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Career Opportunity Files\Economics\Indicators\Git\"/>
    </mc:Choice>
  </mc:AlternateContent>
  <xr:revisionPtr revIDLastSave="0" documentId="10_ncr:8100000_{2C9302A0-831B-473F-935E-6D145CE53FC1}" xr6:coauthVersionLast="34" xr6:coauthVersionMax="34" xr10:uidLastSave="{00000000-0000-0000-0000-000000000000}"/>
  <bookViews>
    <workbookView xWindow="0" yWindow="0" windowWidth="28800" windowHeight="11625" activeTab="1" xr2:uid="{00000000-000D-0000-FFFF-FFFF00000000}"/>
  </bookViews>
  <sheets>
    <sheet name="Dashboard" sheetId="15" r:id="rId1"/>
    <sheet name="Returns" sheetId="34" r:id="rId2"/>
    <sheet name="Portfolios" sheetId="35" r:id="rId3"/>
    <sheet name="Score" sheetId="4" r:id="rId4"/>
    <sheet name="LessVolVal" sheetId="33" r:id="rId5"/>
    <sheet name="Summary" sheetId="1" r:id="rId6"/>
    <sheet name="Valuation" sheetId="26" r:id="rId7"/>
    <sheet name="WeeklyIndicators" sheetId="23" r:id="rId8"/>
    <sheet name="Economic" sheetId="25" r:id="rId9"/>
    <sheet name="Housing" sheetId="30" r:id="rId10"/>
    <sheet name="Manufacturing" sheetId="28" r:id="rId11"/>
    <sheet name="Employment" sheetId="29" r:id="rId12"/>
    <sheet name="Spending" sheetId="24" r:id="rId13"/>
    <sheet name="Quarterly" sheetId="27" r:id="rId14"/>
    <sheet name="Statistics" sheetId="32" r:id="rId15"/>
    <sheet name="Table" sheetId="31" r:id="rId16"/>
  </sheets>
  <definedNames>
    <definedName name="_xlnm._FilterDatabase" localSheetId="8" hidden="1">Economic!$A$2:$AF$325</definedName>
    <definedName name="_xlnm._FilterDatabase" localSheetId="11" hidden="1">Employment!$A$2:$V$2</definedName>
    <definedName name="_xlnm._FilterDatabase" localSheetId="9" hidden="1">Housing!$A$2:$AC$259</definedName>
    <definedName name="_xlnm._FilterDatabase" localSheetId="10" hidden="1">Manufacturing!$A$2:$P$333</definedName>
    <definedName name="_xlnm._FilterDatabase" localSheetId="12" hidden="1">Spending!$A$2:$AJ$284</definedName>
    <definedName name="_xlnm._FilterDatabase" localSheetId="5" hidden="1">Summary!$A$2:$AN$1378</definedName>
    <definedName name="_xlnm._FilterDatabase" localSheetId="6" hidden="1">Valuation!$A$2:$U$1545</definedName>
    <definedName name="_xlnm._FilterDatabase" localSheetId="7" hidden="1">WeeklyIndicators!$A$2:$Y$1391</definedName>
  </definedNames>
  <calcPr calcId="162913"/>
</workbook>
</file>

<file path=xl/calcChain.xml><?xml version="1.0" encoding="utf-8"?>
<calcChain xmlns="http://schemas.openxmlformats.org/spreadsheetml/2006/main">
  <c r="B8" i="34" l="1"/>
  <c r="C8" i="34"/>
  <c r="D8" i="34"/>
  <c r="E8" i="34"/>
  <c r="B9" i="34"/>
  <c r="C9" i="34"/>
  <c r="D9" i="34"/>
  <c r="E9" i="34"/>
  <c r="B10" i="34"/>
  <c r="C10" i="34"/>
  <c r="D10" i="34"/>
  <c r="E10" i="34"/>
  <c r="B11" i="34"/>
  <c r="C11" i="34"/>
  <c r="D11" i="34"/>
  <c r="E11" i="34"/>
  <c r="B12" i="34"/>
  <c r="C12" i="34"/>
  <c r="D12" i="34"/>
  <c r="E12" i="34"/>
  <c r="B13" i="34"/>
  <c r="C13" i="34"/>
  <c r="D13" i="34"/>
  <c r="E13" i="34"/>
  <c r="B14" i="34"/>
  <c r="C14" i="34"/>
  <c r="D14" i="34"/>
  <c r="E14" i="34"/>
  <c r="B15" i="34"/>
  <c r="C15" i="34"/>
  <c r="D15" i="34"/>
  <c r="E15" i="34"/>
  <c r="B16" i="34"/>
  <c r="C16" i="34"/>
  <c r="D16" i="34"/>
  <c r="E16" i="34"/>
  <c r="B17" i="34"/>
  <c r="C17" i="34"/>
  <c r="D17" i="34"/>
  <c r="E17" i="34"/>
  <c r="B18" i="34"/>
  <c r="C18" i="34"/>
  <c r="D18" i="34"/>
  <c r="E18" i="34"/>
  <c r="B19" i="34"/>
  <c r="C19" i="34"/>
  <c r="D19" i="34"/>
  <c r="E19" i="34"/>
  <c r="B20" i="34"/>
  <c r="C20" i="34"/>
  <c r="D20" i="34"/>
  <c r="E20" i="34"/>
  <c r="B21" i="34"/>
  <c r="C21" i="34"/>
  <c r="D21" i="34"/>
  <c r="E21" i="34"/>
  <c r="B22" i="34"/>
  <c r="C22" i="34"/>
  <c r="D22" i="34"/>
  <c r="E22" i="34"/>
  <c r="B23" i="34"/>
  <c r="C23" i="34"/>
  <c r="D23" i="34"/>
  <c r="E23" i="34"/>
  <c r="B24" i="34"/>
  <c r="C24" i="34"/>
  <c r="D24" i="34"/>
  <c r="E24" i="34"/>
  <c r="B25" i="34"/>
  <c r="C25" i="34"/>
  <c r="D25" i="34"/>
  <c r="E25" i="34"/>
  <c r="B26" i="34"/>
  <c r="C26" i="34"/>
  <c r="D26" i="34"/>
  <c r="E26" i="34"/>
  <c r="B27" i="34"/>
  <c r="C27" i="34"/>
  <c r="D27" i="34"/>
  <c r="E27" i="34"/>
  <c r="B28" i="34"/>
  <c r="C28" i="34"/>
  <c r="D28" i="34"/>
  <c r="E28" i="34"/>
  <c r="B29" i="34"/>
  <c r="C29" i="34"/>
  <c r="D29" i="34"/>
  <c r="E29" i="34"/>
  <c r="B30" i="34"/>
  <c r="C30" i="34"/>
  <c r="D30" i="34"/>
  <c r="E30" i="34"/>
  <c r="B31" i="34"/>
  <c r="C31" i="34"/>
  <c r="D31" i="34"/>
  <c r="E31" i="34"/>
  <c r="B32" i="34"/>
  <c r="C32" i="34"/>
  <c r="D32" i="34"/>
  <c r="E32" i="34"/>
  <c r="C7" i="34"/>
  <c r="D7" i="34"/>
  <c r="E7" i="34"/>
  <c r="B7" i="34"/>
  <c r="AW4" i="1"/>
  <c r="AX4" i="1" s="1"/>
  <c r="AW5" i="1"/>
  <c r="AX5" i="1" s="1"/>
  <c r="AW6" i="1"/>
  <c r="AX6" i="1" s="1"/>
  <c r="AW7" i="1"/>
  <c r="AX7" i="1"/>
  <c r="AW8" i="1"/>
  <c r="AX8" i="1" s="1"/>
  <c r="AW9" i="1"/>
  <c r="AX9" i="1" s="1"/>
  <c r="AW10" i="1"/>
  <c r="AX10" i="1" s="1"/>
  <c r="AW11" i="1"/>
  <c r="AX11" i="1"/>
  <c r="AW12" i="1"/>
  <c r="AX12" i="1" s="1"/>
  <c r="AW13" i="1"/>
  <c r="AX13" i="1" s="1"/>
  <c r="AW14" i="1"/>
  <c r="AX14" i="1" s="1"/>
  <c r="AW15" i="1"/>
  <c r="AX15" i="1"/>
  <c r="AW16" i="1"/>
  <c r="AX16" i="1" s="1"/>
  <c r="AW17" i="1"/>
  <c r="AX17" i="1" s="1"/>
  <c r="AW18" i="1"/>
  <c r="AX18" i="1" s="1"/>
  <c r="AW19" i="1"/>
  <c r="AX19" i="1"/>
  <c r="AW20" i="1"/>
  <c r="AX20" i="1" s="1"/>
  <c r="AW21" i="1"/>
  <c r="AX21" i="1" s="1"/>
  <c r="AW22" i="1"/>
  <c r="AX22" i="1" s="1"/>
  <c r="AW23" i="1"/>
  <c r="AX23" i="1"/>
  <c r="AW24" i="1"/>
  <c r="AX24" i="1" s="1"/>
  <c r="AW25" i="1"/>
  <c r="AX25" i="1" s="1"/>
  <c r="AW26" i="1"/>
  <c r="AX26" i="1" s="1"/>
  <c r="AW27" i="1"/>
  <c r="AX27" i="1"/>
  <c r="AW28" i="1"/>
  <c r="AX28" i="1" s="1"/>
  <c r="AW29" i="1"/>
  <c r="AX29" i="1" s="1"/>
  <c r="AW30" i="1"/>
  <c r="AX30" i="1" s="1"/>
  <c r="AW31" i="1"/>
  <c r="AX31" i="1"/>
  <c r="AW32" i="1"/>
  <c r="AX32" i="1" s="1"/>
  <c r="AW33" i="1"/>
  <c r="AX33" i="1" s="1"/>
  <c r="AW34" i="1"/>
  <c r="AX34" i="1" s="1"/>
  <c r="AW35" i="1"/>
  <c r="AX35" i="1"/>
  <c r="AW36" i="1"/>
  <c r="AX36" i="1" s="1"/>
  <c r="AW37" i="1"/>
  <c r="AX37" i="1" s="1"/>
  <c r="AW38" i="1"/>
  <c r="AX38" i="1" s="1"/>
  <c r="AW39" i="1"/>
  <c r="AX39" i="1"/>
  <c r="AW40" i="1"/>
  <c r="AX40" i="1" s="1"/>
  <c r="AW41" i="1"/>
  <c r="AX41" i="1" s="1"/>
  <c r="AW42" i="1"/>
  <c r="AX42" i="1" s="1"/>
  <c r="AW43" i="1"/>
  <c r="AX43" i="1"/>
  <c r="AW44" i="1"/>
  <c r="AX44" i="1" s="1"/>
  <c r="AW45" i="1"/>
  <c r="AX45" i="1" s="1"/>
  <c r="AW46" i="1"/>
  <c r="AX46" i="1" s="1"/>
  <c r="AW47" i="1"/>
  <c r="AX47" i="1"/>
  <c r="AW48" i="1"/>
  <c r="AX48" i="1" s="1"/>
  <c r="AW49" i="1"/>
  <c r="AX49" i="1" s="1"/>
  <c r="AW50" i="1"/>
  <c r="AX50" i="1" s="1"/>
  <c r="AW51" i="1"/>
  <c r="AX51" i="1"/>
  <c r="AW52" i="1"/>
  <c r="AX52" i="1" s="1"/>
  <c r="AW53" i="1"/>
  <c r="AX53" i="1" s="1"/>
  <c r="AW54" i="1"/>
  <c r="AX54" i="1" s="1"/>
  <c r="AW55" i="1"/>
  <c r="AX55" i="1"/>
  <c r="AW56" i="1"/>
  <c r="AX56" i="1" s="1"/>
  <c r="AW57" i="1"/>
  <c r="AX57" i="1" s="1"/>
  <c r="AW58" i="1"/>
  <c r="AX58" i="1" s="1"/>
  <c r="AW59" i="1"/>
  <c r="AX59" i="1"/>
  <c r="AW60" i="1"/>
  <c r="AX60" i="1" s="1"/>
  <c r="AW61" i="1"/>
  <c r="AX61" i="1" s="1"/>
  <c r="AW62" i="1"/>
  <c r="AX62" i="1" s="1"/>
  <c r="AW63" i="1"/>
  <c r="AX63" i="1"/>
  <c r="AW64" i="1"/>
  <c r="AX64" i="1" s="1"/>
  <c r="AW65" i="1"/>
  <c r="AX65" i="1" s="1"/>
  <c r="AW66" i="1"/>
  <c r="AX66" i="1" s="1"/>
  <c r="AW67" i="1"/>
  <c r="AX67" i="1"/>
  <c r="AW68" i="1"/>
  <c r="AX68" i="1" s="1"/>
  <c r="AW69" i="1"/>
  <c r="AX69" i="1" s="1"/>
  <c r="AW70" i="1"/>
  <c r="AX70" i="1" s="1"/>
  <c r="AW71" i="1"/>
  <c r="AX71" i="1"/>
  <c r="AW72" i="1"/>
  <c r="AX72" i="1" s="1"/>
  <c r="AW73" i="1"/>
  <c r="AX73" i="1" s="1"/>
  <c r="AW74" i="1"/>
  <c r="AX74" i="1" s="1"/>
  <c r="AW75" i="1"/>
  <c r="AX75" i="1"/>
  <c r="AW76" i="1"/>
  <c r="AX76" i="1" s="1"/>
  <c r="AW77" i="1"/>
  <c r="AX77" i="1" s="1"/>
  <c r="AW78" i="1"/>
  <c r="AX78" i="1" s="1"/>
  <c r="AW79" i="1"/>
  <c r="AX79" i="1"/>
  <c r="AW80" i="1"/>
  <c r="AX80" i="1" s="1"/>
  <c r="AW81" i="1"/>
  <c r="AX81" i="1" s="1"/>
  <c r="AW82" i="1"/>
  <c r="AX82" i="1" s="1"/>
  <c r="AW83" i="1"/>
  <c r="AX83" i="1"/>
  <c r="AW84" i="1"/>
  <c r="AX84" i="1" s="1"/>
  <c r="AW85" i="1"/>
  <c r="AX85" i="1" s="1"/>
  <c r="AW86" i="1"/>
  <c r="AX86" i="1" s="1"/>
  <c r="AW87" i="1"/>
  <c r="AX87" i="1"/>
  <c r="AW88" i="1"/>
  <c r="AX88" i="1" s="1"/>
  <c r="AW89" i="1"/>
  <c r="AX89" i="1" s="1"/>
  <c r="AW90" i="1"/>
  <c r="AX90" i="1" s="1"/>
  <c r="AW91" i="1"/>
  <c r="AX91" i="1"/>
  <c r="AW92" i="1"/>
  <c r="AX92" i="1" s="1"/>
  <c r="AW93" i="1"/>
  <c r="AX93" i="1" s="1"/>
  <c r="AW94" i="1"/>
  <c r="AX94" i="1" s="1"/>
  <c r="AW95" i="1"/>
  <c r="AX95" i="1"/>
  <c r="AW96" i="1"/>
  <c r="AX96" i="1" s="1"/>
  <c r="AW97" i="1"/>
  <c r="AX97" i="1" s="1"/>
  <c r="AW98" i="1"/>
  <c r="AX98" i="1" s="1"/>
  <c r="AW99" i="1"/>
  <c r="AX99" i="1"/>
  <c r="AW100" i="1"/>
  <c r="AX100" i="1" s="1"/>
  <c r="AW101" i="1"/>
  <c r="AX101" i="1" s="1"/>
  <c r="AW102" i="1"/>
  <c r="AX102" i="1" s="1"/>
  <c r="AW103" i="1"/>
  <c r="AX103" i="1" s="1"/>
  <c r="AW104" i="1"/>
  <c r="AX104" i="1" s="1"/>
  <c r="AW105" i="1"/>
  <c r="AX105" i="1" s="1"/>
  <c r="AW106" i="1"/>
  <c r="AW107" i="1"/>
  <c r="AX107" i="1" s="1"/>
  <c r="AW108" i="1"/>
  <c r="AW109" i="1"/>
  <c r="AW110" i="1"/>
  <c r="AW111" i="1"/>
  <c r="AW112" i="1"/>
  <c r="AW113" i="1"/>
  <c r="AW114" i="1"/>
  <c r="AW115" i="1"/>
  <c r="AX115" i="1" s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X167" i="1" s="1"/>
  <c r="AW168" i="1"/>
  <c r="AW169" i="1"/>
  <c r="AW170" i="1"/>
  <c r="AW171" i="1"/>
  <c r="AW172" i="1"/>
  <c r="AW173" i="1"/>
  <c r="AW174" i="1"/>
  <c r="AW175" i="1"/>
  <c r="AX175" i="1" s="1"/>
  <c r="AW176" i="1"/>
  <c r="AW177" i="1"/>
  <c r="AW178" i="1"/>
  <c r="AW179" i="1"/>
  <c r="AW180" i="1"/>
  <c r="AW181" i="1"/>
  <c r="AW182" i="1"/>
  <c r="AW183" i="1"/>
  <c r="AX183" i="1" s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X243" i="1" s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X337" i="1" s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X359" i="1" s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X380" i="1" s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X423" i="1" s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X444" i="1" s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X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X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X502" i="1"/>
  <c r="AW503" i="1"/>
  <c r="AW504" i="1"/>
  <c r="AW505" i="1"/>
  <c r="AW506" i="1"/>
  <c r="AW507" i="1"/>
  <c r="AW508" i="1"/>
  <c r="AX508" i="1" s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X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X549" i="1" s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X566" i="1"/>
  <c r="AW567" i="1"/>
  <c r="AW568" i="1"/>
  <c r="AW569" i="1"/>
  <c r="AW570" i="1"/>
  <c r="AW571" i="1"/>
  <c r="AW572" i="1"/>
  <c r="AW573" i="1"/>
  <c r="AW574" i="1"/>
  <c r="AW575" i="1"/>
  <c r="AX575" i="1" s="1"/>
  <c r="AW576" i="1"/>
  <c r="AW577" i="1"/>
  <c r="AW578" i="1"/>
  <c r="AW579" i="1"/>
  <c r="AW580" i="1"/>
  <c r="AW581" i="1"/>
  <c r="AW582" i="1"/>
  <c r="AW583" i="1"/>
  <c r="AW584" i="1"/>
  <c r="AX584" i="1" s="1"/>
  <c r="AW585" i="1"/>
  <c r="AW586" i="1"/>
  <c r="AW587" i="1"/>
  <c r="AW588" i="1"/>
  <c r="AW589" i="1"/>
  <c r="AX589" i="1"/>
  <c r="AW590" i="1"/>
  <c r="AW591" i="1"/>
  <c r="AW592" i="1"/>
  <c r="AW593" i="1"/>
  <c r="AW594" i="1"/>
  <c r="AW595" i="1"/>
  <c r="AW596" i="1"/>
  <c r="AW597" i="1"/>
  <c r="AW598" i="1"/>
  <c r="AX598" i="1" s="1"/>
  <c r="AW599" i="1"/>
  <c r="AW600" i="1"/>
  <c r="AW601" i="1"/>
  <c r="AX601" i="1"/>
  <c r="AW602" i="1"/>
  <c r="AW603" i="1"/>
  <c r="AW604" i="1"/>
  <c r="AW605" i="1"/>
  <c r="AW606" i="1"/>
  <c r="AW607" i="1"/>
  <c r="AW608" i="1"/>
  <c r="AW609" i="1"/>
  <c r="AW610" i="1"/>
  <c r="AW611" i="1"/>
  <c r="AW612" i="1"/>
  <c r="AX612" i="1" s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X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X662" i="1" s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X689" i="1"/>
  <c r="AW690" i="1"/>
  <c r="AW691" i="1"/>
  <c r="AW692" i="1"/>
  <c r="AW693" i="1"/>
  <c r="AW694" i="1"/>
  <c r="AW695" i="1"/>
  <c r="AX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X707" i="1"/>
  <c r="AW708" i="1"/>
  <c r="AW709" i="1"/>
  <c r="AW710" i="1"/>
  <c r="AW711" i="1"/>
  <c r="AW712" i="1"/>
  <c r="AW713" i="1"/>
  <c r="AW714" i="1"/>
  <c r="AW715" i="1"/>
  <c r="AW716" i="1"/>
  <c r="AW717" i="1"/>
  <c r="AW718" i="1"/>
  <c r="AX718" i="1" s="1"/>
  <c r="AW719" i="1"/>
  <c r="AW720" i="1"/>
  <c r="AW721" i="1"/>
  <c r="AW722" i="1"/>
  <c r="AW723" i="1"/>
  <c r="AW724" i="1"/>
  <c r="AW725" i="1"/>
  <c r="AW726" i="1"/>
  <c r="AW727" i="1"/>
  <c r="AX727" i="1"/>
  <c r="AW728" i="1"/>
  <c r="AW729" i="1"/>
  <c r="AW730" i="1"/>
  <c r="AW731" i="1"/>
  <c r="AW732" i="1"/>
  <c r="AW733" i="1"/>
  <c r="AW734" i="1"/>
  <c r="AW735" i="1"/>
  <c r="AW736" i="1"/>
  <c r="AX736" i="1"/>
  <c r="AW737" i="1"/>
  <c r="AW738" i="1"/>
  <c r="AW739" i="1"/>
  <c r="AW740" i="1"/>
  <c r="AW741" i="1"/>
  <c r="AW742" i="1"/>
  <c r="AW743" i="1"/>
  <c r="AW744" i="1"/>
  <c r="AW745" i="1"/>
  <c r="AX745" i="1"/>
  <c r="AW746" i="1"/>
  <c r="AW747" i="1"/>
  <c r="AW748" i="1"/>
  <c r="AW749" i="1"/>
  <c r="AW750" i="1"/>
  <c r="AX750" i="1" s="1"/>
  <c r="AW751" i="1"/>
  <c r="AW752" i="1"/>
  <c r="AW753" i="1"/>
  <c r="AW754" i="1"/>
  <c r="AW755" i="1"/>
  <c r="AW756" i="1"/>
  <c r="AW757" i="1"/>
  <c r="AW758" i="1"/>
  <c r="AW759" i="1"/>
  <c r="AX759" i="1"/>
  <c r="AW760" i="1"/>
  <c r="AW761" i="1"/>
  <c r="AW762" i="1"/>
  <c r="AW763" i="1"/>
  <c r="AW764" i="1"/>
  <c r="AW765" i="1"/>
  <c r="AW766" i="1"/>
  <c r="AW767" i="1"/>
  <c r="AW768" i="1"/>
  <c r="AX768" i="1"/>
  <c r="AW769" i="1"/>
  <c r="AW770" i="1"/>
  <c r="AW771" i="1"/>
  <c r="AW772" i="1"/>
  <c r="AW773" i="1"/>
  <c r="AW774" i="1"/>
  <c r="AW775" i="1"/>
  <c r="AW776" i="1"/>
  <c r="AW777" i="1"/>
  <c r="AX777" i="1"/>
  <c r="AW778" i="1"/>
  <c r="AW779" i="1"/>
  <c r="AW780" i="1"/>
  <c r="AW781" i="1"/>
  <c r="AW782" i="1"/>
  <c r="AX782" i="1" s="1"/>
  <c r="AW783" i="1"/>
  <c r="AW784" i="1"/>
  <c r="AW785" i="1"/>
  <c r="AW786" i="1"/>
  <c r="AW787" i="1"/>
  <c r="AW788" i="1"/>
  <c r="AW789" i="1"/>
  <c r="AW790" i="1"/>
  <c r="AW791" i="1"/>
  <c r="AX791" i="1"/>
  <c r="AW792" i="1"/>
  <c r="AW793" i="1"/>
  <c r="AW794" i="1"/>
  <c r="AW795" i="1"/>
  <c r="AW796" i="1"/>
  <c r="AW797" i="1"/>
  <c r="AW798" i="1"/>
  <c r="AW799" i="1"/>
  <c r="AW800" i="1"/>
  <c r="AX800" i="1"/>
  <c r="AW801" i="1"/>
  <c r="AW802" i="1"/>
  <c r="AW803" i="1"/>
  <c r="AW804" i="1"/>
  <c r="AW805" i="1"/>
  <c r="AW806" i="1"/>
  <c r="AW807" i="1"/>
  <c r="AW808" i="1"/>
  <c r="AW809" i="1"/>
  <c r="AX809" i="1"/>
  <c r="AW810" i="1"/>
  <c r="AW811" i="1"/>
  <c r="AW812" i="1"/>
  <c r="AW813" i="1"/>
  <c r="AW814" i="1"/>
  <c r="AX814" i="1" s="1"/>
  <c r="AW815" i="1"/>
  <c r="AW816" i="1"/>
  <c r="AW817" i="1"/>
  <c r="AW818" i="1"/>
  <c r="AW819" i="1"/>
  <c r="AW820" i="1"/>
  <c r="AW821" i="1"/>
  <c r="AW822" i="1"/>
  <c r="AW823" i="1"/>
  <c r="AX823" i="1"/>
  <c r="AW824" i="1"/>
  <c r="AW825" i="1"/>
  <c r="AW826" i="1"/>
  <c r="AW827" i="1"/>
  <c r="AW828" i="1"/>
  <c r="AW829" i="1"/>
  <c r="AW830" i="1"/>
  <c r="AW831" i="1"/>
  <c r="AW832" i="1"/>
  <c r="AX832" i="1"/>
  <c r="AW833" i="1"/>
  <c r="AW834" i="1"/>
  <c r="AW835" i="1"/>
  <c r="AW836" i="1"/>
  <c r="AW837" i="1"/>
  <c r="AW838" i="1"/>
  <c r="AW839" i="1"/>
  <c r="AW840" i="1"/>
  <c r="AW841" i="1"/>
  <c r="AX841" i="1"/>
  <c r="AW842" i="1"/>
  <c r="AW843" i="1"/>
  <c r="AW844" i="1"/>
  <c r="AW845" i="1"/>
  <c r="AW846" i="1"/>
  <c r="AX846" i="1" s="1"/>
  <c r="AW847" i="1"/>
  <c r="AW848" i="1"/>
  <c r="AW849" i="1"/>
  <c r="AW850" i="1"/>
  <c r="AW851" i="1"/>
  <c r="AW852" i="1"/>
  <c r="AW853" i="1"/>
  <c r="AW854" i="1"/>
  <c r="AW855" i="1"/>
  <c r="AX855" i="1"/>
  <c r="AW856" i="1"/>
  <c r="AW857" i="1"/>
  <c r="AW858" i="1"/>
  <c r="AW859" i="1"/>
  <c r="AW860" i="1"/>
  <c r="AW861" i="1"/>
  <c r="AW862" i="1"/>
  <c r="AW863" i="1"/>
  <c r="AW864" i="1"/>
  <c r="AX864" i="1"/>
  <c r="AW865" i="1"/>
  <c r="AW866" i="1"/>
  <c r="AW867" i="1"/>
  <c r="AW868" i="1"/>
  <c r="AW869" i="1"/>
  <c r="AW870" i="1"/>
  <c r="AW871" i="1"/>
  <c r="AW872" i="1"/>
  <c r="AW873" i="1"/>
  <c r="AX873" i="1"/>
  <c r="AW874" i="1"/>
  <c r="AW875" i="1"/>
  <c r="AW876" i="1"/>
  <c r="AW877" i="1"/>
  <c r="AW878" i="1"/>
  <c r="AX878" i="1" s="1"/>
  <c r="AW879" i="1"/>
  <c r="AW880" i="1"/>
  <c r="AW881" i="1"/>
  <c r="AW882" i="1"/>
  <c r="AW883" i="1"/>
  <c r="AW884" i="1"/>
  <c r="AW885" i="1"/>
  <c r="AW886" i="1"/>
  <c r="AW887" i="1"/>
  <c r="AX887" i="1"/>
  <c r="AW888" i="1"/>
  <c r="AW889" i="1"/>
  <c r="AW890" i="1"/>
  <c r="AW891" i="1"/>
  <c r="AW892" i="1"/>
  <c r="AW893" i="1"/>
  <c r="AW894" i="1"/>
  <c r="AW895" i="1"/>
  <c r="AW896" i="1"/>
  <c r="AX896" i="1"/>
  <c r="AW897" i="1"/>
  <c r="AW898" i="1"/>
  <c r="AW899" i="1"/>
  <c r="AW900" i="1"/>
  <c r="AW901" i="1"/>
  <c r="AW902" i="1"/>
  <c r="AW903" i="1"/>
  <c r="AW904" i="1"/>
  <c r="AW905" i="1"/>
  <c r="AX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X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X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X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X1166" i="1" s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X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X1222" i="1" s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X1282" i="1" s="1"/>
  <c r="AW1283" i="1"/>
  <c r="AW1284" i="1"/>
  <c r="AW1285" i="1"/>
  <c r="AW1286" i="1"/>
  <c r="AW1287" i="1"/>
  <c r="AW1288" i="1"/>
  <c r="AX1288" i="1"/>
  <c r="AW1289" i="1"/>
  <c r="AW1290" i="1"/>
  <c r="AW1291" i="1"/>
  <c r="AW1292" i="1"/>
  <c r="AW1293" i="1"/>
  <c r="AW1294" i="1"/>
  <c r="AW1295" i="1"/>
  <c r="AW1296" i="1"/>
  <c r="AW1297" i="1"/>
  <c r="AX1297" i="1"/>
  <c r="AW1298" i="1"/>
  <c r="AW1299" i="1"/>
  <c r="AW1300" i="1"/>
  <c r="AW1301" i="1"/>
  <c r="AW1302" i="1"/>
  <c r="AX1302" i="1" s="1"/>
  <c r="AW1303" i="1"/>
  <c r="AW1304" i="1"/>
  <c r="AW1305" i="1"/>
  <c r="AW1306" i="1"/>
  <c r="AW1307" i="1"/>
  <c r="AW1308" i="1"/>
  <c r="AW1309" i="1"/>
  <c r="AW1310" i="1"/>
  <c r="AW1311" i="1"/>
  <c r="AX1311" i="1"/>
  <c r="AW1312" i="1"/>
  <c r="AW1313" i="1"/>
  <c r="AW1314" i="1"/>
  <c r="AW1315" i="1"/>
  <c r="AX1315" i="1"/>
  <c r="AW1316" i="1"/>
  <c r="AW1317" i="1"/>
  <c r="AW1318" i="1"/>
  <c r="AW1319" i="1"/>
  <c r="AX1319" i="1"/>
  <c r="AW1320" i="1"/>
  <c r="AW1321" i="1"/>
  <c r="AW1322" i="1"/>
  <c r="AW1323" i="1"/>
  <c r="AX1323" i="1"/>
  <c r="AW1324" i="1"/>
  <c r="AW1325" i="1"/>
  <c r="AW1326" i="1"/>
  <c r="AW1327" i="1"/>
  <c r="AX1327" i="1"/>
  <c r="AW1328" i="1"/>
  <c r="AW1329" i="1"/>
  <c r="AW1330" i="1"/>
  <c r="AX1330" i="1"/>
  <c r="AW1331" i="1"/>
  <c r="AX1331" i="1"/>
  <c r="AW1332" i="1"/>
  <c r="AW1333" i="1"/>
  <c r="AW1334" i="1"/>
  <c r="AX1334" i="1"/>
  <c r="AW1335" i="1"/>
  <c r="AX1335" i="1"/>
  <c r="AW1336" i="1"/>
  <c r="AW1337" i="1"/>
  <c r="AW1338" i="1"/>
  <c r="AX1338" i="1"/>
  <c r="AW1339" i="1"/>
  <c r="AX1339" i="1"/>
  <c r="AW1340" i="1"/>
  <c r="AW1341" i="1"/>
  <c r="AW1342" i="1"/>
  <c r="AX1342" i="1"/>
  <c r="AW1343" i="1"/>
  <c r="AX1343" i="1"/>
  <c r="AW1344" i="1"/>
  <c r="AW1345" i="1"/>
  <c r="AW1346" i="1"/>
  <c r="AX1346" i="1"/>
  <c r="AW1347" i="1"/>
  <c r="AX1347" i="1"/>
  <c r="AW1348" i="1"/>
  <c r="AW1349" i="1"/>
  <c r="AX1349" i="1"/>
  <c r="AW1350" i="1"/>
  <c r="AX1350" i="1"/>
  <c r="AW1351" i="1"/>
  <c r="AX1351" i="1"/>
  <c r="AW1352" i="1"/>
  <c r="AW1353" i="1"/>
  <c r="AX1353" i="1"/>
  <c r="AW1354" i="1"/>
  <c r="AX1354" i="1"/>
  <c r="AW1355" i="1"/>
  <c r="AX1355" i="1"/>
  <c r="AW1356" i="1"/>
  <c r="AX1356" i="1"/>
  <c r="AW1357" i="1"/>
  <c r="AX1357" i="1"/>
  <c r="AW1358" i="1"/>
  <c r="AX1358" i="1"/>
  <c r="AW1359" i="1"/>
  <c r="AX1359" i="1"/>
  <c r="AW1360" i="1"/>
  <c r="AX1360" i="1"/>
  <c r="AW1361" i="1"/>
  <c r="AX1361" i="1"/>
  <c r="AW1362" i="1"/>
  <c r="AX1362" i="1"/>
  <c r="AW1363" i="1"/>
  <c r="AX1363" i="1"/>
  <c r="AW1364" i="1"/>
  <c r="AX1364" i="1"/>
  <c r="AW1365" i="1"/>
  <c r="AX1365" i="1"/>
  <c r="AW1366" i="1"/>
  <c r="AX1366" i="1"/>
  <c r="AW1367" i="1"/>
  <c r="AX1367" i="1"/>
  <c r="AW1368" i="1"/>
  <c r="AX1368" i="1"/>
  <c r="AW1369" i="1"/>
  <c r="AX1369" i="1"/>
  <c r="AW1370" i="1"/>
  <c r="AX1370" i="1"/>
  <c r="AW1371" i="1"/>
  <c r="AX1371" i="1"/>
  <c r="AW1372" i="1"/>
  <c r="AX1372" i="1"/>
  <c r="AW1373" i="1"/>
  <c r="AX1373" i="1"/>
  <c r="AW1374" i="1"/>
  <c r="AX1374" i="1"/>
  <c r="AW1375" i="1"/>
  <c r="AX1375" i="1"/>
  <c r="AW1376" i="1"/>
  <c r="AX1376" i="1"/>
  <c r="AW1377" i="1"/>
  <c r="AX1377" i="1"/>
  <c r="AW1378" i="1"/>
  <c r="AX1378" i="1"/>
  <c r="AX3" i="1"/>
  <c r="AW3" i="1"/>
  <c r="C4" i="34"/>
  <c r="D4" i="34"/>
  <c r="E4" i="34"/>
  <c r="B4" i="34"/>
  <c r="C3" i="34"/>
  <c r="D3" i="34"/>
  <c r="E3" i="34"/>
  <c r="B3" i="34"/>
  <c r="C2" i="34"/>
  <c r="D2" i="34"/>
  <c r="E2" i="34"/>
  <c r="B2" i="34"/>
  <c r="AP1378" i="1"/>
  <c r="AT1377" i="1" s="1"/>
  <c r="AT1376" i="1" s="1"/>
  <c r="AT1375" i="1" s="1"/>
  <c r="AT1374" i="1" s="1"/>
  <c r="AO1378" i="1"/>
  <c r="AP1377" i="1"/>
  <c r="AO1377" i="1"/>
  <c r="AP1376" i="1"/>
  <c r="AO1376" i="1"/>
  <c r="AP1375" i="1"/>
  <c r="AO1375" i="1"/>
  <c r="AP1374" i="1"/>
  <c r="AO1374" i="1"/>
  <c r="AP1373" i="1"/>
  <c r="AO1373" i="1"/>
  <c r="AP1372" i="1"/>
  <c r="AO1372" i="1"/>
  <c r="AP1371" i="1"/>
  <c r="AO1371" i="1"/>
  <c r="AP1370" i="1"/>
  <c r="AO1370" i="1"/>
  <c r="AP1369" i="1"/>
  <c r="AO1369" i="1"/>
  <c r="AP1368" i="1"/>
  <c r="AO1368" i="1"/>
  <c r="AP1367" i="1"/>
  <c r="AO1367" i="1"/>
  <c r="AP1366" i="1"/>
  <c r="AO1366" i="1"/>
  <c r="AP1365" i="1"/>
  <c r="AO1365" i="1"/>
  <c r="AP1364" i="1"/>
  <c r="AO1364" i="1"/>
  <c r="AP1363" i="1"/>
  <c r="AO1363" i="1"/>
  <c r="AP1362" i="1"/>
  <c r="AO1362" i="1"/>
  <c r="AP1361" i="1"/>
  <c r="AO1361" i="1"/>
  <c r="AP1360" i="1"/>
  <c r="AO1360" i="1"/>
  <c r="AP1359" i="1"/>
  <c r="AO1359" i="1"/>
  <c r="AP1358" i="1"/>
  <c r="AO1358" i="1"/>
  <c r="AP1357" i="1"/>
  <c r="AO1357" i="1"/>
  <c r="AP1356" i="1"/>
  <c r="AO1356" i="1"/>
  <c r="AP1355" i="1"/>
  <c r="AO1355" i="1"/>
  <c r="AP1354" i="1"/>
  <c r="AO1354" i="1"/>
  <c r="AP1353" i="1"/>
  <c r="AO1353" i="1"/>
  <c r="AP1352" i="1"/>
  <c r="AO1352" i="1"/>
  <c r="AP1351" i="1"/>
  <c r="AO1351" i="1"/>
  <c r="AP1350" i="1"/>
  <c r="AO1350" i="1"/>
  <c r="AP1349" i="1"/>
  <c r="AO1349" i="1"/>
  <c r="AP1348" i="1"/>
  <c r="AO1348" i="1"/>
  <c r="AP1347" i="1"/>
  <c r="AO1347" i="1"/>
  <c r="AP1346" i="1"/>
  <c r="AO1346" i="1"/>
  <c r="AP1345" i="1"/>
  <c r="AO1345" i="1"/>
  <c r="AP1344" i="1"/>
  <c r="AO1344" i="1"/>
  <c r="AP1343" i="1"/>
  <c r="AO1343" i="1"/>
  <c r="AP1342" i="1"/>
  <c r="AO1342" i="1"/>
  <c r="AP1341" i="1"/>
  <c r="AO1341" i="1"/>
  <c r="AP1340" i="1"/>
  <c r="AO1340" i="1"/>
  <c r="AP1339" i="1"/>
  <c r="AO1339" i="1"/>
  <c r="AP1338" i="1"/>
  <c r="AO1338" i="1"/>
  <c r="AP1337" i="1"/>
  <c r="AO1337" i="1"/>
  <c r="AP1336" i="1"/>
  <c r="AO1336" i="1"/>
  <c r="AP1335" i="1"/>
  <c r="AO1335" i="1"/>
  <c r="AP1334" i="1"/>
  <c r="AO1334" i="1"/>
  <c r="AP1333" i="1"/>
  <c r="AO1333" i="1"/>
  <c r="AP1332" i="1"/>
  <c r="AO1332" i="1"/>
  <c r="AP1331" i="1"/>
  <c r="AO1331" i="1"/>
  <c r="AP1330" i="1"/>
  <c r="AO1330" i="1"/>
  <c r="AP1329" i="1"/>
  <c r="AO1329" i="1"/>
  <c r="AP1328" i="1"/>
  <c r="AO1328" i="1"/>
  <c r="AP1327" i="1"/>
  <c r="AO1327" i="1"/>
  <c r="AP1326" i="1"/>
  <c r="AO1326" i="1"/>
  <c r="AP1325" i="1"/>
  <c r="AO1325" i="1"/>
  <c r="AP1324" i="1"/>
  <c r="AO1324" i="1"/>
  <c r="AP1323" i="1"/>
  <c r="AO1323" i="1"/>
  <c r="AP1322" i="1"/>
  <c r="AO1322" i="1"/>
  <c r="AP1321" i="1"/>
  <c r="AO1321" i="1"/>
  <c r="AP1320" i="1"/>
  <c r="AO1320" i="1"/>
  <c r="AP1319" i="1"/>
  <c r="AO1319" i="1"/>
  <c r="AP1318" i="1"/>
  <c r="AO1318" i="1"/>
  <c r="AP1317" i="1"/>
  <c r="AO1317" i="1"/>
  <c r="AP1316" i="1"/>
  <c r="AO1316" i="1"/>
  <c r="AP1315" i="1"/>
  <c r="AO1315" i="1"/>
  <c r="AP1314" i="1"/>
  <c r="AO1314" i="1"/>
  <c r="AP1313" i="1"/>
  <c r="AO1313" i="1"/>
  <c r="AP1312" i="1"/>
  <c r="AO1312" i="1"/>
  <c r="AP1311" i="1"/>
  <c r="AO1311" i="1"/>
  <c r="AP1310" i="1"/>
  <c r="AO1310" i="1"/>
  <c r="AP1309" i="1"/>
  <c r="AO1309" i="1"/>
  <c r="AP1308" i="1"/>
  <c r="AO1308" i="1"/>
  <c r="AP1307" i="1"/>
  <c r="AO1307" i="1"/>
  <c r="AP1306" i="1"/>
  <c r="AO1306" i="1"/>
  <c r="AP1305" i="1"/>
  <c r="AO1305" i="1"/>
  <c r="AP1304" i="1"/>
  <c r="AO1304" i="1"/>
  <c r="AP1303" i="1"/>
  <c r="AO1303" i="1"/>
  <c r="AP1302" i="1"/>
  <c r="AO1302" i="1"/>
  <c r="AP1301" i="1"/>
  <c r="AO1301" i="1"/>
  <c r="AP1300" i="1"/>
  <c r="AO1300" i="1"/>
  <c r="AP1299" i="1"/>
  <c r="AO1299" i="1"/>
  <c r="AP1298" i="1"/>
  <c r="AO1298" i="1"/>
  <c r="AP1297" i="1"/>
  <c r="AO1297" i="1"/>
  <c r="AP1296" i="1"/>
  <c r="AO1296" i="1"/>
  <c r="AP1295" i="1"/>
  <c r="AO1295" i="1"/>
  <c r="AP1294" i="1"/>
  <c r="AO1294" i="1"/>
  <c r="AP1293" i="1"/>
  <c r="AO1293" i="1"/>
  <c r="AP1292" i="1"/>
  <c r="AO1292" i="1"/>
  <c r="AP1291" i="1"/>
  <c r="AO1291" i="1"/>
  <c r="AP1290" i="1"/>
  <c r="AO1290" i="1"/>
  <c r="AP1289" i="1"/>
  <c r="AO1289" i="1"/>
  <c r="AP1288" i="1"/>
  <c r="AO1288" i="1"/>
  <c r="AP1287" i="1"/>
  <c r="AO1287" i="1"/>
  <c r="AP1286" i="1"/>
  <c r="AO1286" i="1"/>
  <c r="AP1285" i="1"/>
  <c r="AO1285" i="1"/>
  <c r="AP1284" i="1"/>
  <c r="AO1284" i="1"/>
  <c r="AP1283" i="1"/>
  <c r="AO1283" i="1"/>
  <c r="AP1282" i="1"/>
  <c r="AO1282" i="1"/>
  <c r="AP1281" i="1"/>
  <c r="AO1281" i="1"/>
  <c r="AP1280" i="1"/>
  <c r="AO1280" i="1"/>
  <c r="AP1279" i="1"/>
  <c r="AO1279" i="1"/>
  <c r="AP1278" i="1"/>
  <c r="AO1278" i="1"/>
  <c r="AP1277" i="1"/>
  <c r="AO1277" i="1"/>
  <c r="AP1276" i="1"/>
  <c r="AO1276" i="1"/>
  <c r="AP1275" i="1"/>
  <c r="AO1275" i="1"/>
  <c r="AP1274" i="1"/>
  <c r="AO1274" i="1"/>
  <c r="AP1273" i="1"/>
  <c r="AO1273" i="1"/>
  <c r="AP1272" i="1"/>
  <c r="AO1272" i="1"/>
  <c r="AP1271" i="1"/>
  <c r="AO1271" i="1"/>
  <c r="AP1270" i="1"/>
  <c r="AO1270" i="1"/>
  <c r="AP1269" i="1"/>
  <c r="AO1269" i="1"/>
  <c r="AP1268" i="1"/>
  <c r="AO1268" i="1"/>
  <c r="AP1267" i="1"/>
  <c r="AO1267" i="1"/>
  <c r="AP1266" i="1"/>
  <c r="AO1266" i="1"/>
  <c r="AP1265" i="1"/>
  <c r="AO1265" i="1"/>
  <c r="AP1264" i="1"/>
  <c r="AO1264" i="1"/>
  <c r="AP1263" i="1"/>
  <c r="AO1263" i="1"/>
  <c r="AP1262" i="1"/>
  <c r="AO1262" i="1"/>
  <c r="AP1261" i="1"/>
  <c r="AO1261" i="1"/>
  <c r="AP1260" i="1"/>
  <c r="AO1260" i="1"/>
  <c r="AP1259" i="1"/>
  <c r="AO1259" i="1"/>
  <c r="AP1258" i="1"/>
  <c r="AO1258" i="1"/>
  <c r="AP1257" i="1"/>
  <c r="AO1257" i="1"/>
  <c r="AP1256" i="1"/>
  <c r="AO1256" i="1"/>
  <c r="AP1255" i="1"/>
  <c r="AO1255" i="1"/>
  <c r="AP1254" i="1"/>
  <c r="AO1254" i="1"/>
  <c r="AP1253" i="1"/>
  <c r="AO1253" i="1"/>
  <c r="AP1252" i="1"/>
  <c r="AO1252" i="1"/>
  <c r="AP1251" i="1"/>
  <c r="AO1251" i="1"/>
  <c r="AP1250" i="1"/>
  <c r="AO1250" i="1"/>
  <c r="AP1249" i="1"/>
  <c r="AO1249" i="1"/>
  <c r="AP1248" i="1"/>
  <c r="AO1248" i="1"/>
  <c r="AP1247" i="1"/>
  <c r="AO1247" i="1"/>
  <c r="AP1246" i="1"/>
  <c r="AO1246" i="1"/>
  <c r="AP1245" i="1"/>
  <c r="AO1245" i="1"/>
  <c r="AP1244" i="1"/>
  <c r="AO1244" i="1"/>
  <c r="AP1243" i="1"/>
  <c r="AO1243" i="1"/>
  <c r="AP1242" i="1"/>
  <c r="AO1242" i="1"/>
  <c r="AP1241" i="1"/>
  <c r="AO1241" i="1"/>
  <c r="AP1240" i="1"/>
  <c r="AO1240" i="1"/>
  <c r="AP1239" i="1"/>
  <c r="AO1239" i="1"/>
  <c r="AP1238" i="1"/>
  <c r="AO1238" i="1"/>
  <c r="AP1237" i="1"/>
  <c r="AO1237" i="1"/>
  <c r="AP1236" i="1"/>
  <c r="AO1236" i="1"/>
  <c r="AP1235" i="1"/>
  <c r="AO1235" i="1"/>
  <c r="AP1234" i="1"/>
  <c r="AO1234" i="1"/>
  <c r="AP1233" i="1"/>
  <c r="AO1233" i="1"/>
  <c r="AP1232" i="1"/>
  <c r="AO1232" i="1"/>
  <c r="AP1231" i="1"/>
  <c r="AO1231" i="1"/>
  <c r="AP1230" i="1"/>
  <c r="AO1230" i="1"/>
  <c r="AP1229" i="1"/>
  <c r="AO1229" i="1"/>
  <c r="AP1228" i="1"/>
  <c r="AO1228" i="1"/>
  <c r="AP1227" i="1"/>
  <c r="AO1227" i="1"/>
  <c r="AP1226" i="1"/>
  <c r="AO1226" i="1"/>
  <c r="AP1225" i="1"/>
  <c r="AO1225" i="1"/>
  <c r="AP1224" i="1"/>
  <c r="AO1224" i="1"/>
  <c r="AP1223" i="1"/>
  <c r="AO1223" i="1"/>
  <c r="AP1222" i="1"/>
  <c r="AO1222" i="1"/>
  <c r="AP1221" i="1"/>
  <c r="AO1221" i="1"/>
  <c r="AP1220" i="1"/>
  <c r="AO1220" i="1"/>
  <c r="AP1219" i="1"/>
  <c r="AO1219" i="1"/>
  <c r="AP1218" i="1"/>
  <c r="AO1218" i="1"/>
  <c r="AP1217" i="1"/>
  <c r="AO1217" i="1"/>
  <c r="AP1216" i="1"/>
  <c r="AO1216" i="1"/>
  <c r="AP1215" i="1"/>
  <c r="AO1215" i="1"/>
  <c r="AP1214" i="1"/>
  <c r="AO1214" i="1"/>
  <c r="AP1213" i="1"/>
  <c r="AO1213" i="1"/>
  <c r="AP1212" i="1"/>
  <c r="AO1212" i="1"/>
  <c r="AP1211" i="1"/>
  <c r="AO1211" i="1"/>
  <c r="AP1210" i="1"/>
  <c r="AO1210" i="1"/>
  <c r="AP1209" i="1"/>
  <c r="AO1209" i="1"/>
  <c r="AP1208" i="1"/>
  <c r="AO1208" i="1"/>
  <c r="AP1207" i="1"/>
  <c r="AO1207" i="1"/>
  <c r="AP1206" i="1"/>
  <c r="AO1206" i="1"/>
  <c r="AP1205" i="1"/>
  <c r="AO1205" i="1"/>
  <c r="AP1204" i="1"/>
  <c r="AO1204" i="1"/>
  <c r="AP1203" i="1"/>
  <c r="AO1203" i="1"/>
  <c r="AP1202" i="1"/>
  <c r="AO1202" i="1"/>
  <c r="AP1201" i="1"/>
  <c r="AO1201" i="1"/>
  <c r="AP1200" i="1"/>
  <c r="AO1200" i="1"/>
  <c r="AP1199" i="1"/>
  <c r="AO1199" i="1"/>
  <c r="AP1198" i="1"/>
  <c r="AO1198" i="1"/>
  <c r="AP1197" i="1"/>
  <c r="AO1197" i="1"/>
  <c r="AP1196" i="1"/>
  <c r="AO1196" i="1"/>
  <c r="AP1195" i="1"/>
  <c r="AO1195" i="1"/>
  <c r="AP1194" i="1"/>
  <c r="AO1194" i="1"/>
  <c r="AP1193" i="1"/>
  <c r="AO1193" i="1"/>
  <c r="AP1192" i="1"/>
  <c r="AO1192" i="1"/>
  <c r="AP1191" i="1"/>
  <c r="AO1191" i="1"/>
  <c r="AP1190" i="1"/>
  <c r="AO1190" i="1"/>
  <c r="AP1189" i="1"/>
  <c r="AO1189" i="1"/>
  <c r="AP1188" i="1"/>
  <c r="AO1188" i="1"/>
  <c r="AP1187" i="1"/>
  <c r="AO1187" i="1"/>
  <c r="AP1186" i="1"/>
  <c r="AO1186" i="1"/>
  <c r="AP1185" i="1"/>
  <c r="AO1185" i="1"/>
  <c r="AP1184" i="1"/>
  <c r="AO1184" i="1"/>
  <c r="AP1183" i="1"/>
  <c r="AO1183" i="1"/>
  <c r="AP1182" i="1"/>
  <c r="AO1182" i="1"/>
  <c r="AP1181" i="1"/>
  <c r="AO1181" i="1"/>
  <c r="AP1180" i="1"/>
  <c r="AO1180" i="1"/>
  <c r="AP1179" i="1"/>
  <c r="AO1179" i="1"/>
  <c r="AP1178" i="1"/>
  <c r="AO1178" i="1"/>
  <c r="AP1177" i="1"/>
  <c r="AO1177" i="1"/>
  <c r="AP1176" i="1"/>
  <c r="AO1176" i="1"/>
  <c r="AP1175" i="1"/>
  <c r="AO1175" i="1"/>
  <c r="AP1174" i="1"/>
  <c r="AO1174" i="1"/>
  <c r="AP1173" i="1"/>
  <c r="AO1173" i="1"/>
  <c r="AP1172" i="1"/>
  <c r="AO1172" i="1"/>
  <c r="AP1171" i="1"/>
  <c r="AO1171" i="1"/>
  <c r="AP1170" i="1"/>
  <c r="AO1170" i="1"/>
  <c r="AP1169" i="1"/>
  <c r="AO1169" i="1"/>
  <c r="AP1168" i="1"/>
  <c r="AO1168" i="1"/>
  <c r="AP1167" i="1"/>
  <c r="AO1167" i="1"/>
  <c r="AP1166" i="1"/>
  <c r="AO1166" i="1"/>
  <c r="AP1165" i="1"/>
  <c r="AO1165" i="1"/>
  <c r="AP1164" i="1"/>
  <c r="AO1164" i="1"/>
  <c r="AP1163" i="1"/>
  <c r="AO1163" i="1"/>
  <c r="AP1162" i="1"/>
  <c r="AO1162" i="1"/>
  <c r="AP1161" i="1"/>
  <c r="AO1161" i="1"/>
  <c r="AP1160" i="1"/>
  <c r="AO1160" i="1"/>
  <c r="AP1159" i="1"/>
  <c r="AO1159" i="1"/>
  <c r="AP1158" i="1"/>
  <c r="AO1158" i="1"/>
  <c r="AP1157" i="1"/>
  <c r="AO1157" i="1"/>
  <c r="AP1156" i="1"/>
  <c r="AO1156" i="1"/>
  <c r="AP1155" i="1"/>
  <c r="AO1155" i="1"/>
  <c r="AP1154" i="1"/>
  <c r="AO1154" i="1"/>
  <c r="AP1153" i="1"/>
  <c r="AO1153" i="1"/>
  <c r="AP1152" i="1"/>
  <c r="AO1152" i="1"/>
  <c r="AP1151" i="1"/>
  <c r="AO1151" i="1"/>
  <c r="AP1150" i="1"/>
  <c r="AO1150" i="1"/>
  <c r="AP1149" i="1"/>
  <c r="AO1149" i="1"/>
  <c r="AP1148" i="1"/>
  <c r="AO1148" i="1"/>
  <c r="AP1147" i="1"/>
  <c r="AO1147" i="1"/>
  <c r="AP1146" i="1"/>
  <c r="AO1146" i="1"/>
  <c r="AP1145" i="1"/>
  <c r="AO1145" i="1"/>
  <c r="AP1144" i="1"/>
  <c r="AO1144" i="1"/>
  <c r="AP1143" i="1"/>
  <c r="AO1143" i="1"/>
  <c r="AP1142" i="1"/>
  <c r="AO1142" i="1"/>
  <c r="AP1141" i="1"/>
  <c r="AO1141" i="1"/>
  <c r="AP1140" i="1"/>
  <c r="AO1140" i="1"/>
  <c r="AP1139" i="1"/>
  <c r="AO1139" i="1"/>
  <c r="AP1138" i="1"/>
  <c r="AO1138" i="1"/>
  <c r="AP1137" i="1"/>
  <c r="AO1137" i="1"/>
  <c r="AP1136" i="1"/>
  <c r="AO1136" i="1"/>
  <c r="AP1135" i="1"/>
  <c r="AO1135" i="1"/>
  <c r="AP1134" i="1"/>
  <c r="AO1134" i="1"/>
  <c r="AP1133" i="1"/>
  <c r="AO1133" i="1"/>
  <c r="AP1132" i="1"/>
  <c r="AO1132" i="1"/>
  <c r="AP1131" i="1"/>
  <c r="AO1131" i="1"/>
  <c r="AP1130" i="1"/>
  <c r="AO1130" i="1"/>
  <c r="AP1129" i="1"/>
  <c r="AO1129" i="1"/>
  <c r="AP1128" i="1"/>
  <c r="AO1128" i="1"/>
  <c r="AP1127" i="1"/>
  <c r="AO1127" i="1"/>
  <c r="AP1126" i="1"/>
  <c r="AO1126" i="1"/>
  <c r="AP1125" i="1"/>
  <c r="AO1125" i="1"/>
  <c r="AP1124" i="1"/>
  <c r="AO1124" i="1"/>
  <c r="AP1123" i="1"/>
  <c r="AO1123" i="1"/>
  <c r="AP1122" i="1"/>
  <c r="AO1122" i="1"/>
  <c r="AP1121" i="1"/>
  <c r="AO1121" i="1"/>
  <c r="AP1120" i="1"/>
  <c r="AO1120" i="1"/>
  <c r="AP1119" i="1"/>
  <c r="AO1119" i="1"/>
  <c r="AP1118" i="1"/>
  <c r="AO1118" i="1"/>
  <c r="AP1117" i="1"/>
  <c r="AO1117" i="1"/>
  <c r="AP1116" i="1"/>
  <c r="AO1116" i="1"/>
  <c r="AP1115" i="1"/>
  <c r="AO1115" i="1"/>
  <c r="AP1114" i="1"/>
  <c r="AO1114" i="1"/>
  <c r="AP1113" i="1"/>
  <c r="AO1113" i="1"/>
  <c r="AP1112" i="1"/>
  <c r="AO1112" i="1"/>
  <c r="AP1111" i="1"/>
  <c r="AO1111" i="1"/>
  <c r="AP1110" i="1"/>
  <c r="AO1110" i="1"/>
  <c r="AP1109" i="1"/>
  <c r="AO1109" i="1"/>
  <c r="AP1108" i="1"/>
  <c r="AO1108" i="1"/>
  <c r="AP1107" i="1"/>
  <c r="AO1107" i="1"/>
  <c r="AP1106" i="1"/>
  <c r="AO1106" i="1"/>
  <c r="AP1105" i="1"/>
  <c r="AO1105" i="1"/>
  <c r="AP1104" i="1"/>
  <c r="AO1104" i="1"/>
  <c r="AP1103" i="1"/>
  <c r="AO1103" i="1"/>
  <c r="AP1102" i="1"/>
  <c r="AO1102" i="1"/>
  <c r="AP1101" i="1"/>
  <c r="AO1101" i="1"/>
  <c r="AP1100" i="1"/>
  <c r="AO1100" i="1"/>
  <c r="AP1099" i="1"/>
  <c r="AO1099" i="1"/>
  <c r="AP1098" i="1"/>
  <c r="AO1098" i="1"/>
  <c r="AP1097" i="1"/>
  <c r="AO1097" i="1"/>
  <c r="AP1096" i="1"/>
  <c r="AO1096" i="1"/>
  <c r="AP1095" i="1"/>
  <c r="AO1095" i="1"/>
  <c r="AP1094" i="1"/>
  <c r="AO1094" i="1"/>
  <c r="AP1093" i="1"/>
  <c r="AO1093" i="1"/>
  <c r="AP1092" i="1"/>
  <c r="AO1092" i="1"/>
  <c r="AP1091" i="1"/>
  <c r="AO1091" i="1"/>
  <c r="AP1090" i="1"/>
  <c r="AO1090" i="1"/>
  <c r="AP1089" i="1"/>
  <c r="AO1089" i="1"/>
  <c r="AP1088" i="1"/>
  <c r="AO1088" i="1"/>
  <c r="AP1087" i="1"/>
  <c r="AO1087" i="1"/>
  <c r="AP1086" i="1"/>
  <c r="AO1086" i="1"/>
  <c r="AP1085" i="1"/>
  <c r="AO1085" i="1"/>
  <c r="AP1084" i="1"/>
  <c r="AO1084" i="1"/>
  <c r="AP1083" i="1"/>
  <c r="AO1083" i="1"/>
  <c r="AP1082" i="1"/>
  <c r="AO1082" i="1"/>
  <c r="AP1081" i="1"/>
  <c r="AO1081" i="1"/>
  <c r="AP1080" i="1"/>
  <c r="AO1080" i="1"/>
  <c r="AP1079" i="1"/>
  <c r="AO1079" i="1"/>
  <c r="AP1078" i="1"/>
  <c r="AO1078" i="1"/>
  <c r="AP1077" i="1"/>
  <c r="AO1077" i="1"/>
  <c r="AP1076" i="1"/>
  <c r="AO1076" i="1"/>
  <c r="AP1075" i="1"/>
  <c r="AO1075" i="1"/>
  <c r="AP1074" i="1"/>
  <c r="AO1074" i="1"/>
  <c r="AP1073" i="1"/>
  <c r="AO1073" i="1"/>
  <c r="AP1072" i="1"/>
  <c r="AO1072" i="1"/>
  <c r="AP1071" i="1"/>
  <c r="AO1071" i="1"/>
  <c r="AP1070" i="1"/>
  <c r="AO1070" i="1"/>
  <c r="AP1069" i="1"/>
  <c r="AO1069" i="1"/>
  <c r="AP1068" i="1"/>
  <c r="AO1068" i="1"/>
  <c r="AP1067" i="1"/>
  <c r="AO1067" i="1"/>
  <c r="AP1066" i="1"/>
  <c r="AO1066" i="1"/>
  <c r="AP1065" i="1"/>
  <c r="AO1065" i="1"/>
  <c r="AP1064" i="1"/>
  <c r="AO1064" i="1"/>
  <c r="AP1063" i="1"/>
  <c r="AO1063" i="1"/>
  <c r="AP1062" i="1"/>
  <c r="AO1062" i="1"/>
  <c r="AP1061" i="1"/>
  <c r="AO1061" i="1"/>
  <c r="AP1060" i="1"/>
  <c r="AO1060" i="1"/>
  <c r="AP1059" i="1"/>
  <c r="AO1059" i="1"/>
  <c r="AP1058" i="1"/>
  <c r="AO1058" i="1"/>
  <c r="AP1057" i="1"/>
  <c r="AO1057" i="1"/>
  <c r="AP1056" i="1"/>
  <c r="AO1056" i="1"/>
  <c r="AP1055" i="1"/>
  <c r="AO1055" i="1"/>
  <c r="AP1054" i="1"/>
  <c r="AO1054" i="1"/>
  <c r="AP1053" i="1"/>
  <c r="AO1053" i="1"/>
  <c r="AP1052" i="1"/>
  <c r="AO1052" i="1"/>
  <c r="AP1051" i="1"/>
  <c r="AO1051" i="1"/>
  <c r="AP1050" i="1"/>
  <c r="AO1050" i="1"/>
  <c r="AP1049" i="1"/>
  <c r="AO1049" i="1"/>
  <c r="AP1048" i="1"/>
  <c r="AO1048" i="1"/>
  <c r="AP1047" i="1"/>
  <c r="AO1047" i="1"/>
  <c r="AP1046" i="1"/>
  <c r="AO1046" i="1"/>
  <c r="AP1045" i="1"/>
  <c r="AO1045" i="1"/>
  <c r="AP1044" i="1"/>
  <c r="AO1044" i="1"/>
  <c r="AP1043" i="1"/>
  <c r="AO1043" i="1"/>
  <c r="AP1042" i="1"/>
  <c r="AO1042" i="1"/>
  <c r="AP1041" i="1"/>
  <c r="AO1041" i="1"/>
  <c r="AP1040" i="1"/>
  <c r="AO1040" i="1"/>
  <c r="AP1039" i="1"/>
  <c r="AO1039" i="1"/>
  <c r="AP1038" i="1"/>
  <c r="AO1038" i="1"/>
  <c r="AP1037" i="1"/>
  <c r="AO1037" i="1"/>
  <c r="AP1036" i="1"/>
  <c r="AO1036" i="1"/>
  <c r="AP1035" i="1"/>
  <c r="AO1035" i="1"/>
  <c r="AP1034" i="1"/>
  <c r="AO1034" i="1"/>
  <c r="AP1033" i="1"/>
  <c r="AO1033" i="1"/>
  <c r="AP1032" i="1"/>
  <c r="AO1032" i="1"/>
  <c r="AP1031" i="1"/>
  <c r="AO1031" i="1"/>
  <c r="AP1030" i="1"/>
  <c r="AO1030" i="1"/>
  <c r="AP1029" i="1"/>
  <c r="AO1029" i="1"/>
  <c r="AP1028" i="1"/>
  <c r="AO1028" i="1"/>
  <c r="AP1027" i="1"/>
  <c r="AO1027" i="1"/>
  <c r="AP1026" i="1"/>
  <c r="AO1026" i="1"/>
  <c r="AP1025" i="1"/>
  <c r="AO1025" i="1"/>
  <c r="AP1024" i="1"/>
  <c r="AO1024" i="1"/>
  <c r="AP1023" i="1"/>
  <c r="AO1023" i="1"/>
  <c r="AP1022" i="1"/>
  <c r="AO1022" i="1"/>
  <c r="AP1021" i="1"/>
  <c r="AO1021" i="1"/>
  <c r="AP1020" i="1"/>
  <c r="AO1020" i="1"/>
  <c r="AP1019" i="1"/>
  <c r="AO1019" i="1"/>
  <c r="AP1018" i="1"/>
  <c r="AO1018" i="1"/>
  <c r="AP1017" i="1"/>
  <c r="AO1017" i="1"/>
  <c r="AP1016" i="1"/>
  <c r="AO1016" i="1"/>
  <c r="AP1015" i="1"/>
  <c r="AO1015" i="1"/>
  <c r="AP1014" i="1"/>
  <c r="AO1014" i="1"/>
  <c r="AP1013" i="1"/>
  <c r="AO1013" i="1"/>
  <c r="AP1012" i="1"/>
  <c r="AO1012" i="1"/>
  <c r="AP1011" i="1"/>
  <c r="AO1011" i="1"/>
  <c r="AP1010" i="1"/>
  <c r="AO1010" i="1"/>
  <c r="AP1009" i="1"/>
  <c r="AO1009" i="1"/>
  <c r="AP1008" i="1"/>
  <c r="AO1008" i="1"/>
  <c r="AP1007" i="1"/>
  <c r="AO1007" i="1"/>
  <c r="AP1006" i="1"/>
  <c r="AO1006" i="1"/>
  <c r="AP1005" i="1"/>
  <c r="AO1005" i="1"/>
  <c r="AP1004" i="1"/>
  <c r="AO1004" i="1"/>
  <c r="AP1003" i="1"/>
  <c r="AO1003" i="1"/>
  <c r="AP1002" i="1"/>
  <c r="AO1002" i="1"/>
  <c r="AP1001" i="1"/>
  <c r="AO1001" i="1"/>
  <c r="AP1000" i="1"/>
  <c r="AO1000" i="1"/>
  <c r="AP999" i="1"/>
  <c r="AO999" i="1"/>
  <c r="AP998" i="1"/>
  <c r="AO998" i="1"/>
  <c r="AP997" i="1"/>
  <c r="AO997" i="1"/>
  <c r="AP996" i="1"/>
  <c r="AO996" i="1"/>
  <c r="AP995" i="1"/>
  <c r="AO995" i="1"/>
  <c r="AP994" i="1"/>
  <c r="AO994" i="1"/>
  <c r="AP993" i="1"/>
  <c r="AO993" i="1"/>
  <c r="AP992" i="1"/>
  <c r="AO992" i="1"/>
  <c r="AP991" i="1"/>
  <c r="AO991" i="1"/>
  <c r="AP990" i="1"/>
  <c r="AO990" i="1"/>
  <c r="AP989" i="1"/>
  <c r="AO989" i="1"/>
  <c r="AP988" i="1"/>
  <c r="AO988" i="1"/>
  <c r="AP987" i="1"/>
  <c r="AO987" i="1"/>
  <c r="AP986" i="1"/>
  <c r="AO986" i="1"/>
  <c r="AP985" i="1"/>
  <c r="AO985" i="1"/>
  <c r="AP984" i="1"/>
  <c r="AO984" i="1"/>
  <c r="AP983" i="1"/>
  <c r="AO983" i="1"/>
  <c r="AP982" i="1"/>
  <c r="AO982" i="1"/>
  <c r="AP981" i="1"/>
  <c r="AO981" i="1"/>
  <c r="AP980" i="1"/>
  <c r="AO980" i="1"/>
  <c r="AP979" i="1"/>
  <c r="AO979" i="1"/>
  <c r="AP978" i="1"/>
  <c r="AO978" i="1"/>
  <c r="AP977" i="1"/>
  <c r="AO977" i="1"/>
  <c r="AP976" i="1"/>
  <c r="AO976" i="1"/>
  <c r="AP975" i="1"/>
  <c r="AO975" i="1"/>
  <c r="AP974" i="1"/>
  <c r="AO974" i="1"/>
  <c r="AP973" i="1"/>
  <c r="AO973" i="1"/>
  <c r="AP972" i="1"/>
  <c r="AO972" i="1"/>
  <c r="AP971" i="1"/>
  <c r="AO971" i="1"/>
  <c r="AP970" i="1"/>
  <c r="AO970" i="1"/>
  <c r="AP969" i="1"/>
  <c r="AO969" i="1"/>
  <c r="AP968" i="1"/>
  <c r="AO968" i="1"/>
  <c r="AP967" i="1"/>
  <c r="AO967" i="1"/>
  <c r="AP966" i="1"/>
  <c r="AO966" i="1"/>
  <c r="AP965" i="1"/>
  <c r="AO965" i="1"/>
  <c r="AP964" i="1"/>
  <c r="AO964" i="1"/>
  <c r="AP963" i="1"/>
  <c r="AO963" i="1"/>
  <c r="AP962" i="1"/>
  <c r="AO962" i="1"/>
  <c r="AP961" i="1"/>
  <c r="AO961" i="1"/>
  <c r="AP960" i="1"/>
  <c r="AO960" i="1"/>
  <c r="AP959" i="1"/>
  <c r="AO959" i="1"/>
  <c r="AP958" i="1"/>
  <c r="AO958" i="1"/>
  <c r="AP957" i="1"/>
  <c r="AO957" i="1"/>
  <c r="AP956" i="1"/>
  <c r="AO956" i="1"/>
  <c r="AP955" i="1"/>
  <c r="AO955" i="1"/>
  <c r="AP954" i="1"/>
  <c r="AO954" i="1"/>
  <c r="AP953" i="1"/>
  <c r="AO953" i="1"/>
  <c r="AP952" i="1"/>
  <c r="AO952" i="1"/>
  <c r="AP951" i="1"/>
  <c r="AO951" i="1"/>
  <c r="AP950" i="1"/>
  <c r="AO950" i="1"/>
  <c r="AP949" i="1"/>
  <c r="AO949" i="1"/>
  <c r="AP948" i="1"/>
  <c r="AO948" i="1"/>
  <c r="AP947" i="1"/>
  <c r="AO947" i="1"/>
  <c r="AP946" i="1"/>
  <c r="AO946" i="1"/>
  <c r="AP945" i="1"/>
  <c r="AO945" i="1"/>
  <c r="AP944" i="1"/>
  <c r="AO944" i="1"/>
  <c r="AP943" i="1"/>
  <c r="AO943" i="1"/>
  <c r="AP942" i="1"/>
  <c r="AO942" i="1"/>
  <c r="AP941" i="1"/>
  <c r="AO941" i="1"/>
  <c r="AP940" i="1"/>
  <c r="AO940" i="1"/>
  <c r="AP939" i="1"/>
  <c r="AO939" i="1"/>
  <c r="AP938" i="1"/>
  <c r="AO938" i="1"/>
  <c r="AP937" i="1"/>
  <c r="AO937" i="1"/>
  <c r="AP936" i="1"/>
  <c r="AO936" i="1"/>
  <c r="AP935" i="1"/>
  <c r="AO935" i="1"/>
  <c r="AP934" i="1"/>
  <c r="AO934" i="1"/>
  <c r="AP933" i="1"/>
  <c r="AO933" i="1"/>
  <c r="AP932" i="1"/>
  <c r="AO932" i="1"/>
  <c r="AP931" i="1"/>
  <c r="AO931" i="1"/>
  <c r="AP930" i="1"/>
  <c r="AO930" i="1"/>
  <c r="AP929" i="1"/>
  <c r="AO929" i="1"/>
  <c r="AP928" i="1"/>
  <c r="AO928" i="1"/>
  <c r="AP927" i="1"/>
  <c r="AO927" i="1"/>
  <c r="AP926" i="1"/>
  <c r="AO926" i="1"/>
  <c r="AP925" i="1"/>
  <c r="AO925" i="1"/>
  <c r="AP924" i="1"/>
  <c r="AO924" i="1"/>
  <c r="AP923" i="1"/>
  <c r="AO923" i="1"/>
  <c r="AP922" i="1"/>
  <c r="AO922" i="1"/>
  <c r="AP921" i="1"/>
  <c r="AO921" i="1"/>
  <c r="AP920" i="1"/>
  <c r="AO920" i="1"/>
  <c r="AP919" i="1"/>
  <c r="AO919" i="1"/>
  <c r="AP918" i="1"/>
  <c r="AO918" i="1"/>
  <c r="AP917" i="1"/>
  <c r="AO917" i="1"/>
  <c r="AP916" i="1"/>
  <c r="AO916" i="1"/>
  <c r="AP915" i="1"/>
  <c r="AO915" i="1"/>
  <c r="AP914" i="1"/>
  <c r="AO914" i="1"/>
  <c r="AP913" i="1"/>
  <c r="AO913" i="1"/>
  <c r="AP912" i="1"/>
  <c r="AO912" i="1"/>
  <c r="AP911" i="1"/>
  <c r="AO911" i="1"/>
  <c r="AP910" i="1"/>
  <c r="AO910" i="1"/>
  <c r="AP909" i="1"/>
  <c r="AO909" i="1"/>
  <c r="AP908" i="1"/>
  <c r="AO908" i="1"/>
  <c r="AP907" i="1"/>
  <c r="AO907" i="1"/>
  <c r="AP906" i="1"/>
  <c r="AO906" i="1"/>
  <c r="AP905" i="1"/>
  <c r="AO905" i="1"/>
  <c r="AP904" i="1"/>
  <c r="AO904" i="1"/>
  <c r="AP903" i="1"/>
  <c r="AO903" i="1"/>
  <c r="AP902" i="1"/>
  <c r="AO902" i="1"/>
  <c r="AP901" i="1"/>
  <c r="AO901" i="1"/>
  <c r="AP900" i="1"/>
  <c r="AO900" i="1"/>
  <c r="AP899" i="1"/>
  <c r="AO899" i="1"/>
  <c r="AP898" i="1"/>
  <c r="AO898" i="1"/>
  <c r="AP897" i="1"/>
  <c r="AO897" i="1"/>
  <c r="AP896" i="1"/>
  <c r="AO896" i="1"/>
  <c r="AP895" i="1"/>
  <c r="AO895" i="1"/>
  <c r="AP894" i="1"/>
  <c r="AO894" i="1"/>
  <c r="AP893" i="1"/>
  <c r="AO893" i="1"/>
  <c r="AP892" i="1"/>
  <c r="AO892" i="1"/>
  <c r="AP891" i="1"/>
  <c r="AO891" i="1"/>
  <c r="AP890" i="1"/>
  <c r="AO890" i="1"/>
  <c r="AP889" i="1"/>
  <c r="AO889" i="1"/>
  <c r="AP888" i="1"/>
  <c r="AO888" i="1"/>
  <c r="AP887" i="1"/>
  <c r="AO887" i="1"/>
  <c r="AP886" i="1"/>
  <c r="AO886" i="1"/>
  <c r="AP885" i="1"/>
  <c r="AO885" i="1"/>
  <c r="AP884" i="1"/>
  <c r="AO884" i="1"/>
  <c r="AP883" i="1"/>
  <c r="AO883" i="1"/>
  <c r="AP882" i="1"/>
  <c r="AO882" i="1"/>
  <c r="AP881" i="1"/>
  <c r="AO881" i="1"/>
  <c r="AP880" i="1"/>
  <c r="AO880" i="1"/>
  <c r="AP879" i="1"/>
  <c r="AO879" i="1"/>
  <c r="AP878" i="1"/>
  <c r="AO878" i="1"/>
  <c r="AP877" i="1"/>
  <c r="AO877" i="1"/>
  <c r="AP876" i="1"/>
  <c r="AO876" i="1"/>
  <c r="AP875" i="1"/>
  <c r="AO875" i="1"/>
  <c r="AP874" i="1"/>
  <c r="AO874" i="1"/>
  <c r="AP873" i="1"/>
  <c r="AO873" i="1"/>
  <c r="AP872" i="1"/>
  <c r="AO872" i="1"/>
  <c r="AP871" i="1"/>
  <c r="AO871" i="1"/>
  <c r="AP870" i="1"/>
  <c r="AO870" i="1"/>
  <c r="AP869" i="1"/>
  <c r="AO869" i="1"/>
  <c r="AP868" i="1"/>
  <c r="AO868" i="1"/>
  <c r="AP867" i="1"/>
  <c r="AO867" i="1"/>
  <c r="AP866" i="1"/>
  <c r="AO866" i="1"/>
  <c r="AP865" i="1"/>
  <c r="AO865" i="1"/>
  <c r="AP864" i="1"/>
  <c r="AO864" i="1"/>
  <c r="AP863" i="1"/>
  <c r="AO863" i="1"/>
  <c r="AP862" i="1"/>
  <c r="AO862" i="1"/>
  <c r="AP861" i="1"/>
  <c r="AO861" i="1"/>
  <c r="AP860" i="1"/>
  <c r="AO860" i="1"/>
  <c r="AP859" i="1"/>
  <c r="AO859" i="1"/>
  <c r="AP858" i="1"/>
  <c r="AO858" i="1"/>
  <c r="AP857" i="1"/>
  <c r="AO857" i="1"/>
  <c r="AP856" i="1"/>
  <c r="AO856" i="1"/>
  <c r="AP855" i="1"/>
  <c r="AO855" i="1"/>
  <c r="AP854" i="1"/>
  <c r="AO854" i="1"/>
  <c r="AP853" i="1"/>
  <c r="AO853" i="1"/>
  <c r="AP852" i="1"/>
  <c r="AO852" i="1"/>
  <c r="AP851" i="1"/>
  <c r="AO851" i="1"/>
  <c r="AP850" i="1"/>
  <c r="AO850" i="1"/>
  <c r="AP849" i="1"/>
  <c r="AO849" i="1"/>
  <c r="AP848" i="1"/>
  <c r="AO848" i="1"/>
  <c r="AP847" i="1"/>
  <c r="AO847" i="1"/>
  <c r="AP846" i="1"/>
  <c r="AO846" i="1"/>
  <c r="AP845" i="1"/>
  <c r="AO845" i="1"/>
  <c r="AP844" i="1"/>
  <c r="AO844" i="1"/>
  <c r="AP843" i="1"/>
  <c r="AO843" i="1"/>
  <c r="AP842" i="1"/>
  <c r="AO842" i="1"/>
  <c r="AP841" i="1"/>
  <c r="AO841" i="1"/>
  <c r="AP840" i="1"/>
  <c r="AO840" i="1"/>
  <c r="AP839" i="1"/>
  <c r="AO839" i="1"/>
  <c r="AP838" i="1"/>
  <c r="AO838" i="1"/>
  <c r="AP837" i="1"/>
  <c r="AO837" i="1"/>
  <c r="AP836" i="1"/>
  <c r="AO836" i="1"/>
  <c r="AP835" i="1"/>
  <c r="AO835" i="1"/>
  <c r="AP834" i="1"/>
  <c r="AO834" i="1"/>
  <c r="AP833" i="1"/>
  <c r="AO833" i="1"/>
  <c r="AP832" i="1"/>
  <c r="AO832" i="1"/>
  <c r="AP831" i="1"/>
  <c r="AO831" i="1"/>
  <c r="AP830" i="1"/>
  <c r="AO830" i="1"/>
  <c r="AP829" i="1"/>
  <c r="AO829" i="1"/>
  <c r="AP828" i="1"/>
  <c r="AO828" i="1"/>
  <c r="AP827" i="1"/>
  <c r="AO827" i="1"/>
  <c r="AP826" i="1"/>
  <c r="AO826" i="1"/>
  <c r="AP825" i="1"/>
  <c r="AO825" i="1"/>
  <c r="AP824" i="1"/>
  <c r="AO824" i="1"/>
  <c r="AP823" i="1"/>
  <c r="AO823" i="1"/>
  <c r="AP822" i="1"/>
  <c r="AO822" i="1"/>
  <c r="AP821" i="1"/>
  <c r="AO821" i="1"/>
  <c r="AP820" i="1"/>
  <c r="AO820" i="1"/>
  <c r="AP819" i="1"/>
  <c r="AO819" i="1"/>
  <c r="AP818" i="1"/>
  <c r="AO818" i="1"/>
  <c r="AP817" i="1"/>
  <c r="AO817" i="1"/>
  <c r="AP816" i="1"/>
  <c r="AO816" i="1"/>
  <c r="AP815" i="1"/>
  <c r="AO815" i="1"/>
  <c r="AP814" i="1"/>
  <c r="AO814" i="1"/>
  <c r="AP813" i="1"/>
  <c r="AO813" i="1"/>
  <c r="AP812" i="1"/>
  <c r="AO812" i="1"/>
  <c r="AP811" i="1"/>
  <c r="AO811" i="1"/>
  <c r="AP810" i="1"/>
  <c r="AO810" i="1"/>
  <c r="AP809" i="1"/>
  <c r="AO809" i="1"/>
  <c r="AP808" i="1"/>
  <c r="AO808" i="1"/>
  <c r="AP807" i="1"/>
  <c r="AO807" i="1"/>
  <c r="AP806" i="1"/>
  <c r="AO806" i="1"/>
  <c r="AP805" i="1"/>
  <c r="AO805" i="1"/>
  <c r="AP804" i="1"/>
  <c r="AO804" i="1"/>
  <c r="AP803" i="1"/>
  <c r="AO803" i="1"/>
  <c r="AP802" i="1"/>
  <c r="AO802" i="1"/>
  <c r="AP801" i="1"/>
  <c r="AO801" i="1"/>
  <c r="AP800" i="1"/>
  <c r="AO800" i="1"/>
  <c r="AP799" i="1"/>
  <c r="AO799" i="1"/>
  <c r="AP798" i="1"/>
  <c r="AO798" i="1"/>
  <c r="AP797" i="1"/>
  <c r="AO797" i="1"/>
  <c r="AP796" i="1"/>
  <c r="AO796" i="1"/>
  <c r="AP795" i="1"/>
  <c r="AO795" i="1"/>
  <c r="AP794" i="1"/>
  <c r="AO794" i="1"/>
  <c r="AP793" i="1"/>
  <c r="AO793" i="1"/>
  <c r="AP792" i="1"/>
  <c r="AO792" i="1"/>
  <c r="AP791" i="1"/>
  <c r="AO791" i="1"/>
  <c r="AP790" i="1"/>
  <c r="AO790" i="1"/>
  <c r="AP789" i="1"/>
  <c r="AO789" i="1"/>
  <c r="AP788" i="1"/>
  <c r="AO788" i="1"/>
  <c r="AP787" i="1"/>
  <c r="AO787" i="1"/>
  <c r="AP786" i="1"/>
  <c r="AO786" i="1"/>
  <c r="AP785" i="1"/>
  <c r="AO785" i="1"/>
  <c r="AP784" i="1"/>
  <c r="AO784" i="1"/>
  <c r="AP783" i="1"/>
  <c r="AO783" i="1"/>
  <c r="AP782" i="1"/>
  <c r="AO782" i="1"/>
  <c r="AP781" i="1"/>
  <c r="AO781" i="1"/>
  <c r="AP780" i="1"/>
  <c r="AO780" i="1"/>
  <c r="AP779" i="1"/>
  <c r="AO779" i="1"/>
  <c r="AP778" i="1"/>
  <c r="AO778" i="1"/>
  <c r="AP777" i="1"/>
  <c r="AO777" i="1"/>
  <c r="AP776" i="1"/>
  <c r="AO776" i="1"/>
  <c r="AP775" i="1"/>
  <c r="AO775" i="1"/>
  <c r="AP774" i="1"/>
  <c r="AO774" i="1"/>
  <c r="AP773" i="1"/>
  <c r="AO773" i="1"/>
  <c r="AP772" i="1"/>
  <c r="AO772" i="1"/>
  <c r="AP771" i="1"/>
  <c r="AO771" i="1"/>
  <c r="AP770" i="1"/>
  <c r="AO770" i="1"/>
  <c r="AP769" i="1"/>
  <c r="AO769" i="1"/>
  <c r="AP768" i="1"/>
  <c r="AO768" i="1"/>
  <c r="AP767" i="1"/>
  <c r="AO767" i="1"/>
  <c r="AP766" i="1"/>
  <c r="AO766" i="1"/>
  <c r="AP765" i="1"/>
  <c r="AO765" i="1"/>
  <c r="AP764" i="1"/>
  <c r="AO764" i="1"/>
  <c r="AP763" i="1"/>
  <c r="AO763" i="1"/>
  <c r="AP762" i="1"/>
  <c r="AO762" i="1"/>
  <c r="AP761" i="1"/>
  <c r="AO761" i="1"/>
  <c r="AP760" i="1"/>
  <c r="AO760" i="1"/>
  <c r="AP759" i="1"/>
  <c r="AO759" i="1"/>
  <c r="AP758" i="1"/>
  <c r="AO758" i="1"/>
  <c r="AP757" i="1"/>
  <c r="AO757" i="1"/>
  <c r="AP756" i="1"/>
  <c r="AO756" i="1"/>
  <c r="AP755" i="1"/>
  <c r="AO755" i="1"/>
  <c r="AP754" i="1"/>
  <c r="AO754" i="1"/>
  <c r="AP753" i="1"/>
  <c r="AO753" i="1"/>
  <c r="AP752" i="1"/>
  <c r="AO752" i="1"/>
  <c r="AP751" i="1"/>
  <c r="AO751" i="1"/>
  <c r="AP750" i="1"/>
  <c r="AO750" i="1"/>
  <c r="AP749" i="1"/>
  <c r="AO749" i="1"/>
  <c r="AP748" i="1"/>
  <c r="AO748" i="1"/>
  <c r="AP747" i="1"/>
  <c r="AO747" i="1"/>
  <c r="AP746" i="1"/>
  <c r="AO746" i="1"/>
  <c r="AP745" i="1"/>
  <c r="AO745" i="1"/>
  <c r="AP744" i="1"/>
  <c r="AO744" i="1"/>
  <c r="AP743" i="1"/>
  <c r="AO743" i="1"/>
  <c r="AP742" i="1"/>
  <c r="AO742" i="1"/>
  <c r="AP741" i="1"/>
  <c r="AO741" i="1"/>
  <c r="AP740" i="1"/>
  <c r="AO740" i="1"/>
  <c r="AP739" i="1"/>
  <c r="AO739" i="1"/>
  <c r="AP738" i="1"/>
  <c r="AO738" i="1"/>
  <c r="AP737" i="1"/>
  <c r="AO737" i="1"/>
  <c r="AP736" i="1"/>
  <c r="AO736" i="1"/>
  <c r="AP735" i="1"/>
  <c r="AO735" i="1"/>
  <c r="AP734" i="1"/>
  <c r="AO734" i="1"/>
  <c r="AP733" i="1"/>
  <c r="AO733" i="1"/>
  <c r="AP732" i="1"/>
  <c r="AO732" i="1"/>
  <c r="AP731" i="1"/>
  <c r="AO731" i="1"/>
  <c r="AP730" i="1"/>
  <c r="AO730" i="1"/>
  <c r="AP729" i="1"/>
  <c r="AO729" i="1"/>
  <c r="AP728" i="1"/>
  <c r="AO728" i="1"/>
  <c r="AP727" i="1"/>
  <c r="AO727" i="1"/>
  <c r="AP726" i="1"/>
  <c r="AO726" i="1"/>
  <c r="AP725" i="1"/>
  <c r="AO725" i="1"/>
  <c r="AP724" i="1"/>
  <c r="AO724" i="1"/>
  <c r="AP723" i="1"/>
  <c r="AO723" i="1"/>
  <c r="AP722" i="1"/>
  <c r="AO722" i="1"/>
  <c r="AP721" i="1"/>
  <c r="AO721" i="1"/>
  <c r="AP720" i="1"/>
  <c r="AO720" i="1"/>
  <c r="AP719" i="1"/>
  <c r="AO719" i="1"/>
  <c r="AP718" i="1"/>
  <c r="AO718" i="1"/>
  <c r="AP717" i="1"/>
  <c r="AO717" i="1"/>
  <c r="AP716" i="1"/>
  <c r="AO716" i="1"/>
  <c r="AP715" i="1"/>
  <c r="AO715" i="1"/>
  <c r="AP714" i="1"/>
  <c r="AO714" i="1"/>
  <c r="AP713" i="1"/>
  <c r="AO713" i="1"/>
  <c r="AP712" i="1"/>
  <c r="AO712" i="1"/>
  <c r="AP711" i="1"/>
  <c r="AO711" i="1"/>
  <c r="AP710" i="1"/>
  <c r="AO710" i="1"/>
  <c r="AP709" i="1"/>
  <c r="AO709" i="1"/>
  <c r="AP708" i="1"/>
  <c r="AO708" i="1"/>
  <c r="AP707" i="1"/>
  <c r="AO707" i="1"/>
  <c r="AP706" i="1"/>
  <c r="AO706" i="1"/>
  <c r="AP705" i="1"/>
  <c r="AO705" i="1"/>
  <c r="AP704" i="1"/>
  <c r="AO704" i="1"/>
  <c r="AP703" i="1"/>
  <c r="AO703" i="1"/>
  <c r="AP702" i="1"/>
  <c r="AO702" i="1"/>
  <c r="AP701" i="1"/>
  <c r="AO701" i="1"/>
  <c r="AP700" i="1"/>
  <c r="AO700" i="1"/>
  <c r="AP699" i="1"/>
  <c r="AO699" i="1"/>
  <c r="AP698" i="1"/>
  <c r="AO698" i="1"/>
  <c r="AP697" i="1"/>
  <c r="AO697" i="1"/>
  <c r="AP696" i="1"/>
  <c r="AO696" i="1"/>
  <c r="AP695" i="1"/>
  <c r="AO695" i="1"/>
  <c r="AP694" i="1"/>
  <c r="AO694" i="1"/>
  <c r="AP693" i="1"/>
  <c r="AO693" i="1"/>
  <c r="AP692" i="1"/>
  <c r="AO692" i="1"/>
  <c r="AP691" i="1"/>
  <c r="AO691" i="1"/>
  <c r="AP690" i="1"/>
  <c r="AO690" i="1"/>
  <c r="AP689" i="1"/>
  <c r="AO689" i="1"/>
  <c r="AP688" i="1"/>
  <c r="AO688" i="1"/>
  <c r="AP687" i="1"/>
  <c r="AO687" i="1"/>
  <c r="AP686" i="1"/>
  <c r="AO686" i="1"/>
  <c r="AP685" i="1"/>
  <c r="AO685" i="1"/>
  <c r="AP684" i="1"/>
  <c r="AO684" i="1"/>
  <c r="AP683" i="1"/>
  <c r="AO683" i="1"/>
  <c r="AP682" i="1"/>
  <c r="AO682" i="1"/>
  <c r="AP681" i="1"/>
  <c r="AO681" i="1"/>
  <c r="AP680" i="1"/>
  <c r="AO680" i="1"/>
  <c r="AP679" i="1"/>
  <c r="AO679" i="1"/>
  <c r="AP678" i="1"/>
  <c r="AO678" i="1"/>
  <c r="AP677" i="1"/>
  <c r="AO677" i="1"/>
  <c r="AP676" i="1"/>
  <c r="AO676" i="1"/>
  <c r="AP675" i="1"/>
  <c r="AO675" i="1"/>
  <c r="AP674" i="1"/>
  <c r="AO674" i="1"/>
  <c r="AP673" i="1"/>
  <c r="AO673" i="1"/>
  <c r="AP672" i="1"/>
  <c r="AO672" i="1"/>
  <c r="AP671" i="1"/>
  <c r="AO671" i="1"/>
  <c r="AP670" i="1"/>
  <c r="AO670" i="1"/>
  <c r="AP669" i="1"/>
  <c r="AO669" i="1"/>
  <c r="AP668" i="1"/>
  <c r="AO668" i="1"/>
  <c r="AP667" i="1"/>
  <c r="AO667" i="1"/>
  <c r="AP666" i="1"/>
  <c r="AO666" i="1"/>
  <c r="AP665" i="1"/>
  <c r="AO665" i="1"/>
  <c r="AP664" i="1"/>
  <c r="AO664" i="1"/>
  <c r="AP663" i="1"/>
  <c r="AO663" i="1"/>
  <c r="AP662" i="1"/>
  <c r="AO662" i="1"/>
  <c r="AP661" i="1"/>
  <c r="AO661" i="1"/>
  <c r="AP660" i="1"/>
  <c r="AO660" i="1"/>
  <c r="AP659" i="1"/>
  <c r="AO659" i="1"/>
  <c r="AP658" i="1"/>
  <c r="AO658" i="1"/>
  <c r="AP657" i="1"/>
  <c r="AO657" i="1"/>
  <c r="AP656" i="1"/>
  <c r="AO656" i="1"/>
  <c r="AP655" i="1"/>
  <c r="AO655" i="1"/>
  <c r="AP654" i="1"/>
  <c r="AO654" i="1"/>
  <c r="AP653" i="1"/>
  <c r="AO653" i="1"/>
  <c r="AP652" i="1"/>
  <c r="AO652" i="1"/>
  <c r="AP651" i="1"/>
  <c r="AO651" i="1"/>
  <c r="AP650" i="1"/>
  <c r="AO650" i="1"/>
  <c r="AP649" i="1"/>
  <c r="AO649" i="1"/>
  <c r="AP648" i="1"/>
  <c r="AO648" i="1"/>
  <c r="AP647" i="1"/>
  <c r="AO647" i="1"/>
  <c r="AP646" i="1"/>
  <c r="AO646" i="1"/>
  <c r="AP645" i="1"/>
  <c r="AO645" i="1"/>
  <c r="AP644" i="1"/>
  <c r="AO644" i="1"/>
  <c r="AP643" i="1"/>
  <c r="AO643" i="1"/>
  <c r="AP642" i="1"/>
  <c r="AO642" i="1"/>
  <c r="AP641" i="1"/>
  <c r="AO641" i="1"/>
  <c r="AP640" i="1"/>
  <c r="AO640" i="1"/>
  <c r="AP639" i="1"/>
  <c r="AO639" i="1"/>
  <c r="AP638" i="1"/>
  <c r="AO638" i="1"/>
  <c r="AP637" i="1"/>
  <c r="AO637" i="1"/>
  <c r="AP636" i="1"/>
  <c r="AO636" i="1"/>
  <c r="AP635" i="1"/>
  <c r="AO635" i="1"/>
  <c r="AP634" i="1"/>
  <c r="AO634" i="1"/>
  <c r="AP633" i="1"/>
  <c r="AO633" i="1"/>
  <c r="AP632" i="1"/>
  <c r="AO632" i="1"/>
  <c r="AP631" i="1"/>
  <c r="AO631" i="1"/>
  <c r="AP630" i="1"/>
  <c r="AO630" i="1"/>
  <c r="AP629" i="1"/>
  <c r="AO629" i="1"/>
  <c r="AP628" i="1"/>
  <c r="AO628" i="1"/>
  <c r="AP627" i="1"/>
  <c r="AO627" i="1"/>
  <c r="AP626" i="1"/>
  <c r="AO626" i="1"/>
  <c r="AP625" i="1"/>
  <c r="AO625" i="1"/>
  <c r="AP624" i="1"/>
  <c r="AO624" i="1"/>
  <c r="AP623" i="1"/>
  <c r="AO623" i="1"/>
  <c r="AP622" i="1"/>
  <c r="AO622" i="1"/>
  <c r="AP621" i="1"/>
  <c r="AO621" i="1"/>
  <c r="AP620" i="1"/>
  <c r="AO620" i="1"/>
  <c r="AP619" i="1"/>
  <c r="AO619" i="1"/>
  <c r="AP618" i="1"/>
  <c r="AO618" i="1"/>
  <c r="AP617" i="1"/>
  <c r="AO617" i="1"/>
  <c r="AP616" i="1"/>
  <c r="AO616" i="1"/>
  <c r="AP615" i="1"/>
  <c r="AO615" i="1"/>
  <c r="AP614" i="1"/>
  <c r="AO614" i="1"/>
  <c r="AP613" i="1"/>
  <c r="AO613" i="1"/>
  <c r="AP612" i="1"/>
  <c r="AO612" i="1"/>
  <c r="AP611" i="1"/>
  <c r="AO611" i="1"/>
  <c r="AP610" i="1"/>
  <c r="AO610" i="1"/>
  <c r="AP609" i="1"/>
  <c r="AO609" i="1"/>
  <c r="AP608" i="1"/>
  <c r="AO608" i="1"/>
  <c r="AP607" i="1"/>
  <c r="AO607" i="1"/>
  <c r="AP606" i="1"/>
  <c r="AO606" i="1"/>
  <c r="AP605" i="1"/>
  <c r="AO605" i="1"/>
  <c r="AP604" i="1"/>
  <c r="AO604" i="1"/>
  <c r="AP603" i="1"/>
  <c r="AO603" i="1"/>
  <c r="AP602" i="1"/>
  <c r="AO602" i="1"/>
  <c r="AP601" i="1"/>
  <c r="AO601" i="1"/>
  <c r="AP600" i="1"/>
  <c r="AO600" i="1"/>
  <c r="AP599" i="1"/>
  <c r="AO599" i="1"/>
  <c r="AP598" i="1"/>
  <c r="AO598" i="1"/>
  <c r="AP597" i="1"/>
  <c r="AO597" i="1"/>
  <c r="AP596" i="1"/>
  <c r="AO596" i="1"/>
  <c r="AP595" i="1"/>
  <c r="AO595" i="1"/>
  <c r="AP594" i="1"/>
  <c r="AO594" i="1"/>
  <c r="AP593" i="1"/>
  <c r="AO593" i="1"/>
  <c r="AP592" i="1"/>
  <c r="AO592" i="1"/>
  <c r="AP591" i="1"/>
  <c r="AO591" i="1"/>
  <c r="AP590" i="1"/>
  <c r="AO590" i="1"/>
  <c r="AP589" i="1"/>
  <c r="AO589" i="1"/>
  <c r="AP588" i="1"/>
  <c r="AO588" i="1"/>
  <c r="AP587" i="1"/>
  <c r="AO587" i="1"/>
  <c r="AP586" i="1"/>
  <c r="AO586" i="1"/>
  <c r="AP585" i="1"/>
  <c r="AO585" i="1"/>
  <c r="AP584" i="1"/>
  <c r="AO584" i="1"/>
  <c r="AP583" i="1"/>
  <c r="AO583" i="1"/>
  <c r="AP582" i="1"/>
  <c r="AO582" i="1"/>
  <c r="AP581" i="1"/>
  <c r="AO581" i="1"/>
  <c r="AP580" i="1"/>
  <c r="AO580" i="1"/>
  <c r="AP579" i="1"/>
  <c r="AO579" i="1"/>
  <c r="AP578" i="1"/>
  <c r="AO578" i="1"/>
  <c r="AP577" i="1"/>
  <c r="AO577" i="1"/>
  <c r="AP576" i="1"/>
  <c r="AO576" i="1"/>
  <c r="AP575" i="1"/>
  <c r="AO575" i="1"/>
  <c r="AP574" i="1"/>
  <c r="AO574" i="1"/>
  <c r="AP573" i="1"/>
  <c r="AO573" i="1"/>
  <c r="AP572" i="1"/>
  <c r="AO572" i="1"/>
  <c r="AP571" i="1"/>
  <c r="AO571" i="1"/>
  <c r="AP570" i="1"/>
  <c r="AO570" i="1"/>
  <c r="AP569" i="1"/>
  <c r="AO569" i="1"/>
  <c r="AP568" i="1"/>
  <c r="AO568" i="1"/>
  <c r="AP567" i="1"/>
  <c r="AO567" i="1"/>
  <c r="AP566" i="1"/>
  <c r="AO566" i="1"/>
  <c r="AP565" i="1"/>
  <c r="AO565" i="1"/>
  <c r="AP564" i="1"/>
  <c r="AO564" i="1"/>
  <c r="AP563" i="1"/>
  <c r="AO563" i="1"/>
  <c r="AP562" i="1"/>
  <c r="AO562" i="1"/>
  <c r="AP561" i="1"/>
  <c r="AO561" i="1"/>
  <c r="AP560" i="1"/>
  <c r="AO560" i="1"/>
  <c r="AP559" i="1"/>
  <c r="AO559" i="1"/>
  <c r="AP558" i="1"/>
  <c r="AO558" i="1"/>
  <c r="AP557" i="1"/>
  <c r="AO557" i="1"/>
  <c r="AP556" i="1"/>
  <c r="AO556" i="1"/>
  <c r="AP555" i="1"/>
  <c r="AO555" i="1"/>
  <c r="AP554" i="1"/>
  <c r="AO554" i="1"/>
  <c r="AP553" i="1"/>
  <c r="AO553" i="1"/>
  <c r="AP552" i="1"/>
  <c r="AO552" i="1"/>
  <c r="AP551" i="1"/>
  <c r="AO551" i="1"/>
  <c r="AP550" i="1"/>
  <c r="AO550" i="1"/>
  <c r="AP549" i="1"/>
  <c r="AO549" i="1"/>
  <c r="AP548" i="1"/>
  <c r="AO548" i="1"/>
  <c r="AP547" i="1"/>
  <c r="AO547" i="1"/>
  <c r="AP546" i="1"/>
  <c r="AO546" i="1"/>
  <c r="AP545" i="1"/>
  <c r="AO545" i="1"/>
  <c r="AP544" i="1"/>
  <c r="AO544" i="1"/>
  <c r="AP543" i="1"/>
  <c r="AO543" i="1"/>
  <c r="AP542" i="1"/>
  <c r="AO542" i="1"/>
  <c r="AP541" i="1"/>
  <c r="AO541" i="1"/>
  <c r="AP540" i="1"/>
  <c r="AO540" i="1"/>
  <c r="AP539" i="1"/>
  <c r="AO539" i="1"/>
  <c r="AP538" i="1"/>
  <c r="AO538" i="1"/>
  <c r="AP537" i="1"/>
  <c r="AO537" i="1"/>
  <c r="AP536" i="1"/>
  <c r="AO536" i="1"/>
  <c r="AP535" i="1"/>
  <c r="AO535" i="1"/>
  <c r="AP534" i="1"/>
  <c r="AO534" i="1"/>
  <c r="AP533" i="1"/>
  <c r="AO533" i="1"/>
  <c r="AP532" i="1"/>
  <c r="AO532" i="1"/>
  <c r="AP531" i="1"/>
  <c r="AO531" i="1"/>
  <c r="AP530" i="1"/>
  <c r="AO530" i="1"/>
  <c r="AP529" i="1"/>
  <c r="AO529" i="1"/>
  <c r="AP528" i="1"/>
  <c r="AO528" i="1"/>
  <c r="AP527" i="1"/>
  <c r="AO527" i="1"/>
  <c r="AP526" i="1"/>
  <c r="AO526" i="1"/>
  <c r="AP525" i="1"/>
  <c r="AO525" i="1"/>
  <c r="AP524" i="1"/>
  <c r="AO524" i="1"/>
  <c r="AP523" i="1"/>
  <c r="AO523" i="1"/>
  <c r="AP522" i="1"/>
  <c r="AO522" i="1"/>
  <c r="AP521" i="1"/>
  <c r="AO521" i="1"/>
  <c r="AP520" i="1"/>
  <c r="AO520" i="1"/>
  <c r="AP519" i="1"/>
  <c r="AO519" i="1"/>
  <c r="AP518" i="1"/>
  <c r="AO518" i="1"/>
  <c r="AP517" i="1"/>
  <c r="AO517" i="1"/>
  <c r="AP516" i="1"/>
  <c r="AO516" i="1"/>
  <c r="AP515" i="1"/>
  <c r="AO515" i="1"/>
  <c r="AP514" i="1"/>
  <c r="AO514" i="1"/>
  <c r="AP513" i="1"/>
  <c r="AO513" i="1"/>
  <c r="AP512" i="1"/>
  <c r="AO512" i="1"/>
  <c r="AP511" i="1"/>
  <c r="AO511" i="1"/>
  <c r="AP510" i="1"/>
  <c r="AO510" i="1"/>
  <c r="AP509" i="1"/>
  <c r="AO509" i="1"/>
  <c r="AP508" i="1"/>
  <c r="AO508" i="1"/>
  <c r="AP507" i="1"/>
  <c r="AO507" i="1"/>
  <c r="AP506" i="1"/>
  <c r="AO506" i="1"/>
  <c r="AP505" i="1"/>
  <c r="AO505" i="1"/>
  <c r="AP504" i="1"/>
  <c r="AO504" i="1"/>
  <c r="AP503" i="1"/>
  <c r="AO503" i="1"/>
  <c r="AP502" i="1"/>
  <c r="AO502" i="1"/>
  <c r="AP501" i="1"/>
  <c r="AO501" i="1"/>
  <c r="AP500" i="1"/>
  <c r="AO500" i="1"/>
  <c r="AP499" i="1"/>
  <c r="AO499" i="1"/>
  <c r="AP498" i="1"/>
  <c r="AO498" i="1"/>
  <c r="AP497" i="1"/>
  <c r="AO497" i="1"/>
  <c r="AP496" i="1"/>
  <c r="AO496" i="1"/>
  <c r="AP495" i="1"/>
  <c r="AO495" i="1"/>
  <c r="AP494" i="1"/>
  <c r="AO494" i="1"/>
  <c r="AP493" i="1"/>
  <c r="AO493" i="1"/>
  <c r="AP492" i="1"/>
  <c r="AO492" i="1"/>
  <c r="AP491" i="1"/>
  <c r="AO491" i="1"/>
  <c r="AP490" i="1"/>
  <c r="AO490" i="1"/>
  <c r="AP489" i="1"/>
  <c r="AO489" i="1"/>
  <c r="AP488" i="1"/>
  <c r="AO488" i="1"/>
  <c r="AP487" i="1"/>
  <c r="AO487" i="1"/>
  <c r="AP486" i="1"/>
  <c r="AO486" i="1"/>
  <c r="AP485" i="1"/>
  <c r="AO485" i="1"/>
  <c r="AP484" i="1"/>
  <c r="AO484" i="1"/>
  <c r="AP483" i="1"/>
  <c r="AO483" i="1"/>
  <c r="AP482" i="1"/>
  <c r="AO482" i="1"/>
  <c r="AP481" i="1"/>
  <c r="AO481" i="1"/>
  <c r="AP480" i="1"/>
  <c r="AO480" i="1"/>
  <c r="AP479" i="1"/>
  <c r="AO479" i="1"/>
  <c r="AP478" i="1"/>
  <c r="AO478" i="1"/>
  <c r="AP477" i="1"/>
  <c r="AO477" i="1"/>
  <c r="AP476" i="1"/>
  <c r="AO476" i="1"/>
  <c r="AP475" i="1"/>
  <c r="AO475" i="1"/>
  <c r="AP474" i="1"/>
  <c r="AO474" i="1"/>
  <c r="AP473" i="1"/>
  <c r="AO473" i="1"/>
  <c r="AP472" i="1"/>
  <c r="AO472" i="1"/>
  <c r="AP471" i="1"/>
  <c r="AO471" i="1"/>
  <c r="AP470" i="1"/>
  <c r="AO470" i="1"/>
  <c r="AP469" i="1"/>
  <c r="AO469" i="1"/>
  <c r="AP468" i="1"/>
  <c r="AO468" i="1"/>
  <c r="AP467" i="1"/>
  <c r="AO467" i="1"/>
  <c r="AP466" i="1"/>
  <c r="AO466" i="1"/>
  <c r="AP465" i="1"/>
  <c r="AO465" i="1"/>
  <c r="AP464" i="1"/>
  <c r="AO464" i="1"/>
  <c r="AP463" i="1"/>
  <c r="AO463" i="1"/>
  <c r="AP462" i="1"/>
  <c r="AO462" i="1"/>
  <c r="AP461" i="1"/>
  <c r="AO461" i="1"/>
  <c r="AP460" i="1"/>
  <c r="AO460" i="1"/>
  <c r="AP459" i="1"/>
  <c r="AO459" i="1"/>
  <c r="AP458" i="1"/>
  <c r="AO458" i="1"/>
  <c r="AP457" i="1"/>
  <c r="AO457" i="1"/>
  <c r="AP456" i="1"/>
  <c r="AO456" i="1"/>
  <c r="AP455" i="1"/>
  <c r="AO455" i="1"/>
  <c r="AP454" i="1"/>
  <c r="AO454" i="1"/>
  <c r="AP453" i="1"/>
  <c r="AO453" i="1"/>
  <c r="AP452" i="1"/>
  <c r="AO452" i="1"/>
  <c r="AP451" i="1"/>
  <c r="AO451" i="1"/>
  <c r="AP450" i="1"/>
  <c r="AO450" i="1"/>
  <c r="AP449" i="1"/>
  <c r="AO449" i="1"/>
  <c r="AP448" i="1"/>
  <c r="AO448" i="1"/>
  <c r="AP447" i="1"/>
  <c r="AO447" i="1"/>
  <c r="AP446" i="1"/>
  <c r="AO446" i="1"/>
  <c r="AP445" i="1"/>
  <c r="AO445" i="1"/>
  <c r="AP444" i="1"/>
  <c r="AO444" i="1"/>
  <c r="AP443" i="1"/>
  <c r="AO443" i="1"/>
  <c r="AP442" i="1"/>
  <c r="AO442" i="1"/>
  <c r="AP441" i="1"/>
  <c r="AO441" i="1"/>
  <c r="AP440" i="1"/>
  <c r="AO440" i="1"/>
  <c r="AP439" i="1"/>
  <c r="AO439" i="1"/>
  <c r="AP438" i="1"/>
  <c r="AO438" i="1"/>
  <c r="AP437" i="1"/>
  <c r="AO437" i="1"/>
  <c r="AP436" i="1"/>
  <c r="AO436" i="1"/>
  <c r="AP435" i="1"/>
  <c r="AO435" i="1"/>
  <c r="AP434" i="1"/>
  <c r="AO434" i="1"/>
  <c r="AP433" i="1"/>
  <c r="AO433" i="1"/>
  <c r="AP432" i="1"/>
  <c r="AO432" i="1"/>
  <c r="AP431" i="1"/>
  <c r="AO431" i="1"/>
  <c r="AP430" i="1"/>
  <c r="AO430" i="1"/>
  <c r="AP429" i="1"/>
  <c r="AO429" i="1"/>
  <c r="AP428" i="1"/>
  <c r="AO428" i="1"/>
  <c r="AP427" i="1"/>
  <c r="AO427" i="1"/>
  <c r="AP426" i="1"/>
  <c r="AO426" i="1"/>
  <c r="AP425" i="1"/>
  <c r="AO425" i="1"/>
  <c r="AP424" i="1"/>
  <c r="AO424" i="1"/>
  <c r="AP423" i="1"/>
  <c r="AO423" i="1"/>
  <c r="AP422" i="1"/>
  <c r="AO422" i="1"/>
  <c r="AP421" i="1"/>
  <c r="AO421" i="1"/>
  <c r="AP420" i="1"/>
  <c r="AO420" i="1"/>
  <c r="AP419" i="1"/>
  <c r="AO419" i="1"/>
  <c r="AP418" i="1"/>
  <c r="AO418" i="1"/>
  <c r="AP417" i="1"/>
  <c r="AO417" i="1"/>
  <c r="AP416" i="1"/>
  <c r="AO416" i="1"/>
  <c r="AP415" i="1"/>
  <c r="AO415" i="1"/>
  <c r="AP414" i="1"/>
  <c r="AO414" i="1"/>
  <c r="AP413" i="1"/>
  <c r="AO413" i="1"/>
  <c r="AP412" i="1"/>
  <c r="AO412" i="1"/>
  <c r="AP411" i="1"/>
  <c r="AO411" i="1"/>
  <c r="AP410" i="1"/>
  <c r="AO410" i="1"/>
  <c r="AP409" i="1"/>
  <c r="AO409" i="1"/>
  <c r="AP408" i="1"/>
  <c r="AO408" i="1"/>
  <c r="AP407" i="1"/>
  <c r="AO407" i="1"/>
  <c r="AP406" i="1"/>
  <c r="AO406" i="1"/>
  <c r="AP405" i="1"/>
  <c r="AO405" i="1"/>
  <c r="AP404" i="1"/>
  <c r="AO404" i="1"/>
  <c r="AP403" i="1"/>
  <c r="AO403" i="1"/>
  <c r="AP402" i="1"/>
  <c r="AO402" i="1"/>
  <c r="AP401" i="1"/>
  <c r="AO401" i="1"/>
  <c r="AP400" i="1"/>
  <c r="AO400" i="1"/>
  <c r="AP399" i="1"/>
  <c r="AO399" i="1"/>
  <c r="AP398" i="1"/>
  <c r="AO398" i="1"/>
  <c r="AP397" i="1"/>
  <c r="AO397" i="1"/>
  <c r="AP396" i="1"/>
  <c r="AO396" i="1"/>
  <c r="AP395" i="1"/>
  <c r="AO395" i="1"/>
  <c r="AP394" i="1"/>
  <c r="AO394" i="1"/>
  <c r="AP393" i="1"/>
  <c r="AO393" i="1"/>
  <c r="AP392" i="1"/>
  <c r="AO392" i="1"/>
  <c r="AP391" i="1"/>
  <c r="AO391" i="1"/>
  <c r="AP390" i="1"/>
  <c r="AO390" i="1"/>
  <c r="AP389" i="1"/>
  <c r="AO389" i="1"/>
  <c r="AP388" i="1"/>
  <c r="AO388" i="1"/>
  <c r="AP387" i="1"/>
  <c r="AO387" i="1"/>
  <c r="AP386" i="1"/>
  <c r="AO386" i="1"/>
  <c r="AP385" i="1"/>
  <c r="AO385" i="1"/>
  <c r="AP384" i="1"/>
  <c r="AO384" i="1"/>
  <c r="AP383" i="1"/>
  <c r="AO383" i="1"/>
  <c r="AP382" i="1"/>
  <c r="AO382" i="1"/>
  <c r="AP381" i="1"/>
  <c r="AO381" i="1"/>
  <c r="AP380" i="1"/>
  <c r="AO380" i="1"/>
  <c r="AP379" i="1"/>
  <c r="AO379" i="1"/>
  <c r="AP378" i="1"/>
  <c r="AO378" i="1"/>
  <c r="AP377" i="1"/>
  <c r="AO377" i="1"/>
  <c r="AP376" i="1"/>
  <c r="AO376" i="1"/>
  <c r="AP375" i="1"/>
  <c r="AO375" i="1"/>
  <c r="AP374" i="1"/>
  <c r="AO374" i="1"/>
  <c r="AP373" i="1"/>
  <c r="AO373" i="1"/>
  <c r="AP372" i="1"/>
  <c r="AO372" i="1"/>
  <c r="AP371" i="1"/>
  <c r="AO371" i="1"/>
  <c r="AP370" i="1"/>
  <c r="AO370" i="1"/>
  <c r="AP369" i="1"/>
  <c r="AO369" i="1"/>
  <c r="AP368" i="1"/>
  <c r="AO368" i="1"/>
  <c r="AP367" i="1"/>
  <c r="AO367" i="1"/>
  <c r="AP366" i="1"/>
  <c r="AO366" i="1"/>
  <c r="AP365" i="1"/>
  <c r="AO365" i="1"/>
  <c r="AP364" i="1"/>
  <c r="AO364" i="1"/>
  <c r="AP363" i="1"/>
  <c r="AO363" i="1"/>
  <c r="AP362" i="1"/>
  <c r="AO362" i="1"/>
  <c r="AP361" i="1"/>
  <c r="AO361" i="1"/>
  <c r="AP360" i="1"/>
  <c r="AO360" i="1"/>
  <c r="AP359" i="1"/>
  <c r="AO359" i="1"/>
  <c r="AP358" i="1"/>
  <c r="AO358" i="1"/>
  <c r="AP357" i="1"/>
  <c r="AO357" i="1"/>
  <c r="AP356" i="1"/>
  <c r="AO356" i="1"/>
  <c r="AP355" i="1"/>
  <c r="AO355" i="1"/>
  <c r="AP354" i="1"/>
  <c r="AO354" i="1"/>
  <c r="AP353" i="1"/>
  <c r="AO353" i="1"/>
  <c r="AP352" i="1"/>
  <c r="AO352" i="1"/>
  <c r="AP351" i="1"/>
  <c r="AO351" i="1"/>
  <c r="AP350" i="1"/>
  <c r="AO350" i="1"/>
  <c r="AP349" i="1"/>
  <c r="AO349" i="1"/>
  <c r="AP348" i="1"/>
  <c r="AO348" i="1"/>
  <c r="AP347" i="1"/>
  <c r="AO347" i="1"/>
  <c r="AP346" i="1"/>
  <c r="AO346" i="1"/>
  <c r="AP345" i="1"/>
  <c r="AO345" i="1"/>
  <c r="AP344" i="1"/>
  <c r="AO344" i="1"/>
  <c r="AP343" i="1"/>
  <c r="AO343" i="1"/>
  <c r="AP342" i="1"/>
  <c r="AO342" i="1"/>
  <c r="AP341" i="1"/>
  <c r="AO341" i="1"/>
  <c r="AP340" i="1"/>
  <c r="AO340" i="1"/>
  <c r="AP339" i="1"/>
  <c r="AO339" i="1"/>
  <c r="AP338" i="1"/>
  <c r="AO338" i="1"/>
  <c r="AP337" i="1"/>
  <c r="AO337" i="1"/>
  <c r="AP336" i="1"/>
  <c r="AO336" i="1"/>
  <c r="AP335" i="1"/>
  <c r="AO335" i="1"/>
  <c r="AP334" i="1"/>
  <c r="AO334" i="1"/>
  <c r="AP333" i="1"/>
  <c r="AO333" i="1"/>
  <c r="AP332" i="1"/>
  <c r="AO332" i="1"/>
  <c r="AP331" i="1"/>
  <c r="AO331" i="1"/>
  <c r="AP330" i="1"/>
  <c r="AO330" i="1"/>
  <c r="AP329" i="1"/>
  <c r="AO329" i="1"/>
  <c r="AP328" i="1"/>
  <c r="AO328" i="1"/>
  <c r="AP327" i="1"/>
  <c r="AO327" i="1"/>
  <c r="AP326" i="1"/>
  <c r="AO326" i="1"/>
  <c r="AP325" i="1"/>
  <c r="AO325" i="1"/>
  <c r="AP324" i="1"/>
  <c r="AO324" i="1"/>
  <c r="AP323" i="1"/>
  <c r="AO323" i="1"/>
  <c r="AP322" i="1"/>
  <c r="AO322" i="1"/>
  <c r="AP321" i="1"/>
  <c r="AO321" i="1"/>
  <c r="AP320" i="1"/>
  <c r="AO320" i="1"/>
  <c r="AP319" i="1"/>
  <c r="AO319" i="1"/>
  <c r="AP318" i="1"/>
  <c r="AO318" i="1"/>
  <c r="AP317" i="1"/>
  <c r="AO317" i="1"/>
  <c r="AP316" i="1"/>
  <c r="AO316" i="1"/>
  <c r="AP315" i="1"/>
  <c r="AO315" i="1"/>
  <c r="AP314" i="1"/>
  <c r="AO314" i="1"/>
  <c r="AP313" i="1"/>
  <c r="AO313" i="1"/>
  <c r="AP312" i="1"/>
  <c r="AO312" i="1"/>
  <c r="AP311" i="1"/>
  <c r="AO311" i="1"/>
  <c r="AP310" i="1"/>
  <c r="AO310" i="1"/>
  <c r="AP309" i="1"/>
  <c r="AO309" i="1"/>
  <c r="AP308" i="1"/>
  <c r="AO308" i="1"/>
  <c r="AP307" i="1"/>
  <c r="AO307" i="1"/>
  <c r="AP306" i="1"/>
  <c r="AO306" i="1"/>
  <c r="AP305" i="1"/>
  <c r="AO305" i="1"/>
  <c r="AP304" i="1"/>
  <c r="AO304" i="1"/>
  <c r="AP303" i="1"/>
  <c r="AO303" i="1"/>
  <c r="AP302" i="1"/>
  <c r="AO302" i="1"/>
  <c r="AP301" i="1"/>
  <c r="AO301" i="1"/>
  <c r="AP300" i="1"/>
  <c r="AO300" i="1"/>
  <c r="AP299" i="1"/>
  <c r="AO299" i="1"/>
  <c r="AP298" i="1"/>
  <c r="AO298" i="1"/>
  <c r="AP297" i="1"/>
  <c r="AO297" i="1"/>
  <c r="AP296" i="1"/>
  <c r="AO296" i="1"/>
  <c r="AP295" i="1"/>
  <c r="AO295" i="1"/>
  <c r="AP294" i="1"/>
  <c r="AO294" i="1"/>
  <c r="AP293" i="1"/>
  <c r="AO293" i="1"/>
  <c r="AP292" i="1"/>
  <c r="AO292" i="1"/>
  <c r="AP291" i="1"/>
  <c r="AO291" i="1"/>
  <c r="AP290" i="1"/>
  <c r="AO290" i="1"/>
  <c r="AP289" i="1"/>
  <c r="AO289" i="1"/>
  <c r="AP288" i="1"/>
  <c r="AO288" i="1"/>
  <c r="AP287" i="1"/>
  <c r="AO287" i="1"/>
  <c r="AP286" i="1"/>
  <c r="AO286" i="1"/>
  <c r="AP285" i="1"/>
  <c r="AO285" i="1"/>
  <c r="AP284" i="1"/>
  <c r="AO284" i="1"/>
  <c r="AP283" i="1"/>
  <c r="AO283" i="1"/>
  <c r="AP282" i="1"/>
  <c r="AO282" i="1"/>
  <c r="AP281" i="1"/>
  <c r="AO281" i="1"/>
  <c r="AP280" i="1"/>
  <c r="AO280" i="1"/>
  <c r="AP279" i="1"/>
  <c r="AO279" i="1"/>
  <c r="AP278" i="1"/>
  <c r="AO278" i="1"/>
  <c r="AP277" i="1"/>
  <c r="AO277" i="1"/>
  <c r="AP276" i="1"/>
  <c r="AO276" i="1"/>
  <c r="AP275" i="1"/>
  <c r="AO275" i="1"/>
  <c r="AP274" i="1"/>
  <c r="AO274" i="1"/>
  <c r="AP273" i="1"/>
  <c r="AO273" i="1"/>
  <c r="AP272" i="1"/>
  <c r="AO272" i="1"/>
  <c r="AP271" i="1"/>
  <c r="AO271" i="1"/>
  <c r="AP270" i="1"/>
  <c r="AO270" i="1"/>
  <c r="AP269" i="1"/>
  <c r="AO269" i="1"/>
  <c r="AP268" i="1"/>
  <c r="AO268" i="1"/>
  <c r="AP267" i="1"/>
  <c r="AO267" i="1"/>
  <c r="AP266" i="1"/>
  <c r="AO266" i="1"/>
  <c r="AP265" i="1"/>
  <c r="AO265" i="1"/>
  <c r="AP264" i="1"/>
  <c r="AO264" i="1"/>
  <c r="AP263" i="1"/>
  <c r="AO263" i="1"/>
  <c r="AP262" i="1"/>
  <c r="AO262" i="1"/>
  <c r="AP261" i="1"/>
  <c r="AO261" i="1"/>
  <c r="AP260" i="1"/>
  <c r="AO260" i="1"/>
  <c r="AP259" i="1"/>
  <c r="AO259" i="1"/>
  <c r="AP258" i="1"/>
  <c r="AO258" i="1"/>
  <c r="AP257" i="1"/>
  <c r="AO257" i="1"/>
  <c r="AP256" i="1"/>
  <c r="AO256" i="1"/>
  <c r="AP255" i="1"/>
  <c r="AO255" i="1"/>
  <c r="AP254" i="1"/>
  <c r="AO254" i="1"/>
  <c r="AP253" i="1"/>
  <c r="AO253" i="1"/>
  <c r="AP252" i="1"/>
  <c r="AO252" i="1"/>
  <c r="AP251" i="1"/>
  <c r="AO251" i="1"/>
  <c r="AP250" i="1"/>
  <c r="AO250" i="1"/>
  <c r="AP249" i="1"/>
  <c r="AO249" i="1"/>
  <c r="AP248" i="1"/>
  <c r="AO248" i="1"/>
  <c r="AP247" i="1"/>
  <c r="AO247" i="1"/>
  <c r="AP246" i="1"/>
  <c r="AO246" i="1"/>
  <c r="AP245" i="1"/>
  <c r="AO245" i="1"/>
  <c r="AP244" i="1"/>
  <c r="AO244" i="1"/>
  <c r="AP243" i="1"/>
  <c r="AO243" i="1"/>
  <c r="AP242" i="1"/>
  <c r="AO242" i="1"/>
  <c r="AP241" i="1"/>
  <c r="AO241" i="1"/>
  <c r="AP240" i="1"/>
  <c r="AO240" i="1"/>
  <c r="AP239" i="1"/>
  <c r="AO239" i="1"/>
  <c r="AP238" i="1"/>
  <c r="AO238" i="1"/>
  <c r="AP237" i="1"/>
  <c r="AO237" i="1"/>
  <c r="AP236" i="1"/>
  <c r="AO236" i="1"/>
  <c r="AP235" i="1"/>
  <c r="AO235" i="1"/>
  <c r="AP234" i="1"/>
  <c r="AO234" i="1"/>
  <c r="AP233" i="1"/>
  <c r="AO233" i="1"/>
  <c r="AP232" i="1"/>
  <c r="AO232" i="1"/>
  <c r="AP231" i="1"/>
  <c r="AO231" i="1"/>
  <c r="AP230" i="1"/>
  <c r="AO230" i="1"/>
  <c r="AP229" i="1"/>
  <c r="AO229" i="1"/>
  <c r="AP228" i="1"/>
  <c r="AO228" i="1"/>
  <c r="AP227" i="1"/>
  <c r="AO227" i="1"/>
  <c r="AP226" i="1"/>
  <c r="AO226" i="1"/>
  <c r="AP225" i="1"/>
  <c r="AO225" i="1"/>
  <c r="AP224" i="1"/>
  <c r="AO224" i="1"/>
  <c r="AP223" i="1"/>
  <c r="AO223" i="1"/>
  <c r="AP222" i="1"/>
  <c r="AO222" i="1"/>
  <c r="AP221" i="1"/>
  <c r="AO221" i="1"/>
  <c r="AP220" i="1"/>
  <c r="AO220" i="1"/>
  <c r="AP219" i="1"/>
  <c r="AO219" i="1"/>
  <c r="AP218" i="1"/>
  <c r="AO218" i="1"/>
  <c r="AP217" i="1"/>
  <c r="AO217" i="1"/>
  <c r="AP216" i="1"/>
  <c r="AO216" i="1"/>
  <c r="AP215" i="1"/>
  <c r="AO215" i="1"/>
  <c r="AP214" i="1"/>
  <c r="AO214" i="1"/>
  <c r="AP213" i="1"/>
  <c r="AO213" i="1"/>
  <c r="AP212" i="1"/>
  <c r="AO212" i="1"/>
  <c r="AP211" i="1"/>
  <c r="AO211" i="1"/>
  <c r="AP210" i="1"/>
  <c r="AO210" i="1"/>
  <c r="AP209" i="1"/>
  <c r="AO209" i="1"/>
  <c r="AP208" i="1"/>
  <c r="AO208" i="1"/>
  <c r="AP207" i="1"/>
  <c r="AO207" i="1"/>
  <c r="AP206" i="1"/>
  <c r="AO206" i="1"/>
  <c r="AP205" i="1"/>
  <c r="AO205" i="1"/>
  <c r="AP204" i="1"/>
  <c r="AO204" i="1"/>
  <c r="AP203" i="1"/>
  <c r="AO203" i="1"/>
  <c r="AP202" i="1"/>
  <c r="AO202" i="1"/>
  <c r="AP201" i="1"/>
  <c r="AO201" i="1"/>
  <c r="AP200" i="1"/>
  <c r="AO200" i="1"/>
  <c r="AP199" i="1"/>
  <c r="AO199" i="1"/>
  <c r="AP198" i="1"/>
  <c r="AO198" i="1"/>
  <c r="AP197" i="1"/>
  <c r="AO197" i="1"/>
  <c r="AP196" i="1"/>
  <c r="AO196" i="1"/>
  <c r="AP195" i="1"/>
  <c r="AO195" i="1"/>
  <c r="AP194" i="1"/>
  <c r="AO194" i="1"/>
  <c r="AP193" i="1"/>
  <c r="AO193" i="1"/>
  <c r="AP192" i="1"/>
  <c r="AO192" i="1"/>
  <c r="AP191" i="1"/>
  <c r="AO191" i="1"/>
  <c r="AP190" i="1"/>
  <c r="AO190" i="1"/>
  <c r="AP189" i="1"/>
  <c r="AO189" i="1"/>
  <c r="AP188" i="1"/>
  <c r="AO188" i="1"/>
  <c r="AP187" i="1"/>
  <c r="AO187" i="1"/>
  <c r="AP186" i="1"/>
  <c r="AO186" i="1"/>
  <c r="AP185" i="1"/>
  <c r="AO185" i="1"/>
  <c r="AP184" i="1"/>
  <c r="AO184" i="1"/>
  <c r="AP183" i="1"/>
  <c r="AO183" i="1"/>
  <c r="AP182" i="1"/>
  <c r="AO182" i="1"/>
  <c r="AP181" i="1"/>
  <c r="AO181" i="1"/>
  <c r="AP180" i="1"/>
  <c r="AO180" i="1"/>
  <c r="AP179" i="1"/>
  <c r="AO179" i="1"/>
  <c r="AP178" i="1"/>
  <c r="AO178" i="1"/>
  <c r="AP177" i="1"/>
  <c r="AO177" i="1"/>
  <c r="AP176" i="1"/>
  <c r="AO176" i="1"/>
  <c r="AP175" i="1"/>
  <c r="AO175" i="1"/>
  <c r="AP174" i="1"/>
  <c r="AO174" i="1"/>
  <c r="AP173" i="1"/>
  <c r="AO173" i="1"/>
  <c r="AP172" i="1"/>
  <c r="AO172" i="1"/>
  <c r="AP171" i="1"/>
  <c r="AO171" i="1"/>
  <c r="AP170" i="1"/>
  <c r="AO170" i="1"/>
  <c r="AP169" i="1"/>
  <c r="AO169" i="1"/>
  <c r="AP168" i="1"/>
  <c r="AO168" i="1"/>
  <c r="AP167" i="1"/>
  <c r="AO167" i="1"/>
  <c r="AP166" i="1"/>
  <c r="AO166" i="1"/>
  <c r="AP165" i="1"/>
  <c r="AO165" i="1"/>
  <c r="AP164" i="1"/>
  <c r="AO164" i="1"/>
  <c r="AP163" i="1"/>
  <c r="AO163" i="1"/>
  <c r="AP162" i="1"/>
  <c r="AO162" i="1"/>
  <c r="AP161" i="1"/>
  <c r="AO161" i="1"/>
  <c r="AP160" i="1"/>
  <c r="AO160" i="1"/>
  <c r="AP159" i="1"/>
  <c r="AO159" i="1"/>
  <c r="AP158" i="1"/>
  <c r="AO158" i="1"/>
  <c r="AP157" i="1"/>
  <c r="AO157" i="1"/>
  <c r="AP156" i="1"/>
  <c r="AO156" i="1"/>
  <c r="AP155" i="1"/>
  <c r="AO155" i="1"/>
  <c r="AP154" i="1"/>
  <c r="AO154" i="1"/>
  <c r="AP153" i="1"/>
  <c r="AO153" i="1"/>
  <c r="AP152" i="1"/>
  <c r="AO152" i="1"/>
  <c r="AP151" i="1"/>
  <c r="AO151" i="1"/>
  <c r="AP150" i="1"/>
  <c r="AO150" i="1"/>
  <c r="AP149" i="1"/>
  <c r="AO149" i="1"/>
  <c r="AP148" i="1"/>
  <c r="AO148" i="1"/>
  <c r="AP147" i="1"/>
  <c r="AO147" i="1"/>
  <c r="AP146" i="1"/>
  <c r="AO146" i="1"/>
  <c r="AP145" i="1"/>
  <c r="AO145" i="1"/>
  <c r="AP144" i="1"/>
  <c r="AO144" i="1"/>
  <c r="AP143" i="1"/>
  <c r="AO143" i="1"/>
  <c r="AP142" i="1"/>
  <c r="AO142" i="1"/>
  <c r="AP141" i="1"/>
  <c r="AO141" i="1"/>
  <c r="AP140" i="1"/>
  <c r="AO140" i="1"/>
  <c r="AP139" i="1"/>
  <c r="AO139" i="1"/>
  <c r="AP138" i="1"/>
  <c r="AO138" i="1"/>
  <c r="AP137" i="1"/>
  <c r="AO137" i="1"/>
  <c r="AP136" i="1"/>
  <c r="AO136" i="1"/>
  <c r="AP135" i="1"/>
  <c r="AO135" i="1"/>
  <c r="AP134" i="1"/>
  <c r="AO134" i="1"/>
  <c r="AP133" i="1"/>
  <c r="AO133" i="1"/>
  <c r="AP132" i="1"/>
  <c r="AO132" i="1"/>
  <c r="AP131" i="1"/>
  <c r="AO131" i="1"/>
  <c r="AP130" i="1"/>
  <c r="AO130" i="1"/>
  <c r="AP129" i="1"/>
  <c r="AO129" i="1"/>
  <c r="AP128" i="1"/>
  <c r="AO128" i="1"/>
  <c r="AP127" i="1"/>
  <c r="AO127" i="1"/>
  <c r="AP126" i="1"/>
  <c r="AO126" i="1"/>
  <c r="AP125" i="1"/>
  <c r="AO125" i="1"/>
  <c r="AP124" i="1"/>
  <c r="AO124" i="1"/>
  <c r="AP123" i="1"/>
  <c r="AO123" i="1"/>
  <c r="AP122" i="1"/>
  <c r="AO122" i="1"/>
  <c r="AP121" i="1"/>
  <c r="AO121" i="1"/>
  <c r="AP120" i="1"/>
  <c r="AO120" i="1"/>
  <c r="AP119" i="1"/>
  <c r="AO119" i="1"/>
  <c r="AP118" i="1"/>
  <c r="AO118" i="1"/>
  <c r="AP117" i="1"/>
  <c r="AO117" i="1"/>
  <c r="AP116" i="1"/>
  <c r="AO116" i="1"/>
  <c r="AP115" i="1"/>
  <c r="AO115" i="1"/>
  <c r="AP114" i="1"/>
  <c r="AO114" i="1"/>
  <c r="AP113" i="1"/>
  <c r="AO113" i="1"/>
  <c r="AP112" i="1"/>
  <c r="AO112" i="1"/>
  <c r="AP111" i="1"/>
  <c r="AO111" i="1"/>
  <c r="AP110" i="1"/>
  <c r="AO110" i="1"/>
  <c r="AP109" i="1"/>
  <c r="AO109" i="1"/>
  <c r="AP108" i="1"/>
  <c r="AO108" i="1"/>
  <c r="AP107" i="1"/>
  <c r="AO107" i="1"/>
  <c r="AP106" i="1"/>
  <c r="AO106" i="1"/>
  <c r="AP105" i="1"/>
  <c r="AO105" i="1"/>
  <c r="AP104" i="1"/>
  <c r="AO104" i="1"/>
  <c r="AP103" i="1"/>
  <c r="AO103" i="1"/>
  <c r="AP102" i="1"/>
  <c r="AO102" i="1"/>
  <c r="AP101" i="1"/>
  <c r="AO101" i="1"/>
  <c r="AP100" i="1"/>
  <c r="AO100" i="1"/>
  <c r="AP99" i="1"/>
  <c r="AO99" i="1"/>
  <c r="AP98" i="1"/>
  <c r="AO98" i="1"/>
  <c r="AP97" i="1"/>
  <c r="AO97" i="1"/>
  <c r="AP96" i="1"/>
  <c r="AO96" i="1"/>
  <c r="AP95" i="1"/>
  <c r="AO95" i="1"/>
  <c r="AP94" i="1"/>
  <c r="AO94" i="1"/>
  <c r="AP93" i="1"/>
  <c r="AO93" i="1"/>
  <c r="AP92" i="1"/>
  <c r="AO92" i="1"/>
  <c r="AP91" i="1"/>
  <c r="AO91" i="1"/>
  <c r="AP90" i="1"/>
  <c r="AO90" i="1"/>
  <c r="AP89" i="1"/>
  <c r="AO89" i="1"/>
  <c r="AP88" i="1"/>
  <c r="AO88" i="1"/>
  <c r="AP87" i="1"/>
  <c r="AO87" i="1"/>
  <c r="AP86" i="1"/>
  <c r="AO86" i="1"/>
  <c r="AP85" i="1"/>
  <c r="AO85" i="1"/>
  <c r="AP84" i="1"/>
  <c r="AO84" i="1"/>
  <c r="AP83" i="1"/>
  <c r="AO83" i="1"/>
  <c r="AP82" i="1"/>
  <c r="AO82" i="1"/>
  <c r="AP81" i="1"/>
  <c r="AO81" i="1"/>
  <c r="AP80" i="1"/>
  <c r="AO80" i="1"/>
  <c r="AP79" i="1"/>
  <c r="AO79" i="1"/>
  <c r="AP78" i="1"/>
  <c r="AO78" i="1"/>
  <c r="AP77" i="1"/>
  <c r="AO77" i="1"/>
  <c r="AP76" i="1"/>
  <c r="AO76" i="1"/>
  <c r="AP75" i="1"/>
  <c r="AO75" i="1"/>
  <c r="AP74" i="1"/>
  <c r="AO74" i="1"/>
  <c r="AP73" i="1"/>
  <c r="AO73" i="1"/>
  <c r="AP72" i="1"/>
  <c r="AO72" i="1"/>
  <c r="AP71" i="1"/>
  <c r="AO71" i="1"/>
  <c r="AP70" i="1"/>
  <c r="AO70" i="1"/>
  <c r="AP69" i="1"/>
  <c r="AO69" i="1"/>
  <c r="AP68" i="1"/>
  <c r="AO68" i="1"/>
  <c r="AP67" i="1"/>
  <c r="AO67" i="1"/>
  <c r="AP66" i="1"/>
  <c r="AO66" i="1"/>
  <c r="AP65" i="1"/>
  <c r="AO65" i="1"/>
  <c r="AP64" i="1"/>
  <c r="AO64" i="1"/>
  <c r="AP63" i="1"/>
  <c r="AO63" i="1"/>
  <c r="AP62" i="1"/>
  <c r="AO62" i="1"/>
  <c r="AP61" i="1"/>
  <c r="AO61" i="1"/>
  <c r="AP60" i="1"/>
  <c r="AO60" i="1"/>
  <c r="AP59" i="1"/>
  <c r="AO59" i="1"/>
  <c r="AP58" i="1"/>
  <c r="AO58" i="1"/>
  <c r="AP57" i="1"/>
  <c r="AO57" i="1"/>
  <c r="AP56" i="1"/>
  <c r="AO56" i="1"/>
  <c r="AP55" i="1"/>
  <c r="AO55" i="1"/>
  <c r="AP54" i="1"/>
  <c r="AO54" i="1"/>
  <c r="AP53" i="1"/>
  <c r="AO53" i="1"/>
  <c r="AP52" i="1"/>
  <c r="AO52" i="1"/>
  <c r="AP51" i="1"/>
  <c r="AO51" i="1"/>
  <c r="AP50" i="1"/>
  <c r="AO50" i="1"/>
  <c r="AP49" i="1"/>
  <c r="AO49" i="1"/>
  <c r="AP48" i="1"/>
  <c r="AO48" i="1"/>
  <c r="AP47" i="1"/>
  <c r="AO47" i="1"/>
  <c r="AP46" i="1"/>
  <c r="AO46" i="1"/>
  <c r="AP45" i="1"/>
  <c r="AO45" i="1"/>
  <c r="AP44" i="1"/>
  <c r="AO44" i="1"/>
  <c r="AP43" i="1"/>
  <c r="AO43" i="1"/>
  <c r="AP42" i="1"/>
  <c r="AO42" i="1"/>
  <c r="AP41" i="1"/>
  <c r="AO41" i="1"/>
  <c r="AP40" i="1"/>
  <c r="AO40" i="1"/>
  <c r="AP39" i="1"/>
  <c r="AO39" i="1"/>
  <c r="AP38" i="1"/>
  <c r="AO38" i="1"/>
  <c r="AP37" i="1"/>
  <c r="AO37" i="1"/>
  <c r="AP36" i="1"/>
  <c r="AO36" i="1"/>
  <c r="AP35" i="1"/>
  <c r="AO35" i="1"/>
  <c r="AP34" i="1"/>
  <c r="AO34" i="1"/>
  <c r="AP33" i="1"/>
  <c r="AO33" i="1"/>
  <c r="AP32" i="1"/>
  <c r="AO32" i="1"/>
  <c r="AP31" i="1"/>
  <c r="AO31" i="1"/>
  <c r="AP30" i="1"/>
  <c r="AO30" i="1"/>
  <c r="AP29" i="1"/>
  <c r="AO29" i="1"/>
  <c r="AP28" i="1"/>
  <c r="AO28" i="1"/>
  <c r="AP27" i="1"/>
  <c r="AO27" i="1"/>
  <c r="AP26" i="1"/>
  <c r="AO26" i="1"/>
  <c r="AP25" i="1"/>
  <c r="AO25" i="1"/>
  <c r="AP24" i="1"/>
  <c r="AO24" i="1"/>
  <c r="AP23" i="1"/>
  <c r="AO23" i="1"/>
  <c r="AP22" i="1"/>
  <c r="AO22" i="1"/>
  <c r="AP21" i="1"/>
  <c r="AO21" i="1"/>
  <c r="AP20" i="1"/>
  <c r="AO20" i="1"/>
  <c r="AP19" i="1"/>
  <c r="AO19" i="1"/>
  <c r="AP18" i="1"/>
  <c r="AO18" i="1"/>
  <c r="AP17" i="1"/>
  <c r="AO17" i="1"/>
  <c r="AP16" i="1"/>
  <c r="AO16" i="1"/>
  <c r="AP15" i="1"/>
  <c r="AO15" i="1"/>
  <c r="AP14" i="1"/>
  <c r="AO14" i="1"/>
  <c r="AP13" i="1"/>
  <c r="AO13" i="1"/>
  <c r="AP12" i="1"/>
  <c r="AO12" i="1"/>
  <c r="AP11" i="1"/>
  <c r="AO11" i="1"/>
  <c r="AP10" i="1"/>
  <c r="AO10" i="1"/>
  <c r="AP9" i="1"/>
  <c r="AO9" i="1"/>
  <c r="AP8" i="1"/>
  <c r="AO8" i="1"/>
  <c r="AP7" i="1"/>
  <c r="AO7" i="1"/>
  <c r="AP6" i="1"/>
  <c r="AO6" i="1"/>
  <c r="AP5" i="1"/>
  <c r="AO5" i="1"/>
  <c r="AP4" i="1"/>
  <c r="AO4" i="1"/>
  <c r="AX910" i="1" l="1"/>
  <c r="AX1253" i="1"/>
  <c r="AX1267" i="1"/>
  <c r="AX1276" i="1"/>
  <c r="AX1167" i="1"/>
  <c r="AX1176" i="1"/>
  <c r="AX1185" i="1"/>
  <c r="AX1268" i="1"/>
  <c r="AX1277" i="1"/>
  <c r="AX1281" i="1"/>
  <c r="AX1285" i="1"/>
  <c r="AX1241" i="1"/>
  <c r="AX1255" i="1"/>
  <c r="AX1264" i="1"/>
  <c r="AX1260" i="1"/>
  <c r="AX1269" i="1"/>
  <c r="AX1256" i="1"/>
  <c r="AX1265" i="1"/>
  <c r="AX1275" i="1"/>
  <c r="AX1279" i="1"/>
  <c r="AX1283" i="1"/>
  <c r="AX1287" i="1"/>
  <c r="AX1306" i="1"/>
  <c r="AX1301" i="1"/>
  <c r="AX1292" i="1"/>
  <c r="AX1262" i="1"/>
  <c r="AX1248" i="1"/>
  <c r="AX1143" i="1"/>
  <c r="AX1070" i="1"/>
  <c r="AX1033" i="1"/>
  <c r="AX960" i="1"/>
  <c r="AX1322" i="1"/>
  <c r="AX1314" i="1"/>
  <c r="AX1305" i="1"/>
  <c r="AX1280" i="1"/>
  <c r="AX1254" i="1"/>
  <c r="AX1207" i="1"/>
  <c r="AX1193" i="1"/>
  <c r="AX1120" i="1"/>
  <c r="AX1047" i="1"/>
  <c r="AX974" i="1"/>
  <c r="AX937" i="1"/>
  <c r="AX1326" i="1"/>
  <c r="AX1318" i="1"/>
  <c r="AX1310" i="1"/>
  <c r="AX1296" i="1"/>
  <c r="AX1273" i="1"/>
  <c r="AX1240" i="1"/>
  <c r="AX1309" i="1"/>
  <c r="AX1300" i="1"/>
  <c r="AX1291" i="1"/>
  <c r="AX1286" i="1"/>
  <c r="AX1199" i="1"/>
  <c r="AX1134" i="1"/>
  <c r="AX1097" i="1"/>
  <c r="AX1024" i="1"/>
  <c r="AX951" i="1"/>
  <c r="AX1345" i="1"/>
  <c r="AX1337" i="1"/>
  <c r="AX1329" i="1"/>
  <c r="AX1321" i="1"/>
  <c r="AX1317" i="1"/>
  <c r="AX1313" i="1"/>
  <c r="AX1304" i="1"/>
  <c r="AX1295" i="1"/>
  <c r="AX1272" i="1"/>
  <c r="AX1239" i="1"/>
  <c r="AX1225" i="1"/>
  <c r="AX1184" i="1"/>
  <c r="AX1111" i="1"/>
  <c r="AX1038" i="1"/>
  <c r="AX1001" i="1"/>
  <c r="AX928" i="1"/>
  <c r="AX1341" i="1"/>
  <c r="AX1333" i="1"/>
  <c r="AX1325" i="1"/>
  <c r="AX1308" i="1"/>
  <c r="AX1299" i="1"/>
  <c r="AX1290" i="1"/>
  <c r="AX1284" i="1"/>
  <c r="AX1278" i="1"/>
  <c r="AX1231" i="1"/>
  <c r="AX1217" i="1"/>
  <c r="AX1198" i="1"/>
  <c r="AX1161" i="1"/>
  <c r="AX1088" i="1"/>
  <c r="AX1015" i="1"/>
  <c r="AX942" i="1"/>
  <c r="AX1348" i="1"/>
  <c r="AX1340" i="1"/>
  <c r="AX1332" i="1"/>
  <c r="AX1324" i="1"/>
  <c r="AX1316" i="1"/>
  <c r="AX1312" i="1"/>
  <c r="AX1303" i="1"/>
  <c r="AX1294" i="1"/>
  <c r="AX1289" i="1"/>
  <c r="AX1271" i="1"/>
  <c r="AX1257" i="1"/>
  <c r="AX1175" i="1"/>
  <c r="AX1102" i="1"/>
  <c r="AX1065" i="1"/>
  <c r="AX992" i="1"/>
  <c r="AX919" i="1"/>
  <c r="AX1352" i="1"/>
  <c r="AX1344" i="1"/>
  <c r="AX1336" i="1"/>
  <c r="AX1328" i="1"/>
  <c r="AX1320" i="1"/>
  <c r="AX1307" i="1"/>
  <c r="AX1298" i="1"/>
  <c r="AX1293" i="1"/>
  <c r="AX1263" i="1"/>
  <c r="AX1249" i="1"/>
  <c r="AX1230" i="1"/>
  <c r="AX1216" i="1"/>
  <c r="AX1152" i="1"/>
  <c r="AX1079" i="1"/>
  <c r="AX1006" i="1"/>
  <c r="AX969" i="1"/>
  <c r="AX1266" i="1"/>
  <c r="AX1261" i="1"/>
  <c r="AX1252" i="1"/>
  <c r="AX1243" i="1"/>
  <c r="AX1234" i="1"/>
  <c r="AX1229" i="1"/>
  <c r="AX1220" i="1"/>
  <c r="AX1211" i="1"/>
  <c r="AX1202" i="1"/>
  <c r="AX1197" i="1"/>
  <c r="AX1188" i="1"/>
  <c r="AX1179" i="1"/>
  <c r="AX1170" i="1"/>
  <c r="AX1165" i="1"/>
  <c r="AX1156" i="1"/>
  <c r="AX1147" i="1"/>
  <c r="AX1138" i="1"/>
  <c r="AX1133" i="1"/>
  <c r="AX1124" i="1"/>
  <c r="AX1115" i="1"/>
  <c r="AX1106" i="1"/>
  <c r="AX1101" i="1"/>
  <c r="AX1092" i="1"/>
  <c r="AX1083" i="1"/>
  <c r="AX1074" i="1"/>
  <c r="AX1069" i="1"/>
  <c r="AX1060" i="1"/>
  <c r="AX1051" i="1"/>
  <c r="AX1042" i="1"/>
  <c r="AX1037" i="1"/>
  <c r="AX1028" i="1"/>
  <c r="AX1019" i="1"/>
  <c r="AX1010" i="1"/>
  <c r="AX1005" i="1"/>
  <c r="AX996" i="1"/>
  <c r="AX987" i="1"/>
  <c r="AX978" i="1"/>
  <c r="AX973" i="1"/>
  <c r="AX964" i="1"/>
  <c r="AX955" i="1"/>
  <c r="AX946" i="1"/>
  <c r="AX941" i="1"/>
  <c r="AX932" i="1"/>
  <c r="AX923" i="1"/>
  <c r="AX914" i="1"/>
  <c r="AX909" i="1"/>
  <c r="AX900" i="1"/>
  <c r="AX891" i="1"/>
  <c r="AX882" i="1"/>
  <c r="AX877" i="1"/>
  <c r="AX868" i="1"/>
  <c r="AX859" i="1"/>
  <c r="AX850" i="1"/>
  <c r="AX845" i="1"/>
  <c r="AX836" i="1"/>
  <c r="AX827" i="1"/>
  <c r="AX818" i="1"/>
  <c r="AX813" i="1"/>
  <c r="AX804" i="1"/>
  <c r="AX795" i="1"/>
  <c r="AX786" i="1"/>
  <c r="AX781" i="1"/>
  <c r="AX772" i="1"/>
  <c r="AX763" i="1"/>
  <c r="AX754" i="1"/>
  <c r="AX749" i="1"/>
  <c r="AX740" i="1"/>
  <c r="AX731" i="1"/>
  <c r="AX722" i="1"/>
  <c r="AX712" i="1"/>
  <c r="AX675" i="1"/>
  <c r="AX661" i="1"/>
  <c r="AX595" i="1"/>
  <c r="AX306" i="1"/>
  <c r="AX374" i="1"/>
  <c r="AX395" i="1"/>
  <c r="AX438" i="1"/>
  <c r="AX526" i="1"/>
  <c r="AX538" i="1"/>
  <c r="AX543" i="1"/>
  <c r="AX555" i="1"/>
  <c r="AX578" i="1"/>
  <c r="AX619" i="1"/>
  <c r="AX625" i="1"/>
  <c r="AX639" i="1"/>
  <c r="AX648" i="1"/>
  <c r="AX657" i="1"/>
  <c r="AX459" i="1"/>
  <c r="AX478" i="1"/>
  <c r="AX491" i="1"/>
  <c r="AX515" i="1"/>
  <c r="AX550" i="1"/>
  <c r="AX602" i="1"/>
  <c r="AX635" i="1"/>
  <c r="AX644" i="1"/>
  <c r="AX653" i="1"/>
  <c r="AX667" i="1"/>
  <c r="AX676" i="1"/>
  <c r="AX685" i="1"/>
  <c r="AX699" i="1"/>
  <c r="AX708" i="1"/>
  <c r="AX717" i="1"/>
  <c r="AX390" i="1"/>
  <c r="AX411" i="1"/>
  <c r="AX446" i="1"/>
  <c r="AX510" i="1"/>
  <c r="AX522" i="1"/>
  <c r="AX527" i="1"/>
  <c r="AX539" i="1"/>
  <c r="AX579" i="1"/>
  <c r="AX586" i="1"/>
  <c r="AX609" i="1"/>
  <c r="AX631" i="1"/>
  <c r="AX640" i="1"/>
  <c r="AX649" i="1"/>
  <c r="AX663" i="1"/>
  <c r="AX672" i="1"/>
  <c r="AX681" i="1"/>
  <c r="AX454" i="1"/>
  <c r="AX467" i="1"/>
  <c r="AX486" i="1"/>
  <c r="AX499" i="1"/>
  <c r="AX534" i="1"/>
  <c r="AX563" i="1"/>
  <c r="AX569" i="1"/>
  <c r="AX627" i="1"/>
  <c r="AX636" i="1"/>
  <c r="AX645" i="1"/>
  <c r="AX659" i="1"/>
  <c r="AX668" i="1"/>
  <c r="AX677" i="1"/>
  <c r="AX691" i="1"/>
  <c r="AX700" i="1"/>
  <c r="AX709" i="1"/>
  <c r="AX406" i="1"/>
  <c r="AX427" i="1"/>
  <c r="AX506" i="1"/>
  <c r="AX511" i="1"/>
  <c r="AX523" i="1"/>
  <c r="AX558" i="1"/>
  <c r="AX587" i="1"/>
  <c r="AX593" i="1"/>
  <c r="AX610" i="1"/>
  <c r="AX632" i="1"/>
  <c r="AX641" i="1"/>
  <c r="AX655" i="1"/>
  <c r="AX664" i="1"/>
  <c r="AX673" i="1"/>
  <c r="AX687" i="1"/>
  <c r="AX696" i="1"/>
  <c r="AX462" i="1"/>
  <c r="AX475" i="1"/>
  <c r="AX494" i="1"/>
  <c r="AX518" i="1"/>
  <c r="AX547" i="1"/>
  <c r="AX570" i="1"/>
  <c r="AX628" i="1"/>
  <c r="AX637" i="1"/>
  <c r="AX651" i="1"/>
  <c r="AX660" i="1"/>
  <c r="AX669" i="1"/>
  <c r="AX683" i="1"/>
  <c r="AX692" i="1"/>
  <c r="AX701" i="1"/>
  <c r="AX422" i="1"/>
  <c r="AX443" i="1"/>
  <c r="AX507" i="1"/>
  <c r="AX542" i="1"/>
  <c r="AX554" i="1"/>
  <c r="AX559" i="1"/>
  <c r="AX577" i="1"/>
  <c r="AX611" i="1"/>
  <c r="AX618" i="1"/>
  <c r="AX633" i="1"/>
  <c r="AX647" i="1"/>
  <c r="AX656" i="1"/>
  <c r="AX665" i="1"/>
  <c r="AX679" i="1"/>
  <c r="AX688" i="1"/>
  <c r="AX697" i="1"/>
  <c r="AX1270" i="1"/>
  <c r="AX1247" i="1"/>
  <c r="AX1238" i="1"/>
  <c r="AX1233" i="1"/>
  <c r="AX1224" i="1"/>
  <c r="AX1215" i="1"/>
  <c r="AX1206" i="1"/>
  <c r="AX1201" i="1"/>
  <c r="AX1192" i="1"/>
  <c r="AX1183" i="1"/>
  <c r="AX1174" i="1"/>
  <c r="AX1169" i="1"/>
  <c r="AX1160" i="1"/>
  <c r="AX1151" i="1"/>
  <c r="AX1142" i="1"/>
  <c r="AX1137" i="1"/>
  <c r="AX1128" i="1"/>
  <c r="AX1119" i="1"/>
  <c r="AX1110" i="1"/>
  <c r="AX1105" i="1"/>
  <c r="AX1096" i="1"/>
  <c r="AX1087" i="1"/>
  <c r="AX1078" i="1"/>
  <c r="AX1073" i="1"/>
  <c r="AX1064" i="1"/>
  <c r="AX1055" i="1"/>
  <c r="AX1046" i="1"/>
  <c r="AX1041" i="1"/>
  <c r="AX1032" i="1"/>
  <c r="AX1023" i="1"/>
  <c r="AX1014" i="1"/>
  <c r="AX1009" i="1"/>
  <c r="AX1000" i="1"/>
  <c r="AX991" i="1"/>
  <c r="AX982" i="1"/>
  <c r="AX977" i="1"/>
  <c r="AX968" i="1"/>
  <c r="AX959" i="1"/>
  <c r="AX950" i="1"/>
  <c r="AX945" i="1"/>
  <c r="AX936" i="1"/>
  <c r="AX927" i="1"/>
  <c r="AX918" i="1"/>
  <c r="AX913" i="1"/>
  <c r="AX904" i="1"/>
  <c r="AX895" i="1"/>
  <c r="AX886" i="1"/>
  <c r="AX881" i="1"/>
  <c r="AX872" i="1"/>
  <c r="AX863" i="1"/>
  <c r="AX854" i="1"/>
  <c r="AX849" i="1"/>
  <c r="AX840" i="1"/>
  <c r="AX831" i="1"/>
  <c r="AX822" i="1"/>
  <c r="AX817" i="1"/>
  <c r="AX808" i="1"/>
  <c r="AX799" i="1"/>
  <c r="AX790" i="1"/>
  <c r="AX785" i="1"/>
  <c r="AX776" i="1"/>
  <c r="AX767" i="1"/>
  <c r="AX758" i="1"/>
  <c r="AX753" i="1"/>
  <c r="AX744" i="1"/>
  <c r="AX735" i="1"/>
  <c r="AX726" i="1"/>
  <c r="AX721" i="1"/>
  <c r="AX716" i="1"/>
  <c r="AX706" i="1"/>
  <c r="AX694" i="1"/>
  <c r="AX1274" i="1"/>
  <c r="AX1251" i="1"/>
  <c r="AX1242" i="1"/>
  <c r="AX1237" i="1"/>
  <c r="AX1228" i="1"/>
  <c r="AX1219" i="1"/>
  <c r="AX1210" i="1"/>
  <c r="AX1205" i="1"/>
  <c r="AX1196" i="1"/>
  <c r="AX1187" i="1"/>
  <c r="AX1178" i="1"/>
  <c r="AX1173" i="1"/>
  <c r="AX1164" i="1"/>
  <c r="AX1155" i="1"/>
  <c r="AX1146" i="1"/>
  <c r="AX1141" i="1"/>
  <c r="AX1132" i="1"/>
  <c r="AX1123" i="1"/>
  <c r="AX1114" i="1"/>
  <c r="AX1109" i="1"/>
  <c r="AX1100" i="1"/>
  <c r="AX1091" i="1"/>
  <c r="AX1082" i="1"/>
  <c r="AX1077" i="1"/>
  <c r="AX1068" i="1"/>
  <c r="AX1059" i="1"/>
  <c r="AX1050" i="1"/>
  <c r="AX1045" i="1"/>
  <c r="AX1036" i="1"/>
  <c r="AX1027" i="1"/>
  <c r="AX1018" i="1"/>
  <c r="AX1013" i="1"/>
  <c r="AX1004" i="1"/>
  <c r="AX995" i="1"/>
  <c r="AX986" i="1"/>
  <c r="AX981" i="1"/>
  <c r="AX972" i="1"/>
  <c r="AX963" i="1"/>
  <c r="AX954" i="1"/>
  <c r="AX949" i="1"/>
  <c r="AX940" i="1"/>
  <c r="AX931" i="1"/>
  <c r="AX922" i="1"/>
  <c r="AX917" i="1"/>
  <c r="AX908" i="1"/>
  <c r="AX899" i="1"/>
  <c r="AX890" i="1"/>
  <c r="AX885" i="1"/>
  <c r="AX876" i="1"/>
  <c r="AX867" i="1"/>
  <c r="AX858" i="1"/>
  <c r="AX853" i="1"/>
  <c r="AX844" i="1"/>
  <c r="AX835" i="1"/>
  <c r="AX826" i="1"/>
  <c r="AX821" i="1"/>
  <c r="AX812" i="1"/>
  <c r="AX803" i="1"/>
  <c r="AX794" i="1"/>
  <c r="AX789" i="1"/>
  <c r="AX780" i="1"/>
  <c r="AX771" i="1"/>
  <c r="AX762" i="1"/>
  <c r="AX757" i="1"/>
  <c r="AX748" i="1"/>
  <c r="AX739" i="1"/>
  <c r="AX730" i="1"/>
  <c r="AX725" i="1"/>
  <c r="AX711" i="1"/>
  <c r="AX705" i="1"/>
  <c r="AX693" i="1"/>
  <c r="AX680" i="1"/>
  <c r="AX652" i="1"/>
  <c r="AX607" i="1"/>
  <c r="AX1246" i="1"/>
  <c r="AX1232" i="1"/>
  <c r="AX1223" i="1"/>
  <c r="AX1214" i="1"/>
  <c r="AX1209" i="1"/>
  <c r="AX1200" i="1"/>
  <c r="AX1191" i="1"/>
  <c r="AX1182" i="1"/>
  <c r="AX1177" i="1"/>
  <c r="AX1168" i="1"/>
  <c r="AX1159" i="1"/>
  <c r="AX1150" i="1"/>
  <c r="AX1145" i="1"/>
  <c r="AX1136" i="1"/>
  <c r="AX1127" i="1"/>
  <c r="AX1118" i="1"/>
  <c r="AX1113" i="1"/>
  <c r="AX1104" i="1"/>
  <c r="AX1095" i="1"/>
  <c r="AX1086" i="1"/>
  <c r="AX1081" i="1"/>
  <c r="AX1072" i="1"/>
  <c r="AX1063" i="1"/>
  <c r="AX1054" i="1"/>
  <c r="AX1049" i="1"/>
  <c r="AX1040" i="1"/>
  <c r="AX1031" i="1"/>
  <c r="AX1022" i="1"/>
  <c r="AX1017" i="1"/>
  <c r="AX1008" i="1"/>
  <c r="AX999" i="1"/>
  <c r="AX990" i="1"/>
  <c r="AX985" i="1"/>
  <c r="AX976" i="1"/>
  <c r="AX967" i="1"/>
  <c r="AX958" i="1"/>
  <c r="AX953" i="1"/>
  <c r="AX944" i="1"/>
  <c r="AX935" i="1"/>
  <c r="AX926" i="1"/>
  <c r="AX921" i="1"/>
  <c r="AX912" i="1"/>
  <c r="AX903" i="1"/>
  <c r="AX894" i="1"/>
  <c r="AX889" i="1"/>
  <c r="AX880" i="1"/>
  <c r="AX871" i="1"/>
  <c r="AX862" i="1"/>
  <c r="AX857" i="1"/>
  <c r="AX848" i="1"/>
  <c r="AX839" i="1"/>
  <c r="AX830" i="1"/>
  <c r="AX825" i="1"/>
  <c r="AX816" i="1"/>
  <c r="AX807" i="1"/>
  <c r="AX798" i="1"/>
  <c r="AX793" i="1"/>
  <c r="AX784" i="1"/>
  <c r="AX775" i="1"/>
  <c r="AX766" i="1"/>
  <c r="AX761" i="1"/>
  <c r="AX752" i="1"/>
  <c r="AX743" i="1"/>
  <c r="AX734" i="1"/>
  <c r="AX729" i="1"/>
  <c r="AX720" i="1"/>
  <c r="AX715" i="1"/>
  <c r="AX666" i="1"/>
  <c r="AX1259" i="1"/>
  <c r="AX1250" i="1"/>
  <c r="AX1245" i="1"/>
  <c r="AX1236" i="1"/>
  <c r="AX1227" i="1"/>
  <c r="AX1218" i="1"/>
  <c r="AX1213" i="1"/>
  <c r="AX1204" i="1"/>
  <c r="AX1195" i="1"/>
  <c r="AX1186" i="1"/>
  <c r="AX1181" i="1"/>
  <c r="AX1172" i="1"/>
  <c r="AX1163" i="1"/>
  <c r="AX1154" i="1"/>
  <c r="AX1149" i="1"/>
  <c r="AX1140" i="1"/>
  <c r="AX1131" i="1"/>
  <c r="AX1122" i="1"/>
  <c r="AX1117" i="1"/>
  <c r="AX1108" i="1"/>
  <c r="AX1099" i="1"/>
  <c r="AX1090" i="1"/>
  <c r="AX1085" i="1"/>
  <c r="AX1076" i="1"/>
  <c r="AX1067" i="1"/>
  <c r="AX1058" i="1"/>
  <c r="AX1053" i="1"/>
  <c r="AX1044" i="1"/>
  <c r="AX1035" i="1"/>
  <c r="AX1026" i="1"/>
  <c r="AX1021" i="1"/>
  <c r="AX1012" i="1"/>
  <c r="AX1003" i="1"/>
  <c r="AX994" i="1"/>
  <c r="AX989" i="1"/>
  <c r="AX980" i="1"/>
  <c r="AX971" i="1"/>
  <c r="AX962" i="1"/>
  <c r="AX957" i="1"/>
  <c r="AX948" i="1"/>
  <c r="AX939" i="1"/>
  <c r="AX930" i="1"/>
  <c r="AX925" i="1"/>
  <c r="AX916" i="1"/>
  <c r="AX907" i="1"/>
  <c r="AX898" i="1"/>
  <c r="AX893" i="1"/>
  <c r="AX884" i="1"/>
  <c r="AX875" i="1"/>
  <c r="AX866" i="1"/>
  <c r="AX861" i="1"/>
  <c r="AX852" i="1"/>
  <c r="AX843" i="1"/>
  <c r="AX834" i="1"/>
  <c r="AX829" i="1"/>
  <c r="AX820" i="1"/>
  <c r="AX811" i="1"/>
  <c r="AX802" i="1"/>
  <c r="AX797" i="1"/>
  <c r="AX788" i="1"/>
  <c r="AX779" i="1"/>
  <c r="AX770" i="1"/>
  <c r="AX765" i="1"/>
  <c r="AX756" i="1"/>
  <c r="AX747" i="1"/>
  <c r="AX738" i="1"/>
  <c r="AX733" i="1"/>
  <c r="AX724" i="1"/>
  <c r="AX710" i="1"/>
  <c r="AX704" i="1"/>
  <c r="AX698" i="1"/>
  <c r="AX643" i="1"/>
  <c r="AX621" i="1"/>
  <c r="AX1190" i="1"/>
  <c r="AX1158" i="1"/>
  <c r="AX1153" i="1"/>
  <c r="AX1144" i="1"/>
  <c r="AX1135" i="1"/>
  <c r="AX1126" i="1"/>
  <c r="AX1121" i="1"/>
  <c r="AX1112" i="1"/>
  <c r="AX1103" i="1"/>
  <c r="AX1094" i="1"/>
  <c r="AX1089" i="1"/>
  <c r="AX1080" i="1"/>
  <c r="AX1071" i="1"/>
  <c r="AX1062" i="1"/>
  <c r="AX1057" i="1"/>
  <c r="AX1048" i="1"/>
  <c r="AX1039" i="1"/>
  <c r="AX1030" i="1"/>
  <c r="AX1025" i="1"/>
  <c r="AX1016" i="1"/>
  <c r="AX1007" i="1"/>
  <c r="AX998" i="1"/>
  <c r="AX993" i="1"/>
  <c r="AX984" i="1"/>
  <c r="AX975" i="1"/>
  <c r="AX966" i="1"/>
  <c r="AX961" i="1"/>
  <c r="AX952" i="1"/>
  <c r="AX943" i="1"/>
  <c r="AX934" i="1"/>
  <c r="AX929" i="1"/>
  <c r="AX920" i="1"/>
  <c r="AX911" i="1"/>
  <c r="AX902" i="1"/>
  <c r="AX897" i="1"/>
  <c r="AX888" i="1"/>
  <c r="AX879" i="1"/>
  <c r="AX870" i="1"/>
  <c r="AX865" i="1"/>
  <c r="AX856" i="1"/>
  <c r="AX847" i="1"/>
  <c r="AX838" i="1"/>
  <c r="AX833" i="1"/>
  <c r="AX824" i="1"/>
  <c r="AX815" i="1"/>
  <c r="AX806" i="1"/>
  <c r="AX801" i="1"/>
  <c r="AX792" i="1"/>
  <c r="AX783" i="1"/>
  <c r="AX774" i="1"/>
  <c r="AX769" i="1"/>
  <c r="AX760" i="1"/>
  <c r="AX751" i="1"/>
  <c r="AX742" i="1"/>
  <c r="AX737" i="1"/>
  <c r="AX728" i="1"/>
  <c r="AX719" i="1"/>
  <c r="AX684" i="1"/>
  <c r="AX671" i="1"/>
  <c r="AX514" i="1"/>
  <c r="AX1258" i="1"/>
  <c r="AX1244" i="1"/>
  <c r="AX1235" i="1"/>
  <c r="AX1226" i="1"/>
  <c r="AX1221" i="1"/>
  <c r="AX1212" i="1"/>
  <c r="AX1203" i="1"/>
  <c r="AX1194" i="1"/>
  <c r="AX1189" i="1"/>
  <c r="AX1180" i="1"/>
  <c r="AX1171" i="1"/>
  <c r="AX1162" i="1"/>
  <c r="AX1157" i="1"/>
  <c r="AX1148" i="1"/>
  <c r="AX1139" i="1"/>
  <c r="AX1130" i="1"/>
  <c r="AX1125" i="1"/>
  <c r="AX1116" i="1"/>
  <c r="AX1107" i="1"/>
  <c r="AX1098" i="1"/>
  <c r="AX1093" i="1"/>
  <c r="AX1084" i="1"/>
  <c r="AX1075" i="1"/>
  <c r="AX1066" i="1"/>
  <c r="AX1061" i="1"/>
  <c r="AX1052" i="1"/>
  <c r="AX1043" i="1"/>
  <c r="AX1034" i="1"/>
  <c r="AX1029" i="1"/>
  <c r="AX1020" i="1"/>
  <c r="AX1011" i="1"/>
  <c r="AX1002" i="1"/>
  <c r="AX997" i="1"/>
  <c r="AX988" i="1"/>
  <c r="AX979" i="1"/>
  <c r="AX970" i="1"/>
  <c r="AX965" i="1"/>
  <c r="AX956" i="1"/>
  <c r="AX947" i="1"/>
  <c r="AX938" i="1"/>
  <c r="AX933" i="1"/>
  <c r="AX924" i="1"/>
  <c r="AX915" i="1"/>
  <c r="AX906" i="1"/>
  <c r="AX901" i="1"/>
  <c r="AX892" i="1"/>
  <c r="AX883" i="1"/>
  <c r="AX874" i="1"/>
  <c r="AX869" i="1"/>
  <c r="AX860" i="1"/>
  <c r="AX851" i="1"/>
  <c r="AX842" i="1"/>
  <c r="AX837" i="1"/>
  <c r="AX828" i="1"/>
  <c r="AX819" i="1"/>
  <c r="AX810" i="1"/>
  <c r="AX805" i="1"/>
  <c r="AX796" i="1"/>
  <c r="AX787" i="1"/>
  <c r="AX778" i="1"/>
  <c r="AX773" i="1"/>
  <c r="AX764" i="1"/>
  <c r="AX755" i="1"/>
  <c r="AX746" i="1"/>
  <c r="AX741" i="1"/>
  <c r="AX732" i="1"/>
  <c r="AX723" i="1"/>
  <c r="AX713" i="1"/>
  <c r="AX703" i="1"/>
  <c r="AX634" i="1"/>
  <c r="AX702" i="1"/>
  <c r="AX670" i="1"/>
  <c r="AX638" i="1"/>
  <c r="AX624" i="1"/>
  <c r="AX583" i="1"/>
  <c r="AX571" i="1"/>
  <c r="AX537" i="1"/>
  <c r="AX519" i="1"/>
  <c r="AX513" i="1"/>
  <c r="AX489" i="1"/>
  <c r="AX476" i="1"/>
  <c r="AX457" i="1"/>
  <c r="AX401" i="1"/>
  <c r="AX379" i="1"/>
  <c r="AX358" i="1"/>
  <c r="AX130" i="1"/>
  <c r="AX450" i="1"/>
  <c r="AX466" i="1"/>
  <c r="AX482" i="1"/>
  <c r="AX498" i="1"/>
  <c r="AX382" i="1"/>
  <c r="AX387" i="1"/>
  <c r="AX398" i="1"/>
  <c r="AX403" i="1"/>
  <c r="AX414" i="1"/>
  <c r="AX419" i="1"/>
  <c r="AX430" i="1"/>
  <c r="AX435" i="1"/>
  <c r="AX451" i="1"/>
  <c r="AX426" i="1"/>
  <c r="AX431" i="1"/>
  <c r="AX442" i="1"/>
  <c r="AX447" i="1"/>
  <c r="AX458" i="1"/>
  <c r="AX463" i="1"/>
  <c r="AX474" i="1"/>
  <c r="AX479" i="1"/>
  <c r="AX490" i="1"/>
  <c r="AX495" i="1"/>
  <c r="AX219" i="1"/>
  <c r="AX299" i="1"/>
  <c r="AX311" i="1"/>
  <c r="AX342" i="1"/>
  <c r="AX674" i="1"/>
  <c r="AX642" i="1"/>
  <c r="AX623" i="1"/>
  <c r="AX606" i="1"/>
  <c r="AX600" i="1"/>
  <c r="AX594" i="1"/>
  <c r="AX582" i="1"/>
  <c r="AX565" i="1"/>
  <c r="AX530" i="1"/>
  <c r="AX524" i="1"/>
  <c r="AX449" i="1"/>
  <c r="AX428" i="1"/>
  <c r="AX407" i="1"/>
  <c r="AX364" i="1"/>
  <c r="AX343" i="1"/>
  <c r="AX272" i="1"/>
  <c r="AX264" i="1"/>
  <c r="AX678" i="1"/>
  <c r="AX646" i="1"/>
  <c r="AX622" i="1"/>
  <c r="AX617" i="1"/>
  <c r="AX605" i="1"/>
  <c r="AX599" i="1"/>
  <c r="AX581" i="1"/>
  <c r="AX553" i="1"/>
  <c r="AX535" i="1"/>
  <c r="AX529" i="1"/>
  <c r="AX487" i="1"/>
  <c r="AX481" i="1"/>
  <c r="AX455" i="1"/>
  <c r="AX385" i="1"/>
  <c r="AX363" i="1"/>
  <c r="AX714" i="1"/>
  <c r="AX682" i="1"/>
  <c r="AX650" i="1"/>
  <c r="AX616" i="1"/>
  <c r="AX580" i="1"/>
  <c r="AX546" i="1"/>
  <c r="AX540" i="1"/>
  <c r="AX517" i="1"/>
  <c r="AX412" i="1"/>
  <c r="AX391" i="1"/>
  <c r="AX348" i="1"/>
  <c r="AX686" i="1"/>
  <c r="AX654" i="1"/>
  <c r="AX615" i="1"/>
  <c r="AX603" i="1"/>
  <c r="AX592" i="1"/>
  <c r="AX551" i="1"/>
  <c r="AX545" i="1"/>
  <c r="AX505" i="1"/>
  <c r="AX492" i="1"/>
  <c r="AX473" i="1"/>
  <c r="AX460" i="1"/>
  <c r="AX433" i="1"/>
  <c r="AX369" i="1"/>
  <c r="AX347" i="1"/>
  <c r="AX690" i="1"/>
  <c r="AX658" i="1"/>
  <c r="AX626" i="1"/>
  <c r="AX614" i="1"/>
  <c r="AX597" i="1"/>
  <c r="AX591" i="1"/>
  <c r="AX574" i="1"/>
  <c r="AX568" i="1"/>
  <c r="AX562" i="1"/>
  <c r="AX556" i="1"/>
  <c r="AX533" i="1"/>
  <c r="AX439" i="1"/>
  <c r="AX396" i="1"/>
  <c r="AX375" i="1"/>
  <c r="AX331" i="1"/>
  <c r="AX213" i="1"/>
  <c r="AX630" i="1"/>
  <c r="AX613" i="1"/>
  <c r="AX590" i="1"/>
  <c r="AX585" i="1"/>
  <c r="AX573" i="1"/>
  <c r="AX567" i="1"/>
  <c r="AX561" i="1"/>
  <c r="AX521" i="1"/>
  <c r="AX503" i="1"/>
  <c r="AX497" i="1"/>
  <c r="AX471" i="1"/>
  <c r="AX465" i="1"/>
  <c r="AX417" i="1"/>
  <c r="AX353" i="1"/>
  <c r="AX338" i="1"/>
  <c r="AX235" i="1"/>
  <c r="AX227" i="1"/>
  <c r="AX336" i="1"/>
  <c r="AX324" i="1"/>
  <c r="AX318" i="1"/>
  <c r="AX305" i="1"/>
  <c r="AX279" i="1"/>
  <c r="AX271" i="1"/>
  <c r="AX263" i="1"/>
  <c r="AX234" i="1"/>
  <c r="AX189" i="1"/>
  <c r="AX144" i="1"/>
  <c r="AX136" i="1"/>
  <c r="AX106" i="1"/>
  <c r="AX127" i="1"/>
  <c r="AX159" i="1"/>
  <c r="AX191" i="1"/>
  <c r="AX223" i="1"/>
  <c r="AX620" i="1"/>
  <c r="AX588" i="1"/>
  <c r="AX560" i="1"/>
  <c r="AX544" i="1"/>
  <c r="AX528" i="1"/>
  <c r="AX512" i="1"/>
  <c r="AX496" i="1"/>
  <c r="AX480" i="1"/>
  <c r="AX464" i="1"/>
  <c r="AX448" i="1"/>
  <c r="AX432" i="1"/>
  <c r="AX416" i="1"/>
  <c r="AX400" i="1"/>
  <c r="AX384" i="1"/>
  <c r="AX368" i="1"/>
  <c r="AX352" i="1"/>
  <c r="AX335" i="1"/>
  <c r="AX330" i="1"/>
  <c r="AX323" i="1"/>
  <c r="AX317" i="1"/>
  <c r="AX304" i="1"/>
  <c r="AX291" i="1"/>
  <c r="AX285" i="1"/>
  <c r="AX262" i="1"/>
  <c r="AX255" i="1"/>
  <c r="AX249" i="1"/>
  <c r="AX226" i="1"/>
  <c r="AX211" i="1"/>
  <c r="AX203" i="1"/>
  <c r="AX195" i="1"/>
  <c r="AX181" i="1"/>
  <c r="AX151" i="1"/>
  <c r="AX143" i="1"/>
  <c r="AX135" i="1"/>
  <c r="AX501" i="1"/>
  <c r="AX485" i="1"/>
  <c r="AX469" i="1"/>
  <c r="AX453" i="1"/>
  <c r="AX437" i="1"/>
  <c r="AX421" i="1"/>
  <c r="AX415" i="1"/>
  <c r="AX410" i="1"/>
  <c r="AX405" i="1"/>
  <c r="AX399" i="1"/>
  <c r="AX394" i="1"/>
  <c r="AX389" i="1"/>
  <c r="AX383" i="1"/>
  <c r="AX378" i="1"/>
  <c r="AX373" i="1"/>
  <c r="AX367" i="1"/>
  <c r="AX362" i="1"/>
  <c r="AX357" i="1"/>
  <c r="AX351" i="1"/>
  <c r="AX346" i="1"/>
  <c r="AX341" i="1"/>
  <c r="AX334" i="1"/>
  <c r="AX329" i="1"/>
  <c r="AX322" i="1"/>
  <c r="AX316" i="1"/>
  <c r="AX310" i="1"/>
  <c r="AX303" i="1"/>
  <c r="AX298" i="1"/>
  <c r="AX277" i="1"/>
  <c r="AX240" i="1"/>
  <c r="AX232" i="1"/>
  <c r="AX202" i="1"/>
  <c r="AX187" i="1"/>
  <c r="AX157" i="1"/>
  <c r="AX112" i="1"/>
  <c r="AX596" i="1"/>
  <c r="AX564" i="1"/>
  <c r="AX548" i="1"/>
  <c r="AX532" i="1"/>
  <c r="AX516" i="1"/>
  <c r="AX500" i="1"/>
  <c r="AX484" i="1"/>
  <c r="AX468" i="1"/>
  <c r="AX452" i="1"/>
  <c r="AX436" i="1"/>
  <c r="AX420" i="1"/>
  <c r="AX404" i="1"/>
  <c r="AX388" i="1"/>
  <c r="AX372" i="1"/>
  <c r="AX356" i="1"/>
  <c r="AX315" i="1"/>
  <c r="AX302" i="1"/>
  <c r="AX290" i="1"/>
  <c r="AX283" i="1"/>
  <c r="AX268" i="1"/>
  <c r="AX247" i="1"/>
  <c r="AX239" i="1"/>
  <c r="AX231" i="1"/>
  <c r="AX194" i="1"/>
  <c r="AX179" i="1"/>
  <c r="AX171" i="1"/>
  <c r="AX163" i="1"/>
  <c r="AX149" i="1"/>
  <c r="AX119" i="1"/>
  <c r="AX111" i="1"/>
  <c r="AX441" i="1"/>
  <c r="AX425" i="1"/>
  <c r="AX409" i="1"/>
  <c r="AX393" i="1"/>
  <c r="AX377" i="1"/>
  <c r="AX371" i="1"/>
  <c r="AX366" i="1"/>
  <c r="AX361" i="1"/>
  <c r="AX355" i="1"/>
  <c r="AX350" i="1"/>
  <c r="AX345" i="1"/>
  <c r="AX339" i="1"/>
  <c r="AX333" i="1"/>
  <c r="AX327" i="1"/>
  <c r="AX321" i="1"/>
  <c r="AX314" i="1"/>
  <c r="AX309" i="1"/>
  <c r="AX296" i="1"/>
  <c r="AX275" i="1"/>
  <c r="AX267" i="1"/>
  <c r="AX259" i="1"/>
  <c r="AX253" i="1"/>
  <c r="AX208" i="1"/>
  <c r="AX200" i="1"/>
  <c r="AX170" i="1"/>
  <c r="AX155" i="1"/>
  <c r="AX125" i="1"/>
  <c r="AX604" i="1"/>
  <c r="AX572" i="1"/>
  <c r="AX552" i="1"/>
  <c r="AX536" i="1"/>
  <c r="AX520" i="1"/>
  <c r="AX504" i="1"/>
  <c r="AX488" i="1"/>
  <c r="AX472" i="1"/>
  <c r="AX456" i="1"/>
  <c r="AX440" i="1"/>
  <c r="AX424" i="1"/>
  <c r="AX408" i="1"/>
  <c r="AX392" i="1"/>
  <c r="AX376" i="1"/>
  <c r="AX360" i="1"/>
  <c r="AX344" i="1"/>
  <c r="AX326" i="1"/>
  <c r="AX313" i="1"/>
  <c r="AX301" i="1"/>
  <c r="AX295" i="1"/>
  <c r="AX266" i="1"/>
  <c r="AX245" i="1"/>
  <c r="AX215" i="1"/>
  <c r="AX207" i="1"/>
  <c r="AX199" i="1"/>
  <c r="AX162" i="1"/>
  <c r="AX147" i="1"/>
  <c r="AX139" i="1"/>
  <c r="AX131" i="1"/>
  <c r="AX117" i="1"/>
  <c r="AX608" i="1"/>
  <c r="AX576" i="1"/>
  <c r="AX557" i="1"/>
  <c r="AX541" i="1"/>
  <c r="AX525" i="1"/>
  <c r="AX509" i="1"/>
  <c r="AX493" i="1"/>
  <c r="AX477" i="1"/>
  <c r="AX461" i="1"/>
  <c r="AX445" i="1"/>
  <c r="AX434" i="1"/>
  <c r="AX429" i="1"/>
  <c r="AX418" i="1"/>
  <c r="AX413" i="1"/>
  <c r="AX402" i="1"/>
  <c r="AX397" i="1"/>
  <c r="AX386" i="1"/>
  <c r="AX381" i="1"/>
  <c r="AX370" i="1"/>
  <c r="AX365" i="1"/>
  <c r="AX354" i="1"/>
  <c r="AX349" i="1"/>
  <c r="AX325" i="1"/>
  <c r="AX319" i="1"/>
  <c r="AX307" i="1"/>
  <c r="AX294" i="1"/>
  <c r="AX287" i="1"/>
  <c r="AX281" i="1"/>
  <c r="AX258" i="1"/>
  <c r="AX251" i="1"/>
  <c r="AX221" i="1"/>
  <c r="AX176" i="1"/>
  <c r="AX168" i="1"/>
  <c r="AX138" i="1"/>
  <c r="AX123" i="1"/>
  <c r="AX320" i="1"/>
  <c r="AX297" i="1"/>
  <c r="AX284" i="1"/>
  <c r="AX278" i="1"/>
  <c r="AX265" i="1"/>
  <c r="AX252" i="1"/>
  <c r="AX246" i="1"/>
  <c r="AX233" i="1"/>
  <c r="AX220" i="1"/>
  <c r="AX214" i="1"/>
  <c r="AX201" i="1"/>
  <c r="AX188" i="1"/>
  <c r="AX182" i="1"/>
  <c r="AX169" i="1"/>
  <c r="AX156" i="1"/>
  <c r="AX150" i="1"/>
  <c r="AX137" i="1"/>
  <c r="AX124" i="1"/>
  <c r="AX118" i="1"/>
  <c r="AX328" i="1"/>
  <c r="AX289" i="1"/>
  <c r="AX276" i="1"/>
  <c r="AX270" i="1"/>
  <c r="AX257" i="1"/>
  <c r="AX244" i="1"/>
  <c r="AX238" i="1"/>
  <c r="AX225" i="1"/>
  <c r="AX212" i="1"/>
  <c r="AX206" i="1"/>
  <c r="AX193" i="1"/>
  <c r="AX180" i="1"/>
  <c r="AX174" i="1"/>
  <c r="AX161" i="1"/>
  <c r="AX148" i="1"/>
  <c r="AX142" i="1"/>
  <c r="AX129" i="1"/>
  <c r="AX116" i="1"/>
  <c r="AX110" i="1"/>
  <c r="AX332" i="1"/>
  <c r="AX300" i="1"/>
  <c r="AX288" i="1"/>
  <c r="AX282" i="1"/>
  <c r="AX269" i="1"/>
  <c r="AX256" i="1"/>
  <c r="AX250" i="1"/>
  <c r="AX237" i="1"/>
  <c r="AX224" i="1"/>
  <c r="AX218" i="1"/>
  <c r="AX205" i="1"/>
  <c r="AX192" i="1"/>
  <c r="AX186" i="1"/>
  <c r="AX173" i="1"/>
  <c r="AX160" i="1"/>
  <c r="AX154" i="1"/>
  <c r="AX141" i="1"/>
  <c r="AX128" i="1"/>
  <c r="AX122" i="1"/>
  <c r="AX109" i="1"/>
  <c r="AX236" i="1"/>
  <c r="AX230" i="1"/>
  <c r="AX217" i="1"/>
  <c r="AX204" i="1"/>
  <c r="AX198" i="1"/>
  <c r="AX185" i="1"/>
  <c r="AX172" i="1"/>
  <c r="AX166" i="1"/>
  <c r="AX153" i="1"/>
  <c r="AX140" i="1"/>
  <c r="AX134" i="1"/>
  <c r="AX121" i="1"/>
  <c r="AX108" i="1"/>
  <c r="AX340" i="1"/>
  <c r="AX308" i="1"/>
  <c r="AX293" i="1"/>
  <c r="AX280" i="1"/>
  <c r="AX274" i="1"/>
  <c r="AX261" i="1"/>
  <c r="AX248" i="1"/>
  <c r="AX242" i="1"/>
  <c r="AX229" i="1"/>
  <c r="AX216" i="1"/>
  <c r="AX210" i="1"/>
  <c r="AX197" i="1"/>
  <c r="AX184" i="1"/>
  <c r="AX178" i="1"/>
  <c r="AX165" i="1"/>
  <c r="AX152" i="1"/>
  <c r="AX146" i="1"/>
  <c r="AX133" i="1"/>
  <c r="AX120" i="1"/>
  <c r="AX114" i="1"/>
  <c r="AX312" i="1"/>
  <c r="AX292" i="1"/>
  <c r="AX286" i="1"/>
  <c r="AX273" i="1"/>
  <c r="AX260" i="1"/>
  <c r="AX254" i="1"/>
  <c r="AX241" i="1"/>
  <c r="AX228" i="1"/>
  <c r="AX222" i="1"/>
  <c r="AX209" i="1"/>
  <c r="AX196" i="1"/>
  <c r="AX190" i="1"/>
  <c r="AX177" i="1"/>
  <c r="AX164" i="1"/>
  <c r="AX158" i="1"/>
  <c r="AX145" i="1"/>
  <c r="AX132" i="1"/>
  <c r="AX126" i="1"/>
  <c r="AX113" i="1"/>
  <c r="AT1373" i="1"/>
  <c r="AT1372" i="1" s="1"/>
  <c r="AT1371" i="1" s="1"/>
  <c r="AT1370" i="1" s="1"/>
  <c r="AT1369" i="1" s="1"/>
  <c r="AT1368" i="1" s="1"/>
  <c r="AT1367" i="1" s="1"/>
  <c r="AT1366" i="1" s="1"/>
  <c r="AT1365" i="1" s="1"/>
  <c r="AT1364" i="1" s="1"/>
  <c r="AT1363" i="1" s="1"/>
  <c r="AT1362" i="1" s="1"/>
  <c r="AT1361" i="1" s="1"/>
  <c r="AT1360" i="1" s="1"/>
  <c r="AT1359" i="1" s="1"/>
  <c r="AT1358" i="1" s="1"/>
  <c r="AT1357" i="1" s="1"/>
  <c r="AT1356" i="1" s="1"/>
  <c r="AT1355" i="1" s="1"/>
  <c r="AT1354" i="1" s="1"/>
  <c r="AT1353" i="1" s="1"/>
  <c r="AT1352" i="1" s="1"/>
  <c r="AT1351" i="1" s="1"/>
  <c r="AT1350" i="1" s="1"/>
  <c r="AT1349" i="1" s="1"/>
  <c r="AT1348" i="1" s="1"/>
  <c r="AT1347" i="1" s="1"/>
  <c r="AT1346" i="1" s="1"/>
  <c r="AT1345" i="1" s="1"/>
  <c r="AT1344" i="1" s="1"/>
  <c r="AT1343" i="1" s="1"/>
  <c r="AT1342" i="1" s="1"/>
  <c r="AT1341" i="1" s="1"/>
  <c r="AT1340" i="1" s="1"/>
  <c r="AT1339" i="1" s="1"/>
  <c r="AT1338" i="1" s="1"/>
  <c r="AT1337" i="1" s="1"/>
  <c r="AT1336" i="1" s="1"/>
  <c r="AT1335" i="1" s="1"/>
  <c r="AT1334" i="1" s="1"/>
  <c r="AT1333" i="1" s="1"/>
  <c r="AT1332" i="1" s="1"/>
  <c r="AT1331" i="1" s="1"/>
  <c r="AT1330" i="1" s="1"/>
  <c r="AT1329" i="1" s="1"/>
  <c r="AT1328" i="1" s="1"/>
  <c r="AT1327" i="1" s="1"/>
  <c r="AT1326" i="1" s="1"/>
  <c r="AT1325" i="1" s="1"/>
  <c r="AT1324" i="1" s="1"/>
  <c r="AT1323" i="1" s="1"/>
  <c r="AT1322" i="1" s="1"/>
  <c r="AT1321" i="1" s="1"/>
  <c r="AT1320" i="1" s="1"/>
  <c r="AT1319" i="1" s="1"/>
  <c r="AT1318" i="1" s="1"/>
  <c r="AT1317" i="1" s="1"/>
  <c r="AT1316" i="1" s="1"/>
  <c r="AT1315" i="1" s="1"/>
  <c r="AT1314" i="1" s="1"/>
  <c r="AT1313" i="1" s="1"/>
  <c r="AT1312" i="1" s="1"/>
  <c r="AT1311" i="1" s="1"/>
  <c r="AT1310" i="1" s="1"/>
  <c r="AT1309" i="1" s="1"/>
  <c r="AT1308" i="1" s="1"/>
  <c r="AT1307" i="1" s="1"/>
  <c r="AT1306" i="1" s="1"/>
  <c r="AT1305" i="1" s="1"/>
  <c r="AT1304" i="1" s="1"/>
  <c r="AT1303" i="1" s="1"/>
  <c r="AT1302" i="1" s="1"/>
  <c r="AT1301" i="1" s="1"/>
  <c r="AT1300" i="1" s="1"/>
  <c r="AT1299" i="1" s="1"/>
  <c r="AT1298" i="1" s="1"/>
  <c r="AT1297" i="1" s="1"/>
  <c r="AT1296" i="1" s="1"/>
  <c r="AT1295" i="1" s="1"/>
  <c r="AT1294" i="1" s="1"/>
  <c r="AT1293" i="1" s="1"/>
  <c r="AT1292" i="1" s="1"/>
  <c r="AT1291" i="1" s="1"/>
  <c r="AT1290" i="1" s="1"/>
  <c r="AT1289" i="1" s="1"/>
  <c r="AT1288" i="1" s="1"/>
  <c r="AT1287" i="1" s="1"/>
  <c r="AT1286" i="1" s="1"/>
  <c r="AT1285" i="1" s="1"/>
  <c r="AT1284" i="1" s="1"/>
  <c r="AT1283" i="1" s="1"/>
  <c r="AT1282" i="1" s="1"/>
  <c r="AT1281" i="1" s="1"/>
  <c r="AT1280" i="1" s="1"/>
  <c r="AT1279" i="1" s="1"/>
  <c r="AT1278" i="1" s="1"/>
  <c r="AT1277" i="1" s="1"/>
  <c r="AT1276" i="1" s="1"/>
  <c r="AT1275" i="1" s="1"/>
  <c r="AT1274" i="1" s="1"/>
  <c r="AT1273" i="1" s="1"/>
  <c r="AT1272" i="1" s="1"/>
  <c r="AT1271" i="1" s="1"/>
  <c r="AT1270" i="1" s="1"/>
  <c r="AT1269" i="1" s="1"/>
  <c r="AT1268" i="1" s="1"/>
  <c r="AT1267" i="1" s="1"/>
  <c r="AT1266" i="1" s="1"/>
  <c r="AT1265" i="1" s="1"/>
  <c r="AT1264" i="1" s="1"/>
  <c r="AT1263" i="1" s="1"/>
  <c r="AT1262" i="1" s="1"/>
  <c r="AT1261" i="1" s="1"/>
  <c r="AT1260" i="1" s="1"/>
  <c r="AT1259" i="1" s="1"/>
  <c r="AT1258" i="1" s="1"/>
  <c r="AT1257" i="1" s="1"/>
  <c r="AT1256" i="1" s="1"/>
  <c r="AT1255" i="1" s="1"/>
  <c r="AT1254" i="1" s="1"/>
  <c r="AT1253" i="1" s="1"/>
  <c r="AT1252" i="1" s="1"/>
  <c r="AT1251" i="1" s="1"/>
  <c r="AT1250" i="1" s="1"/>
  <c r="AT1249" i="1" s="1"/>
  <c r="AT1248" i="1" s="1"/>
  <c r="AT1247" i="1" s="1"/>
  <c r="AT1246" i="1" s="1"/>
  <c r="AT1245" i="1" s="1"/>
  <c r="AT1244" i="1" s="1"/>
  <c r="AT1243" i="1" s="1"/>
  <c r="AT1242" i="1" s="1"/>
  <c r="AT1241" i="1" s="1"/>
  <c r="AT1240" i="1" s="1"/>
  <c r="AT1239" i="1" s="1"/>
  <c r="AT1238" i="1" s="1"/>
  <c r="AT1237" i="1" s="1"/>
  <c r="AT1236" i="1" s="1"/>
  <c r="AT1235" i="1" s="1"/>
  <c r="AT1234" i="1" s="1"/>
  <c r="AT1233" i="1" s="1"/>
  <c r="AT1232" i="1" s="1"/>
  <c r="AT1231" i="1" s="1"/>
  <c r="AT1230" i="1" s="1"/>
  <c r="AT1229" i="1" s="1"/>
  <c r="AT1228" i="1" s="1"/>
  <c r="AT1227" i="1" s="1"/>
  <c r="AT1226" i="1" s="1"/>
  <c r="AT1225" i="1" s="1"/>
  <c r="AT1224" i="1" s="1"/>
  <c r="AT1223" i="1" s="1"/>
  <c r="AT1222" i="1" s="1"/>
  <c r="AT1221" i="1" s="1"/>
  <c r="AT1220" i="1" s="1"/>
  <c r="AT1219" i="1" s="1"/>
  <c r="AT1218" i="1" s="1"/>
  <c r="AT1217" i="1" s="1"/>
  <c r="AT1216" i="1" s="1"/>
  <c r="AT1215" i="1" s="1"/>
  <c r="AT1214" i="1" s="1"/>
  <c r="AT1213" i="1" s="1"/>
  <c r="AT1212" i="1" s="1"/>
  <c r="AT1211" i="1" s="1"/>
  <c r="AT1210" i="1" s="1"/>
  <c r="AT1209" i="1" s="1"/>
  <c r="AT1208" i="1" s="1"/>
  <c r="AT1207" i="1" s="1"/>
  <c r="AT1206" i="1" s="1"/>
  <c r="AT1205" i="1" s="1"/>
  <c r="AT1204" i="1" s="1"/>
  <c r="AT1203" i="1" s="1"/>
  <c r="AT1202" i="1" s="1"/>
  <c r="AT1201" i="1" s="1"/>
  <c r="AT1200" i="1" s="1"/>
  <c r="AT1199" i="1" s="1"/>
  <c r="AT1198" i="1" s="1"/>
  <c r="AT1197" i="1" s="1"/>
  <c r="AT1196" i="1" s="1"/>
  <c r="AT1195" i="1" s="1"/>
  <c r="AT1194" i="1" s="1"/>
  <c r="AT1193" i="1" s="1"/>
  <c r="AT1192" i="1" s="1"/>
  <c r="AT1191" i="1" s="1"/>
  <c r="AT1190" i="1" s="1"/>
  <c r="AT1189" i="1" s="1"/>
  <c r="AT1188" i="1" s="1"/>
  <c r="AT1187" i="1" s="1"/>
  <c r="AT1186" i="1" s="1"/>
  <c r="AT1185" i="1" s="1"/>
  <c r="AT1184" i="1" s="1"/>
  <c r="AT1183" i="1" s="1"/>
  <c r="AT1182" i="1" s="1"/>
  <c r="AT1181" i="1" s="1"/>
  <c r="AT1180" i="1" s="1"/>
  <c r="AT1179" i="1" s="1"/>
  <c r="AT1178" i="1" s="1"/>
  <c r="AT1177" i="1" s="1"/>
  <c r="AT1176" i="1" s="1"/>
  <c r="AT1175" i="1" s="1"/>
  <c r="AT1174" i="1" s="1"/>
  <c r="AT1173" i="1" s="1"/>
  <c r="AT1172" i="1" s="1"/>
  <c r="AT1171" i="1" s="1"/>
  <c r="AT1170" i="1" s="1"/>
  <c r="AT1169" i="1" s="1"/>
  <c r="AT1168" i="1" s="1"/>
  <c r="AT1167" i="1" s="1"/>
  <c r="AT1166" i="1" s="1"/>
  <c r="AT1165" i="1" s="1"/>
  <c r="AT1164" i="1" s="1"/>
  <c r="AT1163" i="1" s="1"/>
  <c r="AT1162" i="1" s="1"/>
  <c r="AT1161" i="1" s="1"/>
  <c r="AT1160" i="1" s="1"/>
  <c r="AT1159" i="1" s="1"/>
  <c r="AT1158" i="1" s="1"/>
  <c r="AT1157" i="1" s="1"/>
  <c r="AT1156" i="1" s="1"/>
  <c r="AT1155" i="1" s="1"/>
  <c r="AT1154" i="1" s="1"/>
  <c r="AT1153" i="1" s="1"/>
  <c r="AT1152" i="1" s="1"/>
  <c r="AT1151" i="1" s="1"/>
  <c r="AT1150" i="1" s="1"/>
  <c r="AT1149" i="1" s="1"/>
  <c r="AT1148" i="1" s="1"/>
  <c r="AT1147" i="1" s="1"/>
  <c r="AT1146" i="1" s="1"/>
  <c r="AT1145" i="1" s="1"/>
  <c r="AT1144" i="1" s="1"/>
  <c r="AT1143" i="1" s="1"/>
  <c r="AT1142" i="1" s="1"/>
  <c r="AT1141" i="1" s="1"/>
  <c r="AT1140" i="1" s="1"/>
  <c r="AT1139" i="1" s="1"/>
  <c r="AT1138" i="1" s="1"/>
  <c r="AT1137" i="1" s="1"/>
  <c r="AT1136" i="1" s="1"/>
  <c r="AT1135" i="1" s="1"/>
  <c r="AT1134" i="1" s="1"/>
  <c r="AT1133" i="1" s="1"/>
  <c r="AT1132" i="1" s="1"/>
  <c r="AT1131" i="1" s="1"/>
  <c r="AT1130" i="1" s="1"/>
  <c r="AT1129" i="1" s="1"/>
  <c r="AT1128" i="1" s="1"/>
  <c r="AT1127" i="1" s="1"/>
  <c r="AT1126" i="1" s="1"/>
  <c r="AT1125" i="1" s="1"/>
  <c r="AT1124" i="1" s="1"/>
  <c r="AT1123" i="1" s="1"/>
  <c r="AT1122" i="1" s="1"/>
  <c r="AT1121" i="1" s="1"/>
  <c r="AT1120" i="1" s="1"/>
  <c r="AT1119" i="1" s="1"/>
  <c r="AT1118" i="1" s="1"/>
  <c r="AT1117" i="1" s="1"/>
  <c r="AT1116" i="1" s="1"/>
  <c r="AT1115" i="1" s="1"/>
  <c r="AT1114" i="1" s="1"/>
  <c r="AT1113" i="1" s="1"/>
  <c r="AT1112" i="1" s="1"/>
  <c r="AT1111" i="1" s="1"/>
  <c r="AT1110" i="1" s="1"/>
  <c r="AT1109" i="1" s="1"/>
  <c r="AT1108" i="1" s="1"/>
  <c r="AT1107" i="1" s="1"/>
  <c r="AT1106" i="1" s="1"/>
  <c r="AT1105" i="1" s="1"/>
  <c r="AT1104" i="1" s="1"/>
  <c r="AT1103" i="1" s="1"/>
  <c r="AT1102" i="1" s="1"/>
  <c r="AT1101" i="1" s="1"/>
  <c r="AT1100" i="1" s="1"/>
  <c r="AT1099" i="1" s="1"/>
  <c r="AT1098" i="1" s="1"/>
  <c r="AT1097" i="1" s="1"/>
  <c r="AT1096" i="1" s="1"/>
  <c r="AT1095" i="1" s="1"/>
  <c r="AT1094" i="1" s="1"/>
  <c r="AT1093" i="1" s="1"/>
  <c r="AT1092" i="1" s="1"/>
  <c r="AT1091" i="1" s="1"/>
  <c r="AT1090" i="1" s="1"/>
  <c r="AT1089" i="1" s="1"/>
  <c r="AT1088" i="1" s="1"/>
  <c r="AT1087" i="1" s="1"/>
  <c r="AT1086" i="1" s="1"/>
  <c r="AT1085" i="1" s="1"/>
  <c r="AT1084" i="1" s="1"/>
  <c r="AT1083" i="1" s="1"/>
  <c r="AT1082" i="1" s="1"/>
  <c r="AT1081" i="1" s="1"/>
  <c r="AT1080" i="1" s="1"/>
  <c r="AT1079" i="1" s="1"/>
  <c r="AT1078" i="1" s="1"/>
  <c r="AT1077" i="1" s="1"/>
  <c r="AT1076" i="1" s="1"/>
  <c r="AT1075" i="1" s="1"/>
  <c r="AT1074" i="1" s="1"/>
  <c r="AT1073" i="1" s="1"/>
  <c r="AT1072" i="1" s="1"/>
  <c r="AT1071" i="1" s="1"/>
  <c r="AT1070" i="1" s="1"/>
  <c r="AT1069" i="1" s="1"/>
  <c r="AT1068" i="1" s="1"/>
  <c r="AT1067" i="1" s="1"/>
  <c r="AT1066" i="1" s="1"/>
  <c r="AT1065" i="1" s="1"/>
  <c r="AT1064" i="1" s="1"/>
  <c r="AT1063" i="1" s="1"/>
  <c r="AT1062" i="1" s="1"/>
  <c r="AT1061" i="1" s="1"/>
  <c r="AT1060" i="1" s="1"/>
  <c r="AT1059" i="1" s="1"/>
  <c r="AT1058" i="1" s="1"/>
  <c r="AT1057" i="1" s="1"/>
  <c r="AT1056" i="1" s="1"/>
  <c r="AT1055" i="1" s="1"/>
  <c r="AT1054" i="1" s="1"/>
  <c r="AT1053" i="1" s="1"/>
  <c r="AT1052" i="1" s="1"/>
  <c r="AT1051" i="1" s="1"/>
  <c r="AT1050" i="1" s="1"/>
  <c r="AT1049" i="1" s="1"/>
  <c r="AT1048" i="1" s="1"/>
  <c r="AT1047" i="1" s="1"/>
  <c r="AT1046" i="1" s="1"/>
  <c r="AT1045" i="1" s="1"/>
  <c r="AT1044" i="1" s="1"/>
  <c r="AT1043" i="1" s="1"/>
  <c r="AT1042" i="1" s="1"/>
  <c r="AT1041" i="1" s="1"/>
  <c r="AT1040" i="1" s="1"/>
  <c r="AT1039" i="1" s="1"/>
  <c r="AT1038" i="1" s="1"/>
  <c r="AT1037" i="1" s="1"/>
  <c r="AT1036" i="1" s="1"/>
  <c r="AT1035" i="1" s="1"/>
  <c r="AT1034" i="1" s="1"/>
  <c r="AT1033" i="1" s="1"/>
  <c r="AT1032" i="1" s="1"/>
  <c r="AT1031" i="1" s="1"/>
  <c r="AT1030" i="1" s="1"/>
  <c r="AT1029" i="1" s="1"/>
  <c r="AT1028" i="1" s="1"/>
  <c r="AT1027" i="1" s="1"/>
  <c r="AT1026" i="1" s="1"/>
  <c r="AT1025" i="1" s="1"/>
  <c r="AT1024" i="1" s="1"/>
  <c r="AT1023" i="1" s="1"/>
  <c r="AT1022" i="1" s="1"/>
  <c r="AT1021" i="1" s="1"/>
  <c r="AT1020" i="1" s="1"/>
  <c r="AT1019" i="1" s="1"/>
  <c r="AT1018" i="1" s="1"/>
  <c r="AT1017" i="1" s="1"/>
  <c r="AT1016" i="1" s="1"/>
  <c r="AT1015" i="1" s="1"/>
  <c r="AT1014" i="1" s="1"/>
  <c r="AT1013" i="1" s="1"/>
  <c r="AT1012" i="1" s="1"/>
  <c r="AT1011" i="1" s="1"/>
  <c r="AT1010" i="1" s="1"/>
  <c r="AT1009" i="1" s="1"/>
  <c r="AT1008" i="1" s="1"/>
  <c r="AT1007" i="1" s="1"/>
  <c r="AT1006" i="1" s="1"/>
  <c r="AT1005" i="1" s="1"/>
  <c r="AT1004" i="1" s="1"/>
  <c r="AT1003" i="1" s="1"/>
  <c r="AT1002" i="1" s="1"/>
  <c r="AT1001" i="1" s="1"/>
  <c r="AT1000" i="1" s="1"/>
  <c r="AT999" i="1" s="1"/>
  <c r="AT998" i="1" s="1"/>
  <c r="AT997" i="1" s="1"/>
  <c r="AT996" i="1" s="1"/>
  <c r="AT995" i="1" s="1"/>
  <c r="AT994" i="1" s="1"/>
  <c r="AT993" i="1" s="1"/>
  <c r="AT992" i="1" s="1"/>
  <c r="AT991" i="1" s="1"/>
  <c r="AT990" i="1" s="1"/>
  <c r="AT989" i="1" s="1"/>
  <c r="AT988" i="1" s="1"/>
  <c r="AT987" i="1" s="1"/>
  <c r="AT986" i="1" s="1"/>
  <c r="AT985" i="1" s="1"/>
  <c r="AT984" i="1" s="1"/>
  <c r="AT983" i="1" s="1"/>
  <c r="AT982" i="1" s="1"/>
  <c r="AT981" i="1" s="1"/>
  <c r="AT980" i="1" s="1"/>
  <c r="AT979" i="1" s="1"/>
  <c r="AT978" i="1" s="1"/>
  <c r="AT977" i="1" s="1"/>
  <c r="AT976" i="1" s="1"/>
  <c r="AT975" i="1" s="1"/>
  <c r="AT974" i="1" s="1"/>
  <c r="AT973" i="1" s="1"/>
  <c r="AT972" i="1" s="1"/>
  <c r="AT971" i="1" s="1"/>
  <c r="AT970" i="1" s="1"/>
  <c r="AT969" i="1" s="1"/>
  <c r="AT968" i="1" s="1"/>
  <c r="AT967" i="1" s="1"/>
  <c r="AT966" i="1" s="1"/>
  <c r="AT965" i="1" s="1"/>
  <c r="AT964" i="1" s="1"/>
  <c r="AT963" i="1" s="1"/>
  <c r="AT962" i="1" s="1"/>
  <c r="AT961" i="1" s="1"/>
  <c r="AT960" i="1" s="1"/>
  <c r="AT959" i="1" s="1"/>
  <c r="AT958" i="1" s="1"/>
  <c r="AT957" i="1" s="1"/>
  <c r="AT956" i="1" s="1"/>
  <c r="AT955" i="1" s="1"/>
  <c r="AT954" i="1" s="1"/>
  <c r="AT953" i="1" s="1"/>
  <c r="AT952" i="1" s="1"/>
  <c r="AT951" i="1" s="1"/>
  <c r="AT950" i="1" s="1"/>
  <c r="AT949" i="1" s="1"/>
  <c r="AT948" i="1" s="1"/>
  <c r="AT947" i="1" s="1"/>
  <c r="AT946" i="1" s="1"/>
  <c r="AT945" i="1" s="1"/>
  <c r="AT944" i="1" s="1"/>
  <c r="AT943" i="1" s="1"/>
  <c r="AT942" i="1" s="1"/>
  <c r="AT941" i="1" s="1"/>
  <c r="AT940" i="1" s="1"/>
  <c r="AT939" i="1" s="1"/>
  <c r="AT938" i="1" s="1"/>
  <c r="AT937" i="1" s="1"/>
  <c r="AT936" i="1" s="1"/>
  <c r="AT935" i="1" s="1"/>
  <c r="AT934" i="1" s="1"/>
  <c r="AT933" i="1" s="1"/>
  <c r="AT932" i="1" s="1"/>
  <c r="AT931" i="1" s="1"/>
  <c r="AT930" i="1" s="1"/>
  <c r="AT929" i="1" s="1"/>
  <c r="AT928" i="1" s="1"/>
  <c r="AT927" i="1" s="1"/>
  <c r="AT926" i="1" s="1"/>
  <c r="AT925" i="1" s="1"/>
  <c r="AT924" i="1" s="1"/>
  <c r="AT923" i="1" s="1"/>
  <c r="AT922" i="1" s="1"/>
  <c r="AT921" i="1" s="1"/>
  <c r="AT920" i="1" s="1"/>
  <c r="AT919" i="1" s="1"/>
  <c r="AT918" i="1" s="1"/>
  <c r="AT917" i="1" s="1"/>
  <c r="AT916" i="1" s="1"/>
  <c r="AT915" i="1" s="1"/>
  <c r="AT914" i="1" s="1"/>
  <c r="AT913" i="1" s="1"/>
  <c r="AT912" i="1" s="1"/>
  <c r="AT911" i="1" s="1"/>
  <c r="AT910" i="1" s="1"/>
  <c r="AT909" i="1" s="1"/>
  <c r="AT908" i="1" s="1"/>
  <c r="AT907" i="1" s="1"/>
  <c r="AT906" i="1" s="1"/>
  <c r="AT905" i="1" s="1"/>
  <c r="AT904" i="1" s="1"/>
  <c r="AT903" i="1" s="1"/>
  <c r="AT902" i="1" s="1"/>
  <c r="AT901" i="1" s="1"/>
  <c r="AT900" i="1" s="1"/>
  <c r="AT899" i="1" s="1"/>
  <c r="AT898" i="1" s="1"/>
  <c r="AT897" i="1" s="1"/>
  <c r="AT896" i="1" s="1"/>
  <c r="AT895" i="1" s="1"/>
  <c r="AT894" i="1" s="1"/>
  <c r="AT893" i="1" s="1"/>
  <c r="AT892" i="1" s="1"/>
  <c r="AT891" i="1" s="1"/>
  <c r="AT890" i="1" s="1"/>
  <c r="AT889" i="1" s="1"/>
  <c r="AT888" i="1" s="1"/>
  <c r="AT887" i="1" s="1"/>
  <c r="AT886" i="1" s="1"/>
  <c r="AT885" i="1" s="1"/>
  <c r="AT884" i="1" s="1"/>
  <c r="AT883" i="1" s="1"/>
  <c r="AT882" i="1" s="1"/>
  <c r="AT881" i="1" s="1"/>
  <c r="AT880" i="1" s="1"/>
  <c r="AT879" i="1" s="1"/>
  <c r="AT878" i="1" s="1"/>
  <c r="AT877" i="1" s="1"/>
  <c r="AT876" i="1" s="1"/>
  <c r="AT875" i="1" s="1"/>
  <c r="AT874" i="1" s="1"/>
  <c r="AT873" i="1" s="1"/>
  <c r="AT872" i="1" s="1"/>
  <c r="AT871" i="1" s="1"/>
  <c r="AT870" i="1" s="1"/>
  <c r="AT869" i="1" s="1"/>
  <c r="AT868" i="1" s="1"/>
  <c r="AT867" i="1" s="1"/>
  <c r="AT866" i="1" s="1"/>
  <c r="AT865" i="1" s="1"/>
  <c r="AT864" i="1" s="1"/>
  <c r="AT863" i="1" s="1"/>
  <c r="AT862" i="1" s="1"/>
  <c r="AT861" i="1" s="1"/>
  <c r="AT860" i="1" s="1"/>
  <c r="AT859" i="1" s="1"/>
  <c r="AT858" i="1" s="1"/>
  <c r="AT857" i="1" s="1"/>
  <c r="AT856" i="1" s="1"/>
  <c r="AT855" i="1" s="1"/>
  <c r="AT854" i="1" s="1"/>
  <c r="AT853" i="1" s="1"/>
  <c r="AT852" i="1" s="1"/>
  <c r="AT851" i="1" s="1"/>
  <c r="AT850" i="1" s="1"/>
  <c r="AT849" i="1" s="1"/>
  <c r="AT848" i="1" s="1"/>
  <c r="AT847" i="1" s="1"/>
  <c r="AT846" i="1" s="1"/>
  <c r="AT845" i="1" s="1"/>
  <c r="AT844" i="1" s="1"/>
  <c r="AT843" i="1" s="1"/>
  <c r="AT842" i="1" s="1"/>
  <c r="AT841" i="1" s="1"/>
  <c r="AT840" i="1" s="1"/>
  <c r="AT839" i="1" s="1"/>
  <c r="AT838" i="1" s="1"/>
  <c r="AT837" i="1" s="1"/>
  <c r="AT836" i="1" s="1"/>
  <c r="AT835" i="1" s="1"/>
  <c r="AT834" i="1" s="1"/>
  <c r="AT833" i="1" s="1"/>
  <c r="AT832" i="1" s="1"/>
  <c r="AT831" i="1" s="1"/>
  <c r="AT830" i="1" s="1"/>
  <c r="AT829" i="1" s="1"/>
  <c r="AT828" i="1" s="1"/>
  <c r="AT827" i="1" s="1"/>
  <c r="AT826" i="1" s="1"/>
  <c r="AT825" i="1" s="1"/>
  <c r="AT824" i="1" s="1"/>
  <c r="AT823" i="1" s="1"/>
  <c r="AT822" i="1" s="1"/>
  <c r="AT821" i="1" s="1"/>
  <c r="AT820" i="1" s="1"/>
  <c r="AT819" i="1" s="1"/>
  <c r="AT818" i="1" s="1"/>
  <c r="AT817" i="1" s="1"/>
  <c r="AT816" i="1" s="1"/>
  <c r="AT815" i="1" s="1"/>
  <c r="AT814" i="1" s="1"/>
  <c r="AT813" i="1" s="1"/>
  <c r="AT812" i="1" s="1"/>
  <c r="AT811" i="1" s="1"/>
  <c r="AT810" i="1" s="1"/>
  <c r="AT809" i="1" s="1"/>
  <c r="AT808" i="1" s="1"/>
  <c r="AT807" i="1" s="1"/>
  <c r="AT806" i="1" s="1"/>
  <c r="AT805" i="1" s="1"/>
  <c r="AT804" i="1" s="1"/>
  <c r="AT803" i="1" s="1"/>
  <c r="AT802" i="1" s="1"/>
  <c r="AT801" i="1" s="1"/>
  <c r="AT800" i="1" s="1"/>
  <c r="AT799" i="1" s="1"/>
  <c r="AT798" i="1" s="1"/>
  <c r="AT797" i="1" s="1"/>
  <c r="AT796" i="1" s="1"/>
  <c r="AT795" i="1" s="1"/>
  <c r="AT794" i="1" s="1"/>
  <c r="AT793" i="1" s="1"/>
  <c r="AT792" i="1" s="1"/>
  <c r="AT791" i="1" s="1"/>
  <c r="AT790" i="1" s="1"/>
  <c r="AT789" i="1" s="1"/>
  <c r="AT788" i="1" s="1"/>
  <c r="AT787" i="1" s="1"/>
  <c r="AT786" i="1" s="1"/>
  <c r="AT785" i="1" s="1"/>
  <c r="AT784" i="1" s="1"/>
  <c r="AT783" i="1" s="1"/>
  <c r="AT782" i="1" s="1"/>
  <c r="AT781" i="1" s="1"/>
  <c r="AT780" i="1" s="1"/>
  <c r="AT779" i="1" s="1"/>
  <c r="AT778" i="1" s="1"/>
  <c r="AT777" i="1" s="1"/>
  <c r="AT776" i="1" s="1"/>
  <c r="AT775" i="1" s="1"/>
  <c r="AT774" i="1" s="1"/>
  <c r="AT773" i="1" s="1"/>
  <c r="AT772" i="1" s="1"/>
  <c r="AT771" i="1" s="1"/>
  <c r="AT770" i="1" s="1"/>
  <c r="AT769" i="1" s="1"/>
  <c r="AT768" i="1" s="1"/>
  <c r="AT767" i="1" s="1"/>
  <c r="AT766" i="1" s="1"/>
  <c r="AT765" i="1" s="1"/>
  <c r="AT764" i="1" s="1"/>
  <c r="AT763" i="1" s="1"/>
  <c r="AT762" i="1" s="1"/>
  <c r="AT761" i="1" s="1"/>
  <c r="AT760" i="1" s="1"/>
  <c r="AT759" i="1" s="1"/>
  <c r="AT758" i="1" s="1"/>
  <c r="AT757" i="1" s="1"/>
  <c r="AT756" i="1" s="1"/>
  <c r="AT755" i="1" s="1"/>
  <c r="AT754" i="1" s="1"/>
  <c r="AT753" i="1" s="1"/>
  <c r="AT752" i="1" s="1"/>
  <c r="AT751" i="1" s="1"/>
  <c r="AT750" i="1" s="1"/>
  <c r="AT749" i="1" s="1"/>
  <c r="AT748" i="1" s="1"/>
  <c r="AT747" i="1" s="1"/>
  <c r="AT746" i="1" s="1"/>
  <c r="AT745" i="1" s="1"/>
  <c r="AT744" i="1" s="1"/>
  <c r="AT743" i="1" s="1"/>
  <c r="AT742" i="1" s="1"/>
  <c r="AT741" i="1" s="1"/>
  <c r="AT740" i="1" s="1"/>
  <c r="AT739" i="1" s="1"/>
  <c r="AT738" i="1" s="1"/>
  <c r="AT737" i="1" s="1"/>
  <c r="AT736" i="1" s="1"/>
  <c r="AT735" i="1" s="1"/>
  <c r="AT734" i="1" s="1"/>
  <c r="AT733" i="1" s="1"/>
  <c r="AT732" i="1" s="1"/>
  <c r="AT731" i="1" s="1"/>
  <c r="AT730" i="1" s="1"/>
  <c r="AT729" i="1" s="1"/>
  <c r="AT728" i="1" s="1"/>
  <c r="AT727" i="1" s="1"/>
  <c r="AT726" i="1" s="1"/>
  <c r="AT725" i="1" s="1"/>
  <c r="AT724" i="1" s="1"/>
  <c r="AT723" i="1" s="1"/>
  <c r="AT722" i="1" s="1"/>
  <c r="AT721" i="1" s="1"/>
  <c r="AT720" i="1" s="1"/>
  <c r="AT719" i="1" s="1"/>
  <c r="AT718" i="1" s="1"/>
  <c r="AT717" i="1" s="1"/>
  <c r="AT716" i="1" s="1"/>
  <c r="AT715" i="1" s="1"/>
  <c r="AT714" i="1" s="1"/>
  <c r="AT713" i="1" s="1"/>
  <c r="AT712" i="1" s="1"/>
  <c r="AT711" i="1" s="1"/>
  <c r="AT710" i="1" s="1"/>
  <c r="AT709" i="1" s="1"/>
  <c r="AT708" i="1" s="1"/>
  <c r="AT707" i="1" s="1"/>
  <c r="AT706" i="1" s="1"/>
  <c r="AT705" i="1" s="1"/>
  <c r="AT704" i="1" s="1"/>
  <c r="AT703" i="1" s="1"/>
  <c r="AT702" i="1" s="1"/>
  <c r="AT701" i="1" s="1"/>
  <c r="AT700" i="1" s="1"/>
  <c r="AT699" i="1" s="1"/>
  <c r="AT698" i="1" s="1"/>
  <c r="AT697" i="1" s="1"/>
  <c r="AT696" i="1" s="1"/>
  <c r="AT695" i="1" s="1"/>
  <c r="AT694" i="1" s="1"/>
  <c r="AT693" i="1" s="1"/>
  <c r="AT692" i="1" s="1"/>
  <c r="AT691" i="1" s="1"/>
  <c r="AT690" i="1" s="1"/>
  <c r="AT689" i="1" s="1"/>
  <c r="AT688" i="1" s="1"/>
  <c r="AT687" i="1" s="1"/>
  <c r="AT686" i="1" s="1"/>
  <c r="AT685" i="1" s="1"/>
  <c r="AT684" i="1" s="1"/>
  <c r="AT683" i="1" s="1"/>
  <c r="AT682" i="1" s="1"/>
  <c r="AT681" i="1" s="1"/>
  <c r="AT680" i="1" s="1"/>
  <c r="AT679" i="1" s="1"/>
  <c r="AT678" i="1" s="1"/>
  <c r="AT677" i="1" s="1"/>
  <c r="AT676" i="1" s="1"/>
  <c r="AT675" i="1" s="1"/>
  <c r="AT674" i="1" s="1"/>
  <c r="AT673" i="1" s="1"/>
  <c r="AT672" i="1" s="1"/>
  <c r="AT671" i="1" s="1"/>
  <c r="AT670" i="1" s="1"/>
  <c r="AT669" i="1" s="1"/>
  <c r="AT668" i="1" s="1"/>
  <c r="AT667" i="1" s="1"/>
  <c r="AT666" i="1" s="1"/>
  <c r="AT665" i="1" s="1"/>
  <c r="AT664" i="1" s="1"/>
  <c r="AT663" i="1" s="1"/>
  <c r="AT662" i="1" s="1"/>
  <c r="AT661" i="1" s="1"/>
  <c r="AT660" i="1" s="1"/>
  <c r="AT659" i="1" s="1"/>
  <c r="AT658" i="1" s="1"/>
  <c r="AT657" i="1" s="1"/>
  <c r="AT656" i="1" s="1"/>
  <c r="AT655" i="1" s="1"/>
  <c r="AT654" i="1" s="1"/>
  <c r="AT653" i="1" s="1"/>
  <c r="AT652" i="1" s="1"/>
  <c r="AT651" i="1" s="1"/>
  <c r="AT650" i="1" s="1"/>
  <c r="AT649" i="1" s="1"/>
  <c r="AT648" i="1" s="1"/>
  <c r="AT647" i="1" s="1"/>
  <c r="AT646" i="1" s="1"/>
  <c r="AT645" i="1" s="1"/>
  <c r="AT644" i="1" s="1"/>
  <c r="AT643" i="1" s="1"/>
  <c r="AT642" i="1" s="1"/>
  <c r="AT641" i="1" s="1"/>
  <c r="AT640" i="1" s="1"/>
  <c r="AT639" i="1" s="1"/>
  <c r="AT638" i="1" s="1"/>
  <c r="AT637" i="1" s="1"/>
  <c r="AT636" i="1" s="1"/>
  <c r="AT635" i="1" s="1"/>
  <c r="AT634" i="1" s="1"/>
  <c r="AT633" i="1" s="1"/>
  <c r="AT632" i="1" s="1"/>
  <c r="AT631" i="1" s="1"/>
  <c r="AT630" i="1" s="1"/>
  <c r="AT629" i="1" s="1"/>
  <c r="AT628" i="1" s="1"/>
  <c r="AT627" i="1" s="1"/>
  <c r="AT626" i="1" s="1"/>
  <c r="AT625" i="1" s="1"/>
  <c r="AT624" i="1" s="1"/>
  <c r="AT623" i="1" s="1"/>
  <c r="AT622" i="1" s="1"/>
  <c r="AT621" i="1" s="1"/>
  <c r="AT620" i="1" s="1"/>
  <c r="AT619" i="1" s="1"/>
  <c r="AT618" i="1" s="1"/>
  <c r="AT617" i="1" s="1"/>
  <c r="AT616" i="1" s="1"/>
  <c r="AT615" i="1" s="1"/>
  <c r="AT614" i="1" s="1"/>
  <c r="AT613" i="1" s="1"/>
  <c r="AT612" i="1" s="1"/>
  <c r="AT611" i="1" s="1"/>
  <c r="AT610" i="1" s="1"/>
  <c r="AT609" i="1" s="1"/>
  <c r="AT608" i="1" s="1"/>
  <c r="AT607" i="1" s="1"/>
  <c r="AT606" i="1" s="1"/>
  <c r="AT605" i="1" s="1"/>
  <c r="AT604" i="1" s="1"/>
  <c r="AT603" i="1" s="1"/>
  <c r="AT602" i="1" s="1"/>
  <c r="AT601" i="1" s="1"/>
  <c r="AT600" i="1" s="1"/>
  <c r="AT599" i="1" s="1"/>
  <c r="AT598" i="1" s="1"/>
  <c r="AT597" i="1" s="1"/>
  <c r="AT596" i="1" s="1"/>
  <c r="AT595" i="1" s="1"/>
  <c r="AT594" i="1" s="1"/>
  <c r="AT593" i="1" s="1"/>
  <c r="AT592" i="1" s="1"/>
  <c r="AT591" i="1" s="1"/>
  <c r="AT590" i="1" s="1"/>
  <c r="AT589" i="1" s="1"/>
  <c r="AT588" i="1" s="1"/>
  <c r="AT587" i="1" s="1"/>
  <c r="AT586" i="1" s="1"/>
  <c r="AT585" i="1" s="1"/>
  <c r="AT584" i="1" s="1"/>
  <c r="AT583" i="1" s="1"/>
  <c r="AT582" i="1" s="1"/>
  <c r="AT581" i="1" s="1"/>
  <c r="AT580" i="1" s="1"/>
  <c r="AT579" i="1" s="1"/>
  <c r="AT578" i="1" s="1"/>
  <c r="AT577" i="1" s="1"/>
  <c r="AT576" i="1" s="1"/>
  <c r="AT575" i="1" s="1"/>
  <c r="AT574" i="1" s="1"/>
  <c r="AT573" i="1" s="1"/>
  <c r="AT572" i="1" s="1"/>
  <c r="AT571" i="1" s="1"/>
  <c r="AT570" i="1" s="1"/>
  <c r="AT569" i="1" s="1"/>
  <c r="AT568" i="1" s="1"/>
  <c r="AT567" i="1" s="1"/>
  <c r="AT566" i="1" s="1"/>
  <c r="AT565" i="1" s="1"/>
  <c r="AT564" i="1" s="1"/>
  <c r="AT563" i="1" s="1"/>
  <c r="AT562" i="1" s="1"/>
  <c r="AT561" i="1" s="1"/>
  <c r="AT560" i="1" s="1"/>
  <c r="AT559" i="1" s="1"/>
  <c r="AT558" i="1" s="1"/>
  <c r="AT557" i="1" s="1"/>
  <c r="AT556" i="1" s="1"/>
  <c r="AT555" i="1" s="1"/>
  <c r="AT554" i="1" s="1"/>
  <c r="AT553" i="1" s="1"/>
  <c r="AT552" i="1" s="1"/>
  <c r="AT551" i="1" s="1"/>
  <c r="AT550" i="1" s="1"/>
  <c r="AT549" i="1" s="1"/>
  <c r="AT548" i="1" s="1"/>
  <c r="AT547" i="1" s="1"/>
  <c r="AT546" i="1" s="1"/>
  <c r="AT545" i="1" s="1"/>
  <c r="AT544" i="1" s="1"/>
  <c r="AT543" i="1" s="1"/>
  <c r="AT542" i="1" s="1"/>
  <c r="AT541" i="1" s="1"/>
  <c r="AT540" i="1" s="1"/>
  <c r="AT539" i="1" s="1"/>
  <c r="AT538" i="1" s="1"/>
  <c r="AT537" i="1" s="1"/>
  <c r="AT536" i="1" s="1"/>
  <c r="AT535" i="1" s="1"/>
  <c r="AT534" i="1" s="1"/>
  <c r="AT533" i="1" s="1"/>
  <c r="AT532" i="1" s="1"/>
  <c r="AT531" i="1" s="1"/>
  <c r="AT530" i="1" s="1"/>
  <c r="AT529" i="1" s="1"/>
  <c r="AT528" i="1" s="1"/>
  <c r="AT527" i="1" s="1"/>
  <c r="AT526" i="1" s="1"/>
  <c r="AT525" i="1" s="1"/>
  <c r="AT524" i="1" s="1"/>
  <c r="AT523" i="1" s="1"/>
  <c r="AT522" i="1" s="1"/>
  <c r="AT521" i="1" s="1"/>
  <c r="AT520" i="1" s="1"/>
  <c r="AT519" i="1" s="1"/>
  <c r="AT518" i="1" s="1"/>
  <c r="AT517" i="1" s="1"/>
  <c r="AT516" i="1" s="1"/>
  <c r="AT515" i="1" s="1"/>
  <c r="AT514" i="1" s="1"/>
  <c r="AT513" i="1" s="1"/>
  <c r="AT512" i="1" s="1"/>
  <c r="AT511" i="1" s="1"/>
  <c r="AT510" i="1" s="1"/>
  <c r="AT509" i="1" s="1"/>
  <c r="AT508" i="1" s="1"/>
  <c r="AT507" i="1" s="1"/>
  <c r="AT506" i="1" s="1"/>
  <c r="AT505" i="1" s="1"/>
  <c r="AT504" i="1" s="1"/>
  <c r="AT503" i="1" s="1"/>
  <c r="AT502" i="1" s="1"/>
  <c r="AT501" i="1" s="1"/>
  <c r="AT500" i="1" s="1"/>
  <c r="AT499" i="1" s="1"/>
  <c r="AT498" i="1" s="1"/>
  <c r="AT497" i="1" s="1"/>
  <c r="AT496" i="1" s="1"/>
  <c r="AT495" i="1" s="1"/>
  <c r="AT494" i="1" s="1"/>
  <c r="AT493" i="1" s="1"/>
  <c r="AT492" i="1" s="1"/>
  <c r="AT491" i="1" s="1"/>
  <c r="AT490" i="1" s="1"/>
  <c r="AT489" i="1" s="1"/>
  <c r="AT488" i="1" s="1"/>
  <c r="AT487" i="1" s="1"/>
  <c r="AT486" i="1" s="1"/>
  <c r="AT485" i="1" s="1"/>
  <c r="AT484" i="1" s="1"/>
  <c r="AT483" i="1" s="1"/>
  <c r="AT482" i="1" s="1"/>
  <c r="AT481" i="1" s="1"/>
  <c r="AT480" i="1" s="1"/>
  <c r="AT479" i="1" s="1"/>
  <c r="AT478" i="1" s="1"/>
  <c r="AT477" i="1" s="1"/>
  <c r="AT476" i="1" s="1"/>
  <c r="AT475" i="1" s="1"/>
  <c r="AT474" i="1" s="1"/>
  <c r="AT473" i="1" s="1"/>
  <c r="AT472" i="1" s="1"/>
  <c r="AT471" i="1" s="1"/>
  <c r="AT470" i="1" s="1"/>
  <c r="AT469" i="1" s="1"/>
  <c r="AT468" i="1" s="1"/>
  <c r="AT467" i="1" s="1"/>
  <c r="AT466" i="1" s="1"/>
  <c r="AT465" i="1" s="1"/>
  <c r="AT464" i="1" s="1"/>
  <c r="AT463" i="1" s="1"/>
  <c r="AT462" i="1" s="1"/>
  <c r="AT461" i="1" s="1"/>
  <c r="AT460" i="1" s="1"/>
  <c r="AT459" i="1" s="1"/>
  <c r="AT458" i="1" s="1"/>
  <c r="AT457" i="1" s="1"/>
  <c r="AT456" i="1" s="1"/>
  <c r="AT455" i="1" s="1"/>
  <c r="AT454" i="1" s="1"/>
  <c r="AT453" i="1" s="1"/>
  <c r="AT452" i="1" s="1"/>
  <c r="AT451" i="1" s="1"/>
  <c r="AT450" i="1" s="1"/>
  <c r="AT449" i="1" s="1"/>
  <c r="AT448" i="1" s="1"/>
  <c r="AT447" i="1" s="1"/>
  <c r="AT446" i="1" s="1"/>
  <c r="AT445" i="1" s="1"/>
  <c r="AT444" i="1" s="1"/>
  <c r="AT443" i="1" s="1"/>
  <c r="AT442" i="1" s="1"/>
  <c r="AT441" i="1" s="1"/>
  <c r="AT440" i="1" s="1"/>
  <c r="AT439" i="1" s="1"/>
  <c r="AT438" i="1" s="1"/>
  <c r="AT437" i="1" s="1"/>
  <c r="AT436" i="1" s="1"/>
  <c r="AT435" i="1" s="1"/>
  <c r="AT434" i="1" s="1"/>
  <c r="AT433" i="1" s="1"/>
  <c r="AT432" i="1" s="1"/>
  <c r="AT431" i="1" s="1"/>
  <c r="AT430" i="1" s="1"/>
  <c r="AT429" i="1" s="1"/>
  <c r="AT428" i="1" s="1"/>
  <c r="AT427" i="1" s="1"/>
  <c r="AT426" i="1" s="1"/>
  <c r="AT425" i="1" s="1"/>
  <c r="AT424" i="1" s="1"/>
  <c r="AT423" i="1" s="1"/>
  <c r="AT422" i="1" s="1"/>
  <c r="AT421" i="1" s="1"/>
  <c r="AT420" i="1" s="1"/>
  <c r="AT419" i="1" s="1"/>
  <c r="AT418" i="1" s="1"/>
  <c r="AT417" i="1" s="1"/>
  <c r="AT416" i="1" s="1"/>
  <c r="AT415" i="1" s="1"/>
  <c r="AT414" i="1" s="1"/>
  <c r="AT413" i="1" s="1"/>
  <c r="AT412" i="1" s="1"/>
  <c r="AT411" i="1" s="1"/>
  <c r="AT410" i="1" s="1"/>
  <c r="AT409" i="1" s="1"/>
  <c r="AT408" i="1" s="1"/>
  <c r="AT407" i="1" s="1"/>
  <c r="AT406" i="1" s="1"/>
  <c r="AT405" i="1" s="1"/>
  <c r="AT404" i="1" s="1"/>
  <c r="AT403" i="1" s="1"/>
  <c r="AT402" i="1" s="1"/>
  <c r="AT401" i="1" s="1"/>
  <c r="AT400" i="1" s="1"/>
  <c r="AT399" i="1" s="1"/>
  <c r="AT398" i="1" s="1"/>
  <c r="AT397" i="1" s="1"/>
  <c r="AT396" i="1" s="1"/>
  <c r="AT395" i="1" s="1"/>
  <c r="AT394" i="1" s="1"/>
  <c r="AT393" i="1" s="1"/>
  <c r="AT392" i="1" s="1"/>
  <c r="AT391" i="1" s="1"/>
  <c r="AT390" i="1" s="1"/>
  <c r="AT389" i="1" s="1"/>
  <c r="AT388" i="1" s="1"/>
  <c r="AT387" i="1" s="1"/>
  <c r="AT386" i="1" s="1"/>
  <c r="AT385" i="1" s="1"/>
  <c r="AT384" i="1" s="1"/>
  <c r="AT383" i="1" s="1"/>
  <c r="AT382" i="1" s="1"/>
  <c r="AT381" i="1" s="1"/>
  <c r="AT380" i="1" s="1"/>
  <c r="AT379" i="1" s="1"/>
  <c r="AT378" i="1" s="1"/>
  <c r="AT377" i="1" s="1"/>
  <c r="AT376" i="1" s="1"/>
  <c r="AT375" i="1" s="1"/>
  <c r="AT374" i="1" s="1"/>
  <c r="AT373" i="1" s="1"/>
  <c r="AT372" i="1" s="1"/>
  <c r="AT371" i="1" s="1"/>
  <c r="AT370" i="1" s="1"/>
  <c r="AT369" i="1" s="1"/>
  <c r="AT368" i="1" s="1"/>
  <c r="AT367" i="1" s="1"/>
  <c r="AT366" i="1" s="1"/>
  <c r="AT365" i="1" s="1"/>
  <c r="AT364" i="1" s="1"/>
  <c r="AT363" i="1" s="1"/>
  <c r="AT362" i="1" s="1"/>
  <c r="AT361" i="1" s="1"/>
  <c r="AT360" i="1" s="1"/>
  <c r="AT359" i="1" s="1"/>
  <c r="AT358" i="1" s="1"/>
  <c r="AT357" i="1" s="1"/>
  <c r="AT356" i="1" s="1"/>
  <c r="AT355" i="1" s="1"/>
  <c r="AT354" i="1" s="1"/>
  <c r="AT353" i="1" s="1"/>
  <c r="AT352" i="1" s="1"/>
  <c r="AT351" i="1" s="1"/>
  <c r="AT350" i="1" s="1"/>
  <c r="AT349" i="1" s="1"/>
  <c r="AT348" i="1" s="1"/>
  <c r="AT347" i="1" s="1"/>
  <c r="AT346" i="1" s="1"/>
  <c r="AT345" i="1" s="1"/>
  <c r="AT344" i="1" s="1"/>
  <c r="AT343" i="1" s="1"/>
  <c r="AT342" i="1" s="1"/>
  <c r="AT341" i="1" s="1"/>
  <c r="AT340" i="1" s="1"/>
  <c r="AT339" i="1" s="1"/>
  <c r="AT338" i="1" s="1"/>
  <c r="AT337" i="1" s="1"/>
  <c r="AT336" i="1" s="1"/>
  <c r="AT335" i="1" s="1"/>
  <c r="AT334" i="1" s="1"/>
  <c r="AT333" i="1" s="1"/>
  <c r="AT332" i="1" s="1"/>
  <c r="AT331" i="1" s="1"/>
  <c r="AT330" i="1" s="1"/>
  <c r="AT329" i="1" s="1"/>
  <c r="AT328" i="1" s="1"/>
  <c r="AT327" i="1" s="1"/>
  <c r="AT326" i="1" s="1"/>
  <c r="AT325" i="1" s="1"/>
  <c r="AT324" i="1" s="1"/>
  <c r="AT323" i="1" s="1"/>
  <c r="AT322" i="1" s="1"/>
  <c r="AT321" i="1" s="1"/>
  <c r="AT320" i="1" s="1"/>
  <c r="AT319" i="1" s="1"/>
  <c r="AT318" i="1" s="1"/>
  <c r="AT317" i="1" s="1"/>
  <c r="AT316" i="1" s="1"/>
  <c r="AT315" i="1" s="1"/>
  <c r="AT314" i="1" s="1"/>
  <c r="AT313" i="1" s="1"/>
  <c r="AT312" i="1" s="1"/>
  <c r="AT311" i="1" s="1"/>
  <c r="AT310" i="1" s="1"/>
  <c r="AT309" i="1" s="1"/>
  <c r="AT308" i="1" s="1"/>
  <c r="AT307" i="1" s="1"/>
  <c r="AT306" i="1" s="1"/>
  <c r="AT305" i="1" s="1"/>
  <c r="AT304" i="1" s="1"/>
  <c r="AT303" i="1" s="1"/>
  <c r="AT302" i="1" s="1"/>
  <c r="AT301" i="1" s="1"/>
  <c r="AT300" i="1" s="1"/>
  <c r="AT299" i="1" s="1"/>
  <c r="AT298" i="1" s="1"/>
  <c r="AT297" i="1" s="1"/>
  <c r="AT296" i="1" s="1"/>
  <c r="AT295" i="1" s="1"/>
  <c r="AT294" i="1" s="1"/>
  <c r="AT293" i="1" s="1"/>
  <c r="AT292" i="1" s="1"/>
  <c r="AT291" i="1" s="1"/>
  <c r="AT290" i="1" s="1"/>
  <c r="AT289" i="1" s="1"/>
  <c r="AT288" i="1" s="1"/>
  <c r="AT287" i="1" s="1"/>
  <c r="AT286" i="1" s="1"/>
  <c r="AT285" i="1" s="1"/>
  <c r="AT284" i="1" s="1"/>
  <c r="AT283" i="1" s="1"/>
  <c r="AT282" i="1" s="1"/>
  <c r="AT281" i="1" s="1"/>
  <c r="AT280" i="1" s="1"/>
  <c r="AT279" i="1" s="1"/>
  <c r="AT278" i="1" s="1"/>
  <c r="AT277" i="1" s="1"/>
  <c r="AT276" i="1" s="1"/>
  <c r="AT275" i="1" s="1"/>
  <c r="AT274" i="1" s="1"/>
  <c r="AT273" i="1" s="1"/>
  <c r="AT272" i="1" s="1"/>
  <c r="AT271" i="1" s="1"/>
  <c r="AT270" i="1" s="1"/>
  <c r="AT269" i="1" s="1"/>
  <c r="AT268" i="1" s="1"/>
  <c r="AT267" i="1" s="1"/>
  <c r="AT266" i="1" s="1"/>
  <c r="AT265" i="1" s="1"/>
  <c r="AT264" i="1" s="1"/>
  <c r="AT263" i="1" s="1"/>
  <c r="AT262" i="1" s="1"/>
  <c r="AT261" i="1" s="1"/>
  <c r="AT260" i="1" s="1"/>
  <c r="AT259" i="1" s="1"/>
  <c r="AT258" i="1" s="1"/>
  <c r="AT257" i="1" s="1"/>
  <c r="AT256" i="1" s="1"/>
  <c r="AT255" i="1" s="1"/>
  <c r="AT254" i="1" s="1"/>
  <c r="AT253" i="1" s="1"/>
  <c r="AT252" i="1" s="1"/>
  <c r="AT251" i="1" s="1"/>
  <c r="AT250" i="1" s="1"/>
  <c r="AT249" i="1" s="1"/>
  <c r="AT248" i="1" s="1"/>
  <c r="AT247" i="1" s="1"/>
  <c r="AT246" i="1" s="1"/>
  <c r="AT245" i="1" s="1"/>
  <c r="AT244" i="1" s="1"/>
  <c r="AT243" i="1" s="1"/>
  <c r="AT242" i="1" s="1"/>
  <c r="AT241" i="1" s="1"/>
  <c r="AT240" i="1" s="1"/>
  <c r="AT239" i="1" s="1"/>
  <c r="AT238" i="1" s="1"/>
  <c r="AT237" i="1" s="1"/>
  <c r="AT236" i="1" s="1"/>
  <c r="AT235" i="1" s="1"/>
  <c r="AT234" i="1" s="1"/>
  <c r="AT233" i="1" s="1"/>
  <c r="AT232" i="1" s="1"/>
  <c r="AT231" i="1" s="1"/>
  <c r="AT230" i="1" s="1"/>
  <c r="AT229" i="1" s="1"/>
  <c r="AT228" i="1" s="1"/>
  <c r="AT227" i="1" s="1"/>
  <c r="AT226" i="1" s="1"/>
  <c r="AT225" i="1" s="1"/>
  <c r="AT224" i="1" s="1"/>
  <c r="AT223" i="1" s="1"/>
  <c r="AT222" i="1" s="1"/>
  <c r="AT221" i="1" s="1"/>
  <c r="AT220" i="1" s="1"/>
  <c r="AT219" i="1" s="1"/>
  <c r="AT218" i="1" s="1"/>
  <c r="AT217" i="1" s="1"/>
  <c r="AT216" i="1" s="1"/>
  <c r="AT215" i="1" s="1"/>
  <c r="AT214" i="1" s="1"/>
  <c r="AT213" i="1" s="1"/>
  <c r="AT212" i="1" s="1"/>
  <c r="AT211" i="1" s="1"/>
  <c r="AT210" i="1" s="1"/>
  <c r="AT209" i="1" s="1"/>
  <c r="AT208" i="1" s="1"/>
  <c r="AT207" i="1" s="1"/>
  <c r="AT206" i="1" s="1"/>
  <c r="AT205" i="1" s="1"/>
  <c r="AT204" i="1" s="1"/>
  <c r="AT203" i="1" s="1"/>
  <c r="AT202" i="1" s="1"/>
  <c r="AT201" i="1" s="1"/>
  <c r="AT200" i="1" s="1"/>
  <c r="AT199" i="1" s="1"/>
  <c r="AT198" i="1" s="1"/>
  <c r="AT197" i="1" s="1"/>
  <c r="AT196" i="1" s="1"/>
  <c r="AT195" i="1" s="1"/>
  <c r="AT194" i="1" s="1"/>
  <c r="AT193" i="1" s="1"/>
  <c r="AT192" i="1" s="1"/>
  <c r="AT191" i="1" s="1"/>
  <c r="AT190" i="1" s="1"/>
  <c r="AT189" i="1" s="1"/>
  <c r="AT188" i="1" s="1"/>
  <c r="AT187" i="1" s="1"/>
  <c r="AT186" i="1" s="1"/>
  <c r="AT185" i="1" s="1"/>
  <c r="AT184" i="1" s="1"/>
  <c r="AT183" i="1" s="1"/>
  <c r="AT182" i="1" s="1"/>
  <c r="AT181" i="1" s="1"/>
  <c r="AT180" i="1" s="1"/>
  <c r="AT179" i="1" s="1"/>
  <c r="AT178" i="1" s="1"/>
  <c r="AT177" i="1" s="1"/>
  <c r="AT176" i="1" s="1"/>
  <c r="AT175" i="1" s="1"/>
  <c r="AT174" i="1" s="1"/>
  <c r="AT173" i="1" s="1"/>
  <c r="AT172" i="1" s="1"/>
  <c r="AT171" i="1" s="1"/>
  <c r="AT170" i="1" s="1"/>
  <c r="AT169" i="1" s="1"/>
  <c r="AT168" i="1" s="1"/>
  <c r="AT167" i="1" s="1"/>
  <c r="AT166" i="1" s="1"/>
  <c r="AT165" i="1" s="1"/>
  <c r="AT164" i="1" s="1"/>
  <c r="AT163" i="1" s="1"/>
  <c r="AT162" i="1" s="1"/>
  <c r="AT161" i="1" s="1"/>
  <c r="AT160" i="1" s="1"/>
  <c r="AT159" i="1" s="1"/>
  <c r="AT158" i="1" s="1"/>
  <c r="AT157" i="1" s="1"/>
  <c r="AT156" i="1" s="1"/>
  <c r="AT155" i="1" s="1"/>
  <c r="AT154" i="1" s="1"/>
  <c r="AT153" i="1" s="1"/>
  <c r="AT152" i="1" s="1"/>
  <c r="AT151" i="1" s="1"/>
  <c r="AT150" i="1" s="1"/>
  <c r="AT149" i="1" s="1"/>
  <c r="AT148" i="1" s="1"/>
  <c r="AT147" i="1" s="1"/>
  <c r="AT146" i="1" s="1"/>
  <c r="AT145" i="1" s="1"/>
  <c r="AT144" i="1" s="1"/>
  <c r="AT143" i="1" s="1"/>
  <c r="AT142" i="1" s="1"/>
  <c r="AT141" i="1" s="1"/>
  <c r="AT140" i="1" s="1"/>
  <c r="AT139" i="1" s="1"/>
  <c r="AT138" i="1" s="1"/>
  <c r="AT137" i="1" s="1"/>
  <c r="AT136" i="1" s="1"/>
  <c r="AT135" i="1" s="1"/>
  <c r="AT134" i="1" s="1"/>
  <c r="AT133" i="1" s="1"/>
  <c r="AT132" i="1" s="1"/>
  <c r="AT131" i="1" s="1"/>
  <c r="AT130" i="1" s="1"/>
  <c r="AT129" i="1" s="1"/>
  <c r="AT128" i="1" s="1"/>
  <c r="AT127" i="1" s="1"/>
  <c r="AT126" i="1" s="1"/>
  <c r="AT125" i="1" s="1"/>
  <c r="AT124" i="1" s="1"/>
  <c r="AT123" i="1" s="1"/>
  <c r="AT122" i="1" s="1"/>
  <c r="AT121" i="1" s="1"/>
  <c r="AT120" i="1" s="1"/>
  <c r="AT119" i="1" s="1"/>
  <c r="AT118" i="1" s="1"/>
  <c r="AT117" i="1" s="1"/>
  <c r="AT116" i="1" s="1"/>
  <c r="AT115" i="1" s="1"/>
  <c r="AT114" i="1" s="1"/>
  <c r="AT113" i="1" s="1"/>
  <c r="AT112" i="1" s="1"/>
  <c r="AT111" i="1" s="1"/>
  <c r="AT110" i="1" s="1"/>
  <c r="AT109" i="1" s="1"/>
  <c r="AT108" i="1" s="1"/>
  <c r="AT107" i="1" s="1"/>
  <c r="AT106" i="1" s="1"/>
  <c r="AT105" i="1" s="1"/>
  <c r="AT104" i="1" s="1"/>
  <c r="AT103" i="1" s="1"/>
  <c r="AT102" i="1" s="1"/>
  <c r="AT101" i="1" s="1"/>
  <c r="AT100" i="1" s="1"/>
  <c r="AT99" i="1" s="1"/>
  <c r="AT98" i="1" s="1"/>
  <c r="AT97" i="1" s="1"/>
  <c r="AT96" i="1" s="1"/>
  <c r="AT95" i="1" s="1"/>
  <c r="AT94" i="1" s="1"/>
  <c r="AT93" i="1" s="1"/>
  <c r="AT92" i="1" s="1"/>
  <c r="AT91" i="1" s="1"/>
  <c r="AT90" i="1" s="1"/>
  <c r="AT89" i="1" s="1"/>
  <c r="AT88" i="1" s="1"/>
  <c r="AT87" i="1" s="1"/>
  <c r="AT86" i="1" s="1"/>
  <c r="AT85" i="1" s="1"/>
  <c r="AT84" i="1" s="1"/>
  <c r="AT83" i="1" s="1"/>
  <c r="AT82" i="1" s="1"/>
  <c r="AT81" i="1" s="1"/>
  <c r="AT80" i="1" s="1"/>
  <c r="AT79" i="1" s="1"/>
  <c r="AT78" i="1" s="1"/>
  <c r="AT77" i="1" s="1"/>
  <c r="AT76" i="1" s="1"/>
  <c r="AT75" i="1" s="1"/>
  <c r="AT74" i="1" s="1"/>
  <c r="AT73" i="1" s="1"/>
  <c r="AT72" i="1" s="1"/>
  <c r="AT71" i="1" s="1"/>
  <c r="AT70" i="1" s="1"/>
  <c r="AT69" i="1" s="1"/>
  <c r="AT68" i="1" s="1"/>
  <c r="AT67" i="1" s="1"/>
  <c r="AT66" i="1" s="1"/>
  <c r="AT65" i="1" s="1"/>
  <c r="AT64" i="1" s="1"/>
  <c r="AT63" i="1" s="1"/>
  <c r="AT62" i="1" s="1"/>
  <c r="AT61" i="1" s="1"/>
  <c r="AT60" i="1" s="1"/>
  <c r="AT59" i="1" s="1"/>
  <c r="AT58" i="1" s="1"/>
  <c r="AT57" i="1" s="1"/>
  <c r="AT56" i="1" s="1"/>
  <c r="AT55" i="1" s="1"/>
  <c r="AT54" i="1" s="1"/>
  <c r="AT53" i="1" s="1"/>
  <c r="AT52" i="1" s="1"/>
  <c r="AT51" i="1" s="1"/>
  <c r="AT50" i="1" s="1"/>
  <c r="AT49" i="1" s="1"/>
  <c r="AT48" i="1" s="1"/>
  <c r="AT47" i="1" s="1"/>
  <c r="AT46" i="1" s="1"/>
  <c r="AT45" i="1" s="1"/>
  <c r="AT44" i="1" s="1"/>
  <c r="AT43" i="1" s="1"/>
  <c r="AT42" i="1" s="1"/>
  <c r="AT41" i="1" s="1"/>
  <c r="AT40" i="1" s="1"/>
  <c r="AT39" i="1" s="1"/>
  <c r="AT38" i="1" s="1"/>
  <c r="AT37" i="1" s="1"/>
  <c r="AT36" i="1" s="1"/>
  <c r="AT35" i="1" s="1"/>
  <c r="AT34" i="1" s="1"/>
  <c r="AT33" i="1" s="1"/>
  <c r="AT32" i="1" s="1"/>
  <c r="AT31" i="1" s="1"/>
  <c r="AT30" i="1" s="1"/>
  <c r="AT29" i="1" s="1"/>
  <c r="AT28" i="1" s="1"/>
  <c r="AT27" i="1" s="1"/>
  <c r="AT26" i="1" s="1"/>
  <c r="AT25" i="1" s="1"/>
  <c r="AT24" i="1" s="1"/>
  <c r="AT23" i="1" s="1"/>
  <c r="AT22" i="1" s="1"/>
  <c r="AT21" i="1" s="1"/>
  <c r="AT20" i="1" s="1"/>
  <c r="AT19" i="1" s="1"/>
  <c r="AT18" i="1" s="1"/>
  <c r="AT17" i="1" s="1"/>
  <c r="AT16" i="1" s="1"/>
  <c r="AT15" i="1" s="1"/>
  <c r="AT14" i="1" s="1"/>
  <c r="AT13" i="1" s="1"/>
  <c r="AT12" i="1" s="1"/>
  <c r="AT11" i="1" s="1"/>
  <c r="AT10" i="1" s="1"/>
  <c r="AT9" i="1" s="1"/>
  <c r="AT8" i="1" s="1"/>
  <c r="AT7" i="1" s="1"/>
  <c r="AT6" i="1" s="1"/>
  <c r="AT5" i="1" s="1"/>
  <c r="AT4" i="1" s="1"/>
  <c r="AT3" i="1" s="1"/>
  <c r="AS1377" i="1"/>
  <c r="AS1376" i="1" s="1"/>
  <c r="AS1375" i="1" s="1"/>
  <c r="AS1374" i="1" s="1"/>
  <c r="AS1373" i="1" s="1"/>
  <c r="AS1372" i="1" s="1"/>
  <c r="AS1371" i="1" s="1"/>
  <c r="AS1370" i="1" s="1"/>
  <c r="AS1369" i="1" s="1"/>
  <c r="AS1368" i="1" s="1"/>
  <c r="AS1367" i="1" s="1"/>
  <c r="AS1366" i="1" s="1"/>
  <c r="AS1365" i="1" s="1"/>
  <c r="AS1364" i="1" s="1"/>
  <c r="AS1363" i="1" s="1"/>
  <c r="AS1362" i="1" s="1"/>
  <c r="AS1361" i="1" s="1"/>
  <c r="AS1360" i="1" s="1"/>
  <c r="AS1359" i="1" s="1"/>
  <c r="AS1358" i="1" s="1"/>
  <c r="AS1357" i="1" s="1"/>
  <c r="AS1356" i="1" s="1"/>
  <c r="AS1355" i="1" s="1"/>
  <c r="AS1354" i="1" s="1"/>
  <c r="AS1353" i="1" s="1"/>
  <c r="AS1352" i="1" s="1"/>
  <c r="AS1351" i="1" s="1"/>
  <c r="AS1350" i="1" s="1"/>
  <c r="AS1349" i="1" s="1"/>
  <c r="AS1348" i="1" s="1"/>
  <c r="AS1347" i="1" s="1"/>
  <c r="AS1346" i="1" s="1"/>
  <c r="AS1345" i="1" s="1"/>
  <c r="AS1344" i="1" s="1"/>
  <c r="AS1343" i="1" s="1"/>
  <c r="AS1342" i="1" s="1"/>
  <c r="AS1341" i="1" s="1"/>
  <c r="AS1340" i="1" s="1"/>
  <c r="AS1339" i="1" s="1"/>
  <c r="AS1338" i="1" s="1"/>
  <c r="AS1337" i="1" s="1"/>
  <c r="AS1336" i="1" s="1"/>
  <c r="AS1335" i="1" s="1"/>
  <c r="AS1334" i="1" s="1"/>
  <c r="AS1333" i="1" s="1"/>
  <c r="AS1332" i="1" s="1"/>
  <c r="AS1331" i="1" s="1"/>
  <c r="AS1330" i="1" s="1"/>
  <c r="AS1329" i="1" s="1"/>
  <c r="AS1328" i="1" s="1"/>
  <c r="AS1327" i="1" s="1"/>
  <c r="AS1326" i="1" s="1"/>
  <c r="AS1325" i="1" s="1"/>
  <c r="AS1324" i="1" s="1"/>
  <c r="AS1323" i="1" s="1"/>
  <c r="AS1322" i="1" s="1"/>
  <c r="AS1321" i="1" s="1"/>
  <c r="AS1320" i="1" s="1"/>
  <c r="AS1319" i="1" s="1"/>
  <c r="AS1318" i="1" s="1"/>
  <c r="AS1317" i="1" s="1"/>
  <c r="AS1316" i="1" s="1"/>
  <c r="AS1315" i="1" s="1"/>
  <c r="AS1314" i="1" s="1"/>
  <c r="AS1313" i="1" s="1"/>
  <c r="AS1312" i="1" s="1"/>
  <c r="AS1311" i="1" s="1"/>
  <c r="AS1310" i="1" s="1"/>
  <c r="AS1309" i="1" s="1"/>
  <c r="AS1308" i="1" s="1"/>
  <c r="AS1307" i="1" s="1"/>
  <c r="AS1306" i="1" s="1"/>
  <c r="AS1305" i="1" s="1"/>
  <c r="AS1304" i="1" s="1"/>
  <c r="AS1303" i="1" s="1"/>
  <c r="AS1302" i="1" s="1"/>
  <c r="AS1301" i="1" s="1"/>
  <c r="AS1300" i="1" s="1"/>
  <c r="AS1299" i="1" s="1"/>
  <c r="AS1298" i="1" s="1"/>
  <c r="AS1297" i="1" s="1"/>
  <c r="AS1296" i="1" s="1"/>
  <c r="AS1295" i="1" s="1"/>
  <c r="AS1294" i="1" s="1"/>
  <c r="AS1293" i="1" s="1"/>
  <c r="AS1292" i="1" s="1"/>
  <c r="AS1291" i="1" s="1"/>
  <c r="AS1290" i="1" s="1"/>
  <c r="AS1289" i="1" s="1"/>
  <c r="AS1288" i="1" s="1"/>
  <c r="AS1287" i="1" s="1"/>
  <c r="AS1286" i="1" s="1"/>
  <c r="AS1285" i="1" s="1"/>
  <c r="AS1284" i="1" s="1"/>
  <c r="AS1283" i="1" s="1"/>
  <c r="AS1282" i="1" s="1"/>
  <c r="AS1281" i="1" s="1"/>
  <c r="AS1280" i="1" s="1"/>
  <c r="AS1279" i="1" s="1"/>
  <c r="AS1278" i="1" s="1"/>
  <c r="AS1277" i="1" s="1"/>
  <c r="AS1276" i="1" s="1"/>
  <c r="AS1275" i="1" s="1"/>
  <c r="AS1274" i="1" s="1"/>
  <c r="AS1273" i="1" s="1"/>
  <c r="AS1272" i="1" s="1"/>
  <c r="AS1271" i="1" s="1"/>
  <c r="AS1270" i="1" s="1"/>
  <c r="AS1269" i="1" s="1"/>
  <c r="AS1268" i="1" s="1"/>
  <c r="AS1267" i="1" s="1"/>
  <c r="AS1266" i="1" s="1"/>
  <c r="AS1265" i="1" s="1"/>
  <c r="AS1264" i="1" s="1"/>
  <c r="AS1263" i="1" s="1"/>
  <c r="AS1262" i="1" s="1"/>
  <c r="AS1261" i="1" s="1"/>
  <c r="AS1260" i="1" s="1"/>
  <c r="AS1259" i="1" s="1"/>
  <c r="AS1258" i="1" s="1"/>
  <c r="AS1257" i="1" s="1"/>
  <c r="AS1256" i="1" s="1"/>
  <c r="AS1255" i="1" s="1"/>
  <c r="AS1254" i="1" s="1"/>
  <c r="AS1253" i="1" s="1"/>
  <c r="AS1252" i="1" s="1"/>
  <c r="AS1251" i="1" s="1"/>
  <c r="AS1250" i="1" s="1"/>
  <c r="AS1249" i="1" s="1"/>
  <c r="AS1248" i="1" s="1"/>
  <c r="AS1247" i="1" s="1"/>
  <c r="AS1246" i="1" s="1"/>
  <c r="AS1245" i="1" s="1"/>
  <c r="AS1244" i="1" s="1"/>
  <c r="AS1243" i="1" s="1"/>
  <c r="AS1242" i="1" s="1"/>
  <c r="AS1241" i="1" s="1"/>
  <c r="AS1240" i="1" s="1"/>
  <c r="AS1239" i="1" s="1"/>
  <c r="AS1238" i="1" s="1"/>
  <c r="AS1237" i="1" s="1"/>
  <c r="AS1236" i="1" s="1"/>
  <c r="AS1235" i="1" s="1"/>
  <c r="AS1234" i="1" s="1"/>
  <c r="AS1233" i="1" s="1"/>
  <c r="AS1232" i="1" s="1"/>
  <c r="AS1231" i="1" s="1"/>
  <c r="AS1230" i="1" s="1"/>
  <c r="AS1229" i="1" s="1"/>
  <c r="AS1228" i="1" s="1"/>
  <c r="AS1227" i="1" s="1"/>
  <c r="AS1226" i="1" s="1"/>
  <c r="AS1225" i="1" s="1"/>
  <c r="AS1224" i="1" s="1"/>
  <c r="AS1223" i="1" s="1"/>
  <c r="AS1222" i="1" s="1"/>
  <c r="AS1221" i="1" s="1"/>
  <c r="AS1220" i="1" s="1"/>
  <c r="AS1219" i="1" s="1"/>
  <c r="AS1218" i="1" s="1"/>
  <c r="AS1217" i="1" s="1"/>
  <c r="AS1216" i="1" s="1"/>
  <c r="AS1215" i="1" s="1"/>
  <c r="AS1214" i="1" s="1"/>
  <c r="AS1213" i="1" s="1"/>
  <c r="AS1212" i="1" s="1"/>
  <c r="AS1211" i="1" s="1"/>
  <c r="AS1210" i="1" s="1"/>
  <c r="AS1209" i="1" s="1"/>
  <c r="AS1208" i="1" s="1"/>
  <c r="AS1207" i="1" s="1"/>
  <c r="AS1206" i="1" s="1"/>
  <c r="AS1205" i="1" s="1"/>
  <c r="AS1204" i="1" s="1"/>
  <c r="AS1203" i="1" s="1"/>
  <c r="AS1202" i="1" s="1"/>
  <c r="AS1201" i="1" s="1"/>
  <c r="AS1200" i="1" s="1"/>
  <c r="AS1199" i="1" s="1"/>
  <c r="AS1198" i="1" s="1"/>
  <c r="AS1197" i="1" s="1"/>
  <c r="AS1196" i="1" s="1"/>
  <c r="AS1195" i="1" s="1"/>
  <c r="AS1194" i="1" s="1"/>
  <c r="AS1193" i="1" s="1"/>
  <c r="AS1192" i="1" s="1"/>
  <c r="AS1191" i="1" s="1"/>
  <c r="AS1190" i="1" s="1"/>
  <c r="AS1189" i="1" s="1"/>
  <c r="AS1188" i="1" s="1"/>
  <c r="AS1187" i="1" s="1"/>
  <c r="AS1186" i="1" s="1"/>
  <c r="AS1185" i="1" s="1"/>
  <c r="AS1184" i="1" s="1"/>
  <c r="AS1183" i="1" s="1"/>
  <c r="AS1182" i="1" s="1"/>
  <c r="AS1181" i="1" s="1"/>
  <c r="AS1180" i="1" s="1"/>
  <c r="AS1179" i="1" s="1"/>
  <c r="AS1178" i="1" s="1"/>
  <c r="AS1177" i="1" s="1"/>
  <c r="AS1176" i="1" s="1"/>
  <c r="AS1175" i="1" s="1"/>
  <c r="AS1174" i="1" s="1"/>
  <c r="AS1173" i="1" s="1"/>
  <c r="AS1172" i="1" s="1"/>
  <c r="AS1171" i="1" s="1"/>
  <c r="AS1170" i="1" s="1"/>
  <c r="AS1169" i="1" s="1"/>
  <c r="AS1168" i="1" s="1"/>
  <c r="AS1167" i="1" s="1"/>
  <c r="AS1166" i="1" s="1"/>
  <c r="AS1165" i="1" s="1"/>
  <c r="AS1164" i="1" s="1"/>
  <c r="AS1163" i="1" s="1"/>
  <c r="AS1162" i="1" s="1"/>
  <c r="AS1161" i="1" s="1"/>
  <c r="AS1160" i="1" s="1"/>
  <c r="AS1159" i="1" s="1"/>
  <c r="AS1158" i="1" s="1"/>
  <c r="AS1157" i="1" s="1"/>
  <c r="AS1156" i="1" s="1"/>
  <c r="AS1155" i="1" s="1"/>
  <c r="AS1154" i="1" s="1"/>
  <c r="AS1153" i="1" s="1"/>
  <c r="AS1152" i="1" s="1"/>
  <c r="AS1151" i="1" s="1"/>
  <c r="AS1150" i="1" s="1"/>
  <c r="AS1149" i="1" s="1"/>
  <c r="AS1148" i="1" s="1"/>
  <c r="AS1147" i="1" s="1"/>
  <c r="AS1146" i="1" s="1"/>
  <c r="AS1145" i="1" s="1"/>
  <c r="AS1144" i="1" s="1"/>
  <c r="AS1143" i="1" s="1"/>
  <c r="AS1142" i="1" s="1"/>
  <c r="AS1141" i="1" s="1"/>
  <c r="AS1140" i="1" s="1"/>
  <c r="AS1139" i="1" s="1"/>
  <c r="AS1138" i="1" s="1"/>
  <c r="AS1137" i="1" s="1"/>
  <c r="AS1136" i="1" s="1"/>
  <c r="AS1135" i="1" s="1"/>
  <c r="AS1134" i="1" s="1"/>
  <c r="AS1133" i="1" s="1"/>
  <c r="AS1132" i="1" s="1"/>
  <c r="AS1131" i="1" s="1"/>
  <c r="AS1130" i="1" s="1"/>
  <c r="AS1129" i="1" s="1"/>
  <c r="AS1128" i="1" s="1"/>
  <c r="AS1127" i="1" s="1"/>
  <c r="AS1126" i="1" s="1"/>
  <c r="AS1125" i="1" s="1"/>
  <c r="AS1124" i="1" s="1"/>
  <c r="AS1123" i="1" s="1"/>
  <c r="AS1122" i="1" s="1"/>
  <c r="AS1121" i="1" s="1"/>
  <c r="AS1120" i="1" s="1"/>
  <c r="AS1119" i="1" s="1"/>
  <c r="AS1118" i="1" s="1"/>
  <c r="AS1117" i="1" s="1"/>
  <c r="AS1116" i="1" s="1"/>
  <c r="AS1115" i="1" s="1"/>
  <c r="AS1114" i="1" s="1"/>
  <c r="AS1113" i="1" s="1"/>
  <c r="AS1112" i="1" s="1"/>
  <c r="AS1111" i="1" s="1"/>
  <c r="AS1110" i="1" s="1"/>
  <c r="AS1109" i="1" s="1"/>
  <c r="AS1108" i="1" s="1"/>
  <c r="AS1107" i="1" s="1"/>
  <c r="AS1106" i="1" s="1"/>
  <c r="AS1105" i="1" s="1"/>
  <c r="AS1104" i="1" s="1"/>
  <c r="AS1103" i="1" s="1"/>
  <c r="AS1102" i="1" s="1"/>
  <c r="AS1101" i="1" s="1"/>
  <c r="AS1100" i="1" s="1"/>
  <c r="AS1099" i="1" s="1"/>
  <c r="AS1098" i="1" s="1"/>
  <c r="AS1097" i="1" s="1"/>
  <c r="AS1096" i="1" s="1"/>
  <c r="AS1095" i="1" s="1"/>
  <c r="AS1094" i="1" s="1"/>
  <c r="AS1093" i="1" s="1"/>
  <c r="AS1092" i="1" s="1"/>
  <c r="AS1091" i="1" s="1"/>
  <c r="AS1090" i="1" s="1"/>
  <c r="AS1089" i="1" s="1"/>
  <c r="AS1088" i="1" s="1"/>
  <c r="AS1087" i="1" s="1"/>
  <c r="AS1086" i="1" s="1"/>
  <c r="AS1085" i="1" s="1"/>
  <c r="AS1084" i="1" s="1"/>
  <c r="AS1083" i="1" s="1"/>
  <c r="AS1082" i="1" s="1"/>
  <c r="AS1081" i="1" s="1"/>
  <c r="AS1080" i="1" s="1"/>
  <c r="AS1079" i="1" s="1"/>
  <c r="AS1078" i="1" s="1"/>
  <c r="AS1077" i="1" s="1"/>
  <c r="AS1076" i="1" s="1"/>
  <c r="AS1075" i="1" s="1"/>
  <c r="AS1074" i="1" s="1"/>
  <c r="AS1073" i="1" s="1"/>
  <c r="AS1072" i="1" s="1"/>
  <c r="AS1071" i="1" s="1"/>
  <c r="AS1070" i="1" s="1"/>
  <c r="AS1069" i="1" s="1"/>
  <c r="AS1068" i="1" s="1"/>
  <c r="AS1067" i="1" s="1"/>
  <c r="AS1066" i="1" s="1"/>
  <c r="AS1065" i="1" s="1"/>
  <c r="AS1064" i="1" s="1"/>
  <c r="AS1063" i="1" s="1"/>
  <c r="AS1062" i="1" s="1"/>
  <c r="AS1061" i="1" s="1"/>
  <c r="AS1060" i="1" s="1"/>
  <c r="AS1059" i="1" s="1"/>
  <c r="AS1058" i="1" s="1"/>
  <c r="AS1057" i="1" s="1"/>
  <c r="AS1056" i="1" s="1"/>
  <c r="AS1055" i="1" s="1"/>
  <c r="AS1054" i="1" s="1"/>
  <c r="AS1053" i="1" s="1"/>
  <c r="AS1052" i="1" s="1"/>
  <c r="AS1051" i="1" s="1"/>
  <c r="AS1050" i="1" s="1"/>
  <c r="AS1049" i="1" s="1"/>
  <c r="AS1048" i="1" s="1"/>
  <c r="AS1047" i="1" s="1"/>
  <c r="AS1046" i="1" s="1"/>
  <c r="AS1045" i="1" s="1"/>
  <c r="AS1044" i="1" s="1"/>
  <c r="AS1043" i="1" s="1"/>
  <c r="AS1042" i="1" s="1"/>
  <c r="AS1041" i="1" s="1"/>
  <c r="AS1040" i="1" s="1"/>
  <c r="AS1039" i="1" s="1"/>
  <c r="AS1038" i="1" s="1"/>
  <c r="AS1037" i="1" s="1"/>
  <c r="AS1036" i="1" s="1"/>
  <c r="AS1035" i="1" s="1"/>
  <c r="AS1034" i="1" s="1"/>
  <c r="AS1033" i="1" s="1"/>
  <c r="AS1032" i="1" s="1"/>
  <c r="AS1031" i="1" s="1"/>
  <c r="AS1030" i="1" s="1"/>
  <c r="AS1029" i="1" s="1"/>
  <c r="AS1028" i="1" s="1"/>
  <c r="AS1027" i="1" s="1"/>
  <c r="AS1026" i="1" s="1"/>
  <c r="AS1025" i="1" s="1"/>
  <c r="AS1024" i="1" s="1"/>
  <c r="AS1023" i="1" s="1"/>
  <c r="AS1022" i="1" s="1"/>
  <c r="AS1021" i="1" s="1"/>
  <c r="AS1020" i="1" s="1"/>
  <c r="AS1019" i="1" s="1"/>
  <c r="AS1018" i="1" s="1"/>
  <c r="AS1017" i="1" s="1"/>
  <c r="AS1016" i="1" s="1"/>
  <c r="AS1015" i="1" s="1"/>
  <c r="AS1014" i="1" s="1"/>
  <c r="AS1013" i="1" s="1"/>
  <c r="AS1012" i="1" s="1"/>
  <c r="AS1011" i="1" s="1"/>
  <c r="AS1010" i="1" s="1"/>
  <c r="AS1009" i="1" s="1"/>
  <c r="AS1008" i="1" s="1"/>
  <c r="AS1007" i="1" s="1"/>
  <c r="AS1006" i="1" s="1"/>
  <c r="AS1005" i="1" s="1"/>
  <c r="AS1004" i="1" s="1"/>
  <c r="AS1003" i="1" s="1"/>
  <c r="AS1002" i="1" s="1"/>
  <c r="AS1001" i="1" s="1"/>
  <c r="AS1000" i="1" s="1"/>
  <c r="AS999" i="1" s="1"/>
  <c r="AS998" i="1" s="1"/>
  <c r="AS997" i="1" s="1"/>
  <c r="AS996" i="1" s="1"/>
  <c r="AS995" i="1" s="1"/>
  <c r="AS994" i="1" s="1"/>
  <c r="AS993" i="1" s="1"/>
  <c r="AS992" i="1" s="1"/>
  <c r="AS991" i="1" s="1"/>
  <c r="AS990" i="1" s="1"/>
  <c r="AS989" i="1" s="1"/>
  <c r="AS988" i="1" s="1"/>
  <c r="AS987" i="1" s="1"/>
  <c r="AS986" i="1" s="1"/>
  <c r="AS985" i="1" s="1"/>
  <c r="AS984" i="1" s="1"/>
  <c r="AS983" i="1" s="1"/>
  <c r="AS982" i="1" s="1"/>
  <c r="AS981" i="1" s="1"/>
  <c r="AS980" i="1" s="1"/>
  <c r="AS979" i="1" s="1"/>
  <c r="AS978" i="1" s="1"/>
  <c r="AS977" i="1" s="1"/>
  <c r="AS976" i="1" s="1"/>
  <c r="AS975" i="1" s="1"/>
  <c r="AS974" i="1" s="1"/>
  <c r="AS973" i="1" s="1"/>
  <c r="AS972" i="1" s="1"/>
  <c r="AS971" i="1" s="1"/>
  <c r="AS970" i="1" s="1"/>
  <c r="AS969" i="1" s="1"/>
  <c r="AS968" i="1" s="1"/>
  <c r="AS967" i="1" s="1"/>
  <c r="AS966" i="1" s="1"/>
  <c r="AS965" i="1" s="1"/>
  <c r="AS964" i="1" s="1"/>
  <c r="AS963" i="1" s="1"/>
  <c r="AS962" i="1" s="1"/>
  <c r="AS961" i="1" s="1"/>
  <c r="AS960" i="1" s="1"/>
  <c r="AS959" i="1" s="1"/>
  <c r="AS958" i="1" s="1"/>
  <c r="AS957" i="1" s="1"/>
  <c r="AS956" i="1" s="1"/>
  <c r="AS955" i="1" s="1"/>
  <c r="AS954" i="1" s="1"/>
  <c r="AS953" i="1" s="1"/>
  <c r="AS952" i="1" s="1"/>
  <c r="AS951" i="1" s="1"/>
  <c r="AS950" i="1" s="1"/>
  <c r="AS949" i="1" s="1"/>
  <c r="AS948" i="1" s="1"/>
  <c r="AS947" i="1" s="1"/>
  <c r="AS946" i="1" s="1"/>
  <c r="AS945" i="1" s="1"/>
  <c r="AS944" i="1" s="1"/>
  <c r="AS943" i="1" s="1"/>
  <c r="AS942" i="1" s="1"/>
  <c r="AS941" i="1" s="1"/>
  <c r="AS940" i="1" s="1"/>
  <c r="AS939" i="1" s="1"/>
  <c r="AS938" i="1" s="1"/>
  <c r="AS937" i="1" s="1"/>
  <c r="AS936" i="1" s="1"/>
  <c r="AS935" i="1" s="1"/>
  <c r="AS934" i="1" s="1"/>
  <c r="AS933" i="1" s="1"/>
  <c r="AS932" i="1" s="1"/>
  <c r="AS931" i="1" s="1"/>
  <c r="AS930" i="1" s="1"/>
  <c r="AS929" i="1" s="1"/>
  <c r="AS928" i="1" s="1"/>
  <c r="AS927" i="1" s="1"/>
  <c r="AS926" i="1" s="1"/>
  <c r="AS925" i="1" s="1"/>
  <c r="AS924" i="1" s="1"/>
  <c r="AS923" i="1" s="1"/>
  <c r="AS922" i="1" s="1"/>
  <c r="AS921" i="1" s="1"/>
  <c r="AS920" i="1" s="1"/>
  <c r="AS919" i="1" s="1"/>
  <c r="AS918" i="1" s="1"/>
  <c r="AS917" i="1" s="1"/>
  <c r="AS916" i="1" s="1"/>
  <c r="AS915" i="1" s="1"/>
  <c r="AS914" i="1" s="1"/>
  <c r="AS913" i="1" s="1"/>
  <c r="AS912" i="1" s="1"/>
  <c r="AS911" i="1" s="1"/>
  <c r="AS910" i="1" s="1"/>
  <c r="AS909" i="1" s="1"/>
  <c r="AS908" i="1" s="1"/>
  <c r="AS907" i="1" s="1"/>
  <c r="AS906" i="1" s="1"/>
  <c r="AS905" i="1" s="1"/>
  <c r="AS904" i="1" s="1"/>
  <c r="AS903" i="1" s="1"/>
  <c r="AS902" i="1" s="1"/>
  <c r="AS901" i="1" s="1"/>
  <c r="AS900" i="1" s="1"/>
  <c r="AS899" i="1" s="1"/>
  <c r="AS898" i="1" s="1"/>
  <c r="AS897" i="1" s="1"/>
  <c r="AS896" i="1" s="1"/>
  <c r="AS895" i="1" s="1"/>
  <c r="AS894" i="1" s="1"/>
  <c r="AS893" i="1" s="1"/>
  <c r="AS892" i="1" s="1"/>
  <c r="AS891" i="1" s="1"/>
  <c r="AS890" i="1" s="1"/>
  <c r="AS889" i="1" s="1"/>
  <c r="AS888" i="1" s="1"/>
  <c r="AS887" i="1" s="1"/>
  <c r="AS886" i="1" s="1"/>
  <c r="AS885" i="1" s="1"/>
  <c r="AS884" i="1" s="1"/>
  <c r="AS883" i="1" s="1"/>
  <c r="AS882" i="1" s="1"/>
  <c r="AS881" i="1" s="1"/>
  <c r="AS880" i="1" s="1"/>
  <c r="AS879" i="1" s="1"/>
  <c r="AS878" i="1" s="1"/>
  <c r="AS877" i="1" s="1"/>
  <c r="AS876" i="1" s="1"/>
  <c r="AS875" i="1" s="1"/>
  <c r="AS874" i="1" s="1"/>
  <c r="AS873" i="1" s="1"/>
  <c r="AS872" i="1" s="1"/>
  <c r="AS871" i="1" s="1"/>
  <c r="AS870" i="1" s="1"/>
  <c r="AS869" i="1" s="1"/>
  <c r="AS868" i="1" s="1"/>
  <c r="AS867" i="1" s="1"/>
  <c r="AS866" i="1" s="1"/>
  <c r="AS865" i="1" s="1"/>
  <c r="AS864" i="1" s="1"/>
  <c r="AS863" i="1" s="1"/>
  <c r="AS862" i="1" s="1"/>
  <c r="AS861" i="1" s="1"/>
  <c r="AS860" i="1" s="1"/>
  <c r="AS859" i="1" s="1"/>
  <c r="AS858" i="1" s="1"/>
  <c r="AS857" i="1" s="1"/>
  <c r="AS856" i="1" s="1"/>
  <c r="AS855" i="1" s="1"/>
  <c r="AS854" i="1" s="1"/>
  <c r="AS853" i="1" s="1"/>
  <c r="AS852" i="1" s="1"/>
  <c r="AS851" i="1" s="1"/>
  <c r="AS850" i="1" s="1"/>
  <c r="AS849" i="1" s="1"/>
  <c r="AS848" i="1" s="1"/>
  <c r="AS847" i="1" s="1"/>
  <c r="AS846" i="1" s="1"/>
  <c r="AS845" i="1" s="1"/>
  <c r="AS844" i="1" s="1"/>
  <c r="AS843" i="1" s="1"/>
  <c r="AS842" i="1" s="1"/>
  <c r="AS841" i="1" s="1"/>
  <c r="AS840" i="1" s="1"/>
  <c r="AS839" i="1" s="1"/>
  <c r="AS838" i="1" s="1"/>
  <c r="AS837" i="1" s="1"/>
  <c r="AS836" i="1" s="1"/>
  <c r="AS835" i="1" s="1"/>
  <c r="AS834" i="1" s="1"/>
  <c r="AS833" i="1" s="1"/>
  <c r="AS832" i="1" s="1"/>
  <c r="AS831" i="1" s="1"/>
  <c r="AS830" i="1" s="1"/>
  <c r="AS829" i="1" s="1"/>
  <c r="AS828" i="1" s="1"/>
  <c r="AS827" i="1" s="1"/>
  <c r="AS826" i="1" s="1"/>
  <c r="AS825" i="1" s="1"/>
  <c r="AS824" i="1" s="1"/>
  <c r="AS823" i="1" s="1"/>
  <c r="AS822" i="1" s="1"/>
  <c r="AS821" i="1" s="1"/>
  <c r="AS820" i="1" s="1"/>
  <c r="AS819" i="1" s="1"/>
  <c r="AS818" i="1" s="1"/>
  <c r="AS817" i="1" s="1"/>
  <c r="AS816" i="1" s="1"/>
  <c r="AS815" i="1" s="1"/>
  <c r="AS814" i="1" s="1"/>
  <c r="AS813" i="1" s="1"/>
  <c r="AS812" i="1" s="1"/>
  <c r="AS811" i="1" s="1"/>
  <c r="AS810" i="1" s="1"/>
  <c r="AS809" i="1" s="1"/>
  <c r="AS808" i="1" s="1"/>
  <c r="AS807" i="1" s="1"/>
  <c r="AS806" i="1" s="1"/>
  <c r="AS805" i="1" s="1"/>
  <c r="AS804" i="1" s="1"/>
  <c r="AS803" i="1" s="1"/>
  <c r="AS802" i="1" s="1"/>
  <c r="AS801" i="1" s="1"/>
  <c r="AS800" i="1" s="1"/>
  <c r="AS799" i="1" s="1"/>
  <c r="AS798" i="1" s="1"/>
  <c r="AS797" i="1" s="1"/>
  <c r="AS796" i="1" s="1"/>
  <c r="AS795" i="1" s="1"/>
  <c r="AS794" i="1" s="1"/>
  <c r="AS793" i="1" s="1"/>
  <c r="AS792" i="1" s="1"/>
  <c r="AS791" i="1" s="1"/>
  <c r="AS790" i="1" s="1"/>
  <c r="AS789" i="1" s="1"/>
  <c r="AS788" i="1" s="1"/>
  <c r="AS787" i="1" s="1"/>
  <c r="AS786" i="1" s="1"/>
  <c r="AS785" i="1" s="1"/>
  <c r="AS784" i="1" s="1"/>
  <c r="AS783" i="1" s="1"/>
  <c r="AS782" i="1" s="1"/>
  <c r="AS781" i="1" s="1"/>
  <c r="AS780" i="1" s="1"/>
  <c r="AS779" i="1" s="1"/>
  <c r="AS778" i="1" s="1"/>
  <c r="AS777" i="1" s="1"/>
  <c r="AS776" i="1" s="1"/>
  <c r="AS775" i="1" s="1"/>
  <c r="AS774" i="1" s="1"/>
  <c r="AS773" i="1" s="1"/>
  <c r="AS772" i="1" s="1"/>
  <c r="AS771" i="1" s="1"/>
  <c r="AS770" i="1" s="1"/>
  <c r="AS769" i="1" s="1"/>
  <c r="AS768" i="1" s="1"/>
  <c r="AS767" i="1" s="1"/>
  <c r="AS766" i="1" s="1"/>
  <c r="AS765" i="1" s="1"/>
  <c r="AS764" i="1" s="1"/>
  <c r="AS763" i="1" s="1"/>
  <c r="AS762" i="1" s="1"/>
  <c r="AS761" i="1" s="1"/>
  <c r="AS760" i="1" s="1"/>
  <c r="AS759" i="1" s="1"/>
  <c r="AS758" i="1" s="1"/>
  <c r="AS757" i="1" s="1"/>
  <c r="AS756" i="1" s="1"/>
  <c r="AS755" i="1" s="1"/>
  <c r="AS754" i="1" s="1"/>
  <c r="AS753" i="1" s="1"/>
  <c r="AS752" i="1" s="1"/>
  <c r="AS751" i="1" s="1"/>
  <c r="AS750" i="1" s="1"/>
  <c r="AS749" i="1" s="1"/>
  <c r="AS748" i="1" s="1"/>
  <c r="AS747" i="1" s="1"/>
  <c r="AS746" i="1" s="1"/>
  <c r="AS745" i="1" s="1"/>
  <c r="AS744" i="1" s="1"/>
  <c r="AS743" i="1" s="1"/>
  <c r="AS742" i="1" s="1"/>
  <c r="AS741" i="1" s="1"/>
  <c r="AS740" i="1" s="1"/>
  <c r="AS739" i="1" s="1"/>
  <c r="AS738" i="1" s="1"/>
  <c r="AS737" i="1" s="1"/>
  <c r="AS736" i="1" s="1"/>
  <c r="AS735" i="1" s="1"/>
  <c r="AS734" i="1" s="1"/>
  <c r="AS733" i="1" s="1"/>
  <c r="AS732" i="1" s="1"/>
  <c r="AS731" i="1" s="1"/>
  <c r="AS730" i="1" s="1"/>
  <c r="AS729" i="1" s="1"/>
  <c r="AS728" i="1" s="1"/>
  <c r="AS727" i="1" s="1"/>
  <c r="AS726" i="1" s="1"/>
  <c r="AS725" i="1" s="1"/>
  <c r="AS724" i="1" s="1"/>
  <c r="AS723" i="1" s="1"/>
  <c r="AS722" i="1" s="1"/>
  <c r="AS721" i="1" s="1"/>
  <c r="AS720" i="1" s="1"/>
  <c r="AS719" i="1" s="1"/>
  <c r="AS718" i="1" s="1"/>
  <c r="AS717" i="1" s="1"/>
  <c r="AS716" i="1" s="1"/>
  <c r="AS715" i="1" s="1"/>
  <c r="AS714" i="1" s="1"/>
  <c r="AS713" i="1" s="1"/>
  <c r="AS712" i="1" s="1"/>
  <c r="AS711" i="1" s="1"/>
  <c r="AS710" i="1" s="1"/>
  <c r="AS709" i="1" s="1"/>
  <c r="AS708" i="1" s="1"/>
  <c r="AS707" i="1" s="1"/>
  <c r="AS706" i="1" s="1"/>
  <c r="AS705" i="1" s="1"/>
  <c r="AS704" i="1" s="1"/>
  <c r="AS703" i="1" s="1"/>
  <c r="AS702" i="1" s="1"/>
  <c r="AS701" i="1" s="1"/>
  <c r="AS700" i="1" s="1"/>
  <c r="AS699" i="1" s="1"/>
  <c r="AS698" i="1" s="1"/>
  <c r="AS697" i="1" s="1"/>
  <c r="AS696" i="1" s="1"/>
  <c r="AS695" i="1" s="1"/>
  <c r="AS694" i="1" s="1"/>
  <c r="AS693" i="1" s="1"/>
  <c r="AS692" i="1" s="1"/>
  <c r="AS691" i="1" s="1"/>
  <c r="AS690" i="1" s="1"/>
  <c r="AS689" i="1" s="1"/>
  <c r="AS688" i="1" s="1"/>
  <c r="AS687" i="1" s="1"/>
  <c r="AS686" i="1" s="1"/>
  <c r="AS685" i="1" s="1"/>
  <c r="AS684" i="1" s="1"/>
  <c r="AS683" i="1" s="1"/>
  <c r="AS682" i="1" s="1"/>
  <c r="AS681" i="1" s="1"/>
  <c r="AS680" i="1" s="1"/>
  <c r="AS679" i="1" s="1"/>
  <c r="AS678" i="1" s="1"/>
  <c r="AS677" i="1" s="1"/>
  <c r="AS676" i="1" s="1"/>
  <c r="AS675" i="1" s="1"/>
  <c r="AS674" i="1" s="1"/>
  <c r="AS673" i="1" s="1"/>
  <c r="AS672" i="1" s="1"/>
  <c r="AS671" i="1" s="1"/>
  <c r="AS670" i="1" s="1"/>
  <c r="AS669" i="1" s="1"/>
  <c r="AS668" i="1" s="1"/>
  <c r="AS667" i="1" s="1"/>
  <c r="AS666" i="1" s="1"/>
  <c r="AS665" i="1" s="1"/>
  <c r="AS664" i="1" s="1"/>
  <c r="AS663" i="1" s="1"/>
  <c r="AS662" i="1" s="1"/>
  <c r="AS661" i="1" s="1"/>
  <c r="AS660" i="1" s="1"/>
  <c r="AS659" i="1" s="1"/>
  <c r="AS658" i="1" s="1"/>
  <c r="AS657" i="1" s="1"/>
  <c r="AS656" i="1" s="1"/>
  <c r="AS655" i="1" s="1"/>
  <c r="AS654" i="1" s="1"/>
  <c r="AS653" i="1" s="1"/>
  <c r="AS652" i="1" s="1"/>
  <c r="AS651" i="1" s="1"/>
  <c r="AS650" i="1" s="1"/>
  <c r="AS649" i="1" s="1"/>
  <c r="AS648" i="1" s="1"/>
  <c r="AS647" i="1" s="1"/>
  <c r="AS646" i="1" s="1"/>
  <c r="AS645" i="1" s="1"/>
  <c r="AS644" i="1" s="1"/>
  <c r="AS643" i="1" s="1"/>
  <c r="AS642" i="1" s="1"/>
  <c r="AS641" i="1" s="1"/>
  <c r="AS640" i="1" s="1"/>
  <c r="AS639" i="1" s="1"/>
  <c r="AS638" i="1" s="1"/>
  <c r="AS637" i="1" s="1"/>
  <c r="AS636" i="1" s="1"/>
  <c r="AS635" i="1" s="1"/>
  <c r="AS634" i="1" s="1"/>
  <c r="AS633" i="1" s="1"/>
  <c r="AS632" i="1" s="1"/>
  <c r="AS631" i="1" s="1"/>
  <c r="AS630" i="1" s="1"/>
  <c r="AS629" i="1" s="1"/>
  <c r="AS628" i="1" s="1"/>
  <c r="AS627" i="1" s="1"/>
  <c r="AS626" i="1" s="1"/>
  <c r="AS625" i="1" s="1"/>
  <c r="AS624" i="1" s="1"/>
  <c r="AS623" i="1" s="1"/>
  <c r="AS622" i="1" s="1"/>
  <c r="AS621" i="1" s="1"/>
  <c r="AS620" i="1" s="1"/>
  <c r="AS619" i="1" s="1"/>
  <c r="AS618" i="1" s="1"/>
  <c r="AS617" i="1" s="1"/>
  <c r="AS616" i="1" s="1"/>
  <c r="AS615" i="1" s="1"/>
  <c r="AS614" i="1" s="1"/>
  <c r="AS613" i="1" s="1"/>
  <c r="AS612" i="1" s="1"/>
  <c r="AS611" i="1" s="1"/>
  <c r="AS610" i="1" s="1"/>
  <c r="AS609" i="1" s="1"/>
  <c r="AS608" i="1" s="1"/>
  <c r="AS607" i="1" s="1"/>
  <c r="AS606" i="1" s="1"/>
  <c r="AS605" i="1" s="1"/>
  <c r="AS604" i="1" s="1"/>
  <c r="AS603" i="1" s="1"/>
  <c r="AS602" i="1" s="1"/>
  <c r="AS601" i="1" s="1"/>
  <c r="AS600" i="1" s="1"/>
  <c r="AS599" i="1" s="1"/>
  <c r="AS598" i="1" s="1"/>
  <c r="AS597" i="1" s="1"/>
  <c r="AS596" i="1" s="1"/>
  <c r="AS595" i="1" s="1"/>
  <c r="AS594" i="1" s="1"/>
  <c r="AS593" i="1" s="1"/>
  <c r="AS592" i="1" s="1"/>
  <c r="AS591" i="1" s="1"/>
  <c r="AS590" i="1" s="1"/>
  <c r="AS589" i="1" s="1"/>
  <c r="AS588" i="1" s="1"/>
  <c r="AS587" i="1" s="1"/>
  <c r="AS586" i="1" s="1"/>
  <c r="AS585" i="1" s="1"/>
  <c r="AS584" i="1" s="1"/>
  <c r="AS583" i="1" s="1"/>
  <c r="AS582" i="1" s="1"/>
  <c r="AS581" i="1" s="1"/>
  <c r="AS580" i="1" s="1"/>
  <c r="AS579" i="1" s="1"/>
  <c r="AS578" i="1" s="1"/>
  <c r="AS577" i="1" s="1"/>
  <c r="AS576" i="1" s="1"/>
  <c r="AS575" i="1" s="1"/>
  <c r="AS574" i="1" s="1"/>
  <c r="AS573" i="1" s="1"/>
  <c r="AS572" i="1" s="1"/>
  <c r="AS571" i="1" s="1"/>
  <c r="AS570" i="1" s="1"/>
  <c r="AS569" i="1" s="1"/>
  <c r="AS568" i="1" s="1"/>
  <c r="AS567" i="1" s="1"/>
  <c r="AS566" i="1" s="1"/>
  <c r="AS565" i="1" s="1"/>
  <c r="AS564" i="1" s="1"/>
  <c r="AS563" i="1" s="1"/>
  <c r="AS562" i="1" s="1"/>
  <c r="AS561" i="1" s="1"/>
  <c r="AS560" i="1" s="1"/>
  <c r="AS559" i="1" s="1"/>
  <c r="AS558" i="1" s="1"/>
  <c r="AS557" i="1" s="1"/>
  <c r="AS556" i="1" s="1"/>
  <c r="AS555" i="1" s="1"/>
  <c r="AS554" i="1" s="1"/>
  <c r="AS553" i="1" s="1"/>
  <c r="AS552" i="1" s="1"/>
  <c r="AS551" i="1" s="1"/>
  <c r="AS550" i="1" s="1"/>
  <c r="AS549" i="1" s="1"/>
  <c r="AS548" i="1" s="1"/>
  <c r="AS547" i="1" s="1"/>
  <c r="AS546" i="1" s="1"/>
  <c r="AS545" i="1" s="1"/>
  <c r="AS544" i="1" s="1"/>
  <c r="AS543" i="1" s="1"/>
  <c r="AS542" i="1" s="1"/>
  <c r="AS541" i="1" s="1"/>
  <c r="AS540" i="1" s="1"/>
  <c r="AS539" i="1" s="1"/>
  <c r="AS538" i="1" s="1"/>
  <c r="AS537" i="1" s="1"/>
  <c r="AS536" i="1" s="1"/>
  <c r="AS535" i="1" s="1"/>
  <c r="AS534" i="1" s="1"/>
  <c r="AS533" i="1" s="1"/>
  <c r="AS532" i="1" s="1"/>
  <c r="AS531" i="1" s="1"/>
  <c r="AS530" i="1" s="1"/>
  <c r="AS529" i="1" s="1"/>
  <c r="AS528" i="1" s="1"/>
  <c r="AS527" i="1" s="1"/>
  <c r="AS526" i="1" s="1"/>
  <c r="AS525" i="1" s="1"/>
  <c r="AS524" i="1" s="1"/>
  <c r="AS523" i="1" s="1"/>
  <c r="AS522" i="1" s="1"/>
  <c r="AS521" i="1" s="1"/>
  <c r="AS520" i="1" s="1"/>
  <c r="AS519" i="1" s="1"/>
  <c r="AS518" i="1" s="1"/>
  <c r="AS517" i="1" s="1"/>
  <c r="AS516" i="1" s="1"/>
  <c r="AS515" i="1" s="1"/>
  <c r="AS514" i="1" s="1"/>
  <c r="AS513" i="1" s="1"/>
  <c r="AS512" i="1" s="1"/>
  <c r="AS511" i="1" s="1"/>
  <c r="AS510" i="1" s="1"/>
  <c r="AS509" i="1" s="1"/>
  <c r="AS508" i="1" s="1"/>
  <c r="AS507" i="1" s="1"/>
  <c r="AS506" i="1" s="1"/>
  <c r="AS505" i="1" s="1"/>
  <c r="AS504" i="1" s="1"/>
  <c r="AS503" i="1" s="1"/>
  <c r="AS502" i="1" s="1"/>
  <c r="AS501" i="1" s="1"/>
  <c r="AS500" i="1" s="1"/>
  <c r="AS499" i="1" s="1"/>
  <c r="AS498" i="1" s="1"/>
  <c r="AS497" i="1" s="1"/>
  <c r="AS496" i="1" s="1"/>
  <c r="AS495" i="1" s="1"/>
  <c r="AS494" i="1" s="1"/>
  <c r="AS493" i="1" s="1"/>
  <c r="AS492" i="1" s="1"/>
  <c r="AS491" i="1" s="1"/>
  <c r="AS490" i="1" s="1"/>
  <c r="AS489" i="1" s="1"/>
  <c r="AS488" i="1" s="1"/>
  <c r="AS487" i="1" s="1"/>
  <c r="AS486" i="1" s="1"/>
  <c r="AS485" i="1" s="1"/>
  <c r="AS484" i="1" s="1"/>
  <c r="AS483" i="1" s="1"/>
  <c r="AS482" i="1" s="1"/>
  <c r="AS481" i="1" s="1"/>
  <c r="AS480" i="1" s="1"/>
  <c r="AS479" i="1" s="1"/>
  <c r="AS478" i="1" s="1"/>
  <c r="AS477" i="1" s="1"/>
  <c r="AS476" i="1" s="1"/>
  <c r="AS475" i="1" s="1"/>
  <c r="AS474" i="1" s="1"/>
  <c r="AS473" i="1" s="1"/>
  <c r="AS472" i="1" s="1"/>
  <c r="AS471" i="1" s="1"/>
  <c r="AS470" i="1" s="1"/>
  <c r="AS469" i="1" s="1"/>
  <c r="AS468" i="1" s="1"/>
  <c r="AS467" i="1" s="1"/>
  <c r="AS466" i="1" s="1"/>
  <c r="AS465" i="1" s="1"/>
  <c r="AS464" i="1" s="1"/>
  <c r="AS463" i="1" s="1"/>
  <c r="AS462" i="1" s="1"/>
  <c r="AS461" i="1" s="1"/>
  <c r="AS460" i="1" s="1"/>
  <c r="AS459" i="1" s="1"/>
  <c r="AS458" i="1" s="1"/>
  <c r="AS457" i="1" s="1"/>
  <c r="AS456" i="1" s="1"/>
  <c r="AS455" i="1" s="1"/>
  <c r="AS454" i="1" s="1"/>
  <c r="AS453" i="1" s="1"/>
  <c r="AS452" i="1" s="1"/>
  <c r="AS451" i="1" s="1"/>
  <c r="AS450" i="1" s="1"/>
  <c r="AS449" i="1" s="1"/>
  <c r="AS448" i="1" s="1"/>
  <c r="AS447" i="1" s="1"/>
  <c r="AS446" i="1" s="1"/>
  <c r="AS445" i="1" s="1"/>
  <c r="AS444" i="1" s="1"/>
  <c r="AS443" i="1" s="1"/>
  <c r="AS442" i="1" s="1"/>
  <c r="AS441" i="1" s="1"/>
  <c r="AS440" i="1" s="1"/>
  <c r="AS439" i="1" s="1"/>
  <c r="AS438" i="1" s="1"/>
  <c r="AS437" i="1" s="1"/>
  <c r="AS436" i="1" s="1"/>
  <c r="AS435" i="1" s="1"/>
  <c r="AS434" i="1" s="1"/>
  <c r="AS433" i="1" s="1"/>
  <c r="AS432" i="1" s="1"/>
  <c r="AS431" i="1" s="1"/>
  <c r="AS430" i="1" s="1"/>
  <c r="AS429" i="1" s="1"/>
  <c r="AS428" i="1" s="1"/>
  <c r="AS427" i="1" s="1"/>
  <c r="AS426" i="1" s="1"/>
  <c r="AS425" i="1" s="1"/>
  <c r="AS424" i="1" s="1"/>
  <c r="AS423" i="1" s="1"/>
  <c r="AS422" i="1" s="1"/>
  <c r="AS421" i="1" s="1"/>
  <c r="AS420" i="1" s="1"/>
  <c r="AS419" i="1" s="1"/>
  <c r="AS418" i="1" s="1"/>
  <c r="AS417" i="1" s="1"/>
  <c r="AS416" i="1" s="1"/>
  <c r="AS415" i="1" s="1"/>
  <c r="AS414" i="1" s="1"/>
  <c r="AS413" i="1" s="1"/>
  <c r="AS412" i="1" s="1"/>
  <c r="AS411" i="1" s="1"/>
  <c r="AS410" i="1" s="1"/>
  <c r="AS409" i="1" s="1"/>
  <c r="AS408" i="1" s="1"/>
  <c r="AS407" i="1" s="1"/>
  <c r="AS406" i="1" s="1"/>
  <c r="AS405" i="1" s="1"/>
  <c r="AS404" i="1" s="1"/>
  <c r="AS403" i="1" s="1"/>
  <c r="AS402" i="1" s="1"/>
  <c r="AS401" i="1" s="1"/>
  <c r="AS400" i="1" s="1"/>
  <c r="AS399" i="1" s="1"/>
  <c r="AS398" i="1" s="1"/>
  <c r="AS397" i="1" s="1"/>
  <c r="AS396" i="1" s="1"/>
  <c r="AS395" i="1" s="1"/>
  <c r="AS394" i="1" s="1"/>
  <c r="AS393" i="1" s="1"/>
  <c r="AS392" i="1" s="1"/>
  <c r="AS391" i="1" s="1"/>
  <c r="AS390" i="1" s="1"/>
  <c r="AS389" i="1" s="1"/>
  <c r="AS388" i="1" s="1"/>
  <c r="AS387" i="1" s="1"/>
  <c r="AS386" i="1" s="1"/>
  <c r="AS385" i="1" s="1"/>
  <c r="AS384" i="1" s="1"/>
  <c r="AS383" i="1" s="1"/>
  <c r="AS382" i="1" s="1"/>
  <c r="AS381" i="1" s="1"/>
  <c r="AS380" i="1" s="1"/>
  <c r="AS379" i="1" s="1"/>
  <c r="AS378" i="1" s="1"/>
  <c r="AS377" i="1" s="1"/>
  <c r="AS376" i="1" s="1"/>
  <c r="AS375" i="1" s="1"/>
  <c r="AS374" i="1" s="1"/>
  <c r="AS373" i="1" s="1"/>
  <c r="AS372" i="1" s="1"/>
  <c r="AS371" i="1" s="1"/>
  <c r="AS370" i="1" s="1"/>
  <c r="AS369" i="1" s="1"/>
  <c r="AS368" i="1" s="1"/>
  <c r="AS367" i="1" s="1"/>
  <c r="AS366" i="1" s="1"/>
  <c r="AS365" i="1" s="1"/>
  <c r="AS364" i="1" s="1"/>
  <c r="AS363" i="1" s="1"/>
  <c r="AS362" i="1" s="1"/>
  <c r="AS361" i="1" s="1"/>
  <c r="AS360" i="1" s="1"/>
  <c r="AS359" i="1" s="1"/>
  <c r="AS358" i="1" s="1"/>
  <c r="AS357" i="1" s="1"/>
  <c r="AS356" i="1" s="1"/>
  <c r="AS355" i="1" s="1"/>
  <c r="AS354" i="1" s="1"/>
  <c r="AS353" i="1" s="1"/>
  <c r="AS352" i="1" s="1"/>
  <c r="AS351" i="1" s="1"/>
  <c r="AS350" i="1" s="1"/>
  <c r="AS349" i="1" s="1"/>
  <c r="AS348" i="1" s="1"/>
  <c r="AS347" i="1" s="1"/>
  <c r="AS346" i="1" s="1"/>
  <c r="AS345" i="1" s="1"/>
  <c r="AS344" i="1" s="1"/>
  <c r="AS343" i="1" s="1"/>
  <c r="AS342" i="1" s="1"/>
  <c r="AS341" i="1" s="1"/>
  <c r="AS340" i="1" s="1"/>
  <c r="AS339" i="1" s="1"/>
  <c r="AS338" i="1" s="1"/>
  <c r="AS337" i="1" s="1"/>
  <c r="AS336" i="1" s="1"/>
  <c r="AS335" i="1" s="1"/>
  <c r="AS334" i="1" s="1"/>
  <c r="AS333" i="1" s="1"/>
  <c r="AS332" i="1" s="1"/>
  <c r="AS331" i="1" s="1"/>
  <c r="AS330" i="1" s="1"/>
  <c r="AS329" i="1" s="1"/>
  <c r="AS328" i="1" s="1"/>
  <c r="AS327" i="1" s="1"/>
  <c r="AS326" i="1" s="1"/>
  <c r="AS325" i="1" s="1"/>
  <c r="AS324" i="1" s="1"/>
  <c r="AS323" i="1" s="1"/>
  <c r="AS322" i="1" s="1"/>
  <c r="AS321" i="1" s="1"/>
  <c r="AS320" i="1" s="1"/>
  <c r="AS319" i="1" s="1"/>
  <c r="AS318" i="1" s="1"/>
  <c r="AS317" i="1" s="1"/>
  <c r="AS316" i="1" s="1"/>
  <c r="AS315" i="1" s="1"/>
  <c r="AS314" i="1" s="1"/>
  <c r="AS313" i="1" s="1"/>
  <c r="AS312" i="1" s="1"/>
  <c r="AS311" i="1" s="1"/>
  <c r="AS310" i="1" s="1"/>
  <c r="AS309" i="1" s="1"/>
  <c r="AS308" i="1" s="1"/>
  <c r="AS307" i="1" s="1"/>
  <c r="AS306" i="1" s="1"/>
  <c r="AS305" i="1" s="1"/>
  <c r="AS304" i="1" s="1"/>
  <c r="AS303" i="1" s="1"/>
  <c r="AS302" i="1" s="1"/>
  <c r="AS301" i="1" s="1"/>
  <c r="AS300" i="1" s="1"/>
  <c r="AS299" i="1" s="1"/>
  <c r="AS298" i="1" s="1"/>
  <c r="AS297" i="1" s="1"/>
  <c r="AS296" i="1" s="1"/>
  <c r="AS295" i="1" s="1"/>
  <c r="AS294" i="1" s="1"/>
  <c r="AS293" i="1" s="1"/>
  <c r="AS292" i="1" s="1"/>
  <c r="AS291" i="1" s="1"/>
  <c r="AS290" i="1" s="1"/>
  <c r="AS289" i="1" s="1"/>
  <c r="AS288" i="1" s="1"/>
  <c r="AS287" i="1" s="1"/>
  <c r="AS286" i="1" s="1"/>
  <c r="AS285" i="1" s="1"/>
  <c r="AS284" i="1" s="1"/>
  <c r="AS283" i="1" s="1"/>
  <c r="AS282" i="1" s="1"/>
  <c r="AS281" i="1" s="1"/>
  <c r="AS280" i="1" s="1"/>
  <c r="AS279" i="1" s="1"/>
  <c r="AS278" i="1" s="1"/>
  <c r="AS277" i="1" s="1"/>
  <c r="AS276" i="1" s="1"/>
  <c r="AS275" i="1" s="1"/>
  <c r="AS274" i="1" s="1"/>
  <c r="AS273" i="1" s="1"/>
  <c r="AS272" i="1" s="1"/>
  <c r="AS271" i="1" s="1"/>
  <c r="AS270" i="1" s="1"/>
  <c r="AS269" i="1" s="1"/>
  <c r="AS268" i="1" s="1"/>
  <c r="AS267" i="1" s="1"/>
  <c r="AS266" i="1" s="1"/>
  <c r="AS265" i="1" s="1"/>
  <c r="AS264" i="1" s="1"/>
  <c r="AS263" i="1" s="1"/>
  <c r="AS262" i="1" s="1"/>
  <c r="AS261" i="1" s="1"/>
  <c r="AS260" i="1" s="1"/>
  <c r="AS259" i="1" s="1"/>
  <c r="AS258" i="1" s="1"/>
  <c r="AS257" i="1" s="1"/>
  <c r="AS256" i="1" s="1"/>
  <c r="AS255" i="1" s="1"/>
  <c r="AS254" i="1" s="1"/>
  <c r="AS253" i="1" s="1"/>
  <c r="AS252" i="1" s="1"/>
  <c r="AS251" i="1" s="1"/>
  <c r="AS250" i="1" s="1"/>
  <c r="AS249" i="1" s="1"/>
  <c r="AS248" i="1" s="1"/>
  <c r="AS247" i="1" s="1"/>
  <c r="AS246" i="1" s="1"/>
  <c r="AS245" i="1" s="1"/>
  <c r="AS244" i="1" s="1"/>
  <c r="AS243" i="1" s="1"/>
  <c r="AS242" i="1" s="1"/>
  <c r="AS241" i="1" s="1"/>
  <c r="AS240" i="1" s="1"/>
  <c r="AS239" i="1" s="1"/>
  <c r="AS238" i="1" s="1"/>
  <c r="AS237" i="1" s="1"/>
  <c r="AS236" i="1" s="1"/>
  <c r="AS235" i="1" s="1"/>
  <c r="AS234" i="1" s="1"/>
  <c r="AS233" i="1" s="1"/>
  <c r="AS232" i="1" s="1"/>
  <c r="AS231" i="1" s="1"/>
  <c r="AS230" i="1" s="1"/>
  <c r="AS229" i="1" s="1"/>
  <c r="AS228" i="1" s="1"/>
  <c r="AS227" i="1" s="1"/>
  <c r="AS226" i="1" s="1"/>
  <c r="AS225" i="1" s="1"/>
  <c r="AS224" i="1" s="1"/>
  <c r="AS223" i="1" s="1"/>
  <c r="AS222" i="1" s="1"/>
  <c r="AS221" i="1" s="1"/>
  <c r="AS220" i="1" s="1"/>
  <c r="AS219" i="1" s="1"/>
  <c r="AS218" i="1" s="1"/>
  <c r="AS217" i="1" s="1"/>
  <c r="AS216" i="1" s="1"/>
  <c r="AS215" i="1" s="1"/>
  <c r="AS214" i="1" s="1"/>
  <c r="AS213" i="1" s="1"/>
  <c r="AS212" i="1" s="1"/>
  <c r="AS211" i="1" s="1"/>
  <c r="AS210" i="1" s="1"/>
  <c r="AS209" i="1" s="1"/>
  <c r="AS208" i="1" s="1"/>
  <c r="AS207" i="1" s="1"/>
  <c r="AS206" i="1" s="1"/>
  <c r="AS205" i="1" s="1"/>
  <c r="AS204" i="1" s="1"/>
  <c r="AS203" i="1" s="1"/>
  <c r="AS202" i="1" s="1"/>
  <c r="AS201" i="1" s="1"/>
  <c r="AS200" i="1" s="1"/>
  <c r="AS199" i="1" s="1"/>
  <c r="AS198" i="1" s="1"/>
  <c r="AS197" i="1" s="1"/>
  <c r="AS196" i="1" s="1"/>
  <c r="AS195" i="1" s="1"/>
  <c r="AS194" i="1" s="1"/>
  <c r="AS193" i="1" s="1"/>
  <c r="AS192" i="1" s="1"/>
  <c r="AS191" i="1" s="1"/>
  <c r="AS190" i="1" s="1"/>
  <c r="AS189" i="1" s="1"/>
  <c r="AS188" i="1" s="1"/>
  <c r="AS187" i="1" s="1"/>
  <c r="AS186" i="1" s="1"/>
  <c r="AS185" i="1" s="1"/>
  <c r="AS184" i="1" s="1"/>
  <c r="AS183" i="1" s="1"/>
  <c r="AS182" i="1" s="1"/>
  <c r="AS181" i="1" s="1"/>
  <c r="AS180" i="1" s="1"/>
  <c r="AS179" i="1" s="1"/>
  <c r="AS178" i="1" s="1"/>
  <c r="AS177" i="1" s="1"/>
  <c r="AS176" i="1" s="1"/>
  <c r="AS175" i="1" s="1"/>
  <c r="AS174" i="1" s="1"/>
  <c r="AS173" i="1" s="1"/>
  <c r="AS172" i="1" s="1"/>
  <c r="AS171" i="1" s="1"/>
  <c r="AS170" i="1" s="1"/>
  <c r="AS169" i="1" s="1"/>
  <c r="AS168" i="1" s="1"/>
  <c r="AS167" i="1" s="1"/>
  <c r="AS166" i="1" s="1"/>
  <c r="AS165" i="1" s="1"/>
  <c r="AS164" i="1" s="1"/>
  <c r="AS163" i="1" s="1"/>
  <c r="AS162" i="1" s="1"/>
  <c r="AS161" i="1" s="1"/>
  <c r="AS160" i="1" s="1"/>
  <c r="AS159" i="1" s="1"/>
  <c r="AS158" i="1" s="1"/>
  <c r="AS157" i="1" s="1"/>
  <c r="AS156" i="1" s="1"/>
  <c r="AS155" i="1" s="1"/>
  <c r="AS154" i="1" s="1"/>
  <c r="AS153" i="1" s="1"/>
  <c r="AS152" i="1" s="1"/>
  <c r="AS151" i="1" s="1"/>
  <c r="AS150" i="1" s="1"/>
  <c r="AS149" i="1" s="1"/>
  <c r="AS148" i="1" s="1"/>
  <c r="AS147" i="1" s="1"/>
  <c r="AS146" i="1" s="1"/>
  <c r="AS145" i="1" s="1"/>
  <c r="AS144" i="1" s="1"/>
  <c r="AS143" i="1" s="1"/>
  <c r="AS142" i="1" s="1"/>
  <c r="AS141" i="1" s="1"/>
  <c r="AS140" i="1" s="1"/>
  <c r="AS139" i="1" s="1"/>
  <c r="AS138" i="1" s="1"/>
  <c r="AS137" i="1" s="1"/>
  <c r="AS136" i="1" s="1"/>
  <c r="AS135" i="1" s="1"/>
  <c r="AS134" i="1" s="1"/>
  <c r="AS133" i="1" s="1"/>
  <c r="AS132" i="1" s="1"/>
  <c r="AS131" i="1" s="1"/>
  <c r="AS130" i="1" s="1"/>
  <c r="AS129" i="1" s="1"/>
  <c r="AS128" i="1" s="1"/>
  <c r="AS127" i="1" s="1"/>
  <c r="AS126" i="1" s="1"/>
  <c r="AS125" i="1" s="1"/>
  <c r="AS124" i="1" s="1"/>
  <c r="AS123" i="1" s="1"/>
  <c r="AS122" i="1" s="1"/>
  <c r="AS121" i="1" s="1"/>
  <c r="AS120" i="1" s="1"/>
  <c r="AS119" i="1" s="1"/>
  <c r="AS118" i="1" s="1"/>
  <c r="AS117" i="1" s="1"/>
  <c r="AS116" i="1" s="1"/>
  <c r="AS115" i="1" s="1"/>
  <c r="AS114" i="1" s="1"/>
  <c r="AS113" i="1" s="1"/>
  <c r="AS112" i="1" s="1"/>
  <c r="AS111" i="1" s="1"/>
  <c r="AS110" i="1" s="1"/>
  <c r="AS109" i="1" s="1"/>
  <c r="AS108" i="1" s="1"/>
  <c r="AS107" i="1" s="1"/>
  <c r="AS106" i="1" s="1"/>
  <c r="AS105" i="1" s="1"/>
  <c r="AS104" i="1" s="1"/>
  <c r="AS103" i="1" s="1"/>
  <c r="AS102" i="1" s="1"/>
  <c r="AS101" i="1" s="1"/>
  <c r="AS100" i="1" s="1"/>
  <c r="AS99" i="1" s="1"/>
  <c r="AS98" i="1" s="1"/>
  <c r="AS97" i="1" s="1"/>
  <c r="AS96" i="1" s="1"/>
  <c r="AS95" i="1" s="1"/>
  <c r="AS94" i="1" s="1"/>
  <c r="AS93" i="1" s="1"/>
  <c r="AS92" i="1" s="1"/>
  <c r="AS91" i="1" s="1"/>
  <c r="AS90" i="1" s="1"/>
  <c r="AS89" i="1" s="1"/>
  <c r="AS88" i="1" s="1"/>
  <c r="AS87" i="1" s="1"/>
  <c r="AS86" i="1" s="1"/>
  <c r="AS85" i="1" s="1"/>
  <c r="AS84" i="1" s="1"/>
  <c r="AS83" i="1" s="1"/>
  <c r="AS82" i="1" s="1"/>
  <c r="AS81" i="1" s="1"/>
  <c r="AS80" i="1" s="1"/>
  <c r="AS79" i="1" s="1"/>
  <c r="AS78" i="1" s="1"/>
  <c r="AS77" i="1" s="1"/>
  <c r="AS76" i="1" s="1"/>
  <c r="AS75" i="1" s="1"/>
  <c r="AS74" i="1" s="1"/>
  <c r="AS73" i="1" s="1"/>
  <c r="AS72" i="1" s="1"/>
  <c r="AS71" i="1" s="1"/>
  <c r="AS70" i="1" s="1"/>
  <c r="AS69" i="1" s="1"/>
  <c r="AS68" i="1" s="1"/>
  <c r="AS67" i="1" s="1"/>
  <c r="AS66" i="1" s="1"/>
  <c r="AS65" i="1" s="1"/>
  <c r="AS64" i="1" s="1"/>
  <c r="AS63" i="1" s="1"/>
  <c r="AS62" i="1" s="1"/>
  <c r="AS61" i="1" s="1"/>
  <c r="AS60" i="1" s="1"/>
  <c r="AS59" i="1" s="1"/>
  <c r="AS58" i="1" s="1"/>
  <c r="AS57" i="1" s="1"/>
  <c r="AS56" i="1" s="1"/>
  <c r="AS55" i="1" s="1"/>
  <c r="AS54" i="1" s="1"/>
  <c r="AS53" i="1" s="1"/>
  <c r="AS52" i="1" s="1"/>
  <c r="AS51" i="1" s="1"/>
  <c r="AS50" i="1" s="1"/>
  <c r="AS49" i="1" s="1"/>
  <c r="AS48" i="1" s="1"/>
  <c r="AS47" i="1" s="1"/>
  <c r="AS46" i="1" s="1"/>
  <c r="AS45" i="1" s="1"/>
  <c r="AS44" i="1" s="1"/>
  <c r="AS43" i="1" s="1"/>
  <c r="AS42" i="1" s="1"/>
  <c r="AS41" i="1" s="1"/>
  <c r="AS40" i="1" s="1"/>
  <c r="AS39" i="1" s="1"/>
  <c r="AS38" i="1" s="1"/>
  <c r="AS37" i="1" s="1"/>
  <c r="AS36" i="1" s="1"/>
  <c r="AS35" i="1" s="1"/>
  <c r="AS34" i="1" s="1"/>
  <c r="AS33" i="1" s="1"/>
  <c r="AS32" i="1" s="1"/>
  <c r="AS31" i="1" s="1"/>
  <c r="AS30" i="1" s="1"/>
  <c r="AS29" i="1" s="1"/>
  <c r="AS28" i="1" s="1"/>
  <c r="AS27" i="1" s="1"/>
  <c r="AS26" i="1" s="1"/>
  <c r="AS25" i="1" s="1"/>
  <c r="AS24" i="1" s="1"/>
  <c r="AS23" i="1" s="1"/>
  <c r="AS22" i="1" s="1"/>
  <c r="AS21" i="1" s="1"/>
  <c r="AS20" i="1" s="1"/>
  <c r="AS19" i="1" s="1"/>
  <c r="AS18" i="1" s="1"/>
  <c r="AS17" i="1" s="1"/>
  <c r="AS16" i="1" s="1"/>
  <c r="AS15" i="1" s="1"/>
  <c r="AS14" i="1" s="1"/>
  <c r="AS13" i="1" s="1"/>
  <c r="AS12" i="1" s="1"/>
  <c r="AS11" i="1" s="1"/>
  <c r="AS10" i="1" s="1"/>
  <c r="AS9" i="1" s="1"/>
  <c r="AS8" i="1" s="1"/>
  <c r="AS7" i="1" s="1"/>
  <c r="AS6" i="1" s="1"/>
  <c r="AS5" i="1" s="1"/>
  <c r="AS4" i="1" s="1"/>
  <c r="AS3" i="1" s="1"/>
  <c r="C8" i="15" l="1"/>
  <c r="C9" i="15"/>
  <c r="B1" i="32"/>
  <c r="C1" i="32"/>
  <c r="B9" i="15" l="1"/>
  <c r="T3" i="23" l="1"/>
  <c r="U3" i="23" s="1"/>
  <c r="O3" i="23"/>
  <c r="P3" i="23" s="1"/>
  <c r="Q3" i="23" s="1"/>
  <c r="R3" i="23" s="1"/>
  <c r="C3" i="23"/>
  <c r="J3" i="23"/>
  <c r="K3" i="23" s="1"/>
  <c r="L3" i="23" s="1"/>
  <c r="F3" i="23"/>
  <c r="G3" i="23" s="1"/>
  <c r="S3" i="26"/>
  <c r="P3" i="26"/>
  <c r="O3" i="26"/>
  <c r="M3" i="26"/>
  <c r="L3" i="26"/>
  <c r="N3" i="26" s="1"/>
  <c r="J3" i="26"/>
  <c r="I3" i="26"/>
  <c r="K3" i="26" s="1"/>
  <c r="F3" i="26"/>
  <c r="H3" i="26" s="1"/>
  <c r="E3" i="26"/>
  <c r="G3" i="26" s="1"/>
  <c r="D3" i="26"/>
  <c r="B3" i="26"/>
  <c r="AJ3" i="1"/>
  <c r="AI3" i="1"/>
  <c r="S3" i="1"/>
  <c r="T3" i="1" s="1"/>
  <c r="Q3" i="1"/>
  <c r="R3" i="1" s="1"/>
  <c r="O3" i="1"/>
  <c r="M3" i="1"/>
  <c r="N3" i="1" s="1"/>
  <c r="E3" i="1"/>
  <c r="F3" i="1" s="1"/>
  <c r="AK3" i="1" l="1"/>
  <c r="C6" i="15" s="1"/>
  <c r="V3" i="23"/>
  <c r="W3" i="23" s="1"/>
  <c r="Q3" i="26"/>
  <c r="T3" i="26" s="1"/>
  <c r="U3" i="26" s="1"/>
  <c r="G3" i="1" s="1"/>
  <c r="H3" i="1" s="1"/>
  <c r="P3" i="1"/>
  <c r="AJ4" i="1"/>
  <c r="AI4" i="1"/>
  <c r="E4" i="1"/>
  <c r="F4" i="1" s="1"/>
  <c r="T4" i="23"/>
  <c r="O4" i="23"/>
  <c r="J4" i="23"/>
  <c r="F4" i="23"/>
  <c r="C4" i="23"/>
  <c r="AK4" i="1" l="1"/>
  <c r="X3" i="23"/>
  <c r="Y3" i="23" s="1"/>
  <c r="I3" i="1" s="1"/>
  <c r="S4" i="26"/>
  <c r="S5" i="26"/>
  <c r="S6" i="26"/>
  <c r="S7" i="26"/>
  <c r="B4" i="26"/>
  <c r="D4" i="26"/>
  <c r="E4" i="26"/>
  <c r="G4" i="26" s="1"/>
  <c r="F4" i="26"/>
  <c r="H4" i="26" s="1"/>
  <c r="I4" i="26"/>
  <c r="J4" i="26"/>
  <c r="L4" i="26"/>
  <c r="M4" i="26"/>
  <c r="O4" i="26"/>
  <c r="J3" i="1" l="1"/>
  <c r="N4" i="26"/>
  <c r="K4" i="26"/>
  <c r="D7" i="32"/>
  <c r="C7" i="32"/>
  <c r="E7" i="32" l="1"/>
  <c r="F7" i="32" s="1"/>
  <c r="T1518" i="26"/>
  <c r="T1519" i="26"/>
  <c r="T1520" i="26"/>
  <c r="T1521" i="26"/>
  <c r="T1522" i="26"/>
  <c r="T1523" i="26"/>
  <c r="T1524" i="26"/>
  <c r="T1525" i="26"/>
  <c r="T1526" i="26"/>
  <c r="T1527" i="26"/>
  <c r="T1528" i="26"/>
  <c r="T1529" i="26"/>
  <c r="T1530" i="26"/>
  <c r="T1531" i="26"/>
  <c r="T1532" i="26"/>
  <c r="G321" i="25"/>
  <c r="G320" i="25"/>
  <c r="P1382" i="26" s="1"/>
  <c r="P1379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739" i="26"/>
  <c r="O740" i="26"/>
  <c r="O741" i="26"/>
  <c r="O742" i="26"/>
  <c r="O743" i="26"/>
  <c r="O744" i="26"/>
  <c r="O745" i="26"/>
  <c r="O746" i="26"/>
  <c r="O747" i="26"/>
  <c r="O748" i="26"/>
  <c r="O749" i="26"/>
  <c r="O750" i="26"/>
  <c r="O751" i="26"/>
  <c r="O752" i="26"/>
  <c r="O753" i="26"/>
  <c r="O754" i="26"/>
  <c r="O755" i="26"/>
  <c r="O756" i="26"/>
  <c r="O757" i="26"/>
  <c r="O758" i="26"/>
  <c r="O759" i="26"/>
  <c r="O760" i="26"/>
  <c r="O761" i="26"/>
  <c r="O762" i="26"/>
  <c r="O763" i="26"/>
  <c r="O764" i="26"/>
  <c r="O765" i="26"/>
  <c r="O766" i="26"/>
  <c r="O767" i="26"/>
  <c r="O768" i="26"/>
  <c r="O769" i="26"/>
  <c r="O770" i="26"/>
  <c r="O771" i="26"/>
  <c r="O772" i="26"/>
  <c r="O773" i="26"/>
  <c r="O774" i="26"/>
  <c r="O775" i="26"/>
  <c r="O776" i="26"/>
  <c r="O777" i="26"/>
  <c r="O778" i="26"/>
  <c r="O779" i="26"/>
  <c r="O780" i="26"/>
  <c r="O781" i="26"/>
  <c r="O782" i="26"/>
  <c r="O783" i="26"/>
  <c r="O784" i="26"/>
  <c r="O785" i="26"/>
  <c r="O786" i="26"/>
  <c r="O787" i="26"/>
  <c r="O788" i="26"/>
  <c r="O789" i="26"/>
  <c r="O790" i="26"/>
  <c r="O791" i="26"/>
  <c r="O792" i="26"/>
  <c r="O793" i="26"/>
  <c r="O794" i="26"/>
  <c r="O795" i="26"/>
  <c r="O796" i="26"/>
  <c r="O797" i="26"/>
  <c r="O798" i="26"/>
  <c r="O799" i="26"/>
  <c r="O800" i="26"/>
  <c r="O801" i="26"/>
  <c r="O802" i="26"/>
  <c r="O803" i="26"/>
  <c r="O804" i="26"/>
  <c r="O805" i="26"/>
  <c r="O806" i="26"/>
  <c r="O807" i="26"/>
  <c r="O808" i="26"/>
  <c r="O809" i="26"/>
  <c r="O810" i="26"/>
  <c r="O811" i="26"/>
  <c r="O812" i="26"/>
  <c r="O813" i="26"/>
  <c r="O814" i="26"/>
  <c r="O815" i="26"/>
  <c r="O816" i="26"/>
  <c r="O817" i="26"/>
  <c r="O818" i="26"/>
  <c r="O819" i="26"/>
  <c r="O820" i="26"/>
  <c r="O821" i="26"/>
  <c r="O822" i="26"/>
  <c r="O823" i="26"/>
  <c r="O824" i="26"/>
  <c r="O825" i="26"/>
  <c r="O826" i="26"/>
  <c r="O827" i="26"/>
  <c r="O828" i="26"/>
  <c r="O829" i="26"/>
  <c r="O830" i="26"/>
  <c r="O831" i="26"/>
  <c r="O832" i="26"/>
  <c r="O833" i="26"/>
  <c r="O834" i="26"/>
  <c r="O835" i="26"/>
  <c r="O836" i="26"/>
  <c r="O837" i="26"/>
  <c r="O838" i="26"/>
  <c r="O839" i="26"/>
  <c r="O840" i="26"/>
  <c r="O841" i="26"/>
  <c r="O842" i="26"/>
  <c r="O843" i="26"/>
  <c r="O844" i="26"/>
  <c r="O845" i="26"/>
  <c r="O846" i="26"/>
  <c r="O847" i="26"/>
  <c r="O848" i="26"/>
  <c r="O849" i="26"/>
  <c r="O850" i="26"/>
  <c r="O851" i="26"/>
  <c r="O852" i="26"/>
  <c r="O853" i="26"/>
  <c r="O854" i="26"/>
  <c r="O855" i="26"/>
  <c r="O856" i="26"/>
  <c r="O857" i="26"/>
  <c r="O858" i="26"/>
  <c r="O859" i="26"/>
  <c r="O860" i="26"/>
  <c r="O861" i="26"/>
  <c r="O862" i="26"/>
  <c r="O863" i="26"/>
  <c r="O864" i="26"/>
  <c r="O865" i="26"/>
  <c r="O866" i="26"/>
  <c r="O867" i="26"/>
  <c r="O868" i="26"/>
  <c r="O869" i="26"/>
  <c r="O870" i="26"/>
  <c r="O871" i="26"/>
  <c r="O872" i="26"/>
  <c r="O873" i="26"/>
  <c r="O874" i="26"/>
  <c r="O875" i="26"/>
  <c r="O876" i="26"/>
  <c r="O877" i="26"/>
  <c r="O878" i="26"/>
  <c r="O879" i="26"/>
  <c r="O880" i="26"/>
  <c r="O881" i="26"/>
  <c r="O882" i="26"/>
  <c r="O883" i="26"/>
  <c r="O884" i="26"/>
  <c r="O885" i="26"/>
  <c r="O886" i="26"/>
  <c r="O887" i="26"/>
  <c r="O888" i="26"/>
  <c r="O889" i="26"/>
  <c r="O890" i="26"/>
  <c r="O891" i="26"/>
  <c r="O892" i="26"/>
  <c r="O893" i="26"/>
  <c r="O894" i="26"/>
  <c r="O895" i="26"/>
  <c r="O896" i="26"/>
  <c r="O897" i="26"/>
  <c r="O898" i="26"/>
  <c r="O899" i="26"/>
  <c r="O900" i="26"/>
  <c r="O901" i="26"/>
  <c r="O902" i="26"/>
  <c r="O903" i="26"/>
  <c r="O904" i="26"/>
  <c r="O905" i="26"/>
  <c r="O906" i="26"/>
  <c r="O907" i="26"/>
  <c r="O908" i="26"/>
  <c r="O909" i="26"/>
  <c r="O910" i="26"/>
  <c r="O911" i="26"/>
  <c r="O912" i="26"/>
  <c r="O913" i="26"/>
  <c r="O914" i="26"/>
  <c r="O915" i="26"/>
  <c r="O916" i="26"/>
  <c r="O917" i="26"/>
  <c r="O918" i="26"/>
  <c r="O919" i="26"/>
  <c r="O920" i="26"/>
  <c r="O921" i="26"/>
  <c r="O922" i="26"/>
  <c r="O923" i="26"/>
  <c r="O924" i="26"/>
  <c r="O925" i="26"/>
  <c r="O926" i="26"/>
  <c r="O927" i="26"/>
  <c r="O928" i="26"/>
  <c r="O929" i="26"/>
  <c r="O930" i="26"/>
  <c r="O931" i="26"/>
  <c r="O932" i="26"/>
  <c r="O933" i="26"/>
  <c r="O934" i="26"/>
  <c r="O935" i="26"/>
  <c r="O936" i="26"/>
  <c r="O937" i="26"/>
  <c r="O938" i="26"/>
  <c r="O939" i="26"/>
  <c r="O940" i="26"/>
  <c r="O941" i="26"/>
  <c r="O942" i="26"/>
  <c r="O943" i="26"/>
  <c r="O944" i="26"/>
  <c r="O945" i="26"/>
  <c r="O946" i="26"/>
  <c r="O947" i="26"/>
  <c r="O948" i="26"/>
  <c r="O949" i="26"/>
  <c r="O950" i="26"/>
  <c r="O951" i="26"/>
  <c r="O952" i="26"/>
  <c r="O953" i="26"/>
  <c r="O954" i="26"/>
  <c r="O955" i="26"/>
  <c r="O956" i="26"/>
  <c r="O957" i="26"/>
  <c r="O958" i="26"/>
  <c r="O959" i="26"/>
  <c r="O960" i="26"/>
  <c r="O961" i="26"/>
  <c r="O962" i="26"/>
  <c r="O963" i="26"/>
  <c r="O964" i="26"/>
  <c r="O965" i="26"/>
  <c r="O966" i="26"/>
  <c r="O967" i="26"/>
  <c r="O968" i="26"/>
  <c r="O969" i="26"/>
  <c r="O970" i="26"/>
  <c r="O971" i="26"/>
  <c r="O972" i="26"/>
  <c r="O973" i="26"/>
  <c r="O974" i="26"/>
  <c r="O975" i="26"/>
  <c r="O976" i="26"/>
  <c r="O977" i="26"/>
  <c r="O978" i="26"/>
  <c r="O979" i="26"/>
  <c r="O980" i="26"/>
  <c r="O981" i="26"/>
  <c r="O982" i="26"/>
  <c r="O983" i="26"/>
  <c r="O984" i="26"/>
  <c r="O985" i="26"/>
  <c r="O986" i="26"/>
  <c r="O987" i="26"/>
  <c r="O988" i="26"/>
  <c r="O989" i="26"/>
  <c r="O990" i="26"/>
  <c r="O991" i="26"/>
  <c r="O992" i="26"/>
  <c r="O993" i="26"/>
  <c r="O994" i="26"/>
  <c r="O995" i="26"/>
  <c r="O996" i="26"/>
  <c r="O997" i="26"/>
  <c r="O998" i="26"/>
  <c r="O999" i="26"/>
  <c r="O1000" i="26"/>
  <c r="O1001" i="26"/>
  <c r="O1002" i="26"/>
  <c r="O1003" i="26"/>
  <c r="O1004" i="26"/>
  <c r="O1005" i="26"/>
  <c r="O1006" i="26"/>
  <c r="O1007" i="26"/>
  <c r="O1008" i="26"/>
  <c r="O1009" i="26"/>
  <c r="O1010" i="26"/>
  <c r="O1011" i="26"/>
  <c r="O1012" i="26"/>
  <c r="O1013" i="26"/>
  <c r="O1014" i="26"/>
  <c r="O1015" i="26"/>
  <c r="O1016" i="26"/>
  <c r="O1017" i="26"/>
  <c r="O1018" i="26"/>
  <c r="O1019" i="26"/>
  <c r="O1020" i="26"/>
  <c r="O1021" i="26"/>
  <c r="O1022" i="26"/>
  <c r="O1023" i="26"/>
  <c r="O1024" i="26"/>
  <c r="O1025" i="26"/>
  <c r="O1026" i="26"/>
  <c r="O1027" i="26"/>
  <c r="O1028" i="26"/>
  <c r="O1029" i="26"/>
  <c r="O1030" i="26"/>
  <c r="O1031" i="26"/>
  <c r="O1032" i="26"/>
  <c r="O1033" i="26"/>
  <c r="O1034" i="26"/>
  <c r="O1035" i="26"/>
  <c r="O1036" i="26"/>
  <c r="O1037" i="26"/>
  <c r="O1038" i="26"/>
  <c r="O1039" i="26"/>
  <c r="O1040" i="26"/>
  <c r="O1041" i="26"/>
  <c r="O1042" i="26"/>
  <c r="O1043" i="26"/>
  <c r="O1044" i="26"/>
  <c r="O1045" i="26"/>
  <c r="O1046" i="26"/>
  <c r="O1047" i="26"/>
  <c r="O1048" i="26"/>
  <c r="O1049" i="26"/>
  <c r="O1050" i="26"/>
  <c r="O1051" i="26"/>
  <c r="O1052" i="26"/>
  <c r="O1053" i="26"/>
  <c r="O1054" i="26"/>
  <c r="O1055" i="26"/>
  <c r="O1056" i="26"/>
  <c r="O1057" i="26"/>
  <c r="O1058" i="26"/>
  <c r="O1059" i="26"/>
  <c r="O1060" i="26"/>
  <c r="O1061" i="26"/>
  <c r="O1062" i="26"/>
  <c r="O1063" i="26"/>
  <c r="O1064" i="26"/>
  <c r="O1065" i="26"/>
  <c r="O1066" i="26"/>
  <c r="O1067" i="26"/>
  <c r="O1068" i="26"/>
  <c r="O1069" i="26"/>
  <c r="O1070" i="26"/>
  <c r="O1071" i="26"/>
  <c r="O1072" i="26"/>
  <c r="O1073" i="26"/>
  <c r="O1074" i="26"/>
  <c r="O1075" i="26"/>
  <c r="O1076" i="26"/>
  <c r="O1077" i="26"/>
  <c r="O1078" i="26"/>
  <c r="O1079" i="26"/>
  <c r="O1080" i="26"/>
  <c r="O1081" i="26"/>
  <c r="O1082" i="26"/>
  <c r="O1083" i="26"/>
  <c r="O1084" i="26"/>
  <c r="O1085" i="26"/>
  <c r="O1086" i="26"/>
  <c r="O1087" i="26"/>
  <c r="O1088" i="26"/>
  <c r="O1089" i="26"/>
  <c r="O1090" i="26"/>
  <c r="O1091" i="26"/>
  <c r="O1092" i="26"/>
  <c r="O1093" i="26"/>
  <c r="O1094" i="26"/>
  <c r="O1095" i="26"/>
  <c r="O1096" i="26"/>
  <c r="O1097" i="26"/>
  <c r="O1098" i="26"/>
  <c r="O1099" i="26"/>
  <c r="O1100" i="26"/>
  <c r="O1101" i="26"/>
  <c r="O1102" i="26"/>
  <c r="O1103" i="26"/>
  <c r="O1104" i="26"/>
  <c r="O1105" i="26"/>
  <c r="O1106" i="26"/>
  <c r="O1107" i="26"/>
  <c r="O1108" i="26"/>
  <c r="O1109" i="26"/>
  <c r="O1110" i="26"/>
  <c r="O1111" i="26"/>
  <c r="O1112" i="26"/>
  <c r="O1113" i="26"/>
  <c r="O1114" i="26"/>
  <c r="O1115" i="26"/>
  <c r="O1116" i="26"/>
  <c r="O1117" i="26"/>
  <c r="O1118" i="26"/>
  <c r="O1119" i="26"/>
  <c r="O1120" i="26"/>
  <c r="O1121" i="26"/>
  <c r="O1122" i="26"/>
  <c r="O1123" i="26"/>
  <c r="O1124" i="26"/>
  <c r="O1125" i="26"/>
  <c r="O1126" i="26"/>
  <c r="O1127" i="26"/>
  <c r="O1128" i="26"/>
  <c r="O1129" i="26"/>
  <c r="O1130" i="26"/>
  <c r="O1131" i="26"/>
  <c r="O1132" i="26"/>
  <c r="O1133" i="26"/>
  <c r="O1134" i="26"/>
  <c r="O1135" i="26"/>
  <c r="O1136" i="26"/>
  <c r="O1137" i="26"/>
  <c r="O1138" i="26"/>
  <c r="O1139" i="26"/>
  <c r="O1140" i="26"/>
  <c r="O1141" i="26"/>
  <c r="O1142" i="26"/>
  <c r="O1143" i="26"/>
  <c r="O1144" i="26"/>
  <c r="O1145" i="26"/>
  <c r="O1146" i="26"/>
  <c r="O1147" i="26"/>
  <c r="O1148" i="26"/>
  <c r="O1149" i="26"/>
  <c r="O1150" i="26"/>
  <c r="O1151" i="26"/>
  <c r="O1152" i="26"/>
  <c r="O1153" i="26"/>
  <c r="O1154" i="26"/>
  <c r="O1155" i="26"/>
  <c r="O1156" i="26"/>
  <c r="O1157" i="26"/>
  <c r="O1158" i="26"/>
  <c r="O1159" i="26"/>
  <c r="O1160" i="26"/>
  <c r="O1161" i="26"/>
  <c r="O1162" i="26"/>
  <c r="O1163" i="26"/>
  <c r="O1164" i="26"/>
  <c r="O1165" i="26"/>
  <c r="O1166" i="26"/>
  <c r="O1167" i="26"/>
  <c r="O1168" i="26"/>
  <c r="O1169" i="26"/>
  <c r="O1170" i="26"/>
  <c r="O1171" i="26"/>
  <c r="O1172" i="26"/>
  <c r="O1173" i="26"/>
  <c r="O1174" i="26"/>
  <c r="O1175" i="26"/>
  <c r="O1176" i="26"/>
  <c r="O1177" i="26"/>
  <c r="O1178" i="26"/>
  <c r="O1179" i="26"/>
  <c r="O1180" i="26"/>
  <c r="O1181" i="26"/>
  <c r="O1182" i="26"/>
  <c r="O1183" i="26"/>
  <c r="O1184" i="26"/>
  <c r="O1185" i="26"/>
  <c r="O1186" i="26"/>
  <c r="O1187" i="26"/>
  <c r="O1188" i="26"/>
  <c r="O1189" i="26"/>
  <c r="O1190" i="26"/>
  <c r="O1191" i="26"/>
  <c r="O1192" i="26"/>
  <c r="O1193" i="26"/>
  <c r="O1194" i="26"/>
  <c r="O1195" i="26"/>
  <c r="O1196" i="26"/>
  <c r="O1197" i="26"/>
  <c r="O1198" i="26"/>
  <c r="O1199" i="26"/>
  <c r="O1200" i="26"/>
  <c r="O1201" i="26"/>
  <c r="O1202" i="26"/>
  <c r="O1203" i="26"/>
  <c r="O1204" i="26"/>
  <c r="O1205" i="26"/>
  <c r="O1206" i="26"/>
  <c r="O1207" i="26"/>
  <c r="O1208" i="26"/>
  <c r="O1209" i="26"/>
  <c r="O1210" i="26"/>
  <c r="O1211" i="26"/>
  <c r="O1212" i="26"/>
  <c r="O1213" i="26"/>
  <c r="O1214" i="26"/>
  <c r="O1215" i="26"/>
  <c r="O1216" i="26"/>
  <c r="O1217" i="26"/>
  <c r="O1218" i="26"/>
  <c r="O1219" i="26"/>
  <c r="O1220" i="26"/>
  <c r="O1221" i="26"/>
  <c r="O1222" i="26"/>
  <c r="O1223" i="26"/>
  <c r="O1224" i="26"/>
  <c r="O1225" i="26"/>
  <c r="O1226" i="26"/>
  <c r="O1227" i="26"/>
  <c r="O1228" i="26"/>
  <c r="O1229" i="26"/>
  <c r="O1230" i="26"/>
  <c r="O1231" i="26"/>
  <c r="O1232" i="26"/>
  <c r="O1233" i="26"/>
  <c r="O1234" i="26"/>
  <c r="O1235" i="26"/>
  <c r="O1236" i="26"/>
  <c r="O1237" i="26"/>
  <c r="O1238" i="26"/>
  <c r="O1239" i="26"/>
  <c r="O1240" i="26"/>
  <c r="O1241" i="26"/>
  <c r="O1242" i="26"/>
  <c r="O1243" i="26"/>
  <c r="O1244" i="26"/>
  <c r="O1245" i="26"/>
  <c r="O1246" i="26"/>
  <c r="O1247" i="26"/>
  <c r="O1248" i="26"/>
  <c r="O1249" i="26"/>
  <c r="O1250" i="26"/>
  <c r="O1251" i="26"/>
  <c r="O1252" i="26"/>
  <c r="O1253" i="26"/>
  <c r="O1254" i="26"/>
  <c r="O1255" i="26"/>
  <c r="O1256" i="26"/>
  <c r="O1257" i="26"/>
  <c r="O1258" i="26"/>
  <c r="O1259" i="26"/>
  <c r="O1260" i="26"/>
  <c r="O1261" i="26"/>
  <c r="O1262" i="26"/>
  <c r="O1263" i="26"/>
  <c r="O1264" i="26"/>
  <c r="O1265" i="26"/>
  <c r="O1266" i="26"/>
  <c r="O1267" i="26"/>
  <c r="O1268" i="26"/>
  <c r="O1269" i="26"/>
  <c r="O1270" i="26"/>
  <c r="O1271" i="26"/>
  <c r="O1272" i="26"/>
  <c r="O1273" i="26"/>
  <c r="O1274" i="26"/>
  <c r="O1275" i="26"/>
  <c r="O1276" i="26"/>
  <c r="O1277" i="26"/>
  <c r="O1278" i="26"/>
  <c r="O1279" i="26"/>
  <c r="O1280" i="26"/>
  <c r="O1281" i="26"/>
  <c r="O1282" i="26"/>
  <c r="O1283" i="26"/>
  <c r="O1284" i="26"/>
  <c r="O1285" i="26"/>
  <c r="O1286" i="26"/>
  <c r="O1287" i="26"/>
  <c r="O1288" i="26"/>
  <c r="O1289" i="26"/>
  <c r="O1290" i="26"/>
  <c r="O1291" i="26"/>
  <c r="O1292" i="26"/>
  <c r="O1293" i="26"/>
  <c r="O1294" i="26"/>
  <c r="O1295" i="26"/>
  <c r="O1296" i="26"/>
  <c r="O1297" i="26"/>
  <c r="O1298" i="26"/>
  <c r="O1299" i="26"/>
  <c r="O1300" i="26"/>
  <c r="O1301" i="26"/>
  <c r="O1302" i="26"/>
  <c r="O1303" i="26"/>
  <c r="O1304" i="26"/>
  <c r="O1305" i="26"/>
  <c r="O1306" i="26"/>
  <c r="O1307" i="26"/>
  <c r="O1308" i="26"/>
  <c r="O1309" i="26"/>
  <c r="O1310" i="26"/>
  <c r="O1311" i="26"/>
  <c r="O1312" i="26"/>
  <c r="O1313" i="26"/>
  <c r="O1314" i="26"/>
  <c r="O1315" i="26"/>
  <c r="O1316" i="26"/>
  <c r="O1317" i="26"/>
  <c r="O1318" i="26"/>
  <c r="O1319" i="26"/>
  <c r="O1320" i="26"/>
  <c r="O1321" i="26"/>
  <c r="O1322" i="26"/>
  <c r="O1323" i="26"/>
  <c r="O1324" i="26"/>
  <c r="O1325" i="26"/>
  <c r="O1326" i="26"/>
  <c r="O1327" i="26"/>
  <c r="O1328" i="26"/>
  <c r="O1329" i="26"/>
  <c r="O1330" i="26"/>
  <c r="O1331" i="26"/>
  <c r="O1332" i="26"/>
  <c r="O1333" i="26"/>
  <c r="O1334" i="26"/>
  <c r="O1335" i="26"/>
  <c r="O1336" i="26"/>
  <c r="O1337" i="26"/>
  <c r="O1338" i="26"/>
  <c r="O1339" i="26"/>
  <c r="O1340" i="26"/>
  <c r="O1341" i="26"/>
  <c r="O1342" i="26"/>
  <c r="O1343" i="26"/>
  <c r="O1344" i="26"/>
  <c r="O1345" i="26"/>
  <c r="O1346" i="26"/>
  <c r="O1347" i="26"/>
  <c r="O1348" i="26"/>
  <c r="O1349" i="26"/>
  <c r="O1350" i="26"/>
  <c r="O1351" i="26"/>
  <c r="O1352" i="26"/>
  <c r="O1353" i="26"/>
  <c r="O1354" i="26"/>
  <c r="O1355" i="26"/>
  <c r="O1356" i="26"/>
  <c r="O1357" i="26"/>
  <c r="O1358" i="26"/>
  <c r="O1359" i="26"/>
  <c r="O1360" i="26"/>
  <c r="O1361" i="26"/>
  <c r="O1362" i="26"/>
  <c r="O1363" i="26"/>
  <c r="O1364" i="26"/>
  <c r="O1365" i="26"/>
  <c r="O1366" i="26"/>
  <c r="O1367" i="26"/>
  <c r="O1368" i="26"/>
  <c r="O1369" i="26"/>
  <c r="O1370" i="26"/>
  <c r="O1371" i="26"/>
  <c r="O1372" i="26"/>
  <c r="O1373" i="26"/>
  <c r="O1374" i="26"/>
  <c r="O1375" i="26"/>
  <c r="O1376" i="26"/>
  <c r="O1377" i="26"/>
  <c r="O1378" i="26"/>
  <c r="O1379" i="26"/>
  <c r="O1380" i="26"/>
  <c r="O1381" i="26"/>
  <c r="O1382" i="26"/>
  <c r="O1383" i="26"/>
  <c r="O1384" i="26"/>
  <c r="O1385" i="26"/>
  <c r="O1386" i="26"/>
  <c r="O1387" i="26"/>
  <c r="O1388" i="26"/>
  <c r="O1389" i="26"/>
  <c r="O1390" i="26"/>
  <c r="O1391" i="26"/>
  <c r="O1392" i="26"/>
  <c r="O1393" i="26"/>
  <c r="O1394" i="26"/>
  <c r="O1395" i="26"/>
  <c r="O1396" i="26"/>
  <c r="O1397" i="26"/>
  <c r="O1398" i="26"/>
  <c r="O1399" i="26"/>
  <c r="O1400" i="26"/>
  <c r="O1401" i="26"/>
  <c r="O1402" i="26"/>
  <c r="O1403" i="26"/>
  <c r="O1404" i="26"/>
  <c r="O1405" i="26"/>
  <c r="O1406" i="26"/>
  <c r="O1407" i="26"/>
  <c r="O1408" i="26"/>
  <c r="O1409" i="26"/>
  <c r="O1410" i="26"/>
  <c r="O1411" i="26"/>
  <c r="O1412" i="26"/>
  <c r="O1413" i="26"/>
  <c r="O1414" i="26"/>
  <c r="O1415" i="26"/>
  <c r="O1416" i="26"/>
  <c r="O1417" i="26"/>
  <c r="O1418" i="26"/>
  <c r="O1419" i="26"/>
  <c r="O1420" i="26"/>
  <c r="O1421" i="26"/>
  <c r="O1422" i="26"/>
  <c r="O1423" i="26"/>
  <c r="O1424" i="26"/>
  <c r="O1425" i="26"/>
  <c r="O1426" i="26"/>
  <c r="O1427" i="26"/>
  <c r="O1428" i="26"/>
  <c r="O1429" i="26"/>
  <c r="O1430" i="26"/>
  <c r="O1431" i="26"/>
  <c r="O1432" i="26"/>
  <c r="O1433" i="26"/>
  <c r="O1434" i="26"/>
  <c r="O1435" i="26"/>
  <c r="O1436" i="26"/>
  <c r="O1437" i="26"/>
  <c r="O1438" i="26"/>
  <c r="O1439" i="26"/>
  <c r="O1440" i="26"/>
  <c r="O1441" i="26"/>
  <c r="O1442" i="26"/>
  <c r="O1443" i="26"/>
  <c r="O1444" i="26"/>
  <c r="O1445" i="26"/>
  <c r="O1446" i="26"/>
  <c r="O1447" i="26"/>
  <c r="O1448" i="26"/>
  <c r="O1449" i="26"/>
  <c r="O1450" i="26"/>
  <c r="O1451" i="26"/>
  <c r="O1452" i="26"/>
  <c r="O1453" i="26"/>
  <c r="O1454" i="26"/>
  <c r="O1455" i="26"/>
  <c r="O1456" i="26"/>
  <c r="O1457" i="26"/>
  <c r="O1458" i="26"/>
  <c r="O1459" i="26"/>
  <c r="O1460" i="26"/>
  <c r="O1461" i="26"/>
  <c r="O1462" i="26"/>
  <c r="O1463" i="26"/>
  <c r="O1464" i="26"/>
  <c r="O1465" i="26"/>
  <c r="O1466" i="26"/>
  <c r="O1467" i="26"/>
  <c r="O1468" i="26"/>
  <c r="O1469" i="26"/>
  <c r="O1470" i="26"/>
  <c r="O1471" i="26"/>
  <c r="O1472" i="26"/>
  <c r="O1473" i="26"/>
  <c r="O1474" i="26"/>
  <c r="O1475" i="26"/>
  <c r="O1476" i="26"/>
  <c r="O1477" i="26"/>
  <c r="O1478" i="26"/>
  <c r="O1479" i="26"/>
  <c r="O1480" i="26"/>
  <c r="O1481" i="26"/>
  <c r="O1482" i="26"/>
  <c r="O1483" i="26"/>
  <c r="O1484" i="26"/>
  <c r="O1485" i="26"/>
  <c r="O1486" i="26"/>
  <c r="O1487" i="26"/>
  <c r="O1488" i="26"/>
  <c r="O1489" i="26"/>
  <c r="O1490" i="26"/>
  <c r="O1491" i="26"/>
  <c r="O1492" i="26"/>
  <c r="O1493" i="26"/>
  <c r="O1494" i="26"/>
  <c r="O1495" i="26"/>
  <c r="O1496" i="26"/>
  <c r="O1497" i="26"/>
  <c r="O1498" i="26"/>
  <c r="O1499" i="26"/>
  <c r="O1500" i="26"/>
  <c r="O1501" i="26"/>
  <c r="O1502" i="26"/>
  <c r="O1503" i="26"/>
  <c r="O1504" i="26"/>
  <c r="O1505" i="26"/>
  <c r="O1506" i="26"/>
  <c r="O1507" i="26"/>
  <c r="O1508" i="26"/>
  <c r="O1509" i="26"/>
  <c r="O1510" i="26"/>
  <c r="O1511" i="26"/>
  <c r="O1512" i="26"/>
  <c r="O1513" i="26"/>
  <c r="O1514" i="26"/>
  <c r="O1515" i="26"/>
  <c r="O1516" i="26"/>
  <c r="O1517" i="26"/>
  <c r="O1518" i="26"/>
  <c r="O1519" i="26"/>
  <c r="O1520" i="26"/>
  <c r="O1521" i="26"/>
  <c r="O1522" i="26"/>
  <c r="O1523" i="26"/>
  <c r="O1524" i="26"/>
  <c r="O1525" i="26"/>
  <c r="O1526" i="26"/>
  <c r="O1527" i="26"/>
  <c r="O1528" i="26"/>
  <c r="O1529" i="26"/>
  <c r="O1530" i="26"/>
  <c r="O1531" i="26"/>
  <c r="O1532" i="26"/>
  <c r="O1533" i="26"/>
  <c r="O1534" i="26"/>
  <c r="O1535" i="26"/>
  <c r="O1536" i="26"/>
  <c r="O1537" i="26"/>
  <c r="O1538" i="26"/>
  <c r="O1539" i="26"/>
  <c r="O1540" i="26"/>
  <c r="O1541" i="26"/>
  <c r="O1542" i="26"/>
  <c r="O1543" i="26"/>
  <c r="O1544" i="26"/>
  <c r="O1545" i="26"/>
  <c r="O5" i="26"/>
  <c r="P1383" i="26" l="1"/>
  <c r="Q1383" i="26" s="1"/>
  <c r="P1381" i="26"/>
  <c r="Q1381" i="26" s="1"/>
  <c r="P1380" i="26"/>
  <c r="Q1380" i="26" s="1"/>
  <c r="Q1379" i="26"/>
  <c r="Q1382" i="26"/>
  <c r="D69" i="32"/>
  <c r="D68" i="32"/>
  <c r="D66" i="32"/>
  <c r="D65" i="32"/>
  <c r="D61" i="32"/>
  <c r="AC3" i="24" l="1"/>
  <c r="AB3" i="24"/>
  <c r="Y3" i="24"/>
  <c r="X3" i="24"/>
  <c r="Q3" i="24"/>
  <c r="O3" i="24"/>
  <c r="M3" i="24"/>
  <c r="H3" i="24"/>
  <c r="J3" i="24"/>
  <c r="F3" i="24"/>
  <c r="D3" i="24"/>
  <c r="B3" i="24"/>
  <c r="D60" i="32"/>
  <c r="D58" i="32"/>
  <c r="C323" i="29"/>
  <c r="AA3" i="24" l="1"/>
  <c r="Z3" i="24"/>
  <c r="O3" i="29"/>
  <c r="M3" i="29"/>
  <c r="K3" i="29"/>
  <c r="G3" i="29"/>
  <c r="H3" i="29"/>
  <c r="I3" i="29"/>
  <c r="C3" i="29"/>
  <c r="D3" i="29"/>
  <c r="E3" i="29"/>
  <c r="D48" i="32"/>
  <c r="D46" i="32"/>
  <c r="D39" i="32"/>
  <c r="D36" i="32"/>
  <c r="D35" i="32"/>
  <c r="D34" i="32"/>
  <c r="D33" i="32"/>
  <c r="D28" i="32" l="1"/>
  <c r="D27" i="32"/>
  <c r="D21" i="32"/>
  <c r="D18" i="32"/>
  <c r="D17" i="32"/>
  <c r="D15" i="32"/>
  <c r="D14" i="32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S236" i="26"/>
  <c r="S237" i="26"/>
  <c r="S238" i="26"/>
  <c r="S239" i="26"/>
  <c r="S240" i="26"/>
  <c r="S241" i="26"/>
  <c r="S242" i="26"/>
  <c r="S243" i="26"/>
  <c r="S244" i="26"/>
  <c r="S245" i="26"/>
  <c r="S246" i="26"/>
  <c r="S247" i="26"/>
  <c r="S248" i="26"/>
  <c r="S249" i="26"/>
  <c r="S250" i="26"/>
  <c r="S251" i="26"/>
  <c r="S252" i="26"/>
  <c r="S253" i="26"/>
  <c r="S254" i="26"/>
  <c r="S255" i="26"/>
  <c r="S256" i="26"/>
  <c r="S257" i="26"/>
  <c r="S258" i="26"/>
  <c r="S259" i="26"/>
  <c r="S260" i="26"/>
  <c r="S261" i="26"/>
  <c r="S262" i="26"/>
  <c r="S263" i="26"/>
  <c r="S264" i="26"/>
  <c r="S265" i="26"/>
  <c r="S266" i="26"/>
  <c r="S267" i="26"/>
  <c r="S268" i="26"/>
  <c r="S269" i="26"/>
  <c r="S270" i="26"/>
  <c r="S271" i="26"/>
  <c r="S272" i="26"/>
  <c r="S273" i="26"/>
  <c r="S274" i="26"/>
  <c r="S275" i="26"/>
  <c r="S276" i="26"/>
  <c r="S277" i="26"/>
  <c r="S278" i="26"/>
  <c r="S279" i="26"/>
  <c r="S280" i="26"/>
  <c r="S281" i="26"/>
  <c r="S282" i="26"/>
  <c r="S283" i="26"/>
  <c r="S284" i="26"/>
  <c r="S285" i="26"/>
  <c r="S286" i="26"/>
  <c r="S287" i="26"/>
  <c r="S288" i="26"/>
  <c r="S289" i="26"/>
  <c r="S290" i="26"/>
  <c r="S291" i="26"/>
  <c r="S292" i="26"/>
  <c r="S293" i="26"/>
  <c r="S294" i="26"/>
  <c r="S295" i="26"/>
  <c r="S296" i="26"/>
  <c r="S297" i="26"/>
  <c r="S298" i="26"/>
  <c r="S299" i="26"/>
  <c r="S300" i="26"/>
  <c r="S301" i="26"/>
  <c r="S302" i="26"/>
  <c r="S303" i="26"/>
  <c r="S304" i="26"/>
  <c r="S305" i="26"/>
  <c r="S306" i="26"/>
  <c r="S307" i="26"/>
  <c r="S308" i="26"/>
  <c r="S309" i="26"/>
  <c r="S310" i="26"/>
  <c r="S311" i="26"/>
  <c r="S312" i="26"/>
  <c r="S313" i="26"/>
  <c r="S314" i="26"/>
  <c r="S315" i="26"/>
  <c r="S316" i="26"/>
  <c r="S317" i="26"/>
  <c r="S318" i="26"/>
  <c r="S319" i="26"/>
  <c r="S320" i="26"/>
  <c r="S321" i="26"/>
  <c r="S322" i="26"/>
  <c r="S323" i="26"/>
  <c r="S324" i="26"/>
  <c r="S325" i="26"/>
  <c r="S326" i="26"/>
  <c r="S327" i="26"/>
  <c r="S328" i="26"/>
  <c r="S329" i="26"/>
  <c r="S330" i="26"/>
  <c r="S331" i="26"/>
  <c r="S332" i="26"/>
  <c r="S333" i="26"/>
  <c r="S334" i="26"/>
  <c r="S335" i="26"/>
  <c r="S336" i="26"/>
  <c r="S337" i="26"/>
  <c r="S338" i="26"/>
  <c r="S339" i="26"/>
  <c r="S340" i="26"/>
  <c r="S341" i="26"/>
  <c r="S342" i="26"/>
  <c r="S343" i="26"/>
  <c r="S344" i="26"/>
  <c r="S345" i="26"/>
  <c r="S346" i="26"/>
  <c r="S347" i="26"/>
  <c r="S348" i="26"/>
  <c r="S349" i="26"/>
  <c r="S350" i="26"/>
  <c r="S351" i="26"/>
  <c r="S352" i="26"/>
  <c r="S353" i="26"/>
  <c r="S354" i="26"/>
  <c r="S355" i="26"/>
  <c r="S356" i="26"/>
  <c r="S357" i="26"/>
  <c r="S358" i="26"/>
  <c r="S359" i="26"/>
  <c r="S360" i="26"/>
  <c r="S361" i="26"/>
  <c r="S362" i="26"/>
  <c r="S363" i="26"/>
  <c r="S364" i="26"/>
  <c r="S365" i="26"/>
  <c r="S366" i="26"/>
  <c r="S367" i="26"/>
  <c r="S368" i="26"/>
  <c r="S369" i="26"/>
  <c r="S370" i="26"/>
  <c r="S371" i="26"/>
  <c r="S372" i="26"/>
  <c r="S373" i="26"/>
  <c r="S374" i="26"/>
  <c r="S375" i="26"/>
  <c r="S376" i="26"/>
  <c r="S377" i="26"/>
  <c r="S378" i="26"/>
  <c r="S379" i="26"/>
  <c r="S380" i="26"/>
  <c r="S381" i="26"/>
  <c r="S382" i="26"/>
  <c r="S383" i="26"/>
  <c r="S384" i="26"/>
  <c r="S385" i="26"/>
  <c r="S386" i="26"/>
  <c r="S387" i="26"/>
  <c r="S388" i="26"/>
  <c r="S389" i="26"/>
  <c r="S390" i="26"/>
  <c r="S391" i="26"/>
  <c r="S392" i="26"/>
  <c r="S393" i="26"/>
  <c r="S394" i="26"/>
  <c r="S395" i="26"/>
  <c r="S396" i="26"/>
  <c r="S397" i="26"/>
  <c r="S398" i="26"/>
  <c r="S399" i="26"/>
  <c r="S400" i="26"/>
  <c r="S401" i="26"/>
  <c r="S402" i="26"/>
  <c r="S403" i="26"/>
  <c r="S404" i="26"/>
  <c r="S405" i="26"/>
  <c r="S406" i="26"/>
  <c r="S407" i="26"/>
  <c r="S408" i="26"/>
  <c r="S409" i="26"/>
  <c r="S410" i="26"/>
  <c r="S411" i="26"/>
  <c r="S412" i="26"/>
  <c r="S413" i="26"/>
  <c r="S414" i="26"/>
  <c r="S415" i="26"/>
  <c r="S416" i="26"/>
  <c r="S417" i="26"/>
  <c r="S418" i="26"/>
  <c r="S419" i="26"/>
  <c r="S420" i="26"/>
  <c r="S421" i="26"/>
  <c r="S422" i="26"/>
  <c r="S423" i="26"/>
  <c r="S424" i="26"/>
  <c r="S425" i="26"/>
  <c r="S426" i="26"/>
  <c r="S427" i="26"/>
  <c r="S428" i="26"/>
  <c r="S429" i="26"/>
  <c r="S430" i="26"/>
  <c r="S431" i="26"/>
  <c r="S432" i="26"/>
  <c r="S433" i="26"/>
  <c r="S434" i="26"/>
  <c r="S435" i="26"/>
  <c r="S436" i="26"/>
  <c r="S437" i="26"/>
  <c r="S438" i="26"/>
  <c r="S439" i="26"/>
  <c r="S440" i="26"/>
  <c r="S441" i="26"/>
  <c r="S442" i="26"/>
  <c r="S443" i="26"/>
  <c r="S444" i="26"/>
  <c r="S445" i="26"/>
  <c r="S446" i="26"/>
  <c r="S447" i="26"/>
  <c r="S448" i="26"/>
  <c r="S449" i="26"/>
  <c r="S450" i="26"/>
  <c r="S451" i="26"/>
  <c r="S452" i="26"/>
  <c r="S453" i="26"/>
  <c r="S454" i="26"/>
  <c r="S455" i="26"/>
  <c r="S456" i="26"/>
  <c r="S457" i="26"/>
  <c r="S458" i="26"/>
  <c r="S459" i="26"/>
  <c r="S460" i="26"/>
  <c r="S461" i="26"/>
  <c r="S462" i="26"/>
  <c r="S463" i="26"/>
  <c r="S464" i="26"/>
  <c r="S465" i="26"/>
  <c r="S466" i="26"/>
  <c r="S467" i="26"/>
  <c r="S468" i="26"/>
  <c r="S469" i="26"/>
  <c r="S470" i="26"/>
  <c r="S471" i="26"/>
  <c r="S472" i="26"/>
  <c r="S473" i="26"/>
  <c r="S474" i="26"/>
  <c r="S475" i="26"/>
  <c r="S476" i="26"/>
  <c r="S477" i="26"/>
  <c r="S478" i="26"/>
  <c r="S479" i="26"/>
  <c r="S480" i="26"/>
  <c r="S481" i="26"/>
  <c r="S482" i="26"/>
  <c r="S483" i="26"/>
  <c r="S484" i="26"/>
  <c r="S485" i="26"/>
  <c r="S486" i="26"/>
  <c r="S487" i="26"/>
  <c r="S488" i="26"/>
  <c r="S489" i="26"/>
  <c r="S490" i="26"/>
  <c r="S491" i="26"/>
  <c r="S492" i="26"/>
  <c r="S493" i="26"/>
  <c r="S494" i="26"/>
  <c r="S495" i="26"/>
  <c r="S496" i="26"/>
  <c r="S497" i="26"/>
  <c r="S498" i="26"/>
  <c r="S499" i="26"/>
  <c r="S500" i="26"/>
  <c r="S501" i="26"/>
  <c r="S502" i="26"/>
  <c r="S503" i="26"/>
  <c r="S504" i="26"/>
  <c r="S505" i="26"/>
  <c r="S506" i="26"/>
  <c r="S507" i="26"/>
  <c r="S508" i="26"/>
  <c r="S509" i="26"/>
  <c r="S510" i="26"/>
  <c r="S511" i="26"/>
  <c r="S512" i="26"/>
  <c r="S513" i="26"/>
  <c r="S514" i="26"/>
  <c r="S515" i="26"/>
  <c r="S516" i="26"/>
  <c r="S517" i="26"/>
  <c r="S518" i="26"/>
  <c r="S519" i="26"/>
  <c r="S520" i="26"/>
  <c r="S521" i="26"/>
  <c r="S522" i="26"/>
  <c r="S523" i="26"/>
  <c r="S524" i="26"/>
  <c r="S525" i="26"/>
  <c r="S526" i="26"/>
  <c r="S527" i="26"/>
  <c r="S528" i="26"/>
  <c r="S529" i="26"/>
  <c r="S530" i="26"/>
  <c r="S531" i="26"/>
  <c r="S532" i="26"/>
  <c r="S533" i="26"/>
  <c r="S534" i="26"/>
  <c r="S535" i="26"/>
  <c r="S536" i="26"/>
  <c r="S537" i="26"/>
  <c r="S538" i="26"/>
  <c r="S539" i="26"/>
  <c r="S540" i="26"/>
  <c r="S541" i="26"/>
  <c r="S542" i="26"/>
  <c r="S543" i="26"/>
  <c r="S544" i="26"/>
  <c r="S545" i="26"/>
  <c r="S546" i="26"/>
  <c r="S547" i="26"/>
  <c r="S548" i="26"/>
  <c r="S549" i="26"/>
  <c r="S550" i="26"/>
  <c r="S551" i="26"/>
  <c r="S552" i="26"/>
  <c r="S553" i="26"/>
  <c r="S554" i="26"/>
  <c r="S555" i="26"/>
  <c r="S556" i="26"/>
  <c r="S557" i="26"/>
  <c r="S558" i="26"/>
  <c r="S559" i="26"/>
  <c r="S560" i="26"/>
  <c r="S561" i="26"/>
  <c r="S562" i="26"/>
  <c r="S563" i="26"/>
  <c r="S564" i="26"/>
  <c r="S565" i="26"/>
  <c r="S566" i="26"/>
  <c r="S567" i="26"/>
  <c r="S568" i="26"/>
  <c r="S569" i="26"/>
  <c r="S570" i="26"/>
  <c r="S571" i="26"/>
  <c r="S572" i="26"/>
  <c r="S573" i="26"/>
  <c r="S574" i="26"/>
  <c r="S575" i="26"/>
  <c r="S576" i="26"/>
  <c r="S577" i="26"/>
  <c r="S578" i="26"/>
  <c r="S579" i="26"/>
  <c r="S580" i="26"/>
  <c r="S581" i="26"/>
  <c r="S582" i="26"/>
  <c r="S583" i="26"/>
  <c r="S584" i="26"/>
  <c r="S585" i="26"/>
  <c r="S586" i="26"/>
  <c r="S587" i="26"/>
  <c r="S588" i="26"/>
  <c r="S589" i="26"/>
  <c r="S590" i="26"/>
  <c r="S591" i="26"/>
  <c r="S592" i="26"/>
  <c r="S593" i="26"/>
  <c r="S594" i="26"/>
  <c r="S595" i="26"/>
  <c r="S596" i="26"/>
  <c r="S597" i="26"/>
  <c r="S598" i="26"/>
  <c r="S599" i="26"/>
  <c r="S600" i="26"/>
  <c r="S601" i="26"/>
  <c r="S602" i="26"/>
  <c r="S603" i="26"/>
  <c r="S604" i="26"/>
  <c r="S605" i="26"/>
  <c r="S606" i="26"/>
  <c r="S607" i="26"/>
  <c r="S608" i="26"/>
  <c r="S609" i="26"/>
  <c r="S610" i="26"/>
  <c r="S611" i="26"/>
  <c r="S612" i="26"/>
  <c r="S613" i="26"/>
  <c r="S614" i="26"/>
  <c r="S615" i="26"/>
  <c r="S616" i="26"/>
  <c r="S617" i="26"/>
  <c r="S618" i="26"/>
  <c r="S619" i="26"/>
  <c r="S620" i="26"/>
  <c r="S621" i="26"/>
  <c r="S622" i="26"/>
  <c r="S623" i="26"/>
  <c r="S624" i="26"/>
  <c r="S625" i="26"/>
  <c r="S626" i="26"/>
  <c r="S627" i="26"/>
  <c r="S628" i="26"/>
  <c r="S629" i="26"/>
  <c r="S630" i="26"/>
  <c r="S631" i="26"/>
  <c r="S632" i="26"/>
  <c r="S633" i="26"/>
  <c r="S634" i="26"/>
  <c r="S635" i="26"/>
  <c r="S636" i="26"/>
  <c r="S637" i="26"/>
  <c r="S638" i="26"/>
  <c r="S639" i="26"/>
  <c r="S640" i="26"/>
  <c r="S641" i="26"/>
  <c r="S642" i="26"/>
  <c r="S643" i="26"/>
  <c r="S644" i="26"/>
  <c r="S645" i="26"/>
  <c r="S646" i="26"/>
  <c r="S647" i="26"/>
  <c r="S648" i="26"/>
  <c r="S649" i="26"/>
  <c r="S650" i="26"/>
  <c r="S651" i="26"/>
  <c r="S652" i="26"/>
  <c r="S653" i="26"/>
  <c r="S654" i="26"/>
  <c r="S655" i="26"/>
  <c r="S656" i="26"/>
  <c r="S657" i="26"/>
  <c r="S658" i="26"/>
  <c r="S659" i="26"/>
  <c r="S660" i="26"/>
  <c r="S661" i="26"/>
  <c r="S662" i="26"/>
  <c r="S663" i="26"/>
  <c r="S664" i="26"/>
  <c r="S665" i="26"/>
  <c r="S666" i="26"/>
  <c r="S667" i="26"/>
  <c r="S668" i="26"/>
  <c r="S669" i="26"/>
  <c r="S670" i="26"/>
  <c r="S671" i="26"/>
  <c r="S672" i="26"/>
  <c r="S673" i="26"/>
  <c r="S674" i="26"/>
  <c r="S675" i="26"/>
  <c r="S676" i="26"/>
  <c r="S677" i="26"/>
  <c r="S678" i="26"/>
  <c r="S679" i="26"/>
  <c r="S680" i="26"/>
  <c r="S681" i="26"/>
  <c r="S682" i="26"/>
  <c r="S683" i="26"/>
  <c r="S684" i="26"/>
  <c r="S685" i="26"/>
  <c r="S686" i="26"/>
  <c r="S687" i="26"/>
  <c r="S688" i="26"/>
  <c r="S689" i="26"/>
  <c r="S690" i="26"/>
  <c r="S691" i="26"/>
  <c r="S692" i="26"/>
  <c r="S693" i="26"/>
  <c r="S694" i="26"/>
  <c r="S695" i="26"/>
  <c r="S696" i="26"/>
  <c r="S697" i="26"/>
  <c r="S698" i="26"/>
  <c r="S699" i="26"/>
  <c r="S700" i="26"/>
  <c r="S701" i="26"/>
  <c r="S702" i="26"/>
  <c r="S703" i="26"/>
  <c r="S704" i="26"/>
  <c r="S705" i="26"/>
  <c r="S706" i="26"/>
  <c r="S707" i="26"/>
  <c r="S708" i="26"/>
  <c r="S709" i="26"/>
  <c r="S710" i="26"/>
  <c r="S711" i="26"/>
  <c r="S712" i="26"/>
  <c r="S713" i="26"/>
  <c r="S714" i="26"/>
  <c r="S715" i="26"/>
  <c r="S716" i="26"/>
  <c r="S717" i="26"/>
  <c r="S718" i="26"/>
  <c r="S719" i="26"/>
  <c r="S720" i="26"/>
  <c r="S721" i="26"/>
  <c r="S722" i="26"/>
  <c r="S723" i="26"/>
  <c r="S724" i="26"/>
  <c r="S725" i="26"/>
  <c r="S726" i="26"/>
  <c r="S727" i="26"/>
  <c r="S728" i="26"/>
  <c r="S729" i="26"/>
  <c r="S730" i="26"/>
  <c r="S731" i="26"/>
  <c r="S732" i="26"/>
  <c r="S733" i="26"/>
  <c r="S734" i="26"/>
  <c r="S735" i="26"/>
  <c r="S736" i="26"/>
  <c r="S737" i="26"/>
  <c r="S738" i="26"/>
  <c r="S739" i="26"/>
  <c r="S740" i="26"/>
  <c r="S741" i="26"/>
  <c r="S742" i="26"/>
  <c r="S743" i="26"/>
  <c r="S744" i="26"/>
  <c r="S745" i="26"/>
  <c r="S746" i="26"/>
  <c r="S747" i="26"/>
  <c r="S748" i="26"/>
  <c r="S749" i="26"/>
  <c r="S750" i="26"/>
  <c r="S751" i="26"/>
  <c r="S752" i="26"/>
  <c r="S753" i="26"/>
  <c r="S754" i="26"/>
  <c r="S755" i="26"/>
  <c r="S756" i="26"/>
  <c r="S757" i="26"/>
  <c r="S758" i="26"/>
  <c r="S759" i="26"/>
  <c r="S760" i="26"/>
  <c r="S761" i="26"/>
  <c r="S762" i="26"/>
  <c r="S763" i="26"/>
  <c r="S764" i="26"/>
  <c r="S765" i="26"/>
  <c r="S766" i="26"/>
  <c r="S767" i="26"/>
  <c r="S768" i="26"/>
  <c r="S769" i="26"/>
  <c r="S770" i="26"/>
  <c r="S771" i="26"/>
  <c r="S772" i="26"/>
  <c r="S773" i="26"/>
  <c r="S774" i="26"/>
  <c r="S775" i="26"/>
  <c r="S776" i="26"/>
  <c r="S777" i="26"/>
  <c r="S778" i="26"/>
  <c r="S779" i="26"/>
  <c r="S780" i="26"/>
  <c r="S781" i="26"/>
  <c r="S782" i="26"/>
  <c r="S783" i="26"/>
  <c r="S784" i="26"/>
  <c r="S785" i="26"/>
  <c r="S786" i="26"/>
  <c r="S787" i="26"/>
  <c r="S788" i="26"/>
  <c r="S789" i="26"/>
  <c r="S790" i="26"/>
  <c r="S791" i="26"/>
  <c r="S792" i="26"/>
  <c r="S793" i="26"/>
  <c r="S794" i="26"/>
  <c r="S795" i="26"/>
  <c r="S796" i="26"/>
  <c r="S797" i="26"/>
  <c r="S798" i="26"/>
  <c r="S799" i="26"/>
  <c r="S800" i="26"/>
  <c r="S801" i="26"/>
  <c r="S802" i="26"/>
  <c r="S803" i="26"/>
  <c r="S804" i="26"/>
  <c r="S805" i="26"/>
  <c r="S806" i="26"/>
  <c r="S807" i="26"/>
  <c r="S808" i="26"/>
  <c r="S809" i="26"/>
  <c r="S810" i="26"/>
  <c r="S811" i="26"/>
  <c r="S812" i="26"/>
  <c r="S813" i="26"/>
  <c r="S814" i="26"/>
  <c r="S815" i="26"/>
  <c r="S816" i="26"/>
  <c r="S817" i="26"/>
  <c r="S818" i="26"/>
  <c r="S819" i="26"/>
  <c r="S820" i="26"/>
  <c r="S821" i="26"/>
  <c r="S822" i="26"/>
  <c r="S823" i="26"/>
  <c r="S824" i="26"/>
  <c r="S825" i="26"/>
  <c r="S826" i="26"/>
  <c r="S827" i="26"/>
  <c r="S828" i="26"/>
  <c r="S829" i="26"/>
  <c r="S830" i="26"/>
  <c r="S831" i="26"/>
  <c r="S832" i="26"/>
  <c r="S833" i="26"/>
  <c r="S834" i="26"/>
  <c r="S835" i="26"/>
  <c r="S836" i="26"/>
  <c r="S837" i="26"/>
  <c r="S838" i="26"/>
  <c r="S839" i="26"/>
  <c r="S840" i="26"/>
  <c r="S841" i="26"/>
  <c r="S842" i="26"/>
  <c r="S843" i="26"/>
  <c r="S844" i="26"/>
  <c r="S845" i="26"/>
  <c r="S846" i="26"/>
  <c r="S847" i="26"/>
  <c r="S848" i="26"/>
  <c r="S849" i="26"/>
  <c r="S850" i="26"/>
  <c r="S851" i="26"/>
  <c r="S852" i="26"/>
  <c r="S853" i="26"/>
  <c r="S854" i="26"/>
  <c r="S855" i="26"/>
  <c r="S856" i="26"/>
  <c r="S857" i="26"/>
  <c r="S858" i="26"/>
  <c r="S859" i="26"/>
  <c r="S860" i="26"/>
  <c r="S861" i="26"/>
  <c r="S862" i="26"/>
  <c r="S863" i="26"/>
  <c r="S864" i="26"/>
  <c r="S865" i="26"/>
  <c r="S866" i="26"/>
  <c r="S867" i="26"/>
  <c r="S868" i="26"/>
  <c r="S869" i="26"/>
  <c r="S870" i="26"/>
  <c r="S871" i="26"/>
  <c r="S872" i="26"/>
  <c r="S873" i="26"/>
  <c r="S874" i="26"/>
  <c r="S875" i="26"/>
  <c r="S876" i="26"/>
  <c r="S877" i="26"/>
  <c r="S878" i="26"/>
  <c r="S879" i="26"/>
  <c r="S880" i="26"/>
  <c r="S881" i="26"/>
  <c r="S882" i="26"/>
  <c r="S883" i="26"/>
  <c r="S884" i="26"/>
  <c r="S885" i="26"/>
  <c r="S886" i="26"/>
  <c r="S887" i="26"/>
  <c r="S888" i="26"/>
  <c r="S889" i="26"/>
  <c r="S890" i="26"/>
  <c r="S891" i="26"/>
  <c r="S892" i="26"/>
  <c r="S893" i="26"/>
  <c r="S894" i="26"/>
  <c r="S895" i="26"/>
  <c r="S896" i="26"/>
  <c r="S897" i="26"/>
  <c r="S898" i="26"/>
  <c r="S899" i="26"/>
  <c r="S900" i="26"/>
  <c r="S901" i="26"/>
  <c r="S902" i="26"/>
  <c r="S903" i="26"/>
  <c r="S904" i="26"/>
  <c r="S905" i="26"/>
  <c r="S906" i="26"/>
  <c r="S907" i="26"/>
  <c r="S908" i="26"/>
  <c r="S909" i="26"/>
  <c r="S910" i="26"/>
  <c r="S911" i="26"/>
  <c r="S912" i="26"/>
  <c r="S913" i="26"/>
  <c r="S914" i="26"/>
  <c r="S915" i="26"/>
  <c r="S916" i="26"/>
  <c r="S917" i="26"/>
  <c r="S918" i="26"/>
  <c r="S919" i="26"/>
  <c r="S920" i="26"/>
  <c r="S921" i="26"/>
  <c r="S922" i="26"/>
  <c r="S923" i="26"/>
  <c r="S924" i="26"/>
  <c r="S925" i="26"/>
  <c r="S926" i="26"/>
  <c r="S927" i="26"/>
  <c r="S928" i="26"/>
  <c r="S929" i="26"/>
  <c r="S930" i="26"/>
  <c r="S931" i="26"/>
  <c r="S932" i="26"/>
  <c r="S933" i="26"/>
  <c r="S934" i="26"/>
  <c r="S935" i="26"/>
  <c r="S936" i="26"/>
  <c r="S937" i="26"/>
  <c r="S938" i="26"/>
  <c r="S939" i="26"/>
  <c r="S940" i="26"/>
  <c r="S941" i="26"/>
  <c r="S942" i="26"/>
  <c r="S943" i="26"/>
  <c r="S944" i="26"/>
  <c r="S945" i="26"/>
  <c r="S946" i="26"/>
  <c r="S947" i="26"/>
  <c r="S948" i="26"/>
  <c r="S949" i="26"/>
  <c r="S950" i="26"/>
  <c r="S951" i="26"/>
  <c r="S952" i="26"/>
  <c r="S953" i="26"/>
  <c r="S954" i="26"/>
  <c r="S955" i="26"/>
  <c r="S956" i="26"/>
  <c r="S957" i="26"/>
  <c r="S958" i="26"/>
  <c r="S959" i="26"/>
  <c r="S960" i="26"/>
  <c r="S961" i="26"/>
  <c r="S962" i="26"/>
  <c r="S963" i="26"/>
  <c r="S964" i="26"/>
  <c r="S965" i="26"/>
  <c r="S966" i="26"/>
  <c r="S967" i="26"/>
  <c r="S968" i="26"/>
  <c r="S969" i="26"/>
  <c r="S970" i="26"/>
  <c r="S971" i="26"/>
  <c r="S972" i="26"/>
  <c r="S973" i="26"/>
  <c r="S974" i="26"/>
  <c r="S975" i="26"/>
  <c r="S976" i="26"/>
  <c r="S977" i="26"/>
  <c r="S978" i="26"/>
  <c r="S979" i="26"/>
  <c r="S980" i="26"/>
  <c r="S981" i="26"/>
  <c r="S982" i="26"/>
  <c r="S983" i="26"/>
  <c r="S984" i="26"/>
  <c r="S985" i="26"/>
  <c r="S986" i="26"/>
  <c r="S987" i="26"/>
  <c r="S988" i="26"/>
  <c r="S989" i="26"/>
  <c r="S990" i="26"/>
  <c r="S991" i="26"/>
  <c r="S992" i="26"/>
  <c r="S993" i="26"/>
  <c r="S994" i="26"/>
  <c r="S995" i="26"/>
  <c r="S996" i="26"/>
  <c r="S997" i="26"/>
  <c r="S998" i="26"/>
  <c r="S999" i="26"/>
  <c r="S1000" i="26"/>
  <c r="S1001" i="26"/>
  <c r="S1002" i="26"/>
  <c r="S1003" i="26"/>
  <c r="S1004" i="26"/>
  <c r="S1005" i="26"/>
  <c r="S1006" i="26"/>
  <c r="S1007" i="26"/>
  <c r="S1008" i="26"/>
  <c r="S1009" i="26"/>
  <c r="S1010" i="26"/>
  <c r="S1011" i="26"/>
  <c r="S1012" i="26"/>
  <c r="S1013" i="26"/>
  <c r="S1014" i="26"/>
  <c r="S1015" i="26"/>
  <c r="S1016" i="26"/>
  <c r="S1017" i="26"/>
  <c r="S1018" i="26"/>
  <c r="S1019" i="26"/>
  <c r="S1020" i="26"/>
  <c r="S1021" i="26"/>
  <c r="S1022" i="26"/>
  <c r="S1023" i="26"/>
  <c r="S1024" i="26"/>
  <c r="S1025" i="26"/>
  <c r="S1026" i="26"/>
  <c r="S1027" i="26"/>
  <c r="S1028" i="26"/>
  <c r="S1029" i="26"/>
  <c r="S1030" i="26"/>
  <c r="S1031" i="26"/>
  <c r="S1032" i="26"/>
  <c r="S1033" i="26"/>
  <c r="S1034" i="26"/>
  <c r="S1035" i="26"/>
  <c r="S1036" i="26"/>
  <c r="S1037" i="26"/>
  <c r="S1038" i="26"/>
  <c r="S1039" i="26"/>
  <c r="S1040" i="26"/>
  <c r="S1041" i="26"/>
  <c r="S1042" i="26"/>
  <c r="S1043" i="26"/>
  <c r="S1044" i="26"/>
  <c r="S1045" i="26"/>
  <c r="S1046" i="26"/>
  <c r="S1047" i="26"/>
  <c r="S1048" i="26"/>
  <c r="S1049" i="26"/>
  <c r="S1050" i="26"/>
  <c r="S1051" i="26"/>
  <c r="S1052" i="26"/>
  <c r="S1053" i="26"/>
  <c r="S1054" i="26"/>
  <c r="S1055" i="26"/>
  <c r="S1056" i="26"/>
  <c r="S1057" i="26"/>
  <c r="S1058" i="26"/>
  <c r="S1059" i="26"/>
  <c r="S1060" i="26"/>
  <c r="S1061" i="26"/>
  <c r="S1062" i="26"/>
  <c r="S1063" i="26"/>
  <c r="S1064" i="26"/>
  <c r="S1065" i="26"/>
  <c r="S1066" i="26"/>
  <c r="S1067" i="26"/>
  <c r="S1068" i="26"/>
  <c r="S1069" i="26"/>
  <c r="S1070" i="26"/>
  <c r="S1071" i="26"/>
  <c r="S1072" i="26"/>
  <c r="S1073" i="26"/>
  <c r="S1074" i="26"/>
  <c r="S1075" i="26"/>
  <c r="S1076" i="26"/>
  <c r="S1077" i="26"/>
  <c r="S1078" i="26"/>
  <c r="S1079" i="26"/>
  <c r="S1080" i="26"/>
  <c r="S1081" i="26"/>
  <c r="S1082" i="26"/>
  <c r="S1083" i="26"/>
  <c r="S1084" i="26"/>
  <c r="S1085" i="26"/>
  <c r="S1086" i="26"/>
  <c r="S1087" i="26"/>
  <c r="S1088" i="26"/>
  <c r="S1089" i="26"/>
  <c r="S1090" i="26"/>
  <c r="S1091" i="26"/>
  <c r="S1092" i="26"/>
  <c r="S1093" i="26"/>
  <c r="S1094" i="26"/>
  <c r="S1095" i="26"/>
  <c r="S1096" i="26"/>
  <c r="S1097" i="26"/>
  <c r="S1098" i="26"/>
  <c r="S1099" i="26"/>
  <c r="S1100" i="26"/>
  <c r="S1101" i="26"/>
  <c r="S1102" i="26"/>
  <c r="S1103" i="26"/>
  <c r="S1104" i="26"/>
  <c r="S1105" i="26"/>
  <c r="S1106" i="26"/>
  <c r="S1107" i="26"/>
  <c r="S1108" i="26"/>
  <c r="S1109" i="26"/>
  <c r="S1110" i="26"/>
  <c r="S1111" i="26"/>
  <c r="S1112" i="26"/>
  <c r="S1113" i="26"/>
  <c r="S1114" i="26"/>
  <c r="S1115" i="26"/>
  <c r="S1116" i="26"/>
  <c r="S1117" i="26"/>
  <c r="S1118" i="26"/>
  <c r="S1119" i="26"/>
  <c r="S1120" i="26"/>
  <c r="S1121" i="26"/>
  <c r="S1122" i="26"/>
  <c r="S1123" i="26"/>
  <c r="S1124" i="26"/>
  <c r="S1125" i="26"/>
  <c r="S1126" i="26"/>
  <c r="S1127" i="26"/>
  <c r="S1128" i="26"/>
  <c r="S1129" i="26"/>
  <c r="S1130" i="26"/>
  <c r="S1131" i="26"/>
  <c r="S1132" i="26"/>
  <c r="S1133" i="26"/>
  <c r="S1134" i="26"/>
  <c r="S1135" i="26"/>
  <c r="S1136" i="26"/>
  <c r="S1137" i="26"/>
  <c r="S1138" i="26"/>
  <c r="S1139" i="26"/>
  <c r="S1140" i="26"/>
  <c r="S1141" i="26"/>
  <c r="S1142" i="26"/>
  <c r="S1143" i="26"/>
  <c r="S1144" i="26"/>
  <c r="S1145" i="26"/>
  <c r="S1146" i="26"/>
  <c r="S1147" i="26"/>
  <c r="S1148" i="26"/>
  <c r="S1149" i="26"/>
  <c r="S1150" i="26"/>
  <c r="S1151" i="26"/>
  <c r="S1152" i="26"/>
  <c r="S1153" i="26"/>
  <c r="S1154" i="26"/>
  <c r="S1155" i="26"/>
  <c r="S1156" i="26"/>
  <c r="S1157" i="26"/>
  <c r="S1158" i="26"/>
  <c r="S1159" i="26"/>
  <c r="S1160" i="26"/>
  <c r="S1161" i="26"/>
  <c r="S1162" i="26"/>
  <c r="S1163" i="26"/>
  <c r="S1164" i="26"/>
  <c r="S1165" i="26"/>
  <c r="S1166" i="26"/>
  <c r="S1167" i="26"/>
  <c r="S1168" i="26"/>
  <c r="S1169" i="26"/>
  <c r="S1170" i="26"/>
  <c r="S1171" i="26"/>
  <c r="S1172" i="26"/>
  <c r="S1173" i="26"/>
  <c r="S1174" i="26"/>
  <c r="S1175" i="26"/>
  <c r="S1176" i="26"/>
  <c r="S1177" i="26"/>
  <c r="S1178" i="26"/>
  <c r="S1179" i="26"/>
  <c r="S1180" i="26"/>
  <c r="S1181" i="26"/>
  <c r="S1182" i="26"/>
  <c r="S1183" i="26"/>
  <c r="S1184" i="26"/>
  <c r="S1185" i="26"/>
  <c r="S1186" i="26"/>
  <c r="S1187" i="26"/>
  <c r="S1188" i="26"/>
  <c r="S1189" i="26"/>
  <c r="S1190" i="26"/>
  <c r="S1191" i="26"/>
  <c r="S1192" i="26"/>
  <c r="S1193" i="26"/>
  <c r="S1194" i="26"/>
  <c r="S1195" i="26"/>
  <c r="S1196" i="26"/>
  <c r="S1197" i="26"/>
  <c r="S1198" i="26"/>
  <c r="S1199" i="26"/>
  <c r="S1200" i="26"/>
  <c r="S1201" i="26"/>
  <c r="S1202" i="26"/>
  <c r="S1203" i="26"/>
  <c r="S1204" i="26"/>
  <c r="S1205" i="26"/>
  <c r="S1206" i="26"/>
  <c r="S1207" i="26"/>
  <c r="S1208" i="26"/>
  <c r="S1209" i="26"/>
  <c r="S1210" i="26"/>
  <c r="S1211" i="26"/>
  <c r="S1212" i="26"/>
  <c r="S1213" i="26"/>
  <c r="S1214" i="26"/>
  <c r="S1215" i="26"/>
  <c r="S1216" i="26"/>
  <c r="S1217" i="26"/>
  <c r="S1218" i="26"/>
  <c r="S1219" i="26"/>
  <c r="S1220" i="26"/>
  <c r="S1221" i="26"/>
  <c r="S1222" i="26"/>
  <c r="S1223" i="26"/>
  <c r="S1224" i="26"/>
  <c r="S1225" i="26"/>
  <c r="S1226" i="26"/>
  <c r="S1227" i="26"/>
  <c r="S1228" i="26"/>
  <c r="S1229" i="26"/>
  <c r="S1230" i="26"/>
  <c r="S1231" i="26"/>
  <c r="S1232" i="26"/>
  <c r="S1233" i="26"/>
  <c r="S1234" i="26"/>
  <c r="S1235" i="26"/>
  <c r="S1236" i="26"/>
  <c r="S1237" i="26"/>
  <c r="S1238" i="26"/>
  <c r="S1239" i="26"/>
  <c r="S1240" i="26"/>
  <c r="S1241" i="26"/>
  <c r="S1242" i="26"/>
  <c r="S1243" i="26"/>
  <c r="S1244" i="26"/>
  <c r="S1245" i="26"/>
  <c r="S1246" i="26"/>
  <c r="S1247" i="26"/>
  <c r="S1248" i="26"/>
  <c r="S1249" i="26"/>
  <c r="S1250" i="26"/>
  <c r="S1251" i="26"/>
  <c r="S1252" i="26"/>
  <c r="S1253" i="26"/>
  <c r="S1254" i="26"/>
  <c r="S1255" i="26"/>
  <c r="S1256" i="26"/>
  <c r="S1257" i="26"/>
  <c r="S1258" i="26"/>
  <c r="S1259" i="26"/>
  <c r="S1260" i="26"/>
  <c r="S1261" i="26"/>
  <c r="S1262" i="26"/>
  <c r="S1263" i="26"/>
  <c r="S1264" i="26"/>
  <c r="S1265" i="26"/>
  <c r="S1266" i="26"/>
  <c r="S1267" i="26"/>
  <c r="S1268" i="26"/>
  <c r="S1269" i="26"/>
  <c r="S1270" i="26"/>
  <c r="S1271" i="26"/>
  <c r="S1272" i="26"/>
  <c r="S1273" i="26"/>
  <c r="S1274" i="26"/>
  <c r="S1275" i="26"/>
  <c r="S1276" i="26"/>
  <c r="S1277" i="26"/>
  <c r="S1278" i="26"/>
  <c r="S1279" i="26"/>
  <c r="S1280" i="26"/>
  <c r="S1281" i="26"/>
  <c r="S1282" i="26"/>
  <c r="S1283" i="26"/>
  <c r="S1284" i="26"/>
  <c r="S1285" i="26"/>
  <c r="S1286" i="26"/>
  <c r="S1287" i="26"/>
  <c r="S1288" i="26"/>
  <c r="S1289" i="26"/>
  <c r="S1290" i="26"/>
  <c r="S1291" i="26"/>
  <c r="S1292" i="26"/>
  <c r="S1293" i="26"/>
  <c r="S1294" i="26"/>
  <c r="S1295" i="26"/>
  <c r="S1296" i="26"/>
  <c r="S1297" i="26"/>
  <c r="S1298" i="26"/>
  <c r="S1299" i="26"/>
  <c r="S1300" i="26"/>
  <c r="S1301" i="26"/>
  <c r="S1302" i="26"/>
  <c r="S1303" i="26"/>
  <c r="S1304" i="26"/>
  <c r="S1305" i="26"/>
  <c r="S1306" i="26"/>
  <c r="S1307" i="26"/>
  <c r="S1308" i="26"/>
  <c r="S1309" i="26"/>
  <c r="S1310" i="26"/>
  <c r="S1311" i="26"/>
  <c r="S1312" i="26"/>
  <c r="S1313" i="26"/>
  <c r="S1314" i="26"/>
  <c r="S1315" i="26"/>
  <c r="S1316" i="26"/>
  <c r="S1317" i="26"/>
  <c r="S1318" i="26"/>
  <c r="S1319" i="26"/>
  <c r="S1320" i="26"/>
  <c r="S1321" i="26"/>
  <c r="S1322" i="26"/>
  <c r="S1323" i="26"/>
  <c r="S1324" i="26"/>
  <c r="S1325" i="26"/>
  <c r="S1326" i="26"/>
  <c r="S1327" i="26"/>
  <c r="S1328" i="26"/>
  <c r="S1329" i="26"/>
  <c r="S1330" i="26"/>
  <c r="S1331" i="26"/>
  <c r="S1332" i="26"/>
  <c r="S1333" i="26"/>
  <c r="S1334" i="26"/>
  <c r="S1335" i="26"/>
  <c r="S1336" i="26"/>
  <c r="S1337" i="26"/>
  <c r="S1338" i="26"/>
  <c r="S1339" i="26"/>
  <c r="S1340" i="26"/>
  <c r="S1341" i="26"/>
  <c r="S1342" i="26"/>
  <c r="S1343" i="26"/>
  <c r="S1344" i="26"/>
  <c r="S1345" i="26"/>
  <c r="S1346" i="26"/>
  <c r="S1347" i="26"/>
  <c r="S1348" i="26"/>
  <c r="S1349" i="26"/>
  <c r="S1350" i="26"/>
  <c r="S1351" i="26"/>
  <c r="S1352" i="26"/>
  <c r="S1353" i="26"/>
  <c r="S1354" i="26"/>
  <c r="S1355" i="26"/>
  <c r="S1356" i="26"/>
  <c r="S1357" i="26"/>
  <c r="S1358" i="26"/>
  <c r="S1359" i="26"/>
  <c r="S1360" i="26"/>
  <c r="S1361" i="26"/>
  <c r="S1362" i="26"/>
  <c r="S1363" i="26"/>
  <c r="S1364" i="26"/>
  <c r="S1365" i="26"/>
  <c r="S1366" i="26"/>
  <c r="S1367" i="26"/>
  <c r="S1368" i="26"/>
  <c r="S1369" i="26"/>
  <c r="S1370" i="26"/>
  <c r="S1371" i="26"/>
  <c r="S1372" i="26"/>
  <c r="S1373" i="26"/>
  <c r="S1374" i="26"/>
  <c r="S1375" i="26"/>
  <c r="S1376" i="26"/>
  <c r="S1377" i="26"/>
  <c r="S1378" i="26"/>
  <c r="S1379" i="26"/>
  <c r="S1380" i="26"/>
  <c r="S1381" i="26"/>
  <c r="S1382" i="26"/>
  <c r="S1383" i="26"/>
  <c r="S1384" i="26"/>
  <c r="S1385" i="26"/>
  <c r="S1386" i="26"/>
  <c r="S1387" i="26"/>
  <c r="S1388" i="26"/>
  <c r="S1389" i="26"/>
  <c r="S1390" i="26"/>
  <c r="S1391" i="26"/>
  <c r="S1392" i="26"/>
  <c r="S1393" i="26"/>
  <c r="S1394" i="26"/>
  <c r="S1395" i="26"/>
  <c r="S1396" i="26"/>
  <c r="S1397" i="26"/>
  <c r="S1398" i="26"/>
  <c r="S1399" i="26"/>
  <c r="S1400" i="26"/>
  <c r="S1401" i="26"/>
  <c r="S1402" i="26"/>
  <c r="S1403" i="26"/>
  <c r="S1404" i="26"/>
  <c r="S1405" i="26"/>
  <c r="S1406" i="26"/>
  <c r="S1407" i="26"/>
  <c r="S1408" i="26"/>
  <c r="S1409" i="26"/>
  <c r="S1410" i="26"/>
  <c r="S1411" i="26"/>
  <c r="S1412" i="26"/>
  <c r="S1413" i="26"/>
  <c r="S1414" i="26"/>
  <c r="S1415" i="26"/>
  <c r="S1416" i="26"/>
  <c r="S1417" i="26"/>
  <c r="S1418" i="26"/>
  <c r="S1419" i="26"/>
  <c r="S1420" i="26"/>
  <c r="S1421" i="26"/>
  <c r="S1422" i="26"/>
  <c r="S1423" i="26"/>
  <c r="S1424" i="26"/>
  <c r="S1425" i="26"/>
  <c r="S1426" i="26"/>
  <c r="S1427" i="26"/>
  <c r="S1428" i="26"/>
  <c r="S1429" i="26"/>
  <c r="S1430" i="26"/>
  <c r="S1431" i="26"/>
  <c r="S1432" i="26"/>
  <c r="S1433" i="26"/>
  <c r="S1434" i="26"/>
  <c r="D12" i="32" l="1"/>
  <c r="C18" i="32"/>
  <c r="C17" i="32"/>
  <c r="E17" i="32" s="1"/>
  <c r="F17" i="32" s="1"/>
  <c r="C21" i="32"/>
  <c r="C12" i="32"/>
  <c r="C14" i="32"/>
  <c r="C15" i="32"/>
  <c r="J5" i="23"/>
  <c r="T5" i="23"/>
  <c r="O5" i="23"/>
  <c r="AJ5" i="1"/>
  <c r="AI5" i="1"/>
  <c r="E5" i="1"/>
  <c r="C8" i="32" s="1"/>
  <c r="AK5" i="1" l="1"/>
  <c r="C69" i="32"/>
  <c r="E69" i="32" s="1"/>
  <c r="F69" i="32" s="1"/>
  <c r="C68" i="32"/>
  <c r="E68" i="32" s="1"/>
  <c r="F68" i="32" s="1"/>
  <c r="C67" i="32"/>
  <c r="C66" i="32"/>
  <c r="E66" i="32" s="1"/>
  <c r="F66" i="32" s="1"/>
  <c r="C65" i="32"/>
  <c r="E65" i="32" s="1"/>
  <c r="F65" i="32" s="1"/>
  <c r="C75" i="32"/>
  <c r="C71" i="32"/>
  <c r="C72" i="32"/>
  <c r="C73" i="32"/>
  <c r="C74" i="32"/>
  <c r="F5" i="1"/>
  <c r="C61" i="32"/>
  <c r="E61" i="32" s="1"/>
  <c r="F61" i="32" s="1"/>
  <c r="C57" i="32"/>
  <c r="C53" i="32"/>
  <c r="C60" i="32"/>
  <c r="C56" i="32"/>
  <c r="C52" i="32"/>
  <c r="C59" i="32"/>
  <c r="C55" i="32"/>
  <c r="C58" i="32"/>
  <c r="C54" i="32"/>
  <c r="C46" i="32"/>
  <c r="E46" i="32" s="1"/>
  <c r="F46" i="32" s="1"/>
  <c r="C48" i="32"/>
  <c r="E48" i="32" s="1"/>
  <c r="F48" i="32" s="1"/>
  <c r="E15" i="32"/>
  <c r="F15" i="32" s="1"/>
  <c r="E18" i="32"/>
  <c r="F18" i="32" s="1"/>
  <c r="E21" i="32"/>
  <c r="F21" i="32" s="1"/>
  <c r="C28" i="32"/>
  <c r="C27" i="32"/>
  <c r="E12" i="32"/>
  <c r="F12" i="32" s="1"/>
  <c r="E14" i="32"/>
  <c r="F14" i="32" s="1"/>
  <c r="M5" i="26"/>
  <c r="L5" i="26"/>
  <c r="J5" i="26"/>
  <c r="I5" i="26"/>
  <c r="F5" i="26"/>
  <c r="H5" i="26" s="1"/>
  <c r="E5" i="26"/>
  <c r="G5" i="26" s="1"/>
  <c r="D5" i="26"/>
  <c r="B5" i="26"/>
  <c r="F5" i="23"/>
  <c r="C5" i="23"/>
  <c r="E58" i="32" l="1"/>
  <c r="F58" i="32" s="1"/>
  <c r="E60" i="32"/>
  <c r="F60" i="32" s="1"/>
  <c r="E27" i="32"/>
  <c r="F27" i="32" s="1"/>
  <c r="E28" i="32"/>
  <c r="F28" i="32" s="1"/>
  <c r="N5" i="26"/>
  <c r="K5" i="26"/>
  <c r="S3" i="30"/>
  <c r="Q3" i="30"/>
  <c r="N3" i="30"/>
  <c r="H3" i="30"/>
  <c r="D3" i="30"/>
  <c r="Y3" i="30"/>
  <c r="W3" i="30"/>
  <c r="V3" i="30"/>
  <c r="U3" i="30"/>
  <c r="L3" i="30"/>
  <c r="Q3" i="25"/>
  <c r="K3" i="25"/>
  <c r="AH321" i="24"/>
  <c r="C10" i="32" l="1"/>
  <c r="C9" i="32"/>
  <c r="X3" i="30"/>
  <c r="M6" i="26"/>
  <c r="L6" i="26"/>
  <c r="J6" i="26"/>
  <c r="I6" i="26"/>
  <c r="F6" i="26"/>
  <c r="H6" i="26" s="1"/>
  <c r="E6" i="26"/>
  <c r="G6" i="26" s="1"/>
  <c r="D6" i="26"/>
  <c r="B6" i="26"/>
  <c r="AJ6" i="1"/>
  <c r="AI6" i="1"/>
  <c r="AK6" i="1" s="1"/>
  <c r="E6" i="1"/>
  <c r="F6" i="1" l="1"/>
  <c r="N6" i="26"/>
  <c r="K6" i="26"/>
  <c r="C3" i="28"/>
  <c r="E3" i="28"/>
  <c r="C6" i="23"/>
  <c r="F6" i="23"/>
  <c r="G4" i="23" s="1"/>
  <c r="J6" i="23"/>
  <c r="K4" i="23" s="1"/>
  <c r="O6" i="23"/>
  <c r="P4" i="23" s="1"/>
  <c r="T6" i="23"/>
  <c r="U4" i="23" s="1"/>
  <c r="N3" i="28"/>
  <c r="M3" i="28"/>
  <c r="I3" i="28"/>
  <c r="G3" i="28"/>
  <c r="J3" i="30"/>
  <c r="B3" i="30"/>
  <c r="G3" i="25"/>
  <c r="P4" i="26" s="1"/>
  <c r="Q4" i="26" s="1"/>
  <c r="T4" i="26" s="1"/>
  <c r="Y3" i="25"/>
  <c r="W3" i="25"/>
  <c r="C36" i="32" l="1"/>
  <c r="E36" i="32" s="1"/>
  <c r="F36" i="32" s="1"/>
  <c r="C37" i="32"/>
  <c r="C35" i="32"/>
  <c r="E35" i="32" s="1"/>
  <c r="F35" i="32" s="1"/>
  <c r="C34" i="32"/>
  <c r="E34" i="32" s="1"/>
  <c r="F34" i="32" s="1"/>
  <c r="C39" i="32"/>
  <c r="E39" i="32" s="1"/>
  <c r="F39" i="32" s="1"/>
  <c r="C33" i="32"/>
  <c r="E33" i="32" s="1"/>
  <c r="F33" i="32" s="1"/>
  <c r="C38" i="32"/>
  <c r="C40" i="32"/>
  <c r="C42" i="32"/>
  <c r="C41" i="32"/>
  <c r="C47" i="32"/>
  <c r="C50" i="32"/>
  <c r="R3" i="29" l="1"/>
  <c r="AC3" i="25"/>
  <c r="AA3" i="25"/>
  <c r="N3" i="25"/>
  <c r="C3" i="25"/>
  <c r="T3" i="25"/>
  <c r="C29" i="32" l="1"/>
  <c r="C25" i="32"/>
  <c r="C31" i="32"/>
  <c r="J7" i="23"/>
  <c r="T7" i="23"/>
  <c r="U5" i="23" s="1"/>
  <c r="C7" i="23"/>
  <c r="F7" i="23"/>
  <c r="O7" i="23"/>
  <c r="P5" i="23" s="1"/>
  <c r="AJ7" i="1"/>
  <c r="AI7" i="1"/>
  <c r="M7" i="26"/>
  <c r="L7" i="26"/>
  <c r="J7" i="26"/>
  <c r="I7" i="26"/>
  <c r="F7" i="26"/>
  <c r="H7" i="26" s="1"/>
  <c r="E7" i="26"/>
  <c r="G7" i="26" s="1"/>
  <c r="D7" i="26"/>
  <c r="B7" i="26"/>
  <c r="E7" i="1"/>
  <c r="AK7" i="1" l="1"/>
  <c r="G5" i="23"/>
  <c r="K5" i="23"/>
  <c r="L4" i="23" s="1"/>
  <c r="F7" i="1"/>
  <c r="C22" i="32"/>
  <c r="C19" i="32"/>
  <c r="N7" i="26"/>
  <c r="K7" i="26"/>
  <c r="C16" i="32" l="1"/>
  <c r="AJ8" i="1"/>
  <c r="AI8" i="1"/>
  <c r="E8" i="1"/>
  <c r="B8" i="26"/>
  <c r="D8" i="26"/>
  <c r="E8" i="26"/>
  <c r="G8" i="26" s="1"/>
  <c r="F8" i="26"/>
  <c r="H8" i="26" s="1"/>
  <c r="I8" i="26"/>
  <c r="J8" i="26"/>
  <c r="L8" i="26"/>
  <c r="M8" i="26"/>
  <c r="T8" i="23"/>
  <c r="U6" i="23" s="1"/>
  <c r="O8" i="23"/>
  <c r="P6" i="23" s="1"/>
  <c r="J8" i="23"/>
  <c r="F8" i="23"/>
  <c r="C8" i="23"/>
  <c r="AK8" i="1" l="1"/>
  <c r="G6" i="23"/>
  <c r="K6" i="23"/>
  <c r="F8" i="1"/>
  <c r="N8" i="26"/>
  <c r="K8" i="26"/>
  <c r="L5" i="23" l="1"/>
  <c r="B4" i="24"/>
  <c r="D4" i="24"/>
  <c r="F4" i="24"/>
  <c r="H4" i="24"/>
  <c r="J4" i="24"/>
  <c r="M4" i="24"/>
  <c r="O4" i="24"/>
  <c r="Q4" i="24"/>
  <c r="X4" i="24"/>
  <c r="Y4" i="24"/>
  <c r="AB4" i="24"/>
  <c r="AC4" i="24"/>
  <c r="T9" i="23"/>
  <c r="U7" i="23" s="1"/>
  <c r="O9" i="23"/>
  <c r="P7" i="23" s="1"/>
  <c r="J9" i="23"/>
  <c r="F9" i="23"/>
  <c r="C9" i="23"/>
  <c r="M9" i="26"/>
  <c r="L9" i="26"/>
  <c r="J9" i="26"/>
  <c r="I9" i="26"/>
  <c r="F9" i="26"/>
  <c r="H9" i="26" s="1"/>
  <c r="E9" i="26"/>
  <c r="G9" i="26" s="1"/>
  <c r="D9" i="26"/>
  <c r="B9" i="26"/>
  <c r="AJ9" i="1"/>
  <c r="AI9" i="1"/>
  <c r="AK9" i="1" s="1"/>
  <c r="E9" i="1"/>
  <c r="AA4" i="24" l="1"/>
  <c r="G7" i="23"/>
  <c r="K7" i="23"/>
  <c r="F9" i="1"/>
  <c r="Z4" i="24"/>
  <c r="K9" i="26"/>
  <c r="N9" i="26"/>
  <c r="B10" i="26"/>
  <c r="D10" i="26"/>
  <c r="E10" i="26"/>
  <c r="G10" i="26" s="1"/>
  <c r="F10" i="26"/>
  <c r="H10" i="26" s="1"/>
  <c r="I10" i="26"/>
  <c r="J10" i="26"/>
  <c r="L10" i="26"/>
  <c r="M10" i="26"/>
  <c r="N10" i="26" s="1"/>
  <c r="AJ10" i="1"/>
  <c r="AI10" i="1"/>
  <c r="E10" i="1"/>
  <c r="F10" i="1" s="1"/>
  <c r="AK10" i="1" l="1"/>
  <c r="L6" i="23"/>
  <c r="K10" i="26"/>
  <c r="R4" i="29"/>
  <c r="O4" i="29"/>
  <c r="M4" i="29"/>
  <c r="K4" i="29"/>
  <c r="I4" i="29"/>
  <c r="H4" i="29"/>
  <c r="G4" i="29"/>
  <c r="E4" i="29"/>
  <c r="D4" i="29"/>
  <c r="C4" i="29"/>
  <c r="T10" i="23"/>
  <c r="U8" i="23" s="1"/>
  <c r="O10" i="23"/>
  <c r="P8" i="23" s="1"/>
  <c r="J10" i="23"/>
  <c r="F10" i="23"/>
  <c r="C10" i="23"/>
  <c r="G8" i="23" l="1"/>
  <c r="K8" i="23"/>
  <c r="B4" i="30"/>
  <c r="D4" i="30"/>
  <c r="H4" i="30"/>
  <c r="J4" i="30"/>
  <c r="L4" i="30"/>
  <c r="N4" i="30"/>
  <c r="Q4" i="30"/>
  <c r="S4" i="30"/>
  <c r="U4" i="30"/>
  <c r="V4" i="30"/>
  <c r="W4" i="30"/>
  <c r="Y4" i="30"/>
  <c r="L7" i="23" l="1"/>
  <c r="X4" i="30"/>
  <c r="AA3" i="30" s="1"/>
  <c r="N4" i="28"/>
  <c r="M4" i="28"/>
  <c r="I4" i="28"/>
  <c r="G4" i="28"/>
  <c r="E4" i="28"/>
  <c r="C4" i="28"/>
  <c r="AA4" i="25"/>
  <c r="AC4" i="25"/>
  <c r="Y4" i="25"/>
  <c r="W4" i="25"/>
  <c r="K4" i="25"/>
  <c r="G4" i="25"/>
  <c r="Q4" i="25"/>
  <c r="N4" i="25"/>
  <c r="T4" i="25"/>
  <c r="C4" i="25"/>
  <c r="P7" i="26" l="1"/>
  <c r="Q7" i="26" s="1"/>
  <c r="T7" i="26" s="1"/>
  <c r="P8" i="26"/>
  <c r="Q8" i="26" s="1"/>
  <c r="T8" i="26" s="1"/>
  <c r="P9" i="26"/>
  <c r="Q9" i="26" s="1"/>
  <c r="T9" i="26" s="1"/>
  <c r="P6" i="26"/>
  <c r="Q6" i="26" s="1"/>
  <c r="T6" i="26" s="1"/>
  <c r="P5" i="26"/>
  <c r="Q5" i="26" s="1"/>
  <c r="K3" i="28"/>
  <c r="C44" i="32"/>
  <c r="J11" i="23"/>
  <c r="C11" i="23"/>
  <c r="T11" i="23"/>
  <c r="U9" i="23" s="1"/>
  <c r="O11" i="23"/>
  <c r="P9" i="23" s="1"/>
  <c r="F11" i="23"/>
  <c r="AJ11" i="1"/>
  <c r="AI11" i="1"/>
  <c r="E11" i="1"/>
  <c r="F11" i="1" s="1"/>
  <c r="M11" i="26"/>
  <c r="L11" i="26"/>
  <c r="J11" i="26"/>
  <c r="I11" i="26"/>
  <c r="F11" i="26"/>
  <c r="H11" i="26" s="1"/>
  <c r="E11" i="26"/>
  <c r="G11" i="26" s="1"/>
  <c r="D11" i="26"/>
  <c r="B11" i="26"/>
  <c r="AK11" i="1" l="1"/>
  <c r="K9" i="23"/>
  <c r="G9" i="23"/>
  <c r="U7" i="26"/>
  <c r="G7" i="1" s="1"/>
  <c r="H7" i="1" s="1"/>
  <c r="C11" i="32"/>
  <c r="T5" i="26"/>
  <c r="U6" i="26"/>
  <c r="G6" i="1" s="1"/>
  <c r="H6" i="1" s="1"/>
  <c r="K11" i="26"/>
  <c r="N11" i="26"/>
  <c r="O12" i="23"/>
  <c r="P10" i="23" s="1"/>
  <c r="T12" i="23"/>
  <c r="U10" i="23" s="1"/>
  <c r="J12" i="23"/>
  <c r="K10" i="23" s="1"/>
  <c r="F12" i="23"/>
  <c r="G10" i="23" s="1"/>
  <c r="C12" i="23"/>
  <c r="M12" i="26"/>
  <c r="L12" i="26"/>
  <c r="J12" i="26"/>
  <c r="I12" i="26"/>
  <c r="F12" i="26"/>
  <c r="H12" i="26" s="1"/>
  <c r="E12" i="26"/>
  <c r="G12" i="26" s="1"/>
  <c r="D12" i="26"/>
  <c r="B12" i="26"/>
  <c r="AJ12" i="1"/>
  <c r="AI12" i="1"/>
  <c r="E12" i="1"/>
  <c r="F12" i="1" s="1"/>
  <c r="AK12" i="1" l="1"/>
  <c r="U5" i="26"/>
  <c r="U4" i="26"/>
  <c r="G4" i="1" s="1"/>
  <c r="G5" i="1"/>
  <c r="H5" i="1" s="1"/>
  <c r="C13" i="32"/>
  <c r="L9" i="23"/>
  <c r="L8" i="23"/>
  <c r="K12" i="26"/>
  <c r="N12" i="26"/>
  <c r="B8" i="15"/>
  <c r="H4" i="1" l="1"/>
  <c r="E13" i="1"/>
  <c r="F13" i="1" s="1"/>
  <c r="AI13" i="1"/>
  <c r="AJ13" i="1"/>
  <c r="M13" i="26"/>
  <c r="L13" i="26"/>
  <c r="J13" i="26"/>
  <c r="I13" i="26"/>
  <c r="F13" i="26"/>
  <c r="H13" i="26" s="1"/>
  <c r="E13" i="26"/>
  <c r="G13" i="26" s="1"/>
  <c r="D13" i="26"/>
  <c r="B13" i="26"/>
  <c r="AC5" i="24"/>
  <c r="AB5" i="24"/>
  <c r="Y5" i="24"/>
  <c r="X5" i="24"/>
  <c r="Q5" i="24"/>
  <c r="O5" i="24"/>
  <c r="M5" i="24"/>
  <c r="J5" i="24"/>
  <c r="H5" i="24"/>
  <c r="F5" i="24"/>
  <c r="D5" i="24"/>
  <c r="B5" i="24"/>
  <c r="AK13" i="1" l="1"/>
  <c r="AA5" i="24"/>
  <c r="AD3" i="24"/>
  <c r="AF3" i="24" s="1"/>
  <c r="C76" i="32" s="1"/>
  <c r="N13" i="26"/>
  <c r="K13" i="26"/>
  <c r="Z5" i="24"/>
  <c r="Q256" i="30"/>
  <c r="Q257" i="30"/>
  <c r="Q258" i="30"/>
  <c r="Q259" i="30"/>
  <c r="Q260" i="30"/>
  <c r="Q261" i="30"/>
  <c r="Q262" i="30"/>
  <c r="Q263" i="30"/>
  <c r="Q264" i="30"/>
  <c r="Q265" i="30"/>
  <c r="Q266" i="30"/>
  <c r="Q267" i="30"/>
  <c r="Q268" i="30"/>
  <c r="Q269" i="30"/>
  <c r="Q270" i="30"/>
  <c r="Q271" i="30"/>
  <c r="Q272" i="30"/>
  <c r="Q273" i="30"/>
  <c r="Q274" i="30"/>
  <c r="Q275" i="30"/>
  <c r="Q276" i="30"/>
  <c r="Q277" i="30"/>
  <c r="Q278" i="30"/>
  <c r="Q279" i="30"/>
  <c r="Q280" i="30"/>
  <c r="Q281" i="30"/>
  <c r="Q282" i="30"/>
  <c r="Q283" i="30"/>
  <c r="Q284" i="30"/>
  <c r="Q285" i="30"/>
  <c r="Q286" i="30"/>
  <c r="Q287" i="30"/>
  <c r="Q288" i="30"/>
  <c r="Q289" i="30"/>
  <c r="Q290" i="30"/>
  <c r="Q291" i="30"/>
  <c r="Q292" i="30"/>
  <c r="Q293" i="30"/>
  <c r="Q294" i="30"/>
  <c r="Q295" i="30"/>
  <c r="Q296" i="30"/>
  <c r="Q297" i="30"/>
  <c r="Q298" i="30"/>
  <c r="Q299" i="30"/>
  <c r="Q300" i="30"/>
  <c r="Q301" i="30"/>
  <c r="Q302" i="30"/>
  <c r="Q303" i="30"/>
  <c r="Q304" i="30"/>
  <c r="Q305" i="30"/>
  <c r="Q306" i="30"/>
  <c r="Q307" i="30"/>
  <c r="Q308" i="30"/>
  <c r="Q309" i="30"/>
  <c r="Q310" i="30"/>
  <c r="Q311" i="30"/>
  <c r="Q312" i="30"/>
  <c r="Q313" i="30"/>
  <c r="Q314" i="30"/>
  <c r="Q315" i="30"/>
  <c r="Q316" i="30"/>
  <c r="Q317" i="30"/>
  <c r="Q318" i="30"/>
  <c r="Q319" i="30"/>
  <c r="Q320" i="30"/>
  <c r="Q321" i="30"/>
  <c r="Q322" i="30"/>
  <c r="Q323" i="30"/>
  <c r="Q324" i="30"/>
  <c r="Q325" i="30"/>
  <c r="Q326" i="30"/>
  <c r="Q327" i="30"/>
  <c r="Q328" i="30"/>
  <c r="Q329" i="30"/>
  <c r="Q330" i="30"/>
  <c r="Q331" i="30"/>
  <c r="Q332" i="30"/>
  <c r="Q333" i="30"/>
  <c r="O139" i="30"/>
  <c r="O140" i="30"/>
  <c r="O148" i="30"/>
  <c r="O171" i="30"/>
  <c r="O172" i="30"/>
  <c r="O180" i="30"/>
  <c r="O203" i="30"/>
  <c r="O204" i="30"/>
  <c r="O212" i="30"/>
  <c r="O235" i="30"/>
  <c r="O236" i="30"/>
  <c r="O244" i="30"/>
  <c r="O267" i="30"/>
  <c r="O268" i="30"/>
  <c r="O276" i="30"/>
  <c r="O299" i="30"/>
  <c r="O300" i="30"/>
  <c r="O308" i="30"/>
  <c r="O325" i="30"/>
  <c r="O331" i="30"/>
  <c r="O333" i="30"/>
  <c r="N333" i="30"/>
  <c r="N332" i="30"/>
  <c r="O332" i="30" s="1"/>
  <c r="N331" i="30"/>
  <c r="N330" i="30"/>
  <c r="O330" i="30" s="1"/>
  <c r="N329" i="30"/>
  <c r="O329" i="30" s="1"/>
  <c r="N328" i="30"/>
  <c r="O328" i="30" s="1"/>
  <c r="N327" i="30"/>
  <c r="O327" i="30" s="1"/>
  <c r="N326" i="30"/>
  <c r="O317" i="30" s="1"/>
  <c r="N325" i="30"/>
  <c r="N324" i="30"/>
  <c r="O324" i="30" s="1"/>
  <c r="N323" i="30"/>
  <c r="O323" i="30" s="1"/>
  <c r="N322" i="30"/>
  <c r="O322" i="30" s="1"/>
  <c r="N321" i="30"/>
  <c r="O321" i="30" s="1"/>
  <c r="N320" i="30"/>
  <c r="O320" i="30" s="1"/>
  <c r="N319" i="30"/>
  <c r="N318" i="30"/>
  <c r="O309" i="30" s="1"/>
  <c r="N317" i="30"/>
  <c r="N316" i="30"/>
  <c r="O316" i="30" s="1"/>
  <c r="N315" i="30"/>
  <c r="O315" i="30" s="1"/>
  <c r="N314" i="30"/>
  <c r="O314" i="30" s="1"/>
  <c r="N313" i="30"/>
  <c r="O313" i="30" s="1"/>
  <c r="N312" i="30"/>
  <c r="O312" i="30" s="1"/>
  <c r="N311" i="30"/>
  <c r="N310" i="30"/>
  <c r="O301" i="30" s="1"/>
  <c r="N309" i="30"/>
  <c r="N308" i="30"/>
  <c r="N307" i="30"/>
  <c r="O307" i="30" s="1"/>
  <c r="N306" i="30"/>
  <c r="O306" i="30" s="1"/>
  <c r="N305" i="30"/>
  <c r="O305" i="30" s="1"/>
  <c r="N304" i="30"/>
  <c r="O304" i="30" s="1"/>
  <c r="N303" i="30"/>
  <c r="N302" i="30"/>
  <c r="O293" i="30" s="1"/>
  <c r="N301" i="30"/>
  <c r="N300" i="30"/>
  <c r="N299" i="30"/>
  <c r="N298" i="30"/>
  <c r="O298" i="30" s="1"/>
  <c r="N297" i="30"/>
  <c r="O297" i="30" s="1"/>
  <c r="N296" i="30"/>
  <c r="O296" i="30" s="1"/>
  <c r="N295" i="30"/>
  <c r="N294" i="30"/>
  <c r="O285" i="30" s="1"/>
  <c r="N293" i="30"/>
  <c r="N292" i="30"/>
  <c r="O292" i="30" s="1"/>
  <c r="N291" i="30"/>
  <c r="O291" i="30" s="1"/>
  <c r="N290" i="30"/>
  <c r="O290" i="30" s="1"/>
  <c r="N289" i="30"/>
  <c r="O289" i="30" s="1"/>
  <c r="N288" i="30"/>
  <c r="O288" i="30" s="1"/>
  <c r="N287" i="30"/>
  <c r="N286" i="30"/>
  <c r="O277" i="30" s="1"/>
  <c r="N285" i="30"/>
  <c r="N284" i="30"/>
  <c r="O284" i="30" s="1"/>
  <c r="N283" i="30"/>
  <c r="O283" i="30" s="1"/>
  <c r="N282" i="30"/>
  <c r="O282" i="30" s="1"/>
  <c r="N281" i="30"/>
  <c r="O281" i="30" s="1"/>
  <c r="N280" i="30"/>
  <c r="O280" i="30" s="1"/>
  <c r="N279" i="30"/>
  <c r="N278" i="30"/>
  <c r="O269" i="30" s="1"/>
  <c r="N277" i="30"/>
  <c r="N276" i="30"/>
  <c r="N275" i="30"/>
  <c r="O275" i="30" s="1"/>
  <c r="N274" i="30"/>
  <c r="O274" i="30" s="1"/>
  <c r="N273" i="30"/>
  <c r="O273" i="30" s="1"/>
  <c r="N272" i="30"/>
  <c r="O272" i="30" s="1"/>
  <c r="N271" i="30"/>
  <c r="N270" i="30"/>
  <c r="O261" i="30" s="1"/>
  <c r="N269" i="30"/>
  <c r="N268" i="30"/>
  <c r="N267" i="30"/>
  <c r="N266" i="30"/>
  <c r="O266" i="30" s="1"/>
  <c r="N265" i="30"/>
  <c r="O265" i="30" s="1"/>
  <c r="N264" i="30"/>
  <c r="O264" i="30" s="1"/>
  <c r="N263" i="30"/>
  <c r="N262" i="30"/>
  <c r="O253" i="30" s="1"/>
  <c r="N261" i="30"/>
  <c r="N260" i="30"/>
  <c r="O260" i="30" s="1"/>
  <c r="N259" i="30"/>
  <c r="O259" i="30" s="1"/>
  <c r="N258" i="30"/>
  <c r="O258" i="30" s="1"/>
  <c r="N257" i="30"/>
  <c r="O257" i="30" s="1"/>
  <c r="N256" i="30"/>
  <c r="O256" i="30" s="1"/>
  <c r="N255" i="30"/>
  <c r="N254" i="30"/>
  <c r="O245" i="30" s="1"/>
  <c r="N253" i="30"/>
  <c r="N252" i="30"/>
  <c r="O252" i="30" s="1"/>
  <c r="N251" i="30"/>
  <c r="O251" i="30" s="1"/>
  <c r="N250" i="30"/>
  <c r="O250" i="30" s="1"/>
  <c r="N249" i="30"/>
  <c r="O249" i="30" s="1"/>
  <c r="N248" i="30"/>
  <c r="O248" i="30" s="1"/>
  <c r="N247" i="30"/>
  <c r="N246" i="30"/>
  <c r="O237" i="30" s="1"/>
  <c r="N245" i="30"/>
  <c r="N244" i="30"/>
  <c r="N243" i="30"/>
  <c r="O243" i="30" s="1"/>
  <c r="N242" i="30"/>
  <c r="O242" i="30" s="1"/>
  <c r="N241" i="30"/>
  <c r="O241" i="30" s="1"/>
  <c r="N240" i="30"/>
  <c r="O240" i="30" s="1"/>
  <c r="N239" i="30"/>
  <c r="N238" i="30"/>
  <c r="O229" i="30" s="1"/>
  <c r="N237" i="30"/>
  <c r="N236" i="30"/>
  <c r="N235" i="30"/>
  <c r="N234" i="30"/>
  <c r="O234" i="30" s="1"/>
  <c r="N233" i="30"/>
  <c r="O233" i="30" s="1"/>
  <c r="N232" i="30"/>
  <c r="O232" i="30" s="1"/>
  <c r="N231" i="30"/>
  <c r="N230" i="30"/>
  <c r="O221" i="30" s="1"/>
  <c r="N229" i="30"/>
  <c r="N228" i="30"/>
  <c r="O228" i="30" s="1"/>
  <c r="N227" i="30"/>
  <c r="O227" i="30" s="1"/>
  <c r="N226" i="30"/>
  <c r="O226" i="30" s="1"/>
  <c r="N225" i="30"/>
  <c r="O225" i="30" s="1"/>
  <c r="N224" i="30"/>
  <c r="O224" i="30" s="1"/>
  <c r="N223" i="30"/>
  <c r="N222" i="30"/>
  <c r="O213" i="30" s="1"/>
  <c r="N221" i="30"/>
  <c r="N220" i="30"/>
  <c r="O220" i="30" s="1"/>
  <c r="N219" i="30"/>
  <c r="O219" i="30" s="1"/>
  <c r="N218" i="30"/>
  <c r="O218" i="30" s="1"/>
  <c r="N217" i="30"/>
  <c r="O217" i="30" s="1"/>
  <c r="N216" i="30"/>
  <c r="O216" i="30" s="1"/>
  <c r="N215" i="30"/>
  <c r="N214" i="30"/>
  <c r="O205" i="30" s="1"/>
  <c r="N213" i="30"/>
  <c r="N212" i="30"/>
  <c r="N211" i="30"/>
  <c r="O211" i="30" s="1"/>
  <c r="N210" i="30"/>
  <c r="O210" i="30" s="1"/>
  <c r="N209" i="30"/>
  <c r="O209" i="30" s="1"/>
  <c r="N208" i="30"/>
  <c r="O208" i="30" s="1"/>
  <c r="N207" i="30"/>
  <c r="N206" i="30"/>
  <c r="O197" i="30" s="1"/>
  <c r="N205" i="30"/>
  <c r="N204" i="30"/>
  <c r="N203" i="30"/>
  <c r="N202" i="30"/>
  <c r="O202" i="30" s="1"/>
  <c r="N201" i="30"/>
  <c r="O201" i="30" s="1"/>
  <c r="N200" i="30"/>
  <c r="O200" i="30" s="1"/>
  <c r="N199" i="30"/>
  <c r="N198" i="30"/>
  <c r="O189" i="30" s="1"/>
  <c r="N197" i="30"/>
  <c r="N196" i="30"/>
  <c r="O196" i="30" s="1"/>
  <c r="N195" i="30"/>
  <c r="O195" i="30" s="1"/>
  <c r="N194" i="30"/>
  <c r="O194" i="30" s="1"/>
  <c r="N193" i="30"/>
  <c r="O193" i="30" s="1"/>
  <c r="N192" i="30"/>
  <c r="O192" i="30" s="1"/>
  <c r="N191" i="30"/>
  <c r="N190" i="30"/>
  <c r="O181" i="30" s="1"/>
  <c r="N189" i="30"/>
  <c r="N188" i="30"/>
  <c r="O188" i="30" s="1"/>
  <c r="N187" i="30"/>
  <c r="O187" i="30" s="1"/>
  <c r="N186" i="30"/>
  <c r="O186" i="30" s="1"/>
  <c r="N185" i="30"/>
  <c r="O185" i="30" s="1"/>
  <c r="N184" i="30"/>
  <c r="O184" i="30" s="1"/>
  <c r="N183" i="30"/>
  <c r="N182" i="30"/>
  <c r="O173" i="30" s="1"/>
  <c r="N181" i="30"/>
  <c r="N180" i="30"/>
  <c r="N179" i="30"/>
  <c r="O179" i="30" s="1"/>
  <c r="N178" i="30"/>
  <c r="O178" i="30" s="1"/>
  <c r="N177" i="30"/>
  <c r="O177" i="30" s="1"/>
  <c r="N176" i="30"/>
  <c r="O176" i="30" s="1"/>
  <c r="N175" i="30"/>
  <c r="N174" i="30"/>
  <c r="O165" i="30" s="1"/>
  <c r="N173" i="30"/>
  <c r="N172" i="30"/>
  <c r="N171" i="30"/>
  <c r="N170" i="30"/>
  <c r="O170" i="30" s="1"/>
  <c r="N169" i="30"/>
  <c r="O169" i="30" s="1"/>
  <c r="N168" i="30"/>
  <c r="O168" i="30" s="1"/>
  <c r="N167" i="30"/>
  <c r="N166" i="30"/>
  <c r="O157" i="30" s="1"/>
  <c r="N165" i="30"/>
  <c r="N164" i="30"/>
  <c r="O164" i="30" s="1"/>
  <c r="N163" i="30"/>
  <c r="O163" i="30" s="1"/>
  <c r="N162" i="30"/>
  <c r="O162" i="30" s="1"/>
  <c r="N161" i="30"/>
  <c r="O161" i="30" s="1"/>
  <c r="N160" i="30"/>
  <c r="O160" i="30" s="1"/>
  <c r="N159" i="30"/>
  <c r="N158" i="30"/>
  <c r="O149" i="30" s="1"/>
  <c r="N157" i="30"/>
  <c r="N156" i="30"/>
  <c r="O156" i="30" s="1"/>
  <c r="N155" i="30"/>
  <c r="O155" i="30" s="1"/>
  <c r="N154" i="30"/>
  <c r="O154" i="30" s="1"/>
  <c r="N153" i="30"/>
  <c r="O153" i="30" s="1"/>
  <c r="N152" i="30"/>
  <c r="O152" i="30" s="1"/>
  <c r="N151" i="30"/>
  <c r="N150" i="30"/>
  <c r="O150" i="30" s="1"/>
  <c r="N149" i="30"/>
  <c r="N148" i="30"/>
  <c r="N147" i="30"/>
  <c r="O147" i="30" s="1"/>
  <c r="N146" i="30"/>
  <c r="O146" i="30" s="1"/>
  <c r="N145" i="30"/>
  <c r="O145" i="30" s="1"/>
  <c r="N144" i="30"/>
  <c r="O144" i="30" s="1"/>
  <c r="N143" i="30"/>
  <c r="N142" i="30"/>
  <c r="O142" i="30" s="1"/>
  <c r="N141" i="30"/>
  <c r="N140" i="30"/>
  <c r="N139" i="30"/>
  <c r="N138" i="30"/>
  <c r="O138" i="30" s="1"/>
  <c r="N137" i="30"/>
  <c r="O137" i="30" s="1"/>
  <c r="N136" i="30"/>
  <c r="O136" i="30" s="1"/>
  <c r="N135" i="30"/>
  <c r="N134" i="30"/>
  <c r="O134" i="30" s="1"/>
  <c r="N133" i="30"/>
  <c r="N132" i="30"/>
  <c r="O132" i="30" s="1"/>
  <c r="N131" i="30"/>
  <c r="O131" i="30" s="1"/>
  <c r="N130" i="30"/>
  <c r="O130" i="30" s="1"/>
  <c r="N129" i="30"/>
  <c r="O129" i="30" s="1"/>
  <c r="N128" i="30"/>
  <c r="O128" i="30" s="1"/>
  <c r="N127" i="30"/>
  <c r="N126" i="30"/>
  <c r="O126" i="30" s="1"/>
  <c r="N125" i="30"/>
  <c r="N124" i="30"/>
  <c r="O124" i="30" s="1"/>
  <c r="N123" i="30"/>
  <c r="O123" i="30" s="1"/>
  <c r="N122" i="30"/>
  <c r="O122" i="30" s="1"/>
  <c r="N121" i="30"/>
  <c r="O121" i="30" s="1"/>
  <c r="N120" i="30"/>
  <c r="O120" i="30" s="1"/>
  <c r="N119" i="30"/>
  <c r="N118" i="30"/>
  <c r="O118" i="30" s="1"/>
  <c r="N117" i="30"/>
  <c r="N116" i="30"/>
  <c r="O116" i="30" s="1"/>
  <c r="N115" i="30"/>
  <c r="O115" i="30" s="1"/>
  <c r="N114" i="30"/>
  <c r="O114" i="30" s="1"/>
  <c r="N113" i="30"/>
  <c r="O113" i="30" s="1"/>
  <c r="N112" i="30"/>
  <c r="O112" i="30" s="1"/>
  <c r="N111" i="30"/>
  <c r="N110" i="30"/>
  <c r="O110" i="30" s="1"/>
  <c r="N109" i="30"/>
  <c r="N108" i="30"/>
  <c r="O108" i="30" s="1"/>
  <c r="N107" i="30"/>
  <c r="O107" i="30" s="1"/>
  <c r="N106" i="30"/>
  <c r="O106" i="30" s="1"/>
  <c r="N105" i="30"/>
  <c r="O105" i="30" s="1"/>
  <c r="N104" i="30"/>
  <c r="O104" i="30" s="1"/>
  <c r="N103" i="30"/>
  <c r="N102" i="30"/>
  <c r="O102" i="30" s="1"/>
  <c r="N101" i="30"/>
  <c r="N100" i="30"/>
  <c r="O100" i="30" s="1"/>
  <c r="N99" i="30"/>
  <c r="O99" i="30" s="1"/>
  <c r="N98" i="30"/>
  <c r="O98" i="30" s="1"/>
  <c r="N97" i="30"/>
  <c r="O97" i="30" s="1"/>
  <c r="N96" i="30"/>
  <c r="O96" i="30" s="1"/>
  <c r="N95" i="30"/>
  <c r="N94" i="30"/>
  <c r="O94" i="30" s="1"/>
  <c r="N93" i="30"/>
  <c r="N92" i="30"/>
  <c r="O92" i="30" s="1"/>
  <c r="N91" i="30"/>
  <c r="O91" i="30" s="1"/>
  <c r="N90" i="30"/>
  <c r="O90" i="30" s="1"/>
  <c r="N89" i="30"/>
  <c r="O89" i="30" s="1"/>
  <c r="N88" i="30"/>
  <c r="O88" i="30" s="1"/>
  <c r="N87" i="30"/>
  <c r="N86" i="30"/>
  <c r="O86" i="30" s="1"/>
  <c r="N85" i="30"/>
  <c r="N84" i="30"/>
  <c r="O84" i="30" s="1"/>
  <c r="N83" i="30"/>
  <c r="O83" i="30" s="1"/>
  <c r="N82" i="30"/>
  <c r="O82" i="30" s="1"/>
  <c r="N81" i="30"/>
  <c r="O81" i="30" s="1"/>
  <c r="N80" i="30"/>
  <c r="O80" i="30" s="1"/>
  <c r="N79" i="30"/>
  <c r="N78" i="30"/>
  <c r="O78" i="30" s="1"/>
  <c r="N77" i="30"/>
  <c r="N76" i="30"/>
  <c r="O76" i="30" s="1"/>
  <c r="N75" i="30"/>
  <c r="O75" i="30" s="1"/>
  <c r="N74" i="30"/>
  <c r="O74" i="30" s="1"/>
  <c r="N73" i="30"/>
  <c r="O73" i="30" s="1"/>
  <c r="N72" i="30"/>
  <c r="O72" i="30" s="1"/>
  <c r="N71" i="30"/>
  <c r="N70" i="30"/>
  <c r="O70" i="30" s="1"/>
  <c r="N69" i="30"/>
  <c r="N68" i="30"/>
  <c r="O68" i="30" s="1"/>
  <c r="N67" i="30"/>
  <c r="O67" i="30" s="1"/>
  <c r="N66" i="30"/>
  <c r="O66" i="30" s="1"/>
  <c r="N65" i="30"/>
  <c r="O65" i="30" s="1"/>
  <c r="N64" i="30"/>
  <c r="O64" i="30" s="1"/>
  <c r="N63" i="30"/>
  <c r="N62" i="30"/>
  <c r="O62" i="30" s="1"/>
  <c r="N61" i="30"/>
  <c r="N60" i="30"/>
  <c r="O60" i="30" s="1"/>
  <c r="N59" i="30"/>
  <c r="O59" i="30" s="1"/>
  <c r="N58" i="30"/>
  <c r="O58" i="30" s="1"/>
  <c r="N57" i="30"/>
  <c r="O57" i="30" s="1"/>
  <c r="N56" i="30"/>
  <c r="O56" i="30" s="1"/>
  <c r="N55" i="30"/>
  <c r="N54" i="30"/>
  <c r="O54" i="30" s="1"/>
  <c r="N53" i="30"/>
  <c r="N52" i="30"/>
  <c r="O52" i="30" s="1"/>
  <c r="N51" i="30"/>
  <c r="O51" i="30" s="1"/>
  <c r="N50" i="30"/>
  <c r="O50" i="30" s="1"/>
  <c r="N49" i="30"/>
  <c r="O49" i="30" s="1"/>
  <c r="N48" i="30"/>
  <c r="O48" i="30" s="1"/>
  <c r="N47" i="30"/>
  <c r="N46" i="30"/>
  <c r="O46" i="30" s="1"/>
  <c r="N45" i="30"/>
  <c r="N44" i="30"/>
  <c r="O44" i="30" s="1"/>
  <c r="N43" i="30"/>
  <c r="O43" i="30" s="1"/>
  <c r="N42" i="30"/>
  <c r="O42" i="30" s="1"/>
  <c r="N41" i="30"/>
  <c r="O41" i="30" s="1"/>
  <c r="N40" i="30"/>
  <c r="O40" i="30" s="1"/>
  <c r="N39" i="30"/>
  <c r="N38" i="30"/>
  <c r="O38" i="30" s="1"/>
  <c r="N37" i="30"/>
  <c r="N36" i="30"/>
  <c r="O36" i="30" s="1"/>
  <c r="N35" i="30"/>
  <c r="O35" i="30" s="1"/>
  <c r="N34" i="30"/>
  <c r="O34" i="30" s="1"/>
  <c r="N33" i="30"/>
  <c r="O33" i="30" s="1"/>
  <c r="N32" i="30"/>
  <c r="O32" i="30" s="1"/>
  <c r="N31" i="30"/>
  <c r="N30" i="30"/>
  <c r="O30" i="30" s="1"/>
  <c r="N29" i="30"/>
  <c r="N28" i="30"/>
  <c r="O28" i="30" s="1"/>
  <c r="N27" i="30"/>
  <c r="O27" i="30" s="1"/>
  <c r="N26" i="30"/>
  <c r="O26" i="30" s="1"/>
  <c r="N25" i="30"/>
  <c r="O25" i="30" s="1"/>
  <c r="N24" i="30"/>
  <c r="O24" i="30" s="1"/>
  <c r="N23" i="30"/>
  <c r="N22" i="30"/>
  <c r="O22" i="30" s="1"/>
  <c r="N21" i="30"/>
  <c r="N20" i="30"/>
  <c r="O20" i="30" s="1"/>
  <c r="N19" i="30"/>
  <c r="O19" i="30" s="1"/>
  <c r="N18" i="30"/>
  <c r="O18" i="30" s="1"/>
  <c r="N17" i="30"/>
  <c r="O17" i="30" s="1"/>
  <c r="N16" i="30"/>
  <c r="O16" i="30" s="1"/>
  <c r="N15" i="30"/>
  <c r="N14" i="30"/>
  <c r="O14" i="30" s="1"/>
  <c r="N13" i="30"/>
  <c r="O4" i="30" s="1"/>
  <c r="Z4" i="30" s="1"/>
  <c r="N12" i="30"/>
  <c r="O3" i="30" s="1"/>
  <c r="Z3" i="30" s="1"/>
  <c r="N11" i="30"/>
  <c r="O11" i="30" s="1"/>
  <c r="N10" i="30"/>
  <c r="O10" i="30" s="1"/>
  <c r="N9" i="30"/>
  <c r="O9" i="30" s="1"/>
  <c r="N8" i="30"/>
  <c r="O8" i="30" s="1"/>
  <c r="N7" i="30"/>
  <c r="N6" i="30"/>
  <c r="O6" i="30" s="1"/>
  <c r="N5" i="30"/>
  <c r="T13" i="23"/>
  <c r="U11" i="23" s="1"/>
  <c r="O13" i="23"/>
  <c r="P11" i="23" s="1"/>
  <c r="J13" i="23"/>
  <c r="F13" i="23"/>
  <c r="C13" i="23"/>
  <c r="R5" i="29"/>
  <c r="O5" i="29"/>
  <c r="M5" i="29"/>
  <c r="K5" i="29"/>
  <c r="I5" i="29"/>
  <c r="H5" i="29"/>
  <c r="G5" i="29"/>
  <c r="E5" i="29"/>
  <c r="D5" i="29"/>
  <c r="C5" i="29"/>
  <c r="O21" i="30" l="1"/>
  <c r="O29" i="30"/>
  <c r="O37" i="30"/>
  <c r="O45" i="30"/>
  <c r="O53" i="30"/>
  <c r="O61" i="30"/>
  <c r="O69" i="30"/>
  <c r="O77" i="30"/>
  <c r="O85" i="30"/>
  <c r="O93" i="30"/>
  <c r="O101" i="30"/>
  <c r="O109" i="30"/>
  <c r="O117" i="30"/>
  <c r="O125" i="30"/>
  <c r="O133" i="30"/>
  <c r="O141" i="30"/>
  <c r="O7" i="30"/>
  <c r="O15" i="30"/>
  <c r="O23" i="30"/>
  <c r="O31" i="30"/>
  <c r="O39" i="30"/>
  <c r="O47" i="30"/>
  <c r="O55" i="30"/>
  <c r="O63" i="30"/>
  <c r="O71" i="30"/>
  <c r="O79" i="30"/>
  <c r="O87" i="30"/>
  <c r="O95" i="30"/>
  <c r="O103" i="30"/>
  <c r="O111" i="30"/>
  <c r="O119" i="30"/>
  <c r="O127" i="30"/>
  <c r="O135" i="30"/>
  <c r="O143" i="30"/>
  <c r="O151" i="30"/>
  <c r="O159" i="30"/>
  <c r="O167" i="30"/>
  <c r="O175" i="30"/>
  <c r="O183" i="30"/>
  <c r="O191" i="30"/>
  <c r="O199" i="30"/>
  <c r="O207" i="30"/>
  <c r="O215" i="30"/>
  <c r="O223" i="30"/>
  <c r="O231" i="30"/>
  <c r="O239" i="30"/>
  <c r="O247" i="30"/>
  <c r="O255" i="30"/>
  <c r="O263" i="30"/>
  <c r="O271" i="30"/>
  <c r="O279" i="30"/>
  <c r="O287" i="30"/>
  <c r="O295" i="30"/>
  <c r="O303" i="30"/>
  <c r="O311" i="30"/>
  <c r="O319" i="30"/>
  <c r="C43" i="32"/>
  <c r="AB3" i="30"/>
  <c r="K11" i="23"/>
  <c r="D37" i="32"/>
  <c r="E37" i="32" s="1"/>
  <c r="F37" i="32" s="1"/>
  <c r="O5" i="30"/>
  <c r="O326" i="30"/>
  <c r="O318" i="30"/>
  <c r="O310" i="30"/>
  <c r="O302" i="30"/>
  <c r="O294" i="30"/>
  <c r="O286" i="30"/>
  <c r="O278" i="30"/>
  <c r="O270" i="30"/>
  <c r="O262" i="30"/>
  <c r="O254" i="30"/>
  <c r="O246" i="30"/>
  <c r="O238" i="30"/>
  <c r="O230" i="30"/>
  <c r="O222" i="30"/>
  <c r="O214" i="30"/>
  <c r="O206" i="30"/>
  <c r="O198" i="30"/>
  <c r="O190" i="30"/>
  <c r="O182" i="30"/>
  <c r="O174" i="30"/>
  <c r="O166" i="30"/>
  <c r="O158" i="30"/>
  <c r="O13" i="30"/>
  <c r="O12" i="30"/>
  <c r="G11" i="23"/>
  <c r="F15" i="23"/>
  <c r="G15" i="23" s="1"/>
  <c r="F16" i="23"/>
  <c r="F17" i="23"/>
  <c r="F18" i="23"/>
  <c r="F19" i="23"/>
  <c r="F20" i="23"/>
  <c r="F21" i="23"/>
  <c r="F22" i="23"/>
  <c r="F23" i="23"/>
  <c r="G23" i="23" s="1"/>
  <c r="F24" i="23"/>
  <c r="F25" i="23"/>
  <c r="F26" i="23"/>
  <c r="F27" i="23"/>
  <c r="F28" i="23"/>
  <c r="F29" i="23"/>
  <c r="F30" i="23"/>
  <c r="F31" i="23"/>
  <c r="G31" i="23" s="1"/>
  <c r="F32" i="23"/>
  <c r="F33" i="23"/>
  <c r="F34" i="23"/>
  <c r="F35" i="23"/>
  <c r="F36" i="23"/>
  <c r="F37" i="23"/>
  <c r="F38" i="23"/>
  <c r="F39" i="23"/>
  <c r="G39" i="23" s="1"/>
  <c r="F40" i="23"/>
  <c r="F41" i="23"/>
  <c r="F42" i="23"/>
  <c r="F43" i="23"/>
  <c r="F44" i="23"/>
  <c r="F45" i="23"/>
  <c r="F46" i="23"/>
  <c r="F47" i="23"/>
  <c r="G47" i="23" s="1"/>
  <c r="F48" i="23"/>
  <c r="F49" i="23"/>
  <c r="F50" i="23"/>
  <c r="F51" i="23"/>
  <c r="F52" i="23"/>
  <c r="F53" i="23"/>
  <c r="F54" i="23"/>
  <c r="F55" i="23"/>
  <c r="G55" i="23" s="1"/>
  <c r="F56" i="23"/>
  <c r="F57" i="23"/>
  <c r="F58" i="23"/>
  <c r="F59" i="23"/>
  <c r="F60" i="23"/>
  <c r="F61" i="23"/>
  <c r="F62" i="23"/>
  <c r="F63" i="23"/>
  <c r="G63" i="23" s="1"/>
  <c r="F64" i="23"/>
  <c r="F65" i="23"/>
  <c r="F66" i="23"/>
  <c r="F67" i="23"/>
  <c r="F68" i="23"/>
  <c r="F69" i="23"/>
  <c r="F70" i="23"/>
  <c r="F71" i="23"/>
  <c r="G71" i="23" s="1"/>
  <c r="F72" i="23"/>
  <c r="F73" i="23"/>
  <c r="F74" i="23"/>
  <c r="F75" i="23"/>
  <c r="F76" i="23"/>
  <c r="F77" i="23"/>
  <c r="F78" i="23"/>
  <c r="F79" i="23"/>
  <c r="G79" i="23" s="1"/>
  <c r="F80" i="23"/>
  <c r="F81" i="23"/>
  <c r="F82" i="23"/>
  <c r="F83" i="23"/>
  <c r="F84" i="23"/>
  <c r="F85" i="23"/>
  <c r="F86" i="23"/>
  <c r="F87" i="23"/>
  <c r="G87" i="23" s="1"/>
  <c r="F88" i="23"/>
  <c r="F89" i="23"/>
  <c r="F90" i="23"/>
  <c r="F91" i="23"/>
  <c r="F92" i="23"/>
  <c r="F93" i="23"/>
  <c r="F94" i="23"/>
  <c r="F95" i="23"/>
  <c r="G95" i="23" s="1"/>
  <c r="F96" i="23"/>
  <c r="F97" i="23"/>
  <c r="F98" i="23"/>
  <c r="F99" i="23"/>
  <c r="F100" i="23"/>
  <c r="F101" i="23"/>
  <c r="F102" i="23"/>
  <c r="F103" i="23"/>
  <c r="G103" i="23" s="1"/>
  <c r="F104" i="23"/>
  <c r="F105" i="23"/>
  <c r="F106" i="23"/>
  <c r="F107" i="23"/>
  <c r="F108" i="23"/>
  <c r="F109" i="23"/>
  <c r="F110" i="23"/>
  <c r="F111" i="23"/>
  <c r="G111" i="23" s="1"/>
  <c r="F112" i="23"/>
  <c r="F113" i="23"/>
  <c r="F114" i="23"/>
  <c r="F115" i="23"/>
  <c r="F116" i="23"/>
  <c r="F117" i="23"/>
  <c r="F118" i="23"/>
  <c r="F119" i="23"/>
  <c r="G119" i="23" s="1"/>
  <c r="F120" i="23"/>
  <c r="F121" i="23"/>
  <c r="F122" i="23"/>
  <c r="F123" i="23"/>
  <c r="F124" i="23"/>
  <c r="F125" i="23"/>
  <c r="F126" i="23"/>
  <c r="F127" i="23"/>
  <c r="G127" i="23" s="1"/>
  <c r="F128" i="23"/>
  <c r="F129" i="23"/>
  <c r="F130" i="23"/>
  <c r="F131" i="23"/>
  <c r="F132" i="23"/>
  <c r="F133" i="23"/>
  <c r="F134" i="23"/>
  <c r="F135" i="23"/>
  <c r="G135" i="23" s="1"/>
  <c r="F136" i="23"/>
  <c r="F137" i="23"/>
  <c r="F138" i="23"/>
  <c r="F139" i="23"/>
  <c r="F140" i="23"/>
  <c r="F141" i="23"/>
  <c r="F142" i="23"/>
  <c r="F143" i="23"/>
  <c r="G143" i="23" s="1"/>
  <c r="F144" i="23"/>
  <c r="F145" i="23"/>
  <c r="F146" i="23"/>
  <c r="F147" i="23"/>
  <c r="F148" i="23"/>
  <c r="F149" i="23"/>
  <c r="F150" i="23"/>
  <c r="F151" i="23"/>
  <c r="G151" i="23" s="1"/>
  <c r="F152" i="23"/>
  <c r="F153" i="23"/>
  <c r="F154" i="23"/>
  <c r="F155" i="23"/>
  <c r="F156" i="23"/>
  <c r="F157" i="23"/>
  <c r="F158" i="23"/>
  <c r="F159" i="23"/>
  <c r="G159" i="23" s="1"/>
  <c r="F160" i="23"/>
  <c r="F161" i="23"/>
  <c r="F162" i="23"/>
  <c r="F163" i="23"/>
  <c r="F164" i="23"/>
  <c r="F165" i="23"/>
  <c r="F166" i="23"/>
  <c r="F167" i="23"/>
  <c r="G167" i="23" s="1"/>
  <c r="F168" i="23"/>
  <c r="F169" i="23"/>
  <c r="F170" i="23"/>
  <c r="F171" i="23"/>
  <c r="F172" i="23"/>
  <c r="F173" i="23"/>
  <c r="F174" i="23"/>
  <c r="F175" i="23"/>
  <c r="G175" i="23" s="1"/>
  <c r="F176" i="23"/>
  <c r="F177" i="23"/>
  <c r="F178" i="23"/>
  <c r="F179" i="23"/>
  <c r="F180" i="23"/>
  <c r="F181" i="23"/>
  <c r="F182" i="23"/>
  <c r="F183" i="23"/>
  <c r="G183" i="23" s="1"/>
  <c r="F184" i="23"/>
  <c r="F185" i="23"/>
  <c r="F186" i="23"/>
  <c r="F187" i="23"/>
  <c r="F188" i="23"/>
  <c r="F189" i="23"/>
  <c r="F190" i="23"/>
  <c r="F191" i="23"/>
  <c r="G191" i="23" s="1"/>
  <c r="F192" i="23"/>
  <c r="F193" i="23"/>
  <c r="F194" i="23"/>
  <c r="F195" i="23"/>
  <c r="F196" i="23"/>
  <c r="F197" i="23"/>
  <c r="F198" i="23"/>
  <c r="F199" i="23"/>
  <c r="G199" i="23" s="1"/>
  <c r="F200" i="23"/>
  <c r="F201" i="23"/>
  <c r="F202" i="23"/>
  <c r="F203" i="23"/>
  <c r="F204" i="23"/>
  <c r="F205" i="23"/>
  <c r="F206" i="23"/>
  <c r="G206" i="23" s="1"/>
  <c r="F207" i="23"/>
  <c r="G207" i="23" s="1"/>
  <c r="F208" i="23"/>
  <c r="F209" i="23"/>
  <c r="F210" i="23"/>
  <c r="F211" i="23"/>
  <c r="F212" i="23"/>
  <c r="F213" i="23"/>
  <c r="F214" i="23"/>
  <c r="F215" i="23"/>
  <c r="G215" i="23" s="1"/>
  <c r="F216" i="23"/>
  <c r="F217" i="23"/>
  <c r="F218" i="23"/>
  <c r="F219" i="23"/>
  <c r="F220" i="23"/>
  <c r="F221" i="23"/>
  <c r="F222" i="23"/>
  <c r="F223" i="23"/>
  <c r="G223" i="23" s="1"/>
  <c r="F224" i="23"/>
  <c r="F225" i="23"/>
  <c r="F226" i="23"/>
  <c r="F227" i="23"/>
  <c r="F228" i="23"/>
  <c r="F229" i="23"/>
  <c r="F230" i="23"/>
  <c r="F231" i="23"/>
  <c r="G231" i="23" s="1"/>
  <c r="F232" i="23"/>
  <c r="F233" i="23"/>
  <c r="F234" i="23"/>
  <c r="F235" i="23"/>
  <c r="F236" i="23"/>
  <c r="F237" i="23"/>
  <c r="F238" i="23"/>
  <c r="F239" i="23"/>
  <c r="G239" i="23" s="1"/>
  <c r="F240" i="23"/>
  <c r="F241" i="23"/>
  <c r="F242" i="23"/>
  <c r="F243" i="23"/>
  <c r="F244" i="23"/>
  <c r="F245" i="23"/>
  <c r="F246" i="23"/>
  <c r="F247" i="23"/>
  <c r="G247" i="23" s="1"/>
  <c r="F248" i="23"/>
  <c r="F249" i="23"/>
  <c r="F250" i="23"/>
  <c r="F251" i="23"/>
  <c r="F252" i="23"/>
  <c r="F253" i="23"/>
  <c r="F254" i="23"/>
  <c r="F255" i="23"/>
  <c r="G255" i="23" s="1"/>
  <c r="F256" i="23"/>
  <c r="F257" i="23"/>
  <c r="F258" i="23"/>
  <c r="F259" i="23"/>
  <c r="F260" i="23"/>
  <c r="F261" i="23"/>
  <c r="F262" i="23"/>
  <c r="F263" i="23"/>
  <c r="G263" i="23" s="1"/>
  <c r="F264" i="23"/>
  <c r="F265" i="23"/>
  <c r="F266" i="23"/>
  <c r="F267" i="23"/>
  <c r="F268" i="23"/>
  <c r="F269" i="23"/>
  <c r="F270" i="23"/>
  <c r="F271" i="23"/>
  <c r="G271" i="23" s="1"/>
  <c r="F272" i="23"/>
  <c r="F273" i="23"/>
  <c r="F274" i="23"/>
  <c r="F275" i="23"/>
  <c r="F276" i="23"/>
  <c r="F277" i="23"/>
  <c r="F278" i="23"/>
  <c r="F279" i="23"/>
  <c r="G279" i="23" s="1"/>
  <c r="F280" i="23"/>
  <c r="F281" i="23"/>
  <c r="F282" i="23"/>
  <c r="F283" i="23"/>
  <c r="F284" i="23"/>
  <c r="F285" i="23"/>
  <c r="F286" i="23"/>
  <c r="F287" i="23"/>
  <c r="G287" i="23" s="1"/>
  <c r="F288" i="23"/>
  <c r="F289" i="23"/>
  <c r="F290" i="23"/>
  <c r="F291" i="23"/>
  <c r="F292" i="23"/>
  <c r="F293" i="23"/>
  <c r="F294" i="23"/>
  <c r="F295" i="23"/>
  <c r="G295" i="23" s="1"/>
  <c r="F296" i="23"/>
  <c r="F297" i="23"/>
  <c r="F298" i="23"/>
  <c r="F299" i="23"/>
  <c r="F300" i="23"/>
  <c r="F301" i="23"/>
  <c r="F302" i="23"/>
  <c r="F303" i="23"/>
  <c r="G303" i="23" s="1"/>
  <c r="F304" i="23"/>
  <c r="F305" i="23"/>
  <c r="F306" i="23"/>
  <c r="F307" i="23"/>
  <c r="F308" i="23"/>
  <c r="F309" i="23"/>
  <c r="F310" i="23"/>
  <c r="F311" i="23"/>
  <c r="G311" i="23" s="1"/>
  <c r="F312" i="23"/>
  <c r="F313" i="23"/>
  <c r="F314" i="23"/>
  <c r="F315" i="23"/>
  <c r="F316" i="23"/>
  <c r="F317" i="23"/>
  <c r="F318" i="23"/>
  <c r="F319" i="23"/>
  <c r="G319" i="23" s="1"/>
  <c r="F320" i="23"/>
  <c r="F321" i="23"/>
  <c r="F322" i="23"/>
  <c r="F323" i="23"/>
  <c r="F324" i="23"/>
  <c r="F325" i="23"/>
  <c r="F326" i="23"/>
  <c r="F327" i="23"/>
  <c r="G327" i="23" s="1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G422" i="23" s="1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G812" i="23" s="1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896" i="23"/>
  <c r="F897" i="23"/>
  <c r="F898" i="23"/>
  <c r="F899" i="23"/>
  <c r="F900" i="23"/>
  <c r="F901" i="23"/>
  <c r="F902" i="23"/>
  <c r="F903" i="23"/>
  <c r="F904" i="23"/>
  <c r="F905" i="23"/>
  <c r="F906" i="23"/>
  <c r="F907" i="23"/>
  <c r="F908" i="23"/>
  <c r="F909" i="23"/>
  <c r="F910" i="23"/>
  <c r="F911" i="23"/>
  <c r="F912" i="23"/>
  <c r="F913" i="23"/>
  <c r="F914" i="23"/>
  <c r="F915" i="23"/>
  <c r="F916" i="23"/>
  <c r="F917" i="23"/>
  <c r="F918" i="23"/>
  <c r="F919" i="23"/>
  <c r="F920" i="23"/>
  <c r="F921" i="23"/>
  <c r="F922" i="23"/>
  <c r="F923" i="23"/>
  <c r="F924" i="23"/>
  <c r="F925" i="23"/>
  <c r="F926" i="23"/>
  <c r="F927" i="23"/>
  <c r="F928" i="23"/>
  <c r="F929" i="23"/>
  <c r="F930" i="23"/>
  <c r="F931" i="23"/>
  <c r="F932" i="23"/>
  <c r="F933" i="23"/>
  <c r="F934" i="23"/>
  <c r="F935" i="23"/>
  <c r="F936" i="23"/>
  <c r="F937" i="23"/>
  <c r="F938" i="23"/>
  <c r="F939" i="23"/>
  <c r="F940" i="23"/>
  <c r="F941" i="23"/>
  <c r="F942" i="23"/>
  <c r="F943" i="23"/>
  <c r="G943" i="23" s="1"/>
  <c r="F944" i="23"/>
  <c r="F945" i="23"/>
  <c r="F946" i="23"/>
  <c r="F947" i="23"/>
  <c r="F948" i="23"/>
  <c r="F949" i="23"/>
  <c r="F950" i="23"/>
  <c r="F951" i="23"/>
  <c r="F952" i="23"/>
  <c r="F953" i="23"/>
  <c r="F954" i="23"/>
  <c r="F955" i="23"/>
  <c r="F956" i="23"/>
  <c r="F957" i="23"/>
  <c r="F958" i="23"/>
  <c r="F959" i="23"/>
  <c r="G959" i="23" s="1"/>
  <c r="F960" i="23"/>
  <c r="F961" i="23"/>
  <c r="F962" i="23"/>
  <c r="F963" i="23"/>
  <c r="F964" i="23"/>
  <c r="F965" i="23"/>
  <c r="F966" i="23"/>
  <c r="F967" i="23"/>
  <c r="F968" i="23"/>
  <c r="F969" i="23"/>
  <c r="F970" i="23"/>
  <c r="F971" i="23"/>
  <c r="F972" i="23"/>
  <c r="F973" i="23"/>
  <c r="F974" i="23"/>
  <c r="F975" i="23"/>
  <c r="G975" i="23" s="1"/>
  <c r="F976" i="23"/>
  <c r="F977" i="23"/>
  <c r="F978" i="23"/>
  <c r="F979" i="23"/>
  <c r="F980" i="23"/>
  <c r="F981" i="23"/>
  <c r="F982" i="23"/>
  <c r="F983" i="23"/>
  <c r="F984" i="23"/>
  <c r="F985" i="23"/>
  <c r="F986" i="23"/>
  <c r="F987" i="23"/>
  <c r="F988" i="23"/>
  <c r="F989" i="23"/>
  <c r="F990" i="23"/>
  <c r="F991" i="23"/>
  <c r="F992" i="23"/>
  <c r="F993" i="23"/>
  <c r="F994" i="23"/>
  <c r="F995" i="23"/>
  <c r="F996" i="23"/>
  <c r="F997" i="23"/>
  <c r="F998" i="23"/>
  <c r="F999" i="23"/>
  <c r="F1000" i="23"/>
  <c r="F1001" i="23"/>
  <c r="F1002" i="23"/>
  <c r="F1003" i="23"/>
  <c r="F1004" i="23"/>
  <c r="F1005" i="23"/>
  <c r="F1006" i="23"/>
  <c r="F1007" i="23"/>
  <c r="G1007" i="23" s="1"/>
  <c r="F1008" i="23"/>
  <c r="F1009" i="23"/>
  <c r="F1010" i="23"/>
  <c r="F1011" i="23"/>
  <c r="F1012" i="23"/>
  <c r="F1013" i="23"/>
  <c r="F1014" i="23"/>
  <c r="F1015" i="23"/>
  <c r="F1016" i="23"/>
  <c r="F1017" i="23"/>
  <c r="F1018" i="23"/>
  <c r="F1019" i="23"/>
  <c r="F1020" i="23"/>
  <c r="F1021" i="23"/>
  <c r="F1022" i="23"/>
  <c r="F1023" i="23"/>
  <c r="G1023" i="23" s="1"/>
  <c r="F1024" i="23"/>
  <c r="F1025" i="23"/>
  <c r="F1026" i="23"/>
  <c r="F1027" i="23"/>
  <c r="F1028" i="23"/>
  <c r="F1029" i="23"/>
  <c r="F1030" i="23"/>
  <c r="F1031" i="23"/>
  <c r="F1032" i="23"/>
  <c r="F1033" i="23"/>
  <c r="F1034" i="23"/>
  <c r="F1035" i="23"/>
  <c r="F1036" i="23"/>
  <c r="F1037" i="23"/>
  <c r="F1038" i="23"/>
  <c r="F1039" i="23"/>
  <c r="G1039" i="23" s="1"/>
  <c r="F1040" i="23"/>
  <c r="F1041" i="23"/>
  <c r="F1042" i="23"/>
  <c r="F1043" i="23"/>
  <c r="F1044" i="23"/>
  <c r="F1045" i="23"/>
  <c r="F1046" i="23"/>
  <c r="F1047" i="23"/>
  <c r="F1048" i="23"/>
  <c r="F1049" i="23"/>
  <c r="F1050" i="23"/>
  <c r="F1051" i="23"/>
  <c r="F1052" i="23"/>
  <c r="F1053" i="23"/>
  <c r="F1054" i="23"/>
  <c r="F1055" i="23"/>
  <c r="F1056" i="23"/>
  <c r="F1057" i="23"/>
  <c r="F1058" i="23"/>
  <c r="F1059" i="23"/>
  <c r="F1060" i="23"/>
  <c r="F1061" i="23"/>
  <c r="F1062" i="23"/>
  <c r="F1063" i="23"/>
  <c r="F1064" i="23"/>
  <c r="F1065" i="23"/>
  <c r="F1066" i="23"/>
  <c r="F1067" i="23"/>
  <c r="F1068" i="23"/>
  <c r="F1069" i="23"/>
  <c r="F1070" i="23"/>
  <c r="F1071" i="23"/>
  <c r="G1071" i="23" s="1"/>
  <c r="F1072" i="23"/>
  <c r="F1073" i="23"/>
  <c r="F1074" i="23"/>
  <c r="F1075" i="23"/>
  <c r="F1076" i="23"/>
  <c r="F1077" i="23"/>
  <c r="F1078" i="23"/>
  <c r="F1079" i="23"/>
  <c r="F1080" i="23"/>
  <c r="F1081" i="23"/>
  <c r="F1082" i="23"/>
  <c r="F1083" i="23"/>
  <c r="F1084" i="23"/>
  <c r="F1085" i="23"/>
  <c r="F1086" i="23"/>
  <c r="F1087" i="23"/>
  <c r="G1087" i="23" s="1"/>
  <c r="F1088" i="23"/>
  <c r="F1089" i="23"/>
  <c r="F1090" i="23"/>
  <c r="F1091" i="23"/>
  <c r="F1092" i="23"/>
  <c r="F1093" i="23"/>
  <c r="F1094" i="23"/>
  <c r="F1095" i="23"/>
  <c r="F1096" i="23"/>
  <c r="F1097" i="23"/>
  <c r="F1098" i="23"/>
  <c r="F1099" i="23"/>
  <c r="G1099" i="23" s="1"/>
  <c r="F1100" i="23"/>
  <c r="F1101" i="23"/>
  <c r="F1102" i="23"/>
  <c r="F1103" i="23"/>
  <c r="F1104" i="23"/>
  <c r="F1105" i="23"/>
  <c r="F1106" i="23"/>
  <c r="F1107" i="23"/>
  <c r="F1108" i="23"/>
  <c r="F1109" i="23"/>
  <c r="F1110" i="23"/>
  <c r="F1111" i="23"/>
  <c r="F1112" i="23"/>
  <c r="F1113" i="23"/>
  <c r="F1114" i="23"/>
  <c r="F1115" i="23"/>
  <c r="F1116" i="23"/>
  <c r="F1117" i="23"/>
  <c r="F1118" i="23"/>
  <c r="F1119" i="23"/>
  <c r="G1119" i="23" s="1"/>
  <c r="F1120" i="23"/>
  <c r="F1121" i="23"/>
  <c r="F1122" i="23"/>
  <c r="F1123" i="23"/>
  <c r="F1124" i="23"/>
  <c r="F1125" i="23"/>
  <c r="F1126" i="23"/>
  <c r="F1127" i="23"/>
  <c r="F1128" i="23"/>
  <c r="F1129" i="23"/>
  <c r="F1130" i="23"/>
  <c r="F1131" i="23"/>
  <c r="G1131" i="23" s="1"/>
  <c r="F1132" i="23"/>
  <c r="F1133" i="23"/>
  <c r="F1134" i="23"/>
  <c r="F1135" i="23"/>
  <c r="F1136" i="23"/>
  <c r="F1137" i="23"/>
  <c r="F1138" i="23"/>
  <c r="F1139" i="23"/>
  <c r="F1140" i="23"/>
  <c r="F1141" i="23"/>
  <c r="F1142" i="23"/>
  <c r="F1143" i="23"/>
  <c r="F1144" i="23"/>
  <c r="F1145" i="23"/>
  <c r="F1146" i="23"/>
  <c r="F1147" i="23"/>
  <c r="F1148" i="23"/>
  <c r="F1149" i="23"/>
  <c r="F1150" i="23"/>
  <c r="G1150" i="23" s="1"/>
  <c r="F1151" i="23"/>
  <c r="G1151" i="23" s="1"/>
  <c r="F1152" i="23"/>
  <c r="F1153" i="23"/>
  <c r="F1154" i="23"/>
  <c r="F1155" i="23"/>
  <c r="F1156" i="23"/>
  <c r="F1157" i="23"/>
  <c r="F1158" i="23"/>
  <c r="F1159" i="23"/>
  <c r="G1159" i="23" s="1"/>
  <c r="F1160" i="23"/>
  <c r="F1161" i="23"/>
  <c r="F1162" i="23"/>
  <c r="F1163" i="23"/>
  <c r="F1164" i="23"/>
  <c r="F1165" i="23"/>
  <c r="F1166" i="23"/>
  <c r="F1167" i="23"/>
  <c r="G1167" i="23" s="1"/>
  <c r="F1168" i="23"/>
  <c r="F1169" i="23"/>
  <c r="F1170" i="23"/>
  <c r="F1171" i="23"/>
  <c r="F1172" i="23"/>
  <c r="F1173" i="23"/>
  <c r="F1174" i="23"/>
  <c r="F1175" i="23"/>
  <c r="G1175" i="23" s="1"/>
  <c r="F1176" i="23"/>
  <c r="F1177" i="23"/>
  <c r="F1178" i="23"/>
  <c r="F1179" i="23"/>
  <c r="F1180" i="23"/>
  <c r="F1181" i="23"/>
  <c r="F1182" i="23"/>
  <c r="F1183" i="23"/>
  <c r="G1183" i="23" s="1"/>
  <c r="F1184" i="23"/>
  <c r="F1185" i="23"/>
  <c r="F1186" i="23"/>
  <c r="F1187" i="23"/>
  <c r="F1188" i="23"/>
  <c r="F1189" i="23"/>
  <c r="F1190" i="23"/>
  <c r="F1191" i="23"/>
  <c r="G1191" i="23" s="1"/>
  <c r="F1192" i="23"/>
  <c r="F1193" i="23"/>
  <c r="F1194" i="23"/>
  <c r="F1195" i="23"/>
  <c r="F1196" i="23"/>
  <c r="F1197" i="23"/>
  <c r="F1198" i="23"/>
  <c r="F1199" i="23"/>
  <c r="G1199" i="23" s="1"/>
  <c r="F1200" i="23"/>
  <c r="F1201" i="23"/>
  <c r="F1202" i="23"/>
  <c r="F1203" i="23"/>
  <c r="F1204" i="23"/>
  <c r="F1205" i="23"/>
  <c r="F1206" i="23"/>
  <c r="F1207" i="23"/>
  <c r="G1207" i="23" s="1"/>
  <c r="F1208" i="23"/>
  <c r="F1209" i="23"/>
  <c r="F1210" i="23"/>
  <c r="F1211" i="23"/>
  <c r="F1212" i="23"/>
  <c r="F1213" i="23"/>
  <c r="F1214" i="23"/>
  <c r="G1214" i="23" s="1"/>
  <c r="F1215" i="23"/>
  <c r="G1215" i="23" s="1"/>
  <c r="F1216" i="23"/>
  <c r="F1217" i="23"/>
  <c r="F1218" i="23"/>
  <c r="F1219" i="23"/>
  <c r="F1220" i="23"/>
  <c r="F1221" i="23"/>
  <c r="F1222" i="23"/>
  <c r="F1223" i="23"/>
  <c r="G1223" i="23" s="1"/>
  <c r="F1224" i="23"/>
  <c r="F1225" i="23"/>
  <c r="F1226" i="23"/>
  <c r="F1227" i="23"/>
  <c r="F1228" i="23"/>
  <c r="F1229" i="23"/>
  <c r="F1230" i="23"/>
  <c r="F1231" i="23"/>
  <c r="G1231" i="23" s="1"/>
  <c r="F1232" i="23"/>
  <c r="F1233" i="23"/>
  <c r="F1234" i="23"/>
  <c r="F1235" i="23"/>
  <c r="F1236" i="23"/>
  <c r="F1237" i="23"/>
  <c r="F1238" i="23"/>
  <c r="F1239" i="23"/>
  <c r="G1239" i="23" s="1"/>
  <c r="F1240" i="23"/>
  <c r="F1241" i="23"/>
  <c r="F1242" i="23"/>
  <c r="F1243" i="23"/>
  <c r="F1244" i="23"/>
  <c r="F1245" i="23"/>
  <c r="F1246" i="23"/>
  <c r="G1246" i="23" s="1"/>
  <c r="F1247" i="23"/>
  <c r="G1247" i="23" s="1"/>
  <c r="F1248" i="23"/>
  <c r="F1249" i="23"/>
  <c r="F1250" i="23"/>
  <c r="F1251" i="23"/>
  <c r="F1252" i="23"/>
  <c r="F1253" i="23"/>
  <c r="F1254" i="23"/>
  <c r="F1255" i="23"/>
  <c r="G1255" i="23" s="1"/>
  <c r="F1256" i="23"/>
  <c r="F1257" i="23"/>
  <c r="F1258" i="23"/>
  <c r="F1259" i="23"/>
  <c r="F1260" i="23"/>
  <c r="F1261" i="23"/>
  <c r="F1262" i="23"/>
  <c r="F1263" i="23"/>
  <c r="G1263" i="23" s="1"/>
  <c r="F1264" i="23"/>
  <c r="F1265" i="23"/>
  <c r="F1266" i="23"/>
  <c r="F1267" i="23"/>
  <c r="F1268" i="23"/>
  <c r="F1269" i="23"/>
  <c r="F1270" i="23"/>
  <c r="F1271" i="23"/>
  <c r="G1271" i="23" s="1"/>
  <c r="F1272" i="23"/>
  <c r="F1273" i="23"/>
  <c r="F1274" i="23"/>
  <c r="F1275" i="23"/>
  <c r="F1276" i="23"/>
  <c r="F1277" i="23"/>
  <c r="F1278" i="23"/>
  <c r="G1278" i="23" s="1"/>
  <c r="F1279" i="23"/>
  <c r="G1279" i="23" s="1"/>
  <c r="F1280" i="23"/>
  <c r="F1281" i="23"/>
  <c r="F1282" i="23"/>
  <c r="F1283" i="23"/>
  <c r="F1284" i="23"/>
  <c r="F1285" i="23"/>
  <c r="F1286" i="23"/>
  <c r="F1287" i="23"/>
  <c r="G1287" i="23" s="1"/>
  <c r="F1288" i="23"/>
  <c r="F1289" i="23"/>
  <c r="F1290" i="23"/>
  <c r="F1291" i="23"/>
  <c r="F1292" i="23"/>
  <c r="F1293" i="23"/>
  <c r="F1294" i="23"/>
  <c r="F1295" i="23"/>
  <c r="G1295" i="23" s="1"/>
  <c r="F1296" i="23"/>
  <c r="F1297" i="23"/>
  <c r="F1298" i="23"/>
  <c r="F1299" i="23"/>
  <c r="F1300" i="23"/>
  <c r="F1301" i="23"/>
  <c r="F1302" i="23"/>
  <c r="F1303" i="23"/>
  <c r="G1303" i="23" s="1"/>
  <c r="F1304" i="23"/>
  <c r="F1305" i="23"/>
  <c r="F1306" i="23"/>
  <c r="F1307" i="23"/>
  <c r="F1308" i="23"/>
  <c r="F1309" i="23"/>
  <c r="F1310" i="23"/>
  <c r="F1311" i="23"/>
  <c r="G1311" i="23" s="1"/>
  <c r="F1312" i="23"/>
  <c r="F1313" i="23"/>
  <c r="F1314" i="23"/>
  <c r="F1315" i="23"/>
  <c r="F1316" i="23"/>
  <c r="F1317" i="23"/>
  <c r="F1318" i="23"/>
  <c r="F1319" i="23"/>
  <c r="G1319" i="23" s="1"/>
  <c r="F1320" i="23"/>
  <c r="F1321" i="23"/>
  <c r="F1322" i="23"/>
  <c r="F1323" i="23"/>
  <c r="F1324" i="23"/>
  <c r="F1325" i="23"/>
  <c r="F1326" i="23"/>
  <c r="F1327" i="23"/>
  <c r="G1327" i="23" s="1"/>
  <c r="F1328" i="23"/>
  <c r="F1329" i="23"/>
  <c r="F1330" i="23"/>
  <c r="F1331" i="23"/>
  <c r="F1332" i="23"/>
  <c r="F1333" i="23"/>
  <c r="F1334" i="23"/>
  <c r="F1335" i="23"/>
  <c r="G1335" i="23" s="1"/>
  <c r="F1336" i="23"/>
  <c r="F1337" i="23"/>
  <c r="F1338" i="23"/>
  <c r="F1339" i="23"/>
  <c r="F1340" i="23"/>
  <c r="F1341" i="23"/>
  <c r="F1342" i="23"/>
  <c r="F1343" i="23"/>
  <c r="G1343" i="23" s="1"/>
  <c r="F1344" i="23"/>
  <c r="F1345" i="23"/>
  <c r="F1346" i="23"/>
  <c r="F1347" i="23"/>
  <c r="F1348" i="23"/>
  <c r="F1349" i="23"/>
  <c r="F1350" i="23"/>
  <c r="F1351" i="23"/>
  <c r="G1351" i="23" s="1"/>
  <c r="F1352" i="23"/>
  <c r="F1353" i="23"/>
  <c r="F1354" i="23"/>
  <c r="F1355" i="23"/>
  <c r="F1356" i="23"/>
  <c r="F1357" i="23"/>
  <c r="F1358" i="23"/>
  <c r="F1359" i="23"/>
  <c r="G1359" i="23" s="1"/>
  <c r="F1360" i="23"/>
  <c r="F1361" i="23"/>
  <c r="F1362" i="23"/>
  <c r="F1363" i="23"/>
  <c r="F1364" i="23"/>
  <c r="F1365" i="23"/>
  <c r="F1366" i="23"/>
  <c r="F1367" i="23"/>
  <c r="G1367" i="23" s="1"/>
  <c r="F1368" i="23"/>
  <c r="F1369" i="23"/>
  <c r="F1370" i="23"/>
  <c r="F1371" i="23"/>
  <c r="F1372" i="23"/>
  <c r="F1373" i="23"/>
  <c r="F1374" i="23"/>
  <c r="F1375" i="23"/>
  <c r="G1375" i="23" s="1"/>
  <c r="F1376" i="23"/>
  <c r="F1377" i="23"/>
  <c r="F1378" i="23"/>
  <c r="F1379" i="23"/>
  <c r="F1380" i="23"/>
  <c r="F1381" i="23"/>
  <c r="F1382" i="23"/>
  <c r="F1383" i="23"/>
  <c r="G1383" i="23" s="1"/>
  <c r="F1384" i="23"/>
  <c r="F1385" i="23"/>
  <c r="F1386" i="23"/>
  <c r="F1387" i="23"/>
  <c r="F1388" i="23"/>
  <c r="F1389" i="23"/>
  <c r="F1390" i="23"/>
  <c r="F1391" i="23"/>
  <c r="G1391" i="23" s="1"/>
  <c r="F14" i="23"/>
  <c r="G13" i="23" s="1"/>
  <c r="G1109" i="23" l="1"/>
  <c r="G925" i="23"/>
  <c r="G813" i="23"/>
  <c r="G685" i="23"/>
  <c r="G557" i="23"/>
  <c r="G253" i="23"/>
  <c r="G1108" i="23"/>
  <c r="G924" i="23"/>
  <c r="G876" i="23"/>
  <c r="G844" i="23"/>
  <c r="G748" i="23"/>
  <c r="G684" i="23"/>
  <c r="G652" i="23"/>
  <c r="G620" i="23"/>
  <c r="G588" i="23"/>
  <c r="G556" i="23"/>
  <c r="G492" i="23"/>
  <c r="G460" i="23"/>
  <c r="G380" i="23"/>
  <c r="G252" i="23"/>
  <c r="G1370" i="23"/>
  <c r="G1346" i="23"/>
  <c r="G1330" i="23"/>
  <c r="G1322" i="23"/>
  <c r="G1314" i="23"/>
  <c r="G1306" i="23"/>
  <c r="G1298" i="23"/>
  <c r="G1290" i="23"/>
  <c r="G1282" i="23"/>
  <c r="G1274" i="23"/>
  <c r="G1266" i="23"/>
  <c r="G1258" i="23"/>
  <c r="G1250" i="23"/>
  <c r="G1242" i="23"/>
  <c r="G1234" i="23"/>
  <c r="G1226" i="23"/>
  <c r="G1218" i="23"/>
  <c r="G1210" i="23"/>
  <c r="G1202" i="23"/>
  <c r="G1194" i="23"/>
  <c r="G1186" i="23"/>
  <c r="G1178" i="23"/>
  <c r="G1170" i="23"/>
  <c r="G1162" i="23"/>
  <c r="G1154" i="23"/>
  <c r="G1146" i="23"/>
  <c r="G1138" i="23"/>
  <c r="G1130" i="23"/>
  <c r="G1122" i="23"/>
  <c r="G1114" i="23"/>
  <c r="G1106" i="23"/>
  <c r="G1098" i="23"/>
  <c r="G1090" i="23"/>
  <c r="G1082" i="23"/>
  <c r="G1074" i="23"/>
  <c r="G1066" i="23"/>
  <c r="G1058" i="23"/>
  <c r="G1050" i="23"/>
  <c r="G1042" i="23"/>
  <c r="G1034" i="23"/>
  <c r="G1026" i="23"/>
  <c r="G1018" i="23"/>
  <c r="G1010" i="23"/>
  <c r="G1002" i="23"/>
  <c r="G994" i="23"/>
  <c r="G986" i="23"/>
  <c r="G978" i="23"/>
  <c r="G970" i="23"/>
  <c r="G962" i="23"/>
  <c r="G954" i="23"/>
  <c r="G946" i="23"/>
  <c r="G938" i="23"/>
  <c r="G930" i="23"/>
  <c r="G922" i="23"/>
  <c r="G914" i="23"/>
  <c r="G906" i="23"/>
  <c r="G898" i="23"/>
  <c r="G890" i="23"/>
  <c r="G882" i="23"/>
  <c r="G874" i="23"/>
  <c r="G866" i="23"/>
  <c r="G858" i="23"/>
  <c r="G850" i="23"/>
  <c r="G842" i="23"/>
  <c r="G834" i="23"/>
  <c r="G826" i="23"/>
  <c r="G818" i="23"/>
  <c r="G810" i="23"/>
  <c r="G802" i="23"/>
  <c r="G794" i="23"/>
  <c r="G786" i="23"/>
  <c r="G778" i="23"/>
  <c r="G770" i="23"/>
  <c r="G762" i="23"/>
  <c r="G754" i="23"/>
  <c r="G746" i="23"/>
  <c r="G738" i="23"/>
  <c r="G730" i="23"/>
  <c r="G722" i="23"/>
  <c r="G714" i="23"/>
  <c r="G434" i="23"/>
  <c r="G402" i="23"/>
  <c r="G370" i="23"/>
  <c r="G306" i="23"/>
  <c r="G274" i="23"/>
  <c r="G242" i="23"/>
  <c r="G194" i="23"/>
  <c r="G170" i="23"/>
  <c r="G1386" i="23"/>
  <c r="G1362" i="23"/>
  <c r="G1338" i="23"/>
  <c r="G425" i="23"/>
  <c r="G297" i="23"/>
  <c r="G1378" i="23"/>
  <c r="G1354" i="23"/>
  <c r="G1182" i="23"/>
  <c r="G1374" i="23"/>
  <c r="G1342" i="23"/>
  <c r="G1310" i="23"/>
  <c r="G1270" i="23"/>
  <c r="G1262" i="23"/>
  <c r="G1254" i="23"/>
  <c r="G1238" i="23"/>
  <c r="G1230" i="23"/>
  <c r="G1222" i="23"/>
  <c r="G1206" i="23"/>
  <c r="G1198" i="23"/>
  <c r="G1190" i="23"/>
  <c r="G1174" i="23"/>
  <c r="G1166" i="23"/>
  <c r="G1158" i="23"/>
  <c r="G390" i="23"/>
  <c r="G358" i="23"/>
  <c r="G326" i="23"/>
  <c r="G262" i="23"/>
  <c r="G230" i="23"/>
  <c r="G166" i="23"/>
  <c r="G142" i="23"/>
  <c r="G126" i="23"/>
  <c r="G110" i="23"/>
  <c r="G78" i="23"/>
  <c r="G62" i="23"/>
  <c r="G46" i="23"/>
  <c r="G12" i="23"/>
  <c r="L10" i="23"/>
  <c r="G1277" i="23"/>
  <c r="G1269" i="23"/>
  <c r="G1261" i="23"/>
  <c r="G1253" i="23"/>
  <c r="G1245" i="23"/>
  <c r="G1237" i="23"/>
  <c r="G1229" i="23"/>
  <c r="G1221" i="23"/>
  <c r="G1213" i="23"/>
  <c r="G1205" i="23"/>
  <c r="G1197" i="23"/>
  <c r="G1189" i="23"/>
  <c r="G1181" i="23"/>
  <c r="G1173" i="23"/>
  <c r="G1165" i="23"/>
  <c r="G1157" i="23"/>
  <c r="G1149" i="23"/>
  <c r="G1141" i="23"/>
  <c r="G1133" i="23"/>
  <c r="G1125" i="23"/>
  <c r="G1117" i="23"/>
  <c r="G1101" i="23"/>
  <c r="G1093" i="23"/>
  <c r="G1085" i="23"/>
  <c r="G1077" i="23"/>
  <c r="G1069" i="23"/>
  <c r="G1061" i="23"/>
  <c r="G1053" i="23"/>
  <c r="G1045" i="23"/>
  <c r="G1037" i="23"/>
  <c r="G1029" i="23"/>
  <c r="G1021" i="23"/>
  <c r="G1013" i="23"/>
  <c r="G1005" i="23"/>
  <c r="G997" i="23"/>
  <c r="G989" i="23"/>
  <c r="G981" i="23"/>
  <c r="G973" i="23"/>
  <c r="G965" i="23"/>
  <c r="G957" i="23"/>
  <c r="G949" i="23"/>
  <c r="G941" i="23"/>
  <c r="G933" i="23"/>
  <c r="G917" i="23"/>
  <c r="G909" i="23"/>
  <c r="G901" i="23"/>
  <c r="G893" i="23"/>
  <c r="G885" i="23"/>
  <c r="G877" i="23"/>
  <c r="G869" i="23"/>
  <c r="G861" i="23"/>
  <c r="G853" i="23"/>
  <c r="G845" i="23"/>
  <c r="G837" i="23"/>
  <c r="G829" i="23"/>
  <c r="G821" i="23"/>
  <c r="G805" i="23"/>
  <c r="G797" i="23"/>
  <c r="G789" i="23"/>
  <c r="G781" i="23"/>
  <c r="G773" i="23"/>
  <c r="G765" i="23"/>
  <c r="G757" i="23"/>
  <c r="G749" i="23"/>
  <c r="G741" i="23"/>
  <c r="G733" i="23"/>
  <c r="G717" i="23"/>
  <c r="G709" i="23"/>
  <c r="G701" i="23"/>
  <c r="G693" i="23"/>
  <c r="G677" i="23"/>
  <c r="G669" i="23"/>
  <c r="G661" i="23"/>
  <c r="G653" i="23"/>
  <c r="G645" i="23"/>
  <c r="G637" i="23"/>
  <c r="G629" i="23"/>
  <c r="G621" i="23"/>
  <c r="G613" i="23"/>
  <c r="G605" i="23"/>
  <c r="G597" i="23"/>
  <c r="G589" i="23"/>
  <c r="G581" i="23"/>
  <c r="G573" i="23"/>
  <c r="G565" i="23"/>
  <c r="G549" i="23"/>
  <c r="G541" i="23"/>
  <c r="G533" i="23"/>
  <c r="G525" i="23"/>
  <c r="G517" i="23"/>
  <c r="G509" i="23"/>
  <c r="G501" i="23"/>
  <c r="G493" i="23"/>
  <c r="G485" i="23"/>
  <c r="G477" i="23"/>
  <c r="G469" i="23"/>
  <c r="G461" i="23"/>
  <c r="G453" i="23"/>
  <c r="G445" i="23"/>
  <c r="G437" i="23"/>
  <c r="G429" i="23"/>
  <c r="G421" i="23"/>
  <c r="G413" i="23"/>
  <c r="G405" i="23"/>
  <c r="G397" i="23"/>
  <c r="G389" i="23"/>
  <c r="G381" i="23"/>
  <c r="G373" i="23"/>
  <c r="G365" i="23"/>
  <c r="G357" i="23"/>
  <c r="G349" i="23"/>
  <c r="G341" i="23"/>
  <c r="G333" i="23"/>
  <c r="G325" i="23"/>
  <c r="G317" i="23"/>
  <c r="G309" i="23"/>
  <c r="G301" i="23"/>
  <c r="G293" i="23"/>
  <c r="G285" i="23"/>
  <c r="G277" i="23"/>
  <c r="G269" i="23"/>
  <c r="G261" i="23"/>
  <c r="G245" i="23"/>
  <c r="G237" i="23"/>
  <c r="G229" i="23"/>
  <c r="G221" i="23"/>
  <c r="G213" i="23"/>
  <c r="G205" i="23"/>
  <c r="G197" i="23"/>
  <c r="G189" i="23"/>
  <c r="G181" i="23"/>
  <c r="G173" i="23"/>
  <c r="G165" i="23"/>
  <c r="G157" i="23"/>
  <c r="G149" i="23"/>
  <c r="G141" i="23"/>
  <c r="G133" i="23"/>
  <c r="G125" i="23"/>
  <c r="G117" i="23"/>
  <c r="G109" i="23"/>
  <c r="G101" i="23"/>
  <c r="G93" i="23"/>
  <c r="G85" i="23"/>
  <c r="G77" i="23"/>
  <c r="G69" i="23"/>
  <c r="G61" i="23"/>
  <c r="G53" i="23"/>
  <c r="G45" i="23"/>
  <c r="G37" i="23"/>
  <c r="G21" i="23"/>
  <c r="G1140" i="23"/>
  <c r="G780" i="23"/>
  <c r="G716" i="23"/>
  <c r="G524" i="23"/>
  <c r="G338" i="23"/>
  <c r="G155" i="23"/>
  <c r="G94" i="23"/>
  <c r="G30" i="23"/>
  <c r="G713" i="23"/>
  <c r="G705" i="23"/>
  <c r="G697" i="23"/>
  <c r="G689" i="23"/>
  <c r="G681" i="23"/>
  <c r="G673" i="23"/>
  <c r="G665" i="23"/>
  <c r="G657" i="23"/>
  <c r="G649" i="23"/>
  <c r="G641" i="23"/>
  <c r="G633" i="23"/>
  <c r="G625" i="23"/>
  <c r="G617" i="23"/>
  <c r="G609" i="23"/>
  <c r="G601" i="23"/>
  <c r="G593" i="23"/>
  <c r="G585" i="23"/>
  <c r="G577" i="23"/>
  <c r="G569" i="23"/>
  <c r="G561" i="23"/>
  <c r="G553" i="23"/>
  <c r="G545" i="23"/>
  <c r="G537" i="23"/>
  <c r="G529" i="23"/>
  <c r="G521" i="23"/>
  <c r="G513" i="23"/>
  <c r="G505" i="23"/>
  <c r="G497" i="23"/>
  <c r="G489" i="23"/>
  <c r="G481" i="23"/>
  <c r="G473" i="23"/>
  <c r="G465" i="23"/>
  <c r="G457" i="23"/>
  <c r="G449" i="23"/>
  <c r="G441" i="23"/>
  <c r="G433" i="23"/>
  <c r="G417" i="23"/>
  <c r="G409" i="23"/>
  <c r="G401" i="23"/>
  <c r="G393" i="23"/>
  <c r="G385" i="23"/>
  <c r="G377" i="23"/>
  <c r="G369" i="23"/>
  <c r="G361" i="23"/>
  <c r="G353" i="23"/>
  <c r="G345" i="23"/>
  <c r="G337" i="23"/>
  <c r="G329" i="23"/>
  <c r="G265" i="23"/>
  <c r="G233" i="23"/>
  <c r="G29" i="23"/>
  <c r="G294" i="23"/>
  <c r="G14" i="23"/>
  <c r="G1120" i="23"/>
  <c r="G1088" i="23"/>
  <c r="G1390" i="23"/>
  <c r="G1382" i="23"/>
  <c r="G1366" i="23"/>
  <c r="G1358" i="23"/>
  <c r="G1350" i="23"/>
  <c r="G1334" i="23"/>
  <c r="G1326" i="23"/>
  <c r="G1318" i="23"/>
  <c r="G1302" i="23"/>
  <c r="G1294" i="23"/>
  <c r="G1286" i="23"/>
  <c r="G1381" i="23"/>
  <c r="G1373" i="23"/>
  <c r="G1365" i="23"/>
  <c r="G1357" i="23"/>
  <c r="G1349" i="23"/>
  <c r="G1341" i="23"/>
  <c r="G1333" i="23"/>
  <c r="G1325" i="23"/>
  <c r="G1317" i="23"/>
  <c r="G1309" i="23"/>
  <c r="G1301" i="23"/>
  <c r="G1293" i="23"/>
  <c r="G1389" i="23"/>
  <c r="G1285" i="23"/>
  <c r="G1384" i="23"/>
  <c r="G1376" i="23"/>
  <c r="G1368" i="23"/>
  <c r="G1360" i="23"/>
  <c r="G1352" i="23"/>
  <c r="G1344" i="23"/>
  <c r="G1336" i="23"/>
  <c r="G1328" i="23"/>
  <c r="G1320" i="23"/>
  <c r="G1312" i="23"/>
  <c r="G1304" i="23"/>
  <c r="G1296" i="23"/>
  <c r="G1288" i="23"/>
  <c r="G1280" i="23"/>
  <c r="G1272" i="23"/>
  <c r="G1264" i="23"/>
  <c r="G1256" i="23"/>
  <c r="G1248" i="23"/>
  <c r="G1240" i="23"/>
  <c r="G1232" i="23"/>
  <c r="G1224" i="23"/>
  <c r="G1216" i="23"/>
  <c r="G1208" i="23"/>
  <c r="G1200" i="23"/>
  <c r="G1192" i="23"/>
  <c r="G1184" i="23"/>
  <c r="G1176" i="23"/>
  <c r="G1168" i="23"/>
  <c r="G1160" i="23"/>
  <c r="G1152" i="23"/>
  <c r="G1144" i="23"/>
  <c r="G1136" i="23"/>
  <c r="G1128" i="23"/>
  <c r="G1112" i="23"/>
  <c r="G1104" i="23"/>
  <c r="G1096" i="23"/>
  <c r="G1080" i="23"/>
  <c r="G1072" i="23"/>
  <c r="G1064" i="23"/>
  <c r="G1056" i="23"/>
  <c r="G1048" i="23"/>
  <c r="G1040" i="23"/>
  <c r="G1032" i="23"/>
  <c r="G1024" i="23"/>
  <c r="G1016" i="23"/>
  <c r="G1008" i="23"/>
  <c r="G1000" i="23"/>
  <c r="G992" i="23"/>
  <c r="G984" i="23"/>
  <c r="G976" i="23"/>
  <c r="G968" i="23"/>
  <c r="G960" i="23"/>
  <c r="G952" i="23"/>
  <c r="G944" i="23"/>
  <c r="G936" i="23"/>
  <c r="G928" i="23"/>
  <c r="G920" i="23"/>
  <c r="G912" i="23"/>
  <c r="G904" i="23"/>
  <c r="G896" i="23"/>
  <c r="G888" i="23"/>
  <c r="G880" i="23"/>
  <c r="G872" i="23"/>
  <c r="G864" i="23"/>
  <c r="G856" i="23"/>
  <c r="G848" i="23"/>
  <c r="G840" i="23"/>
  <c r="G832" i="23"/>
  <c r="G824" i="23"/>
  <c r="G816" i="23"/>
  <c r="G808" i="23"/>
  <c r="G800" i="23"/>
  <c r="G1369" i="23"/>
  <c r="G1337" i="23"/>
  <c r="G1305" i="23"/>
  <c r="G1265" i="23"/>
  <c r="G1225" i="23"/>
  <c r="G1201" i="23"/>
  <c r="G1161" i="23"/>
  <c r="G1121" i="23"/>
  <c r="G1081" i="23"/>
  <c r="G1049" i="23"/>
  <c r="G1025" i="23"/>
  <c r="G993" i="23"/>
  <c r="G953" i="23"/>
  <c r="G921" i="23"/>
  <c r="G889" i="23"/>
  <c r="G857" i="23"/>
  <c r="G825" i="23"/>
  <c r="G801" i="23"/>
  <c r="G769" i="23"/>
  <c r="G753" i="23"/>
  <c r="G729" i="23"/>
  <c r="G991" i="23"/>
  <c r="G1143" i="23"/>
  <c r="G1127" i="23"/>
  <c r="G1111" i="23"/>
  <c r="G1095" i="23"/>
  <c r="G727" i="23"/>
  <c r="G719" i="23"/>
  <c r="G711" i="23"/>
  <c r="G703" i="23"/>
  <c r="G695" i="23"/>
  <c r="G687" i="23"/>
  <c r="G679" i="23"/>
  <c r="G671" i="23"/>
  <c r="G1385" i="23"/>
  <c r="G1345" i="23"/>
  <c r="G1289" i="23"/>
  <c r="G1249" i="23"/>
  <c r="G1209" i="23"/>
  <c r="G1153" i="23"/>
  <c r="G1113" i="23"/>
  <c r="G1065" i="23"/>
  <c r="G1001" i="23"/>
  <c r="G961" i="23"/>
  <c r="G905" i="23"/>
  <c r="G865" i="23"/>
  <c r="G833" i="23"/>
  <c r="G785" i="23"/>
  <c r="G737" i="23"/>
  <c r="G1135" i="23"/>
  <c r="G1103" i="23"/>
  <c r="G1079" i="23"/>
  <c r="G1063" i="23"/>
  <c r="G1047" i="23"/>
  <c r="G1031" i="23"/>
  <c r="G1015" i="23"/>
  <c r="G999" i="23"/>
  <c r="G983" i="23"/>
  <c r="G967" i="23"/>
  <c r="G951" i="23"/>
  <c r="G935" i="23"/>
  <c r="G927" i="23"/>
  <c r="G919" i="23"/>
  <c r="G911" i="23"/>
  <c r="G903" i="23"/>
  <c r="G895" i="23"/>
  <c r="G887" i="23"/>
  <c r="G879" i="23"/>
  <c r="G871" i="23"/>
  <c r="G863" i="23"/>
  <c r="G855" i="23"/>
  <c r="G847" i="23"/>
  <c r="G839" i="23"/>
  <c r="G831" i="23"/>
  <c r="G823" i="23"/>
  <c r="G815" i="23"/>
  <c r="G807" i="23"/>
  <c r="G799" i="23"/>
  <c r="G791" i="23"/>
  <c r="G783" i="23"/>
  <c r="G775" i="23"/>
  <c r="G767" i="23"/>
  <c r="G759" i="23"/>
  <c r="G751" i="23"/>
  <c r="G743" i="23"/>
  <c r="G735" i="23"/>
  <c r="G1142" i="23"/>
  <c r="G1134" i="23"/>
  <c r="G1126" i="23"/>
  <c r="G1118" i="23"/>
  <c r="G1110" i="23"/>
  <c r="G1102" i="23"/>
  <c r="G1094" i="23"/>
  <c r="G1086" i="23"/>
  <c r="G1078" i="23"/>
  <c r="G1070" i="23"/>
  <c r="G1062" i="23"/>
  <c r="G1054" i="23"/>
  <c r="G1046" i="23"/>
  <c r="G1038" i="23"/>
  <c r="G1030" i="23"/>
  <c r="G1022" i="23"/>
  <c r="G1014" i="23"/>
  <c r="G1006" i="23"/>
  <c r="G998" i="23"/>
  <c r="G990" i="23"/>
  <c r="G982" i="23"/>
  <c r="G974" i="23"/>
  <c r="G966" i="23"/>
  <c r="G958" i="23"/>
  <c r="G950" i="23"/>
  <c r="G942" i="23"/>
  <c r="G934" i="23"/>
  <c r="G926" i="23"/>
  <c r="G918" i="23"/>
  <c r="G910" i="23"/>
  <c r="G902" i="23"/>
  <c r="G894" i="23"/>
  <c r="G886" i="23"/>
  <c r="G339" i="23"/>
  <c r="G156" i="23"/>
  <c r="G1353" i="23"/>
  <c r="G1313" i="23"/>
  <c r="G1257" i="23"/>
  <c r="G1217" i="23"/>
  <c r="G1177" i="23"/>
  <c r="G1145" i="23"/>
  <c r="G1105" i="23"/>
  <c r="G1073" i="23"/>
  <c r="G1033" i="23"/>
  <c r="G977" i="23"/>
  <c r="G937" i="23"/>
  <c r="G897" i="23"/>
  <c r="G841" i="23"/>
  <c r="G777" i="23"/>
  <c r="G725" i="23"/>
  <c r="G1377" i="23"/>
  <c r="G1321" i="23"/>
  <c r="G1281" i="23"/>
  <c r="G1241" i="23"/>
  <c r="G1185" i="23"/>
  <c r="G1137" i="23"/>
  <c r="G1097" i="23"/>
  <c r="G1057" i="23"/>
  <c r="G1009" i="23"/>
  <c r="G969" i="23"/>
  <c r="G929" i="23"/>
  <c r="G873" i="23"/>
  <c r="G809" i="23"/>
  <c r="G1388" i="23"/>
  <c r="G1372" i="23"/>
  <c r="G1356" i="23"/>
  <c r="G1332" i="23"/>
  <c r="G1316" i="23"/>
  <c r="G1300" i="23"/>
  <c r="G1284" i="23"/>
  <c r="G1268" i="23"/>
  <c r="G1252" i="23"/>
  <c r="G1236" i="23"/>
  <c r="G1220" i="23"/>
  <c r="G1204" i="23"/>
  <c r="G1188" i="23"/>
  <c r="G1172" i="23"/>
  <c r="G1156" i="23"/>
  <c r="G1132" i="23"/>
  <c r="G1116" i="23"/>
  <c r="G1100" i="23"/>
  <c r="G1084" i="23"/>
  <c r="G1068" i="23"/>
  <c r="G1052" i="23"/>
  <c r="G1036" i="23"/>
  <c r="G1020" i="23"/>
  <c r="G996" i="23"/>
  <c r="G980" i="23"/>
  <c r="G964" i="23"/>
  <c r="G948" i="23"/>
  <c r="G932" i="23"/>
  <c r="G916" i="23"/>
  <c r="G908" i="23"/>
  <c r="G892" i="23"/>
  <c r="G884" i="23"/>
  <c r="G868" i="23"/>
  <c r="G860" i="23"/>
  <c r="G852" i="23"/>
  <c r="G836" i="23"/>
  <c r="G820" i="23"/>
  <c r="G804" i="23"/>
  <c r="G796" i="23"/>
  <c r="G788" i="23"/>
  <c r="G772" i="23"/>
  <c r="G764" i="23"/>
  <c r="G756" i="23"/>
  <c r="G740" i="23"/>
  <c r="G732" i="23"/>
  <c r="G724" i="23"/>
  <c r="G708" i="23"/>
  <c r="G700" i="23"/>
  <c r="G692" i="23"/>
  <c r="G676" i="23"/>
  <c r="G668" i="23"/>
  <c r="G660" i="23"/>
  <c r="G644" i="23"/>
  <c r="G636" i="23"/>
  <c r="G628" i="23"/>
  <c r="G612" i="23"/>
  <c r="G604" i="23"/>
  <c r="G596" i="23"/>
  <c r="G580" i="23"/>
  <c r="G572" i="23"/>
  <c r="G564" i="23"/>
  <c r="G548" i="23"/>
  <c r="G540" i="23"/>
  <c r="G532" i="23"/>
  <c r="G516" i="23"/>
  <c r="G508" i="23"/>
  <c r="G500" i="23"/>
  <c r="G484" i="23"/>
  <c r="G476" i="23"/>
  <c r="G468" i="23"/>
  <c r="G452" i="23"/>
  <c r="G444" i="23"/>
  <c r="G436" i="23"/>
  <c r="G428" i="23"/>
  <c r="G420" i="23"/>
  <c r="G412" i="23"/>
  <c r="G404" i="23"/>
  <c r="G396" i="23"/>
  <c r="G388" i="23"/>
  <c r="G372" i="23"/>
  <c r="G364" i="23"/>
  <c r="G356" i="23"/>
  <c r="G348" i="23"/>
  <c r="G340" i="23"/>
  <c r="G332" i="23"/>
  <c r="G324" i="23"/>
  <c r="G316" i="23"/>
  <c r="G308" i="23"/>
  <c r="G300" i="23"/>
  <c r="G292" i="23"/>
  <c r="G284" i="23"/>
  <c r="G276" i="23"/>
  <c r="G268" i="23"/>
  <c r="G260" i="23"/>
  <c r="G244" i="23"/>
  <c r="G236" i="23"/>
  <c r="G228" i="23"/>
  <c r="G220" i="23"/>
  <c r="G212" i="23"/>
  <c r="G204" i="23"/>
  <c r="G196" i="23"/>
  <c r="G188" i="23"/>
  <c r="G180" i="23"/>
  <c r="G172" i="23"/>
  <c r="G164" i="23"/>
  <c r="G148" i="23"/>
  <c r="G140" i="23"/>
  <c r="G132" i="23"/>
  <c r="G124" i="23"/>
  <c r="G116" i="23"/>
  <c r="G108" i="23"/>
  <c r="G100" i="23"/>
  <c r="G92" i="23"/>
  <c r="G84" i="23"/>
  <c r="G76" i="23"/>
  <c r="G68" i="23"/>
  <c r="G60" i="23"/>
  <c r="G52" i="23"/>
  <c r="G44" i="23"/>
  <c r="G36" i="23"/>
  <c r="G28" i="23"/>
  <c r="G20" i="23"/>
  <c r="G1361" i="23"/>
  <c r="G1329" i="23"/>
  <c r="G1297" i="23"/>
  <c r="G1273" i="23"/>
  <c r="G1233" i="23"/>
  <c r="G1193" i="23"/>
  <c r="G1169" i="23"/>
  <c r="G1129" i="23"/>
  <c r="G1089" i="23"/>
  <c r="G1041" i="23"/>
  <c r="G1017" i="23"/>
  <c r="G985" i="23"/>
  <c r="G945" i="23"/>
  <c r="G913" i="23"/>
  <c r="G881" i="23"/>
  <c r="G849" i="23"/>
  <c r="G817" i="23"/>
  <c r="G793" i="23"/>
  <c r="G761" i="23"/>
  <c r="G745" i="23"/>
  <c r="G721" i="23"/>
  <c r="G1055" i="23"/>
  <c r="G1380" i="23"/>
  <c r="G1364" i="23"/>
  <c r="G1348" i="23"/>
  <c r="G1340" i="23"/>
  <c r="G1324" i="23"/>
  <c r="G1308" i="23"/>
  <c r="G1292" i="23"/>
  <c r="G1276" i="23"/>
  <c r="G1260" i="23"/>
  <c r="G1244" i="23"/>
  <c r="G1228" i="23"/>
  <c r="G1212" i="23"/>
  <c r="G1196" i="23"/>
  <c r="G1180" i="23"/>
  <c r="G1164" i="23"/>
  <c r="G1148" i="23"/>
  <c r="G1124" i="23"/>
  <c r="G1092" i="23"/>
  <c r="G1076" i="23"/>
  <c r="G1060" i="23"/>
  <c r="G1044" i="23"/>
  <c r="G1028" i="23"/>
  <c r="G1012" i="23"/>
  <c r="G1004" i="23"/>
  <c r="G988" i="23"/>
  <c r="G972" i="23"/>
  <c r="G956" i="23"/>
  <c r="G940" i="23"/>
  <c r="G900" i="23"/>
  <c r="G828" i="23"/>
  <c r="G1387" i="23"/>
  <c r="G1379" i="23"/>
  <c r="G1371" i="23"/>
  <c r="G1363" i="23"/>
  <c r="G1355" i="23"/>
  <c r="G1347" i="23"/>
  <c r="G1339" i="23"/>
  <c r="G1331" i="23"/>
  <c r="G1323" i="23"/>
  <c r="G1315" i="23"/>
  <c r="G1307" i="23"/>
  <c r="G1299" i="23"/>
  <c r="G1291" i="23"/>
  <c r="G1283" i="23"/>
  <c r="G1275" i="23"/>
  <c r="G1267" i="23"/>
  <c r="G1259" i="23"/>
  <c r="G1251" i="23"/>
  <c r="G1243" i="23"/>
  <c r="G1235" i="23"/>
  <c r="G1227" i="23"/>
  <c r="G1219" i="23"/>
  <c r="G1211" i="23"/>
  <c r="G1203" i="23"/>
  <c r="G1195" i="23"/>
  <c r="G1187" i="23"/>
  <c r="G1179" i="23"/>
  <c r="G1171" i="23"/>
  <c r="G1163" i="23"/>
  <c r="G1155" i="23"/>
  <c r="G1147" i="23"/>
  <c r="G1139" i="23"/>
  <c r="G1123" i="23"/>
  <c r="G1115" i="23"/>
  <c r="G1107" i="23"/>
  <c r="G1091" i="23"/>
  <c r="G1083" i="23"/>
  <c r="G1075" i="23"/>
  <c r="G1067" i="23"/>
  <c r="G1059" i="23"/>
  <c r="G1051" i="23"/>
  <c r="G1043" i="23"/>
  <c r="G1035" i="23"/>
  <c r="G1027" i="23"/>
  <c r="G1019" i="23"/>
  <c r="G1011" i="23"/>
  <c r="G1003" i="23"/>
  <c r="G995" i="23"/>
  <c r="G987" i="23"/>
  <c r="G979" i="23"/>
  <c r="G971" i="23"/>
  <c r="G963" i="23"/>
  <c r="G955" i="23"/>
  <c r="G947" i="23"/>
  <c r="G939" i="23"/>
  <c r="G931" i="23"/>
  <c r="G923" i="23"/>
  <c r="G915" i="23"/>
  <c r="G907" i="23"/>
  <c r="G899" i="23"/>
  <c r="G891" i="23"/>
  <c r="G883" i="23"/>
  <c r="G875" i="23"/>
  <c r="G867" i="23"/>
  <c r="G859" i="23"/>
  <c r="G851" i="23"/>
  <c r="G843" i="23"/>
  <c r="G835" i="23"/>
  <c r="G827" i="23"/>
  <c r="G819" i="23"/>
  <c r="G811" i="23"/>
  <c r="G803" i="23"/>
  <c r="G435" i="23"/>
  <c r="G403" i="23"/>
  <c r="G371" i="23"/>
  <c r="G307" i="23"/>
  <c r="G275" i="23"/>
  <c r="G243" i="23"/>
  <c r="G219" i="23"/>
  <c r="G195" i="23"/>
  <c r="G795" i="23"/>
  <c r="G787" i="23"/>
  <c r="G779" i="23"/>
  <c r="G771" i="23"/>
  <c r="G763" i="23"/>
  <c r="G755" i="23"/>
  <c r="G747" i="23"/>
  <c r="G739" i="23"/>
  <c r="G731" i="23"/>
  <c r="G723" i="23"/>
  <c r="G715" i="23"/>
  <c r="G707" i="23"/>
  <c r="G699" i="23"/>
  <c r="G691" i="23"/>
  <c r="G683" i="23"/>
  <c r="G675" i="23"/>
  <c r="G667" i="23"/>
  <c r="G659" i="23"/>
  <c r="G651" i="23"/>
  <c r="G643" i="23"/>
  <c r="G635" i="23"/>
  <c r="G627" i="23"/>
  <c r="G619" i="23"/>
  <c r="G611" i="23"/>
  <c r="G603" i="23"/>
  <c r="G595" i="23"/>
  <c r="G587" i="23"/>
  <c r="G579" i="23"/>
  <c r="G571" i="23"/>
  <c r="G563" i="23"/>
  <c r="G555" i="23"/>
  <c r="G547" i="23"/>
  <c r="G539" i="23"/>
  <c r="G531" i="23"/>
  <c r="G523" i="23"/>
  <c r="G515" i="23"/>
  <c r="G507" i="23"/>
  <c r="G499" i="23"/>
  <c r="G491" i="23"/>
  <c r="G483" i="23"/>
  <c r="G475" i="23"/>
  <c r="G467" i="23"/>
  <c r="G459" i="23"/>
  <c r="G451" i="23"/>
  <c r="G443" i="23"/>
  <c r="G427" i="23"/>
  <c r="G419" i="23"/>
  <c r="G411" i="23"/>
  <c r="G395" i="23"/>
  <c r="G387" i="23"/>
  <c r="G379" i="23"/>
  <c r="G363" i="23"/>
  <c r="G355" i="23"/>
  <c r="G347" i="23"/>
  <c r="G331" i="23"/>
  <c r="G323" i="23"/>
  <c r="G315" i="23"/>
  <c r="G299" i="23"/>
  <c r="G291" i="23"/>
  <c r="G283" i="23"/>
  <c r="G267" i="23"/>
  <c r="G259" i="23"/>
  <c r="G251" i="23"/>
  <c r="G235" i="23"/>
  <c r="G227" i="23"/>
  <c r="G211" i="23"/>
  <c r="G203" i="23"/>
  <c r="G187" i="23"/>
  <c r="G179" i="23"/>
  <c r="G171" i="23"/>
  <c r="G163" i="23"/>
  <c r="G147" i="23"/>
  <c r="G139" i="23"/>
  <c r="G131" i="23"/>
  <c r="G123" i="23"/>
  <c r="G115" i="23"/>
  <c r="G107" i="23"/>
  <c r="G99" i="23"/>
  <c r="G91" i="23"/>
  <c r="G83" i="23"/>
  <c r="G75" i="23"/>
  <c r="G67" i="23"/>
  <c r="G59" i="23"/>
  <c r="G51" i="23"/>
  <c r="G43" i="23"/>
  <c r="G35" i="23"/>
  <c r="G27" i="23"/>
  <c r="G19" i="23"/>
  <c r="G706" i="23"/>
  <c r="G698" i="23"/>
  <c r="G690" i="23"/>
  <c r="G682" i="23"/>
  <c r="G674" i="23"/>
  <c r="G666" i="23"/>
  <c r="G658" i="23"/>
  <c r="G650" i="23"/>
  <c r="G642" i="23"/>
  <c r="G634" i="23"/>
  <c r="G626" i="23"/>
  <c r="G618" i="23"/>
  <c r="G610" i="23"/>
  <c r="G602" i="23"/>
  <c r="G594" i="23"/>
  <c r="G586" i="23"/>
  <c r="G578" i="23"/>
  <c r="G570" i="23"/>
  <c r="G562" i="23"/>
  <c r="G554" i="23"/>
  <c r="G546" i="23"/>
  <c r="G538" i="23"/>
  <c r="G530" i="23"/>
  <c r="G522" i="23"/>
  <c r="G514" i="23"/>
  <c r="G506" i="23"/>
  <c r="G498" i="23"/>
  <c r="G490" i="23"/>
  <c r="G482" i="23"/>
  <c r="G474" i="23"/>
  <c r="G466" i="23"/>
  <c r="G458" i="23"/>
  <c r="G450" i="23"/>
  <c r="G442" i="23"/>
  <c r="G426" i="23"/>
  <c r="G418" i="23"/>
  <c r="G410" i="23"/>
  <c r="G394" i="23"/>
  <c r="G386" i="23"/>
  <c r="G378" i="23"/>
  <c r="G362" i="23"/>
  <c r="G354" i="23"/>
  <c r="G346" i="23"/>
  <c r="G330" i="23"/>
  <c r="G322" i="23"/>
  <c r="G314" i="23"/>
  <c r="G298" i="23"/>
  <c r="G290" i="23"/>
  <c r="G282" i="23"/>
  <c r="G266" i="23"/>
  <c r="G258" i="23"/>
  <c r="G250" i="23"/>
  <c r="G234" i="23"/>
  <c r="G226" i="23"/>
  <c r="G218" i="23"/>
  <c r="G210" i="23"/>
  <c r="G202" i="23"/>
  <c r="G186" i="23"/>
  <c r="G178" i="23"/>
  <c r="G162" i="23"/>
  <c r="G154" i="23"/>
  <c r="G146" i="23"/>
  <c r="G138" i="23"/>
  <c r="G130" i="23"/>
  <c r="G122" i="23"/>
  <c r="G114" i="23"/>
  <c r="G106" i="23"/>
  <c r="G98" i="23"/>
  <c r="G90" i="23"/>
  <c r="G82" i="23"/>
  <c r="G74" i="23"/>
  <c r="G66" i="23"/>
  <c r="G58" i="23"/>
  <c r="G50" i="23"/>
  <c r="G42" i="23"/>
  <c r="G34" i="23"/>
  <c r="G26" i="23"/>
  <c r="G18" i="23"/>
  <c r="G321" i="23"/>
  <c r="G313" i="23"/>
  <c r="G305" i="23"/>
  <c r="G289" i="23"/>
  <c r="G281" i="23"/>
  <c r="G273" i="23"/>
  <c r="G257" i="23"/>
  <c r="G249" i="23"/>
  <c r="G241" i="23"/>
  <c r="G225" i="23"/>
  <c r="G217" i="23"/>
  <c r="G209" i="23"/>
  <c r="G201" i="23"/>
  <c r="G193" i="23"/>
  <c r="G185" i="23"/>
  <c r="G177" i="23"/>
  <c r="G169" i="23"/>
  <c r="G161" i="23"/>
  <c r="G153" i="23"/>
  <c r="G145" i="23"/>
  <c r="G137" i="23"/>
  <c r="G129" i="23"/>
  <c r="G121" i="23"/>
  <c r="G113" i="23"/>
  <c r="G105" i="23"/>
  <c r="G97" i="23"/>
  <c r="G89" i="23"/>
  <c r="G81" i="23"/>
  <c r="G73" i="23"/>
  <c r="G65" i="23"/>
  <c r="G57" i="23"/>
  <c r="G49" i="23"/>
  <c r="G41" i="23"/>
  <c r="G33" i="23"/>
  <c r="G25" i="23"/>
  <c r="G17" i="23"/>
  <c r="G792" i="23"/>
  <c r="G784" i="23"/>
  <c r="G776" i="23"/>
  <c r="G768" i="23"/>
  <c r="G760" i="23"/>
  <c r="G752" i="23"/>
  <c r="G744" i="23"/>
  <c r="G736" i="23"/>
  <c r="G728" i="23"/>
  <c r="G720" i="23"/>
  <c r="G712" i="23"/>
  <c r="G704" i="23"/>
  <c r="G696" i="23"/>
  <c r="G688" i="23"/>
  <c r="G680" i="23"/>
  <c r="G672" i="23"/>
  <c r="G664" i="23"/>
  <c r="G656" i="23"/>
  <c r="G648" i="23"/>
  <c r="G640" i="23"/>
  <c r="G632" i="23"/>
  <c r="G624" i="23"/>
  <c r="G616" i="23"/>
  <c r="G608" i="23"/>
  <c r="G600" i="23"/>
  <c r="G592" i="23"/>
  <c r="G584" i="23"/>
  <c r="G576" i="23"/>
  <c r="G568" i="23"/>
  <c r="G560" i="23"/>
  <c r="G552" i="23"/>
  <c r="G544" i="23"/>
  <c r="G536" i="23"/>
  <c r="G528" i="23"/>
  <c r="G520" i="23"/>
  <c r="G512" i="23"/>
  <c r="G504" i="23"/>
  <c r="G496" i="23"/>
  <c r="G488" i="23"/>
  <c r="G480" i="23"/>
  <c r="G472" i="23"/>
  <c r="G464" i="23"/>
  <c r="G456" i="23"/>
  <c r="G448" i="23"/>
  <c r="G440" i="23"/>
  <c r="G432" i="23"/>
  <c r="G424" i="23"/>
  <c r="G416" i="23"/>
  <c r="G408" i="23"/>
  <c r="G400" i="23"/>
  <c r="G392" i="23"/>
  <c r="G384" i="23"/>
  <c r="G376" i="23"/>
  <c r="G368" i="23"/>
  <c r="G360" i="23"/>
  <c r="G352" i="23"/>
  <c r="G344" i="23"/>
  <c r="G336" i="23"/>
  <c r="G328" i="23"/>
  <c r="G320" i="23"/>
  <c r="G312" i="23"/>
  <c r="G304" i="23"/>
  <c r="G296" i="23"/>
  <c r="G288" i="23"/>
  <c r="G280" i="23"/>
  <c r="G272" i="23"/>
  <c r="G264" i="23"/>
  <c r="G256" i="23"/>
  <c r="G248" i="23"/>
  <c r="G240" i="23"/>
  <c r="G232" i="23"/>
  <c r="G224" i="23"/>
  <c r="G216" i="23"/>
  <c r="G208" i="23"/>
  <c r="G200" i="23"/>
  <c r="G192" i="23"/>
  <c r="G184" i="23"/>
  <c r="G176" i="23"/>
  <c r="G168" i="23"/>
  <c r="G160" i="23"/>
  <c r="G152" i="23"/>
  <c r="G144" i="23"/>
  <c r="G136" i="23"/>
  <c r="G128" i="23"/>
  <c r="G120" i="23"/>
  <c r="G112" i="23"/>
  <c r="G104" i="23"/>
  <c r="G96" i="23"/>
  <c r="G88" i="23"/>
  <c r="G80" i="23"/>
  <c r="G72" i="23"/>
  <c r="G64" i="23"/>
  <c r="G56" i="23"/>
  <c r="G48" i="23"/>
  <c r="G40" i="23"/>
  <c r="G32" i="23"/>
  <c r="G24" i="23"/>
  <c r="G16" i="23"/>
  <c r="G663" i="23"/>
  <c r="G655" i="23"/>
  <c r="G647" i="23"/>
  <c r="G639" i="23"/>
  <c r="G631" i="23"/>
  <c r="G623" i="23"/>
  <c r="G615" i="23"/>
  <c r="G607" i="23"/>
  <c r="G599" i="23"/>
  <c r="G591" i="23"/>
  <c r="G583" i="23"/>
  <c r="G575" i="23"/>
  <c r="G567" i="23"/>
  <c r="G559" i="23"/>
  <c r="G551" i="23"/>
  <c r="G543" i="23"/>
  <c r="G535" i="23"/>
  <c r="G527" i="23"/>
  <c r="G519" i="23"/>
  <c r="G511" i="23"/>
  <c r="G503" i="23"/>
  <c r="G495" i="23"/>
  <c r="G487" i="23"/>
  <c r="G479" i="23"/>
  <c r="G471" i="23"/>
  <c r="G463" i="23"/>
  <c r="G455" i="23"/>
  <c r="G447" i="23"/>
  <c r="G439" i="23"/>
  <c r="G431" i="23"/>
  <c r="G423" i="23"/>
  <c r="G415" i="23"/>
  <c r="G407" i="23"/>
  <c r="G399" i="23"/>
  <c r="G391" i="23"/>
  <c r="G383" i="23"/>
  <c r="G375" i="23"/>
  <c r="G367" i="23"/>
  <c r="G359" i="23"/>
  <c r="G351" i="23"/>
  <c r="G343" i="23"/>
  <c r="G335" i="23"/>
  <c r="G878" i="23"/>
  <c r="G870" i="23"/>
  <c r="G862" i="23"/>
  <c r="G854" i="23"/>
  <c r="G846" i="23"/>
  <c r="G838" i="23"/>
  <c r="G830" i="23"/>
  <c r="G822" i="23"/>
  <c r="G814" i="23"/>
  <c r="G806" i="23"/>
  <c r="G798" i="23"/>
  <c r="G790" i="23"/>
  <c r="G782" i="23"/>
  <c r="G774" i="23"/>
  <c r="G766" i="23"/>
  <c r="G758" i="23"/>
  <c r="G750" i="23"/>
  <c r="G742" i="23"/>
  <c r="G734" i="23"/>
  <c r="G726" i="23"/>
  <c r="G718" i="23"/>
  <c r="G710" i="23"/>
  <c r="G702" i="23"/>
  <c r="G694" i="23"/>
  <c r="G686" i="23"/>
  <c r="G678" i="23"/>
  <c r="G670" i="23"/>
  <c r="G662" i="23"/>
  <c r="G654" i="23"/>
  <c r="G646" i="23"/>
  <c r="G638" i="23"/>
  <c r="G630" i="23"/>
  <c r="G622" i="23"/>
  <c r="G614" i="23"/>
  <c r="G606" i="23"/>
  <c r="G598" i="23"/>
  <c r="G590" i="23"/>
  <c r="G582" i="23"/>
  <c r="G574" i="23"/>
  <c r="G566" i="23"/>
  <c r="G558" i="23"/>
  <c r="G550" i="23"/>
  <c r="G542" i="23"/>
  <c r="G534" i="23"/>
  <c r="G526" i="23"/>
  <c r="G518" i="23"/>
  <c r="G510" i="23"/>
  <c r="G502" i="23"/>
  <c r="G494" i="23"/>
  <c r="G486" i="23"/>
  <c r="G478" i="23"/>
  <c r="G470" i="23"/>
  <c r="G462" i="23"/>
  <c r="G454" i="23"/>
  <c r="G446" i="23"/>
  <c r="G438" i="23"/>
  <c r="G430" i="23"/>
  <c r="G414" i="23"/>
  <c r="G406" i="23"/>
  <c r="G398" i="23"/>
  <c r="G382" i="23"/>
  <c r="G374" i="23"/>
  <c r="G366" i="23"/>
  <c r="G350" i="23"/>
  <c r="G342" i="23"/>
  <c r="G334" i="23"/>
  <c r="G318" i="23"/>
  <c r="G310" i="23"/>
  <c r="G302" i="23"/>
  <c r="G286" i="23"/>
  <c r="G278" i="23"/>
  <c r="G270" i="23"/>
  <c r="G254" i="23"/>
  <c r="G246" i="23"/>
  <c r="G238" i="23"/>
  <c r="G222" i="23"/>
  <c r="G214" i="23"/>
  <c r="G198" i="23"/>
  <c r="G190" i="23"/>
  <c r="G182" i="23"/>
  <c r="G174" i="23"/>
  <c r="G158" i="23"/>
  <c r="G150" i="23"/>
  <c r="G134" i="23"/>
  <c r="G118" i="23"/>
  <c r="G102" i="23"/>
  <c r="G86" i="23"/>
  <c r="G70" i="23"/>
  <c r="G54" i="23"/>
  <c r="G38" i="23"/>
  <c r="G22" i="23"/>
  <c r="C1379" i="23"/>
  <c r="J1379" i="23"/>
  <c r="P1379" i="23"/>
  <c r="R1379" i="23" s="1"/>
  <c r="W1379" i="23"/>
  <c r="C1380" i="23"/>
  <c r="J1380" i="23"/>
  <c r="P1380" i="23"/>
  <c r="R1380" i="23" s="1"/>
  <c r="C1381" i="23"/>
  <c r="J1381" i="23"/>
  <c r="W1381" i="23"/>
  <c r="C1382" i="23"/>
  <c r="J1382" i="23"/>
  <c r="C1383" i="23"/>
  <c r="J1383" i="23"/>
  <c r="C1384" i="23"/>
  <c r="J1384" i="23"/>
  <c r="C1385" i="23"/>
  <c r="J1385" i="23"/>
  <c r="C1386" i="23"/>
  <c r="J1386" i="23"/>
  <c r="W1386" i="23"/>
  <c r="C1387" i="23"/>
  <c r="J1387" i="23"/>
  <c r="W1387" i="23"/>
  <c r="C1388" i="23"/>
  <c r="J1388" i="23"/>
  <c r="W1388" i="23"/>
  <c r="C1389" i="23"/>
  <c r="J1389" i="23"/>
  <c r="W1389" i="23"/>
  <c r="C1390" i="23"/>
  <c r="J1390" i="23"/>
  <c r="W1390" i="23"/>
  <c r="J1391" i="23"/>
  <c r="K1391" i="23" s="1"/>
  <c r="W1391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57" i="23"/>
  <c r="T58" i="23"/>
  <c r="T59" i="23"/>
  <c r="T60" i="23"/>
  <c r="T61" i="23"/>
  <c r="T62" i="23"/>
  <c r="T63" i="23"/>
  <c r="T64" i="23"/>
  <c r="T65" i="23"/>
  <c r="T66" i="23"/>
  <c r="T67" i="23"/>
  <c r="T68" i="23"/>
  <c r="T69" i="23"/>
  <c r="T70" i="23"/>
  <c r="T71" i="23"/>
  <c r="T72" i="23"/>
  <c r="T73" i="23"/>
  <c r="T74" i="23"/>
  <c r="T75" i="23"/>
  <c r="T76" i="23"/>
  <c r="T77" i="23"/>
  <c r="T78" i="23"/>
  <c r="T79" i="23"/>
  <c r="T80" i="23"/>
  <c r="T81" i="23"/>
  <c r="T82" i="23"/>
  <c r="T83" i="23"/>
  <c r="T84" i="23"/>
  <c r="T85" i="23"/>
  <c r="T86" i="23"/>
  <c r="T87" i="23"/>
  <c r="T88" i="23"/>
  <c r="T89" i="23"/>
  <c r="T90" i="23"/>
  <c r="T91" i="23"/>
  <c r="T92" i="23"/>
  <c r="T93" i="23"/>
  <c r="T94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0" i="23"/>
  <c r="T111" i="23"/>
  <c r="T112" i="23"/>
  <c r="T113" i="23"/>
  <c r="T114" i="23"/>
  <c r="T115" i="23"/>
  <c r="T116" i="23"/>
  <c r="T117" i="23"/>
  <c r="T118" i="23"/>
  <c r="T119" i="23"/>
  <c r="T120" i="23"/>
  <c r="T121" i="23"/>
  <c r="T122" i="23"/>
  <c r="T123" i="23"/>
  <c r="T124" i="23"/>
  <c r="T125" i="23"/>
  <c r="T126" i="23"/>
  <c r="T127" i="23"/>
  <c r="T128" i="23"/>
  <c r="T129" i="23"/>
  <c r="T130" i="23"/>
  <c r="T131" i="23"/>
  <c r="T132" i="23"/>
  <c r="T133" i="23"/>
  <c r="T134" i="23"/>
  <c r="T135" i="23"/>
  <c r="T136" i="23"/>
  <c r="T137" i="23"/>
  <c r="T138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153" i="23"/>
  <c r="T154" i="23"/>
  <c r="T155" i="23"/>
  <c r="T156" i="23"/>
  <c r="T157" i="23"/>
  <c r="T158" i="23"/>
  <c r="T159" i="23"/>
  <c r="T160" i="23"/>
  <c r="T161" i="23"/>
  <c r="T162" i="23"/>
  <c r="T163" i="23"/>
  <c r="T164" i="23"/>
  <c r="T165" i="23"/>
  <c r="T166" i="23"/>
  <c r="T167" i="23"/>
  <c r="T168" i="23"/>
  <c r="T169" i="23"/>
  <c r="T170" i="23"/>
  <c r="T171" i="23"/>
  <c r="T172" i="23"/>
  <c r="T173" i="23"/>
  <c r="T174" i="23"/>
  <c r="T175" i="23"/>
  <c r="T176" i="23"/>
  <c r="T177" i="23"/>
  <c r="T178" i="23"/>
  <c r="T179" i="23"/>
  <c r="T180" i="23"/>
  <c r="T181" i="23"/>
  <c r="T182" i="23"/>
  <c r="T183" i="23"/>
  <c r="T184" i="23"/>
  <c r="T185" i="23"/>
  <c r="T186" i="23"/>
  <c r="T187" i="23"/>
  <c r="T188" i="23"/>
  <c r="T189" i="23"/>
  <c r="T190" i="23"/>
  <c r="T191" i="23"/>
  <c r="T192" i="23"/>
  <c r="T193" i="23"/>
  <c r="T194" i="23"/>
  <c r="T195" i="23"/>
  <c r="T196" i="23"/>
  <c r="T197" i="23"/>
  <c r="T198" i="23"/>
  <c r="T199" i="23"/>
  <c r="T200" i="23"/>
  <c r="T201" i="23"/>
  <c r="T202" i="23"/>
  <c r="T203" i="23"/>
  <c r="T204" i="23"/>
  <c r="T205" i="23"/>
  <c r="T206" i="23"/>
  <c r="T207" i="23"/>
  <c r="T208" i="23"/>
  <c r="T209" i="23"/>
  <c r="T210" i="23"/>
  <c r="T211" i="23"/>
  <c r="T212" i="23"/>
  <c r="T213" i="23"/>
  <c r="T214" i="23"/>
  <c r="T215" i="23"/>
  <c r="T216" i="23"/>
  <c r="T217" i="23"/>
  <c r="T218" i="23"/>
  <c r="T219" i="23"/>
  <c r="T220" i="23"/>
  <c r="T221" i="23"/>
  <c r="T222" i="23"/>
  <c r="T223" i="23"/>
  <c r="T224" i="23"/>
  <c r="T225" i="23"/>
  <c r="T226" i="23"/>
  <c r="T227" i="23"/>
  <c r="T228" i="23"/>
  <c r="T229" i="23"/>
  <c r="T230" i="23"/>
  <c r="T231" i="23"/>
  <c r="T232" i="23"/>
  <c r="T233" i="23"/>
  <c r="T234" i="23"/>
  <c r="T235" i="23"/>
  <c r="T236" i="23"/>
  <c r="T237" i="23"/>
  <c r="T238" i="23"/>
  <c r="T239" i="23"/>
  <c r="T240" i="23"/>
  <c r="T241" i="23"/>
  <c r="T242" i="23"/>
  <c r="T243" i="23"/>
  <c r="T244" i="23"/>
  <c r="T245" i="23"/>
  <c r="T246" i="23"/>
  <c r="T247" i="23"/>
  <c r="T248" i="23"/>
  <c r="T249" i="23"/>
  <c r="T250" i="23"/>
  <c r="T251" i="23"/>
  <c r="T252" i="23"/>
  <c r="T253" i="23"/>
  <c r="T254" i="23"/>
  <c r="T255" i="23"/>
  <c r="T256" i="23"/>
  <c r="T257" i="23"/>
  <c r="T258" i="23"/>
  <c r="T259" i="23"/>
  <c r="T260" i="23"/>
  <c r="T261" i="23"/>
  <c r="T262" i="23"/>
  <c r="T263" i="23"/>
  <c r="T264" i="23"/>
  <c r="T265" i="23"/>
  <c r="T266" i="23"/>
  <c r="T267" i="23"/>
  <c r="T268" i="23"/>
  <c r="T269" i="23"/>
  <c r="T270" i="23"/>
  <c r="T271" i="23"/>
  <c r="T272" i="23"/>
  <c r="T273" i="23"/>
  <c r="T274" i="23"/>
  <c r="T275" i="23"/>
  <c r="T276" i="23"/>
  <c r="T277" i="23"/>
  <c r="T278" i="23"/>
  <c r="T279" i="23"/>
  <c r="T280" i="23"/>
  <c r="T281" i="23"/>
  <c r="T282" i="23"/>
  <c r="T283" i="23"/>
  <c r="T284" i="23"/>
  <c r="T285" i="23"/>
  <c r="T286" i="23"/>
  <c r="T287" i="23"/>
  <c r="T288" i="23"/>
  <c r="T289" i="23"/>
  <c r="T290" i="23"/>
  <c r="T291" i="23"/>
  <c r="T292" i="23"/>
  <c r="T293" i="23"/>
  <c r="T294" i="23"/>
  <c r="T295" i="23"/>
  <c r="T296" i="23"/>
  <c r="T297" i="23"/>
  <c r="T298" i="23"/>
  <c r="T299" i="23"/>
  <c r="T300" i="23"/>
  <c r="T301" i="23"/>
  <c r="T302" i="23"/>
  <c r="T303" i="23"/>
  <c r="T304" i="23"/>
  <c r="T305" i="23"/>
  <c r="T306" i="23"/>
  <c r="T307" i="23"/>
  <c r="T308" i="23"/>
  <c r="T309" i="23"/>
  <c r="T310" i="23"/>
  <c r="T311" i="23"/>
  <c r="T312" i="23"/>
  <c r="T313" i="23"/>
  <c r="T314" i="23"/>
  <c r="T315" i="23"/>
  <c r="T316" i="23"/>
  <c r="T317" i="23"/>
  <c r="T318" i="23"/>
  <c r="T319" i="23"/>
  <c r="T320" i="23"/>
  <c r="T321" i="23"/>
  <c r="T322" i="23"/>
  <c r="T323" i="23"/>
  <c r="T324" i="23"/>
  <c r="T325" i="23"/>
  <c r="T326" i="23"/>
  <c r="T327" i="23"/>
  <c r="T328" i="23"/>
  <c r="T329" i="23"/>
  <c r="T330" i="23"/>
  <c r="T331" i="23"/>
  <c r="T332" i="23"/>
  <c r="T333" i="23"/>
  <c r="T334" i="23"/>
  <c r="T335" i="23"/>
  <c r="T336" i="23"/>
  <c r="T337" i="23"/>
  <c r="T338" i="23"/>
  <c r="T339" i="23"/>
  <c r="T340" i="23"/>
  <c r="T341" i="23"/>
  <c r="T342" i="23"/>
  <c r="T343" i="23"/>
  <c r="T344" i="23"/>
  <c r="T345" i="23"/>
  <c r="T346" i="23"/>
  <c r="T347" i="23"/>
  <c r="T348" i="23"/>
  <c r="T349" i="23"/>
  <c r="T350" i="23"/>
  <c r="T351" i="23"/>
  <c r="T352" i="23"/>
  <c r="T353" i="23"/>
  <c r="T354" i="23"/>
  <c r="T355" i="23"/>
  <c r="T356" i="23"/>
  <c r="T357" i="23"/>
  <c r="T358" i="23"/>
  <c r="T359" i="23"/>
  <c r="T360" i="23"/>
  <c r="T361" i="23"/>
  <c r="T362" i="23"/>
  <c r="T363" i="23"/>
  <c r="T364" i="23"/>
  <c r="T365" i="23"/>
  <c r="T366" i="23"/>
  <c r="T367" i="23"/>
  <c r="T368" i="23"/>
  <c r="T369" i="23"/>
  <c r="T370" i="23"/>
  <c r="T371" i="23"/>
  <c r="T372" i="23"/>
  <c r="T373" i="23"/>
  <c r="T374" i="23"/>
  <c r="T375" i="23"/>
  <c r="T376" i="23"/>
  <c r="T377" i="23"/>
  <c r="T378" i="23"/>
  <c r="T379" i="23"/>
  <c r="T380" i="23"/>
  <c r="T381" i="23"/>
  <c r="T382" i="23"/>
  <c r="T383" i="23"/>
  <c r="T384" i="23"/>
  <c r="T385" i="23"/>
  <c r="T386" i="23"/>
  <c r="T387" i="23"/>
  <c r="T388" i="23"/>
  <c r="T389" i="23"/>
  <c r="T390" i="23"/>
  <c r="T391" i="23"/>
  <c r="T392" i="23"/>
  <c r="T393" i="23"/>
  <c r="T394" i="23"/>
  <c r="T395" i="23"/>
  <c r="T396" i="23"/>
  <c r="T397" i="23"/>
  <c r="T398" i="23"/>
  <c r="T399" i="23"/>
  <c r="T400" i="23"/>
  <c r="T401" i="23"/>
  <c r="T402" i="23"/>
  <c r="T403" i="23"/>
  <c r="T404" i="23"/>
  <c r="T405" i="23"/>
  <c r="T406" i="23"/>
  <c r="T407" i="23"/>
  <c r="T408" i="23"/>
  <c r="T409" i="23"/>
  <c r="T410" i="23"/>
  <c r="T411" i="23"/>
  <c r="T412" i="23"/>
  <c r="T413" i="23"/>
  <c r="T414" i="23"/>
  <c r="T415" i="23"/>
  <c r="T416" i="23"/>
  <c r="T417" i="23"/>
  <c r="T418" i="23"/>
  <c r="T419" i="23"/>
  <c r="T420" i="23"/>
  <c r="T421" i="23"/>
  <c r="T422" i="23"/>
  <c r="T423" i="23"/>
  <c r="T424" i="23"/>
  <c r="T425" i="23"/>
  <c r="T426" i="23"/>
  <c r="T427" i="23"/>
  <c r="T428" i="23"/>
  <c r="T429" i="23"/>
  <c r="T430" i="23"/>
  <c r="T431" i="23"/>
  <c r="T432" i="23"/>
  <c r="T433" i="23"/>
  <c r="T434" i="23"/>
  <c r="T435" i="23"/>
  <c r="T436" i="23"/>
  <c r="T437" i="23"/>
  <c r="T438" i="23"/>
  <c r="T439" i="23"/>
  <c r="T440" i="23"/>
  <c r="T441" i="23"/>
  <c r="T442" i="23"/>
  <c r="T443" i="23"/>
  <c r="T444" i="23"/>
  <c r="T445" i="23"/>
  <c r="T446" i="23"/>
  <c r="T447" i="23"/>
  <c r="T448" i="23"/>
  <c r="T449" i="23"/>
  <c r="T450" i="23"/>
  <c r="T451" i="23"/>
  <c r="T452" i="23"/>
  <c r="T453" i="23"/>
  <c r="T454" i="23"/>
  <c r="T455" i="23"/>
  <c r="T456" i="23"/>
  <c r="T457" i="23"/>
  <c r="T458" i="23"/>
  <c r="T459" i="23"/>
  <c r="T460" i="23"/>
  <c r="T461" i="23"/>
  <c r="T462" i="23"/>
  <c r="T463" i="23"/>
  <c r="T464" i="23"/>
  <c r="T465" i="23"/>
  <c r="T466" i="23"/>
  <c r="T467" i="23"/>
  <c r="T468" i="23"/>
  <c r="T469" i="23"/>
  <c r="T470" i="23"/>
  <c r="T471" i="23"/>
  <c r="T472" i="23"/>
  <c r="T473" i="23"/>
  <c r="T474" i="23"/>
  <c r="T475" i="23"/>
  <c r="T476" i="23"/>
  <c r="T477" i="23"/>
  <c r="T478" i="23"/>
  <c r="T479" i="23"/>
  <c r="T480" i="23"/>
  <c r="T481" i="23"/>
  <c r="T482" i="23"/>
  <c r="T483" i="23"/>
  <c r="T484" i="23"/>
  <c r="T485" i="23"/>
  <c r="T486" i="23"/>
  <c r="T487" i="23"/>
  <c r="T488" i="23"/>
  <c r="T489" i="23"/>
  <c r="T490" i="23"/>
  <c r="T491" i="23"/>
  <c r="T492" i="23"/>
  <c r="T493" i="23"/>
  <c r="T494" i="23"/>
  <c r="T495" i="23"/>
  <c r="T496" i="23"/>
  <c r="T497" i="23"/>
  <c r="T498" i="23"/>
  <c r="T499" i="23"/>
  <c r="T500" i="23"/>
  <c r="T501" i="23"/>
  <c r="T502" i="23"/>
  <c r="T503" i="23"/>
  <c r="T504" i="23"/>
  <c r="T505" i="23"/>
  <c r="T506" i="23"/>
  <c r="T507" i="23"/>
  <c r="T508" i="23"/>
  <c r="T509" i="23"/>
  <c r="T510" i="23"/>
  <c r="T511" i="23"/>
  <c r="T512" i="23"/>
  <c r="T513" i="23"/>
  <c r="T514" i="23"/>
  <c r="T515" i="23"/>
  <c r="T516" i="23"/>
  <c r="T517" i="23"/>
  <c r="T518" i="23"/>
  <c r="T519" i="23"/>
  <c r="T520" i="23"/>
  <c r="T521" i="23"/>
  <c r="T522" i="23"/>
  <c r="T523" i="23"/>
  <c r="T524" i="23"/>
  <c r="T525" i="23"/>
  <c r="T526" i="23"/>
  <c r="T527" i="23"/>
  <c r="T528" i="23"/>
  <c r="T529" i="23"/>
  <c r="T530" i="23"/>
  <c r="T531" i="23"/>
  <c r="T532" i="23"/>
  <c r="T533" i="23"/>
  <c r="T534" i="23"/>
  <c r="T535" i="23"/>
  <c r="T536" i="23"/>
  <c r="T537" i="23"/>
  <c r="T538" i="23"/>
  <c r="T539" i="23"/>
  <c r="T540" i="23"/>
  <c r="T541" i="23"/>
  <c r="T542" i="23"/>
  <c r="T543" i="23"/>
  <c r="T544" i="23"/>
  <c r="T545" i="23"/>
  <c r="T546" i="23"/>
  <c r="T547" i="23"/>
  <c r="T548" i="23"/>
  <c r="T549" i="23"/>
  <c r="T550" i="23"/>
  <c r="T551" i="23"/>
  <c r="T552" i="23"/>
  <c r="T553" i="23"/>
  <c r="T554" i="23"/>
  <c r="T555" i="23"/>
  <c r="T556" i="23"/>
  <c r="T557" i="23"/>
  <c r="T558" i="23"/>
  <c r="T559" i="23"/>
  <c r="T560" i="23"/>
  <c r="T561" i="23"/>
  <c r="T562" i="23"/>
  <c r="T563" i="23"/>
  <c r="T564" i="23"/>
  <c r="T565" i="23"/>
  <c r="T566" i="23"/>
  <c r="T567" i="23"/>
  <c r="T568" i="23"/>
  <c r="T569" i="23"/>
  <c r="T570" i="23"/>
  <c r="T571" i="23"/>
  <c r="T572" i="23"/>
  <c r="T573" i="23"/>
  <c r="T574" i="23"/>
  <c r="T575" i="23"/>
  <c r="T576" i="23"/>
  <c r="T577" i="23"/>
  <c r="T578" i="23"/>
  <c r="T579" i="23"/>
  <c r="T580" i="23"/>
  <c r="T581" i="23"/>
  <c r="T582" i="23"/>
  <c r="T583" i="23"/>
  <c r="T584" i="23"/>
  <c r="T585" i="23"/>
  <c r="T586" i="23"/>
  <c r="T587" i="23"/>
  <c r="T588" i="23"/>
  <c r="T589" i="23"/>
  <c r="T590" i="23"/>
  <c r="T591" i="23"/>
  <c r="T592" i="23"/>
  <c r="T593" i="23"/>
  <c r="T594" i="23"/>
  <c r="T595" i="23"/>
  <c r="T596" i="23"/>
  <c r="T597" i="23"/>
  <c r="T598" i="23"/>
  <c r="T599" i="23"/>
  <c r="T600" i="23"/>
  <c r="T601" i="23"/>
  <c r="T602" i="23"/>
  <c r="T603" i="23"/>
  <c r="T604" i="23"/>
  <c r="T605" i="23"/>
  <c r="T606" i="23"/>
  <c r="T607" i="23"/>
  <c r="T608" i="23"/>
  <c r="T609" i="23"/>
  <c r="T610" i="23"/>
  <c r="T611" i="23"/>
  <c r="T612" i="23"/>
  <c r="T613" i="23"/>
  <c r="T614" i="23"/>
  <c r="T615" i="23"/>
  <c r="T616" i="23"/>
  <c r="T617" i="23"/>
  <c r="T618" i="23"/>
  <c r="T619" i="23"/>
  <c r="T620" i="23"/>
  <c r="T621" i="23"/>
  <c r="T622" i="23"/>
  <c r="T623" i="23"/>
  <c r="T624" i="23"/>
  <c r="T625" i="23"/>
  <c r="T626" i="23"/>
  <c r="T627" i="23"/>
  <c r="T628" i="23"/>
  <c r="T629" i="23"/>
  <c r="T630" i="23"/>
  <c r="T631" i="23"/>
  <c r="T632" i="23"/>
  <c r="T633" i="23"/>
  <c r="T634" i="23"/>
  <c r="T635" i="23"/>
  <c r="T636" i="23"/>
  <c r="T637" i="23"/>
  <c r="T638" i="23"/>
  <c r="T639" i="23"/>
  <c r="T640" i="23"/>
  <c r="T641" i="23"/>
  <c r="T642" i="23"/>
  <c r="T643" i="23"/>
  <c r="T644" i="23"/>
  <c r="T645" i="23"/>
  <c r="T646" i="23"/>
  <c r="T647" i="23"/>
  <c r="T648" i="23"/>
  <c r="T649" i="23"/>
  <c r="T650" i="23"/>
  <c r="T651" i="23"/>
  <c r="T652" i="23"/>
  <c r="T653" i="23"/>
  <c r="T654" i="23"/>
  <c r="T655" i="23"/>
  <c r="T656" i="23"/>
  <c r="T657" i="23"/>
  <c r="T658" i="23"/>
  <c r="T659" i="23"/>
  <c r="T660" i="23"/>
  <c r="T661" i="23"/>
  <c r="T662" i="23"/>
  <c r="T663" i="23"/>
  <c r="T664" i="23"/>
  <c r="T665" i="23"/>
  <c r="T666" i="23"/>
  <c r="T667" i="23"/>
  <c r="T668" i="23"/>
  <c r="T669" i="23"/>
  <c r="T670" i="23"/>
  <c r="T671" i="23"/>
  <c r="T672" i="23"/>
  <c r="T673" i="23"/>
  <c r="T674" i="23"/>
  <c r="T675" i="23"/>
  <c r="T676" i="23"/>
  <c r="T677" i="23"/>
  <c r="T678" i="23"/>
  <c r="T679" i="23"/>
  <c r="T680" i="23"/>
  <c r="T681" i="23"/>
  <c r="T682" i="23"/>
  <c r="T683" i="23"/>
  <c r="T684" i="23"/>
  <c r="T685" i="23"/>
  <c r="T686" i="23"/>
  <c r="T687" i="23"/>
  <c r="T688" i="23"/>
  <c r="T689" i="23"/>
  <c r="T690" i="23"/>
  <c r="T691" i="23"/>
  <c r="T692" i="23"/>
  <c r="T693" i="23"/>
  <c r="T694" i="23"/>
  <c r="T695" i="23"/>
  <c r="T696" i="23"/>
  <c r="T697" i="23"/>
  <c r="T698" i="23"/>
  <c r="T699" i="23"/>
  <c r="T700" i="23"/>
  <c r="T701" i="23"/>
  <c r="T702" i="23"/>
  <c r="T703" i="23"/>
  <c r="T704" i="23"/>
  <c r="T705" i="23"/>
  <c r="T706" i="23"/>
  <c r="T707" i="23"/>
  <c r="T708" i="23"/>
  <c r="T709" i="23"/>
  <c r="T710" i="23"/>
  <c r="T711" i="23"/>
  <c r="T712" i="23"/>
  <c r="T713" i="23"/>
  <c r="T714" i="23"/>
  <c r="T715" i="23"/>
  <c r="T716" i="23"/>
  <c r="T717" i="23"/>
  <c r="T718" i="23"/>
  <c r="T719" i="23"/>
  <c r="T720" i="23"/>
  <c r="T721" i="23"/>
  <c r="T722" i="23"/>
  <c r="T723" i="23"/>
  <c r="T724" i="23"/>
  <c r="T725" i="23"/>
  <c r="T726" i="23"/>
  <c r="T727" i="23"/>
  <c r="T728" i="23"/>
  <c r="T729" i="23"/>
  <c r="T730" i="23"/>
  <c r="T731" i="23"/>
  <c r="T732" i="23"/>
  <c r="T733" i="23"/>
  <c r="T734" i="23"/>
  <c r="T735" i="23"/>
  <c r="T736" i="23"/>
  <c r="T737" i="23"/>
  <c r="T738" i="23"/>
  <c r="T739" i="23"/>
  <c r="T740" i="23"/>
  <c r="T741" i="23"/>
  <c r="T742" i="23"/>
  <c r="T743" i="23"/>
  <c r="T744" i="23"/>
  <c r="T745" i="23"/>
  <c r="T746" i="23"/>
  <c r="T747" i="23"/>
  <c r="T748" i="23"/>
  <c r="T749" i="23"/>
  <c r="T750" i="23"/>
  <c r="T751" i="23"/>
  <c r="T752" i="23"/>
  <c r="T753" i="23"/>
  <c r="T754" i="23"/>
  <c r="T755" i="23"/>
  <c r="T756" i="23"/>
  <c r="T757" i="23"/>
  <c r="T758" i="23"/>
  <c r="T759" i="23"/>
  <c r="T760" i="23"/>
  <c r="T761" i="23"/>
  <c r="T762" i="23"/>
  <c r="T763" i="23"/>
  <c r="T764" i="23"/>
  <c r="T765" i="23"/>
  <c r="T766" i="23"/>
  <c r="T767" i="23"/>
  <c r="T768" i="23"/>
  <c r="T769" i="23"/>
  <c r="T770" i="23"/>
  <c r="T771" i="23"/>
  <c r="T772" i="23"/>
  <c r="T773" i="23"/>
  <c r="T774" i="23"/>
  <c r="T775" i="23"/>
  <c r="T776" i="23"/>
  <c r="T777" i="23"/>
  <c r="T778" i="23"/>
  <c r="T779" i="23"/>
  <c r="T780" i="23"/>
  <c r="T781" i="23"/>
  <c r="T782" i="23"/>
  <c r="T783" i="23"/>
  <c r="T784" i="23"/>
  <c r="T785" i="23"/>
  <c r="T786" i="23"/>
  <c r="T787" i="23"/>
  <c r="T788" i="23"/>
  <c r="T789" i="23"/>
  <c r="T790" i="23"/>
  <c r="T791" i="23"/>
  <c r="T792" i="23"/>
  <c r="T793" i="23"/>
  <c r="T794" i="23"/>
  <c r="T795" i="23"/>
  <c r="T796" i="23"/>
  <c r="T797" i="23"/>
  <c r="T798" i="23"/>
  <c r="T799" i="23"/>
  <c r="T800" i="23"/>
  <c r="T801" i="23"/>
  <c r="T802" i="23"/>
  <c r="T803" i="23"/>
  <c r="T804" i="23"/>
  <c r="T805" i="23"/>
  <c r="T806" i="23"/>
  <c r="T807" i="23"/>
  <c r="T808" i="23"/>
  <c r="T809" i="23"/>
  <c r="T810" i="23"/>
  <c r="T811" i="23"/>
  <c r="T812" i="23"/>
  <c r="T813" i="23"/>
  <c r="T814" i="23"/>
  <c r="T815" i="23"/>
  <c r="T816" i="23"/>
  <c r="T817" i="23"/>
  <c r="T818" i="23"/>
  <c r="T819" i="23"/>
  <c r="T820" i="23"/>
  <c r="T821" i="23"/>
  <c r="T822" i="23"/>
  <c r="T823" i="23"/>
  <c r="T824" i="23"/>
  <c r="T825" i="23"/>
  <c r="T826" i="23"/>
  <c r="T827" i="23"/>
  <c r="T828" i="23"/>
  <c r="T829" i="23"/>
  <c r="T830" i="23"/>
  <c r="T831" i="23"/>
  <c r="T832" i="23"/>
  <c r="T833" i="23"/>
  <c r="T834" i="23"/>
  <c r="T835" i="23"/>
  <c r="T836" i="23"/>
  <c r="T837" i="23"/>
  <c r="T838" i="23"/>
  <c r="T839" i="23"/>
  <c r="T840" i="23"/>
  <c r="T841" i="23"/>
  <c r="T842" i="23"/>
  <c r="T843" i="23"/>
  <c r="T844" i="23"/>
  <c r="T845" i="23"/>
  <c r="T846" i="23"/>
  <c r="T847" i="23"/>
  <c r="T848" i="23"/>
  <c r="T849" i="23"/>
  <c r="T850" i="23"/>
  <c r="T851" i="23"/>
  <c r="T852" i="23"/>
  <c r="T853" i="23"/>
  <c r="T854" i="23"/>
  <c r="T855" i="23"/>
  <c r="T856" i="23"/>
  <c r="T857" i="23"/>
  <c r="T858" i="23"/>
  <c r="T859" i="23"/>
  <c r="T860" i="23"/>
  <c r="T861" i="23"/>
  <c r="T862" i="23"/>
  <c r="T863" i="23"/>
  <c r="T864" i="23"/>
  <c r="T865" i="23"/>
  <c r="T866" i="23"/>
  <c r="T867" i="23"/>
  <c r="T868" i="23"/>
  <c r="T869" i="23"/>
  <c r="T870" i="23"/>
  <c r="T871" i="23"/>
  <c r="T872" i="23"/>
  <c r="T873" i="23"/>
  <c r="T874" i="23"/>
  <c r="T875" i="23"/>
  <c r="T876" i="23"/>
  <c r="T877" i="23"/>
  <c r="T878" i="23"/>
  <c r="T879" i="23"/>
  <c r="T880" i="23"/>
  <c r="T881" i="23"/>
  <c r="T882" i="23"/>
  <c r="T883" i="23"/>
  <c r="T884" i="23"/>
  <c r="T885" i="23"/>
  <c r="T886" i="23"/>
  <c r="T887" i="23"/>
  <c r="T888" i="23"/>
  <c r="T889" i="23"/>
  <c r="T890" i="23"/>
  <c r="T891" i="23"/>
  <c r="T892" i="23"/>
  <c r="T893" i="23"/>
  <c r="T894" i="23"/>
  <c r="T895" i="23"/>
  <c r="T896" i="23"/>
  <c r="T897" i="23"/>
  <c r="T898" i="23"/>
  <c r="T899" i="23"/>
  <c r="T900" i="23"/>
  <c r="T901" i="23"/>
  <c r="T902" i="23"/>
  <c r="T903" i="23"/>
  <c r="T904" i="23"/>
  <c r="T905" i="23"/>
  <c r="T906" i="23"/>
  <c r="T907" i="23"/>
  <c r="T908" i="23"/>
  <c r="T909" i="23"/>
  <c r="T910" i="23"/>
  <c r="T911" i="23"/>
  <c r="T912" i="23"/>
  <c r="T913" i="23"/>
  <c r="T914" i="23"/>
  <c r="T915" i="23"/>
  <c r="T916" i="23"/>
  <c r="T917" i="23"/>
  <c r="T918" i="23"/>
  <c r="T919" i="23"/>
  <c r="T920" i="23"/>
  <c r="T921" i="23"/>
  <c r="T922" i="23"/>
  <c r="T923" i="23"/>
  <c r="T924" i="23"/>
  <c r="T925" i="23"/>
  <c r="T926" i="23"/>
  <c r="T927" i="23"/>
  <c r="T928" i="23"/>
  <c r="T929" i="23"/>
  <c r="T930" i="23"/>
  <c r="T931" i="23"/>
  <c r="T932" i="23"/>
  <c r="T933" i="23"/>
  <c r="T934" i="23"/>
  <c r="T935" i="23"/>
  <c r="T936" i="23"/>
  <c r="T937" i="23"/>
  <c r="T938" i="23"/>
  <c r="T939" i="23"/>
  <c r="T940" i="23"/>
  <c r="T941" i="23"/>
  <c r="T942" i="23"/>
  <c r="T943" i="23"/>
  <c r="T944" i="23"/>
  <c r="T945" i="23"/>
  <c r="T946" i="23"/>
  <c r="T947" i="23"/>
  <c r="T948" i="23"/>
  <c r="T949" i="23"/>
  <c r="T950" i="23"/>
  <c r="T951" i="23"/>
  <c r="T952" i="23"/>
  <c r="T953" i="23"/>
  <c r="T954" i="23"/>
  <c r="T955" i="23"/>
  <c r="T956" i="23"/>
  <c r="T957" i="23"/>
  <c r="T958" i="23"/>
  <c r="T959" i="23"/>
  <c r="T960" i="23"/>
  <c r="T961" i="23"/>
  <c r="T962" i="23"/>
  <c r="T963" i="23"/>
  <c r="T964" i="23"/>
  <c r="T965" i="23"/>
  <c r="T966" i="23"/>
  <c r="T967" i="23"/>
  <c r="T968" i="23"/>
  <c r="T969" i="23"/>
  <c r="T970" i="23"/>
  <c r="T971" i="23"/>
  <c r="T972" i="23"/>
  <c r="T973" i="23"/>
  <c r="T974" i="23"/>
  <c r="T975" i="23"/>
  <c r="T976" i="23"/>
  <c r="T977" i="23"/>
  <c r="T978" i="23"/>
  <c r="T979" i="23"/>
  <c r="T980" i="23"/>
  <c r="T981" i="23"/>
  <c r="T982" i="23"/>
  <c r="T983" i="23"/>
  <c r="T984" i="23"/>
  <c r="T985" i="23"/>
  <c r="T986" i="23"/>
  <c r="T987" i="23"/>
  <c r="T988" i="23"/>
  <c r="T989" i="23"/>
  <c r="T990" i="23"/>
  <c r="T991" i="23"/>
  <c r="T992" i="23"/>
  <c r="T993" i="23"/>
  <c r="T994" i="23"/>
  <c r="T995" i="23"/>
  <c r="T996" i="23"/>
  <c r="T997" i="23"/>
  <c r="T998" i="23"/>
  <c r="T999" i="23"/>
  <c r="T1000" i="23"/>
  <c r="T1001" i="23"/>
  <c r="T1002" i="23"/>
  <c r="T1003" i="23"/>
  <c r="T1004" i="23"/>
  <c r="T1005" i="23"/>
  <c r="T1006" i="23"/>
  <c r="T1007" i="23"/>
  <c r="T1008" i="23"/>
  <c r="T1009" i="23"/>
  <c r="T1010" i="23"/>
  <c r="T1011" i="23"/>
  <c r="T1012" i="23"/>
  <c r="T1013" i="23"/>
  <c r="T1014" i="23"/>
  <c r="T1015" i="23"/>
  <c r="T1016" i="23"/>
  <c r="T1017" i="23"/>
  <c r="T1018" i="23"/>
  <c r="T1019" i="23"/>
  <c r="T1020" i="23"/>
  <c r="T1021" i="23"/>
  <c r="T1022" i="23"/>
  <c r="T1023" i="23"/>
  <c r="T1024" i="23"/>
  <c r="T1025" i="23"/>
  <c r="T1026" i="23"/>
  <c r="T1027" i="23"/>
  <c r="T1028" i="23"/>
  <c r="T1029" i="23"/>
  <c r="T1030" i="23"/>
  <c r="T1031" i="23"/>
  <c r="T1032" i="23"/>
  <c r="T1033" i="23"/>
  <c r="T1034" i="23"/>
  <c r="T1035" i="23"/>
  <c r="T1036" i="23"/>
  <c r="T1037" i="23"/>
  <c r="T1038" i="23"/>
  <c r="T1039" i="23"/>
  <c r="T1040" i="23"/>
  <c r="T1041" i="23"/>
  <c r="T1042" i="23"/>
  <c r="T1043" i="23"/>
  <c r="T1044" i="23"/>
  <c r="T1045" i="23"/>
  <c r="T1046" i="23"/>
  <c r="T1047" i="23"/>
  <c r="T1048" i="23"/>
  <c r="T1049" i="23"/>
  <c r="T1050" i="23"/>
  <c r="T1051" i="23"/>
  <c r="T1052" i="23"/>
  <c r="T1053" i="23"/>
  <c r="T1054" i="23"/>
  <c r="T1055" i="23"/>
  <c r="T1056" i="23"/>
  <c r="T1057" i="23"/>
  <c r="T1058" i="23"/>
  <c r="T1059" i="23"/>
  <c r="T1060" i="23"/>
  <c r="T1061" i="23"/>
  <c r="T1062" i="23"/>
  <c r="T1063" i="23"/>
  <c r="T1064" i="23"/>
  <c r="T1065" i="23"/>
  <c r="T1066" i="23"/>
  <c r="T1067" i="23"/>
  <c r="T1068" i="23"/>
  <c r="T1069" i="23"/>
  <c r="T1070" i="23"/>
  <c r="T1071" i="23"/>
  <c r="T1072" i="23"/>
  <c r="T1073" i="23"/>
  <c r="T1074" i="23"/>
  <c r="T1075" i="23"/>
  <c r="T1076" i="23"/>
  <c r="T1077" i="23"/>
  <c r="T1078" i="23"/>
  <c r="T1079" i="23"/>
  <c r="T1080" i="23"/>
  <c r="T1081" i="23"/>
  <c r="T1082" i="23"/>
  <c r="T1083" i="23"/>
  <c r="T1084" i="23"/>
  <c r="T1085" i="23"/>
  <c r="T1086" i="23"/>
  <c r="T1087" i="23"/>
  <c r="T1088" i="23"/>
  <c r="T1089" i="23"/>
  <c r="T1090" i="23"/>
  <c r="T1091" i="23"/>
  <c r="T1092" i="23"/>
  <c r="T1093" i="23"/>
  <c r="T1094" i="23"/>
  <c r="T1095" i="23"/>
  <c r="T1096" i="23"/>
  <c r="T1097" i="23"/>
  <c r="T1098" i="23"/>
  <c r="T1099" i="23"/>
  <c r="T1100" i="23"/>
  <c r="T1101" i="23"/>
  <c r="T1102" i="23"/>
  <c r="T1103" i="23"/>
  <c r="T1104" i="23"/>
  <c r="T1105" i="23"/>
  <c r="T1106" i="23"/>
  <c r="T1107" i="23"/>
  <c r="T1108" i="23"/>
  <c r="T1109" i="23"/>
  <c r="T1110" i="23"/>
  <c r="T1111" i="23"/>
  <c r="T1112" i="23"/>
  <c r="T1113" i="23"/>
  <c r="T1114" i="23"/>
  <c r="T1115" i="23"/>
  <c r="T1116" i="23"/>
  <c r="T1117" i="23"/>
  <c r="T1118" i="23"/>
  <c r="T1119" i="23"/>
  <c r="T1120" i="23"/>
  <c r="T1121" i="23"/>
  <c r="T1122" i="23"/>
  <c r="T1123" i="23"/>
  <c r="T1124" i="23"/>
  <c r="T1125" i="23"/>
  <c r="T1126" i="23"/>
  <c r="T1127" i="23"/>
  <c r="T1128" i="23"/>
  <c r="T1129" i="23"/>
  <c r="T1130" i="23"/>
  <c r="T1131" i="23"/>
  <c r="T1132" i="23"/>
  <c r="T1133" i="23"/>
  <c r="T1134" i="23"/>
  <c r="T1135" i="23"/>
  <c r="T1136" i="23"/>
  <c r="T1137" i="23"/>
  <c r="T1138" i="23"/>
  <c r="T1139" i="23"/>
  <c r="T1140" i="23"/>
  <c r="T1141" i="23"/>
  <c r="T1142" i="23"/>
  <c r="T1143" i="23"/>
  <c r="T1144" i="23"/>
  <c r="T1145" i="23"/>
  <c r="T1146" i="23"/>
  <c r="T1147" i="23"/>
  <c r="T1148" i="23"/>
  <c r="T1149" i="23"/>
  <c r="T1150" i="23"/>
  <c r="T1151" i="23"/>
  <c r="T1152" i="23"/>
  <c r="T1153" i="23"/>
  <c r="T1154" i="23"/>
  <c r="T1155" i="23"/>
  <c r="T1156" i="23"/>
  <c r="T1157" i="23"/>
  <c r="T1158" i="23"/>
  <c r="T1159" i="23"/>
  <c r="T1160" i="23"/>
  <c r="T1161" i="23"/>
  <c r="T1162" i="23"/>
  <c r="T1163" i="23"/>
  <c r="T1164" i="23"/>
  <c r="T1165" i="23"/>
  <c r="T1166" i="23"/>
  <c r="T1167" i="23"/>
  <c r="T1168" i="23"/>
  <c r="T1169" i="23"/>
  <c r="T1170" i="23"/>
  <c r="T1171" i="23"/>
  <c r="T1172" i="23"/>
  <c r="T1173" i="23"/>
  <c r="T1174" i="23"/>
  <c r="T1175" i="23"/>
  <c r="T1176" i="23"/>
  <c r="T1177" i="23"/>
  <c r="T1178" i="23"/>
  <c r="T1179" i="23"/>
  <c r="T1180" i="23"/>
  <c r="T1181" i="23"/>
  <c r="T1182" i="23"/>
  <c r="T1183" i="23"/>
  <c r="T1184" i="23"/>
  <c r="T1185" i="23"/>
  <c r="T1186" i="23"/>
  <c r="T1187" i="23"/>
  <c r="T1188" i="23"/>
  <c r="T1189" i="23"/>
  <c r="T1190" i="23"/>
  <c r="T1191" i="23"/>
  <c r="T1192" i="23"/>
  <c r="T1193" i="23"/>
  <c r="T1194" i="23"/>
  <c r="T1195" i="23"/>
  <c r="T1196" i="23"/>
  <c r="T1197" i="23"/>
  <c r="T1198" i="23"/>
  <c r="T1199" i="23"/>
  <c r="T1200" i="23"/>
  <c r="T1201" i="23"/>
  <c r="T1202" i="23"/>
  <c r="T1203" i="23"/>
  <c r="T1204" i="23"/>
  <c r="T1205" i="23"/>
  <c r="T1206" i="23"/>
  <c r="T1207" i="23"/>
  <c r="T1208" i="23"/>
  <c r="T1209" i="23"/>
  <c r="T1210" i="23"/>
  <c r="T1211" i="23"/>
  <c r="T1212" i="23"/>
  <c r="T1213" i="23"/>
  <c r="T1214" i="23"/>
  <c r="T1215" i="23"/>
  <c r="T1216" i="23"/>
  <c r="T1217" i="23"/>
  <c r="T1218" i="23"/>
  <c r="T1219" i="23"/>
  <c r="T1220" i="23"/>
  <c r="T1221" i="23"/>
  <c r="T1222" i="23"/>
  <c r="T1223" i="23"/>
  <c r="T1224" i="23"/>
  <c r="T1225" i="23"/>
  <c r="T1226" i="23"/>
  <c r="T1227" i="23"/>
  <c r="T1228" i="23"/>
  <c r="T1229" i="23"/>
  <c r="T1230" i="23"/>
  <c r="T1231" i="23"/>
  <c r="T1232" i="23"/>
  <c r="T1233" i="23"/>
  <c r="T1234" i="23"/>
  <c r="T1235" i="23"/>
  <c r="T1236" i="23"/>
  <c r="T1237" i="23"/>
  <c r="T1238" i="23"/>
  <c r="T1239" i="23"/>
  <c r="T1240" i="23"/>
  <c r="T1241" i="23"/>
  <c r="T1242" i="23"/>
  <c r="T1243" i="23"/>
  <c r="T1244" i="23"/>
  <c r="T1245" i="23"/>
  <c r="T1246" i="23"/>
  <c r="T1247" i="23"/>
  <c r="T1248" i="23"/>
  <c r="T1249" i="23"/>
  <c r="T1250" i="23"/>
  <c r="T1251" i="23"/>
  <c r="T1252" i="23"/>
  <c r="T1253" i="23"/>
  <c r="T1254" i="23"/>
  <c r="T1255" i="23"/>
  <c r="T1256" i="23"/>
  <c r="T1257" i="23"/>
  <c r="T1258" i="23"/>
  <c r="T1259" i="23"/>
  <c r="T1260" i="23"/>
  <c r="T1261" i="23"/>
  <c r="T1262" i="23"/>
  <c r="T1263" i="23"/>
  <c r="T1264" i="23"/>
  <c r="T1265" i="23"/>
  <c r="T1266" i="23"/>
  <c r="T1267" i="23"/>
  <c r="T1268" i="23"/>
  <c r="T1269" i="23"/>
  <c r="T1270" i="23"/>
  <c r="T1271" i="23"/>
  <c r="T1272" i="23"/>
  <c r="T1273" i="23"/>
  <c r="T1274" i="23"/>
  <c r="T1275" i="23"/>
  <c r="T1276" i="23"/>
  <c r="T1277" i="23"/>
  <c r="T1278" i="23"/>
  <c r="T1279" i="23"/>
  <c r="T1280" i="23"/>
  <c r="T1281" i="23"/>
  <c r="T1282" i="23"/>
  <c r="T1283" i="23"/>
  <c r="T1284" i="23"/>
  <c r="T1285" i="23"/>
  <c r="T1286" i="23"/>
  <c r="T1287" i="23"/>
  <c r="T1288" i="23"/>
  <c r="T1289" i="23"/>
  <c r="T1290" i="23"/>
  <c r="T1291" i="23"/>
  <c r="T1292" i="23"/>
  <c r="T1293" i="23"/>
  <c r="T1294" i="23"/>
  <c r="T1295" i="23"/>
  <c r="T1296" i="23"/>
  <c r="T1297" i="23"/>
  <c r="T1298" i="23"/>
  <c r="T1299" i="23"/>
  <c r="T1300" i="23"/>
  <c r="T1301" i="23"/>
  <c r="T1302" i="23"/>
  <c r="T1303" i="23"/>
  <c r="T1304" i="23"/>
  <c r="T1305" i="23"/>
  <c r="T1306" i="23"/>
  <c r="T1307" i="23"/>
  <c r="T1308" i="23"/>
  <c r="T1309" i="23"/>
  <c r="T1310" i="23"/>
  <c r="T1311" i="23"/>
  <c r="T1312" i="23"/>
  <c r="T1313" i="23"/>
  <c r="T1314" i="23"/>
  <c r="T1315" i="23"/>
  <c r="T1316" i="23"/>
  <c r="T1317" i="23"/>
  <c r="T1318" i="23"/>
  <c r="T1319" i="23"/>
  <c r="T1320" i="23"/>
  <c r="T1321" i="23"/>
  <c r="T1322" i="23"/>
  <c r="T1323" i="23"/>
  <c r="T1324" i="23"/>
  <c r="T1325" i="23"/>
  <c r="T1326" i="23"/>
  <c r="T1327" i="23"/>
  <c r="T1328" i="23"/>
  <c r="T1329" i="23"/>
  <c r="T1330" i="23"/>
  <c r="T1331" i="23"/>
  <c r="T1332" i="23"/>
  <c r="T1333" i="23"/>
  <c r="T1334" i="23"/>
  <c r="T1335" i="23"/>
  <c r="T1336" i="23"/>
  <c r="T1337" i="23"/>
  <c r="T1338" i="23"/>
  <c r="T1339" i="23"/>
  <c r="T1340" i="23"/>
  <c r="T1341" i="23"/>
  <c r="T1342" i="23"/>
  <c r="T1343" i="23"/>
  <c r="T1344" i="23"/>
  <c r="T1345" i="23"/>
  <c r="T1346" i="23"/>
  <c r="T1347" i="23"/>
  <c r="T1348" i="23"/>
  <c r="T1349" i="23"/>
  <c r="T1350" i="23"/>
  <c r="T1351" i="23"/>
  <c r="T1352" i="23"/>
  <c r="T1353" i="23"/>
  <c r="T1354" i="23"/>
  <c r="T1355" i="23"/>
  <c r="T1356" i="23"/>
  <c r="T1357" i="23"/>
  <c r="T1358" i="23"/>
  <c r="T1359" i="23"/>
  <c r="T1360" i="23"/>
  <c r="T1361" i="23"/>
  <c r="T1362" i="23"/>
  <c r="T1363" i="23"/>
  <c r="T1364" i="23"/>
  <c r="T1365" i="23"/>
  <c r="T1366" i="23"/>
  <c r="T1367" i="23"/>
  <c r="T1368" i="23"/>
  <c r="T1369" i="23"/>
  <c r="T1370" i="23"/>
  <c r="T1371" i="23"/>
  <c r="T1372" i="23"/>
  <c r="T1373" i="23"/>
  <c r="T1374" i="23"/>
  <c r="T1375" i="23"/>
  <c r="T1376" i="23"/>
  <c r="T1377" i="23"/>
  <c r="T1378" i="23"/>
  <c r="T14" i="23"/>
  <c r="U12" i="23" s="1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O615" i="23"/>
  <c r="O616" i="23"/>
  <c r="O617" i="23"/>
  <c r="O618" i="23"/>
  <c r="O619" i="23"/>
  <c r="O620" i="23"/>
  <c r="O621" i="23"/>
  <c r="O622" i="23"/>
  <c r="O623" i="23"/>
  <c r="O624" i="23"/>
  <c r="O625" i="23"/>
  <c r="O626" i="23"/>
  <c r="O627" i="23"/>
  <c r="O628" i="23"/>
  <c r="O629" i="23"/>
  <c r="O630" i="23"/>
  <c r="O631" i="23"/>
  <c r="O632" i="23"/>
  <c r="O633" i="23"/>
  <c r="O634" i="23"/>
  <c r="O635" i="23"/>
  <c r="O636" i="23"/>
  <c r="O637" i="23"/>
  <c r="O638" i="23"/>
  <c r="O639" i="23"/>
  <c r="O640" i="23"/>
  <c r="O641" i="23"/>
  <c r="O642" i="23"/>
  <c r="O643" i="23"/>
  <c r="O644" i="23"/>
  <c r="O645" i="23"/>
  <c r="O646" i="23"/>
  <c r="O647" i="23"/>
  <c r="O648" i="23"/>
  <c r="O649" i="23"/>
  <c r="O650" i="23"/>
  <c r="O651" i="23"/>
  <c r="O652" i="23"/>
  <c r="O653" i="23"/>
  <c r="O654" i="23"/>
  <c r="O655" i="23"/>
  <c r="O656" i="23"/>
  <c r="O657" i="23"/>
  <c r="O658" i="23"/>
  <c r="O659" i="23"/>
  <c r="O660" i="23"/>
  <c r="O661" i="23"/>
  <c r="O662" i="23"/>
  <c r="O663" i="23"/>
  <c r="O664" i="23"/>
  <c r="O665" i="23"/>
  <c r="O666" i="23"/>
  <c r="O667" i="23"/>
  <c r="O668" i="23"/>
  <c r="O669" i="23"/>
  <c r="O670" i="23"/>
  <c r="O671" i="23"/>
  <c r="O672" i="23"/>
  <c r="O673" i="23"/>
  <c r="O674" i="23"/>
  <c r="O675" i="23"/>
  <c r="O676" i="23"/>
  <c r="O677" i="23"/>
  <c r="O678" i="23"/>
  <c r="O679" i="23"/>
  <c r="O680" i="23"/>
  <c r="O681" i="23"/>
  <c r="O682" i="23"/>
  <c r="O683" i="23"/>
  <c r="O684" i="23"/>
  <c r="O685" i="23"/>
  <c r="O686" i="23"/>
  <c r="O687" i="23"/>
  <c r="O688" i="23"/>
  <c r="O689" i="23"/>
  <c r="O690" i="23"/>
  <c r="O691" i="23"/>
  <c r="O692" i="23"/>
  <c r="O693" i="23"/>
  <c r="O694" i="23"/>
  <c r="O695" i="23"/>
  <c r="O696" i="23"/>
  <c r="O697" i="23"/>
  <c r="O698" i="23"/>
  <c r="O699" i="23"/>
  <c r="O700" i="23"/>
  <c r="O701" i="23"/>
  <c r="O702" i="23"/>
  <c r="O703" i="23"/>
  <c r="O704" i="23"/>
  <c r="O705" i="23"/>
  <c r="O706" i="23"/>
  <c r="O707" i="23"/>
  <c r="O708" i="23"/>
  <c r="O709" i="23"/>
  <c r="O710" i="23"/>
  <c r="O711" i="23"/>
  <c r="O712" i="23"/>
  <c r="O713" i="23"/>
  <c r="O714" i="23"/>
  <c r="O715" i="23"/>
  <c r="O716" i="23"/>
  <c r="O717" i="23"/>
  <c r="O718" i="23"/>
  <c r="O719" i="23"/>
  <c r="O720" i="23"/>
  <c r="O721" i="23"/>
  <c r="O722" i="23"/>
  <c r="O723" i="23"/>
  <c r="O724" i="23"/>
  <c r="O725" i="23"/>
  <c r="O726" i="23"/>
  <c r="O727" i="23"/>
  <c r="O728" i="23"/>
  <c r="O729" i="23"/>
  <c r="O730" i="23"/>
  <c r="O731" i="23"/>
  <c r="O732" i="23"/>
  <c r="O733" i="23"/>
  <c r="O734" i="23"/>
  <c r="O735" i="23"/>
  <c r="O736" i="23"/>
  <c r="O737" i="23"/>
  <c r="O738" i="23"/>
  <c r="O739" i="23"/>
  <c r="O740" i="23"/>
  <c r="O741" i="23"/>
  <c r="O742" i="23"/>
  <c r="O743" i="23"/>
  <c r="O744" i="23"/>
  <c r="O745" i="23"/>
  <c r="O746" i="23"/>
  <c r="O747" i="23"/>
  <c r="O748" i="23"/>
  <c r="O749" i="23"/>
  <c r="O750" i="23"/>
  <c r="O751" i="23"/>
  <c r="O752" i="23"/>
  <c r="O753" i="23"/>
  <c r="O754" i="23"/>
  <c r="O755" i="23"/>
  <c r="O756" i="23"/>
  <c r="O757" i="23"/>
  <c r="O758" i="23"/>
  <c r="O759" i="23"/>
  <c r="O760" i="23"/>
  <c r="O761" i="23"/>
  <c r="O762" i="23"/>
  <c r="O763" i="23"/>
  <c r="O764" i="23"/>
  <c r="O765" i="23"/>
  <c r="O766" i="23"/>
  <c r="O767" i="23"/>
  <c r="O768" i="23"/>
  <c r="O769" i="23"/>
  <c r="O770" i="23"/>
  <c r="O771" i="23"/>
  <c r="O772" i="23"/>
  <c r="O773" i="23"/>
  <c r="O774" i="23"/>
  <c r="O775" i="23"/>
  <c r="O776" i="23"/>
  <c r="O777" i="23"/>
  <c r="O778" i="23"/>
  <c r="O779" i="23"/>
  <c r="O780" i="23"/>
  <c r="O781" i="23"/>
  <c r="O782" i="23"/>
  <c r="O783" i="23"/>
  <c r="O784" i="23"/>
  <c r="O785" i="23"/>
  <c r="O786" i="23"/>
  <c r="O787" i="23"/>
  <c r="O788" i="23"/>
  <c r="O789" i="23"/>
  <c r="O790" i="23"/>
  <c r="O791" i="23"/>
  <c r="O792" i="23"/>
  <c r="O793" i="23"/>
  <c r="O794" i="23"/>
  <c r="O795" i="23"/>
  <c r="O796" i="23"/>
  <c r="O797" i="23"/>
  <c r="O798" i="23"/>
  <c r="O799" i="23"/>
  <c r="O800" i="23"/>
  <c r="O801" i="23"/>
  <c r="O802" i="23"/>
  <c r="O803" i="23"/>
  <c r="O804" i="23"/>
  <c r="O805" i="23"/>
  <c r="O806" i="23"/>
  <c r="O807" i="23"/>
  <c r="O808" i="23"/>
  <c r="O809" i="23"/>
  <c r="O810" i="23"/>
  <c r="O811" i="23"/>
  <c r="O812" i="23"/>
  <c r="O813" i="23"/>
  <c r="O814" i="23"/>
  <c r="O815" i="23"/>
  <c r="O816" i="23"/>
  <c r="O817" i="23"/>
  <c r="O818" i="23"/>
  <c r="O819" i="23"/>
  <c r="O820" i="23"/>
  <c r="O821" i="23"/>
  <c r="O822" i="23"/>
  <c r="O823" i="23"/>
  <c r="O824" i="23"/>
  <c r="O825" i="23"/>
  <c r="O826" i="23"/>
  <c r="O827" i="23"/>
  <c r="O828" i="23"/>
  <c r="O829" i="23"/>
  <c r="O830" i="23"/>
  <c r="O831" i="23"/>
  <c r="O832" i="23"/>
  <c r="O833" i="23"/>
  <c r="O834" i="23"/>
  <c r="O835" i="23"/>
  <c r="O836" i="23"/>
  <c r="O837" i="23"/>
  <c r="O838" i="23"/>
  <c r="O839" i="23"/>
  <c r="O840" i="23"/>
  <c r="O841" i="23"/>
  <c r="O842" i="23"/>
  <c r="O843" i="23"/>
  <c r="O844" i="23"/>
  <c r="O845" i="23"/>
  <c r="O846" i="23"/>
  <c r="O847" i="23"/>
  <c r="O848" i="23"/>
  <c r="O849" i="23"/>
  <c r="O850" i="23"/>
  <c r="O851" i="23"/>
  <c r="O852" i="23"/>
  <c r="O853" i="23"/>
  <c r="O854" i="23"/>
  <c r="O855" i="23"/>
  <c r="O856" i="23"/>
  <c r="O857" i="23"/>
  <c r="O858" i="23"/>
  <c r="O859" i="23"/>
  <c r="O860" i="23"/>
  <c r="O861" i="23"/>
  <c r="O862" i="23"/>
  <c r="O863" i="23"/>
  <c r="O864" i="23"/>
  <c r="O865" i="23"/>
  <c r="O866" i="23"/>
  <c r="O867" i="23"/>
  <c r="O868" i="23"/>
  <c r="O869" i="23"/>
  <c r="O870" i="23"/>
  <c r="O871" i="23"/>
  <c r="O872" i="23"/>
  <c r="O873" i="23"/>
  <c r="O874" i="23"/>
  <c r="O875" i="23"/>
  <c r="O876" i="23"/>
  <c r="O877" i="23"/>
  <c r="O878" i="23"/>
  <c r="O879" i="23"/>
  <c r="O880" i="23"/>
  <c r="O881" i="23"/>
  <c r="O882" i="23"/>
  <c r="O883" i="23"/>
  <c r="O884" i="23"/>
  <c r="O885" i="23"/>
  <c r="O886" i="23"/>
  <c r="O887" i="23"/>
  <c r="O888" i="23"/>
  <c r="O889" i="23"/>
  <c r="O890" i="23"/>
  <c r="O891" i="23"/>
  <c r="O892" i="23"/>
  <c r="O893" i="23"/>
  <c r="O894" i="23"/>
  <c r="O895" i="23"/>
  <c r="O896" i="23"/>
  <c r="O897" i="23"/>
  <c r="O898" i="23"/>
  <c r="O899" i="23"/>
  <c r="O900" i="23"/>
  <c r="O901" i="23"/>
  <c r="O902" i="23"/>
  <c r="O903" i="23"/>
  <c r="O904" i="23"/>
  <c r="O905" i="23"/>
  <c r="O906" i="23"/>
  <c r="O907" i="23"/>
  <c r="O908" i="23"/>
  <c r="O909" i="23"/>
  <c r="O910" i="23"/>
  <c r="O911" i="23"/>
  <c r="O912" i="23"/>
  <c r="O913" i="23"/>
  <c r="O914" i="23"/>
  <c r="O915" i="23"/>
  <c r="O916" i="23"/>
  <c r="O917" i="23"/>
  <c r="O918" i="23"/>
  <c r="O919" i="23"/>
  <c r="O920" i="23"/>
  <c r="O921" i="23"/>
  <c r="O922" i="23"/>
  <c r="O923" i="23"/>
  <c r="O924" i="23"/>
  <c r="O925" i="23"/>
  <c r="O926" i="23"/>
  <c r="O927" i="23"/>
  <c r="O928" i="23"/>
  <c r="O929" i="23"/>
  <c r="O930" i="23"/>
  <c r="O931" i="23"/>
  <c r="O932" i="23"/>
  <c r="O933" i="23"/>
  <c r="O934" i="23"/>
  <c r="O935" i="23"/>
  <c r="O936" i="23"/>
  <c r="O937" i="23"/>
  <c r="O938" i="23"/>
  <c r="O939" i="23"/>
  <c r="O940" i="23"/>
  <c r="O941" i="23"/>
  <c r="O942" i="23"/>
  <c r="O943" i="23"/>
  <c r="O944" i="23"/>
  <c r="O945" i="23"/>
  <c r="O946" i="23"/>
  <c r="O947" i="23"/>
  <c r="O948" i="23"/>
  <c r="O949" i="23"/>
  <c r="O950" i="23"/>
  <c r="O951" i="23"/>
  <c r="O952" i="23"/>
  <c r="O953" i="23"/>
  <c r="O954" i="23"/>
  <c r="O955" i="23"/>
  <c r="O956" i="23"/>
  <c r="O957" i="23"/>
  <c r="O958" i="23"/>
  <c r="O959" i="23"/>
  <c r="O960" i="23"/>
  <c r="O961" i="23"/>
  <c r="O962" i="23"/>
  <c r="O963" i="23"/>
  <c r="O964" i="23"/>
  <c r="O965" i="23"/>
  <c r="O966" i="23"/>
  <c r="O967" i="23"/>
  <c r="O968" i="23"/>
  <c r="O969" i="23"/>
  <c r="O970" i="23"/>
  <c r="O971" i="23"/>
  <c r="O972" i="23"/>
  <c r="O973" i="23"/>
  <c r="O974" i="23"/>
  <c r="O975" i="23"/>
  <c r="O976" i="23"/>
  <c r="O977" i="23"/>
  <c r="O978" i="23"/>
  <c r="O979" i="23"/>
  <c r="O980" i="23"/>
  <c r="O981" i="23"/>
  <c r="O982" i="23"/>
  <c r="O983" i="23"/>
  <c r="O984" i="23"/>
  <c r="O985" i="23"/>
  <c r="O986" i="23"/>
  <c r="O987" i="23"/>
  <c r="O988" i="23"/>
  <c r="O989" i="23"/>
  <c r="O990" i="23"/>
  <c r="O991" i="23"/>
  <c r="O992" i="23"/>
  <c r="O993" i="23"/>
  <c r="O994" i="23"/>
  <c r="O995" i="23"/>
  <c r="O996" i="23"/>
  <c r="O997" i="23"/>
  <c r="O998" i="23"/>
  <c r="O999" i="23"/>
  <c r="O1000" i="23"/>
  <c r="O1001" i="23"/>
  <c r="O1002" i="23"/>
  <c r="O1003" i="23"/>
  <c r="O1004" i="23"/>
  <c r="O1005" i="23"/>
  <c r="O1006" i="23"/>
  <c r="O1007" i="23"/>
  <c r="O1008" i="23"/>
  <c r="O1009" i="23"/>
  <c r="O1010" i="23"/>
  <c r="O1011" i="23"/>
  <c r="O1012" i="23"/>
  <c r="O1013" i="23"/>
  <c r="O1014" i="23"/>
  <c r="O1015" i="23"/>
  <c r="O1016" i="23"/>
  <c r="O1017" i="23"/>
  <c r="O1018" i="23"/>
  <c r="O1019" i="23"/>
  <c r="O1020" i="23"/>
  <c r="O1021" i="23"/>
  <c r="O1022" i="23"/>
  <c r="O1023" i="23"/>
  <c r="O1024" i="23"/>
  <c r="O1025" i="23"/>
  <c r="O1026" i="23"/>
  <c r="O1027" i="23"/>
  <c r="O1028" i="23"/>
  <c r="O1029" i="23"/>
  <c r="O1030" i="23"/>
  <c r="O1031" i="23"/>
  <c r="O1032" i="23"/>
  <c r="O1033" i="23"/>
  <c r="O1034" i="23"/>
  <c r="O1035" i="23"/>
  <c r="O1036" i="23"/>
  <c r="O1037" i="23"/>
  <c r="O1038" i="23"/>
  <c r="O1039" i="23"/>
  <c r="O1040" i="23"/>
  <c r="O1041" i="23"/>
  <c r="O1042" i="23"/>
  <c r="O1043" i="23"/>
  <c r="O1044" i="23"/>
  <c r="O1045" i="23"/>
  <c r="O1046" i="23"/>
  <c r="O1047" i="23"/>
  <c r="O1048" i="23"/>
  <c r="O1049" i="23"/>
  <c r="O1050" i="23"/>
  <c r="O1051" i="23"/>
  <c r="O1052" i="23"/>
  <c r="O1053" i="23"/>
  <c r="O1054" i="23"/>
  <c r="O1055" i="23"/>
  <c r="O1056" i="23"/>
  <c r="O1057" i="23"/>
  <c r="O1058" i="23"/>
  <c r="O1059" i="23"/>
  <c r="O1060" i="23"/>
  <c r="O1061" i="23"/>
  <c r="O1062" i="23"/>
  <c r="O1063" i="23"/>
  <c r="O1064" i="23"/>
  <c r="O1065" i="23"/>
  <c r="O1066" i="23"/>
  <c r="O1067" i="23"/>
  <c r="O1068" i="23"/>
  <c r="O1069" i="23"/>
  <c r="O1070" i="23"/>
  <c r="O1071" i="23"/>
  <c r="O1072" i="23"/>
  <c r="O1073" i="23"/>
  <c r="O1074" i="23"/>
  <c r="O1075" i="23"/>
  <c r="O1076" i="23"/>
  <c r="O1077" i="23"/>
  <c r="O1078" i="23"/>
  <c r="O1079" i="23"/>
  <c r="O1080" i="23"/>
  <c r="O1081" i="23"/>
  <c r="O1082" i="23"/>
  <c r="O1083" i="23"/>
  <c r="O1084" i="23"/>
  <c r="O1085" i="23"/>
  <c r="O1086" i="23"/>
  <c r="O1087" i="23"/>
  <c r="O1088" i="23"/>
  <c r="O1089" i="23"/>
  <c r="O1090" i="23"/>
  <c r="O1091" i="23"/>
  <c r="O1092" i="23"/>
  <c r="O1093" i="23"/>
  <c r="O1094" i="23"/>
  <c r="O1095" i="23"/>
  <c r="O1096" i="23"/>
  <c r="O1097" i="23"/>
  <c r="O1098" i="23"/>
  <c r="O1099" i="23"/>
  <c r="O1100" i="23"/>
  <c r="O1101" i="23"/>
  <c r="O1102" i="23"/>
  <c r="O1103" i="23"/>
  <c r="O1104" i="23"/>
  <c r="O1105" i="23"/>
  <c r="O1106" i="23"/>
  <c r="O1107" i="23"/>
  <c r="O1108" i="23"/>
  <c r="O1109" i="23"/>
  <c r="O1110" i="23"/>
  <c r="O1111" i="23"/>
  <c r="O1112" i="23"/>
  <c r="O1113" i="23"/>
  <c r="O1114" i="23"/>
  <c r="O1115" i="23"/>
  <c r="O1116" i="23"/>
  <c r="O1117" i="23"/>
  <c r="O1118" i="23"/>
  <c r="O1119" i="23"/>
  <c r="O1120" i="23"/>
  <c r="O1121" i="23"/>
  <c r="O1122" i="23"/>
  <c r="O1123" i="23"/>
  <c r="O1124" i="23"/>
  <c r="O1125" i="23"/>
  <c r="O1126" i="23"/>
  <c r="O1127" i="23"/>
  <c r="O1128" i="23"/>
  <c r="O1129" i="23"/>
  <c r="O1130" i="23"/>
  <c r="O1131" i="23"/>
  <c r="O1132" i="23"/>
  <c r="O1133" i="23"/>
  <c r="O1134" i="23"/>
  <c r="O1135" i="23"/>
  <c r="O1136" i="23"/>
  <c r="O1137" i="23"/>
  <c r="O1138" i="23"/>
  <c r="O1139" i="23"/>
  <c r="O1140" i="23"/>
  <c r="O1141" i="23"/>
  <c r="O1142" i="23"/>
  <c r="O1143" i="23"/>
  <c r="O1144" i="23"/>
  <c r="O1145" i="23"/>
  <c r="O1146" i="23"/>
  <c r="O1147" i="23"/>
  <c r="O1148" i="23"/>
  <c r="O1149" i="23"/>
  <c r="O1150" i="23"/>
  <c r="O1151" i="23"/>
  <c r="O1152" i="23"/>
  <c r="O1153" i="23"/>
  <c r="O1154" i="23"/>
  <c r="O1155" i="23"/>
  <c r="O1156" i="23"/>
  <c r="O1157" i="23"/>
  <c r="O1158" i="23"/>
  <c r="O1159" i="23"/>
  <c r="O1160" i="23"/>
  <c r="O1161" i="23"/>
  <c r="O1162" i="23"/>
  <c r="O1163" i="23"/>
  <c r="O1164" i="23"/>
  <c r="O1165" i="23"/>
  <c r="O1166" i="23"/>
  <c r="O1167" i="23"/>
  <c r="O1168" i="23"/>
  <c r="O1169" i="23"/>
  <c r="O1170" i="23"/>
  <c r="O1171" i="23"/>
  <c r="O1172" i="23"/>
  <c r="O1173" i="23"/>
  <c r="O1174" i="23"/>
  <c r="O1175" i="23"/>
  <c r="O1176" i="23"/>
  <c r="O1177" i="23"/>
  <c r="O1178" i="23"/>
  <c r="O1179" i="23"/>
  <c r="O1180" i="23"/>
  <c r="O1181" i="23"/>
  <c r="O1182" i="23"/>
  <c r="O1183" i="23"/>
  <c r="O1184" i="23"/>
  <c r="O1185" i="23"/>
  <c r="O1186" i="23"/>
  <c r="O1187" i="23"/>
  <c r="O1188" i="23"/>
  <c r="O1189" i="23"/>
  <c r="O1190" i="23"/>
  <c r="O1191" i="23"/>
  <c r="O1192" i="23"/>
  <c r="O1193" i="23"/>
  <c r="O1194" i="23"/>
  <c r="O1195" i="23"/>
  <c r="O1196" i="23"/>
  <c r="O1197" i="23"/>
  <c r="O1198" i="23"/>
  <c r="O1199" i="23"/>
  <c r="O1200" i="23"/>
  <c r="O1201" i="23"/>
  <c r="O1202" i="23"/>
  <c r="O1203" i="23"/>
  <c r="O1204" i="23"/>
  <c r="O1205" i="23"/>
  <c r="O1206" i="23"/>
  <c r="O1207" i="23"/>
  <c r="O1208" i="23"/>
  <c r="O1209" i="23"/>
  <c r="O1210" i="23"/>
  <c r="O1211" i="23"/>
  <c r="O1212" i="23"/>
  <c r="O1213" i="23"/>
  <c r="O1214" i="23"/>
  <c r="O1215" i="23"/>
  <c r="O1216" i="23"/>
  <c r="O1217" i="23"/>
  <c r="O1218" i="23"/>
  <c r="O1219" i="23"/>
  <c r="O1220" i="23"/>
  <c r="O1221" i="23"/>
  <c r="O1222" i="23"/>
  <c r="O1223" i="23"/>
  <c r="O1224" i="23"/>
  <c r="O1225" i="23"/>
  <c r="O1226" i="23"/>
  <c r="O1227" i="23"/>
  <c r="O1228" i="23"/>
  <c r="O1229" i="23"/>
  <c r="O1230" i="23"/>
  <c r="O1231" i="23"/>
  <c r="O1232" i="23"/>
  <c r="O1233" i="23"/>
  <c r="O1234" i="23"/>
  <c r="O1235" i="23"/>
  <c r="O1236" i="23"/>
  <c r="O1237" i="23"/>
  <c r="O1238" i="23"/>
  <c r="O1239" i="23"/>
  <c r="O1240" i="23"/>
  <c r="O1241" i="23"/>
  <c r="O1242" i="23"/>
  <c r="O1243" i="23"/>
  <c r="O1244" i="23"/>
  <c r="O1245" i="23"/>
  <c r="O1246" i="23"/>
  <c r="O1247" i="23"/>
  <c r="O1248" i="23"/>
  <c r="O1249" i="23"/>
  <c r="O1250" i="23"/>
  <c r="O1251" i="23"/>
  <c r="O1252" i="23"/>
  <c r="O1253" i="23"/>
  <c r="O1254" i="23"/>
  <c r="O1255" i="23"/>
  <c r="O1256" i="23"/>
  <c r="O1257" i="23"/>
  <c r="O1258" i="23"/>
  <c r="O1259" i="23"/>
  <c r="O1260" i="23"/>
  <c r="O1261" i="23"/>
  <c r="O1262" i="23"/>
  <c r="O1263" i="23"/>
  <c r="O1264" i="23"/>
  <c r="O1265" i="23"/>
  <c r="O1266" i="23"/>
  <c r="O1267" i="23"/>
  <c r="O1268" i="23"/>
  <c r="O1269" i="23"/>
  <c r="O1270" i="23"/>
  <c r="O1271" i="23"/>
  <c r="O1272" i="23"/>
  <c r="O1273" i="23"/>
  <c r="O1274" i="23"/>
  <c r="O1275" i="23"/>
  <c r="O1276" i="23"/>
  <c r="O1277" i="23"/>
  <c r="O1278" i="23"/>
  <c r="O1279" i="23"/>
  <c r="O1280" i="23"/>
  <c r="O1281" i="23"/>
  <c r="O1282" i="23"/>
  <c r="O1283" i="23"/>
  <c r="O1284" i="23"/>
  <c r="O1285" i="23"/>
  <c r="O1286" i="23"/>
  <c r="O1287" i="23"/>
  <c r="O1288" i="23"/>
  <c r="O1289" i="23"/>
  <c r="O1290" i="23"/>
  <c r="O1291" i="23"/>
  <c r="O1292" i="23"/>
  <c r="O1293" i="23"/>
  <c r="O1294" i="23"/>
  <c r="O1295" i="23"/>
  <c r="O1296" i="23"/>
  <c r="O1297" i="23"/>
  <c r="O1298" i="23"/>
  <c r="O1299" i="23"/>
  <c r="O1300" i="23"/>
  <c r="O1301" i="23"/>
  <c r="O1302" i="23"/>
  <c r="O1303" i="23"/>
  <c r="O1304" i="23"/>
  <c r="O1305" i="23"/>
  <c r="O1306" i="23"/>
  <c r="O1307" i="23"/>
  <c r="O1308" i="23"/>
  <c r="O1309" i="23"/>
  <c r="O1310" i="23"/>
  <c r="O1311" i="23"/>
  <c r="O1312" i="23"/>
  <c r="O1313" i="23"/>
  <c r="O1314" i="23"/>
  <c r="O1315" i="23"/>
  <c r="O1316" i="23"/>
  <c r="O1317" i="23"/>
  <c r="O1318" i="23"/>
  <c r="O1319" i="23"/>
  <c r="O1320" i="23"/>
  <c r="O1321" i="23"/>
  <c r="O1322" i="23"/>
  <c r="O1323" i="23"/>
  <c r="O1324" i="23"/>
  <c r="O1325" i="23"/>
  <c r="O1326" i="23"/>
  <c r="O1327" i="23"/>
  <c r="O1328" i="23"/>
  <c r="O1329" i="23"/>
  <c r="O1330" i="23"/>
  <c r="O1331" i="23"/>
  <c r="O1332" i="23"/>
  <c r="O1333" i="23"/>
  <c r="O1334" i="23"/>
  <c r="O1335" i="23"/>
  <c r="O1336" i="23"/>
  <c r="O1337" i="23"/>
  <c r="O1338" i="23"/>
  <c r="O1339" i="23"/>
  <c r="O1340" i="23"/>
  <c r="O1341" i="23"/>
  <c r="O1342" i="23"/>
  <c r="O1343" i="23"/>
  <c r="O1344" i="23"/>
  <c r="O1345" i="23"/>
  <c r="O1346" i="23"/>
  <c r="O1347" i="23"/>
  <c r="O1348" i="23"/>
  <c r="O1349" i="23"/>
  <c r="O1350" i="23"/>
  <c r="O1351" i="23"/>
  <c r="O1352" i="23"/>
  <c r="O1353" i="23"/>
  <c r="O1354" i="23"/>
  <c r="O1355" i="23"/>
  <c r="O1356" i="23"/>
  <c r="O1357" i="23"/>
  <c r="O1358" i="23"/>
  <c r="O1359" i="23"/>
  <c r="O1360" i="23"/>
  <c r="O1361" i="23"/>
  <c r="O1362" i="23"/>
  <c r="O1363" i="23"/>
  <c r="O1364" i="23"/>
  <c r="O1365" i="23"/>
  <c r="O1366" i="23"/>
  <c r="O1367" i="23"/>
  <c r="O1368" i="23"/>
  <c r="O1369" i="23"/>
  <c r="O1370" i="23"/>
  <c r="O1371" i="23"/>
  <c r="O1372" i="23"/>
  <c r="O1373" i="23"/>
  <c r="O1374" i="23"/>
  <c r="O1375" i="23"/>
  <c r="O1376" i="23"/>
  <c r="O1377" i="23"/>
  <c r="O1378" i="23"/>
  <c r="R1378" i="23" s="1"/>
  <c r="O14" i="23"/>
  <c r="K1390" i="23" l="1"/>
  <c r="K1383" i="23"/>
  <c r="P13" i="23"/>
  <c r="P12" i="23"/>
  <c r="U14" i="23"/>
  <c r="U13" i="23"/>
  <c r="U286" i="23"/>
  <c r="U222" i="23"/>
  <c r="U158" i="23"/>
  <c r="U70" i="23"/>
  <c r="U834" i="23"/>
  <c r="U266" i="23"/>
  <c r="K1387" i="23"/>
  <c r="U1030" i="23"/>
  <c r="U664" i="23"/>
  <c r="U244" i="23"/>
  <c r="U180" i="23"/>
  <c r="U844" i="23"/>
  <c r="U824" i="23"/>
  <c r="U792" i="23"/>
  <c r="U760" i="23"/>
  <c r="U728" i="23"/>
  <c r="U696" i="23"/>
  <c r="U640" i="23"/>
  <c r="U628" i="23"/>
  <c r="U576" i="23"/>
  <c r="U512" i="23"/>
  <c r="U500" i="23"/>
  <c r="U372" i="23"/>
  <c r="U284" i="23"/>
  <c r="U276" i="23"/>
  <c r="U268" i="23"/>
  <c r="U260" i="23"/>
  <c r="U252" i="23"/>
  <c r="U236" i="23"/>
  <c r="U228" i="23"/>
  <c r="U220" i="23"/>
  <c r="U212" i="23"/>
  <c r="U204" i="23"/>
  <c r="U196" i="23"/>
  <c r="U188" i="23"/>
  <c r="U172" i="23"/>
  <c r="U164" i="23"/>
  <c r="U156" i="23"/>
  <c r="U148" i="23"/>
  <c r="U140" i="23"/>
  <c r="U132" i="23"/>
  <c r="U124" i="23"/>
  <c r="U116" i="23"/>
  <c r="U108" i="23"/>
  <c r="U100" i="23"/>
  <c r="U92" i="23"/>
  <c r="U60" i="23"/>
  <c r="V8" i="23" s="1"/>
  <c r="U36" i="23"/>
  <c r="P346" i="23"/>
  <c r="P338" i="23"/>
  <c r="P330" i="23"/>
  <c r="P322" i="23"/>
  <c r="P314" i="23"/>
  <c r="P306" i="23"/>
  <c r="P298" i="23"/>
  <c r="P290" i="23"/>
  <c r="P282" i="23"/>
  <c r="P274" i="23"/>
  <c r="P266" i="23"/>
  <c r="P258" i="23"/>
  <c r="P250" i="23"/>
  <c r="P242" i="23"/>
  <c r="P234" i="23"/>
  <c r="P226" i="23"/>
  <c r="P218" i="23"/>
  <c r="P210" i="23"/>
  <c r="P202" i="23"/>
  <c r="P194" i="23"/>
  <c r="P186" i="23"/>
  <c r="P178" i="23"/>
  <c r="P170" i="23"/>
  <c r="P162" i="23"/>
  <c r="P154" i="23"/>
  <c r="P146" i="23"/>
  <c r="P138" i="23"/>
  <c r="P130" i="23"/>
  <c r="P122" i="23"/>
  <c r="P114" i="23"/>
  <c r="P106" i="23"/>
  <c r="P98" i="23"/>
  <c r="P90" i="23"/>
  <c r="P82" i="23"/>
  <c r="P74" i="23"/>
  <c r="P66" i="23"/>
  <c r="P58" i="23"/>
  <c r="Q6" i="23" s="1"/>
  <c r="P50" i="23"/>
  <c r="P42" i="23"/>
  <c r="P34" i="23"/>
  <c r="P26" i="23"/>
  <c r="P18" i="23"/>
  <c r="U47" i="23"/>
  <c r="W1385" i="23"/>
  <c r="W1384" i="23"/>
  <c r="W1383" i="23"/>
  <c r="W1382" i="23"/>
  <c r="U1374" i="23"/>
  <c r="W1374" i="23" s="1"/>
  <c r="U1366" i="23"/>
  <c r="W1366" i="23" s="1"/>
  <c r="U1358" i="23"/>
  <c r="W1358" i="23" s="1"/>
  <c r="U1354" i="23"/>
  <c r="W1354" i="23" s="1"/>
  <c r="U1350" i="23"/>
  <c r="W1350" i="23" s="1"/>
  <c r="U1346" i="23"/>
  <c r="W1346" i="23" s="1"/>
  <c r="U1342" i="23"/>
  <c r="W1342" i="23" s="1"/>
  <c r="U1338" i="23"/>
  <c r="W1338" i="23" s="1"/>
  <c r="U1334" i="23"/>
  <c r="W1334" i="23" s="1"/>
  <c r="U1330" i="23"/>
  <c r="W1330" i="23" s="1"/>
  <c r="U1326" i="23"/>
  <c r="V1326" i="23" s="1"/>
  <c r="W1326" i="23" s="1"/>
  <c r="U1322" i="23"/>
  <c r="U1318" i="23"/>
  <c r="U1314" i="23"/>
  <c r="U1310" i="23"/>
  <c r="U1306" i="23"/>
  <c r="U1302" i="23"/>
  <c r="U1298" i="23"/>
  <c r="U1294" i="23"/>
  <c r="U1290" i="23"/>
  <c r="U1286" i="23"/>
  <c r="U1282" i="23"/>
  <c r="U1278" i="23"/>
  <c r="U1274" i="23"/>
  <c r="U1270" i="23"/>
  <c r="U1266" i="23"/>
  <c r="U1262" i="23"/>
  <c r="U1258" i="23"/>
  <c r="U1254" i="23"/>
  <c r="U1250" i="23"/>
  <c r="U1246" i="23"/>
  <c r="U1242" i="23"/>
  <c r="U1238" i="23"/>
  <c r="U1234" i="23"/>
  <c r="U1230" i="23"/>
  <c r="U1226" i="23"/>
  <c r="U1222" i="23"/>
  <c r="U1218" i="23"/>
  <c r="U1214" i="23"/>
  <c r="U1210" i="23"/>
  <c r="U1206" i="23"/>
  <c r="U1202" i="23"/>
  <c r="U1198" i="23"/>
  <c r="U1194" i="23"/>
  <c r="U1190" i="23"/>
  <c r="U1186" i="23"/>
  <c r="U1182" i="23"/>
  <c r="U1178" i="23"/>
  <c r="U1174" i="23"/>
  <c r="U1170" i="23"/>
  <c r="U1166" i="23"/>
  <c r="U1162" i="23"/>
  <c r="U1158" i="23"/>
  <c r="U1154" i="23"/>
  <c r="U1150" i="23"/>
  <c r="U1146" i="23"/>
  <c r="U1142" i="23"/>
  <c r="U1138" i="23"/>
  <c r="U1134" i="23"/>
  <c r="U1130" i="23"/>
  <c r="U1126" i="23"/>
  <c r="U1122" i="23"/>
  <c r="U1118" i="23"/>
  <c r="U1114" i="23"/>
  <c r="U1110" i="23"/>
  <c r="U1106" i="23"/>
  <c r="U1102" i="23"/>
  <c r="U1098" i="23"/>
  <c r="U1094" i="23"/>
  <c r="U1090" i="23"/>
  <c r="U1086" i="23"/>
  <c r="U1082" i="23"/>
  <c r="U1078" i="23"/>
  <c r="U1074" i="23"/>
  <c r="U1070" i="23"/>
  <c r="U1066" i="23"/>
  <c r="U1062" i="23"/>
  <c r="U1058" i="23"/>
  <c r="U1054" i="23"/>
  <c r="U1050" i="23"/>
  <c r="U1046" i="23"/>
  <c r="U1042" i="23"/>
  <c r="U1038" i="23"/>
  <c r="U1034" i="23"/>
  <c r="U1026" i="23"/>
  <c r="U1022" i="23"/>
  <c r="U1018" i="23"/>
  <c r="U1014" i="23"/>
  <c r="U1010" i="23"/>
  <c r="U1006" i="23"/>
  <c r="U1002" i="23"/>
  <c r="U998" i="23"/>
  <c r="U994" i="23"/>
  <c r="U990" i="23"/>
  <c r="U986" i="23"/>
  <c r="U982" i="23"/>
  <c r="U978" i="23"/>
  <c r="V978" i="23" s="1"/>
  <c r="U974" i="23"/>
  <c r="U970" i="23"/>
  <c r="U966" i="23"/>
  <c r="U962" i="23"/>
  <c r="U958" i="23"/>
  <c r="U954" i="23"/>
  <c r="U950" i="23"/>
  <c r="U946" i="23"/>
  <c r="U942" i="23"/>
  <c r="U938" i="23"/>
  <c r="U934" i="23"/>
  <c r="U930" i="23"/>
  <c r="U926" i="23"/>
  <c r="U922" i="23"/>
  <c r="U918" i="23"/>
  <c r="U914" i="23"/>
  <c r="U910" i="23"/>
  <c r="U906" i="23"/>
  <c r="U902" i="23"/>
  <c r="U898" i="23"/>
  <c r="U894" i="23"/>
  <c r="U890" i="23"/>
  <c r="U886" i="23"/>
  <c r="U882" i="23"/>
  <c r="U878" i="23"/>
  <c r="U874" i="23"/>
  <c r="U870" i="23"/>
  <c r="U866" i="23"/>
  <c r="U862" i="23"/>
  <c r="U858" i="23"/>
  <c r="U854" i="23"/>
  <c r="U850" i="23"/>
  <c r="U846" i="23"/>
  <c r="U842" i="23"/>
  <c r="U838" i="23"/>
  <c r="U830" i="23"/>
  <c r="U826" i="23"/>
  <c r="U822" i="23"/>
  <c r="U818" i="23"/>
  <c r="U814" i="23"/>
  <c r="U810" i="23"/>
  <c r="U806" i="23"/>
  <c r="U802" i="23"/>
  <c r="U798" i="23"/>
  <c r="U794" i="23"/>
  <c r="U790" i="23"/>
  <c r="U786" i="23"/>
  <c r="U782" i="23"/>
  <c r="U778" i="23"/>
  <c r="U774" i="23"/>
  <c r="U770" i="23"/>
  <c r="U766" i="23"/>
  <c r="U762" i="23"/>
  <c r="U758" i="23"/>
  <c r="U754" i="23"/>
  <c r="U750" i="23"/>
  <c r="U746" i="23"/>
  <c r="U742" i="23"/>
  <c r="U738" i="23"/>
  <c r="U734" i="23"/>
  <c r="U730" i="23"/>
  <c r="U726" i="23"/>
  <c r="U722" i="23"/>
  <c r="U718" i="23"/>
  <c r="U714" i="23"/>
  <c r="U710" i="23"/>
  <c r="U706" i="23"/>
  <c r="U702" i="23"/>
  <c r="U698" i="23"/>
  <c r="U694" i="23"/>
  <c r="U690" i="23"/>
  <c r="U686" i="23"/>
  <c r="U682" i="23"/>
  <c r="U678" i="23"/>
  <c r="U674" i="23"/>
  <c r="U670" i="23"/>
  <c r="U666" i="23"/>
  <c r="U662" i="23"/>
  <c r="U658" i="23"/>
  <c r="U654" i="23"/>
  <c r="U650" i="23"/>
  <c r="U646" i="23"/>
  <c r="U642" i="23"/>
  <c r="U638" i="23"/>
  <c r="U634" i="23"/>
  <c r="U630" i="23"/>
  <c r="U626" i="23"/>
  <c r="U622" i="23"/>
  <c r="U618" i="23"/>
  <c r="U614" i="23"/>
  <c r="U610" i="23"/>
  <c r="U606" i="23"/>
  <c r="U602" i="23"/>
  <c r="U598" i="23"/>
  <c r="U594" i="23"/>
  <c r="U590" i="23"/>
  <c r="U586" i="23"/>
  <c r="U582" i="23"/>
  <c r="U578" i="23"/>
  <c r="U574" i="23"/>
  <c r="U570" i="23"/>
  <c r="U566" i="23"/>
  <c r="U562" i="23"/>
  <c r="U558" i="23"/>
  <c r="U554" i="23"/>
  <c r="U550" i="23"/>
  <c r="U546" i="23"/>
  <c r="U542" i="23"/>
  <c r="U538" i="23"/>
  <c r="U534" i="23"/>
  <c r="U530" i="23"/>
  <c r="U526" i="23"/>
  <c r="U522" i="23"/>
  <c r="U518" i="23"/>
  <c r="U514" i="23"/>
  <c r="U510" i="23"/>
  <c r="U506" i="23"/>
  <c r="U502" i="23"/>
  <c r="U498" i="23"/>
  <c r="U494" i="23"/>
  <c r="U490" i="23"/>
  <c r="U486" i="23"/>
  <c r="U482" i="23"/>
  <c r="U478" i="23"/>
  <c r="U474" i="23"/>
  <c r="U470" i="23"/>
  <c r="U466" i="23"/>
  <c r="U462" i="23"/>
  <c r="U458" i="23"/>
  <c r="U454" i="23"/>
  <c r="U450" i="23"/>
  <c r="U446" i="23"/>
  <c r="U442" i="23"/>
  <c r="U438" i="23"/>
  <c r="U434" i="23"/>
  <c r="U430" i="23"/>
  <c r="U426" i="23"/>
  <c r="U422" i="23"/>
  <c r="U418" i="23"/>
  <c r="U414" i="23"/>
  <c r="U410" i="23"/>
  <c r="U406" i="23"/>
  <c r="U402" i="23"/>
  <c r="U398" i="23"/>
  <c r="U394" i="23"/>
  <c r="U390" i="23"/>
  <c r="U386" i="23"/>
  <c r="U382" i="23"/>
  <c r="U378" i="23"/>
  <c r="U374" i="23"/>
  <c r="U370" i="23"/>
  <c r="U366" i="23"/>
  <c r="U362" i="23"/>
  <c r="U358" i="23"/>
  <c r="U354" i="23"/>
  <c r="U350" i="23"/>
  <c r="U346" i="23"/>
  <c r="U342" i="23"/>
  <c r="U338" i="23"/>
  <c r="U334" i="23"/>
  <c r="U330" i="23"/>
  <c r="U326" i="23"/>
  <c r="U322" i="23"/>
  <c r="U318" i="23"/>
  <c r="U314" i="23"/>
  <c r="U306" i="23"/>
  <c r="U302" i="23"/>
  <c r="U298" i="23"/>
  <c r="U294" i="23"/>
  <c r="U290" i="23"/>
  <c r="U282" i="23"/>
  <c r="U278" i="23"/>
  <c r="U274" i="23"/>
  <c r="U270" i="23"/>
  <c r="U262" i="23"/>
  <c r="U258" i="23"/>
  <c r="U254" i="23"/>
  <c r="U250" i="23"/>
  <c r="U246" i="23"/>
  <c r="U242" i="23"/>
  <c r="U238" i="23"/>
  <c r="U234" i="23"/>
  <c r="U230" i="23"/>
  <c r="U226" i="23"/>
  <c r="U218" i="23"/>
  <c r="U214" i="23"/>
  <c r="U210" i="23"/>
  <c r="U206" i="23"/>
  <c r="U202" i="23"/>
  <c r="U198" i="23"/>
  <c r="U194" i="23"/>
  <c r="U190" i="23"/>
  <c r="U186" i="23"/>
  <c r="U182" i="23"/>
  <c r="U178" i="23"/>
  <c r="U174" i="23"/>
  <c r="U170" i="23"/>
  <c r="U166" i="23"/>
  <c r="U162" i="23"/>
  <c r="U154" i="23"/>
  <c r="U150" i="23"/>
  <c r="U146" i="23"/>
  <c r="U142" i="23"/>
  <c r="U138" i="23"/>
  <c r="U134" i="23"/>
  <c r="U130" i="23"/>
  <c r="U126" i="23"/>
  <c r="U122" i="23"/>
  <c r="U118" i="23"/>
  <c r="U114" i="23"/>
  <c r="U110" i="23"/>
  <c r="U106" i="23"/>
  <c r="U102" i="23"/>
  <c r="U98" i="23"/>
  <c r="U94" i="23"/>
  <c r="U90" i="23"/>
  <c r="U86" i="23"/>
  <c r="U82" i="23"/>
  <c r="U78" i="23"/>
  <c r="U74" i="23"/>
  <c r="U66" i="23"/>
  <c r="U62" i="23"/>
  <c r="V10" i="23" s="1"/>
  <c r="U58" i="23"/>
  <c r="V6" i="23" s="1"/>
  <c r="U54" i="23"/>
  <c r="U50" i="23"/>
  <c r="U46" i="23"/>
  <c r="U42" i="23"/>
  <c r="U38" i="23"/>
  <c r="U34" i="23"/>
  <c r="U30" i="23"/>
  <c r="U26" i="23"/>
  <c r="U22" i="23"/>
  <c r="U18" i="23"/>
  <c r="R1390" i="23"/>
  <c r="R1389" i="23"/>
  <c r="R1388" i="23"/>
  <c r="R1387" i="23"/>
  <c r="R1386" i="23"/>
  <c r="R1385" i="23"/>
  <c r="R1384" i="23"/>
  <c r="R1383" i="23"/>
  <c r="P1382" i="23"/>
  <c r="P1381" i="23"/>
  <c r="W1380" i="23"/>
  <c r="W1378" i="23"/>
  <c r="P823" i="23"/>
  <c r="P783" i="23"/>
  <c r="P743" i="23"/>
  <c r="P703" i="23"/>
  <c r="P663" i="23"/>
  <c r="P623" i="23"/>
  <c r="P583" i="23"/>
  <c r="P543" i="23"/>
  <c r="P503" i="23"/>
  <c r="P463" i="23"/>
  <c r="P423" i="23"/>
  <c r="P391" i="23"/>
  <c r="P351" i="23"/>
  <c r="P311" i="23"/>
  <c r="P271" i="23"/>
  <c r="P263" i="23"/>
  <c r="P255" i="23"/>
  <c r="P215" i="23"/>
  <c r="P207" i="23"/>
  <c r="P199" i="23"/>
  <c r="P191" i="23"/>
  <c r="P183" i="23"/>
  <c r="P175" i="23"/>
  <c r="P167" i="23"/>
  <c r="P159" i="23"/>
  <c r="P151" i="23"/>
  <c r="P143" i="23"/>
  <c r="P135" i="23"/>
  <c r="P127" i="23"/>
  <c r="P119" i="23"/>
  <c r="P111" i="23"/>
  <c r="P103" i="23"/>
  <c r="P95" i="23"/>
  <c r="P87" i="23"/>
  <c r="P79" i="23"/>
  <c r="P71" i="23"/>
  <c r="P63" i="23"/>
  <c r="Q11" i="23" s="1"/>
  <c r="P55" i="23"/>
  <c r="P47" i="23"/>
  <c r="P39" i="23"/>
  <c r="P31" i="23"/>
  <c r="P23" i="23"/>
  <c r="P15" i="23"/>
  <c r="U1372" i="23"/>
  <c r="W1372" i="23" s="1"/>
  <c r="U1364" i="23"/>
  <c r="W1364" i="23" s="1"/>
  <c r="P839" i="23"/>
  <c r="P799" i="23"/>
  <c r="P759" i="23"/>
  <c r="P719" i="23"/>
  <c r="P671" i="23"/>
  <c r="P631" i="23"/>
  <c r="P591" i="23"/>
  <c r="P551" i="23"/>
  <c r="P511" i="23"/>
  <c r="P471" i="23"/>
  <c r="P431" i="23"/>
  <c r="P383" i="23"/>
  <c r="P343" i="23"/>
  <c r="P303" i="23"/>
  <c r="P239" i="23"/>
  <c r="U1370" i="23"/>
  <c r="W1370" i="23" s="1"/>
  <c r="U1362" i="23"/>
  <c r="W1362" i="23" s="1"/>
  <c r="P807" i="23"/>
  <c r="P767" i="23"/>
  <c r="P727" i="23"/>
  <c r="P687" i="23"/>
  <c r="P647" i="23"/>
  <c r="P607" i="23"/>
  <c r="P567" i="23"/>
  <c r="P527" i="23"/>
  <c r="P487" i="23"/>
  <c r="P447" i="23"/>
  <c r="P407" i="23"/>
  <c r="P367" i="23"/>
  <c r="P319" i="23"/>
  <c r="P279" i="23"/>
  <c r="P223" i="23"/>
  <c r="W1377" i="23"/>
  <c r="U1369" i="23"/>
  <c r="W1369" i="23" s="1"/>
  <c r="P871" i="23"/>
  <c r="P831" i="23"/>
  <c r="P791" i="23"/>
  <c r="P751" i="23"/>
  <c r="P711" i="23"/>
  <c r="P679" i="23"/>
  <c r="P639" i="23"/>
  <c r="P599" i="23"/>
  <c r="P559" i="23"/>
  <c r="P519" i="23"/>
  <c r="P479" i="23"/>
  <c r="P439" i="23"/>
  <c r="P399" i="23"/>
  <c r="P359" i="23"/>
  <c r="P327" i="23"/>
  <c r="P287" i="23"/>
  <c r="P231" i="23"/>
  <c r="U1376" i="23"/>
  <c r="U1368" i="23"/>
  <c r="W1368" i="23" s="1"/>
  <c r="U749" i="23"/>
  <c r="P815" i="23"/>
  <c r="P775" i="23"/>
  <c r="P735" i="23"/>
  <c r="P695" i="23"/>
  <c r="P655" i="23"/>
  <c r="P615" i="23"/>
  <c r="P575" i="23"/>
  <c r="P535" i="23"/>
  <c r="P495" i="23"/>
  <c r="P455" i="23"/>
  <c r="P415" i="23"/>
  <c r="P375" i="23"/>
  <c r="P335" i="23"/>
  <c r="P295" i="23"/>
  <c r="P247" i="23"/>
  <c r="U1375" i="23"/>
  <c r="W1375" i="23" s="1"/>
  <c r="U310" i="23"/>
  <c r="U308" i="23"/>
  <c r="U564" i="23"/>
  <c r="U853" i="23"/>
  <c r="U813" i="23"/>
  <c r="U781" i="23"/>
  <c r="U717" i="23"/>
  <c r="U685" i="23"/>
  <c r="U653" i="23"/>
  <c r="U589" i="23"/>
  <c r="U525" i="23"/>
  <c r="U436" i="23"/>
  <c r="U1373" i="23"/>
  <c r="W1373" i="23" s="1"/>
  <c r="U1365" i="23"/>
  <c r="W1365" i="23" s="1"/>
  <c r="U1357" i="23"/>
  <c r="W1357" i="23" s="1"/>
  <c r="U1349" i="23"/>
  <c r="W1349" i="23" s="1"/>
  <c r="U1341" i="23"/>
  <c r="W1341" i="23" s="1"/>
  <c r="U1333" i="23"/>
  <c r="W1333" i="23" s="1"/>
  <c r="U1325" i="23"/>
  <c r="U1317" i="23"/>
  <c r="U1309" i="23"/>
  <c r="U1301" i="23"/>
  <c r="U1293" i="23"/>
  <c r="U1285" i="23"/>
  <c r="U1277" i="23"/>
  <c r="U1269" i="23"/>
  <c r="U1261" i="23"/>
  <c r="U1253" i="23"/>
  <c r="U1245" i="23"/>
  <c r="U1237" i="23"/>
  <c r="U1229" i="23"/>
  <c r="U1221" i="23"/>
  <c r="U1213" i="23"/>
  <c r="U1205" i="23"/>
  <c r="U1197" i="23"/>
  <c r="U1189" i="23"/>
  <c r="U1181" i="23"/>
  <c r="U1173" i="23"/>
  <c r="U1165" i="23"/>
  <c r="U1157" i="23"/>
  <c r="U1149" i="23"/>
  <c r="U1141" i="23"/>
  <c r="U1133" i="23"/>
  <c r="U1125" i="23"/>
  <c r="U1117" i="23"/>
  <c r="U1109" i="23"/>
  <c r="U1101" i="23"/>
  <c r="U1093" i="23"/>
  <c r="U1085" i="23"/>
  <c r="U1077" i="23"/>
  <c r="U1069" i="23"/>
  <c r="U1061" i="23"/>
  <c r="U1053" i="23"/>
  <c r="U1045" i="23"/>
  <c r="U1037" i="23"/>
  <c r="U1029" i="23"/>
  <c r="U1021" i="23"/>
  <c r="U1013" i="23"/>
  <c r="U1005" i="23"/>
  <c r="U997" i="23"/>
  <c r="U989" i="23"/>
  <c r="U981" i="23"/>
  <c r="U973" i="23"/>
  <c r="U965" i="23"/>
  <c r="U957" i="23"/>
  <c r="U949" i="23"/>
  <c r="U941" i="23"/>
  <c r="U933" i="23"/>
  <c r="U925" i="23"/>
  <c r="U917" i="23"/>
  <c r="U909" i="23"/>
  <c r="U901" i="23"/>
  <c r="U893" i="23"/>
  <c r="U885" i="23"/>
  <c r="U877" i="23"/>
  <c r="U869" i="23"/>
  <c r="U861" i="23"/>
  <c r="U845" i="23"/>
  <c r="U837" i="23"/>
  <c r="U829" i="23"/>
  <c r="U821" i="23"/>
  <c r="U805" i="23"/>
  <c r="U797" i="23"/>
  <c r="U789" i="23"/>
  <c r="U773" i="23"/>
  <c r="U765" i="23"/>
  <c r="U757" i="23"/>
  <c r="U741" i="23"/>
  <c r="U733" i="23"/>
  <c r="U725" i="23"/>
  <c r="U709" i="23"/>
  <c r="U701" i="23"/>
  <c r="U693" i="23"/>
  <c r="U677" i="23"/>
  <c r="U669" i="23"/>
  <c r="U661" i="23"/>
  <c r="U645" i="23"/>
  <c r="U637" i="23"/>
  <c r="U629" i="23"/>
  <c r="U621" i="23"/>
  <c r="U613" i="23"/>
  <c r="U605" i="23"/>
  <c r="U597" i="23"/>
  <c r="U581" i="23"/>
  <c r="U573" i="23"/>
  <c r="U565" i="23"/>
  <c r="U557" i="23"/>
  <c r="U549" i="23"/>
  <c r="U541" i="23"/>
  <c r="U533" i="23"/>
  <c r="U517" i="23"/>
  <c r="U509" i="23"/>
  <c r="U501" i="23"/>
  <c r="U493" i="23"/>
  <c r="U485" i="23"/>
  <c r="U477" i="23"/>
  <c r="U469" i="23"/>
  <c r="U461" i="23"/>
  <c r="U453" i="23"/>
  <c r="U445" i="23"/>
  <c r="U437" i="23"/>
  <c r="U429" i="23"/>
  <c r="U421" i="23"/>
  <c r="U413" i="23"/>
  <c r="U405" i="23"/>
  <c r="U397" i="23"/>
  <c r="U389" i="23"/>
  <c r="U381" i="23"/>
  <c r="U373" i="23"/>
  <c r="U365" i="23"/>
  <c r="U357" i="23"/>
  <c r="U349" i="23"/>
  <c r="U341" i="23"/>
  <c r="U333" i="23"/>
  <c r="U325" i="23"/>
  <c r="U317" i="23"/>
  <c r="U309" i="23"/>
  <c r="U301" i="23"/>
  <c r="U293" i="23"/>
  <c r="U1356" i="23"/>
  <c r="W1356" i="23" s="1"/>
  <c r="U1348" i="23"/>
  <c r="W1348" i="23" s="1"/>
  <c r="U1340" i="23"/>
  <c r="W1340" i="23" s="1"/>
  <c r="U1332" i="23"/>
  <c r="W1332" i="23" s="1"/>
  <c r="U1324" i="23"/>
  <c r="U1316" i="23"/>
  <c r="U1308" i="23"/>
  <c r="U1300" i="23"/>
  <c r="U1292" i="23"/>
  <c r="U1284" i="23"/>
  <c r="U1276" i="23"/>
  <c r="U1268" i="23"/>
  <c r="U1260" i="23"/>
  <c r="U1252" i="23"/>
  <c r="U1244" i="23"/>
  <c r="U1236" i="23"/>
  <c r="U1228" i="23"/>
  <c r="U1220" i="23"/>
  <c r="U1212" i="23"/>
  <c r="U1204" i="23"/>
  <c r="U1196" i="23"/>
  <c r="U1188" i="23"/>
  <c r="U1180" i="23"/>
  <c r="U1172" i="23"/>
  <c r="U1164" i="23"/>
  <c r="U1156" i="23"/>
  <c r="U1148" i="23"/>
  <c r="U1140" i="23"/>
  <c r="U1132" i="23"/>
  <c r="U1124" i="23"/>
  <c r="U1116" i="23"/>
  <c r="U1108" i="23"/>
  <c r="U1100" i="23"/>
  <c r="U1092" i="23"/>
  <c r="U1084" i="23"/>
  <c r="U1076" i="23"/>
  <c r="U1068" i="23"/>
  <c r="U1060" i="23"/>
  <c r="U1052" i="23"/>
  <c r="U1044" i="23"/>
  <c r="U1036" i="23"/>
  <c r="U1028" i="23"/>
  <c r="U1020" i="23"/>
  <c r="U1012" i="23"/>
  <c r="U1004" i="23"/>
  <c r="U996" i="23"/>
  <c r="U988" i="23"/>
  <c r="U980" i="23"/>
  <c r="U972" i="23"/>
  <c r="U964" i="23"/>
  <c r="U956" i="23"/>
  <c r="U948" i="23"/>
  <c r="U940" i="23"/>
  <c r="U932" i="23"/>
  <c r="U924" i="23"/>
  <c r="U916" i="23"/>
  <c r="U908" i="23"/>
  <c r="U900" i="23"/>
  <c r="U892" i="23"/>
  <c r="U884" i="23"/>
  <c r="U876" i="23"/>
  <c r="U868" i="23"/>
  <c r="U860" i="23"/>
  <c r="U852" i="23"/>
  <c r="U836" i="23"/>
  <c r="U828" i="23"/>
  <c r="U820" i="23"/>
  <c r="U812" i="23"/>
  <c r="U804" i="23"/>
  <c r="U796" i="23"/>
  <c r="U788" i="23"/>
  <c r="U780" i="23"/>
  <c r="U772" i="23"/>
  <c r="U764" i="23"/>
  <c r="U756" i="23"/>
  <c r="U748" i="23"/>
  <c r="U740" i="23"/>
  <c r="U732" i="23"/>
  <c r="U724" i="23"/>
  <c r="U716" i="23"/>
  <c r="U708" i="23"/>
  <c r="U700" i="23"/>
  <c r="U692" i="23"/>
  <c r="U684" i="23"/>
  <c r="U676" i="23"/>
  <c r="U668" i="23"/>
  <c r="U660" i="23"/>
  <c r="U652" i="23"/>
  <c r="U644" i="23"/>
  <c r="U636" i="23"/>
  <c r="U620" i="23"/>
  <c r="U612" i="23"/>
  <c r="U604" i="23"/>
  <c r="U596" i="23"/>
  <c r="U588" i="23"/>
  <c r="U580" i="23"/>
  <c r="U572" i="23"/>
  <c r="U556" i="23"/>
  <c r="U548" i="23"/>
  <c r="U540" i="23"/>
  <c r="U532" i="23"/>
  <c r="U524" i="23"/>
  <c r="U516" i="23"/>
  <c r="U508" i="23"/>
  <c r="U492" i="23"/>
  <c r="U484" i="23"/>
  <c r="U476" i="23"/>
  <c r="U468" i="23"/>
  <c r="U460" i="23"/>
  <c r="U452" i="23"/>
  <c r="U444" i="23"/>
  <c r="U428" i="23"/>
  <c r="U420" i="23"/>
  <c r="U412" i="23"/>
  <c r="U404" i="23"/>
  <c r="U396" i="23"/>
  <c r="U388" i="23"/>
  <c r="U380" i="23"/>
  <c r="U364" i="23"/>
  <c r="U356" i="23"/>
  <c r="U348" i="23"/>
  <c r="U340" i="23"/>
  <c r="U332" i="23"/>
  <c r="U324" i="23"/>
  <c r="U316" i="23"/>
  <c r="U300" i="23"/>
  <c r="U292" i="23"/>
  <c r="U1371" i="23"/>
  <c r="W1371" i="23" s="1"/>
  <c r="U1363" i="23"/>
  <c r="W1363" i="23" s="1"/>
  <c r="U1355" i="23"/>
  <c r="W1355" i="23" s="1"/>
  <c r="U1347" i="23"/>
  <c r="W1347" i="23" s="1"/>
  <c r="U1339" i="23"/>
  <c r="W1339" i="23" s="1"/>
  <c r="U1331" i="23"/>
  <c r="W1331" i="23" s="1"/>
  <c r="U1323" i="23"/>
  <c r="U1315" i="23"/>
  <c r="U1307" i="23"/>
  <c r="U1299" i="23"/>
  <c r="U1291" i="23"/>
  <c r="U1283" i="23"/>
  <c r="U1275" i="23"/>
  <c r="U1267" i="23"/>
  <c r="U1259" i="23"/>
  <c r="U1251" i="23"/>
  <c r="U1243" i="23"/>
  <c r="U1235" i="23"/>
  <c r="U1227" i="23"/>
  <c r="U1219" i="23"/>
  <c r="U1211" i="23"/>
  <c r="U1203" i="23"/>
  <c r="U1195" i="23"/>
  <c r="U1187" i="23"/>
  <c r="U1179" i="23"/>
  <c r="U1171" i="23"/>
  <c r="U1163" i="23"/>
  <c r="U1155" i="23"/>
  <c r="U1147" i="23"/>
  <c r="U1139" i="23"/>
  <c r="U1131" i="23"/>
  <c r="U1123" i="23"/>
  <c r="U1115" i="23"/>
  <c r="U1107" i="23"/>
  <c r="U1099" i="23"/>
  <c r="U1091" i="23"/>
  <c r="U1083" i="23"/>
  <c r="U1075" i="23"/>
  <c r="U1067" i="23"/>
  <c r="U1059" i="23"/>
  <c r="U1051" i="23"/>
  <c r="U1043" i="23"/>
  <c r="U1035" i="23"/>
  <c r="U1027" i="23"/>
  <c r="U1019" i="23"/>
  <c r="U1011" i="23"/>
  <c r="U1003" i="23"/>
  <c r="U995" i="23"/>
  <c r="U987" i="23"/>
  <c r="U979" i="23"/>
  <c r="U971" i="23"/>
  <c r="U963" i="23"/>
  <c r="U955" i="23"/>
  <c r="U947" i="23"/>
  <c r="U939" i="23"/>
  <c r="U931" i="23"/>
  <c r="U923" i="23"/>
  <c r="U915" i="23"/>
  <c r="U907" i="23"/>
  <c r="U899" i="23"/>
  <c r="U891" i="23"/>
  <c r="U883" i="23"/>
  <c r="U875" i="23"/>
  <c r="U867" i="23"/>
  <c r="U859" i="23"/>
  <c r="U851" i="23"/>
  <c r="U843" i="23"/>
  <c r="U835" i="23"/>
  <c r="U827" i="23"/>
  <c r="U819" i="23"/>
  <c r="U811" i="23"/>
  <c r="U803" i="23"/>
  <c r="U795" i="23"/>
  <c r="U787" i="23"/>
  <c r="U779" i="23"/>
  <c r="U771" i="23"/>
  <c r="U763" i="23"/>
  <c r="U755" i="23"/>
  <c r="U747" i="23"/>
  <c r="U739" i="23"/>
  <c r="U731" i="23"/>
  <c r="U723" i="23"/>
  <c r="U715" i="23"/>
  <c r="U707" i="23"/>
  <c r="U699" i="23"/>
  <c r="U691" i="23"/>
  <c r="U683" i="23"/>
  <c r="U675" i="23"/>
  <c r="U667" i="23"/>
  <c r="U659" i="23"/>
  <c r="U651" i="23"/>
  <c r="U643" i="23"/>
  <c r="U635" i="23"/>
  <c r="U627" i="23"/>
  <c r="U619" i="23"/>
  <c r="U611" i="23"/>
  <c r="U603" i="23"/>
  <c r="U595" i="23"/>
  <c r="U587" i="23"/>
  <c r="U579" i="23"/>
  <c r="U571" i="23"/>
  <c r="U563" i="23"/>
  <c r="U555" i="23"/>
  <c r="U547" i="23"/>
  <c r="U539" i="23"/>
  <c r="U531" i="23"/>
  <c r="U523" i="23"/>
  <c r="U515" i="23"/>
  <c r="U507" i="23"/>
  <c r="U499" i="23"/>
  <c r="U491" i="23"/>
  <c r="U483" i="23"/>
  <c r="U475" i="23"/>
  <c r="U467" i="23"/>
  <c r="U459" i="23"/>
  <c r="U451" i="23"/>
  <c r="U443" i="23"/>
  <c r="U435" i="23"/>
  <c r="U427" i="23"/>
  <c r="U419" i="23"/>
  <c r="U411" i="23"/>
  <c r="U403" i="23"/>
  <c r="U395" i="23"/>
  <c r="U387" i="23"/>
  <c r="U379" i="23"/>
  <c r="U371" i="23"/>
  <c r="U363" i="23"/>
  <c r="U355" i="23"/>
  <c r="U347" i="23"/>
  <c r="U1361" i="23"/>
  <c r="W1361" i="23" s="1"/>
  <c r="U1353" i="23"/>
  <c r="W1353" i="23" s="1"/>
  <c r="U1345" i="23"/>
  <c r="W1345" i="23" s="1"/>
  <c r="U1337" i="23"/>
  <c r="W1337" i="23" s="1"/>
  <c r="U1329" i="23"/>
  <c r="W1329" i="23" s="1"/>
  <c r="U1321" i="23"/>
  <c r="U1313" i="23"/>
  <c r="U1305" i="23"/>
  <c r="U1297" i="23"/>
  <c r="U1289" i="23"/>
  <c r="U1281" i="23"/>
  <c r="U1273" i="23"/>
  <c r="U1265" i="23"/>
  <c r="U1257" i="23"/>
  <c r="U1249" i="23"/>
  <c r="U1241" i="23"/>
  <c r="U1233" i="23"/>
  <c r="U1225" i="23"/>
  <c r="U1217" i="23"/>
  <c r="U1209" i="23"/>
  <c r="U1201" i="23"/>
  <c r="U1193" i="23"/>
  <c r="U1185" i="23"/>
  <c r="U1177" i="23"/>
  <c r="U1169" i="23"/>
  <c r="U1161" i="23"/>
  <c r="U1153" i="23"/>
  <c r="U1145" i="23"/>
  <c r="U1137" i="23"/>
  <c r="U1129" i="23"/>
  <c r="U1121" i="23"/>
  <c r="U1113" i="23"/>
  <c r="U1105" i="23"/>
  <c r="U1097" i="23"/>
  <c r="U1089" i="23"/>
  <c r="U1081" i="23"/>
  <c r="U1073" i="23"/>
  <c r="U1065" i="23"/>
  <c r="U1057" i="23"/>
  <c r="U1049" i="23"/>
  <c r="U1041" i="23"/>
  <c r="U1033" i="23"/>
  <c r="U1025" i="23"/>
  <c r="U1017" i="23"/>
  <c r="U1009" i="23"/>
  <c r="U1001" i="23"/>
  <c r="U993" i="23"/>
  <c r="U985" i="23"/>
  <c r="U977" i="23"/>
  <c r="U969" i="23"/>
  <c r="U961" i="23"/>
  <c r="U953" i="23"/>
  <c r="U945" i="23"/>
  <c r="U937" i="23"/>
  <c r="U929" i="23"/>
  <c r="U921" i="23"/>
  <c r="U913" i="23"/>
  <c r="U905" i="23"/>
  <c r="U897" i="23"/>
  <c r="U889" i="23"/>
  <c r="U881" i="23"/>
  <c r="U873" i="23"/>
  <c r="U865" i="23"/>
  <c r="U857" i="23"/>
  <c r="U849" i="23"/>
  <c r="U841" i="23"/>
  <c r="U833" i="23"/>
  <c r="U825" i="23"/>
  <c r="U817" i="23"/>
  <c r="U809" i="23"/>
  <c r="U801" i="23"/>
  <c r="U793" i="23"/>
  <c r="U785" i="23"/>
  <c r="U777" i="23"/>
  <c r="U769" i="23"/>
  <c r="U761" i="23"/>
  <c r="U753" i="23"/>
  <c r="U745" i="23"/>
  <c r="U737" i="23"/>
  <c r="U729" i="23"/>
  <c r="U721" i="23"/>
  <c r="U713" i="23"/>
  <c r="U705" i="23"/>
  <c r="U697" i="23"/>
  <c r="U689" i="23"/>
  <c r="U681" i="23"/>
  <c r="U673" i="23"/>
  <c r="U665" i="23"/>
  <c r="U657" i="23"/>
  <c r="U649" i="23"/>
  <c r="U641" i="23"/>
  <c r="U633" i="23"/>
  <c r="U625" i="23"/>
  <c r="U617" i="23"/>
  <c r="U609" i="23"/>
  <c r="U601" i="23"/>
  <c r="U593" i="23"/>
  <c r="U585" i="23"/>
  <c r="U577" i="23"/>
  <c r="U569" i="23"/>
  <c r="U561" i="23"/>
  <c r="U553" i="23"/>
  <c r="U545" i="23"/>
  <c r="U537" i="23"/>
  <c r="U529" i="23"/>
  <c r="U521" i="23"/>
  <c r="U513" i="23"/>
  <c r="U505" i="23"/>
  <c r="U497" i="23"/>
  <c r="U489" i="23"/>
  <c r="U481" i="23"/>
  <c r="U473" i="23"/>
  <c r="U465" i="23"/>
  <c r="U457" i="23"/>
  <c r="U449" i="23"/>
  <c r="U441" i="23"/>
  <c r="U433" i="23"/>
  <c r="U425" i="23"/>
  <c r="U417" i="23"/>
  <c r="U409" i="23"/>
  <c r="U401" i="23"/>
  <c r="U393" i="23"/>
  <c r="U385" i="23"/>
  <c r="U377" i="23"/>
  <c r="U369" i="23"/>
  <c r="U361" i="23"/>
  <c r="U353" i="23"/>
  <c r="U345" i="23"/>
  <c r="U337" i="23"/>
  <c r="U329" i="23"/>
  <c r="U321" i="23"/>
  <c r="U313" i="23"/>
  <c r="U305" i="23"/>
  <c r="U81" i="23"/>
  <c r="U1360" i="23"/>
  <c r="W1360" i="23" s="1"/>
  <c r="U1352" i="23"/>
  <c r="W1352" i="23" s="1"/>
  <c r="U1344" i="23"/>
  <c r="W1344" i="23" s="1"/>
  <c r="U1336" i="23"/>
  <c r="W1336" i="23" s="1"/>
  <c r="U1328" i="23"/>
  <c r="W1328" i="23" s="1"/>
  <c r="U1320" i="23"/>
  <c r="U1312" i="23"/>
  <c r="U1304" i="23"/>
  <c r="U1296" i="23"/>
  <c r="U1288" i="23"/>
  <c r="U1280" i="23"/>
  <c r="U1272" i="23"/>
  <c r="U1264" i="23"/>
  <c r="U1256" i="23"/>
  <c r="U1248" i="23"/>
  <c r="U1240" i="23"/>
  <c r="U1232" i="23"/>
  <c r="U1224" i="23"/>
  <c r="U1216" i="23"/>
  <c r="U1208" i="23"/>
  <c r="U1200" i="23"/>
  <c r="U1192" i="23"/>
  <c r="U1184" i="23"/>
  <c r="U1176" i="23"/>
  <c r="U1168" i="23"/>
  <c r="U1160" i="23"/>
  <c r="U1152" i="23"/>
  <c r="U1144" i="23"/>
  <c r="U1136" i="23"/>
  <c r="U1128" i="23"/>
  <c r="U1120" i="23"/>
  <c r="U1112" i="23"/>
  <c r="U1104" i="23"/>
  <c r="U1096" i="23"/>
  <c r="U1088" i="23"/>
  <c r="U1080" i="23"/>
  <c r="U1072" i="23"/>
  <c r="U1064" i="23"/>
  <c r="U1056" i="23"/>
  <c r="U1048" i="23"/>
  <c r="U1040" i="23"/>
  <c r="U1032" i="23"/>
  <c r="U1024" i="23"/>
  <c r="U1016" i="23"/>
  <c r="U1008" i="23"/>
  <c r="U1000" i="23"/>
  <c r="U992" i="23"/>
  <c r="U984" i="23"/>
  <c r="U976" i="23"/>
  <c r="U968" i="23"/>
  <c r="U960" i="23"/>
  <c r="U952" i="23"/>
  <c r="U944" i="23"/>
  <c r="U936" i="23"/>
  <c r="U928" i="23"/>
  <c r="U920" i="23"/>
  <c r="U912" i="23"/>
  <c r="U904" i="23"/>
  <c r="U896" i="23"/>
  <c r="U888" i="23"/>
  <c r="U880" i="23"/>
  <c r="U872" i="23"/>
  <c r="U864" i="23"/>
  <c r="U856" i="23"/>
  <c r="U848" i="23"/>
  <c r="U840" i="23"/>
  <c r="U832" i="23"/>
  <c r="U816" i="23"/>
  <c r="U808" i="23"/>
  <c r="U800" i="23"/>
  <c r="U784" i="23"/>
  <c r="U776" i="23"/>
  <c r="U768" i="23"/>
  <c r="U752" i="23"/>
  <c r="U744" i="23"/>
  <c r="U736" i="23"/>
  <c r="U720" i="23"/>
  <c r="U712" i="23"/>
  <c r="U704" i="23"/>
  <c r="U688" i="23"/>
  <c r="U680" i="23"/>
  <c r="U672" i="23"/>
  <c r="U656" i="23"/>
  <c r="U648" i="23"/>
  <c r="U632" i="23"/>
  <c r="U624" i="23"/>
  <c r="U616" i="23"/>
  <c r="U608" i="23"/>
  <c r="U600" i="23"/>
  <c r="U592" i="23"/>
  <c r="U584" i="23"/>
  <c r="U568" i="23"/>
  <c r="U560" i="23"/>
  <c r="U552" i="23"/>
  <c r="U544" i="23"/>
  <c r="U536" i="23"/>
  <c r="U528" i="23"/>
  <c r="U520" i="23"/>
  <c r="U504" i="23"/>
  <c r="U496" i="23"/>
  <c r="U488" i="23"/>
  <c r="U480" i="23"/>
  <c r="U472" i="23"/>
  <c r="U464" i="23"/>
  <c r="U456" i="23"/>
  <c r="U448" i="23"/>
  <c r="U440" i="23"/>
  <c r="U432" i="23"/>
  <c r="U424" i="23"/>
  <c r="U416" i="23"/>
  <c r="U408" i="23"/>
  <c r="U400" i="23"/>
  <c r="U392" i="23"/>
  <c r="U384" i="23"/>
  <c r="U376" i="23"/>
  <c r="U368" i="23"/>
  <c r="U360" i="23"/>
  <c r="U352" i="23"/>
  <c r="U344" i="23"/>
  <c r="U336" i="23"/>
  <c r="U328" i="23"/>
  <c r="U320" i="23"/>
  <c r="U312" i="23"/>
  <c r="U1367" i="23"/>
  <c r="W1367" i="23" s="1"/>
  <c r="U1359" i="23"/>
  <c r="W1359" i="23" s="1"/>
  <c r="U1351" i="23"/>
  <c r="W1351" i="23" s="1"/>
  <c r="U1343" i="23"/>
  <c r="W1343" i="23" s="1"/>
  <c r="U1335" i="23"/>
  <c r="W1335" i="23" s="1"/>
  <c r="U1327" i="23"/>
  <c r="W1327" i="23" s="1"/>
  <c r="U1319" i="23"/>
  <c r="U1311" i="23"/>
  <c r="U1303" i="23"/>
  <c r="U1295" i="23"/>
  <c r="U1287" i="23"/>
  <c r="U1279" i="23"/>
  <c r="U1271" i="23"/>
  <c r="U1263" i="23"/>
  <c r="U1255" i="23"/>
  <c r="U1247" i="23"/>
  <c r="U1239" i="23"/>
  <c r="U1231" i="23"/>
  <c r="U1223" i="23"/>
  <c r="U1215" i="23"/>
  <c r="U1207" i="23"/>
  <c r="U1199" i="23"/>
  <c r="U1191" i="23"/>
  <c r="U1183" i="23"/>
  <c r="U1175" i="23"/>
  <c r="U1167" i="23"/>
  <c r="U1159" i="23"/>
  <c r="U1151" i="23"/>
  <c r="U1143" i="23"/>
  <c r="U1135" i="23"/>
  <c r="U1127" i="23"/>
  <c r="U1119" i="23"/>
  <c r="U1111" i="23"/>
  <c r="U1103" i="23"/>
  <c r="U1095" i="23"/>
  <c r="U1087" i="23"/>
  <c r="U1079" i="23"/>
  <c r="U1071" i="23"/>
  <c r="U1063" i="23"/>
  <c r="U1055" i="23"/>
  <c r="U1047" i="23"/>
  <c r="U1039" i="23"/>
  <c r="U1031" i="23"/>
  <c r="U1023" i="23"/>
  <c r="U1015" i="23"/>
  <c r="U1007" i="23"/>
  <c r="U999" i="23"/>
  <c r="U991" i="23"/>
  <c r="U983" i="23"/>
  <c r="U975" i="23"/>
  <c r="U967" i="23"/>
  <c r="U959" i="23"/>
  <c r="U951" i="23"/>
  <c r="U943" i="23"/>
  <c r="U935" i="23"/>
  <c r="U927" i="23"/>
  <c r="U919" i="23"/>
  <c r="U911" i="23"/>
  <c r="U903" i="23"/>
  <c r="U895" i="23"/>
  <c r="U887" i="23"/>
  <c r="U879" i="23"/>
  <c r="U871" i="23"/>
  <c r="U863" i="23"/>
  <c r="U855" i="23"/>
  <c r="U847" i="23"/>
  <c r="U839" i="23"/>
  <c r="U831" i="23"/>
  <c r="U823" i="23"/>
  <c r="U815" i="23"/>
  <c r="U807" i="23"/>
  <c r="U799" i="23"/>
  <c r="U791" i="23"/>
  <c r="U783" i="23"/>
  <c r="U775" i="23"/>
  <c r="U767" i="23"/>
  <c r="U759" i="23"/>
  <c r="U751" i="23"/>
  <c r="U743" i="23"/>
  <c r="U735" i="23"/>
  <c r="U727" i="23"/>
  <c r="U719" i="23"/>
  <c r="U711" i="23"/>
  <c r="U703" i="23"/>
  <c r="U695" i="23"/>
  <c r="U687" i="23"/>
  <c r="U679" i="23"/>
  <c r="U671" i="23"/>
  <c r="U663" i="23"/>
  <c r="U655" i="23"/>
  <c r="U647" i="23"/>
  <c r="U639" i="23"/>
  <c r="U631" i="23"/>
  <c r="U623" i="23"/>
  <c r="U615" i="23"/>
  <c r="U607" i="23"/>
  <c r="U599" i="23"/>
  <c r="U591" i="23"/>
  <c r="U583" i="23"/>
  <c r="U575" i="23"/>
  <c r="U567" i="23"/>
  <c r="U559" i="23"/>
  <c r="U551" i="23"/>
  <c r="U543" i="23"/>
  <c r="U535" i="23"/>
  <c r="U527" i="23"/>
  <c r="U519" i="23"/>
  <c r="U511" i="23"/>
  <c r="U503" i="23"/>
  <c r="U495" i="23"/>
  <c r="U487" i="23"/>
  <c r="U479" i="23"/>
  <c r="U471" i="23"/>
  <c r="U463" i="23"/>
  <c r="U455" i="23"/>
  <c r="U447" i="23"/>
  <c r="U439" i="23"/>
  <c r="U431" i="23"/>
  <c r="U423" i="23"/>
  <c r="U415" i="23"/>
  <c r="U407" i="23"/>
  <c r="U399" i="23"/>
  <c r="U391" i="23"/>
  <c r="U383" i="23"/>
  <c r="U375" i="23"/>
  <c r="U367" i="23"/>
  <c r="U359" i="23"/>
  <c r="U351" i="23"/>
  <c r="U343" i="23"/>
  <c r="U297" i="23"/>
  <c r="U289" i="23"/>
  <c r="U281" i="23"/>
  <c r="U273" i="23"/>
  <c r="V273" i="23" s="1"/>
  <c r="U265" i="23"/>
  <c r="U257" i="23"/>
  <c r="U249" i="23"/>
  <c r="U241" i="23"/>
  <c r="U233" i="23"/>
  <c r="U225" i="23"/>
  <c r="U217" i="23"/>
  <c r="U209" i="23"/>
  <c r="U201" i="23"/>
  <c r="U193" i="23"/>
  <c r="U185" i="23"/>
  <c r="U177" i="23"/>
  <c r="U169" i="23"/>
  <c r="U161" i="23"/>
  <c r="U153" i="23"/>
  <c r="U145" i="23"/>
  <c r="U137" i="23"/>
  <c r="U129" i="23"/>
  <c r="U121" i="23"/>
  <c r="U113" i="23"/>
  <c r="U105" i="23"/>
  <c r="U97" i="23"/>
  <c r="U89" i="23"/>
  <c r="U73" i="23"/>
  <c r="U65" i="23"/>
  <c r="U57" i="23"/>
  <c r="V5" i="23" s="1"/>
  <c r="U49" i="23"/>
  <c r="U41" i="23"/>
  <c r="U33" i="23"/>
  <c r="U25" i="23"/>
  <c r="U17" i="23"/>
  <c r="U304" i="23"/>
  <c r="U296" i="23"/>
  <c r="U288" i="23"/>
  <c r="U280" i="23"/>
  <c r="U272" i="23"/>
  <c r="U264" i="23"/>
  <c r="U256" i="23"/>
  <c r="U248" i="23"/>
  <c r="U240" i="23"/>
  <c r="U232" i="23"/>
  <c r="U224" i="23"/>
  <c r="U216" i="23"/>
  <c r="U208" i="23"/>
  <c r="U200" i="23"/>
  <c r="U192" i="23"/>
  <c r="U184" i="23"/>
  <c r="U176" i="23"/>
  <c r="U168" i="23"/>
  <c r="U160" i="23"/>
  <c r="U152" i="23"/>
  <c r="U144" i="23"/>
  <c r="U136" i="23"/>
  <c r="U128" i="23"/>
  <c r="U120" i="23"/>
  <c r="U112" i="23"/>
  <c r="U104" i="23"/>
  <c r="U96" i="23"/>
  <c r="U88" i="23"/>
  <c r="U80" i="23"/>
  <c r="U72" i="23"/>
  <c r="U64" i="23"/>
  <c r="U56" i="23"/>
  <c r="V4" i="23" s="1"/>
  <c r="U48" i="23"/>
  <c r="U40" i="23"/>
  <c r="U32" i="23"/>
  <c r="U24" i="23"/>
  <c r="U16" i="23"/>
  <c r="K1386" i="23"/>
  <c r="U335" i="23"/>
  <c r="U327" i="23"/>
  <c r="U319" i="23"/>
  <c r="U311" i="23"/>
  <c r="U303" i="23"/>
  <c r="U295" i="23"/>
  <c r="U287" i="23"/>
  <c r="U279" i="23"/>
  <c r="U271" i="23"/>
  <c r="U263" i="23"/>
  <c r="U255" i="23"/>
  <c r="U247" i="23"/>
  <c r="U239" i="23"/>
  <c r="U231" i="23"/>
  <c r="U223" i="23"/>
  <c r="U215" i="23"/>
  <c r="U207" i="23"/>
  <c r="U199" i="23"/>
  <c r="U191" i="23"/>
  <c r="U183" i="23"/>
  <c r="U175" i="23"/>
  <c r="U167" i="23"/>
  <c r="U159" i="23"/>
  <c r="U151" i="23"/>
  <c r="U143" i="23"/>
  <c r="U135" i="23"/>
  <c r="U127" i="23"/>
  <c r="U119" i="23"/>
  <c r="U111" i="23"/>
  <c r="U103" i="23"/>
  <c r="U95" i="23"/>
  <c r="U87" i="23"/>
  <c r="U79" i="23"/>
  <c r="U71" i="23"/>
  <c r="U63" i="23"/>
  <c r="V11" i="23" s="1"/>
  <c r="U55" i="23"/>
  <c r="U39" i="23"/>
  <c r="U31" i="23"/>
  <c r="U23" i="23"/>
  <c r="U15" i="23"/>
  <c r="K1382" i="23"/>
  <c r="U285" i="23"/>
  <c r="U277" i="23"/>
  <c r="U269" i="23"/>
  <c r="U261" i="23"/>
  <c r="U253" i="23"/>
  <c r="U245" i="23"/>
  <c r="U237" i="23"/>
  <c r="U229" i="23"/>
  <c r="U221" i="23"/>
  <c r="U213" i="23"/>
  <c r="U205" i="23"/>
  <c r="U197" i="23"/>
  <c r="U189" i="23"/>
  <c r="U181" i="23"/>
  <c r="U173" i="23"/>
  <c r="U165" i="23"/>
  <c r="U157" i="23"/>
  <c r="U149" i="23"/>
  <c r="U141" i="23"/>
  <c r="U133" i="23"/>
  <c r="U125" i="23"/>
  <c r="U117" i="23"/>
  <c r="U109" i="23"/>
  <c r="U101" i="23"/>
  <c r="U93" i="23"/>
  <c r="U85" i="23"/>
  <c r="U77" i="23"/>
  <c r="U69" i="23"/>
  <c r="U61" i="23"/>
  <c r="V9" i="23" s="1"/>
  <c r="U53" i="23"/>
  <c r="U45" i="23"/>
  <c r="U37" i="23"/>
  <c r="U29" i="23"/>
  <c r="U21" i="23"/>
  <c r="R1391" i="23"/>
  <c r="U84" i="23"/>
  <c r="U76" i="23"/>
  <c r="U68" i="23"/>
  <c r="U52" i="23"/>
  <c r="U44" i="23"/>
  <c r="U28" i="23"/>
  <c r="U20" i="23"/>
  <c r="U339" i="23"/>
  <c r="U331" i="23"/>
  <c r="U323" i="23"/>
  <c r="U315" i="23"/>
  <c r="U307" i="23"/>
  <c r="U299" i="23"/>
  <c r="U291" i="23"/>
  <c r="U283" i="23"/>
  <c r="U275" i="23"/>
  <c r="U267" i="23"/>
  <c r="U259" i="23"/>
  <c r="U251" i="23"/>
  <c r="U243" i="23"/>
  <c r="U235" i="23"/>
  <c r="U227" i="23"/>
  <c r="U219" i="23"/>
  <c r="U211" i="23"/>
  <c r="U203" i="23"/>
  <c r="U195" i="23"/>
  <c r="U187" i="23"/>
  <c r="U179" i="23"/>
  <c r="U171" i="23"/>
  <c r="U163" i="23"/>
  <c r="U155" i="23"/>
  <c r="U147" i="23"/>
  <c r="U139" i="23"/>
  <c r="U131" i="23"/>
  <c r="U123" i="23"/>
  <c r="U115" i="23"/>
  <c r="U107" i="23"/>
  <c r="U99" i="23"/>
  <c r="U91" i="23"/>
  <c r="U83" i="23"/>
  <c r="U75" i="23"/>
  <c r="U67" i="23"/>
  <c r="U59" i="23"/>
  <c r="V7" i="23" s="1"/>
  <c r="U51" i="23"/>
  <c r="U43" i="23"/>
  <c r="U35" i="23"/>
  <c r="U27" i="23"/>
  <c r="U19" i="23"/>
  <c r="K1379" i="23"/>
  <c r="P1371" i="23"/>
  <c r="P1363" i="23"/>
  <c r="P1355" i="23"/>
  <c r="P1347" i="23"/>
  <c r="P1339" i="23"/>
  <c r="P1331" i="23"/>
  <c r="P1323" i="23"/>
  <c r="P1315" i="23"/>
  <c r="P1307" i="23"/>
  <c r="P1299" i="23"/>
  <c r="P1291" i="23"/>
  <c r="P1283" i="23"/>
  <c r="P1275" i="23"/>
  <c r="P1267" i="23"/>
  <c r="P1259" i="23"/>
  <c r="P1251" i="23"/>
  <c r="P1243" i="23"/>
  <c r="P1235" i="23"/>
  <c r="P1227" i="23"/>
  <c r="P1219" i="23"/>
  <c r="P1211" i="23"/>
  <c r="P1203" i="23"/>
  <c r="P1195" i="23"/>
  <c r="P1187" i="23"/>
  <c r="P1179" i="23"/>
  <c r="P1171" i="23"/>
  <c r="P1163" i="23"/>
  <c r="P1155" i="23"/>
  <c r="P1147" i="23"/>
  <c r="P1139" i="23"/>
  <c r="P1131" i="23"/>
  <c r="P1123" i="23"/>
  <c r="P1115" i="23"/>
  <c r="P1107" i="23"/>
  <c r="P1099" i="23"/>
  <c r="P1091" i="23"/>
  <c r="P1083" i="23"/>
  <c r="P1075" i="23"/>
  <c r="P1067" i="23"/>
  <c r="P1059" i="23"/>
  <c r="P1051" i="23"/>
  <c r="P1043" i="23"/>
  <c r="P1035" i="23"/>
  <c r="P1027" i="23"/>
  <c r="P1019" i="23"/>
  <c r="P1011" i="23"/>
  <c r="P1003" i="23"/>
  <c r="P995" i="23"/>
  <c r="P987" i="23"/>
  <c r="P979" i="23"/>
  <c r="P971" i="23"/>
  <c r="P963" i="23"/>
  <c r="P955" i="23"/>
  <c r="P947" i="23"/>
  <c r="P939" i="23"/>
  <c r="P931" i="23"/>
  <c r="P923" i="23"/>
  <c r="P915" i="23"/>
  <c r="P907" i="23"/>
  <c r="P899" i="23"/>
  <c r="P891" i="23"/>
  <c r="P883" i="23"/>
  <c r="P875" i="23"/>
  <c r="P867" i="23"/>
  <c r="P859" i="23"/>
  <c r="P851" i="23"/>
  <c r="P843" i="23"/>
  <c r="P835" i="23"/>
  <c r="P827" i="23"/>
  <c r="P819" i="23"/>
  <c r="P811" i="23"/>
  <c r="P803" i="23"/>
  <c r="P795" i="23"/>
  <c r="P787" i="23"/>
  <c r="P779" i="23"/>
  <c r="P771" i="23"/>
  <c r="P763" i="23"/>
  <c r="P755" i="23"/>
  <c r="P747" i="23"/>
  <c r="P739" i="23"/>
  <c r="P731" i="23"/>
  <c r="P723" i="23"/>
  <c r="P715" i="23"/>
  <c r="P707" i="23"/>
  <c r="P699" i="23"/>
  <c r="P691" i="23"/>
  <c r="P683" i="23"/>
  <c r="P675" i="23"/>
  <c r="P667" i="23"/>
  <c r="P659" i="23"/>
  <c r="P651" i="23"/>
  <c r="P643" i="23"/>
  <c r="P635" i="23"/>
  <c r="P627" i="23"/>
  <c r="P619" i="23"/>
  <c r="P611" i="23"/>
  <c r="P603" i="23"/>
  <c r="P595" i="23"/>
  <c r="P587" i="23"/>
  <c r="P579" i="23"/>
  <c r="P571" i="23"/>
  <c r="P563" i="23"/>
  <c r="P555" i="23"/>
  <c r="P547" i="23"/>
  <c r="P539" i="23"/>
  <c r="P531" i="23"/>
  <c r="Q479" i="23" s="1"/>
  <c r="P523" i="23"/>
  <c r="P515" i="23"/>
  <c r="P507" i="23"/>
  <c r="P499" i="23"/>
  <c r="P491" i="23"/>
  <c r="P483" i="23"/>
  <c r="P475" i="23"/>
  <c r="P467" i="23"/>
  <c r="P459" i="23"/>
  <c r="P451" i="23"/>
  <c r="P450" i="23"/>
  <c r="P442" i="23"/>
  <c r="P434" i="23"/>
  <c r="P426" i="23"/>
  <c r="P418" i="23"/>
  <c r="P410" i="23"/>
  <c r="P402" i="23"/>
  <c r="P394" i="23"/>
  <c r="P386" i="23"/>
  <c r="P378" i="23"/>
  <c r="P370" i="23"/>
  <c r="P362" i="23"/>
  <c r="P354" i="23"/>
  <c r="P364" i="23"/>
  <c r="P1293" i="23"/>
  <c r="P1376" i="23"/>
  <c r="P1368" i="23"/>
  <c r="P1360" i="23"/>
  <c r="P1352" i="23"/>
  <c r="P1344" i="23"/>
  <c r="P1336" i="23"/>
  <c r="P1328" i="23"/>
  <c r="P1320" i="23"/>
  <c r="P1312" i="23"/>
  <c r="P1304" i="23"/>
  <c r="P1296" i="23"/>
  <c r="P1288" i="23"/>
  <c r="P1280" i="23"/>
  <c r="P1272" i="23"/>
  <c r="P1264" i="23"/>
  <c r="P1256" i="23"/>
  <c r="P1248" i="23"/>
  <c r="P1240" i="23"/>
  <c r="P1232" i="23"/>
  <c r="P1224" i="23"/>
  <c r="P1216" i="23"/>
  <c r="P1208" i="23"/>
  <c r="P1200" i="23"/>
  <c r="P1192" i="23"/>
  <c r="P1184" i="23"/>
  <c r="P1176" i="23"/>
  <c r="P1168" i="23"/>
  <c r="P1160" i="23"/>
  <c r="P1152" i="23"/>
  <c r="P1144" i="23"/>
  <c r="P1136" i="23"/>
  <c r="P1128" i="23"/>
  <c r="P1120" i="23"/>
  <c r="P1112" i="23"/>
  <c r="P1104" i="23"/>
  <c r="P1096" i="23"/>
  <c r="P1088" i="23"/>
  <c r="P1080" i="23"/>
  <c r="P1072" i="23"/>
  <c r="P1064" i="23"/>
  <c r="P1056" i="23"/>
  <c r="P1048" i="23"/>
  <c r="P1040" i="23"/>
  <c r="P1032" i="23"/>
  <c r="P1024" i="23"/>
  <c r="P1016" i="23"/>
  <c r="P1008" i="23"/>
  <c r="P1000" i="23"/>
  <c r="P992" i="23"/>
  <c r="P984" i="23"/>
  <c r="P976" i="23"/>
  <c r="P968" i="23"/>
  <c r="P960" i="23"/>
  <c r="P952" i="23"/>
  <c r="P944" i="23"/>
  <c r="P936" i="23"/>
  <c r="P928" i="23"/>
  <c r="P920" i="23"/>
  <c r="P912" i="23"/>
  <c r="P904" i="23"/>
  <c r="P896" i="23"/>
  <c r="P888" i="23"/>
  <c r="P880" i="23"/>
  <c r="P872" i="23"/>
  <c r="P864" i="23"/>
  <c r="P856" i="23"/>
  <c r="P848" i="23"/>
  <c r="P840" i="23"/>
  <c r="P300" i="23"/>
  <c r="P236" i="23"/>
  <c r="P172" i="23"/>
  <c r="P1359" i="23"/>
  <c r="P1190" i="23"/>
  <c r="P1375" i="23"/>
  <c r="P1319" i="23"/>
  <c r="P1247" i="23"/>
  <c r="P1191" i="23"/>
  <c r="P1143" i="23"/>
  <c r="P1087" i="23"/>
  <c r="P1023" i="23"/>
  <c r="P967" i="23"/>
  <c r="P919" i="23"/>
  <c r="P863" i="23"/>
  <c r="P1351" i="23"/>
  <c r="P1311" i="23"/>
  <c r="P1255" i="23"/>
  <c r="P1215" i="23"/>
  <c r="P1159" i="23"/>
  <c r="P1103" i="23"/>
  <c r="P1047" i="23"/>
  <c r="P991" i="23"/>
  <c r="P927" i="23"/>
  <c r="P1334" i="23"/>
  <c r="P1286" i="23"/>
  <c r="P1238" i="23"/>
  <c r="P1142" i="23"/>
  <c r="P1118" i="23"/>
  <c r="P1070" i="23"/>
  <c r="P1046" i="23"/>
  <c r="P1022" i="23"/>
  <c r="P1006" i="23"/>
  <c r="P982" i="23"/>
  <c r="P958" i="23"/>
  <c r="P942" i="23"/>
  <c r="P926" i="23"/>
  <c r="P910" i="23"/>
  <c r="P902" i="23"/>
  <c r="P894" i="23"/>
  <c r="P886" i="23"/>
  <c r="P878" i="23"/>
  <c r="P870" i="23"/>
  <c r="P862" i="23"/>
  <c r="P854" i="23"/>
  <c r="P846" i="23"/>
  <c r="P838" i="23"/>
  <c r="P830" i="23"/>
  <c r="P822" i="23"/>
  <c r="P814" i="23"/>
  <c r="P806" i="23"/>
  <c r="P798" i="23"/>
  <c r="P790" i="23"/>
  <c r="P782" i="23"/>
  <c r="P774" i="23"/>
  <c r="P766" i="23"/>
  <c r="P758" i="23"/>
  <c r="P750" i="23"/>
  <c r="P742" i="23"/>
  <c r="P734" i="23"/>
  <c r="P726" i="23"/>
  <c r="P718" i="23"/>
  <c r="P710" i="23"/>
  <c r="P702" i="23"/>
  <c r="P694" i="23"/>
  <c r="P686" i="23"/>
  <c r="P678" i="23"/>
  <c r="P670" i="23"/>
  <c r="P662" i="23"/>
  <c r="P654" i="23"/>
  <c r="P646" i="23"/>
  <c r="P638" i="23"/>
  <c r="P630" i="23"/>
  <c r="P622" i="23"/>
  <c r="P614" i="23"/>
  <c r="P606" i="23"/>
  <c r="P598" i="23"/>
  <c r="P590" i="23"/>
  <c r="P582" i="23"/>
  <c r="P574" i="23"/>
  <c r="P566" i="23"/>
  <c r="P558" i="23"/>
  <c r="P550" i="23"/>
  <c r="P542" i="23"/>
  <c r="P534" i="23"/>
  <c r="P526" i="23"/>
  <c r="P518" i="23"/>
  <c r="P510" i="23"/>
  <c r="P502" i="23"/>
  <c r="P1327" i="23"/>
  <c r="P1271" i="23"/>
  <c r="P1199" i="23"/>
  <c r="P1127" i="23"/>
  <c r="P1071" i="23"/>
  <c r="P1015" i="23"/>
  <c r="P959" i="23"/>
  <c r="P903" i="23"/>
  <c r="P1342" i="23"/>
  <c r="P1294" i="23"/>
  <c r="P1246" i="23"/>
  <c r="P1198" i="23"/>
  <c r="P1150" i="23"/>
  <c r="P1126" i="23"/>
  <c r="P1078" i="23"/>
  <c r="P1054" i="23"/>
  <c r="P1030" i="23"/>
  <c r="P998" i="23"/>
  <c r="P966" i="23"/>
  <c r="P934" i="23"/>
  <c r="P1373" i="23"/>
  <c r="P1357" i="23"/>
  <c r="P1341" i="23"/>
  <c r="P1325" i="23"/>
  <c r="P1309" i="23"/>
  <c r="P1285" i="23"/>
  <c r="P1277" i="23"/>
  <c r="P1269" i="23"/>
  <c r="P1261" i="23"/>
  <c r="P1253" i="23"/>
  <c r="P1245" i="23"/>
  <c r="P1237" i="23"/>
  <c r="P1229" i="23"/>
  <c r="P1221" i="23"/>
  <c r="P1213" i="23"/>
  <c r="P1205" i="23"/>
  <c r="P1197" i="23"/>
  <c r="P1189" i="23"/>
  <c r="P1181" i="23"/>
  <c r="P1173" i="23"/>
  <c r="P1165" i="23"/>
  <c r="P1157" i="23"/>
  <c r="P1149" i="23"/>
  <c r="P1141" i="23"/>
  <c r="P1133" i="23"/>
  <c r="P1125" i="23"/>
  <c r="P1117" i="23"/>
  <c r="P1109" i="23"/>
  <c r="P1101" i="23"/>
  <c r="P1093" i="23"/>
  <c r="P1085" i="23"/>
  <c r="P1077" i="23"/>
  <c r="P1069" i="23"/>
  <c r="P1061" i="23"/>
  <c r="P1053" i="23"/>
  <c r="P1045" i="23"/>
  <c r="P1037" i="23"/>
  <c r="P1367" i="23"/>
  <c r="P1295" i="23"/>
  <c r="P1239" i="23"/>
  <c r="P1183" i="23"/>
  <c r="P1135" i="23"/>
  <c r="P1079" i="23"/>
  <c r="P1031" i="23"/>
  <c r="P975" i="23"/>
  <c r="P911" i="23"/>
  <c r="P855" i="23"/>
  <c r="P1374" i="23"/>
  <c r="P1326" i="23"/>
  <c r="P1278" i="23"/>
  <c r="P1230" i="23"/>
  <c r="P1182" i="23"/>
  <c r="P1134" i="23"/>
  <c r="P1086" i="23"/>
  <c r="P1062" i="23"/>
  <c r="P1038" i="23"/>
  <c r="P1014" i="23"/>
  <c r="P990" i="23"/>
  <c r="P974" i="23"/>
  <c r="P950" i="23"/>
  <c r="P918" i="23"/>
  <c r="P1365" i="23"/>
  <c r="P1349" i="23"/>
  <c r="P1333" i="23"/>
  <c r="P1317" i="23"/>
  <c r="P1301" i="23"/>
  <c r="P1372" i="23"/>
  <c r="P1364" i="23"/>
  <c r="P1356" i="23"/>
  <c r="P1348" i="23"/>
  <c r="P1340" i="23"/>
  <c r="P1332" i="23"/>
  <c r="P1324" i="23"/>
  <c r="P1316" i="23"/>
  <c r="P1308" i="23"/>
  <c r="P1300" i="23"/>
  <c r="P1292" i="23"/>
  <c r="P1284" i="23"/>
  <c r="P1276" i="23"/>
  <c r="P1268" i="23"/>
  <c r="P1260" i="23"/>
  <c r="P1252" i="23"/>
  <c r="P1244" i="23"/>
  <c r="P1236" i="23"/>
  <c r="P1228" i="23"/>
  <c r="P1220" i="23"/>
  <c r="P1212" i="23"/>
  <c r="P1204" i="23"/>
  <c r="P1196" i="23"/>
  <c r="P1188" i="23"/>
  <c r="P1180" i="23"/>
  <c r="P1172" i="23"/>
  <c r="P1164" i="23"/>
  <c r="P1156" i="23"/>
  <c r="P1148" i="23"/>
  <c r="P1140" i="23"/>
  <c r="P1132" i="23"/>
  <c r="P740" i="23"/>
  <c r="P580" i="23"/>
  <c r="P1343" i="23"/>
  <c r="P1279" i="23"/>
  <c r="P1223" i="23"/>
  <c r="P1167" i="23"/>
  <c r="P1119" i="23"/>
  <c r="P1055" i="23"/>
  <c r="P999" i="23"/>
  <c r="P943" i="23"/>
  <c r="P887" i="23"/>
  <c r="P847" i="23"/>
  <c r="P1358" i="23"/>
  <c r="P1318" i="23"/>
  <c r="P1270" i="23"/>
  <c r="P1214" i="23"/>
  <c r="P1166" i="23"/>
  <c r="P1110" i="23"/>
  <c r="P14" i="23"/>
  <c r="P1303" i="23"/>
  <c r="P1263" i="23"/>
  <c r="P1207" i="23"/>
  <c r="P1151" i="23"/>
  <c r="P1095" i="23"/>
  <c r="P1039" i="23"/>
  <c r="P983" i="23"/>
  <c r="P935" i="23"/>
  <c r="P879" i="23"/>
  <c r="P1350" i="23"/>
  <c r="P1302" i="23"/>
  <c r="P1254" i="23"/>
  <c r="P1222" i="23"/>
  <c r="P1174" i="23"/>
  <c r="P1102" i="23"/>
  <c r="P1370" i="23"/>
  <c r="P1354" i="23"/>
  <c r="P1338" i="23"/>
  <c r="P1322" i="23"/>
  <c r="P1306" i="23"/>
  <c r="P1290" i="23"/>
  <c r="P1274" i="23"/>
  <c r="P1258" i="23"/>
  <c r="P1242" i="23"/>
  <c r="P1226" i="23"/>
  <c r="P1210" i="23"/>
  <c r="P1194" i="23"/>
  <c r="P1178" i="23"/>
  <c r="P1162" i="23"/>
  <c r="P1146" i="23"/>
  <c r="P1130" i="23"/>
  <c r="P1122" i="23"/>
  <c r="P1114" i="23"/>
  <c r="P1106" i="23"/>
  <c r="P1098" i="23"/>
  <c r="P1090" i="23"/>
  <c r="P1082" i="23"/>
  <c r="P1074" i="23"/>
  <c r="P1066" i="23"/>
  <c r="P1058" i="23"/>
  <c r="P1050" i="23"/>
  <c r="P1042" i="23"/>
  <c r="P1034" i="23"/>
  <c r="P1026" i="23"/>
  <c r="P1018" i="23"/>
  <c r="P1010" i="23"/>
  <c r="P1335" i="23"/>
  <c r="P1287" i="23"/>
  <c r="P1231" i="23"/>
  <c r="P1175" i="23"/>
  <c r="P1111" i="23"/>
  <c r="P1063" i="23"/>
  <c r="P1007" i="23"/>
  <c r="P951" i="23"/>
  <c r="P895" i="23"/>
  <c r="P1366" i="23"/>
  <c r="P1310" i="23"/>
  <c r="P1262" i="23"/>
  <c r="P1206" i="23"/>
  <c r="P1158" i="23"/>
  <c r="P1094" i="23"/>
  <c r="P1362" i="23"/>
  <c r="P1346" i="23"/>
  <c r="P1330" i="23"/>
  <c r="P1314" i="23"/>
  <c r="P1298" i="23"/>
  <c r="P1282" i="23"/>
  <c r="P1266" i="23"/>
  <c r="P1250" i="23"/>
  <c r="P1234" i="23"/>
  <c r="P1218" i="23"/>
  <c r="P1202" i="23"/>
  <c r="P1186" i="23"/>
  <c r="P1170" i="23"/>
  <c r="P1154" i="23"/>
  <c r="P1138" i="23"/>
  <c r="R1377" i="23"/>
  <c r="P1369" i="23"/>
  <c r="P1361" i="23"/>
  <c r="P1353" i="23"/>
  <c r="P1345" i="23"/>
  <c r="P1337" i="23"/>
  <c r="P1329" i="23"/>
  <c r="P1321" i="23"/>
  <c r="P1313" i="23"/>
  <c r="P1305" i="23"/>
  <c r="P1297" i="23"/>
  <c r="P1289" i="23"/>
  <c r="P1281" i="23"/>
  <c r="P1273" i="23"/>
  <c r="P1265" i="23"/>
  <c r="P1257" i="23"/>
  <c r="P1249" i="23"/>
  <c r="P1241" i="23"/>
  <c r="P1233" i="23"/>
  <c r="P1225" i="23"/>
  <c r="P1217" i="23"/>
  <c r="P1209" i="23"/>
  <c r="P1201" i="23"/>
  <c r="P1193" i="23"/>
  <c r="P1185" i="23"/>
  <c r="P1177" i="23"/>
  <c r="P1169" i="23"/>
  <c r="P1161" i="23"/>
  <c r="P1153" i="23"/>
  <c r="P1145" i="23"/>
  <c r="P1029" i="23"/>
  <c r="P1021" i="23"/>
  <c r="P1013" i="23"/>
  <c r="P1005" i="23"/>
  <c r="P997" i="23"/>
  <c r="P989" i="23"/>
  <c r="P981" i="23"/>
  <c r="P973" i="23"/>
  <c r="P965" i="23"/>
  <c r="P957" i="23"/>
  <c r="P949" i="23"/>
  <c r="P941" i="23"/>
  <c r="P933" i="23"/>
  <c r="P925" i="23"/>
  <c r="P917" i="23"/>
  <c r="P909" i="23"/>
  <c r="P901" i="23"/>
  <c r="P893" i="23"/>
  <c r="P885" i="23"/>
  <c r="P877" i="23"/>
  <c r="P869" i="23"/>
  <c r="P861" i="23"/>
  <c r="P853" i="23"/>
  <c r="P845" i="23"/>
  <c r="P837" i="23"/>
  <c r="P829" i="23"/>
  <c r="P821" i="23"/>
  <c r="P813" i="23"/>
  <c r="P805" i="23"/>
  <c r="P797" i="23"/>
  <c r="P789" i="23"/>
  <c r="P781" i="23"/>
  <c r="P773" i="23"/>
  <c r="P765" i="23"/>
  <c r="P757" i="23"/>
  <c r="P749" i="23"/>
  <c r="P741" i="23"/>
  <c r="P733" i="23"/>
  <c r="P725" i="23"/>
  <c r="P717" i="23"/>
  <c r="P709" i="23"/>
  <c r="P701" i="23"/>
  <c r="P693" i="23"/>
  <c r="P685" i="23"/>
  <c r="P677" i="23"/>
  <c r="P669" i="23"/>
  <c r="P661" i="23"/>
  <c r="P653" i="23"/>
  <c r="P645" i="23"/>
  <c r="P637" i="23"/>
  <c r="P629" i="23"/>
  <c r="P621" i="23"/>
  <c r="P613" i="23"/>
  <c r="P605" i="23"/>
  <c r="P597" i="23"/>
  <c r="P589" i="23"/>
  <c r="P581" i="23"/>
  <c r="P573" i="23"/>
  <c r="P565" i="23"/>
  <c r="P557" i="23"/>
  <c r="P549" i="23"/>
  <c r="P541" i="23"/>
  <c r="P533" i="23"/>
  <c r="P525" i="23"/>
  <c r="P517" i="23"/>
  <c r="P509" i="23"/>
  <c r="P501" i="23"/>
  <c r="P493" i="23"/>
  <c r="P485" i="23"/>
  <c r="P477" i="23"/>
  <c r="P469" i="23"/>
  <c r="P461" i="23"/>
  <c r="P453" i="23"/>
  <c r="P445" i="23"/>
  <c r="P437" i="23"/>
  <c r="P429" i="23"/>
  <c r="P421" i="23"/>
  <c r="P413" i="23"/>
  <c r="P405" i="23"/>
  <c r="P397" i="23"/>
  <c r="P389" i="23"/>
  <c r="P1124" i="23"/>
  <c r="P1116" i="23"/>
  <c r="P1108" i="23"/>
  <c r="P1100" i="23"/>
  <c r="P1092" i="23"/>
  <c r="P1084" i="23"/>
  <c r="P1076" i="23"/>
  <c r="P1068" i="23"/>
  <c r="P1060" i="23"/>
  <c r="P1052" i="23"/>
  <c r="P1044" i="23"/>
  <c r="P1036" i="23"/>
  <c r="P1028" i="23"/>
  <c r="P1020" i="23"/>
  <c r="P1012" i="23"/>
  <c r="P1004" i="23"/>
  <c r="P996" i="23"/>
  <c r="P988" i="23"/>
  <c r="P980" i="23"/>
  <c r="P972" i="23"/>
  <c r="P964" i="23"/>
  <c r="P956" i="23"/>
  <c r="P948" i="23"/>
  <c r="P940" i="23"/>
  <c r="P932" i="23"/>
  <c r="P924" i="23"/>
  <c r="P916" i="23"/>
  <c r="P908" i="23"/>
  <c r="P900" i="23"/>
  <c r="P892" i="23"/>
  <c r="P884" i="23"/>
  <c r="P876" i="23"/>
  <c r="P868" i="23"/>
  <c r="P860" i="23"/>
  <c r="P852" i="23"/>
  <c r="P844" i="23"/>
  <c r="P836" i="23"/>
  <c r="P828" i="23"/>
  <c r="P820" i="23"/>
  <c r="P812" i="23"/>
  <c r="P804" i="23"/>
  <c r="P796" i="23"/>
  <c r="P788" i="23"/>
  <c r="P780" i="23"/>
  <c r="P772" i="23"/>
  <c r="P764" i="23"/>
  <c r="P756" i="23"/>
  <c r="P748" i="23"/>
  <c r="P732" i="23"/>
  <c r="P724" i="23"/>
  <c r="P716" i="23"/>
  <c r="P708" i="23"/>
  <c r="P700" i="23"/>
  <c r="P692" i="23"/>
  <c r="P684" i="23"/>
  <c r="P676" i="23"/>
  <c r="P668" i="23"/>
  <c r="P660" i="23"/>
  <c r="P652" i="23"/>
  <c r="P644" i="23"/>
  <c r="P636" i="23"/>
  <c r="P628" i="23"/>
  <c r="P620" i="23"/>
  <c r="P612" i="23"/>
  <c r="P604" i="23"/>
  <c r="P596" i="23"/>
  <c r="P588" i="23"/>
  <c r="P572" i="23"/>
  <c r="P564" i="23"/>
  <c r="P556" i="23"/>
  <c r="P548" i="23"/>
  <c r="P540" i="23"/>
  <c r="P532" i="23"/>
  <c r="P524" i="23"/>
  <c r="P516" i="23"/>
  <c r="P508" i="23"/>
  <c r="P500" i="23"/>
  <c r="P492" i="23"/>
  <c r="P484" i="23"/>
  <c r="P476" i="23"/>
  <c r="P468" i="23"/>
  <c r="P460" i="23"/>
  <c r="P428" i="23"/>
  <c r="P1002" i="23"/>
  <c r="P994" i="23"/>
  <c r="P986" i="23"/>
  <c r="P978" i="23"/>
  <c r="P970" i="23"/>
  <c r="P962" i="23"/>
  <c r="P954" i="23"/>
  <c r="P946" i="23"/>
  <c r="P938" i="23"/>
  <c r="P930" i="23"/>
  <c r="P922" i="23"/>
  <c r="P914" i="23"/>
  <c r="P906" i="23"/>
  <c r="P898" i="23"/>
  <c r="P890" i="23"/>
  <c r="P882" i="23"/>
  <c r="P874" i="23"/>
  <c r="P866" i="23"/>
  <c r="P858" i="23"/>
  <c r="P850" i="23"/>
  <c r="P842" i="23"/>
  <c r="P834" i="23"/>
  <c r="P826" i="23"/>
  <c r="P818" i="23"/>
  <c r="P810" i="23"/>
  <c r="P802" i="23"/>
  <c r="P794" i="23"/>
  <c r="P786" i="23"/>
  <c r="P778" i="23"/>
  <c r="P770" i="23"/>
  <c r="P762" i="23"/>
  <c r="P754" i="23"/>
  <c r="P746" i="23"/>
  <c r="P738" i="23"/>
  <c r="P730" i="23"/>
  <c r="P722" i="23"/>
  <c r="P714" i="23"/>
  <c r="P706" i="23"/>
  <c r="P698" i="23"/>
  <c r="P690" i="23"/>
  <c r="P682" i="23"/>
  <c r="P674" i="23"/>
  <c r="P666" i="23"/>
  <c r="P658" i="23"/>
  <c r="P650" i="23"/>
  <c r="P642" i="23"/>
  <c r="P634" i="23"/>
  <c r="P626" i="23"/>
  <c r="P618" i="23"/>
  <c r="P610" i="23"/>
  <c r="P602" i="23"/>
  <c r="P594" i="23"/>
  <c r="P586" i="23"/>
  <c r="P578" i="23"/>
  <c r="P570" i="23"/>
  <c r="P562" i="23"/>
  <c r="P554" i="23"/>
  <c r="P546" i="23"/>
  <c r="P538" i="23"/>
  <c r="P530" i="23"/>
  <c r="P522" i="23"/>
  <c r="P514" i="23"/>
  <c r="P506" i="23"/>
  <c r="P498" i="23"/>
  <c r="P490" i="23"/>
  <c r="P482" i="23"/>
  <c r="P474" i="23"/>
  <c r="P466" i="23"/>
  <c r="P458" i="23"/>
  <c r="P1137" i="23"/>
  <c r="P1129" i="23"/>
  <c r="P1121" i="23"/>
  <c r="P1113" i="23"/>
  <c r="P1105" i="23"/>
  <c r="P1097" i="23"/>
  <c r="P1089" i="23"/>
  <c r="P1081" i="23"/>
  <c r="P1073" i="23"/>
  <c r="P1065" i="23"/>
  <c r="P1057" i="23"/>
  <c r="P1049" i="23"/>
  <c r="P1041" i="23"/>
  <c r="P1033" i="23"/>
  <c r="P1025" i="23"/>
  <c r="P1017" i="23"/>
  <c r="P1009" i="23"/>
  <c r="P1001" i="23"/>
  <c r="P993" i="23"/>
  <c r="P985" i="23"/>
  <c r="P977" i="23"/>
  <c r="P969" i="23"/>
  <c r="P961" i="23"/>
  <c r="P953" i="23"/>
  <c r="P945" i="23"/>
  <c r="P937" i="23"/>
  <c r="P929" i="23"/>
  <c r="P921" i="23"/>
  <c r="P913" i="23"/>
  <c r="P905" i="23"/>
  <c r="P897" i="23"/>
  <c r="P889" i="23"/>
  <c r="P881" i="23"/>
  <c r="P873" i="23"/>
  <c r="P865" i="23"/>
  <c r="P857" i="23"/>
  <c r="P849" i="23"/>
  <c r="P841" i="23"/>
  <c r="P833" i="23"/>
  <c r="P825" i="23"/>
  <c r="P817" i="23"/>
  <c r="P809" i="23"/>
  <c r="P801" i="23"/>
  <c r="P793" i="23"/>
  <c r="P785" i="23"/>
  <c r="P777" i="23"/>
  <c r="P769" i="23"/>
  <c r="P761" i="23"/>
  <c r="P753" i="23"/>
  <c r="P745" i="23"/>
  <c r="P737" i="23"/>
  <c r="P729" i="23"/>
  <c r="P721" i="23"/>
  <c r="P713" i="23"/>
  <c r="P705" i="23"/>
  <c r="P697" i="23"/>
  <c r="P689" i="23"/>
  <c r="P681" i="23"/>
  <c r="P673" i="23"/>
  <c r="P665" i="23"/>
  <c r="P657" i="23"/>
  <c r="P649" i="23"/>
  <c r="P641" i="23"/>
  <c r="P633" i="23"/>
  <c r="P625" i="23"/>
  <c r="P617" i="23"/>
  <c r="P609" i="23"/>
  <c r="P601" i="23"/>
  <c r="P593" i="23"/>
  <c r="P585" i="23"/>
  <c r="P577" i="23"/>
  <c r="P569" i="23"/>
  <c r="P561" i="23"/>
  <c r="P553" i="23"/>
  <c r="P545" i="23"/>
  <c r="P537" i="23"/>
  <c r="P529" i="23"/>
  <c r="P521" i="23"/>
  <c r="P513" i="23"/>
  <c r="P505" i="23"/>
  <c r="P497" i="23"/>
  <c r="P489" i="23"/>
  <c r="P481" i="23"/>
  <c r="P473" i="23"/>
  <c r="P465" i="23"/>
  <c r="P457" i="23"/>
  <c r="P832" i="23"/>
  <c r="P824" i="23"/>
  <c r="P816" i="23"/>
  <c r="P808" i="23"/>
  <c r="P800" i="23"/>
  <c r="P792" i="23"/>
  <c r="P784" i="23"/>
  <c r="P776" i="23"/>
  <c r="P768" i="23"/>
  <c r="P760" i="23"/>
  <c r="P752" i="23"/>
  <c r="P744" i="23"/>
  <c r="P736" i="23"/>
  <c r="P728" i="23"/>
  <c r="P720" i="23"/>
  <c r="P712" i="23"/>
  <c r="P704" i="23"/>
  <c r="P696" i="23"/>
  <c r="P688" i="23"/>
  <c r="P680" i="23"/>
  <c r="P672" i="23"/>
  <c r="P664" i="23"/>
  <c r="P656" i="23"/>
  <c r="P648" i="23"/>
  <c r="P640" i="23"/>
  <c r="P632" i="23"/>
  <c r="P624" i="23"/>
  <c r="P616" i="23"/>
  <c r="P608" i="23"/>
  <c r="P600" i="23"/>
  <c r="P592" i="23"/>
  <c r="P584" i="23"/>
  <c r="P576" i="23"/>
  <c r="P568" i="23"/>
  <c r="P560" i="23"/>
  <c r="P552" i="23"/>
  <c r="P544" i="23"/>
  <c r="P536" i="23"/>
  <c r="P528" i="23"/>
  <c r="P520" i="23"/>
  <c r="P512" i="23"/>
  <c r="P504" i="23"/>
  <c r="P496" i="23"/>
  <c r="P488" i="23"/>
  <c r="P494" i="23"/>
  <c r="P486" i="23"/>
  <c r="P478" i="23"/>
  <c r="P470" i="23"/>
  <c r="P462" i="23"/>
  <c r="P454" i="23"/>
  <c r="P446" i="23"/>
  <c r="P438" i="23"/>
  <c r="P430" i="23"/>
  <c r="P422" i="23"/>
  <c r="P414" i="23"/>
  <c r="P406" i="23"/>
  <c r="P398" i="23"/>
  <c r="P390" i="23"/>
  <c r="P382" i="23"/>
  <c r="P374" i="23"/>
  <c r="P366" i="23"/>
  <c r="P358" i="23"/>
  <c r="P350" i="23"/>
  <c r="P342" i="23"/>
  <c r="P334" i="23"/>
  <c r="P326" i="23"/>
  <c r="P318" i="23"/>
  <c r="P310" i="23"/>
  <c r="P302" i="23"/>
  <c r="P294" i="23"/>
  <c r="P286" i="23"/>
  <c r="P278" i="23"/>
  <c r="P270" i="23"/>
  <c r="P262" i="23"/>
  <c r="P254" i="23"/>
  <c r="P246" i="23"/>
  <c r="P238" i="23"/>
  <c r="P230" i="23"/>
  <c r="P222" i="23"/>
  <c r="P214" i="23"/>
  <c r="P206" i="23"/>
  <c r="P198" i="23"/>
  <c r="P190" i="23"/>
  <c r="P182" i="23"/>
  <c r="P174" i="23"/>
  <c r="P166" i="23"/>
  <c r="P158" i="23"/>
  <c r="P150" i="23"/>
  <c r="P142" i="23"/>
  <c r="P134" i="23"/>
  <c r="P126" i="23"/>
  <c r="P118" i="23"/>
  <c r="P110" i="23"/>
  <c r="P102" i="23"/>
  <c r="P94" i="23"/>
  <c r="P86" i="23"/>
  <c r="P78" i="23"/>
  <c r="P70" i="23"/>
  <c r="P62" i="23"/>
  <c r="Q10" i="23" s="1"/>
  <c r="P54" i="23"/>
  <c r="P46" i="23"/>
  <c r="P38" i="23"/>
  <c r="P30" i="23"/>
  <c r="P22" i="23"/>
  <c r="P381" i="23"/>
  <c r="P373" i="23"/>
  <c r="P365" i="23"/>
  <c r="P357" i="23"/>
  <c r="P349" i="23"/>
  <c r="P341" i="23"/>
  <c r="P333" i="23"/>
  <c r="P325" i="23"/>
  <c r="P317" i="23"/>
  <c r="P309" i="23"/>
  <c r="P301" i="23"/>
  <c r="P293" i="23"/>
  <c r="P285" i="23"/>
  <c r="P277" i="23"/>
  <c r="P269" i="23"/>
  <c r="P261" i="23"/>
  <c r="P253" i="23"/>
  <c r="P245" i="23"/>
  <c r="P237" i="23"/>
  <c r="P229" i="23"/>
  <c r="P221" i="23"/>
  <c r="P213" i="23"/>
  <c r="P205" i="23"/>
  <c r="P197" i="23"/>
  <c r="P189" i="23"/>
  <c r="P181" i="23"/>
  <c r="P173" i="23"/>
  <c r="P165" i="23"/>
  <c r="P157" i="23"/>
  <c r="P149" i="23"/>
  <c r="P141" i="23"/>
  <c r="P133" i="23"/>
  <c r="P125" i="23"/>
  <c r="P117" i="23"/>
  <c r="P109" i="23"/>
  <c r="P101" i="23"/>
  <c r="P93" i="23"/>
  <c r="P85" i="23"/>
  <c r="P77" i="23"/>
  <c r="P69" i="23"/>
  <c r="P61" i="23"/>
  <c r="Q9" i="23" s="1"/>
  <c r="P53" i="23"/>
  <c r="P45" i="23"/>
  <c r="P37" i="23"/>
  <c r="P29" i="23"/>
  <c r="P21" i="23"/>
  <c r="P452" i="23"/>
  <c r="P444" i="23"/>
  <c r="P436" i="23"/>
  <c r="P420" i="23"/>
  <c r="P412" i="23"/>
  <c r="P404" i="23"/>
  <c r="P396" i="23"/>
  <c r="P388" i="23"/>
  <c r="P380" i="23"/>
  <c r="P372" i="23"/>
  <c r="P356" i="23"/>
  <c r="P348" i="23"/>
  <c r="P340" i="23"/>
  <c r="P332" i="23"/>
  <c r="P324" i="23"/>
  <c r="P316" i="23"/>
  <c r="P308" i="23"/>
  <c r="P292" i="23"/>
  <c r="P284" i="23"/>
  <c r="P276" i="23"/>
  <c r="P268" i="23"/>
  <c r="P260" i="23"/>
  <c r="P252" i="23"/>
  <c r="P244" i="23"/>
  <c r="P228" i="23"/>
  <c r="P220" i="23"/>
  <c r="P212" i="23"/>
  <c r="P204" i="23"/>
  <c r="P196" i="23"/>
  <c r="P188" i="23"/>
  <c r="P180" i="23"/>
  <c r="P164" i="23"/>
  <c r="P156" i="23"/>
  <c r="P148" i="23"/>
  <c r="P140" i="23"/>
  <c r="P132" i="23"/>
  <c r="P124" i="23"/>
  <c r="P116" i="23"/>
  <c r="P108" i="23"/>
  <c r="P100" i="23"/>
  <c r="P92" i="23"/>
  <c r="P84" i="23"/>
  <c r="P76" i="23"/>
  <c r="P68" i="23"/>
  <c r="P60" i="23"/>
  <c r="Q8" i="23" s="1"/>
  <c r="P52" i="23"/>
  <c r="P44" i="23"/>
  <c r="P36" i="23"/>
  <c r="P28" i="23"/>
  <c r="P20" i="23"/>
  <c r="P443" i="23"/>
  <c r="P435" i="23"/>
  <c r="P427" i="23"/>
  <c r="P419" i="23"/>
  <c r="P411" i="23"/>
  <c r="P403" i="23"/>
  <c r="P395" i="23"/>
  <c r="P387" i="23"/>
  <c r="P379" i="23"/>
  <c r="P371" i="23"/>
  <c r="P363" i="23"/>
  <c r="P355" i="23"/>
  <c r="P347" i="23"/>
  <c r="P339" i="23"/>
  <c r="P331" i="23"/>
  <c r="P323" i="23"/>
  <c r="P315" i="23"/>
  <c r="P307" i="23"/>
  <c r="P299" i="23"/>
  <c r="P291" i="23"/>
  <c r="P283" i="23"/>
  <c r="P275" i="23"/>
  <c r="P267" i="23"/>
  <c r="P259" i="23"/>
  <c r="P251" i="23"/>
  <c r="P243" i="23"/>
  <c r="P235" i="23"/>
  <c r="P227" i="23"/>
  <c r="P219" i="23"/>
  <c r="P211" i="23"/>
  <c r="P203" i="23"/>
  <c r="P195" i="23"/>
  <c r="P187" i="23"/>
  <c r="P179" i="23"/>
  <c r="P171" i="23"/>
  <c r="P163" i="23"/>
  <c r="P155" i="23"/>
  <c r="P147" i="23"/>
  <c r="P139" i="23"/>
  <c r="P131" i="23"/>
  <c r="P123" i="23"/>
  <c r="P115" i="23"/>
  <c r="P107" i="23"/>
  <c r="P99" i="23"/>
  <c r="P91" i="23"/>
  <c r="P83" i="23"/>
  <c r="P75" i="23"/>
  <c r="P67" i="23"/>
  <c r="P59" i="23"/>
  <c r="Q7" i="23" s="1"/>
  <c r="P51" i="23"/>
  <c r="P43" i="23"/>
  <c r="P35" i="23"/>
  <c r="P27" i="23"/>
  <c r="P19" i="23"/>
  <c r="P449" i="23"/>
  <c r="P441" i="23"/>
  <c r="P433" i="23"/>
  <c r="P425" i="23"/>
  <c r="P417" i="23"/>
  <c r="P409" i="23"/>
  <c r="P401" i="23"/>
  <c r="P393" i="23"/>
  <c r="P385" i="23"/>
  <c r="P377" i="23"/>
  <c r="P369" i="23"/>
  <c r="P361" i="23"/>
  <c r="P353" i="23"/>
  <c r="P345" i="23"/>
  <c r="P337" i="23"/>
  <c r="P329" i="23"/>
  <c r="P321" i="23"/>
  <c r="P313" i="23"/>
  <c r="P305" i="23"/>
  <c r="P297" i="23"/>
  <c r="P289" i="23"/>
  <c r="P281" i="23"/>
  <c r="P273" i="23"/>
  <c r="P265" i="23"/>
  <c r="P257" i="23"/>
  <c r="P249" i="23"/>
  <c r="P241" i="23"/>
  <c r="P233" i="23"/>
  <c r="P225" i="23"/>
  <c r="P217" i="23"/>
  <c r="P209" i="23"/>
  <c r="P201" i="23"/>
  <c r="P193" i="23"/>
  <c r="P185" i="23"/>
  <c r="P177" i="23"/>
  <c r="P169" i="23"/>
  <c r="P161" i="23"/>
  <c r="P153" i="23"/>
  <c r="P145" i="23"/>
  <c r="P137" i="23"/>
  <c r="P129" i="23"/>
  <c r="P121" i="23"/>
  <c r="P113" i="23"/>
  <c r="P105" i="23"/>
  <c r="P97" i="23"/>
  <c r="P89" i="23"/>
  <c r="P81" i="23"/>
  <c r="P73" i="23"/>
  <c r="P65" i="23"/>
  <c r="Q13" i="23" s="1"/>
  <c r="P57" i="23"/>
  <c r="Q5" i="23" s="1"/>
  <c r="P49" i="23"/>
  <c r="P41" i="23"/>
  <c r="P33" i="23"/>
  <c r="P25" i="23"/>
  <c r="P17" i="23"/>
  <c r="P480" i="23"/>
  <c r="P472" i="23"/>
  <c r="P464" i="23"/>
  <c r="P456" i="23"/>
  <c r="P448" i="23"/>
  <c r="P440" i="23"/>
  <c r="P432" i="23"/>
  <c r="P424" i="23"/>
  <c r="P416" i="23"/>
  <c r="P408" i="23"/>
  <c r="P400" i="23"/>
  <c r="P392" i="23"/>
  <c r="P384" i="23"/>
  <c r="P376" i="23"/>
  <c r="P368" i="23"/>
  <c r="P360" i="23"/>
  <c r="P352" i="23"/>
  <c r="P344" i="23"/>
  <c r="P336" i="23"/>
  <c r="P328" i="23"/>
  <c r="P320" i="23"/>
  <c r="P312" i="23"/>
  <c r="P304" i="23"/>
  <c r="P296" i="23"/>
  <c r="P288" i="23"/>
  <c r="P280" i="23"/>
  <c r="P272" i="23"/>
  <c r="P264" i="23"/>
  <c r="P256" i="23"/>
  <c r="P248" i="23"/>
  <c r="P240" i="23"/>
  <c r="P232" i="23"/>
  <c r="P224" i="23"/>
  <c r="P216" i="23"/>
  <c r="P208" i="23"/>
  <c r="P200" i="23"/>
  <c r="P192" i="23"/>
  <c r="P184" i="23"/>
  <c r="P176" i="23"/>
  <c r="P168" i="23"/>
  <c r="P160" i="23"/>
  <c r="P152" i="23"/>
  <c r="P144" i="23"/>
  <c r="P136" i="23"/>
  <c r="P128" i="23"/>
  <c r="P120" i="23"/>
  <c r="P112" i="23"/>
  <c r="P104" i="23"/>
  <c r="P96" i="23"/>
  <c r="P88" i="23"/>
  <c r="P80" i="23"/>
  <c r="P72" i="23"/>
  <c r="P64" i="23"/>
  <c r="P56" i="23"/>
  <c r="Q4" i="23" s="1"/>
  <c r="P48" i="23"/>
  <c r="P40" i="23"/>
  <c r="P32" i="23"/>
  <c r="P24" i="23"/>
  <c r="P16" i="23"/>
  <c r="L1390" i="23"/>
  <c r="L1386" i="23"/>
  <c r="L1382" i="23"/>
  <c r="K1389" i="23"/>
  <c r="K1385" i="23"/>
  <c r="K1381" i="23"/>
  <c r="K1388" i="23"/>
  <c r="L1387" i="23" s="1"/>
  <c r="K1384" i="23"/>
  <c r="K1380" i="23"/>
  <c r="R4" i="23" l="1"/>
  <c r="W4" i="23"/>
  <c r="D19" i="32"/>
  <c r="E19" i="32" s="1"/>
  <c r="F19" i="32" s="1"/>
  <c r="W5" i="23"/>
  <c r="C23" i="32"/>
  <c r="W1376" i="23"/>
  <c r="D22" i="32"/>
  <c r="E22" i="32" s="1"/>
  <c r="F22" i="32" s="1"/>
  <c r="R5" i="23"/>
  <c r="C20" i="32"/>
  <c r="W6" i="23"/>
  <c r="R6" i="23"/>
  <c r="W7" i="23"/>
  <c r="R7" i="23"/>
  <c r="V617" i="23"/>
  <c r="V344" i="23"/>
  <c r="V224" i="23"/>
  <c r="V664" i="23"/>
  <c r="V248" i="23"/>
  <c r="Q399" i="23"/>
  <c r="V612" i="23"/>
  <c r="V80" i="23"/>
  <c r="V644" i="23"/>
  <c r="V601" i="23"/>
  <c r="V286" i="23"/>
  <c r="V880" i="23"/>
  <c r="V944" i="23"/>
  <c r="V1008" i="23"/>
  <c r="V1072" i="23"/>
  <c r="V1136" i="23"/>
  <c r="V1200" i="23"/>
  <c r="V1264" i="23"/>
  <c r="V609" i="23"/>
  <c r="V158" i="23"/>
  <c r="V319" i="23"/>
  <c r="V688" i="23"/>
  <c r="Q799" i="23"/>
  <c r="V64" i="23"/>
  <c r="V192" i="23"/>
  <c r="Q663" i="23"/>
  <c r="V72" i="23"/>
  <c r="V144" i="23"/>
  <c r="V208" i="23"/>
  <c r="V241" i="23"/>
  <c r="V30" i="23"/>
  <c r="V62" i="23"/>
  <c r="V46" i="23"/>
  <c r="V146" i="23"/>
  <c r="V306" i="23"/>
  <c r="V290" i="23"/>
  <c r="V546" i="23"/>
  <c r="V578" i="23"/>
  <c r="V1258" i="23"/>
  <c r="V12" i="23"/>
  <c r="W8" i="23" s="1"/>
  <c r="Q551" i="23"/>
  <c r="V216" i="23"/>
  <c r="Q12" i="23"/>
  <c r="R9" i="23" s="1"/>
  <c r="V303" i="23"/>
  <c r="V106" i="23"/>
  <c r="V86" i="23"/>
  <c r="V362" i="23"/>
  <c r="V522" i="23"/>
  <c r="V682" i="23"/>
  <c r="V1106" i="23"/>
  <c r="V328" i="23"/>
  <c r="V680" i="23"/>
  <c r="V782" i="23"/>
  <c r="V834" i="23"/>
  <c r="V170" i="23"/>
  <c r="V496" i="23"/>
  <c r="V568" i="23"/>
  <c r="V855" i="23"/>
  <c r="V919" i="23"/>
  <c r="V983" i="23"/>
  <c r="V1047" i="23"/>
  <c r="V1111" i="23"/>
  <c r="V1175" i="23"/>
  <c r="V1239" i="23"/>
  <c r="V1303" i="23"/>
  <c r="V222" i="23"/>
  <c r="V448" i="23"/>
  <c r="V322" i="23"/>
  <c r="V418" i="23"/>
  <c r="V450" i="23"/>
  <c r="V642" i="23"/>
  <c r="V770" i="23"/>
  <c r="V1130" i="23"/>
  <c r="V1162" i="23"/>
  <c r="V1194" i="23"/>
  <c r="V1226" i="23"/>
  <c r="V1290" i="23"/>
  <c r="Q719" i="23"/>
  <c r="V40" i="23"/>
  <c r="V104" i="23"/>
  <c r="V98" i="23"/>
  <c r="V182" i="23"/>
  <c r="V214" i="23"/>
  <c r="V806" i="23"/>
  <c r="V1002" i="23"/>
  <c r="V176" i="23"/>
  <c r="V887" i="23"/>
  <c r="V951" i="23"/>
  <c r="V1079" i="23"/>
  <c r="V1143" i="23"/>
  <c r="V1207" i="23"/>
  <c r="V545" i="23"/>
  <c r="V740" i="23"/>
  <c r="V1274" i="23"/>
  <c r="V1306" i="23"/>
  <c r="V56" i="23"/>
  <c r="V120" i="23"/>
  <c r="V416" i="23"/>
  <c r="V480" i="23"/>
  <c r="V552" i="23"/>
  <c r="V624" i="23"/>
  <c r="V689" i="23"/>
  <c r="V488" i="23"/>
  <c r="V560" i="23"/>
  <c r="V632" i="23"/>
  <c r="V18" i="23"/>
  <c r="V618" i="23"/>
  <c r="V272" i="23"/>
  <c r="V888" i="23"/>
  <c r="V952" i="23"/>
  <c r="V1016" i="23"/>
  <c r="V1080" i="23"/>
  <c r="V1144" i="23"/>
  <c r="V1208" i="23"/>
  <c r="V1272" i="23"/>
  <c r="V705" i="23"/>
  <c r="V22" i="23"/>
  <c r="V54" i="23"/>
  <c r="V122" i="23"/>
  <c r="V154" i="23"/>
  <c r="V190" i="23"/>
  <c r="V226" i="23"/>
  <c r="V298" i="23"/>
  <c r="V814" i="23"/>
  <c r="V1010" i="23"/>
  <c r="V29" i="23"/>
  <c r="V832" i="23"/>
  <c r="V896" i="23"/>
  <c r="V960" i="23"/>
  <c r="V1024" i="23"/>
  <c r="V1088" i="23"/>
  <c r="V1152" i="23"/>
  <c r="V1216" i="23"/>
  <c r="V1280" i="23"/>
  <c r="V26" i="23"/>
  <c r="V58" i="23"/>
  <c r="V126" i="23"/>
  <c r="V162" i="23"/>
  <c r="V194" i="23"/>
  <c r="V230" i="23"/>
  <c r="V210" i="23"/>
  <c r="V302" i="23"/>
  <c r="V402" i="23"/>
  <c r="V434" i="23"/>
  <c r="V562" i="23"/>
  <c r="V594" i="23"/>
  <c r="V626" i="23"/>
  <c r="V658" i="23"/>
  <c r="V722" i="23"/>
  <c r="V786" i="23"/>
  <c r="V818" i="23"/>
  <c r="V802" i="23"/>
  <c r="V982" i="23"/>
  <c r="V1014" i="23"/>
  <c r="V1146" i="23"/>
  <c r="V1210" i="23"/>
  <c r="V1242" i="23"/>
  <c r="V13" i="23"/>
  <c r="V752" i="23"/>
  <c r="V337" i="23"/>
  <c r="V401" i="23"/>
  <c r="V465" i="23"/>
  <c r="V529" i="23"/>
  <c r="V785" i="23"/>
  <c r="V849" i="23"/>
  <c r="V913" i="23"/>
  <c r="V977" i="23"/>
  <c r="V1041" i="23"/>
  <c r="V1105" i="23"/>
  <c r="V1169" i="23"/>
  <c r="V1233" i="23"/>
  <c r="V1297" i="23"/>
  <c r="V130" i="23"/>
  <c r="V198" i="23"/>
  <c r="V790" i="23"/>
  <c r="V822" i="23"/>
  <c r="V986" i="23"/>
  <c r="V1018" i="23"/>
  <c r="V665" i="23"/>
  <c r="V857" i="23"/>
  <c r="V921" i="23"/>
  <c r="V985" i="23"/>
  <c r="V1049" i="23"/>
  <c r="V1113" i="23"/>
  <c r="V1177" i="23"/>
  <c r="V1241" i="23"/>
  <c r="V1305" i="23"/>
  <c r="V524" i="23"/>
  <c r="V497" i="23"/>
  <c r="V817" i="23"/>
  <c r="V881" i="23"/>
  <c r="V945" i="23"/>
  <c r="V1009" i="23"/>
  <c r="V1073" i="23"/>
  <c r="V1137" i="23"/>
  <c r="V1201" i="23"/>
  <c r="V1265" i="23"/>
  <c r="V505" i="23"/>
  <c r="V825" i="23"/>
  <c r="V889" i="23"/>
  <c r="V953" i="23"/>
  <c r="V1017" i="23"/>
  <c r="V1081" i="23"/>
  <c r="V1145" i="23"/>
  <c r="V1209" i="23"/>
  <c r="V1273" i="23"/>
  <c r="V234" i="23"/>
  <c r="V840" i="23"/>
  <c r="V904" i="23"/>
  <c r="V968" i="23"/>
  <c r="V1032" i="23"/>
  <c r="V1096" i="23"/>
  <c r="V1160" i="23"/>
  <c r="V1224" i="23"/>
  <c r="V1288" i="23"/>
  <c r="Q615" i="23"/>
  <c r="V481" i="23"/>
  <c r="V865" i="23"/>
  <c r="V929" i="23"/>
  <c r="V993" i="23"/>
  <c r="V1057" i="23"/>
  <c r="V1121" i="23"/>
  <c r="V1185" i="23"/>
  <c r="V1249" i="23"/>
  <c r="V1313" i="23"/>
  <c r="V335" i="23"/>
  <c r="V310" i="23"/>
  <c r="V352" i="23"/>
  <c r="V800" i="23"/>
  <c r="V305" i="23"/>
  <c r="V369" i="23"/>
  <c r="V433" i="23"/>
  <c r="V178" i="23"/>
  <c r="V708" i="23"/>
  <c r="V90" i="23"/>
  <c r="V334" i="23"/>
  <c r="V366" i="23"/>
  <c r="V398" i="23"/>
  <c r="V430" i="23"/>
  <c r="V462" i="23"/>
  <c r="V494" i="23"/>
  <c r="V526" i="23"/>
  <c r="V558" i="23"/>
  <c r="V590" i="23"/>
  <c r="V622" i="23"/>
  <c r="V654" i="23"/>
  <c r="V686" i="23"/>
  <c r="V718" i="23"/>
  <c r="V750" i="23"/>
  <c r="V850" i="23"/>
  <c r="V882" i="23"/>
  <c r="V914" i="23"/>
  <c r="V946" i="23"/>
  <c r="V1046" i="23"/>
  <c r="V1078" i="23"/>
  <c r="V1110" i="23"/>
  <c r="V1142" i="23"/>
  <c r="V1174" i="23"/>
  <c r="V1206" i="23"/>
  <c r="V1238" i="23"/>
  <c r="V1270" i="23"/>
  <c r="Q783" i="23"/>
  <c r="V295" i="23"/>
  <c r="V577" i="23"/>
  <c r="V706" i="23"/>
  <c r="V96" i="23"/>
  <c r="V376" i="23"/>
  <c r="V250" i="23"/>
  <c r="V34" i="23"/>
  <c r="V134" i="23"/>
  <c r="V202" i="23"/>
  <c r="V794" i="23"/>
  <c r="V826" i="23"/>
  <c r="V990" i="23"/>
  <c r="V1022" i="23"/>
  <c r="V1314" i="23"/>
  <c r="Q671" i="23"/>
  <c r="V359" i="23"/>
  <c r="V423" i="23"/>
  <c r="V487" i="23"/>
  <c r="V551" i="23"/>
  <c r="V615" i="23"/>
  <c r="V679" i="23"/>
  <c r="V743" i="23"/>
  <c r="V807" i="23"/>
  <c r="V871" i="23"/>
  <c r="V935" i="23"/>
  <c r="V999" i="23"/>
  <c r="V1063" i="23"/>
  <c r="V1127" i="23"/>
  <c r="V1191" i="23"/>
  <c r="V1255" i="23"/>
  <c r="V1319" i="23"/>
  <c r="V320" i="23"/>
  <c r="V657" i="23"/>
  <c r="V304" i="23"/>
  <c r="V456" i="23"/>
  <c r="V528" i="23"/>
  <c r="V600" i="23"/>
  <c r="V473" i="23"/>
  <c r="V760" i="23"/>
  <c r="V110" i="23"/>
  <c r="V864" i="23"/>
  <c r="V928" i="23"/>
  <c r="V992" i="23"/>
  <c r="V1056" i="23"/>
  <c r="V1120" i="23"/>
  <c r="V1184" i="23"/>
  <c r="V1248" i="23"/>
  <c r="V745" i="23"/>
  <c r="V1030" i="23"/>
  <c r="Q423" i="23"/>
  <c r="V67" i="23"/>
  <c r="V131" i="23"/>
  <c r="V195" i="23"/>
  <c r="V259" i="23"/>
  <c r="V1271" i="23"/>
  <c r="V464" i="23"/>
  <c r="V536" i="23"/>
  <c r="V608" i="23"/>
  <c r="V673" i="23"/>
  <c r="V21" i="23"/>
  <c r="V85" i="23"/>
  <c r="V149" i="23"/>
  <c r="V213" i="23"/>
  <c r="V277" i="23"/>
  <c r="Q599" i="23"/>
  <c r="V114" i="23"/>
  <c r="V1178" i="23"/>
  <c r="V242" i="23"/>
  <c r="V278" i="23"/>
  <c r="V1266" i="23"/>
  <c r="V368" i="23"/>
  <c r="V384" i="23"/>
  <c r="V520" i="23"/>
  <c r="V592" i="23"/>
  <c r="V1302" i="23"/>
  <c r="V856" i="23"/>
  <c r="V920" i="23"/>
  <c r="V984" i="23"/>
  <c r="V1048" i="23"/>
  <c r="V1112" i="23"/>
  <c r="V1176" i="23"/>
  <c r="V1240" i="23"/>
  <c r="V1304" i="23"/>
  <c r="V737" i="23"/>
  <c r="V801" i="23"/>
  <c r="V256" i="23"/>
  <c r="V74" i="23"/>
  <c r="V350" i="23"/>
  <c r="V382" i="23"/>
  <c r="V414" i="23"/>
  <c r="V446" i="23"/>
  <c r="V478" i="23"/>
  <c r="V510" i="23"/>
  <c r="V542" i="23"/>
  <c r="V574" i="23"/>
  <c r="V606" i="23"/>
  <c r="V638" i="23"/>
  <c r="V670" i="23"/>
  <c r="V702" i="23"/>
  <c r="V734" i="23"/>
  <c r="V766" i="23"/>
  <c r="V866" i="23"/>
  <c r="V898" i="23"/>
  <c r="V930" i="23"/>
  <c r="V962" i="23"/>
  <c r="V1062" i="23"/>
  <c r="V1094" i="23"/>
  <c r="V1126" i="23"/>
  <c r="V1158" i="23"/>
  <c r="V1190" i="23"/>
  <c r="V1222" i="23"/>
  <c r="V1254" i="23"/>
  <c r="V1286" i="23"/>
  <c r="V872" i="23"/>
  <c r="V936" i="23"/>
  <c r="V1000" i="23"/>
  <c r="V1064" i="23"/>
  <c r="V1128" i="23"/>
  <c r="V1192" i="23"/>
  <c r="V1256" i="23"/>
  <c r="V753" i="23"/>
  <c r="V460" i="23"/>
  <c r="V52" i="23"/>
  <c r="V59" i="23"/>
  <c r="V123" i="23"/>
  <c r="V187" i="23"/>
  <c r="V251" i="23"/>
  <c r="V736" i="23"/>
  <c r="V513" i="23"/>
  <c r="V833" i="23"/>
  <c r="V897" i="23"/>
  <c r="V961" i="23"/>
  <c r="V1025" i="23"/>
  <c r="V1089" i="23"/>
  <c r="V1153" i="23"/>
  <c r="V1217" i="23"/>
  <c r="V1281" i="23"/>
  <c r="V1015" i="23"/>
  <c r="Q655" i="23"/>
  <c r="V672" i="23"/>
  <c r="V274" i="23"/>
  <c r="V118" i="23"/>
  <c r="V63" i="23"/>
  <c r="V127" i="23"/>
  <c r="V191" i="23"/>
  <c r="V255" i="23"/>
  <c r="V48" i="23"/>
  <c r="V112" i="23"/>
  <c r="V240" i="23"/>
  <c r="V506" i="23"/>
  <c r="V792" i="23"/>
  <c r="V70" i="23"/>
  <c r="V474" i="23"/>
  <c r="V88" i="23"/>
  <c r="V761" i="23"/>
  <c r="Q495" i="23"/>
  <c r="V38" i="23"/>
  <c r="V138" i="23"/>
  <c r="V174" i="23"/>
  <c r="V206" i="23"/>
  <c r="V798" i="23"/>
  <c r="V830" i="23"/>
  <c r="V994" i="23"/>
  <c r="Q743" i="23"/>
  <c r="Q871" i="23"/>
  <c r="V160" i="23"/>
  <c r="V378" i="23"/>
  <c r="V762" i="23"/>
  <c r="V676" i="23"/>
  <c r="V42" i="23"/>
  <c r="V142" i="23"/>
  <c r="V998" i="23"/>
  <c r="V232" i="23"/>
  <c r="V1026" i="23"/>
  <c r="V1090" i="23"/>
  <c r="V50" i="23"/>
  <c r="V150" i="23"/>
  <c r="V186" i="23"/>
  <c r="V294" i="23"/>
  <c r="V810" i="23"/>
  <c r="V1006" i="23"/>
  <c r="V315" i="23"/>
  <c r="V68" i="23"/>
  <c r="V1320" i="23"/>
  <c r="V561" i="23"/>
  <c r="V593" i="23"/>
  <c r="V721" i="23"/>
  <c r="V258" i="23"/>
  <c r="V318" i="23"/>
  <c r="V266" i="23"/>
  <c r="V43" i="23"/>
  <c r="V75" i="23"/>
  <c r="V107" i="23"/>
  <c r="V139" i="23"/>
  <c r="V171" i="23"/>
  <c r="V203" i="23"/>
  <c r="V235" i="23"/>
  <c r="V267" i="23"/>
  <c r="V299" i="23"/>
  <c r="V331" i="23"/>
  <c r="V37" i="23"/>
  <c r="V69" i="23"/>
  <c r="V101" i="23"/>
  <c r="V133" i="23"/>
  <c r="V165" i="23"/>
  <c r="V197" i="23"/>
  <c r="V229" i="23"/>
  <c r="V261" i="23"/>
  <c r="V102" i="23"/>
  <c r="V128" i="23"/>
  <c r="V257" i="23"/>
  <c r="V289" i="23"/>
  <c r="V343" i="23"/>
  <c r="V375" i="23"/>
  <c r="V407" i="23"/>
  <c r="V439" i="23"/>
  <c r="V471" i="23"/>
  <c r="V503" i="23"/>
  <c r="V535" i="23"/>
  <c r="V567" i="23"/>
  <c r="V599" i="23"/>
  <c r="V631" i="23"/>
  <c r="V663" i="23"/>
  <c r="V695" i="23"/>
  <c r="V727" i="23"/>
  <c r="V759" i="23"/>
  <c r="V791" i="23"/>
  <c r="V823" i="23"/>
  <c r="V400" i="23"/>
  <c r="V776" i="23"/>
  <c r="V816" i="23"/>
  <c r="V321" i="23"/>
  <c r="V353" i="23"/>
  <c r="V385" i="23"/>
  <c r="V417" i="23"/>
  <c r="V449" i="23"/>
  <c r="V641" i="23"/>
  <c r="V769" i="23"/>
  <c r="V698" i="23"/>
  <c r="V1042" i="23"/>
  <c r="V1324" i="23"/>
  <c r="V1317" i="23"/>
  <c r="V1322" i="23"/>
  <c r="V196" i="23"/>
  <c r="V19" i="23"/>
  <c r="V83" i="23"/>
  <c r="V147" i="23"/>
  <c r="V211" i="23"/>
  <c r="V275" i="23"/>
  <c r="V311" i="23"/>
  <c r="V472" i="23"/>
  <c r="V544" i="23"/>
  <c r="V616" i="23"/>
  <c r="V744" i="23"/>
  <c r="V1312" i="23"/>
  <c r="V489" i="23"/>
  <c r="V521" i="23"/>
  <c r="V681" i="23"/>
  <c r="V809" i="23"/>
  <c r="V841" i="23"/>
  <c r="V873" i="23"/>
  <c r="V905" i="23"/>
  <c r="V937" i="23"/>
  <c r="V969" i="23"/>
  <c r="V1001" i="23"/>
  <c r="V1033" i="23"/>
  <c r="V1065" i="23"/>
  <c r="V1097" i="23"/>
  <c r="V1129" i="23"/>
  <c r="V1161" i="23"/>
  <c r="V1193" i="23"/>
  <c r="V1225" i="23"/>
  <c r="V1257" i="23"/>
  <c r="V1289" i="23"/>
  <c r="V1321" i="23"/>
  <c r="V346" i="23"/>
  <c r="V490" i="23"/>
  <c r="V1074" i="23"/>
  <c r="Q791" i="23"/>
  <c r="Q487" i="23"/>
  <c r="V66" i="23"/>
  <c r="V14" i="23"/>
  <c r="V394" i="23"/>
  <c r="V538" i="23"/>
  <c r="V746" i="23"/>
  <c r="V1058" i="23"/>
  <c r="V1122" i="23"/>
  <c r="V588" i="23"/>
  <c r="V640" i="23"/>
  <c r="V533" i="23"/>
  <c r="V677" i="23"/>
  <c r="V917" i="23"/>
  <c r="V981" i="23"/>
  <c r="V1045" i="23"/>
  <c r="V1109" i="23"/>
  <c r="V1173" i="23"/>
  <c r="V1237" i="23"/>
  <c r="V1301" i="23"/>
  <c r="V82" i="23"/>
  <c r="V94" i="23"/>
  <c r="V166" i="23"/>
  <c r="V270" i="23"/>
  <c r="V326" i="23"/>
  <c r="V342" i="23"/>
  <c r="V358" i="23"/>
  <c r="V374" i="23"/>
  <c r="V390" i="23"/>
  <c r="V406" i="23"/>
  <c r="V422" i="23"/>
  <c r="V438" i="23"/>
  <c r="V454" i="23"/>
  <c r="V470" i="23"/>
  <c r="V486" i="23"/>
  <c r="V502" i="23"/>
  <c r="V518" i="23"/>
  <c r="V534" i="23"/>
  <c r="V550" i="23"/>
  <c r="V566" i="23"/>
  <c r="V582" i="23"/>
  <c r="V598" i="23"/>
  <c r="V614" i="23"/>
  <c r="V630" i="23"/>
  <c r="V646" i="23"/>
  <c r="V662" i="23"/>
  <c r="V678" i="23"/>
  <c r="V694" i="23"/>
  <c r="V710" i="23"/>
  <c r="V726" i="23"/>
  <c r="V742" i="23"/>
  <c r="V758" i="23"/>
  <c r="V774" i="23"/>
  <c r="V842" i="23"/>
  <c r="V858" i="23"/>
  <c r="V874" i="23"/>
  <c r="V890" i="23"/>
  <c r="V906" i="23"/>
  <c r="V922" i="23"/>
  <c r="V938" i="23"/>
  <c r="V954" i="23"/>
  <c r="V970" i="23"/>
  <c r="V1038" i="23"/>
  <c r="V1054" i="23"/>
  <c r="V1070" i="23"/>
  <c r="V1086" i="23"/>
  <c r="V1102" i="23"/>
  <c r="V1118" i="23"/>
  <c r="V1134" i="23"/>
  <c r="V1150" i="23"/>
  <c r="V1166" i="23"/>
  <c r="V1182" i="23"/>
  <c r="V1198" i="23"/>
  <c r="V1214" i="23"/>
  <c r="V1230" i="23"/>
  <c r="V1246" i="23"/>
  <c r="V1262" i="23"/>
  <c r="V1278" i="23"/>
  <c r="V1294" i="23"/>
  <c r="V1310" i="23"/>
  <c r="V576" i="23"/>
  <c r="Q176" i="23"/>
  <c r="Q304" i="23"/>
  <c r="Q400" i="23"/>
  <c r="Q464" i="23"/>
  <c r="Q25" i="23"/>
  <c r="Q377" i="23"/>
  <c r="Q441" i="23"/>
  <c r="Q35" i="23"/>
  <c r="Q195" i="23"/>
  <c r="Q64" i="23"/>
  <c r="Q128" i="23"/>
  <c r="Q160" i="23"/>
  <c r="Q256" i="23"/>
  <c r="Q288" i="23"/>
  <c r="Q352" i="23"/>
  <c r="Q384" i="23"/>
  <c r="Q416" i="23"/>
  <c r="Q448" i="23"/>
  <c r="Q480" i="23"/>
  <c r="Q41" i="23"/>
  <c r="Q73" i="23"/>
  <c r="Q105" i="23"/>
  <c r="Q137" i="23"/>
  <c r="Q169" i="23"/>
  <c r="Q201" i="23"/>
  <c r="Q233" i="23"/>
  <c r="Q265" i="23"/>
  <c r="Q297" i="23"/>
  <c r="Q329" i="23"/>
  <c r="Q361" i="23"/>
  <c r="Q393" i="23"/>
  <c r="Q425" i="23"/>
  <c r="Q19" i="23"/>
  <c r="Q51" i="23"/>
  <c r="Q36" i="23"/>
  <c r="Q100" i="23"/>
  <c r="Q164" i="23"/>
  <c r="Q316" i="23"/>
  <c r="Q38" i="23"/>
  <c r="Q454" i="23"/>
  <c r="Q536" i="23"/>
  <c r="Q568" i="23"/>
  <c r="Q600" i="23"/>
  <c r="Q632" i="23"/>
  <c r="Q664" i="23"/>
  <c r="Q696" i="23"/>
  <c r="Q728" i="23"/>
  <c r="Q760" i="23"/>
  <c r="Q792" i="23"/>
  <c r="Q824" i="23"/>
  <c r="Q473" i="23"/>
  <c r="Q505" i="23"/>
  <c r="Q537" i="23"/>
  <c r="Q569" i="23"/>
  <c r="Q601" i="23"/>
  <c r="Q633" i="23"/>
  <c r="Q665" i="23"/>
  <c r="Q697" i="23"/>
  <c r="Q729" i="23"/>
  <c r="Q761" i="23"/>
  <c r="Q793" i="23"/>
  <c r="Q825" i="23"/>
  <c r="Q857" i="23"/>
  <c r="Q889" i="23"/>
  <c r="Q921" i="23"/>
  <c r="Q953" i="23"/>
  <c r="Q1017" i="23"/>
  <c r="Q1081" i="23"/>
  <c r="Q458" i="23"/>
  <c r="Q490" i="23"/>
  <c r="Q522" i="23"/>
  <c r="Q554" i="23"/>
  <c r="Q586" i="23"/>
  <c r="Q618" i="23"/>
  <c r="Q650" i="23"/>
  <c r="Q682" i="23"/>
  <c r="Q714" i="23"/>
  <c r="Q746" i="23"/>
  <c r="Q778" i="23"/>
  <c r="Q810" i="23"/>
  <c r="Q842" i="23"/>
  <c r="Q874" i="23"/>
  <c r="Q906" i="23"/>
  <c r="Q938" i="23"/>
  <c r="Q970" i="23"/>
  <c r="Q1002" i="23"/>
  <c r="Q780" i="23"/>
  <c r="Q812" i="23"/>
  <c r="Q844" i="23"/>
  <c r="Q876" i="23"/>
  <c r="Q908" i="23"/>
  <c r="Q940" i="23"/>
  <c r="Q972" i="23"/>
  <c r="Q1004" i="23"/>
  <c r="Q1036" i="23"/>
  <c r="Q1068" i="23"/>
  <c r="Q1100" i="23"/>
  <c r="Q1169" i="23"/>
  <c r="Q1201" i="23"/>
  <c r="Q1233" i="23"/>
  <c r="Q1265" i="23"/>
  <c r="Q1297" i="23"/>
  <c r="R1329" i="23"/>
  <c r="R1361" i="23"/>
  <c r="Q1154" i="23"/>
  <c r="Q1218" i="23"/>
  <c r="Q1282" i="23"/>
  <c r="R1346" i="23"/>
  <c r="Q895" i="23"/>
  <c r="Q1111" i="23"/>
  <c r="R1335" i="23"/>
  <c r="Q1034" i="23"/>
  <c r="Q1066" i="23"/>
  <c r="Q1098" i="23"/>
  <c r="Q1130" i="23"/>
  <c r="Q1194" i="23"/>
  <c r="Q1322" i="23"/>
  <c r="Q983" i="23"/>
  <c r="Q1207" i="23"/>
  <c r="Q1110" i="23"/>
  <c r="Q943" i="23"/>
  <c r="Q1167" i="23"/>
  <c r="Q1148" i="23"/>
  <c r="Q1180" i="23"/>
  <c r="Q1212" i="23"/>
  <c r="Q1244" i="23"/>
  <c r="Q1276" i="23"/>
  <c r="Q1308" i="23"/>
  <c r="R1340" i="23"/>
  <c r="R1372" i="23"/>
  <c r="R1349" i="23"/>
  <c r="Q974" i="23"/>
  <c r="Q855" i="23"/>
  <c r="Q1079" i="23"/>
  <c r="Q1295" i="23"/>
  <c r="R1341" i="23"/>
  <c r="Q959" i="23"/>
  <c r="Q927" i="23"/>
  <c r="R1351" i="23"/>
  <c r="Q1247" i="23"/>
  <c r="R1359" i="23"/>
  <c r="R1344" i="23"/>
  <c r="R1376" i="23"/>
  <c r="Q451" i="23"/>
  <c r="Q515" i="23"/>
  <c r="Q547" i="23"/>
  <c r="Q579" i="23"/>
  <c r="Q643" i="23"/>
  <c r="Q675" i="23"/>
  <c r="Q707" i="23"/>
  <c r="Q739" i="23"/>
  <c r="Q771" i="23"/>
  <c r="Q751" i="23"/>
  <c r="Q815" i="23"/>
  <c r="R1347" i="23"/>
  <c r="V333" i="23"/>
  <c r="V397" i="23"/>
  <c r="V461" i="23"/>
  <c r="V605" i="23"/>
  <c r="V765" i="23"/>
  <c r="V845" i="23"/>
  <c r="V781" i="23"/>
  <c r="R1382" i="23"/>
  <c r="X1382" i="23" s="1"/>
  <c r="Q40" i="23"/>
  <c r="Q104" i="23"/>
  <c r="Q136" i="23"/>
  <c r="Q328" i="23"/>
  <c r="Q424" i="23"/>
  <c r="Q456" i="23"/>
  <c r="Q49" i="23"/>
  <c r="Q113" i="23"/>
  <c r="Q177" i="23"/>
  <c r="Q241" i="23"/>
  <c r="Q305" i="23"/>
  <c r="Q337" i="23"/>
  <c r="Q369" i="23"/>
  <c r="Q401" i="23"/>
  <c r="Q433" i="23"/>
  <c r="Q27" i="23"/>
  <c r="Q59" i="23"/>
  <c r="Q91" i="23"/>
  <c r="Q436" i="23"/>
  <c r="Q46" i="23"/>
  <c r="Q302" i="23"/>
  <c r="Q366" i="23"/>
  <c r="Q430" i="23"/>
  <c r="Q494" i="23"/>
  <c r="Q512" i="23"/>
  <c r="Q544" i="23"/>
  <c r="Q608" i="23"/>
  <c r="Q672" i="23"/>
  <c r="Q704" i="23"/>
  <c r="Q736" i="23"/>
  <c r="Q768" i="23"/>
  <c r="Q800" i="23"/>
  <c r="Q832" i="23"/>
  <c r="Q513" i="23"/>
  <c r="Q577" i="23"/>
  <c r="Q641" i="23"/>
  <c r="Q705" i="23"/>
  <c r="Q769" i="23"/>
  <c r="Q833" i="23"/>
  <c r="Q897" i="23"/>
  <c r="Q961" i="23"/>
  <c r="Q993" i="23"/>
  <c r="Q1025" i="23"/>
  <c r="Q1057" i="23"/>
  <c r="Q1089" i="23"/>
  <c r="Q1121" i="23"/>
  <c r="Q466" i="23"/>
  <c r="Q498" i="23"/>
  <c r="Q530" i="23"/>
  <c r="Q562" i="23"/>
  <c r="Q594" i="23"/>
  <c r="Q626" i="23"/>
  <c r="Q658" i="23"/>
  <c r="Q690" i="23"/>
  <c r="Q722" i="23"/>
  <c r="Q754" i="23"/>
  <c r="Q786" i="23"/>
  <c r="Q818" i="23"/>
  <c r="Q850" i="23"/>
  <c r="Q882" i="23"/>
  <c r="Q914" i="23"/>
  <c r="Q946" i="23"/>
  <c r="Q820" i="23"/>
  <c r="Q884" i="23"/>
  <c r="Q948" i="23"/>
  <c r="Q1012" i="23"/>
  <c r="Q1076" i="23"/>
  <c r="Q1145" i="23"/>
  <c r="Q1209" i="23"/>
  <c r="Q1273" i="23"/>
  <c r="Q1305" i="23"/>
  <c r="R1337" i="23"/>
  <c r="R1369" i="23"/>
  <c r="Q1298" i="23"/>
  <c r="R1362" i="23"/>
  <c r="Q951" i="23"/>
  <c r="Q1175" i="23"/>
  <c r="Q1010" i="23"/>
  <c r="Q1074" i="23"/>
  <c r="Q1146" i="23"/>
  <c r="Q1274" i="23"/>
  <c r="R1338" i="23"/>
  <c r="R1350" i="23"/>
  <c r="Q1039" i="23"/>
  <c r="Q1263" i="23"/>
  <c r="R1358" i="23"/>
  <c r="Q999" i="23"/>
  <c r="Q1156" i="23"/>
  <c r="Q1220" i="23"/>
  <c r="Q1284" i="23"/>
  <c r="R1348" i="23"/>
  <c r="R1365" i="23"/>
  <c r="Q911" i="23"/>
  <c r="Q1135" i="23"/>
  <c r="R1367" i="23"/>
  <c r="R1357" i="23"/>
  <c r="Q1015" i="23"/>
  <c r="Q1271" i="23"/>
  <c r="Q991" i="23"/>
  <c r="Q863" i="23"/>
  <c r="Q1319" i="23"/>
  <c r="Q407" i="23"/>
  <c r="Q727" i="23"/>
  <c r="R1352" i="23"/>
  <c r="Q459" i="23"/>
  <c r="Q523" i="23"/>
  <c r="Q587" i="23"/>
  <c r="Q619" i="23"/>
  <c r="Q651" i="23"/>
  <c r="Q715" i="23"/>
  <c r="Q747" i="23"/>
  <c r="Q779" i="23"/>
  <c r="Q759" i="23"/>
  <c r="Q823" i="23"/>
  <c r="R1355" i="23"/>
  <c r="V339" i="23"/>
  <c r="V45" i="23"/>
  <c r="V77" i="23"/>
  <c r="V109" i="23"/>
  <c r="V141" i="23"/>
  <c r="V173" i="23"/>
  <c r="V205" i="23"/>
  <c r="V237" i="23"/>
  <c r="V269" i="23"/>
  <c r="V78" i="23"/>
  <c r="V87" i="23"/>
  <c r="V151" i="23"/>
  <c r="V215" i="23"/>
  <c r="V279" i="23"/>
  <c r="V136" i="23"/>
  <c r="V168" i="23"/>
  <c r="V296" i="23"/>
  <c r="V33" i="23"/>
  <c r="V105" i="23"/>
  <c r="V169" i="23"/>
  <c r="V233" i="23"/>
  <c r="V265" i="23"/>
  <c r="V297" i="23"/>
  <c r="V351" i="23"/>
  <c r="V383" i="23"/>
  <c r="V415" i="23"/>
  <c r="V447" i="23"/>
  <c r="V479" i="23"/>
  <c r="V511" i="23"/>
  <c r="V543" i="23"/>
  <c r="V575" i="23"/>
  <c r="V607" i="23"/>
  <c r="V639" i="23"/>
  <c r="V671" i="23"/>
  <c r="V703" i="23"/>
  <c r="V735" i="23"/>
  <c r="V767" i="23"/>
  <c r="V799" i="23"/>
  <c r="V831" i="23"/>
  <c r="V863" i="23"/>
  <c r="V895" i="23"/>
  <c r="V927" i="23"/>
  <c r="V959" i="23"/>
  <c r="V991" i="23"/>
  <c r="V1023" i="23"/>
  <c r="V1055" i="23"/>
  <c r="V1087" i="23"/>
  <c r="V1119" i="23"/>
  <c r="V1151" i="23"/>
  <c r="V1183" i="23"/>
  <c r="V1215" i="23"/>
  <c r="V1247" i="23"/>
  <c r="V1279" i="23"/>
  <c r="V1311" i="23"/>
  <c r="V312" i="23"/>
  <c r="V408" i="23"/>
  <c r="V440" i="23"/>
  <c r="V656" i="23"/>
  <c r="V704" i="23"/>
  <c r="V784" i="23"/>
  <c r="V329" i="23"/>
  <c r="V361" i="23"/>
  <c r="V393" i="23"/>
  <c r="V425" i="23"/>
  <c r="V457" i="23"/>
  <c r="V585" i="23"/>
  <c r="V649" i="23"/>
  <c r="V777" i="23"/>
  <c r="V282" i="23"/>
  <c r="V314" i="23"/>
  <c r="V354" i="23"/>
  <c r="V386" i="23"/>
  <c r="V426" i="23"/>
  <c r="V466" i="23"/>
  <c r="V498" i="23"/>
  <c r="V530" i="23"/>
  <c r="V570" i="23"/>
  <c r="V610" i="23"/>
  <c r="V650" i="23"/>
  <c r="V690" i="23"/>
  <c r="V730" i="23"/>
  <c r="V778" i="23"/>
  <c r="V1050" i="23"/>
  <c r="V1082" i="23"/>
  <c r="V1114" i="23"/>
  <c r="V1323" i="23"/>
  <c r="V124" i="23"/>
  <c r="V340" i="23"/>
  <c r="V700" i="23"/>
  <c r="V764" i="23"/>
  <c r="V828" i="23"/>
  <c r="V900" i="23"/>
  <c r="V964" i="23"/>
  <c r="V1028" i="23"/>
  <c r="V1092" i="23"/>
  <c r="V1156" i="23"/>
  <c r="V1220" i="23"/>
  <c r="V1284" i="23"/>
  <c r="V1316" i="23"/>
  <c r="V1318" i="23"/>
  <c r="V330" i="23"/>
  <c r="V602" i="23"/>
  <c r="V738" i="23"/>
  <c r="V1138" i="23"/>
  <c r="V1170" i="23"/>
  <c r="V1202" i="23"/>
  <c r="V1234" i="23"/>
  <c r="V1298" i="23"/>
  <c r="V238" i="23"/>
  <c r="V254" i="23"/>
  <c r="V846" i="23"/>
  <c r="V862" i="23"/>
  <c r="V878" i="23"/>
  <c r="V894" i="23"/>
  <c r="V910" i="23"/>
  <c r="V926" i="23"/>
  <c r="V942" i="23"/>
  <c r="V958" i="23"/>
  <c r="V974" i="23"/>
  <c r="Q879" i="23"/>
  <c r="Q16" i="23"/>
  <c r="Q80" i="23"/>
  <c r="Q208" i="23"/>
  <c r="Q272" i="23"/>
  <c r="Q432" i="23"/>
  <c r="Q89" i="23"/>
  <c r="Q153" i="23"/>
  <c r="Q217" i="23"/>
  <c r="Q281" i="23"/>
  <c r="Q345" i="23"/>
  <c r="Q409" i="23"/>
  <c r="Q419" i="23"/>
  <c r="Q22" i="23"/>
  <c r="Q54" i="23"/>
  <c r="Q118" i="23"/>
  <c r="Q214" i="23"/>
  <c r="Q406" i="23"/>
  <c r="Q470" i="23"/>
  <c r="Q584" i="23"/>
  <c r="Q648" i="23"/>
  <c r="Q712" i="23"/>
  <c r="Q744" i="23"/>
  <c r="Q776" i="23"/>
  <c r="Q808" i="23"/>
  <c r="Q489" i="23"/>
  <c r="Q553" i="23"/>
  <c r="Q617" i="23"/>
  <c r="Q681" i="23"/>
  <c r="Q745" i="23"/>
  <c r="Q809" i="23"/>
  <c r="Q873" i="23"/>
  <c r="Q937" i="23"/>
  <c r="Q969" i="23"/>
  <c r="Q1001" i="23"/>
  <c r="Q1033" i="23"/>
  <c r="Q1065" i="23"/>
  <c r="Q1097" i="23"/>
  <c r="Q1129" i="23"/>
  <c r="Q474" i="23"/>
  <c r="Q538" i="23"/>
  <c r="Q602" i="23"/>
  <c r="Q666" i="23"/>
  <c r="Q730" i="23"/>
  <c r="Q794" i="23"/>
  <c r="Q858" i="23"/>
  <c r="Q890" i="23"/>
  <c r="Q954" i="23"/>
  <c r="Q986" i="23"/>
  <c r="Q796" i="23"/>
  <c r="Q828" i="23"/>
  <c r="Q860" i="23"/>
  <c r="Q892" i="23"/>
  <c r="Q924" i="23"/>
  <c r="Q956" i="23"/>
  <c r="Q988" i="23"/>
  <c r="Q1020" i="23"/>
  <c r="Q1052" i="23"/>
  <c r="Q1084" i="23"/>
  <c r="Q1116" i="23"/>
  <c r="Q1153" i="23"/>
  <c r="Q1185" i="23"/>
  <c r="Q1217" i="23"/>
  <c r="Q1281" i="23"/>
  <c r="Q1313" i="23"/>
  <c r="R1345" i="23"/>
  <c r="Q1186" i="23"/>
  <c r="Q1007" i="23"/>
  <c r="Q1231" i="23"/>
  <c r="Q1018" i="23"/>
  <c r="Q1114" i="23"/>
  <c r="Q1162" i="23"/>
  <c r="Q1226" i="23"/>
  <c r="R1354" i="23"/>
  <c r="Q1303" i="23"/>
  <c r="Q847" i="23"/>
  <c r="Q1055" i="23"/>
  <c r="Q1132" i="23"/>
  <c r="Q1164" i="23"/>
  <c r="Q1196" i="23"/>
  <c r="Q1228" i="23"/>
  <c r="Q1260" i="23"/>
  <c r="Q1292" i="23"/>
  <c r="Q1324" i="23"/>
  <c r="R1356" i="23"/>
  <c r="R1326" i="23"/>
  <c r="Q975" i="23"/>
  <c r="Q1183" i="23"/>
  <c r="R1373" i="23"/>
  <c r="R1342" i="23"/>
  <c r="R1327" i="23"/>
  <c r="Q1047" i="23"/>
  <c r="Q1255" i="23"/>
  <c r="Q919" i="23"/>
  <c r="Q1143" i="23"/>
  <c r="R1375" i="23"/>
  <c r="R1328" i="23"/>
  <c r="R1360" i="23"/>
  <c r="Q467" i="23"/>
  <c r="Q531" i="23"/>
  <c r="Q595" i="23"/>
  <c r="Q659" i="23"/>
  <c r="Q787" i="23"/>
  <c r="R1331" i="23"/>
  <c r="R1363" i="23"/>
  <c r="V145" i="23"/>
  <c r="V209" i="23"/>
  <c r="V772" i="23"/>
  <c r="V824" i="23"/>
  <c r="Q463" i="23"/>
  <c r="Q120" i="23"/>
  <c r="Q248" i="23"/>
  <c r="Q312" i="23"/>
  <c r="Q376" i="23"/>
  <c r="Q408" i="23"/>
  <c r="Q472" i="23"/>
  <c r="Q385" i="23"/>
  <c r="Q449" i="23"/>
  <c r="Q43" i="23"/>
  <c r="Q203" i="23"/>
  <c r="Q30" i="23"/>
  <c r="Q62" i="23"/>
  <c r="Q414" i="23"/>
  <c r="Q478" i="23"/>
  <c r="Q496" i="23"/>
  <c r="Q528" i="23"/>
  <c r="Q688" i="23"/>
  <c r="Q720" i="23"/>
  <c r="Q752" i="23"/>
  <c r="Q784" i="23"/>
  <c r="Q816" i="23"/>
  <c r="Q1009" i="23"/>
  <c r="Q1041" i="23"/>
  <c r="Q1073" i="23"/>
  <c r="Q1105" i="23"/>
  <c r="Q1137" i="23"/>
  <c r="Q482" i="23"/>
  <c r="Q514" i="23"/>
  <c r="Q546" i="23"/>
  <c r="Q578" i="23"/>
  <c r="Q610" i="23"/>
  <c r="Q642" i="23"/>
  <c r="Q674" i="23"/>
  <c r="Q706" i="23"/>
  <c r="Q738" i="23"/>
  <c r="Q770" i="23"/>
  <c r="Q802" i="23"/>
  <c r="Q834" i="23"/>
  <c r="Q898" i="23"/>
  <c r="Q962" i="23"/>
  <c r="Q836" i="23"/>
  <c r="Q900" i="23"/>
  <c r="Q964" i="23"/>
  <c r="Q1028" i="23"/>
  <c r="Q1092" i="23"/>
  <c r="Q1161" i="23"/>
  <c r="Q1225" i="23"/>
  <c r="Q1321" i="23"/>
  <c r="R1353" i="23"/>
  <c r="Q1138" i="23"/>
  <c r="Q1266" i="23"/>
  <c r="R1330" i="23"/>
  <c r="Q1158" i="23"/>
  <c r="R1366" i="23"/>
  <c r="Q1063" i="23"/>
  <c r="Q1090" i="23"/>
  <c r="Q1242" i="23"/>
  <c r="Q1306" i="23"/>
  <c r="R1370" i="23"/>
  <c r="Q935" i="23"/>
  <c r="Q14" i="23"/>
  <c r="Q1119" i="23"/>
  <c r="R1343" i="23"/>
  <c r="R1332" i="23"/>
  <c r="R1364" i="23"/>
  <c r="R1333" i="23"/>
  <c r="R1374" i="23"/>
  <c r="Q1239" i="23"/>
  <c r="Q1127" i="23"/>
  <c r="R1334" i="23"/>
  <c r="Q1103" i="23"/>
  <c r="Q1311" i="23"/>
  <c r="Q1191" i="23"/>
  <c r="Q471" i="23"/>
  <c r="Q543" i="23"/>
  <c r="Q623" i="23"/>
  <c r="Q687" i="23"/>
  <c r="Q775" i="23"/>
  <c r="Q807" i="23"/>
  <c r="R1336" i="23"/>
  <c r="R1368" i="23"/>
  <c r="Q507" i="23"/>
  <c r="Q603" i="23"/>
  <c r="Q667" i="23"/>
  <c r="Q699" i="23"/>
  <c r="Q839" i="23"/>
  <c r="R1339" i="23"/>
  <c r="R1371" i="23"/>
  <c r="V291" i="23"/>
  <c r="V28" i="23"/>
  <c r="V76" i="23"/>
  <c r="V61" i="23"/>
  <c r="V125" i="23"/>
  <c r="V189" i="23"/>
  <c r="V253" i="23"/>
  <c r="V285" i="23"/>
  <c r="V31" i="23"/>
  <c r="V103" i="23"/>
  <c r="V167" i="23"/>
  <c r="V231" i="23"/>
  <c r="V152" i="23"/>
  <c r="V184" i="23"/>
  <c r="V280" i="23"/>
  <c r="V17" i="23"/>
  <c r="V89" i="23"/>
  <c r="V153" i="23"/>
  <c r="V217" i="23"/>
  <c r="V249" i="23"/>
  <c r="V367" i="23"/>
  <c r="V399" i="23"/>
  <c r="V431" i="23"/>
  <c r="V463" i="23"/>
  <c r="V495" i="23"/>
  <c r="V527" i="23"/>
  <c r="V559" i="23"/>
  <c r="V591" i="23"/>
  <c r="V623" i="23"/>
  <c r="V655" i="23"/>
  <c r="V687" i="23"/>
  <c r="V719" i="23"/>
  <c r="V751" i="23"/>
  <c r="V783" i="23"/>
  <c r="V815" i="23"/>
  <c r="V847" i="23"/>
  <c r="V879" i="23"/>
  <c r="V911" i="23"/>
  <c r="V943" i="23"/>
  <c r="V975" i="23"/>
  <c r="V1007" i="23"/>
  <c r="V1039" i="23"/>
  <c r="V1071" i="23"/>
  <c r="V1103" i="23"/>
  <c r="V1135" i="23"/>
  <c r="V1167" i="23"/>
  <c r="V1199" i="23"/>
  <c r="V1231" i="23"/>
  <c r="V1263" i="23"/>
  <c r="V1295" i="23"/>
  <c r="V392" i="23"/>
  <c r="V424" i="23"/>
  <c r="V720" i="23"/>
  <c r="V768" i="23"/>
  <c r="V808" i="23"/>
  <c r="V313" i="23"/>
  <c r="V377" i="23"/>
  <c r="V441" i="23"/>
  <c r="V537" i="23"/>
  <c r="V569" i="23"/>
  <c r="V633" i="23"/>
  <c r="V697" i="23"/>
  <c r="V218" i="23"/>
  <c r="V338" i="23"/>
  <c r="V370" i="23"/>
  <c r="V410" i="23"/>
  <c r="V442" i="23"/>
  <c r="V482" i="23"/>
  <c r="V514" i="23"/>
  <c r="V554" i="23"/>
  <c r="V586" i="23"/>
  <c r="V634" i="23"/>
  <c r="V666" i="23"/>
  <c r="V714" i="23"/>
  <c r="V754" i="23"/>
  <c r="V1034" i="23"/>
  <c r="V1066" i="23"/>
  <c r="V1098" i="23"/>
  <c r="V379" i="23"/>
  <c r="V443" i="23"/>
  <c r="V507" i="23"/>
  <c r="V571" i="23"/>
  <c r="V635" i="23"/>
  <c r="V699" i="23"/>
  <c r="V763" i="23"/>
  <c r="V827" i="23"/>
  <c r="V891" i="23"/>
  <c r="V955" i="23"/>
  <c r="V1019" i="23"/>
  <c r="V1083" i="23"/>
  <c r="V1147" i="23"/>
  <c r="V1211" i="23"/>
  <c r="V1275" i="23"/>
  <c r="V268" i="23"/>
  <c r="Q679" i="23"/>
  <c r="Q527" i="23"/>
  <c r="V458" i="23"/>
  <c r="V674" i="23"/>
  <c r="V1154" i="23"/>
  <c r="V1186" i="23"/>
  <c r="V1218" i="23"/>
  <c r="V1250" i="23"/>
  <c r="V1282" i="23"/>
  <c r="Q591" i="23"/>
  <c r="R1381" i="23"/>
  <c r="V246" i="23"/>
  <c r="V262" i="23"/>
  <c r="V838" i="23"/>
  <c r="V854" i="23"/>
  <c r="V870" i="23"/>
  <c r="V886" i="23"/>
  <c r="V902" i="23"/>
  <c r="V918" i="23"/>
  <c r="V934" i="23"/>
  <c r="V950" i="23"/>
  <c r="V966" i="23"/>
  <c r="Q571" i="23"/>
  <c r="Q519" i="23"/>
  <c r="Q635" i="23"/>
  <c r="Q583" i="23"/>
  <c r="Q763" i="23"/>
  <c r="Q711" i="23"/>
  <c r="Q24" i="23"/>
  <c r="Q88" i="23"/>
  <c r="Q152" i="23"/>
  <c r="Q280" i="23"/>
  <c r="Q344" i="23"/>
  <c r="Q65" i="23"/>
  <c r="Q129" i="23"/>
  <c r="Q193" i="23"/>
  <c r="Q257" i="23"/>
  <c r="Q321" i="23"/>
  <c r="Q452" i="23"/>
  <c r="Q465" i="23"/>
  <c r="Q529" i="23"/>
  <c r="Q593" i="23"/>
  <c r="Q657" i="23"/>
  <c r="Q721" i="23"/>
  <c r="Q785" i="23"/>
  <c r="Q849" i="23"/>
  <c r="Q913" i="23"/>
  <c r="Q977" i="23"/>
  <c r="Q866" i="23"/>
  <c r="Q930" i="23"/>
  <c r="Q994" i="23"/>
  <c r="Q1202" i="23"/>
  <c r="Q1287" i="23"/>
  <c r="Q1122" i="23"/>
  <c r="Q244" i="23"/>
  <c r="Q422" i="23"/>
  <c r="Q486" i="23"/>
  <c r="Q985" i="23"/>
  <c r="Q1049" i="23"/>
  <c r="Q1113" i="23"/>
  <c r="Q644" i="23"/>
  <c r="Q708" i="23"/>
  <c r="Q1258" i="23"/>
  <c r="Q1102" i="23"/>
  <c r="Q1230" i="23"/>
  <c r="Q510" i="23"/>
  <c r="Q574" i="23"/>
  <c r="Q638" i="23"/>
  <c r="Q702" i="23"/>
  <c r="Q766" i="23"/>
  <c r="Q830" i="23"/>
  <c r="Q894" i="23"/>
  <c r="Q1022" i="23"/>
  <c r="V412" i="23"/>
  <c r="V484" i="23"/>
  <c r="V556" i="23"/>
  <c r="V636" i="23"/>
  <c r="Q96" i="23"/>
  <c r="Q81" i="23"/>
  <c r="Q481" i="23"/>
  <c r="Q545" i="23"/>
  <c r="Q609" i="23"/>
  <c r="Q673" i="23"/>
  <c r="Q737" i="23"/>
  <c r="Q801" i="23"/>
  <c r="Q865" i="23"/>
  <c r="Q929" i="23"/>
  <c r="Q788" i="23"/>
  <c r="Q852" i="23"/>
  <c r="Q916" i="23"/>
  <c r="Q980" i="23"/>
  <c r="Q1044" i="23"/>
  <c r="Q1108" i="23"/>
  <c r="Q1177" i="23"/>
  <c r="Q1234" i="23"/>
  <c r="Q1188" i="23"/>
  <c r="Q1252" i="23"/>
  <c r="Q1316" i="23"/>
  <c r="Q567" i="23"/>
  <c r="Q32" i="23"/>
  <c r="Q168" i="23"/>
  <c r="Q296" i="23"/>
  <c r="Q17" i="23"/>
  <c r="Q209" i="23"/>
  <c r="Q488" i="23"/>
  <c r="Q506" i="23"/>
  <c r="Q570" i="23"/>
  <c r="Q634" i="23"/>
  <c r="Q698" i="23"/>
  <c r="Q762" i="23"/>
  <c r="Q826" i="23"/>
  <c r="Q1249" i="23"/>
  <c r="Q1250" i="23"/>
  <c r="Q1094" i="23"/>
  <c r="Q1082" i="23"/>
  <c r="Q1290" i="23"/>
  <c r="Q1222" i="23"/>
  <c r="Q1095" i="23"/>
  <c r="Q695" i="23"/>
  <c r="Q224" i="23"/>
  <c r="Q145" i="23"/>
  <c r="Q273" i="23"/>
  <c r="L1380" i="23"/>
  <c r="X1380" i="23" s="1"/>
  <c r="Q48" i="23"/>
  <c r="Q112" i="23"/>
  <c r="Q240" i="23"/>
  <c r="Q368" i="23"/>
  <c r="Q56" i="23"/>
  <c r="Q184" i="23"/>
  <c r="Q440" i="23"/>
  <c r="Q33" i="23"/>
  <c r="Q97" i="23"/>
  <c r="Q161" i="23"/>
  <c r="Q225" i="23"/>
  <c r="Q289" i="23"/>
  <c r="Q353" i="23"/>
  <c r="Q417" i="23"/>
  <c r="Q268" i="23"/>
  <c r="Q340" i="23"/>
  <c r="Q412" i="23"/>
  <c r="Q446" i="23"/>
  <c r="Q560" i="23"/>
  <c r="Q624" i="23"/>
  <c r="Q497" i="23"/>
  <c r="Q561" i="23"/>
  <c r="Q625" i="23"/>
  <c r="Q689" i="23"/>
  <c r="Q753" i="23"/>
  <c r="Q817" i="23"/>
  <c r="Q881" i="23"/>
  <c r="Q945" i="23"/>
  <c r="Q468" i="23"/>
  <c r="Q532" i="23"/>
  <c r="Q604" i="23"/>
  <c r="Q668" i="23"/>
  <c r="Q732" i="23"/>
  <c r="Q804" i="23"/>
  <c r="Q868" i="23"/>
  <c r="Q932" i="23"/>
  <c r="Q996" i="23"/>
  <c r="Q1060" i="23"/>
  <c r="Q1124" i="23"/>
  <c r="Q1257" i="23"/>
  <c r="Q967" i="23"/>
  <c r="Q483" i="23"/>
  <c r="Q431" i="23"/>
  <c r="Q611" i="23"/>
  <c r="Q559" i="23"/>
  <c r="V84" i="23"/>
  <c r="V564" i="23"/>
  <c r="V512" i="23"/>
  <c r="Q1302" i="23"/>
  <c r="Q491" i="23"/>
  <c r="Q439" i="23"/>
  <c r="Q555" i="23"/>
  <c r="Q503" i="23"/>
  <c r="Q683" i="23"/>
  <c r="Q631" i="23"/>
  <c r="V336" i="23"/>
  <c r="V284" i="23"/>
  <c r="Q320" i="23"/>
  <c r="Q504" i="23"/>
  <c r="Q200" i="23"/>
  <c r="Q392" i="23"/>
  <c r="Q284" i="23"/>
  <c r="Q576" i="23"/>
  <c r="Q640" i="23"/>
  <c r="Q978" i="23"/>
  <c r="Q1170" i="23"/>
  <c r="Q1262" i="23"/>
  <c r="Q1223" i="23"/>
  <c r="Q647" i="23"/>
  <c r="V200" i="23"/>
  <c r="V148" i="23"/>
  <c r="V264" i="23"/>
  <c r="V212" i="23"/>
  <c r="Q455" i="23"/>
  <c r="Q1199" i="23"/>
  <c r="Q1159" i="23"/>
  <c r="V27" i="23"/>
  <c r="V91" i="23"/>
  <c r="V155" i="23"/>
  <c r="V219" i="23"/>
  <c r="V283" i="23"/>
  <c r="V39" i="23"/>
  <c r="V111" i="23"/>
  <c r="V175" i="23"/>
  <c r="V239" i="23"/>
  <c r="V16" i="23"/>
  <c r="V41" i="23"/>
  <c r="V113" i="23"/>
  <c r="V177" i="23"/>
  <c r="V81" i="23"/>
  <c r="V553" i="23"/>
  <c r="V387" i="23"/>
  <c r="V451" i="23"/>
  <c r="V515" i="23"/>
  <c r="V579" i="23"/>
  <c r="V643" i="23"/>
  <c r="V707" i="23"/>
  <c r="V771" i="23"/>
  <c r="V835" i="23"/>
  <c r="V899" i="23"/>
  <c r="V963" i="23"/>
  <c r="V1027" i="23"/>
  <c r="V1091" i="23"/>
  <c r="V1155" i="23"/>
  <c r="V1219" i="23"/>
  <c r="V1283" i="23"/>
  <c r="V132" i="23"/>
  <c r="V204" i="23"/>
  <c r="V276" i="23"/>
  <c r="V348" i="23"/>
  <c r="V420" i="23"/>
  <c r="V492" i="23"/>
  <c r="V572" i="23"/>
  <c r="V836" i="23"/>
  <c r="V908" i="23"/>
  <c r="V972" i="23"/>
  <c r="V1036" i="23"/>
  <c r="V1100" i="23"/>
  <c r="V1164" i="23"/>
  <c r="V1228" i="23"/>
  <c r="V1292" i="23"/>
  <c r="V341" i="23"/>
  <c r="V405" i="23"/>
  <c r="V469" i="23"/>
  <c r="V541" i="23"/>
  <c r="V613" i="23"/>
  <c r="V693" i="23"/>
  <c r="V773" i="23"/>
  <c r="V861" i="23"/>
  <c r="V925" i="23"/>
  <c r="V989" i="23"/>
  <c r="V1053" i="23"/>
  <c r="V1117" i="23"/>
  <c r="V1181" i="23"/>
  <c r="V1245" i="23"/>
  <c r="V1309" i="23"/>
  <c r="V813" i="23"/>
  <c r="V372" i="23"/>
  <c r="Q1293" i="23"/>
  <c r="V35" i="23"/>
  <c r="V99" i="23"/>
  <c r="V163" i="23"/>
  <c r="V227" i="23"/>
  <c r="V20" i="23"/>
  <c r="V55" i="23"/>
  <c r="V119" i="23"/>
  <c r="V183" i="23"/>
  <c r="V247" i="23"/>
  <c r="V24" i="23"/>
  <c r="V49" i="23"/>
  <c r="V121" i="23"/>
  <c r="V185" i="23"/>
  <c r="V391" i="23"/>
  <c r="V455" i="23"/>
  <c r="V519" i="23"/>
  <c r="V583" i="23"/>
  <c r="V647" i="23"/>
  <c r="V711" i="23"/>
  <c r="V775" i="23"/>
  <c r="V839" i="23"/>
  <c r="V903" i="23"/>
  <c r="V967" i="23"/>
  <c r="V1031" i="23"/>
  <c r="V1095" i="23"/>
  <c r="V1159" i="23"/>
  <c r="V1223" i="23"/>
  <c r="V1287" i="23"/>
  <c r="V712" i="23"/>
  <c r="V625" i="23"/>
  <c r="V395" i="23"/>
  <c r="V459" i="23"/>
  <c r="V523" i="23"/>
  <c r="V587" i="23"/>
  <c r="V651" i="23"/>
  <c r="V715" i="23"/>
  <c r="V779" i="23"/>
  <c r="V843" i="23"/>
  <c r="V907" i="23"/>
  <c r="V971" i="23"/>
  <c r="V1035" i="23"/>
  <c r="V1099" i="23"/>
  <c r="V1163" i="23"/>
  <c r="V1227" i="23"/>
  <c r="V1291" i="23"/>
  <c r="V36" i="23"/>
  <c r="V140" i="23"/>
  <c r="V356" i="23"/>
  <c r="V428" i="23"/>
  <c r="V508" i="23"/>
  <c r="V580" i="23"/>
  <c r="V652" i="23"/>
  <c r="V716" i="23"/>
  <c r="V780" i="23"/>
  <c r="V852" i="23"/>
  <c r="V916" i="23"/>
  <c r="V980" i="23"/>
  <c r="V1044" i="23"/>
  <c r="V1108" i="23"/>
  <c r="V1172" i="23"/>
  <c r="V1236" i="23"/>
  <c r="V1300" i="23"/>
  <c r="V244" i="23"/>
  <c r="V349" i="23"/>
  <c r="V413" i="23"/>
  <c r="V477" i="23"/>
  <c r="V549" i="23"/>
  <c r="V621" i="23"/>
  <c r="V701" i="23"/>
  <c r="V789" i="23"/>
  <c r="V869" i="23"/>
  <c r="V933" i="23"/>
  <c r="V997" i="23"/>
  <c r="V1061" i="23"/>
  <c r="V1125" i="23"/>
  <c r="V1189" i="23"/>
  <c r="V1253" i="23"/>
  <c r="V436" i="23"/>
  <c r="V853" i="23"/>
  <c r="V749" i="23"/>
  <c r="V500" i="23"/>
  <c r="Q723" i="23"/>
  <c r="V32" i="23"/>
  <c r="V288" i="23"/>
  <c r="V57" i="23"/>
  <c r="V129" i="23"/>
  <c r="V193" i="23"/>
  <c r="V47" i="23"/>
  <c r="V360" i="23"/>
  <c r="V403" i="23"/>
  <c r="V467" i="23"/>
  <c r="V531" i="23"/>
  <c r="V595" i="23"/>
  <c r="V659" i="23"/>
  <c r="V723" i="23"/>
  <c r="V787" i="23"/>
  <c r="V851" i="23"/>
  <c r="V915" i="23"/>
  <c r="V979" i="23"/>
  <c r="V1043" i="23"/>
  <c r="V1107" i="23"/>
  <c r="V1171" i="23"/>
  <c r="V1235" i="23"/>
  <c r="V1299" i="23"/>
  <c r="V60" i="23"/>
  <c r="V220" i="23"/>
  <c r="V292" i="23"/>
  <c r="V364" i="23"/>
  <c r="V444" i="23"/>
  <c r="V516" i="23"/>
  <c r="V660" i="23"/>
  <c r="V724" i="23"/>
  <c r="V788" i="23"/>
  <c r="V860" i="23"/>
  <c r="V924" i="23"/>
  <c r="V988" i="23"/>
  <c r="V1052" i="23"/>
  <c r="V1116" i="23"/>
  <c r="V1180" i="23"/>
  <c r="V1244" i="23"/>
  <c r="V1308" i="23"/>
  <c r="V293" i="23"/>
  <c r="V357" i="23"/>
  <c r="V421" i="23"/>
  <c r="V485" i="23"/>
  <c r="V557" i="23"/>
  <c r="V629" i="23"/>
  <c r="V709" i="23"/>
  <c r="V797" i="23"/>
  <c r="V877" i="23"/>
  <c r="V941" i="23"/>
  <c r="V1005" i="23"/>
  <c r="V1069" i="23"/>
  <c r="V1133" i="23"/>
  <c r="V1197" i="23"/>
  <c r="V1261" i="23"/>
  <c r="V1325" i="23"/>
  <c r="W1325" i="23" s="1"/>
  <c r="V525" i="23"/>
  <c r="V628" i="23"/>
  <c r="Q887" i="23"/>
  <c r="Q1172" i="23"/>
  <c r="Q1236" i="23"/>
  <c r="Q1300" i="23"/>
  <c r="Q1031" i="23"/>
  <c r="Q903" i="23"/>
  <c r="Q535" i="23"/>
  <c r="Q607" i="23"/>
  <c r="Q475" i="23"/>
  <c r="Q539" i="23"/>
  <c r="Q731" i="23"/>
  <c r="V51" i="23"/>
  <c r="V115" i="23"/>
  <c r="V179" i="23"/>
  <c r="V243" i="23"/>
  <c r="V307" i="23"/>
  <c r="V44" i="23"/>
  <c r="V93" i="23"/>
  <c r="V157" i="23"/>
  <c r="V221" i="23"/>
  <c r="V71" i="23"/>
  <c r="V135" i="23"/>
  <c r="V199" i="23"/>
  <c r="V263" i="23"/>
  <c r="V327" i="23"/>
  <c r="V65" i="23"/>
  <c r="V137" i="23"/>
  <c r="V201" i="23"/>
  <c r="V432" i="23"/>
  <c r="V648" i="23"/>
  <c r="V347" i="23"/>
  <c r="V411" i="23"/>
  <c r="V475" i="23"/>
  <c r="V539" i="23"/>
  <c r="V603" i="23"/>
  <c r="V667" i="23"/>
  <c r="V731" i="23"/>
  <c r="V795" i="23"/>
  <c r="V859" i="23"/>
  <c r="V923" i="23"/>
  <c r="V987" i="23"/>
  <c r="V1051" i="23"/>
  <c r="V1115" i="23"/>
  <c r="V1179" i="23"/>
  <c r="V1243" i="23"/>
  <c r="V1307" i="23"/>
  <c r="V92" i="23"/>
  <c r="V156" i="23"/>
  <c r="V228" i="23"/>
  <c r="V300" i="23"/>
  <c r="V380" i="23"/>
  <c r="V452" i="23"/>
  <c r="V596" i="23"/>
  <c r="V668" i="23"/>
  <c r="V732" i="23"/>
  <c r="V796" i="23"/>
  <c r="V868" i="23"/>
  <c r="V932" i="23"/>
  <c r="V996" i="23"/>
  <c r="V1060" i="23"/>
  <c r="V1124" i="23"/>
  <c r="V1188" i="23"/>
  <c r="V1252" i="23"/>
  <c r="V301" i="23"/>
  <c r="V365" i="23"/>
  <c r="V429" i="23"/>
  <c r="V493" i="23"/>
  <c r="V565" i="23"/>
  <c r="V637" i="23"/>
  <c r="V725" i="23"/>
  <c r="V805" i="23"/>
  <c r="V885" i="23"/>
  <c r="V949" i="23"/>
  <c r="V1013" i="23"/>
  <c r="V1077" i="23"/>
  <c r="V1141" i="23"/>
  <c r="V1205" i="23"/>
  <c r="V1269" i="23"/>
  <c r="V589" i="23"/>
  <c r="V844" i="23"/>
  <c r="V79" i="23"/>
  <c r="V143" i="23"/>
  <c r="V207" i="23"/>
  <c r="V271" i="23"/>
  <c r="V73" i="23"/>
  <c r="V504" i="23"/>
  <c r="V584" i="23"/>
  <c r="V713" i="23"/>
  <c r="V355" i="23"/>
  <c r="V419" i="23"/>
  <c r="V483" i="23"/>
  <c r="V547" i="23"/>
  <c r="V611" i="23"/>
  <c r="V675" i="23"/>
  <c r="V739" i="23"/>
  <c r="V803" i="23"/>
  <c r="V867" i="23"/>
  <c r="V931" i="23"/>
  <c r="V995" i="23"/>
  <c r="V1059" i="23"/>
  <c r="V1123" i="23"/>
  <c r="V1187" i="23"/>
  <c r="V1251" i="23"/>
  <c r="V1315" i="23"/>
  <c r="V100" i="23"/>
  <c r="V164" i="23"/>
  <c r="V236" i="23"/>
  <c r="V316" i="23"/>
  <c r="V388" i="23"/>
  <c r="V532" i="23"/>
  <c r="V604" i="23"/>
  <c r="V804" i="23"/>
  <c r="V876" i="23"/>
  <c r="V940" i="23"/>
  <c r="V1004" i="23"/>
  <c r="V1068" i="23"/>
  <c r="V1132" i="23"/>
  <c r="V1196" i="23"/>
  <c r="V1260" i="23"/>
  <c r="V309" i="23"/>
  <c r="V373" i="23"/>
  <c r="V437" i="23"/>
  <c r="V501" i="23"/>
  <c r="V573" i="23"/>
  <c r="V645" i="23"/>
  <c r="V733" i="23"/>
  <c r="V821" i="23"/>
  <c r="V893" i="23"/>
  <c r="V957" i="23"/>
  <c r="V1021" i="23"/>
  <c r="V1085" i="23"/>
  <c r="V1149" i="23"/>
  <c r="V1213" i="23"/>
  <c r="V1277" i="23"/>
  <c r="V653" i="23"/>
  <c r="V308" i="23"/>
  <c r="V323" i="23"/>
  <c r="V15" i="23"/>
  <c r="V281" i="23"/>
  <c r="V363" i="23"/>
  <c r="V427" i="23"/>
  <c r="V491" i="23"/>
  <c r="V555" i="23"/>
  <c r="V619" i="23"/>
  <c r="V683" i="23"/>
  <c r="V747" i="23"/>
  <c r="V811" i="23"/>
  <c r="V875" i="23"/>
  <c r="V939" i="23"/>
  <c r="V1003" i="23"/>
  <c r="V1067" i="23"/>
  <c r="V1131" i="23"/>
  <c r="V1195" i="23"/>
  <c r="V1259" i="23"/>
  <c r="V108" i="23"/>
  <c r="V172" i="23"/>
  <c r="V252" i="23"/>
  <c r="V324" i="23"/>
  <c r="V396" i="23"/>
  <c r="V468" i="23"/>
  <c r="V540" i="23"/>
  <c r="V684" i="23"/>
  <c r="V748" i="23"/>
  <c r="V812" i="23"/>
  <c r="V884" i="23"/>
  <c r="V948" i="23"/>
  <c r="V1012" i="23"/>
  <c r="V1076" i="23"/>
  <c r="V1140" i="23"/>
  <c r="V1204" i="23"/>
  <c r="V1268" i="23"/>
  <c r="V317" i="23"/>
  <c r="V381" i="23"/>
  <c r="V445" i="23"/>
  <c r="V509" i="23"/>
  <c r="V581" i="23"/>
  <c r="V661" i="23"/>
  <c r="V741" i="23"/>
  <c r="V829" i="23"/>
  <c r="V901" i="23"/>
  <c r="V965" i="23"/>
  <c r="V1029" i="23"/>
  <c r="V1093" i="23"/>
  <c r="V1157" i="23"/>
  <c r="V1221" i="23"/>
  <c r="V1285" i="23"/>
  <c r="V685" i="23"/>
  <c r="V696" i="23"/>
  <c r="Q1071" i="23"/>
  <c r="Q415" i="23"/>
  <c r="Q947" i="23"/>
  <c r="Q1011" i="23"/>
  <c r="Q1075" i="23"/>
  <c r="Q1139" i="23"/>
  <c r="Q1203" i="23"/>
  <c r="Q1267" i="23"/>
  <c r="V53" i="23"/>
  <c r="V117" i="23"/>
  <c r="V181" i="23"/>
  <c r="V245" i="23"/>
  <c r="V23" i="23"/>
  <c r="V95" i="23"/>
  <c r="V159" i="23"/>
  <c r="V223" i="23"/>
  <c r="V287" i="23"/>
  <c r="V25" i="23"/>
  <c r="V97" i="23"/>
  <c r="V161" i="23"/>
  <c r="V225" i="23"/>
  <c r="V848" i="23"/>
  <c r="V912" i="23"/>
  <c r="V976" i="23"/>
  <c r="V1040" i="23"/>
  <c r="V1104" i="23"/>
  <c r="V1168" i="23"/>
  <c r="V1232" i="23"/>
  <c r="V1296" i="23"/>
  <c r="V345" i="23"/>
  <c r="V409" i="23"/>
  <c r="V729" i="23"/>
  <c r="V793" i="23"/>
  <c r="V180" i="23"/>
  <c r="V371" i="23"/>
  <c r="V435" i="23"/>
  <c r="V499" i="23"/>
  <c r="V563" i="23"/>
  <c r="V627" i="23"/>
  <c r="V691" i="23"/>
  <c r="V755" i="23"/>
  <c r="V819" i="23"/>
  <c r="V883" i="23"/>
  <c r="V947" i="23"/>
  <c r="V1011" i="23"/>
  <c r="V1075" i="23"/>
  <c r="V1139" i="23"/>
  <c r="V1203" i="23"/>
  <c r="V1267" i="23"/>
  <c r="V116" i="23"/>
  <c r="V188" i="23"/>
  <c r="V260" i="23"/>
  <c r="V332" i="23"/>
  <c r="V404" i="23"/>
  <c r="V476" i="23"/>
  <c r="V548" i="23"/>
  <c r="V620" i="23"/>
  <c r="V692" i="23"/>
  <c r="V756" i="23"/>
  <c r="V820" i="23"/>
  <c r="V892" i="23"/>
  <c r="V956" i="23"/>
  <c r="V1020" i="23"/>
  <c r="V1084" i="23"/>
  <c r="V1148" i="23"/>
  <c r="V1212" i="23"/>
  <c r="V1276" i="23"/>
  <c r="V325" i="23"/>
  <c r="V389" i="23"/>
  <c r="V453" i="23"/>
  <c r="V517" i="23"/>
  <c r="V597" i="23"/>
  <c r="V669" i="23"/>
  <c r="V757" i="23"/>
  <c r="V837" i="23"/>
  <c r="V909" i="23"/>
  <c r="V973" i="23"/>
  <c r="V1037" i="23"/>
  <c r="V1101" i="23"/>
  <c r="V1165" i="23"/>
  <c r="V1229" i="23"/>
  <c r="V1293" i="23"/>
  <c r="V717" i="23"/>
  <c r="V728" i="23"/>
  <c r="Q83" i="23"/>
  <c r="Q31" i="23"/>
  <c r="Q211" i="23"/>
  <c r="Q159" i="23"/>
  <c r="Q339" i="23"/>
  <c r="Q287" i="23"/>
  <c r="Q403" i="23"/>
  <c r="Q351" i="23"/>
  <c r="Q388" i="23"/>
  <c r="Q85" i="23"/>
  <c r="Q213" i="23"/>
  <c r="Q341" i="23"/>
  <c r="Q102" i="23"/>
  <c r="Q50" i="23"/>
  <c r="Q230" i="23"/>
  <c r="Q178" i="23"/>
  <c r="Q358" i="23"/>
  <c r="Q306" i="23"/>
  <c r="Q147" i="23"/>
  <c r="Q95" i="23"/>
  <c r="Q275" i="23"/>
  <c r="Q223" i="23"/>
  <c r="Q21" i="23"/>
  <c r="Q149" i="23"/>
  <c r="Q277" i="23"/>
  <c r="Q166" i="23"/>
  <c r="Q114" i="23"/>
  <c r="Q294" i="23"/>
  <c r="Q242" i="23"/>
  <c r="Q299" i="23"/>
  <c r="Q247" i="23"/>
  <c r="Q173" i="23"/>
  <c r="Q126" i="23"/>
  <c r="Q74" i="23"/>
  <c r="Q445" i="23"/>
  <c r="Q509" i="23"/>
  <c r="Q573" i="23"/>
  <c r="Q637" i="23"/>
  <c r="Q701" i="23"/>
  <c r="Q765" i="23"/>
  <c r="Q829" i="23"/>
  <c r="Q893" i="23"/>
  <c r="Q957" i="23"/>
  <c r="Q235" i="23"/>
  <c r="Q183" i="23"/>
  <c r="Q124" i="23"/>
  <c r="Q45" i="23"/>
  <c r="Q301" i="23"/>
  <c r="Q254" i="23"/>
  <c r="Q202" i="23"/>
  <c r="Q171" i="23"/>
  <c r="Q119" i="23"/>
  <c r="Q60" i="23"/>
  <c r="Q196" i="23"/>
  <c r="Q109" i="23"/>
  <c r="Q365" i="23"/>
  <c r="Q107" i="23"/>
  <c r="Q55" i="23"/>
  <c r="Q427" i="23"/>
  <c r="Q375" i="23"/>
  <c r="Q318" i="23"/>
  <c r="Q266" i="23"/>
  <c r="Q382" i="23"/>
  <c r="Q330" i="23"/>
  <c r="Q72" i="23"/>
  <c r="Q363" i="23"/>
  <c r="Q311" i="23"/>
  <c r="Q237" i="23"/>
  <c r="Q190" i="23"/>
  <c r="Q138" i="23"/>
  <c r="Q192" i="23"/>
  <c r="Q115" i="23"/>
  <c r="Q63" i="23"/>
  <c r="Q179" i="23"/>
  <c r="Q127" i="23"/>
  <c r="Q243" i="23"/>
  <c r="Q191" i="23"/>
  <c r="Q307" i="23"/>
  <c r="Q255" i="23"/>
  <c r="Q371" i="23"/>
  <c r="Q319" i="23"/>
  <c r="Q435" i="23"/>
  <c r="Q383" i="23"/>
  <c r="Q68" i="23"/>
  <c r="Q132" i="23"/>
  <c r="Q204" i="23"/>
  <c r="Q276" i="23"/>
  <c r="Q348" i="23"/>
  <c r="Q420" i="23"/>
  <c r="Q53" i="23"/>
  <c r="Q117" i="23"/>
  <c r="Q181" i="23"/>
  <c r="Q245" i="23"/>
  <c r="Q309" i="23"/>
  <c r="Q373" i="23"/>
  <c r="Q70" i="23"/>
  <c r="Q18" i="23"/>
  <c r="Q134" i="23"/>
  <c r="Q82" i="23"/>
  <c r="Q198" i="23"/>
  <c r="Q146" i="23"/>
  <c r="Q262" i="23"/>
  <c r="Q210" i="23"/>
  <c r="Q326" i="23"/>
  <c r="Q274" i="23"/>
  <c r="Q390" i="23"/>
  <c r="Q338" i="23"/>
  <c r="Q476" i="23"/>
  <c r="Q540" i="23"/>
  <c r="Q612" i="23"/>
  <c r="Q676" i="23"/>
  <c r="Q748" i="23"/>
  <c r="Q389" i="23"/>
  <c r="Q453" i="23"/>
  <c r="Q517" i="23"/>
  <c r="Q581" i="23"/>
  <c r="Q645" i="23"/>
  <c r="Q709" i="23"/>
  <c r="Q773" i="23"/>
  <c r="Q837" i="23"/>
  <c r="Q901" i="23"/>
  <c r="Q965" i="23"/>
  <c r="Q1029" i="23"/>
  <c r="Q187" i="23"/>
  <c r="Q135" i="23"/>
  <c r="Q315" i="23"/>
  <c r="Q263" i="23"/>
  <c r="Q443" i="23"/>
  <c r="Q391" i="23"/>
  <c r="Q76" i="23"/>
  <c r="Q140" i="23"/>
  <c r="Q356" i="23"/>
  <c r="Q61" i="23"/>
  <c r="Q125" i="23"/>
  <c r="Q189" i="23"/>
  <c r="Q253" i="23"/>
  <c r="Q317" i="23"/>
  <c r="Q381" i="23"/>
  <c r="Q78" i="23"/>
  <c r="Q26" i="23"/>
  <c r="Q142" i="23"/>
  <c r="Q90" i="23"/>
  <c r="Q206" i="23"/>
  <c r="Q154" i="23"/>
  <c r="Q270" i="23"/>
  <c r="Q218" i="23"/>
  <c r="Q334" i="23"/>
  <c r="Q282" i="23"/>
  <c r="Q398" i="23"/>
  <c r="Q346" i="23"/>
  <c r="Q462" i="23"/>
  <c r="Q484" i="23"/>
  <c r="Q548" i="23"/>
  <c r="Q620" i="23"/>
  <c r="Q684" i="23"/>
  <c r="Q756" i="23"/>
  <c r="Q397" i="23"/>
  <c r="Q461" i="23"/>
  <c r="Q525" i="23"/>
  <c r="Q589" i="23"/>
  <c r="Q653" i="23"/>
  <c r="Q717" i="23"/>
  <c r="Q781" i="23"/>
  <c r="Q845" i="23"/>
  <c r="Q909" i="23"/>
  <c r="Q39" i="23"/>
  <c r="Q872" i="23"/>
  <c r="Q936" i="23"/>
  <c r="Q1000" i="23"/>
  <c r="Q1064" i="23"/>
  <c r="Q1128" i="23"/>
  <c r="Q1192" i="23"/>
  <c r="Q1256" i="23"/>
  <c r="Q1320" i="23"/>
  <c r="Q378" i="23"/>
  <c r="Q442" i="23"/>
  <c r="Q499" i="23"/>
  <c r="Q447" i="23"/>
  <c r="Q563" i="23"/>
  <c r="Q511" i="23"/>
  <c r="Q627" i="23"/>
  <c r="Q575" i="23"/>
  <c r="Q691" i="23"/>
  <c r="Q639" i="23"/>
  <c r="Q755" i="23"/>
  <c r="Q703" i="23"/>
  <c r="Q819" i="23"/>
  <c r="Q767" i="23"/>
  <c r="Q883" i="23"/>
  <c r="Q831" i="23"/>
  <c r="Q264" i="23"/>
  <c r="Q123" i="23"/>
  <c r="Q71" i="23"/>
  <c r="Q251" i="23"/>
  <c r="Q199" i="23"/>
  <c r="Q379" i="23"/>
  <c r="Q327" i="23"/>
  <c r="Q212" i="23"/>
  <c r="Q144" i="23"/>
  <c r="Q336" i="23"/>
  <c r="Q57" i="23"/>
  <c r="Q121" i="23"/>
  <c r="Q185" i="23"/>
  <c r="Q249" i="23"/>
  <c r="Q313" i="23"/>
  <c r="Q67" i="23"/>
  <c r="Q15" i="23"/>
  <c r="Q131" i="23"/>
  <c r="Q79" i="23"/>
  <c r="Q259" i="23"/>
  <c r="Q207" i="23"/>
  <c r="Q323" i="23"/>
  <c r="Q271" i="23"/>
  <c r="Q387" i="23"/>
  <c r="Q335" i="23"/>
  <c r="Q20" i="23"/>
  <c r="Q84" i="23"/>
  <c r="Q148" i="23"/>
  <c r="Q220" i="23"/>
  <c r="Q292" i="23"/>
  <c r="Q372" i="23"/>
  <c r="Q444" i="23"/>
  <c r="Q69" i="23"/>
  <c r="Q133" i="23"/>
  <c r="Q197" i="23"/>
  <c r="Q261" i="23"/>
  <c r="Q325" i="23"/>
  <c r="Q86" i="23"/>
  <c r="Q34" i="23"/>
  <c r="Q150" i="23"/>
  <c r="Q98" i="23"/>
  <c r="Q278" i="23"/>
  <c r="Q226" i="23"/>
  <c r="Q342" i="23"/>
  <c r="Q290" i="23"/>
  <c r="Q520" i="23"/>
  <c r="Q457" i="23"/>
  <c r="Q521" i="23"/>
  <c r="Q585" i="23"/>
  <c r="Q649" i="23"/>
  <c r="Q713" i="23"/>
  <c r="Q777" i="23"/>
  <c r="Q841" i="23"/>
  <c r="Q905" i="23"/>
  <c r="Q922" i="23"/>
  <c r="Q492" i="23"/>
  <c r="Q556" i="23"/>
  <c r="Q628" i="23"/>
  <c r="Q692" i="23"/>
  <c r="Q764" i="23"/>
  <c r="Q405" i="23"/>
  <c r="Q469" i="23"/>
  <c r="Q533" i="23"/>
  <c r="Q597" i="23"/>
  <c r="Q661" i="23"/>
  <c r="Q151" i="23"/>
  <c r="Q143" i="23"/>
  <c r="Q216" i="23"/>
  <c r="Q75" i="23"/>
  <c r="Q23" i="23"/>
  <c r="Q139" i="23"/>
  <c r="Q87" i="23"/>
  <c r="Q267" i="23"/>
  <c r="Q215" i="23"/>
  <c r="Q331" i="23"/>
  <c r="Q279" i="23"/>
  <c r="Q395" i="23"/>
  <c r="Q343" i="23"/>
  <c r="Q28" i="23"/>
  <c r="Q92" i="23"/>
  <c r="Q156" i="23"/>
  <c r="Q228" i="23"/>
  <c r="Q308" i="23"/>
  <c r="Q380" i="23"/>
  <c r="Q77" i="23"/>
  <c r="Q141" i="23"/>
  <c r="Q205" i="23"/>
  <c r="Q269" i="23"/>
  <c r="Q333" i="23"/>
  <c r="Q94" i="23"/>
  <c r="Q42" i="23"/>
  <c r="Q158" i="23"/>
  <c r="Q106" i="23"/>
  <c r="Q222" i="23"/>
  <c r="Q170" i="23"/>
  <c r="Q286" i="23"/>
  <c r="Q234" i="23"/>
  <c r="Q350" i="23"/>
  <c r="Q298" i="23"/>
  <c r="Q592" i="23"/>
  <c r="Q656" i="23"/>
  <c r="Q500" i="23"/>
  <c r="Q564" i="23"/>
  <c r="Q636" i="23"/>
  <c r="Q700" i="23"/>
  <c r="Q772" i="23"/>
  <c r="Q413" i="23"/>
  <c r="Q477" i="23"/>
  <c r="Q541" i="23"/>
  <c r="Q605" i="23"/>
  <c r="Q669" i="23"/>
  <c r="Q733" i="23"/>
  <c r="Q797" i="23"/>
  <c r="Q861" i="23"/>
  <c r="Q925" i="23"/>
  <c r="Q989" i="23"/>
  <c r="Q1289" i="23"/>
  <c r="Q367" i="23"/>
  <c r="Q508" i="23"/>
  <c r="Q572" i="23"/>
  <c r="Q421" i="23"/>
  <c r="Q485" i="23"/>
  <c r="Q549" i="23"/>
  <c r="Q613" i="23"/>
  <c r="Q677" i="23"/>
  <c r="Q741" i="23"/>
  <c r="Q805" i="23"/>
  <c r="Q869" i="23"/>
  <c r="Q933" i="23"/>
  <c r="Q997" i="23"/>
  <c r="Q580" i="23"/>
  <c r="Q1053" i="23"/>
  <c r="Q1117" i="23"/>
  <c r="Q1181" i="23"/>
  <c r="Q1245" i="23"/>
  <c r="Q1078" i="23"/>
  <c r="Q250" i="23"/>
  <c r="Q232" i="23"/>
  <c r="Q360" i="23"/>
  <c r="Q155" i="23"/>
  <c r="Q103" i="23"/>
  <c r="Q219" i="23"/>
  <c r="Q167" i="23"/>
  <c r="Q283" i="23"/>
  <c r="Q231" i="23"/>
  <c r="Q347" i="23"/>
  <c r="Q295" i="23"/>
  <c r="Q411" i="23"/>
  <c r="Q359" i="23"/>
  <c r="Q44" i="23"/>
  <c r="Q108" i="23"/>
  <c r="Q180" i="23"/>
  <c r="Q252" i="23"/>
  <c r="Q324" i="23"/>
  <c r="Q396" i="23"/>
  <c r="Q29" i="23"/>
  <c r="Q93" i="23"/>
  <c r="Q157" i="23"/>
  <c r="Q221" i="23"/>
  <c r="Q285" i="23"/>
  <c r="Q349" i="23"/>
  <c r="Q110" i="23"/>
  <c r="Q58" i="23"/>
  <c r="Q174" i="23"/>
  <c r="Q122" i="23"/>
  <c r="Q238" i="23"/>
  <c r="Q186" i="23"/>
  <c r="Q428" i="23"/>
  <c r="Q516" i="23"/>
  <c r="Q588" i="23"/>
  <c r="Q652" i="23"/>
  <c r="Q716" i="23"/>
  <c r="Q429" i="23"/>
  <c r="Q493" i="23"/>
  <c r="Q557" i="23"/>
  <c r="Q621" i="23"/>
  <c r="Q66" i="23"/>
  <c r="Q314" i="23"/>
  <c r="Q99" i="23"/>
  <c r="Q47" i="23"/>
  <c r="Q163" i="23"/>
  <c r="Q111" i="23"/>
  <c r="Q227" i="23"/>
  <c r="Q175" i="23"/>
  <c r="Q291" i="23"/>
  <c r="Q239" i="23"/>
  <c r="Q355" i="23"/>
  <c r="Q303" i="23"/>
  <c r="Q52" i="23"/>
  <c r="Q116" i="23"/>
  <c r="Q188" i="23"/>
  <c r="Q260" i="23"/>
  <c r="Q332" i="23"/>
  <c r="Q404" i="23"/>
  <c r="Q37" i="23"/>
  <c r="Q101" i="23"/>
  <c r="Q165" i="23"/>
  <c r="Q229" i="23"/>
  <c r="Q293" i="23"/>
  <c r="Q357" i="23"/>
  <c r="Q182" i="23"/>
  <c r="Q130" i="23"/>
  <c r="Q246" i="23"/>
  <c r="Q194" i="23"/>
  <c r="Q310" i="23"/>
  <c r="Q258" i="23"/>
  <c r="Q374" i="23"/>
  <c r="Q322" i="23"/>
  <c r="Q438" i="23"/>
  <c r="Q552" i="23"/>
  <c r="Q616" i="23"/>
  <c r="Q680" i="23"/>
  <c r="Q460" i="23"/>
  <c r="Q524" i="23"/>
  <c r="Q596" i="23"/>
  <c r="Q660" i="23"/>
  <c r="Q724" i="23"/>
  <c r="Q437" i="23"/>
  <c r="Q501" i="23"/>
  <c r="Q565" i="23"/>
  <c r="Q629" i="23"/>
  <c r="Q693" i="23"/>
  <c r="Q757" i="23"/>
  <c r="Q821" i="23"/>
  <c r="Q885" i="23"/>
  <c r="Q949" i="23"/>
  <c r="Q1013" i="23"/>
  <c r="Q162" i="23"/>
  <c r="Q685" i="23"/>
  <c r="Q749" i="23"/>
  <c r="Q813" i="23"/>
  <c r="Q877" i="23"/>
  <c r="Q941" i="23"/>
  <c r="Q1005" i="23"/>
  <c r="Q1241" i="23"/>
  <c r="Q1174" i="23"/>
  <c r="Q1166" i="23"/>
  <c r="Q740" i="23"/>
  <c r="Q1301" i="23"/>
  <c r="Q990" i="23"/>
  <c r="Q1278" i="23"/>
  <c r="Q1061" i="23"/>
  <c r="Q1125" i="23"/>
  <c r="Q1189" i="23"/>
  <c r="Q1253" i="23"/>
  <c r="Q1126" i="23"/>
  <c r="Q518" i="23"/>
  <c r="Q582" i="23"/>
  <c r="Q646" i="23"/>
  <c r="Q710" i="23"/>
  <c r="Q774" i="23"/>
  <c r="Q838" i="23"/>
  <c r="Q902" i="23"/>
  <c r="Q1046" i="23"/>
  <c r="Q172" i="23"/>
  <c r="Q880" i="23"/>
  <c r="Q944" i="23"/>
  <c r="Q1008" i="23"/>
  <c r="Q1072" i="23"/>
  <c r="Q1136" i="23"/>
  <c r="Q1200" i="23"/>
  <c r="Q1264" i="23"/>
  <c r="Q364" i="23"/>
  <c r="Q386" i="23"/>
  <c r="Q450" i="23"/>
  <c r="Q827" i="23"/>
  <c r="Q891" i="23"/>
  <c r="Q955" i="23"/>
  <c r="Q1019" i="23"/>
  <c r="Q1083" i="23"/>
  <c r="Q1147" i="23"/>
  <c r="Q1211" i="23"/>
  <c r="Q1275" i="23"/>
  <c r="Q1214" i="23"/>
  <c r="Q1317" i="23"/>
  <c r="Q1014" i="23"/>
  <c r="Q1069" i="23"/>
  <c r="Q1133" i="23"/>
  <c r="Q1197" i="23"/>
  <c r="Q1261" i="23"/>
  <c r="Q1150" i="23"/>
  <c r="Q526" i="23"/>
  <c r="Q590" i="23"/>
  <c r="Q654" i="23"/>
  <c r="Q718" i="23"/>
  <c r="Q782" i="23"/>
  <c r="Q846" i="23"/>
  <c r="Q910" i="23"/>
  <c r="Q1070" i="23"/>
  <c r="Q236" i="23"/>
  <c r="Q888" i="23"/>
  <c r="Q952" i="23"/>
  <c r="Q1016" i="23"/>
  <c r="Q1080" i="23"/>
  <c r="Q1144" i="23"/>
  <c r="Q1208" i="23"/>
  <c r="Q1272" i="23"/>
  <c r="Q394" i="23"/>
  <c r="Q835" i="23"/>
  <c r="Q899" i="23"/>
  <c r="Q963" i="23"/>
  <c r="Q1027" i="23"/>
  <c r="Q1091" i="23"/>
  <c r="Q1155" i="23"/>
  <c r="Q1219" i="23"/>
  <c r="Q1283" i="23"/>
  <c r="Q1021" i="23"/>
  <c r="Q1193" i="23"/>
  <c r="Q1026" i="23"/>
  <c r="Q1178" i="23"/>
  <c r="Q1254" i="23"/>
  <c r="Q1151" i="23"/>
  <c r="Q1270" i="23"/>
  <c r="Q1140" i="23"/>
  <c r="Q1204" i="23"/>
  <c r="Q1268" i="23"/>
  <c r="Q1038" i="23"/>
  <c r="Q1077" i="23"/>
  <c r="Q1141" i="23"/>
  <c r="Q1205" i="23"/>
  <c r="Q1269" i="23"/>
  <c r="Q934" i="23"/>
  <c r="Q1198" i="23"/>
  <c r="Q534" i="23"/>
  <c r="Q598" i="23"/>
  <c r="Q662" i="23"/>
  <c r="Q726" i="23"/>
  <c r="Q790" i="23"/>
  <c r="Q854" i="23"/>
  <c r="Q926" i="23"/>
  <c r="Q1118" i="23"/>
  <c r="Q1190" i="23"/>
  <c r="Q300" i="23"/>
  <c r="Q896" i="23"/>
  <c r="Q960" i="23"/>
  <c r="Q1024" i="23"/>
  <c r="Q1088" i="23"/>
  <c r="Q1152" i="23"/>
  <c r="Q1216" i="23"/>
  <c r="Q1280" i="23"/>
  <c r="Q402" i="23"/>
  <c r="Q843" i="23"/>
  <c r="Q907" i="23"/>
  <c r="Q971" i="23"/>
  <c r="Q1035" i="23"/>
  <c r="Q1099" i="23"/>
  <c r="Q1163" i="23"/>
  <c r="Q1227" i="23"/>
  <c r="Q1291" i="23"/>
  <c r="Q1206" i="23"/>
  <c r="Q1318" i="23"/>
  <c r="Q1062" i="23"/>
  <c r="Q1085" i="23"/>
  <c r="Q1149" i="23"/>
  <c r="Q1213" i="23"/>
  <c r="Q1277" i="23"/>
  <c r="Q966" i="23"/>
  <c r="Q1246" i="23"/>
  <c r="Q542" i="23"/>
  <c r="Q606" i="23"/>
  <c r="Q670" i="23"/>
  <c r="Q734" i="23"/>
  <c r="Q798" i="23"/>
  <c r="Q862" i="23"/>
  <c r="Q942" i="23"/>
  <c r="Q1142" i="23"/>
  <c r="Q1023" i="23"/>
  <c r="Q840" i="23"/>
  <c r="Q904" i="23"/>
  <c r="Q968" i="23"/>
  <c r="Q1032" i="23"/>
  <c r="Q1096" i="23"/>
  <c r="Q1160" i="23"/>
  <c r="Q1224" i="23"/>
  <c r="Q1288" i="23"/>
  <c r="Q410" i="23"/>
  <c r="Q851" i="23"/>
  <c r="Q915" i="23"/>
  <c r="Q979" i="23"/>
  <c r="Q1043" i="23"/>
  <c r="Q1107" i="23"/>
  <c r="Q1171" i="23"/>
  <c r="Q1235" i="23"/>
  <c r="Q1299" i="23"/>
  <c r="Q973" i="23"/>
  <c r="Q1042" i="23"/>
  <c r="Q1106" i="23"/>
  <c r="Q1210" i="23"/>
  <c r="Q1086" i="23"/>
  <c r="Q1093" i="23"/>
  <c r="Q1157" i="23"/>
  <c r="Q1221" i="23"/>
  <c r="Q1285" i="23"/>
  <c r="Q998" i="23"/>
  <c r="Q1294" i="23"/>
  <c r="Q550" i="23"/>
  <c r="Q614" i="23"/>
  <c r="Q678" i="23"/>
  <c r="Q742" i="23"/>
  <c r="Q806" i="23"/>
  <c r="Q870" i="23"/>
  <c r="Q958" i="23"/>
  <c r="Q1238" i="23"/>
  <c r="Q1215" i="23"/>
  <c r="Q1087" i="23"/>
  <c r="Q848" i="23"/>
  <c r="Q912" i="23"/>
  <c r="Q976" i="23"/>
  <c r="Q1040" i="23"/>
  <c r="Q1104" i="23"/>
  <c r="Q1168" i="23"/>
  <c r="Q1232" i="23"/>
  <c r="Q1296" i="23"/>
  <c r="Q354" i="23"/>
  <c r="Q418" i="23"/>
  <c r="Q795" i="23"/>
  <c r="Q859" i="23"/>
  <c r="Q923" i="23"/>
  <c r="Q987" i="23"/>
  <c r="Q1051" i="23"/>
  <c r="Q1115" i="23"/>
  <c r="Q1179" i="23"/>
  <c r="Q1243" i="23"/>
  <c r="Q1307" i="23"/>
  <c r="Q725" i="23"/>
  <c r="Q789" i="23"/>
  <c r="Q853" i="23"/>
  <c r="Q917" i="23"/>
  <c r="Q981" i="23"/>
  <c r="Q1314" i="23"/>
  <c r="Q1310" i="23"/>
  <c r="Q1050" i="23"/>
  <c r="Q1279" i="23"/>
  <c r="Q918" i="23"/>
  <c r="Q1134" i="23"/>
  <c r="Q1037" i="23"/>
  <c r="Q1101" i="23"/>
  <c r="Q1165" i="23"/>
  <c r="Q1229" i="23"/>
  <c r="Q1309" i="23"/>
  <c r="Q1030" i="23"/>
  <c r="Q558" i="23"/>
  <c r="Q622" i="23"/>
  <c r="Q686" i="23"/>
  <c r="Q750" i="23"/>
  <c r="Q814" i="23"/>
  <c r="Q878" i="23"/>
  <c r="Q982" i="23"/>
  <c r="Q1286" i="23"/>
  <c r="Q856" i="23"/>
  <c r="Q920" i="23"/>
  <c r="Q984" i="23"/>
  <c r="Q1048" i="23"/>
  <c r="Q1112" i="23"/>
  <c r="Q1176" i="23"/>
  <c r="Q1240" i="23"/>
  <c r="Q1304" i="23"/>
  <c r="Q362" i="23"/>
  <c r="Q426" i="23"/>
  <c r="Q803" i="23"/>
  <c r="Q867" i="23"/>
  <c r="Q931" i="23"/>
  <c r="Q995" i="23"/>
  <c r="Q1059" i="23"/>
  <c r="Q1123" i="23"/>
  <c r="Q1187" i="23"/>
  <c r="Q1251" i="23"/>
  <c r="Q1315" i="23"/>
  <c r="Q735" i="23"/>
  <c r="Q1058" i="23"/>
  <c r="Q950" i="23"/>
  <c r="Q1182" i="23"/>
  <c r="Q1045" i="23"/>
  <c r="Q1109" i="23"/>
  <c r="Q1173" i="23"/>
  <c r="Q1237" i="23"/>
  <c r="R1325" i="23"/>
  <c r="Q1054" i="23"/>
  <c r="Q502" i="23"/>
  <c r="Q566" i="23"/>
  <c r="Q630" i="23"/>
  <c r="Q694" i="23"/>
  <c r="Q758" i="23"/>
  <c r="Q822" i="23"/>
  <c r="Q886" i="23"/>
  <c r="Q1006" i="23"/>
  <c r="Q864" i="23"/>
  <c r="Q928" i="23"/>
  <c r="Q992" i="23"/>
  <c r="Q1056" i="23"/>
  <c r="Q1120" i="23"/>
  <c r="Q1184" i="23"/>
  <c r="Q1248" i="23"/>
  <c r="Q1312" i="23"/>
  <c r="Q370" i="23"/>
  <c r="Q434" i="23"/>
  <c r="Q811" i="23"/>
  <c r="Q875" i="23"/>
  <c r="Q939" i="23"/>
  <c r="Q1003" i="23"/>
  <c r="Q1067" i="23"/>
  <c r="Q1131" i="23"/>
  <c r="Q1195" i="23"/>
  <c r="Q1259" i="23"/>
  <c r="Q1323" i="23"/>
  <c r="L1379" i="23"/>
  <c r="X1379" i="23" s="1"/>
  <c r="L1385" i="23"/>
  <c r="X1385" i="23" s="1"/>
  <c r="Y1385" i="23" s="1"/>
  <c r="L1384" i="23"/>
  <c r="X1384" i="23" s="1"/>
  <c r="L1389" i="23"/>
  <c r="L1383" i="23"/>
  <c r="X1383" i="23" s="1"/>
  <c r="L1388" i="23"/>
  <c r="L1381" i="23"/>
  <c r="M14" i="26"/>
  <c r="L14" i="26"/>
  <c r="J14" i="26"/>
  <c r="I14" i="26"/>
  <c r="F14" i="26"/>
  <c r="H14" i="26" s="1"/>
  <c r="E14" i="26"/>
  <c r="G14" i="26" s="1"/>
  <c r="D14" i="26"/>
  <c r="B14" i="26"/>
  <c r="AJ14" i="1"/>
  <c r="AI14" i="1"/>
  <c r="E14" i="1"/>
  <c r="F14" i="1" s="1"/>
  <c r="J14" i="23"/>
  <c r="C14" i="23"/>
  <c r="AK14" i="1" l="1"/>
  <c r="X4" i="23"/>
  <c r="Y1383" i="23"/>
  <c r="X5" i="23"/>
  <c r="K12" i="23"/>
  <c r="X1381" i="23"/>
  <c r="Y1381" i="23" s="1"/>
  <c r="X7" i="23"/>
  <c r="D20" i="32"/>
  <c r="E20" i="32" s="1"/>
  <c r="F20" i="32" s="1"/>
  <c r="D23" i="32"/>
  <c r="E23" i="32" s="1"/>
  <c r="F23" i="32" s="1"/>
  <c r="X6" i="23"/>
  <c r="Y1384" i="23"/>
  <c r="Y1382" i="23"/>
  <c r="W9" i="23"/>
  <c r="X9" i="23" s="1"/>
  <c r="R8" i="23"/>
  <c r="X8" i="23" s="1"/>
  <c r="R10" i="23"/>
  <c r="W11" i="23"/>
  <c r="R11" i="23"/>
  <c r="W10" i="23"/>
  <c r="R12" i="23"/>
  <c r="W12" i="23"/>
  <c r="W1271" i="23"/>
  <c r="W1015" i="23"/>
  <c r="W1302" i="23"/>
  <c r="W302" i="23"/>
  <c r="W829" i="23"/>
  <c r="W1236" i="23"/>
  <c r="W1014" i="23"/>
  <c r="W830" i="23"/>
  <c r="W1175" i="23"/>
  <c r="R13" i="23"/>
  <c r="W414" i="23"/>
  <c r="W896" i="23"/>
  <c r="W1270" i="23"/>
  <c r="W1016" i="23"/>
  <c r="W982" i="23"/>
  <c r="W1142" i="23"/>
  <c r="W950" i="23"/>
  <c r="W558" i="23"/>
  <c r="W576" i="23"/>
  <c r="W1143" i="23"/>
  <c r="W1070" i="23"/>
  <c r="W814" i="23"/>
  <c r="W1206" i="23"/>
  <c r="W1078" i="23"/>
  <c r="W1245" i="23"/>
  <c r="R1145" i="23"/>
  <c r="W934" i="23"/>
  <c r="W566" i="23"/>
  <c r="W1174" i="23"/>
  <c r="W1269" i="23"/>
  <c r="W520" i="23"/>
  <c r="W897" i="23"/>
  <c r="W1205" i="23"/>
  <c r="W1261" i="23"/>
  <c r="W1244" i="23"/>
  <c r="W989" i="23"/>
  <c r="R451" i="23"/>
  <c r="W1268" i="23"/>
  <c r="W991" i="23"/>
  <c r="W1141" i="23"/>
  <c r="W663" i="23"/>
  <c r="W887" i="23"/>
  <c r="W942" i="23"/>
  <c r="W493" i="23"/>
  <c r="W622" i="23"/>
  <c r="W1046" i="23"/>
  <c r="W13" i="23"/>
  <c r="W997" i="23"/>
  <c r="R1322" i="23"/>
  <c r="W661" i="23"/>
  <c r="W679" i="23"/>
  <c r="W1077" i="23"/>
  <c r="W128" i="23"/>
  <c r="W1013" i="23"/>
  <c r="W806" i="23"/>
  <c r="W990" i="23"/>
  <c r="W613" i="23"/>
  <c r="W85" i="23"/>
  <c r="W1173" i="23"/>
  <c r="W761" i="23"/>
  <c r="W66" i="23"/>
  <c r="W477" i="23"/>
  <c r="W960" i="23"/>
  <c r="W759" i="23"/>
  <c r="R470" i="23"/>
  <c r="R599" i="23"/>
  <c r="W1190" i="23"/>
  <c r="W1238" i="23"/>
  <c r="W1315" i="23"/>
  <c r="R478" i="23"/>
  <c r="W1118" i="23"/>
  <c r="R766" i="23"/>
  <c r="W210" i="23"/>
  <c r="W101" i="23"/>
  <c r="W301" i="23"/>
  <c r="W1108" i="23"/>
  <c r="R726" i="23"/>
  <c r="W741" i="23"/>
  <c r="W589" i="23"/>
  <c r="W1189" i="23"/>
  <c r="W1086" i="23"/>
  <c r="W574" i="23"/>
  <c r="R543" i="23"/>
  <c r="W981" i="23"/>
  <c r="W1126" i="23"/>
  <c r="W1022" i="23"/>
  <c r="W269" i="23"/>
  <c r="W1160" i="23"/>
  <c r="W1023" i="23"/>
  <c r="W374" i="23"/>
  <c r="W254" i="23"/>
  <c r="W1310" i="23"/>
  <c r="W1054" i="23"/>
  <c r="W542" i="23"/>
  <c r="W217" i="23"/>
  <c r="W1233" i="23"/>
  <c r="W686" i="23"/>
  <c r="W1301" i="23"/>
  <c r="W1177" i="23"/>
  <c r="W749" i="23"/>
  <c r="W456" i="23"/>
  <c r="W1237" i="23"/>
  <c r="W266" i="23"/>
  <c r="W248" i="23"/>
  <c r="W366" i="23"/>
  <c r="R1262" i="23"/>
  <c r="W1316" i="23"/>
  <c r="R806" i="23"/>
  <c r="W983" i="23"/>
  <c r="W1215" i="23"/>
  <c r="R647" i="23"/>
  <c r="W965" i="23"/>
  <c r="W381" i="23"/>
  <c r="W437" i="23"/>
  <c r="W152" i="23"/>
  <c r="W919" i="23"/>
  <c r="W1253" i="23"/>
  <c r="R800" i="23"/>
  <c r="R603" i="23"/>
  <c r="R790" i="23"/>
  <c r="R880" i="23"/>
  <c r="W877" i="23"/>
  <c r="W29" i="23"/>
  <c r="W1172" i="23"/>
  <c r="W148" i="23"/>
  <c r="W604" i="23"/>
  <c r="W735" i="23"/>
  <c r="W68" i="23"/>
  <c r="W918" i="23"/>
  <c r="W598" i="23"/>
  <c r="R469" i="23"/>
  <c r="R623" i="23"/>
  <c r="W1221" i="23"/>
  <c r="W629" i="23"/>
  <c r="W461" i="23"/>
  <c r="W1110" i="23"/>
  <c r="R1199" i="23"/>
  <c r="W879" i="23"/>
  <c r="W468" i="23"/>
  <c r="W191" i="23"/>
  <c r="W349" i="23"/>
  <c r="W831" i="23"/>
  <c r="W365" i="23"/>
  <c r="W296" i="23"/>
  <c r="W485" i="23"/>
  <c r="W1045" i="23"/>
  <c r="W1079" i="23"/>
  <c r="W782" i="23"/>
  <c r="W526" i="23"/>
  <c r="W294" i="23"/>
  <c r="W677" i="23"/>
  <c r="W318" i="23"/>
  <c r="W834" i="23"/>
  <c r="W1320" i="23"/>
  <c r="W798" i="23"/>
  <c r="W255" i="23"/>
  <c r="W21" i="23"/>
  <c r="W988" i="23"/>
  <c r="R17" i="23"/>
  <c r="R545" i="23"/>
  <c r="W504" i="23"/>
  <c r="W996" i="23"/>
  <c r="W658" i="23"/>
  <c r="R583" i="23"/>
  <c r="R591" i="23"/>
  <c r="W337" i="23"/>
  <c r="W311" i="23"/>
  <c r="R463" i="23"/>
  <c r="W237" i="23"/>
  <c r="W139" i="23"/>
  <c r="R751" i="23"/>
  <c r="W623" i="23"/>
  <c r="R679" i="23"/>
  <c r="W1198" i="23"/>
  <c r="R491" i="23"/>
  <c r="W1252" i="23"/>
  <c r="W859" i="23"/>
  <c r="W1109" i="23"/>
  <c r="R407" i="23"/>
  <c r="R452" i="23"/>
  <c r="W222" i="23"/>
  <c r="W48" i="23"/>
  <c r="W87" i="23"/>
  <c r="W638" i="23"/>
  <c r="W1024" i="23"/>
  <c r="W766" i="23"/>
  <c r="W1060" i="23"/>
  <c r="W977" i="23"/>
  <c r="W958" i="23"/>
  <c r="R759" i="23"/>
  <c r="R1263" i="23"/>
  <c r="W662" i="23"/>
  <c r="W840" i="23"/>
  <c r="W195" i="23"/>
  <c r="W822" i="23"/>
  <c r="W998" i="23"/>
  <c r="W541" i="23"/>
  <c r="R1273" i="23"/>
  <c r="R553" i="23"/>
  <c r="W969" i="23"/>
  <c r="W328" i="23"/>
  <c r="W729" i="23"/>
  <c r="W976" i="23"/>
  <c r="W676" i="23"/>
  <c r="W129" i="23"/>
  <c r="W457" i="23"/>
  <c r="W870" i="23"/>
  <c r="W397" i="23"/>
  <c r="R374" i="23"/>
  <c r="W612" i="23"/>
  <c r="R840" i="23"/>
  <c r="R570" i="23"/>
  <c r="W325" i="23"/>
  <c r="W820" i="23"/>
  <c r="W1093" i="23"/>
  <c r="W506" i="23"/>
  <c r="W1012" i="23"/>
  <c r="W615" i="23"/>
  <c r="W1277" i="23"/>
  <c r="W733" i="23"/>
  <c r="W1196" i="23"/>
  <c r="W194" i="23"/>
  <c r="W228" i="23"/>
  <c r="W1005" i="23"/>
  <c r="W421" i="23"/>
  <c r="W869" i="23"/>
  <c r="W130" i="23"/>
  <c r="Y1380" i="23"/>
  <c r="W854" i="23"/>
  <c r="W446" i="23"/>
  <c r="W758" i="23"/>
  <c r="W274" i="23"/>
  <c r="R1190" i="23"/>
  <c r="R534" i="23"/>
  <c r="R1010" i="23"/>
  <c r="R495" i="23"/>
  <c r="W287" i="23"/>
  <c r="W641" i="23"/>
  <c r="W805" i="23"/>
  <c r="W411" i="23"/>
  <c r="W339" i="23"/>
  <c r="W81" i="23"/>
  <c r="W422" i="23"/>
  <c r="W231" i="23"/>
  <c r="W894" i="23"/>
  <c r="W742" i="23"/>
  <c r="W614" i="23"/>
  <c r="W486" i="23"/>
  <c r="W1254" i="23"/>
  <c r="R1045" i="23"/>
  <c r="R286" i="23"/>
  <c r="W1026" i="23"/>
  <c r="W1149" i="23"/>
  <c r="W460" i="23"/>
  <c r="W675" i="23"/>
  <c r="W89" i="23"/>
  <c r="R489" i="23"/>
  <c r="R15" i="23"/>
  <c r="W1232" i="23"/>
  <c r="W317" i="23"/>
  <c r="W938" i="23"/>
  <c r="W637" i="23"/>
  <c r="W797" i="23"/>
  <c r="W56" i="23"/>
  <c r="W849" i="23"/>
  <c r="W621" i="23"/>
  <c r="W121" i="23"/>
  <c r="W980" i="23"/>
  <c r="R58" i="23"/>
  <c r="W597" i="23"/>
  <c r="W691" i="23"/>
  <c r="W685" i="23"/>
  <c r="W1059" i="23"/>
  <c r="W1125" i="23"/>
  <c r="W1006" i="23"/>
  <c r="W600" i="23"/>
  <c r="W1153" i="23"/>
  <c r="R704" i="23"/>
  <c r="W605" i="23"/>
  <c r="W1001" i="23"/>
  <c r="R559" i="23"/>
  <c r="W203" i="23"/>
  <c r="R281" i="23"/>
  <c r="W316" i="23"/>
  <c r="W443" i="23"/>
  <c r="W17" i="23"/>
  <c r="K14" i="26"/>
  <c r="R337" i="23"/>
  <c r="W1043" i="23"/>
  <c r="W531" i="23"/>
  <c r="R529" i="23"/>
  <c r="W1280" i="23"/>
  <c r="W375" i="23"/>
  <c r="W824" i="23"/>
  <c r="W1195" i="23"/>
  <c r="W109" i="23"/>
  <c r="R519" i="23"/>
  <c r="R1096" i="23"/>
  <c r="W1258" i="23"/>
  <c r="W1241" i="23"/>
  <c r="W730" i="23"/>
  <c r="W54" i="23"/>
  <c r="W1288" i="23"/>
  <c r="R439" i="23"/>
  <c r="W917" i="23"/>
  <c r="W1234" i="23"/>
  <c r="W497" i="23"/>
  <c r="W86" i="23"/>
  <c r="W1062" i="23"/>
  <c r="N14" i="26"/>
  <c r="Y1379" i="23"/>
  <c r="R651" i="23"/>
  <c r="R483" i="23"/>
  <c r="R903" i="23"/>
  <c r="W209" i="23"/>
  <c r="R663" i="23"/>
  <c r="W760" i="23"/>
  <c r="W777" i="23"/>
  <c r="W463" i="23"/>
  <c r="W1317" i="23"/>
  <c r="W427" i="23"/>
  <c r="W1250" i="23"/>
  <c r="W96" i="23"/>
  <c r="W448" i="23"/>
  <c r="W738" i="23"/>
  <c r="W124" i="23"/>
  <c r="W122" i="23"/>
  <c r="W392" i="23"/>
  <c r="R935" i="23"/>
  <c r="R1284" i="23"/>
  <c r="R725" i="23"/>
  <c r="R1114" i="23"/>
  <c r="R527" i="23"/>
  <c r="R662" i="23"/>
  <c r="R1281" i="23"/>
  <c r="R459" i="23"/>
  <c r="R597" i="23"/>
  <c r="R776" i="23"/>
  <c r="R335" i="23"/>
  <c r="R207" i="23"/>
  <c r="R705" i="23"/>
  <c r="W669" i="23"/>
  <c r="W888" i="23"/>
  <c r="W332" i="23"/>
  <c r="W751" i="23"/>
  <c r="W499" i="23"/>
  <c r="W962" i="23"/>
  <c r="W857" i="23"/>
  <c r="W1104" i="23"/>
  <c r="W848" i="23"/>
  <c r="W192" i="23"/>
  <c r="W158" i="23"/>
  <c r="W1140" i="23"/>
  <c r="W884" i="23"/>
  <c r="W807" i="23"/>
  <c r="W555" i="23"/>
  <c r="W1278" i="23"/>
  <c r="W893" i="23"/>
  <c r="W573" i="23"/>
  <c r="W309" i="23"/>
  <c r="W804" i="23"/>
  <c r="W164" i="23"/>
  <c r="W1186" i="23"/>
  <c r="W123" i="23"/>
  <c r="W736" i="23"/>
  <c r="W44" i="23"/>
  <c r="W413" i="23"/>
  <c r="W1088" i="23"/>
  <c r="W1090" i="23"/>
  <c r="W578" i="23"/>
  <c r="W575" i="23"/>
  <c r="W39" i="23"/>
  <c r="W826" i="23"/>
  <c r="W697" i="23"/>
  <c r="W438" i="23"/>
  <c r="W768" i="23"/>
  <c r="W654" i="23"/>
  <c r="W184" i="23"/>
  <c r="W534" i="23"/>
  <c r="W1319" i="23"/>
  <c r="R1212" i="23"/>
  <c r="R1161" i="23"/>
  <c r="W752" i="23"/>
  <c r="W218" i="23"/>
  <c r="W213" i="23"/>
  <c r="W215" i="23"/>
  <c r="W167" i="23"/>
  <c r="W166" i="23"/>
  <c r="W75" i="23"/>
  <c r="W208" i="23"/>
  <c r="R678" i="23"/>
  <c r="R998" i="23"/>
  <c r="R1160" i="23"/>
  <c r="R236" i="23"/>
  <c r="R782" i="23"/>
  <c r="R526" i="23"/>
  <c r="R552" i="23"/>
  <c r="R508" i="23"/>
  <c r="R655" i="23"/>
  <c r="R25" i="23"/>
  <c r="W728" i="23"/>
  <c r="W1165" i="23"/>
  <c r="W909" i="23"/>
  <c r="W1084" i="23"/>
  <c r="W548" i="23"/>
  <c r="W260" i="23"/>
  <c r="W1203" i="23"/>
  <c r="W947" i="23"/>
  <c r="W435" i="23"/>
  <c r="W423" i="23"/>
  <c r="W1124" i="23"/>
  <c r="W868" i="23"/>
  <c r="W137" i="23"/>
  <c r="W1197" i="23"/>
  <c r="W941" i="23"/>
  <c r="W933" i="23"/>
  <c r="W1181" i="23"/>
  <c r="W750" i="23"/>
  <c r="W606" i="23"/>
  <c r="R600" i="23"/>
  <c r="W1182" i="23"/>
  <c r="W533" i="23"/>
  <c r="W904" i="23"/>
  <c r="W678" i="23"/>
  <c r="W680" i="23"/>
  <c r="W83" i="23"/>
  <c r="W67" i="23"/>
  <c r="W267" i="23"/>
  <c r="W1293" i="23"/>
  <c r="W1037" i="23"/>
  <c r="W757" i="23"/>
  <c r="W453" i="23"/>
  <c r="W1212" i="23"/>
  <c r="W956" i="23"/>
  <c r="W692" i="23"/>
  <c r="W404" i="23"/>
  <c r="W116" i="23"/>
  <c r="W1075" i="23"/>
  <c r="W815" i="23"/>
  <c r="W560" i="23"/>
  <c r="R415" i="23"/>
  <c r="W581" i="23"/>
  <c r="W812" i="23"/>
  <c r="W1000" i="23"/>
  <c r="W304" i="23"/>
  <c r="W373" i="23"/>
  <c r="W532" i="23"/>
  <c r="W236" i="23"/>
  <c r="W1249" i="23"/>
  <c r="W141" i="23"/>
  <c r="W949" i="23"/>
  <c r="W932" i="23"/>
  <c r="W665" i="23"/>
  <c r="W535" i="23"/>
  <c r="W65" i="23"/>
  <c r="W240" i="23"/>
  <c r="W524" i="23"/>
  <c r="W1133" i="23"/>
  <c r="W557" i="23"/>
  <c r="W289" i="23"/>
  <c r="W513" i="23"/>
  <c r="W913" i="23"/>
  <c r="W655" i="23"/>
  <c r="W1061" i="23"/>
  <c r="W1300" i="23"/>
  <c r="W1044" i="23"/>
  <c r="W841" i="23"/>
  <c r="W1309" i="23"/>
  <c r="W1053" i="23"/>
  <c r="W469" i="23"/>
  <c r="W968" i="23"/>
  <c r="W898" i="23"/>
  <c r="W173" i="23"/>
  <c r="R695" i="23"/>
  <c r="W1262" i="23"/>
  <c r="W382" i="23"/>
  <c r="W214" i="23"/>
  <c r="W470" i="23"/>
  <c r="W886" i="23"/>
  <c r="W335" i="23"/>
  <c r="W974" i="23"/>
  <c r="W718" i="23"/>
  <c r="W58" i="23"/>
  <c r="W1135" i="23"/>
  <c r="W1318" i="23"/>
  <c r="W386" i="23"/>
  <c r="W1246" i="23"/>
  <c r="R1067" i="23"/>
  <c r="R1006" i="23"/>
  <c r="R991" i="23"/>
  <c r="R822" i="23"/>
  <c r="R566" i="23"/>
  <c r="R878" i="23"/>
  <c r="R622" i="23"/>
  <c r="R1229" i="23"/>
  <c r="R1134" i="23"/>
  <c r="R1050" i="23"/>
  <c r="R859" i="23"/>
  <c r="R1142" i="23"/>
  <c r="R1152" i="23"/>
  <c r="R1198" i="23"/>
  <c r="R1272" i="23"/>
  <c r="R1016" i="23"/>
  <c r="R1081" i="23"/>
  <c r="R582" i="23"/>
  <c r="R404" i="23"/>
  <c r="R113" i="23"/>
  <c r="R111" i="23"/>
  <c r="R396" i="23"/>
  <c r="R91" i="23"/>
  <c r="R477" i="23"/>
  <c r="R636" i="23"/>
  <c r="R635" i="23"/>
  <c r="R762" i="23"/>
  <c r="R488" i="23"/>
  <c r="R69" i="23"/>
  <c r="R217" i="23"/>
  <c r="R208" i="23"/>
  <c r="R81" i="23"/>
  <c r="W748" i="23"/>
  <c r="W746" i="23"/>
  <c r="W172" i="23"/>
  <c r="W171" i="23"/>
  <c r="W935" i="23"/>
  <c r="W1021" i="23"/>
  <c r="W1019" i="23"/>
  <c r="W803" i="23"/>
  <c r="W547" i="23"/>
  <c r="W810" i="23"/>
  <c r="W656" i="23"/>
  <c r="W471" i="23"/>
  <c r="W472" i="23"/>
  <c r="W338" i="23"/>
  <c r="R728" i="23"/>
  <c r="W1242" i="23"/>
  <c r="W364" i="23"/>
  <c r="W1299" i="23"/>
  <c r="W1297" i="23"/>
  <c r="W787" i="23"/>
  <c r="W786" i="23"/>
  <c r="W785" i="23"/>
  <c r="W227" i="23"/>
  <c r="W772" i="23"/>
  <c r="W264" i="23"/>
  <c r="W984" i="23"/>
  <c r="W1207" i="23"/>
  <c r="W1210" i="23"/>
  <c r="W951" i="23"/>
  <c r="W953" i="23"/>
  <c r="W631" i="23"/>
  <c r="W632" i="23"/>
  <c r="W479" i="23"/>
  <c r="W482" i="23"/>
  <c r="W567" i="23"/>
  <c r="W846" i="23"/>
  <c r="W847" i="23"/>
  <c r="W590" i="23"/>
  <c r="W591" i="23"/>
  <c r="W823" i="23"/>
  <c r="R745" i="23"/>
  <c r="R743" i="23"/>
  <c r="R487" i="23"/>
  <c r="R1182" i="23"/>
  <c r="R735" i="23"/>
  <c r="R1122" i="23"/>
  <c r="R1176" i="23"/>
  <c r="R479" i="23"/>
  <c r="R1217" i="23"/>
  <c r="R1299" i="23"/>
  <c r="R531" i="23"/>
  <c r="R942" i="23"/>
  <c r="R1242" i="23"/>
  <c r="R906" i="23"/>
  <c r="R399" i="23"/>
  <c r="R783" i="23"/>
  <c r="R507" i="23"/>
  <c r="R1008" i="23"/>
  <c r="R172" i="23"/>
  <c r="R634" i="23"/>
  <c r="R744" i="23"/>
  <c r="R438" i="23"/>
  <c r="R310" i="23"/>
  <c r="R619" i="23"/>
  <c r="R145" i="23"/>
  <c r="R485" i="23"/>
  <c r="R199" i="23"/>
  <c r="R816" i="23"/>
  <c r="R54" i="23"/>
  <c r="W985" i="23"/>
  <c r="W473" i="23"/>
  <c r="W25" i="23"/>
  <c r="W30" i="23"/>
  <c r="W53" i="23"/>
  <c r="W1216" i="23"/>
  <c r="W1178" i="23"/>
  <c r="W666" i="23"/>
  <c r="W769" i="23"/>
  <c r="W568" i="23"/>
  <c r="W265" i="23"/>
  <c r="W135" i="23"/>
  <c r="W770" i="23"/>
  <c r="W441" i="23"/>
  <c r="W47" i="23"/>
  <c r="W45" i="23"/>
  <c r="W780" i="23"/>
  <c r="W586" i="23"/>
  <c r="W986" i="23"/>
  <c r="W832" i="23"/>
  <c r="W914" i="23"/>
  <c r="W176" i="23"/>
  <c r="R664" i="23"/>
  <c r="R687" i="23"/>
  <c r="R340" i="23"/>
  <c r="R711" i="23"/>
  <c r="W458" i="23"/>
  <c r="W964" i="23"/>
  <c r="W570" i="23"/>
  <c r="W439" i="23"/>
  <c r="W440" i="23"/>
  <c r="W1150" i="23"/>
  <c r="W295" i="23"/>
  <c r="R1323" i="23"/>
  <c r="R1286" i="23"/>
  <c r="R750" i="23"/>
  <c r="R853" i="23"/>
  <c r="R742" i="23"/>
  <c r="R1292" i="23"/>
  <c r="R1156" i="23"/>
  <c r="R606" i="23"/>
  <c r="R1027" i="23"/>
  <c r="R1144" i="23"/>
  <c r="R707" i="23"/>
  <c r="R1126" i="23"/>
  <c r="R1009" i="23"/>
  <c r="R175" i="23"/>
  <c r="R252" i="23"/>
  <c r="R231" i="23"/>
  <c r="R225" i="23"/>
  <c r="R209" i="23"/>
  <c r="R830" i="23"/>
  <c r="R575" i="23"/>
  <c r="R461" i="23"/>
  <c r="R270" i="23"/>
  <c r="R536" i="23"/>
  <c r="R273" i="23"/>
  <c r="W1067" i="23"/>
  <c r="W1066" i="23"/>
  <c r="W1063" i="23"/>
  <c r="W931" i="23"/>
  <c r="W927" i="23"/>
  <c r="W419" i="23"/>
  <c r="W417" i="23"/>
  <c r="W416" i="23"/>
  <c r="W415" i="23"/>
  <c r="W379" i="23"/>
  <c r="W347" i="23"/>
  <c r="W346" i="23"/>
  <c r="W112" i="23"/>
  <c r="R473" i="23"/>
  <c r="R1031" i="23"/>
  <c r="W525" i="23"/>
  <c r="W521" i="23"/>
  <c r="W293" i="23"/>
  <c r="W290" i="23"/>
  <c r="W400" i="23"/>
  <c r="W1009" i="23"/>
  <c r="W1162" i="23"/>
  <c r="W925" i="23"/>
  <c r="W921" i="23"/>
  <c r="W283" i="23"/>
  <c r="W340" i="23"/>
  <c r="R699" i="23"/>
  <c r="R643" i="23"/>
  <c r="W1096" i="23"/>
  <c r="W398" i="23"/>
  <c r="W399" i="23"/>
  <c r="W153" i="23"/>
  <c r="W103" i="23"/>
  <c r="W102" i="23"/>
  <c r="R1143" i="23"/>
  <c r="W149" i="23"/>
  <c r="R547" i="23"/>
  <c r="R423" i="23"/>
  <c r="R999" i="23"/>
  <c r="R747" i="23"/>
  <c r="R14" i="23"/>
  <c r="R1251" i="23"/>
  <c r="R739" i="23"/>
  <c r="R607" i="23"/>
  <c r="R982" i="23"/>
  <c r="R847" i="23"/>
  <c r="R785" i="23"/>
  <c r="R416" i="23"/>
  <c r="R912" i="23"/>
  <c r="R535" i="23"/>
  <c r="R958" i="23"/>
  <c r="R1092" i="23"/>
  <c r="R719" i="23"/>
  <c r="R715" i="23"/>
  <c r="R1118" i="23"/>
  <c r="R1127" i="23"/>
  <c r="R1265" i="23"/>
  <c r="R1321" i="23"/>
  <c r="R775" i="23"/>
  <c r="R590" i="23"/>
  <c r="R1135" i="23"/>
  <c r="R616" i="23"/>
  <c r="R293" i="23"/>
  <c r="R188" i="23"/>
  <c r="R493" i="23"/>
  <c r="R587" i="23"/>
  <c r="R608" i="23"/>
  <c r="R1052" i="23"/>
  <c r="R205" i="23"/>
  <c r="R380" i="23"/>
  <c r="R279" i="23"/>
  <c r="R87" i="23"/>
  <c r="R472" i="23"/>
  <c r="R405" i="23"/>
  <c r="R133" i="23"/>
  <c r="R16" i="23"/>
  <c r="R464" i="23"/>
  <c r="R544" i="23"/>
  <c r="R576" i="23"/>
  <c r="R280" i="23"/>
  <c r="R24" i="23"/>
  <c r="W1274" i="23"/>
  <c r="W180" i="23"/>
  <c r="W345" i="23"/>
  <c r="W161" i="23"/>
  <c r="W181" i="23"/>
  <c r="W1191" i="23"/>
  <c r="W120" i="23"/>
  <c r="W585" i="23"/>
  <c r="W376" i="23"/>
  <c r="W229" i="23"/>
  <c r="W634" i="23"/>
  <c r="W261" i="23"/>
  <c r="W178" i="23"/>
  <c r="W719" i="23"/>
  <c r="W853" i="23"/>
  <c r="W916" i="23"/>
  <c r="W652" i="23"/>
  <c r="W1227" i="23"/>
  <c r="W715" i="23"/>
  <c r="W459" i="23"/>
  <c r="W571" i="23"/>
  <c r="W276" i="23"/>
  <c r="W273" i="23"/>
  <c r="W704" i="23"/>
  <c r="W705" i="23"/>
  <c r="W551" i="23"/>
  <c r="W929" i="23"/>
  <c r="W630" i="23"/>
  <c r="R555" i="23"/>
  <c r="W512" i="23"/>
  <c r="W84" i="23"/>
  <c r="W82" i="23"/>
  <c r="W462" i="23"/>
  <c r="W230" i="23"/>
  <c r="R89" i="23"/>
  <c r="R272" i="23"/>
  <c r="W1047" i="23"/>
  <c r="W1049" i="23"/>
  <c r="W310" i="23"/>
  <c r="W1214" i="23"/>
  <c r="W1087" i="23"/>
  <c r="W959" i="23"/>
  <c r="W703" i="23"/>
  <c r="W702" i="23"/>
  <c r="W447" i="23"/>
  <c r="R494" i="23"/>
  <c r="W765" i="23"/>
  <c r="W762" i="23"/>
  <c r="R779" i="23"/>
  <c r="R727" i="23"/>
  <c r="W781" i="23"/>
  <c r="R1312" i="23"/>
  <c r="R1056" i="23"/>
  <c r="R815" i="23"/>
  <c r="R758" i="23"/>
  <c r="R502" i="23"/>
  <c r="R929" i="23"/>
  <c r="R1304" i="23"/>
  <c r="R814" i="23"/>
  <c r="R558" i="23"/>
  <c r="R791" i="23"/>
  <c r="R1296" i="23"/>
  <c r="R1087" i="23"/>
  <c r="R870" i="23"/>
  <c r="R610" i="23"/>
  <c r="R968" i="23"/>
  <c r="R1022" i="23"/>
  <c r="R798" i="23"/>
  <c r="R542" i="23"/>
  <c r="R1062" i="23"/>
  <c r="R1287" i="23"/>
  <c r="R1280" i="23"/>
  <c r="R598" i="23"/>
  <c r="R834" i="23"/>
  <c r="R718" i="23"/>
  <c r="R1072" i="23"/>
  <c r="R503" i="23"/>
  <c r="R646" i="23"/>
  <c r="R681" i="23"/>
  <c r="R680" i="23"/>
  <c r="R321" i="23"/>
  <c r="R332" i="23"/>
  <c r="R429" i="23"/>
  <c r="R515" i="23"/>
  <c r="R285" i="23"/>
  <c r="R177" i="23"/>
  <c r="R510" i="23"/>
  <c r="R675" i="23"/>
  <c r="R528" i="23"/>
  <c r="R214" i="23"/>
  <c r="R23" i="23"/>
  <c r="R455" i="23"/>
  <c r="R387" i="23"/>
  <c r="R118" i="23"/>
  <c r="R767" i="23"/>
  <c r="R639" i="23"/>
  <c r="R511" i="23"/>
  <c r="R462" i="23"/>
  <c r="R206" i="23"/>
  <c r="R140" i="23"/>
  <c r="R59" i="23"/>
  <c r="W717" i="23"/>
  <c r="W1101" i="23"/>
  <c r="W837" i="23"/>
  <c r="W517" i="23"/>
  <c r="W1276" i="23"/>
  <c r="W476" i="23"/>
  <c r="W188" i="23"/>
  <c r="W627" i="23"/>
  <c r="W371" i="23"/>
  <c r="W74" i="23"/>
  <c r="W409" i="23"/>
  <c r="W1167" i="23"/>
  <c r="W367" i="23"/>
  <c r="W97" i="23"/>
  <c r="W64" i="23"/>
  <c r="W95" i="23"/>
  <c r="W245" i="23"/>
  <c r="W76" i="23"/>
  <c r="W1285" i="23"/>
  <c r="W1029" i="23"/>
  <c r="W445" i="23"/>
  <c r="W1204" i="23"/>
  <c r="W948" i="23"/>
  <c r="W396" i="23"/>
  <c r="W108" i="23"/>
  <c r="W1131" i="23"/>
  <c r="W875" i="23"/>
  <c r="W363" i="23"/>
  <c r="W1105" i="23"/>
  <c r="W151" i="23"/>
  <c r="W653" i="23"/>
  <c r="W1085" i="23"/>
  <c r="W821" i="23"/>
  <c r="W1260" i="23"/>
  <c r="W1004" i="23"/>
  <c r="W384" i="23"/>
  <c r="W100" i="23"/>
  <c r="W1121" i="23"/>
  <c r="W867" i="23"/>
  <c r="W611" i="23"/>
  <c r="W353" i="23"/>
  <c r="W205" i="23"/>
  <c r="W165" i="23"/>
  <c r="W722" i="23"/>
  <c r="W429" i="23"/>
  <c r="W201" i="23"/>
  <c r="W1069" i="23"/>
  <c r="W1308" i="23"/>
  <c r="W1052" i="23"/>
  <c r="W442" i="23"/>
  <c r="W60" i="23"/>
  <c r="W1107" i="23"/>
  <c r="W851" i="23"/>
  <c r="W594" i="23"/>
  <c r="W57" i="23"/>
  <c r="W701" i="23"/>
  <c r="W1290" i="23"/>
  <c r="W776" i="23"/>
  <c r="W523" i="23"/>
  <c r="W813" i="23"/>
  <c r="W1117" i="23"/>
  <c r="W861" i="23"/>
  <c r="W1036" i="23"/>
  <c r="W1279" i="23"/>
  <c r="W771" i="23"/>
  <c r="W110" i="23"/>
  <c r="W212" i="23"/>
  <c r="W763" i="23"/>
  <c r="W1134" i="23"/>
  <c r="W878" i="23"/>
  <c r="W494" i="23"/>
  <c r="W764" i="23"/>
  <c r="W926" i="23"/>
  <c r="W670" i="23"/>
  <c r="R61" i="23"/>
  <c r="R609" i="23"/>
  <c r="R304" i="23"/>
  <c r="W1229" i="23"/>
  <c r="W973" i="23"/>
  <c r="W1148" i="23"/>
  <c r="W1267" i="23"/>
  <c r="W1011" i="23"/>
  <c r="W1296" i="23"/>
  <c r="W1039" i="23"/>
  <c r="W117" i="23"/>
  <c r="W696" i="23"/>
  <c r="W1157" i="23"/>
  <c r="W1076" i="23"/>
  <c r="W252" i="23"/>
  <c r="W1259" i="23"/>
  <c r="W1003" i="23"/>
  <c r="W490" i="23"/>
  <c r="W278" i="23"/>
  <c r="W1213" i="23"/>
  <c r="W957" i="23"/>
  <c r="W645" i="23"/>
  <c r="W1132" i="23"/>
  <c r="W876" i="23"/>
  <c r="W737" i="23"/>
  <c r="W584" i="23"/>
  <c r="W1247" i="23"/>
  <c r="W73" i="23"/>
  <c r="W79" i="23"/>
  <c r="W251" i="23"/>
  <c r="W885" i="23"/>
  <c r="W565" i="23"/>
  <c r="W596" i="23"/>
  <c r="W297" i="23"/>
  <c r="W1307" i="23"/>
  <c r="W1051" i="23"/>
  <c r="W795" i="23"/>
  <c r="W1144" i="23"/>
  <c r="W197" i="23"/>
  <c r="W357" i="23"/>
  <c r="W1180" i="23"/>
  <c r="W924" i="23"/>
  <c r="W277" i="23"/>
  <c r="W138" i="23"/>
  <c r="W118" i="23"/>
  <c r="W492" i="23"/>
  <c r="W202" i="23"/>
  <c r="W1155" i="23"/>
  <c r="W895" i="23"/>
  <c r="W643" i="23"/>
  <c r="W383" i="23"/>
  <c r="W550" i="23"/>
  <c r="W90" i="23"/>
  <c r="W336" i="23"/>
  <c r="R631" i="23"/>
  <c r="W334" i="23"/>
  <c r="R567" i="23"/>
  <c r="R671" i="23"/>
  <c r="R784" i="23"/>
  <c r="W253" i="23"/>
  <c r="W862" i="23"/>
  <c r="W734" i="23"/>
  <c r="W478" i="23"/>
  <c r="W350" i="23"/>
  <c r="W150" i="23"/>
  <c r="W1322" i="23"/>
  <c r="W1323" i="23"/>
  <c r="W1324" i="23"/>
  <c r="W360" i="23"/>
  <c r="W903" i="23"/>
  <c r="W902" i="23"/>
  <c r="W134" i="23"/>
  <c r="W306" i="23"/>
  <c r="W1056" i="23"/>
  <c r="W226" i="23"/>
  <c r="W1154" i="23"/>
  <c r="W406" i="23"/>
  <c r="R864" i="23"/>
  <c r="R886" i="23"/>
  <c r="R1187" i="23"/>
  <c r="R611" i="23"/>
  <c r="R1112" i="23"/>
  <c r="R848" i="23"/>
  <c r="R1215" i="23"/>
  <c r="R550" i="23"/>
  <c r="R1086" i="23"/>
  <c r="R1206" i="23"/>
  <c r="R1216" i="23"/>
  <c r="R934" i="23"/>
  <c r="R1070" i="23"/>
  <c r="R1071" i="23"/>
  <c r="R1324" i="23"/>
  <c r="R863" i="23"/>
  <c r="R518" i="23"/>
  <c r="R988" i="23"/>
  <c r="R260" i="23"/>
  <c r="R157" i="23"/>
  <c r="R219" i="23"/>
  <c r="R638" i="23"/>
  <c r="R94" i="23"/>
  <c r="R80" i="23"/>
  <c r="R79" i="23"/>
  <c r="R327" i="23"/>
  <c r="R624" i="23"/>
  <c r="R397" i="23"/>
  <c r="R381" i="23"/>
  <c r="R266" i="23"/>
  <c r="R45" i="23"/>
  <c r="W756" i="23"/>
  <c r="W883" i="23"/>
  <c r="W1263" i="23"/>
  <c r="W225" i="23"/>
  <c r="W540" i="23"/>
  <c r="W811" i="23"/>
  <c r="W1082" i="23"/>
  <c r="W498" i="23"/>
  <c r="W721" i="23"/>
  <c r="W1224" i="23"/>
  <c r="W672" i="23"/>
  <c r="W1127" i="23"/>
  <c r="W1194" i="23"/>
  <c r="W995" i="23"/>
  <c r="W483" i="23"/>
  <c r="W905" i="23"/>
  <c r="W393" i="23"/>
  <c r="W312" i="23"/>
  <c r="W863" i="23"/>
  <c r="W351" i="23"/>
  <c r="W59" i="23"/>
  <c r="W1243" i="23"/>
  <c r="W731" i="23"/>
  <c r="W1002" i="23"/>
  <c r="W410" i="23"/>
  <c r="W1089" i="23"/>
  <c r="W577" i="23"/>
  <c r="W1080" i="23"/>
  <c r="W496" i="23"/>
  <c r="W232" i="23"/>
  <c r="W71" i="23"/>
  <c r="W307" i="23"/>
  <c r="W628" i="23"/>
  <c r="W860" i="23"/>
  <c r="W292" i="23"/>
  <c r="W979" i="23"/>
  <c r="W467" i="23"/>
  <c r="W698" i="23"/>
  <c r="W106" i="23"/>
  <c r="W889" i="23"/>
  <c r="W377" i="23"/>
  <c r="W880" i="23"/>
  <c r="W1295" i="23"/>
  <c r="W783" i="23"/>
  <c r="W257" i="23"/>
  <c r="W32" i="23"/>
  <c r="W107" i="23"/>
  <c r="W330" i="23"/>
  <c r="W549" i="23"/>
  <c r="W580" i="23"/>
  <c r="W1163" i="23"/>
  <c r="W651" i="23"/>
  <c r="W922" i="23"/>
  <c r="W314" i="23"/>
  <c r="W945" i="23"/>
  <c r="W433" i="23"/>
  <c r="W936" i="23"/>
  <c r="W352" i="23"/>
  <c r="W839" i="23"/>
  <c r="W838" i="23"/>
  <c r="W286" i="23"/>
  <c r="W88" i="23"/>
  <c r="W163" i="23"/>
  <c r="W706" i="23"/>
  <c r="W972" i="23"/>
  <c r="W420" i="23"/>
  <c r="W1091" i="23"/>
  <c r="W579" i="23"/>
  <c r="W850" i="23"/>
  <c r="W162" i="23"/>
  <c r="W937" i="23"/>
  <c r="W425" i="23"/>
  <c r="W992" i="23"/>
  <c r="W408" i="23"/>
  <c r="W144" i="23"/>
  <c r="W219" i="23"/>
  <c r="W200" i="23"/>
  <c r="W865" i="23"/>
  <c r="W920" i="23"/>
  <c r="W284" i="23"/>
  <c r="W564" i="23"/>
  <c r="W955" i="23"/>
  <c r="W674" i="23"/>
  <c r="W900" i="23"/>
  <c r="W342" i="23"/>
  <c r="W845" i="23"/>
  <c r="W489" i="23"/>
  <c r="R686" i="23"/>
  <c r="R1271" i="23"/>
  <c r="R1270" i="23"/>
  <c r="R910" i="23"/>
  <c r="R698" i="23"/>
  <c r="R122" i="23"/>
  <c r="R574" i="23"/>
  <c r="R1066" i="23"/>
  <c r="R541" i="23"/>
  <c r="R333" i="23"/>
  <c r="R828" i="23"/>
  <c r="R1012" i="23"/>
  <c r="R640" i="23"/>
  <c r="R454" i="23"/>
  <c r="R198" i="23"/>
  <c r="R68" i="23"/>
  <c r="W819" i="23"/>
  <c r="W1305" i="23"/>
  <c r="W793" i="23"/>
  <c r="W1199" i="23"/>
  <c r="W687" i="23"/>
  <c r="W223" i="23"/>
  <c r="W1266" i="23"/>
  <c r="W1038" i="23"/>
  <c r="W509" i="23"/>
  <c r="W747" i="23"/>
  <c r="W1018" i="23"/>
  <c r="W426" i="23"/>
  <c r="W1169" i="23"/>
  <c r="W657" i="23"/>
  <c r="W592" i="23"/>
  <c r="W323" i="23"/>
  <c r="W1130" i="23"/>
  <c r="W740" i="23"/>
  <c r="W642" i="23"/>
  <c r="W329" i="23"/>
  <c r="W1311" i="23"/>
  <c r="W799" i="23"/>
  <c r="W844" i="23"/>
  <c r="W1166" i="23"/>
  <c r="W452" i="23"/>
  <c r="W1179" i="23"/>
  <c r="W667" i="23"/>
  <c r="W1025" i="23"/>
  <c r="W432" i="23"/>
  <c r="W407" i="23"/>
  <c r="W168" i="23"/>
  <c r="W78" i="23"/>
  <c r="W243" i="23"/>
  <c r="W1306" i="23"/>
  <c r="W788" i="23"/>
  <c r="W220" i="23"/>
  <c r="W915" i="23"/>
  <c r="W403" i="23"/>
  <c r="W626" i="23"/>
  <c r="W42" i="23"/>
  <c r="W825" i="23"/>
  <c r="W313" i="23"/>
  <c r="W808" i="23"/>
  <c r="W1231" i="23"/>
  <c r="W193" i="23"/>
  <c r="W190" i="23"/>
  <c r="W319" i="23"/>
  <c r="W43" i="23"/>
  <c r="W508" i="23"/>
  <c r="W1099" i="23"/>
  <c r="W587" i="23"/>
  <c r="W858" i="23"/>
  <c r="W242" i="23"/>
  <c r="W881" i="23"/>
  <c r="W369" i="23"/>
  <c r="W872" i="23"/>
  <c r="W1287" i="23"/>
  <c r="W1286" i="23"/>
  <c r="W775" i="23"/>
  <c r="W774" i="23"/>
  <c r="W249" i="23"/>
  <c r="W24" i="23"/>
  <c r="W99" i="23"/>
  <c r="W405" i="23"/>
  <c r="W908" i="23"/>
  <c r="W348" i="23"/>
  <c r="W1027" i="23"/>
  <c r="W515" i="23"/>
  <c r="W873" i="23"/>
  <c r="W361" i="23"/>
  <c r="W928" i="23"/>
  <c r="W344" i="23"/>
  <c r="W70" i="23"/>
  <c r="W80" i="23"/>
  <c r="W46" i="23"/>
  <c r="W155" i="23"/>
  <c r="W233" i="23"/>
  <c r="W136" i="23"/>
  <c r="W1313" i="23"/>
  <c r="W801" i="23"/>
  <c r="W856" i="23"/>
  <c r="W154" i="23"/>
  <c r="W358" i="23"/>
  <c r="W891" i="23"/>
  <c r="W1098" i="23"/>
  <c r="W514" i="23"/>
  <c r="W828" i="23"/>
  <c r="R39" i="23"/>
  <c r="R1248" i="23"/>
  <c r="R1237" i="23"/>
  <c r="R1305" i="23"/>
  <c r="R1220" i="23"/>
  <c r="R1088" i="23"/>
  <c r="R1261" i="23"/>
  <c r="R1290" i="23"/>
  <c r="R364" i="23"/>
  <c r="R193" i="23"/>
  <c r="R672" i="23"/>
  <c r="R29" i="23"/>
  <c r="R411" i="23"/>
  <c r="R465" i="23"/>
  <c r="R143" i="23"/>
  <c r="R764" i="23"/>
  <c r="R336" i="23"/>
  <c r="R223" i="23"/>
  <c r="W510" i="23"/>
  <c r="W620" i="23"/>
  <c r="W755" i="23"/>
  <c r="W434" i="23"/>
  <c r="W159" i="23"/>
  <c r="W1202" i="23"/>
  <c r="W683" i="23"/>
  <c r="W954" i="23"/>
  <c r="W354" i="23"/>
  <c r="W593" i="23"/>
  <c r="W999" i="23"/>
  <c r="W487" i="23"/>
  <c r="W15" i="23"/>
  <c r="W14" i="23"/>
  <c r="W259" i="23"/>
  <c r="W538" i="23"/>
  <c r="W355" i="23"/>
  <c r="W562" i="23"/>
  <c r="W1289" i="23"/>
  <c r="W744" i="23"/>
  <c r="W37" i="23"/>
  <c r="W1314" i="23"/>
  <c r="W380" i="23"/>
  <c r="W1115" i="23"/>
  <c r="W603" i="23"/>
  <c r="W874" i="23"/>
  <c r="W258" i="23"/>
  <c r="W961" i="23"/>
  <c r="W449" i="23"/>
  <c r="W952" i="23"/>
  <c r="W368" i="23"/>
  <c r="W855" i="23"/>
  <c r="W343" i="23"/>
  <c r="W104" i="23"/>
  <c r="W285" i="23"/>
  <c r="W179" i="23"/>
  <c r="W709" i="23"/>
  <c r="W724" i="23"/>
  <c r="W1122" i="23"/>
  <c r="W546" i="23"/>
  <c r="W1273" i="23"/>
  <c r="W1264" i="23"/>
  <c r="W720" i="23"/>
  <c r="W428" i="23"/>
  <c r="W1035" i="23"/>
  <c r="W778" i="23"/>
  <c r="W98" i="23"/>
  <c r="W817" i="23"/>
  <c r="W305" i="23"/>
  <c r="W800" i="23"/>
  <c r="W1223" i="23"/>
  <c r="W1222" i="23"/>
  <c r="W711" i="23"/>
  <c r="W710" i="23"/>
  <c r="W185" i="23"/>
  <c r="W35" i="23"/>
  <c r="W34" i="23"/>
  <c r="W792" i="23"/>
  <c r="W341" i="23"/>
  <c r="W836" i="23"/>
  <c r="W963" i="23"/>
  <c r="W451" i="23"/>
  <c r="W682" i="23"/>
  <c r="W1321" i="23"/>
  <c r="W809" i="23"/>
  <c r="W864" i="23"/>
  <c r="W767" i="23"/>
  <c r="W241" i="23"/>
  <c r="W16" i="23"/>
  <c r="W91" i="23"/>
  <c r="W169" i="23"/>
  <c r="W72" i="23"/>
  <c r="W1304" i="23"/>
  <c r="W502" i="23"/>
  <c r="W275" i="23"/>
  <c r="W189" i="23"/>
  <c r="W196" i="23"/>
  <c r="W827" i="23"/>
  <c r="W1034" i="23"/>
  <c r="W1284" i="23"/>
  <c r="W700" i="23"/>
  <c r="W38" i="23"/>
  <c r="W234" i="23"/>
  <c r="W912" i="23"/>
  <c r="W910" i="23"/>
  <c r="R1257" i="23"/>
  <c r="R683" i="23"/>
  <c r="R920" i="23"/>
  <c r="R667" i="23"/>
  <c r="R723" i="23"/>
  <c r="R1249" i="23"/>
  <c r="R295" i="23"/>
  <c r="R421" i="23"/>
  <c r="R413" i="23"/>
  <c r="R712" i="23"/>
  <c r="R406" i="23"/>
  <c r="R189" i="23"/>
  <c r="R134" i="23"/>
  <c r="W362" i="23"/>
  <c r="W1168" i="23"/>
  <c r="W1071" i="23"/>
  <c r="W559" i="23"/>
  <c r="W1138" i="23"/>
  <c r="W324" i="23"/>
  <c r="W619" i="23"/>
  <c r="W890" i="23"/>
  <c r="W282" i="23"/>
  <c r="W1041" i="23"/>
  <c r="W529" i="23"/>
  <c r="W1032" i="23"/>
  <c r="W94" i="23"/>
  <c r="W1074" i="23"/>
  <c r="W1225" i="23"/>
  <c r="W713" i="23"/>
  <c r="W1183" i="23"/>
  <c r="W671" i="23"/>
  <c r="W145" i="23"/>
  <c r="W271" i="23"/>
  <c r="W270" i="23"/>
  <c r="W52" i="23"/>
  <c r="W300" i="23"/>
  <c r="W539" i="23"/>
  <c r="W794" i="23"/>
  <c r="W186" i="23"/>
  <c r="W385" i="23"/>
  <c r="W1303" i="23"/>
  <c r="W791" i="23"/>
  <c r="W40" i="23"/>
  <c r="W221" i="23"/>
  <c r="W115" i="23"/>
  <c r="W660" i="23"/>
  <c r="W1058" i="23"/>
  <c r="W474" i="23"/>
  <c r="W1209" i="23"/>
  <c r="W1200" i="23"/>
  <c r="W1103" i="23"/>
  <c r="W500" i="23"/>
  <c r="W356" i="23"/>
  <c r="W971" i="23"/>
  <c r="W690" i="23"/>
  <c r="W1265" i="23"/>
  <c r="W753" i="23"/>
  <c r="W1256" i="23"/>
  <c r="W712" i="23"/>
  <c r="W1159" i="23"/>
  <c r="W1158" i="23"/>
  <c r="W647" i="23"/>
  <c r="W646" i="23"/>
  <c r="W247" i="23"/>
  <c r="W246" i="23"/>
  <c r="W1292" i="23"/>
  <c r="W204" i="23"/>
  <c r="W899" i="23"/>
  <c r="W387" i="23"/>
  <c r="W1257" i="23"/>
  <c r="W745" i="23"/>
  <c r="W1312" i="23"/>
  <c r="W784" i="23"/>
  <c r="W177" i="23"/>
  <c r="W303" i="23"/>
  <c r="W27" i="23"/>
  <c r="W26" i="23"/>
  <c r="W105" i="23"/>
  <c r="W1185" i="23"/>
  <c r="W673" i="23"/>
  <c r="W1240" i="23"/>
  <c r="W688" i="23"/>
  <c r="W503" i="23"/>
  <c r="W211" i="23"/>
  <c r="W125" i="23"/>
  <c r="W1275" i="23"/>
  <c r="W699" i="23"/>
  <c r="W970" i="23"/>
  <c r="W370" i="23"/>
  <c r="W1220" i="23"/>
  <c r="W636" i="23"/>
  <c r="W790" i="23"/>
  <c r="W170" i="23"/>
  <c r="R1047" i="23"/>
  <c r="R1313" i="23"/>
  <c r="R1195" i="23"/>
  <c r="R694" i="23"/>
  <c r="R1168" i="23"/>
  <c r="R670" i="23"/>
  <c r="R1254" i="23"/>
  <c r="R1188" i="23"/>
  <c r="R551" i="23"/>
  <c r="R630" i="23"/>
  <c r="R856" i="23"/>
  <c r="R1153" i="23"/>
  <c r="R1104" i="23"/>
  <c r="R1282" i="23"/>
  <c r="R1207" i="23"/>
  <c r="R659" i="23"/>
  <c r="R1032" i="23"/>
  <c r="R960" i="23"/>
  <c r="R297" i="23"/>
  <c r="R1306" i="23"/>
  <c r="R952" i="23"/>
  <c r="R763" i="23"/>
  <c r="R774" i="23"/>
  <c r="R506" i="23"/>
  <c r="R419" i="23"/>
  <c r="R314" i="23"/>
  <c r="R324" i="23"/>
  <c r="R344" i="23"/>
  <c r="R141" i="23"/>
  <c r="R28" i="23"/>
  <c r="R271" i="23"/>
  <c r="R125" i="23"/>
  <c r="R102" i="23"/>
  <c r="W1146" i="23"/>
  <c r="W1020" i="23"/>
  <c r="W1139" i="23"/>
  <c r="W1113" i="23"/>
  <c r="W601" i="23"/>
  <c r="W528" i="23"/>
  <c r="W1007" i="23"/>
  <c r="W495" i="23"/>
  <c r="W256" i="23"/>
  <c r="W23" i="23"/>
  <c r="W22" i="23"/>
  <c r="W331" i="23"/>
  <c r="W602" i="23"/>
  <c r="W1294" i="23"/>
  <c r="W901" i="23"/>
  <c r="W818" i="23"/>
  <c r="W465" i="23"/>
  <c r="W871" i="23"/>
  <c r="W359" i="23"/>
  <c r="W131" i="23"/>
  <c r="W1102" i="23"/>
  <c r="W501" i="23"/>
  <c r="W1068" i="23"/>
  <c r="W1251" i="23"/>
  <c r="W739" i="23"/>
  <c r="W1010" i="23"/>
  <c r="W418" i="23"/>
  <c r="W1161" i="23"/>
  <c r="W649" i="23"/>
  <c r="W1152" i="23"/>
  <c r="W1119" i="23"/>
  <c r="W607" i="23"/>
  <c r="W207" i="23"/>
  <c r="W206" i="23"/>
  <c r="W315" i="23"/>
  <c r="W796" i="23"/>
  <c r="W987" i="23"/>
  <c r="W475" i="23"/>
  <c r="W714" i="23"/>
  <c r="W114" i="23"/>
  <c r="W833" i="23"/>
  <c r="W321" i="23"/>
  <c r="W816" i="23"/>
  <c r="W1239" i="23"/>
  <c r="W727" i="23"/>
  <c r="W327" i="23"/>
  <c r="W326" i="23"/>
  <c r="W157" i="23"/>
  <c r="W51" i="23"/>
  <c r="W50" i="23"/>
  <c r="W1116" i="23"/>
  <c r="W588" i="23"/>
  <c r="W1235" i="23"/>
  <c r="W723" i="23"/>
  <c r="W994" i="23"/>
  <c r="W402" i="23"/>
  <c r="W1145" i="23"/>
  <c r="W633" i="23"/>
  <c r="W1136" i="23"/>
  <c r="W527" i="23"/>
  <c r="W288" i="23"/>
  <c r="W127" i="23"/>
  <c r="W28" i="23"/>
  <c r="W1298" i="23"/>
  <c r="W436" i="23"/>
  <c r="W244" i="23"/>
  <c r="W852" i="23"/>
  <c r="W140" i="23"/>
  <c r="W907" i="23"/>
  <c r="W395" i="23"/>
  <c r="W610" i="23"/>
  <c r="W1201" i="23"/>
  <c r="W689" i="23"/>
  <c r="W1192" i="23"/>
  <c r="W624" i="23"/>
  <c r="W1095" i="23"/>
  <c r="W1094" i="23"/>
  <c r="W583" i="23"/>
  <c r="W582" i="23"/>
  <c r="W49" i="23"/>
  <c r="W183" i="23"/>
  <c r="W182" i="23"/>
  <c r="W77" i="23"/>
  <c r="W372" i="23"/>
  <c r="W773" i="23"/>
  <c r="W1228" i="23"/>
  <c r="W708" i="23"/>
  <c r="W132" i="23"/>
  <c r="W835" i="23"/>
  <c r="W1106" i="23"/>
  <c r="W522" i="23"/>
  <c r="W1193" i="23"/>
  <c r="W681" i="23"/>
  <c r="W1248" i="23"/>
  <c r="W1151" i="23"/>
  <c r="W639" i="23"/>
  <c r="W113" i="23"/>
  <c r="W239" i="23"/>
  <c r="W238" i="23"/>
  <c r="W133" i="23"/>
  <c r="W33" i="23"/>
  <c r="W609" i="23"/>
  <c r="W1176" i="23"/>
  <c r="W608" i="23"/>
  <c r="W694" i="23"/>
  <c r="W147" i="23"/>
  <c r="W61" i="23"/>
  <c r="W1211" i="23"/>
  <c r="W635" i="23"/>
  <c r="W906" i="23"/>
  <c r="W298" i="23"/>
  <c r="W1156" i="23"/>
  <c r="W556" i="23"/>
  <c r="W726" i="23"/>
  <c r="R1279" i="23"/>
  <c r="R539" i="23"/>
  <c r="R1040" i="23"/>
  <c r="R471" i="23"/>
  <c r="R1038" i="23"/>
  <c r="R654" i="23"/>
  <c r="R182" i="23"/>
  <c r="R303" i="23"/>
  <c r="R47" i="23"/>
  <c r="R104" i="23"/>
  <c r="R77" i="23"/>
  <c r="R342" i="23"/>
  <c r="R22" i="23"/>
  <c r="R123" i="23"/>
  <c r="R112" i="23"/>
  <c r="R200" i="23"/>
  <c r="W618" i="23"/>
  <c r="W563" i="23"/>
  <c r="W537" i="23"/>
  <c r="W1040" i="23"/>
  <c r="W943" i="23"/>
  <c r="W431" i="23"/>
  <c r="W491" i="23"/>
  <c r="W401" i="23"/>
  <c r="W320" i="23"/>
  <c r="W281" i="23"/>
  <c r="W1187" i="23"/>
  <c r="W946" i="23"/>
  <c r="W1097" i="23"/>
  <c r="W1055" i="23"/>
  <c r="W543" i="23"/>
  <c r="W143" i="23"/>
  <c r="W142" i="23"/>
  <c r="W802" i="23"/>
  <c r="W725" i="23"/>
  <c r="W732" i="23"/>
  <c r="W156" i="23"/>
  <c r="W923" i="23"/>
  <c r="W1281" i="23"/>
  <c r="W1272" i="23"/>
  <c r="W263" i="23"/>
  <c r="W262" i="23"/>
  <c r="W93" i="23"/>
  <c r="W394" i="23"/>
  <c r="W516" i="23"/>
  <c r="W1171" i="23"/>
  <c r="W659" i="23"/>
  <c r="W930" i="23"/>
  <c r="W322" i="23"/>
  <c r="W1081" i="23"/>
  <c r="W569" i="23"/>
  <c r="W1072" i="23"/>
  <c r="W488" i="23"/>
  <c r="W975" i="23"/>
  <c r="W224" i="23"/>
  <c r="W63" i="23"/>
  <c r="W299" i="23"/>
  <c r="W789" i="23"/>
  <c r="W36" i="23"/>
  <c r="W843" i="23"/>
  <c r="W1114" i="23"/>
  <c r="W530" i="23"/>
  <c r="W1137" i="23"/>
  <c r="W625" i="23"/>
  <c r="W1128" i="23"/>
  <c r="W552" i="23"/>
  <c r="W1031" i="23"/>
  <c r="W1030" i="23"/>
  <c r="W519" i="23"/>
  <c r="W518" i="23"/>
  <c r="W280" i="23"/>
  <c r="W119" i="23"/>
  <c r="W20" i="23"/>
  <c r="W693" i="23"/>
  <c r="W1164" i="23"/>
  <c r="W644" i="23"/>
  <c r="W1283" i="23"/>
  <c r="W1042" i="23"/>
  <c r="W450" i="23"/>
  <c r="W1129" i="23"/>
  <c r="W617" i="23"/>
  <c r="W1184" i="23"/>
  <c r="W616" i="23"/>
  <c r="W41" i="23"/>
  <c r="W175" i="23"/>
  <c r="W174" i="23"/>
  <c r="W69" i="23"/>
  <c r="W1057" i="23"/>
  <c r="W545" i="23"/>
  <c r="W1112" i="23"/>
  <c r="W536" i="23"/>
  <c r="W695" i="23"/>
  <c r="W430" i="23"/>
  <c r="W664" i="23"/>
  <c r="W1147" i="23"/>
  <c r="W842" i="23"/>
  <c r="W1282" i="23"/>
  <c r="W1092" i="23"/>
  <c r="W484" i="23"/>
  <c r="W333" i="23"/>
  <c r="W944" i="23"/>
  <c r="W391" i="23"/>
  <c r="W390" i="23"/>
  <c r="R1315" i="23"/>
  <c r="R1240" i="23"/>
  <c r="R475" i="23"/>
  <c r="R976" i="23"/>
  <c r="R467" i="23"/>
  <c r="R1318" i="23"/>
  <c r="R1266" i="23"/>
  <c r="R302" i="23"/>
  <c r="R75" i="23"/>
  <c r="R376" i="23"/>
  <c r="R210" i="23"/>
  <c r="R73" i="23"/>
  <c r="W389" i="23"/>
  <c r="W892" i="23"/>
  <c r="W146" i="23"/>
  <c r="W684" i="23"/>
  <c r="W939" i="23"/>
  <c r="W650" i="23"/>
  <c r="W1255" i="23"/>
  <c r="W743" i="23"/>
  <c r="W279" i="23"/>
  <c r="W308" i="23"/>
  <c r="W940" i="23"/>
  <c r="W388" i="23"/>
  <c r="W1123" i="23"/>
  <c r="W882" i="23"/>
  <c r="W1033" i="23"/>
  <c r="W187" i="23"/>
  <c r="W1188" i="23"/>
  <c r="W668" i="23"/>
  <c r="W92" i="23"/>
  <c r="W554" i="23"/>
  <c r="W1217" i="23"/>
  <c r="W1208" i="23"/>
  <c r="W648" i="23"/>
  <c r="W1111" i="23"/>
  <c r="W599" i="23"/>
  <c r="W199" i="23"/>
  <c r="W198" i="23"/>
  <c r="W1230" i="23"/>
  <c r="W444" i="23"/>
  <c r="W595" i="23"/>
  <c r="W866" i="23"/>
  <c r="W250" i="23"/>
  <c r="W1017" i="23"/>
  <c r="W505" i="23"/>
  <c r="W1008" i="23"/>
  <c r="W424" i="23"/>
  <c r="W911" i="23"/>
  <c r="W160" i="23"/>
  <c r="W62" i="23"/>
  <c r="W235" i="23"/>
  <c r="W1170" i="23"/>
  <c r="W716" i="23"/>
  <c r="W1291" i="23"/>
  <c r="W779" i="23"/>
  <c r="W1050" i="23"/>
  <c r="W466" i="23"/>
  <c r="W1073" i="23"/>
  <c r="W561" i="23"/>
  <c r="W1064" i="23"/>
  <c r="W480" i="23"/>
  <c r="W967" i="23"/>
  <c r="W966" i="23"/>
  <c r="W455" i="23"/>
  <c r="W454" i="23"/>
  <c r="W216" i="23"/>
  <c r="W55" i="23"/>
  <c r="W291" i="23"/>
  <c r="W1226" i="23"/>
  <c r="W1100" i="23"/>
  <c r="W572" i="23"/>
  <c r="W1219" i="23"/>
  <c r="W707" i="23"/>
  <c r="W978" i="23"/>
  <c r="W378" i="23"/>
  <c r="W1065" i="23"/>
  <c r="W553" i="23"/>
  <c r="W1120" i="23"/>
  <c r="W544" i="23"/>
  <c r="W511" i="23"/>
  <c r="W272" i="23"/>
  <c r="W111" i="23"/>
  <c r="W993" i="23"/>
  <c r="W481" i="23"/>
  <c r="W1048" i="23"/>
  <c r="W464" i="23"/>
  <c r="W19" i="23"/>
  <c r="W268" i="23"/>
  <c r="W1083" i="23"/>
  <c r="W507" i="23"/>
  <c r="W754" i="23"/>
  <c r="W126" i="23"/>
  <c r="W1218" i="23"/>
  <c r="W1028" i="23"/>
  <c r="W412" i="23"/>
  <c r="R486" i="23"/>
  <c r="W640" i="23"/>
  <c r="W31" i="23"/>
  <c r="W18" i="23"/>
  <c r="R981" i="23"/>
  <c r="R980" i="23"/>
  <c r="R1227" i="23"/>
  <c r="R1225" i="23"/>
  <c r="R434" i="23"/>
  <c r="R432" i="23"/>
  <c r="R431" i="23"/>
  <c r="R875" i="23"/>
  <c r="R370" i="23"/>
  <c r="R369" i="23"/>
  <c r="R366" i="23"/>
  <c r="R1191" i="23"/>
  <c r="R1030" i="23"/>
  <c r="R1028" i="23"/>
  <c r="R918" i="23"/>
  <c r="R1226" i="23"/>
  <c r="R1243" i="23"/>
  <c r="R731" i="23"/>
  <c r="R1232" i="23"/>
  <c r="R1230" i="23"/>
  <c r="R1238" i="23"/>
  <c r="R1042" i="23"/>
  <c r="R1041" i="23"/>
  <c r="R973" i="23"/>
  <c r="R972" i="23"/>
  <c r="R851" i="23"/>
  <c r="R850" i="23"/>
  <c r="R849" i="23"/>
  <c r="R1288" i="23"/>
  <c r="R1159" i="23"/>
  <c r="R1295" i="23"/>
  <c r="R843" i="23"/>
  <c r="R842" i="23"/>
  <c r="R967" i="23"/>
  <c r="R1077" i="23"/>
  <c r="R1073" i="23"/>
  <c r="R1075" i="23"/>
  <c r="R1076" i="23"/>
  <c r="R1151" i="23"/>
  <c r="R1155" i="23"/>
  <c r="R1154" i="23"/>
  <c r="R1080" i="23"/>
  <c r="R1014" i="23"/>
  <c r="R1095" i="23"/>
  <c r="R1250" i="23"/>
  <c r="R1019" i="23"/>
  <c r="R1017" i="23"/>
  <c r="R710" i="23"/>
  <c r="R706" i="23"/>
  <c r="R708" i="23"/>
  <c r="R1125" i="23"/>
  <c r="R1124" i="23"/>
  <c r="R1074" i="23"/>
  <c r="R941" i="23"/>
  <c r="R940" i="23"/>
  <c r="R949" i="23"/>
  <c r="R945" i="23"/>
  <c r="R947" i="23"/>
  <c r="R948" i="23"/>
  <c r="R946" i="23"/>
  <c r="R437" i="23"/>
  <c r="R436" i="23"/>
  <c r="R660" i="23"/>
  <c r="R657" i="23"/>
  <c r="R658" i="23"/>
  <c r="R873" i="23"/>
  <c r="R258" i="23"/>
  <c r="R257" i="23"/>
  <c r="R357" i="23"/>
  <c r="R291" i="23"/>
  <c r="R110" i="23"/>
  <c r="R401" i="23"/>
  <c r="R1110" i="23"/>
  <c r="R908" i="23"/>
  <c r="R592" i="23"/>
  <c r="R530" i="23"/>
  <c r="R137" i="23"/>
  <c r="R957" i="23"/>
  <c r="R956" i="23"/>
  <c r="R445" i="23"/>
  <c r="R403" i="23"/>
  <c r="R1235" i="23"/>
  <c r="R1233" i="23"/>
  <c r="R1150" i="23"/>
  <c r="R524" i="23"/>
  <c r="R522" i="23"/>
  <c r="R811" i="23"/>
  <c r="R810" i="23"/>
  <c r="R1311" i="23"/>
  <c r="R1309" i="23"/>
  <c r="R1308" i="23"/>
  <c r="R1179" i="23"/>
  <c r="R1294" i="23"/>
  <c r="R1293" i="23"/>
  <c r="R1175" i="23"/>
  <c r="R787" i="23"/>
  <c r="R1224" i="23"/>
  <c r="R855" i="23"/>
  <c r="R1302" i="23"/>
  <c r="R1291" i="23"/>
  <c r="R1103" i="23"/>
  <c r="R1239" i="23"/>
  <c r="R1138" i="23"/>
  <c r="R1091" i="23"/>
  <c r="R1089" i="23"/>
  <c r="R579" i="23"/>
  <c r="R1317" i="23"/>
  <c r="R1222" i="23"/>
  <c r="R955" i="23"/>
  <c r="R953" i="23"/>
  <c r="R450" i="23"/>
  <c r="R448" i="23"/>
  <c r="R449" i="23"/>
  <c r="R944" i="23"/>
  <c r="R943" i="23"/>
  <c r="R1319" i="23"/>
  <c r="R1061" i="23"/>
  <c r="R1060" i="23"/>
  <c r="R740" i="23"/>
  <c r="R736" i="23"/>
  <c r="R738" i="23"/>
  <c r="R877" i="23"/>
  <c r="R885" i="23"/>
  <c r="R884" i="23"/>
  <c r="R1116" i="23"/>
  <c r="R596" i="23"/>
  <c r="R593" i="23"/>
  <c r="R594" i="23"/>
  <c r="R809" i="23"/>
  <c r="R621" i="23"/>
  <c r="R618" i="23"/>
  <c r="R737" i="23"/>
  <c r="R430" i="23"/>
  <c r="R349" i="23"/>
  <c r="R345" i="23"/>
  <c r="R168" i="23"/>
  <c r="R1181" i="23"/>
  <c r="R1102" i="23"/>
  <c r="R780" i="23"/>
  <c r="R604" i="23"/>
  <c r="R564" i="23"/>
  <c r="R881" i="23"/>
  <c r="R645" i="23"/>
  <c r="R644" i="23"/>
  <c r="R641" i="23"/>
  <c r="R1115" i="23"/>
  <c r="R1113" i="23"/>
  <c r="R386" i="23"/>
  <c r="R385" i="23"/>
  <c r="R384" i="23"/>
  <c r="R34" i="23"/>
  <c r="R33" i="23"/>
  <c r="R32" i="23"/>
  <c r="R30" i="23"/>
  <c r="R1184" i="23"/>
  <c r="R1054" i="23"/>
  <c r="R950" i="23"/>
  <c r="R1059" i="23"/>
  <c r="R1048" i="23"/>
  <c r="R1165" i="23"/>
  <c r="R1164" i="23"/>
  <c r="R1231" i="23"/>
  <c r="R917" i="23"/>
  <c r="R916" i="23"/>
  <c r="R1051" i="23"/>
  <c r="R1285" i="23"/>
  <c r="R1298" i="23"/>
  <c r="R1171" i="23"/>
  <c r="R862" i="23"/>
  <c r="R966" i="23"/>
  <c r="R964" i="23"/>
  <c r="R1276" i="23"/>
  <c r="R1194" i="23"/>
  <c r="R1163" i="23"/>
  <c r="R926" i="23"/>
  <c r="R1268" i="23"/>
  <c r="R1267" i="23"/>
  <c r="R1178" i="23"/>
  <c r="R963" i="23"/>
  <c r="R962" i="23"/>
  <c r="R961" i="23"/>
  <c r="R888" i="23"/>
  <c r="R846" i="23"/>
  <c r="R844" i="23"/>
  <c r="R1260" i="23"/>
  <c r="R1162" i="23"/>
  <c r="R1185" i="23"/>
  <c r="R827" i="23"/>
  <c r="R825" i="23"/>
  <c r="R823" i="23"/>
  <c r="R824" i="23"/>
  <c r="R1278" i="23"/>
  <c r="R1166" i="23"/>
  <c r="R1234" i="23"/>
  <c r="R749" i="23"/>
  <c r="R757" i="23"/>
  <c r="R460" i="23"/>
  <c r="R458" i="23"/>
  <c r="R246" i="23"/>
  <c r="R244" i="23"/>
  <c r="R165" i="23"/>
  <c r="R164" i="23"/>
  <c r="R52" i="23"/>
  <c r="R51" i="23"/>
  <c r="R48" i="23"/>
  <c r="R49" i="23"/>
  <c r="R554" i="23"/>
  <c r="R1297" i="23"/>
  <c r="R532" i="23"/>
  <c r="R490" i="23"/>
  <c r="R1128" i="23"/>
  <c r="R781" i="23"/>
  <c r="R778" i="23"/>
  <c r="R317" i="23"/>
  <c r="R316" i="23"/>
  <c r="R166" i="23"/>
  <c r="R1246" i="23"/>
  <c r="R891" i="23"/>
  <c r="R889" i="23"/>
  <c r="R821" i="23"/>
  <c r="R820" i="23"/>
  <c r="R818" i="23"/>
  <c r="R516" i="23"/>
  <c r="R513" i="23"/>
  <c r="R514" i="23"/>
  <c r="R512" i="23"/>
  <c r="R444" i="23"/>
  <c r="R441" i="23"/>
  <c r="R1131" i="23"/>
  <c r="R1130" i="23"/>
  <c r="R1120" i="23"/>
  <c r="R615" i="23"/>
  <c r="R1300" i="23"/>
  <c r="R1058" i="23"/>
  <c r="R995" i="23"/>
  <c r="R994" i="23"/>
  <c r="R993" i="23"/>
  <c r="R984" i="23"/>
  <c r="R983" i="23"/>
  <c r="R1101" i="23"/>
  <c r="R1310" i="23"/>
  <c r="R987" i="23"/>
  <c r="R985" i="23"/>
  <c r="R986" i="23"/>
  <c r="R1221" i="23"/>
  <c r="R1223" i="23"/>
  <c r="R1170" i="23"/>
  <c r="R1107" i="23"/>
  <c r="R595" i="23"/>
  <c r="R1277" i="23"/>
  <c r="R1098" i="23"/>
  <c r="R1099" i="23"/>
  <c r="R1097" i="23"/>
  <c r="R1024" i="23"/>
  <c r="R854" i="23"/>
  <c r="R1204" i="23"/>
  <c r="R1202" i="23"/>
  <c r="R1201" i="23"/>
  <c r="R1203" i="23"/>
  <c r="R1090" i="23"/>
  <c r="R1193" i="23"/>
  <c r="R899" i="23"/>
  <c r="R897" i="23"/>
  <c r="R898" i="23"/>
  <c r="R394" i="23"/>
  <c r="R392" i="23"/>
  <c r="R393" i="23"/>
  <c r="R839" i="23"/>
  <c r="R1197" i="23"/>
  <c r="R1196" i="23"/>
  <c r="R1082" i="23"/>
  <c r="R1275" i="23"/>
  <c r="R1264" i="23"/>
  <c r="R1046" i="23"/>
  <c r="R1015" i="23"/>
  <c r="R990" i="23"/>
  <c r="R1039" i="23"/>
  <c r="R685" i="23"/>
  <c r="R682" i="23"/>
  <c r="R693" i="23"/>
  <c r="R690" i="23"/>
  <c r="R924" i="23"/>
  <c r="R954" i="23"/>
  <c r="R1129" i="23"/>
  <c r="R617" i="23"/>
  <c r="R130" i="23"/>
  <c r="R129" i="23"/>
  <c r="R128" i="23"/>
  <c r="R368" i="23"/>
  <c r="R882" i="23"/>
  <c r="R44" i="23"/>
  <c r="R43" i="23"/>
  <c r="R40" i="23"/>
  <c r="R857" i="23"/>
  <c r="R1079" i="23"/>
  <c r="R1169" i="23"/>
  <c r="R549" i="23"/>
  <c r="R546" i="23"/>
  <c r="R874" i="23"/>
  <c r="R248" i="23"/>
  <c r="R703" i="23"/>
  <c r="R702" i="23"/>
  <c r="R447" i="23"/>
  <c r="R446" i="23"/>
  <c r="R677" i="23"/>
  <c r="R674" i="23"/>
  <c r="R673" i="23"/>
  <c r="R931" i="23"/>
  <c r="R930" i="23"/>
  <c r="R426" i="23"/>
  <c r="R422" i="23"/>
  <c r="R424" i="23"/>
  <c r="R425" i="23"/>
  <c r="R1037" i="23"/>
  <c r="R1036" i="23"/>
  <c r="R1314" i="23"/>
  <c r="R789" i="23"/>
  <c r="R786" i="23"/>
  <c r="R788" i="23"/>
  <c r="R923" i="23"/>
  <c r="R921" i="23"/>
  <c r="R418" i="23"/>
  <c r="R414" i="23"/>
  <c r="R1157" i="23"/>
  <c r="R1043" i="23"/>
  <c r="R734" i="23"/>
  <c r="R1213" i="23"/>
  <c r="R1148" i="23"/>
  <c r="R1034" i="23"/>
  <c r="R1035" i="23"/>
  <c r="R523" i="23"/>
  <c r="R1269" i="23"/>
  <c r="R1140" i="23"/>
  <c r="R1137" i="23"/>
  <c r="R1026" i="23"/>
  <c r="R1025" i="23"/>
  <c r="R1021" i="23"/>
  <c r="R1020" i="23"/>
  <c r="R835" i="23"/>
  <c r="R832" i="23"/>
  <c r="R833" i="23"/>
  <c r="R1133" i="23"/>
  <c r="R1132" i="23"/>
  <c r="R1018" i="23"/>
  <c r="R1211" i="23"/>
  <c r="R1200" i="23"/>
  <c r="R902" i="23"/>
  <c r="R900" i="23"/>
  <c r="R1301" i="23"/>
  <c r="R1174" i="23"/>
  <c r="R1241" i="23"/>
  <c r="R629" i="23"/>
  <c r="R626" i="23"/>
  <c r="R860" i="23"/>
  <c r="R890" i="23"/>
  <c r="R1065" i="23"/>
  <c r="R37" i="23"/>
  <c r="R35" i="23"/>
  <c r="R36" i="23"/>
  <c r="R1044" i="23"/>
  <c r="R754" i="23"/>
  <c r="R974" i="23"/>
  <c r="R996" i="23"/>
  <c r="R746" i="23"/>
  <c r="R861" i="23"/>
  <c r="R858" i="23"/>
  <c r="R521" i="23"/>
  <c r="R433" i="23"/>
  <c r="R256" i="23"/>
  <c r="R1259" i="23"/>
  <c r="R1258" i="23"/>
  <c r="R1123" i="23"/>
  <c r="R1121" i="23"/>
  <c r="R1228" i="23"/>
  <c r="R813" i="23"/>
  <c r="R812" i="23"/>
  <c r="R938" i="23"/>
  <c r="R572" i="23"/>
  <c r="R568" i="23"/>
  <c r="R1236" i="23"/>
  <c r="R1003" i="23"/>
  <c r="R1002" i="23"/>
  <c r="R992" i="23"/>
  <c r="R1173" i="23"/>
  <c r="R1172" i="23"/>
  <c r="R867" i="23"/>
  <c r="R866" i="23"/>
  <c r="R865" i="23"/>
  <c r="R362" i="23"/>
  <c r="R361" i="23"/>
  <c r="R975" i="23"/>
  <c r="R1303" i="23"/>
  <c r="R1186" i="23"/>
  <c r="R354" i="23"/>
  <c r="R353" i="23"/>
  <c r="R352" i="23"/>
  <c r="R614" i="23"/>
  <c r="R1093" i="23"/>
  <c r="R1210" i="23"/>
  <c r="R1209" i="23"/>
  <c r="R979" i="23"/>
  <c r="R977" i="23"/>
  <c r="R978" i="23"/>
  <c r="R904" i="23"/>
  <c r="R1149" i="23"/>
  <c r="R1167" i="23"/>
  <c r="R1111" i="23"/>
  <c r="R971" i="23"/>
  <c r="R969" i="23"/>
  <c r="R970" i="23"/>
  <c r="R896" i="23"/>
  <c r="R894" i="23"/>
  <c r="R892" i="23"/>
  <c r="R895" i="23"/>
  <c r="R300" i="23"/>
  <c r="R296" i="23"/>
  <c r="R1205" i="23"/>
  <c r="R1119" i="23"/>
  <c r="R1063" i="23"/>
  <c r="R1283" i="23"/>
  <c r="R771" i="23"/>
  <c r="R1208" i="23"/>
  <c r="R1069" i="23"/>
  <c r="R1068" i="23"/>
  <c r="R1055" i="23"/>
  <c r="R1007" i="23"/>
  <c r="R1147" i="23"/>
  <c r="R1136" i="23"/>
  <c r="R838" i="23"/>
  <c r="R836" i="23"/>
  <c r="R1253" i="23"/>
  <c r="R1316" i="23"/>
  <c r="R1274" i="23"/>
  <c r="R1177" i="23"/>
  <c r="R162" i="23"/>
  <c r="R161" i="23"/>
  <c r="R160" i="23"/>
  <c r="R565" i="23"/>
  <c r="R796" i="23"/>
  <c r="R826" i="23"/>
  <c r="R1001" i="23"/>
  <c r="R322" i="23"/>
  <c r="R320" i="23"/>
  <c r="R355" i="23"/>
  <c r="R99" i="23"/>
  <c r="R852" i="23"/>
  <c r="R562" i="23"/>
  <c r="R959" i="23"/>
  <c r="R1180" i="23"/>
  <c r="R932" i="23"/>
  <c r="R1049" i="23"/>
  <c r="R770" i="23"/>
  <c r="R269" i="23"/>
  <c r="R268" i="23"/>
  <c r="R156" i="23"/>
  <c r="R152" i="23"/>
  <c r="R153" i="23"/>
  <c r="R267" i="23"/>
  <c r="R1033" i="23"/>
  <c r="R876" i="23"/>
  <c r="R569" i="23"/>
  <c r="R119" i="23"/>
  <c r="R951" i="23"/>
  <c r="R939" i="23"/>
  <c r="R928" i="23"/>
  <c r="R927" i="23"/>
  <c r="R1109" i="23"/>
  <c r="R1108" i="23"/>
  <c r="R887" i="23"/>
  <c r="R803" i="23"/>
  <c r="R802" i="23"/>
  <c r="R801" i="23"/>
  <c r="R807" i="23"/>
  <c r="R1255" i="23"/>
  <c r="R879" i="23"/>
  <c r="R1307" i="23"/>
  <c r="R795" i="23"/>
  <c r="R792" i="23"/>
  <c r="R794" i="23"/>
  <c r="R793" i="23"/>
  <c r="R799" i="23"/>
  <c r="R911" i="23"/>
  <c r="R1106" i="23"/>
  <c r="R1105" i="23"/>
  <c r="R915" i="23"/>
  <c r="R914" i="23"/>
  <c r="R913" i="23"/>
  <c r="R410" i="23"/>
  <c r="R408" i="23"/>
  <c r="R1023" i="23"/>
  <c r="R1085" i="23"/>
  <c r="R1084" i="23"/>
  <c r="R907" i="23"/>
  <c r="R402" i="23"/>
  <c r="R400" i="23"/>
  <c r="R871" i="23"/>
  <c r="R1141" i="23"/>
  <c r="R1158" i="23"/>
  <c r="R1219" i="23"/>
  <c r="R1218" i="23"/>
  <c r="R919" i="23"/>
  <c r="R1183" i="23"/>
  <c r="R1214" i="23"/>
  <c r="R1094" i="23"/>
  <c r="R1083" i="23"/>
  <c r="R571" i="23"/>
  <c r="R1189" i="23"/>
  <c r="R1252" i="23"/>
  <c r="R1146" i="23"/>
  <c r="R1005" i="23"/>
  <c r="R1004" i="23"/>
  <c r="R1013" i="23"/>
  <c r="R1011" i="23"/>
  <c r="R501" i="23"/>
  <c r="R498" i="23"/>
  <c r="R724" i="23"/>
  <c r="R722" i="23"/>
  <c r="R721" i="23"/>
  <c r="R720" i="23"/>
  <c r="R937" i="23"/>
  <c r="R808" i="23"/>
  <c r="R409" i="23"/>
  <c r="R716" i="23"/>
  <c r="R714" i="23"/>
  <c r="R1057" i="23"/>
  <c r="R360" i="23"/>
  <c r="R1247" i="23"/>
  <c r="R869" i="23"/>
  <c r="R868" i="23"/>
  <c r="R1100" i="23"/>
  <c r="R732" i="23"/>
  <c r="R170" i="23"/>
  <c r="R169" i="23"/>
  <c r="R57" i="23"/>
  <c r="R56" i="23"/>
  <c r="R1139" i="23"/>
  <c r="R689" i="23"/>
  <c r="R484" i="23"/>
  <c r="R480" i="23"/>
  <c r="R482" i="23"/>
  <c r="R481" i="23"/>
  <c r="R181" i="23"/>
  <c r="R243" i="23"/>
  <c r="R240" i="23"/>
  <c r="R241" i="23"/>
  <c r="R642" i="23"/>
  <c r="R668" i="23"/>
  <c r="R417" i="23"/>
  <c r="R265" i="23"/>
  <c r="R101" i="23"/>
  <c r="R163" i="23"/>
  <c r="R428" i="23"/>
  <c r="R174" i="23"/>
  <c r="R93" i="23"/>
  <c r="R359" i="23"/>
  <c r="R103" i="23"/>
  <c r="R250" i="23"/>
  <c r="R1117" i="23"/>
  <c r="R580" i="23"/>
  <c r="R805" i="23"/>
  <c r="R989" i="23"/>
  <c r="R700" i="23"/>
  <c r="R234" i="23"/>
  <c r="R308" i="23"/>
  <c r="R331" i="23"/>
  <c r="R151" i="23"/>
  <c r="R474" i="23"/>
  <c r="R649" i="23"/>
  <c r="R520" i="23"/>
  <c r="R98" i="23"/>
  <c r="R20" i="23"/>
  <c r="R185" i="23"/>
  <c r="R144" i="23"/>
  <c r="R71" i="23"/>
  <c r="R1256" i="23"/>
  <c r="R909" i="23"/>
  <c r="R620" i="23"/>
  <c r="R334" i="23"/>
  <c r="R78" i="23"/>
  <c r="R356" i="23"/>
  <c r="R135" i="23"/>
  <c r="R773" i="23"/>
  <c r="R476" i="23"/>
  <c r="R697" i="23"/>
  <c r="R262" i="23"/>
  <c r="R309" i="23"/>
  <c r="R204" i="23"/>
  <c r="R307" i="23"/>
  <c r="R190" i="23"/>
  <c r="R72" i="23"/>
  <c r="R330" i="23"/>
  <c r="R55" i="23"/>
  <c r="R804" i="23"/>
  <c r="R196" i="23"/>
  <c r="R254" i="23"/>
  <c r="R184" i="23"/>
  <c r="R573" i="23"/>
  <c r="R247" i="23"/>
  <c r="R294" i="23"/>
  <c r="R201" i="23"/>
  <c r="R601" i="23"/>
  <c r="R230" i="23"/>
  <c r="R100" i="23"/>
  <c r="R83" i="23"/>
  <c r="R66" i="23"/>
  <c r="R155" i="23"/>
  <c r="R1053" i="23"/>
  <c r="R741" i="23"/>
  <c r="R925" i="23"/>
  <c r="R656" i="23"/>
  <c r="R228" i="23"/>
  <c r="R215" i="23"/>
  <c r="R661" i="23"/>
  <c r="R922" i="23"/>
  <c r="R585" i="23"/>
  <c r="R150" i="23"/>
  <c r="R131" i="23"/>
  <c r="R121" i="23"/>
  <c r="R819" i="23"/>
  <c r="R563" i="23"/>
  <c r="R1192" i="23"/>
  <c r="R845" i="23"/>
  <c r="R548" i="23"/>
  <c r="R769" i="23"/>
  <c r="R218" i="23"/>
  <c r="R284" i="23"/>
  <c r="R187" i="23"/>
  <c r="R709" i="23"/>
  <c r="R633" i="23"/>
  <c r="R504" i="23"/>
  <c r="R146" i="23"/>
  <c r="R245" i="23"/>
  <c r="R132" i="23"/>
  <c r="R191" i="23"/>
  <c r="R468" i="23"/>
  <c r="R237" i="23"/>
  <c r="R382" i="23"/>
  <c r="R107" i="23"/>
  <c r="R60" i="23"/>
  <c r="R301" i="23"/>
  <c r="R509" i="23"/>
  <c r="R817" i="23"/>
  <c r="R299" i="23"/>
  <c r="R114" i="23"/>
  <c r="R537" i="23"/>
  <c r="R50" i="23"/>
  <c r="R351" i="23"/>
  <c r="R239" i="23"/>
  <c r="R557" i="23"/>
  <c r="R46" i="23"/>
  <c r="R347" i="23"/>
  <c r="R27" i="23"/>
  <c r="R613" i="23"/>
  <c r="R367" i="23"/>
  <c r="R797" i="23"/>
  <c r="R500" i="23"/>
  <c r="R222" i="23"/>
  <c r="R92" i="23"/>
  <c r="R203" i="23"/>
  <c r="R216" i="23"/>
  <c r="R533" i="23"/>
  <c r="R457" i="23"/>
  <c r="R290" i="23"/>
  <c r="R86" i="23"/>
  <c r="R372" i="23"/>
  <c r="R67" i="23"/>
  <c r="R212" i="23"/>
  <c r="R305" i="23"/>
  <c r="R755" i="23"/>
  <c r="R499" i="23"/>
  <c r="R1064" i="23"/>
  <c r="R717" i="23"/>
  <c r="R466" i="23"/>
  <c r="R154" i="23"/>
  <c r="R253" i="23"/>
  <c r="R76" i="23"/>
  <c r="R581" i="23"/>
  <c r="R505" i="23"/>
  <c r="R338" i="23"/>
  <c r="R82" i="23"/>
  <c r="R117" i="23"/>
  <c r="R383" i="23"/>
  <c r="R127" i="23"/>
  <c r="R233" i="23"/>
  <c r="R192" i="23"/>
  <c r="R311" i="23"/>
  <c r="R318" i="23"/>
  <c r="R171" i="23"/>
  <c r="R124" i="23"/>
  <c r="R893" i="23"/>
  <c r="R496" i="23"/>
  <c r="R97" i="23"/>
  <c r="R38" i="23"/>
  <c r="R275" i="23"/>
  <c r="R288" i="23"/>
  <c r="R341" i="23"/>
  <c r="R287" i="23"/>
  <c r="R733" i="23"/>
  <c r="R106" i="23"/>
  <c r="R692" i="23"/>
  <c r="R730" i="23"/>
  <c r="R905" i="23"/>
  <c r="R292" i="23"/>
  <c r="R323" i="23"/>
  <c r="R442" i="23"/>
  <c r="R1000" i="23"/>
  <c r="R653" i="23"/>
  <c r="R577" i="23"/>
  <c r="R391" i="23"/>
  <c r="R1029" i="23"/>
  <c r="R517" i="23"/>
  <c r="R748" i="23"/>
  <c r="R390" i="23"/>
  <c r="R53" i="23"/>
  <c r="R435" i="23"/>
  <c r="R179" i="23"/>
  <c r="R753" i="23"/>
  <c r="R363" i="23"/>
  <c r="R578" i="23"/>
  <c r="R62" i="23"/>
  <c r="R120" i="23"/>
  <c r="R752" i="23"/>
  <c r="R289" i="23"/>
  <c r="R183" i="23"/>
  <c r="R829" i="23"/>
  <c r="R74" i="23"/>
  <c r="R277" i="23"/>
  <c r="R95" i="23"/>
  <c r="R213" i="23"/>
  <c r="R339" i="23"/>
  <c r="R652" i="23"/>
  <c r="R186" i="23"/>
  <c r="R180" i="23"/>
  <c r="R283" i="23"/>
  <c r="R1078" i="23"/>
  <c r="R997" i="23"/>
  <c r="R1289" i="23"/>
  <c r="R669" i="23"/>
  <c r="R158" i="23"/>
  <c r="R343" i="23"/>
  <c r="R139" i="23"/>
  <c r="R88" i="23"/>
  <c r="R628" i="23"/>
  <c r="R666" i="23"/>
  <c r="R841" i="23"/>
  <c r="R226" i="23"/>
  <c r="R325" i="23"/>
  <c r="R220" i="23"/>
  <c r="R377" i="23"/>
  <c r="R379" i="23"/>
  <c r="R691" i="23"/>
  <c r="R378" i="23"/>
  <c r="R936" i="23"/>
  <c r="R589" i="23"/>
  <c r="R346" i="23"/>
  <c r="R90" i="23"/>
  <c r="R443" i="23"/>
  <c r="R965" i="23"/>
  <c r="R453" i="23"/>
  <c r="R676" i="23"/>
  <c r="R760" i="23"/>
  <c r="R274" i="23"/>
  <c r="R18" i="23"/>
  <c r="R420" i="23"/>
  <c r="R319" i="23"/>
  <c r="R63" i="23"/>
  <c r="R105" i="23"/>
  <c r="R64" i="23"/>
  <c r="R497" i="23"/>
  <c r="R412" i="23"/>
  <c r="R440" i="23"/>
  <c r="R561" i="23"/>
  <c r="R235" i="23"/>
  <c r="R765" i="23"/>
  <c r="R126" i="23"/>
  <c r="R149" i="23"/>
  <c r="R147" i="23"/>
  <c r="R306" i="23"/>
  <c r="R85" i="23"/>
  <c r="R159" i="23"/>
  <c r="R194" i="23"/>
  <c r="R229" i="23"/>
  <c r="R116" i="23"/>
  <c r="R227" i="23"/>
  <c r="R588" i="23"/>
  <c r="R238" i="23"/>
  <c r="R221" i="23"/>
  <c r="R108" i="23"/>
  <c r="R167" i="23"/>
  <c r="R232" i="23"/>
  <c r="R1245" i="23"/>
  <c r="R1244" i="23"/>
  <c r="R933" i="23"/>
  <c r="R605" i="23"/>
  <c r="R298" i="23"/>
  <c r="R42" i="23"/>
  <c r="R395" i="23"/>
  <c r="R65" i="23"/>
  <c r="R556" i="23"/>
  <c r="R602" i="23"/>
  <c r="R777" i="23"/>
  <c r="R648" i="23"/>
  <c r="R278" i="23"/>
  <c r="R261" i="23"/>
  <c r="R148" i="23"/>
  <c r="R259" i="23"/>
  <c r="R313" i="23"/>
  <c r="R831" i="23"/>
  <c r="R872" i="23"/>
  <c r="R525" i="23"/>
  <c r="R756" i="23"/>
  <c r="R398" i="23"/>
  <c r="R142" i="23"/>
  <c r="R263" i="23"/>
  <c r="R456" i="23"/>
  <c r="R901" i="23"/>
  <c r="R389" i="23"/>
  <c r="R612" i="23"/>
  <c r="R650" i="23"/>
  <c r="R696" i="23"/>
  <c r="R326" i="23"/>
  <c r="R70" i="23"/>
  <c r="R348" i="23"/>
  <c r="R371" i="23"/>
  <c r="R115" i="23"/>
  <c r="R41" i="23"/>
  <c r="R560" i="23"/>
  <c r="R625" i="23"/>
  <c r="R375" i="23"/>
  <c r="R365" i="23"/>
  <c r="R701" i="23"/>
  <c r="R173" i="23"/>
  <c r="R21" i="23"/>
  <c r="R19" i="23"/>
  <c r="R729" i="23"/>
  <c r="R358" i="23"/>
  <c r="R388" i="23"/>
  <c r="R211" i="23"/>
  <c r="R224" i="23"/>
  <c r="R772" i="23"/>
  <c r="R350" i="23"/>
  <c r="R492" i="23"/>
  <c r="R538" i="23"/>
  <c r="R713" i="23"/>
  <c r="R584" i="23"/>
  <c r="R197" i="23"/>
  <c r="R84" i="23"/>
  <c r="R195" i="23"/>
  <c r="R249" i="23"/>
  <c r="R251" i="23"/>
  <c r="R264" i="23"/>
  <c r="R883" i="23"/>
  <c r="R627" i="23"/>
  <c r="R1320" i="23"/>
  <c r="R684" i="23"/>
  <c r="R768" i="23"/>
  <c r="R282" i="23"/>
  <c r="R26" i="23"/>
  <c r="R315" i="23"/>
  <c r="R328" i="23"/>
  <c r="R837" i="23"/>
  <c r="R540" i="23"/>
  <c r="R586" i="23"/>
  <c r="R761" i="23"/>
  <c r="R632" i="23"/>
  <c r="R373" i="23"/>
  <c r="R276" i="23"/>
  <c r="R255" i="23"/>
  <c r="R138" i="23"/>
  <c r="R312" i="23"/>
  <c r="R688" i="23"/>
  <c r="R427" i="23"/>
  <c r="R136" i="23"/>
  <c r="R109" i="23"/>
  <c r="R176" i="23"/>
  <c r="R202" i="23"/>
  <c r="R637" i="23"/>
  <c r="R242" i="23"/>
  <c r="R329" i="23"/>
  <c r="R665" i="23"/>
  <c r="R178" i="23"/>
  <c r="R31" i="23"/>
  <c r="R96" i="23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36" i="30"/>
  <c r="J237" i="30"/>
  <c r="J238" i="30"/>
  <c r="J239" i="30"/>
  <c r="J240" i="30"/>
  <c r="J241" i="30"/>
  <c r="J242" i="30"/>
  <c r="J243" i="30"/>
  <c r="J244" i="30"/>
  <c r="J245" i="30"/>
  <c r="J246" i="30"/>
  <c r="J247" i="30"/>
  <c r="J248" i="30"/>
  <c r="J249" i="30"/>
  <c r="J250" i="30"/>
  <c r="J251" i="30"/>
  <c r="J252" i="30"/>
  <c r="J253" i="30"/>
  <c r="J254" i="30"/>
  <c r="J255" i="30"/>
  <c r="J256" i="30"/>
  <c r="J257" i="30"/>
  <c r="J258" i="30"/>
  <c r="J259" i="30"/>
  <c r="J260" i="30"/>
  <c r="J261" i="30"/>
  <c r="J262" i="30"/>
  <c r="J263" i="30"/>
  <c r="J264" i="30"/>
  <c r="J265" i="30"/>
  <c r="J266" i="30"/>
  <c r="J267" i="30"/>
  <c r="J268" i="30"/>
  <c r="J269" i="30"/>
  <c r="J270" i="30"/>
  <c r="J271" i="30"/>
  <c r="J272" i="30"/>
  <c r="J273" i="30"/>
  <c r="J274" i="30"/>
  <c r="J275" i="30"/>
  <c r="J276" i="30"/>
  <c r="J277" i="30"/>
  <c r="J278" i="30"/>
  <c r="J279" i="30"/>
  <c r="J280" i="30"/>
  <c r="J281" i="30"/>
  <c r="J282" i="30"/>
  <c r="J283" i="30"/>
  <c r="J284" i="30"/>
  <c r="J285" i="30"/>
  <c r="J286" i="30"/>
  <c r="J287" i="30"/>
  <c r="J288" i="30"/>
  <c r="J289" i="30"/>
  <c r="J290" i="30"/>
  <c r="J291" i="30"/>
  <c r="J292" i="30"/>
  <c r="J293" i="30"/>
  <c r="J294" i="30"/>
  <c r="J295" i="30"/>
  <c r="J296" i="30"/>
  <c r="J297" i="30"/>
  <c r="J298" i="30"/>
  <c r="J299" i="30"/>
  <c r="J300" i="30"/>
  <c r="J301" i="30"/>
  <c r="J302" i="30"/>
  <c r="J303" i="30"/>
  <c r="J304" i="30"/>
  <c r="J305" i="30"/>
  <c r="J306" i="30"/>
  <c r="J307" i="30"/>
  <c r="J308" i="30"/>
  <c r="J309" i="30"/>
  <c r="J310" i="30"/>
  <c r="J311" i="30"/>
  <c r="J312" i="30"/>
  <c r="J313" i="30"/>
  <c r="J314" i="30"/>
  <c r="J315" i="30"/>
  <c r="J316" i="30"/>
  <c r="J317" i="30"/>
  <c r="J318" i="30"/>
  <c r="J319" i="30"/>
  <c r="J320" i="30"/>
  <c r="J321" i="30"/>
  <c r="J322" i="30"/>
  <c r="J323" i="30"/>
  <c r="J324" i="30"/>
  <c r="J325" i="30"/>
  <c r="J326" i="30"/>
  <c r="J327" i="30"/>
  <c r="J328" i="30"/>
  <c r="J329" i="30"/>
  <c r="J330" i="30"/>
  <c r="J331" i="30"/>
  <c r="J332" i="30"/>
  <c r="J333" i="30"/>
  <c r="J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34" i="30"/>
  <c r="Q35" i="30"/>
  <c r="Q36" i="30"/>
  <c r="Q37" i="30"/>
  <c r="Q38" i="30"/>
  <c r="Q39" i="30"/>
  <c r="Q40" i="30"/>
  <c r="Q41" i="30"/>
  <c r="Q42" i="30"/>
  <c r="Q43" i="30"/>
  <c r="Q44" i="30"/>
  <c r="Q45" i="30"/>
  <c r="Q46" i="30"/>
  <c r="Q47" i="30"/>
  <c r="Q48" i="30"/>
  <c r="Q49" i="30"/>
  <c r="Q50" i="30"/>
  <c r="Q51" i="30"/>
  <c r="Q52" i="30"/>
  <c r="Q53" i="30"/>
  <c r="Q54" i="30"/>
  <c r="Q55" i="30"/>
  <c r="Q56" i="30"/>
  <c r="Q57" i="30"/>
  <c r="Q58" i="30"/>
  <c r="Q59" i="30"/>
  <c r="Q60" i="30"/>
  <c r="Q61" i="30"/>
  <c r="Q62" i="30"/>
  <c r="Q63" i="30"/>
  <c r="Q64" i="30"/>
  <c r="Q65" i="30"/>
  <c r="Q66" i="30"/>
  <c r="Q67" i="30"/>
  <c r="Q68" i="30"/>
  <c r="Q69" i="30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85" i="30"/>
  <c r="Q86" i="30"/>
  <c r="Q87" i="30"/>
  <c r="Q88" i="30"/>
  <c r="Q89" i="30"/>
  <c r="Q90" i="30"/>
  <c r="Q91" i="30"/>
  <c r="Q92" i="30"/>
  <c r="Q93" i="30"/>
  <c r="Q94" i="30"/>
  <c r="Q95" i="30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Q125" i="30"/>
  <c r="Q126" i="30"/>
  <c r="Q127" i="30"/>
  <c r="Q128" i="30"/>
  <c r="Q129" i="30"/>
  <c r="Q130" i="30"/>
  <c r="Q131" i="30"/>
  <c r="Q132" i="30"/>
  <c r="Q133" i="30"/>
  <c r="Q134" i="30"/>
  <c r="Q135" i="30"/>
  <c r="Q136" i="30"/>
  <c r="Q137" i="30"/>
  <c r="Q138" i="30"/>
  <c r="Q139" i="30"/>
  <c r="Q140" i="30"/>
  <c r="Q141" i="30"/>
  <c r="Q142" i="30"/>
  <c r="Q143" i="30"/>
  <c r="Q144" i="30"/>
  <c r="Q145" i="30"/>
  <c r="Q146" i="30"/>
  <c r="Q147" i="30"/>
  <c r="Q148" i="30"/>
  <c r="Q149" i="30"/>
  <c r="Q150" i="30"/>
  <c r="Q151" i="30"/>
  <c r="Q152" i="30"/>
  <c r="Q153" i="30"/>
  <c r="Q154" i="30"/>
  <c r="Q155" i="30"/>
  <c r="Q156" i="30"/>
  <c r="Q157" i="30"/>
  <c r="Q158" i="30"/>
  <c r="Q159" i="30"/>
  <c r="Q160" i="30"/>
  <c r="Q161" i="30"/>
  <c r="Q162" i="30"/>
  <c r="Q163" i="30"/>
  <c r="Q164" i="30"/>
  <c r="Q165" i="30"/>
  <c r="Q166" i="30"/>
  <c r="Q167" i="30"/>
  <c r="Q168" i="30"/>
  <c r="Q169" i="30"/>
  <c r="Q170" i="30"/>
  <c r="Q171" i="30"/>
  <c r="Q172" i="30"/>
  <c r="Q173" i="30"/>
  <c r="Q174" i="30"/>
  <c r="Q175" i="30"/>
  <c r="Q176" i="30"/>
  <c r="Q177" i="30"/>
  <c r="Q178" i="30"/>
  <c r="Q179" i="30"/>
  <c r="Q180" i="30"/>
  <c r="Q181" i="30"/>
  <c r="Q182" i="30"/>
  <c r="Q183" i="30"/>
  <c r="Q184" i="30"/>
  <c r="Q185" i="30"/>
  <c r="Q186" i="30"/>
  <c r="Q187" i="30"/>
  <c r="Q188" i="30"/>
  <c r="Q189" i="30"/>
  <c r="Q190" i="30"/>
  <c r="Q191" i="30"/>
  <c r="Q192" i="30"/>
  <c r="Q193" i="30"/>
  <c r="Q194" i="30"/>
  <c r="Q195" i="30"/>
  <c r="Q196" i="30"/>
  <c r="Q197" i="30"/>
  <c r="Q198" i="30"/>
  <c r="Q199" i="30"/>
  <c r="Q200" i="30"/>
  <c r="Q201" i="30"/>
  <c r="Q202" i="30"/>
  <c r="Q203" i="30"/>
  <c r="Q204" i="30"/>
  <c r="Q205" i="30"/>
  <c r="Q206" i="30"/>
  <c r="Q207" i="30"/>
  <c r="Q208" i="30"/>
  <c r="Q209" i="30"/>
  <c r="Q210" i="30"/>
  <c r="Q211" i="30"/>
  <c r="Q212" i="30"/>
  <c r="Q213" i="30"/>
  <c r="Q214" i="30"/>
  <c r="Q215" i="30"/>
  <c r="Q216" i="30"/>
  <c r="Q217" i="30"/>
  <c r="Q218" i="30"/>
  <c r="Q219" i="30"/>
  <c r="Q220" i="30"/>
  <c r="Q221" i="30"/>
  <c r="Q222" i="30"/>
  <c r="Q223" i="30"/>
  <c r="Q224" i="30"/>
  <c r="Q225" i="30"/>
  <c r="Q226" i="30"/>
  <c r="Q227" i="30"/>
  <c r="Q228" i="30"/>
  <c r="Q229" i="30"/>
  <c r="Q230" i="30"/>
  <c r="Q231" i="30"/>
  <c r="Q232" i="30"/>
  <c r="Q233" i="30"/>
  <c r="Q234" i="30"/>
  <c r="Q235" i="30"/>
  <c r="Q236" i="30"/>
  <c r="Q237" i="30"/>
  <c r="Q238" i="30"/>
  <c r="Q239" i="30"/>
  <c r="Q240" i="30"/>
  <c r="Q241" i="30"/>
  <c r="Q242" i="30"/>
  <c r="Q243" i="30"/>
  <c r="Q244" i="30"/>
  <c r="Q245" i="30"/>
  <c r="Q246" i="30"/>
  <c r="Q247" i="30"/>
  <c r="Q248" i="30"/>
  <c r="Q249" i="30"/>
  <c r="Q250" i="30"/>
  <c r="Q251" i="30"/>
  <c r="Q252" i="30"/>
  <c r="Q253" i="30"/>
  <c r="Q254" i="30"/>
  <c r="Q255" i="30"/>
  <c r="Q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236" i="30"/>
  <c r="L237" i="30"/>
  <c r="L238" i="30"/>
  <c r="L239" i="30"/>
  <c r="L240" i="30"/>
  <c r="L241" i="30"/>
  <c r="L242" i="30"/>
  <c r="L243" i="30"/>
  <c r="L244" i="30"/>
  <c r="L245" i="30"/>
  <c r="L246" i="30"/>
  <c r="L247" i="30"/>
  <c r="L248" i="30"/>
  <c r="L249" i="30"/>
  <c r="L250" i="30"/>
  <c r="L251" i="30"/>
  <c r="L252" i="30"/>
  <c r="L253" i="30"/>
  <c r="L254" i="30"/>
  <c r="L255" i="30"/>
  <c r="L256" i="30"/>
  <c r="L257" i="30"/>
  <c r="L258" i="30"/>
  <c r="L259" i="30"/>
  <c r="L260" i="30"/>
  <c r="L261" i="30"/>
  <c r="L262" i="30"/>
  <c r="L263" i="30"/>
  <c r="L264" i="30"/>
  <c r="L265" i="30"/>
  <c r="L266" i="30"/>
  <c r="L267" i="30"/>
  <c r="L268" i="30"/>
  <c r="L269" i="30"/>
  <c r="L270" i="30"/>
  <c r="L271" i="30"/>
  <c r="L272" i="30"/>
  <c r="L273" i="30"/>
  <c r="L274" i="30"/>
  <c r="L275" i="30"/>
  <c r="L276" i="30"/>
  <c r="L277" i="30"/>
  <c r="L278" i="30"/>
  <c r="L279" i="30"/>
  <c r="L280" i="30"/>
  <c r="L281" i="30"/>
  <c r="L282" i="30"/>
  <c r="L283" i="30"/>
  <c r="L284" i="30"/>
  <c r="L285" i="30"/>
  <c r="L286" i="30"/>
  <c r="L287" i="30"/>
  <c r="L288" i="30"/>
  <c r="L289" i="30"/>
  <c r="L290" i="30"/>
  <c r="L291" i="30"/>
  <c r="L292" i="30"/>
  <c r="L293" i="30"/>
  <c r="L294" i="30"/>
  <c r="L295" i="30"/>
  <c r="L296" i="30"/>
  <c r="L297" i="30"/>
  <c r="L298" i="30"/>
  <c r="L299" i="30"/>
  <c r="L300" i="30"/>
  <c r="L301" i="30"/>
  <c r="L302" i="30"/>
  <c r="L303" i="30"/>
  <c r="L304" i="30"/>
  <c r="L305" i="30"/>
  <c r="L306" i="30"/>
  <c r="L307" i="30"/>
  <c r="L308" i="30"/>
  <c r="L309" i="30"/>
  <c r="L310" i="30"/>
  <c r="L311" i="30"/>
  <c r="L312" i="30"/>
  <c r="L313" i="30"/>
  <c r="L314" i="30"/>
  <c r="L315" i="30"/>
  <c r="L316" i="30"/>
  <c r="L317" i="30"/>
  <c r="L318" i="30"/>
  <c r="L319" i="30"/>
  <c r="L320" i="30"/>
  <c r="L5" i="30"/>
  <c r="Y5" i="30"/>
  <c r="Y6" i="30"/>
  <c r="Y7" i="30"/>
  <c r="Y8" i="30"/>
  <c r="Y9" i="30"/>
  <c r="Y10" i="30"/>
  <c r="Y11" i="30"/>
  <c r="Y12" i="30"/>
  <c r="Y13" i="30"/>
  <c r="Y14" i="30"/>
  <c r="Y15" i="30"/>
  <c r="Y16" i="30"/>
  <c r="Y17" i="30"/>
  <c r="Y18" i="30"/>
  <c r="Y19" i="30"/>
  <c r="Y20" i="30"/>
  <c r="Y21" i="30"/>
  <c r="Y22" i="30"/>
  <c r="Y23" i="30"/>
  <c r="Y24" i="30"/>
  <c r="Y25" i="30"/>
  <c r="Y26" i="30"/>
  <c r="Y27" i="30"/>
  <c r="Y28" i="30"/>
  <c r="Y29" i="30"/>
  <c r="Y30" i="30"/>
  <c r="Y31" i="30"/>
  <c r="Y32" i="30"/>
  <c r="Y33" i="30"/>
  <c r="Y34" i="30"/>
  <c r="Y35" i="30"/>
  <c r="Y36" i="30"/>
  <c r="Y37" i="30"/>
  <c r="Y38" i="30"/>
  <c r="Y39" i="30"/>
  <c r="Y40" i="30"/>
  <c r="Y41" i="30"/>
  <c r="Y42" i="30"/>
  <c r="Y43" i="30"/>
  <c r="Y44" i="30"/>
  <c r="Y45" i="30"/>
  <c r="Y46" i="30"/>
  <c r="Y47" i="30"/>
  <c r="Y48" i="30"/>
  <c r="Y49" i="30"/>
  <c r="Y50" i="30"/>
  <c r="Y51" i="30"/>
  <c r="Y52" i="30"/>
  <c r="Y53" i="30"/>
  <c r="Y54" i="30"/>
  <c r="Y55" i="30"/>
  <c r="Y56" i="30"/>
  <c r="Y57" i="30"/>
  <c r="Y58" i="30"/>
  <c r="Y59" i="30"/>
  <c r="Y60" i="30"/>
  <c r="Y61" i="30"/>
  <c r="Y62" i="30"/>
  <c r="Y63" i="30"/>
  <c r="Y64" i="30"/>
  <c r="Y65" i="30"/>
  <c r="Y66" i="30"/>
  <c r="Y67" i="30"/>
  <c r="Y68" i="30"/>
  <c r="Y69" i="30"/>
  <c r="Y70" i="30"/>
  <c r="Y71" i="30"/>
  <c r="Y72" i="30"/>
  <c r="Y73" i="30"/>
  <c r="Y74" i="30"/>
  <c r="Y75" i="30"/>
  <c r="Y76" i="30"/>
  <c r="Y77" i="30"/>
  <c r="Y78" i="30"/>
  <c r="Y79" i="30"/>
  <c r="Y80" i="30"/>
  <c r="Y81" i="30"/>
  <c r="Y82" i="30"/>
  <c r="Y83" i="30"/>
  <c r="Y84" i="30"/>
  <c r="Y85" i="30"/>
  <c r="Y86" i="30"/>
  <c r="Y87" i="30"/>
  <c r="Y88" i="30"/>
  <c r="Y89" i="30"/>
  <c r="Y90" i="30"/>
  <c r="Y91" i="30"/>
  <c r="Y92" i="30"/>
  <c r="Y93" i="30"/>
  <c r="Y94" i="30"/>
  <c r="Y95" i="30"/>
  <c r="Y96" i="30"/>
  <c r="Y97" i="30"/>
  <c r="Y98" i="30"/>
  <c r="Y99" i="30"/>
  <c r="Y100" i="30"/>
  <c r="Y101" i="30"/>
  <c r="Y102" i="30"/>
  <c r="Y103" i="30"/>
  <c r="Y104" i="30"/>
  <c r="Y105" i="30"/>
  <c r="Y106" i="30"/>
  <c r="Y107" i="30"/>
  <c r="Y108" i="30"/>
  <c r="Y109" i="30"/>
  <c r="Y110" i="30"/>
  <c r="Y111" i="30"/>
  <c r="Y112" i="30"/>
  <c r="Y113" i="30"/>
  <c r="Y114" i="30"/>
  <c r="Y115" i="30"/>
  <c r="Y116" i="30"/>
  <c r="Y117" i="30"/>
  <c r="Y118" i="30"/>
  <c r="Y119" i="30"/>
  <c r="Y120" i="30"/>
  <c r="Y121" i="30"/>
  <c r="Y122" i="30"/>
  <c r="Y123" i="30"/>
  <c r="Y124" i="30"/>
  <c r="Y125" i="30"/>
  <c r="Y126" i="30"/>
  <c r="Y127" i="30"/>
  <c r="Y128" i="30"/>
  <c r="Y129" i="30"/>
  <c r="Y130" i="30"/>
  <c r="Y131" i="30"/>
  <c r="Y132" i="30"/>
  <c r="Y133" i="30"/>
  <c r="Y134" i="30"/>
  <c r="Y135" i="30"/>
  <c r="Y136" i="30"/>
  <c r="Y137" i="30"/>
  <c r="Y138" i="30"/>
  <c r="Y139" i="30"/>
  <c r="Y140" i="30"/>
  <c r="Y141" i="30"/>
  <c r="Y142" i="30"/>
  <c r="Y143" i="30"/>
  <c r="Y144" i="30"/>
  <c r="Y145" i="30"/>
  <c r="Y146" i="30"/>
  <c r="Y147" i="30"/>
  <c r="Y148" i="30"/>
  <c r="Y149" i="30"/>
  <c r="Y150" i="30"/>
  <c r="Y151" i="30"/>
  <c r="Y152" i="30"/>
  <c r="Y153" i="30"/>
  <c r="Y154" i="30"/>
  <c r="Y155" i="30"/>
  <c r="Y156" i="30"/>
  <c r="Y157" i="30"/>
  <c r="Y158" i="30"/>
  <c r="Y159" i="30"/>
  <c r="Y160" i="30"/>
  <c r="Y161" i="30"/>
  <c r="Y162" i="30"/>
  <c r="Y163" i="30"/>
  <c r="Y164" i="30"/>
  <c r="Y165" i="30"/>
  <c r="Y166" i="30"/>
  <c r="Y167" i="30"/>
  <c r="Y168" i="30"/>
  <c r="Y169" i="30"/>
  <c r="Y170" i="30"/>
  <c r="Y171" i="30"/>
  <c r="Y172" i="30"/>
  <c r="Y173" i="30"/>
  <c r="Y174" i="30"/>
  <c r="Y175" i="30"/>
  <c r="Y176" i="30"/>
  <c r="Y177" i="30"/>
  <c r="Y178" i="30"/>
  <c r="Y179" i="30"/>
  <c r="Y180" i="30"/>
  <c r="Y181" i="30"/>
  <c r="Y182" i="30"/>
  <c r="Y183" i="30"/>
  <c r="Y184" i="30"/>
  <c r="Y185" i="30"/>
  <c r="Y186" i="30"/>
  <c r="Y187" i="30"/>
  <c r="Y188" i="30"/>
  <c r="Y189" i="30"/>
  <c r="Y190" i="30"/>
  <c r="Y191" i="30"/>
  <c r="Y192" i="30"/>
  <c r="Y193" i="30"/>
  <c r="Y194" i="30"/>
  <c r="Y195" i="30"/>
  <c r="Y196" i="30"/>
  <c r="Y197" i="30"/>
  <c r="Y198" i="30"/>
  <c r="Y199" i="30"/>
  <c r="Y200" i="30"/>
  <c r="Y201" i="30"/>
  <c r="Y202" i="30"/>
  <c r="Y203" i="30"/>
  <c r="Y204" i="30"/>
  <c r="Y205" i="30"/>
  <c r="Y206" i="30"/>
  <c r="Y207" i="30"/>
  <c r="Y208" i="30"/>
  <c r="Y209" i="30"/>
  <c r="Y210" i="30"/>
  <c r="Y211" i="30"/>
  <c r="Y212" i="30"/>
  <c r="Y213" i="30"/>
  <c r="Y214" i="30"/>
  <c r="Y215" i="30"/>
  <c r="Y216" i="30"/>
  <c r="Y217" i="30"/>
  <c r="Y218" i="30"/>
  <c r="Y219" i="30"/>
  <c r="Y220" i="30"/>
  <c r="Y221" i="30"/>
  <c r="Y222" i="30"/>
  <c r="Y223" i="30"/>
  <c r="Y224" i="30"/>
  <c r="Y225" i="30"/>
  <c r="Y226" i="30"/>
  <c r="Y227" i="30"/>
  <c r="Y228" i="30"/>
  <c r="Y229" i="30"/>
  <c r="Y230" i="30"/>
  <c r="Y231" i="30"/>
  <c r="Y232" i="30"/>
  <c r="Y233" i="30"/>
  <c r="Y234" i="30"/>
  <c r="Y235" i="30"/>
  <c r="Y236" i="30"/>
  <c r="Y237" i="30"/>
  <c r="Y238" i="30"/>
  <c r="Y239" i="30"/>
  <c r="Y240" i="30"/>
  <c r="Y241" i="30"/>
  <c r="Y242" i="30"/>
  <c r="Y243" i="30"/>
  <c r="Y244" i="30"/>
  <c r="Y245" i="30"/>
  <c r="Y246" i="30"/>
  <c r="Y247" i="30"/>
  <c r="Y248" i="30"/>
  <c r="Y249" i="30"/>
  <c r="Y250" i="30"/>
  <c r="Y251" i="30"/>
  <c r="Y252" i="30"/>
  <c r="Y253" i="30"/>
  <c r="Y254" i="30"/>
  <c r="Y255" i="30"/>
  <c r="Y256" i="30"/>
  <c r="Y257" i="30"/>
  <c r="Y258" i="30"/>
  <c r="Y259" i="30"/>
  <c r="Y260" i="30"/>
  <c r="Y261" i="30"/>
  <c r="Y262" i="30"/>
  <c r="Y263" i="30"/>
  <c r="Y264" i="30"/>
  <c r="Y265" i="30"/>
  <c r="Y266" i="30"/>
  <c r="Y267" i="30"/>
  <c r="Y268" i="30"/>
  <c r="Y269" i="30"/>
  <c r="Y270" i="30"/>
  <c r="Y271" i="30"/>
  <c r="Y272" i="30"/>
  <c r="Y273" i="30"/>
  <c r="Y274" i="30"/>
  <c r="Y275" i="30"/>
  <c r="Y276" i="30"/>
  <c r="Y277" i="30"/>
  <c r="Y278" i="30"/>
  <c r="Y279" i="30"/>
  <c r="Y280" i="30"/>
  <c r="Y281" i="30"/>
  <c r="Y282" i="30"/>
  <c r="Y283" i="30"/>
  <c r="Y284" i="30"/>
  <c r="Y285" i="30"/>
  <c r="Y286" i="30"/>
  <c r="Y287" i="30"/>
  <c r="Y288" i="30"/>
  <c r="Y289" i="30"/>
  <c r="Y290" i="30"/>
  <c r="Y291" i="30"/>
  <c r="Y292" i="30"/>
  <c r="Y293" i="30"/>
  <c r="Y294" i="30"/>
  <c r="Y295" i="30"/>
  <c r="Y296" i="30"/>
  <c r="Y297" i="30"/>
  <c r="Y298" i="30"/>
  <c r="Y299" i="30"/>
  <c r="Y300" i="30"/>
  <c r="Y301" i="30"/>
  <c r="Y302" i="30"/>
  <c r="Y303" i="30"/>
  <c r="Y304" i="30"/>
  <c r="Y305" i="30"/>
  <c r="Y306" i="30"/>
  <c r="Y307" i="30"/>
  <c r="Y308" i="30"/>
  <c r="Y309" i="30"/>
  <c r="Y310" i="30"/>
  <c r="Y311" i="30"/>
  <c r="Y312" i="30"/>
  <c r="Y313" i="30"/>
  <c r="Y314" i="30"/>
  <c r="Y315" i="30"/>
  <c r="Y316" i="30"/>
  <c r="Y317" i="30"/>
  <c r="Y318" i="30"/>
  <c r="Y319" i="30"/>
  <c r="Y320" i="30"/>
  <c r="Y321" i="30"/>
  <c r="AA321" i="30" s="1"/>
  <c r="Y4" i="23" l="1"/>
  <c r="I4" i="1" s="1"/>
  <c r="J4" i="1" s="1"/>
  <c r="Y6" i="23"/>
  <c r="I6" i="1" s="1"/>
  <c r="J6" i="1" s="1"/>
  <c r="L11" i="23"/>
  <c r="Y5" i="23"/>
  <c r="I5" i="1" s="1"/>
  <c r="D42" i="32"/>
  <c r="E42" i="32" s="1"/>
  <c r="F42" i="32" s="1"/>
  <c r="Y7" i="23"/>
  <c r="I7" i="1" s="1"/>
  <c r="J7" i="1" s="1"/>
  <c r="X10" i="23"/>
  <c r="X11" i="23"/>
  <c r="D15" i="26"/>
  <c r="E15" i="26"/>
  <c r="G15" i="26" s="1"/>
  <c r="F15" i="26"/>
  <c r="H15" i="26" s="1"/>
  <c r="I15" i="26"/>
  <c r="J15" i="26"/>
  <c r="L15" i="26"/>
  <c r="M15" i="26"/>
  <c r="B15" i="26"/>
  <c r="E15" i="1"/>
  <c r="F15" i="1" s="1"/>
  <c r="AI15" i="1"/>
  <c r="AJ15" i="1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K1378" i="23" s="1"/>
  <c r="J15" i="23"/>
  <c r="K13" i="23" s="1"/>
  <c r="AK15" i="1" l="1"/>
  <c r="C24" i="32"/>
  <c r="K456" i="23"/>
  <c r="L12" i="23"/>
  <c r="X12" i="23" s="1"/>
  <c r="Y10" i="23" s="1"/>
  <c r="I10" i="1" s="1"/>
  <c r="J10" i="1" s="1"/>
  <c r="J5" i="1"/>
  <c r="N15" i="26"/>
  <c r="Y9" i="23"/>
  <c r="I9" i="1" s="1"/>
  <c r="J9" i="1" s="1"/>
  <c r="Y8" i="23"/>
  <c r="I8" i="1" s="1"/>
  <c r="K698" i="23"/>
  <c r="K1354" i="23"/>
  <c r="K1314" i="23"/>
  <c r="K1274" i="23"/>
  <c r="K1226" i="23"/>
  <c r="K1178" i="23"/>
  <c r="K1138" i="23"/>
  <c r="K1098" i="23"/>
  <c r="K1050" i="23"/>
  <c r="K1010" i="23"/>
  <c r="K962" i="23"/>
  <c r="K922" i="23"/>
  <c r="K898" i="23"/>
  <c r="K866" i="23"/>
  <c r="K834" i="23"/>
  <c r="K802" i="23"/>
  <c r="K778" i="23"/>
  <c r="K762" i="23"/>
  <c r="K754" i="23"/>
  <c r="K738" i="23"/>
  <c r="K706" i="23"/>
  <c r="K1322" i="23"/>
  <c r="K1258" i="23"/>
  <c r="K1186" i="23"/>
  <c r="K1122" i="23"/>
  <c r="K1058" i="23"/>
  <c r="K970" i="23"/>
  <c r="K874" i="23"/>
  <c r="K714" i="23"/>
  <c r="K1362" i="23"/>
  <c r="K1298" i="23"/>
  <c r="K1242" i="23"/>
  <c r="K1194" i="23"/>
  <c r="K1146" i="23"/>
  <c r="K1082" i="23"/>
  <c r="K1034" i="23"/>
  <c r="K994" i="23"/>
  <c r="K946" i="23"/>
  <c r="K906" i="23"/>
  <c r="K858" i="23"/>
  <c r="K826" i="23"/>
  <c r="K794" i="23"/>
  <c r="K770" i="23"/>
  <c r="K722" i="23"/>
  <c r="K1338" i="23"/>
  <c r="K1290" i="23"/>
  <c r="K1250" i="23"/>
  <c r="K1210" i="23"/>
  <c r="K1162" i="23"/>
  <c r="K1114" i="23"/>
  <c r="K1074" i="23"/>
  <c r="K1026" i="23"/>
  <c r="K978" i="23"/>
  <c r="K930" i="23"/>
  <c r="K882" i="23"/>
  <c r="K842" i="23"/>
  <c r="K746" i="23"/>
  <c r="K1346" i="23"/>
  <c r="K1306" i="23"/>
  <c r="K1266" i="23"/>
  <c r="K1218" i="23"/>
  <c r="K1170" i="23"/>
  <c r="K1130" i="23"/>
  <c r="K1090" i="23"/>
  <c r="K1042" i="23"/>
  <c r="K1002" i="23"/>
  <c r="K954" i="23"/>
  <c r="K914" i="23"/>
  <c r="K890" i="23"/>
  <c r="K850" i="23"/>
  <c r="K818" i="23"/>
  <c r="K786" i="23"/>
  <c r="K730" i="23"/>
  <c r="K1370" i="23"/>
  <c r="K1330" i="23"/>
  <c r="K1282" i="23"/>
  <c r="K1234" i="23"/>
  <c r="K1202" i="23"/>
  <c r="K1154" i="23"/>
  <c r="K1106" i="23"/>
  <c r="K1066" i="23"/>
  <c r="K1018" i="23"/>
  <c r="K986" i="23"/>
  <c r="K938" i="23"/>
  <c r="K810" i="23"/>
  <c r="K690" i="23"/>
  <c r="K682" i="23"/>
  <c r="K674" i="23"/>
  <c r="K666" i="23"/>
  <c r="K658" i="23"/>
  <c r="K650" i="23"/>
  <c r="K642" i="23"/>
  <c r="K634" i="23"/>
  <c r="K626" i="23"/>
  <c r="K618" i="23"/>
  <c r="K610" i="23"/>
  <c r="K602" i="23"/>
  <c r="K594" i="23"/>
  <c r="K586" i="23"/>
  <c r="K578" i="23"/>
  <c r="K570" i="23"/>
  <c r="K562" i="23"/>
  <c r="K554" i="23"/>
  <c r="K546" i="23"/>
  <c r="K538" i="23"/>
  <c r="K530" i="23"/>
  <c r="K522" i="23"/>
  <c r="K514" i="23"/>
  <c r="K506" i="23"/>
  <c r="K498" i="23"/>
  <c r="K490" i="23"/>
  <c r="K482" i="23"/>
  <c r="K474" i="23"/>
  <c r="K466" i="23"/>
  <c r="K458" i="23"/>
  <c r="K450" i="23"/>
  <c r="K442" i="23"/>
  <c r="K434" i="23"/>
  <c r="K426" i="23"/>
  <c r="K418" i="23"/>
  <c r="K410" i="23"/>
  <c r="K402" i="23"/>
  <c r="K394" i="23"/>
  <c r="K386" i="23"/>
  <c r="K378" i="23"/>
  <c r="K370" i="23"/>
  <c r="K362" i="23"/>
  <c r="K354" i="23"/>
  <c r="K346" i="23"/>
  <c r="K338" i="23"/>
  <c r="K330" i="23"/>
  <c r="K322" i="23"/>
  <c r="K314" i="23"/>
  <c r="K306" i="23"/>
  <c r="K298" i="23"/>
  <c r="K290" i="23"/>
  <c r="K282" i="23"/>
  <c r="K274" i="23"/>
  <c r="K266" i="23"/>
  <c r="K258" i="23"/>
  <c r="K250" i="23"/>
  <c r="K242" i="23"/>
  <c r="K234" i="23"/>
  <c r="K226" i="23"/>
  <c r="K218" i="23"/>
  <c r="K210" i="23"/>
  <c r="K202" i="23"/>
  <c r="K194" i="23"/>
  <c r="K186" i="23"/>
  <c r="K178" i="23"/>
  <c r="K170" i="23"/>
  <c r="K162" i="23"/>
  <c r="K154" i="23"/>
  <c r="K146" i="23"/>
  <c r="K138" i="23"/>
  <c r="K130" i="23"/>
  <c r="K122" i="23"/>
  <c r="K114" i="23"/>
  <c r="K106" i="23"/>
  <c r="K98" i="23"/>
  <c r="K90" i="23"/>
  <c r="K82" i="23"/>
  <c r="K74" i="23"/>
  <c r="K66" i="23"/>
  <c r="K58" i="23"/>
  <c r="K50" i="23"/>
  <c r="K42" i="23"/>
  <c r="K34" i="23"/>
  <c r="K26" i="23"/>
  <c r="K18" i="23"/>
  <c r="K712" i="23"/>
  <c r="K928" i="23"/>
  <c r="K920" i="23"/>
  <c r="K856" i="23"/>
  <c r="K784" i="23"/>
  <c r="K776" i="23"/>
  <c r="K112" i="23"/>
  <c r="K21" i="23"/>
  <c r="K15" i="23"/>
  <c r="K14" i="23"/>
  <c r="L13" i="23" s="1"/>
  <c r="X13" i="23" s="1"/>
  <c r="K1358" i="23"/>
  <c r="K1326" i="23"/>
  <c r="K1294" i="23"/>
  <c r="K1262" i="23"/>
  <c r="K1230" i="23"/>
  <c r="K1198" i="23"/>
  <c r="K1174" i="23"/>
  <c r="K1142" i="23"/>
  <c r="K1110" i="23"/>
  <c r="K1086" i="23"/>
  <c r="K1054" i="23"/>
  <c r="K1022" i="23"/>
  <c r="K998" i="23"/>
  <c r="K966" i="23"/>
  <c r="K942" i="23"/>
  <c r="K910" i="23"/>
  <c r="K878" i="23"/>
  <c r="K838" i="23"/>
  <c r="K798" i="23"/>
  <c r="K766" i="23"/>
  <c r="K734" i="23"/>
  <c r="K829" i="23"/>
  <c r="K709" i="23"/>
  <c r="K693" i="23"/>
  <c r="K677" i="23"/>
  <c r="K661" i="23"/>
  <c r="K645" i="23"/>
  <c r="K629" i="23"/>
  <c r="K613" i="23"/>
  <c r="K597" i="23"/>
  <c r="K589" i="23"/>
  <c r="K573" i="23"/>
  <c r="K557" i="23"/>
  <c r="K541" i="23"/>
  <c r="K525" i="23"/>
  <c r="K517" i="23"/>
  <c r="K501" i="23"/>
  <c r="K485" i="23"/>
  <c r="K469" i="23"/>
  <c r="K453" i="23"/>
  <c r="K437" i="23"/>
  <c r="K421" i="23"/>
  <c r="K397" i="23"/>
  <c r="K381" i="23"/>
  <c r="K365" i="23"/>
  <c r="K349" i="23"/>
  <c r="K333" i="23"/>
  <c r="K317" i="23"/>
  <c r="K301" i="23"/>
  <c r="K277" i="23"/>
  <c r="K261" i="23"/>
  <c r="K245" i="23"/>
  <c r="K229" i="23"/>
  <c r="K213" i="23"/>
  <c r="K197" i="23"/>
  <c r="K181" i="23"/>
  <c r="K173" i="23"/>
  <c r="K165" i="23"/>
  <c r="K157" i="23"/>
  <c r="K149" i="23"/>
  <c r="K141" i="23"/>
  <c r="K133" i="23"/>
  <c r="K125" i="23"/>
  <c r="K117" i="23"/>
  <c r="K109" i="23"/>
  <c r="K101" i="23"/>
  <c r="K93" i="23"/>
  <c r="K85" i="23"/>
  <c r="K77" i="23"/>
  <c r="K69" i="23"/>
  <c r="K53" i="23"/>
  <c r="K45" i="23"/>
  <c r="K37" i="23"/>
  <c r="K29" i="23"/>
  <c r="K911" i="23"/>
  <c r="K847" i="23"/>
  <c r="K1374" i="23"/>
  <c r="K1342" i="23"/>
  <c r="K1310" i="23"/>
  <c r="K1278" i="23"/>
  <c r="K1246" i="23"/>
  <c r="K1214" i="23"/>
  <c r="K1182" i="23"/>
  <c r="K1150" i="23"/>
  <c r="K1126" i="23"/>
  <c r="K1094" i="23"/>
  <c r="K1062" i="23"/>
  <c r="K1038" i="23"/>
  <c r="K1006" i="23"/>
  <c r="K982" i="23"/>
  <c r="K950" i="23"/>
  <c r="K918" i="23"/>
  <c r="K870" i="23"/>
  <c r="K846" i="23"/>
  <c r="K814" i="23"/>
  <c r="K774" i="23"/>
  <c r="K742" i="23"/>
  <c r="K837" i="23"/>
  <c r="K717" i="23"/>
  <c r="K701" i="23"/>
  <c r="K685" i="23"/>
  <c r="K669" i="23"/>
  <c r="K653" i="23"/>
  <c r="K637" i="23"/>
  <c r="K621" i="23"/>
  <c r="K605" i="23"/>
  <c r="K581" i="23"/>
  <c r="K565" i="23"/>
  <c r="K549" i="23"/>
  <c r="K533" i="23"/>
  <c r="K509" i="23"/>
  <c r="K493" i="23"/>
  <c r="K477" i="23"/>
  <c r="K461" i="23"/>
  <c r="K445" i="23"/>
  <c r="K429" i="23"/>
  <c r="K413" i="23"/>
  <c r="K405" i="23"/>
  <c r="K389" i="23"/>
  <c r="K373" i="23"/>
  <c r="K357" i="23"/>
  <c r="K341" i="23"/>
  <c r="K325" i="23"/>
  <c r="K309" i="23"/>
  <c r="K293" i="23"/>
  <c r="K285" i="23"/>
  <c r="K269" i="23"/>
  <c r="K253" i="23"/>
  <c r="K237" i="23"/>
  <c r="K221" i="23"/>
  <c r="K205" i="23"/>
  <c r="K189" i="23"/>
  <c r="K61" i="23"/>
  <c r="K1371" i="23"/>
  <c r="L1370" i="23" s="1"/>
  <c r="K1363" i="23"/>
  <c r="L1362" i="23" s="1"/>
  <c r="K1355" i="23"/>
  <c r="L1354" i="23" s="1"/>
  <c r="K855" i="23"/>
  <c r="K1366" i="23"/>
  <c r="K1334" i="23"/>
  <c r="K1302" i="23"/>
  <c r="K1270" i="23"/>
  <c r="K1238" i="23"/>
  <c r="K1206" i="23"/>
  <c r="K1166" i="23"/>
  <c r="K1134" i="23"/>
  <c r="K1102" i="23"/>
  <c r="K1070" i="23"/>
  <c r="K1046" i="23"/>
  <c r="K1014" i="23"/>
  <c r="K990" i="23"/>
  <c r="K958" i="23"/>
  <c r="K926" i="23"/>
  <c r="K894" i="23"/>
  <c r="K862" i="23"/>
  <c r="K790" i="23"/>
  <c r="K758" i="23"/>
  <c r="K726" i="23"/>
  <c r="K893" i="23"/>
  <c r="K919" i="23"/>
  <c r="L919" i="23" s="1"/>
  <c r="K1350" i="23"/>
  <c r="K1318" i="23"/>
  <c r="K1286" i="23"/>
  <c r="K1254" i="23"/>
  <c r="K1222" i="23"/>
  <c r="K1190" i="23"/>
  <c r="K1158" i="23"/>
  <c r="K1118" i="23"/>
  <c r="K1078" i="23"/>
  <c r="K1030" i="23"/>
  <c r="K974" i="23"/>
  <c r="K934" i="23"/>
  <c r="K886" i="23"/>
  <c r="K854" i="23"/>
  <c r="K822" i="23"/>
  <c r="K806" i="23"/>
  <c r="K782" i="23"/>
  <c r="K750" i="23"/>
  <c r="K1377" i="23"/>
  <c r="L1377" i="23" s="1"/>
  <c r="K1369" i="23"/>
  <c r="L1369" i="23" s="1"/>
  <c r="K1361" i="23"/>
  <c r="L1361" i="23" s="1"/>
  <c r="K1347" i="23"/>
  <c r="L1346" i="23" s="1"/>
  <c r="K1339" i="23"/>
  <c r="L1338" i="23" s="1"/>
  <c r="K1331" i="23"/>
  <c r="K1323" i="23"/>
  <c r="L1322" i="23" s="1"/>
  <c r="K1315" i="23"/>
  <c r="K1307" i="23"/>
  <c r="K1299" i="23"/>
  <c r="K1291" i="23"/>
  <c r="L1290" i="23" s="1"/>
  <c r="K1283" i="23"/>
  <c r="L1282" i="23" s="1"/>
  <c r="K1275" i="23"/>
  <c r="L1274" i="23" s="1"/>
  <c r="K1267" i="23"/>
  <c r="L1266" i="23" s="1"/>
  <c r="K1259" i="23"/>
  <c r="K1251" i="23"/>
  <c r="L1250" i="23" s="1"/>
  <c r="K1243" i="23"/>
  <c r="K1235" i="23"/>
  <c r="L1234" i="23" s="1"/>
  <c r="K1227" i="23"/>
  <c r="L1226" i="23" s="1"/>
  <c r="K1219" i="23"/>
  <c r="L1218" i="23" s="1"/>
  <c r="K1211" i="23"/>
  <c r="K1203" i="23"/>
  <c r="L1202" i="23" s="1"/>
  <c r="K1195" i="23"/>
  <c r="K1187" i="23"/>
  <c r="L1186" i="23" s="1"/>
  <c r="K1179" i="23"/>
  <c r="L1178" i="23" s="1"/>
  <c r="K1171" i="23"/>
  <c r="L1170" i="23" s="1"/>
  <c r="K1163" i="23"/>
  <c r="K1155" i="23"/>
  <c r="K1147" i="23"/>
  <c r="L1146" i="23" s="1"/>
  <c r="K1139" i="23"/>
  <c r="K1131" i="23"/>
  <c r="K1123" i="23"/>
  <c r="K1115" i="23"/>
  <c r="L1114" i="23" s="1"/>
  <c r="K1107" i="23"/>
  <c r="K1099" i="23"/>
  <c r="K1091" i="23"/>
  <c r="K1083" i="23"/>
  <c r="K1075" i="23"/>
  <c r="K1067" i="23"/>
  <c r="K1059" i="23"/>
  <c r="L1058" i="23" s="1"/>
  <c r="K1051" i="23"/>
  <c r="K1043" i="23"/>
  <c r="K1035" i="23"/>
  <c r="L1034" i="23" s="1"/>
  <c r="K1027" i="23"/>
  <c r="L1026" i="23" s="1"/>
  <c r="K1019" i="23"/>
  <c r="L1018" i="23" s="1"/>
  <c r="K1011" i="23"/>
  <c r="L1010" i="23" s="1"/>
  <c r="K1003" i="23"/>
  <c r="K995" i="23"/>
  <c r="L994" i="23" s="1"/>
  <c r="K987" i="23"/>
  <c r="K979" i="23"/>
  <c r="L978" i="23" s="1"/>
  <c r="K971" i="23"/>
  <c r="K963" i="23"/>
  <c r="L962" i="23" s="1"/>
  <c r="K955" i="23"/>
  <c r="K947" i="23"/>
  <c r="L946" i="23" s="1"/>
  <c r="K939" i="23"/>
  <c r="K931" i="23"/>
  <c r="L930" i="23" s="1"/>
  <c r="K923" i="23"/>
  <c r="L922" i="23" s="1"/>
  <c r="K915" i="23"/>
  <c r="L914" i="23" s="1"/>
  <c r="K907" i="23"/>
  <c r="K899" i="23"/>
  <c r="L898" i="23" s="1"/>
  <c r="K891" i="23"/>
  <c r="L890" i="23" s="1"/>
  <c r="K883" i="23"/>
  <c r="K875" i="23"/>
  <c r="K867" i="23"/>
  <c r="L866" i="23" s="1"/>
  <c r="K859" i="23"/>
  <c r="K851" i="23"/>
  <c r="L850" i="23" s="1"/>
  <c r="K843" i="23"/>
  <c r="K835" i="23"/>
  <c r="K827" i="23"/>
  <c r="K819" i="23"/>
  <c r="K811" i="23"/>
  <c r="K803" i="23"/>
  <c r="L802" i="23" s="1"/>
  <c r="K795" i="23"/>
  <c r="L794" i="23" s="1"/>
  <c r="K787" i="23"/>
  <c r="K779" i="23"/>
  <c r="L778" i="23" s="1"/>
  <c r="K771" i="23"/>
  <c r="L770" i="23" s="1"/>
  <c r="K763" i="23"/>
  <c r="L762" i="23" s="1"/>
  <c r="K755" i="23"/>
  <c r="K747" i="23"/>
  <c r="K739" i="23"/>
  <c r="L738" i="23" s="1"/>
  <c r="K731" i="23"/>
  <c r="K723" i="23"/>
  <c r="L722" i="23" s="1"/>
  <c r="K715" i="23"/>
  <c r="K707" i="23"/>
  <c r="L706" i="23" s="1"/>
  <c r="K699" i="23"/>
  <c r="L698" i="23" s="1"/>
  <c r="K691" i="23"/>
  <c r="L690" i="23" s="1"/>
  <c r="K683" i="23"/>
  <c r="K675" i="23"/>
  <c r="L674" i="23" s="1"/>
  <c r="K1353" i="23"/>
  <c r="L1353" i="23" s="1"/>
  <c r="K1345" i="23"/>
  <c r="K1337" i="23"/>
  <c r="K1329" i="23"/>
  <c r="L1329" i="23" s="1"/>
  <c r="K1321" i="23"/>
  <c r="K1313" i="23"/>
  <c r="K1305" i="23"/>
  <c r="K1297" i="23"/>
  <c r="K1289" i="23"/>
  <c r="L1289" i="23" s="1"/>
  <c r="K1281" i="23"/>
  <c r="L1281" i="23" s="1"/>
  <c r="K1273" i="23"/>
  <c r="K1265" i="23"/>
  <c r="L1265" i="23" s="1"/>
  <c r="K1257" i="23"/>
  <c r="K1249" i="23"/>
  <c r="K1241" i="23"/>
  <c r="L1241" i="23" s="1"/>
  <c r="K1233" i="23"/>
  <c r="L1233" i="23" s="1"/>
  <c r="K1225" i="23"/>
  <c r="L1225" i="23" s="1"/>
  <c r="K1217" i="23"/>
  <c r="L1217" i="23" s="1"/>
  <c r="K1209" i="23"/>
  <c r="K1201" i="23"/>
  <c r="L1201" i="23" s="1"/>
  <c r="K1193" i="23"/>
  <c r="K1185" i="23"/>
  <c r="K1177" i="23"/>
  <c r="L1177" i="23" s="1"/>
  <c r="K1169" i="23"/>
  <c r="L1169" i="23" s="1"/>
  <c r="K1161" i="23"/>
  <c r="L1161" i="23" s="1"/>
  <c r="K1153" i="23"/>
  <c r="K1145" i="23"/>
  <c r="K1137" i="23"/>
  <c r="K1129" i="23"/>
  <c r="L1129" i="23" s="1"/>
  <c r="K1121" i="23"/>
  <c r="K1113" i="23"/>
  <c r="L1113" i="23" s="1"/>
  <c r="K1105" i="23"/>
  <c r="L1105" i="23" s="1"/>
  <c r="K1097" i="23"/>
  <c r="K1089" i="23"/>
  <c r="K1081" i="23"/>
  <c r="K1073" i="23"/>
  <c r="L1073" i="23" s="1"/>
  <c r="K1065" i="23"/>
  <c r="K1057" i="23"/>
  <c r="K1049" i="23"/>
  <c r="K1041" i="23"/>
  <c r="K1033" i="23"/>
  <c r="L1033" i="23" s="1"/>
  <c r="K1025" i="23"/>
  <c r="L1025" i="23" s="1"/>
  <c r="K1017" i="23"/>
  <c r="K1009" i="23"/>
  <c r="L1009" i="23" s="1"/>
  <c r="K1001" i="23"/>
  <c r="K993" i="23"/>
  <c r="L993" i="23" s="1"/>
  <c r="K985" i="23"/>
  <c r="K977" i="23"/>
  <c r="L977" i="23" s="1"/>
  <c r="K969" i="23"/>
  <c r="K961" i="23"/>
  <c r="K953" i="23"/>
  <c r="K945" i="23"/>
  <c r="L945" i="23" s="1"/>
  <c r="K937" i="23"/>
  <c r="L937" i="23" s="1"/>
  <c r="K929" i="23"/>
  <c r="L929" i="23" s="1"/>
  <c r="K921" i="23"/>
  <c r="K913" i="23"/>
  <c r="L913" i="23" s="1"/>
  <c r="K905" i="23"/>
  <c r="K873" i="23"/>
  <c r="L873" i="23" s="1"/>
  <c r="K864" i="23"/>
  <c r="K809" i="23"/>
  <c r="L809" i="23" s="1"/>
  <c r="K801" i="23"/>
  <c r="K737" i="23"/>
  <c r="L737" i="23" s="1"/>
  <c r="K713" i="23"/>
  <c r="K705" i="23"/>
  <c r="L705" i="23" s="1"/>
  <c r="K697" i="23"/>
  <c r="L697" i="23" s="1"/>
  <c r="K220" i="23"/>
  <c r="L220" i="23" s="1"/>
  <c r="K204" i="23"/>
  <c r="K667" i="23"/>
  <c r="K659" i="23"/>
  <c r="L658" i="23" s="1"/>
  <c r="K651" i="23"/>
  <c r="K643" i="23"/>
  <c r="L642" i="23" s="1"/>
  <c r="K635" i="23"/>
  <c r="L634" i="23" s="1"/>
  <c r="K627" i="23"/>
  <c r="L626" i="23" s="1"/>
  <c r="K619" i="23"/>
  <c r="K611" i="23"/>
  <c r="K603" i="23"/>
  <c r="K595" i="23"/>
  <c r="L594" i="23" s="1"/>
  <c r="K587" i="23"/>
  <c r="K579" i="23"/>
  <c r="L578" i="23" s="1"/>
  <c r="K571" i="23"/>
  <c r="L570" i="23" s="1"/>
  <c r="K563" i="23"/>
  <c r="K555" i="23"/>
  <c r="K547" i="23"/>
  <c r="K539" i="23"/>
  <c r="K531" i="23"/>
  <c r="L530" i="23" s="1"/>
  <c r="K523" i="23"/>
  <c r="K515" i="23"/>
  <c r="L514" i="23" s="1"/>
  <c r="K507" i="23"/>
  <c r="L506" i="23" s="1"/>
  <c r="K499" i="23"/>
  <c r="K491" i="23"/>
  <c r="K483" i="23"/>
  <c r="K475" i="23"/>
  <c r="K467" i="23"/>
  <c r="L466" i="23" s="1"/>
  <c r="K459" i="23"/>
  <c r="K451" i="23"/>
  <c r="L450" i="23" s="1"/>
  <c r="K443" i="23"/>
  <c r="L442" i="23" s="1"/>
  <c r="K435" i="23"/>
  <c r="L434" i="23" s="1"/>
  <c r="K427" i="23"/>
  <c r="K419" i="23"/>
  <c r="K411" i="23"/>
  <c r="K403" i="23"/>
  <c r="L402" i="23" s="1"/>
  <c r="K395" i="23"/>
  <c r="K387" i="23"/>
  <c r="L386" i="23" s="1"/>
  <c r="K379" i="23"/>
  <c r="L378" i="23" s="1"/>
  <c r="K371" i="23"/>
  <c r="L370" i="23" s="1"/>
  <c r="K363" i="23"/>
  <c r="K355" i="23"/>
  <c r="K347" i="23"/>
  <c r="K339" i="23"/>
  <c r="L338" i="23" s="1"/>
  <c r="K331" i="23"/>
  <c r="K323" i="23"/>
  <c r="L322" i="23" s="1"/>
  <c r="K315" i="23"/>
  <c r="L314" i="23" s="1"/>
  <c r="K307" i="23"/>
  <c r="L306" i="23" s="1"/>
  <c r="K299" i="23"/>
  <c r="K291" i="23"/>
  <c r="K283" i="23"/>
  <c r="K275" i="23"/>
  <c r="L274" i="23" s="1"/>
  <c r="K267" i="23"/>
  <c r="K259" i="23"/>
  <c r="L258" i="23" s="1"/>
  <c r="K251" i="23"/>
  <c r="L250" i="23" s="1"/>
  <c r="K243" i="23"/>
  <c r="L242" i="23" s="1"/>
  <c r="K235" i="23"/>
  <c r="K227" i="23"/>
  <c r="K219" i="23"/>
  <c r="K211" i="23"/>
  <c r="L210" i="23" s="1"/>
  <c r="K203" i="23"/>
  <c r="K195" i="23"/>
  <c r="K187" i="23"/>
  <c r="L186" i="23" s="1"/>
  <c r="K179" i="23"/>
  <c r="L178" i="23" s="1"/>
  <c r="K171" i="23"/>
  <c r="K163" i="23"/>
  <c r="K155" i="23"/>
  <c r="K147" i="23"/>
  <c r="L146" i="23" s="1"/>
  <c r="K139" i="23"/>
  <c r="K131" i="23"/>
  <c r="K123" i="23"/>
  <c r="L122" i="23" s="1"/>
  <c r="K115" i="23"/>
  <c r="L114" i="23" s="1"/>
  <c r="K107" i="23"/>
  <c r="K99" i="23"/>
  <c r="K91" i="23"/>
  <c r="K83" i="23"/>
  <c r="L82" i="23" s="1"/>
  <c r="K75" i="23"/>
  <c r="K67" i="23"/>
  <c r="L66" i="23" s="1"/>
  <c r="K59" i="23"/>
  <c r="L58" i="23" s="1"/>
  <c r="K51" i="23"/>
  <c r="L50" i="23" s="1"/>
  <c r="K43" i="23"/>
  <c r="K35" i="23"/>
  <c r="K27" i="23"/>
  <c r="K19" i="23"/>
  <c r="L18" i="23" s="1"/>
  <c r="K689" i="23"/>
  <c r="L689" i="23" s="1"/>
  <c r="K681" i="23"/>
  <c r="K673" i="23"/>
  <c r="K665" i="23"/>
  <c r="K657" i="23"/>
  <c r="L657" i="23" s="1"/>
  <c r="K649" i="23"/>
  <c r="L649" i="23" s="1"/>
  <c r="K641" i="23"/>
  <c r="L641" i="23" s="1"/>
  <c r="K633" i="23"/>
  <c r="L633" i="23" s="1"/>
  <c r="K625" i="23"/>
  <c r="L625" i="23" s="1"/>
  <c r="K617" i="23"/>
  <c r="K609" i="23"/>
  <c r="K601" i="23"/>
  <c r="K593" i="23"/>
  <c r="L593" i="23" s="1"/>
  <c r="K585" i="23"/>
  <c r="L585" i="23" s="1"/>
  <c r="K577" i="23"/>
  <c r="L577" i="23" s="1"/>
  <c r="K569" i="23"/>
  <c r="L569" i="23" s="1"/>
  <c r="K561" i="23"/>
  <c r="L561" i="23" s="1"/>
  <c r="K553" i="23"/>
  <c r="K545" i="23"/>
  <c r="K537" i="23"/>
  <c r="K529" i="23"/>
  <c r="L529" i="23" s="1"/>
  <c r="K521" i="23"/>
  <c r="L521" i="23" s="1"/>
  <c r="K513" i="23"/>
  <c r="L513" i="23" s="1"/>
  <c r="K505" i="23"/>
  <c r="L505" i="23" s="1"/>
  <c r="K497" i="23"/>
  <c r="L497" i="23" s="1"/>
  <c r="K489" i="23"/>
  <c r="K481" i="23"/>
  <c r="K473" i="23"/>
  <c r="K465" i="23"/>
  <c r="L465" i="23" s="1"/>
  <c r="K457" i="23"/>
  <c r="K449" i="23"/>
  <c r="L449" i="23" s="1"/>
  <c r="K441" i="23"/>
  <c r="L441" i="23" s="1"/>
  <c r="K433" i="23"/>
  <c r="L433" i="23" s="1"/>
  <c r="K425" i="23"/>
  <c r="K417" i="23"/>
  <c r="K409" i="23"/>
  <c r="K401" i="23"/>
  <c r="L401" i="23" s="1"/>
  <c r="K393" i="23"/>
  <c r="L393" i="23" s="1"/>
  <c r="K385" i="23"/>
  <c r="L385" i="23" s="1"/>
  <c r="K377" i="23"/>
  <c r="L377" i="23" s="1"/>
  <c r="K369" i="23"/>
  <c r="L369" i="23" s="1"/>
  <c r="K361" i="23"/>
  <c r="K353" i="23"/>
  <c r="K345" i="23"/>
  <c r="K337" i="23"/>
  <c r="L337" i="23" s="1"/>
  <c r="K329" i="23"/>
  <c r="L329" i="23" s="1"/>
  <c r="K321" i="23"/>
  <c r="L321" i="23" s="1"/>
  <c r="K313" i="23"/>
  <c r="L313" i="23" s="1"/>
  <c r="K305" i="23"/>
  <c r="L305" i="23" s="1"/>
  <c r="K297" i="23"/>
  <c r="K289" i="23"/>
  <c r="K281" i="23"/>
  <c r="K273" i="23"/>
  <c r="L273" i="23" s="1"/>
  <c r="K265" i="23"/>
  <c r="L265" i="23" s="1"/>
  <c r="K257" i="23"/>
  <c r="L257" i="23" s="1"/>
  <c r="K249" i="23"/>
  <c r="L249" i="23" s="1"/>
  <c r="K241" i="23"/>
  <c r="L241" i="23" s="1"/>
  <c r="K233" i="23"/>
  <c r="K225" i="23"/>
  <c r="K217" i="23"/>
  <c r="K209" i="23"/>
  <c r="L209" i="23" s="1"/>
  <c r="K201" i="23"/>
  <c r="L201" i="23" s="1"/>
  <c r="K193" i="23"/>
  <c r="L193" i="23" s="1"/>
  <c r="K185" i="23"/>
  <c r="L185" i="23" s="1"/>
  <c r="K177" i="23"/>
  <c r="L177" i="23" s="1"/>
  <c r="K169" i="23"/>
  <c r="K161" i="23"/>
  <c r="K153" i="23"/>
  <c r="K145" i="23"/>
  <c r="L145" i="23" s="1"/>
  <c r="K137" i="23"/>
  <c r="L137" i="23" s="1"/>
  <c r="K129" i="23"/>
  <c r="L129" i="23" s="1"/>
  <c r="K121" i="23"/>
  <c r="L121" i="23" s="1"/>
  <c r="K113" i="23"/>
  <c r="L113" i="23" s="1"/>
  <c r="K105" i="23"/>
  <c r="K97" i="23"/>
  <c r="K89" i="23"/>
  <c r="K81" i="23"/>
  <c r="L81" i="23" s="1"/>
  <c r="K73" i="23"/>
  <c r="L73" i="23" s="1"/>
  <c r="K65" i="23"/>
  <c r="L65" i="23" s="1"/>
  <c r="K57" i="23"/>
  <c r="L57" i="23" s="1"/>
  <c r="K49" i="23"/>
  <c r="L49" i="23" s="1"/>
  <c r="K41" i="23"/>
  <c r="K33" i="23"/>
  <c r="K25" i="23"/>
  <c r="K17" i="23"/>
  <c r="L17" i="23" s="1"/>
  <c r="K15" i="26"/>
  <c r="L1345" i="23"/>
  <c r="L855" i="23"/>
  <c r="K901" i="23"/>
  <c r="K902" i="23"/>
  <c r="K830" i="23"/>
  <c r="L829" i="23" s="1"/>
  <c r="K828" i="23"/>
  <c r="L828" i="23" s="1"/>
  <c r="K892" i="23"/>
  <c r="L891" i="23" s="1"/>
  <c r="K884" i="23"/>
  <c r="K820" i="23"/>
  <c r="L1337" i="23"/>
  <c r="L1321" i="23"/>
  <c r="L1273" i="23"/>
  <c r="L1145" i="23"/>
  <c r="L1057" i="23"/>
  <c r="K793" i="23"/>
  <c r="L793" i="23" s="1"/>
  <c r="K777" i="23"/>
  <c r="L777" i="23" s="1"/>
  <c r="K761" i="23"/>
  <c r="L761" i="23" s="1"/>
  <c r="K745" i="23"/>
  <c r="K721" i="23"/>
  <c r="L721" i="23" s="1"/>
  <c r="K1375" i="23"/>
  <c r="K1367" i="23"/>
  <c r="K1359" i="23"/>
  <c r="L1358" i="23" s="1"/>
  <c r="K1351" i="23"/>
  <c r="K1343" i="23"/>
  <c r="K1335" i="23"/>
  <c r="K1327" i="23"/>
  <c r="K1319" i="23"/>
  <c r="L1318" i="23" s="1"/>
  <c r="K1311" i="23"/>
  <c r="K1303" i="23"/>
  <c r="K1295" i="23"/>
  <c r="K1287" i="23"/>
  <c r="K1279" i="23"/>
  <c r="K1271" i="23"/>
  <c r="K1263" i="23"/>
  <c r="L1262" i="23" s="1"/>
  <c r="K1255" i="23"/>
  <c r="L1254" i="23" s="1"/>
  <c r="K1247" i="23"/>
  <c r="K1239" i="23"/>
  <c r="K1231" i="23"/>
  <c r="K1223" i="23"/>
  <c r="K1215" i="23"/>
  <c r="K1207" i="23"/>
  <c r="K1199" i="23"/>
  <c r="L1198" i="23" s="1"/>
  <c r="K1191" i="23"/>
  <c r="K1183" i="23"/>
  <c r="K1175" i="23"/>
  <c r="K1167" i="23"/>
  <c r="L1166" i="23" s="1"/>
  <c r="K1159" i="23"/>
  <c r="K1151" i="23"/>
  <c r="K1143" i="23"/>
  <c r="K1135" i="23"/>
  <c r="L1134" i="23" s="1"/>
  <c r="K1127" i="23"/>
  <c r="K1119" i="23"/>
  <c r="K1111" i="23"/>
  <c r="K1103" i="23"/>
  <c r="K1095" i="23"/>
  <c r="L1094" i="23" s="1"/>
  <c r="K1087" i="23"/>
  <c r="K1079" i="23"/>
  <c r="L1078" i="23" s="1"/>
  <c r="K1071" i="23"/>
  <c r="L1070" i="23" s="1"/>
  <c r="K1063" i="23"/>
  <c r="K1055" i="23"/>
  <c r="K1047" i="23"/>
  <c r="K1039" i="23"/>
  <c r="K1031" i="23"/>
  <c r="L1030" i="23" s="1"/>
  <c r="K1023" i="23"/>
  <c r="K1015" i="23"/>
  <c r="K1007" i="23"/>
  <c r="K999" i="23"/>
  <c r="K991" i="23"/>
  <c r="L990" i="23" s="1"/>
  <c r="K983" i="23"/>
  <c r="K975" i="23"/>
  <c r="K967" i="23"/>
  <c r="L966" i="23" s="1"/>
  <c r="K959" i="23"/>
  <c r="K951" i="23"/>
  <c r="K943" i="23"/>
  <c r="K935" i="23"/>
  <c r="L934" i="23" s="1"/>
  <c r="K927" i="23"/>
  <c r="L927" i="23" s="1"/>
  <c r="K903" i="23"/>
  <c r="K895" i="23"/>
  <c r="L894" i="23" s="1"/>
  <c r="K887" i="23"/>
  <c r="K879" i="23"/>
  <c r="K871" i="23"/>
  <c r="K863" i="23"/>
  <c r="L863" i="23" s="1"/>
  <c r="K839" i="23"/>
  <c r="K831" i="23"/>
  <c r="K823" i="23"/>
  <c r="K815" i="23"/>
  <c r="K807" i="23"/>
  <c r="K799" i="23"/>
  <c r="K791" i="23"/>
  <c r="K783" i="23"/>
  <c r="L783" i="23" s="1"/>
  <c r="K775" i="23"/>
  <c r="K767" i="23"/>
  <c r="K759" i="23"/>
  <c r="K751" i="23"/>
  <c r="L750" i="23" s="1"/>
  <c r="K743" i="23"/>
  <c r="K735" i="23"/>
  <c r="K727" i="23"/>
  <c r="K719" i="23"/>
  <c r="K711" i="23"/>
  <c r="L711" i="23" s="1"/>
  <c r="K703" i="23"/>
  <c r="K695" i="23"/>
  <c r="K687" i="23"/>
  <c r="K679" i="23"/>
  <c r="K671" i="23"/>
  <c r="K663" i="23"/>
  <c r="K865" i="23"/>
  <c r="L865" i="23" s="1"/>
  <c r="K720" i="23"/>
  <c r="K464" i="23"/>
  <c r="K176" i="23"/>
  <c r="K1245" i="23"/>
  <c r="K1229" i="23"/>
  <c r="K1213" i="23"/>
  <c r="L1213" i="23" s="1"/>
  <c r="K1205" i="23"/>
  <c r="K1189" i="23"/>
  <c r="K1181" i="23"/>
  <c r="K1173" i="23"/>
  <c r="K1165" i="23"/>
  <c r="L1165" i="23" s="1"/>
  <c r="K1157" i="23"/>
  <c r="K1149" i="23"/>
  <c r="K1141" i="23"/>
  <c r="K1133" i="23"/>
  <c r="L1133" i="23" s="1"/>
  <c r="K1125" i="23"/>
  <c r="K1117" i="23"/>
  <c r="K1109" i="23"/>
  <c r="L1109" i="23" s="1"/>
  <c r="K1101" i="23"/>
  <c r="L1101" i="23" s="1"/>
  <c r="K1093" i="23"/>
  <c r="K1085" i="23"/>
  <c r="K1077" i="23"/>
  <c r="K1069" i="23"/>
  <c r="K1061" i="23"/>
  <c r="K1053" i="23"/>
  <c r="K1045" i="23"/>
  <c r="K1037" i="23"/>
  <c r="L1037" i="23" s="1"/>
  <c r="K1029" i="23"/>
  <c r="L1029" i="23" s="1"/>
  <c r="K1021" i="23"/>
  <c r="K1013" i="23"/>
  <c r="K1005" i="23"/>
  <c r="K997" i="23"/>
  <c r="K989" i="23"/>
  <c r="L989" i="23" s="1"/>
  <c r="K981" i="23"/>
  <c r="L981" i="23" s="1"/>
  <c r="K973" i="23"/>
  <c r="K965" i="23"/>
  <c r="L965" i="23" s="1"/>
  <c r="K957" i="23"/>
  <c r="K949" i="23"/>
  <c r="K941" i="23"/>
  <c r="K933" i="23"/>
  <c r="L933" i="23" s="1"/>
  <c r="K925" i="23"/>
  <c r="L925" i="23" s="1"/>
  <c r="K917" i="23"/>
  <c r="K909" i="23"/>
  <c r="L909" i="23" s="1"/>
  <c r="K885" i="23"/>
  <c r="K877" i="23"/>
  <c r="K869" i="23"/>
  <c r="K861" i="23"/>
  <c r="L861" i="23" s="1"/>
  <c r="K853" i="23"/>
  <c r="K845" i="23"/>
  <c r="L845" i="23" s="1"/>
  <c r="K821" i="23"/>
  <c r="K813" i="23"/>
  <c r="K805" i="23"/>
  <c r="K797" i="23"/>
  <c r="K789" i="23"/>
  <c r="K781" i="23"/>
  <c r="L781" i="23" s="1"/>
  <c r="K773" i="23"/>
  <c r="K765" i="23"/>
  <c r="K757" i="23"/>
  <c r="K749" i="23"/>
  <c r="L749" i="23" s="1"/>
  <c r="K741" i="23"/>
  <c r="K733" i="23"/>
  <c r="K725" i="23"/>
  <c r="K656" i="23"/>
  <c r="K400" i="23"/>
  <c r="K1373" i="23"/>
  <c r="K1365" i="23"/>
  <c r="L1365" i="23" s="1"/>
  <c r="K1357" i="23"/>
  <c r="L1357" i="23" s="1"/>
  <c r="K1349" i="23"/>
  <c r="K1341" i="23"/>
  <c r="K1333" i="23"/>
  <c r="K1325" i="23"/>
  <c r="K1317" i="23"/>
  <c r="L1317" i="23" s="1"/>
  <c r="K1309" i="23"/>
  <c r="K1301" i="23"/>
  <c r="K1293" i="23"/>
  <c r="K1285" i="23"/>
  <c r="K1277" i="23"/>
  <c r="K1269" i="23"/>
  <c r="K1261" i="23"/>
  <c r="K1253" i="23"/>
  <c r="L1253" i="23" s="1"/>
  <c r="K1237" i="23"/>
  <c r="L1237" i="23" s="1"/>
  <c r="K1221" i="23"/>
  <c r="K1197" i="23"/>
  <c r="L1197" i="23" s="1"/>
  <c r="K1372" i="23"/>
  <c r="K1364" i="23"/>
  <c r="K1356" i="23"/>
  <c r="L1355" i="23" s="1"/>
  <c r="K1348" i="23"/>
  <c r="K1340" i="23"/>
  <c r="K1332" i="23"/>
  <c r="K1324" i="23"/>
  <c r="K1316" i="23"/>
  <c r="K1308" i="23"/>
  <c r="K1300" i="23"/>
  <c r="K1292" i="23"/>
  <c r="K1284" i="23"/>
  <c r="K1276" i="23"/>
  <c r="K1268" i="23"/>
  <c r="K1260" i="23"/>
  <c r="K1252" i="23"/>
  <c r="K1244" i="23"/>
  <c r="L1244" i="23" s="1"/>
  <c r="K1236" i="23"/>
  <c r="K1228" i="23"/>
  <c r="K1220" i="23"/>
  <c r="K1212" i="23"/>
  <c r="K1204" i="23"/>
  <c r="K1196" i="23"/>
  <c r="L1195" i="23" s="1"/>
  <c r="K1188" i="23"/>
  <c r="K1180" i="23"/>
  <c r="K1172" i="23"/>
  <c r="K1164" i="23"/>
  <c r="K1156" i="23"/>
  <c r="K1148" i="23"/>
  <c r="K1140" i="23"/>
  <c r="K1132" i="23"/>
  <c r="K1124" i="23"/>
  <c r="K1116" i="23"/>
  <c r="K1108" i="23"/>
  <c r="K1100" i="23"/>
  <c r="K1092" i="23"/>
  <c r="K1084" i="23"/>
  <c r="K1076" i="23"/>
  <c r="K1068" i="23"/>
  <c r="K1060" i="23"/>
  <c r="K1052" i="23"/>
  <c r="K1044" i="23"/>
  <c r="K1036" i="23"/>
  <c r="K1028" i="23"/>
  <c r="K1020" i="23"/>
  <c r="K1012" i="23"/>
  <c r="K1004" i="23"/>
  <c r="K996" i="23"/>
  <c r="K988" i="23"/>
  <c r="K980" i="23"/>
  <c r="K972" i="23"/>
  <c r="K964" i="23"/>
  <c r="K956" i="23"/>
  <c r="K948" i="23"/>
  <c r="K940" i="23"/>
  <c r="K932" i="23"/>
  <c r="K924" i="23"/>
  <c r="L923" i="23" s="1"/>
  <c r="K916" i="23"/>
  <c r="L915" i="23" s="1"/>
  <c r="K908" i="23"/>
  <c r="K900" i="23"/>
  <c r="K876" i="23"/>
  <c r="K868" i="23"/>
  <c r="K860" i="23"/>
  <c r="K852" i="23"/>
  <c r="K844" i="23"/>
  <c r="K836" i="23"/>
  <c r="L836" i="23" s="1"/>
  <c r="K812" i="23"/>
  <c r="K804" i="23"/>
  <c r="K796" i="23"/>
  <c r="K788" i="23"/>
  <c r="K780" i="23"/>
  <c r="K772" i="23"/>
  <c r="K764" i="23"/>
  <c r="L763" i="23" s="1"/>
  <c r="K756" i="23"/>
  <c r="K748" i="23"/>
  <c r="K740" i="23"/>
  <c r="K732" i="23"/>
  <c r="K724" i="23"/>
  <c r="K716" i="23"/>
  <c r="K708" i="23"/>
  <c r="K700" i="23"/>
  <c r="L699" i="23" s="1"/>
  <c r="K648" i="23"/>
  <c r="K392" i="23"/>
  <c r="L827" i="23"/>
  <c r="K592" i="23"/>
  <c r="K336" i="23"/>
  <c r="L938" i="23"/>
  <c r="L874" i="23"/>
  <c r="L810" i="23"/>
  <c r="K584" i="23"/>
  <c r="K328" i="23"/>
  <c r="K528" i="23"/>
  <c r="K272" i="23"/>
  <c r="L1017" i="23"/>
  <c r="L1001" i="23"/>
  <c r="K897" i="23"/>
  <c r="L897" i="23" s="1"/>
  <c r="K889" i="23"/>
  <c r="L889" i="23" s="1"/>
  <c r="K881" i="23"/>
  <c r="L881" i="23" s="1"/>
  <c r="K857" i="23"/>
  <c r="K849" i="23"/>
  <c r="L849" i="23" s="1"/>
  <c r="K841" i="23"/>
  <c r="K833" i="23"/>
  <c r="K825" i="23"/>
  <c r="K817" i="23"/>
  <c r="K785" i="23"/>
  <c r="L785" i="23" s="1"/>
  <c r="K769" i="23"/>
  <c r="K753" i="23"/>
  <c r="K729" i="23"/>
  <c r="K1376" i="23"/>
  <c r="K1368" i="23"/>
  <c r="K1360" i="23"/>
  <c r="K1352" i="23"/>
  <c r="K1344" i="23"/>
  <c r="K1336" i="23"/>
  <c r="L1336" i="23" s="1"/>
  <c r="K1328" i="23"/>
  <c r="K1320" i="23"/>
  <c r="L1320" i="23" s="1"/>
  <c r="K1312" i="23"/>
  <c r="K1304" i="23"/>
  <c r="K1296" i="23"/>
  <c r="K1288" i="23"/>
  <c r="K1280" i="23"/>
  <c r="K1272" i="23"/>
  <c r="L1272" i="23" s="1"/>
  <c r="K1264" i="23"/>
  <c r="K1256" i="23"/>
  <c r="L1256" i="23" s="1"/>
  <c r="K1248" i="23"/>
  <c r="K1240" i="23"/>
  <c r="K1232" i="23"/>
  <c r="K1224" i="23"/>
  <c r="K1216" i="23"/>
  <c r="K1208" i="23"/>
  <c r="L1208" i="23" s="1"/>
  <c r="K1200" i="23"/>
  <c r="K1192" i="23"/>
  <c r="L1192" i="23" s="1"/>
  <c r="K1184" i="23"/>
  <c r="K1176" i="23"/>
  <c r="K1168" i="23"/>
  <c r="K1160" i="23"/>
  <c r="K1152" i="23"/>
  <c r="K1144" i="23"/>
  <c r="L1144" i="23" s="1"/>
  <c r="K1136" i="23"/>
  <c r="K1128" i="23"/>
  <c r="L1128" i="23" s="1"/>
  <c r="K1120" i="23"/>
  <c r="K1112" i="23"/>
  <c r="K1104" i="23"/>
  <c r="K1096" i="23"/>
  <c r="K1088" i="23"/>
  <c r="K1080" i="23"/>
  <c r="L1080" i="23" s="1"/>
  <c r="K1072" i="23"/>
  <c r="K1064" i="23"/>
  <c r="L1064" i="23" s="1"/>
  <c r="K1056" i="23"/>
  <c r="K1048" i="23"/>
  <c r="K1040" i="23"/>
  <c r="K1032" i="23"/>
  <c r="K1024" i="23"/>
  <c r="K1016" i="23"/>
  <c r="L1016" i="23" s="1"/>
  <c r="K1008" i="23"/>
  <c r="K1000" i="23"/>
  <c r="L1000" i="23" s="1"/>
  <c r="K992" i="23"/>
  <c r="K984" i="23"/>
  <c r="K976" i="23"/>
  <c r="K968" i="23"/>
  <c r="K960" i="23"/>
  <c r="K952" i="23"/>
  <c r="L952" i="23" s="1"/>
  <c r="K944" i="23"/>
  <c r="K936" i="23"/>
  <c r="L936" i="23" s="1"/>
  <c r="K912" i="23"/>
  <c r="K904" i="23"/>
  <c r="K896" i="23"/>
  <c r="K888" i="23"/>
  <c r="K880" i="23"/>
  <c r="K872" i="23"/>
  <c r="L872" i="23" s="1"/>
  <c r="K848" i="23"/>
  <c r="K840" i="23"/>
  <c r="K832" i="23"/>
  <c r="K824" i="23"/>
  <c r="L824" i="23" s="1"/>
  <c r="K816" i="23"/>
  <c r="K808" i="23"/>
  <c r="K800" i="23"/>
  <c r="L800" i="23" s="1"/>
  <c r="K792" i="23"/>
  <c r="L792" i="23" s="1"/>
  <c r="K768" i="23"/>
  <c r="K760" i="23"/>
  <c r="K752" i="23"/>
  <c r="K744" i="23"/>
  <c r="K736" i="23"/>
  <c r="K728" i="23"/>
  <c r="K704" i="23"/>
  <c r="K696" i="23"/>
  <c r="K688" i="23"/>
  <c r="K680" i="23"/>
  <c r="L680" i="23" s="1"/>
  <c r="K672" i="23"/>
  <c r="L672" i="23" s="1"/>
  <c r="K664" i="23"/>
  <c r="K640" i="23"/>
  <c r="K632" i="23"/>
  <c r="L632" i="23" s="1"/>
  <c r="K624" i="23"/>
  <c r="K616" i="23"/>
  <c r="L616" i="23" s="1"/>
  <c r="K608" i="23"/>
  <c r="L608" i="23" s="1"/>
  <c r="K600" i="23"/>
  <c r="K576" i="23"/>
  <c r="K568" i="23"/>
  <c r="L568" i="23" s="1"/>
  <c r="K560" i="23"/>
  <c r="K552" i="23"/>
  <c r="L552" i="23" s="1"/>
  <c r="K544" i="23"/>
  <c r="L544" i="23" s="1"/>
  <c r="K536" i="23"/>
  <c r="L536" i="23" s="1"/>
  <c r="K512" i="23"/>
  <c r="K504" i="23"/>
  <c r="L504" i="23" s="1"/>
  <c r="K496" i="23"/>
  <c r="K488" i="23"/>
  <c r="L488" i="23" s="1"/>
  <c r="K480" i="23"/>
  <c r="L480" i="23" s="1"/>
  <c r="K472" i="23"/>
  <c r="L472" i="23" s="1"/>
  <c r="K448" i="23"/>
  <c r="K440" i="23"/>
  <c r="L440" i="23" s="1"/>
  <c r="K432" i="23"/>
  <c r="K424" i="23"/>
  <c r="L424" i="23" s="1"/>
  <c r="K416" i="23"/>
  <c r="L416" i="23" s="1"/>
  <c r="K408" i="23"/>
  <c r="K384" i="23"/>
  <c r="K376" i="23"/>
  <c r="L376" i="23" s="1"/>
  <c r="K368" i="23"/>
  <c r="K360" i="23"/>
  <c r="L360" i="23" s="1"/>
  <c r="K352" i="23"/>
  <c r="L352" i="23" s="1"/>
  <c r="K344" i="23"/>
  <c r="K320" i="23"/>
  <c r="K312" i="23"/>
  <c r="L312" i="23" s="1"/>
  <c r="K304" i="23"/>
  <c r="K296" i="23"/>
  <c r="L296" i="23" s="1"/>
  <c r="K288" i="23"/>
  <c r="L288" i="23" s="1"/>
  <c r="K280" i="23"/>
  <c r="L280" i="23" s="1"/>
  <c r="K256" i="23"/>
  <c r="K248" i="23"/>
  <c r="L248" i="23" s="1"/>
  <c r="K240" i="23"/>
  <c r="K232" i="23"/>
  <c r="L232" i="23" s="1"/>
  <c r="K48" i="23"/>
  <c r="K520" i="23"/>
  <c r="K264" i="23"/>
  <c r="L203" i="23"/>
  <c r="K224" i="23"/>
  <c r="L224" i="23" s="1"/>
  <c r="K216" i="23"/>
  <c r="K208" i="23"/>
  <c r="K200" i="23"/>
  <c r="K192" i="23"/>
  <c r="K184" i="23"/>
  <c r="L184" i="23" s="1"/>
  <c r="K168" i="23"/>
  <c r="L168" i="23" s="1"/>
  <c r="K160" i="23"/>
  <c r="L160" i="23" s="1"/>
  <c r="K152" i="23"/>
  <c r="K144" i="23"/>
  <c r="K136" i="23"/>
  <c r="K128" i="23"/>
  <c r="K120" i="23"/>
  <c r="L120" i="23" s="1"/>
  <c r="K104" i="23"/>
  <c r="L104" i="23" s="1"/>
  <c r="K96" i="23"/>
  <c r="L96" i="23" s="1"/>
  <c r="K88" i="23"/>
  <c r="L88" i="23" s="1"/>
  <c r="K80" i="23"/>
  <c r="K72" i="23"/>
  <c r="K64" i="23"/>
  <c r="K56" i="23"/>
  <c r="L56" i="23" s="1"/>
  <c r="K40" i="23"/>
  <c r="L40" i="23" s="1"/>
  <c r="K32" i="23"/>
  <c r="L32" i="23" s="1"/>
  <c r="K24" i="23"/>
  <c r="L24" i="23" s="1"/>
  <c r="K16" i="23"/>
  <c r="K655" i="23"/>
  <c r="L655" i="23" s="1"/>
  <c r="K647" i="23"/>
  <c r="L647" i="23" s="1"/>
  <c r="K639" i="23"/>
  <c r="K631" i="23"/>
  <c r="K623" i="23"/>
  <c r="K615" i="23"/>
  <c r="K607" i="23"/>
  <c r="K599" i="23"/>
  <c r="K591" i="23"/>
  <c r="K583" i="23"/>
  <c r="K575" i="23"/>
  <c r="K567" i="23"/>
  <c r="K559" i="23"/>
  <c r="K551" i="23"/>
  <c r="K543" i="23"/>
  <c r="L543" i="23" s="1"/>
  <c r="K535" i="23"/>
  <c r="K527" i="23"/>
  <c r="K519" i="23"/>
  <c r="K511" i="23"/>
  <c r="K503" i="23"/>
  <c r="K495" i="23"/>
  <c r="K487" i="23"/>
  <c r="K479" i="23"/>
  <c r="K471" i="23"/>
  <c r="K463" i="23"/>
  <c r="K455" i="23"/>
  <c r="L455" i="23" s="1"/>
  <c r="K447" i="23"/>
  <c r="K439" i="23"/>
  <c r="K431" i="23"/>
  <c r="K423" i="23"/>
  <c r="K415" i="23"/>
  <c r="K407" i="23"/>
  <c r="K399" i="23"/>
  <c r="K391" i="23"/>
  <c r="K383" i="23"/>
  <c r="K375" i="23"/>
  <c r="K367" i="23"/>
  <c r="K359" i="23"/>
  <c r="K351" i="23"/>
  <c r="K343" i="23"/>
  <c r="K335" i="23"/>
  <c r="K327" i="23"/>
  <c r="K319" i="23"/>
  <c r="L319" i="23" s="1"/>
  <c r="K311" i="23"/>
  <c r="K303" i="23"/>
  <c r="K295" i="23"/>
  <c r="K287" i="23"/>
  <c r="L287" i="23" s="1"/>
  <c r="K279" i="23"/>
  <c r="K271" i="23"/>
  <c r="K263" i="23"/>
  <c r="K255" i="23"/>
  <c r="K247" i="23"/>
  <c r="K239" i="23"/>
  <c r="K231" i="23"/>
  <c r="K223" i="23"/>
  <c r="K215" i="23"/>
  <c r="K207" i="23"/>
  <c r="K199" i="23"/>
  <c r="K191" i="23"/>
  <c r="K183" i="23"/>
  <c r="K175" i="23"/>
  <c r="K167" i="23"/>
  <c r="K159" i="23"/>
  <c r="K151" i="23"/>
  <c r="K143" i="23"/>
  <c r="K135" i="23"/>
  <c r="L135" i="23" s="1"/>
  <c r="K127" i="23"/>
  <c r="K119" i="23"/>
  <c r="K111" i="23"/>
  <c r="K103" i="23"/>
  <c r="L103" i="23" s="1"/>
  <c r="K95" i="23"/>
  <c r="L95" i="23" s="1"/>
  <c r="K87" i="23"/>
  <c r="L87" i="23" s="1"/>
  <c r="K79" i="23"/>
  <c r="L79" i="23" s="1"/>
  <c r="K71" i="23"/>
  <c r="L71" i="23" s="1"/>
  <c r="K63" i="23"/>
  <c r="L63" i="23" s="1"/>
  <c r="K55" i="23"/>
  <c r="L55" i="23" s="1"/>
  <c r="K47" i="23"/>
  <c r="K39" i="23"/>
  <c r="K31" i="23"/>
  <c r="K23" i="23"/>
  <c r="K718" i="23"/>
  <c r="K710" i="23"/>
  <c r="K702" i="23"/>
  <c r="K694" i="23"/>
  <c r="K686" i="23"/>
  <c r="K678" i="23"/>
  <c r="K670" i="23"/>
  <c r="L669" i="23" s="1"/>
  <c r="K662" i="23"/>
  <c r="K654" i="23"/>
  <c r="L654" i="23" s="1"/>
  <c r="K646" i="23"/>
  <c r="L646" i="23" s="1"/>
  <c r="K638" i="23"/>
  <c r="L638" i="23" s="1"/>
  <c r="K630" i="23"/>
  <c r="L630" i="23" s="1"/>
  <c r="K622" i="23"/>
  <c r="L622" i="23" s="1"/>
  <c r="K614" i="23"/>
  <c r="L614" i="23" s="1"/>
  <c r="K606" i="23"/>
  <c r="L606" i="23" s="1"/>
  <c r="K598" i="23"/>
  <c r="L598" i="23" s="1"/>
  <c r="K590" i="23"/>
  <c r="L590" i="23" s="1"/>
  <c r="K582" i="23"/>
  <c r="L582" i="23" s="1"/>
  <c r="K574" i="23"/>
  <c r="L574" i="23" s="1"/>
  <c r="K566" i="23"/>
  <c r="L566" i="23" s="1"/>
  <c r="K558" i="23"/>
  <c r="L558" i="23" s="1"/>
  <c r="K550" i="23"/>
  <c r="L550" i="23" s="1"/>
  <c r="K542" i="23"/>
  <c r="L542" i="23" s="1"/>
  <c r="K534" i="23"/>
  <c r="L534" i="23" s="1"/>
  <c r="K526" i="23"/>
  <c r="L526" i="23" s="1"/>
  <c r="K518" i="23"/>
  <c r="L518" i="23" s="1"/>
  <c r="K510" i="23"/>
  <c r="L510" i="23" s="1"/>
  <c r="K502" i="23"/>
  <c r="L502" i="23" s="1"/>
  <c r="K494" i="23"/>
  <c r="L494" i="23" s="1"/>
  <c r="K486" i="23"/>
  <c r="L486" i="23" s="1"/>
  <c r="K478" i="23"/>
  <c r="L478" i="23" s="1"/>
  <c r="K470" i="23"/>
  <c r="L470" i="23" s="1"/>
  <c r="K462" i="23"/>
  <c r="L462" i="23" s="1"/>
  <c r="K454" i="23"/>
  <c r="L454" i="23" s="1"/>
  <c r="K446" i="23"/>
  <c r="L446" i="23" s="1"/>
  <c r="K438" i="23"/>
  <c r="L438" i="23" s="1"/>
  <c r="K430" i="23"/>
  <c r="K422" i="23"/>
  <c r="L422" i="23" s="1"/>
  <c r="K414" i="23"/>
  <c r="K406" i="23"/>
  <c r="L406" i="23" s="1"/>
  <c r="K398" i="23"/>
  <c r="L398" i="23" s="1"/>
  <c r="K390" i="23"/>
  <c r="L390" i="23" s="1"/>
  <c r="K382" i="23"/>
  <c r="L382" i="23" s="1"/>
  <c r="K374" i="23"/>
  <c r="L374" i="23" s="1"/>
  <c r="K366" i="23"/>
  <c r="L366" i="23" s="1"/>
  <c r="K358" i="23"/>
  <c r="L358" i="23" s="1"/>
  <c r="K350" i="23"/>
  <c r="K342" i="23"/>
  <c r="K334" i="23"/>
  <c r="L334" i="23" s="1"/>
  <c r="K326" i="23"/>
  <c r="L326" i="23" s="1"/>
  <c r="K318" i="23"/>
  <c r="L318" i="23" s="1"/>
  <c r="K310" i="23"/>
  <c r="L310" i="23" s="1"/>
  <c r="K302" i="23"/>
  <c r="L302" i="23" s="1"/>
  <c r="K294" i="23"/>
  <c r="L294" i="23" s="1"/>
  <c r="K286" i="23"/>
  <c r="L286" i="23" s="1"/>
  <c r="K278" i="23"/>
  <c r="L278" i="23" s="1"/>
  <c r="K270" i="23"/>
  <c r="L270" i="23" s="1"/>
  <c r="K262" i="23"/>
  <c r="L262" i="23" s="1"/>
  <c r="K254" i="23"/>
  <c r="L254" i="23" s="1"/>
  <c r="K246" i="23"/>
  <c r="L246" i="23" s="1"/>
  <c r="K238" i="23"/>
  <c r="L238" i="23" s="1"/>
  <c r="K230" i="23"/>
  <c r="L230" i="23" s="1"/>
  <c r="K222" i="23"/>
  <c r="L222" i="23" s="1"/>
  <c r="K214" i="23"/>
  <c r="L214" i="23" s="1"/>
  <c r="K206" i="23"/>
  <c r="L206" i="23" s="1"/>
  <c r="K198" i="23"/>
  <c r="L198" i="23" s="1"/>
  <c r="K190" i="23"/>
  <c r="L190" i="23" s="1"/>
  <c r="K182" i="23"/>
  <c r="L182" i="23" s="1"/>
  <c r="K174" i="23"/>
  <c r="L174" i="23" s="1"/>
  <c r="K166" i="23"/>
  <c r="L166" i="23" s="1"/>
  <c r="K158" i="23"/>
  <c r="K150" i="23"/>
  <c r="K142" i="23"/>
  <c r="L142" i="23" s="1"/>
  <c r="K134" i="23"/>
  <c r="L134" i="23" s="1"/>
  <c r="K126" i="23"/>
  <c r="L126" i="23" s="1"/>
  <c r="K118" i="23"/>
  <c r="L118" i="23" s="1"/>
  <c r="K110" i="23"/>
  <c r="L110" i="23" s="1"/>
  <c r="K102" i="23"/>
  <c r="L102" i="23" s="1"/>
  <c r="K94" i="23"/>
  <c r="K86" i="23"/>
  <c r="K78" i="23"/>
  <c r="L78" i="23" s="1"/>
  <c r="K70" i="23"/>
  <c r="L70" i="23" s="1"/>
  <c r="K62" i="23"/>
  <c r="L62" i="23" s="1"/>
  <c r="K54" i="23"/>
  <c r="L54" i="23" s="1"/>
  <c r="K46" i="23"/>
  <c r="L46" i="23" s="1"/>
  <c r="K38" i="23"/>
  <c r="L38" i="23" s="1"/>
  <c r="K30" i="23"/>
  <c r="L30" i="23" s="1"/>
  <c r="K22" i="23"/>
  <c r="L22" i="23" s="1"/>
  <c r="K692" i="23"/>
  <c r="K684" i="23"/>
  <c r="K676" i="23"/>
  <c r="K668" i="23"/>
  <c r="K660" i="23"/>
  <c r="L660" i="23" s="1"/>
  <c r="K652" i="23"/>
  <c r="K644" i="23"/>
  <c r="K636" i="23"/>
  <c r="L636" i="23" s="1"/>
  <c r="K628" i="23"/>
  <c r="K620" i="23"/>
  <c r="K612" i="23"/>
  <c r="K604" i="23"/>
  <c r="L604" i="23" s="1"/>
  <c r="K596" i="23"/>
  <c r="L596" i="23" s="1"/>
  <c r="K588" i="23"/>
  <c r="K580" i="23"/>
  <c r="K572" i="23"/>
  <c r="L572" i="23" s="1"/>
  <c r="K564" i="23"/>
  <c r="K556" i="23"/>
  <c r="K548" i="23"/>
  <c r="K540" i="23"/>
  <c r="K532" i="23"/>
  <c r="L532" i="23" s="1"/>
  <c r="K524" i="23"/>
  <c r="K516" i="23"/>
  <c r="L516" i="23" s="1"/>
  <c r="K508" i="23"/>
  <c r="K500" i="23"/>
  <c r="L500" i="23" s="1"/>
  <c r="K492" i="23"/>
  <c r="K484" i="23"/>
  <c r="L484" i="23" s="1"/>
  <c r="K476" i="23"/>
  <c r="K468" i="23"/>
  <c r="K460" i="23"/>
  <c r="L460" i="23" s="1"/>
  <c r="K452" i="23"/>
  <c r="L452" i="23" s="1"/>
  <c r="K444" i="23"/>
  <c r="K436" i="23"/>
  <c r="K428" i="23"/>
  <c r="K420" i="23"/>
  <c r="L419" i="23" s="1"/>
  <c r="K412" i="23"/>
  <c r="K404" i="23"/>
  <c r="L404" i="23" s="1"/>
  <c r="K396" i="23"/>
  <c r="K388" i="23"/>
  <c r="K380" i="23"/>
  <c r="K372" i="23"/>
  <c r="K364" i="23"/>
  <c r="K356" i="23"/>
  <c r="K348" i="23"/>
  <c r="L348" i="23" s="1"/>
  <c r="K340" i="23"/>
  <c r="L340" i="23" s="1"/>
  <c r="K332" i="23"/>
  <c r="K324" i="23"/>
  <c r="K316" i="23"/>
  <c r="L316" i="23" s="1"/>
  <c r="K308" i="23"/>
  <c r="K300" i="23"/>
  <c r="K292" i="23"/>
  <c r="K284" i="23"/>
  <c r="K276" i="23"/>
  <c r="L276" i="23" s="1"/>
  <c r="K268" i="23"/>
  <c r="K260" i="23"/>
  <c r="K252" i="23"/>
  <c r="L252" i="23" s="1"/>
  <c r="K244" i="23"/>
  <c r="K236" i="23"/>
  <c r="K228" i="23"/>
  <c r="K212" i="23"/>
  <c r="L212" i="23" s="1"/>
  <c r="K196" i="23"/>
  <c r="K188" i="23"/>
  <c r="K180" i="23"/>
  <c r="L180" i="23" s="1"/>
  <c r="K172" i="23"/>
  <c r="L172" i="23" s="1"/>
  <c r="K164" i="23"/>
  <c r="L163" i="23" s="1"/>
  <c r="K156" i="23"/>
  <c r="K148" i="23"/>
  <c r="K140" i="23"/>
  <c r="K132" i="23"/>
  <c r="L132" i="23" s="1"/>
  <c r="K124" i="23"/>
  <c r="K116" i="23"/>
  <c r="L116" i="23" s="1"/>
  <c r="K108" i="23"/>
  <c r="L108" i="23" s="1"/>
  <c r="K100" i="23"/>
  <c r="L99" i="23" s="1"/>
  <c r="K92" i="23"/>
  <c r="K84" i="23"/>
  <c r="K76" i="23"/>
  <c r="K68" i="23"/>
  <c r="L68" i="23" s="1"/>
  <c r="K60" i="23"/>
  <c r="K52" i="23"/>
  <c r="K44" i="23"/>
  <c r="L44" i="23" s="1"/>
  <c r="K36" i="23"/>
  <c r="L35" i="23" s="1"/>
  <c r="K28" i="23"/>
  <c r="K20" i="23"/>
  <c r="L20" i="23" s="1"/>
  <c r="C15" i="23"/>
  <c r="L1268" i="23" l="1"/>
  <c r="L1332" i="23"/>
  <c r="L953" i="23"/>
  <c r="L1081" i="23"/>
  <c r="Y11" i="23"/>
  <c r="I11" i="1" s="1"/>
  <c r="J11" i="1" s="1"/>
  <c r="L207" i="23"/>
  <c r="L591" i="23"/>
  <c r="L753" i="23"/>
  <c r="L970" i="23"/>
  <c r="L769" i="23"/>
  <c r="L1205" i="23"/>
  <c r="L1206" i="23"/>
  <c r="L961" i="23"/>
  <c r="L52" i="23"/>
  <c r="L388" i="23"/>
  <c r="L415" i="23"/>
  <c r="L264" i="23"/>
  <c r="L969" i="23"/>
  <c r="L986" i="23"/>
  <c r="L1306" i="23"/>
  <c r="L1158" i="23"/>
  <c r="L1314" i="23"/>
  <c r="L1286" i="23"/>
  <c r="L445" i="23"/>
  <c r="L1153" i="23"/>
  <c r="L1249" i="23"/>
  <c r="L1257" i="23"/>
  <c r="L1137" i="23"/>
  <c r="D16" i="32"/>
  <c r="E16" i="32" s="1"/>
  <c r="F16" i="32" s="1"/>
  <c r="L196" i="23"/>
  <c r="L468" i="23"/>
  <c r="L239" i="23"/>
  <c r="L495" i="23"/>
  <c r="L985" i="23"/>
  <c r="L1305" i="23"/>
  <c r="L74" i="23"/>
  <c r="L138" i="23"/>
  <c r="L202" i="23"/>
  <c r="L266" i="23"/>
  <c r="L330" i="23"/>
  <c r="L458" i="23"/>
  <c r="L522" i="23"/>
  <c r="L586" i="23"/>
  <c r="L650" i="23"/>
  <c r="L1313" i="23"/>
  <c r="L754" i="23"/>
  <c r="L1074" i="23"/>
  <c r="L821" i="23"/>
  <c r="L954" i="23"/>
  <c r="L1082" i="23"/>
  <c r="J8" i="1"/>
  <c r="L396" i="23"/>
  <c r="L524" i="23"/>
  <c r="L432" i="23"/>
  <c r="L688" i="23"/>
  <c r="L1053" i="23"/>
  <c r="L1181" i="23"/>
  <c r="L41" i="23"/>
  <c r="L105" i="23"/>
  <c r="L169" i="23"/>
  <c r="L233" i="23"/>
  <c r="L297" i="23"/>
  <c r="L361" i="23"/>
  <c r="L425" i="23"/>
  <c r="L489" i="23"/>
  <c r="L553" i="23"/>
  <c r="L617" i="23"/>
  <c r="L681" i="23"/>
  <c r="L1297" i="23"/>
  <c r="L189" i="23"/>
  <c r="L309" i="23"/>
  <c r="L381" i="23"/>
  <c r="L226" i="23"/>
  <c r="L1089" i="23"/>
  <c r="L368" i="23"/>
  <c r="L624" i="23"/>
  <c r="L950" i="23"/>
  <c r="L682" i="23"/>
  <c r="L1130" i="23"/>
  <c r="L1258" i="23"/>
  <c r="L817" i="23"/>
  <c r="L949" i="23"/>
  <c r="L818" i="23"/>
  <c r="L882" i="23"/>
  <c r="L1138" i="23"/>
  <c r="L92" i="23"/>
  <c r="L156" i="23"/>
  <c r="L48" i="23"/>
  <c r="L304" i="23"/>
  <c r="L560" i="23"/>
  <c r="L797" i="23"/>
  <c r="L833" i="23"/>
  <c r="L1294" i="23"/>
  <c r="L204" i="23"/>
  <c r="L834" i="23"/>
  <c r="L1154" i="23"/>
  <c r="L444" i="23"/>
  <c r="L45" i="23"/>
  <c r="L240" i="23"/>
  <c r="L496" i="23"/>
  <c r="L1293" i="23"/>
  <c r="L176" i="23"/>
  <c r="L42" i="23"/>
  <c r="L106" i="23"/>
  <c r="L170" i="23"/>
  <c r="L234" i="23"/>
  <c r="L298" i="23"/>
  <c r="L362" i="23"/>
  <c r="L426" i="23"/>
  <c r="L490" i="23"/>
  <c r="L554" i="23"/>
  <c r="L618" i="23"/>
  <c r="L906" i="23"/>
  <c r="L1002" i="23"/>
  <c r="L260" i="23"/>
  <c r="L324" i="23"/>
  <c r="L580" i="23"/>
  <c r="L644" i="23"/>
  <c r="L109" i="23"/>
  <c r="L199" i="23"/>
  <c r="L716" i="23"/>
  <c r="L905" i="23"/>
  <c r="L1298" i="23"/>
  <c r="L188" i="23"/>
  <c r="L39" i="23"/>
  <c r="L167" i="23"/>
  <c r="L423" i="23"/>
  <c r="L520" i="23"/>
  <c r="L1261" i="23"/>
  <c r="L1185" i="23"/>
  <c r="L221" i="23"/>
  <c r="L392" i="23"/>
  <c r="L801" i="23"/>
  <c r="L1330" i="23"/>
  <c r="L1021" i="23"/>
  <c r="L1149" i="23"/>
  <c r="L33" i="23"/>
  <c r="L97" i="23"/>
  <c r="L161" i="23"/>
  <c r="L225" i="23"/>
  <c r="L289" i="23"/>
  <c r="L353" i="23"/>
  <c r="L417" i="23"/>
  <c r="L481" i="23"/>
  <c r="L545" i="23"/>
  <c r="L609" i="23"/>
  <c r="L673" i="23"/>
  <c r="L219" i="23"/>
  <c r="L1210" i="23"/>
  <c r="L84" i="23"/>
  <c r="L148" i="23"/>
  <c r="L841" i="23"/>
  <c r="L700" i="23"/>
  <c r="L34" i="23"/>
  <c r="L98" i="23"/>
  <c r="L162" i="23"/>
  <c r="L290" i="23"/>
  <c r="L354" i="23"/>
  <c r="L418" i="23"/>
  <c r="L482" i="23"/>
  <c r="L546" i="23"/>
  <c r="L610" i="23"/>
  <c r="L1209" i="23"/>
  <c r="L1090" i="23"/>
  <c r="L583" i="23"/>
  <c r="L995" i="23"/>
  <c r="L1187" i="23"/>
  <c r="L1251" i="23"/>
  <c r="L1098" i="23"/>
  <c r="L244" i="23"/>
  <c r="L628" i="23"/>
  <c r="L399" i="23"/>
  <c r="L847" i="23"/>
  <c r="L857" i="23"/>
  <c r="L1301" i="23"/>
  <c r="L757" i="23"/>
  <c r="L917" i="23"/>
  <c r="L1045" i="23"/>
  <c r="L766" i="23"/>
  <c r="L1097" i="23"/>
  <c r="L786" i="23"/>
  <c r="L1106" i="23"/>
  <c r="L428" i="23"/>
  <c r="L308" i="23"/>
  <c r="L564" i="23"/>
  <c r="L477" i="23"/>
  <c r="L380" i="23"/>
  <c r="L765" i="23"/>
  <c r="L775" i="23"/>
  <c r="L858" i="23"/>
  <c r="L1242" i="23"/>
  <c r="L61" i="23"/>
  <c r="L365" i="23"/>
  <c r="L501" i="23"/>
  <c r="L1230" i="23"/>
  <c r="L346" i="23"/>
  <c r="L1065" i="23"/>
  <c r="L1041" i="23"/>
  <c r="L1162" i="23"/>
  <c r="L1193" i="23"/>
  <c r="L1121" i="23"/>
  <c r="L1049" i="23"/>
  <c r="L285" i="23"/>
  <c r="L733" i="23"/>
  <c r="L1229" i="23"/>
  <c r="L25" i="23"/>
  <c r="L89" i="23"/>
  <c r="L153" i="23"/>
  <c r="L217" i="23"/>
  <c r="L281" i="23"/>
  <c r="L345" i="23"/>
  <c r="L409" i="23"/>
  <c r="L473" i="23"/>
  <c r="L537" i="23"/>
  <c r="L601" i="23"/>
  <c r="L665" i="23"/>
  <c r="L1042" i="23"/>
  <c r="L53" i="23"/>
  <c r="L301" i="23"/>
  <c r="L23" i="23"/>
  <c r="L407" i="23"/>
  <c r="L471" i="23"/>
  <c r="L729" i="23"/>
  <c r="L805" i="23"/>
  <c r="L884" i="23"/>
  <c r="L776" i="23"/>
  <c r="L730" i="23"/>
  <c r="L1050" i="23"/>
  <c r="L1122" i="23"/>
  <c r="L231" i="23"/>
  <c r="L487" i="23"/>
  <c r="L724" i="23"/>
  <c r="L788" i="23"/>
  <c r="L868" i="23"/>
  <c r="L948" i="23"/>
  <c r="L1012" i="23"/>
  <c r="L1076" i="23"/>
  <c r="L1140" i="23"/>
  <c r="L746" i="23"/>
  <c r="L1066" i="23"/>
  <c r="L1194" i="23"/>
  <c r="L76" i="23"/>
  <c r="L140" i="23"/>
  <c r="L412" i="23"/>
  <c r="L117" i="23"/>
  <c r="L373" i="23"/>
  <c r="L1117" i="23"/>
  <c r="L26" i="23"/>
  <c r="L90" i="23"/>
  <c r="L154" i="23"/>
  <c r="L282" i="23"/>
  <c r="L410" i="23"/>
  <c r="L474" i="23"/>
  <c r="L538" i="23"/>
  <c r="L602" i="23"/>
  <c r="L666" i="23"/>
  <c r="L974" i="23"/>
  <c r="L60" i="23"/>
  <c r="L228" i="23"/>
  <c r="L612" i="23"/>
  <c r="L745" i="23"/>
  <c r="L826" i="23"/>
  <c r="L389" i="23"/>
  <c r="L509" i="23"/>
  <c r="L814" i="23"/>
  <c r="L125" i="23"/>
  <c r="L469" i="23"/>
  <c r="L292" i="23"/>
  <c r="L548" i="23"/>
  <c r="L364" i="23"/>
  <c r="L197" i="23"/>
  <c r="L127" i="23"/>
  <c r="L575" i="23"/>
  <c r="L825" i="23"/>
  <c r="L597" i="23"/>
  <c r="L870" i="23"/>
  <c r="L1350" i="23"/>
  <c r="L893" i="23"/>
  <c r="L846" i="23"/>
  <c r="L124" i="23"/>
  <c r="L268" i="23"/>
  <c r="L332" i="23"/>
  <c r="L588" i="23"/>
  <c r="L652" i="23"/>
  <c r="L213" i="23"/>
  <c r="L517" i="23"/>
  <c r="L143" i="23"/>
  <c r="L448" i="23"/>
  <c r="L880" i="23"/>
  <c r="L960" i="23"/>
  <c r="L1024" i="23"/>
  <c r="L1088" i="23"/>
  <c r="L1152" i="23"/>
  <c r="L1216" i="23"/>
  <c r="L1280" i="23"/>
  <c r="L1344" i="23"/>
  <c r="L1285" i="23"/>
  <c r="L1349" i="23"/>
  <c r="L869" i="23"/>
  <c r="L1077" i="23"/>
  <c r="L69" i="23"/>
  <c r="L662" i="23"/>
  <c r="L957" i="23"/>
  <c r="L261" i="23"/>
  <c r="L159" i="23"/>
  <c r="L75" i="23"/>
  <c r="L816" i="23"/>
  <c r="L896" i="23"/>
  <c r="L780" i="23"/>
  <c r="L860" i="23"/>
  <c r="L940" i="23"/>
  <c r="L1004" i="23"/>
  <c r="L1068" i="23"/>
  <c r="L1132" i="23"/>
  <c r="L864" i="23"/>
  <c r="L499" i="23"/>
  <c r="L563" i="23"/>
  <c r="L843" i="23"/>
  <c r="L295" i="23"/>
  <c r="L899" i="23"/>
  <c r="L1204" i="23"/>
  <c r="L1309" i="23"/>
  <c r="L1373" i="23"/>
  <c r="L813" i="23"/>
  <c r="L973" i="23"/>
  <c r="L759" i="23"/>
  <c r="L823" i="23"/>
  <c r="L903" i="23"/>
  <c r="L983" i="23"/>
  <c r="L1047" i="23"/>
  <c r="L1111" i="23"/>
  <c r="L1175" i="23"/>
  <c r="L1239" i="23"/>
  <c r="L1303" i="23"/>
  <c r="L1367" i="23"/>
  <c r="L963" i="23"/>
  <c r="L678" i="23"/>
  <c r="L551" i="23"/>
  <c r="L684" i="23"/>
  <c r="L453" i="23"/>
  <c r="L111" i="23"/>
  <c r="L192" i="23"/>
  <c r="L627" i="23"/>
  <c r="L732" i="23"/>
  <c r="L796" i="23"/>
  <c r="L876" i="23"/>
  <c r="L956" i="23"/>
  <c r="L1020" i="23"/>
  <c r="L1084" i="23"/>
  <c r="L1148" i="23"/>
  <c r="L1173" i="23"/>
  <c r="L1310" i="23"/>
  <c r="L1374" i="23"/>
  <c r="L859" i="23"/>
  <c r="L854" i="23"/>
  <c r="L29" i="23"/>
  <c r="L277" i="23"/>
  <c r="L661" i="23"/>
  <c r="L1326" i="23"/>
  <c r="L218" i="23"/>
  <c r="L808" i="23"/>
  <c r="L133" i="23"/>
  <c r="L311" i="23"/>
  <c r="L567" i="23"/>
  <c r="L691" i="23"/>
  <c r="L740" i="23"/>
  <c r="L804" i="23"/>
  <c r="L900" i="23"/>
  <c r="L964" i="23"/>
  <c r="L1219" i="23"/>
  <c r="L1283" i="23"/>
  <c r="L1347" i="23"/>
  <c r="L1062" i="23"/>
  <c r="L1126" i="23"/>
  <c r="L886" i="23"/>
  <c r="L1222" i="23"/>
  <c r="L437" i="23"/>
  <c r="L835" i="23"/>
  <c r="L508" i="23"/>
  <c r="L325" i="23"/>
  <c r="L227" i="23"/>
  <c r="L256" i="23"/>
  <c r="L512" i="23"/>
  <c r="L768" i="23"/>
  <c r="L944" i="23"/>
  <c r="L1008" i="23"/>
  <c r="L1072" i="23"/>
  <c r="L1136" i="23"/>
  <c r="L1200" i="23"/>
  <c r="L1264" i="23"/>
  <c r="L1328" i="23"/>
  <c r="L1228" i="23"/>
  <c r="L557" i="23"/>
  <c r="L997" i="23"/>
  <c r="L1125" i="23"/>
  <c r="L942" i="23"/>
  <c r="L253" i="23"/>
  <c r="L181" i="23"/>
  <c r="L317" i="23"/>
  <c r="L910" i="23"/>
  <c r="L130" i="23"/>
  <c r="L131" i="23"/>
  <c r="L86" i="23"/>
  <c r="L85" i="23"/>
  <c r="L150" i="23"/>
  <c r="L149" i="23"/>
  <c r="L342" i="23"/>
  <c r="L341" i="23"/>
  <c r="L16" i="23"/>
  <c r="L15" i="23"/>
  <c r="X15" i="23" s="1"/>
  <c r="L1221" i="23"/>
  <c r="L621" i="23"/>
  <c r="L395" i="23"/>
  <c r="L498" i="23"/>
  <c r="L842" i="23"/>
  <c r="L237" i="23"/>
  <c r="L1246" i="23"/>
  <c r="L173" i="23"/>
  <c r="L1110" i="23"/>
  <c r="L714" i="23"/>
  <c r="L715" i="23"/>
  <c r="L94" i="23"/>
  <c r="L93" i="23"/>
  <c r="L158" i="23"/>
  <c r="L157" i="23"/>
  <c r="L350" i="23"/>
  <c r="L349" i="23"/>
  <c r="L414" i="23"/>
  <c r="L413" i="23"/>
  <c r="L67" i="23"/>
  <c r="L459" i="23"/>
  <c r="L696" i="23"/>
  <c r="L272" i="23"/>
  <c r="L1028" i="23"/>
  <c r="L1027" i="23"/>
  <c r="L1092" i="23"/>
  <c r="L1091" i="23"/>
  <c r="L1156" i="23"/>
  <c r="L1155" i="23"/>
  <c r="L1046" i="23"/>
  <c r="L493" i="23"/>
  <c r="L587" i="23"/>
  <c r="L464" i="23"/>
  <c r="L820" i="23"/>
  <c r="L195" i="23"/>
  <c r="L194" i="23"/>
  <c r="L713" i="23"/>
  <c r="L712" i="23"/>
  <c r="L704" i="23"/>
  <c r="L528" i="23"/>
  <c r="L336" i="23"/>
  <c r="L779" i="23"/>
  <c r="L748" i="23"/>
  <c r="L812" i="23"/>
  <c r="L908" i="23"/>
  <c r="L972" i="23"/>
  <c r="L1036" i="23"/>
  <c r="L1100" i="23"/>
  <c r="L1164" i="23"/>
  <c r="L1291" i="23"/>
  <c r="L926" i="23"/>
  <c r="L1378" i="23"/>
  <c r="L822" i="23"/>
  <c r="L651" i="23"/>
  <c r="L267" i="23"/>
  <c r="L921" i="23"/>
  <c r="L920" i="23"/>
  <c r="L838" i="23"/>
  <c r="L21" i="23"/>
  <c r="L430" i="23"/>
  <c r="L429" i="23"/>
  <c r="L686" i="23"/>
  <c r="L685" i="23"/>
  <c r="L968" i="23"/>
  <c r="L1032" i="23"/>
  <c r="L1096" i="23"/>
  <c r="L1160" i="23"/>
  <c r="L1224" i="23"/>
  <c r="L1288" i="23"/>
  <c r="L1352" i="23"/>
  <c r="L803" i="23"/>
  <c r="L457" i="23"/>
  <c r="L456" i="23"/>
  <c r="L562" i="23"/>
  <c r="L758" i="23"/>
  <c r="L405" i="23"/>
  <c r="L533" i="23"/>
  <c r="L853" i="23"/>
  <c r="L1006" i="23"/>
  <c r="L476" i="23"/>
  <c r="L540" i="23"/>
  <c r="L668" i="23"/>
  <c r="L693" i="23"/>
  <c r="L119" i="23"/>
  <c r="L128" i="23"/>
  <c r="L200" i="23"/>
  <c r="L291" i="23"/>
  <c r="L384" i="23"/>
  <c r="L640" i="23"/>
  <c r="L736" i="23"/>
  <c r="L976" i="23"/>
  <c r="L1040" i="23"/>
  <c r="L1104" i="23"/>
  <c r="L1168" i="23"/>
  <c r="L1232" i="23"/>
  <c r="L1296" i="23"/>
  <c r="L1360" i="23"/>
  <c r="L328" i="23"/>
  <c r="L592" i="23"/>
  <c r="L648" i="23"/>
  <c r="L756" i="23"/>
  <c r="L916" i="23"/>
  <c r="L980" i="23"/>
  <c r="L1044" i="23"/>
  <c r="L1108" i="23"/>
  <c r="L1172" i="23"/>
  <c r="L1235" i="23"/>
  <c r="L1299" i="23"/>
  <c r="L1363" i="23"/>
  <c r="L1325" i="23"/>
  <c r="L941" i="23"/>
  <c r="L1005" i="23"/>
  <c r="L1069" i="23"/>
  <c r="L663" i="23"/>
  <c r="L726" i="23"/>
  <c r="L790" i="23"/>
  <c r="L1014" i="23"/>
  <c r="L1142" i="23"/>
  <c r="L1270" i="23"/>
  <c r="L1334" i="23"/>
  <c r="L1059" i="23"/>
  <c r="L1315" i="23"/>
  <c r="L892" i="23"/>
  <c r="L1189" i="23"/>
  <c r="L284" i="23"/>
  <c r="L356" i="23"/>
  <c r="L420" i="23"/>
  <c r="L676" i="23"/>
  <c r="L245" i="23"/>
  <c r="L702" i="23"/>
  <c r="L191" i="23"/>
  <c r="L255" i="23"/>
  <c r="L447" i="23"/>
  <c r="L511" i="23"/>
  <c r="L64" i="23"/>
  <c r="L136" i="23"/>
  <c r="L208" i="23"/>
  <c r="L139" i="23"/>
  <c r="L331" i="23"/>
  <c r="L408" i="23"/>
  <c r="L664" i="23"/>
  <c r="L904" i="23"/>
  <c r="L984" i="23"/>
  <c r="L1048" i="23"/>
  <c r="L1112" i="23"/>
  <c r="L1176" i="23"/>
  <c r="L1240" i="23"/>
  <c r="L1304" i="23"/>
  <c r="L1368" i="23"/>
  <c r="L584" i="23"/>
  <c r="L764" i="23"/>
  <c r="L844" i="23"/>
  <c r="L924" i="23"/>
  <c r="L988" i="23"/>
  <c r="L1052" i="23"/>
  <c r="L1116" i="23"/>
  <c r="L1180" i="23"/>
  <c r="L1307" i="23"/>
  <c r="L1371" i="23"/>
  <c r="L1269" i="23"/>
  <c r="L1333" i="23"/>
  <c r="L400" i="23"/>
  <c r="L725" i="23"/>
  <c r="L789" i="23"/>
  <c r="L1013" i="23"/>
  <c r="L1141" i="23"/>
  <c r="L671" i="23"/>
  <c r="L799" i="23"/>
  <c r="L879" i="23"/>
  <c r="L959" i="23"/>
  <c r="L1023" i="23"/>
  <c r="L1087" i="23"/>
  <c r="L1151" i="23"/>
  <c r="L1215" i="23"/>
  <c r="L1279" i="23"/>
  <c r="L1343" i="23"/>
  <c r="L918" i="23"/>
  <c r="L236" i="23"/>
  <c r="L300" i="23"/>
  <c r="L492" i="23"/>
  <c r="L556" i="23"/>
  <c r="L620" i="23"/>
  <c r="L710" i="23"/>
  <c r="L263" i="23"/>
  <c r="L519" i="23"/>
  <c r="L72" i="23"/>
  <c r="L144" i="23"/>
  <c r="L216" i="23"/>
  <c r="L355" i="23"/>
  <c r="L320" i="23"/>
  <c r="L576" i="23"/>
  <c r="L912" i="23"/>
  <c r="L992" i="23"/>
  <c r="L1056" i="23"/>
  <c r="L1120" i="23"/>
  <c r="L1184" i="23"/>
  <c r="L1248" i="23"/>
  <c r="L1312" i="23"/>
  <c r="L1376" i="23"/>
  <c r="L523" i="23"/>
  <c r="L739" i="23"/>
  <c r="L708" i="23"/>
  <c r="L772" i="23"/>
  <c r="L852" i="23"/>
  <c r="L932" i="23"/>
  <c r="L996" i="23"/>
  <c r="L1060" i="23"/>
  <c r="L1124" i="23"/>
  <c r="L1188" i="23"/>
  <c r="L1277" i="23"/>
  <c r="L1341" i="23"/>
  <c r="L656" i="23"/>
  <c r="L877" i="23"/>
  <c r="L1085" i="23"/>
  <c r="L1123" i="23"/>
  <c r="L782" i="23"/>
  <c r="L394" i="23"/>
  <c r="L773" i="23"/>
  <c r="L1061" i="23"/>
  <c r="L719" i="23"/>
  <c r="L14" i="23"/>
  <c r="X14" i="23" s="1"/>
  <c r="L28" i="23"/>
  <c r="L36" i="23"/>
  <c r="L100" i="23"/>
  <c r="L164" i="23"/>
  <c r="L372" i="23"/>
  <c r="L436" i="23"/>
  <c r="L692" i="23"/>
  <c r="L718" i="23"/>
  <c r="L271" i="23"/>
  <c r="L335" i="23"/>
  <c r="L463" i="23"/>
  <c r="L527" i="23"/>
  <c r="L80" i="23"/>
  <c r="L152" i="23"/>
  <c r="L344" i="23"/>
  <c r="L600" i="23"/>
  <c r="L755" i="23"/>
  <c r="L1260" i="23"/>
  <c r="L1324" i="23"/>
  <c r="L741" i="23"/>
  <c r="L885" i="23"/>
  <c r="L1093" i="23"/>
  <c r="L1157" i="23"/>
  <c r="L1245" i="23"/>
  <c r="L837" i="23"/>
  <c r="L928" i="23"/>
  <c r="L112" i="23"/>
  <c r="L735" i="23"/>
  <c r="L971" i="23"/>
  <c r="L1099" i="23"/>
  <c r="L77" i="23"/>
  <c r="L141" i="23"/>
  <c r="L205" i="23"/>
  <c r="L269" i="23"/>
  <c r="L333" i="23"/>
  <c r="L397" i="23"/>
  <c r="L461" i="23"/>
  <c r="L151" i="23"/>
  <c r="L215" i="23"/>
  <c r="L279" i="23"/>
  <c r="L343" i="23"/>
  <c r="L535" i="23"/>
  <c r="L599" i="23"/>
  <c r="L19" i="23"/>
  <c r="L83" i="23"/>
  <c r="L147" i="23"/>
  <c r="L211" i="23"/>
  <c r="L275" i="23"/>
  <c r="L339" i="23"/>
  <c r="L403" i="23"/>
  <c r="L507" i="23"/>
  <c r="L571" i="23"/>
  <c r="L635" i="23"/>
  <c r="L1212" i="23"/>
  <c r="L1276" i="23"/>
  <c r="L1340" i="23"/>
  <c r="L541" i="23"/>
  <c r="L605" i="23"/>
  <c r="L679" i="23"/>
  <c r="L743" i="23"/>
  <c r="L807" i="23"/>
  <c r="L887" i="23"/>
  <c r="L967" i="23"/>
  <c r="L1031" i="23"/>
  <c r="L1095" i="23"/>
  <c r="L1159" i="23"/>
  <c r="L1223" i="23"/>
  <c r="L1287" i="23"/>
  <c r="L1351" i="23"/>
  <c r="L819" i="23"/>
  <c r="L979" i="23"/>
  <c r="L1043" i="23"/>
  <c r="L1107" i="23"/>
  <c r="L1171" i="23"/>
  <c r="L1238" i="23"/>
  <c r="L1278" i="23"/>
  <c r="L902" i="23"/>
  <c r="L784" i="23"/>
  <c r="L811" i="23"/>
  <c r="L1035" i="23"/>
  <c r="L1163" i="23"/>
  <c r="L1227" i="23"/>
  <c r="L1214" i="23"/>
  <c r="L670" i="23"/>
  <c r="L31" i="23"/>
  <c r="L223" i="23"/>
  <c r="L351" i="23"/>
  <c r="L479" i="23"/>
  <c r="L607" i="23"/>
  <c r="L27" i="23"/>
  <c r="L91" i="23"/>
  <c r="L155" i="23"/>
  <c r="L283" i="23"/>
  <c r="L347" i="23"/>
  <c r="L411" i="23"/>
  <c r="L728" i="23"/>
  <c r="L888" i="23"/>
  <c r="L515" i="23"/>
  <c r="L579" i="23"/>
  <c r="L643" i="23"/>
  <c r="L707" i="23"/>
  <c r="L771" i="23"/>
  <c r="L851" i="23"/>
  <c r="L931" i="23"/>
  <c r="L1220" i="23"/>
  <c r="L1284" i="23"/>
  <c r="L1348" i="23"/>
  <c r="L549" i="23"/>
  <c r="L613" i="23"/>
  <c r="L677" i="23"/>
  <c r="L687" i="23"/>
  <c r="L751" i="23"/>
  <c r="L815" i="23"/>
  <c r="L895" i="23"/>
  <c r="L975" i="23"/>
  <c r="L1039" i="23"/>
  <c r="L1103" i="23"/>
  <c r="L1167" i="23"/>
  <c r="L1231" i="23"/>
  <c r="L1295" i="23"/>
  <c r="L1359" i="23"/>
  <c r="L875" i="23"/>
  <c r="L987" i="23"/>
  <c r="L1051" i="23"/>
  <c r="L1115" i="23"/>
  <c r="L1179" i="23"/>
  <c r="L1243" i="23"/>
  <c r="L774" i="23"/>
  <c r="L830" i="23"/>
  <c r="L901" i="23"/>
  <c r="L1150" i="23"/>
  <c r="L856" i="23"/>
  <c r="L359" i="23"/>
  <c r="L1356" i="23"/>
  <c r="L695" i="23"/>
  <c r="L1086" i="23"/>
  <c r="L37" i="23"/>
  <c r="L101" i="23"/>
  <c r="L165" i="23"/>
  <c r="L229" i="23"/>
  <c r="L293" i="23"/>
  <c r="L357" i="23"/>
  <c r="L421" i="23"/>
  <c r="L485" i="23"/>
  <c r="L47" i="23"/>
  <c r="L175" i="23"/>
  <c r="L303" i="23"/>
  <c r="L367" i="23"/>
  <c r="L431" i="23"/>
  <c r="L559" i="23"/>
  <c r="L623" i="23"/>
  <c r="L43" i="23"/>
  <c r="L107" i="23"/>
  <c r="L171" i="23"/>
  <c r="L235" i="23"/>
  <c r="L299" i="23"/>
  <c r="L363" i="23"/>
  <c r="L427" i="23"/>
  <c r="L744" i="23"/>
  <c r="L467" i="23"/>
  <c r="L531" i="23"/>
  <c r="L595" i="23"/>
  <c r="L659" i="23"/>
  <c r="L723" i="23"/>
  <c r="L787" i="23"/>
  <c r="L867" i="23"/>
  <c r="L1236" i="23"/>
  <c r="L1300" i="23"/>
  <c r="L1364" i="23"/>
  <c r="L565" i="23"/>
  <c r="L629" i="23"/>
  <c r="L703" i="23"/>
  <c r="L767" i="23"/>
  <c r="L831" i="23"/>
  <c r="L991" i="23"/>
  <c r="L1055" i="23"/>
  <c r="L1119" i="23"/>
  <c r="L1183" i="23"/>
  <c r="L1247" i="23"/>
  <c r="L1311" i="23"/>
  <c r="L1375" i="23"/>
  <c r="L1366" i="23"/>
  <c r="L939" i="23"/>
  <c r="L1003" i="23"/>
  <c r="L1067" i="23"/>
  <c r="L1131" i="23"/>
  <c r="L1259" i="23"/>
  <c r="L1323" i="23"/>
  <c r="L982" i="23"/>
  <c r="L1102" i="23"/>
  <c r="L862" i="23"/>
  <c r="L1038" i="23"/>
  <c r="L1182" i="23"/>
  <c r="L1292" i="23"/>
  <c r="L883" i="23"/>
  <c r="L1022" i="23"/>
  <c r="L694" i="23"/>
  <c r="L183" i="23"/>
  <c r="L247" i="23"/>
  <c r="L375" i="23"/>
  <c r="L439" i="23"/>
  <c r="L503" i="23"/>
  <c r="L631" i="23"/>
  <c r="L51" i="23"/>
  <c r="L115" i="23"/>
  <c r="L179" i="23"/>
  <c r="L243" i="23"/>
  <c r="L307" i="23"/>
  <c r="L371" i="23"/>
  <c r="L435" i="23"/>
  <c r="L752" i="23"/>
  <c r="L832" i="23"/>
  <c r="L475" i="23"/>
  <c r="L539" i="23"/>
  <c r="L603" i="23"/>
  <c r="L667" i="23"/>
  <c r="L731" i="23"/>
  <c r="L795" i="23"/>
  <c r="L1308" i="23"/>
  <c r="L1372" i="23"/>
  <c r="L573" i="23"/>
  <c r="L637" i="23"/>
  <c r="L701" i="23"/>
  <c r="L720" i="23"/>
  <c r="L839" i="23"/>
  <c r="L935" i="23"/>
  <c r="L999" i="23"/>
  <c r="L1063" i="23"/>
  <c r="L1127" i="23"/>
  <c r="L1191" i="23"/>
  <c r="L1255" i="23"/>
  <c r="L1319" i="23"/>
  <c r="L947" i="23"/>
  <c r="L1011" i="23"/>
  <c r="L1075" i="23"/>
  <c r="L1139" i="23"/>
  <c r="L1203" i="23"/>
  <c r="L1267" i="23"/>
  <c r="L1331" i="23"/>
  <c r="L1342" i="23"/>
  <c r="L998" i="23"/>
  <c r="L1118" i="23"/>
  <c r="L734" i="23"/>
  <c r="L798" i="23"/>
  <c r="L1054" i="23"/>
  <c r="L1190" i="23"/>
  <c r="L383" i="23"/>
  <c r="L639" i="23"/>
  <c r="L59" i="23"/>
  <c r="L123" i="23"/>
  <c r="L187" i="23"/>
  <c r="L251" i="23"/>
  <c r="L315" i="23"/>
  <c r="L379" i="23"/>
  <c r="L443" i="23"/>
  <c r="L760" i="23"/>
  <c r="L840" i="23"/>
  <c r="L483" i="23"/>
  <c r="L547" i="23"/>
  <c r="L611" i="23"/>
  <c r="L675" i="23"/>
  <c r="L1252" i="23"/>
  <c r="L1316" i="23"/>
  <c r="L581" i="23"/>
  <c r="L645" i="23"/>
  <c r="L709" i="23"/>
  <c r="L943" i="23"/>
  <c r="L1007" i="23"/>
  <c r="L1071" i="23"/>
  <c r="L1135" i="23"/>
  <c r="L1199" i="23"/>
  <c r="L1263" i="23"/>
  <c r="L1327" i="23"/>
  <c r="L1302" i="23"/>
  <c r="L955" i="23"/>
  <c r="L1019" i="23"/>
  <c r="L1083" i="23"/>
  <c r="L1147" i="23"/>
  <c r="L1211" i="23"/>
  <c r="L1275" i="23"/>
  <c r="L1339" i="23"/>
  <c r="L1174" i="23"/>
  <c r="L742" i="23"/>
  <c r="L806" i="23"/>
  <c r="L878" i="23"/>
  <c r="L958" i="23"/>
  <c r="L911" i="23"/>
  <c r="L615" i="23"/>
  <c r="L327" i="23"/>
  <c r="L391" i="23"/>
  <c r="L259" i="23"/>
  <c r="L323" i="23"/>
  <c r="L387" i="23"/>
  <c r="L451" i="23"/>
  <c r="L848" i="23"/>
  <c r="L491" i="23"/>
  <c r="L555" i="23"/>
  <c r="L619" i="23"/>
  <c r="L683" i="23"/>
  <c r="L747" i="23"/>
  <c r="L907" i="23"/>
  <c r="L1196" i="23"/>
  <c r="L525" i="23"/>
  <c r="L589" i="23"/>
  <c r="L653" i="23"/>
  <c r="L717" i="23"/>
  <c r="L727" i="23"/>
  <c r="L791" i="23"/>
  <c r="L871" i="23"/>
  <c r="L951" i="23"/>
  <c r="L1015" i="23"/>
  <c r="L1079" i="23"/>
  <c r="L1143" i="23"/>
  <c r="L1207" i="23"/>
  <c r="L1271" i="23"/>
  <c r="L1335" i="23"/>
  <c r="N5" i="28"/>
  <c r="M5" i="28"/>
  <c r="I5" i="28"/>
  <c r="K4" i="28" s="1"/>
  <c r="G5" i="28"/>
  <c r="E5" i="28"/>
  <c r="C5" i="28"/>
  <c r="W5" i="30"/>
  <c r="V5" i="30"/>
  <c r="U5" i="30"/>
  <c r="S5" i="30"/>
  <c r="H5" i="30"/>
  <c r="D5" i="30"/>
  <c r="B5" i="30"/>
  <c r="B6" i="30"/>
  <c r="Q5" i="25"/>
  <c r="N5" i="25"/>
  <c r="K5" i="25"/>
  <c r="T5" i="25"/>
  <c r="G5" i="25"/>
  <c r="AC5" i="25"/>
  <c r="AA5" i="25"/>
  <c r="Y5" i="25"/>
  <c r="W5" i="25"/>
  <c r="C5" i="25"/>
  <c r="Z5" i="30" l="1"/>
  <c r="X5" i="30"/>
  <c r="P11" i="26"/>
  <c r="Q11" i="26" s="1"/>
  <c r="T11" i="26" s="1"/>
  <c r="P12" i="26"/>
  <c r="Q12" i="26" s="1"/>
  <c r="T12" i="26" s="1"/>
  <c r="P13" i="26"/>
  <c r="Q13" i="26" s="1"/>
  <c r="T13" i="26" s="1"/>
  <c r="P10" i="26"/>
  <c r="Q10" i="26" s="1"/>
  <c r="AA4" i="30"/>
  <c r="Y13" i="23"/>
  <c r="I13" i="1" s="1"/>
  <c r="J13" i="1" s="1"/>
  <c r="Y12" i="23"/>
  <c r="I12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E16" i="1"/>
  <c r="F16" i="1" s="1"/>
  <c r="U11" i="26" l="1"/>
  <c r="G11" i="1" s="1"/>
  <c r="H11" i="1" s="1"/>
  <c r="T10" i="26"/>
  <c r="F1378" i="1"/>
  <c r="D8" i="32"/>
  <c r="E8" i="32" s="1"/>
  <c r="F8" i="32" s="1"/>
  <c r="AB4" i="30"/>
  <c r="J12" i="1"/>
  <c r="L16" i="26"/>
  <c r="L17" i="26"/>
  <c r="M16" i="26"/>
  <c r="J16" i="26"/>
  <c r="I16" i="26"/>
  <c r="F16" i="26"/>
  <c r="H16" i="26" s="1"/>
  <c r="E16" i="26"/>
  <c r="G16" i="26" s="1"/>
  <c r="D16" i="26"/>
  <c r="B16" i="26"/>
  <c r="U8" i="26" l="1"/>
  <c r="G8" i="1" s="1"/>
  <c r="H8" i="1" s="1"/>
  <c r="U9" i="26"/>
  <c r="G9" i="1" s="1"/>
  <c r="H9" i="1" s="1"/>
  <c r="U10" i="26"/>
  <c r="G10" i="1" s="1"/>
  <c r="H10" i="1" s="1"/>
  <c r="N16" i="26"/>
  <c r="K16" i="26"/>
  <c r="C16" i="23"/>
  <c r="X16" i="23" s="1"/>
  <c r="AJ16" i="1"/>
  <c r="AI16" i="1"/>
  <c r="AK16" i="1" l="1"/>
  <c r="Y14" i="23"/>
  <c r="I14" i="1" s="1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739" i="26"/>
  <c r="M740" i="26"/>
  <c r="M741" i="26"/>
  <c r="M742" i="26"/>
  <c r="M743" i="26"/>
  <c r="M744" i="26"/>
  <c r="M745" i="26"/>
  <c r="M746" i="26"/>
  <c r="M747" i="26"/>
  <c r="M748" i="26"/>
  <c r="M749" i="26"/>
  <c r="M750" i="26"/>
  <c r="M751" i="26"/>
  <c r="M752" i="26"/>
  <c r="M753" i="26"/>
  <c r="M754" i="26"/>
  <c r="M755" i="26"/>
  <c r="M756" i="26"/>
  <c r="M757" i="26"/>
  <c r="M758" i="26"/>
  <c r="M759" i="26"/>
  <c r="M760" i="26"/>
  <c r="M761" i="26"/>
  <c r="M762" i="26"/>
  <c r="M763" i="26"/>
  <c r="M764" i="26"/>
  <c r="M765" i="26"/>
  <c r="M766" i="26"/>
  <c r="M767" i="26"/>
  <c r="M768" i="26"/>
  <c r="M769" i="26"/>
  <c r="M770" i="26"/>
  <c r="M771" i="26"/>
  <c r="M772" i="26"/>
  <c r="M773" i="26"/>
  <c r="M774" i="26"/>
  <c r="M775" i="26"/>
  <c r="M776" i="26"/>
  <c r="M777" i="26"/>
  <c r="M778" i="26"/>
  <c r="M779" i="26"/>
  <c r="M780" i="26"/>
  <c r="M781" i="26"/>
  <c r="M782" i="26"/>
  <c r="M783" i="26"/>
  <c r="M784" i="26"/>
  <c r="M785" i="26"/>
  <c r="M786" i="26"/>
  <c r="M787" i="26"/>
  <c r="M788" i="26"/>
  <c r="M789" i="26"/>
  <c r="M790" i="26"/>
  <c r="M791" i="26"/>
  <c r="M792" i="26"/>
  <c r="M793" i="26"/>
  <c r="M794" i="26"/>
  <c r="M795" i="26"/>
  <c r="M796" i="26"/>
  <c r="M797" i="26"/>
  <c r="M798" i="26"/>
  <c r="M799" i="26"/>
  <c r="M800" i="26"/>
  <c r="M801" i="26"/>
  <c r="M802" i="26"/>
  <c r="M803" i="26"/>
  <c r="M804" i="26"/>
  <c r="M805" i="26"/>
  <c r="M806" i="26"/>
  <c r="M807" i="26"/>
  <c r="M808" i="26"/>
  <c r="M809" i="26"/>
  <c r="M810" i="26"/>
  <c r="M811" i="26"/>
  <c r="M812" i="26"/>
  <c r="M813" i="26"/>
  <c r="M814" i="26"/>
  <c r="M815" i="26"/>
  <c r="M816" i="26"/>
  <c r="M817" i="26"/>
  <c r="M818" i="26"/>
  <c r="M819" i="26"/>
  <c r="M820" i="26"/>
  <c r="M821" i="26"/>
  <c r="M822" i="26"/>
  <c r="M823" i="26"/>
  <c r="M824" i="26"/>
  <c r="M825" i="26"/>
  <c r="M826" i="26"/>
  <c r="M827" i="26"/>
  <c r="M828" i="26"/>
  <c r="M829" i="26"/>
  <c r="M830" i="26"/>
  <c r="M831" i="26"/>
  <c r="M832" i="26"/>
  <c r="M833" i="26"/>
  <c r="M834" i="26"/>
  <c r="M835" i="26"/>
  <c r="M836" i="26"/>
  <c r="M837" i="26"/>
  <c r="M838" i="26"/>
  <c r="M839" i="26"/>
  <c r="M840" i="26"/>
  <c r="M841" i="26"/>
  <c r="M842" i="26"/>
  <c r="M843" i="26"/>
  <c r="M844" i="26"/>
  <c r="M845" i="26"/>
  <c r="M846" i="26"/>
  <c r="M847" i="26"/>
  <c r="M848" i="26"/>
  <c r="M849" i="26"/>
  <c r="M850" i="26"/>
  <c r="M851" i="26"/>
  <c r="M852" i="26"/>
  <c r="M853" i="26"/>
  <c r="M854" i="26"/>
  <c r="M855" i="26"/>
  <c r="M856" i="26"/>
  <c r="M857" i="26"/>
  <c r="M858" i="26"/>
  <c r="M859" i="26"/>
  <c r="M860" i="26"/>
  <c r="M861" i="26"/>
  <c r="M862" i="26"/>
  <c r="M863" i="26"/>
  <c r="M864" i="26"/>
  <c r="M865" i="26"/>
  <c r="M866" i="26"/>
  <c r="M867" i="26"/>
  <c r="M868" i="26"/>
  <c r="M869" i="26"/>
  <c r="M870" i="26"/>
  <c r="M871" i="26"/>
  <c r="M872" i="26"/>
  <c r="M873" i="26"/>
  <c r="M874" i="26"/>
  <c r="M875" i="26"/>
  <c r="M876" i="26"/>
  <c r="M877" i="26"/>
  <c r="M878" i="26"/>
  <c r="M879" i="26"/>
  <c r="M880" i="26"/>
  <c r="M881" i="26"/>
  <c r="M882" i="26"/>
  <c r="M883" i="26"/>
  <c r="M884" i="26"/>
  <c r="M885" i="26"/>
  <c r="M886" i="26"/>
  <c r="M887" i="26"/>
  <c r="M888" i="26"/>
  <c r="M889" i="26"/>
  <c r="M890" i="26"/>
  <c r="M891" i="26"/>
  <c r="M892" i="26"/>
  <c r="M893" i="26"/>
  <c r="M894" i="26"/>
  <c r="M895" i="26"/>
  <c r="M896" i="26"/>
  <c r="M897" i="26"/>
  <c r="M898" i="26"/>
  <c r="M899" i="26"/>
  <c r="M900" i="26"/>
  <c r="M901" i="26"/>
  <c r="M902" i="26"/>
  <c r="M903" i="26"/>
  <c r="M904" i="26"/>
  <c r="M905" i="26"/>
  <c r="M906" i="26"/>
  <c r="M907" i="26"/>
  <c r="M908" i="26"/>
  <c r="M909" i="26"/>
  <c r="M910" i="26"/>
  <c r="M911" i="26"/>
  <c r="M912" i="26"/>
  <c r="M913" i="26"/>
  <c r="M914" i="26"/>
  <c r="M915" i="26"/>
  <c r="M916" i="26"/>
  <c r="M917" i="26"/>
  <c r="M918" i="26"/>
  <c r="M919" i="26"/>
  <c r="M920" i="26"/>
  <c r="M921" i="26"/>
  <c r="M922" i="26"/>
  <c r="M923" i="26"/>
  <c r="M924" i="26"/>
  <c r="M925" i="26"/>
  <c r="M926" i="26"/>
  <c r="M927" i="26"/>
  <c r="M928" i="26"/>
  <c r="M929" i="26"/>
  <c r="M930" i="26"/>
  <c r="M931" i="26"/>
  <c r="M932" i="26"/>
  <c r="M933" i="26"/>
  <c r="M934" i="26"/>
  <c r="M935" i="26"/>
  <c r="M936" i="26"/>
  <c r="M937" i="26"/>
  <c r="M938" i="26"/>
  <c r="M939" i="26"/>
  <c r="M940" i="26"/>
  <c r="M941" i="26"/>
  <c r="M942" i="26"/>
  <c r="M943" i="26"/>
  <c r="M944" i="26"/>
  <c r="M945" i="26"/>
  <c r="M946" i="26"/>
  <c r="M947" i="26"/>
  <c r="M948" i="26"/>
  <c r="M949" i="26"/>
  <c r="M950" i="26"/>
  <c r="M951" i="26"/>
  <c r="M952" i="26"/>
  <c r="M953" i="26"/>
  <c r="M954" i="26"/>
  <c r="M955" i="26"/>
  <c r="M956" i="26"/>
  <c r="M957" i="26"/>
  <c r="M958" i="26"/>
  <c r="M959" i="26"/>
  <c r="M960" i="26"/>
  <c r="M961" i="26"/>
  <c r="M962" i="26"/>
  <c r="M963" i="26"/>
  <c r="M964" i="26"/>
  <c r="M965" i="26"/>
  <c r="M966" i="26"/>
  <c r="M967" i="26"/>
  <c r="M968" i="26"/>
  <c r="M969" i="26"/>
  <c r="M970" i="26"/>
  <c r="M971" i="26"/>
  <c r="M972" i="26"/>
  <c r="M973" i="26"/>
  <c r="M974" i="26"/>
  <c r="M975" i="26"/>
  <c r="M976" i="26"/>
  <c r="M977" i="26"/>
  <c r="M978" i="26"/>
  <c r="M979" i="26"/>
  <c r="M980" i="26"/>
  <c r="M981" i="26"/>
  <c r="M982" i="26"/>
  <c r="M983" i="26"/>
  <c r="M984" i="26"/>
  <c r="M985" i="26"/>
  <c r="M986" i="26"/>
  <c r="M987" i="26"/>
  <c r="M988" i="26"/>
  <c r="M989" i="26"/>
  <c r="M990" i="26"/>
  <c r="M991" i="26"/>
  <c r="M992" i="26"/>
  <c r="M993" i="26"/>
  <c r="M994" i="26"/>
  <c r="M995" i="26"/>
  <c r="M996" i="26"/>
  <c r="M997" i="26"/>
  <c r="M998" i="26"/>
  <c r="M999" i="26"/>
  <c r="M1000" i="26"/>
  <c r="M1001" i="26"/>
  <c r="M1002" i="26"/>
  <c r="M1003" i="26"/>
  <c r="M1004" i="26"/>
  <c r="M1005" i="26"/>
  <c r="M1006" i="26"/>
  <c r="M1007" i="26"/>
  <c r="M1008" i="26"/>
  <c r="M1009" i="26"/>
  <c r="M1010" i="26"/>
  <c r="M1011" i="26"/>
  <c r="M1012" i="26"/>
  <c r="M1013" i="26"/>
  <c r="M1014" i="26"/>
  <c r="M1015" i="26"/>
  <c r="M1016" i="26"/>
  <c r="M1017" i="26"/>
  <c r="M1018" i="26"/>
  <c r="M1019" i="26"/>
  <c r="M1020" i="26"/>
  <c r="M1021" i="26"/>
  <c r="M1022" i="26"/>
  <c r="M1023" i="26"/>
  <c r="M1024" i="26"/>
  <c r="M1025" i="26"/>
  <c r="M1026" i="26"/>
  <c r="M1027" i="26"/>
  <c r="M1028" i="26"/>
  <c r="M1029" i="26"/>
  <c r="M1030" i="26"/>
  <c r="M1031" i="26"/>
  <c r="M1032" i="26"/>
  <c r="M1033" i="26"/>
  <c r="M1034" i="26"/>
  <c r="M1035" i="26"/>
  <c r="M1036" i="26"/>
  <c r="M1037" i="26"/>
  <c r="M1038" i="26"/>
  <c r="M1039" i="26"/>
  <c r="M1040" i="26"/>
  <c r="M1041" i="26"/>
  <c r="M1042" i="26"/>
  <c r="M1043" i="26"/>
  <c r="M1044" i="26"/>
  <c r="M1045" i="26"/>
  <c r="M1046" i="26"/>
  <c r="M1047" i="26"/>
  <c r="M1048" i="26"/>
  <c r="M1049" i="26"/>
  <c r="M1050" i="26"/>
  <c r="M1051" i="26"/>
  <c r="M1052" i="26"/>
  <c r="M1053" i="26"/>
  <c r="M1054" i="26"/>
  <c r="M1055" i="26"/>
  <c r="M1056" i="26"/>
  <c r="M1057" i="26"/>
  <c r="M1058" i="26"/>
  <c r="M1059" i="26"/>
  <c r="M1060" i="26"/>
  <c r="M1061" i="26"/>
  <c r="M1062" i="26"/>
  <c r="M1063" i="26"/>
  <c r="M1064" i="26"/>
  <c r="M1065" i="26"/>
  <c r="M1066" i="26"/>
  <c r="M1067" i="26"/>
  <c r="M1068" i="26"/>
  <c r="M1069" i="26"/>
  <c r="M1070" i="26"/>
  <c r="M1071" i="26"/>
  <c r="M1072" i="26"/>
  <c r="M1073" i="26"/>
  <c r="M1074" i="26"/>
  <c r="M1075" i="26"/>
  <c r="M1076" i="26"/>
  <c r="M1077" i="26"/>
  <c r="M1078" i="26"/>
  <c r="M1079" i="26"/>
  <c r="M1080" i="26"/>
  <c r="M1081" i="26"/>
  <c r="M1082" i="26"/>
  <c r="M1083" i="26"/>
  <c r="M1084" i="26"/>
  <c r="M1085" i="26"/>
  <c r="M1086" i="26"/>
  <c r="M1087" i="26"/>
  <c r="M1088" i="26"/>
  <c r="M1089" i="26"/>
  <c r="M1090" i="26"/>
  <c r="M1091" i="26"/>
  <c r="M1092" i="26"/>
  <c r="M1093" i="26"/>
  <c r="M1094" i="26"/>
  <c r="M1095" i="26"/>
  <c r="M1096" i="26"/>
  <c r="M1097" i="26"/>
  <c r="M1098" i="26"/>
  <c r="M1099" i="26"/>
  <c r="M1100" i="26"/>
  <c r="M1101" i="26"/>
  <c r="M1102" i="26"/>
  <c r="M1103" i="26"/>
  <c r="M1104" i="26"/>
  <c r="M1105" i="26"/>
  <c r="M1106" i="26"/>
  <c r="M1107" i="26"/>
  <c r="M1108" i="26"/>
  <c r="M1109" i="26"/>
  <c r="M1110" i="26"/>
  <c r="M1111" i="26"/>
  <c r="M1112" i="26"/>
  <c r="M1113" i="26"/>
  <c r="M1114" i="26"/>
  <c r="M1115" i="26"/>
  <c r="M1116" i="26"/>
  <c r="M1117" i="26"/>
  <c r="M1118" i="26"/>
  <c r="M1119" i="26"/>
  <c r="M1120" i="26"/>
  <c r="M1121" i="26"/>
  <c r="M1122" i="26"/>
  <c r="M1123" i="26"/>
  <c r="M1124" i="26"/>
  <c r="M1125" i="26"/>
  <c r="M1126" i="26"/>
  <c r="M1127" i="26"/>
  <c r="M1128" i="26"/>
  <c r="M1129" i="26"/>
  <c r="M1130" i="26"/>
  <c r="M1131" i="26"/>
  <c r="M1132" i="26"/>
  <c r="M1133" i="26"/>
  <c r="M1134" i="26"/>
  <c r="M1135" i="26"/>
  <c r="M1136" i="26"/>
  <c r="M1137" i="26"/>
  <c r="M1138" i="26"/>
  <c r="M1139" i="26"/>
  <c r="M1140" i="26"/>
  <c r="M1141" i="26"/>
  <c r="M1142" i="26"/>
  <c r="M1143" i="26"/>
  <c r="M1144" i="26"/>
  <c r="M1145" i="26"/>
  <c r="M1146" i="26"/>
  <c r="M1147" i="26"/>
  <c r="M1148" i="26"/>
  <c r="M1149" i="26"/>
  <c r="M1150" i="26"/>
  <c r="M1151" i="26"/>
  <c r="M1152" i="26"/>
  <c r="M1153" i="26"/>
  <c r="M1154" i="26"/>
  <c r="M1155" i="26"/>
  <c r="M1156" i="26"/>
  <c r="M1157" i="26"/>
  <c r="M1158" i="26"/>
  <c r="M1159" i="26"/>
  <c r="M1160" i="26"/>
  <c r="M1161" i="26"/>
  <c r="M1162" i="26"/>
  <c r="M1163" i="26"/>
  <c r="M1164" i="26"/>
  <c r="M1165" i="26"/>
  <c r="M1166" i="26"/>
  <c r="M1167" i="26"/>
  <c r="M1168" i="26"/>
  <c r="M1169" i="26"/>
  <c r="M1170" i="26"/>
  <c r="M1171" i="26"/>
  <c r="M1172" i="26"/>
  <c r="M1173" i="26"/>
  <c r="M1174" i="26"/>
  <c r="M1175" i="26"/>
  <c r="M1176" i="26"/>
  <c r="M1177" i="26"/>
  <c r="M1178" i="26"/>
  <c r="M1179" i="26"/>
  <c r="M1180" i="26"/>
  <c r="M1181" i="26"/>
  <c r="M1182" i="26"/>
  <c r="M1183" i="26"/>
  <c r="M1184" i="26"/>
  <c r="M1185" i="26"/>
  <c r="M1186" i="26"/>
  <c r="M1187" i="26"/>
  <c r="M1188" i="26"/>
  <c r="M1189" i="26"/>
  <c r="M1190" i="26"/>
  <c r="M1191" i="26"/>
  <c r="M1192" i="26"/>
  <c r="M1193" i="26"/>
  <c r="M1194" i="26"/>
  <c r="M1195" i="26"/>
  <c r="M1196" i="26"/>
  <c r="M1197" i="26"/>
  <c r="M1198" i="26"/>
  <c r="M1199" i="26"/>
  <c r="M1200" i="26"/>
  <c r="M1201" i="26"/>
  <c r="M1202" i="26"/>
  <c r="M1203" i="26"/>
  <c r="M1204" i="26"/>
  <c r="M1205" i="26"/>
  <c r="M1206" i="26"/>
  <c r="M1207" i="26"/>
  <c r="M1208" i="26"/>
  <c r="M1209" i="26"/>
  <c r="M1210" i="26"/>
  <c r="M1211" i="26"/>
  <c r="M1212" i="26"/>
  <c r="M1213" i="26"/>
  <c r="M1214" i="26"/>
  <c r="M1215" i="26"/>
  <c r="M1216" i="26"/>
  <c r="M1217" i="26"/>
  <c r="M1218" i="26"/>
  <c r="M1219" i="26"/>
  <c r="M1220" i="26"/>
  <c r="M1221" i="26"/>
  <c r="M1222" i="26"/>
  <c r="M1223" i="26"/>
  <c r="M1224" i="26"/>
  <c r="M1225" i="26"/>
  <c r="M1226" i="26"/>
  <c r="M1227" i="26"/>
  <c r="M1228" i="26"/>
  <c r="M1229" i="26"/>
  <c r="M1230" i="26"/>
  <c r="M1231" i="26"/>
  <c r="M1232" i="26"/>
  <c r="M1233" i="26"/>
  <c r="M1234" i="26"/>
  <c r="M1235" i="26"/>
  <c r="M1236" i="26"/>
  <c r="M1237" i="26"/>
  <c r="M1238" i="26"/>
  <c r="M1239" i="26"/>
  <c r="M1240" i="26"/>
  <c r="M1241" i="26"/>
  <c r="M1242" i="26"/>
  <c r="M1243" i="26"/>
  <c r="M1244" i="26"/>
  <c r="M1245" i="26"/>
  <c r="M1246" i="26"/>
  <c r="M1247" i="26"/>
  <c r="M1248" i="26"/>
  <c r="M1249" i="26"/>
  <c r="M1250" i="26"/>
  <c r="M1251" i="26"/>
  <c r="M1252" i="26"/>
  <c r="M1253" i="26"/>
  <c r="M1254" i="26"/>
  <c r="M1255" i="26"/>
  <c r="M1256" i="26"/>
  <c r="M1257" i="26"/>
  <c r="M1258" i="26"/>
  <c r="M1259" i="26"/>
  <c r="M1260" i="26"/>
  <c r="M1261" i="26"/>
  <c r="M1262" i="26"/>
  <c r="M1263" i="26"/>
  <c r="M1264" i="26"/>
  <c r="M1265" i="26"/>
  <c r="M1266" i="26"/>
  <c r="M1267" i="26"/>
  <c r="M1268" i="26"/>
  <c r="M1269" i="26"/>
  <c r="M1270" i="26"/>
  <c r="M1271" i="26"/>
  <c r="M1272" i="26"/>
  <c r="M1273" i="26"/>
  <c r="M1274" i="26"/>
  <c r="M1275" i="26"/>
  <c r="M1276" i="26"/>
  <c r="M1277" i="26"/>
  <c r="M1278" i="26"/>
  <c r="M1279" i="26"/>
  <c r="M1280" i="26"/>
  <c r="M1281" i="26"/>
  <c r="M1282" i="26"/>
  <c r="M1283" i="26"/>
  <c r="M1284" i="26"/>
  <c r="M1285" i="26"/>
  <c r="M1286" i="26"/>
  <c r="M1287" i="26"/>
  <c r="M1288" i="26"/>
  <c r="M1289" i="26"/>
  <c r="M1290" i="26"/>
  <c r="M1291" i="26"/>
  <c r="M1292" i="26"/>
  <c r="M1293" i="26"/>
  <c r="M1294" i="26"/>
  <c r="M1295" i="26"/>
  <c r="M1296" i="26"/>
  <c r="M1297" i="26"/>
  <c r="M1298" i="26"/>
  <c r="M1299" i="26"/>
  <c r="M1300" i="26"/>
  <c r="M1301" i="26"/>
  <c r="M1302" i="26"/>
  <c r="M1303" i="26"/>
  <c r="M1304" i="26"/>
  <c r="M1305" i="26"/>
  <c r="M1306" i="26"/>
  <c r="M1307" i="26"/>
  <c r="M1308" i="26"/>
  <c r="M1309" i="26"/>
  <c r="M1310" i="26"/>
  <c r="M1311" i="26"/>
  <c r="M1312" i="26"/>
  <c r="M1313" i="26"/>
  <c r="M1314" i="26"/>
  <c r="M1315" i="26"/>
  <c r="M1316" i="26"/>
  <c r="M1317" i="26"/>
  <c r="M1318" i="26"/>
  <c r="M1319" i="26"/>
  <c r="M1320" i="26"/>
  <c r="M1321" i="26"/>
  <c r="M1322" i="26"/>
  <c r="M1323" i="26"/>
  <c r="M1324" i="26"/>
  <c r="M1325" i="26"/>
  <c r="M1326" i="26"/>
  <c r="M1327" i="26"/>
  <c r="M1328" i="26"/>
  <c r="M1329" i="26"/>
  <c r="M1330" i="26"/>
  <c r="M1331" i="26"/>
  <c r="M1332" i="26"/>
  <c r="M1333" i="26"/>
  <c r="M1334" i="26"/>
  <c r="M1335" i="26"/>
  <c r="M1336" i="26"/>
  <c r="M1337" i="26"/>
  <c r="M1338" i="26"/>
  <c r="M1339" i="26"/>
  <c r="M1340" i="26"/>
  <c r="M1341" i="26"/>
  <c r="M1342" i="26"/>
  <c r="M1343" i="26"/>
  <c r="M1344" i="26"/>
  <c r="M1345" i="26"/>
  <c r="M1346" i="26"/>
  <c r="M1347" i="26"/>
  <c r="M1348" i="26"/>
  <c r="M1349" i="26"/>
  <c r="M1350" i="26"/>
  <c r="M1351" i="26"/>
  <c r="M1352" i="26"/>
  <c r="M1353" i="26"/>
  <c r="M1354" i="26"/>
  <c r="M1355" i="26"/>
  <c r="M1356" i="26"/>
  <c r="M1357" i="26"/>
  <c r="M1358" i="26"/>
  <c r="M1359" i="26"/>
  <c r="M1360" i="26"/>
  <c r="M1361" i="26"/>
  <c r="M1362" i="26"/>
  <c r="M1363" i="26"/>
  <c r="M1364" i="26"/>
  <c r="M1365" i="26"/>
  <c r="M1366" i="26"/>
  <c r="M1367" i="26"/>
  <c r="M1368" i="26"/>
  <c r="M1369" i="26"/>
  <c r="M1370" i="26"/>
  <c r="M1371" i="26"/>
  <c r="M1372" i="26"/>
  <c r="M1373" i="26"/>
  <c r="M1374" i="26"/>
  <c r="M1375" i="26"/>
  <c r="M1376" i="26"/>
  <c r="M1377" i="26"/>
  <c r="M1378" i="26"/>
  <c r="M1379" i="26"/>
  <c r="M1380" i="26"/>
  <c r="M1381" i="26"/>
  <c r="M1382" i="26"/>
  <c r="M1383" i="26"/>
  <c r="M1384" i="26"/>
  <c r="M1385" i="26"/>
  <c r="M1386" i="26"/>
  <c r="M1387" i="26"/>
  <c r="M1388" i="26"/>
  <c r="M1389" i="26"/>
  <c r="M1390" i="26"/>
  <c r="M1391" i="26"/>
  <c r="M1392" i="26"/>
  <c r="M1393" i="26"/>
  <c r="M1394" i="26"/>
  <c r="M1395" i="26"/>
  <c r="M1396" i="26"/>
  <c r="M1397" i="26"/>
  <c r="M1398" i="26"/>
  <c r="M1399" i="26"/>
  <c r="M1400" i="26"/>
  <c r="M1401" i="26"/>
  <c r="M1402" i="26"/>
  <c r="M1403" i="26"/>
  <c r="M1404" i="26"/>
  <c r="M1405" i="26"/>
  <c r="M1406" i="26"/>
  <c r="M1407" i="26"/>
  <c r="M1408" i="26"/>
  <c r="M1409" i="26"/>
  <c r="M1410" i="26"/>
  <c r="M1411" i="26"/>
  <c r="M1412" i="26"/>
  <c r="M1413" i="26"/>
  <c r="M1414" i="26"/>
  <c r="M1415" i="26"/>
  <c r="M1416" i="26"/>
  <c r="M1417" i="26"/>
  <c r="M1418" i="26"/>
  <c r="M1419" i="26"/>
  <c r="M1420" i="26"/>
  <c r="M1421" i="26"/>
  <c r="M1422" i="26"/>
  <c r="M1423" i="26"/>
  <c r="M1424" i="26"/>
  <c r="M1425" i="26"/>
  <c r="M1426" i="26"/>
  <c r="M1427" i="26"/>
  <c r="M1428" i="26"/>
  <c r="M1429" i="26"/>
  <c r="M1430" i="26"/>
  <c r="M1431" i="26"/>
  <c r="M1432" i="26"/>
  <c r="M1433" i="26"/>
  <c r="M1434" i="26"/>
  <c r="M1435" i="26"/>
  <c r="M1436" i="26"/>
  <c r="M1437" i="26"/>
  <c r="M1438" i="26"/>
  <c r="M1439" i="26"/>
  <c r="M1440" i="26"/>
  <c r="M1441" i="26"/>
  <c r="M1442" i="26"/>
  <c r="M1443" i="26"/>
  <c r="M1444" i="26"/>
  <c r="M1445" i="26"/>
  <c r="M1446" i="26"/>
  <c r="M1447" i="26"/>
  <c r="M1448" i="26"/>
  <c r="M1449" i="26"/>
  <c r="M1450" i="26"/>
  <c r="M1451" i="26"/>
  <c r="M1452" i="26"/>
  <c r="M1453" i="26"/>
  <c r="M1454" i="26"/>
  <c r="M1455" i="26"/>
  <c r="M1456" i="26"/>
  <c r="M1457" i="26"/>
  <c r="M1458" i="26"/>
  <c r="M1459" i="26"/>
  <c r="M1460" i="26"/>
  <c r="M1461" i="26"/>
  <c r="M1462" i="26"/>
  <c r="M1463" i="26"/>
  <c r="M1464" i="26"/>
  <c r="M1465" i="26"/>
  <c r="M1466" i="26"/>
  <c r="M1467" i="26"/>
  <c r="M1468" i="26"/>
  <c r="M1469" i="26"/>
  <c r="M1470" i="26"/>
  <c r="M1471" i="26"/>
  <c r="M1472" i="26"/>
  <c r="M1473" i="26"/>
  <c r="M1474" i="26"/>
  <c r="M1475" i="26"/>
  <c r="M1476" i="26"/>
  <c r="M1477" i="26"/>
  <c r="M1478" i="26"/>
  <c r="M1479" i="26"/>
  <c r="M1480" i="26"/>
  <c r="M1481" i="26"/>
  <c r="M1482" i="26"/>
  <c r="M1483" i="26"/>
  <c r="M1484" i="26"/>
  <c r="M1485" i="26"/>
  <c r="M1486" i="26"/>
  <c r="M1487" i="26"/>
  <c r="M1488" i="26"/>
  <c r="M1489" i="26"/>
  <c r="M1490" i="26"/>
  <c r="M1491" i="26"/>
  <c r="M1492" i="26"/>
  <c r="M1493" i="26"/>
  <c r="M1494" i="26"/>
  <c r="M1495" i="26"/>
  <c r="M1496" i="26"/>
  <c r="M1497" i="26"/>
  <c r="M1498" i="26"/>
  <c r="M1499" i="26"/>
  <c r="M1500" i="26"/>
  <c r="M1501" i="26"/>
  <c r="M1502" i="26"/>
  <c r="M1503" i="26"/>
  <c r="M1504" i="26"/>
  <c r="M1505" i="26"/>
  <c r="M1506" i="26"/>
  <c r="M1507" i="26"/>
  <c r="M1508" i="26"/>
  <c r="M1509" i="26"/>
  <c r="M1510" i="26"/>
  <c r="M1511" i="26"/>
  <c r="M1512" i="26"/>
  <c r="M1513" i="26"/>
  <c r="M1514" i="26"/>
  <c r="M1515" i="26"/>
  <c r="M1516" i="26"/>
  <c r="M1517" i="26"/>
  <c r="M1518" i="26"/>
  <c r="M1519" i="26"/>
  <c r="M1520" i="26"/>
  <c r="M1521" i="26"/>
  <c r="M1522" i="26"/>
  <c r="M1523" i="26"/>
  <c r="M1524" i="26"/>
  <c r="M1525" i="26"/>
  <c r="M1526" i="26"/>
  <c r="M1527" i="26"/>
  <c r="M1528" i="26"/>
  <c r="M1529" i="26"/>
  <c r="M1530" i="26"/>
  <c r="M1531" i="26"/>
  <c r="M1532" i="26"/>
  <c r="M1533" i="26"/>
  <c r="M1534" i="26"/>
  <c r="M1535" i="26"/>
  <c r="M1536" i="26"/>
  <c r="M1537" i="26"/>
  <c r="M1538" i="26"/>
  <c r="M1539" i="26"/>
  <c r="M1540" i="26"/>
  <c r="M1541" i="26"/>
  <c r="M1542" i="26"/>
  <c r="M1543" i="26"/>
  <c r="M1544" i="26"/>
  <c r="M1545" i="26"/>
  <c r="M17" i="26"/>
  <c r="N17" i="26" s="1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J236" i="26"/>
  <c r="J237" i="26"/>
  <c r="J238" i="26"/>
  <c r="J239" i="26"/>
  <c r="J240" i="26"/>
  <c r="J241" i="26"/>
  <c r="J242" i="26"/>
  <c r="J243" i="26"/>
  <c r="J244" i="26"/>
  <c r="J245" i="26"/>
  <c r="J246" i="26"/>
  <c r="J247" i="26"/>
  <c r="J248" i="26"/>
  <c r="J249" i="26"/>
  <c r="J250" i="26"/>
  <c r="J251" i="26"/>
  <c r="J252" i="26"/>
  <c r="J253" i="26"/>
  <c r="J254" i="26"/>
  <c r="J255" i="26"/>
  <c r="J256" i="26"/>
  <c r="J257" i="26"/>
  <c r="J258" i="26"/>
  <c r="J259" i="26"/>
  <c r="J260" i="26"/>
  <c r="J261" i="26"/>
  <c r="J262" i="26"/>
  <c r="J263" i="26"/>
  <c r="J264" i="26"/>
  <c r="J265" i="26"/>
  <c r="J266" i="26"/>
  <c r="J267" i="26"/>
  <c r="J268" i="26"/>
  <c r="J269" i="26"/>
  <c r="J270" i="26"/>
  <c r="J271" i="26"/>
  <c r="J272" i="26"/>
  <c r="J273" i="26"/>
  <c r="J274" i="26"/>
  <c r="J275" i="26"/>
  <c r="J276" i="26"/>
  <c r="J277" i="26"/>
  <c r="J278" i="26"/>
  <c r="J279" i="26"/>
  <c r="J280" i="26"/>
  <c r="J281" i="26"/>
  <c r="J282" i="26"/>
  <c r="J283" i="26"/>
  <c r="J284" i="26"/>
  <c r="J285" i="26"/>
  <c r="J286" i="26"/>
  <c r="J287" i="26"/>
  <c r="J288" i="26"/>
  <c r="J289" i="26"/>
  <c r="J290" i="26"/>
  <c r="J291" i="26"/>
  <c r="J292" i="26"/>
  <c r="J293" i="26"/>
  <c r="J294" i="26"/>
  <c r="J295" i="26"/>
  <c r="J296" i="26"/>
  <c r="J297" i="26"/>
  <c r="J298" i="26"/>
  <c r="J299" i="26"/>
  <c r="J300" i="26"/>
  <c r="J301" i="26"/>
  <c r="J302" i="26"/>
  <c r="J303" i="26"/>
  <c r="J304" i="26"/>
  <c r="J305" i="26"/>
  <c r="J306" i="26"/>
  <c r="J307" i="26"/>
  <c r="J308" i="26"/>
  <c r="J309" i="26"/>
  <c r="J310" i="26"/>
  <c r="J311" i="26"/>
  <c r="J312" i="26"/>
  <c r="J313" i="26"/>
  <c r="J314" i="26"/>
  <c r="J315" i="26"/>
  <c r="J316" i="26"/>
  <c r="J317" i="26"/>
  <c r="J318" i="26"/>
  <c r="J319" i="26"/>
  <c r="J320" i="26"/>
  <c r="J321" i="26"/>
  <c r="J322" i="26"/>
  <c r="J323" i="26"/>
  <c r="J324" i="26"/>
  <c r="J325" i="26"/>
  <c r="J326" i="26"/>
  <c r="J327" i="26"/>
  <c r="J328" i="26"/>
  <c r="J329" i="26"/>
  <c r="J330" i="26"/>
  <c r="J331" i="26"/>
  <c r="J332" i="26"/>
  <c r="J333" i="26"/>
  <c r="J334" i="26"/>
  <c r="J335" i="26"/>
  <c r="J336" i="26"/>
  <c r="J337" i="26"/>
  <c r="J338" i="26"/>
  <c r="J339" i="26"/>
  <c r="J340" i="26"/>
  <c r="J341" i="26"/>
  <c r="J342" i="26"/>
  <c r="J343" i="26"/>
  <c r="J344" i="26"/>
  <c r="J345" i="26"/>
  <c r="J346" i="26"/>
  <c r="J347" i="26"/>
  <c r="J348" i="26"/>
  <c r="J349" i="26"/>
  <c r="J350" i="26"/>
  <c r="J351" i="26"/>
  <c r="J352" i="26"/>
  <c r="J353" i="26"/>
  <c r="J354" i="26"/>
  <c r="J355" i="26"/>
  <c r="J356" i="26"/>
  <c r="J357" i="26"/>
  <c r="J358" i="26"/>
  <c r="J359" i="26"/>
  <c r="J360" i="26"/>
  <c r="J361" i="26"/>
  <c r="J362" i="26"/>
  <c r="J363" i="26"/>
  <c r="J364" i="26"/>
  <c r="J365" i="26"/>
  <c r="J366" i="26"/>
  <c r="J367" i="26"/>
  <c r="J368" i="26"/>
  <c r="J369" i="26"/>
  <c r="J370" i="26"/>
  <c r="J371" i="26"/>
  <c r="J372" i="26"/>
  <c r="J373" i="26"/>
  <c r="J374" i="26"/>
  <c r="J375" i="26"/>
  <c r="J376" i="26"/>
  <c r="J377" i="26"/>
  <c r="J378" i="26"/>
  <c r="J379" i="26"/>
  <c r="J380" i="26"/>
  <c r="J381" i="26"/>
  <c r="J382" i="26"/>
  <c r="J383" i="26"/>
  <c r="J384" i="26"/>
  <c r="J385" i="26"/>
  <c r="J386" i="26"/>
  <c r="J387" i="26"/>
  <c r="J388" i="26"/>
  <c r="J389" i="26"/>
  <c r="J390" i="26"/>
  <c r="J391" i="26"/>
  <c r="J392" i="26"/>
  <c r="J393" i="26"/>
  <c r="J394" i="26"/>
  <c r="J395" i="26"/>
  <c r="J396" i="26"/>
  <c r="J397" i="26"/>
  <c r="J398" i="26"/>
  <c r="J399" i="26"/>
  <c r="J400" i="26"/>
  <c r="J401" i="26"/>
  <c r="J402" i="26"/>
  <c r="J403" i="26"/>
  <c r="J404" i="26"/>
  <c r="J405" i="26"/>
  <c r="J406" i="26"/>
  <c r="J407" i="26"/>
  <c r="J408" i="26"/>
  <c r="J409" i="26"/>
  <c r="J410" i="26"/>
  <c r="J411" i="26"/>
  <c r="J412" i="26"/>
  <c r="J413" i="26"/>
  <c r="J414" i="26"/>
  <c r="J415" i="26"/>
  <c r="J416" i="26"/>
  <c r="J417" i="26"/>
  <c r="J418" i="26"/>
  <c r="J419" i="26"/>
  <c r="J420" i="26"/>
  <c r="J421" i="26"/>
  <c r="J422" i="26"/>
  <c r="J423" i="26"/>
  <c r="J424" i="26"/>
  <c r="J425" i="26"/>
  <c r="J426" i="26"/>
  <c r="J427" i="26"/>
  <c r="J428" i="26"/>
  <c r="J429" i="26"/>
  <c r="J430" i="26"/>
  <c r="J431" i="26"/>
  <c r="J432" i="26"/>
  <c r="J433" i="26"/>
  <c r="J434" i="26"/>
  <c r="J435" i="26"/>
  <c r="J436" i="26"/>
  <c r="J437" i="26"/>
  <c r="J438" i="26"/>
  <c r="J439" i="26"/>
  <c r="J440" i="26"/>
  <c r="J441" i="26"/>
  <c r="J442" i="26"/>
  <c r="J443" i="26"/>
  <c r="J444" i="26"/>
  <c r="J445" i="26"/>
  <c r="J446" i="26"/>
  <c r="J447" i="26"/>
  <c r="J448" i="26"/>
  <c r="J449" i="26"/>
  <c r="J450" i="26"/>
  <c r="J451" i="26"/>
  <c r="J452" i="26"/>
  <c r="J453" i="26"/>
  <c r="J454" i="26"/>
  <c r="J455" i="26"/>
  <c r="J456" i="26"/>
  <c r="J457" i="26"/>
  <c r="J458" i="26"/>
  <c r="J459" i="26"/>
  <c r="J460" i="26"/>
  <c r="J461" i="26"/>
  <c r="J462" i="26"/>
  <c r="J463" i="26"/>
  <c r="J464" i="26"/>
  <c r="J465" i="26"/>
  <c r="J466" i="26"/>
  <c r="J467" i="26"/>
  <c r="J468" i="26"/>
  <c r="J469" i="26"/>
  <c r="J470" i="26"/>
  <c r="J471" i="26"/>
  <c r="J472" i="26"/>
  <c r="J473" i="26"/>
  <c r="J474" i="26"/>
  <c r="J475" i="26"/>
  <c r="J476" i="26"/>
  <c r="J477" i="26"/>
  <c r="J478" i="26"/>
  <c r="J479" i="26"/>
  <c r="J480" i="26"/>
  <c r="J481" i="26"/>
  <c r="J482" i="26"/>
  <c r="J483" i="26"/>
  <c r="J484" i="26"/>
  <c r="J485" i="26"/>
  <c r="J486" i="26"/>
  <c r="J487" i="26"/>
  <c r="J488" i="26"/>
  <c r="J489" i="26"/>
  <c r="J490" i="26"/>
  <c r="J491" i="26"/>
  <c r="J492" i="26"/>
  <c r="J493" i="26"/>
  <c r="J494" i="26"/>
  <c r="J495" i="26"/>
  <c r="J496" i="26"/>
  <c r="J497" i="26"/>
  <c r="J498" i="26"/>
  <c r="J499" i="26"/>
  <c r="J500" i="26"/>
  <c r="J501" i="26"/>
  <c r="J502" i="26"/>
  <c r="J503" i="26"/>
  <c r="J504" i="26"/>
  <c r="J505" i="26"/>
  <c r="J506" i="26"/>
  <c r="J507" i="26"/>
  <c r="J508" i="26"/>
  <c r="J509" i="26"/>
  <c r="J510" i="26"/>
  <c r="J511" i="26"/>
  <c r="J512" i="26"/>
  <c r="J513" i="26"/>
  <c r="J514" i="26"/>
  <c r="J515" i="26"/>
  <c r="J516" i="26"/>
  <c r="J517" i="26"/>
  <c r="J518" i="26"/>
  <c r="J519" i="26"/>
  <c r="J520" i="26"/>
  <c r="J521" i="26"/>
  <c r="J522" i="26"/>
  <c r="J523" i="26"/>
  <c r="J524" i="26"/>
  <c r="J525" i="26"/>
  <c r="J526" i="26"/>
  <c r="J527" i="26"/>
  <c r="J528" i="26"/>
  <c r="J529" i="26"/>
  <c r="J530" i="26"/>
  <c r="J531" i="26"/>
  <c r="J532" i="26"/>
  <c r="J533" i="26"/>
  <c r="J534" i="26"/>
  <c r="J535" i="26"/>
  <c r="J536" i="26"/>
  <c r="J537" i="26"/>
  <c r="J538" i="26"/>
  <c r="J539" i="26"/>
  <c r="J540" i="26"/>
  <c r="J541" i="26"/>
  <c r="J542" i="26"/>
  <c r="J543" i="26"/>
  <c r="J544" i="26"/>
  <c r="J545" i="26"/>
  <c r="J546" i="26"/>
  <c r="J547" i="26"/>
  <c r="J548" i="26"/>
  <c r="J549" i="26"/>
  <c r="J550" i="26"/>
  <c r="J551" i="26"/>
  <c r="J552" i="26"/>
  <c r="J553" i="26"/>
  <c r="J554" i="26"/>
  <c r="J555" i="26"/>
  <c r="J556" i="26"/>
  <c r="J557" i="26"/>
  <c r="J558" i="26"/>
  <c r="J559" i="26"/>
  <c r="J560" i="26"/>
  <c r="J561" i="26"/>
  <c r="J562" i="26"/>
  <c r="J563" i="26"/>
  <c r="J564" i="26"/>
  <c r="J565" i="26"/>
  <c r="J566" i="26"/>
  <c r="J567" i="26"/>
  <c r="J568" i="26"/>
  <c r="J569" i="26"/>
  <c r="J570" i="26"/>
  <c r="J571" i="26"/>
  <c r="J572" i="26"/>
  <c r="J573" i="26"/>
  <c r="J574" i="26"/>
  <c r="J575" i="26"/>
  <c r="J576" i="26"/>
  <c r="J577" i="26"/>
  <c r="J578" i="26"/>
  <c r="J579" i="26"/>
  <c r="J580" i="26"/>
  <c r="J581" i="26"/>
  <c r="J582" i="26"/>
  <c r="J583" i="26"/>
  <c r="J584" i="26"/>
  <c r="J585" i="26"/>
  <c r="J586" i="26"/>
  <c r="J587" i="26"/>
  <c r="J588" i="26"/>
  <c r="J589" i="26"/>
  <c r="J590" i="26"/>
  <c r="J591" i="26"/>
  <c r="J592" i="26"/>
  <c r="J593" i="26"/>
  <c r="J594" i="26"/>
  <c r="J595" i="26"/>
  <c r="J596" i="26"/>
  <c r="J597" i="26"/>
  <c r="J598" i="26"/>
  <c r="J599" i="26"/>
  <c r="J600" i="26"/>
  <c r="J601" i="26"/>
  <c r="J602" i="26"/>
  <c r="J603" i="26"/>
  <c r="J604" i="26"/>
  <c r="J605" i="26"/>
  <c r="J606" i="26"/>
  <c r="J607" i="26"/>
  <c r="J608" i="26"/>
  <c r="J609" i="26"/>
  <c r="J610" i="26"/>
  <c r="J611" i="26"/>
  <c r="J612" i="26"/>
  <c r="J613" i="26"/>
  <c r="J614" i="26"/>
  <c r="J615" i="26"/>
  <c r="J616" i="26"/>
  <c r="J617" i="26"/>
  <c r="J618" i="26"/>
  <c r="J619" i="26"/>
  <c r="J620" i="26"/>
  <c r="J621" i="26"/>
  <c r="J622" i="26"/>
  <c r="J623" i="26"/>
  <c r="J624" i="26"/>
  <c r="J625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49" i="26"/>
  <c r="J650" i="26"/>
  <c r="J651" i="26"/>
  <c r="J652" i="26"/>
  <c r="J653" i="26"/>
  <c r="J654" i="26"/>
  <c r="J655" i="26"/>
  <c r="J656" i="26"/>
  <c r="J657" i="26"/>
  <c r="J658" i="26"/>
  <c r="J659" i="26"/>
  <c r="J660" i="26"/>
  <c r="J661" i="26"/>
  <c r="J662" i="26"/>
  <c r="J663" i="26"/>
  <c r="J664" i="26"/>
  <c r="J665" i="26"/>
  <c r="J666" i="26"/>
  <c r="J667" i="26"/>
  <c r="J668" i="26"/>
  <c r="J669" i="26"/>
  <c r="J670" i="26"/>
  <c r="J671" i="26"/>
  <c r="J672" i="26"/>
  <c r="J673" i="26"/>
  <c r="J674" i="26"/>
  <c r="J675" i="26"/>
  <c r="J676" i="26"/>
  <c r="J677" i="26"/>
  <c r="J678" i="26"/>
  <c r="J679" i="26"/>
  <c r="J680" i="26"/>
  <c r="J681" i="26"/>
  <c r="J682" i="26"/>
  <c r="J683" i="26"/>
  <c r="J684" i="26"/>
  <c r="J685" i="26"/>
  <c r="J686" i="26"/>
  <c r="J687" i="26"/>
  <c r="J688" i="26"/>
  <c r="J689" i="26"/>
  <c r="J690" i="26"/>
  <c r="J691" i="26"/>
  <c r="J692" i="26"/>
  <c r="J693" i="26"/>
  <c r="J694" i="26"/>
  <c r="J695" i="26"/>
  <c r="J696" i="26"/>
  <c r="J697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5" i="26"/>
  <c r="J716" i="26"/>
  <c r="J717" i="26"/>
  <c r="J718" i="26"/>
  <c r="J719" i="26"/>
  <c r="J720" i="26"/>
  <c r="J721" i="26"/>
  <c r="J722" i="26"/>
  <c r="J723" i="26"/>
  <c r="J724" i="26"/>
  <c r="J725" i="26"/>
  <c r="J726" i="26"/>
  <c r="J727" i="26"/>
  <c r="J728" i="26"/>
  <c r="J729" i="26"/>
  <c r="J730" i="26"/>
  <c r="J731" i="26"/>
  <c r="J732" i="26"/>
  <c r="J733" i="26"/>
  <c r="J734" i="26"/>
  <c r="J735" i="26"/>
  <c r="J736" i="26"/>
  <c r="J737" i="26"/>
  <c r="J738" i="26"/>
  <c r="J739" i="26"/>
  <c r="J740" i="26"/>
  <c r="J741" i="26"/>
  <c r="J742" i="26"/>
  <c r="J743" i="26"/>
  <c r="J744" i="26"/>
  <c r="J745" i="26"/>
  <c r="J746" i="26"/>
  <c r="J747" i="26"/>
  <c r="J748" i="26"/>
  <c r="J749" i="26"/>
  <c r="J750" i="26"/>
  <c r="J751" i="26"/>
  <c r="J752" i="26"/>
  <c r="J753" i="26"/>
  <c r="J754" i="26"/>
  <c r="J755" i="26"/>
  <c r="J756" i="26"/>
  <c r="J757" i="26"/>
  <c r="J758" i="26"/>
  <c r="J759" i="26"/>
  <c r="J760" i="26"/>
  <c r="J761" i="26"/>
  <c r="J762" i="26"/>
  <c r="J763" i="26"/>
  <c r="J764" i="26"/>
  <c r="J765" i="26"/>
  <c r="J766" i="26"/>
  <c r="J767" i="26"/>
  <c r="J768" i="26"/>
  <c r="J769" i="26"/>
  <c r="J770" i="26"/>
  <c r="J771" i="26"/>
  <c r="J772" i="26"/>
  <c r="J773" i="26"/>
  <c r="J774" i="26"/>
  <c r="J775" i="26"/>
  <c r="J776" i="26"/>
  <c r="J777" i="26"/>
  <c r="J778" i="26"/>
  <c r="J779" i="26"/>
  <c r="J780" i="26"/>
  <c r="J781" i="26"/>
  <c r="J782" i="26"/>
  <c r="J783" i="26"/>
  <c r="J784" i="26"/>
  <c r="J785" i="26"/>
  <c r="J786" i="26"/>
  <c r="J787" i="26"/>
  <c r="J788" i="26"/>
  <c r="J789" i="26"/>
  <c r="J790" i="26"/>
  <c r="J791" i="26"/>
  <c r="J792" i="26"/>
  <c r="J793" i="26"/>
  <c r="J794" i="26"/>
  <c r="J795" i="26"/>
  <c r="J796" i="26"/>
  <c r="J797" i="26"/>
  <c r="J798" i="26"/>
  <c r="J799" i="26"/>
  <c r="J800" i="26"/>
  <c r="J801" i="26"/>
  <c r="J802" i="26"/>
  <c r="J803" i="26"/>
  <c r="J804" i="26"/>
  <c r="J805" i="26"/>
  <c r="J806" i="26"/>
  <c r="J807" i="26"/>
  <c r="J808" i="26"/>
  <c r="J809" i="26"/>
  <c r="J810" i="26"/>
  <c r="J811" i="26"/>
  <c r="J812" i="26"/>
  <c r="J813" i="26"/>
  <c r="J814" i="26"/>
  <c r="J815" i="26"/>
  <c r="J816" i="26"/>
  <c r="J817" i="26"/>
  <c r="J818" i="26"/>
  <c r="J819" i="26"/>
  <c r="J820" i="26"/>
  <c r="J821" i="26"/>
  <c r="J822" i="26"/>
  <c r="J823" i="26"/>
  <c r="J824" i="26"/>
  <c r="J825" i="26"/>
  <c r="J826" i="26"/>
  <c r="J827" i="26"/>
  <c r="J828" i="26"/>
  <c r="J829" i="26"/>
  <c r="J830" i="26"/>
  <c r="J831" i="26"/>
  <c r="J832" i="26"/>
  <c r="J833" i="26"/>
  <c r="J834" i="26"/>
  <c r="J835" i="26"/>
  <c r="J836" i="26"/>
  <c r="J837" i="26"/>
  <c r="J838" i="26"/>
  <c r="J839" i="26"/>
  <c r="J840" i="26"/>
  <c r="J841" i="26"/>
  <c r="J842" i="26"/>
  <c r="J843" i="26"/>
  <c r="J844" i="26"/>
  <c r="J845" i="26"/>
  <c r="J846" i="26"/>
  <c r="J847" i="26"/>
  <c r="J848" i="26"/>
  <c r="J849" i="26"/>
  <c r="J850" i="26"/>
  <c r="J851" i="26"/>
  <c r="J852" i="26"/>
  <c r="J853" i="26"/>
  <c r="J854" i="26"/>
  <c r="J855" i="26"/>
  <c r="J856" i="26"/>
  <c r="J857" i="26"/>
  <c r="J858" i="26"/>
  <c r="J859" i="26"/>
  <c r="J860" i="26"/>
  <c r="J861" i="26"/>
  <c r="J862" i="26"/>
  <c r="J863" i="26"/>
  <c r="J864" i="26"/>
  <c r="J865" i="26"/>
  <c r="J866" i="26"/>
  <c r="J867" i="26"/>
  <c r="J868" i="26"/>
  <c r="J869" i="26"/>
  <c r="J870" i="26"/>
  <c r="J871" i="26"/>
  <c r="J872" i="26"/>
  <c r="J873" i="26"/>
  <c r="J874" i="26"/>
  <c r="J875" i="26"/>
  <c r="J876" i="26"/>
  <c r="J877" i="26"/>
  <c r="J878" i="26"/>
  <c r="J879" i="26"/>
  <c r="J880" i="26"/>
  <c r="J881" i="26"/>
  <c r="J882" i="26"/>
  <c r="J883" i="26"/>
  <c r="J884" i="26"/>
  <c r="J885" i="26"/>
  <c r="J886" i="26"/>
  <c r="J887" i="26"/>
  <c r="J888" i="26"/>
  <c r="J889" i="26"/>
  <c r="J890" i="26"/>
  <c r="J891" i="26"/>
  <c r="J892" i="26"/>
  <c r="J893" i="26"/>
  <c r="J894" i="26"/>
  <c r="J895" i="26"/>
  <c r="J896" i="26"/>
  <c r="J897" i="26"/>
  <c r="J898" i="26"/>
  <c r="J899" i="26"/>
  <c r="J900" i="26"/>
  <c r="J901" i="26"/>
  <c r="J902" i="26"/>
  <c r="J903" i="26"/>
  <c r="J904" i="26"/>
  <c r="J905" i="26"/>
  <c r="J906" i="26"/>
  <c r="J907" i="26"/>
  <c r="J908" i="26"/>
  <c r="J909" i="26"/>
  <c r="J910" i="26"/>
  <c r="J911" i="26"/>
  <c r="J912" i="26"/>
  <c r="J913" i="26"/>
  <c r="J914" i="26"/>
  <c r="J915" i="26"/>
  <c r="J916" i="26"/>
  <c r="J917" i="26"/>
  <c r="J918" i="26"/>
  <c r="J919" i="26"/>
  <c r="J920" i="26"/>
  <c r="J921" i="26"/>
  <c r="J922" i="26"/>
  <c r="J923" i="26"/>
  <c r="J924" i="26"/>
  <c r="J925" i="26"/>
  <c r="J926" i="26"/>
  <c r="J927" i="26"/>
  <c r="J928" i="26"/>
  <c r="J929" i="26"/>
  <c r="J930" i="26"/>
  <c r="J931" i="26"/>
  <c r="J932" i="26"/>
  <c r="J933" i="26"/>
  <c r="J934" i="26"/>
  <c r="J935" i="26"/>
  <c r="J936" i="26"/>
  <c r="J937" i="26"/>
  <c r="J938" i="26"/>
  <c r="J939" i="26"/>
  <c r="J940" i="26"/>
  <c r="J941" i="26"/>
  <c r="J942" i="26"/>
  <c r="J943" i="26"/>
  <c r="J944" i="26"/>
  <c r="J945" i="26"/>
  <c r="J946" i="26"/>
  <c r="J947" i="26"/>
  <c r="J948" i="26"/>
  <c r="J949" i="26"/>
  <c r="J950" i="26"/>
  <c r="J951" i="26"/>
  <c r="J952" i="26"/>
  <c r="J953" i="26"/>
  <c r="J954" i="26"/>
  <c r="J955" i="26"/>
  <c r="J956" i="26"/>
  <c r="J957" i="26"/>
  <c r="J958" i="26"/>
  <c r="J959" i="26"/>
  <c r="J960" i="26"/>
  <c r="J961" i="26"/>
  <c r="J962" i="26"/>
  <c r="J963" i="26"/>
  <c r="J964" i="26"/>
  <c r="J965" i="26"/>
  <c r="J966" i="26"/>
  <c r="J967" i="26"/>
  <c r="J968" i="26"/>
  <c r="J969" i="26"/>
  <c r="J970" i="26"/>
  <c r="J971" i="26"/>
  <c r="J972" i="26"/>
  <c r="J973" i="26"/>
  <c r="J974" i="26"/>
  <c r="J975" i="26"/>
  <c r="J976" i="26"/>
  <c r="J977" i="26"/>
  <c r="J978" i="26"/>
  <c r="J979" i="26"/>
  <c r="J980" i="26"/>
  <c r="J981" i="26"/>
  <c r="J982" i="26"/>
  <c r="J983" i="26"/>
  <c r="J984" i="26"/>
  <c r="J985" i="26"/>
  <c r="J986" i="26"/>
  <c r="J987" i="26"/>
  <c r="J988" i="26"/>
  <c r="J989" i="26"/>
  <c r="J990" i="26"/>
  <c r="J991" i="26"/>
  <c r="J992" i="26"/>
  <c r="J993" i="26"/>
  <c r="J994" i="26"/>
  <c r="J995" i="26"/>
  <c r="J996" i="26"/>
  <c r="J997" i="26"/>
  <c r="J998" i="26"/>
  <c r="J999" i="26"/>
  <c r="J1000" i="26"/>
  <c r="J1001" i="26"/>
  <c r="J1002" i="26"/>
  <c r="J1003" i="26"/>
  <c r="J1004" i="26"/>
  <c r="J1005" i="26"/>
  <c r="J1006" i="26"/>
  <c r="J1007" i="26"/>
  <c r="J1008" i="26"/>
  <c r="J1009" i="26"/>
  <c r="J1010" i="26"/>
  <c r="J1011" i="26"/>
  <c r="J1012" i="26"/>
  <c r="J1013" i="26"/>
  <c r="J1014" i="26"/>
  <c r="J1015" i="26"/>
  <c r="J1016" i="26"/>
  <c r="J1017" i="26"/>
  <c r="J1018" i="26"/>
  <c r="J1019" i="26"/>
  <c r="J1020" i="26"/>
  <c r="J1021" i="26"/>
  <c r="J1022" i="26"/>
  <c r="J1023" i="26"/>
  <c r="J1024" i="26"/>
  <c r="J1025" i="26"/>
  <c r="J1026" i="26"/>
  <c r="J1027" i="26"/>
  <c r="J1028" i="26"/>
  <c r="J1029" i="26"/>
  <c r="J1030" i="26"/>
  <c r="J1031" i="26"/>
  <c r="J1032" i="26"/>
  <c r="J1033" i="26"/>
  <c r="J1034" i="26"/>
  <c r="J1035" i="26"/>
  <c r="J1036" i="26"/>
  <c r="J1037" i="26"/>
  <c r="J1038" i="26"/>
  <c r="J1039" i="26"/>
  <c r="J1040" i="26"/>
  <c r="J1041" i="26"/>
  <c r="J1042" i="26"/>
  <c r="J1043" i="26"/>
  <c r="J1044" i="26"/>
  <c r="J1045" i="26"/>
  <c r="J1046" i="26"/>
  <c r="J1047" i="26"/>
  <c r="J1048" i="26"/>
  <c r="J1049" i="26"/>
  <c r="J1050" i="26"/>
  <c r="J1051" i="26"/>
  <c r="J1052" i="26"/>
  <c r="J1053" i="26"/>
  <c r="J1054" i="26"/>
  <c r="J1055" i="26"/>
  <c r="J1056" i="26"/>
  <c r="J1057" i="26"/>
  <c r="J1058" i="26"/>
  <c r="J1059" i="26"/>
  <c r="J1060" i="26"/>
  <c r="J1061" i="26"/>
  <c r="J1062" i="26"/>
  <c r="J1063" i="26"/>
  <c r="J1064" i="26"/>
  <c r="J1065" i="26"/>
  <c r="J1066" i="26"/>
  <c r="J1067" i="26"/>
  <c r="J1068" i="26"/>
  <c r="J1069" i="26"/>
  <c r="J1070" i="26"/>
  <c r="J1071" i="26"/>
  <c r="J1072" i="26"/>
  <c r="J1073" i="26"/>
  <c r="J1074" i="26"/>
  <c r="J1075" i="26"/>
  <c r="J1076" i="26"/>
  <c r="J1077" i="26"/>
  <c r="J1078" i="26"/>
  <c r="J1079" i="26"/>
  <c r="J1080" i="26"/>
  <c r="J1081" i="26"/>
  <c r="J1082" i="26"/>
  <c r="J1083" i="26"/>
  <c r="J1084" i="26"/>
  <c r="J1085" i="26"/>
  <c r="J1086" i="26"/>
  <c r="J1087" i="26"/>
  <c r="J1088" i="26"/>
  <c r="J1089" i="26"/>
  <c r="J1090" i="26"/>
  <c r="J1091" i="26"/>
  <c r="J1092" i="26"/>
  <c r="J1093" i="26"/>
  <c r="J1094" i="26"/>
  <c r="J1095" i="26"/>
  <c r="J1096" i="26"/>
  <c r="J1097" i="26"/>
  <c r="J1098" i="26"/>
  <c r="J1099" i="26"/>
  <c r="J1100" i="26"/>
  <c r="J1101" i="26"/>
  <c r="J1102" i="26"/>
  <c r="J1103" i="26"/>
  <c r="J1104" i="26"/>
  <c r="J1105" i="26"/>
  <c r="J1106" i="26"/>
  <c r="J1107" i="26"/>
  <c r="J1108" i="26"/>
  <c r="J1109" i="26"/>
  <c r="J1110" i="26"/>
  <c r="J1111" i="26"/>
  <c r="J1112" i="26"/>
  <c r="J1113" i="26"/>
  <c r="J1114" i="26"/>
  <c r="J1115" i="26"/>
  <c r="J1116" i="26"/>
  <c r="J1117" i="26"/>
  <c r="J1118" i="26"/>
  <c r="J1119" i="26"/>
  <c r="J1120" i="26"/>
  <c r="J1121" i="26"/>
  <c r="J1122" i="26"/>
  <c r="J1123" i="26"/>
  <c r="J1124" i="26"/>
  <c r="J1125" i="26"/>
  <c r="J1126" i="26"/>
  <c r="J1127" i="26"/>
  <c r="J1128" i="26"/>
  <c r="J1129" i="26"/>
  <c r="J1130" i="26"/>
  <c r="J1131" i="26"/>
  <c r="J1132" i="26"/>
  <c r="J1133" i="26"/>
  <c r="J1134" i="26"/>
  <c r="J1135" i="26"/>
  <c r="J1136" i="26"/>
  <c r="J1137" i="26"/>
  <c r="J1138" i="26"/>
  <c r="J1139" i="26"/>
  <c r="J1140" i="26"/>
  <c r="J1141" i="26"/>
  <c r="J1142" i="26"/>
  <c r="J1143" i="26"/>
  <c r="J1144" i="26"/>
  <c r="J1145" i="26"/>
  <c r="J1146" i="26"/>
  <c r="J1147" i="26"/>
  <c r="J1148" i="26"/>
  <c r="J1149" i="26"/>
  <c r="J1150" i="26"/>
  <c r="J1151" i="26"/>
  <c r="J1152" i="26"/>
  <c r="J1153" i="26"/>
  <c r="J1154" i="26"/>
  <c r="J1155" i="26"/>
  <c r="J1156" i="26"/>
  <c r="J1157" i="26"/>
  <c r="J1158" i="26"/>
  <c r="J1159" i="26"/>
  <c r="J1160" i="26"/>
  <c r="J1161" i="26"/>
  <c r="J1162" i="26"/>
  <c r="J1163" i="26"/>
  <c r="J1164" i="26"/>
  <c r="J1165" i="26"/>
  <c r="J1166" i="26"/>
  <c r="J1167" i="26"/>
  <c r="J1168" i="26"/>
  <c r="J1169" i="26"/>
  <c r="J1170" i="26"/>
  <c r="J1171" i="26"/>
  <c r="J1172" i="26"/>
  <c r="J1173" i="26"/>
  <c r="J1174" i="26"/>
  <c r="J1175" i="26"/>
  <c r="J1176" i="26"/>
  <c r="J1177" i="26"/>
  <c r="J1178" i="26"/>
  <c r="J1179" i="26"/>
  <c r="J1180" i="26"/>
  <c r="J1181" i="26"/>
  <c r="J1182" i="26"/>
  <c r="J1183" i="26"/>
  <c r="J1184" i="26"/>
  <c r="J1185" i="26"/>
  <c r="J1186" i="26"/>
  <c r="J1187" i="26"/>
  <c r="J1188" i="26"/>
  <c r="J1189" i="26"/>
  <c r="J1190" i="26"/>
  <c r="J1191" i="26"/>
  <c r="J1192" i="26"/>
  <c r="J1193" i="26"/>
  <c r="J1194" i="26"/>
  <c r="J1195" i="26"/>
  <c r="J1196" i="26"/>
  <c r="J1197" i="26"/>
  <c r="J1198" i="26"/>
  <c r="J1199" i="26"/>
  <c r="J1200" i="26"/>
  <c r="J1201" i="26"/>
  <c r="J1202" i="26"/>
  <c r="J1203" i="26"/>
  <c r="J1204" i="26"/>
  <c r="J1205" i="26"/>
  <c r="J1206" i="26"/>
  <c r="J1207" i="26"/>
  <c r="J1208" i="26"/>
  <c r="J1209" i="26"/>
  <c r="J1210" i="26"/>
  <c r="J1211" i="26"/>
  <c r="J1212" i="26"/>
  <c r="J1213" i="26"/>
  <c r="J1214" i="26"/>
  <c r="J1215" i="26"/>
  <c r="J1216" i="26"/>
  <c r="J1217" i="26"/>
  <c r="J1218" i="26"/>
  <c r="J1219" i="26"/>
  <c r="J1220" i="26"/>
  <c r="J1221" i="26"/>
  <c r="J1222" i="26"/>
  <c r="J1223" i="26"/>
  <c r="J1224" i="26"/>
  <c r="J1225" i="26"/>
  <c r="J1226" i="26"/>
  <c r="J1227" i="26"/>
  <c r="J1228" i="26"/>
  <c r="J1229" i="26"/>
  <c r="J1230" i="26"/>
  <c r="J1231" i="26"/>
  <c r="J1232" i="26"/>
  <c r="J1233" i="26"/>
  <c r="J1234" i="26"/>
  <c r="J1235" i="26"/>
  <c r="J1236" i="26"/>
  <c r="J1237" i="26"/>
  <c r="J1238" i="26"/>
  <c r="J1239" i="26"/>
  <c r="J1240" i="26"/>
  <c r="J1241" i="26"/>
  <c r="J1242" i="26"/>
  <c r="J1243" i="26"/>
  <c r="J1244" i="26"/>
  <c r="J1245" i="26"/>
  <c r="J1246" i="26"/>
  <c r="J1247" i="26"/>
  <c r="J1248" i="26"/>
  <c r="J1249" i="26"/>
  <c r="J1250" i="26"/>
  <c r="J1251" i="26"/>
  <c r="J1252" i="26"/>
  <c r="J1253" i="26"/>
  <c r="J1254" i="26"/>
  <c r="J1255" i="26"/>
  <c r="J1256" i="26"/>
  <c r="J1257" i="26"/>
  <c r="J1258" i="26"/>
  <c r="J1259" i="26"/>
  <c r="J1260" i="26"/>
  <c r="J1261" i="26"/>
  <c r="J1262" i="26"/>
  <c r="J1263" i="26"/>
  <c r="J1264" i="26"/>
  <c r="J1265" i="26"/>
  <c r="J1266" i="26"/>
  <c r="J1267" i="26"/>
  <c r="J1268" i="26"/>
  <c r="J1269" i="26"/>
  <c r="J1270" i="26"/>
  <c r="J1271" i="26"/>
  <c r="J1272" i="26"/>
  <c r="J1273" i="26"/>
  <c r="J1274" i="26"/>
  <c r="J1275" i="26"/>
  <c r="J1276" i="26"/>
  <c r="J1277" i="26"/>
  <c r="J1278" i="26"/>
  <c r="J1279" i="26"/>
  <c r="J1280" i="26"/>
  <c r="J1281" i="26"/>
  <c r="J1282" i="26"/>
  <c r="J1283" i="26"/>
  <c r="J1284" i="26"/>
  <c r="J1285" i="26"/>
  <c r="J1286" i="26"/>
  <c r="J1287" i="26"/>
  <c r="J1288" i="26"/>
  <c r="J1289" i="26"/>
  <c r="J1290" i="26"/>
  <c r="J1291" i="26"/>
  <c r="J1292" i="26"/>
  <c r="J1293" i="26"/>
  <c r="J1294" i="26"/>
  <c r="J1295" i="26"/>
  <c r="J1296" i="26"/>
  <c r="J1297" i="26"/>
  <c r="J1298" i="26"/>
  <c r="J1299" i="26"/>
  <c r="J1300" i="26"/>
  <c r="J1301" i="26"/>
  <c r="J1302" i="26"/>
  <c r="J1303" i="26"/>
  <c r="J1304" i="26"/>
  <c r="J1305" i="26"/>
  <c r="J1306" i="26"/>
  <c r="J1307" i="26"/>
  <c r="J1308" i="26"/>
  <c r="J1309" i="26"/>
  <c r="J1310" i="26"/>
  <c r="J1311" i="26"/>
  <c r="J1312" i="26"/>
  <c r="J1313" i="26"/>
  <c r="J1314" i="26"/>
  <c r="J1315" i="26"/>
  <c r="J1316" i="26"/>
  <c r="J1317" i="26"/>
  <c r="J1318" i="26"/>
  <c r="J1319" i="26"/>
  <c r="J1320" i="26"/>
  <c r="J1321" i="26"/>
  <c r="J1322" i="26"/>
  <c r="J1323" i="26"/>
  <c r="J1324" i="26"/>
  <c r="J1325" i="26"/>
  <c r="J1326" i="26"/>
  <c r="J1327" i="26"/>
  <c r="J1328" i="26"/>
  <c r="J1329" i="26"/>
  <c r="J1330" i="26"/>
  <c r="J1331" i="26"/>
  <c r="J1332" i="26"/>
  <c r="J1333" i="26"/>
  <c r="J1334" i="26"/>
  <c r="J1335" i="26"/>
  <c r="J1336" i="26"/>
  <c r="J1337" i="26"/>
  <c r="J1338" i="26"/>
  <c r="J1339" i="26"/>
  <c r="J1340" i="26"/>
  <c r="J1341" i="26"/>
  <c r="J1342" i="26"/>
  <c r="J1343" i="26"/>
  <c r="J1344" i="26"/>
  <c r="J1345" i="26"/>
  <c r="J1346" i="26"/>
  <c r="J1347" i="26"/>
  <c r="J1348" i="26"/>
  <c r="J1349" i="26"/>
  <c r="J1350" i="26"/>
  <c r="J1351" i="26"/>
  <c r="J1352" i="26"/>
  <c r="J1353" i="26"/>
  <c r="J1354" i="26"/>
  <c r="J1355" i="26"/>
  <c r="J1356" i="26"/>
  <c r="J1357" i="26"/>
  <c r="J1358" i="26"/>
  <c r="J1359" i="26"/>
  <c r="J1360" i="26"/>
  <c r="J1361" i="26"/>
  <c r="J1362" i="26"/>
  <c r="J1363" i="26"/>
  <c r="J1364" i="26"/>
  <c r="J1365" i="26"/>
  <c r="J1366" i="26"/>
  <c r="J1367" i="26"/>
  <c r="J1368" i="26"/>
  <c r="J1369" i="26"/>
  <c r="J1370" i="26"/>
  <c r="J1371" i="26"/>
  <c r="J1372" i="26"/>
  <c r="J1373" i="26"/>
  <c r="J1374" i="26"/>
  <c r="J1375" i="26"/>
  <c r="J1376" i="26"/>
  <c r="J1377" i="26"/>
  <c r="J1378" i="26"/>
  <c r="J1379" i="26"/>
  <c r="J1380" i="26"/>
  <c r="J1381" i="26"/>
  <c r="J1382" i="26"/>
  <c r="J1383" i="26"/>
  <c r="J1384" i="26"/>
  <c r="J1385" i="26"/>
  <c r="J1386" i="26"/>
  <c r="J1387" i="26"/>
  <c r="J1388" i="26"/>
  <c r="J1389" i="26"/>
  <c r="J1390" i="26"/>
  <c r="J1391" i="26"/>
  <c r="J1392" i="26"/>
  <c r="J1393" i="26"/>
  <c r="J1394" i="26"/>
  <c r="J1395" i="26"/>
  <c r="J1396" i="26"/>
  <c r="J1397" i="26"/>
  <c r="J1398" i="26"/>
  <c r="J1399" i="26"/>
  <c r="J1400" i="26"/>
  <c r="J1401" i="26"/>
  <c r="J1402" i="26"/>
  <c r="J1403" i="26"/>
  <c r="J1404" i="26"/>
  <c r="J1405" i="26"/>
  <c r="J1406" i="26"/>
  <c r="J1407" i="26"/>
  <c r="J1408" i="26"/>
  <c r="J1409" i="26"/>
  <c r="J1410" i="26"/>
  <c r="J1411" i="26"/>
  <c r="J1412" i="26"/>
  <c r="J1413" i="26"/>
  <c r="J1414" i="26"/>
  <c r="J1415" i="26"/>
  <c r="J1416" i="26"/>
  <c r="J1417" i="26"/>
  <c r="J1418" i="26"/>
  <c r="J1419" i="26"/>
  <c r="J1420" i="26"/>
  <c r="J1421" i="26"/>
  <c r="J1422" i="26"/>
  <c r="J1423" i="26"/>
  <c r="J1424" i="26"/>
  <c r="J1425" i="26"/>
  <c r="J1426" i="26"/>
  <c r="J1427" i="26"/>
  <c r="J1428" i="26"/>
  <c r="J1429" i="26"/>
  <c r="J1430" i="26"/>
  <c r="J1431" i="26"/>
  <c r="J1432" i="26"/>
  <c r="J1433" i="26"/>
  <c r="J1434" i="26"/>
  <c r="J1435" i="26"/>
  <c r="J1436" i="26"/>
  <c r="J1437" i="26"/>
  <c r="J1438" i="26"/>
  <c r="J1439" i="26"/>
  <c r="J1440" i="26"/>
  <c r="J1441" i="26"/>
  <c r="J1442" i="26"/>
  <c r="J1443" i="26"/>
  <c r="J1444" i="26"/>
  <c r="J1445" i="26"/>
  <c r="J1446" i="26"/>
  <c r="J1447" i="26"/>
  <c r="J1448" i="26"/>
  <c r="J1449" i="26"/>
  <c r="J1450" i="26"/>
  <c r="J1451" i="26"/>
  <c r="J1452" i="26"/>
  <c r="J1453" i="26"/>
  <c r="J1454" i="26"/>
  <c r="J1455" i="26"/>
  <c r="J1456" i="26"/>
  <c r="J1457" i="26"/>
  <c r="J1458" i="26"/>
  <c r="J1459" i="26"/>
  <c r="J1460" i="26"/>
  <c r="J1461" i="26"/>
  <c r="J1462" i="26"/>
  <c r="J1463" i="26"/>
  <c r="J1464" i="26"/>
  <c r="J1465" i="26"/>
  <c r="J1466" i="26"/>
  <c r="J1467" i="26"/>
  <c r="J1468" i="26"/>
  <c r="J1469" i="26"/>
  <c r="J1470" i="26"/>
  <c r="J1471" i="26"/>
  <c r="J1472" i="26"/>
  <c r="J1473" i="26"/>
  <c r="J1474" i="26"/>
  <c r="J1475" i="26"/>
  <c r="J1476" i="26"/>
  <c r="J1477" i="26"/>
  <c r="J1478" i="26"/>
  <c r="J1479" i="26"/>
  <c r="J1480" i="26"/>
  <c r="J1481" i="26"/>
  <c r="J1482" i="26"/>
  <c r="J1483" i="26"/>
  <c r="J1484" i="26"/>
  <c r="J1485" i="26"/>
  <c r="J1486" i="26"/>
  <c r="J1487" i="26"/>
  <c r="J1488" i="26"/>
  <c r="J1489" i="26"/>
  <c r="J1490" i="26"/>
  <c r="J1491" i="26"/>
  <c r="J1492" i="26"/>
  <c r="J1493" i="26"/>
  <c r="J1494" i="26"/>
  <c r="J1495" i="26"/>
  <c r="J1496" i="26"/>
  <c r="J1497" i="26"/>
  <c r="J1498" i="26"/>
  <c r="J1499" i="26"/>
  <c r="J1500" i="26"/>
  <c r="J17" i="26"/>
  <c r="I17" i="26"/>
  <c r="F17" i="26"/>
  <c r="H17" i="26" s="1"/>
  <c r="E17" i="26"/>
  <c r="G17" i="26" s="1"/>
  <c r="D17" i="26"/>
  <c r="B17" i="26"/>
  <c r="C17" i="23"/>
  <c r="X17" i="23" s="1"/>
  <c r="AJ17" i="1"/>
  <c r="AI17" i="1"/>
  <c r="AK17" i="1" l="1"/>
  <c r="Y15" i="23"/>
  <c r="J14" i="1"/>
  <c r="K17" i="26"/>
  <c r="S256" i="30" l="1"/>
  <c r="S257" i="30"/>
  <c r="S258" i="30"/>
  <c r="S259" i="30"/>
  <c r="S260" i="30"/>
  <c r="S261" i="30"/>
  <c r="S262" i="30"/>
  <c r="S263" i="30"/>
  <c r="S264" i="30"/>
  <c r="S265" i="30"/>
  <c r="S266" i="30"/>
  <c r="S267" i="30"/>
  <c r="S268" i="30"/>
  <c r="S269" i="30"/>
  <c r="S270" i="30"/>
  <c r="S271" i="30"/>
  <c r="S272" i="30"/>
  <c r="S273" i="30"/>
  <c r="S274" i="30"/>
  <c r="S275" i="30"/>
  <c r="S276" i="30"/>
  <c r="S277" i="30"/>
  <c r="S278" i="30"/>
  <c r="S279" i="30"/>
  <c r="S280" i="30"/>
  <c r="S281" i="30"/>
  <c r="S282" i="30"/>
  <c r="S283" i="30"/>
  <c r="S284" i="30"/>
  <c r="S285" i="30"/>
  <c r="S286" i="30"/>
  <c r="S287" i="30"/>
  <c r="S288" i="30"/>
  <c r="S289" i="30"/>
  <c r="S290" i="30"/>
  <c r="S291" i="30"/>
  <c r="S292" i="30"/>
  <c r="S293" i="30"/>
  <c r="S294" i="30"/>
  <c r="S295" i="30"/>
  <c r="S296" i="30"/>
  <c r="S297" i="30"/>
  <c r="S298" i="30"/>
  <c r="S299" i="30"/>
  <c r="S300" i="30"/>
  <c r="S301" i="30"/>
  <c r="S302" i="30"/>
  <c r="S303" i="30"/>
  <c r="S304" i="30"/>
  <c r="S305" i="30"/>
  <c r="S306" i="30"/>
  <c r="S307" i="30"/>
  <c r="S308" i="30"/>
  <c r="S309" i="30"/>
  <c r="S310" i="30"/>
  <c r="S311" i="30"/>
  <c r="S312" i="30"/>
  <c r="S313" i="30"/>
  <c r="S314" i="30"/>
  <c r="S315" i="30"/>
  <c r="S316" i="30"/>
  <c r="S317" i="30"/>
  <c r="S318" i="30"/>
  <c r="S319" i="30"/>
  <c r="S320" i="30"/>
  <c r="S321" i="30"/>
  <c r="S322" i="30"/>
  <c r="S323" i="30"/>
  <c r="S324" i="30"/>
  <c r="S325" i="30"/>
  <c r="S326" i="30"/>
  <c r="S327" i="30"/>
  <c r="S328" i="30"/>
  <c r="S329" i="30"/>
  <c r="S330" i="30"/>
  <c r="S331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V256" i="30"/>
  <c r="W256" i="30"/>
  <c r="X256" i="30" s="1"/>
  <c r="AA255" i="30" s="1"/>
  <c r="V257" i="30"/>
  <c r="W257" i="30"/>
  <c r="X257" i="30" s="1"/>
  <c r="AA256" i="30" s="1"/>
  <c r="V258" i="30"/>
  <c r="Z258" i="30" s="1"/>
  <c r="W258" i="30"/>
  <c r="X258" i="30" s="1"/>
  <c r="AA257" i="30" s="1"/>
  <c r="V259" i="30"/>
  <c r="Z259" i="30" s="1"/>
  <c r="W259" i="30"/>
  <c r="X259" i="30" s="1"/>
  <c r="AA258" i="30" s="1"/>
  <c r="V260" i="30"/>
  <c r="W260" i="30"/>
  <c r="X260" i="30" s="1"/>
  <c r="AA259" i="30" s="1"/>
  <c r="V261" i="30"/>
  <c r="W261" i="30"/>
  <c r="X261" i="30" s="1"/>
  <c r="AA260" i="30" s="1"/>
  <c r="V262" i="30"/>
  <c r="Z262" i="30" s="1"/>
  <c r="W262" i="30"/>
  <c r="X262" i="30" s="1"/>
  <c r="AA261" i="30" s="1"/>
  <c r="V263" i="30"/>
  <c r="Z263" i="30" s="1"/>
  <c r="W263" i="30"/>
  <c r="X263" i="30" s="1"/>
  <c r="AA262" i="30" s="1"/>
  <c r="V264" i="30"/>
  <c r="W264" i="30"/>
  <c r="X264" i="30" s="1"/>
  <c r="AA263" i="30" s="1"/>
  <c r="V265" i="30"/>
  <c r="W265" i="30"/>
  <c r="X265" i="30" s="1"/>
  <c r="AA264" i="30" s="1"/>
  <c r="V266" i="30"/>
  <c r="Z266" i="30" s="1"/>
  <c r="W266" i="30"/>
  <c r="X266" i="30" s="1"/>
  <c r="AA265" i="30" s="1"/>
  <c r="V267" i="30"/>
  <c r="Z267" i="30" s="1"/>
  <c r="W267" i="30"/>
  <c r="X267" i="30" s="1"/>
  <c r="AA266" i="30" s="1"/>
  <c r="V268" i="30"/>
  <c r="W268" i="30"/>
  <c r="X268" i="30" s="1"/>
  <c r="AA267" i="30" s="1"/>
  <c r="V269" i="30"/>
  <c r="W269" i="30"/>
  <c r="X269" i="30" s="1"/>
  <c r="AA268" i="30" s="1"/>
  <c r="V270" i="30"/>
  <c r="Z270" i="30" s="1"/>
  <c r="W270" i="30"/>
  <c r="X270" i="30" s="1"/>
  <c r="AA269" i="30" s="1"/>
  <c r="V271" i="30"/>
  <c r="Z271" i="30" s="1"/>
  <c r="W271" i="30"/>
  <c r="X271" i="30" s="1"/>
  <c r="AA270" i="30" s="1"/>
  <c r="V272" i="30"/>
  <c r="W272" i="30"/>
  <c r="X272" i="30" s="1"/>
  <c r="AA271" i="30" s="1"/>
  <c r="V273" i="30"/>
  <c r="W273" i="30"/>
  <c r="X273" i="30" s="1"/>
  <c r="AA272" i="30" s="1"/>
  <c r="V274" i="30"/>
  <c r="Z274" i="30" s="1"/>
  <c r="W274" i="30"/>
  <c r="X274" i="30" s="1"/>
  <c r="AA273" i="30" s="1"/>
  <c r="V275" i="30"/>
  <c r="Z275" i="30" s="1"/>
  <c r="W275" i="30"/>
  <c r="X275" i="30" s="1"/>
  <c r="AA274" i="30" s="1"/>
  <c r="V276" i="30"/>
  <c r="W276" i="30"/>
  <c r="X276" i="30" s="1"/>
  <c r="AA275" i="30" s="1"/>
  <c r="V277" i="30"/>
  <c r="W277" i="30"/>
  <c r="X277" i="30" s="1"/>
  <c r="AA276" i="30" s="1"/>
  <c r="V278" i="30"/>
  <c r="Z278" i="30" s="1"/>
  <c r="W278" i="30"/>
  <c r="X278" i="30" s="1"/>
  <c r="AA277" i="30" s="1"/>
  <c r="V279" i="30"/>
  <c r="Z279" i="30" s="1"/>
  <c r="W279" i="30"/>
  <c r="X279" i="30" s="1"/>
  <c r="AA278" i="30" s="1"/>
  <c r="V280" i="30"/>
  <c r="W280" i="30"/>
  <c r="X280" i="30" s="1"/>
  <c r="AA279" i="30" s="1"/>
  <c r="V281" i="30"/>
  <c r="W281" i="30"/>
  <c r="X281" i="30" s="1"/>
  <c r="AA280" i="30" s="1"/>
  <c r="V282" i="30"/>
  <c r="Z282" i="30" s="1"/>
  <c r="W282" i="30"/>
  <c r="X282" i="30" s="1"/>
  <c r="AA281" i="30" s="1"/>
  <c r="V283" i="30"/>
  <c r="Z283" i="30" s="1"/>
  <c r="W283" i="30"/>
  <c r="X283" i="30" s="1"/>
  <c r="AA282" i="30" s="1"/>
  <c r="V284" i="30"/>
  <c r="W284" i="30"/>
  <c r="X284" i="30" s="1"/>
  <c r="AA283" i="30" s="1"/>
  <c r="V285" i="30"/>
  <c r="W285" i="30"/>
  <c r="X285" i="30" s="1"/>
  <c r="AA284" i="30" s="1"/>
  <c r="V286" i="30"/>
  <c r="Z286" i="30" s="1"/>
  <c r="W286" i="30"/>
  <c r="X286" i="30" s="1"/>
  <c r="AA285" i="30" s="1"/>
  <c r="V287" i="30"/>
  <c r="Z287" i="30" s="1"/>
  <c r="W287" i="30"/>
  <c r="X287" i="30" s="1"/>
  <c r="AA286" i="30" s="1"/>
  <c r="V288" i="30"/>
  <c r="W288" i="30"/>
  <c r="X288" i="30" s="1"/>
  <c r="AA287" i="30" s="1"/>
  <c r="V289" i="30"/>
  <c r="W289" i="30"/>
  <c r="X289" i="30" s="1"/>
  <c r="AA288" i="30" s="1"/>
  <c r="V290" i="30"/>
  <c r="Z290" i="30" s="1"/>
  <c r="W290" i="30"/>
  <c r="X290" i="30" s="1"/>
  <c r="AA289" i="30" s="1"/>
  <c r="V291" i="30"/>
  <c r="Z291" i="30" s="1"/>
  <c r="W291" i="30"/>
  <c r="X291" i="30" s="1"/>
  <c r="AA290" i="30" s="1"/>
  <c r="V292" i="30"/>
  <c r="W292" i="30"/>
  <c r="X292" i="30" s="1"/>
  <c r="AA291" i="30" s="1"/>
  <c r="V293" i="30"/>
  <c r="W293" i="30"/>
  <c r="X293" i="30" s="1"/>
  <c r="AA292" i="30" s="1"/>
  <c r="V294" i="30"/>
  <c r="Z294" i="30" s="1"/>
  <c r="W294" i="30"/>
  <c r="X294" i="30" s="1"/>
  <c r="AA293" i="30" s="1"/>
  <c r="V295" i="30"/>
  <c r="Z295" i="30" s="1"/>
  <c r="W295" i="30"/>
  <c r="X295" i="30" s="1"/>
  <c r="AA294" i="30" s="1"/>
  <c r="V296" i="30"/>
  <c r="W296" i="30"/>
  <c r="X296" i="30" s="1"/>
  <c r="AA295" i="30" s="1"/>
  <c r="V297" i="30"/>
  <c r="W297" i="30"/>
  <c r="X297" i="30" s="1"/>
  <c r="AA296" i="30" s="1"/>
  <c r="V298" i="30"/>
  <c r="Z298" i="30" s="1"/>
  <c r="W298" i="30"/>
  <c r="X298" i="30" s="1"/>
  <c r="AA297" i="30" s="1"/>
  <c r="V299" i="30"/>
  <c r="Z299" i="30" s="1"/>
  <c r="W299" i="30"/>
  <c r="X299" i="30" s="1"/>
  <c r="AA298" i="30" s="1"/>
  <c r="V300" i="30"/>
  <c r="W300" i="30"/>
  <c r="X300" i="30" s="1"/>
  <c r="AA299" i="30" s="1"/>
  <c r="V301" i="30"/>
  <c r="W301" i="30"/>
  <c r="X301" i="30" s="1"/>
  <c r="AA300" i="30" s="1"/>
  <c r="V302" i="30"/>
  <c r="Z302" i="30" s="1"/>
  <c r="W302" i="30"/>
  <c r="X302" i="30" s="1"/>
  <c r="AA301" i="30" s="1"/>
  <c r="V303" i="30"/>
  <c r="Z303" i="30" s="1"/>
  <c r="W303" i="30"/>
  <c r="X303" i="30" s="1"/>
  <c r="AA302" i="30" s="1"/>
  <c r="V304" i="30"/>
  <c r="W304" i="30"/>
  <c r="X304" i="30" s="1"/>
  <c r="AA303" i="30" s="1"/>
  <c r="V305" i="30"/>
  <c r="W305" i="30"/>
  <c r="X305" i="30" s="1"/>
  <c r="AA304" i="30" s="1"/>
  <c r="V306" i="30"/>
  <c r="Z306" i="30" s="1"/>
  <c r="W306" i="30"/>
  <c r="X306" i="30" s="1"/>
  <c r="AA305" i="30" s="1"/>
  <c r="V307" i="30"/>
  <c r="Z307" i="30" s="1"/>
  <c r="W307" i="30"/>
  <c r="X307" i="30" s="1"/>
  <c r="AA306" i="30" s="1"/>
  <c r="V308" i="30"/>
  <c r="W308" i="30"/>
  <c r="X308" i="30" s="1"/>
  <c r="AA307" i="30" s="1"/>
  <c r="V309" i="30"/>
  <c r="Z309" i="30" s="1"/>
  <c r="W309" i="30"/>
  <c r="X309" i="30" s="1"/>
  <c r="AA308" i="30" s="1"/>
  <c r="V310" i="30"/>
  <c r="Z310" i="30" s="1"/>
  <c r="W310" i="30"/>
  <c r="X310" i="30" s="1"/>
  <c r="AA309" i="30" s="1"/>
  <c r="V311" i="30"/>
  <c r="Z311" i="30" s="1"/>
  <c r="W311" i="30"/>
  <c r="X311" i="30" s="1"/>
  <c r="AA310" i="30" s="1"/>
  <c r="V312" i="30"/>
  <c r="W312" i="30"/>
  <c r="X312" i="30" s="1"/>
  <c r="AA311" i="30" s="1"/>
  <c r="V313" i="30"/>
  <c r="W313" i="30"/>
  <c r="X313" i="30" s="1"/>
  <c r="AA312" i="30" s="1"/>
  <c r="V314" i="30"/>
  <c r="Z314" i="30" s="1"/>
  <c r="W314" i="30"/>
  <c r="X314" i="30" s="1"/>
  <c r="AA313" i="30" s="1"/>
  <c r="V315" i="30"/>
  <c r="Z315" i="30" s="1"/>
  <c r="W315" i="30"/>
  <c r="X315" i="30" s="1"/>
  <c r="AA314" i="30" s="1"/>
  <c r="V316" i="30"/>
  <c r="W316" i="30"/>
  <c r="X316" i="30" s="1"/>
  <c r="AA315" i="30" s="1"/>
  <c r="V317" i="30"/>
  <c r="Z317" i="30" s="1"/>
  <c r="W317" i="30"/>
  <c r="X317" i="30" s="1"/>
  <c r="AA316" i="30" s="1"/>
  <c r="V318" i="30"/>
  <c r="Z318" i="30" s="1"/>
  <c r="W318" i="30"/>
  <c r="X318" i="30" s="1"/>
  <c r="AA317" i="30" s="1"/>
  <c r="V319" i="30"/>
  <c r="Z319" i="30" s="1"/>
  <c r="W319" i="30"/>
  <c r="X319" i="30" s="1"/>
  <c r="AA318" i="30" s="1"/>
  <c r="V320" i="30"/>
  <c r="W320" i="30"/>
  <c r="X320" i="30" s="1"/>
  <c r="AA319" i="30" s="1"/>
  <c r="W321" i="30"/>
  <c r="X321" i="30" s="1"/>
  <c r="AA320" i="30" s="1"/>
  <c r="U256" i="30"/>
  <c r="U257" i="30"/>
  <c r="U258" i="30"/>
  <c r="U259" i="30"/>
  <c r="U260" i="30"/>
  <c r="U261" i="30"/>
  <c r="U262" i="30"/>
  <c r="U263" i="30"/>
  <c r="U264" i="30"/>
  <c r="U265" i="30"/>
  <c r="U266" i="30"/>
  <c r="U267" i="30"/>
  <c r="U268" i="30"/>
  <c r="U269" i="30"/>
  <c r="U270" i="30"/>
  <c r="U271" i="30"/>
  <c r="U272" i="30"/>
  <c r="U273" i="30"/>
  <c r="U274" i="30"/>
  <c r="U275" i="30"/>
  <c r="U276" i="30"/>
  <c r="U277" i="30"/>
  <c r="U278" i="30"/>
  <c r="U279" i="30"/>
  <c r="U280" i="30"/>
  <c r="U281" i="30"/>
  <c r="U282" i="30"/>
  <c r="U283" i="30"/>
  <c r="U284" i="30"/>
  <c r="U285" i="30"/>
  <c r="U286" i="30"/>
  <c r="U287" i="30"/>
  <c r="U288" i="30"/>
  <c r="U289" i="30"/>
  <c r="U290" i="30"/>
  <c r="U291" i="30"/>
  <c r="U292" i="30"/>
  <c r="U293" i="30"/>
  <c r="U294" i="30"/>
  <c r="U295" i="30"/>
  <c r="U296" i="30"/>
  <c r="U297" i="30"/>
  <c r="U298" i="30"/>
  <c r="U299" i="30"/>
  <c r="U300" i="30"/>
  <c r="U301" i="30"/>
  <c r="U302" i="30"/>
  <c r="U303" i="30"/>
  <c r="U304" i="30"/>
  <c r="U305" i="30"/>
  <c r="U306" i="30"/>
  <c r="U307" i="30"/>
  <c r="U308" i="30"/>
  <c r="U309" i="30"/>
  <c r="U310" i="30"/>
  <c r="U311" i="30"/>
  <c r="U312" i="30"/>
  <c r="U313" i="30"/>
  <c r="U314" i="30"/>
  <c r="U315" i="30"/>
  <c r="U316" i="30"/>
  <c r="U317" i="30"/>
  <c r="U318" i="30"/>
  <c r="U319" i="30"/>
  <c r="U320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256" i="30"/>
  <c r="W255" i="30"/>
  <c r="X255" i="30" s="1"/>
  <c r="AA254" i="30" s="1"/>
  <c r="V255" i="30"/>
  <c r="U255" i="30"/>
  <c r="S255" i="30"/>
  <c r="H255" i="30"/>
  <c r="D255" i="30"/>
  <c r="B255" i="30"/>
  <c r="W254" i="30"/>
  <c r="X254" i="30" s="1"/>
  <c r="AA253" i="30" s="1"/>
  <c r="V254" i="30"/>
  <c r="U254" i="30"/>
  <c r="S254" i="30"/>
  <c r="H254" i="30"/>
  <c r="D254" i="30"/>
  <c r="B254" i="30"/>
  <c r="W253" i="30"/>
  <c r="X253" i="30" s="1"/>
  <c r="AA252" i="30" s="1"/>
  <c r="V253" i="30"/>
  <c r="U253" i="30"/>
  <c r="S253" i="30"/>
  <c r="H253" i="30"/>
  <c r="D253" i="30"/>
  <c r="B253" i="30"/>
  <c r="W252" i="30"/>
  <c r="X252" i="30" s="1"/>
  <c r="AA251" i="30" s="1"/>
  <c r="V252" i="30"/>
  <c r="U252" i="30"/>
  <c r="S252" i="30"/>
  <c r="H252" i="30"/>
  <c r="D252" i="30"/>
  <c r="B252" i="30"/>
  <c r="W251" i="30"/>
  <c r="X251" i="30" s="1"/>
  <c r="AA250" i="30" s="1"/>
  <c r="V251" i="30"/>
  <c r="U251" i="30"/>
  <c r="S251" i="30"/>
  <c r="H251" i="30"/>
  <c r="D251" i="30"/>
  <c r="B251" i="30"/>
  <c r="W250" i="30"/>
  <c r="X250" i="30" s="1"/>
  <c r="AA249" i="30" s="1"/>
  <c r="V250" i="30"/>
  <c r="U250" i="30"/>
  <c r="S250" i="30"/>
  <c r="H250" i="30"/>
  <c r="D250" i="30"/>
  <c r="B250" i="30"/>
  <c r="W249" i="30"/>
  <c r="X249" i="30" s="1"/>
  <c r="AA248" i="30" s="1"/>
  <c r="V249" i="30"/>
  <c r="Z249" i="30" s="1"/>
  <c r="U249" i="30"/>
  <c r="S249" i="30"/>
  <c r="H249" i="30"/>
  <c r="D249" i="30"/>
  <c r="B249" i="30"/>
  <c r="W248" i="30"/>
  <c r="X248" i="30" s="1"/>
  <c r="AA247" i="30" s="1"/>
  <c r="V248" i="30"/>
  <c r="U248" i="30"/>
  <c r="S248" i="30"/>
  <c r="H248" i="30"/>
  <c r="D248" i="30"/>
  <c r="B248" i="30"/>
  <c r="W247" i="30"/>
  <c r="X247" i="30" s="1"/>
  <c r="AA246" i="30" s="1"/>
  <c r="V247" i="30"/>
  <c r="U247" i="30"/>
  <c r="S247" i="30"/>
  <c r="H247" i="30"/>
  <c r="D247" i="30"/>
  <c r="B247" i="30"/>
  <c r="W246" i="30"/>
  <c r="X246" i="30" s="1"/>
  <c r="AA245" i="30" s="1"/>
  <c r="V246" i="30"/>
  <c r="U246" i="30"/>
  <c r="S246" i="30"/>
  <c r="H246" i="30"/>
  <c r="D246" i="30"/>
  <c r="B246" i="30"/>
  <c r="W245" i="30"/>
  <c r="X245" i="30" s="1"/>
  <c r="AA244" i="30" s="1"/>
  <c r="V245" i="30"/>
  <c r="U245" i="30"/>
  <c r="S245" i="30"/>
  <c r="H245" i="30"/>
  <c r="D245" i="30"/>
  <c r="B245" i="30"/>
  <c r="W244" i="30"/>
  <c r="X244" i="30" s="1"/>
  <c r="AA243" i="30" s="1"/>
  <c r="V244" i="30"/>
  <c r="U244" i="30"/>
  <c r="S244" i="30"/>
  <c r="H244" i="30"/>
  <c r="D244" i="30"/>
  <c r="B244" i="30"/>
  <c r="W243" i="30"/>
  <c r="X243" i="30" s="1"/>
  <c r="AA242" i="30" s="1"/>
  <c r="V243" i="30"/>
  <c r="U243" i="30"/>
  <c r="S243" i="30"/>
  <c r="H243" i="30"/>
  <c r="D243" i="30"/>
  <c r="B243" i="30"/>
  <c r="W242" i="30"/>
  <c r="X242" i="30" s="1"/>
  <c r="AA241" i="30" s="1"/>
  <c r="V242" i="30"/>
  <c r="U242" i="30"/>
  <c r="S242" i="30"/>
  <c r="H242" i="30"/>
  <c r="D242" i="30"/>
  <c r="B242" i="30"/>
  <c r="W241" i="30"/>
  <c r="X241" i="30" s="1"/>
  <c r="AA240" i="30" s="1"/>
  <c r="V241" i="30"/>
  <c r="Z241" i="30" s="1"/>
  <c r="U241" i="30"/>
  <c r="S241" i="30"/>
  <c r="H241" i="30"/>
  <c r="D241" i="30"/>
  <c r="B241" i="30"/>
  <c r="W240" i="30"/>
  <c r="X240" i="30" s="1"/>
  <c r="AA239" i="30" s="1"/>
  <c r="V240" i="30"/>
  <c r="U240" i="30"/>
  <c r="S240" i="30"/>
  <c r="H240" i="30"/>
  <c r="D240" i="30"/>
  <c r="B240" i="30"/>
  <c r="W239" i="30"/>
  <c r="X239" i="30" s="1"/>
  <c r="AA238" i="30" s="1"/>
  <c r="V239" i="30"/>
  <c r="U239" i="30"/>
  <c r="S239" i="30"/>
  <c r="H239" i="30"/>
  <c r="D239" i="30"/>
  <c r="B239" i="30"/>
  <c r="W238" i="30"/>
  <c r="X238" i="30" s="1"/>
  <c r="AA237" i="30" s="1"/>
  <c r="V238" i="30"/>
  <c r="U238" i="30"/>
  <c r="S238" i="30"/>
  <c r="H238" i="30"/>
  <c r="D238" i="30"/>
  <c r="B238" i="30"/>
  <c r="W237" i="30"/>
  <c r="X237" i="30" s="1"/>
  <c r="AA236" i="30" s="1"/>
  <c r="V237" i="30"/>
  <c r="U237" i="30"/>
  <c r="S237" i="30"/>
  <c r="H237" i="30"/>
  <c r="D237" i="30"/>
  <c r="B237" i="30"/>
  <c r="W236" i="30"/>
  <c r="X236" i="30" s="1"/>
  <c r="AA235" i="30" s="1"/>
  <c r="V236" i="30"/>
  <c r="U236" i="30"/>
  <c r="S236" i="30"/>
  <c r="H236" i="30"/>
  <c r="D236" i="30"/>
  <c r="B236" i="30"/>
  <c r="W235" i="30"/>
  <c r="X235" i="30" s="1"/>
  <c r="AA234" i="30" s="1"/>
  <c r="V235" i="30"/>
  <c r="U235" i="30"/>
  <c r="S235" i="30"/>
  <c r="H235" i="30"/>
  <c r="D235" i="30"/>
  <c r="B235" i="30"/>
  <c r="W234" i="30"/>
  <c r="X234" i="30" s="1"/>
  <c r="AA233" i="30" s="1"/>
  <c r="V234" i="30"/>
  <c r="U234" i="30"/>
  <c r="S234" i="30"/>
  <c r="H234" i="30"/>
  <c r="D234" i="30"/>
  <c r="B234" i="30"/>
  <c r="W233" i="30"/>
  <c r="X233" i="30" s="1"/>
  <c r="AA232" i="30" s="1"/>
  <c r="V233" i="30"/>
  <c r="Z233" i="30" s="1"/>
  <c r="U233" i="30"/>
  <c r="S233" i="30"/>
  <c r="H233" i="30"/>
  <c r="D233" i="30"/>
  <c r="B233" i="30"/>
  <c r="W232" i="30"/>
  <c r="X232" i="30" s="1"/>
  <c r="AA231" i="30" s="1"/>
  <c r="V232" i="30"/>
  <c r="U232" i="30"/>
  <c r="S232" i="30"/>
  <c r="H232" i="30"/>
  <c r="D232" i="30"/>
  <c r="B232" i="30"/>
  <c r="W231" i="30"/>
  <c r="X231" i="30" s="1"/>
  <c r="AA230" i="30" s="1"/>
  <c r="V231" i="30"/>
  <c r="U231" i="30"/>
  <c r="S231" i="30"/>
  <c r="H231" i="30"/>
  <c r="D231" i="30"/>
  <c r="B231" i="30"/>
  <c r="W230" i="30"/>
  <c r="X230" i="30" s="1"/>
  <c r="AA229" i="30" s="1"/>
  <c r="V230" i="30"/>
  <c r="U230" i="30"/>
  <c r="S230" i="30"/>
  <c r="H230" i="30"/>
  <c r="D230" i="30"/>
  <c r="B230" i="30"/>
  <c r="W229" i="30"/>
  <c r="X229" i="30" s="1"/>
  <c r="AA228" i="30" s="1"/>
  <c r="V229" i="30"/>
  <c r="U229" i="30"/>
  <c r="S229" i="30"/>
  <c r="H229" i="30"/>
  <c r="D229" i="30"/>
  <c r="B229" i="30"/>
  <c r="W228" i="30"/>
  <c r="X228" i="30" s="1"/>
  <c r="AA227" i="30" s="1"/>
  <c r="V228" i="30"/>
  <c r="U228" i="30"/>
  <c r="S228" i="30"/>
  <c r="H228" i="30"/>
  <c r="D228" i="30"/>
  <c r="B228" i="30"/>
  <c r="W227" i="30"/>
  <c r="X227" i="30" s="1"/>
  <c r="AA226" i="30" s="1"/>
  <c r="V227" i="30"/>
  <c r="U227" i="30"/>
  <c r="S227" i="30"/>
  <c r="H227" i="30"/>
  <c r="D227" i="30"/>
  <c r="B227" i="30"/>
  <c r="W226" i="30"/>
  <c r="X226" i="30" s="1"/>
  <c r="AA225" i="30" s="1"/>
  <c r="V226" i="30"/>
  <c r="U226" i="30"/>
  <c r="S226" i="30"/>
  <c r="H226" i="30"/>
  <c r="D226" i="30"/>
  <c r="B226" i="30"/>
  <c r="W225" i="30"/>
  <c r="X225" i="30" s="1"/>
  <c r="AA224" i="30" s="1"/>
  <c r="V225" i="30"/>
  <c r="Z225" i="30" s="1"/>
  <c r="U225" i="30"/>
  <c r="S225" i="30"/>
  <c r="H225" i="30"/>
  <c r="D225" i="30"/>
  <c r="B225" i="30"/>
  <c r="W224" i="30"/>
  <c r="X224" i="30" s="1"/>
  <c r="AA223" i="30" s="1"/>
  <c r="V224" i="30"/>
  <c r="U224" i="30"/>
  <c r="S224" i="30"/>
  <c r="H224" i="30"/>
  <c r="D224" i="30"/>
  <c r="B224" i="30"/>
  <c r="W223" i="30"/>
  <c r="X223" i="30" s="1"/>
  <c r="AA222" i="30" s="1"/>
  <c r="V223" i="30"/>
  <c r="U223" i="30"/>
  <c r="S223" i="30"/>
  <c r="H223" i="30"/>
  <c r="D223" i="30"/>
  <c r="B223" i="30"/>
  <c r="W222" i="30"/>
  <c r="X222" i="30" s="1"/>
  <c r="AA221" i="30" s="1"/>
  <c r="V222" i="30"/>
  <c r="U222" i="30"/>
  <c r="S222" i="30"/>
  <c r="H222" i="30"/>
  <c r="D222" i="30"/>
  <c r="B222" i="30"/>
  <c r="W221" i="30"/>
  <c r="X221" i="30" s="1"/>
  <c r="AA220" i="30" s="1"/>
  <c r="V221" i="30"/>
  <c r="U221" i="30"/>
  <c r="S221" i="30"/>
  <c r="H221" i="30"/>
  <c r="D221" i="30"/>
  <c r="B221" i="30"/>
  <c r="W220" i="30"/>
  <c r="X220" i="30" s="1"/>
  <c r="AA219" i="30" s="1"/>
  <c r="V220" i="30"/>
  <c r="U220" i="30"/>
  <c r="S220" i="30"/>
  <c r="H220" i="30"/>
  <c r="D220" i="30"/>
  <c r="B220" i="30"/>
  <c r="W219" i="30"/>
  <c r="X219" i="30" s="1"/>
  <c r="AA218" i="30" s="1"/>
  <c r="V219" i="30"/>
  <c r="U219" i="30"/>
  <c r="S219" i="30"/>
  <c r="H219" i="30"/>
  <c r="D219" i="30"/>
  <c r="B219" i="30"/>
  <c r="W218" i="30"/>
  <c r="X218" i="30" s="1"/>
  <c r="AA217" i="30" s="1"/>
  <c r="V218" i="30"/>
  <c r="U218" i="30"/>
  <c r="S218" i="30"/>
  <c r="H218" i="30"/>
  <c r="D218" i="30"/>
  <c r="B218" i="30"/>
  <c r="W217" i="30"/>
  <c r="X217" i="30" s="1"/>
  <c r="AA216" i="30" s="1"/>
  <c r="V217" i="30"/>
  <c r="Z217" i="30" s="1"/>
  <c r="U217" i="30"/>
  <c r="S217" i="30"/>
  <c r="H217" i="30"/>
  <c r="D217" i="30"/>
  <c r="B217" i="30"/>
  <c r="W216" i="30"/>
  <c r="X216" i="30" s="1"/>
  <c r="AA215" i="30" s="1"/>
  <c r="V216" i="30"/>
  <c r="U216" i="30"/>
  <c r="S216" i="30"/>
  <c r="H216" i="30"/>
  <c r="D216" i="30"/>
  <c r="B216" i="30"/>
  <c r="W215" i="30"/>
  <c r="X215" i="30" s="1"/>
  <c r="AA214" i="30" s="1"/>
  <c r="V215" i="30"/>
  <c r="U215" i="30"/>
  <c r="S215" i="30"/>
  <c r="H215" i="30"/>
  <c r="D215" i="30"/>
  <c r="B215" i="30"/>
  <c r="W214" i="30"/>
  <c r="X214" i="30" s="1"/>
  <c r="AA213" i="30" s="1"/>
  <c r="V214" i="30"/>
  <c r="U214" i="30"/>
  <c r="S214" i="30"/>
  <c r="H214" i="30"/>
  <c r="D214" i="30"/>
  <c r="B214" i="30"/>
  <c r="W213" i="30"/>
  <c r="X213" i="30" s="1"/>
  <c r="AA212" i="30" s="1"/>
  <c r="V213" i="30"/>
  <c r="U213" i="30"/>
  <c r="S213" i="30"/>
  <c r="H213" i="30"/>
  <c r="D213" i="30"/>
  <c r="B213" i="30"/>
  <c r="W212" i="30"/>
  <c r="X212" i="30" s="1"/>
  <c r="AA211" i="30" s="1"/>
  <c r="V212" i="30"/>
  <c r="U212" i="30"/>
  <c r="S212" i="30"/>
  <c r="H212" i="30"/>
  <c r="D212" i="30"/>
  <c r="B212" i="30"/>
  <c r="W211" i="30"/>
  <c r="X211" i="30" s="1"/>
  <c r="AA210" i="30" s="1"/>
  <c r="V211" i="30"/>
  <c r="U211" i="30"/>
  <c r="S211" i="30"/>
  <c r="H211" i="30"/>
  <c r="D211" i="30"/>
  <c r="B211" i="30"/>
  <c r="W210" i="30"/>
  <c r="X210" i="30" s="1"/>
  <c r="AA209" i="30" s="1"/>
  <c r="V210" i="30"/>
  <c r="U210" i="30"/>
  <c r="S210" i="30"/>
  <c r="H210" i="30"/>
  <c r="D210" i="30"/>
  <c r="B210" i="30"/>
  <c r="W209" i="30"/>
  <c r="X209" i="30" s="1"/>
  <c r="AA208" i="30" s="1"/>
  <c r="V209" i="30"/>
  <c r="Z209" i="30" s="1"/>
  <c r="U209" i="30"/>
  <c r="S209" i="30"/>
  <c r="H209" i="30"/>
  <c r="D209" i="30"/>
  <c r="B209" i="30"/>
  <c r="W208" i="30"/>
  <c r="X208" i="30" s="1"/>
  <c r="AA207" i="30" s="1"/>
  <c r="V208" i="30"/>
  <c r="U208" i="30"/>
  <c r="S208" i="30"/>
  <c r="H208" i="30"/>
  <c r="D208" i="30"/>
  <c r="B208" i="30"/>
  <c r="W207" i="30"/>
  <c r="X207" i="30" s="1"/>
  <c r="AA206" i="30" s="1"/>
  <c r="V207" i="30"/>
  <c r="U207" i="30"/>
  <c r="S207" i="30"/>
  <c r="H207" i="30"/>
  <c r="D207" i="30"/>
  <c r="B207" i="30"/>
  <c r="W206" i="30"/>
  <c r="X206" i="30" s="1"/>
  <c r="AA205" i="30" s="1"/>
  <c r="V206" i="30"/>
  <c r="U206" i="30"/>
  <c r="S206" i="30"/>
  <c r="H206" i="30"/>
  <c r="D206" i="30"/>
  <c r="B206" i="30"/>
  <c r="W205" i="30"/>
  <c r="X205" i="30" s="1"/>
  <c r="AA204" i="30" s="1"/>
  <c r="V205" i="30"/>
  <c r="U205" i="30"/>
  <c r="S205" i="30"/>
  <c r="H205" i="30"/>
  <c r="D205" i="30"/>
  <c r="B205" i="30"/>
  <c r="W204" i="30"/>
  <c r="X204" i="30" s="1"/>
  <c r="AA203" i="30" s="1"/>
  <c r="V204" i="30"/>
  <c r="U204" i="30"/>
  <c r="S204" i="30"/>
  <c r="H204" i="30"/>
  <c r="D204" i="30"/>
  <c r="B204" i="30"/>
  <c r="W203" i="30"/>
  <c r="X203" i="30" s="1"/>
  <c r="AA202" i="30" s="1"/>
  <c r="V203" i="30"/>
  <c r="U203" i="30"/>
  <c r="S203" i="30"/>
  <c r="H203" i="30"/>
  <c r="D203" i="30"/>
  <c r="B203" i="30"/>
  <c r="W202" i="30"/>
  <c r="X202" i="30" s="1"/>
  <c r="AA201" i="30" s="1"/>
  <c r="V202" i="30"/>
  <c r="U202" i="30"/>
  <c r="S202" i="30"/>
  <c r="H202" i="30"/>
  <c r="D202" i="30"/>
  <c r="B202" i="30"/>
  <c r="W201" i="30"/>
  <c r="X201" i="30" s="1"/>
  <c r="AA200" i="30" s="1"/>
  <c r="V201" i="30"/>
  <c r="Z201" i="30" s="1"/>
  <c r="U201" i="30"/>
  <c r="S201" i="30"/>
  <c r="H201" i="30"/>
  <c r="D201" i="30"/>
  <c r="B201" i="30"/>
  <c r="W200" i="30"/>
  <c r="X200" i="30" s="1"/>
  <c r="AA199" i="30" s="1"/>
  <c r="V200" i="30"/>
  <c r="U200" i="30"/>
  <c r="S200" i="30"/>
  <c r="H200" i="30"/>
  <c r="D200" i="30"/>
  <c r="B200" i="30"/>
  <c r="W199" i="30"/>
  <c r="X199" i="30" s="1"/>
  <c r="AA198" i="30" s="1"/>
  <c r="V199" i="30"/>
  <c r="U199" i="30"/>
  <c r="S199" i="30"/>
  <c r="H199" i="30"/>
  <c r="D199" i="30"/>
  <c r="B199" i="30"/>
  <c r="W198" i="30"/>
  <c r="X198" i="30" s="1"/>
  <c r="AA197" i="30" s="1"/>
  <c r="V198" i="30"/>
  <c r="U198" i="30"/>
  <c r="S198" i="30"/>
  <c r="H198" i="30"/>
  <c r="D198" i="30"/>
  <c r="B198" i="30"/>
  <c r="W197" i="30"/>
  <c r="X197" i="30" s="1"/>
  <c r="AA196" i="30" s="1"/>
  <c r="V197" i="30"/>
  <c r="U197" i="30"/>
  <c r="S197" i="30"/>
  <c r="H197" i="30"/>
  <c r="D197" i="30"/>
  <c r="B197" i="30"/>
  <c r="W196" i="30"/>
  <c r="X196" i="30" s="1"/>
  <c r="AA195" i="30" s="1"/>
  <c r="V196" i="30"/>
  <c r="U196" i="30"/>
  <c r="S196" i="30"/>
  <c r="H196" i="30"/>
  <c r="D196" i="30"/>
  <c r="B196" i="30"/>
  <c r="W195" i="30"/>
  <c r="X195" i="30" s="1"/>
  <c r="AA194" i="30" s="1"/>
  <c r="V195" i="30"/>
  <c r="U195" i="30"/>
  <c r="S195" i="30"/>
  <c r="H195" i="30"/>
  <c r="D195" i="30"/>
  <c r="B195" i="30"/>
  <c r="W194" i="30"/>
  <c r="X194" i="30" s="1"/>
  <c r="AA193" i="30" s="1"/>
  <c r="V194" i="30"/>
  <c r="U194" i="30"/>
  <c r="S194" i="30"/>
  <c r="H194" i="30"/>
  <c r="D194" i="30"/>
  <c r="B194" i="30"/>
  <c r="W193" i="30"/>
  <c r="X193" i="30" s="1"/>
  <c r="AA192" i="30" s="1"/>
  <c r="V193" i="30"/>
  <c r="Z193" i="30" s="1"/>
  <c r="U193" i="30"/>
  <c r="S193" i="30"/>
  <c r="H193" i="30"/>
  <c r="D193" i="30"/>
  <c r="B193" i="30"/>
  <c r="W192" i="30"/>
  <c r="X192" i="30" s="1"/>
  <c r="AA191" i="30" s="1"/>
  <c r="V192" i="30"/>
  <c r="U192" i="30"/>
  <c r="S192" i="30"/>
  <c r="H192" i="30"/>
  <c r="D192" i="30"/>
  <c r="B192" i="30"/>
  <c r="W191" i="30"/>
  <c r="X191" i="30" s="1"/>
  <c r="AA190" i="30" s="1"/>
  <c r="V191" i="30"/>
  <c r="U191" i="30"/>
  <c r="S191" i="30"/>
  <c r="H191" i="30"/>
  <c r="D191" i="30"/>
  <c r="B191" i="30"/>
  <c r="W190" i="30"/>
  <c r="X190" i="30" s="1"/>
  <c r="AA189" i="30" s="1"/>
  <c r="V190" i="30"/>
  <c r="U190" i="30"/>
  <c r="S190" i="30"/>
  <c r="H190" i="30"/>
  <c r="D190" i="30"/>
  <c r="B190" i="30"/>
  <c r="W189" i="30"/>
  <c r="X189" i="30" s="1"/>
  <c r="AA188" i="30" s="1"/>
  <c r="V189" i="30"/>
  <c r="U189" i="30"/>
  <c r="S189" i="30"/>
  <c r="H189" i="30"/>
  <c r="D189" i="30"/>
  <c r="B189" i="30"/>
  <c r="W188" i="30"/>
  <c r="X188" i="30" s="1"/>
  <c r="AA187" i="30" s="1"/>
  <c r="V188" i="30"/>
  <c r="U188" i="30"/>
  <c r="S188" i="30"/>
  <c r="H188" i="30"/>
  <c r="D188" i="30"/>
  <c r="B188" i="30"/>
  <c r="W187" i="30"/>
  <c r="X187" i="30" s="1"/>
  <c r="AA186" i="30" s="1"/>
  <c r="V187" i="30"/>
  <c r="U187" i="30"/>
  <c r="S187" i="30"/>
  <c r="H187" i="30"/>
  <c r="D187" i="30"/>
  <c r="B187" i="30"/>
  <c r="W186" i="30"/>
  <c r="X186" i="30" s="1"/>
  <c r="AA185" i="30" s="1"/>
  <c r="V186" i="30"/>
  <c r="U186" i="30"/>
  <c r="S186" i="30"/>
  <c r="H186" i="30"/>
  <c r="D186" i="30"/>
  <c r="B186" i="30"/>
  <c r="W185" i="30"/>
  <c r="X185" i="30" s="1"/>
  <c r="AA184" i="30" s="1"/>
  <c r="V185" i="30"/>
  <c r="Z185" i="30" s="1"/>
  <c r="U185" i="30"/>
  <c r="S185" i="30"/>
  <c r="H185" i="30"/>
  <c r="D185" i="30"/>
  <c r="B185" i="30"/>
  <c r="W184" i="30"/>
  <c r="X184" i="30" s="1"/>
  <c r="AA183" i="30" s="1"/>
  <c r="V184" i="30"/>
  <c r="U184" i="30"/>
  <c r="S184" i="30"/>
  <c r="H184" i="30"/>
  <c r="D184" i="30"/>
  <c r="B184" i="30"/>
  <c r="W183" i="30"/>
  <c r="X183" i="30" s="1"/>
  <c r="AA182" i="30" s="1"/>
  <c r="V183" i="30"/>
  <c r="U183" i="30"/>
  <c r="S183" i="30"/>
  <c r="H183" i="30"/>
  <c r="D183" i="30"/>
  <c r="B183" i="30"/>
  <c r="W182" i="30"/>
  <c r="X182" i="30" s="1"/>
  <c r="AA181" i="30" s="1"/>
  <c r="V182" i="30"/>
  <c r="U182" i="30"/>
  <c r="S182" i="30"/>
  <c r="H182" i="30"/>
  <c r="D182" i="30"/>
  <c r="B182" i="30"/>
  <c r="W181" i="30"/>
  <c r="X181" i="30" s="1"/>
  <c r="AA180" i="30" s="1"/>
  <c r="V181" i="30"/>
  <c r="U181" i="30"/>
  <c r="S181" i="30"/>
  <c r="H181" i="30"/>
  <c r="D181" i="30"/>
  <c r="B181" i="30"/>
  <c r="W180" i="30"/>
  <c r="X180" i="30" s="1"/>
  <c r="AA179" i="30" s="1"/>
  <c r="V180" i="30"/>
  <c r="U180" i="30"/>
  <c r="S180" i="30"/>
  <c r="H180" i="30"/>
  <c r="D180" i="30"/>
  <c r="B180" i="30"/>
  <c r="W179" i="30"/>
  <c r="X179" i="30" s="1"/>
  <c r="AA178" i="30" s="1"/>
  <c r="V179" i="30"/>
  <c r="U179" i="30"/>
  <c r="S179" i="30"/>
  <c r="H179" i="30"/>
  <c r="D179" i="30"/>
  <c r="B179" i="30"/>
  <c r="W178" i="30"/>
  <c r="X178" i="30" s="1"/>
  <c r="AA177" i="30" s="1"/>
  <c r="V178" i="30"/>
  <c r="U178" i="30"/>
  <c r="S178" i="30"/>
  <c r="H178" i="30"/>
  <c r="D178" i="30"/>
  <c r="B178" i="30"/>
  <c r="W177" i="30"/>
  <c r="X177" i="30" s="1"/>
  <c r="AA176" i="30" s="1"/>
  <c r="V177" i="30"/>
  <c r="Z177" i="30" s="1"/>
  <c r="U177" i="30"/>
  <c r="S177" i="30"/>
  <c r="H177" i="30"/>
  <c r="D177" i="30"/>
  <c r="B177" i="30"/>
  <c r="W176" i="30"/>
  <c r="X176" i="30" s="1"/>
  <c r="AA175" i="30" s="1"/>
  <c r="V176" i="30"/>
  <c r="U176" i="30"/>
  <c r="S176" i="30"/>
  <c r="H176" i="30"/>
  <c r="D176" i="30"/>
  <c r="B176" i="30"/>
  <c r="W175" i="30"/>
  <c r="X175" i="30" s="1"/>
  <c r="AA174" i="30" s="1"/>
  <c r="V175" i="30"/>
  <c r="U175" i="30"/>
  <c r="S175" i="30"/>
  <c r="H175" i="30"/>
  <c r="D175" i="30"/>
  <c r="B175" i="30"/>
  <c r="W174" i="30"/>
  <c r="X174" i="30" s="1"/>
  <c r="AA173" i="30" s="1"/>
  <c r="V174" i="30"/>
  <c r="U174" i="30"/>
  <c r="S174" i="30"/>
  <c r="H174" i="30"/>
  <c r="D174" i="30"/>
  <c r="B174" i="30"/>
  <c r="W173" i="30"/>
  <c r="X173" i="30" s="1"/>
  <c r="AA172" i="30" s="1"/>
  <c r="V173" i="30"/>
  <c r="U173" i="30"/>
  <c r="S173" i="30"/>
  <c r="H173" i="30"/>
  <c r="D173" i="30"/>
  <c r="B173" i="30"/>
  <c r="W172" i="30"/>
  <c r="X172" i="30" s="1"/>
  <c r="AA171" i="30" s="1"/>
  <c r="V172" i="30"/>
  <c r="U172" i="30"/>
  <c r="S172" i="30"/>
  <c r="H172" i="30"/>
  <c r="D172" i="30"/>
  <c r="B172" i="30"/>
  <c r="W171" i="30"/>
  <c r="X171" i="30" s="1"/>
  <c r="AA170" i="30" s="1"/>
  <c r="V171" i="30"/>
  <c r="U171" i="30"/>
  <c r="S171" i="30"/>
  <c r="H171" i="30"/>
  <c r="D171" i="30"/>
  <c r="B171" i="30"/>
  <c r="W170" i="30"/>
  <c r="X170" i="30" s="1"/>
  <c r="AA169" i="30" s="1"/>
  <c r="V170" i="30"/>
  <c r="U170" i="30"/>
  <c r="S170" i="30"/>
  <c r="H170" i="30"/>
  <c r="D170" i="30"/>
  <c r="B170" i="30"/>
  <c r="W169" i="30"/>
  <c r="X169" i="30" s="1"/>
  <c r="AA168" i="30" s="1"/>
  <c r="V169" i="30"/>
  <c r="Z169" i="30" s="1"/>
  <c r="U169" i="30"/>
  <c r="S169" i="30"/>
  <c r="H169" i="30"/>
  <c r="D169" i="30"/>
  <c r="B169" i="30"/>
  <c r="W168" i="30"/>
  <c r="X168" i="30" s="1"/>
  <c r="AA167" i="30" s="1"/>
  <c r="V168" i="30"/>
  <c r="U168" i="30"/>
  <c r="S168" i="30"/>
  <c r="H168" i="30"/>
  <c r="D168" i="30"/>
  <c r="B168" i="30"/>
  <c r="W167" i="30"/>
  <c r="X167" i="30" s="1"/>
  <c r="AA166" i="30" s="1"/>
  <c r="V167" i="30"/>
  <c r="U167" i="30"/>
  <c r="S167" i="30"/>
  <c r="H167" i="30"/>
  <c r="D167" i="30"/>
  <c r="B167" i="30"/>
  <c r="W166" i="30"/>
  <c r="X166" i="30" s="1"/>
  <c r="AA165" i="30" s="1"/>
  <c r="V166" i="30"/>
  <c r="U166" i="30"/>
  <c r="S166" i="30"/>
  <c r="H166" i="30"/>
  <c r="D166" i="30"/>
  <c r="B166" i="30"/>
  <c r="W165" i="30"/>
  <c r="X165" i="30" s="1"/>
  <c r="AA164" i="30" s="1"/>
  <c r="V165" i="30"/>
  <c r="U165" i="30"/>
  <c r="S165" i="30"/>
  <c r="H165" i="30"/>
  <c r="D165" i="30"/>
  <c r="B165" i="30"/>
  <c r="W164" i="30"/>
  <c r="X164" i="30" s="1"/>
  <c r="AA163" i="30" s="1"/>
  <c r="V164" i="30"/>
  <c r="U164" i="30"/>
  <c r="S164" i="30"/>
  <c r="H164" i="30"/>
  <c r="D164" i="30"/>
  <c r="B164" i="30"/>
  <c r="W163" i="30"/>
  <c r="X163" i="30" s="1"/>
  <c r="AA162" i="30" s="1"/>
  <c r="V163" i="30"/>
  <c r="U163" i="30"/>
  <c r="S163" i="30"/>
  <c r="H163" i="30"/>
  <c r="D163" i="30"/>
  <c r="B163" i="30"/>
  <c r="W162" i="30"/>
  <c r="X162" i="30" s="1"/>
  <c r="AA161" i="30" s="1"/>
  <c r="V162" i="30"/>
  <c r="U162" i="30"/>
  <c r="S162" i="30"/>
  <c r="H162" i="30"/>
  <c r="D162" i="30"/>
  <c r="B162" i="30"/>
  <c r="W161" i="30"/>
  <c r="X161" i="30" s="1"/>
  <c r="AA160" i="30" s="1"/>
  <c r="V161" i="30"/>
  <c r="Z161" i="30" s="1"/>
  <c r="U161" i="30"/>
  <c r="S161" i="30"/>
  <c r="H161" i="30"/>
  <c r="D161" i="30"/>
  <c r="B161" i="30"/>
  <c r="W160" i="30"/>
  <c r="X160" i="30" s="1"/>
  <c r="AA159" i="30" s="1"/>
  <c r="V160" i="30"/>
  <c r="U160" i="30"/>
  <c r="S160" i="30"/>
  <c r="H160" i="30"/>
  <c r="D160" i="30"/>
  <c r="B160" i="30"/>
  <c r="W159" i="30"/>
  <c r="X159" i="30" s="1"/>
  <c r="AA158" i="30" s="1"/>
  <c r="V159" i="30"/>
  <c r="U159" i="30"/>
  <c r="S159" i="30"/>
  <c r="H159" i="30"/>
  <c r="D159" i="30"/>
  <c r="B159" i="30"/>
  <c r="W158" i="30"/>
  <c r="X158" i="30" s="1"/>
  <c r="AA157" i="30" s="1"/>
  <c r="V158" i="30"/>
  <c r="U158" i="30"/>
  <c r="S158" i="30"/>
  <c r="H158" i="30"/>
  <c r="D158" i="30"/>
  <c r="B158" i="30"/>
  <c r="W157" i="30"/>
  <c r="X157" i="30" s="1"/>
  <c r="AA156" i="30" s="1"/>
  <c r="V157" i="30"/>
  <c r="U157" i="30"/>
  <c r="S157" i="30"/>
  <c r="H157" i="30"/>
  <c r="D157" i="30"/>
  <c r="B157" i="30"/>
  <c r="W156" i="30"/>
  <c r="X156" i="30" s="1"/>
  <c r="AA155" i="30" s="1"/>
  <c r="V156" i="30"/>
  <c r="U156" i="30"/>
  <c r="S156" i="30"/>
  <c r="H156" i="30"/>
  <c r="D156" i="30"/>
  <c r="B156" i="30"/>
  <c r="W155" i="30"/>
  <c r="X155" i="30" s="1"/>
  <c r="AA154" i="30" s="1"/>
  <c r="V155" i="30"/>
  <c r="U155" i="30"/>
  <c r="S155" i="30"/>
  <c r="H155" i="30"/>
  <c r="D155" i="30"/>
  <c r="B155" i="30"/>
  <c r="W154" i="30"/>
  <c r="X154" i="30" s="1"/>
  <c r="AA153" i="30" s="1"/>
  <c r="V154" i="30"/>
  <c r="U154" i="30"/>
  <c r="S154" i="30"/>
  <c r="H154" i="30"/>
  <c r="D154" i="30"/>
  <c r="B154" i="30"/>
  <c r="W153" i="30"/>
  <c r="X153" i="30" s="1"/>
  <c r="AA152" i="30" s="1"/>
  <c r="V153" i="30"/>
  <c r="Z153" i="30" s="1"/>
  <c r="U153" i="30"/>
  <c r="S153" i="30"/>
  <c r="H153" i="30"/>
  <c r="D153" i="30"/>
  <c r="B153" i="30"/>
  <c r="W152" i="30"/>
  <c r="X152" i="30" s="1"/>
  <c r="AA151" i="30" s="1"/>
  <c r="V152" i="30"/>
  <c r="U152" i="30"/>
  <c r="S152" i="30"/>
  <c r="H152" i="30"/>
  <c r="D152" i="30"/>
  <c r="B152" i="30"/>
  <c r="W151" i="30"/>
  <c r="X151" i="30" s="1"/>
  <c r="AA150" i="30" s="1"/>
  <c r="V151" i="30"/>
  <c r="U151" i="30"/>
  <c r="S151" i="30"/>
  <c r="H151" i="30"/>
  <c r="D151" i="30"/>
  <c r="B151" i="30"/>
  <c r="W150" i="30"/>
  <c r="X150" i="30" s="1"/>
  <c r="AA149" i="30" s="1"/>
  <c r="V150" i="30"/>
  <c r="U150" i="30"/>
  <c r="S150" i="30"/>
  <c r="H150" i="30"/>
  <c r="D150" i="30"/>
  <c r="B150" i="30"/>
  <c r="W149" i="30"/>
  <c r="X149" i="30" s="1"/>
  <c r="AA148" i="30" s="1"/>
  <c r="V149" i="30"/>
  <c r="U149" i="30"/>
  <c r="S149" i="30"/>
  <c r="H149" i="30"/>
  <c r="D149" i="30"/>
  <c r="B149" i="30"/>
  <c r="W148" i="30"/>
  <c r="X148" i="30" s="1"/>
  <c r="AA147" i="30" s="1"/>
  <c r="V148" i="30"/>
  <c r="U148" i="30"/>
  <c r="S148" i="30"/>
  <c r="H148" i="30"/>
  <c r="D148" i="30"/>
  <c r="B148" i="30"/>
  <c r="W147" i="30"/>
  <c r="X147" i="30" s="1"/>
  <c r="AA146" i="30" s="1"/>
  <c r="V147" i="30"/>
  <c r="U147" i="30"/>
  <c r="S147" i="30"/>
  <c r="H147" i="30"/>
  <c r="D147" i="30"/>
  <c r="B147" i="30"/>
  <c r="W146" i="30"/>
  <c r="X146" i="30" s="1"/>
  <c r="AA145" i="30" s="1"/>
  <c r="V146" i="30"/>
  <c r="U146" i="30"/>
  <c r="S146" i="30"/>
  <c r="H146" i="30"/>
  <c r="D146" i="30"/>
  <c r="B146" i="30"/>
  <c r="W145" i="30"/>
  <c r="X145" i="30" s="1"/>
  <c r="AA144" i="30" s="1"/>
  <c r="V145" i="30"/>
  <c r="Z145" i="30" s="1"/>
  <c r="U145" i="30"/>
  <c r="S145" i="30"/>
  <c r="H145" i="30"/>
  <c r="D145" i="30"/>
  <c r="B145" i="30"/>
  <c r="W144" i="30"/>
  <c r="X144" i="30" s="1"/>
  <c r="AA143" i="30" s="1"/>
  <c r="V144" i="30"/>
  <c r="U144" i="30"/>
  <c r="S144" i="30"/>
  <c r="H144" i="30"/>
  <c r="D144" i="30"/>
  <c r="B144" i="30"/>
  <c r="W143" i="30"/>
  <c r="X143" i="30" s="1"/>
  <c r="AA142" i="30" s="1"/>
  <c r="V143" i="30"/>
  <c r="U143" i="30"/>
  <c r="S143" i="30"/>
  <c r="H143" i="30"/>
  <c r="D143" i="30"/>
  <c r="B143" i="30"/>
  <c r="W142" i="30"/>
  <c r="X142" i="30" s="1"/>
  <c r="AA141" i="30" s="1"/>
  <c r="V142" i="30"/>
  <c r="U142" i="30"/>
  <c r="S142" i="30"/>
  <c r="H142" i="30"/>
  <c r="D142" i="30"/>
  <c r="B142" i="30"/>
  <c r="W141" i="30"/>
  <c r="X141" i="30" s="1"/>
  <c r="AA140" i="30" s="1"/>
  <c r="V141" i="30"/>
  <c r="U141" i="30"/>
  <c r="S141" i="30"/>
  <c r="H141" i="30"/>
  <c r="D141" i="30"/>
  <c r="B141" i="30"/>
  <c r="W140" i="30"/>
  <c r="X140" i="30" s="1"/>
  <c r="AA139" i="30" s="1"/>
  <c r="V140" i="30"/>
  <c r="U140" i="30"/>
  <c r="S140" i="30"/>
  <c r="H140" i="30"/>
  <c r="D140" i="30"/>
  <c r="B140" i="30"/>
  <c r="W139" i="30"/>
  <c r="X139" i="30" s="1"/>
  <c r="AA138" i="30" s="1"/>
  <c r="V139" i="30"/>
  <c r="U139" i="30"/>
  <c r="S139" i="30"/>
  <c r="H139" i="30"/>
  <c r="D139" i="30"/>
  <c r="B139" i="30"/>
  <c r="W138" i="30"/>
  <c r="X138" i="30" s="1"/>
  <c r="AA137" i="30" s="1"/>
  <c r="V138" i="30"/>
  <c r="U138" i="30"/>
  <c r="S138" i="30"/>
  <c r="H138" i="30"/>
  <c r="D138" i="30"/>
  <c r="B138" i="30"/>
  <c r="W137" i="30"/>
  <c r="X137" i="30" s="1"/>
  <c r="AA136" i="30" s="1"/>
  <c r="V137" i="30"/>
  <c r="Z137" i="30" s="1"/>
  <c r="U137" i="30"/>
  <c r="S137" i="30"/>
  <c r="H137" i="30"/>
  <c r="D137" i="30"/>
  <c r="B137" i="30"/>
  <c r="W136" i="30"/>
  <c r="X136" i="30" s="1"/>
  <c r="AA135" i="30" s="1"/>
  <c r="V136" i="30"/>
  <c r="U136" i="30"/>
  <c r="S136" i="30"/>
  <c r="H136" i="30"/>
  <c r="D136" i="30"/>
  <c r="B136" i="30"/>
  <c r="W135" i="30"/>
  <c r="X135" i="30" s="1"/>
  <c r="AA134" i="30" s="1"/>
  <c r="V135" i="30"/>
  <c r="U135" i="30"/>
  <c r="S135" i="30"/>
  <c r="H135" i="30"/>
  <c r="D135" i="30"/>
  <c r="B135" i="30"/>
  <c r="W134" i="30"/>
  <c r="X134" i="30" s="1"/>
  <c r="AA133" i="30" s="1"/>
  <c r="V134" i="30"/>
  <c r="U134" i="30"/>
  <c r="S134" i="30"/>
  <c r="H134" i="30"/>
  <c r="D134" i="30"/>
  <c r="B134" i="30"/>
  <c r="W133" i="30"/>
  <c r="X133" i="30" s="1"/>
  <c r="AA132" i="30" s="1"/>
  <c r="V133" i="30"/>
  <c r="U133" i="30"/>
  <c r="S133" i="30"/>
  <c r="H133" i="30"/>
  <c r="D133" i="30"/>
  <c r="B133" i="30"/>
  <c r="W132" i="30"/>
  <c r="X132" i="30" s="1"/>
  <c r="AA131" i="30" s="1"/>
  <c r="V132" i="30"/>
  <c r="U132" i="30"/>
  <c r="S132" i="30"/>
  <c r="H132" i="30"/>
  <c r="D132" i="30"/>
  <c r="B132" i="30"/>
  <c r="W131" i="30"/>
  <c r="X131" i="30" s="1"/>
  <c r="AA130" i="30" s="1"/>
  <c r="V131" i="30"/>
  <c r="U131" i="30"/>
  <c r="S131" i="30"/>
  <c r="H131" i="30"/>
  <c r="D131" i="30"/>
  <c r="B131" i="30"/>
  <c r="W130" i="30"/>
  <c r="X130" i="30" s="1"/>
  <c r="AA129" i="30" s="1"/>
  <c r="V130" i="30"/>
  <c r="U130" i="30"/>
  <c r="S130" i="30"/>
  <c r="H130" i="30"/>
  <c r="D130" i="30"/>
  <c r="B130" i="30"/>
  <c r="W129" i="30"/>
  <c r="X129" i="30" s="1"/>
  <c r="AA128" i="30" s="1"/>
  <c r="V129" i="30"/>
  <c r="Z129" i="30" s="1"/>
  <c r="U129" i="30"/>
  <c r="S129" i="30"/>
  <c r="H129" i="30"/>
  <c r="D129" i="30"/>
  <c r="B129" i="30"/>
  <c r="W128" i="30"/>
  <c r="X128" i="30" s="1"/>
  <c r="AA127" i="30" s="1"/>
  <c r="V128" i="30"/>
  <c r="U128" i="30"/>
  <c r="S128" i="30"/>
  <c r="H128" i="30"/>
  <c r="D128" i="30"/>
  <c r="B128" i="30"/>
  <c r="W127" i="30"/>
  <c r="X127" i="30" s="1"/>
  <c r="AA126" i="30" s="1"/>
  <c r="V127" i="30"/>
  <c r="U127" i="30"/>
  <c r="S127" i="30"/>
  <c r="H127" i="30"/>
  <c r="D127" i="30"/>
  <c r="B127" i="30"/>
  <c r="W126" i="30"/>
  <c r="X126" i="30" s="1"/>
  <c r="AA125" i="30" s="1"/>
  <c r="V126" i="30"/>
  <c r="U126" i="30"/>
  <c r="S126" i="30"/>
  <c r="H126" i="30"/>
  <c r="D126" i="30"/>
  <c r="B126" i="30"/>
  <c r="W125" i="30"/>
  <c r="X125" i="30" s="1"/>
  <c r="AA124" i="30" s="1"/>
  <c r="V125" i="30"/>
  <c r="U125" i="30"/>
  <c r="S125" i="30"/>
  <c r="H125" i="30"/>
  <c r="D125" i="30"/>
  <c r="B125" i="30"/>
  <c r="W124" i="30"/>
  <c r="X124" i="30" s="1"/>
  <c r="AA123" i="30" s="1"/>
  <c r="V124" i="30"/>
  <c r="U124" i="30"/>
  <c r="S124" i="30"/>
  <c r="H124" i="30"/>
  <c r="D124" i="30"/>
  <c r="B124" i="30"/>
  <c r="W123" i="30"/>
  <c r="X123" i="30" s="1"/>
  <c r="AA122" i="30" s="1"/>
  <c r="V123" i="30"/>
  <c r="U123" i="30"/>
  <c r="S123" i="30"/>
  <c r="H123" i="30"/>
  <c r="D123" i="30"/>
  <c r="B123" i="30"/>
  <c r="W122" i="30"/>
  <c r="X122" i="30" s="1"/>
  <c r="AA121" i="30" s="1"/>
  <c r="V122" i="30"/>
  <c r="U122" i="30"/>
  <c r="S122" i="30"/>
  <c r="H122" i="30"/>
  <c r="D122" i="30"/>
  <c r="B122" i="30"/>
  <c r="W121" i="30"/>
  <c r="X121" i="30" s="1"/>
  <c r="AA120" i="30" s="1"/>
  <c r="V121" i="30"/>
  <c r="Z121" i="30" s="1"/>
  <c r="U121" i="30"/>
  <c r="S121" i="30"/>
  <c r="H121" i="30"/>
  <c r="D121" i="30"/>
  <c r="B121" i="30"/>
  <c r="W120" i="30"/>
  <c r="X120" i="30" s="1"/>
  <c r="AA119" i="30" s="1"/>
  <c r="V120" i="30"/>
  <c r="U120" i="30"/>
  <c r="S120" i="30"/>
  <c r="H120" i="30"/>
  <c r="D120" i="30"/>
  <c r="B120" i="30"/>
  <c r="W119" i="30"/>
  <c r="X119" i="30" s="1"/>
  <c r="AA118" i="30" s="1"/>
  <c r="V119" i="30"/>
  <c r="U119" i="30"/>
  <c r="S119" i="30"/>
  <c r="H119" i="30"/>
  <c r="D119" i="30"/>
  <c r="B119" i="30"/>
  <c r="W118" i="30"/>
  <c r="X118" i="30" s="1"/>
  <c r="AA117" i="30" s="1"/>
  <c r="V118" i="30"/>
  <c r="U118" i="30"/>
  <c r="S118" i="30"/>
  <c r="H118" i="30"/>
  <c r="D118" i="30"/>
  <c r="B118" i="30"/>
  <c r="W117" i="30"/>
  <c r="X117" i="30" s="1"/>
  <c r="AA116" i="30" s="1"/>
  <c r="V117" i="30"/>
  <c r="U117" i="30"/>
  <c r="S117" i="30"/>
  <c r="H117" i="30"/>
  <c r="D117" i="30"/>
  <c r="B117" i="30"/>
  <c r="W116" i="30"/>
  <c r="X116" i="30" s="1"/>
  <c r="AA115" i="30" s="1"/>
  <c r="V116" i="30"/>
  <c r="U116" i="30"/>
  <c r="S116" i="30"/>
  <c r="H116" i="30"/>
  <c r="D116" i="30"/>
  <c r="B116" i="30"/>
  <c r="W115" i="30"/>
  <c r="X115" i="30" s="1"/>
  <c r="AA114" i="30" s="1"/>
  <c r="V115" i="30"/>
  <c r="U115" i="30"/>
  <c r="S115" i="30"/>
  <c r="H115" i="30"/>
  <c r="D115" i="30"/>
  <c r="B115" i="30"/>
  <c r="W114" i="30"/>
  <c r="X114" i="30" s="1"/>
  <c r="AA113" i="30" s="1"/>
  <c r="V114" i="30"/>
  <c r="U114" i="30"/>
  <c r="S114" i="30"/>
  <c r="H114" i="30"/>
  <c r="D114" i="30"/>
  <c r="B114" i="30"/>
  <c r="W113" i="30"/>
  <c r="X113" i="30" s="1"/>
  <c r="AA112" i="30" s="1"/>
  <c r="V113" i="30"/>
  <c r="Z113" i="30" s="1"/>
  <c r="U113" i="30"/>
  <c r="S113" i="30"/>
  <c r="H113" i="30"/>
  <c r="D113" i="30"/>
  <c r="B113" i="30"/>
  <c r="W112" i="30"/>
  <c r="X112" i="30" s="1"/>
  <c r="AA111" i="30" s="1"/>
  <c r="V112" i="30"/>
  <c r="U112" i="30"/>
  <c r="S112" i="30"/>
  <c r="H112" i="30"/>
  <c r="D112" i="30"/>
  <c r="B112" i="30"/>
  <c r="W111" i="30"/>
  <c r="X111" i="30" s="1"/>
  <c r="AA110" i="30" s="1"/>
  <c r="V111" i="30"/>
  <c r="U111" i="30"/>
  <c r="S111" i="30"/>
  <c r="H111" i="30"/>
  <c r="D111" i="30"/>
  <c r="B111" i="30"/>
  <c r="W110" i="30"/>
  <c r="X110" i="30" s="1"/>
  <c r="AA109" i="30" s="1"/>
  <c r="V110" i="30"/>
  <c r="U110" i="30"/>
  <c r="S110" i="30"/>
  <c r="H110" i="30"/>
  <c r="D110" i="30"/>
  <c r="B110" i="30"/>
  <c r="W109" i="30"/>
  <c r="X109" i="30" s="1"/>
  <c r="AA108" i="30" s="1"/>
  <c r="V109" i="30"/>
  <c r="U109" i="30"/>
  <c r="S109" i="30"/>
  <c r="H109" i="30"/>
  <c r="D109" i="30"/>
  <c r="B109" i="30"/>
  <c r="W108" i="30"/>
  <c r="X108" i="30" s="1"/>
  <c r="AA107" i="30" s="1"/>
  <c r="V108" i="30"/>
  <c r="U108" i="30"/>
  <c r="S108" i="30"/>
  <c r="H108" i="30"/>
  <c r="D108" i="30"/>
  <c r="B108" i="30"/>
  <c r="W107" i="30"/>
  <c r="X107" i="30" s="1"/>
  <c r="AA106" i="30" s="1"/>
  <c r="V107" i="30"/>
  <c r="U107" i="30"/>
  <c r="S107" i="30"/>
  <c r="H107" i="30"/>
  <c r="D107" i="30"/>
  <c r="B107" i="30"/>
  <c r="W106" i="30"/>
  <c r="X106" i="30" s="1"/>
  <c r="AA105" i="30" s="1"/>
  <c r="V106" i="30"/>
  <c r="U106" i="30"/>
  <c r="S106" i="30"/>
  <c r="H106" i="30"/>
  <c r="D106" i="30"/>
  <c r="B106" i="30"/>
  <c r="W105" i="30"/>
  <c r="X105" i="30" s="1"/>
  <c r="AA104" i="30" s="1"/>
  <c r="V105" i="30"/>
  <c r="Z105" i="30" s="1"/>
  <c r="U105" i="30"/>
  <c r="S105" i="30"/>
  <c r="H105" i="30"/>
  <c r="D105" i="30"/>
  <c r="B105" i="30"/>
  <c r="W104" i="30"/>
  <c r="X104" i="30" s="1"/>
  <c r="AA103" i="30" s="1"/>
  <c r="V104" i="30"/>
  <c r="U104" i="30"/>
  <c r="S104" i="30"/>
  <c r="H104" i="30"/>
  <c r="D104" i="30"/>
  <c r="B104" i="30"/>
  <c r="W103" i="30"/>
  <c r="X103" i="30" s="1"/>
  <c r="AA102" i="30" s="1"/>
  <c r="V103" i="30"/>
  <c r="U103" i="30"/>
  <c r="S103" i="30"/>
  <c r="H103" i="30"/>
  <c r="D103" i="30"/>
  <c r="B103" i="30"/>
  <c r="W102" i="30"/>
  <c r="X102" i="30" s="1"/>
  <c r="AA101" i="30" s="1"/>
  <c r="V102" i="30"/>
  <c r="U102" i="30"/>
  <c r="S102" i="30"/>
  <c r="H102" i="30"/>
  <c r="D102" i="30"/>
  <c r="B102" i="30"/>
  <c r="W101" i="30"/>
  <c r="X101" i="30" s="1"/>
  <c r="AA100" i="30" s="1"/>
  <c r="V101" i="30"/>
  <c r="U101" i="30"/>
  <c r="S101" i="30"/>
  <c r="H101" i="30"/>
  <c r="D101" i="30"/>
  <c r="B101" i="30"/>
  <c r="W100" i="30"/>
  <c r="X100" i="30" s="1"/>
  <c r="AA99" i="30" s="1"/>
  <c r="V100" i="30"/>
  <c r="U100" i="30"/>
  <c r="S100" i="30"/>
  <c r="H100" i="30"/>
  <c r="D100" i="30"/>
  <c r="B100" i="30"/>
  <c r="W99" i="30"/>
  <c r="X99" i="30" s="1"/>
  <c r="AA98" i="30" s="1"/>
  <c r="V99" i="30"/>
  <c r="U99" i="30"/>
  <c r="S99" i="30"/>
  <c r="H99" i="30"/>
  <c r="D99" i="30"/>
  <c r="B99" i="30"/>
  <c r="W98" i="30"/>
  <c r="X98" i="30" s="1"/>
  <c r="AA97" i="30" s="1"/>
  <c r="V98" i="30"/>
  <c r="U98" i="30"/>
  <c r="S98" i="30"/>
  <c r="H98" i="30"/>
  <c r="D98" i="30"/>
  <c r="B98" i="30"/>
  <c r="W97" i="30"/>
  <c r="X97" i="30" s="1"/>
  <c r="AA96" i="30" s="1"/>
  <c r="V97" i="30"/>
  <c r="Z97" i="30" s="1"/>
  <c r="U97" i="30"/>
  <c r="S97" i="30"/>
  <c r="H97" i="30"/>
  <c r="D97" i="30"/>
  <c r="B97" i="30"/>
  <c r="W96" i="30"/>
  <c r="X96" i="30" s="1"/>
  <c r="AA95" i="30" s="1"/>
  <c r="V96" i="30"/>
  <c r="U96" i="30"/>
  <c r="S96" i="30"/>
  <c r="H96" i="30"/>
  <c r="D96" i="30"/>
  <c r="B96" i="30"/>
  <c r="W95" i="30"/>
  <c r="X95" i="30" s="1"/>
  <c r="AA94" i="30" s="1"/>
  <c r="V95" i="30"/>
  <c r="U95" i="30"/>
  <c r="S95" i="30"/>
  <c r="H95" i="30"/>
  <c r="D95" i="30"/>
  <c r="B95" i="30"/>
  <c r="W94" i="30"/>
  <c r="X94" i="30" s="1"/>
  <c r="AA93" i="30" s="1"/>
  <c r="V94" i="30"/>
  <c r="U94" i="30"/>
  <c r="S94" i="30"/>
  <c r="H94" i="30"/>
  <c r="D94" i="30"/>
  <c r="B94" i="30"/>
  <c r="W93" i="30"/>
  <c r="X93" i="30" s="1"/>
  <c r="AA92" i="30" s="1"/>
  <c r="V93" i="30"/>
  <c r="U93" i="30"/>
  <c r="S93" i="30"/>
  <c r="H93" i="30"/>
  <c r="D93" i="30"/>
  <c r="B93" i="30"/>
  <c r="W92" i="30"/>
  <c r="X92" i="30" s="1"/>
  <c r="AA91" i="30" s="1"/>
  <c r="V92" i="30"/>
  <c r="U92" i="30"/>
  <c r="S92" i="30"/>
  <c r="H92" i="30"/>
  <c r="D92" i="30"/>
  <c r="B92" i="30"/>
  <c r="W91" i="30"/>
  <c r="X91" i="30" s="1"/>
  <c r="AA90" i="30" s="1"/>
  <c r="V91" i="30"/>
  <c r="U91" i="30"/>
  <c r="S91" i="30"/>
  <c r="H91" i="30"/>
  <c r="D91" i="30"/>
  <c r="B91" i="30"/>
  <c r="W90" i="30"/>
  <c r="X90" i="30" s="1"/>
  <c r="AA89" i="30" s="1"/>
  <c r="V90" i="30"/>
  <c r="U90" i="30"/>
  <c r="S90" i="30"/>
  <c r="H90" i="30"/>
  <c r="D90" i="30"/>
  <c r="B90" i="30"/>
  <c r="W89" i="30"/>
  <c r="X89" i="30" s="1"/>
  <c r="AA88" i="30" s="1"/>
  <c r="V89" i="30"/>
  <c r="Z89" i="30" s="1"/>
  <c r="U89" i="30"/>
  <c r="S89" i="30"/>
  <c r="H89" i="30"/>
  <c r="D89" i="30"/>
  <c r="B89" i="30"/>
  <c r="W88" i="30"/>
  <c r="X88" i="30" s="1"/>
  <c r="AA87" i="30" s="1"/>
  <c r="V88" i="30"/>
  <c r="U88" i="30"/>
  <c r="S88" i="30"/>
  <c r="H88" i="30"/>
  <c r="D88" i="30"/>
  <c r="B88" i="30"/>
  <c r="W87" i="30"/>
  <c r="X87" i="30" s="1"/>
  <c r="AA86" i="30" s="1"/>
  <c r="V87" i="30"/>
  <c r="U87" i="30"/>
  <c r="S87" i="30"/>
  <c r="H87" i="30"/>
  <c r="D87" i="30"/>
  <c r="B87" i="30"/>
  <c r="W86" i="30"/>
  <c r="X86" i="30" s="1"/>
  <c r="AA85" i="30" s="1"/>
  <c r="V86" i="30"/>
  <c r="U86" i="30"/>
  <c r="S86" i="30"/>
  <c r="H86" i="30"/>
  <c r="D86" i="30"/>
  <c r="B86" i="30"/>
  <c r="W85" i="30"/>
  <c r="X85" i="30" s="1"/>
  <c r="AA84" i="30" s="1"/>
  <c r="V85" i="30"/>
  <c r="U85" i="30"/>
  <c r="S85" i="30"/>
  <c r="H85" i="30"/>
  <c r="D85" i="30"/>
  <c r="B85" i="30"/>
  <c r="W84" i="30"/>
  <c r="X84" i="30" s="1"/>
  <c r="AA83" i="30" s="1"/>
  <c r="V84" i="30"/>
  <c r="U84" i="30"/>
  <c r="S84" i="30"/>
  <c r="H84" i="30"/>
  <c r="D84" i="30"/>
  <c r="B84" i="30"/>
  <c r="W83" i="30"/>
  <c r="X83" i="30" s="1"/>
  <c r="AA82" i="30" s="1"/>
  <c r="V83" i="30"/>
  <c r="U83" i="30"/>
  <c r="S83" i="30"/>
  <c r="H83" i="30"/>
  <c r="D83" i="30"/>
  <c r="B83" i="30"/>
  <c r="W82" i="30"/>
  <c r="X82" i="30" s="1"/>
  <c r="AA81" i="30" s="1"/>
  <c r="V82" i="30"/>
  <c r="U82" i="30"/>
  <c r="S82" i="30"/>
  <c r="H82" i="30"/>
  <c r="D82" i="30"/>
  <c r="B82" i="30"/>
  <c r="W81" i="30"/>
  <c r="X81" i="30" s="1"/>
  <c r="AA80" i="30" s="1"/>
  <c r="V81" i="30"/>
  <c r="Z81" i="30" s="1"/>
  <c r="U81" i="30"/>
  <c r="S81" i="30"/>
  <c r="H81" i="30"/>
  <c r="D81" i="30"/>
  <c r="B81" i="30"/>
  <c r="W80" i="30"/>
  <c r="X80" i="30" s="1"/>
  <c r="AA79" i="30" s="1"/>
  <c r="V80" i="30"/>
  <c r="U80" i="30"/>
  <c r="S80" i="30"/>
  <c r="H80" i="30"/>
  <c r="D80" i="30"/>
  <c r="B80" i="30"/>
  <c r="W79" i="30"/>
  <c r="X79" i="30" s="1"/>
  <c r="AA78" i="30" s="1"/>
  <c r="V79" i="30"/>
  <c r="U79" i="30"/>
  <c r="S79" i="30"/>
  <c r="H79" i="30"/>
  <c r="D79" i="30"/>
  <c r="B79" i="30"/>
  <c r="W78" i="30"/>
  <c r="X78" i="30" s="1"/>
  <c r="AA77" i="30" s="1"/>
  <c r="V78" i="30"/>
  <c r="U78" i="30"/>
  <c r="S78" i="30"/>
  <c r="H78" i="30"/>
  <c r="D78" i="30"/>
  <c r="B78" i="30"/>
  <c r="W77" i="30"/>
  <c r="X77" i="30" s="1"/>
  <c r="AA76" i="30" s="1"/>
  <c r="V77" i="30"/>
  <c r="U77" i="30"/>
  <c r="S77" i="30"/>
  <c r="H77" i="30"/>
  <c r="D77" i="30"/>
  <c r="B77" i="30"/>
  <c r="W76" i="30"/>
  <c r="X76" i="30" s="1"/>
  <c r="AA75" i="30" s="1"/>
  <c r="V76" i="30"/>
  <c r="U76" i="30"/>
  <c r="S76" i="30"/>
  <c r="H76" i="30"/>
  <c r="D76" i="30"/>
  <c r="B76" i="30"/>
  <c r="W75" i="30"/>
  <c r="X75" i="30" s="1"/>
  <c r="AA74" i="30" s="1"/>
  <c r="V75" i="30"/>
  <c r="U75" i="30"/>
  <c r="S75" i="30"/>
  <c r="H75" i="30"/>
  <c r="D75" i="30"/>
  <c r="B75" i="30"/>
  <c r="W74" i="30"/>
  <c r="X74" i="30" s="1"/>
  <c r="AA73" i="30" s="1"/>
  <c r="V74" i="30"/>
  <c r="U74" i="30"/>
  <c r="S74" i="30"/>
  <c r="H74" i="30"/>
  <c r="D74" i="30"/>
  <c r="B74" i="30"/>
  <c r="W73" i="30"/>
  <c r="X73" i="30" s="1"/>
  <c r="AA72" i="30" s="1"/>
  <c r="V73" i="30"/>
  <c r="Z73" i="30" s="1"/>
  <c r="U73" i="30"/>
  <c r="S73" i="30"/>
  <c r="H73" i="30"/>
  <c r="D73" i="30"/>
  <c r="B73" i="30"/>
  <c r="W72" i="30"/>
  <c r="X72" i="30" s="1"/>
  <c r="AA71" i="30" s="1"/>
  <c r="V72" i="30"/>
  <c r="U72" i="30"/>
  <c r="S72" i="30"/>
  <c r="H72" i="30"/>
  <c r="D72" i="30"/>
  <c r="B72" i="30"/>
  <c r="W71" i="30"/>
  <c r="X71" i="30" s="1"/>
  <c r="AA70" i="30" s="1"/>
  <c r="V71" i="30"/>
  <c r="U71" i="30"/>
  <c r="S71" i="30"/>
  <c r="H71" i="30"/>
  <c r="D71" i="30"/>
  <c r="B71" i="30"/>
  <c r="W70" i="30"/>
  <c r="X70" i="30" s="1"/>
  <c r="AA69" i="30" s="1"/>
  <c r="V70" i="30"/>
  <c r="U70" i="30"/>
  <c r="S70" i="30"/>
  <c r="H70" i="30"/>
  <c r="D70" i="30"/>
  <c r="B70" i="30"/>
  <c r="W69" i="30"/>
  <c r="X69" i="30" s="1"/>
  <c r="AA68" i="30" s="1"/>
  <c r="V69" i="30"/>
  <c r="U69" i="30"/>
  <c r="S69" i="30"/>
  <c r="H69" i="30"/>
  <c r="D69" i="30"/>
  <c r="B69" i="30"/>
  <c r="W68" i="30"/>
  <c r="X68" i="30" s="1"/>
  <c r="AA67" i="30" s="1"/>
  <c r="V68" i="30"/>
  <c r="U68" i="30"/>
  <c r="S68" i="30"/>
  <c r="H68" i="30"/>
  <c r="D68" i="30"/>
  <c r="B68" i="30"/>
  <c r="W67" i="30"/>
  <c r="X67" i="30" s="1"/>
  <c r="AA66" i="30" s="1"/>
  <c r="V67" i="30"/>
  <c r="U67" i="30"/>
  <c r="S67" i="30"/>
  <c r="H67" i="30"/>
  <c r="D67" i="30"/>
  <c r="B67" i="30"/>
  <c r="W66" i="30"/>
  <c r="X66" i="30" s="1"/>
  <c r="AA65" i="30" s="1"/>
  <c r="V66" i="30"/>
  <c r="U66" i="30"/>
  <c r="S66" i="30"/>
  <c r="H66" i="30"/>
  <c r="D66" i="30"/>
  <c r="B66" i="30"/>
  <c r="W65" i="30"/>
  <c r="X65" i="30" s="1"/>
  <c r="AA64" i="30" s="1"/>
  <c r="V65" i="30"/>
  <c r="Z65" i="30" s="1"/>
  <c r="U65" i="30"/>
  <c r="S65" i="30"/>
  <c r="H65" i="30"/>
  <c r="D65" i="30"/>
  <c r="B65" i="30"/>
  <c r="W64" i="30"/>
  <c r="X64" i="30" s="1"/>
  <c r="AA63" i="30" s="1"/>
  <c r="V64" i="30"/>
  <c r="U64" i="30"/>
  <c r="S64" i="30"/>
  <c r="H64" i="30"/>
  <c r="D64" i="30"/>
  <c r="B64" i="30"/>
  <c r="W63" i="30"/>
  <c r="X63" i="30" s="1"/>
  <c r="AA62" i="30" s="1"/>
  <c r="V63" i="30"/>
  <c r="U63" i="30"/>
  <c r="S63" i="30"/>
  <c r="H63" i="30"/>
  <c r="D63" i="30"/>
  <c r="B63" i="30"/>
  <c r="W62" i="30"/>
  <c r="X62" i="30" s="1"/>
  <c r="AA61" i="30" s="1"/>
  <c r="V62" i="30"/>
  <c r="U62" i="30"/>
  <c r="S62" i="30"/>
  <c r="H62" i="30"/>
  <c r="D62" i="30"/>
  <c r="B62" i="30"/>
  <c r="W61" i="30"/>
  <c r="X61" i="30" s="1"/>
  <c r="AA60" i="30" s="1"/>
  <c r="V61" i="30"/>
  <c r="U61" i="30"/>
  <c r="S61" i="30"/>
  <c r="H61" i="30"/>
  <c r="D61" i="30"/>
  <c r="B61" i="30"/>
  <c r="W60" i="30"/>
  <c r="X60" i="30" s="1"/>
  <c r="AA59" i="30" s="1"/>
  <c r="V60" i="30"/>
  <c r="U60" i="30"/>
  <c r="S60" i="30"/>
  <c r="H60" i="30"/>
  <c r="D60" i="30"/>
  <c r="B60" i="30"/>
  <c r="W59" i="30"/>
  <c r="X59" i="30" s="1"/>
  <c r="AA58" i="30" s="1"/>
  <c r="V59" i="30"/>
  <c r="U59" i="30"/>
  <c r="S59" i="30"/>
  <c r="H59" i="30"/>
  <c r="D59" i="30"/>
  <c r="B59" i="30"/>
  <c r="W58" i="30"/>
  <c r="X58" i="30" s="1"/>
  <c r="AA57" i="30" s="1"/>
  <c r="V58" i="30"/>
  <c r="U58" i="30"/>
  <c r="S58" i="30"/>
  <c r="H58" i="30"/>
  <c r="D58" i="30"/>
  <c r="B58" i="30"/>
  <c r="W57" i="30"/>
  <c r="X57" i="30" s="1"/>
  <c r="AA56" i="30" s="1"/>
  <c r="V57" i="30"/>
  <c r="Z57" i="30" s="1"/>
  <c r="U57" i="30"/>
  <c r="S57" i="30"/>
  <c r="H57" i="30"/>
  <c r="D57" i="30"/>
  <c r="B57" i="30"/>
  <c r="W56" i="30"/>
  <c r="X56" i="30" s="1"/>
  <c r="AA55" i="30" s="1"/>
  <c r="V56" i="30"/>
  <c r="U56" i="30"/>
  <c r="S56" i="30"/>
  <c r="H56" i="30"/>
  <c r="D56" i="30"/>
  <c r="B56" i="30"/>
  <c r="W55" i="30"/>
  <c r="X55" i="30" s="1"/>
  <c r="AA54" i="30" s="1"/>
  <c r="V55" i="30"/>
  <c r="U55" i="30"/>
  <c r="S55" i="30"/>
  <c r="H55" i="30"/>
  <c r="D55" i="30"/>
  <c r="B55" i="30"/>
  <c r="W54" i="30"/>
  <c r="X54" i="30" s="1"/>
  <c r="AA53" i="30" s="1"/>
  <c r="V54" i="30"/>
  <c r="U54" i="30"/>
  <c r="S54" i="30"/>
  <c r="H54" i="30"/>
  <c r="D54" i="30"/>
  <c r="B54" i="30"/>
  <c r="W53" i="30"/>
  <c r="X53" i="30" s="1"/>
  <c r="AA52" i="30" s="1"/>
  <c r="V53" i="30"/>
  <c r="U53" i="30"/>
  <c r="S53" i="30"/>
  <c r="H53" i="30"/>
  <c r="D53" i="30"/>
  <c r="B53" i="30"/>
  <c r="W52" i="30"/>
  <c r="X52" i="30" s="1"/>
  <c r="AA51" i="30" s="1"/>
  <c r="V52" i="30"/>
  <c r="U52" i="30"/>
  <c r="S52" i="30"/>
  <c r="H52" i="30"/>
  <c r="D52" i="30"/>
  <c r="B52" i="30"/>
  <c r="W51" i="30"/>
  <c r="X51" i="30" s="1"/>
  <c r="AA50" i="30" s="1"/>
  <c r="V51" i="30"/>
  <c r="U51" i="30"/>
  <c r="S51" i="30"/>
  <c r="H51" i="30"/>
  <c r="D51" i="30"/>
  <c r="B51" i="30"/>
  <c r="W50" i="30"/>
  <c r="X50" i="30" s="1"/>
  <c r="AA49" i="30" s="1"/>
  <c r="V50" i="30"/>
  <c r="U50" i="30"/>
  <c r="S50" i="30"/>
  <c r="H50" i="30"/>
  <c r="D50" i="30"/>
  <c r="B50" i="30"/>
  <c r="W49" i="30"/>
  <c r="X49" i="30" s="1"/>
  <c r="AA48" i="30" s="1"/>
  <c r="V49" i="30"/>
  <c r="Z49" i="30" s="1"/>
  <c r="U49" i="30"/>
  <c r="S49" i="30"/>
  <c r="H49" i="30"/>
  <c r="D49" i="30"/>
  <c r="B49" i="30"/>
  <c r="W48" i="30"/>
  <c r="X48" i="30" s="1"/>
  <c r="AA47" i="30" s="1"/>
  <c r="V48" i="30"/>
  <c r="U48" i="30"/>
  <c r="S48" i="30"/>
  <c r="H48" i="30"/>
  <c r="D48" i="30"/>
  <c r="B48" i="30"/>
  <c r="W47" i="30"/>
  <c r="X47" i="30" s="1"/>
  <c r="AA46" i="30" s="1"/>
  <c r="V47" i="30"/>
  <c r="U47" i="30"/>
  <c r="S47" i="30"/>
  <c r="H47" i="30"/>
  <c r="D47" i="30"/>
  <c r="B47" i="30"/>
  <c r="W46" i="30"/>
  <c r="X46" i="30" s="1"/>
  <c r="AA45" i="30" s="1"/>
  <c r="V46" i="30"/>
  <c r="U46" i="30"/>
  <c r="S46" i="30"/>
  <c r="H46" i="30"/>
  <c r="D46" i="30"/>
  <c r="B46" i="30"/>
  <c r="W45" i="30"/>
  <c r="X45" i="30" s="1"/>
  <c r="AA44" i="30" s="1"/>
  <c r="V45" i="30"/>
  <c r="U45" i="30"/>
  <c r="S45" i="30"/>
  <c r="H45" i="30"/>
  <c r="D45" i="30"/>
  <c r="B45" i="30"/>
  <c r="W44" i="30"/>
  <c r="X44" i="30" s="1"/>
  <c r="AA43" i="30" s="1"/>
  <c r="V44" i="30"/>
  <c r="U44" i="30"/>
  <c r="S44" i="30"/>
  <c r="H44" i="30"/>
  <c r="D44" i="30"/>
  <c r="B44" i="30"/>
  <c r="W43" i="30"/>
  <c r="X43" i="30" s="1"/>
  <c r="AA42" i="30" s="1"/>
  <c r="V43" i="30"/>
  <c r="U43" i="30"/>
  <c r="S43" i="30"/>
  <c r="H43" i="30"/>
  <c r="D43" i="30"/>
  <c r="B43" i="30"/>
  <c r="W42" i="30"/>
  <c r="X42" i="30" s="1"/>
  <c r="AA41" i="30" s="1"/>
  <c r="V42" i="30"/>
  <c r="U42" i="30"/>
  <c r="S42" i="30"/>
  <c r="H42" i="30"/>
  <c r="D42" i="30"/>
  <c r="B42" i="30"/>
  <c r="W41" i="30"/>
  <c r="X41" i="30" s="1"/>
  <c r="AA40" i="30" s="1"/>
  <c r="V41" i="30"/>
  <c r="Z41" i="30" s="1"/>
  <c r="U41" i="30"/>
  <c r="S41" i="30"/>
  <c r="H41" i="30"/>
  <c r="D41" i="30"/>
  <c r="B41" i="30"/>
  <c r="W40" i="30"/>
  <c r="X40" i="30" s="1"/>
  <c r="AA39" i="30" s="1"/>
  <c r="V40" i="30"/>
  <c r="U40" i="30"/>
  <c r="S40" i="30"/>
  <c r="H40" i="30"/>
  <c r="D40" i="30"/>
  <c r="B40" i="30"/>
  <c r="W39" i="30"/>
  <c r="X39" i="30" s="1"/>
  <c r="AA38" i="30" s="1"/>
  <c r="V39" i="30"/>
  <c r="U39" i="30"/>
  <c r="S39" i="30"/>
  <c r="H39" i="30"/>
  <c r="D39" i="30"/>
  <c r="B39" i="30"/>
  <c r="W38" i="30"/>
  <c r="X38" i="30" s="1"/>
  <c r="AA37" i="30" s="1"/>
  <c r="V38" i="30"/>
  <c r="U38" i="30"/>
  <c r="S38" i="30"/>
  <c r="H38" i="30"/>
  <c r="D38" i="30"/>
  <c r="B38" i="30"/>
  <c r="W37" i="30"/>
  <c r="X37" i="30" s="1"/>
  <c r="AA36" i="30" s="1"/>
  <c r="V37" i="30"/>
  <c r="U37" i="30"/>
  <c r="S37" i="30"/>
  <c r="H37" i="30"/>
  <c r="D37" i="30"/>
  <c r="B37" i="30"/>
  <c r="W36" i="30"/>
  <c r="X36" i="30" s="1"/>
  <c r="AA35" i="30" s="1"/>
  <c r="V36" i="30"/>
  <c r="U36" i="30"/>
  <c r="S36" i="30"/>
  <c r="H36" i="30"/>
  <c r="D36" i="30"/>
  <c r="B36" i="30"/>
  <c r="W35" i="30"/>
  <c r="X35" i="30" s="1"/>
  <c r="AA34" i="30" s="1"/>
  <c r="V35" i="30"/>
  <c r="U35" i="30"/>
  <c r="S35" i="30"/>
  <c r="H35" i="30"/>
  <c r="D35" i="30"/>
  <c r="B35" i="30"/>
  <c r="W34" i="30"/>
  <c r="X34" i="30" s="1"/>
  <c r="AA33" i="30" s="1"/>
  <c r="V34" i="30"/>
  <c r="U34" i="30"/>
  <c r="S34" i="30"/>
  <c r="H34" i="30"/>
  <c r="D34" i="30"/>
  <c r="B34" i="30"/>
  <c r="W33" i="30"/>
  <c r="X33" i="30" s="1"/>
  <c r="AA32" i="30" s="1"/>
  <c r="V33" i="30"/>
  <c r="Z33" i="30" s="1"/>
  <c r="U33" i="30"/>
  <c r="S33" i="30"/>
  <c r="H33" i="30"/>
  <c r="D33" i="30"/>
  <c r="B33" i="30"/>
  <c r="W32" i="30"/>
  <c r="X32" i="30" s="1"/>
  <c r="AA31" i="30" s="1"/>
  <c r="V32" i="30"/>
  <c r="U32" i="30"/>
  <c r="S32" i="30"/>
  <c r="H32" i="30"/>
  <c r="D32" i="30"/>
  <c r="B32" i="30"/>
  <c r="W31" i="30"/>
  <c r="X31" i="30" s="1"/>
  <c r="AA30" i="30" s="1"/>
  <c r="V31" i="30"/>
  <c r="U31" i="30"/>
  <c r="S31" i="30"/>
  <c r="H31" i="30"/>
  <c r="D31" i="30"/>
  <c r="B31" i="30"/>
  <c r="W30" i="30"/>
  <c r="X30" i="30" s="1"/>
  <c r="AA29" i="30" s="1"/>
  <c r="V30" i="30"/>
  <c r="U30" i="30"/>
  <c r="S30" i="30"/>
  <c r="H30" i="30"/>
  <c r="D30" i="30"/>
  <c r="B30" i="30"/>
  <c r="W29" i="30"/>
  <c r="X29" i="30" s="1"/>
  <c r="AA28" i="30" s="1"/>
  <c r="V29" i="30"/>
  <c r="U29" i="30"/>
  <c r="S29" i="30"/>
  <c r="H29" i="30"/>
  <c r="D29" i="30"/>
  <c r="B29" i="30"/>
  <c r="W28" i="30"/>
  <c r="X28" i="30" s="1"/>
  <c r="AA27" i="30" s="1"/>
  <c r="V28" i="30"/>
  <c r="U28" i="30"/>
  <c r="S28" i="30"/>
  <c r="H28" i="30"/>
  <c r="D28" i="30"/>
  <c r="B28" i="30"/>
  <c r="W27" i="30"/>
  <c r="X27" i="30" s="1"/>
  <c r="AA26" i="30" s="1"/>
  <c r="V27" i="30"/>
  <c r="U27" i="30"/>
  <c r="S27" i="30"/>
  <c r="H27" i="30"/>
  <c r="D27" i="30"/>
  <c r="B27" i="30"/>
  <c r="W26" i="30"/>
  <c r="X26" i="30" s="1"/>
  <c r="AA25" i="30" s="1"/>
  <c r="V26" i="30"/>
  <c r="U26" i="30"/>
  <c r="S26" i="30"/>
  <c r="H26" i="30"/>
  <c r="D26" i="30"/>
  <c r="B26" i="30"/>
  <c r="W25" i="30"/>
  <c r="X25" i="30" s="1"/>
  <c r="AA24" i="30" s="1"/>
  <c r="V25" i="30"/>
  <c r="Z25" i="30" s="1"/>
  <c r="U25" i="30"/>
  <c r="S25" i="30"/>
  <c r="H25" i="30"/>
  <c r="D25" i="30"/>
  <c r="B25" i="30"/>
  <c r="W24" i="30"/>
  <c r="X24" i="30" s="1"/>
  <c r="AA23" i="30" s="1"/>
  <c r="V24" i="30"/>
  <c r="U24" i="30"/>
  <c r="S24" i="30"/>
  <c r="H24" i="30"/>
  <c r="D24" i="30"/>
  <c r="B24" i="30"/>
  <c r="W23" i="30"/>
  <c r="X23" i="30" s="1"/>
  <c r="AA22" i="30" s="1"/>
  <c r="V23" i="30"/>
  <c r="U23" i="30"/>
  <c r="S23" i="30"/>
  <c r="H23" i="30"/>
  <c r="D23" i="30"/>
  <c r="B23" i="30"/>
  <c r="W22" i="30"/>
  <c r="X22" i="30" s="1"/>
  <c r="AA21" i="30" s="1"/>
  <c r="V22" i="30"/>
  <c r="U22" i="30"/>
  <c r="S22" i="30"/>
  <c r="H22" i="30"/>
  <c r="D22" i="30"/>
  <c r="B22" i="30"/>
  <c r="W21" i="30"/>
  <c r="X21" i="30" s="1"/>
  <c r="AA20" i="30" s="1"/>
  <c r="V21" i="30"/>
  <c r="U21" i="30"/>
  <c r="S21" i="30"/>
  <c r="H21" i="30"/>
  <c r="D21" i="30"/>
  <c r="B21" i="30"/>
  <c r="W20" i="30"/>
  <c r="X20" i="30" s="1"/>
  <c r="AA19" i="30" s="1"/>
  <c r="V20" i="30"/>
  <c r="U20" i="30"/>
  <c r="S20" i="30"/>
  <c r="H20" i="30"/>
  <c r="D20" i="30"/>
  <c r="B20" i="30"/>
  <c r="W19" i="30"/>
  <c r="X19" i="30" s="1"/>
  <c r="AA18" i="30" s="1"/>
  <c r="V19" i="30"/>
  <c r="U19" i="30"/>
  <c r="S19" i="30"/>
  <c r="H19" i="30"/>
  <c r="D19" i="30"/>
  <c r="B19" i="30"/>
  <c r="W18" i="30"/>
  <c r="X18" i="30" s="1"/>
  <c r="AA17" i="30" s="1"/>
  <c r="V18" i="30"/>
  <c r="U18" i="30"/>
  <c r="S18" i="30"/>
  <c r="H18" i="30"/>
  <c r="D18" i="30"/>
  <c r="B18" i="30"/>
  <c r="W17" i="30"/>
  <c r="X17" i="30" s="1"/>
  <c r="AA16" i="30" s="1"/>
  <c r="V17" i="30"/>
  <c r="Z17" i="30" s="1"/>
  <c r="U17" i="30"/>
  <c r="S17" i="30"/>
  <c r="H17" i="30"/>
  <c r="D17" i="30"/>
  <c r="B17" i="30"/>
  <c r="W16" i="30"/>
  <c r="X16" i="30" s="1"/>
  <c r="AA15" i="30" s="1"/>
  <c r="V16" i="30"/>
  <c r="U16" i="30"/>
  <c r="S16" i="30"/>
  <c r="H16" i="30"/>
  <c r="D16" i="30"/>
  <c r="B16" i="30"/>
  <c r="W15" i="30"/>
  <c r="X15" i="30" s="1"/>
  <c r="AA14" i="30" s="1"/>
  <c r="V15" i="30"/>
  <c r="U15" i="30"/>
  <c r="S15" i="30"/>
  <c r="H15" i="30"/>
  <c r="D15" i="30"/>
  <c r="B15" i="30"/>
  <c r="W14" i="30"/>
  <c r="X14" i="30" s="1"/>
  <c r="AA13" i="30" s="1"/>
  <c r="V14" i="30"/>
  <c r="U14" i="30"/>
  <c r="S14" i="30"/>
  <c r="H14" i="30"/>
  <c r="D14" i="30"/>
  <c r="B14" i="30"/>
  <c r="W13" i="30"/>
  <c r="X13" i="30" s="1"/>
  <c r="AA12" i="30" s="1"/>
  <c r="V13" i="30"/>
  <c r="U13" i="30"/>
  <c r="S13" i="30"/>
  <c r="H13" i="30"/>
  <c r="D13" i="30"/>
  <c r="B13" i="30"/>
  <c r="W12" i="30"/>
  <c r="X12" i="30" s="1"/>
  <c r="AA11" i="30" s="1"/>
  <c r="V12" i="30"/>
  <c r="U12" i="30"/>
  <c r="S12" i="30"/>
  <c r="H12" i="30"/>
  <c r="D12" i="30"/>
  <c r="B12" i="30"/>
  <c r="W11" i="30"/>
  <c r="X11" i="30" s="1"/>
  <c r="AA10" i="30" s="1"/>
  <c r="V11" i="30"/>
  <c r="U11" i="30"/>
  <c r="S11" i="30"/>
  <c r="H11" i="30"/>
  <c r="D11" i="30"/>
  <c r="B11" i="30"/>
  <c r="W10" i="30"/>
  <c r="X10" i="30" s="1"/>
  <c r="AA9" i="30" s="1"/>
  <c r="V10" i="30"/>
  <c r="U10" i="30"/>
  <c r="S10" i="30"/>
  <c r="H10" i="30"/>
  <c r="D10" i="30"/>
  <c r="B10" i="30"/>
  <c r="W9" i="30"/>
  <c r="X9" i="30" s="1"/>
  <c r="AA8" i="30" s="1"/>
  <c r="V9" i="30"/>
  <c r="U9" i="30"/>
  <c r="S9" i="30"/>
  <c r="H9" i="30"/>
  <c r="D9" i="30"/>
  <c r="B9" i="30"/>
  <c r="W8" i="30"/>
  <c r="X8" i="30" s="1"/>
  <c r="AA7" i="30" s="1"/>
  <c r="V8" i="30"/>
  <c r="U8" i="30"/>
  <c r="S8" i="30"/>
  <c r="H8" i="30"/>
  <c r="D8" i="30"/>
  <c r="B8" i="30"/>
  <c r="W7" i="30"/>
  <c r="X7" i="30" s="1"/>
  <c r="AA6" i="30" s="1"/>
  <c r="V7" i="30"/>
  <c r="U7" i="30"/>
  <c r="S7" i="30"/>
  <c r="H7" i="30"/>
  <c r="D7" i="30"/>
  <c r="B7" i="30"/>
  <c r="W6" i="30"/>
  <c r="V6" i="30"/>
  <c r="U6" i="30"/>
  <c r="S6" i="30"/>
  <c r="H6" i="30"/>
  <c r="D6" i="30"/>
  <c r="Z8" i="30" l="1"/>
  <c r="Z16" i="30"/>
  <c r="Z24" i="30"/>
  <c r="Z32" i="30"/>
  <c r="Z40" i="30"/>
  <c r="Z48" i="30"/>
  <c r="Z56" i="30"/>
  <c r="AB56" i="30" s="1"/>
  <c r="Z64" i="30"/>
  <c r="Z72" i="30"/>
  <c r="Z80" i="30"/>
  <c r="Z88" i="30"/>
  <c r="Z96" i="30"/>
  <c r="Z104" i="30"/>
  <c r="Z112" i="30"/>
  <c r="Z120" i="30"/>
  <c r="AB120" i="30" s="1"/>
  <c r="Z128" i="30"/>
  <c r="Z136" i="30"/>
  <c r="Z144" i="30"/>
  <c r="Z152" i="30"/>
  <c r="Z160" i="30"/>
  <c r="Z168" i="30"/>
  <c r="Z176" i="30"/>
  <c r="Z184" i="30"/>
  <c r="AB184" i="30" s="1"/>
  <c r="Z192" i="30"/>
  <c r="Z200" i="30"/>
  <c r="Z208" i="30"/>
  <c r="Z216" i="30"/>
  <c r="Z224" i="30"/>
  <c r="Z232" i="30"/>
  <c r="Z240" i="30"/>
  <c r="Z248" i="30"/>
  <c r="AB248" i="30" s="1"/>
  <c r="Z316" i="30"/>
  <c r="Z312" i="30"/>
  <c r="Z308" i="30"/>
  <c r="Z304" i="30"/>
  <c r="Z300" i="30"/>
  <c r="Z296" i="30"/>
  <c r="Z292" i="30"/>
  <c r="Z288" i="30"/>
  <c r="AB288" i="30" s="1"/>
  <c r="Z284" i="30"/>
  <c r="Z280" i="30"/>
  <c r="Z276" i="30"/>
  <c r="Z272" i="30"/>
  <c r="Z268" i="30"/>
  <c r="Z264" i="30"/>
  <c r="Z260" i="30"/>
  <c r="Z256" i="30"/>
  <c r="AB256" i="30" s="1"/>
  <c r="Z31" i="30"/>
  <c r="Z39" i="30"/>
  <c r="Z47" i="30"/>
  <c r="Z55" i="30"/>
  <c r="Z63" i="30"/>
  <c r="Z71" i="30"/>
  <c r="Z79" i="30"/>
  <c r="Z87" i="30"/>
  <c r="AB87" i="30" s="1"/>
  <c r="Z95" i="30"/>
  <c r="Z103" i="30"/>
  <c r="Z111" i="30"/>
  <c r="Z119" i="30"/>
  <c r="Z127" i="30"/>
  <c r="Z135" i="30"/>
  <c r="Z143" i="30"/>
  <c r="Z151" i="30"/>
  <c r="AB151" i="30" s="1"/>
  <c r="Z159" i="30"/>
  <c r="Z167" i="30"/>
  <c r="Z175" i="30"/>
  <c r="Z183" i="30"/>
  <c r="Z191" i="30"/>
  <c r="Z199" i="30"/>
  <c r="Z207" i="30"/>
  <c r="Z215" i="30"/>
  <c r="Z223" i="30"/>
  <c r="Z231" i="30"/>
  <c r="Z239" i="30"/>
  <c r="Z247" i="30"/>
  <c r="Z255" i="30"/>
  <c r="Z11" i="30"/>
  <c r="Z19" i="30"/>
  <c r="Z27" i="30"/>
  <c r="AB27" i="30" s="1"/>
  <c r="Z35" i="30"/>
  <c r="Z43" i="30"/>
  <c r="Z51" i="30"/>
  <c r="Z59" i="30"/>
  <c r="Z67" i="30"/>
  <c r="Z75" i="30"/>
  <c r="Z83" i="30"/>
  <c r="Z91" i="30"/>
  <c r="AB91" i="30" s="1"/>
  <c r="Z99" i="30"/>
  <c r="Z107" i="30"/>
  <c r="Z115" i="30"/>
  <c r="Z123" i="30"/>
  <c r="Z131" i="30"/>
  <c r="Z139" i="30"/>
  <c r="Z147" i="30"/>
  <c r="Z155" i="30"/>
  <c r="AB155" i="30" s="1"/>
  <c r="Z163" i="30"/>
  <c r="Z171" i="30"/>
  <c r="Z6" i="30"/>
  <c r="Z14" i="30"/>
  <c r="Z22" i="30"/>
  <c r="Z30" i="30"/>
  <c r="Z38" i="30"/>
  <c r="Z46" i="30"/>
  <c r="AB46" i="30" s="1"/>
  <c r="Z54" i="30"/>
  <c r="Z62" i="30"/>
  <c r="AB62" i="30" s="1"/>
  <c r="Z70" i="30"/>
  <c r="Z78" i="30"/>
  <c r="Z86" i="30"/>
  <c r="Z94" i="30"/>
  <c r="Z102" i="30"/>
  <c r="Z110" i="30"/>
  <c r="AB110" i="30" s="1"/>
  <c r="Z118" i="30"/>
  <c r="Z126" i="30"/>
  <c r="AB126" i="30" s="1"/>
  <c r="Z134" i="30"/>
  <c r="Z142" i="30"/>
  <c r="Z150" i="30"/>
  <c r="Z158" i="30"/>
  <c r="Z166" i="30"/>
  <c r="Z174" i="30"/>
  <c r="AB174" i="30" s="1"/>
  <c r="Z182" i="30"/>
  <c r="Z190" i="30"/>
  <c r="AB190" i="30" s="1"/>
  <c r="Z198" i="30"/>
  <c r="Z206" i="30"/>
  <c r="Z214" i="30"/>
  <c r="Z222" i="30"/>
  <c r="Z230" i="30"/>
  <c r="Z238" i="30"/>
  <c r="Z246" i="30"/>
  <c r="Z254" i="30"/>
  <c r="AB254" i="30" s="1"/>
  <c r="Z324" i="30"/>
  <c r="Z7" i="30"/>
  <c r="X6" i="30"/>
  <c r="D40" i="32"/>
  <c r="E40" i="32" s="1"/>
  <c r="F40" i="32" s="1"/>
  <c r="Z13" i="30"/>
  <c r="Z21" i="30"/>
  <c r="AB21" i="30" s="1"/>
  <c r="Z29" i="30"/>
  <c r="Z37" i="30"/>
  <c r="AB37" i="30" s="1"/>
  <c r="Z45" i="30"/>
  <c r="Z53" i="30"/>
  <c r="Z61" i="30"/>
  <c r="Z69" i="30"/>
  <c r="AB69" i="30" s="1"/>
  <c r="Z77" i="30"/>
  <c r="Z85" i="30"/>
  <c r="Z93" i="30"/>
  <c r="Z101" i="30"/>
  <c r="AB101" i="30" s="1"/>
  <c r="Z109" i="30"/>
  <c r="Z117" i="30"/>
  <c r="Z125" i="30"/>
  <c r="Z133" i="30"/>
  <c r="AB133" i="30" s="1"/>
  <c r="Z141" i="30"/>
  <c r="Z149" i="30"/>
  <c r="AB149" i="30" s="1"/>
  <c r="Z157" i="30"/>
  <c r="Z165" i="30"/>
  <c r="AB165" i="30" s="1"/>
  <c r="Z173" i="30"/>
  <c r="Z181" i="30"/>
  <c r="Z189" i="30"/>
  <c r="Z197" i="30"/>
  <c r="AB197" i="30" s="1"/>
  <c r="Z205" i="30"/>
  <c r="Z213" i="30"/>
  <c r="AB213" i="30" s="1"/>
  <c r="Z221" i="30"/>
  <c r="Z229" i="30"/>
  <c r="AB229" i="30" s="1"/>
  <c r="Z237" i="30"/>
  <c r="Z245" i="30"/>
  <c r="Z253" i="30"/>
  <c r="Z323" i="30"/>
  <c r="AB323" i="30" s="1"/>
  <c r="D38" i="32"/>
  <c r="E38" i="32" s="1"/>
  <c r="F38" i="32" s="1"/>
  <c r="Z12" i="30"/>
  <c r="AB12" i="30" s="1"/>
  <c r="Z20" i="30"/>
  <c r="Z28" i="30"/>
  <c r="Z36" i="30"/>
  <c r="Z44" i="30"/>
  <c r="Z52" i="30"/>
  <c r="Z60" i="30"/>
  <c r="AB60" i="30" s="1"/>
  <c r="Z68" i="30"/>
  <c r="AB68" i="30" s="1"/>
  <c r="Z76" i="30"/>
  <c r="AB76" i="30" s="1"/>
  <c r="Z84" i="30"/>
  <c r="Z92" i="30"/>
  <c r="Z100" i="30"/>
  <c r="Z108" i="30"/>
  <c r="Z116" i="30"/>
  <c r="Z124" i="30"/>
  <c r="AB124" i="30" s="1"/>
  <c r="Z132" i="30"/>
  <c r="AB132" i="30" s="1"/>
  <c r="Z140" i="30"/>
  <c r="AB140" i="30" s="1"/>
  <c r="Z148" i="30"/>
  <c r="Z156" i="30"/>
  <c r="Z164" i="30"/>
  <c r="Z172" i="30"/>
  <c r="Z180" i="30"/>
  <c r="Z188" i="30"/>
  <c r="AB188" i="30" s="1"/>
  <c r="Z196" i="30"/>
  <c r="AB196" i="30" s="1"/>
  <c r="Z204" i="30"/>
  <c r="AB204" i="30" s="1"/>
  <c r="Z212" i="30"/>
  <c r="Z220" i="30"/>
  <c r="Z228" i="30"/>
  <c r="Z236" i="30"/>
  <c r="Z244" i="30"/>
  <c r="Z252" i="30"/>
  <c r="AB252" i="30" s="1"/>
  <c r="Z322" i="30"/>
  <c r="AB322" i="30" s="1"/>
  <c r="Z23" i="30"/>
  <c r="AB23" i="30" s="1"/>
  <c r="Z179" i="30"/>
  <c r="Z187" i="30"/>
  <c r="Z195" i="30"/>
  <c r="Z203" i="30"/>
  <c r="Z211" i="30"/>
  <c r="Z219" i="30"/>
  <c r="AB219" i="30" s="1"/>
  <c r="Z227" i="30"/>
  <c r="AB227" i="30" s="1"/>
  <c r="Z235" i="30"/>
  <c r="AB235" i="30" s="1"/>
  <c r="Z243" i="30"/>
  <c r="Z251" i="30"/>
  <c r="Z321" i="30"/>
  <c r="Z15" i="30"/>
  <c r="Z10" i="30"/>
  <c r="Z18" i="30"/>
  <c r="AB18" i="30" s="1"/>
  <c r="Z26" i="30"/>
  <c r="AB26" i="30" s="1"/>
  <c r="Z34" i="30"/>
  <c r="AB34" i="30" s="1"/>
  <c r="Z42" i="30"/>
  <c r="Z50" i="30"/>
  <c r="Z58" i="30"/>
  <c r="Z66" i="30"/>
  <c r="Z74" i="30"/>
  <c r="Z82" i="30"/>
  <c r="AB82" i="30" s="1"/>
  <c r="Z90" i="30"/>
  <c r="AB90" i="30" s="1"/>
  <c r="Z98" i="30"/>
  <c r="AB98" i="30" s="1"/>
  <c r="Z106" i="30"/>
  <c r="Z114" i="30"/>
  <c r="Z122" i="30"/>
  <c r="Z130" i="30"/>
  <c r="Z138" i="30"/>
  <c r="Z146" i="30"/>
  <c r="AB146" i="30" s="1"/>
  <c r="Z154" i="30"/>
  <c r="AB154" i="30" s="1"/>
  <c r="Z162" i="30"/>
  <c r="AB162" i="30" s="1"/>
  <c r="Z170" i="30"/>
  <c r="Z178" i="30"/>
  <c r="Z186" i="30"/>
  <c r="Z194" i="30"/>
  <c r="Z202" i="30"/>
  <c r="Z210" i="30"/>
  <c r="AB210" i="30" s="1"/>
  <c r="AC209" i="30" s="1"/>
  <c r="O897" i="1" s="1"/>
  <c r="Z218" i="30"/>
  <c r="AB218" i="30" s="1"/>
  <c r="Z226" i="30"/>
  <c r="AB226" i="30" s="1"/>
  <c r="Z234" i="30"/>
  <c r="Z242" i="30"/>
  <c r="Z250" i="30"/>
  <c r="Z313" i="30"/>
  <c r="Z305" i="30"/>
  <c r="Z301" i="30"/>
  <c r="AB301" i="30" s="1"/>
  <c r="Z297" i="30"/>
  <c r="AB297" i="30" s="1"/>
  <c r="Z293" i="30"/>
  <c r="AB293" i="30" s="1"/>
  <c r="Z289" i="30"/>
  <c r="Z285" i="30"/>
  <c r="AB285" i="30" s="1"/>
  <c r="Z281" i="30"/>
  <c r="Z277" i="30"/>
  <c r="Z273" i="30"/>
  <c r="Z269" i="30"/>
  <c r="AB269" i="30" s="1"/>
  <c r="Z265" i="30"/>
  <c r="AB265" i="30" s="1"/>
  <c r="Z261" i="30"/>
  <c r="AB261" i="30" s="1"/>
  <c r="Z257" i="30"/>
  <c r="AB9" i="30"/>
  <c r="Z9" i="30"/>
  <c r="Z320" i="30"/>
  <c r="AB320" i="30" s="1"/>
  <c r="AA5" i="30"/>
  <c r="D41" i="32"/>
  <c r="E41" i="32" s="1"/>
  <c r="F41" i="32" s="1"/>
  <c r="AB25" i="30"/>
  <c r="AB49" i="30"/>
  <c r="AB57" i="30"/>
  <c r="AB65" i="30"/>
  <c r="AB81" i="30"/>
  <c r="AB105" i="30"/>
  <c r="AB137" i="30"/>
  <c r="AB153" i="30"/>
  <c r="AB169" i="30"/>
  <c r="AB209" i="30"/>
  <c r="AB249" i="30"/>
  <c r="AB17" i="30"/>
  <c r="AB41" i="30"/>
  <c r="AB97" i="30"/>
  <c r="AB113" i="30"/>
  <c r="AB121" i="30"/>
  <c r="AB129" i="30"/>
  <c r="AB145" i="30"/>
  <c r="AB161" i="30"/>
  <c r="AB177" i="30"/>
  <c r="AB185" i="30"/>
  <c r="AB193" i="30"/>
  <c r="AB201" i="30"/>
  <c r="AB217" i="30"/>
  <c r="AB225" i="30"/>
  <c r="AB233" i="30"/>
  <c r="AB241" i="30"/>
  <c r="AB15" i="30"/>
  <c r="AB33" i="30"/>
  <c r="AB89" i="30"/>
  <c r="AB8" i="30"/>
  <c r="AB16" i="30"/>
  <c r="AB24" i="30"/>
  <c r="AB32" i="30"/>
  <c r="AB40" i="30"/>
  <c r="AB48" i="30"/>
  <c r="AB64" i="30"/>
  <c r="AB72" i="30"/>
  <c r="AB80" i="30"/>
  <c r="AB88" i="30"/>
  <c r="AB96" i="30"/>
  <c r="AB104" i="30"/>
  <c r="AB112" i="30"/>
  <c r="AB128" i="30"/>
  <c r="AB136" i="30"/>
  <c r="AB144" i="30"/>
  <c r="AB152" i="30"/>
  <c r="AB73" i="30"/>
  <c r="AB31" i="30"/>
  <c r="AB39" i="30"/>
  <c r="AB47" i="30"/>
  <c r="AB55" i="30"/>
  <c r="AB63" i="30"/>
  <c r="AB71" i="30"/>
  <c r="AB79" i="30"/>
  <c r="AB95" i="30"/>
  <c r="AB103" i="30"/>
  <c r="AB111" i="30"/>
  <c r="AB119" i="30"/>
  <c r="AB127" i="30"/>
  <c r="AB135" i="30"/>
  <c r="AB143" i="30"/>
  <c r="AB175" i="30"/>
  <c r="AB183" i="30"/>
  <c r="AB191" i="30"/>
  <c r="AB199" i="30"/>
  <c r="AB207" i="30"/>
  <c r="AB215" i="30"/>
  <c r="AB223" i="30"/>
  <c r="AB231" i="30"/>
  <c r="AB239" i="30"/>
  <c r="AB247" i="30"/>
  <c r="AB255" i="30"/>
  <c r="AB167" i="30"/>
  <c r="AB14" i="30"/>
  <c r="AB22" i="30"/>
  <c r="AB30" i="30"/>
  <c r="AB38" i="30"/>
  <c r="AB54" i="30"/>
  <c r="AB70" i="30"/>
  <c r="AB78" i="30"/>
  <c r="AB86" i="30"/>
  <c r="AB94" i="30"/>
  <c r="AB102" i="30"/>
  <c r="AB118" i="30"/>
  <c r="AB134" i="30"/>
  <c r="AB142" i="30"/>
  <c r="AB150" i="30"/>
  <c r="AB158" i="30"/>
  <c r="AB166" i="30"/>
  <c r="AB182" i="30"/>
  <c r="AB198" i="30"/>
  <c r="AB206" i="30"/>
  <c r="AB214" i="30"/>
  <c r="AB222" i="30"/>
  <c r="AB230" i="30"/>
  <c r="AB238" i="30"/>
  <c r="AB246" i="30"/>
  <c r="AB319" i="30"/>
  <c r="AB315" i="30"/>
  <c r="AB311" i="30"/>
  <c r="AB307" i="30"/>
  <c r="AB303" i="30"/>
  <c r="AB299" i="30"/>
  <c r="AB295" i="30"/>
  <c r="AB291" i="30"/>
  <c r="AB287" i="30"/>
  <c r="AB283" i="30"/>
  <c r="AB279" i="30"/>
  <c r="AB275" i="30"/>
  <c r="AB271" i="30"/>
  <c r="AB267" i="30"/>
  <c r="AB263" i="30"/>
  <c r="AB259" i="30"/>
  <c r="AB29" i="30"/>
  <c r="AB45" i="30"/>
  <c r="AB53" i="30"/>
  <c r="AB61" i="30"/>
  <c r="AB77" i="30"/>
  <c r="AB85" i="30"/>
  <c r="AB93" i="30"/>
  <c r="AB109" i="30"/>
  <c r="AB117" i="30"/>
  <c r="AB125" i="30"/>
  <c r="AB141" i="30"/>
  <c r="AB157" i="30"/>
  <c r="AB173" i="30"/>
  <c r="AB181" i="30"/>
  <c r="AB189" i="30"/>
  <c r="AB205" i="30"/>
  <c r="AB221" i="30"/>
  <c r="AB237" i="30"/>
  <c r="AB245" i="30"/>
  <c r="AB253" i="30"/>
  <c r="AB7" i="30"/>
  <c r="AB159" i="30"/>
  <c r="AB6" i="30"/>
  <c r="AB13" i="30"/>
  <c r="AB20" i="30"/>
  <c r="AB28" i="30"/>
  <c r="AB36" i="30"/>
  <c r="AB44" i="30"/>
  <c r="AB52" i="30"/>
  <c r="AB84" i="30"/>
  <c r="AB92" i="30"/>
  <c r="AB100" i="30"/>
  <c r="AB108" i="30"/>
  <c r="AB116" i="30"/>
  <c r="AB148" i="30"/>
  <c r="AB156" i="30"/>
  <c r="AB164" i="30"/>
  <c r="AB172" i="30"/>
  <c r="AB180" i="30"/>
  <c r="AB212" i="30"/>
  <c r="AB220" i="30"/>
  <c r="AB228" i="30"/>
  <c r="AB236" i="30"/>
  <c r="AB244" i="30"/>
  <c r="AB318" i="30"/>
  <c r="AB314" i="30"/>
  <c r="AB310" i="30"/>
  <c r="AB306" i="30"/>
  <c r="AB302" i="30"/>
  <c r="AB298" i="30"/>
  <c r="AB294" i="30"/>
  <c r="AB290" i="30"/>
  <c r="AB286" i="30"/>
  <c r="AB282" i="30"/>
  <c r="AB278" i="30"/>
  <c r="AB274" i="30"/>
  <c r="AB270" i="30"/>
  <c r="AB266" i="30"/>
  <c r="AB262" i="30"/>
  <c r="AB258" i="30"/>
  <c r="AB324" i="30"/>
  <c r="AB19" i="30"/>
  <c r="AB35" i="30"/>
  <c r="AB43" i="30"/>
  <c r="AB51" i="30"/>
  <c r="AB59" i="30"/>
  <c r="AB67" i="30"/>
  <c r="AB75" i="30"/>
  <c r="AB83" i="30"/>
  <c r="AB99" i="30"/>
  <c r="AB107" i="30"/>
  <c r="AB115" i="30"/>
  <c r="AB123" i="30"/>
  <c r="AB131" i="30"/>
  <c r="AB139" i="30"/>
  <c r="AB147" i="30"/>
  <c r="AB163" i="30"/>
  <c r="AB171" i="30"/>
  <c r="AB179" i="30"/>
  <c r="AB187" i="30"/>
  <c r="AB195" i="30"/>
  <c r="AB203" i="30"/>
  <c r="AB211" i="30"/>
  <c r="AB243" i="30"/>
  <c r="AB251" i="30"/>
  <c r="AB11" i="30"/>
  <c r="AB10" i="30"/>
  <c r="AB42" i="30"/>
  <c r="AC41" i="30" s="1"/>
  <c r="O166" i="1" s="1"/>
  <c r="AB50" i="30"/>
  <c r="AB58" i="30"/>
  <c r="AB66" i="30"/>
  <c r="AB74" i="30"/>
  <c r="AB106" i="30"/>
  <c r="AB114" i="30"/>
  <c r="AC112" i="30" s="1"/>
  <c r="O476" i="1" s="1"/>
  <c r="AB122" i="30"/>
  <c r="AB130" i="30"/>
  <c r="AB138" i="30"/>
  <c r="AB170" i="30"/>
  <c r="AB178" i="30"/>
  <c r="AB186" i="30"/>
  <c r="AB194" i="30"/>
  <c r="AB202" i="30"/>
  <c r="AB234" i="30"/>
  <c r="AB242" i="30"/>
  <c r="AB250" i="30"/>
  <c r="AB317" i="30"/>
  <c r="AB313" i="30"/>
  <c r="AB309" i="30"/>
  <c r="AB305" i="30"/>
  <c r="AB289" i="30"/>
  <c r="AB281" i="30"/>
  <c r="AB277" i="30"/>
  <c r="AB273" i="30"/>
  <c r="AB257" i="30"/>
  <c r="AB321" i="30"/>
  <c r="AB160" i="30"/>
  <c r="AB168" i="30"/>
  <c r="AB176" i="30"/>
  <c r="AB192" i="30"/>
  <c r="AB200" i="30"/>
  <c r="AB208" i="30"/>
  <c r="AB216" i="30"/>
  <c r="AB224" i="30"/>
  <c r="AB232" i="30"/>
  <c r="AB240" i="30"/>
  <c r="AB316" i="30"/>
  <c r="AB312" i="30"/>
  <c r="AB308" i="30"/>
  <c r="AB304" i="30"/>
  <c r="AB300" i="30"/>
  <c r="AB296" i="30"/>
  <c r="AB292" i="30"/>
  <c r="AB284" i="30"/>
  <c r="AB280" i="30"/>
  <c r="AB276" i="30"/>
  <c r="AB272" i="30"/>
  <c r="AB268" i="30"/>
  <c r="AB264" i="30"/>
  <c r="AB260" i="30"/>
  <c r="AC269" i="30" l="1"/>
  <c r="O1160" i="1" s="1"/>
  <c r="AC108" i="30"/>
  <c r="O457" i="1" s="1"/>
  <c r="AC144" i="30"/>
  <c r="AC301" i="30"/>
  <c r="O1299" i="1" s="1"/>
  <c r="AC169" i="30"/>
  <c r="O726" i="1" s="1"/>
  <c r="AC69" i="30"/>
  <c r="O288" i="1" s="1"/>
  <c r="AC13" i="30"/>
  <c r="AC172" i="30"/>
  <c r="O739" i="1" s="1"/>
  <c r="AC236" i="30"/>
  <c r="O1016" i="1" s="1"/>
  <c r="AC16" i="30"/>
  <c r="O59" i="1" s="1"/>
  <c r="AC133" i="30"/>
  <c r="O569" i="1" s="1"/>
  <c r="AC197" i="30"/>
  <c r="AC44" i="30"/>
  <c r="O183" i="1" s="1"/>
  <c r="AC126" i="30"/>
  <c r="O539" i="1" s="1"/>
  <c r="AC62" i="30"/>
  <c r="O257" i="1"/>
  <c r="O258" i="1"/>
  <c r="O259" i="1"/>
  <c r="AC196" i="30"/>
  <c r="AC132" i="30"/>
  <c r="AC68" i="30"/>
  <c r="O291" i="1"/>
  <c r="O289" i="1"/>
  <c r="O567" i="1"/>
  <c r="O846" i="1"/>
  <c r="O845" i="1"/>
  <c r="AC179" i="30"/>
  <c r="O769" i="1" s="1"/>
  <c r="AC115" i="30"/>
  <c r="AC51" i="30"/>
  <c r="O212" i="1" s="1"/>
  <c r="AC237" i="30"/>
  <c r="O1021" i="1" s="1"/>
  <c r="AC173" i="30"/>
  <c r="O742" i="1" s="1"/>
  <c r="AC109" i="30"/>
  <c r="O464" i="1" s="1"/>
  <c r="AC45" i="30"/>
  <c r="AC143" i="30"/>
  <c r="O610" i="1" s="1"/>
  <c r="AC79" i="30"/>
  <c r="O334" i="1" s="1"/>
  <c r="AC96" i="30"/>
  <c r="O405" i="1" s="1"/>
  <c r="AC233" i="30"/>
  <c r="O1003" i="1" s="1"/>
  <c r="AC145" i="30"/>
  <c r="O622" i="1" s="1"/>
  <c r="AC49" i="30"/>
  <c r="O201" i="1" s="1"/>
  <c r="AC243" i="30"/>
  <c r="O1047" i="1" s="1"/>
  <c r="AC276" i="30"/>
  <c r="O1190" i="1" s="1"/>
  <c r="AC308" i="30"/>
  <c r="O1327" i="1" s="1"/>
  <c r="AC226" i="30"/>
  <c r="O972" i="1" s="1"/>
  <c r="AC162" i="30"/>
  <c r="O694" i="1" s="1"/>
  <c r="AC98" i="30"/>
  <c r="O416" i="1" s="1"/>
  <c r="AC34" i="30"/>
  <c r="O136" i="1" s="1"/>
  <c r="AC228" i="30"/>
  <c r="O980" i="1" s="1"/>
  <c r="AC164" i="30"/>
  <c r="O701" i="1" s="1"/>
  <c r="AC100" i="30"/>
  <c r="AC36" i="30"/>
  <c r="O145" i="1" s="1"/>
  <c r="AC150" i="30"/>
  <c r="O642" i="1" s="1"/>
  <c r="AC86" i="30"/>
  <c r="O363" i="1" s="1"/>
  <c r="AC22" i="30"/>
  <c r="O83" i="1" s="1"/>
  <c r="AC136" i="30"/>
  <c r="O580" i="1" s="1"/>
  <c r="AC72" i="30"/>
  <c r="AC8" i="30"/>
  <c r="AC204" i="30"/>
  <c r="O878" i="1" s="1"/>
  <c r="AC140" i="30"/>
  <c r="O598" i="1" s="1"/>
  <c r="AC76" i="30"/>
  <c r="O321" i="1" s="1"/>
  <c r="AC12" i="30"/>
  <c r="O45" i="1"/>
  <c r="AC176" i="30"/>
  <c r="O753" i="1" s="1"/>
  <c r="AC318" i="30"/>
  <c r="O1371" i="1" s="1"/>
  <c r="O47" i="1"/>
  <c r="AC39" i="30"/>
  <c r="AC81" i="30"/>
  <c r="AC249" i="30"/>
  <c r="AC121" i="30"/>
  <c r="O516" i="1" s="1"/>
  <c r="AC57" i="30"/>
  <c r="O239" i="1" s="1"/>
  <c r="D43" i="32"/>
  <c r="E43" i="32" s="1"/>
  <c r="F43" i="32" s="1"/>
  <c r="AC203" i="30"/>
  <c r="O261" i="1"/>
  <c r="O538" i="1"/>
  <c r="O536" i="1"/>
  <c r="AC103" i="30"/>
  <c r="AC80" i="30"/>
  <c r="O339" i="1" s="1"/>
  <c r="AC241" i="30"/>
  <c r="O1036" i="1" s="1"/>
  <c r="AC185" i="30"/>
  <c r="O793" i="1" s="1"/>
  <c r="AC152" i="30"/>
  <c r="O651" i="1" s="1"/>
  <c r="AC88" i="30"/>
  <c r="O372" i="1" s="1"/>
  <c r="AC24" i="30"/>
  <c r="O95" i="1" s="1"/>
  <c r="AC195" i="30"/>
  <c r="O839" i="1" s="1"/>
  <c r="AC131" i="30"/>
  <c r="O561" i="1" s="1"/>
  <c r="AC67" i="30"/>
  <c r="O279" i="1" s="1"/>
  <c r="AC252" i="30"/>
  <c r="O1083" i="1" s="1"/>
  <c r="AC188" i="30"/>
  <c r="O805" i="1" s="1"/>
  <c r="AC124" i="30"/>
  <c r="AC60" i="30"/>
  <c r="O252" i="1" s="1"/>
  <c r="O537" i="1"/>
  <c r="O743" i="1"/>
  <c r="O568" i="1"/>
  <c r="O260" i="1"/>
  <c r="O847" i="1"/>
  <c r="O465" i="1"/>
  <c r="AC221" i="30"/>
  <c r="O949" i="1" s="1"/>
  <c r="AC93" i="30"/>
  <c r="O393" i="1" s="1"/>
  <c r="AC29" i="30"/>
  <c r="O114" i="1" s="1"/>
  <c r="AC127" i="30"/>
  <c r="AC63" i="30"/>
  <c r="AC139" i="30"/>
  <c r="O593" i="1" s="1"/>
  <c r="AC75" i="30"/>
  <c r="O314" i="1" s="1"/>
  <c r="O740" i="1"/>
  <c r="AC48" i="30"/>
  <c r="O200" i="1" s="1"/>
  <c r="AC244" i="30"/>
  <c r="O1050" i="1" s="1"/>
  <c r="AC180" i="30"/>
  <c r="O774" i="1" s="1"/>
  <c r="AC116" i="30"/>
  <c r="O495" i="1" s="1"/>
  <c r="AC52" i="30"/>
  <c r="O217" i="1" s="1"/>
  <c r="O741" i="1"/>
  <c r="O566" i="1"/>
  <c r="O844" i="1"/>
  <c r="O848" i="1"/>
  <c r="O462" i="1"/>
  <c r="O290" i="1"/>
  <c r="O184" i="1"/>
  <c r="O612" i="1"/>
  <c r="AC245" i="30"/>
  <c r="AC181" i="30"/>
  <c r="AC117" i="30"/>
  <c r="AC53" i="30"/>
  <c r="AC134" i="30"/>
  <c r="AC102" i="30"/>
  <c r="AC70" i="30"/>
  <c r="AC38" i="30"/>
  <c r="AC151" i="30"/>
  <c r="AC87" i="30"/>
  <c r="AC23" i="30"/>
  <c r="AB5" i="30"/>
  <c r="D44" i="32"/>
  <c r="E44" i="32" s="1"/>
  <c r="F44" i="32" s="1"/>
  <c r="O1373" i="1"/>
  <c r="AC32" i="30"/>
  <c r="O128" i="1" s="1"/>
  <c r="AC273" i="30"/>
  <c r="O1175" i="1" s="1"/>
  <c r="AC305" i="30"/>
  <c r="O1317" i="1" s="1"/>
  <c r="AC200" i="30"/>
  <c r="O859" i="1" s="1"/>
  <c r="AC225" i="30"/>
  <c r="O969" i="1" s="1"/>
  <c r="AC33" i="30"/>
  <c r="O133" i="1" s="1"/>
  <c r="O951" i="1"/>
  <c r="O1044" i="1"/>
  <c r="O365" i="1"/>
  <c r="O613" i="1"/>
  <c r="O159" i="1"/>
  <c r="O463" i="1"/>
  <c r="AC285" i="30"/>
  <c r="O1228" i="1" s="1"/>
  <c r="AC317" i="30"/>
  <c r="O1369" i="1" s="1"/>
  <c r="AC7" i="30"/>
  <c r="O20" i="1" s="1"/>
  <c r="AC142" i="30"/>
  <c r="AC78" i="30"/>
  <c r="AC14" i="30"/>
  <c r="AC135" i="30"/>
  <c r="AC71" i="30"/>
  <c r="AC242" i="30"/>
  <c r="O1040" i="1" s="1"/>
  <c r="AC114" i="30"/>
  <c r="O483" i="1" s="1"/>
  <c r="O609" i="1"/>
  <c r="O611" i="1"/>
  <c r="AC119" i="30"/>
  <c r="AC55" i="30"/>
  <c r="AC161" i="30"/>
  <c r="O691" i="1" s="1"/>
  <c r="P691" i="1" s="1"/>
  <c r="AC261" i="30"/>
  <c r="O1123" i="1" s="1"/>
  <c r="AC293" i="30"/>
  <c r="O1263" i="1" s="1"/>
  <c r="AC178" i="30"/>
  <c r="O763" i="1" s="1"/>
  <c r="AC50" i="30"/>
  <c r="O205" i="1" s="1"/>
  <c r="AC56" i="30"/>
  <c r="AC265" i="30"/>
  <c r="O1141" i="1" s="1"/>
  <c r="AC297" i="30"/>
  <c r="O1280" i="1" s="1"/>
  <c r="AC234" i="30"/>
  <c r="O1008" i="1" s="1"/>
  <c r="P1008" i="1" s="1"/>
  <c r="AC170" i="30"/>
  <c r="O728" i="1" s="1"/>
  <c r="AC106" i="30"/>
  <c r="O450" i="1" s="1"/>
  <c r="AC42" i="30"/>
  <c r="O174" i="1" s="1"/>
  <c r="O117" i="1"/>
  <c r="O48" i="1"/>
  <c r="O160" i="1"/>
  <c r="O157" i="1"/>
  <c r="AC118" i="30"/>
  <c r="AC54" i="30"/>
  <c r="AC95" i="30"/>
  <c r="O404" i="1" s="1"/>
  <c r="AC31" i="30"/>
  <c r="O125" i="1" s="1"/>
  <c r="O514" i="1"/>
  <c r="AC258" i="30"/>
  <c r="O1111" i="1" s="1"/>
  <c r="AC290" i="30"/>
  <c r="O1251" i="1" s="1"/>
  <c r="O392" i="1"/>
  <c r="O362" i="1"/>
  <c r="O643" i="1"/>
  <c r="AC312" i="30"/>
  <c r="O1348" i="1" s="1"/>
  <c r="O950" i="1"/>
  <c r="O952" i="1"/>
  <c r="AC137" i="30"/>
  <c r="O585" i="1" s="1"/>
  <c r="AC240" i="30"/>
  <c r="O1034" i="1" s="1"/>
  <c r="P1034" i="1" s="1"/>
  <c r="AC201" i="30"/>
  <c r="AC113" i="30"/>
  <c r="O480" i="1" s="1"/>
  <c r="O974" i="1"/>
  <c r="O973" i="1"/>
  <c r="AC110" i="30"/>
  <c r="AC46" i="30"/>
  <c r="AC120" i="30"/>
  <c r="O509" i="1" s="1"/>
  <c r="AC264" i="30"/>
  <c r="O1139" i="1" s="1"/>
  <c r="AC224" i="30"/>
  <c r="O965" i="1" s="1"/>
  <c r="AC160" i="30"/>
  <c r="O684" i="1" s="1"/>
  <c r="AC321" i="30"/>
  <c r="AC105" i="30"/>
  <c r="AC281" i="30"/>
  <c r="O1210" i="1" s="1"/>
  <c r="AC313" i="30"/>
  <c r="O1350" i="1" s="1"/>
  <c r="AC219" i="30"/>
  <c r="O942" i="1" s="1"/>
  <c r="AC155" i="30"/>
  <c r="O663" i="1" s="1"/>
  <c r="AC91" i="30"/>
  <c r="O384" i="1" s="1"/>
  <c r="AC27" i="30"/>
  <c r="O105" i="1" s="1"/>
  <c r="AC220" i="30"/>
  <c r="O945" i="1" s="1"/>
  <c r="AC156" i="30"/>
  <c r="AC92" i="30"/>
  <c r="O391" i="1" s="1"/>
  <c r="AC28" i="30"/>
  <c r="O315" i="1"/>
  <c r="O764" i="1"/>
  <c r="O395" i="1"/>
  <c r="AC111" i="30"/>
  <c r="AC47" i="30"/>
  <c r="AC184" i="30"/>
  <c r="O790" i="1" s="1"/>
  <c r="AC296" i="30"/>
  <c r="O1275" i="1" s="1"/>
  <c r="AC272" i="30"/>
  <c r="O1174" i="1" s="1"/>
  <c r="AC304" i="30"/>
  <c r="O1311" i="1" s="1"/>
  <c r="P1311" i="1" s="1"/>
  <c r="AC177" i="30"/>
  <c r="AC97" i="30"/>
  <c r="O409" i="1" s="1"/>
  <c r="AC194" i="30"/>
  <c r="AC130" i="30"/>
  <c r="O556" i="1" s="1"/>
  <c r="AC66" i="30"/>
  <c r="O276" i="1" s="1"/>
  <c r="AC11" i="30"/>
  <c r="O35" i="1" s="1"/>
  <c r="AC212" i="30"/>
  <c r="O912" i="1" s="1"/>
  <c r="AC148" i="30"/>
  <c r="O632" i="1" s="1"/>
  <c r="AC84" i="30"/>
  <c r="O354" i="1" s="1"/>
  <c r="AC20" i="30"/>
  <c r="O78" i="1" s="1"/>
  <c r="O1015" i="1"/>
  <c r="AC94" i="30"/>
  <c r="AC30" i="30"/>
  <c r="AC15" i="30"/>
  <c r="AC280" i="30"/>
  <c r="O1206" i="1" s="1"/>
  <c r="AC73" i="30"/>
  <c r="O307" i="1" s="1"/>
  <c r="O1330" i="1"/>
  <c r="O695" i="1"/>
  <c r="O202" i="1"/>
  <c r="AC213" i="30"/>
  <c r="AC149" i="30"/>
  <c r="O639" i="1" s="1"/>
  <c r="AC85" i="30"/>
  <c r="O358" i="1" s="1"/>
  <c r="AC21" i="30"/>
  <c r="O82" i="1" s="1"/>
  <c r="O529" i="1"/>
  <c r="O530" i="1"/>
  <c r="O528" i="1"/>
  <c r="O527" i="1"/>
  <c r="O616" i="1"/>
  <c r="O615" i="1"/>
  <c r="O1158" i="1"/>
  <c r="O1157" i="1"/>
  <c r="AC284" i="30"/>
  <c r="AC316" i="30"/>
  <c r="AC260" i="30"/>
  <c r="AC292" i="30"/>
  <c r="AC248" i="30"/>
  <c r="AC247" i="30"/>
  <c r="O791" i="1"/>
  <c r="O788" i="1"/>
  <c r="O234" i="1"/>
  <c r="O232" i="1"/>
  <c r="AC9" i="30"/>
  <c r="O620" i="1"/>
  <c r="O343" i="1"/>
  <c r="O340" i="1"/>
  <c r="O342" i="1"/>
  <c r="AC322" i="30"/>
  <c r="AC202" i="30"/>
  <c r="AC138" i="30"/>
  <c r="AC74" i="30"/>
  <c r="AC10" i="30"/>
  <c r="AC227" i="30"/>
  <c r="AC163" i="30"/>
  <c r="AC99" i="30"/>
  <c r="AC35" i="30"/>
  <c r="AC286" i="30"/>
  <c r="O840" i="1"/>
  <c r="O841" i="1"/>
  <c r="O562" i="1"/>
  <c r="O565" i="1"/>
  <c r="O564" i="1"/>
  <c r="O287" i="1"/>
  <c r="O285" i="1"/>
  <c r="O286" i="1"/>
  <c r="O981" i="1"/>
  <c r="O1191" i="1"/>
  <c r="O619" i="1"/>
  <c r="O877" i="1"/>
  <c r="O1298" i="1"/>
  <c r="O1086" i="1"/>
  <c r="O1048" i="1"/>
  <c r="O406" i="1"/>
  <c r="O1161" i="1"/>
  <c r="O1085" i="1"/>
  <c r="O1314" i="1"/>
  <c r="O1316" i="1"/>
  <c r="O772" i="1"/>
  <c r="O1279" i="1"/>
  <c r="O517" i="1"/>
  <c r="O92" i="1"/>
  <c r="O203" i="1"/>
  <c r="O1249" i="1"/>
  <c r="O1250" i="1"/>
  <c r="O515" i="1"/>
  <c r="AC268" i="30"/>
  <c r="AC300" i="30"/>
  <c r="AC232" i="30"/>
  <c r="AC231" i="30"/>
  <c r="AC168" i="30"/>
  <c r="AC104" i="30"/>
  <c r="AC40" i="30"/>
  <c r="AC193" i="30"/>
  <c r="AC129" i="30"/>
  <c r="AC65" i="30"/>
  <c r="AC257" i="30"/>
  <c r="AC289" i="30"/>
  <c r="AC250" i="30"/>
  <c r="AC186" i="30"/>
  <c r="AC122" i="30"/>
  <c r="AC58" i="30"/>
  <c r="AC183" i="30"/>
  <c r="AC211" i="30"/>
  <c r="AC147" i="30"/>
  <c r="AC83" i="30"/>
  <c r="AC19" i="30"/>
  <c r="AC262" i="30"/>
  <c r="AC294" i="30"/>
  <c r="O1051" i="1"/>
  <c r="O494" i="1"/>
  <c r="O492" i="1"/>
  <c r="O962" i="1"/>
  <c r="O127" i="1"/>
  <c r="O1009" i="1"/>
  <c r="P1009" i="1" s="1"/>
  <c r="O1315" i="1"/>
  <c r="O1142" i="1"/>
  <c r="O1329" i="1"/>
  <c r="O1188" i="1"/>
  <c r="O876" i="1"/>
  <c r="O614" i="1"/>
  <c r="O1189" i="1"/>
  <c r="O947" i="1"/>
  <c r="O723" i="1"/>
  <c r="O982" i="1"/>
  <c r="O1349" i="1"/>
  <c r="O1265" i="1"/>
  <c r="O1140" i="1"/>
  <c r="O231" i="1"/>
  <c r="O725" i="1"/>
  <c r="O235" i="1"/>
  <c r="O486" i="1"/>
  <c r="O408" i="1"/>
  <c r="O478" i="1"/>
  <c r="O475" i="1"/>
  <c r="O477" i="1"/>
  <c r="O862" i="1"/>
  <c r="O863" i="1"/>
  <c r="O832" i="1"/>
  <c r="O831" i="1"/>
  <c r="O106" i="1"/>
  <c r="O249" i="1"/>
  <c r="O871" i="1"/>
  <c r="O872" i="1"/>
  <c r="O874" i="1"/>
  <c r="O870" i="1"/>
  <c r="O316" i="1"/>
  <c r="O317" i="1"/>
  <c r="AC239" i="30"/>
  <c r="AC266" i="30"/>
  <c r="AC298" i="30"/>
  <c r="O736" i="1"/>
  <c r="O738" i="1"/>
  <c r="O459" i="1"/>
  <c r="O458" i="1"/>
  <c r="O460" i="1"/>
  <c r="O461" i="1"/>
  <c r="O180" i="1"/>
  <c r="O182" i="1"/>
  <c r="O181" i="1"/>
  <c r="O833" i="1"/>
  <c r="O1374" i="1"/>
  <c r="O1112" i="1"/>
  <c r="O599" i="1"/>
  <c r="O251" i="1"/>
  <c r="O761" i="1"/>
  <c r="O1281" i="1"/>
  <c r="O1014" i="1"/>
  <c r="O563" i="1"/>
  <c r="O1351" i="1"/>
  <c r="O865" i="1"/>
  <c r="O374" i="1"/>
  <c r="O1297" i="1"/>
  <c r="O1372" i="1"/>
  <c r="O513" i="1"/>
  <c r="O1136" i="1"/>
  <c r="O621" i="1"/>
  <c r="O341" i="1"/>
  <c r="AC271" i="30"/>
  <c r="AC303" i="30"/>
  <c r="AC230" i="30"/>
  <c r="AC166" i="30"/>
  <c r="O434" i="1"/>
  <c r="O432" i="1"/>
  <c r="O155" i="1"/>
  <c r="O587" i="1"/>
  <c r="O553" i="1"/>
  <c r="O554" i="1"/>
  <c r="O1252" i="1"/>
  <c r="O792" i="1"/>
  <c r="O649" i="1"/>
  <c r="O650" i="1"/>
  <c r="O652" i="1"/>
  <c r="O451" i="1"/>
  <c r="O836" i="1"/>
  <c r="O838" i="1"/>
  <c r="O560" i="1"/>
  <c r="O282" i="1"/>
  <c r="AC223" i="30"/>
  <c r="AC270" i="30"/>
  <c r="AC302" i="30"/>
  <c r="O704" i="1"/>
  <c r="O703" i="1"/>
  <c r="O425" i="1"/>
  <c r="O426" i="1"/>
  <c r="O424" i="1"/>
  <c r="O146" i="1"/>
  <c r="O144" i="1"/>
  <c r="O1052" i="1"/>
  <c r="O899" i="1"/>
  <c r="O842" i="1"/>
  <c r="O1046" i="1"/>
  <c r="O898" i="1"/>
  <c r="O583" i="1"/>
  <c r="O979" i="1"/>
  <c r="O1344" i="1"/>
  <c r="O1004" i="1"/>
  <c r="O864" i="1"/>
  <c r="O900" i="1"/>
  <c r="O148" i="1"/>
  <c r="O582" i="1"/>
  <c r="O1110" i="1"/>
  <c r="O1370" i="1"/>
  <c r="O61" i="1"/>
  <c r="O487" i="1"/>
  <c r="O385" i="1"/>
  <c r="O386" i="1"/>
  <c r="O808" i="1"/>
  <c r="AC216" i="30"/>
  <c r="AC215" i="30"/>
  <c r="O338" i="1"/>
  <c r="O446" i="1"/>
  <c r="O444" i="1"/>
  <c r="O445" i="1"/>
  <c r="O447" i="1"/>
  <c r="O696" i="1"/>
  <c r="O692" i="1"/>
  <c r="O693" i="1"/>
  <c r="O139" i="1"/>
  <c r="O138" i="1"/>
  <c r="AC251" i="30"/>
  <c r="AC187" i="30"/>
  <c r="AC123" i="30"/>
  <c r="AC59" i="30"/>
  <c r="AC199" i="30"/>
  <c r="AC274" i="30"/>
  <c r="AC306" i="30"/>
  <c r="O669" i="1"/>
  <c r="O667" i="1"/>
  <c r="O113" i="1"/>
  <c r="O112" i="1"/>
  <c r="O110" i="1"/>
  <c r="O773" i="1"/>
  <c r="O702" i="1"/>
  <c r="O971" i="1"/>
  <c r="O835" i="1"/>
  <c r="O1045" i="1"/>
  <c r="O834" i="1"/>
  <c r="O873" i="1"/>
  <c r="O666" i="1"/>
  <c r="O789" i="1"/>
  <c r="O1159" i="1"/>
  <c r="O796" i="1"/>
  <c r="O737" i="1"/>
  <c r="O946" i="1"/>
  <c r="O1300" i="1"/>
  <c r="O758" i="1"/>
  <c r="O109" i="1"/>
  <c r="O283" i="1"/>
  <c r="O196" i="1"/>
  <c r="O198" i="1"/>
  <c r="O197" i="1"/>
  <c r="O199" i="1"/>
  <c r="O308" i="1"/>
  <c r="O305" i="1"/>
  <c r="O275" i="1"/>
  <c r="O278" i="1"/>
  <c r="O277" i="1"/>
  <c r="O1084" i="1"/>
  <c r="O1087" i="1"/>
  <c r="O941" i="1"/>
  <c r="O1073" i="1"/>
  <c r="O1071" i="1"/>
  <c r="O1072" i="1"/>
  <c r="O858" i="1"/>
  <c r="O304" i="1"/>
  <c r="O302" i="1"/>
  <c r="O301" i="1"/>
  <c r="O24" i="1"/>
  <c r="O26" i="1"/>
  <c r="O25" i="1"/>
  <c r="O23" i="1"/>
  <c r="O967" i="1"/>
  <c r="O968" i="1"/>
  <c r="O966" i="1"/>
  <c r="O132" i="1"/>
  <c r="O491" i="1"/>
  <c r="O490" i="1"/>
  <c r="AC175" i="30"/>
  <c r="O353" i="1"/>
  <c r="O355" i="1"/>
  <c r="O356" i="1"/>
  <c r="O1276" i="1"/>
  <c r="O1296" i="1"/>
  <c r="O860" i="1"/>
  <c r="O771" i="1"/>
  <c r="O843" i="1"/>
  <c r="O137" i="1"/>
  <c r="O1352" i="1"/>
  <c r="O770" i="1"/>
  <c r="O809" i="1"/>
  <c r="O581" i="1"/>
  <c r="O1074" i="1"/>
  <c r="O303" i="1"/>
  <c r="O689" i="1"/>
  <c r="P689" i="1" s="1"/>
  <c r="O668" i="1"/>
  <c r="O722" i="1"/>
  <c r="O724" i="1"/>
  <c r="O407" i="1"/>
  <c r="O179" i="1"/>
  <c r="O1124" i="1"/>
  <c r="O147" i="1"/>
  <c r="O233" i="1"/>
  <c r="O617" i="1"/>
  <c r="O21" i="1"/>
  <c r="O637" i="1"/>
  <c r="O636" i="1"/>
  <c r="O359" i="1"/>
  <c r="O361" i="1"/>
  <c r="O357" i="1"/>
  <c r="O360" i="1"/>
  <c r="O1031" i="1"/>
  <c r="P1031" i="1" s="1"/>
  <c r="O37" i="1"/>
  <c r="O38" i="1"/>
  <c r="O1037" i="1"/>
  <c r="O1039" i="1"/>
  <c r="AC208" i="30"/>
  <c r="AC207" i="30"/>
  <c r="O58" i="1"/>
  <c r="O60" i="1"/>
  <c r="O57" i="1"/>
  <c r="O167" i="1"/>
  <c r="O168" i="1"/>
  <c r="O169" i="1"/>
  <c r="AC218" i="30"/>
  <c r="AC154" i="30"/>
  <c r="AC90" i="30"/>
  <c r="AC26" i="30"/>
  <c r="O768" i="1"/>
  <c r="O767" i="1"/>
  <c r="O766" i="1"/>
  <c r="O209" i="1"/>
  <c r="AC278" i="30"/>
  <c r="AC310" i="30"/>
  <c r="AC256" i="30"/>
  <c r="AC255" i="30"/>
  <c r="AC288" i="30"/>
  <c r="AC320" i="30"/>
  <c r="AC192" i="30"/>
  <c r="AC191" i="30"/>
  <c r="AC128" i="30"/>
  <c r="AC64" i="30"/>
  <c r="AC17" i="30"/>
  <c r="AC217" i="30"/>
  <c r="AC153" i="30"/>
  <c r="AC89" i="30"/>
  <c r="AC25" i="30"/>
  <c r="AC277" i="30"/>
  <c r="AC309" i="30"/>
  <c r="AC210" i="30"/>
  <c r="AC146" i="30"/>
  <c r="AC82" i="30"/>
  <c r="AC18" i="30"/>
  <c r="AC235" i="30"/>
  <c r="AC171" i="30"/>
  <c r="AC107" i="30"/>
  <c r="AC43" i="30"/>
  <c r="AC282" i="30"/>
  <c r="AC314" i="30"/>
  <c r="O600" i="1"/>
  <c r="O597" i="1"/>
  <c r="O318" i="1"/>
  <c r="O320" i="1"/>
  <c r="O322" i="1"/>
  <c r="O319" i="1"/>
  <c r="O40" i="1"/>
  <c r="O41" i="1"/>
  <c r="O43" i="1"/>
  <c r="O42" i="1"/>
  <c r="O284" i="1"/>
  <c r="O111" i="1"/>
  <c r="O1172" i="1"/>
  <c r="O489" i="1"/>
  <c r="O512" i="1"/>
  <c r="O1170" i="1"/>
  <c r="O423" i="1"/>
  <c r="O412" i="1"/>
  <c r="O1017" i="1"/>
  <c r="O479" i="1"/>
  <c r="O875" i="1"/>
  <c r="O857" i="1"/>
  <c r="O94" i="1"/>
  <c r="O135" i="1"/>
  <c r="O1328" i="1"/>
  <c r="O1038" i="1"/>
  <c r="O759" i="1"/>
  <c r="O204" i="1"/>
  <c r="O488" i="1"/>
  <c r="AC205" i="30"/>
  <c r="AC141" i="30"/>
  <c r="AC77" i="30"/>
  <c r="AC275" i="30"/>
  <c r="AC307" i="30"/>
  <c r="AC222" i="30"/>
  <c r="AC158" i="30"/>
  <c r="AC279" i="30"/>
  <c r="AC311" i="30"/>
  <c r="AC214" i="30"/>
  <c r="AC253" i="30"/>
  <c r="AC189" i="30"/>
  <c r="AC125" i="30"/>
  <c r="AC61" i="30"/>
  <c r="AC283" i="30"/>
  <c r="AC315" i="30"/>
  <c r="AC206" i="30"/>
  <c r="AC6" i="30"/>
  <c r="O14" i="1" s="1"/>
  <c r="P14" i="1" s="1"/>
  <c r="AC287" i="30"/>
  <c r="AC319" i="30"/>
  <c r="AC198" i="30"/>
  <c r="AC259" i="30"/>
  <c r="AC291" i="30"/>
  <c r="AC254" i="30"/>
  <c r="AC190" i="30"/>
  <c r="AC229" i="30"/>
  <c r="AC165" i="30"/>
  <c r="AC101" i="30"/>
  <c r="AC37" i="30"/>
  <c r="AC263" i="30"/>
  <c r="AC295" i="30"/>
  <c r="AC246" i="30"/>
  <c r="AC182" i="30"/>
  <c r="AC159" i="30"/>
  <c r="AC157" i="30"/>
  <c r="AC267" i="30"/>
  <c r="AC299" i="30"/>
  <c r="AC238" i="30"/>
  <c r="AC174" i="30"/>
  <c r="AC167" i="30"/>
  <c r="O1345" i="1" l="1"/>
  <c r="O336" i="1"/>
  <c r="O1173" i="1"/>
  <c r="O940" i="1"/>
  <c r="O596" i="1"/>
  <c r="P596" i="1" s="1"/>
  <c r="O115" i="1"/>
  <c r="P115" i="1" s="1"/>
  <c r="O116" i="1"/>
  <c r="P116" i="1" s="1"/>
  <c r="O335" i="1"/>
  <c r="P335" i="1" s="1"/>
  <c r="O46" i="1"/>
  <c r="O44" i="1"/>
  <c r="O410" i="1"/>
  <c r="O579" i="1"/>
  <c r="O640" i="1"/>
  <c r="P640" i="1" s="1"/>
  <c r="O76" i="1"/>
  <c r="P76" i="1" s="1"/>
  <c r="O413" i="1"/>
  <c r="P413" i="1" s="1"/>
  <c r="O618" i="1"/>
  <c r="P618" i="1" s="1"/>
  <c r="O77" i="1"/>
  <c r="O75" i="1"/>
  <c r="O80" i="1"/>
  <c r="O411" i="1"/>
  <c r="O93" i="1"/>
  <c r="O331" i="1"/>
  <c r="P331" i="1" s="1"/>
  <c r="O1020" i="1"/>
  <c r="P1020" i="1" s="1"/>
  <c r="O755" i="1"/>
  <c r="P755" i="1" s="1"/>
  <c r="O595" i="1"/>
  <c r="O943" i="1"/>
  <c r="O1208" i="1"/>
  <c r="O754" i="1"/>
  <c r="O756" i="1"/>
  <c r="P756" i="1" s="1"/>
  <c r="O970" i="1"/>
  <c r="P970" i="1" s="1"/>
  <c r="O333" i="1"/>
  <c r="P333" i="1" s="1"/>
  <c r="O641" i="1"/>
  <c r="P641" i="1" s="1"/>
  <c r="O332" i="1"/>
  <c r="O559" i="1"/>
  <c r="O1138" i="1"/>
  <c r="O1205" i="1"/>
  <c r="P1205" i="1" s="1"/>
  <c r="O558" i="1"/>
  <c r="P558" i="1" s="1"/>
  <c r="O1002" i="1"/>
  <c r="P1002" i="1" s="1"/>
  <c r="O1310" i="1"/>
  <c r="P1310" i="1" s="1"/>
  <c r="O1001" i="1"/>
  <c r="P1001" i="1" s="1"/>
  <c r="O215" i="1"/>
  <c r="P215" i="1" s="1"/>
  <c r="O22" i="1"/>
  <c r="O18" i="1"/>
  <c r="O237" i="1"/>
  <c r="P237" i="1" s="1"/>
  <c r="O633" i="1"/>
  <c r="P633" i="1" s="1"/>
  <c r="O129" i="1"/>
  <c r="P129" i="1" s="1"/>
  <c r="O236" i="1"/>
  <c r="P236" i="1" s="1"/>
  <c r="O1137" i="1"/>
  <c r="P1137" i="1" s="1"/>
  <c r="O214" i="1"/>
  <c r="P214" i="1" s="1"/>
  <c r="O510" i="1"/>
  <c r="O211" i="1"/>
  <c r="O635" i="1"/>
  <c r="P635" i="1" s="1"/>
  <c r="O1209" i="1"/>
  <c r="P1209" i="1" s="1"/>
  <c r="O130" i="1"/>
  <c r="P130" i="1" s="1"/>
  <c r="O238" i="1"/>
  <c r="P238" i="1" s="1"/>
  <c r="O171" i="1"/>
  <c r="P171" i="1" s="1"/>
  <c r="O1262" i="1"/>
  <c r="P1262" i="1" s="1"/>
  <c r="O216" i="1"/>
  <c r="O126" i="1"/>
  <c r="P126" i="1" s="1"/>
  <c r="O161" i="1"/>
  <c r="P161" i="1" s="1"/>
  <c r="O158" i="1"/>
  <c r="P158" i="1" s="1"/>
  <c r="O186" i="1"/>
  <c r="P186" i="1" s="1"/>
  <c r="O185" i="1"/>
  <c r="P185" i="1" s="1"/>
  <c r="O187" i="1"/>
  <c r="P187" i="1" s="1"/>
  <c r="O415" i="1"/>
  <c r="P415" i="1" s="1"/>
  <c r="O173" i="1"/>
  <c r="O1277" i="1"/>
  <c r="O765" i="1"/>
  <c r="P765" i="1" s="1"/>
  <c r="O124" i="1"/>
  <c r="P124" i="1" s="1"/>
  <c r="O364" i="1"/>
  <c r="P364" i="1" s="1"/>
  <c r="O170" i="1"/>
  <c r="P170" i="1" s="1"/>
  <c r="O213" i="1"/>
  <c r="P213" i="1" s="1"/>
  <c r="O414" i="1"/>
  <c r="P414" i="1" s="1"/>
  <c r="O664" i="1"/>
  <c r="O417" i="1"/>
  <c r="O172" i="1"/>
  <c r="P172" i="1" s="1"/>
  <c r="O1171" i="1"/>
  <c r="P1171" i="1" s="1"/>
  <c r="O84" i="1"/>
  <c r="P84" i="1" s="1"/>
  <c r="O210" i="1"/>
  <c r="P210" i="1" s="1"/>
  <c r="O19" i="1"/>
  <c r="P19" i="1" s="1"/>
  <c r="O1207" i="1"/>
  <c r="P1207" i="1" s="1"/>
  <c r="O762" i="1"/>
  <c r="O557" i="1"/>
  <c r="P557" i="1" s="1"/>
  <c r="O665" i="1"/>
  <c r="P665" i="1" s="1"/>
  <c r="O87" i="1"/>
  <c r="P87" i="1" s="1"/>
  <c r="O85" i="1"/>
  <c r="P85" i="1" s="1"/>
  <c r="O86" i="1"/>
  <c r="P86" i="1" s="1"/>
  <c r="O1019" i="1"/>
  <c r="P1019" i="1" s="1"/>
  <c r="O1018" i="1"/>
  <c r="P1018" i="1" s="1"/>
  <c r="AC3" i="30"/>
  <c r="O4" i="1" s="1"/>
  <c r="P4" i="1" s="1"/>
  <c r="AC4" i="30"/>
  <c r="O156" i="1"/>
  <c r="P156" i="1" s="1"/>
  <c r="O154" i="1"/>
  <c r="P154" i="1" s="1"/>
  <c r="O219" i="1"/>
  <c r="P219" i="1" s="1"/>
  <c r="O221" i="1"/>
  <c r="P221" i="1" s="1"/>
  <c r="O222" i="1"/>
  <c r="P222" i="1" s="1"/>
  <c r="O218" i="1"/>
  <c r="P218" i="1" s="1"/>
  <c r="O220" i="1"/>
  <c r="O207" i="1"/>
  <c r="P207" i="1" s="1"/>
  <c r="O337" i="1"/>
  <c r="P337" i="1" s="1"/>
  <c r="O634" i="1"/>
  <c r="P634" i="1" s="1"/>
  <c r="O631" i="1"/>
  <c r="P631" i="1" s="1"/>
  <c r="O39" i="1"/>
  <c r="P39" i="1" s="1"/>
  <c r="O1033" i="1"/>
  <c r="P1033" i="1" s="1"/>
  <c r="O638" i="1"/>
  <c r="P638" i="1" s="1"/>
  <c r="O481" i="1"/>
  <c r="O1178" i="1"/>
  <c r="P1178" i="1" s="1"/>
  <c r="O131" i="1"/>
  <c r="P131" i="1" s="1"/>
  <c r="O861" i="1"/>
  <c r="P861" i="1" s="1"/>
  <c r="O794" i="1"/>
  <c r="P794" i="1" s="1"/>
  <c r="O806" i="1"/>
  <c r="P806" i="1" s="1"/>
  <c r="O387" i="1"/>
  <c r="P387" i="1" s="1"/>
  <c r="O485" i="1"/>
  <c r="P485" i="1" s="1"/>
  <c r="O1006" i="1"/>
  <c r="P1006" i="1" s="1"/>
  <c r="O1049" i="1"/>
  <c r="P1049" i="1" s="1"/>
  <c r="O1366" i="1"/>
  <c r="O281" i="1"/>
  <c r="P281" i="1" s="1"/>
  <c r="O837" i="1"/>
  <c r="P837" i="1" s="1"/>
  <c r="O795" i="1"/>
  <c r="P795" i="1" s="1"/>
  <c r="O555" i="1"/>
  <c r="P555" i="1" s="1"/>
  <c r="O153" i="1"/>
  <c r="P153" i="1" s="1"/>
  <c r="O1005" i="1"/>
  <c r="P1005" i="1" s="1"/>
  <c r="O592" i="1"/>
  <c r="P592" i="1" s="1"/>
  <c r="O250" i="1"/>
  <c r="P250" i="1" s="1"/>
  <c r="O370" i="1"/>
  <c r="P370" i="1" s="1"/>
  <c r="O1278" i="1"/>
  <c r="P1278" i="1" s="1"/>
  <c r="O496" i="1"/>
  <c r="P496" i="1" s="1"/>
  <c r="O1264" i="1"/>
  <c r="P1264" i="1" s="1"/>
  <c r="O1007" i="1"/>
  <c r="P1007" i="1" s="1"/>
  <c r="O511" i="1"/>
  <c r="O91" i="1"/>
  <c r="P91" i="1" s="1"/>
  <c r="O90" i="1"/>
  <c r="P90" i="1" s="1"/>
  <c r="O89" i="1"/>
  <c r="P89" i="1" s="1"/>
  <c r="O88" i="1"/>
  <c r="P88" i="1" s="1"/>
  <c r="O292" i="1"/>
  <c r="P292" i="1" s="1"/>
  <c r="O293" i="1"/>
  <c r="P293" i="1" s="1"/>
  <c r="O294" i="1"/>
  <c r="P294" i="1" s="1"/>
  <c r="O295" i="1"/>
  <c r="O498" i="1"/>
  <c r="P498" i="1" s="1"/>
  <c r="O500" i="1"/>
  <c r="P500" i="1" s="1"/>
  <c r="O497" i="1"/>
  <c r="P497" i="1" s="1"/>
  <c r="O499" i="1"/>
  <c r="P499" i="1" s="1"/>
  <c r="O262" i="1"/>
  <c r="P262" i="1" s="1"/>
  <c r="O263" i="1"/>
  <c r="P263" i="1" s="1"/>
  <c r="O265" i="1"/>
  <c r="P265" i="1" s="1"/>
  <c r="O264" i="1"/>
  <c r="O437" i="1"/>
  <c r="P437" i="1" s="1"/>
  <c r="O436" i="1"/>
  <c r="P436" i="1" s="1"/>
  <c r="O438" i="1"/>
  <c r="P438" i="1" s="1"/>
  <c r="O439" i="1"/>
  <c r="P439" i="1" s="1"/>
  <c r="O369" i="1"/>
  <c r="P369" i="1" s="1"/>
  <c r="O368" i="1"/>
  <c r="P368" i="1" s="1"/>
  <c r="O366" i="1"/>
  <c r="P366" i="1" s="1"/>
  <c r="O367" i="1"/>
  <c r="P367" i="1" s="1"/>
  <c r="O435" i="1"/>
  <c r="P435" i="1" s="1"/>
  <c r="O431" i="1"/>
  <c r="O777" i="1"/>
  <c r="P777" i="1" s="1"/>
  <c r="O776" i="1"/>
  <c r="P776" i="1" s="1"/>
  <c r="O778" i="1"/>
  <c r="P778" i="1" s="1"/>
  <c r="O775" i="1"/>
  <c r="P775" i="1" s="1"/>
  <c r="O541" i="1"/>
  <c r="P541" i="1" s="1"/>
  <c r="O542" i="1"/>
  <c r="O540" i="1"/>
  <c r="P540" i="1" s="1"/>
  <c r="O543" i="1"/>
  <c r="O371" i="1"/>
  <c r="P371" i="1" s="1"/>
  <c r="O1035" i="1"/>
  <c r="P1035" i="1" s="1"/>
  <c r="O36" i="1"/>
  <c r="P36" i="1" s="1"/>
  <c r="O484" i="1"/>
  <c r="P484" i="1" s="1"/>
  <c r="O134" i="1"/>
  <c r="P134" i="1" s="1"/>
  <c r="O306" i="1"/>
  <c r="O373" i="1"/>
  <c r="P373" i="1" s="1"/>
  <c r="O449" i="1"/>
  <c r="P449" i="1" s="1"/>
  <c r="O1113" i="1"/>
  <c r="P1113" i="1" s="1"/>
  <c r="O807" i="1"/>
  <c r="P807" i="1" s="1"/>
  <c r="AC5" i="30"/>
  <c r="O1212" i="1"/>
  <c r="P1212" i="1" s="1"/>
  <c r="O1032" i="1"/>
  <c r="P1032" i="1" s="1"/>
  <c r="O1367" i="1"/>
  <c r="O280" i="1"/>
  <c r="P280" i="1" s="1"/>
  <c r="O452" i="1"/>
  <c r="P452" i="1" s="1"/>
  <c r="O433" i="1"/>
  <c r="P433" i="1" s="1"/>
  <c r="O594" i="1"/>
  <c r="P594" i="1" s="1"/>
  <c r="O208" i="1"/>
  <c r="P208" i="1" s="1"/>
  <c r="O206" i="1"/>
  <c r="P206" i="1" s="1"/>
  <c r="O1143" i="1"/>
  <c r="P1143" i="1" s="1"/>
  <c r="O448" i="1"/>
  <c r="O1176" i="1"/>
  <c r="P1176" i="1" s="1"/>
  <c r="O493" i="1"/>
  <c r="P493" i="1" s="1"/>
  <c r="O482" i="1"/>
  <c r="P482" i="1" s="1"/>
  <c r="O1368" i="1"/>
  <c r="P1368" i="1" s="1"/>
  <c r="O1177" i="1"/>
  <c r="P1177" i="1" s="1"/>
  <c r="O394" i="1"/>
  <c r="P394" i="1" s="1"/>
  <c r="O403" i="1"/>
  <c r="P403" i="1" s="1"/>
  <c r="O647" i="1"/>
  <c r="O648" i="1"/>
  <c r="P648" i="1" s="1"/>
  <c r="O644" i="1"/>
  <c r="P644" i="1" s="1"/>
  <c r="O646" i="1"/>
  <c r="P646" i="1" s="1"/>
  <c r="O645" i="1"/>
  <c r="P645" i="1" s="1"/>
  <c r="O570" i="1"/>
  <c r="P570" i="1" s="1"/>
  <c r="O574" i="1"/>
  <c r="P574" i="1" s="1"/>
  <c r="O571" i="1"/>
  <c r="P571" i="1" s="1"/>
  <c r="O572" i="1"/>
  <c r="O573" i="1"/>
  <c r="P573" i="1" s="1"/>
  <c r="O1053" i="1"/>
  <c r="O1055" i="1"/>
  <c r="P1055" i="1" s="1"/>
  <c r="O1056" i="1"/>
  <c r="P1056" i="1" s="1"/>
  <c r="O1054" i="1"/>
  <c r="P1054" i="1" s="1"/>
  <c r="O727" i="1"/>
  <c r="P727" i="1" s="1"/>
  <c r="O1041" i="1"/>
  <c r="P1041" i="1" s="1"/>
  <c r="O1126" i="1"/>
  <c r="P1126" i="1" s="1"/>
  <c r="O586" i="1"/>
  <c r="P586" i="1" s="1"/>
  <c r="O108" i="1"/>
  <c r="P108" i="1" s="1"/>
  <c r="O729" i="1"/>
  <c r="P729" i="1" s="1"/>
  <c r="O1043" i="1"/>
  <c r="P1043" i="1" s="1"/>
  <c r="O584" i="1"/>
  <c r="P584" i="1" s="1"/>
  <c r="O107" i="1"/>
  <c r="P107" i="1" s="1"/>
  <c r="O123" i="1"/>
  <c r="P123" i="1" s="1"/>
  <c r="O1282" i="1"/>
  <c r="P1282" i="1" s="1"/>
  <c r="O501" i="1"/>
  <c r="P501" i="1" s="1"/>
  <c r="O502" i="1"/>
  <c r="P502" i="1" s="1"/>
  <c r="O503" i="1"/>
  <c r="P503" i="1" s="1"/>
  <c r="O504" i="1"/>
  <c r="P504" i="1" s="1"/>
  <c r="O690" i="1"/>
  <c r="P690" i="1" s="1"/>
  <c r="O688" i="1"/>
  <c r="P688" i="1" s="1"/>
  <c r="O300" i="1"/>
  <c r="P300" i="1" s="1"/>
  <c r="O298" i="1"/>
  <c r="P298" i="1" s="1"/>
  <c r="O299" i="1"/>
  <c r="P299" i="1" s="1"/>
  <c r="O296" i="1"/>
  <c r="P296" i="1" s="1"/>
  <c r="O297" i="1"/>
  <c r="P297" i="1" s="1"/>
  <c r="O1230" i="1"/>
  <c r="P1230" i="1" s="1"/>
  <c r="O1125" i="1"/>
  <c r="P1125" i="1" s="1"/>
  <c r="O1313" i="1"/>
  <c r="P1313" i="1" s="1"/>
  <c r="O230" i="1"/>
  <c r="P230" i="1" s="1"/>
  <c r="O227" i="1"/>
  <c r="P227" i="1" s="1"/>
  <c r="O228" i="1"/>
  <c r="P228" i="1" s="1"/>
  <c r="O229" i="1"/>
  <c r="P229" i="1" s="1"/>
  <c r="O578" i="1"/>
  <c r="P578" i="1" s="1"/>
  <c r="O575" i="1"/>
  <c r="P575" i="1" s="1"/>
  <c r="O577" i="1"/>
  <c r="P577" i="1" s="1"/>
  <c r="O576" i="1"/>
  <c r="P576" i="1" s="1"/>
  <c r="O913" i="1"/>
  <c r="P913" i="1" s="1"/>
  <c r="O662" i="1"/>
  <c r="P662" i="1" s="1"/>
  <c r="O402" i="1"/>
  <c r="P402" i="1" s="1"/>
  <c r="O401" i="1"/>
  <c r="P401" i="1" s="1"/>
  <c r="O506" i="1"/>
  <c r="P506" i="1" s="1"/>
  <c r="O505" i="1"/>
  <c r="P505" i="1" s="1"/>
  <c r="O508" i="1"/>
  <c r="P508" i="1" s="1"/>
  <c r="O507" i="1"/>
  <c r="P507" i="1" s="1"/>
  <c r="O52" i="1"/>
  <c r="P52" i="1" s="1"/>
  <c r="O51" i="1"/>
  <c r="P51" i="1" s="1"/>
  <c r="O50" i="1"/>
  <c r="P50" i="1" s="1"/>
  <c r="O49" i="1"/>
  <c r="P49" i="1" s="1"/>
  <c r="O911" i="1"/>
  <c r="P911" i="1" s="1"/>
  <c r="O686" i="1"/>
  <c r="P686" i="1" s="1"/>
  <c r="O1312" i="1"/>
  <c r="P1312" i="1" s="1"/>
  <c r="O328" i="1"/>
  <c r="P328" i="1" s="1"/>
  <c r="O329" i="1"/>
  <c r="P329" i="1" s="1"/>
  <c r="O327" i="1"/>
  <c r="P327" i="1" s="1"/>
  <c r="O330" i="1"/>
  <c r="P330" i="1" s="1"/>
  <c r="O687" i="1"/>
  <c r="P687" i="1" s="1"/>
  <c r="O910" i="1"/>
  <c r="P910" i="1" s="1"/>
  <c r="O683" i="1"/>
  <c r="P683" i="1" s="1"/>
  <c r="O1042" i="1"/>
  <c r="P1042" i="1" s="1"/>
  <c r="O1227" i="1"/>
  <c r="P1227" i="1" s="1"/>
  <c r="O607" i="1"/>
  <c r="P607" i="1" s="1"/>
  <c r="O605" i="1"/>
  <c r="P605" i="1" s="1"/>
  <c r="O608" i="1"/>
  <c r="P608" i="1" s="1"/>
  <c r="O606" i="1"/>
  <c r="P606" i="1" s="1"/>
  <c r="O223" i="1"/>
  <c r="P223" i="1" s="1"/>
  <c r="O226" i="1"/>
  <c r="P226" i="1" s="1"/>
  <c r="O225" i="1"/>
  <c r="P225" i="1" s="1"/>
  <c r="O224" i="1"/>
  <c r="P224" i="1" s="1"/>
  <c r="O685" i="1"/>
  <c r="P685" i="1" s="1"/>
  <c r="O1229" i="1"/>
  <c r="P1229" i="1" s="1"/>
  <c r="O730" i="1"/>
  <c r="P730" i="1" s="1"/>
  <c r="O53" i="1"/>
  <c r="P53" i="1" s="1"/>
  <c r="O54" i="1"/>
  <c r="P54" i="1" s="1"/>
  <c r="O55" i="1"/>
  <c r="P55" i="1" s="1"/>
  <c r="O56" i="1"/>
  <c r="P56" i="1" s="1"/>
  <c r="O760" i="1"/>
  <c r="P760" i="1" s="1"/>
  <c r="O757" i="1"/>
  <c r="P757" i="1" s="1"/>
  <c r="O944" i="1"/>
  <c r="P944" i="1" s="1"/>
  <c r="O948" i="1"/>
  <c r="P948" i="1" s="1"/>
  <c r="O1346" i="1"/>
  <c r="P1346" i="1" s="1"/>
  <c r="O1347" i="1"/>
  <c r="P1347" i="1" s="1"/>
  <c r="O915" i="1"/>
  <c r="P915" i="1" s="1"/>
  <c r="O914" i="1"/>
  <c r="P914" i="1" s="1"/>
  <c r="O917" i="1"/>
  <c r="P917" i="1" s="1"/>
  <c r="O916" i="1"/>
  <c r="P916" i="1" s="1"/>
  <c r="O118" i="1"/>
  <c r="P118" i="1" s="1"/>
  <c r="O122" i="1"/>
  <c r="P122" i="1" s="1"/>
  <c r="O121" i="1"/>
  <c r="P121" i="1" s="1"/>
  <c r="O119" i="1"/>
  <c r="P119" i="1" s="1"/>
  <c r="O120" i="1"/>
  <c r="P120" i="1" s="1"/>
  <c r="O396" i="1"/>
  <c r="P396" i="1" s="1"/>
  <c r="O399" i="1"/>
  <c r="P399" i="1" s="1"/>
  <c r="O397" i="1"/>
  <c r="P397" i="1" s="1"/>
  <c r="O400" i="1"/>
  <c r="O398" i="1"/>
  <c r="P398" i="1" s="1"/>
  <c r="O963" i="1"/>
  <c r="P963" i="1" s="1"/>
  <c r="O964" i="1"/>
  <c r="P964" i="1" s="1"/>
  <c r="O195" i="1"/>
  <c r="P195" i="1" s="1"/>
  <c r="O193" i="1"/>
  <c r="P193" i="1" s="1"/>
  <c r="O194" i="1"/>
  <c r="P194" i="1" s="1"/>
  <c r="O192" i="1"/>
  <c r="P192" i="1" s="1"/>
  <c r="O191" i="1"/>
  <c r="P191" i="1" s="1"/>
  <c r="O189" i="1"/>
  <c r="P189" i="1" s="1"/>
  <c r="O190" i="1"/>
  <c r="P190" i="1" s="1"/>
  <c r="O188" i="1"/>
  <c r="P188" i="1" s="1"/>
  <c r="O81" i="1"/>
  <c r="P81" i="1" s="1"/>
  <c r="O79" i="1"/>
  <c r="P79" i="1" s="1"/>
  <c r="O472" i="1"/>
  <c r="P472" i="1" s="1"/>
  <c r="O470" i="1"/>
  <c r="P470" i="1" s="1"/>
  <c r="O471" i="1"/>
  <c r="P471" i="1" s="1"/>
  <c r="O473" i="1"/>
  <c r="P473" i="1" s="1"/>
  <c r="O474" i="1"/>
  <c r="P474" i="1" s="1"/>
  <c r="O388" i="1"/>
  <c r="P388" i="1" s="1"/>
  <c r="O390" i="1"/>
  <c r="P390" i="1" s="1"/>
  <c r="O389" i="1"/>
  <c r="P389" i="1" s="1"/>
  <c r="O1213" i="1"/>
  <c r="P1213" i="1" s="1"/>
  <c r="O1211" i="1"/>
  <c r="P1211" i="1" s="1"/>
  <c r="O468" i="1"/>
  <c r="P468" i="1" s="1"/>
  <c r="O467" i="1"/>
  <c r="P467" i="1" s="1"/>
  <c r="O469" i="1"/>
  <c r="P469" i="1" s="1"/>
  <c r="O466" i="1"/>
  <c r="P466" i="1" s="1"/>
  <c r="O1200" i="1"/>
  <c r="P1200" i="1" s="1"/>
  <c r="O1199" i="1"/>
  <c r="P1199" i="1" s="1"/>
  <c r="O1198" i="1"/>
  <c r="P1198" i="1" s="1"/>
  <c r="O1197" i="1"/>
  <c r="P1197" i="1" s="1"/>
  <c r="O1291" i="1"/>
  <c r="P1291" i="1" s="1"/>
  <c r="O1290" i="1"/>
  <c r="P1290" i="1" s="1"/>
  <c r="O1288" i="1"/>
  <c r="P1288" i="1" s="1"/>
  <c r="O1289" i="1"/>
  <c r="P1289" i="1" s="1"/>
  <c r="O151" i="1"/>
  <c r="P151" i="1" s="1"/>
  <c r="O152" i="1"/>
  <c r="P152" i="1" s="1"/>
  <c r="O150" i="1"/>
  <c r="P150" i="1" s="1"/>
  <c r="O149" i="1"/>
  <c r="P149" i="1" s="1"/>
  <c r="O852" i="1"/>
  <c r="O849" i="1"/>
  <c r="P849" i="1" s="1"/>
  <c r="O851" i="1"/>
  <c r="P851" i="1" s="1"/>
  <c r="O850" i="1"/>
  <c r="P850" i="1" s="1"/>
  <c r="O253" i="1"/>
  <c r="P253" i="1" s="1"/>
  <c r="O254" i="1"/>
  <c r="P254" i="1" s="1"/>
  <c r="O256" i="1"/>
  <c r="P256" i="1" s="1"/>
  <c r="O255" i="1"/>
  <c r="P255" i="1" s="1"/>
  <c r="O956" i="1"/>
  <c r="P956" i="1" s="1"/>
  <c r="O953" i="1"/>
  <c r="P953" i="1" s="1"/>
  <c r="O955" i="1"/>
  <c r="P955" i="1" s="1"/>
  <c r="O954" i="1"/>
  <c r="P954" i="1" s="1"/>
  <c r="O453" i="1"/>
  <c r="P453" i="1" s="1"/>
  <c r="O454" i="1"/>
  <c r="P454" i="1" s="1"/>
  <c r="O455" i="1"/>
  <c r="P455" i="1" s="1"/>
  <c r="O456" i="1"/>
  <c r="P456" i="1" s="1"/>
  <c r="O1195" i="1"/>
  <c r="P1195" i="1" s="1"/>
  <c r="O1192" i="1"/>
  <c r="P1192" i="1" s="1"/>
  <c r="O1194" i="1"/>
  <c r="P1194" i="1" s="1"/>
  <c r="O1196" i="1"/>
  <c r="P1196" i="1" s="1"/>
  <c r="O1193" i="1"/>
  <c r="P1193" i="1" s="1"/>
  <c r="O818" i="1"/>
  <c r="P818" i="1" s="1"/>
  <c r="O821" i="1"/>
  <c r="P821" i="1" s="1"/>
  <c r="O822" i="1"/>
  <c r="P822" i="1" s="1"/>
  <c r="O820" i="1"/>
  <c r="P820" i="1" s="1"/>
  <c r="O819" i="1"/>
  <c r="P819" i="1" s="1"/>
  <c r="O382" i="1"/>
  <c r="P382" i="1" s="1"/>
  <c r="O380" i="1"/>
  <c r="P380" i="1" s="1"/>
  <c r="O381" i="1"/>
  <c r="P381" i="1" s="1"/>
  <c r="O379" i="1"/>
  <c r="P379" i="1" s="1"/>
  <c r="O383" i="1"/>
  <c r="P383" i="1" s="1"/>
  <c r="O750" i="1"/>
  <c r="P750" i="1" s="1"/>
  <c r="O749" i="1"/>
  <c r="P749" i="1" s="1"/>
  <c r="O752" i="1"/>
  <c r="P752" i="1" s="1"/>
  <c r="O751" i="1"/>
  <c r="P751" i="1" s="1"/>
  <c r="O526" i="1"/>
  <c r="P526" i="1" s="1"/>
  <c r="O523" i="1"/>
  <c r="P523" i="1" s="1"/>
  <c r="O522" i="1"/>
  <c r="P522" i="1" s="1"/>
  <c r="O524" i="1"/>
  <c r="P524" i="1" s="1"/>
  <c r="O525" i="1"/>
  <c r="P525" i="1" s="1"/>
  <c r="O960" i="1"/>
  <c r="P960" i="1" s="1"/>
  <c r="O957" i="1"/>
  <c r="P957" i="1" s="1"/>
  <c r="O959" i="1"/>
  <c r="P959" i="1" s="1"/>
  <c r="O961" i="1"/>
  <c r="P961" i="1" s="1"/>
  <c r="O958" i="1"/>
  <c r="P958" i="1" s="1"/>
  <c r="O1129" i="1"/>
  <c r="P1129" i="1" s="1"/>
  <c r="O1127" i="1"/>
  <c r="P1127" i="1" s="1"/>
  <c r="O1128" i="1"/>
  <c r="P1128" i="1" s="1"/>
  <c r="O1130" i="1"/>
  <c r="P1130" i="1" s="1"/>
  <c r="O800" i="1"/>
  <c r="P800" i="1" s="1"/>
  <c r="O798" i="1"/>
  <c r="P798" i="1" s="1"/>
  <c r="O799" i="1"/>
  <c r="P799" i="1" s="1"/>
  <c r="O797" i="1"/>
  <c r="P797" i="1" s="1"/>
  <c r="O163" i="1"/>
  <c r="P163" i="1" s="1"/>
  <c r="O164" i="1"/>
  <c r="P164" i="1" s="1"/>
  <c r="O165" i="1"/>
  <c r="P165" i="1" s="1"/>
  <c r="O162" i="1"/>
  <c r="P162" i="1" s="1"/>
  <c r="O32" i="1"/>
  <c r="P32" i="1" s="1"/>
  <c r="O34" i="1"/>
  <c r="P34" i="1" s="1"/>
  <c r="O33" i="1"/>
  <c r="P33" i="1" s="1"/>
  <c r="O31" i="1"/>
  <c r="P31" i="1" s="1"/>
  <c r="O1363" i="1"/>
  <c r="P1363" i="1" s="1"/>
  <c r="O1364" i="1"/>
  <c r="P1364" i="1" s="1"/>
  <c r="O1362" i="1"/>
  <c r="P1362" i="1" s="1"/>
  <c r="O1365" i="1"/>
  <c r="P1365" i="1" s="1"/>
  <c r="O1270" i="1"/>
  <c r="P1270" i="1" s="1"/>
  <c r="O1266" i="1"/>
  <c r="P1266" i="1" s="1"/>
  <c r="O1267" i="1"/>
  <c r="P1267" i="1" s="1"/>
  <c r="O1269" i="1"/>
  <c r="P1269" i="1" s="1"/>
  <c r="O1268" i="1"/>
  <c r="P1268" i="1" s="1"/>
  <c r="O1375" i="1"/>
  <c r="P1375" i="1" s="1"/>
  <c r="O1376" i="1"/>
  <c r="P1376" i="1" s="1"/>
  <c r="O1377" i="1"/>
  <c r="O1378" i="1"/>
  <c r="P1378" i="1" s="1"/>
  <c r="O1325" i="1"/>
  <c r="P1325" i="1" s="1"/>
  <c r="O1326" i="1"/>
  <c r="P1326" i="1" s="1"/>
  <c r="O1324" i="1"/>
  <c r="P1324" i="1" s="1"/>
  <c r="O1323" i="1"/>
  <c r="P1323" i="1" s="1"/>
  <c r="O734" i="1"/>
  <c r="P734" i="1" s="1"/>
  <c r="O735" i="1"/>
  <c r="P735" i="1" s="1"/>
  <c r="O731" i="1"/>
  <c r="P731" i="1" s="1"/>
  <c r="O732" i="1"/>
  <c r="P732" i="1" s="1"/>
  <c r="O733" i="1"/>
  <c r="P733" i="1" s="1"/>
  <c r="O99" i="1"/>
  <c r="P99" i="1" s="1"/>
  <c r="O100" i="1"/>
  <c r="P100" i="1" s="1"/>
  <c r="O96" i="1"/>
  <c r="P96" i="1" s="1"/>
  <c r="O97" i="1"/>
  <c r="P97" i="1" s="1"/>
  <c r="O98" i="1"/>
  <c r="P98" i="1" s="1"/>
  <c r="O823" i="1"/>
  <c r="P823" i="1" s="1"/>
  <c r="O824" i="1"/>
  <c r="P824" i="1" s="1"/>
  <c r="O826" i="1"/>
  <c r="P826" i="1" s="1"/>
  <c r="O825" i="1"/>
  <c r="P825" i="1" s="1"/>
  <c r="O658" i="1"/>
  <c r="P658" i="1" s="1"/>
  <c r="O661" i="1"/>
  <c r="P661" i="1" s="1"/>
  <c r="O657" i="1"/>
  <c r="P657" i="1" s="1"/>
  <c r="O660" i="1"/>
  <c r="P660" i="1" s="1"/>
  <c r="O659" i="1"/>
  <c r="P659" i="1" s="1"/>
  <c r="O888" i="1"/>
  <c r="P888" i="1" s="1"/>
  <c r="O891" i="1"/>
  <c r="P891" i="1" s="1"/>
  <c r="O890" i="1"/>
  <c r="P890" i="1" s="1"/>
  <c r="O889" i="1"/>
  <c r="P889" i="1" s="1"/>
  <c r="O803" i="1"/>
  <c r="P803" i="1" s="1"/>
  <c r="O802" i="1"/>
  <c r="P802" i="1" s="1"/>
  <c r="O804" i="1"/>
  <c r="P804" i="1" s="1"/>
  <c r="O801" i="1"/>
  <c r="P801" i="1" s="1"/>
  <c r="O711" i="1"/>
  <c r="P711" i="1" s="1"/>
  <c r="O713" i="1"/>
  <c r="P713" i="1" s="1"/>
  <c r="O710" i="1"/>
  <c r="P710" i="1" s="1"/>
  <c r="O712" i="1"/>
  <c r="P712" i="1" s="1"/>
  <c r="O709" i="1"/>
  <c r="P709" i="1" s="1"/>
  <c r="O70" i="1"/>
  <c r="P70" i="1" s="1"/>
  <c r="O74" i="1"/>
  <c r="P74" i="1" s="1"/>
  <c r="O72" i="1"/>
  <c r="P72" i="1" s="1"/>
  <c r="O73" i="1"/>
  <c r="P73" i="1" s="1"/>
  <c r="O71" i="1"/>
  <c r="P71" i="1" s="1"/>
  <c r="O1076" i="1"/>
  <c r="P1076" i="1" s="1"/>
  <c r="O1077" i="1"/>
  <c r="P1077" i="1" s="1"/>
  <c r="O1078" i="1"/>
  <c r="P1078" i="1" s="1"/>
  <c r="O1075" i="1"/>
  <c r="P1075" i="1" s="1"/>
  <c r="O442" i="1"/>
  <c r="P442" i="1" s="1"/>
  <c r="O441" i="1"/>
  <c r="P441" i="1" s="1"/>
  <c r="O440" i="1"/>
  <c r="P440" i="1" s="1"/>
  <c r="O443" i="1"/>
  <c r="P443" i="1" s="1"/>
  <c r="O313" i="1"/>
  <c r="P313" i="1" s="1"/>
  <c r="O311" i="1"/>
  <c r="P311" i="1" s="1"/>
  <c r="O312" i="1"/>
  <c r="P312" i="1" s="1"/>
  <c r="O309" i="1"/>
  <c r="P309" i="1" s="1"/>
  <c r="O310" i="1"/>
  <c r="P310" i="1" s="1"/>
  <c r="O1226" i="1"/>
  <c r="P1226" i="1" s="1"/>
  <c r="O1223" i="1"/>
  <c r="P1223" i="1" s="1"/>
  <c r="O1224" i="1"/>
  <c r="P1224" i="1" s="1"/>
  <c r="O1225" i="1"/>
  <c r="P1225" i="1" s="1"/>
  <c r="O1023" i="1"/>
  <c r="P1023" i="1" s="1"/>
  <c r="O1022" i="1"/>
  <c r="P1022" i="1" s="1"/>
  <c r="O1024" i="1"/>
  <c r="P1024" i="1" s="1"/>
  <c r="O1025" i="1"/>
  <c r="P1025" i="1" s="1"/>
  <c r="O1026" i="1"/>
  <c r="P1026" i="1" s="1"/>
  <c r="O1334" i="1"/>
  <c r="P1334" i="1" s="1"/>
  <c r="O1333" i="1"/>
  <c r="P1333" i="1" s="1"/>
  <c r="O1331" i="1"/>
  <c r="P1331" i="1" s="1"/>
  <c r="O1332" i="1"/>
  <c r="P1332" i="1" s="1"/>
  <c r="O101" i="1"/>
  <c r="P101" i="1" s="1"/>
  <c r="O104" i="1"/>
  <c r="P104" i="1" s="1"/>
  <c r="O103" i="1"/>
  <c r="P103" i="1" s="1"/>
  <c r="O102" i="1"/>
  <c r="P102" i="1" s="1"/>
  <c r="O1165" i="1"/>
  <c r="P1165" i="1" s="1"/>
  <c r="O1163" i="1"/>
  <c r="P1163" i="1" s="1"/>
  <c r="O1164" i="1"/>
  <c r="P1164" i="1" s="1"/>
  <c r="O1162" i="1"/>
  <c r="P1162" i="1" s="1"/>
  <c r="O1118" i="1"/>
  <c r="P1118" i="1" s="1"/>
  <c r="O1120" i="1"/>
  <c r="P1120" i="1" s="1"/>
  <c r="O1121" i="1"/>
  <c r="P1121" i="1" s="1"/>
  <c r="O1119" i="1"/>
  <c r="P1119" i="1" s="1"/>
  <c r="O1122" i="1"/>
  <c r="P1122" i="1" s="1"/>
  <c r="O427" i="1"/>
  <c r="P427" i="1" s="1"/>
  <c r="O428" i="1"/>
  <c r="P428" i="1" s="1"/>
  <c r="O429" i="1"/>
  <c r="P429" i="1" s="1"/>
  <c r="O430" i="1"/>
  <c r="P430" i="1" s="1"/>
  <c r="O672" i="1"/>
  <c r="P672" i="1" s="1"/>
  <c r="O673" i="1"/>
  <c r="P673" i="1" s="1"/>
  <c r="O671" i="1"/>
  <c r="P671" i="1" s="1"/>
  <c r="O674" i="1"/>
  <c r="P674" i="1" s="1"/>
  <c r="O670" i="1"/>
  <c r="P670" i="1" s="1"/>
  <c r="O1237" i="1"/>
  <c r="P1237" i="1" s="1"/>
  <c r="O1236" i="1"/>
  <c r="P1236" i="1" s="1"/>
  <c r="O1238" i="1"/>
  <c r="P1238" i="1" s="1"/>
  <c r="O1239" i="1"/>
  <c r="P1239" i="1" s="1"/>
  <c r="O1010" i="1"/>
  <c r="P1010" i="1" s="1"/>
  <c r="O1012" i="1"/>
  <c r="P1012" i="1" s="1"/>
  <c r="O1013" i="1"/>
  <c r="P1013" i="1" s="1"/>
  <c r="O1011" i="1"/>
  <c r="P1011" i="1" s="1"/>
  <c r="O378" i="1"/>
  <c r="P378" i="1" s="1"/>
  <c r="O377" i="1"/>
  <c r="P377" i="1" s="1"/>
  <c r="O376" i="1"/>
  <c r="P376" i="1" s="1"/>
  <c r="O375" i="1"/>
  <c r="P375" i="1" s="1"/>
  <c r="O936" i="1"/>
  <c r="P936" i="1" s="1"/>
  <c r="O938" i="1"/>
  <c r="P938" i="1" s="1"/>
  <c r="O939" i="1"/>
  <c r="P939" i="1" s="1"/>
  <c r="O937" i="1"/>
  <c r="P937" i="1" s="1"/>
  <c r="O896" i="1"/>
  <c r="P896" i="1" s="1"/>
  <c r="O895" i="1"/>
  <c r="P895" i="1" s="1"/>
  <c r="O892" i="1"/>
  <c r="P892" i="1" s="1"/>
  <c r="O893" i="1"/>
  <c r="P893" i="1" s="1"/>
  <c r="O894" i="1"/>
  <c r="P894" i="1" s="1"/>
  <c r="O1080" i="1"/>
  <c r="P1080" i="1" s="1"/>
  <c r="O1081" i="1"/>
  <c r="P1081" i="1" s="1"/>
  <c r="O1079" i="1"/>
  <c r="P1079" i="1" s="1"/>
  <c r="O1082" i="1"/>
  <c r="P1082" i="1" s="1"/>
  <c r="O926" i="1"/>
  <c r="P926" i="1" s="1"/>
  <c r="O924" i="1"/>
  <c r="P924" i="1" s="1"/>
  <c r="O923" i="1"/>
  <c r="P923" i="1" s="1"/>
  <c r="O922" i="1"/>
  <c r="P922" i="1" s="1"/>
  <c r="O925" i="1"/>
  <c r="O991" i="1"/>
  <c r="P991" i="1" s="1"/>
  <c r="O990" i="1"/>
  <c r="P990" i="1" s="1"/>
  <c r="O988" i="1"/>
  <c r="P988" i="1" s="1"/>
  <c r="O989" i="1"/>
  <c r="P989" i="1" s="1"/>
  <c r="O1284" i="1"/>
  <c r="P1284" i="1" s="1"/>
  <c r="O1286" i="1"/>
  <c r="P1286" i="1" s="1"/>
  <c r="O1285" i="1"/>
  <c r="P1285" i="1" s="1"/>
  <c r="O1287" i="1"/>
  <c r="P1287" i="1" s="1"/>
  <c r="O1283" i="1"/>
  <c r="P1283" i="1" s="1"/>
  <c r="O349" i="1"/>
  <c r="P349" i="1" s="1"/>
  <c r="O350" i="1"/>
  <c r="P350" i="1" s="1"/>
  <c r="O351" i="1"/>
  <c r="P351" i="1" s="1"/>
  <c r="O352" i="1"/>
  <c r="P352" i="1" s="1"/>
  <c r="O1245" i="1"/>
  <c r="P1245" i="1" s="1"/>
  <c r="O1244" i="1"/>
  <c r="P1244" i="1" s="1"/>
  <c r="O1247" i="1"/>
  <c r="P1247" i="1" s="1"/>
  <c r="O1246" i="1"/>
  <c r="P1246" i="1" s="1"/>
  <c r="O1248" i="1"/>
  <c r="P1248" i="1" s="1"/>
  <c r="O718" i="1"/>
  <c r="P718" i="1" s="1"/>
  <c r="O719" i="1"/>
  <c r="P719" i="1" s="1"/>
  <c r="O721" i="1"/>
  <c r="P721" i="1" s="1"/>
  <c r="O720" i="1"/>
  <c r="P720" i="1" s="1"/>
  <c r="O588" i="1"/>
  <c r="P588" i="1" s="1"/>
  <c r="O591" i="1"/>
  <c r="P591" i="1" s="1"/>
  <c r="O589" i="1"/>
  <c r="P589" i="1" s="1"/>
  <c r="O590" i="1"/>
  <c r="P590" i="1" s="1"/>
  <c r="O1219" i="1"/>
  <c r="P1219" i="1" s="1"/>
  <c r="O1220" i="1"/>
  <c r="P1220" i="1" s="1"/>
  <c r="O1221" i="1"/>
  <c r="P1221" i="1" s="1"/>
  <c r="O1218" i="1"/>
  <c r="P1218" i="1" s="1"/>
  <c r="O1222" i="1"/>
  <c r="P1222" i="1" s="1"/>
  <c r="O706" i="1"/>
  <c r="O705" i="1"/>
  <c r="P705" i="1" s="1"/>
  <c r="O707" i="1"/>
  <c r="P707" i="1" s="1"/>
  <c r="O708" i="1"/>
  <c r="P708" i="1" s="1"/>
  <c r="O810" i="1"/>
  <c r="P810" i="1" s="1"/>
  <c r="O813" i="1"/>
  <c r="P813" i="1" s="1"/>
  <c r="O812" i="1"/>
  <c r="P812" i="1" s="1"/>
  <c r="O811" i="1"/>
  <c r="P811" i="1" s="1"/>
  <c r="O1183" i="1"/>
  <c r="P1183" i="1" s="1"/>
  <c r="O1184" i="1"/>
  <c r="P1184" i="1" s="1"/>
  <c r="O1187" i="1"/>
  <c r="P1187" i="1" s="1"/>
  <c r="O1186" i="1"/>
  <c r="P1186" i="1" s="1"/>
  <c r="O1185" i="1"/>
  <c r="P1185" i="1" s="1"/>
  <c r="O681" i="1"/>
  <c r="P681" i="1" s="1"/>
  <c r="O682" i="1"/>
  <c r="P682" i="1" s="1"/>
  <c r="O680" i="1"/>
  <c r="P680" i="1" s="1"/>
  <c r="O679" i="1"/>
  <c r="O984" i="1"/>
  <c r="P984" i="1" s="1"/>
  <c r="O983" i="1"/>
  <c r="P983" i="1" s="1"/>
  <c r="O985" i="1"/>
  <c r="P985" i="1" s="1"/>
  <c r="O987" i="1"/>
  <c r="P987" i="1" s="1"/>
  <c r="O986" i="1"/>
  <c r="P986" i="1" s="1"/>
  <c r="O1088" i="1"/>
  <c r="P1088" i="1" s="1"/>
  <c r="O1091" i="1"/>
  <c r="P1091" i="1" s="1"/>
  <c r="O1089" i="1"/>
  <c r="P1089" i="1" s="1"/>
  <c r="O1090" i="1"/>
  <c r="P1090" i="1" s="1"/>
  <c r="O323" i="1"/>
  <c r="P323" i="1" s="1"/>
  <c r="O324" i="1"/>
  <c r="P324" i="1" s="1"/>
  <c r="O325" i="1"/>
  <c r="P325" i="1" s="1"/>
  <c r="O326" i="1"/>
  <c r="P326" i="1" s="1"/>
  <c r="O67" i="1"/>
  <c r="P67" i="1" s="1"/>
  <c r="O68" i="1"/>
  <c r="P68" i="1" s="1"/>
  <c r="O66" i="1"/>
  <c r="P66" i="1" s="1"/>
  <c r="O69" i="1"/>
  <c r="P69" i="1" s="1"/>
  <c r="O655" i="1"/>
  <c r="P655" i="1" s="1"/>
  <c r="O653" i="1"/>
  <c r="P653" i="1" s="1"/>
  <c r="O656" i="1"/>
  <c r="P656" i="1" s="1"/>
  <c r="O654" i="1"/>
  <c r="P654" i="1" s="1"/>
  <c r="O1241" i="1"/>
  <c r="P1241" i="1" s="1"/>
  <c r="O1243" i="1"/>
  <c r="P1243" i="1" s="1"/>
  <c r="O1240" i="1"/>
  <c r="P1240" i="1" s="1"/>
  <c r="O1242" i="1"/>
  <c r="P1242" i="1" s="1"/>
  <c r="O927" i="1"/>
  <c r="P927" i="1" s="1"/>
  <c r="O928" i="1"/>
  <c r="P928" i="1" s="1"/>
  <c r="O930" i="1"/>
  <c r="P930" i="1" s="1"/>
  <c r="O929" i="1"/>
  <c r="P929" i="1" s="1"/>
  <c r="O1305" i="1"/>
  <c r="P1305" i="1" s="1"/>
  <c r="O1308" i="1"/>
  <c r="P1308" i="1" s="1"/>
  <c r="O1306" i="1"/>
  <c r="O1307" i="1"/>
  <c r="P1307" i="1" s="1"/>
  <c r="O1309" i="1"/>
  <c r="P1309" i="1" s="1"/>
  <c r="O1144" i="1"/>
  <c r="P1144" i="1" s="1"/>
  <c r="O1146" i="1"/>
  <c r="P1146" i="1" s="1"/>
  <c r="O1145" i="1"/>
  <c r="P1145" i="1" s="1"/>
  <c r="O1147" i="1"/>
  <c r="P1147" i="1" s="1"/>
  <c r="O1148" i="1"/>
  <c r="P1148" i="1" s="1"/>
  <c r="O629" i="1"/>
  <c r="P629" i="1" s="1"/>
  <c r="O628" i="1"/>
  <c r="P628" i="1" s="1"/>
  <c r="O627" i="1"/>
  <c r="P627" i="1" s="1"/>
  <c r="O630" i="1"/>
  <c r="P630" i="1" s="1"/>
  <c r="O1109" i="1"/>
  <c r="P1109" i="1" s="1"/>
  <c r="O1108" i="1"/>
  <c r="P1108" i="1" s="1"/>
  <c r="O1107" i="1"/>
  <c r="P1107" i="1" s="1"/>
  <c r="O1105" i="1"/>
  <c r="P1105" i="1" s="1"/>
  <c r="O1106" i="1"/>
  <c r="P1106" i="1" s="1"/>
  <c r="O995" i="1"/>
  <c r="P995" i="1" s="1"/>
  <c r="O992" i="1"/>
  <c r="P992" i="1" s="1"/>
  <c r="O993" i="1"/>
  <c r="P993" i="1" s="1"/>
  <c r="O996" i="1"/>
  <c r="P996" i="1" s="1"/>
  <c r="O994" i="1"/>
  <c r="P994" i="1" s="1"/>
  <c r="O1231" i="1"/>
  <c r="P1231" i="1" s="1"/>
  <c r="O1232" i="1"/>
  <c r="P1232" i="1" s="1"/>
  <c r="O1233" i="1"/>
  <c r="P1233" i="1" s="1"/>
  <c r="O1235" i="1"/>
  <c r="P1235" i="1" s="1"/>
  <c r="O1234" i="1"/>
  <c r="P1234" i="1" s="1"/>
  <c r="O867" i="1"/>
  <c r="P867" i="1" s="1"/>
  <c r="O866" i="1"/>
  <c r="P866" i="1" s="1"/>
  <c r="O869" i="1"/>
  <c r="P869" i="1" s="1"/>
  <c r="O868" i="1"/>
  <c r="P868" i="1" s="1"/>
  <c r="O27" i="1"/>
  <c r="P27" i="1" s="1"/>
  <c r="O30" i="1"/>
  <c r="P30" i="1" s="1"/>
  <c r="O29" i="1"/>
  <c r="P29" i="1" s="1"/>
  <c r="O28" i="1"/>
  <c r="P28" i="1" s="1"/>
  <c r="O1115" i="1"/>
  <c r="P1115" i="1" s="1"/>
  <c r="O1117" i="1"/>
  <c r="P1117" i="1" s="1"/>
  <c r="O1116" i="1"/>
  <c r="P1116" i="1" s="1"/>
  <c r="O1114" i="1"/>
  <c r="P1114" i="1" s="1"/>
  <c r="O244" i="1"/>
  <c r="P244" i="1" s="1"/>
  <c r="O248" i="1"/>
  <c r="P248" i="1" s="1"/>
  <c r="O246" i="1"/>
  <c r="P246" i="1" s="1"/>
  <c r="O245" i="1"/>
  <c r="P245" i="1" s="1"/>
  <c r="O247" i="1"/>
  <c r="P247" i="1" s="1"/>
  <c r="O519" i="1"/>
  <c r="P519" i="1" s="1"/>
  <c r="O521" i="1"/>
  <c r="P521" i="1" s="1"/>
  <c r="O520" i="1"/>
  <c r="P520" i="1" s="1"/>
  <c r="O518" i="1"/>
  <c r="P518" i="1" s="1"/>
  <c r="O975" i="1"/>
  <c r="P975" i="1" s="1"/>
  <c r="O977" i="1"/>
  <c r="P977" i="1" s="1"/>
  <c r="O976" i="1"/>
  <c r="P976" i="1" s="1"/>
  <c r="O978" i="1"/>
  <c r="P978" i="1" s="1"/>
  <c r="O1150" i="1"/>
  <c r="P1150" i="1" s="1"/>
  <c r="O1149" i="1"/>
  <c r="P1149" i="1" s="1"/>
  <c r="O1152" i="1"/>
  <c r="P1152" i="1" s="1"/>
  <c r="O1151" i="1"/>
  <c r="P1151" i="1" s="1"/>
  <c r="O533" i="1"/>
  <c r="P533" i="1" s="1"/>
  <c r="O531" i="1"/>
  <c r="P531" i="1" s="1"/>
  <c r="O535" i="1"/>
  <c r="P535" i="1" s="1"/>
  <c r="O534" i="1"/>
  <c r="P534" i="1" s="1"/>
  <c r="O532" i="1"/>
  <c r="P532" i="1" s="1"/>
  <c r="O782" i="1"/>
  <c r="P782" i="1" s="1"/>
  <c r="O780" i="1"/>
  <c r="P780" i="1" s="1"/>
  <c r="O779" i="1"/>
  <c r="P779" i="1" s="1"/>
  <c r="O781" i="1"/>
  <c r="P781" i="1" s="1"/>
  <c r="O815" i="1"/>
  <c r="P815" i="1" s="1"/>
  <c r="O814" i="1"/>
  <c r="P814" i="1" s="1"/>
  <c r="O816" i="1"/>
  <c r="P816" i="1" s="1"/>
  <c r="O817" i="1"/>
  <c r="P817" i="1" s="1"/>
  <c r="O16" i="1"/>
  <c r="P16" i="1" s="1"/>
  <c r="O15" i="1"/>
  <c r="P15" i="1" s="1"/>
  <c r="O17" i="1"/>
  <c r="P17" i="1" s="1"/>
  <c r="O919" i="1"/>
  <c r="P919" i="1" s="1"/>
  <c r="O918" i="1"/>
  <c r="P918" i="1" s="1"/>
  <c r="O921" i="1"/>
  <c r="P921" i="1" s="1"/>
  <c r="O920" i="1"/>
  <c r="P920" i="1" s="1"/>
  <c r="O604" i="1"/>
  <c r="P604" i="1" s="1"/>
  <c r="O601" i="1"/>
  <c r="P601" i="1" s="1"/>
  <c r="O602" i="1"/>
  <c r="P602" i="1" s="1"/>
  <c r="O603" i="1"/>
  <c r="P603" i="1" s="1"/>
  <c r="O347" i="1"/>
  <c r="P347" i="1" s="1"/>
  <c r="O348" i="1"/>
  <c r="P348" i="1" s="1"/>
  <c r="O345" i="1"/>
  <c r="P345" i="1" s="1"/>
  <c r="O344" i="1"/>
  <c r="P344" i="1" s="1"/>
  <c r="O346" i="1"/>
  <c r="P346" i="1" s="1"/>
  <c r="O935" i="1"/>
  <c r="P935" i="1" s="1"/>
  <c r="O931" i="1"/>
  <c r="P931" i="1" s="1"/>
  <c r="O933" i="1"/>
  <c r="P933" i="1" s="1"/>
  <c r="O934" i="1"/>
  <c r="O932" i="1"/>
  <c r="P932" i="1" s="1"/>
  <c r="O1100" i="1"/>
  <c r="P1100" i="1" s="1"/>
  <c r="O1097" i="1"/>
  <c r="P1097" i="1" s="1"/>
  <c r="O1098" i="1"/>
  <c r="P1098" i="1" s="1"/>
  <c r="O1099" i="1"/>
  <c r="P1099" i="1" s="1"/>
  <c r="O1096" i="1"/>
  <c r="P1096" i="1" s="1"/>
  <c r="O1322" i="1"/>
  <c r="P1322" i="1" s="1"/>
  <c r="O1320" i="1"/>
  <c r="P1320" i="1" s="1"/>
  <c r="O1321" i="1"/>
  <c r="P1321" i="1" s="1"/>
  <c r="O1319" i="1"/>
  <c r="P1319" i="1" s="1"/>
  <c r="O1318" i="1"/>
  <c r="P1318" i="1" s="1"/>
  <c r="O1169" i="1"/>
  <c r="P1169" i="1" s="1"/>
  <c r="O1167" i="1"/>
  <c r="P1167" i="1" s="1"/>
  <c r="O1168" i="1"/>
  <c r="P1168" i="1" s="1"/>
  <c r="O1166" i="1"/>
  <c r="P1166" i="1" s="1"/>
  <c r="O1028" i="1"/>
  <c r="P1028" i="1" s="1"/>
  <c r="O1030" i="1"/>
  <c r="P1030" i="1" s="1"/>
  <c r="O1029" i="1"/>
  <c r="P1029" i="1" s="1"/>
  <c r="O1027" i="1"/>
  <c r="P1027" i="1" s="1"/>
  <c r="O907" i="1"/>
  <c r="P907" i="1" s="1"/>
  <c r="O905" i="1"/>
  <c r="P905" i="1" s="1"/>
  <c r="O909" i="1"/>
  <c r="P909" i="1" s="1"/>
  <c r="O908" i="1"/>
  <c r="P908" i="1" s="1"/>
  <c r="O906" i="1"/>
  <c r="P906" i="1" s="1"/>
  <c r="O272" i="1"/>
  <c r="P272" i="1" s="1"/>
  <c r="O270" i="1"/>
  <c r="P270" i="1" s="1"/>
  <c r="O274" i="1"/>
  <c r="P274" i="1" s="1"/>
  <c r="O273" i="1"/>
  <c r="P273" i="1" s="1"/>
  <c r="O271" i="1"/>
  <c r="P271" i="1" s="1"/>
  <c r="O998" i="1"/>
  <c r="P998" i="1" s="1"/>
  <c r="O999" i="1"/>
  <c r="P999" i="1" s="1"/>
  <c r="O1000" i="1"/>
  <c r="P1000" i="1" s="1"/>
  <c r="O997" i="1"/>
  <c r="P997" i="1" s="1"/>
  <c r="O142" i="1"/>
  <c r="P142" i="1" s="1"/>
  <c r="O140" i="1"/>
  <c r="P140" i="1" s="1"/>
  <c r="O141" i="1"/>
  <c r="P141" i="1" s="1"/>
  <c r="O143" i="1"/>
  <c r="P143" i="1" s="1"/>
  <c r="O1065" i="1"/>
  <c r="P1065" i="1" s="1"/>
  <c r="O1062" i="1"/>
  <c r="P1062" i="1" s="1"/>
  <c r="O1063" i="1"/>
  <c r="P1063" i="1" s="1"/>
  <c r="O1064" i="1"/>
  <c r="P1064" i="1" s="1"/>
  <c r="O548" i="1"/>
  <c r="P548" i="1" s="1"/>
  <c r="O544" i="1"/>
  <c r="P544" i="1" s="1"/>
  <c r="O546" i="1"/>
  <c r="P546" i="1" s="1"/>
  <c r="O545" i="1"/>
  <c r="P545" i="1" s="1"/>
  <c r="O547" i="1"/>
  <c r="P547" i="1" s="1"/>
  <c r="O714" i="1"/>
  <c r="P714" i="1" s="1"/>
  <c r="O715" i="1"/>
  <c r="P715" i="1" s="1"/>
  <c r="O717" i="1"/>
  <c r="P717" i="1" s="1"/>
  <c r="O716" i="1"/>
  <c r="P716" i="1" s="1"/>
  <c r="O1092" i="1"/>
  <c r="P1092" i="1" s="1"/>
  <c r="O1094" i="1"/>
  <c r="P1094" i="1" s="1"/>
  <c r="O1093" i="1"/>
  <c r="P1093" i="1" s="1"/>
  <c r="O1095" i="1"/>
  <c r="P1095" i="1" s="1"/>
  <c r="O887" i="1"/>
  <c r="P887" i="1" s="1"/>
  <c r="O885" i="1"/>
  <c r="P885" i="1" s="1"/>
  <c r="O884" i="1"/>
  <c r="P884" i="1" s="1"/>
  <c r="O883" i="1"/>
  <c r="P883" i="1" s="1"/>
  <c r="O886" i="1"/>
  <c r="P886" i="1" s="1"/>
  <c r="O1342" i="1"/>
  <c r="P1342" i="1" s="1"/>
  <c r="O1343" i="1"/>
  <c r="P1343" i="1" s="1"/>
  <c r="O1340" i="1"/>
  <c r="P1340" i="1" s="1"/>
  <c r="O1341" i="1"/>
  <c r="P1341" i="1" s="1"/>
  <c r="O882" i="1"/>
  <c r="P882" i="1" s="1"/>
  <c r="O880" i="1"/>
  <c r="P880" i="1" s="1"/>
  <c r="O881" i="1"/>
  <c r="P881" i="1" s="1"/>
  <c r="O879" i="1"/>
  <c r="P879" i="1" s="1"/>
  <c r="O1356" i="1"/>
  <c r="P1356" i="1" s="1"/>
  <c r="O1355" i="1"/>
  <c r="P1355" i="1" s="1"/>
  <c r="O1353" i="1"/>
  <c r="P1353" i="1" s="1"/>
  <c r="O1354" i="1"/>
  <c r="P1354" i="1" s="1"/>
  <c r="O626" i="1"/>
  <c r="O624" i="1"/>
  <c r="P624" i="1" s="1"/>
  <c r="O625" i="1"/>
  <c r="P625" i="1" s="1"/>
  <c r="O623" i="1"/>
  <c r="P623" i="1" s="1"/>
  <c r="O62" i="1"/>
  <c r="P62" i="1" s="1"/>
  <c r="O65" i="1"/>
  <c r="P65" i="1" s="1"/>
  <c r="O64" i="1"/>
  <c r="P64" i="1" s="1"/>
  <c r="O63" i="1"/>
  <c r="P63" i="1" s="1"/>
  <c r="O1101" i="1"/>
  <c r="P1101" i="1" s="1"/>
  <c r="O1104" i="1"/>
  <c r="P1104" i="1" s="1"/>
  <c r="O1103" i="1"/>
  <c r="P1103" i="1" s="1"/>
  <c r="O1102" i="1"/>
  <c r="P1102" i="1" s="1"/>
  <c r="O1179" i="1"/>
  <c r="P1179" i="1" s="1"/>
  <c r="O1180" i="1"/>
  <c r="P1180" i="1" s="1"/>
  <c r="O1181" i="1"/>
  <c r="P1181" i="1" s="1"/>
  <c r="O1182" i="1"/>
  <c r="P1182" i="1" s="1"/>
  <c r="O783" i="1"/>
  <c r="P783" i="1" s="1"/>
  <c r="O785" i="1"/>
  <c r="P785" i="1" s="1"/>
  <c r="O787" i="1"/>
  <c r="P787" i="1" s="1"/>
  <c r="O784" i="1"/>
  <c r="P784" i="1" s="1"/>
  <c r="O786" i="1"/>
  <c r="P786" i="1" s="1"/>
  <c r="O549" i="1"/>
  <c r="P549" i="1" s="1"/>
  <c r="O552" i="1"/>
  <c r="P552" i="1" s="1"/>
  <c r="O550" i="1"/>
  <c r="P550" i="1" s="1"/>
  <c r="O551" i="1"/>
  <c r="P551" i="1" s="1"/>
  <c r="O1292" i="1"/>
  <c r="P1292" i="1" s="1"/>
  <c r="O1293" i="1"/>
  <c r="P1293" i="1" s="1"/>
  <c r="O1295" i="1"/>
  <c r="P1295" i="1" s="1"/>
  <c r="O1294" i="1"/>
  <c r="P1294" i="1" s="1"/>
  <c r="O419" i="1"/>
  <c r="P419" i="1" s="1"/>
  <c r="O420" i="1"/>
  <c r="P420" i="1" s="1"/>
  <c r="O421" i="1"/>
  <c r="P421" i="1" s="1"/>
  <c r="O418" i="1"/>
  <c r="P418" i="1" s="1"/>
  <c r="O422" i="1"/>
  <c r="P422" i="1" s="1"/>
  <c r="O1067" i="1"/>
  <c r="P1067" i="1" s="1"/>
  <c r="O1069" i="1"/>
  <c r="P1069" i="1" s="1"/>
  <c r="O1066" i="1"/>
  <c r="P1066" i="1" s="1"/>
  <c r="O1068" i="1"/>
  <c r="P1068" i="1" s="1"/>
  <c r="O1070" i="1"/>
  <c r="P1070" i="1" s="1"/>
  <c r="O1133" i="1"/>
  <c r="P1133" i="1" s="1"/>
  <c r="O1134" i="1"/>
  <c r="P1134" i="1" s="1"/>
  <c r="O1131" i="1"/>
  <c r="P1131" i="1" s="1"/>
  <c r="O1135" i="1"/>
  <c r="P1135" i="1" s="1"/>
  <c r="O1132" i="1"/>
  <c r="P1132" i="1" s="1"/>
  <c r="O675" i="1"/>
  <c r="P675" i="1" s="1"/>
  <c r="O677" i="1"/>
  <c r="P677" i="1" s="1"/>
  <c r="O678" i="1"/>
  <c r="P678" i="1" s="1"/>
  <c r="O676" i="1"/>
  <c r="P676" i="1" s="1"/>
  <c r="O175" i="1"/>
  <c r="P175" i="1" s="1"/>
  <c r="O178" i="1"/>
  <c r="P178" i="1" s="1"/>
  <c r="O177" i="1"/>
  <c r="P177" i="1" s="1"/>
  <c r="O176" i="1"/>
  <c r="P176" i="1" s="1"/>
  <c r="O1058" i="1"/>
  <c r="P1058" i="1" s="1"/>
  <c r="O1060" i="1"/>
  <c r="P1060" i="1" s="1"/>
  <c r="O1057" i="1"/>
  <c r="P1057" i="1" s="1"/>
  <c r="O1059" i="1"/>
  <c r="P1059" i="1" s="1"/>
  <c r="O1061" i="1"/>
  <c r="P1061" i="1" s="1"/>
  <c r="O744" i="1"/>
  <c r="P744" i="1" s="1"/>
  <c r="O746" i="1"/>
  <c r="P746" i="1" s="1"/>
  <c r="O745" i="1"/>
  <c r="P745" i="1" s="1"/>
  <c r="O748" i="1"/>
  <c r="P748" i="1" s="1"/>
  <c r="O747" i="1"/>
  <c r="P747" i="1" s="1"/>
  <c r="O1272" i="1"/>
  <c r="P1272" i="1" s="1"/>
  <c r="O1273" i="1"/>
  <c r="P1273" i="1" s="1"/>
  <c r="O1271" i="1"/>
  <c r="P1271" i="1" s="1"/>
  <c r="O1274" i="1"/>
  <c r="P1274" i="1" s="1"/>
  <c r="O1256" i="1"/>
  <c r="P1256" i="1" s="1"/>
  <c r="O1254" i="1"/>
  <c r="P1254" i="1" s="1"/>
  <c r="O1253" i="1"/>
  <c r="P1253" i="1" s="1"/>
  <c r="O1255" i="1"/>
  <c r="P1255" i="1" s="1"/>
  <c r="O1357" i="1"/>
  <c r="P1357" i="1" s="1"/>
  <c r="O1359" i="1"/>
  <c r="P1359" i="1" s="1"/>
  <c r="O1360" i="1"/>
  <c r="O1361" i="1"/>
  <c r="P1361" i="1" s="1"/>
  <c r="O1358" i="1"/>
  <c r="P1358" i="1" s="1"/>
  <c r="O1203" i="1"/>
  <c r="P1203" i="1" s="1"/>
  <c r="O1202" i="1"/>
  <c r="P1202" i="1" s="1"/>
  <c r="O1201" i="1"/>
  <c r="P1201" i="1" s="1"/>
  <c r="O1204" i="1"/>
  <c r="P1204" i="1" s="1"/>
  <c r="O1214" i="1"/>
  <c r="P1214" i="1" s="1"/>
  <c r="O1216" i="1"/>
  <c r="P1216" i="1" s="1"/>
  <c r="O1217" i="1"/>
  <c r="P1217" i="1" s="1"/>
  <c r="O1215" i="1"/>
  <c r="P1215" i="1" s="1"/>
  <c r="O903" i="1"/>
  <c r="P903" i="1" s="1"/>
  <c r="O901" i="1"/>
  <c r="P901" i="1" s="1"/>
  <c r="O902" i="1"/>
  <c r="P902" i="1" s="1"/>
  <c r="O904" i="1"/>
  <c r="P904" i="1" s="1"/>
  <c r="O267" i="1"/>
  <c r="P267" i="1" s="1"/>
  <c r="O266" i="1"/>
  <c r="O268" i="1"/>
  <c r="P268" i="1" s="1"/>
  <c r="O269" i="1"/>
  <c r="P269" i="1" s="1"/>
  <c r="O1338" i="1"/>
  <c r="P1338" i="1" s="1"/>
  <c r="O1335" i="1"/>
  <c r="P1335" i="1" s="1"/>
  <c r="O1339" i="1"/>
  <c r="P1339" i="1" s="1"/>
  <c r="O1337" i="1"/>
  <c r="P1337" i="1" s="1"/>
  <c r="O1336" i="1"/>
  <c r="P1336" i="1" s="1"/>
  <c r="O855" i="1"/>
  <c r="P855" i="1" s="1"/>
  <c r="O854" i="1"/>
  <c r="P854" i="1" s="1"/>
  <c r="O856" i="1"/>
  <c r="P856" i="1" s="1"/>
  <c r="O853" i="1"/>
  <c r="P853" i="1" s="1"/>
  <c r="O1304" i="1"/>
  <c r="P1304" i="1" s="1"/>
  <c r="O1302" i="1"/>
  <c r="P1302" i="1" s="1"/>
  <c r="O1303" i="1"/>
  <c r="P1303" i="1" s="1"/>
  <c r="O1301" i="1"/>
  <c r="P1301" i="1" s="1"/>
  <c r="O242" i="1"/>
  <c r="P242" i="1" s="1"/>
  <c r="O241" i="1"/>
  <c r="P241" i="1" s="1"/>
  <c r="O240" i="1"/>
  <c r="P240" i="1" s="1"/>
  <c r="O243" i="1"/>
  <c r="P243" i="1" s="1"/>
  <c r="O828" i="1"/>
  <c r="P828" i="1" s="1"/>
  <c r="O829" i="1"/>
  <c r="P829" i="1" s="1"/>
  <c r="O827" i="1"/>
  <c r="P827" i="1" s="1"/>
  <c r="O830" i="1"/>
  <c r="P830" i="1" s="1"/>
  <c r="O1156" i="1"/>
  <c r="P1156" i="1" s="1"/>
  <c r="O1154" i="1"/>
  <c r="P1154" i="1" s="1"/>
  <c r="O1153" i="1"/>
  <c r="P1153" i="1" s="1"/>
  <c r="O1155" i="1"/>
  <c r="P1155" i="1" s="1"/>
  <c r="O700" i="1"/>
  <c r="P700" i="1" s="1"/>
  <c r="O698" i="1"/>
  <c r="P698" i="1" s="1"/>
  <c r="O697" i="1"/>
  <c r="P697" i="1" s="1"/>
  <c r="O699" i="1"/>
  <c r="P699" i="1" s="1"/>
  <c r="O1257" i="1"/>
  <c r="P1257" i="1" s="1"/>
  <c r="O1258" i="1"/>
  <c r="P1258" i="1" s="1"/>
  <c r="O1259" i="1"/>
  <c r="P1259" i="1" s="1"/>
  <c r="O1261" i="1"/>
  <c r="P1261" i="1" s="1"/>
  <c r="O1260" i="1"/>
  <c r="P1260" i="1" s="1"/>
  <c r="P400" i="1"/>
  <c r="P125" i="1"/>
  <c r="P852" i="1"/>
  <c r="P279" i="1"/>
  <c r="P282" i="1"/>
  <c r="P695" i="1"/>
  <c r="P696" i="1"/>
  <c r="P692" i="1"/>
  <c r="P693" i="1"/>
  <c r="P694" i="1"/>
  <c r="P567" i="1"/>
  <c r="P568" i="1"/>
  <c r="P569" i="1"/>
  <c r="P566" i="1"/>
  <c r="P372" i="1"/>
  <c r="P374" i="1"/>
  <c r="P446" i="1"/>
  <c r="P447" i="1"/>
  <c r="P444" i="1"/>
  <c r="P445" i="1"/>
  <c r="P462" i="1"/>
  <c r="P463" i="1"/>
  <c r="P464" i="1"/>
  <c r="P465" i="1"/>
  <c r="P332" i="1"/>
  <c r="P334" i="1"/>
  <c r="P1366" i="1"/>
  <c r="P1367" i="1"/>
  <c r="P1369" i="1"/>
  <c r="P41" i="1"/>
  <c r="P42" i="1"/>
  <c r="P43" i="1"/>
  <c r="P40" i="1"/>
  <c r="P339" i="1"/>
  <c r="P336" i="1"/>
  <c r="P338" i="1"/>
  <c r="P197" i="1"/>
  <c r="P198" i="1"/>
  <c r="P199" i="1"/>
  <c r="P200" i="1"/>
  <c r="P196" i="1"/>
  <c r="P527" i="1"/>
  <c r="P528" i="1"/>
  <c r="P529" i="1"/>
  <c r="P530" i="1"/>
  <c r="P77" i="1"/>
  <c r="P78" i="1"/>
  <c r="P75" i="1"/>
  <c r="P788" i="1"/>
  <c r="P789" i="1"/>
  <c r="P790" i="1"/>
  <c r="P791" i="1"/>
  <c r="P305" i="1"/>
  <c r="P306" i="1"/>
  <c r="P307" i="1"/>
  <c r="P308" i="1"/>
  <c r="P35" i="1"/>
  <c r="P37" i="1"/>
  <c r="P38" i="1"/>
  <c r="P1110" i="1"/>
  <c r="P1111" i="1"/>
  <c r="P1112" i="1"/>
  <c r="P133" i="1"/>
  <c r="P132" i="1"/>
  <c r="P1306" i="1"/>
  <c r="P184" i="1"/>
  <c r="P667" i="1"/>
  <c r="P668" i="1"/>
  <c r="P669" i="1"/>
  <c r="P666" i="1"/>
  <c r="P318" i="1"/>
  <c r="P319" i="1"/>
  <c r="P320" i="1"/>
  <c r="P321" i="1"/>
  <c r="P322" i="1"/>
  <c r="P479" i="1"/>
  <c r="P480" i="1"/>
  <c r="P481" i="1"/>
  <c r="P20" i="1"/>
  <c r="P21" i="1"/>
  <c r="P22" i="1"/>
  <c r="P18" i="1"/>
  <c r="P1265" i="1"/>
  <c r="P1263" i="1"/>
  <c r="P740" i="1"/>
  <c r="P741" i="1"/>
  <c r="P742" i="1"/>
  <c r="P743" i="1"/>
  <c r="P173" i="1"/>
  <c r="P174" i="1"/>
  <c r="P647" i="1"/>
  <c r="P562" i="1"/>
  <c r="P563" i="1"/>
  <c r="P564" i="1"/>
  <c r="P565" i="1"/>
  <c r="P597" i="1"/>
  <c r="P598" i="1"/>
  <c r="P599" i="1"/>
  <c r="P600" i="1"/>
  <c r="P766" i="1"/>
  <c r="P767" i="1"/>
  <c r="P768" i="1"/>
  <c r="P769" i="1"/>
  <c r="P652" i="1"/>
  <c r="P649" i="1"/>
  <c r="P650" i="1"/>
  <c r="P651" i="1"/>
  <c r="P1086" i="1"/>
  <c r="P1087" i="1"/>
  <c r="P1083" i="1"/>
  <c r="P1084" i="1"/>
  <c r="P1085" i="1"/>
  <c r="P1250" i="1"/>
  <c r="P1251" i="1"/>
  <c r="P1252" i="1"/>
  <c r="P1249" i="1"/>
  <c r="P945" i="1"/>
  <c r="P946" i="1"/>
  <c r="P947" i="1"/>
  <c r="P392" i="1"/>
  <c r="P393" i="1"/>
  <c r="P395" i="1"/>
  <c r="P1003" i="1"/>
  <c r="P1004" i="1"/>
  <c r="P314" i="1"/>
  <c r="P315" i="1"/>
  <c r="P316" i="1"/>
  <c r="P317" i="1"/>
  <c r="P831" i="1"/>
  <c r="P832" i="1"/>
  <c r="P833" i="1"/>
  <c r="P834" i="1"/>
  <c r="P835" i="1"/>
  <c r="P560" i="1"/>
  <c r="P561" i="1"/>
  <c r="P559" i="1"/>
  <c r="P585" i="1"/>
  <c r="P587" i="1"/>
  <c r="P411" i="1"/>
  <c r="P412" i="1"/>
  <c r="P409" i="1"/>
  <c r="P410" i="1"/>
  <c r="P416" i="1"/>
  <c r="P417" i="1"/>
  <c r="P183" i="1"/>
  <c r="P179" i="1"/>
  <c r="P180" i="1"/>
  <c r="P181" i="1"/>
  <c r="P182" i="1"/>
  <c r="P155" i="1"/>
  <c r="P925" i="1"/>
  <c r="P216" i="1"/>
  <c r="P217" i="1"/>
  <c r="P796" i="1"/>
  <c r="P792" i="1"/>
  <c r="P793" i="1"/>
  <c r="P702" i="1"/>
  <c r="P703" i="1"/>
  <c r="P704" i="1"/>
  <c r="P701" i="1"/>
  <c r="P875" i="1"/>
  <c r="P876" i="1"/>
  <c r="P877" i="1"/>
  <c r="P878" i="1"/>
  <c r="P1279" i="1"/>
  <c r="P1280" i="1"/>
  <c r="P1281" i="1"/>
  <c r="P1172" i="1"/>
  <c r="P1173" i="1"/>
  <c r="P1174" i="1"/>
  <c r="P1170" i="1"/>
  <c r="P135" i="1"/>
  <c r="P136" i="1"/>
  <c r="P137" i="1"/>
  <c r="P138" i="1"/>
  <c r="P139" i="1"/>
  <c r="P1175" i="1"/>
  <c r="P626" i="1"/>
  <c r="P448" i="1"/>
  <c r="P450" i="1"/>
  <c r="P451" i="1"/>
  <c r="P127" i="1"/>
  <c r="P128" i="1"/>
  <c r="P169" i="1"/>
  <c r="P166" i="1"/>
  <c r="P167" i="1"/>
  <c r="P168" i="1"/>
  <c r="P362" i="1"/>
  <c r="P363" i="1"/>
  <c r="P365" i="1"/>
  <c r="P114" i="1"/>
  <c r="P117" i="1"/>
  <c r="P1021" i="1"/>
  <c r="P211" i="1"/>
  <c r="P212" i="1"/>
  <c r="P209" i="1"/>
  <c r="P147" i="1"/>
  <c r="P148" i="1"/>
  <c r="P144" i="1"/>
  <c r="P145" i="1"/>
  <c r="P146" i="1"/>
  <c r="P642" i="1"/>
  <c r="P643" i="1"/>
  <c r="P283" i="1"/>
  <c r="P284" i="1"/>
  <c r="P285" i="1"/>
  <c r="P286" i="1"/>
  <c r="P287" i="1"/>
  <c r="P951" i="1"/>
  <c r="P952" i="1"/>
  <c r="P949" i="1"/>
  <c r="P950" i="1"/>
  <c r="P679" i="1"/>
  <c r="P840" i="1"/>
  <c r="P841" i="1"/>
  <c r="P842" i="1"/>
  <c r="P843" i="1"/>
  <c r="P489" i="1"/>
  <c r="P490" i="1"/>
  <c r="P491" i="1"/>
  <c r="P488" i="1"/>
  <c r="P809" i="1"/>
  <c r="P805" i="1"/>
  <c r="P808" i="1"/>
  <c r="P912" i="1"/>
  <c r="P1044" i="1"/>
  <c r="P1045" i="1"/>
  <c r="P1046" i="1"/>
  <c r="P1047" i="1"/>
  <c r="P1048" i="1"/>
  <c r="P249" i="1"/>
  <c r="P251" i="1"/>
  <c r="P252" i="1"/>
  <c r="P619" i="1"/>
  <c r="P620" i="1"/>
  <c r="P621" i="1"/>
  <c r="P622" i="1"/>
  <c r="P92" i="1"/>
  <c r="P93" i="1"/>
  <c r="P94" i="1"/>
  <c r="P95" i="1"/>
  <c r="P639" i="1"/>
  <c r="P636" i="1"/>
  <c r="P637" i="1"/>
  <c r="P475" i="1"/>
  <c r="P476" i="1"/>
  <c r="P477" i="1"/>
  <c r="P478" i="1"/>
  <c r="P684" i="1"/>
  <c r="P1188" i="1"/>
  <c r="P1189" i="1"/>
  <c r="P1190" i="1"/>
  <c r="P1191" i="1"/>
  <c r="P1072" i="1"/>
  <c r="P1073" i="1"/>
  <c r="P1074" i="1"/>
  <c r="P1071" i="1"/>
  <c r="P1140" i="1"/>
  <c r="P1141" i="1"/>
  <c r="P1142" i="1"/>
  <c r="P1036" i="1"/>
  <c r="P1037" i="1"/>
  <c r="P1038" i="1"/>
  <c r="P1039" i="1"/>
  <c r="P1349" i="1"/>
  <c r="P1350" i="1"/>
  <c r="P1351" i="1"/>
  <c r="P1352" i="1"/>
  <c r="P723" i="1"/>
  <c r="P724" i="1"/>
  <c r="P725" i="1"/>
  <c r="P726" i="1"/>
  <c r="P722" i="1"/>
  <c r="P1275" i="1"/>
  <c r="P1276" i="1"/>
  <c r="P1277" i="1"/>
  <c r="P759" i="1"/>
  <c r="P761" i="1"/>
  <c r="P758" i="1"/>
  <c r="P706" i="1"/>
  <c r="P112" i="1"/>
  <c r="P113" i="1"/>
  <c r="P109" i="1"/>
  <c r="P110" i="1"/>
  <c r="P111" i="1"/>
  <c r="P83" i="1"/>
  <c r="P610" i="1"/>
  <c r="P611" i="1"/>
  <c r="P612" i="1"/>
  <c r="P613" i="1"/>
  <c r="P609" i="1"/>
  <c r="P539" i="1"/>
  <c r="P536" i="1"/>
  <c r="P537" i="1"/>
  <c r="P538" i="1"/>
  <c r="P972" i="1"/>
  <c r="P973" i="1"/>
  <c r="P974" i="1"/>
  <c r="P971" i="1"/>
  <c r="P354" i="1"/>
  <c r="P355" i="1"/>
  <c r="P356" i="1"/>
  <c r="P353" i="1"/>
  <c r="P1040" i="1"/>
  <c r="P617" i="1"/>
  <c r="P614" i="1"/>
  <c r="P615" i="1"/>
  <c r="P616" i="1"/>
  <c r="P762" i="1"/>
  <c r="P763" i="1"/>
  <c r="P764" i="1"/>
  <c r="P425" i="1"/>
  <c r="P426" i="1"/>
  <c r="P423" i="1"/>
  <c r="P424" i="1"/>
  <c r="P581" i="1"/>
  <c r="P582" i="1"/>
  <c r="P583" i="1"/>
  <c r="P579" i="1"/>
  <c r="P580" i="1"/>
  <c r="P965" i="1"/>
  <c r="P962" i="1"/>
  <c r="P261" i="1"/>
  <c r="P257" i="1"/>
  <c r="P258" i="1"/>
  <c r="P259" i="1"/>
  <c r="P260" i="1"/>
  <c r="P1299" i="1"/>
  <c r="P1300" i="1"/>
  <c r="P1296" i="1"/>
  <c r="P1297" i="1"/>
  <c r="P1298" i="1"/>
  <c r="P979" i="1"/>
  <c r="P980" i="1"/>
  <c r="P981" i="1"/>
  <c r="P982" i="1"/>
  <c r="P23" i="1"/>
  <c r="P24" i="1"/>
  <c r="P25" i="1"/>
  <c r="P26" i="1"/>
  <c r="P1157" i="1"/>
  <c r="P1158" i="1"/>
  <c r="P1159" i="1"/>
  <c r="P1160" i="1"/>
  <c r="P1161" i="1"/>
  <c r="P1123" i="1"/>
  <c r="P1124" i="1"/>
  <c r="P220" i="1"/>
  <c r="P1210" i="1"/>
  <c r="P492" i="1"/>
  <c r="P494" i="1"/>
  <c r="P495" i="1"/>
  <c r="P773" i="1"/>
  <c r="P774" i="1"/>
  <c r="P770" i="1"/>
  <c r="P771" i="1"/>
  <c r="P772" i="1"/>
  <c r="P873" i="1"/>
  <c r="P874" i="1"/>
  <c r="P870" i="1"/>
  <c r="P871" i="1"/>
  <c r="P872" i="1"/>
  <c r="P295" i="1"/>
  <c r="P304" i="1"/>
  <c r="P301" i="1"/>
  <c r="P302" i="1"/>
  <c r="P303" i="1"/>
  <c r="P340" i="1"/>
  <c r="P341" i="1"/>
  <c r="P342" i="1"/>
  <c r="P343" i="1"/>
  <c r="P239" i="1"/>
  <c r="P728" i="1"/>
  <c r="P1314" i="1"/>
  <c r="P1315" i="1"/>
  <c r="P1316" i="1"/>
  <c r="P1317" i="1"/>
  <c r="P391" i="1"/>
  <c r="P404" i="1"/>
  <c r="P105" i="1"/>
  <c r="P106" i="1"/>
  <c r="P460" i="1"/>
  <c r="P461" i="1"/>
  <c r="P457" i="1"/>
  <c r="P458" i="1"/>
  <c r="P459" i="1"/>
  <c r="P384" i="1"/>
  <c r="P385" i="1"/>
  <c r="P386" i="1"/>
  <c r="P838" i="1"/>
  <c r="P839" i="1"/>
  <c r="P836" i="1"/>
  <c r="P432" i="1"/>
  <c r="P434" i="1"/>
  <c r="P431" i="1"/>
  <c r="P1136" i="1"/>
  <c r="P1138" i="1"/>
  <c r="P1139" i="1"/>
  <c r="P595" i="1"/>
  <c r="P593" i="1"/>
  <c r="P233" i="1"/>
  <c r="P234" i="1"/>
  <c r="P235" i="1"/>
  <c r="P231" i="1"/>
  <c r="P232" i="1"/>
  <c r="P1208" i="1"/>
  <c r="P1206" i="1"/>
  <c r="P483" i="1"/>
  <c r="P486" i="1"/>
  <c r="P487" i="1"/>
  <c r="P897" i="1"/>
  <c r="P898" i="1"/>
  <c r="P899" i="1"/>
  <c r="P900" i="1"/>
  <c r="P80" i="1"/>
  <c r="P82" i="1"/>
  <c r="P862" i="1"/>
  <c r="P863" i="1"/>
  <c r="P864" i="1"/>
  <c r="P865" i="1"/>
  <c r="P934" i="1"/>
  <c r="P204" i="1"/>
  <c r="P201" i="1"/>
  <c r="P202" i="1"/>
  <c r="P203" i="1"/>
  <c r="P264" i="1"/>
  <c r="P1015" i="1"/>
  <c r="P1016" i="1"/>
  <c r="P1017" i="1"/>
  <c r="P1014" i="1"/>
  <c r="P542" i="1"/>
  <c r="P543" i="1"/>
  <c r="P517" i="1"/>
  <c r="P514" i="1"/>
  <c r="P515" i="1"/>
  <c r="P516" i="1"/>
  <c r="P1228" i="1"/>
  <c r="P753" i="1"/>
  <c r="P754" i="1"/>
  <c r="P940" i="1"/>
  <c r="P941" i="1"/>
  <c r="P942" i="1"/>
  <c r="P943" i="1"/>
  <c r="P290" i="1"/>
  <c r="P291" i="1"/>
  <c r="P288" i="1"/>
  <c r="P289" i="1"/>
  <c r="P1051" i="1"/>
  <c r="P1052" i="1"/>
  <c r="P1050" i="1"/>
  <c r="P275" i="1"/>
  <c r="P276" i="1"/>
  <c r="P277" i="1"/>
  <c r="P278" i="1"/>
  <c r="P663" i="1"/>
  <c r="P664" i="1"/>
  <c r="P361" i="1"/>
  <c r="P357" i="1"/>
  <c r="P358" i="1"/>
  <c r="P359" i="1"/>
  <c r="P360" i="1"/>
  <c r="P1053" i="1"/>
  <c r="P966" i="1"/>
  <c r="P967" i="1"/>
  <c r="P968" i="1"/>
  <c r="P969" i="1"/>
  <c r="P844" i="1"/>
  <c r="P845" i="1"/>
  <c r="P846" i="1"/>
  <c r="P847" i="1"/>
  <c r="P848" i="1"/>
  <c r="P859" i="1"/>
  <c r="P860" i="1"/>
  <c r="P857" i="1"/>
  <c r="P858" i="1"/>
  <c r="P1360" i="1"/>
  <c r="P1344" i="1"/>
  <c r="P1345" i="1"/>
  <c r="P1348" i="1"/>
  <c r="P57" i="1"/>
  <c r="P58" i="1"/>
  <c r="P59" i="1"/>
  <c r="P60" i="1"/>
  <c r="P61" i="1"/>
  <c r="P738" i="1"/>
  <c r="P739" i="1"/>
  <c r="P736" i="1"/>
  <c r="P737" i="1"/>
  <c r="P205" i="1"/>
  <c r="P266" i="1"/>
  <c r="P572" i="1"/>
  <c r="P157" i="1"/>
  <c r="P159" i="1"/>
  <c r="P160" i="1"/>
  <c r="P1328" i="1"/>
  <c r="P1329" i="1"/>
  <c r="P1330" i="1"/>
  <c r="P1327" i="1"/>
  <c r="P632" i="1"/>
  <c r="P510" i="1"/>
  <c r="P511" i="1"/>
  <c r="P512" i="1"/>
  <c r="P513" i="1"/>
  <c r="P509" i="1"/>
  <c r="P553" i="1"/>
  <c r="P554" i="1"/>
  <c r="P556" i="1"/>
  <c r="P405" i="1"/>
  <c r="P406" i="1"/>
  <c r="P407" i="1"/>
  <c r="P408" i="1"/>
  <c r="P48" i="1"/>
  <c r="P44" i="1"/>
  <c r="P45" i="1"/>
  <c r="P46" i="1"/>
  <c r="P47" i="1"/>
  <c r="P1371" i="1"/>
  <c r="P1372" i="1"/>
  <c r="P1373" i="1"/>
  <c r="P1374" i="1"/>
  <c r="P1370" i="1"/>
  <c r="P1377" i="1"/>
  <c r="R332" i="29"/>
  <c r="S332" i="29" s="1"/>
  <c r="R331" i="29"/>
  <c r="S331" i="29" s="1"/>
  <c r="R330" i="29"/>
  <c r="S330" i="29" s="1"/>
  <c r="R329" i="29"/>
  <c r="S329" i="29" s="1"/>
  <c r="R328" i="29"/>
  <c r="S328" i="29" s="1"/>
  <c r="R327" i="29"/>
  <c r="S327" i="29" s="1"/>
  <c r="R326" i="29"/>
  <c r="R325" i="29"/>
  <c r="S325" i="29" s="1"/>
  <c r="R324" i="29"/>
  <c r="R323" i="29"/>
  <c r="K323" i="29"/>
  <c r="R322" i="29"/>
  <c r="M322" i="29"/>
  <c r="K322" i="29"/>
  <c r="I322" i="29"/>
  <c r="H322" i="29"/>
  <c r="G322" i="29"/>
  <c r="C322" i="29"/>
  <c r="R321" i="29"/>
  <c r="O321" i="29"/>
  <c r="M321" i="29"/>
  <c r="K321" i="29"/>
  <c r="I321" i="29"/>
  <c r="H321" i="29"/>
  <c r="G321" i="29"/>
  <c r="C321" i="29"/>
  <c r="R320" i="29"/>
  <c r="O320" i="29"/>
  <c r="M320" i="29"/>
  <c r="K320" i="29"/>
  <c r="I320" i="29"/>
  <c r="H320" i="29"/>
  <c r="G320" i="29"/>
  <c r="C320" i="29"/>
  <c r="R319" i="29"/>
  <c r="O319" i="29"/>
  <c r="M319" i="29"/>
  <c r="K319" i="29"/>
  <c r="I319" i="29"/>
  <c r="H319" i="29"/>
  <c r="G319" i="29"/>
  <c r="E319" i="29"/>
  <c r="D319" i="29"/>
  <c r="C319" i="29"/>
  <c r="R318" i="29"/>
  <c r="O318" i="29"/>
  <c r="M318" i="29"/>
  <c r="K318" i="29"/>
  <c r="I318" i="29"/>
  <c r="H318" i="29"/>
  <c r="G318" i="29"/>
  <c r="E318" i="29"/>
  <c r="D318" i="29"/>
  <c r="C318" i="29"/>
  <c r="R317" i="29"/>
  <c r="O317" i="29"/>
  <c r="M317" i="29"/>
  <c r="K317" i="29"/>
  <c r="I317" i="29"/>
  <c r="H317" i="29"/>
  <c r="G317" i="29"/>
  <c r="E317" i="29"/>
  <c r="D317" i="29"/>
  <c r="C317" i="29"/>
  <c r="R316" i="29"/>
  <c r="O316" i="29"/>
  <c r="M316" i="29"/>
  <c r="K316" i="29"/>
  <c r="I316" i="29"/>
  <c r="H316" i="29"/>
  <c r="G316" i="29"/>
  <c r="E316" i="29"/>
  <c r="D316" i="29"/>
  <c r="C316" i="29"/>
  <c r="R315" i="29"/>
  <c r="S315" i="29" s="1"/>
  <c r="O315" i="29"/>
  <c r="M315" i="29"/>
  <c r="K315" i="29"/>
  <c r="I315" i="29"/>
  <c r="H315" i="29"/>
  <c r="G315" i="29"/>
  <c r="E315" i="29"/>
  <c r="D315" i="29"/>
  <c r="C315" i="29"/>
  <c r="R314" i="29"/>
  <c r="O314" i="29"/>
  <c r="M314" i="29"/>
  <c r="K314" i="29"/>
  <c r="I314" i="29"/>
  <c r="H314" i="29"/>
  <c r="G314" i="29"/>
  <c r="E314" i="29"/>
  <c r="D314" i="29"/>
  <c r="C314" i="29"/>
  <c r="R313" i="29"/>
  <c r="O313" i="29"/>
  <c r="M313" i="29"/>
  <c r="K313" i="29"/>
  <c r="I313" i="29"/>
  <c r="H313" i="29"/>
  <c r="G313" i="29"/>
  <c r="E313" i="29"/>
  <c r="D313" i="29"/>
  <c r="C313" i="29"/>
  <c r="R312" i="29"/>
  <c r="O312" i="29"/>
  <c r="M312" i="29"/>
  <c r="K312" i="29"/>
  <c r="I312" i="29"/>
  <c r="H312" i="29"/>
  <c r="G312" i="29"/>
  <c r="E312" i="29"/>
  <c r="D312" i="29"/>
  <c r="C312" i="29"/>
  <c r="R311" i="29"/>
  <c r="O311" i="29"/>
  <c r="M311" i="29"/>
  <c r="K311" i="29"/>
  <c r="I311" i="29"/>
  <c r="H311" i="29"/>
  <c r="G311" i="29"/>
  <c r="E311" i="29"/>
  <c r="D311" i="29"/>
  <c r="C311" i="29"/>
  <c r="R310" i="29"/>
  <c r="O310" i="29"/>
  <c r="M310" i="29"/>
  <c r="K310" i="29"/>
  <c r="I310" i="29"/>
  <c r="H310" i="29"/>
  <c r="G310" i="29"/>
  <c r="E310" i="29"/>
  <c r="D310" i="29"/>
  <c r="C310" i="29"/>
  <c r="R309" i="29"/>
  <c r="O309" i="29"/>
  <c r="M309" i="29"/>
  <c r="K309" i="29"/>
  <c r="I309" i="29"/>
  <c r="H309" i="29"/>
  <c r="G309" i="29"/>
  <c r="E309" i="29"/>
  <c r="D309" i="29"/>
  <c r="C309" i="29"/>
  <c r="R308" i="29"/>
  <c r="O308" i="29"/>
  <c r="M308" i="29"/>
  <c r="K308" i="29"/>
  <c r="I308" i="29"/>
  <c r="H308" i="29"/>
  <c r="G308" i="29"/>
  <c r="E308" i="29"/>
  <c r="D308" i="29"/>
  <c r="C308" i="29"/>
  <c r="R307" i="29"/>
  <c r="O307" i="29"/>
  <c r="M307" i="29"/>
  <c r="K307" i="29"/>
  <c r="I307" i="29"/>
  <c r="H307" i="29"/>
  <c r="G307" i="29"/>
  <c r="E307" i="29"/>
  <c r="D307" i="29"/>
  <c r="C307" i="29"/>
  <c r="R306" i="29"/>
  <c r="O306" i="29"/>
  <c r="M306" i="29"/>
  <c r="K306" i="29"/>
  <c r="I306" i="29"/>
  <c r="H306" i="29"/>
  <c r="G306" i="29"/>
  <c r="E306" i="29"/>
  <c r="D306" i="29"/>
  <c r="C306" i="29"/>
  <c r="R305" i="29"/>
  <c r="O305" i="29"/>
  <c r="M305" i="29"/>
  <c r="K305" i="29"/>
  <c r="I305" i="29"/>
  <c r="H305" i="29"/>
  <c r="G305" i="29"/>
  <c r="E305" i="29"/>
  <c r="D305" i="29"/>
  <c r="C305" i="29"/>
  <c r="R304" i="29"/>
  <c r="O304" i="29"/>
  <c r="M304" i="29"/>
  <c r="K304" i="29"/>
  <c r="I304" i="29"/>
  <c r="H304" i="29"/>
  <c r="G304" i="29"/>
  <c r="E304" i="29"/>
  <c r="D304" i="29"/>
  <c r="C304" i="29"/>
  <c r="R303" i="29"/>
  <c r="O303" i="29"/>
  <c r="M303" i="29"/>
  <c r="K303" i="29"/>
  <c r="I303" i="29"/>
  <c r="H303" i="29"/>
  <c r="G303" i="29"/>
  <c r="E303" i="29"/>
  <c r="D303" i="29"/>
  <c r="C303" i="29"/>
  <c r="R302" i="29"/>
  <c r="O302" i="29"/>
  <c r="M302" i="29"/>
  <c r="K302" i="29"/>
  <c r="I302" i="29"/>
  <c r="H302" i="29"/>
  <c r="G302" i="29"/>
  <c r="E302" i="29"/>
  <c r="D302" i="29"/>
  <c r="C302" i="29"/>
  <c r="R301" i="29"/>
  <c r="O301" i="29"/>
  <c r="M301" i="29"/>
  <c r="K301" i="29"/>
  <c r="I301" i="29"/>
  <c r="H301" i="29"/>
  <c r="G301" i="29"/>
  <c r="E301" i="29"/>
  <c r="D301" i="29"/>
  <c r="C301" i="29"/>
  <c r="R300" i="29"/>
  <c r="O300" i="29"/>
  <c r="M300" i="29"/>
  <c r="K300" i="29"/>
  <c r="I300" i="29"/>
  <c r="H300" i="29"/>
  <c r="G300" i="29"/>
  <c r="E300" i="29"/>
  <c r="D300" i="29"/>
  <c r="C300" i="29"/>
  <c r="R299" i="29"/>
  <c r="O299" i="29"/>
  <c r="M299" i="29"/>
  <c r="K299" i="29"/>
  <c r="I299" i="29"/>
  <c r="H299" i="29"/>
  <c r="G299" i="29"/>
  <c r="E299" i="29"/>
  <c r="D299" i="29"/>
  <c r="C299" i="29"/>
  <c r="R298" i="29"/>
  <c r="O298" i="29"/>
  <c r="M298" i="29"/>
  <c r="K298" i="29"/>
  <c r="I298" i="29"/>
  <c r="H298" i="29"/>
  <c r="G298" i="29"/>
  <c r="E298" i="29"/>
  <c r="D298" i="29"/>
  <c r="C298" i="29"/>
  <c r="R297" i="29"/>
  <c r="O297" i="29"/>
  <c r="M297" i="29"/>
  <c r="K297" i="29"/>
  <c r="I297" i="29"/>
  <c r="H297" i="29"/>
  <c r="G297" i="29"/>
  <c r="E297" i="29"/>
  <c r="D297" i="29"/>
  <c r="C297" i="29"/>
  <c r="R296" i="29"/>
  <c r="O296" i="29"/>
  <c r="M296" i="29"/>
  <c r="K296" i="29"/>
  <c r="I296" i="29"/>
  <c r="H296" i="29"/>
  <c r="G296" i="29"/>
  <c r="E296" i="29"/>
  <c r="D296" i="29"/>
  <c r="C296" i="29"/>
  <c r="R295" i="29"/>
  <c r="O295" i="29"/>
  <c r="M295" i="29"/>
  <c r="K295" i="29"/>
  <c r="I295" i="29"/>
  <c r="H295" i="29"/>
  <c r="G295" i="29"/>
  <c r="E295" i="29"/>
  <c r="D295" i="29"/>
  <c r="C295" i="29"/>
  <c r="R294" i="29"/>
  <c r="O294" i="29"/>
  <c r="M294" i="29"/>
  <c r="K294" i="29"/>
  <c r="I294" i="29"/>
  <c r="H294" i="29"/>
  <c r="G294" i="29"/>
  <c r="E294" i="29"/>
  <c r="D294" i="29"/>
  <c r="C294" i="29"/>
  <c r="R293" i="29"/>
  <c r="O293" i="29"/>
  <c r="M293" i="29"/>
  <c r="K293" i="29"/>
  <c r="I293" i="29"/>
  <c r="H293" i="29"/>
  <c r="G293" i="29"/>
  <c r="E293" i="29"/>
  <c r="D293" i="29"/>
  <c r="C293" i="29"/>
  <c r="R292" i="29"/>
  <c r="O292" i="29"/>
  <c r="M292" i="29"/>
  <c r="K292" i="29"/>
  <c r="I292" i="29"/>
  <c r="H292" i="29"/>
  <c r="G292" i="29"/>
  <c r="E292" i="29"/>
  <c r="D292" i="29"/>
  <c r="C292" i="29"/>
  <c r="R291" i="29"/>
  <c r="O291" i="29"/>
  <c r="M291" i="29"/>
  <c r="K291" i="29"/>
  <c r="I291" i="29"/>
  <c r="H291" i="29"/>
  <c r="G291" i="29"/>
  <c r="E291" i="29"/>
  <c r="D291" i="29"/>
  <c r="C291" i="29"/>
  <c r="R290" i="29"/>
  <c r="O290" i="29"/>
  <c r="M290" i="29"/>
  <c r="K290" i="29"/>
  <c r="I290" i="29"/>
  <c r="H290" i="29"/>
  <c r="G290" i="29"/>
  <c r="E290" i="29"/>
  <c r="D290" i="29"/>
  <c r="C290" i="29"/>
  <c r="R289" i="29"/>
  <c r="O289" i="29"/>
  <c r="M289" i="29"/>
  <c r="K289" i="29"/>
  <c r="I289" i="29"/>
  <c r="H289" i="29"/>
  <c r="G289" i="29"/>
  <c r="E289" i="29"/>
  <c r="D289" i="29"/>
  <c r="C289" i="29"/>
  <c r="R288" i="29"/>
  <c r="O288" i="29"/>
  <c r="M288" i="29"/>
  <c r="K288" i="29"/>
  <c r="I288" i="29"/>
  <c r="H288" i="29"/>
  <c r="G288" i="29"/>
  <c r="E288" i="29"/>
  <c r="D288" i="29"/>
  <c r="C288" i="29"/>
  <c r="R287" i="29"/>
  <c r="O287" i="29"/>
  <c r="M287" i="29"/>
  <c r="K287" i="29"/>
  <c r="I287" i="29"/>
  <c r="H287" i="29"/>
  <c r="G287" i="29"/>
  <c r="E287" i="29"/>
  <c r="D287" i="29"/>
  <c r="C287" i="29"/>
  <c r="R286" i="29"/>
  <c r="O286" i="29"/>
  <c r="M286" i="29"/>
  <c r="K286" i="29"/>
  <c r="I286" i="29"/>
  <c r="H286" i="29"/>
  <c r="G286" i="29"/>
  <c r="E286" i="29"/>
  <c r="D286" i="29"/>
  <c r="C286" i="29"/>
  <c r="R285" i="29"/>
  <c r="O285" i="29"/>
  <c r="M285" i="29"/>
  <c r="K285" i="29"/>
  <c r="I285" i="29"/>
  <c r="H285" i="29"/>
  <c r="G285" i="29"/>
  <c r="E285" i="29"/>
  <c r="D285" i="29"/>
  <c r="C285" i="29"/>
  <c r="R284" i="29"/>
  <c r="O284" i="29"/>
  <c r="M284" i="29"/>
  <c r="K284" i="29"/>
  <c r="I284" i="29"/>
  <c r="H284" i="29"/>
  <c r="G284" i="29"/>
  <c r="E284" i="29"/>
  <c r="D284" i="29"/>
  <c r="C284" i="29"/>
  <c r="R283" i="29"/>
  <c r="O283" i="29"/>
  <c r="M283" i="29"/>
  <c r="K283" i="29"/>
  <c r="I283" i="29"/>
  <c r="H283" i="29"/>
  <c r="G283" i="29"/>
  <c r="E283" i="29"/>
  <c r="D283" i="29"/>
  <c r="C283" i="29"/>
  <c r="R282" i="29"/>
  <c r="O282" i="29"/>
  <c r="M282" i="29"/>
  <c r="K282" i="29"/>
  <c r="I282" i="29"/>
  <c r="H282" i="29"/>
  <c r="G282" i="29"/>
  <c r="E282" i="29"/>
  <c r="D282" i="29"/>
  <c r="C282" i="29"/>
  <c r="R281" i="29"/>
  <c r="O281" i="29"/>
  <c r="M281" i="29"/>
  <c r="K281" i="29"/>
  <c r="I281" i="29"/>
  <c r="H281" i="29"/>
  <c r="G281" i="29"/>
  <c r="E281" i="29"/>
  <c r="D281" i="29"/>
  <c r="C281" i="29"/>
  <c r="R280" i="29"/>
  <c r="O280" i="29"/>
  <c r="M280" i="29"/>
  <c r="K280" i="29"/>
  <c r="I280" i="29"/>
  <c r="H280" i="29"/>
  <c r="G280" i="29"/>
  <c r="E280" i="29"/>
  <c r="D280" i="29"/>
  <c r="C280" i="29"/>
  <c r="R279" i="29"/>
  <c r="O279" i="29"/>
  <c r="M279" i="29"/>
  <c r="K279" i="29"/>
  <c r="I279" i="29"/>
  <c r="H279" i="29"/>
  <c r="G279" i="29"/>
  <c r="E279" i="29"/>
  <c r="D279" i="29"/>
  <c r="C279" i="29"/>
  <c r="R278" i="29"/>
  <c r="O278" i="29"/>
  <c r="M278" i="29"/>
  <c r="K278" i="29"/>
  <c r="I278" i="29"/>
  <c r="H278" i="29"/>
  <c r="G278" i="29"/>
  <c r="E278" i="29"/>
  <c r="D278" i="29"/>
  <c r="C278" i="29"/>
  <c r="R277" i="29"/>
  <c r="O277" i="29"/>
  <c r="M277" i="29"/>
  <c r="K277" i="29"/>
  <c r="I277" i="29"/>
  <c r="H277" i="29"/>
  <c r="G277" i="29"/>
  <c r="E277" i="29"/>
  <c r="D277" i="29"/>
  <c r="C277" i="29"/>
  <c r="R276" i="29"/>
  <c r="O276" i="29"/>
  <c r="M276" i="29"/>
  <c r="K276" i="29"/>
  <c r="I276" i="29"/>
  <c r="H276" i="29"/>
  <c r="G276" i="29"/>
  <c r="E276" i="29"/>
  <c r="D276" i="29"/>
  <c r="C276" i="29"/>
  <c r="R275" i="29"/>
  <c r="O275" i="29"/>
  <c r="M275" i="29"/>
  <c r="K275" i="29"/>
  <c r="I275" i="29"/>
  <c r="H275" i="29"/>
  <c r="G275" i="29"/>
  <c r="E275" i="29"/>
  <c r="D275" i="29"/>
  <c r="C275" i="29"/>
  <c r="R274" i="29"/>
  <c r="O274" i="29"/>
  <c r="M274" i="29"/>
  <c r="K274" i="29"/>
  <c r="I274" i="29"/>
  <c r="H274" i="29"/>
  <c r="G274" i="29"/>
  <c r="E274" i="29"/>
  <c r="D274" i="29"/>
  <c r="C274" i="29"/>
  <c r="R273" i="29"/>
  <c r="O273" i="29"/>
  <c r="M273" i="29"/>
  <c r="K273" i="29"/>
  <c r="I273" i="29"/>
  <c r="H273" i="29"/>
  <c r="G273" i="29"/>
  <c r="E273" i="29"/>
  <c r="D273" i="29"/>
  <c r="C273" i="29"/>
  <c r="R272" i="29"/>
  <c r="O272" i="29"/>
  <c r="M272" i="29"/>
  <c r="K272" i="29"/>
  <c r="I272" i="29"/>
  <c r="H272" i="29"/>
  <c r="G272" i="29"/>
  <c r="E272" i="29"/>
  <c r="D272" i="29"/>
  <c r="C272" i="29"/>
  <c r="R271" i="29"/>
  <c r="O271" i="29"/>
  <c r="M271" i="29"/>
  <c r="K271" i="29"/>
  <c r="I271" i="29"/>
  <c r="H271" i="29"/>
  <c r="G271" i="29"/>
  <c r="E271" i="29"/>
  <c r="D271" i="29"/>
  <c r="C271" i="29"/>
  <c r="R270" i="29"/>
  <c r="O270" i="29"/>
  <c r="M270" i="29"/>
  <c r="K270" i="29"/>
  <c r="I270" i="29"/>
  <c r="H270" i="29"/>
  <c r="G270" i="29"/>
  <c r="E270" i="29"/>
  <c r="D270" i="29"/>
  <c r="C270" i="29"/>
  <c r="R269" i="29"/>
  <c r="O269" i="29"/>
  <c r="M269" i="29"/>
  <c r="K269" i="29"/>
  <c r="I269" i="29"/>
  <c r="H269" i="29"/>
  <c r="G269" i="29"/>
  <c r="E269" i="29"/>
  <c r="D269" i="29"/>
  <c r="C269" i="29"/>
  <c r="R268" i="29"/>
  <c r="O268" i="29"/>
  <c r="M268" i="29"/>
  <c r="K268" i="29"/>
  <c r="I268" i="29"/>
  <c r="H268" i="29"/>
  <c r="G268" i="29"/>
  <c r="E268" i="29"/>
  <c r="D268" i="29"/>
  <c r="C268" i="29"/>
  <c r="R267" i="29"/>
  <c r="O267" i="29"/>
  <c r="M267" i="29"/>
  <c r="K267" i="29"/>
  <c r="I267" i="29"/>
  <c r="H267" i="29"/>
  <c r="G267" i="29"/>
  <c r="E267" i="29"/>
  <c r="D267" i="29"/>
  <c r="C267" i="29"/>
  <c r="R266" i="29"/>
  <c r="O266" i="29"/>
  <c r="M266" i="29"/>
  <c r="K266" i="29"/>
  <c r="I266" i="29"/>
  <c r="H266" i="29"/>
  <c r="G266" i="29"/>
  <c r="E266" i="29"/>
  <c r="D266" i="29"/>
  <c r="C266" i="29"/>
  <c r="R265" i="29"/>
  <c r="O265" i="29"/>
  <c r="M265" i="29"/>
  <c r="K265" i="29"/>
  <c r="I265" i="29"/>
  <c r="H265" i="29"/>
  <c r="G265" i="29"/>
  <c r="E265" i="29"/>
  <c r="D265" i="29"/>
  <c r="C265" i="29"/>
  <c r="R264" i="29"/>
  <c r="O264" i="29"/>
  <c r="M264" i="29"/>
  <c r="K264" i="29"/>
  <c r="I264" i="29"/>
  <c r="H264" i="29"/>
  <c r="G264" i="29"/>
  <c r="E264" i="29"/>
  <c r="D264" i="29"/>
  <c r="C264" i="29"/>
  <c r="R263" i="29"/>
  <c r="O263" i="29"/>
  <c r="M263" i="29"/>
  <c r="K263" i="29"/>
  <c r="I263" i="29"/>
  <c r="H263" i="29"/>
  <c r="G263" i="29"/>
  <c r="E263" i="29"/>
  <c r="D263" i="29"/>
  <c r="C263" i="29"/>
  <c r="R262" i="29"/>
  <c r="O262" i="29"/>
  <c r="M262" i="29"/>
  <c r="K262" i="29"/>
  <c r="I262" i="29"/>
  <c r="H262" i="29"/>
  <c r="G262" i="29"/>
  <c r="E262" i="29"/>
  <c r="D262" i="29"/>
  <c r="C262" i="29"/>
  <c r="R261" i="29"/>
  <c r="O261" i="29"/>
  <c r="M261" i="29"/>
  <c r="K261" i="29"/>
  <c r="I261" i="29"/>
  <c r="H261" i="29"/>
  <c r="G261" i="29"/>
  <c r="E261" i="29"/>
  <c r="D261" i="29"/>
  <c r="C261" i="29"/>
  <c r="R260" i="29"/>
  <c r="O260" i="29"/>
  <c r="M260" i="29"/>
  <c r="K260" i="29"/>
  <c r="I260" i="29"/>
  <c r="H260" i="29"/>
  <c r="G260" i="29"/>
  <c r="E260" i="29"/>
  <c r="D260" i="29"/>
  <c r="C260" i="29"/>
  <c r="R259" i="29"/>
  <c r="O259" i="29"/>
  <c r="M259" i="29"/>
  <c r="K259" i="29"/>
  <c r="I259" i="29"/>
  <c r="H259" i="29"/>
  <c r="G259" i="29"/>
  <c r="E259" i="29"/>
  <c r="D259" i="29"/>
  <c r="C259" i="29"/>
  <c r="R258" i="29"/>
  <c r="O258" i="29"/>
  <c r="M258" i="29"/>
  <c r="K258" i="29"/>
  <c r="I258" i="29"/>
  <c r="H258" i="29"/>
  <c r="G258" i="29"/>
  <c r="E258" i="29"/>
  <c r="D258" i="29"/>
  <c r="C258" i="29"/>
  <c r="R257" i="29"/>
  <c r="O257" i="29"/>
  <c r="M257" i="29"/>
  <c r="K257" i="29"/>
  <c r="I257" i="29"/>
  <c r="H257" i="29"/>
  <c r="G257" i="29"/>
  <c r="E257" i="29"/>
  <c r="D257" i="29"/>
  <c r="C257" i="29"/>
  <c r="R256" i="29"/>
  <c r="O256" i="29"/>
  <c r="M256" i="29"/>
  <c r="K256" i="29"/>
  <c r="I256" i="29"/>
  <c r="H256" i="29"/>
  <c r="G256" i="29"/>
  <c r="E256" i="29"/>
  <c r="D256" i="29"/>
  <c r="C256" i="29"/>
  <c r="R255" i="29"/>
  <c r="O255" i="29"/>
  <c r="M255" i="29"/>
  <c r="K255" i="29"/>
  <c r="I255" i="29"/>
  <c r="H255" i="29"/>
  <c r="G255" i="29"/>
  <c r="E255" i="29"/>
  <c r="D255" i="29"/>
  <c r="C255" i="29"/>
  <c r="R254" i="29"/>
  <c r="O254" i="29"/>
  <c r="M254" i="29"/>
  <c r="K254" i="29"/>
  <c r="I254" i="29"/>
  <c r="H254" i="29"/>
  <c r="G254" i="29"/>
  <c r="E254" i="29"/>
  <c r="D254" i="29"/>
  <c r="C254" i="29"/>
  <c r="R253" i="29"/>
  <c r="O253" i="29"/>
  <c r="M253" i="29"/>
  <c r="K253" i="29"/>
  <c r="I253" i="29"/>
  <c r="H253" i="29"/>
  <c r="G253" i="29"/>
  <c r="E253" i="29"/>
  <c r="D253" i="29"/>
  <c r="C253" i="29"/>
  <c r="R252" i="29"/>
  <c r="O252" i="29"/>
  <c r="M252" i="29"/>
  <c r="K252" i="29"/>
  <c r="I252" i="29"/>
  <c r="H252" i="29"/>
  <c r="G252" i="29"/>
  <c r="E252" i="29"/>
  <c r="D252" i="29"/>
  <c r="C252" i="29"/>
  <c r="R251" i="29"/>
  <c r="O251" i="29"/>
  <c r="M251" i="29"/>
  <c r="K251" i="29"/>
  <c r="I251" i="29"/>
  <c r="H251" i="29"/>
  <c r="G251" i="29"/>
  <c r="E251" i="29"/>
  <c r="D251" i="29"/>
  <c r="C251" i="29"/>
  <c r="R250" i="29"/>
  <c r="O250" i="29"/>
  <c r="M250" i="29"/>
  <c r="K250" i="29"/>
  <c r="I250" i="29"/>
  <c r="H250" i="29"/>
  <c r="G250" i="29"/>
  <c r="E250" i="29"/>
  <c r="D250" i="29"/>
  <c r="C250" i="29"/>
  <c r="R249" i="29"/>
  <c r="O249" i="29"/>
  <c r="M249" i="29"/>
  <c r="K249" i="29"/>
  <c r="I249" i="29"/>
  <c r="H249" i="29"/>
  <c r="G249" i="29"/>
  <c r="E249" i="29"/>
  <c r="D249" i="29"/>
  <c r="C249" i="29"/>
  <c r="R248" i="29"/>
  <c r="O248" i="29"/>
  <c r="M248" i="29"/>
  <c r="K248" i="29"/>
  <c r="I248" i="29"/>
  <c r="H248" i="29"/>
  <c r="G248" i="29"/>
  <c r="E248" i="29"/>
  <c r="D248" i="29"/>
  <c r="C248" i="29"/>
  <c r="R247" i="29"/>
  <c r="O247" i="29"/>
  <c r="M247" i="29"/>
  <c r="K247" i="29"/>
  <c r="I247" i="29"/>
  <c r="H247" i="29"/>
  <c r="G247" i="29"/>
  <c r="E247" i="29"/>
  <c r="D247" i="29"/>
  <c r="C247" i="29"/>
  <c r="R246" i="29"/>
  <c r="O246" i="29"/>
  <c r="M246" i="29"/>
  <c r="K246" i="29"/>
  <c r="I246" i="29"/>
  <c r="H246" i="29"/>
  <c r="G246" i="29"/>
  <c r="E246" i="29"/>
  <c r="D246" i="29"/>
  <c r="C246" i="29"/>
  <c r="R245" i="29"/>
  <c r="O245" i="29"/>
  <c r="M245" i="29"/>
  <c r="K245" i="29"/>
  <c r="I245" i="29"/>
  <c r="H245" i="29"/>
  <c r="G245" i="29"/>
  <c r="E245" i="29"/>
  <c r="D245" i="29"/>
  <c r="C245" i="29"/>
  <c r="R244" i="29"/>
  <c r="O244" i="29"/>
  <c r="M244" i="29"/>
  <c r="K244" i="29"/>
  <c r="I244" i="29"/>
  <c r="H244" i="29"/>
  <c r="G244" i="29"/>
  <c r="E244" i="29"/>
  <c r="D244" i="29"/>
  <c r="C244" i="29"/>
  <c r="R243" i="29"/>
  <c r="O243" i="29"/>
  <c r="M243" i="29"/>
  <c r="K243" i="29"/>
  <c r="I243" i="29"/>
  <c r="H243" i="29"/>
  <c r="G243" i="29"/>
  <c r="E243" i="29"/>
  <c r="D243" i="29"/>
  <c r="C243" i="29"/>
  <c r="R242" i="29"/>
  <c r="O242" i="29"/>
  <c r="M242" i="29"/>
  <c r="K242" i="29"/>
  <c r="I242" i="29"/>
  <c r="H242" i="29"/>
  <c r="G242" i="29"/>
  <c r="E242" i="29"/>
  <c r="D242" i="29"/>
  <c r="C242" i="29"/>
  <c r="R241" i="29"/>
  <c r="O241" i="29"/>
  <c r="M241" i="29"/>
  <c r="K241" i="29"/>
  <c r="I241" i="29"/>
  <c r="H241" i="29"/>
  <c r="G241" i="29"/>
  <c r="E241" i="29"/>
  <c r="D241" i="29"/>
  <c r="C241" i="29"/>
  <c r="R240" i="29"/>
  <c r="O240" i="29"/>
  <c r="M240" i="29"/>
  <c r="K240" i="29"/>
  <c r="I240" i="29"/>
  <c r="H240" i="29"/>
  <c r="G240" i="29"/>
  <c r="E240" i="29"/>
  <c r="D240" i="29"/>
  <c r="C240" i="29"/>
  <c r="R239" i="29"/>
  <c r="O239" i="29"/>
  <c r="M239" i="29"/>
  <c r="K239" i="29"/>
  <c r="I239" i="29"/>
  <c r="H239" i="29"/>
  <c r="G239" i="29"/>
  <c r="E239" i="29"/>
  <c r="D239" i="29"/>
  <c r="C239" i="29"/>
  <c r="R238" i="29"/>
  <c r="O238" i="29"/>
  <c r="M238" i="29"/>
  <c r="K238" i="29"/>
  <c r="I238" i="29"/>
  <c r="H238" i="29"/>
  <c r="G238" i="29"/>
  <c r="E238" i="29"/>
  <c r="D238" i="29"/>
  <c r="C238" i="29"/>
  <c r="R237" i="29"/>
  <c r="O237" i="29"/>
  <c r="M237" i="29"/>
  <c r="K237" i="29"/>
  <c r="I237" i="29"/>
  <c r="H237" i="29"/>
  <c r="G237" i="29"/>
  <c r="E237" i="29"/>
  <c r="D237" i="29"/>
  <c r="C237" i="29"/>
  <c r="R236" i="29"/>
  <c r="O236" i="29"/>
  <c r="M236" i="29"/>
  <c r="K236" i="29"/>
  <c r="I236" i="29"/>
  <c r="H236" i="29"/>
  <c r="G236" i="29"/>
  <c r="E236" i="29"/>
  <c r="D236" i="29"/>
  <c r="C236" i="29"/>
  <c r="R235" i="29"/>
  <c r="O235" i="29"/>
  <c r="M235" i="29"/>
  <c r="K235" i="29"/>
  <c r="I235" i="29"/>
  <c r="H235" i="29"/>
  <c r="G235" i="29"/>
  <c r="E235" i="29"/>
  <c r="D235" i="29"/>
  <c r="C235" i="29"/>
  <c r="R234" i="29"/>
  <c r="O234" i="29"/>
  <c r="M234" i="29"/>
  <c r="K234" i="29"/>
  <c r="I234" i="29"/>
  <c r="H234" i="29"/>
  <c r="G234" i="29"/>
  <c r="E234" i="29"/>
  <c r="D234" i="29"/>
  <c r="C234" i="29"/>
  <c r="R233" i="29"/>
  <c r="O233" i="29"/>
  <c r="M233" i="29"/>
  <c r="K233" i="29"/>
  <c r="I233" i="29"/>
  <c r="H233" i="29"/>
  <c r="G233" i="29"/>
  <c r="E233" i="29"/>
  <c r="D233" i="29"/>
  <c r="C233" i="29"/>
  <c r="R232" i="29"/>
  <c r="O232" i="29"/>
  <c r="M232" i="29"/>
  <c r="K232" i="29"/>
  <c r="I232" i="29"/>
  <c r="H232" i="29"/>
  <c r="G232" i="29"/>
  <c r="E232" i="29"/>
  <c r="D232" i="29"/>
  <c r="C232" i="29"/>
  <c r="R231" i="29"/>
  <c r="O231" i="29"/>
  <c r="M231" i="29"/>
  <c r="K231" i="29"/>
  <c r="I231" i="29"/>
  <c r="H231" i="29"/>
  <c r="G231" i="29"/>
  <c r="E231" i="29"/>
  <c r="D231" i="29"/>
  <c r="C231" i="29"/>
  <c r="R230" i="29"/>
  <c r="O230" i="29"/>
  <c r="M230" i="29"/>
  <c r="K230" i="29"/>
  <c r="I230" i="29"/>
  <c r="H230" i="29"/>
  <c r="G230" i="29"/>
  <c r="E230" i="29"/>
  <c r="D230" i="29"/>
  <c r="C230" i="29"/>
  <c r="R229" i="29"/>
  <c r="O229" i="29"/>
  <c r="M229" i="29"/>
  <c r="K229" i="29"/>
  <c r="I229" i="29"/>
  <c r="H229" i="29"/>
  <c r="G229" i="29"/>
  <c r="E229" i="29"/>
  <c r="D229" i="29"/>
  <c r="C229" i="29"/>
  <c r="R228" i="29"/>
  <c r="O228" i="29"/>
  <c r="M228" i="29"/>
  <c r="K228" i="29"/>
  <c r="I228" i="29"/>
  <c r="H228" i="29"/>
  <c r="G228" i="29"/>
  <c r="E228" i="29"/>
  <c r="D228" i="29"/>
  <c r="C228" i="29"/>
  <c r="R227" i="29"/>
  <c r="O227" i="29"/>
  <c r="M227" i="29"/>
  <c r="K227" i="29"/>
  <c r="I227" i="29"/>
  <c r="H227" i="29"/>
  <c r="G227" i="29"/>
  <c r="E227" i="29"/>
  <c r="D227" i="29"/>
  <c r="C227" i="29"/>
  <c r="R226" i="29"/>
  <c r="O226" i="29"/>
  <c r="M226" i="29"/>
  <c r="K226" i="29"/>
  <c r="I226" i="29"/>
  <c r="H226" i="29"/>
  <c r="G226" i="29"/>
  <c r="E226" i="29"/>
  <c r="D226" i="29"/>
  <c r="C226" i="29"/>
  <c r="R225" i="29"/>
  <c r="O225" i="29"/>
  <c r="M225" i="29"/>
  <c r="K225" i="29"/>
  <c r="I225" i="29"/>
  <c r="H225" i="29"/>
  <c r="G225" i="29"/>
  <c r="E225" i="29"/>
  <c r="D225" i="29"/>
  <c r="C225" i="29"/>
  <c r="R224" i="29"/>
  <c r="O224" i="29"/>
  <c r="M224" i="29"/>
  <c r="K224" i="29"/>
  <c r="I224" i="29"/>
  <c r="H224" i="29"/>
  <c r="G224" i="29"/>
  <c r="E224" i="29"/>
  <c r="D224" i="29"/>
  <c r="C224" i="29"/>
  <c r="R223" i="29"/>
  <c r="O223" i="29"/>
  <c r="M223" i="29"/>
  <c r="K223" i="29"/>
  <c r="I223" i="29"/>
  <c r="H223" i="29"/>
  <c r="G223" i="29"/>
  <c r="E223" i="29"/>
  <c r="D223" i="29"/>
  <c r="C223" i="29"/>
  <c r="R222" i="29"/>
  <c r="O222" i="29"/>
  <c r="M222" i="29"/>
  <c r="K222" i="29"/>
  <c r="I222" i="29"/>
  <c r="H222" i="29"/>
  <c r="G222" i="29"/>
  <c r="E222" i="29"/>
  <c r="D222" i="29"/>
  <c r="C222" i="29"/>
  <c r="R221" i="29"/>
  <c r="O221" i="29"/>
  <c r="M221" i="29"/>
  <c r="K221" i="29"/>
  <c r="I221" i="29"/>
  <c r="H221" i="29"/>
  <c r="G221" i="29"/>
  <c r="E221" i="29"/>
  <c r="D221" i="29"/>
  <c r="C221" i="29"/>
  <c r="R220" i="29"/>
  <c r="S220" i="29" s="1"/>
  <c r="O220" i="29"/>
  <c r="M220" i="29"/>
  <c r="K220" i="29"/>
  <c r="I220" i="29"/>
  <c r="H220" i="29"/>
  <c r="G220" i="29"/>
  <c r="E220" i="29"/>
  <c r="D220" i="29"/>
  <c r="C220" i="29"/>
  <c r="R219" i="29"/>
  <c r="O219" i="29"/>
  <c r="M219" i="29"/>
  <c r="K219" i="29"/>
  <c r="I219" i="29"/>
  <c r="H219" i="29"/>
  <c r="G219" i="29"/>
  <c r="E219" i="29"/>
  <c r="D219" i="29"/>
  <c r="C219" i="29"/>
  <c r="R218" i="29"/>
  <c r="O218" i="29"/>
  <c r="M218" i="29"/>
  <c r="K218" i="29"/>
  <c r="I218" i="29"/>
  <c r="H218" i="29"/>
  <c r="G218" i="29"/>
  <c r="E218" i="29"/>
  <c r="D218" i="29"/>
  <c r="C218" i="29"/>
  <c r="R217" i="29"/>
  <c r="O217" i="29"/>
  <c r="M217" i="29"/>
  <c r="K217" i="29"/>
  <c r="I217" i="29"/>
  <c r="H217" i="29"/>
  <c r="G217" i="29"/>
  <c r="E217" i="29"/>
  <c r="D217" i="29"/>
  <c r="C217" i="29"/>
  <c r="R216" i="29"/>
  <c r="O216" i="29"/>
  <c r="M216" i="29"/>
  <c r="K216" i="29"/>
  <c r="I216" i="29"/>
  <c r="H216" i="29"/>
  <c r="G216" i="29"/>
  <c r="E216" i="29"/>
  <c r="D216" i="29"/>
  <c r="C216" i="29"/>
  <c r="R215" i="29"/>
  <c r="O215" i="29"/>
  <c r="M215" i="29"/>
  <c r="K215" i="29"/>
  <c r="I215" i="29"/>
  <c r="H215" i="29"/>
  <c r="G215" i="29"/>
  <c r="E215" i="29"/>
  <c r="D215" i="29"/>
  <c r="C215" i="29"/>
  <c r="R214" i="29"/>
  <c r="O214" i="29"/>
  <c r="M214" i="29"/>
  <c r="K214" i="29"/>
  <c r="I214" i="29"/>
  <c r="H214" i="29"/>
  <c r="G214" i="29"/>
  <c r="E214" i="29"/>
  <c r="D214" i="29"/>
  <c r="C214" i="29"/>
  <c r="R213" i="29"/>
  <c r="O213" i="29"/>
  <c r="M213" i="29"/>
  <c r="K213" i="29"/>
  <c r="I213" i="29"/>
  <c r="H213" i="29"/>
  <c r="G213" i="29"/>
  <c r="E213" i="29"/>
  <c r="D213" i="29"/>
  <c r="C213" i="29"/>
  <c r="R212" i="29"/>
  <c r="S212" i="29" s="1"/>
  <c r="O212" i="29"/>
  <c r="M212" i="29"/>
  <c r="K212" i="29"/>
  <c r="I212" i="29"/>
  <c r="H212" i="29"/>
  <c r="G212" i="29"/>
  <c r="E212" i="29"/>
  <c r="D212" i="29"/>
  <c r="C212" i="29"/>
  <c r="R211" i="29"/>
  <c r="O211" i="29"/>
  <c r="M211" i="29"/>
  <c r="K211" i="29"/>
  <c r="I211" i="29"/>
  <c r="H211" i="29"/>
  <c r="G211" i="29"/>
  <c r="E211" i="29"/>
  <c r="D211" i="29"/>
  <c r="C211" i="29"/>
  <c r="R210" i="29"/>
  <c r="O210" i="29"/>
  <c r="M210" i="29"/>
  <c r="K210" i="29"/>
  <c r="I210" i="29"/>
  <c r="H210" i="29"/>
  <c r="G210" i="29"/>
  <c r="E210" i="29"/>
  <c r="D210" i="29"/>
  <c r="C210" i="29"/>
  <c r="R209" i="29"/>
  <c r="O209" i="29"/>
  <c r="M209" i="29"/>
  <c r="K209" i="29"/>
  <c r="I209" i="29"/>
  <c r="H209" i="29"/>
  <c r="G209" i="29"/>
  <c r="E209" i="29"/>
  <c r="D209" i="29"/>
  <c r="C209" i="29"/>
  <c r="R208" i="29"/>
  <c r="O208" i="29"/>
  <c r="M208" i="29"/>
  <c r="K208" i="29"/>
  <c r="I208" i="29"/>
  <c r="H208" i="29"/>
  <c r="G208" i="29"/>
  <c r="E208" i="29"/>
  <c r="D208" i="29"/>
  <c r="C208" i="29"/>
  <c r="R207" i="29"/>
  <c r="O207" i="29"/>
  <c r="M207" i="29"/>
  <c r="K207" i="29"/>
  <c r="I207" i="29"/>
  <c r="H207" i="29"/>
  <c r="G207" i="29"/>
  <c r="E207" i="29"/>
  <c r="D207" i="29"/>
  <c r="C207" i="29"/>
  <c r="R206" i="29"/>
  <c r="O206" i="29"/>
  <c r="M206" i="29"/>
  <c r="K206" i="29"/>
  <c r="I206" i="29"/>
  <c r="H206" i="29"/>
  <c r="G206" i="29"/>
  <c r="E206" i="29"/>
  <c r="D206" i="29"/>
  <c r="C206" i="29"/>
  <c r="R205" i="29"/>
  <c r="O205" i="29"/>
  <c r="M205" i="29"/>
  <c r="K205" i="29"/>
  <c r="I205" i="29"/>
  <c r="H205" i="29"/>
  <c r="G205" i="29"/>
  <c r="E205" i="29"/>
  <c r="D205" i="29"/>
  <c r="C205" i="29"/>
  <c r="R204" i="29"/>
  <c r="S204" i="29" s="1"/>
  <c r="O204" i="29"/>
  <c r="M204" i="29"/>
  <c r="K204" i="29"/>
  <c r="I204" i="29"/>
  <c r="H204" i="29"/>
  <c r="G204" i="29"/>
  <c r="E204" i="29"/>
  <c r="D204" i="29"/>
  <c r="C204" i="29"/>
  <c r="R203" i="29"/>
  <c r="O203" i="29"/>
  <c r="M203" i="29"/>
  <c r="K203" i="29"/>
  <c r="I203" i="29"/>
  <c r="H203" i="29"/>
  <c r="G203" i="29"/>
  <c r="E203" i="29"/>
  <c r="D203" i="29"/>
  <c r="C203" i="29"/>
  <c r="R202" i="29"/>
  <c r="O202" i="29"/>
  <c r="M202" i="29"/>
  <c r="K202" i="29"/>
  <c r="I202" i="29"/>
  <c r="H202" i="29"/>
  <c r="G202" i="29"/>
  <c r="E202" i="29"/>
  <c r="D202" i="29"/>
  <c r="C202" i="29"/>
  <c r="R201" i="29"/>
  <c r="O201" i="29"/>
  <c r="M201" i="29"/>
  <c r="K201" i="29"/>
  <c r="I201" i="29"/>
  <c r="H201" i="29"/>
  <c r="G201" i="29"/>
  <c r="E201" i="29"/>
  <c r="D201" i="29"/>
  <c r="C201" i="29"/>
  <c r="R200" i="29"/>
  <c r="O200" i="29"/>
  <c r="M200" i="29"/>
  <c r="K200" i="29"/>
  <c r="I200" i="29"/>
  <c r="H200" i="29"/>
  <c r="G200" i="29"/>
  <c r="E200" i="29"/>
  <c r="D200" i="29"/>
  <c r="C200" i="29"/>
  <c r="R199" i="29"/>
  <c r="O199" i="29"/>
  <c r="M199" i="29"/>
  <c r="K199" i="29"/>
  <c r="I199" i="29"/>
  <c r="H199" i="29"/>
  <c r="G199" i="29"/>
  <c r="E199" i="29"/>
  <c r="D199" i="29"/>
  <c r="C199" i="29"/>
  <c r="R198" i="29"/>
  <c r="O198" i="29"/>
  <c r="M198" i="29"/>
  <c r="K198" i="29"/>
  <c r="I198" i="29"/>
  <c r="H198" i="29"/>
  <c r="G198" i="29"/>
  <c r="E198" i="29"/>
  <c r="D198" i="29"/>
  <c r="C198" i="29"/>
  <c r="R197" i="29"/>
  <c r="O197" i="29"/>
  <c r="M197" i="29"/>
  <c r="K197" i="29"/>
  <c r="I197" i="29"/>
  <c r="H197" i="29"/>
  <c r="G197" i="29"/>
  <c r="E197" i="29"/>
  <c r="D197" i="29"/>
  <c r="C197" i="29"/>
  <c r="R196" i="29"/>
  <c r="O196" i="29"/>
  <c r="M196" i="29"/>
  <c r="K196" i="29"/>
  <c r="I196" i="29"/>
  <c r="H196" i="29"/>
  <c r="G196" i="29"/>
  <c r="E196" i="29"/>
  <c r="D196" i="29"/>
  <c r="C196" i="29"/>
  <c r="R195" i="29"/>
  <c r="O195" i="29"/>
  <c r="M195" i="29"/>
  <c r="K195" i="29"/>
  <c r="I195" i="29"/>
  <c r="H195" i="29"/>
  <c r="G195" i="29"/>
  <c r="E195" i="29"/>
  <c r="D195" i="29"/>
  <c r="C195" i="29"/>
  <c r="R194" i="29"/>
  <c r="O194" i="29"/>
  <c r="M194" i="29"/>
  <c r="K194" i="29"/>
  <c r="I194" i="29"/>
  <c r="H194" i="29"/>
  <c r="G194" i="29"/>
  <c r="E194" i="29"/>
  <c r="D194" i="29"/>
  <c r="C194" i="29"/>
  <c r="R193" i="29"/>
  <c r="O193" i="29"/>
  <c r="M193" i="29"/>
  <c r="K193" i="29"/>
  <c r="I193" i="29"/>
  <c r="H193" i="29"/>
  <c r="G193" i="29"/>
  <c r="E193" i="29"/>
  <c r="D193" i="29"/>
  <c r="C193" i="29"/>
  <c r="R192" i="29"/>
  <c r="O192" i="29"/>
  <c r="M192" i="29"/>
  <c r="K192" i="29"/>
  <c r="I192" i="29"/>
  <c r="H192" i="29"/>
  <c r="G192" i="29"/>
  <c r="E192" i="29"/>
  <c r="D192" i="29"/>
  <c r="C192" i="29"/>
  <c r="R191" i="29"/>
  <c r="O191" i="29"/>
  <c r="M191" i="29"/>
  <c r="K191" i="29"/>
  <c r="I191" i="29"/>
  <c r="H191" i="29"/>
  <c r="G191" i="29"/>
  <c r="E191" i="29"/>
  <c r="D191" i="29"/>
  <c r="C191" i="29"/>
  <c r="R190" i="29"/>
  <c r="O190" i="29"/>
  <c r="M190" i="29"/>
  <c r="K190" i="29"/>
  <c r="I190" i="29"/>
  <c r="H190" i="29"/>
  <c r="G190" i="29"/>
  <c r="E190" i="29"/>
  <c r="D190" i="29"/>
  <c r="C190" i="29"/>
  <c r="R189" i="29"/>
  <c r="O189" i="29"/>
  <c r="M189" i="29"/>
  <c r="K189" i="29"/>
  <c r="I189" i="29"/>
  <c r="H189" i="29"/>
  <c r="G189" i="29"/>
  <c r="E189" i="29"/>
  <c r="D189" i="29"/>
  <c r="C189" i="29"/>
  <c r="R188" i="29"/>
  <c r="O188" i="29"/>
  <c r="M188" i="29"/>
  <c r="K188" i="29"/>
  <c r="I188" i="29"/>
  <c r="H188" i="29"/>
  <c r="G188" i="29"/>
  <c r="E188" i="29"/>
  <c r="D188" i="29"/>
  <c r="C188" i="29"/>
  <c r="R187" i="29"/>
  <c r="O187" i="29"/>
  <c r="M187" i="29"/>
  <c r="K187" i="29"/>
  <c r="I187" i="29"/>
  <c r="H187" i="29"/>
  <c r="G187" i="29"/>
  <c r="E187" i="29"/>
  <c r="D187" i="29"/>
  <c r="C187" i="29"/>
  <c r="R186" i="29"/>
  <c r="O186" i="29"/>
  <c r="M186" i="29"/>
  <c r="K186" i="29"/>
  <c r="I186" i="29"/>
  <c r="H186" i="29"/>
  <c r="G186" i="29"/>
  <c r="E186" i="29"/>
  <c r="D186" i="29"/>
  <c r="C186" i="29"/>
  <c r="R185" i="29"/>
  <c r="O185" i="29"/>
  <c r="M185" i="29"/>
  <c r="K185" i="29"/>
  <c r="I185" i="29"/>
  <c r="H185" i="29"/>
  <c r="G185" i="29"/>
  <c r="E185" i="29"/>
  <c r="D185" i="29"/>
  <c r="C185" i="29"/>
  <c r="R184" i="29"/>
  <c r="O184" i="29"/>
  <c r="M184" i="29"/>
  <c r="K184" i="29"/>
  <c r="I184" i="29"/>
  <c r="H184" i="29"/>
  <c r="G184" i="29"/>
  <c r="E184" i="29"/>
  <c r="D184" i="29"/>
  <c r="C184" i="29"/>
  <c r="R183" i="29"/>
  <c r="O183" i="29"/>
  <c r="M183" i="29"/>
  <c r="K183" i="29"/>
  <c r="I183" i="29"/>
  <c r="H183" i="29"/>
  <c r="G183" i="29"/>
  <c r="E183" i="29"/>
  <c r="D183" i="29"/>
  <c r="C183" i="29"/>
  <c r="R182" i="29"/>
  <c r="O182" i="29"/>
  <c r="M182" i="29"/>
  <c r="K182" i="29"/>
  <c r="I182" i="29"/>
  <c r="H182" i="29"/>
  <c r="G182" i="29"/>
  <c r="E182" i="29"/>
  <c r="D182" i="29"/>
  <c r="C182" i="29"/>
  <c r="R181" i="29"/>
  <c r="O181" i="29"/>
  <c r="M181" i="29"/>
  <c r="K181" i="29"/>
  <c r="I181" i="29"/>
  <c r="H181" i="29"/>
  <c r="G181" i="29"/>
  <c r="E181" i="29"/>
  <c r="D181" i="29"/>
  <c r="C181" i="29"/>
  <c r="R180" i="29"/>
  <c r="O180" i="29"/>
  <c r="M180" i="29"/>
  <c r="K180" i="29"/>
  <c r="I180" i="29"/>
  <c r="H180" i="29"/>
  <c r="G180" i="29"/>
  <c r="E180" i="29"/>
  <c r="D180" i="29"/>
  <c r="C180" i="29"/>
  <c r="R179" i="29"/>
  <c r="O179" i="29"/>
  <c r="M179" i="29"/>
  <c r="K179" i="29"/>
  <c r="I179" i="29"/>
  <c r="H179" i="29"/>
  <c r="G179" i="29"/>
  <c r="E179" i="29"/>
  <c r="D179" i="29"/>
  <c r="C179" i="29"/>
  <c r="R178" i="29"/>
  <c r="O178" i="29"/>
  <c r="M178" i="29"/>
  <c r="K178" i="29"/>
  <c r="I178" i="29"/>
  <c r="H178" i="29"/>
  <c r="G178" i="29"/>
  <c r="E178" i="29"/>
  <c r="D178" i="29"/>
  <c r="C178" i="29"/>
  <c r="R177" i="29"/>
  <c r="O177" i="29"/>
  <c r="M177" i="29"/>
  <c r="K177" i="29"/>
  <c r="I177" i="29"/>
  <c r="H177" i="29"/>
  <c r="G177" i="29"/>
  <c r="E177" i="29"/>
  <c r="D177" i="29"/>
  <c r="C177" i="29"/>
  <c r="R176" i="29"/>
  <c r="O176" i="29"/>
  <c r="M176" i="29"/>
  <c r="K176" i="29"/>
  <c r="I176" i="29"/>
  <c r="H176" i="29"/>
  <c r="G176" i="29"/>
  <c r="E176" i="29"/>
  <c r="D176" i="29"/>
  <c r="C176" i="29"/>
  <c r="R175" i="29"/>
  <c r="O175" i="29"/>
  <c r="M175" i="29"/>
  <c r="K175" i="29"/>
  <c r="I175" i="29"/>
  <c r="H175" i="29"/>
  <c r="G175" i="29"/>
  <c r="E175" i="29"/>
  <c r="D175" i="29"/>
  <c r="C175" i="29"/>
  <c r="R174" i="29"/>
  <c r="O174" i="29"/>
  <c r="M174" i="29"/>
  <c r="K174" i="29"/>
  <c r="I174" i="29"/>
  <c r="H174" i="29"/>
  <c r="G174" i="29"/>
  <c r="E174" i="29"/>
  <c r="D174" i="29"/>
  <c r="C174" i="29"/>
  <c r="R173" i="29"/>
  <c r="O173" i="29"/>
  <c r="M173" i="29"/>
  <c r="K173" i="29"/>
  <c r="I173" i="29"/>
  <c r="H173" i="29"/>
  <c r="G173" i="29"/>
  <c r="E173" i="29"/>
  <c r="D173" i="29"/>
  <c r="C173" i="29"/>
  <c r="R172" i="29"/>
  <c r="O172" i="29"/>
  <c r="M172" i="29"/>
  <c r="K172" i="29"/>
  <c r="I172" i="29"/>
  <c r="H172" i="29"/>
  <c r="G172" i="29"/>
  <c r="E172" i="29"/>
  <c r="D172" i="29"/>
  <c r="C172" i="29"/>
  <c r="R171" i="29"/>
  <c r="O171" i="29"/>
  <c r="M171" i="29"/>
  <c r="K171" i="29"/>
  <c r="I171" i="29"/>
  <c r="H171" i="29"/>
  <c r="G171" i="29"/>
  <c r="E171" i="29"/>
  <c r="D171" i="29"/>
  <c r="C171" i="29"/>
  <c r="R170" i="29"/>
  <c r="O170" i="29"/>
  <c r="M170" i="29"/>
  <c r="K170" i="29"/>
  <c r="I170" i="29"/>
  <c r="H170" i="29"/>
  <c r="G170" i="29"/>
  <c r="E170" i="29"/>
  <c r="D170" i="29"/>
  <c r="C170" i="29"/>
  <c r="R169" i="29"/>
  <c r="O169" i="29"/>
  <c r="M169" i="29"/>
  <c r="K169" i="29"/>
  <c r="I169" i="29"/>
  <c r="H169" i="29"/>
  <c r="G169" i="29"/>
  <c r="E169" i="29"/>
  <c r="D169" i="29"/>
  <c r="C169" i="29"/>
  <c r="R168" i="29"/>
  <c r="O168" i="29"/>
  <c r="M168" i="29"/>
  <c r="K168" i="29"/>
  <c r="I168" i="29"/>
  <c r="H168" i="29"/>
  <c r="G168" i="29"/>
  <c r="E168" i="29"/>
  <c r="D168" i="29"/>
  <c r="C168" i="29"/>
  <c r="R167" i="29"/>
  <c r="O167" i="29"/>
  <c r="M167" i="29"/>
  <c r="K167" i="29"/>
  <c r="I167" i="29"/>
  <c r="H167" i="29"/>
  <c r="G167" i="29"/>
  <c r="E167" i="29"/>
  <c r="D167" i="29"/>
  <c r="C167" i="29"/>
  <c r="R166" i="29"/>
  <c r="O166" i="29"/>
  <c r="M166" i="29"/>
  <c r="K166" i="29"/>
  <c r="I166" i="29"/>
  <c r="H166" i="29"/>
  <c r="G166" i="29"/>
  <c r="E166" i="29"/>
  <c r="D166" i="29"/>
  <c r="C166" i="29"/>
  <c r="R165" i="29"/>
  <c r="O165" i="29"/>
  <c r="M165" i="29"/>
  <c r="K165" i="29"/>
  <c r="I165" i="29"/>
  <c r="H165" i="29"/>
  <c r="G165" i="29"/>
  <c r="E165" i="29"/>
  <c r="D165" i="29"/>
  <c r="C165" i="29"/>
  <c r="R164" i="29"/>
  <c r="O164" i="29"/>
  <c r="M164" i="29"/>
  <c r="K164" i="29"/>
  <c r="I164" i="29"/>
  <c r="H164" i="29"/>
  <c r="G164" i="29"/>
  <c r="E164" i="29"/>
  <c r="D164" i="29"/>
  <c r="C164" i="29"/>
  <c r="R163" i="29"/>
  <c r="O163" i="29"/>
  <c r="M163" i="29"/>
  <c r="K163" i="29"/>
  <c r="I163" i="29"/>
  <c r="H163" i="29"/>
  <c r="G163" i="29"/>
  <c r="E163" i="29"/>
  <c r="D163" i="29"/>
  <c r="C163" i="29"/>
  <c r="R162" i="29"/>
  <c r="O162" i="29"/>
  <c r="M162" i="29"/>
  <c r="K162" i="29"/>
  <c r="I162" i="29"/>
  <c r="H162" i="29"/>
  <c r="G162" i="29"/>
  <c r="E162" i="29"/>
  <c r="D162" i="29"/>
  <c r="C162" i="29"/>
  <c r="R161" i="29"/>
  <c r="O161" i="29"/>
  <c r="M161" i="29"/>
  <c r="K161" i="29"/>
  <c r="I161" i="29"/>
  <c r="H161" i="29"/>
  <c r="G161" i="29"/>
  <c r="E161" i="29"/>
  <c r="D161" i="29"/>
  <c r="C161" i="29"/>
  <c r="R160" i="29"/>
  <c r="O160" i="29"/>
  <c r="M160" i="29"/>
  <c r="K160" i="29"/>
  <c r="I160" i="29"/>
  <c r="H160" i="29"/>
  <c r="G160" i="29"/>
  <c r="E160" i="29"/>
  <c r="D160" i="29"/>
  <c r="C160" i="29"/>
  <c r="R159" i="29"/>
  <c r="O159" i="29"/>
  <c r="M159" i="29"/>
  <c r="K159" i="29"/>
  <c r="I159" i="29"/>
  <c r="H159" i="29"/>
  <c r="G159" i="29"/>
  <c r="E159" i="29"/>
  <c r="D159" i="29"/>
  <c r="C159" i="29"/>
  <c r="R158" i="29"/>
  <c r="O158" i="29"/>
  <c r="M158" i="29"/>
  <c r="K158" i="29"/>
  <c r="I158" i="29"/>
  <c r="H158" i="29"/>
  <c r="G158" i="29"/>
  <c r="E158" i="29"/>
  <c r="D158" i="29"/>
  <c r="C158" i="29"/>
  <c r="R157" i="29"/>
  <c r="O157" i="29"/>
  <c r="M157" i="29"/>
  <c r="K157" i="29"/>
  <c r="I157" i="29"/>
  <c r="H157" i="29"/>
  <c r="G157" i="29"/>
  <c r="E157" i="29"/>
  <c r="D157" i="29"/>
  <c r="C157" i="29"/>
  <c r="R156" i="29"/>
  <c r="O156" i="29"/>
  <c r="M156" i="29"/>
  <c r="K156" i="29"/>
  <c r="I156" i="29"/>
  <c r="H156" i="29"/>
  <c r="G156" i="29"/>
  <c r="E156" i="29"/>
  <c r="D156" i="29"/>
  <c r="C156" i="29"/>
  <c r="R155" i="29"/>
  <c r="O155" i="29"/>
  <c r="M155" i="29"/>
  <c r="K155" i="29"/>
  <c r="I155" i="29"/>
  <c r="H155" i="29"/>
  <c r="G155" i="29"/>
  <c r="E155" i="29"/>
  <c r="D155" i="29"/>
  <c r="C155" i="29"/>
  <c r="R154" i="29"/>
  <c r="O154" i="29"/>
  <c r="M154" i="29"/>
  <c r="K154" i="29"/>
  <c r="I154" i="29"/>
  <c r="H154" i="29"/>
  <c r="G154" i="29"/>
  <c r="E154" i="29"/>
  <c r="D154" i="29"/>
  <c r="C154" i="29"/>
  <c r="R153" i="29"/>
  <c r="O153" i="29"/>
  <c r="M153" i="29"/>
  <c r="K153" i="29"/>
  <c r="I153" i="29"/>
  <c r="H153" i="29"/>
  <c r="G153" i="29"/>
  <c r="E153" i="29"/>
  <c r="D153" i="29"/>
  <c r="C153" i="29"/>
  <c r="R152" i="29"/>
  <c r="O152" i="29"/>
  <c r="M152" i="29"/>
  <c r="K152" i="29"/>
  <c r="I152" i="29"/>
  <c r="H152" i="29"/>
  <c r="G152" i="29"/>
  <c r="E152" i="29"/>
  <c r="D152" i="29"/>
  <c r="C152" i="29"/>
  <c r="R151" i="29"/>
  <c r="O151" i="29"/>
  <c r="M151" i="29"/>
  <c r="K151" i="29"/>
  <c r="I151" i="29"/>
  <c r="H151" i="29"/>
  <c r="G151" i="29"/>
  <c r="E151" i="29"/>
  <c r="D151" i="29"/>
  <c r="C151" i="29"/>
  <c r="R150" i="29"/>
  <c r="O150" i="29"/>
  <c r="M150" i="29"/>
  <c r="K150" i="29"/>
  <c r="I150" i="29"/>
  <c r="H150" i="29"/>
  <c r="G150" i="29"/>
  <c r="E150" i="29"/>
  <c r="D150" i="29"/>
  <c r="C150" i="29"/>
  <c r="R149" i="29"/>
  <c r="O149" i="29"/>
  <c r="M149" i="29"/>
  <c r="K149" i="29"/>
  <c r="I149" i="29"/>
  <c r="H149" i="29"/>
  <c r="G149" i="29"/>
  <c r="E149" i="29"/>
  <c r="D149" i="29"/>
  <c r="C149" i="29"/>
  <c r="R148" i="29"/>
  <c r="O148" i="29"/>
  <c r="M148" i="29"/>
  <c r="K148" i="29"/>
  <c r="I148" i="29"/>
  <c r="H148" i="29"/>
  <c r="G148" i="29"/>
  <c r="E148" i="29"/>
  <c r="D148" i="29"/>
  <c r="C148" i="29"/>
  <c r="R147" i="29"/>
  <c r="O147" i="29"/>
  <c r="M147" i="29"/>
  <c r="K147" i="29"/>
  <c r="I147" i="29"/>
  <c r="H147" i="29"/>
  <c r="G147" i="29"/>
  <c r="E147" i="29"/>
  <c r="D147" i="29"/>
  <c r="C147" i="29"/>
  <c r="R146" i="29"/>
  <c r="O146" i="29"/>
  <c r="M146" i="29"/>
  <c r="K146" i="29"/>
  <c r="I146" i="29"/>
  <c r="H146" i="29"/>
  <c r="G146" i="29"/>
  <c r="E146" i="29"/>
  <c r="D146" i="29"/>
  <c r="C146" i="29"/>
  <c r="R145" i="29"/>
  <c r="O145" i="29"/>
  <c r="M145" i="29"/>
  <c r="K145" i="29"/>
  <c r="I145" i="29"/>
  <c r="H145" i="29"/>
  <c r="G145" i="29"/>
  <c r="E145" i="29"/>
  <c r="D145" i="29"/>
  <c r="C145" i="29"/>
  <c r="R144" i="29"/>
  <c r="O144" i="29"/>
  <c r="M144" i="29"/>
  <c r="K144" i="29"/>
  <c r="I144" i="29"/>
  <c r="H144" i="29"/>
  <c r="G144" i="29"/>
  <c r="E144" i="29"/>
  <c r="D144" i="29"/>
  <c r="C144" i="29"/>
  <c r="R143" i="29"/>
  <c r="O143" i="29"/>
  <c r="M143" i="29"/>
  <c r="K143" i="29"/>
  <c r="I143" i="29"/>
  <c r="H143" i="29"/>
  <c r="G143" i="29"/>
  <c r="E143" i="29"/>
  <c r="D143" i="29"/>
  <c r="C143" i="29"/>
  <c r="R142" i="29"/>
  <c r="O142" i="29"/>
  <c r="M142" i="29"/>
  <c r="K142" i="29"/>
  <c r="I142" i="29"/>
  <c r="H142" i="29"/>
  <c r="G142" i="29"/>
  <c r="E142" i="29"/>
  <c r="D142" i="29"/>
  <c r="C142" i="29"/>
  <c r="R141" i="29"/>
  <c r="O141" i="29"/>
  <c r="M141" i="29"/>
  <c r="K141" i="29"/>
  <c r="I141" i="29"/>
  <c r="H141" i="29"/>
  <c r="G141" i="29"/>
  <c r="E141" i="29"/>
  <c r="D141" i="29"/>
  <c r="C141" i="29"/>
  <c r="R140" i="29"/>
  <c r="O140" i="29"/>
  <c r="M140" i="29"/>
  <c r="K140" i="29"/>
  <c r="I140" i="29"/>
  <c r="H140" i="29"/>
  <c r="G140" i="29"/>
  <c r="E140" i="29"/>
  <c r="D140" i="29"/>
  <c r="C140" i="29"/>
  <c r="R139" i="29"/>
  <c r="O139" i="29"/>
  <c r="M139" i="29"/>
  <c r="K139" i="29"/>
  <c r="I139" i="29"/>
  <c r="H139" i="29"/>
  <c r="G139" i="29"/>
  <c r="E139" i="29"/>
  <c r="D139" i="29"/>
  <c r="C139" i="29"/>
  <c r="R138" i="29"/>
  <c r="O138" i="29"/>
  <c r="M138" i="29"/>
  <c r="K138" i="29"/>
  <c r="I138" i="29"/>
  <c r="H138" i="29"/>
  <c r="G138" i="29"/>
  <c r="E138" i="29"/>
  <c r="D138" i="29"/>
  <c r="C138" i="29"/>
  <c r="R137" i="29"/>
  <c r="O137" i="29"/>
  <c r="M137" i="29"/>
  <c r="K137" i="29"/>
  <c r="I137" i="29"/>
  <c r="H137" i="29"/>
  <c r="G137" i="29"/>
  <c r="E137" i="29"/>
  <c r="D137" i="29"/>
  <c r="C137" i="29"/>
  <c r="R136" i="29"/>
  <c r="O136" i="29"/>
  <c r="M136" i="29"/>
  <c r="K136" i="29"/>
  <c r="I136" i="29"/>
  <c r="H136" i="29"/>
  <c r="G136" i="29"/>
  <c r="E136" i="29"/>
  <c r="D136" i="29"/>
  <c r="C136" i="29"/>
  <c r="R135" i="29"/>
  <c r="O135" i="29"/>
  <c r="M135" i="29"/>
  <c r="K135" i="29"/>
  <c r="I135" i="29"/>
  <c r="H135" i="29"/>
  <c r="G135" i="29"/>
  <c r="E135" i="29"/>
  <c r="D135" i="29"/>
  <c r="C135" i="29"/>
  <c r="R134" i="29"/>
  <c r="O134" i="29"/>
  <c r="M134" i="29"/>
  <c r="K134" i="29"/>
  <c r="I134" i="29"/>
  <c r="H134" i="29"/>
  <c r="G134" i="29"/>
  <c r="E134" i="29"/>
  <c r="D134" i="29"/>
  <c r="C134" i="29"/>
  <c r="R133" i="29"/>
  <c r="O133" i="29"/>
  <c r="M133" i="29"/>
  <c r="K133" i="29"/>
  <c r="I133" i="29"/>
  <c r="H133" i="29"/>
  <c r="G133" i="29"/>
  <c r="E133" i="29"/>
  <c r="D133" i="29"/>
  <c r="C133" i="29"/>
  <c r="R132" i="29"/>
  <c r="O132" i="29"/>
  <c r="M132" i="29"/>
  <c r="K132" i="29"/>
  <c r="I132" i="29"/>
  <c r="H132" i="29"/>
  <c r="G132" i="29"/>
  <c r="E132" i="29"/>
  <c r="D132" i="29"/>
  <c r="C132" i="29"/>
  <c r="R131" i="29"/>
  <c r="O131" i="29"/>
  <c r="M131" i="29"/>
  <c r="K131" i="29"/>
  <c r="I131" i="29"/>
  <c r="H131" i="29"/>
  <c r="G131" i="29"/>
  <c r="E131" i="29"/>
  <c r="D131" i="29"/>
  <c r="C131" i="29"/>
  <c r="R130" i="29"/>
  <c r="O130" i="29"/>
  <c r="M130" i="29"/>
  <c r="K130" i="29"/>
  <c r="I130" i="29"/>
  <c r="H130" i="29"/>
  <c r="G130" i="29"/>
  <c r="E130" i="29"/>
  <c r="D130" i="29"/>
  <c r="C130" i="29"/>
  <c r="R129" i="29"/>
  <c r="O129" i="29"/>
  <c r="M129" i="29"/>
  <c r="K129" i="29"/>
  <c r="I129" i="29"/>
  <c r="H129" i="29"/>
  <c r="G129" i="29"/>
  <c r="E129" i="29"/>
  <c r="D129" i="29"/>
  <c r="C129" i="29"/>
  <c r="R128" i="29"/>
  <c r="O128" i="29"/>
  <c r="M128" i="29"/>
  <c r="K128" i="29"/>
  <c r="I128" i="29"/>
  <c r="H128" i="29"/>
  <c r="G128" i="29"/>
  <c r="E128" i="29"/>
  <c r="D128" i="29"/>
  <c r="C128" i="29"/>
  <c r="R127" i="29"/>
  <c r="O127" i="29"/>
  <c r="M127" i="29"/>
  <c r="K127" i="29"/>
  <c r="I127" i="29"/>
  <c r="H127" i="29"/>
  <c r="G127" i="29"/>
  <c r="E127" i="29"/>
  <c r="D127" i="29"/>
  <c r="C127" i="29"/>
  <c r="R126" i="29"/>
  <c r="O126" i="29"/>
  <c r="M126" i="29"/>
  <c r="K126" i="29"/>
  <c r="I126" i="29"/>
  <c r="H126" i="29"/>
  <c r="G126" i="29"/>
  <c r="E126" i="29"/>
  <c r="D126" i="29"/>
  <c r="C126" i="29"/>
  <c r="R125" i="29"/>
  <c r="O125" i="29"/>
  <c r="M125" i="29"/>
  <c r="K125" i="29"/>
  <c r="I125" i="29"/>
  <c r="H125" i="29"/>
  <c r="G125" i="29"/>
  <c r="E125" i="29"/>
  <c r="D125" i="29"/>
  <c r="C125" i="29"/>
  <c r="R124" i="29"/>
  <c r="O124" i="29"/>
  <c r="M124" i="29"/>
  <c r="K124" i="29"/>
  <c r="I124" i="29"/>
  <c r="H124" i="29"/>
  <c r="G124" i="29"/>
  <c r="E124" i="29"/>
  <c r="D124" i="29"/>
  <c r="C124" i="29"/>
  <c r="R123" i="29"/>
  <c r="O123" i="29"/>
  <c r="M123" i="29"/>
  <c r="K123" i="29"/>
  <c r="I123" i="29"/>
  <c r="H123" i="29"/>
  <c r="G123" i="29"/>
  <c r="E123" i="29"/>
  <c r="D123" i="29"/>
  <c r="C123" i="29"/>
  <c r="R122" i="29"/>
  <c r="O122" i="29"/>
  <c r="M122" i="29"/>
  <c r="K122" i="29"/>
  <c r="I122" i="29"/>
  <c r="H122" i="29"/>
  <c r="G122" i="29"/>
  <c r="E122" i="29"/>
  <c r="D122" i="29"/>
  <c r="C122" i="29"/>
  <c r="R121" i="29"/>
  <c r="O121" i="29"/>
  <c r="M121" i="29"/>
  <c r="K121" i="29"/>
  <c r="I121" i="29"/>
  <c r="H121" i="29"/>
  <c r="G121" i="29"/>
  <c r="E121" i="29"/>
  <c r="D121" i="29"/>
  <c r="C121" i="29"/>
  <c r="R120" i="29"/>
  <c r="O120" i="29"/>
  <c r="M120" i="29"/>
  <c r="K120" i="29"/>
  <c r="I120" i="29"/>
  <c r="H120" i="29"/>
  <c r="G120" i="29"/>
  <c r="E120" i="29"/>
  <c r="D120" i="29"/>
  <c r="C120" i="29"/>
  <c r="R119" i="29"/>
  <c r="O119" i="29"/>
  <c r="M119" i="29"/>
  <c r="K119" i="29"/>
  <c r="I119" i="29"/>
  <c r="H119" i="29"/>
  <c r="G119" i="29"/>
  <c r="E119" i="29"/>
  <c r="D119" i="29"/>
  <c r="C119" i="29"/>
  <c r="R118" i="29"/>
  <c r="O118" i="29"/>
  <c r="M118" i="29"/>
  <c r="K118" i="29"/>
  <c r="I118" i="29"/>
  <c r="H118" i="29"/>
  <c r="G118" i="29"/>
  <c r="E118" i="29"/>
  <c r="D118" i="29"/>
  <c r="C118" i="29"/>
  <c r="R117" i="29"/>
  <c r="O117" i="29"/>
  <c r="M117" i="29"/>
  <c r="K117" i="29"/>
  <c r="I117" i="29"/>
  <c r="H117" i="29"/>
  <c r="G117" i="29"/>
  <c r="E117" i="29"/>
  <c r="D117" i="29"/>
  <c r="C117" i="29"/>
  <c r="R116" i="29"/>
  <c r="O116" i="29"/>
  <c r="M116" i="29"/>
  <c r="K116" i="29"/>
  <c r="I116" i="29"/>
  <c r="H116" i="29"/>
  <c r="G116" i="29"/>
  <c r="E116" i="29"/>
  <c r="D116" i="29"/>
  <c r="C116" i="29"/>
  <c r="R115" i="29"/>
  <c r="O115" i="29"/>
  <c r="M115" i="29"/>
  <c r="K115" i="29"/>
  <c r="I115" i="29"/>
  <c r="H115" i="29"/>
  <c r="G115" i="29"/>
  <c r="E115" i="29"/>
  <c r="D115" i="29"/>
  <c r="C115" i="29"/>
  <c r="R114" i="29"/>
  <c r="O114" i="29"/>
  <c r="M114" i="29"/>
  <c r="K114" i="29"/>
  <c r="I114" i="29"/>
  <c r="H114" i="29"/>
  <c r="G114" i="29"/>
  <c r="E114" i="29"/>
  <c r="D114" i="29"/>
  <c r="C114" i="29"/>
  <c r="R113" i="29"/>
  <c r="O113" i="29"/>
  <c r="M113" i="29"/>
  <c r="K113" i="29"/>
  <c r="I113" i="29"/>
  <c r="H113" i="29"/>
  <c r="G113" i="29"/>
  <c r="E113" i="29"/>
  <c r="D113" i="29"/>
  <c r="C113" i="29"/>
  <c r="R112" i="29"/>
  <c r="O112" i="29"/>
  <c r="M112" i="29"/>
  <c r="K112" i="29"/>
  <c r="I112" i="29"/>
  <c r="H112" i="29"/>
  <c r="G112" i="29"/>
  <c r="E112" i="29"/>
  <c r="D112" i="29"/>
  <c r="C112" i="29"/>
  <c r="R111" i="29"/>
  <c r="O111" i="29"/>
  <c r="M111" i="29"/>
  <c r="K111" i="29"/>
  <c r="I111" i="29"/>
  <c r="H111" i="29"/>
  <c r="G111" i="29"/>
  <c r="E111" i="29"/>
  <c r="D111" i="29"/>
  <c r="C111" i="29"/>
  <c r="R110" i="29"/>
  <c r="O110" i="29"/>
  <c r="M110" i="29"/>
  <c r="K110" i="29"/>
  <c r="I110" i="29"/>
  <c r="H110" i="29"/>
  <c r="G110" i="29"/>
  <c r="E110" i="29"/>
  <c r="D110" i="29"/>
  <c r="C110" i="29"/>
  <c r="R109" i="29"/>
  <c r="O109" i="29"/>
  <c r="M109" i="29"/>
  <c r="K109" i="29"/>
  <c r="I109" i="29"/>
  <c r="H109" i="29"/>
  <c r="G109" i="29"/>
  <c r="E109" i="29"/>
  <c r="D109" i="29"/>
  <c r="C109" i="29"/>
  <c r="R108" i="29"/>
  <c r="O108" i="29"/>
  <c r="M108" i="29"/>
  <c r="K108" i="29"/>
  <c r="I108" i="29"/>
  <c r="H108" i="29"/>
  <c r="G108" i="29"/>
  <c r="E108" i="29"/>
  <c r="D108" i="29"/>
  <c r="C108" i="29"/>
  <c r="R107" i="29"/>
  <c r="O107" i="29"/>
  <c r="M107" i="29"/>
  <c r="K107" i="29"/>
  <c r="I107" i="29"/>
  <c r="H107" i="29"/>
  <c r="G107" i="29"/>
  <c r="E107" i="29"/>
  <c r="D107" i="29"/>
  <c r="C107" i="29"/>
  <c r="R106" i="29"/>
  <c r="O106" i="29"/>
  <c r="M106" i="29"/>
  <c r="K106" i="29"/>
  <c r="I106" i="29"/>
  <c r="H106" i="29"/>
  <c r="G106" i="29"/>
  <c r="E106" i="29"/>
  <c r="D106" i="29"/>
  <c r="C106" i="29"/>
  <c r="R105" i="29"/>
  <c r="O105" i="29"/>
  <c r="M105" i="29"/>
  <c r="K105" i="29"/>
  <c r="I105" i="29"/>
  <c r="H105" i="29"/>
  <c r="G105" i="29"/>
  <c r="E105" i="29"/>
  <c r="D105" i="29"/>
  <c r="C105" i="29"/>
  <c r="R104" i="29"/>
  <c r="O104" i="29"/>
  <c r="M104" i="29"/>
  <c r="K104" i="29"/>
  <c r="I104" i="29"/>
  <c r="H104" i="29"/>
  <c r="G104" i="29"/>
  <c r="E104" i="29"/>
  <c r="D104" i="29"/>
  <c r="C104" i="29"/>
  <c r="R103" i="29"/>
  <c r="O103" i="29"/>
  <c r="M103" i="29"/>
  <c r="K103" i="29"/>
  <c r="I103" i="29"/>
  <c r="H103" i="29"/>
  <c r="G103" i="29"/>
  <c r="E103" i="29"/>
  <c r="D103" i="29"/>
  <c r="C103" i="29"/>
  <c r="R102" i="29"/>
  <c r="O102" i="29"/>
  <c r="M102" i="29"/>
  <c r="K102" i="29"/>
  <c r="I102" i="29"/>
  <c r="H102" i="29"/>
  <c r="G102" i="29"/>
  <c r="E102" i="29"/>
  <c r="D102" i="29"/>
  <c r="C102" i="29"/>
  <c r="R101" i="29"/>
  <c r="O101" i="29"/>
  <c r="M101" i="29"/>
  <c r="K101" i="29"/>
  <c r="I101" i="29"/>
  <c r="H101" i="29"/>
  <c r="G101" i="29"/>
  <c r="E101" i="29"/>
  <c r="D101" i="29"/>
  <c r="C101" i="29"/>
  <c r="R100" i="29"/>
  <c r="O100" i="29"/>
  <c r="M100" i="29"/>
  <c r="K100" i="29"/>
  <c r="I100" i="29"/>
  <c r="H100" i="29"/>
  <c r="G100" i="29"/>
  <c r="E100" i="29"/>
  <c r="D100" i="29"/>
  <c r="C100" i="29"/>
  <c r="R99" i="29"/>
  <c r="O99" i="29"/>
  <c r="M99" i="29"/>
  <c r="K99" i="29"/>
  <c r="I99" i="29"/>
  <c r="H99" i="29"/>
  <c r="G99" i="29"/>
  <c r="E99" i="29"/>
  <c r="D99" i="29"/>
  <c r="C99" i="29"/>
  <c r="R98" i="29"/>
  <c r="O98" i="29"/>
  <c r="M98" i="29"/>
  <c r="K98" i="29"/>
  <c r="I98" i="29"/>
  <c r="H98" i="29"/>
  <c r="G98" i="29"/>
  <c r="E98" i="29"/>
  <c r="D98" i="29"/>
  <c r="C98" i="29"/>
  <c r="R97" i="29"/>
  <c r="O97" i="29"/>
  <c r="M97" i="29"/>
  <c r="K97" i="29"/>
  <c r="I97" i="29"/>
  <c r="H97" i="29"/>
  <c r="G97" i="29"/>
  <c r="E97" i="29"/>
  <c r="D97" i="29"/>
  <c r="C97" i="29"/>
  <c r="R96" i="29"/>
  <c r="O96" i="29"/>
  <c r="M96" i="29"/>
  <c r="K96" i="29"/>
  <c r="I96" i="29"/>
  <c r="H96" i="29"/>
  <c r="G96" i="29"/>
  <c r="E96" i="29"/>
  <c r="D96" i="29"/>
  <c r="C96" i="29"/>
  <c r="R95" i="29"/>
  <c r="O95" i="29"/>
  <c r="M95" i="29"/>
  <c r="K95" i="29"/>
  <c r="I95" i="29"/>
  <c r="H95" i="29"/>
  <c r="G95" i="29"/>
  <c r="E95" i="29"/>
  <c r="D95" i="29"/>
  <c r="C95" i="29"/>
  <c r="R94" i="29"/>
  <c r="O94" i="29"/>
  <c r="M94" i="29"/>
  <c r="K94" i="29"/>
  <c r="I94" i="29"/>
  <c r="H94" i="29"/>
  <c r="G94" i="29"/>
  <c r="E94" i="29"/>
  <c r="D94" i="29"/>
  <c r="C94" i="29"/>
  <c r="R93" i="29"/>
  <c r="O93" i="29"/>
  <c r="M93" i="29"/>
  <c r="K93" i="29"/>
  <c r="I93" i="29"/>
  <c r="H93" i="29"/>
  <c r="G93" i="29"/>
  <c r="E93" i="29"/>
  <c r="D93" i="29"/>
  <c r="C93" i="29"/>
  <c r="R92" i="29"/>
  <c r="O92" i="29"/>
  <c r="M92" i="29"/>
  <c r="K92" i="29"/>
  <c r="I92" i="29"/>
  <c r="H92" i="29"/>
  <c r="G92" i="29"/>
  <c r="E92" i="29"/>
  <c r="D92" i="29"/>
  <c r="C92" i="29"/>
  <c r="R91" i="29"/>
  <c r="O91" i="29"/>
  <c r="M91" i="29"/>
  <c r="K91" i="29"/>
  <c r="I91" i="29"/>
  <c r="H91" i="29"/>
  <c r="G91" i="29"/>
  <c r="E91" i="29"/>
  <c r="D91" i="29"/>
  <c r="C91" i="29"/>
  <c r="R90" i="29"/>
  <c r="O90" i="29"/>
  <c r="M90" i="29"/>
  <c r="K90" i="29"/>
  <c r="I90" i="29"/>
  <c r="H90" i="29"/>
  <c r="G90" i="29"/>
  <c r="E90" i="29"/>
  <c r="D90" i="29"/>
  <c r="C90" i="29"/>
  <c r="R89" i="29"/>
  <c r="O89" i="29"/>
  <c r="M89" i="29"/>
  <c r="K89" i="29"/>
  <c r="I89" i="29"/>
  <c r="H89" i="29"/>
  <c r="G89" i="29"/>
  <c r="E89" i="29"/>
  <c r="D89" i="29"/>
  <c r="C89" i="29"/>
  <c r="R88" i="29"/>
  <c r="O88" i="29"/>
  <c r="M88" i="29"/>
  <c r="K88" i="29"/>
  <c r="I88" i="29"/>
  <c r="H88" i="29"/>
  <c r="G88" i="29"/>
  <c r="E88" i="29"/>
  <c r="D88" i="29"/>
  <c r="C88" i="29"/>
  <c r="R87" i="29"/>
  <c r="O87" i="29"/>
  <c r="M87" i="29"/>
  <c r="K87" i="29"/>
  <c r="I87" i="29"/>
  <c r="H87" i="29"/>
  <c r="G87" i="29"/>
  <c r="E87" i="29"/>
  <c r="D87" i="29"/>
  <c r="C87" i="29"/>
  <c r="R86" i="29"/>
  <c r="O86" i="29"/>
  <c r="M86" i="29"/>
  <c r="K86" i="29"/>
  <c r="I86" i="29"/>
  <c r="H86" i="29"/>
  <c r="G86" i="29"/>
  <c r="E86" i="29"/>
  <c r="D86" i="29"/>
  <c r="C86" i="29"/>
  <c r="R85" i="29"/>
  <c r="O85" i="29"/>
  <c r="M85" i="29"/>
  <c r="K85" i="29"/>
  <c r="I85" i="29"/>
  <c r="H85" i="29"/>
  <c r="G85" i="29"/>
  <c r="E85" i="29"/>
  <c r="D85" i="29"/>
  <c r="C85" i="29"/>
  <c r="R84" i="29"/>
  <c r="O84" i="29"/>
  <c r="M84" i="29"/>
  <c r="K84" i="29"/>
  <c r="I84" i="29"/>
  <c r="H84" i="29"/>
  <c r="G84" i="29"/>
  <c r="E84" i="29"/>
  <c r="D84" i="29"/>
  <c r="C84" i="29"/>
  <c r="R83" i="29"/>
  <c r="O83" i="29"/>
  <c r="M83" i="29"/>
  <c r="K83" i="29"/>
  <c r="I83" i="29"/>
  <c r="H83" i="29"/>
  <c r="G83" i="29"/>
  <c r="E83" i="29"/>
  <c r="D83" i="29"/>
  <c r="C83" i="29"/>
  <c r="R82" i="29"/>
  <c r="O82" i="29"/>
  <c r="M82" i="29"/>
  <c r="K82" i="29"/>
  <c r="I82" i="29"/>
  <c r="H82" i="29"/>
  <c r="G82" i="29"/>
  <c r="E82" i="29"/>
  <c r="D82" i="29"/>
  <c r="C82" i="29"/>
  <c r="R81" i="29"/>
  <c r="O81" i="29"/>
  <c r="M81" i="29"/>
  <c r="K81" i="29"/>
  <c r="I81" i="29"/>
  <c r="H81" i="29"/>
  <c r="G81" i="29"/>
  <c r="E81" i="29"/>
  <c r="D81" i="29"/>
  <c r="C81" i="29"/>
  <c r="R80" i="29"/>
  <c r="O80" i="29"/>
  <c r="M80" i="29"/>
  <c r="K80" i="29"/>
  <c r="I80" i="29"/>
  <c r="H80" i="29"/>
  <c r="G80" i="29"/>
  <c r="E80" i="29"/>
  <c r="D80" i="29"/>
  <c r="C80" i="29"/>
  <c r="R79" i="29"/>
  <c r="O79" i="29"/>
  <c r="M79" i="29"/>
  <c r="K79" i="29"/>
  <c r="I79" i="29"/>
  <c r="H79" i="29"/>
  <c r="G79" i="29"/>
  <c r="E79" i="29"/>
  <c r="D79" i="29"/>
  <c r="C79" i="29"/>
  <c r="R78" i="29"/>
  <c r="O78" i="29"/>
  <c r="M78" i="29"/>
  <c r="K78" i="29"/>
  <c r="I78" i="29"/>
  <c r="H78" i="29"/>
  <c r="G78" i="29"/>
  <c r="E78" i="29"/>
  <c r="D78" i="29"/>
  <c r="C78" i="29"/>
  <c r="R77" i="29"/>
  <c r="O77" i="29"/>
  <c r="M77" i="29"/>
  <c r="K77" i="29"/>
  <c r="I77" i="29"/>
  <c r="H77" i="29"/>
  <c r="G77" i="29"/>
  <c r="E77" i="29"/>
  <c r="D77" i="29"/>
  <c r="C77" i="29"/>
  <c r="R76" i="29"/>
  <c r="O76" i="29"/>
  <c r="M76" i="29"/>
  <c r="K76" i="29"/>
  <c r="I76" i="29"/>
  <c r="H76" i="29"/>
  <c r="G76" i="29"/>
  <c r="E76" i="29"/>
  <c r="D76" i="29"/>
  <c r="C76" i="29"/>
  <c r="R75" i="29"/>
  <c r="O75" i="29"/>
  <c r="M75" i="29"/>
  <c r="K75" i="29"/>
  <c r="I75" i="29"/>
  <c r="H75" i="29"/>
  <c r="G75" i="29"/>
  <c r="E75" i="29"/>
  <c r="D75" i="29"/>
  <c r="C75" i="29"/>
  <c r="R74" i="29"/>
  <c r="O74" i="29"/>
  <c r="M74" i="29"/>
  <c r="K74" i="29"/>
  <c r="I74" i="29"/>
  <c r="H74" i="29"/>
  <c r="G74" i="29"/>
  <c r="E74" i="29"/>
  <c r="D74" i="29"/>
  <c r="C74" i="29"/>
  <c r="R73" i="29"/>
  <c r="O73" i="29"/>
  <c r="M73" i="29"/>
  <c r="K73" i="29"/>
  <c r="I73" i="29"/>
  <c r="H73" i="29"/>
  <c r="G73" i="29"/>
  <c r="E73" i="29"/>
  <c r="D73" i="29"/>
  <c r="C73" i="29"/>
  <c r="R72" i="29"/>
  <c r="O72" i="29"/>
  <c r="M72" i="29"/>
  <c r="K72" i="29"/>
  <c r="I72" i="29"/>
  <c r="H72" i="29"/>
  <c r="G72" i="29"/>
  <c r="E72" i="29"/>
  <c r="D72" i="29"/>
  <c r="C72" i="29"/>
  <c r="R71" i="29"/>
  <c r="O71" i="29"/>
  <c r="M71" i="29"/>
  <c r="K71" i="29"/>
  <c r="I71" i="29"/>
  <c r="H71" i="29"/>
  <c r="G71" i="29"/>
  <c r="E71" i="29"/>
  <c r="D71" i="29"/>
  <c r="C71" i="29"/>
  <c r="R70" i="29"/>
  <c r="O70" i="29"/>
  <c r="M70" i="29"/>
  <c r="K70" i="29"/>
  <c r="I70" i="29"/>
  <c r="H70" i="29"/>
  <c r="G70" i="29"/>
  <c r="E70" i="29"/>
  <c r="D70" i="29"/>
  <c r="C70" i="29"/>
  <c r="R69" i="29"/>
  <c r="O69" i="29"/>
  <c r="M69" i="29"/>
  <c r="K69" i="29"/>
  <c r="I69" i="29"/>
  <c r="H69" i="29"/>
  <c r="G69" i="29"/>
  <c r="E69" i="29"/>
  <c r="D69" i="29"/>
  <c r="C69" i="29"/>
  <c r="R68" i="29"/>
  <c r="O68" i="29"/>
  <c r="M68" i="29"/>
  <c r="K68" i="29"/>
  <c r="I68" i="29"/>
  <c r="H68" i="29"/>
  <c r="G68" i="29"/>
  <c r="E68" i="29"/>
  <c r="D68" i="29"/>
  <c r="C68" i="29"/>
  <c r="R67" i="29"/>
  <c r="O67" i="29"/>
  <c r="M67" i="29"/>
  <c r="K67" i="29"/>
  <c r="I67" i="29"/>
  <c r="H67" i="29"/>
  <c r="G67" i="29"/>
  <c r="E67" i="29"/>
  <c r="D67" i="29"/>
  <c r="C67" i="29"/>
  <c r="R66" i="29"/>
  <c r="O66" i="29"/>
  <c r="M66" i="29"/>
  <c r="K66" i="29"/>
  <c r="I66" i="29"/>
  <c r="H66" i="29"/>
  <c r="G66" i="29"/>
  <c r="E66" i="29"/>
  <c r="D66" i="29"/>
  <c r="C66" i="29"/>
  <c r="R65" i="29"/>
  <c r="O65" i="29"/>
  <c r="M65" i="29"/>
  <c r="K65" i="29"/>
  <c r="I65" i="29"/>
  <c r="H65" i="29"/>
  <c r="G65" i="29"/>
  <c r="E65" i="29"/>
  <c r="D65" i="29"/>
  <c r="C65" i="29"/>
  <c r="R64" i="29"/>
  <c r="O64" i="29"/>
  <c r="M64" i="29"/>
  <c r="K64" i="29"/>
  <c r="I64" i="29"/>
  <c r="H64" i="29"/>
  <c r="G64" i="29"/>
  <c r="E64" i="29"/>
  <c r="D64" i="29"/>
  <c r="C64" i="29"/>
  <c r="R63" i="29"/>
  <c r="O63" i="29"/>
  <c r="M63" i="29"/>
  <c r="K63" i="29"/>
  <c r="I63" i="29"/>
  <c r="H63" i="29"/>
  <c r="G63" i="29"/>
  <c r="E63" i="29"/>
  <c r="D63" i="29"/>
  <c r="C63" i="29"/>
  <c r="R62" i="29"/>
  <c r="O62" i="29"/>
  <c r="M62" i="29"/>
  <c r="K62" i="29"/>
  <c r="I62" i="29"/>
  <c r="H62" i="29"/>
  <c r="G62" i="29"/>
  <c r="E62" i="29"/>
  <c r="D62" i="29"/>
  <c r="C62" i="29"/>
  <c r="R61" i="29"/>
  <c r="O61" i="29"/>
  <c r="M61" i="29"/>
  <c r="K61" i="29"/>
  <c r="I61" i="29"/>
  <c r="H61" i="29"/>
  <c r="G61" i="29"/>
  <c r="E61" i="29"/>
  <c r="D61" i="29"/>
  <c r="C61" i="29"/>
  <c r="R60" i="29"/>
  <c r="O60" i="29"/>
  <c r="M60" i="29"/>
  <c r="K60" i="29"/>
  <c r="I60" i="29"/>
  <c r="H60" i="29"/>
  <c r="G60" i="29"/>
  <c r="E60" i="29"/>
  <c r="D60" i="29"/>
  <c r="C60" i="29"/>
  <c r="R59" i="29"/>
  <c r="O59" i="29"/>
  <c r="M59" i="29"/>
  <c r="K59" i="29"/>
  <c r="I59" i="29"/>
  <c r="H59" i="29"/>
  <c r="G59" i="29"/>
  <c r="E59" i="29"/>
  <c r="D59" i="29"/>
  <c r="C59" i="29"/>
  <c r="R58" i="29"/>
  <c r="O58" i="29"/>
  <c r="M58" i="29"/>
  <c r="K58" i="29"/>
  <c r="I58" i="29"/>
  <c r="H58" i="29"/>
  <c r="G58" i="29"/>
  <c r="E58" i="29"/>
  <c r="D58" i="29"/>
  <c r="C58" i="29"/>
  <c r="R57" i="29"/>
  <c r="O57" i="29"/>
  <c r="M57" i="29"/>
  <c r="K57" i="29"/>
  <c r="I57" i="29"/>
  <c r="H57" i="29"/>
  <c r="G57" i="29"/>
  <c r="E57" i="29"/>
  <c r="D57" i="29"/>
  <c r="C57" i="29"/>
  <c r="R56" i="29"/>
  <c r="O56" i="29"/>
  <c r="M56" i="29"/>
  <c r="K56" i="29"/>
  <c r="I56" i="29"/>
  <c r="H56" i="29"/>
  <c r="G56" i="29"/>
  <c r="E56" i="29"/>
  <c r="D56" i="29"/>
  <c r="C56" i="29"/>
  <c r="R55" i="29"/>
  <c r="O55" i="29"/>
  <c r="M55" i="29"/>
  <c r="K55" i="29"/>
  <c r="I55" i="29"/>
  <c r="H55" i="29"/>
  <c r="G55" i="29"/>
  <c r="E55" i="29"/>
  <c r="D55" i="29"/>
  <c r="C55" i="29"/>
  <c r="R54" i="29"/>
  <c r="O54" i="29"/>
  <c r="M54" i="29"/>
  <c r="K54" i="29"/>
  <c r="I54" i="29"/>
  <c r="H54" i="29"/>
  <c r="G54" i="29"/>
  <c r="E54" i="29"/>
  <c r="D54" i="29"/>
  <c r="C54" i="29"/>
  <c r="R53" i="29"/>
  <c r="O53" i="29"/>
  <c r="M53" i="29"/>
  <c r="K53" i="29"/>
  <c r="I53" i="29"/>
  <c r="H53" i="29"/>
  <c r="G53" i="29"/>
  <c r="E53" i="29"/>
  <c r="D53" i="29"/>
  <c r="C53" i="29"/>
  <c r="R52" i="29"/>
  <c r="S52" i="29" s="1"/>
  <c r="O52" i="29"/>
  <c r="M52" i="29"/>
  <c r="K52" i="29"/>
  <c r="I52" i="29"/>
  <c r="H52" i="29"/>
  <c r="G52" i="29"/>
  <c r="E52" i="29"/>
  <c r="D52" i="29"/>
  <c r="C52" i="29"/>
  <c r="R51" i="29"/>
  <c r="O51" i="29"/>
  <c r="M51" i="29"/>
  <c r="K51" i="29"/>
  <c r="I51" i="29"/>
  <c r="H51" i="29"/>
  <c r="G51" i="29"/>
  <c r="E51" i="29"/>
  <c r="D51" i="29"/>
  <c r="C51" i="29"/>
  <c r="R50" i="29"/>
  <c r="O50" i="29"/>
  <c r="M50" i="29"/>
  <c r="K50" i="29"/>
  <c r="I50" i="29"/>
  <c r="H50" i="29"/>
  <c r="G50" i="29"/>
  <c r="E50" i="29"/>
  <c r="D50" i="29"/>
  <c r="C50" i="29"/>
  <c r="R49" i="29"/>
  <c r="O49" i="29"/>
  <c r="M49" i="29"/>
  <c r="K49" i="29"/>
  <c r="I49" i="29"/>
  <c r="H49" i="29"/>
  <c r="G49" i="29"/>
  <c r="E49" i="29"/>
  <c r="D49" i="29"/>
  <c r="C49" i="29"/>
  <c r="R48" i="29"/>
  <c r="O48" i="29"/>
  <c r="M48" i="29"/>
  <c r="K48" i="29"/>
  <c r="I48" i="29"/>
  <c r="H48" i="29"/>
  <c r="G48" i="29"/>
  <c r="E48" i="29"/>
  <c r="D48" i="29"/>
  <c r="C48" i="29"/>
  <c r="R47" i="29"/>
  <c r="O47" i="29"/>
  <c r="M47" i="29"/>
  <c r="K47" i="29"/>
  <c r="I47" i="29"/>
  <c r="H47" i="29"/>
  <c r="G47" i="29"/>
  <c r="E47" i="29"/>
  <c r="D47" i="29"/>
  <c r="C47" i="29"/>
  <c r="R46" i="29"/>
  <c r="O46" i="29"/>
  <c r="M46" i="29"/>
  <c r="K46" i="29"/>
  <c r="I46" i="29"/>
  <c r="H46" i="29"/>
  <c r="G46" i="29"/>
  <c r="E46" i="29"/>
  <c r="D46" i="29"/>
  <c r="C46" i="29"/>
  <c r="R45" i="29"/>
  <c r="O45" i="29"/>
  <c r="M45" i="29"/>
  <c r="K45" i="29"/>
  <c r="I45" i="29"/>
  <c r="H45" i="29"/>
  <c r="G45" i="29"/>
  <c r="E45" i="29"/>
  <c r="D45" i="29"/>
  <c r="C45" i="29"/>
  <c r="R44" i="29"/>
  <c r="O44" i="29"/>
  <c r="M44" i="29"/>
  <c r="K44" i="29"/>
  <c r="I44" i="29"/>
  <c r="H44" i="29"/>
  <c r="G44" i="29"/>
  <c r="E44" i="29"/>
  <c r="D44" i="29"/>
  <c r="C44" i="29"/>
  <c r="R43" i="29"/>
  <c r="O43" i="29"/>
  <c r="M43" i="29"/>
  <c r="K43" i="29"/>
  <c r="I43" i="29"/>
  <c r="H43" i="29"/>
  <c r="G43" i="29"/>
  <c r="E43" i="29"/>
  <c r="D43" i="29"/>
  <c r="C43" i="29"/>
  <c r="R42" i="29"/>
  <c r="O42" i="29"/>
  <c r="M42" i="29"/>
  <c r="K42" i="29"/>
  <c r="I42" i="29"/>
  <c r="H42" i="29"/>
  <c r="G42" i="29"/>
  <c r="E42" i="29"/>
  <c r="D42" i="29"/>
  <c r="C42" i="29"/>
  <c r="R41" i="29"/>
  <c r="O41" i="29"/>
  <c r="M41" i="29"/>
  <c r="K41" i="29"/>
  <c r="I41" i="29"/>
  <c r="H41" i="29"/>
  <c r="G41" i="29"/>
  <c r="E41" i="29"/>
  <c r="D41" i="29"/>
  <c r="C41" i="29"/>
  <c r="R40" i="29"/>
  <c r="O40" i="29"/>
  <c r="M40" i="29"/>
  <c r="K40" i="29"/>
  <c r="I40" i="29"/>
  <c r="H40" i="29"/>
  <c r="G40" i="29"/>
  <c r="E40" i="29"/>
  <c r="D40" i="29"/>
  <c r="C40" i="29"/>
  <c r="R39" i="29"/>
  <c r="O39" i="29"/>
  <c r="M39" i="29"/>
  <c r="K39" i="29"/>
  <c r="I39" i="29"/>
  <c r="H39" i="29"/>
  <c r="G39" i="29"/>
  <c r="E39" i="29"/>
  <c r="D39" i="29"/>
  <c r="C39" i="29"/>
  <c r="R38" i="29"/>
  <c r="O38" i="29"/>
  <c r="M38" i="29"/>
  <c r="K38" i="29"/>
  <c r="I38" i="29"/>
  <c r="H38" i="29"/>
  <c r="G38" i="29"/>
  <c r="E38" i="29"/>
  <c r="D38" i="29"/>
  <c r="C38" i="29"/>
  <c r="R37" i="29"/>
  <c r="O37" i="29"/>
  <c r="M37" i="29"/>
  <c r="K37" i="29"/>
  <c r="I37" i="29"/>
  <c r="H37" i="29"/>
  <c r="G37" i="29"/>
  <c r="E37" i="29"/>
  <c r="D37" i="29"/>
  <c r="C37" i="29"/>
  <c r="R36" i="29"/>
  <c r="O36" i="29"/>
  <c r="M36" i="29"/>
  <c r="K36" i="29"/>
  <c r="I36" i="29"/>
  <c r="H36" i="29"/>
  <c r="G36" i="29"/>
  <c r="E36" i="29"/>
  <c r="D36" i="29"/>
  <c r="C36" i="29"/>
  <c r="R35" i="29"/>
  <c r="O35" i="29"/>
  <c r="M35" i="29"/>
  <c r="K35" i="29"/>
  <c r="I35" i="29"/>
  <c r="H35" i="29"/>
  <c r="G35" i="29"/>
  <c r="E35" i="29"/>
  <c r="D35" i="29"/>
  <c r="C35" i="29"/>
  <c r="R34" i="29"/>
  <c r="O34" i="29"/>
  <c r="M34" i="29"/>
  <c r="K34" i="29"/>
  <c r="I34" i="29"/>
  <c r="H34" i="29"/>
  <c r="G34" i="29"/>
  <c r="E34" i="29"/>
  <c r="D34" i="29"/>
  <c r="C34" i="29"/>
  <c r="R33" i="29"/>
  <c r="O33" i="29"/>
  <c r="M33" i="29"/>
  <c r="K33" i="29"/>
  <c r="I33" i="29"/>
  <c r="H33" i="29"/>
  <c r="G33" i="29"/>
  <c r="E33" i="29"/>
  <c r="D33" i="29"/>
  <c r="C33" i="29"/>
  <c r="R32" i="29"/>
  <c r="O32" i="29"/>
  <c r="M32" i="29"/>
  <c r="K32" i="29"/>
  <c r="I32" i="29"/>
  <c r="H32" i="29"/>
  <c r="G32" i="29"/>
  <c r="E32" i="29"/>
  <c r="D32" i="29"/>
  <c r="C32" i="29"/>
  <c r="R31" i="29"/>
  <c r="O31" i="29"/>
  <c r="M31" i="29"/>
  <c r="K31" i="29"/>
  <c r="I31" i="29"/>
  <c r="H31" i="29"/>
  <c r="G31" i="29"/>
  <c r="E31" i="29"/>
  <c r="D31" i="29"/>
  <c r="C31" i="29"/>
  <c r="R30" i="29"/>
  <c r="O30" i="29"/>
  <c r="M30" i="29"/>
  <c r="K30" i="29"/>
  <c r="I30" i="29"/>
  <c r="H30" i="29"/>
  <c r="G30" i="29"/>
  <c r="E30" i="29"/>
  <c r="D30" i="29"/>
  <c r="C30" i="29"/>
  <c r="R29" i="29"/>
  <c r="O29" i="29"/>
  <c r="M29" i="29"/>
  <c r="K29" i="29"/>
  <c r="I29" i="29"/>
  <c r="H29" i="29"/>
  <c r="G29" i="29"/>
  <c r="E29" i="29"/>
  <c r="D29" i="29"/>
  <c r="C29" i="29"/>
  <c r="R28" i="29"/>
  <c r="O28" i="29"/>
  <c r="M28" i="29"/>
  <c r="K28" i="29"/>
  <c r="I28" i="29"/>
  <c r="H28" i="29"/>
  <c r="G28" i="29"/>
  <c r="E28" i="29"/>
  <c r="D28" i="29"/>
  <c r="C28" i="29"/>
  <c r="R27" i="29"/>
  <c r="O27" i="29"/>
  <c r="M27" i="29"/>
  <c r="K27" i="29"/>
  <c r="I27" i="29"/>
  <c r="H27" i="29"/>
  <c r="G27" i="29"/>
  <c r="E27" i="29"/>
  <c r="D27" i="29"/>
  <c r="C27" i="29"/>
  <c r="R26" i="29"/>
  <c r="O26" i="29"/>
  <c r="M26" i="29"/>
  <c r="K26" i="29"/>
  <c r="I26" i="29"/>
  <c r="H26" i="29"/>
  <c r="G26" i="29"/>
  <c r="E26" i="29"/>
  <c r="D26" i="29"/>
  <c r="C26" i="29"/>
  <c r="R25" i="29"/>
  <c r="O25" i="29"/>
  <c r="M25" i="29"/>
  <c r="K25" i="29"/>
  <c r="I25" i="29"/>
  <c r="H25" i="29"/>
  <c r="G25" i="29"/>
  <c r="E25" i="29"/>
  <c r="D25" i="29"/>
  <c r="C25" i="29"/>
  <c r="R24" i="29"/>
  <c r="O24" i="29"/>
  <c r="M24" i="29"/>
  <c r="K24" i="29"/>
  <c r="I24" i="29"/>
  <c r="H24" i="29"/>
  <c r="G24" i="29"/>
  <c r="E24" i="29"/>
  <c r="D24" i="29"/>
  <c r="C24" i="29"/>
  <c r="R23" i="29"/>
  <c r="O23" i="29"/>
  <c r="M23" i="29"/>
  <c r="K23" i="29"/>
  <c r="I23" i="29"/>
  <c r="H23" i="29"/>
  <c r="G23" i="29"/>
  <c r="E23" i="29"/>
  <c r="D23" i="29"/>
  <c r="C23" i="29"/>
  <c r="R22" i="29"/>
  <c r="O22" i="29"/>
  <c r="M22" i="29"/>
  <c r="K22" i="29"/>
  <c r="I22" i="29"/>
  <c r="H22" i="29"/>
  <c r="G22" i="29"/>
  <c r="E22" i="29"/>
  <c r="D22" i="29"/>
  <c r="C22" i="29"/>
  <c r="R21" i="29"/>
  <c r="O21" i="29"/>
  <c r="M21" i="29"/>
  <c r="K21" i="29"/>
  <c r="I21" i="29"/>
  <c r="H21" i="29"/>
  <c r="G21" i="29"/>
  <c r="E21" i="29"/>
  <c r="D21" i="29"/>
  <c r="C21" i="29"/>
  <c r="R20" i="29"/>
  <c r="O20" i="29"/>
  <c r="M20" i="29"/>
  <c r="K20" i="29"/>
  <c r="I20" i="29"/>
  <c r="H20" i="29"/>
  <c r="G20" i="29"/>
  <c r="E20" i="29"/>
  <c r="D20" i="29"/>
  <c r="C20" i="29"/>
  <c r="R19" i="29"/>
  <c r="O19" i="29"/>
  <c r="M19" i="29"/>
  <c r="K19" i="29"/>
  <c r="I19" i="29"/>
  <c r="H19" i="29"/>
  <c r="G19" i="29"/>
  <c r="E19" i="29"/>
  <c r="D19" i="29"/>
  <c r="C19" i="29"/>
  <c r="R18" i="29"/>
  <c r="O18" i="29"/>
  <c r="M18" i="29"/>
  <c r="K18" i="29"/>
  <c r="I18" i="29"/>
  <c r="H18" i="29"/>
  <c r="G18" i="29"/>
  <c r="E18" i="29"/>
  <c r="D18" i="29"/>
  <c r="C18" i="29"/>
  <c r="R17" i="29"/>
  <c r="O17" i="29"/>
  <c r="M17" i="29"/>
  <c r="K17" i="29"/>
  <c r="I17" i="29"/>
  <c r="H17" i="29"/>
  <c r="G17" i="29"/>
  <c r="E17" i="29"/>
  <c r="D17" i="29"/>
  <c r="C17" i="29"/>
  <c r="R16" i="29"/>
  <c r="O16" i="29"/>
  <c r="M16" i="29"/>
  <c r="K16" i="29"/>
  <c r="I16" i="29"/>
  <c r="H16" i="29"/>
  <c r="G16" i="29"/>
  <c r="E16" i="29"/>
  <c r="D16" i="29"/>
  <c r="C16" i="29"/>
  <c r="R15" i="29"/>
  <c r="O15" i="29"/>
  <c r="M15" i="29"/>
  <c r="K15" i="29"/>
  <c r="I15" i="29"/>
  <c r="H15" i="29"/>
  <c r="G15" i="29"/>
  <c r="E15" i="29"/>
  <c r="D15" i="29"/>
  <c r="C15" i="29"/>
  <c r="R14" i="29"/>
  <c r="O14" i="29"/>
  <c r="M14" i="29"/>
  <c r="K14" i="29"/>
  <c r="I14" i="29"/>
  <c r="H14" i="29"/>
  <c r="G14" i="29"/>
  <c r="E14" i="29"/>
  <c r="D14" i="29"/>
  <c r="C14" i="29"/>
  <c r="R13" i="29"/>
  <c r="O13" i="29"/>
  <c r="M13" i="29"/>
  <c r="K13" i="29"/>
  <c r="I13" i="29"/>
  <c r="H13" i="29"/>
  <c r="G13" i="29"/>
  <c r="E13" i="29"/>
  <c r="D13" i="29"/>
  <c r="C13" i="29"/>
  <c r="R12" i="29"/>
  <c r="O12" i="29"/>
  <c r="M12" i="29"/>
  <c r="K12" i="29"/>
  <c r="I12" i="29"/>
  <c r="H12" i="29"/>
  <c r="G12" i="29"/>
  <c r="E12" i="29"/>
  <c r="D12" i="29"/>
  <c r="C12" i="29"/>
  <c r="R11" i="29"/>
  <c r="S5" i="29" s="1"/>
  <c r="O11" i="29"/>
  <c r="M11" i="29"/>
  <c r="K11" i="29"/>
  <c r="I11" i="29"/>
  <c r="H11" i="29"/>
  <c r="G11" i="29"/>
  <c r="E11" i="29"/>
  <c r="D11" i="29"/>
  <c r="C11" i="29"/>
  <c r="R10" i="29"/>
  <c r="S4" i="29" s="1"/>
  <c r="O10" i="29"/>
  <c r="M10" i="29"/>
  <c r="K10" i="29"/>
  <c r="I10" i="29"/>
  <c r="H10" i="29"/>
  <c r="G10" i="29"/>
  <c r="E10" i="29"/>
  <c r="D10" i="29"/>
  <c r="C10" i="29"/>
  <c r="R9" i="29"/>
  <c r="S3" i="29" s="1"/>
  <c r="O9" i="29"/>
  <c r="M9" i="29"/>
  <c r="K9" i="29"/>
  <c r="I9" i="29"/>
  <c r="H9" i="29"/>
  <c r="G9" i="29"/>
  <c r="E9" i="29"/>
  <c r="D9" i="29"/>
  <c r="C9" i="29"/>
  <c r="R8" i="29"/>
  <c r="O8" i="29"/>
  <c r="M8" i="29"/>
  <c r="K8" i="29"/>
  <c r="I8" i="29"/>
  <c r="H8" i="29"/>
  <c r="G8" i="29"/>
  <c r="E8" i="29"/>
  <c r="D8" i="29"/>
  <c r="C8" i="29"/>
  <c r="R7" i="29"/>
  <c r="O7" i="29"/>
  <c r="M7" i="29"/>
  <c r="K7" i="29"/>
  <c r="I7" i="29"/>
  <c r="H7" i="29"/>
  <c r="G7" i="29"/>
  <c r="E7" i="29"/>
  <c r="D7" i="29"/>
  <c r="C7" i="29"/>
  <c r="R6" i="29"/>
  <c r="O6" i="29"/>
  <c r="M6" i="29"/>
  <c r="K6" i="29"/>
  <c r="I6" i="29"/>
  <c r="H6" i="29"/>
  <c r="G6" i="29"/>
  <c r="E6" i="29"/>
  <c r="D6" i="29"/>
  <c r="C6" i="29"/>
  <c r="S189" i="29" l="1"/>
  <c r="T3" i="29"/>
  <c r="U3" i="29" s="1"/>
  <c r="T5" i="29"/>
  <c r="U5" i="29" s="1"/>
  <c r="T4" i="29"/>
  <c r="U4" i="29" s="1"/>
  <c r="D59" i="32"/>
  <c r="E59" i="32" s="1"/>
  <c r="F59" i="32" s="1"/>
  <c r="S55" i="29"/>
  <c r="S63" i="29"/>
  <c r="S127" i="29"/>
  <c r="S143" i="29"/>
  <c r="S183" i="29"/>
  <c r="D53" i="32"/>
  <c r="E53" i="32" s="1"/>
  <c r="F53" i="32" s="1"/>
  <c r="D54" i="32"/>
  <c r="E54" i="32" s="1"/>
  <c r="F54" i="32" s="1"/>
  <c r="D52" i="32"/>
  <c r="E52" i="32" s="1"/>
  <c r="F52" i="32" s="1"/>
  <c r="D57" i="32"/>
  <c r="E57" i="32" s="1"/>
  <c r="F57" i="32" s="1"/>
  <c r="D55" i="32"/>
  <c r="E55" i="32" s="1"/>
  <c r="F55" i="32" s="1"/>
  <c r="D56" i="32"/>
  <c r="E56" i="32" s="1"/>
  <c r="F56" i="32" s="1"/>
  <c r="O10" i="1"/>
  <c r="P10" i="1" s="1"/>
  <c r="O11" i="1"/>
  <c r="P11" i="1" s="1"/>
  <c r="O12" i="1"/>
  <c r="P12" i="1" s="1"/>
  <c r="O13" i="1"/>
  <c r="P13" i="1" s="1"/>
  <c r="O9" i="1"/>
  <c r="P9" i="1" s="1"/>
  <c r="O5" i="1"/>
  <c r="O6" i="1"/>
  <c r="P6" i="1" s="1"/>
  <c r="O7" i="1"/>
  <c r="P7" i="1" s="1"/>
  <c r="O8" i="1"/>
  <c r="P8" i="1" s="1"/>
  <c r="D45" i="32"/>
  <c r="C45" i="32"/>
  <c r="S326" i="29"/>
  <c r="S219" i="29"/>
  <c r="S227" i="29"/>
  <c r="S50" i="29"/>
  <c r="S228" i="29"/>
  <c r="S240" i="29"/>
  <c r="S244" i="29"/>
  <c r="S248" i="29"/>
  <c r="S252" i="29"/>
  <c r="S264" i="29"/>
  <c r="S272" i="29"/>
  <c r="S276" i="29"/>
  <c r="S284" i="29"/>
  <c r="U284" i="29" s="1"/>
  <c r="S292" i="29"/>
  <c r="S203" i="29"/>
  <c r="S317" i="29"/>
  <c r="S58" i="29"/>
  <c r="S184" i="29"/>
  <c r="S194" i="29"/>
  <c r="S198" i="29"/>
  <c r="S206" i="29"/>
  <c r="S141" i="29"/>
  <c r="S321" i="29"/>
  <c r="S316" i="29"/>
  <c r="S195" i="29"/>
  <c r="S210" i="29"/>
  <c r="S214" i="29"/>
  <c r="S218" i="29"/>
  <c r="T233" i="29"/>
  <c r="S241" i="29"/>
  <c r="T244" i="29"/>
  <c r="T248" i="29"/>
  <c r="T252" i="29"/>
  <c r="S257" i="29"/>
  <c r="S261" i="29"/>
  <c r="S265" i="29"/>
  <c r="S269" i="29"/>
  <c r="S273" i="29"/>
  <c r="T276" i="29"/>
  <c r="S281" i="29"/>
  <c r="T284" i="29"/>
  <c r="S289" i="29"/>
  <c r="T292" i="29"/>
  <c r="U292" i="29" s="1"/>
  <c r="T297" i="29"/>
  <c r="T301" i="29"/>
  <c r="T305" i="29"/>
  <c r="T309" i="29"/>
  <c r="S190" i="29"/>
  <c r="S202" i="29"/>
  <c r="S133" i="29"/>
  <c r="S137" i="29"/>
  <c r="S222" i="29"/>
  <c r="S226" i="29"/>
  <c r="S234" i="29"/>
  <c r="S242" i="29"/>
  <c r="S246" i="29"/>
  <c r="S250" i="29"/>
  <c r="S254" i="29"/>
  <c r="S262" i="29"/>
  <c r="S270" i="29"/>
  <c r="S274" i="29"/>
  <c r="S282" i="29"/>
  <c r="S286" i="29"/>
  <c r="S290" i="29"/>
  <c r="S294" i="29"/>
  <c r="S139" i="29"/>
  <c r="S196" i="29"/>
  <c r="S211" i="29"/>
  <c r="S230" i="29"/>
  <c r="S7" i="29"/>
  <c r="S11" i="29"/>
  <c r="S15" i="29"/>
  <c r="T19" i="29"/>
  <c r="S27" i="29"/>
  <c r="T31" i="29"/>
  <c r="T35" i="29"/>
  <c r="T39" i="29"/>
  <c r="T43" i="29"/>
  <c r="T47" i="29"/>
  <c r="S124" i="29"/>
  <c r="S132" i="29"/>
  <c r="T313" i="29"/>
  <c r="T8" i="29"/>
  <c r="T12" i="29"/>
  <c r="T16" i="29"/>
  <c r="T20" i="29"/>
  <c r="T24" i="29"/>
  <c r="T28" i="29"/>
  <c r="T32" i="29"/>
  <c r="T36" i="29"/>
  <c r="T40" i="29"/>
  <c r="T44" i="29"/>
  <c r="T48" i="29"/>
  <c r="S129" i="29"/>
  <c r="T182" i="29"/>
  <c r="T192" i="29"/>
  <c r="T208" i="29"/>
  <c r="T224" i="29"/>
  <c r="T205" i="29"/>
  <c r="T221" i="29"/>
  <c r="T238" i="29"/>
  <c r="T258" i="29"/>
  <c r="T266" i="29"/>
  <c r="T278" i="29"/>
  <c r="T298" i="29"/>
  <c r="T302" i="29"/>
  <c r="T306" i="29"/>
  <c r="T310" i="29"/>
  <c r="T314" i="29"/>
  <c r="S9" i="29"/>
  <c r="S13" i="29"/>
  <c r="S17" i="29"/>
  <c r="T21" i="29"/>
  <c r="T25" i="29"/>
  <c r="T29" i="29"/>
  <c r="T33" i="29"/>
  <c r="S37" i="29"/>
  <c r="T41" i="29"/>
  <c r="S45" i="29"/>
  <c r="S49" i="29"/>
  <c r="S68" i="29"/>
  <c r="T323" i="29"/>
  <c r="T23" i="29"/>
  <c r="S243" i="29"/>
  <c r="T246" i="29"/>
  <c r="T250" i="29"/>
  <c r="S255" i="29"/>
  <c r="T259" i="29"/>
  <c r="T262" i="29"/>
  <c r="S267" i="29"/>
  <c r="S271" i="29"/>
  <c r="T274" i="29"/>
  <c r="T279" i="29"/>
  <c r="S283" i="29"/>
  <c r="T286" i="29"/>
  <c r="T290" i="29"/>
  <c r="U290" i="29" s="1"/>
  <c r="S295" i="29"/>
  <c r="T299" i="29"/>
  <c r="T303" i="29"/>
  <c r="T307" i="29"/>
  <c r="T311" i="29"/>
  <c r="T315" i="29"/>
  <c r="U315" i="29" s="1"/>
  <c r="T324" i="29"/>
  <c r="T6" i="29"/>
  <c r="T10" i="29"/>
  <c r="T14" i="29"/>
  <c r="T18" i="29"/>
  <c r="T22" i="29"/>
  <c r="T26" i="29"/>
  <c r="T30" i="29"/>
  <c r="T34" i="29"/>
  <c r="T38" i="29"/>
  <c r="T42" i="29"/>
  <c r="T46" i="29"/>
  <c r="T187" i="29"/>
  <c r="T200" i="29"/>
  <c r="T216" i="29"/>
  <c r="T232" i="29"/>
  <c r="T197" i="29"/>
  <c r="T213" i="29"/>
  <c r="T229" i="29"/>
  <c r="T256" i="29"/>
  <c r="T260" i="29"/>
  <c r="T268" i="29"/>
  <c r="T280" i="29"/>
  <c r="T288" i="29"/>
  <c r="T296" i="29"/>
  <c r="T300" i="29"/>
  <c r="T304" i="29"/>
  <c r="T308" i="29"/>
  <c r="T312" i="29"/>
  <c r="S319" i="29"/>
  <c r="S299" i="29"/>
  <c r="S301" i="29"/>
  <c r="S303" i="29"/>
  <c r="S305" i="29"/>
  <c r="S307" i="29"/>
  <c r="S309" i="29"/>
  <c r="S311" i="29"/>
  <c r="S313" i="29"/>
  <c r="S323" i="29"/>
  <c r="T132" i="29"/>
  <c r="S135" i="29"/>
  <c r="S221" i="29"/>
  <c r="S245" i="29"/>
  <c r="S259" i="29"/>
  <c r="S277" i="29"/>
  <c r="S279" i="29"/>
  <c r="S285" i="29"/>
  <c r="S291" i="29"/>
  <c r="S297" i="29"/>
  <c r="S21" i="29"/>
  <c r="S31" i="29"/>
  <c r="S33" i="29"/>
  <c r="S41" i="29"/>
  <c r="S43" i="29"/>
  <c r="T49" i="29"/>
  <c r="S136" i="29"/>
  <c r="S145" i="29"/>
  <c r="S187" i="29"/>
  <c r="T190" i="29"/>
  <c r="U190" i="29" s="1"/>
  <c r="S192" i="29"/>
  <c r="U192" i="29" s="1"/>
  <c r="T195" i="29"/>
  <c r="U195" i="29" s="1"/>
  <c r="S200" i="29"/>
  <c r="T203" i="29"/>
  <c r="U203" i="29" s="1"/>
  <c r="S208" i="29"/>
  <c r="T211" i="29"/>
  <c r="S216" i="29"/>
  <c r="T219" i="29"/>
  <c r="S224" i="29"/>
  <c r="U224" i="29" s="1"/>
  <c r="T227" i="29"/>
  <c r="S232" i="29"/>
  <c r="T235" i="29"/>
  <c r="T239" i="29"/>
  <c r="T241" i="29"/>
  <c r="T243" i="29"/>
  <c r="T245" i="29"/>
  <c r="T247" i="29"/>
  <c r="T249" i="29"/>
  <c r="T251" i="29"/>
  <c r="T253" i="29"/>
  <c r="T255" i="29"/>
  <c r="T257" i="29"/>
  <c r="T261" i="29"/>
  <c r="T263" i="29"/>
  <c r="T265" i="29"/>
  <c r="T267" i="29"/>
  <c r="T269" i="29"/>
  <c r="T271" i="29"/>
  <c r="T273" i="29"/>
  <c r="U273" i="29" s="1"/>
  <c r="T275" i="29"/>
  <c r="T277" i="29"/>
  <c r="T281" i="29"/>
  <c r="T283" i="29"/>
  <c r="T285" i="29"/>
  <c r="T287" i="29"/>
  <c r="T289" i="29"/>
  <c r="T291" i="29"/>
  <c r="T293" i="29"/>
  <c r="T295" i="29"/>
  <c r="S318" i="29"/>
  <c r="U33" i="29"/>
  <c r="S247" i="29"/>
  <c r="S253" i="29"/>
  <c r="S263" i="29"/>
  <c r="S275" i="29"/>
  <c r="S19" i="29"/>
  <c r="S23" i="29"/>
  <c r="S25" i="29"/>
  <c r="S29" i="29"/>
  <c r="S35" i="29"/>
  <c r="U35" i="29" s="1"/>
  <c r="S39" i="29"/>
  <c r="S47" i="29"/>
  <c r="U47" i="29" s="1"/>
  <c r="T7" i="29"/>
  <c r="U7" i="29" s="1"/>
  <c r="T9" i="29"/>
  <c r="T11" i="29"/>
  <c r="U11" i="29" s="1"/>
  <c r="T13" i="29"/>
  <c r="U13" i="29" s="1"/>
  <c r="T15" i="29"/>
  <c r="U15" i="29" s="1"/>
  <c r="T17" i="29"/>
  <c r="U17" i="29" s="1"/>
  <c r="T27" i="29"/>
  <c r="T37" i="29"/>
  <c r="U37" i="29" s="1"/>
  <c r="T45" i="29"/>
  <c r="T198" i="29"/>
  <c r="T206" i="29"/>
  <c r="T214" i="29"/>
  <c r="T222" i="29"/>
  <c r="U222" i="29" s="1"/>
  <c r="T230" i="29"/>
  <c r="U248" i="29"/>
  <c r="U276" i="29"/>
  <c r="S324" i="29"/>
  <c r="S197" i="29"/>
  <c r="S205" i="29"/>
  <c r="U205" i="29" s="1"/>
  <c r="S249" i="29"/>
  <c r="S251" i="29"/>
  <c r="S287" i="29"/>
  <c r="S293" i="29"/>
  <c r="U293" i="29" s="1"/>
  <c r="T188" i="29"/>
  <c r="T193" i="29"/>
  <c r="T201" i="29"/>
  <c r="T209" i="29"/>
  <c r="T217" i="29"/>
  <c r="T225" i="29"/>
  <c r="T236" i="29"/>
  <c r="T66" i="29"/>
  <c r="S229" i="29"/>
  <c r="S182" i="29"/>
  <c r="S188" i="29"/>
  <c r="T191" i="29"/>
  <c r="S193" i="29"/>
  <c r="U193" i="29" s="1"/>
  <c r="T196" i="29"/>
  <c r="S201" i="29"/>
  <c r="T204" i="29"/>
  <c r="U204" i="29" s="1"/>
  <c r="S209" i="29"/>
  <c r="T212" i="29"/>
  <c r="U212" i="29" s="1"/>
  <c r="S217" i="29"/>
  <c r="T220" i="29"/>
  <c r="S225" i="29"/>
  <c r="T228" i="29"/>
  <c r="S233" i="29"/>
  <c r="U233" i="29" s="1"/>
  <c r="S256" i="29"/>
  <c r="S258" i="29"/>
  <c r="S260" i="29"/>
  <c r="S266" i="29"/>
  <c r="U266" i="29" s="1"/>
  <c r="S268" i="29"/>
  <c r="U268" i="29" s="1"/>
  <c r="S278" i="29"/>
  <c r="S280" i="29"/>
  <c r="S288" i="29"/>
  <c r="U288" i="29" s="1"/>
  <c r="S296" i="29"/>
  <c r="S298" i="29"/>
  <c r="S300" i="29"/>
  <c r="U300" i="29" s="1"/>
  <c r="S302" i="29"/>
  <c r="S304" i="29"/>
  <c r="S306" i="29"/>
  <c r="S308" i="29"/>
  <c r="S310" i="29"/>
  <c r="U310" i="29" s="1"/>
  <c r="S312" i="29"/>
  <c r="T321" i="29"/>
  <c r="T322" i="29"/>
  <c r="S213" i="29"/>
  <c r="S6" i="29"/>
  <c r="U6" i="29" s="1"/>
  <c r="S8" i="29"/>
  <c r="S10" i="29"/>
  <c r="S12" i="29"/>
  <c r="U12" i="29" s="1"/>
  <c r="S14" i="29"/>
  <c r="S16" i="29"/>
  <c r="S18" i="29"/>
  <c r="U18" i="29" s="1"/>
  <c r="S20" i="29"/>
  <c r="S22" i="29"/>
  <c r="U22" i="29" s="1"/>
  <c r="S24" i="29"/>
  <c r="U24" i="29" s="1"/>
  <c r="S26" i="29"/>
  <c r="S28" i="29"/>
  <c r="U28" i="29" s="1"/>
  <c r="S30" i="29"/>
  <c r="S32" i="29"/>
  <c r="U32" i="29" s="1"/>
  <c r="S34" i="29"/>
  <c r="U34" i="29" s="1"/>
  <c r="S36" i="29"/>
  <c r="S38" i="29"/>
  <c r="U38" i="29" s="1"/>
  <c r="S40" i="29"/>
  <c r="S42" i="29"/>
  <c r="S44" i="29"/>
  <c r="U44" i="29" s="1"/>
  <c r="S46" i="29"/>
  <c r="T54" i="29"/>
  <c r="T61" i="29"/>
  <c r="T124" i="29"/>
  <c r="S191" i="29"/>
  <c r="U191" i="29" s="1"/>
  <c r="T199" i="29"/>
  <c r="T207" i="29"/>
  <c r="T215" i="29"/>
  <c r="T223" i="29"/>
  <c r="T231" i="29"/>
  <c r="T237" i="29"/>
  <c r="T240" i="29"/>
  <c r="T242" i="29"/>
  <c r="U242" i="29" s="1"/>
  <c r="T254" i="29"/>
  <c r="T264" i="29"/>
  <c r="U264" i="29" s="1"/>
  <c r="T270" i="29"/>
  <c r="U270" i="29" s="1"/>
  <c r="T272" i="29"/>
  <c r="T282" i="29"/>
  <c r="T294" i="29"/>
  <c r="U294" i="29" s="1"/>
  <c r="U45" i="29"/>
  <c r="T65" i="29"/>
  <c r="T186" i="29"/>
  <c r="T189" i="29"/>
  <c r="U189" i="29" s="1"/>
  <c r="T194" i="29"/>
  <c r="S199" i="29"/>
  <c r="T202" i="29"/>
  <c r="U202" i="29" s="1"/>
  <c r="S207" i="29"/>
  <c r="T210" i="29"/>
  <c r="U210" i="29" s="1"/>
  <c r="S215" i="29"/>
  <c r="U215" i="29" s="1"/>
  <c r="T218" i="29"/>
  <c r="S223" i="29"/>
  <c r="T226" i="29"/>
  <c r="S231" i="29"/>
  <c r="T234" i="29"/>
  <c r="U281" i="29"/>
  <c r="U297" i="29"/>
  <c r="U313" i="29"/>
  <c r="T110" i="29"/>
  <c r="S110" i="29"/>
  <c r="T122" i="29"/>
  <c r="S122" i="29"/>
  <c r="T53" i="29"/>
  <c r="S54" i="29"/>
  <c r="S61" i="29"/>
  <c r="S65" i="29"/>
  <c r="U65" i="29" s="1"/>
  <c r="T70" i="29"/>
  <c r="T131" i="29"/>
  <c r="S125" i="29"/>
  <c r="S131" i="29"/>
  <c r="T153" i="29"/>
  <c r="S153" i="29"/>
  <c r="U153" i="29" s="1"/>
  <c r="S147" i="29"/>
  <c r="T157" i="29"/>
  <c r="U157" i="29" s="1"/>
  <c r="S157" i="29"/>
  <c r="T161" i="29"/>
  <c r="S161" i="29"/>
  <c r="T165" i="29"/>
  <c r="S165" i="29"/>
  <c r="T169" i="29"/>
  <c r="S169" i="29"/>
  <c r="T173" i="29"/>
  <c r="U173" i="29" s="1"/>
  <c r="S173" i="29"/>
  <c r="T177" i="29"/>
  <c r="S177" i="29"/>
  <c r="T181" i="29"/>
  <c r="S181" i="29"/>
  <c r="T73" i="29"/>
  <c r="S73" i="29"/>
  <c r="T77" i="29"/>
  <c r="S77" i="29"/>
  <c r="T79" i="29"/>
  <c r="S79" i="29"/>
  <c r="T114" i="29"/>
  <c r="S114" i="29"/>
  <c r="T142" i="29"/>
  <c r="S142" i="29"/>
  <c r="T52" i="29"/>
  <c r="U52" i="29" s="1"/>
  <c r="S53" i="29"/>
  <c r="T60" i="29"/>
  <c r="T64" i="29"/>
  <c r="T67" i="29"/>
  <c r="S70" i="29"/>
  <c r="T84" i="29"/>
  <c r="S84" i="29"/>
  <c r="T87" i="29"/>
  <c r="S87" i="29"/>
  <c r="T91" i="29"/>
  <c r="S91" i="29"/>
  <c r="T95" i="29"/>
  <c r="S95" i="29"/>
  <c r="T99" i="29"/>
  <c r="S99" i="29"/>
  <c r="T103" i="29"/>
  <c r="S103" i="29"/>
  <c r="T107" i="29"/>
  <c r="S107" i="29"/>
  <c r="T111" i="29"/>
  <c r="S111" i="29"/>
  <c r="T115" i="29"/>
  <c r="S115" i="29"/>
  <c r="T119" i="29"/>
  <c r="S119" i="29"/>
  <c r="T123" i="29"/>
  <c r="S123" i="29"/>
  <c r="T146" i="29"/>
  <c r="S146" i="29"/>
  <c r="T75" i="29"/>
  <c r="S75" i="29"/>
  <c r="T90" i="29"/>
  <c r="S90" i="29"/>
  <c r="T94" i="29"/>
  <c r="S94" i="29"/>
  <c r="T98" i="29"/>
  <c r="S98" i="29"/>
  <c r="T102" i="29"/>
  <c r="S102" i="29"/>
  <c r="T118" i="29"/>
  <c r="S118" i="29"/>
  <c r="T51" i="29"/>
  <c r="T59" i="29"/>
  <c r="S60" i="29"/>
  <c r="S64" i="29"/>
  <c r="S67" i="29"/>
  <c r="T72" i="29"/>
  <c r="T140" i="29"/>
  <c r="S140" i="29"/>
  <c r="T81" i="29"/>
  <c r="S81" i="29"/>
  <c r="T86" i="29"/>
  <c r="S86" i="29"/>
  <c r="T106" i="29"/>
  <c r="S106" i="29"/>
  <c r="T50" i="29"/>
  <c r="U50" i="29" s="1"/>
  <c r="S51" i="29"/>
  <c r="T58" i="29"/>
  <c r="U58" i="29" s="1"/>
  <c r="S59" i="29"/>
  <c r="U59" i="29" s="1"/>
  <c r="T63" i="29"/>
  <c r="U63" i="29" s="1"/>
  <c r="T69" i="29"/>
  <c r="S72" i="29"/>
  <c r="T74" i="29"/>
  <c r="S74" i="29"/>
  <c r="T76" i="29"/>
  <c r="S76" i="29"/>
  <c r="T78" i="29"/>
  <c r="S78" i="29"/>
  <c r="T80" i="29"/>
  <c r="S80" i="29"/>
  <c r="T82" i="29"/>
  <c r="S82" i="29"/>
  <c r="T88" i="29"/>
  <c r="S88" i="29"/>
  <c r="T92" i="29"/>
  <c r="S92" i="29"/>
  <c r="T96" i="29"/>
  <c r="S96" i="29"/>
  <c r="T100" i="29"/>
  <c r="S100" i="29"/>
  <c r="T104" i="29"/>
  <c r="S104" i="29"/>
  <c r="T108" i="29"/>
  <c r="S108" i="29"/>
  <c r="T112" i="29"/>
  <c r="S112" i="29"/>
  <c r="T116" i="29"/>
  <c r="S116" i="29"/>
  <c r="T120" i="29"/>
  <c r="S120" i="29"/>
  <c r="U124" i="29"/>
  <c r="S48" i="29"/>
  <c r="T57" i="29"/>
  <c r="S69" i="29"/>
  <c r="T85" i="29"/>
  <c r="S85" i="29"/>
  <c r="T144" i="29"/>
  <c r="S144" i="29"/>
  <c r="T56" i="29"/>
  <c r="S57" i="29"/>
  <c r="T62" i="29"/>
  <c r="S66" i="29"/>
  <c r="U66" i="29" s="1"/>
  <c r="T71" i="29"/>
  <c r="T89" i="29"/>
  <c r="S89" i="29"/>
  <c r="T93" i="29"/>
  <c r="S93" i="29"/>
  <c r="T97" i="29"/>
  <c r="S97" i="29"/>
  <c r="T101" i="29"/>
  <c r="S101" i="29"/>
  <c r="T105" i="29"/>
  <c r="S105" i="29"/>
  <c r="T109" i="29"/>
  <c r="S109" i="29"/>
  <c r="T113" i="29"/>
  <c r="S113" i="29"/>
  <c r="T117" i="29"/>
  <c r="S117" i="29"/>
  <c r="T121" i="29"/>
  <c r="S121" i="29"/>
  <c r="T138" i="29"/>
  <c r="S138" i="29"/>
  <c r="T148" i="29"/>
  <c r="S148" i="29"/>
  <c r="T55" i="29"/>
  <c r="S56" i="29"/>
  <c r="S62" i="29"/>
  <c r="T68" i="29"/>
  <c r="S71" i="29"/>
  <c r="T83" i="29"/>
  <c r="S83" i="29"/>
  <c r="T130" i="29"/>
  <c r="T129" i="29"/>
  <c r="S130" i="29"/>
  <c r="T135" i="29"/>
  <c r="U135" i="29" s="1"/>
  <c r="T151" i="29"/>
  <c r="S151" i="29"/>
  <c r="T154" i="29"/>
  <c r="S154" i="29"/>
  <c r="T158" i="29"/>
  <c r="S158" i="29"/>
  <c r="T162" i="29"/>
  <c r="S162" i="29"/>
  <c r="T166" i="29"/>
  <c r="S166" i="29"/>
  <c r="T170" i="29"/>
  <c r="S170" i="29"/>
  <c r="T174" i="29"/>
  <c r="S174" i="29"/>
  <c r="T178" i="29"/>
  <c r="S178" i="29"/>
  <c r="U182" i="29"/>
  <c r="T128" i="29"/>
  <c r="T127" i="29"/>
  <c r="U127" i="29" s="1"/>
  <c r="S128" i="29"/>
  <c r="T137" i="29"/>
  <c r="T139" i="29"/>
  <c r="U139" i="29" s="1"/>
  <c r="T141" i="29"/>
  <c r="U141" i="29" s="1"/>
  <c r="T143" i="29"/>
  <c r="U143" i="29" s="1"/>
  <c r="T145" i="29"/>
  <c r="U145" i="29" s="1"/>
  <c r="T147" i="29"/>
  <c r="T149" i="29"/>
  <c r="S149" i="29"/>
  <c r="T155" i="29"/>
  <c r="S155" i="29"/>
  <c r="T159" i="29"/>
  <c r="S159" i="29"/>
  <c r="T163" i="29"/>
  <c r="S163" i="29"/>
  <c r="T167" i="29"/>
  <c r="S167" i="29"/>
  <c r="T171" i="29"/>
  <c r="S171" i="29"/>
  <c r="T175" i="29"/>
  <c r="S175" i="29"/>
  <c r="T179" i="29"/>
  <c r="S179" i="29"/>
  <c r="T126" i="29"/>
  <c r="T134" i="29"/>
  <c r="T152" i="29"/>
  <c r="S152" i="29"/>
  <c r="T125" i="29"/>
  <c r="S126" i="29"/>
  <c r="T133" i="29"/>
  <c r="U133" i="29" s="1"/>
  <c r="S134" i="29"/>
  <c r="T156" i="29"/>
  <c r="S156" i="29"/>
  <c r="T160" i="29"/>
  <c r="S160" i="29"/>
  <c r="T164" i="29"/>
  <c r="S164" i="29"/>
  <c r="T168" i="29"/>
  <c r="S168" i="29"/>
  <c r="T172" i="29"/>
  <c r="S172" i="29"/>
  <c r="T176" i="29"/>
  <c r="S176" i="29"/>
  <c r="T180" i="29"/>
  <c r="S180" i="29"/>
  <c r="T136" i="29"/>
  <c r="T150" i="29"/>
  <c r="S150" i="29"/>
  <c r="U177" i="29"/>
  <c r="U213" i="29"/>
  <c r="U221" i="29"/>
  <c r="U240" i="29"/>
  <c r="U198" i="29"/>
  <c r="U218" i="29"/>
  <c r="U226" i="29"/>
  <c r="U223" i="29"/>
  <c r="T185" i="29"/>
  <c r="S186" i="29"/>
  <c r="U186" i="29" s="1"/>
  <c r="U197" i="29"/>
  <c r="U220" i="29"/>
  <c r="U228" i="29"/>
  <c r="T184" i="29"/>
  <c r="U184" i="29" s="1"/>
  <c r="S185" i="29"/>
  <c r="U209" i="29"/>
  <c r="U217" i="29"/>
  <c r="T183" i="29"/>
  <c r="U183" i="29" s="1"/>
  <c r="U200" i="29"/>
  <c r="U206" i="29"/>
  <c r="U230" i="29"/>
  <c r="U211" i="29"/>
  <c r="U219" i="29"/>
  <c r="U227" i="29"/>
  <c r="U246" i="29"/>
  <c r="U278" i="29"/>
  <c r="U286" i="29"/>
  <c r="S235" i="29"/>
  <c r="S236" i="29"/>
  <c r="U236" i="29" s="1"/>
  <c r="S237" i="29"/>
  <c r="U237" i="29" s="1"/>
  <c r="S238" i="29"/>
  <c r="S239" i="29"/>
  <c r="U245" i="29"/>
  <c r="U299" i="29"/>
  <c r="U307" i="29"/>
  <c r="U244" i="29"/>
  <c r="U252" i="29"/>
  <c r="U296" i="29"/>
  <c r="U304" i="29"/>
  <c r="U243" i="29"/>
  <c r="U251" i="29"/>
  <c r="U259" i="29"/>
  <c r="U274" i="29"/>
  <c r="U309" i="29"/>
  <c r="U250" i="29"/>
  <c r="T319" i="29"/>
  <c r="U319" i="29" s="1"/>
  <c r="T318" i="29"/>
  <c r="U318" i="29" s="1"/>
  <c r="T317" i="29"/>
  <c r="U317" i="29" s="1"/>
  <c r="T316" i="29"/>
  <c r="U316" i="29" s="1"/>
  <c r="S314" i="29"/>
  <c r="T320" i="29"/>
  <c r="S320" i="29"/>
  <c r="U257" i="29"/>
  <c r="U265" i="29"/>
  <c r="U269" i="29"/>
  <c r="U287" i="29"/>
  <c r="T325" i="29"/>
  <c r="S322" i="29"/>
  <c r="U27" i="29" l="1"/>
  <c r="U254" i="29"/>
  <c r="U308" i="29"/>
  <c r="U267" i="29"/>
  <c r="U249" i="29"/>
  <c r="U277" i="29"/>
  <c r="U312" i="29"/>
  <c r="U260" i="29"/>
  <c r="U187" i="29"/>
  <c r="U303" i="29"/>
  <c r="U31" i="29"/>
  <c r="U261" i="29"/>
  <c r="U194" i="29"/>
  <c r="U36" i="29"/>
  <c r="U25" i="29"/>
  <c r="U302" i="29"/>
  <c r="U46" i="29"/>
  <c r="U14" i="29"/>
  <c r="U256" i="29"/>
  <c r="U289" i="29"/>
  <c r="V4" i="29"/>
  <c r="S5" i="1" s="1"/>
  <c r="T5" i="1" s="1"/>
  <c r="V3" i="29"/>
  <c r="S4" i="1" s="1"/>
  <c r="U214" i="29"/>
  <c r="U29" i="29"/>
  <c r="U272" i="29"/>
  <c r="U23" i="29"/>
  <c r="U19" i="29"/>
  <c r="U40" i="29"/>
  <c r="U8" i="29"/>
  <c r="U280" i="29"/>
  <c r="U196" i="29"/>
  <c r="U208" i="29"/>
  <c r="U132" i="29"/>
  <c r="U301" i="29"/>
  <c r="V5" i="29"/>
  <c r="S11" i="1" s="1"/>
  <c r="T11" i="1" s="1"/>
  <c r="U306" i="29"/>
  <c r="U263" i="29"/>
  <c r="U137" i="29"/>
  <c r="U55" i="29"/>
  <c r="E45" i="32"/>
  <c r="F45" i="32" s="1"/>
  <c r="P5" i="1"/>
  <c r="S10" i="1"/>
  <c r="T10" i="1" s="1"/>
  <c r="U120" i="29"/>
  <c r="U104" i="29"/>
  <c r="U88" i="29"/>
  <c r="U86" i="29"/>
  <c r="U131" i="29"/>
  <c r="U275" i="29"/>
  <c r="U255" i="29"/>
  <c r="U102" i="29"/>
  <c r="U207" i="29"/>
  <c r="U253" i="29"/>
  <c r="U232" i="29"/>
  <c r="U283" i="29"/>
  <c r="U9" i="29"/>
  <c r="U43" i="29"/>
  <c r="U282" i="29"/>
  <c r="U241" i="29"/>
  <c r="U271" i="29"/>
  <c r="U49" i="29"/>
  <c r="U311" i="29"/>
  <c r="V310" i="29" s="1"/>
  <c r="U279" i="29"/>
  <c r="U158" i="29"/>
  <c r="U140" i="29"/>
  <c r="U201" i="29"/>
  <c r="U75" i="29"/>
  <c r="U142" i="29"/>
  <c r="V141" i="29" s="1"/>
  <c r="U169" i="29"/>
  <c r="U148" i="29"/>
  <c r="U113" i="29"/>
  <c r="U97" i="29"/>
  <c r="U180" i="29"/>
  <c r="U164" i="29"/>
  <c r="U126" i="29"/>
  <c r="U109" i="29"/>
  <c r="U81" i="29"/>
  <c r="V11" i="29"/>
  <c r="U238" i="29"/>
  <c r="U179" i="29"/>
  <c r="U48" i="29"/>
  <c r="U98" i="29"/>
  <c r="U146" i="29"/>
  <c r="U111" i="29"/>
  <c r="U95" i="29"/>
  <c r="U70" i="29"/>
  <c r="U114" i="29"/>
  <c r="U181" i="29"/>
  <c r="V180" i="29" s="1"/>
  <c r="U165" i="29"/>
  <c r="U53" i="29"/>
  <c r="U26" i="29"/>
  <c r="V25" i="29" s="1"/>
  <c r="U291" i="29"/>
  <c r="V290" i="29" s="1"/>
  <c r="U314" i="29"/>
  <c r="V313" i="29" s="1"/>
  <c r="U235" i="29"/>
  <c r="V235" i="29" s="1"/>
  <c r="U161" i="29"/>
  <c r="U110" i="29"/>
  <c r="U234" i="29"/>
  <c r="U20" i="29"/>
  <c r="U225" i="29"/>
  <c r="V292" i="29"/>
  <c r="U39" i="29"/>
  <c r="V38" i="29" s="1"/>
  <c r="U129" i="29"/>
  <c r="V33" i="29"/>
  <c r="U41" i="29"/>
  <c r="U172" i="29"/>
  <c r="U156" i="29"/>
  <c r="U117" i="29"/>
  <c r="U101" i="29"/>
  <c r="U119" i="29"/>
  <c r="V32" i="29"/>
  <c r="U16" i="29"/>
  <c r="V15" i="29" s="1"/>
  <c r="U84" i="29"/>
  <c r="U61" i="29"/>
  <c r="U30" i="29"/>
  <c r="U229" i="29"/>
  <c r="U295" i="29"/>
  <c r="U262" i="29"/>
  <c r="V261" i="29" s="1"/>
  <c r="U21" i="29"/>
  <c r="V20" i="29" s="1"/>
  <c r="U64" i="29"/>
  <c r="V43" i="29"/>
  <c r="U258" i="29"/>
  <c r="U216" i="29"/>
  <c r="U305" i="29"/>
  <c r="V305" i="29" s="1"/>
  <c r="V34" i="29"/>
  <c r="V6" i="29"/>
  <c r="U285" i="29"/>
  <c r="V284" i="29" s="1"/>
  <c r="U239" i="29"/>
  <c r="U93" i="29"/>
  <c r="V190" i="29"/>
  <c r="V301" i="29"/>
  <c r="U170" i="29"/>
  <c r="U154" i="29"/>
  <c r="U68" i="29"/>
  <c r="U67" i="29"/>
  <c r="V65" i="29" s="1"/>
  <c r="U54" i="29"/>
  <c r="V53" i="29" s="1"/>
  <c r="U231" i="29"/>
  <c r="U199" i="29"/>
  <c r="V199" i="29" s="1"/>
  <c r="V306" i="29"/>
  <c r="U136" i="29"/>
  <c r="U134" i="29"/>
  <c r="V133" i="29" s="1"/>
  <c r="U163" i="29"/>
  <c r="V163" i="29" s="1"/>
  <c r="U85" i="29"/>
  <c r="U116" i="29"/>
  <c r="U100" i="29"/>
  <c r="U82" i="29"/>
  <c r="U94" i="29"/>
  <c r="U247" i="29"/>
  <c r="V247" i="29" s="1"/>
  <c r="V272" i="29"/>
  <c r="V208" i="29"/>
  <c r="U188" i="29"/>
  <c r="V188" i="29" s="1"/>
  <c r="U69" i="29"/>
  <c r="U112" i="29"/>
  <c r="V111" i="29" s="1"/>
  <c r="U96" i="29"/>
  <c r="U118" i="29"/>
  <c r="U87" i="29"/>
  <c r="V30" i="29"/>
  <c r="V14" i="29"/>
  <c r="V300" i="29"/>
  <c r="U174" i="29"/>
  <c r="V172" i="29" s="1"/>
  <c r="U298" i="29"/>
  <c r="V297" i="29" s="1"/>
  <c r="U162" i="29"/>
  <c r="U83" i="29"/>
  <c r="U57" i="29"/>
  <c r="U115" i="29"/>
  <c r="U99" i="29"/>
  <c r="V98" i="29" s="1"/>
  <c r="U73" i="29"/>
  <c r="U42" i="29"/>
  <c r="V42" i="29" s="1"/>
  <c r="U10" i="29"/>
  <c r="V9" i="29" s="1"/>
  <c r="V255" i="29"/>
  <c r="V18" i="29"/>
  <c r="V45" i="29"/>
  <c r="V23" i="29"/>
  <c r="V12" i="29"/>
  <c r="V7" i="29"/>
  <c r="V22" i="29"/>
  <c r="V13" i="29"/>
  <c r="V36" i="29"/>
  <c r="V17" i="29"/>
  <c r="V189" i="29"/>
  <c r="U185" i="29"/>
  <c r="U168" i="29"/>
  <c r="U171" i="29"/>
  <c r="U155" i="29"/>
  <c r="V153" i="29" s="1"/>
  <c r="U178" i="29"/>
  <c r="U121" i="29"/>
  <c r="U105" i="29"/>
  <c r="U89" i="29"/>
  <c r="V87" i="29" s="1"/>
  <c r="U144" i="29"/>
  <c r="V144" i="29" s="1"/>
  <c r="U106" i="29"/>
  <c r="U103" i="29"/>
  <c r="V102" i="29" s="1"/>
  <c r="U77" i="29"/>
  <c r="V31" i="29"/>
  <c r="V268" i="29"/>
  <c r="U130" i="29"/>
  <c r="U62" i="29"/>
  <c r="V61" i="29" s="1"/>
  <c r="U72" i="29"/>
  <c r="V35" i="29"/>
  <c r="U167" i="29"/>
  <c r="U149" i="29"/>
  <c r="U128" i="29"/>
  <c r="U56" i="29"/>
  <c r="U60" i="29"/>
  <c r="V59" i="29" s="1"/>
  <c r="U147" i="29"/>
  <c r="V146" i="29" s="1"/>
  <c r="U122" i="29"/>
  <c r="V256" i="29"/>
  <c r="V195" i="29"/>
  <c r="U176" i="29"/>
  <c r="U160" i="29"/>
  <c r="U108" i="29"/>
  <c r="U92" i="29"/>
  <c r="U78" i="29"/>
  <c r="V248" i="29"/>
  <c r="V44" i="29"/>
  <c r="U152" i="29"/>
  <c r="V152" i="29" s="1"/>
  <c r="U175" i="29"/>
  <c r="U159" i="29"/>
  <c r="V157" i="29" s="1"/>
  <c r="U166" i="29"/>
  <c r="V164" i="29" s="1"/>
  <c r="U138" i="29"/>
  <c r="V136" i="29" s="1"/>
  <c r="U51" i="29"/>
  <c r="U90" i="29"/>
  <c r="U123" i="29"/>
  <c r="U107" i="29"/>
  <c r="U91" i="29"/>
  <c r="U79" i="29"/>
  <c r="V316" i="29"/>
  <c r="V135" i="29"/>
  <c r="V185" i="29"/>
  <c r="V171" i="29"/>
  <c r="V237" i="29"/>
  <c r="V143" i="29"/>
  <c r="V101" i="29"/>
  <c r="V47" i="29"/>
  <c r="V46" i="29"/>
  <c r="V96" i="29"/>
  <c r="V64" i="29"/>
  <c r="V63" i="29"/>
  <c r="V66" i="29"/>
  <c r="V317" i="29"/>
  <c r="V239" i="29"/>
  <c r="V57" i="29"/>
  <c r="V222" i="29"/>
  <c r="V265" i="29"/>
  <c r="V259" i="29"/>
  <c r="V295" i="29"/>
  <c r="V241" i="29"/>
  <c r="V258" i="29"/>
  <c r="V243" i="29"/>
  <c r="V291" i="29"/>
  <c r="V294" i="29"/>
  <c r="V196" i="29"/>
  <c r="V220" i="29"/>
  <c r="V289" i="29"/>
  <c r="V226" i="29"/>
  <c r="V182" i="29"/>
  <c r="U125" i="29"/>
  <c r="V124" i="29" s="1"/>
  <c r="V318" i="29"/>
  <c r="V225" i="29"/>
  <c r="V266" i="29"/>
  <c r="V217" i="29"/>
  <c r="V257" i="29"/>
  <c r="V287" i="29"/>
  <c r="V250" i="29"/>
  <c r="V312" i="29"/>
  <c r="V286" i="29"/>
  <c r="V232" i="29"/>
  <c r="V263" i="29"/>
  <c r="V183" i="29"/>
  <c r="V212" i="29"/>
  <c r="V218" i="29"/>
  <c r="V221" i="29"/>
  <c r="U74" i="29"/>
  <c r="V267" i="29"/>
  <c r="V198" i="29"/>
  <c r="V315" i="29"/>
  <c r="V279" i="29"/>
  <c r="V277" i="29"/>
  <c r="V275" i="29"/>
  <c r="V227" i="29"/>
  <c r="V204" i="29"/>
  <c r="V210" i="29"/>
  <c r="V193" i="29"/>
  <c r="V184" i="29"/>
  <c r="V139" i="29"/>
  <c r="V100" i="29"/>
  <c r="V319" i="29"/>
  <c r="V280" i="29"/>
  <c r="V242" i="29"/>
  <c r="V304" i="29"/>
  <c r="V278" i="29"/>
  <c r="V236" i="29"/>
  <c r="V223" i="29"/>
  <c r="V213" i="29"/>
  <c r="V308" i="29"/>
  <c r="V276" i="29"/>
  <c r="V273" i="29"/>
  <c r="V309" i="29"/>
  <c r="V274" i="29"/>
  <c r="V296" i="29"/>
  <c r="V244" i="29"/>
  <c r="V271" i="29"/>
  <c r="V219" i="29"/>
  <c r="V201" i="29"/>
  <c r="V215" i="29"/>
  <c r="V202" i="29"/>
  <c r="V205" i="29"/>
  <c r="V192" i="29"/>
  <c r="U80" i="29"/>
  <c r="V156" i="29"/>
  <c r="V119" i="29"/>
  <c r="V254" i="29"/>
  <c r="V203" i="29"/>
  <c r="V224" i="29"/>
  <c r="V216" i="29"/>
  <c r="V131" i="29"/>
  <c r="V52" i="29"/>
  <c r="V211" i="29"/>
  <c r="V214" i="29"/>
  <c r="V209" i="29"/>
  <c r="V116" i="29"/>
  <c r="V288" i="29"/>
  <c r="V197" i="29"/>
  <c r="V194" i="29"/>
  <c r="V311" i="29"/>
  <c r="V307" i="29"/>
  <c r="V238" i="29"/>
  <c r="V240" i="29"/>
  <c r="V303" i="29"/>
  <c r="V249" i="29"/>
  <c r="V282" i="29"/>
  <c r="V293" i="29"/>
  <c r="V299" i="29"/>
  <c r="V245" i="29"/>
  <c r="V302" i="29"/>
  <c r="V200" i="29"/>
  <c r="V228" i="29"/>
  <c r="V233" i="29"/>
  <c r="V264" i="29"/>
  <c r="U150" i="29"/>
  <c r="V187" i="29"/>
  <c r="U151" i="29"/>
  <c r="V191" i="29"/>
  <c r="U71" i="29"/>
  <c r="U76" i="29"/>
  <c r="V86" i="29" l="1"/>
  <c r="S9" i="1"/>
  <c r="T9" i="1" s="1"/>
  <c r="V121" i="29"/>
  <c r="V206" i="29"/>
  <c r="V29" i="29"/>
  <c r="S8" i="1"/>
  <c r="T8" i="1" s="1"/>
  <c r="S7" i="1"/>
  <c r="T7" i="1" s="1"/>
  <c r="S6" i="1"/>
  <c r="T6" i="1" s="1"/>
  <c r="T4" i="1"/>
  <c r="S12" i="1"/>
  <c r="T12" i="1" s="1"/>
  <c r="S13" i="1"/>
  <c r="T13" i="1" s="1"/>
  <c r="V88" i="29"/>
  <c r="V129" i="29"/>
  <c r="V120" i="29"/>
  <c r="S509" i="1" s="1"/>
  <c r="T509" i="1" s="1"/>
  <c r="V207" i="29"/>
  <c r="V97" i="29"/>
  <c r="V283" i="29"/>
  <c r="V234" i="29"/>
  <c r="V99" i="29"/>
  <c r="V54" i="29"/>
  <c r="V270" i="29"/>
  <c r="C62" i="32"/>
  <c r="V28" i="29"/>
  <c r="V27" i="29"/>
  <c r="V161" i="29"/>
  <c r="V285" i="29"/>
  <c r="S1228" i="1" s="1"/>
  <c r="T1228" i="1" s="1"/>
  <c r="V162" i="29"/>
  <c r="V231" i="29"/>
  <c r="V67" i="29"/>
  <c r="S15" i="1"/>
  <c r="T15" i="1" s="1"/>
  <c r="S14" i="1"/>
  <c r="T14" i="1" s="1"/>
  <c r="V117" i="29"/>
  <c r="V48" i="29"/>
  <c r="V253" i="29"/>
  <c r="S1090" i="1" s="1"/>
  <c r="T1090" i="1" s="1"/>
  <c r="V298" i="29"/>
  <c r="V132" i="29"/>
  <c r="V262" i="29"/>
  <c r="V137" i="29"/>
  <c r="S587" i="1" s="1"/>
  <c r="T587" i="1" s="1"/>
  <c r="V79" i="29"/>
  <c r="V252" i="29"/>
  <c r="V68" i="29"/>
  <c r="V158" i="29"/>
  <c r="S675" i="1" s="1"/>
  <c r="T675" i="1" s="1"/>
  <c r="V37" i="29"/>
  <c r="V55" i="29"/>
  <c r="V260" i="29"/>
  <c r="V251" i="29"/>
  <c r="S1080" i="1" s="1"/>
  <c r="T1080" i="1" s="1"/>
  <c r="V118" i="29"/>
  <c r="V122" i="29"/>
  <c r="V168" i="29"/>
  <c r="V134" i="29"/>
  <c r="S571" i="1" s="1"/>
  <c r="T571" i="1" s="1"/>
  <c r="V94" i="29"/>
  <c r="V81" i="29"/>
  <c r="V314" i="29"/>
  <c r="S1355" i="1" s="1"/>
  <c r="T1355" i="1" s="1"/>
  <c r="V138" i="29"/>
  <c r="S591" i="1" s="1"/>
  <c r="T591" i="1" s="1"/>
  <c r="V49" i="29"/>
  <c r="V93" i="29"/>
  <c r="S394" i="1" s="1"/>
  <c r="T394" i="1" s="1"/>
  <c r="V110" i="29"/>
  <c r="V179" i="29"/>
  <c r="S768" i="1" s="1"/>
  <c r="T768" i="1" s="1"/>
  <c r="V39" i="29"/>
  <c r="V85" i="29"/>
  <c r="S359" i="1" s="1"/>
  <c r="T359" i="1" s="1"/>
  <c r="V140" i="29"/>
  <c r="V72" i="29"/>
  <c r="S301" i="1" s="1"/>
  <c r="T301" i="1" s="1"/>
  <c r="V108" i="29"/>
  <c r="S460" i="1" s="1"/>
  <c r="T460" i="1" s="1"/>
  <c r="V84" i="29"/>
  <c r="S353" i="1" s="1"/>
  <c r="T353" i="1" s="1"/>
  <c r="V142" i="29"/>
  <c r="V95" i="29"/>
  <c r="S404" i="1" s="1"/>
  <c r="T404" i="1" s="1"/>
  <c r="V107" i="29"/>
  <c r="S454" i="1" s="1"/>
  <c r="T454" i="1" s="1"/>
  <c r="V175" i="29"/>
  <c r="S750" i="1" s="1"/>
  <c r="T750" i="1" s="1"/>
  <c r="V115" i="29"/>
  <c r="V281" i="29"/>
  <c r="S17" i="1"/>
  <c r="T17" i="1" s="1"/>
  <c r="S16" i="1"/>
  <c r="T16" i="1" s="1"/>
  <c r="V269" i="29"/>
  <c r="V186" i="29"/>
  <c r="S797" i="1" s="1"/>
  <c r="T797" i="1" s="1"/>
  <c r="V229" i="29"/>
  <c r="S986" i="1" s="1"/>
  <c r="T986" i="1" s="1"/>
  <c r="V21" i="29"/>
  <c r="V19" i="29"/>
  <c r="S357" i="1"/>
  <c r="T357" i="1" s="1"/>
  <c r="S358" i="1"/>
  <c r="T358" i="1" s="1"/>
  <c r="S361" i="1"/>
  <c r="T361" i="1" s="1"/>
  <c r="S98" i="1"/>
  <c r="T98" i="1" s="1"/>
  <c r="S99" i="1"/>
  <c r="T99" i="1" s="1"/>
  <c r="S100" i="1"/>
  <c r="T100" i="1" s="1"/>
  <c r="S96" i="1"/>
  <c r="T96" i="1" s="1"/>
  <c r="S97" i="1"/>
  <c r="T97" i="1" s="1"/>
  <c r="S749" i="1"/>
  <c r="T749" i="1" s="1"/>
  <c r="S751" i="1"/>
  <c r="T751" i="1" s="1"/>
  <c r="S752" i="1"/>
  <c r="T752" i="1" s="1"/>
  <c r="S653" i="1"/>
  <c r="T653" i="1" s="1"/>
  <c r="S654" i="1"/>
  <c r="T654" i="1" s="1"/>
  <c r="S655" i="1"/>
  <c r="T655" i="1" s="1"/>
  <c r="S656" i="1"/>
  <c r="T656" i="1" s="1"/>
  <c r="S395" i="1"/>
  <c r="T395" i="1" s="1"/>
  <c r="S392" i="1"/>
  <c r="T392" i="1" s="1"/>
  <c r="S393" i="1"/>
  <c r="T393" i="1" s="1"/>
  <c r="S356" i="1"/>
  <c r="T356" i="1" s="1"/>
  <c r="S466" i="1"/>
  <c r="T466" i="1" s="1"/>
  <c r="S467" i="1"/>
  <c r="T467" i="1" s="1"/>
  <c r="S468" i="1"/>
  <c r="T468" i="1" s="1"/>
  <c r="S469" i="1"/>
  <c r="T469" i="1" s="1"/>
  <c r="S770" i="1"/>
  <c r="T770" i="1" s="1"/>
  <c r="S772" i="1"/>
  <c r="T772" i="1" s="1"/>
  <c r="S773" i="1"/>
  <c r="T773" i="1" s="1"/>
  <c r="S774" i="1"/>
  <c r="T774" i="1" s="1"/>
  <c r="S771" i="1"/>
  <c r="T771" i="1" s="1"/>
  <c r="S530" i="1"/>
  <c r="T530" i="1" s="1"/>
  <c r="S527" i="1"/>
  <c r="T527" i="1" s="1"/>
  <c r="S528" i="1"/>
  <c r="T528" i="1" s="1"/>
  <c r="S529" i="1"/>
  <c r="T529" i="1" s="1"/>
  <c r="S218" i="1"/>
  <c r="T218" i="1" s="1"/>
  <c r="S219" i="1"/>
  <c r="T219" i="1" s="1"/>
  <c r="S220" i="1"/>
  <c r="T220" i="1" s="1"/>
  <c r="S221" i="1"/>
  <c r="T221" i="1" s="1"/>
  <c r="S222" i="1"/>
  <c r="T222" i="1" s="1"/>
  <c r="S53" i="1"/>
  <c r="T53" i="1" s="1"/>
  <c r="S54" i="1"/>
  <c r="T54" i="1" s="1"/>
  <c r="S55" i="1"/>
  <c r="T55" i="1" s="1"/>
  <c r="S56" i="1"/>
  <c r="T56" i="1" s="1"/>
  <c r="S579" i="1"/>
  <c r="T579" i="1" s="1"/>
  <c r="S580" i="1"/>
  <c r="T580" i="1" s="1"/>
  <c r="S581" i="1"/>
  <c r="T581" i="1" s="1"/>
  <c r="S582" i="1"/>
  <c r="T582" i="1" s="1"/>
  <c r="S583" i="1"/>
  <c r="T583" i="1" s="1"/>
  <c r="S490" i="1"/>
  <c r="T490" i="1" s="1"/>
  <c r="S491" i="1"/>
  <c r="T491" i="1" s="1"/>
  <c r="S488" i="1"/>
  <c r="T488" i="1" s="1"/>
  <c r="S489" i="1"/>
  <c r="T489" i="1" s="1"/>
  <c r="S994" i="1"/>
  <c r="T994" i="1" s="1"/>
  <c r="S996" i="1"/>
  <c r="T996" i="1" s="1"/>
  <c r="S992" i="1"/>
  <c r="T992" i="1" s="1"/>
  <c r="S993" i="1"/>
  <c r="T993" i="1" s="1"/>
  <c r="S995" i="1"/>
  <c r="T995" i="1" s="1"/>
  <c r="S458" i="1"/>
  <c r="T458" i="1" s="1"/>
  <c r="S459" i="1"/>
  <c r="T459" i="1" s="1"/>
  <c r="S461" i="1"/>
  <c r="T461" i="1" s="1"/>
  <c r="S457" i="1"/>
  <c r="T457" i="1" s="1"/>
  <c r="S884" i="1"/>
  <c r="T884" i="1" s="1"/>
  <c r="S885" i="1"/>
  <c r="T885" i="1" s="1"/>
  <c r="S886" i="1"/>
  <c r="T886" i="1" s="1"/>
  <c r="S887" i="1"/>
  <c r="T887" i="1" s="1"/>
  <c r="S883" i="1"/>
  <c r="T883" i="1" s="1"/>
  <c r="S362" i="1"/>
  <c r="T362" i="1" s="1"/>
  <c r="S363" i="1"/>
  <c r="T363" i="1" s="1"/>
  <c r="S364" i="1"/>
  <c r="T364" i="1" s="1"/>
  <c r="S365" i="1"/>
  <c r="T365" i="1" s="1"/>
  <c r="S1132" i="1"/>
  <c r="T1132" i="1" s="1"/>
  <c r="S1133" i="1"/>
  <c r="T1133" i="1" s="1"/>
  <c r="S1134" i="1"/>
  <c r="T1134" i="1" s="1"/>
  <c r="S1131" i="1"/>
  <c r="T1131" i="1" s="1"/>
  <c r="S1135" i="1"/>
  <c r="T1135" i="1" s="1"/>
  <c r="S844" i="1"/>
  <c r="T844" i="1" s="1"/>
  <c r="S845" i="1"/>
  <c r="T845" i="1" s="1"/>
  <c r="S846" i="1"/>
  <c r="T846" i="1" s="1"/>
  <c r="S847" i="1"/>
  <c r="T847" i="1" s="1"/>
  <c r="S848" i="1"/>
  <c r="T848" i="1" s="1"/>
  <c r="V114" i="29"/>
  <c r="S862" i="1"/>
  <c r="T862" i="1" s="1"/>
  <c r="S863" i="1"/>
  <c r="T863" i="1" s="1"/>
  <c r="S864" i="1"/>
  <c r="T864" i="1" s="1"/>
  <c r="S865" i="1"/>
  <c r="T865" i="1" s="1"/>
  <c r="S788" i="1"/>
  <c r="T788" i="1" s="1"/>
  <c r="S789" i="1"/>
  <c r="T789" i="1" s="1"/>
  <c r="S790" i="1"/>
  <c r="T790" i="1" s="1"/>
  <c r="S791" i="1"/>
  <c r="T791" i="1" s="1"/>
  <c r="S1346" i="1"/>
  <c r="T1346" i="1" s="1"/>
  <c r="S1348" i="1"/>
  <c r="T1348" i="1" s="1"/>
  <c r="S1344" i="1"/>
  <c r="T1344" i="1" s="1"/>
  <c r="S1347" i="1"/>
  <c r="T1347" i="1" s="1"/>
  <c r="S1345" i="1"/>
  <c r="T1345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V181" i="29"/>
  <c r="V92" i="29"/>
  <c r="S74" i="1"/>
  <c r="T74" i="1" s="1"/>
  <c r="S70" i="1"/>
  <c r="T70" i="1" s="1"/>
  <c r="S71" i="1"/>
  <c r="T71" i="1" s="1"/>
  <c r="S72" i="1"/>
  <c r="T72" i="1" s="1"/>
  <c r="S73" i="1"/>
  <c r="T73" i="1" s="1"/>
  <c r="S1053" i="1"/>
  <c r="T1053" i="1" s="1"/>
  <c r="S1054" i="1"/>
  <c r="T1054" i="1" s="1"/>
  <c r="S1055" i="1"/>
  <c r="T1055" i="1" s="1"/>
  <c r="S1056" i="1"/>
  <c r="T1056" i="1" s="1"/>
  <c r="S1242" i="1"/>
  <c r="T1242" i="1" s="1"/>
  <c r="S1240" i="1"/>
  <c r="T1240" i="1" s="1"/>
  <c r="S1241" i="1"/>
  <c r="T1241" i="1" s="1"/>
  <c r="S1243" i="1"/>
  <c r="T1243" i="1" s="1"/>
  <c r="S898" i="1"/>
  <c r="T898" i="1" s="1"/>
  <c r="S900" i="1"/>
  <c r="T900" i="1" s="1"/>
  <c r="S897" i="1"/>
  <c r="T897" i="1" s="1"/>
  <c r="S899" i="1"/>
  <c r="T899" i="1" s="1"/>
  <c r="S1162" i="1"/>
  <c r="T1162" i="1" s="1"/>
  <c r="S1164" i="1"/>
  <c r="T1164" i="1" s="1"/>
  <c r="S1165" i="1"/>
  <c r="T1165" i="1" s="1"/>
  <c r="S1163" i="1"/>
  <c r="T1163" i="1" s="1"/>
  <c r="V230" i="29"/>
  <c r="S1042" i="1"/>
  <c r="T1042" i="1" s="1"/>
  <c r="S1040" i="1"/>
  <c r="T1040" i="1" s="1"/>
  <c r="S1041" i="1"/>
  <c r="T1041" i="1" s="1"/>
  <c r="S1043" i="1"/>
  <c r="T1043" i="1" s="1"/>
  <c r="S828" i="1"/>
  <c r="T828" i="1" s="1"/>
  <c r="S829" i="1"/>
  <c r="T829" i="1" s="1"/>
  <c r="S830" i="1"/>
  <c r="T830" i="1" s="1"/>
  <c r="S827" i="1"/>
  <c r="T827" i="1" s="1"/>
  <c r="S850" i="1"/>
  <c r="T850" i="1" s="1"/>
  <c r="S852" i="1"/>
  <c r="T852" i="1" s="1"/>
  <c r="S851" i="1"/>
  <c r="T851" i="1" s="1"/>
  <c r="S849" i="1"/>
  <c r="T849" i="1" s="1"/>
  <c r="S910" i="1"/>
  <c r="T910" i="1" s="1"/>
  <c r="S911" i="1"/>
  <c r="T911" i="1" s="1"/>
  <c r="S912" i="1"/>
  <c r="T912" i="1" s="1"/>
  <c r="S913" i="1"/>
  <c r="T913" i="1" s="1"/>
  <c r="S1266" i="1"/>
  <c r="T1266" i="1" s="1"/>
  <c r="S1268" i="1"/>
  <c r="T1268" i="1" s="1"/>
  <c r="S1269" i="1"/>
  <c r="T1269" i="1" s="1"/>
  <c r="S1270" i="1"/>
  <c r="T1270" i="1" s="1"/>
  <c r="S1267" i="1"/>
  <c r="T1267" i="1" s="1"/>
  <c r="S1290" i="1"/>
  <c r="T1290" i="1" s="1"/>
  <c r="S1288" i="1"/>
  <c r="T1288" i="1" s="1"/>
  <c r="S1291" i="1"/>
  <c r="T1291" i="1" s="1"/>
  <c r="S1289" i="1"/>
  <c r="T1289" i="1" s="1"/>
  <c r="S1026" i="1"/>
  <c r="T1026" i="1" s="1"/>
  <c r="S1022" i="1"/>
  <c r="T1022" i="1" s="1"/>
  <c r="S1023" i="1"/>
  <c r="T1023" i="1" s="1"/>
  <c r="S1024" i="1"/>
  <c r="T1024" i="1" s="1"/>
  <c r="S1025" i="1"/>
  <c r="T1025" i="1" s="1"/>
  <c r="S253" i="1"/>
  <c r="T253" i="1" s="1"/>
  <c r="S254" i="1"/>
  <c r="T254" i="1" s="1"/>
  <c r="S255" i="1"/>
  <c r="T255" i="1" s="1"/>
  <c r="S256" i="1"/>
  <c r="T256" i="1" s="1"/>
  <c r="S1088" i="1"/>
  <c r="T1088" i="1" s="1"/>
  <c r="S1091" i="1"/>
  <c r="T1091" i="1" s="1"/>
  <c r="S586" i="1"/>
  <c r="T586" i="1" s="1"/>
  <c r="S930" i="1"/>
  <c r="T930" i="1" s="1"/>
  <c r="S927" i="1"/>
  <c r="T927" i="1" s="1"/>
  <c r="S928" i="1"/>
  <c r="T928" i="1" s="1"/>
  <c r="S929" i="1"/>
  <c r="T929" i="1" s="1"/>
  <c r="S597" i="1"/>
  <c r="T597" i="1" s="1"/>
  <c r="S598" i="1"/>
  <c r="T598" i="1" s="1"/>
  <c r="S599" i="1"/>
  <c r="T599" i="1" s="1"/>
  <c r="S600" i="1"/>
  <c r="T600" i="1" s="1"/>
  <c r="S562" i="1"/>
  <c r="T562" i="1" s="1"/>
  <c r="S563" i="1"/>
  <c r="T563" i="1" s="1"/>
  <c r="S564" i="1"/>
  <c r="T564" i="1" s="1"/>
  <c r="S565" i="1"/>
  <c r="T565" i="1" s="1"/>
  <c r="S940" i="1"/>
  <c r="T940" i="1" s="1"/>
  <c r="S941" i="1"/>
  <c r="T941" i="1" s="1"/>
  <c r="S942" i="1"/>
  <c r="T942" i="1" s="1"/>
  <c r="S943" i="1"/>
  <c r="T943" i="1" s="1"/>
  <c r="S1188" i="1"/>
  <c r="T1188" i="1" s="1"/>
  <c r="S1189" i="1"/>
  <c r="T1189" i="1" s="1"/>
  <c r="S1190" i="1"/>
  <c r="T1190" i="1" s="1"/>
  <c r="S1191" i="1"/>
  <c r="T1191" i="1" s="1"/>
  <c r="S1205" i="1"/>
  <c r="T1205" i="1" s="1"/>
  <c r="S1206" i="1"/>
  <c r="T1206" i="1" s="1"/>
  <c r="S1208" i="1"/>
  <c r="T1208" i="1" s="1"/>
  <c r="S1207" i="1"/>
  <c r="T1207" i="1" s="1"/>
  <c r="S1209" i="1"/>
  <c r="T1209" i="1" s="1"/>
  <c r="S901" i="1"/>
  <c r="T901" i="1" s="1"/>
  <c r="S902" i="1"/>
  <c r="T902" i="1" s="1"/>
  <c r="S903" i="1"/>
  <c r="T903" i="1" s="1"/>
  <c r="S904" i="1"/>
  <c r="T904" i="1" s="1"/>
  <c r="S1149" i="1"/>
  <c r="T1149" i="1" s="1"/>
  <c r="S1150" i="1"/>
  <c r="T1150" i="1" s="1"/>
  <c r="S1152" i="1"/>
  <c r="T1152" i="1" s="1"/>
  <c r="S1151" i="1"/>
  <c r="T1151" i="1" s="1"/>
  <c r="S786" i="1"/>
  <c r="T786" i="1" s="1"/>
  <c r="S783" i="1"/>
  <c r="T783" i="1" s="1"/>
  <c r="S784" i="1"/>
  <c r="T784" i="1" s="1"/>
  <c r="S785" i="1"/>
  <c r="T785" i="1" s="1"/>
  <c r="S787" i="1"/>
  <c r="T787" i="1" s="1"/>
  <c r="S1076" i="1"/>
  <c r="T1076" i="1" s="1"/>
  <c r="S1077" i="1"/>
  <c r="T1077" i="1" s="1"/>
  <c r="S1078" i="1"/>
  <c r="T1078" i="1" s="1"/>
  <c r="S1075" i="1"/>
  <c r="T1075" i="1" s="1"/>
  <c r="S780" i="1"/>
  <c r="T780" i="1" s="1"/>
  <c r="S781" i="1"/>
  <c r="T781" i="1" s="1"/>
  <c r="S782" i="1"/>
  <c r="T782" i="1" s="1"/>
  <c r="S779" i="1"/>
  <c r="T779" i="1" s="1"/>
  <c r="S1253" i="1"/>
  <c r="T1253" i="1" s="1"/>
  <c r="S1254" i="1"/>
  <c r="T1254" i="1" s="1"/>
  <c r="S1256" i="1"/>
  <c r="T1256" i="1" s="1"/>
  <c r="S1255" i="1"/>
  <c r="T1255" i="1" s="1"/>
  <c r="V246" i="29"/>
  <c r="S396" i="1"/>
  <c r="T396" i="1" s="1"/>
  <c r="S397" i="1"/>
  <c r="T397" i="1" s="1"/>
  <c r="S398" i="1"/>
  <c r="T398" i="1" s="1"/>
  <c r="S399" i="1"/>
  <c r="T399" i="1" s="1"/>
  <c r="S400" i="1"/>
  <c r="T400" i="1" s="1"/>
  <c r="S194" i="1"/>
  <c r="T194" i="1" s="1"/>
  <c r="S195" i="1"/>
  <c r="T195" i="1" s="1"/>
  <c r="S192" i="1"/>
  <c r="T192" i="1" s="1"/>
  <c r="S193" i="1"/>
  <c r="T193" i="1" s="1"/>
  <c r="S610" i="1"/>
  <c r="T610" i="1" s="1"/>
  <c r="S611" i="1"/>
  <c r="T611" i="1" s="1"/>
  <c r="S612" i="1"/>
  <c r="T612" i="1" s="1"/>
  <c r="S613" i="1"/>
  <c r="T613" i="1" s="1"/>
  <c r="S609" i="1"/>
  <c r="T609" i="1" s="1"/>
  <c r="V130" i="29"/>
  <c r="V160" i="29"/>
  <c r="V127" i="29"/>
  <c r="S123" i="1"/>
  <c r="T123" i="1" s="1"/>
  <c r="S124" i="1"/>
  <c r="T124" i="1" s="1"/>
  <c r="S125" i="1"/>
  <c r="T125" i="1" s="1"/>
  <c r="S126" i="1"/>
  <c r="T126" i="1" s="1"/>
  <c r="V16" i="29"/>
  <c r="V10" i="29"/>
  <c r="S1292" i="1"/>
  <c r="T1292" i="1" s="1"/>
  <c r="S1293" i="1"/>
  <c r="T1293" i="1" s="1"/>
  <c r="S1294" i="1"/>
  <c r="T1294" i="1" s="1"/>
  <c r="S1295" i="1"/>
  <c r="T1295" i="1" s="1"/>
  <c r="S853" i="1"/>
  <c r="T853" i="1" s="1"/>
  <c r="S854" i="1"/>
  <c r="T854" i="1" s="1"/>
  <c r="S855" i="1"/>
  <c r="T855" i="1" s="1"/>
  <c r="S856" i="1"/>
  <c r="T856" i="1" s="1"/>
  <c r="S814" i="1"/>
  <c r="T814" i="1" s="1"/>
  <c r="S815" i="1"/>
  <c r="T815" i="1" s="1"/>
  <c r="S816" i="1"/>
  <c r="T816" i="1" s="1"/>
  <c r="S817" i="1"/>
  <c r="T817" i="1" s="1"/>
  <c r="S331" i="1"/>
  <c r="T331" i="1" s="1"/>
  <c r="S332" i="1"/>
  <c r="T332" i="1" s="1"/>
  <c r="S333" i="1"/>
  <c r="T333" i="1" s="1"/>
  <c r="S334" i="1"/>
  <c r="T334" i="1" s="1"/>
  <c r="S335" i="1"/>
  <c r="T335" i="1" s="1"/>
  <c r="S1236" i="1"/>
  <c r="T1236" i="1" s="1"/>
  <c r="S1237" i="1"/>
  <c r="T1237" i="1" s="1"/>
  <c r="S1238" i="1"/>
  <c r="T1238" i="1" s="1"/>
  <c r="S1239" i="1"/>
  <c r="T1239" i="1" s="1"/>
  <c r="S1284" i="1"/>
  <c r="T1284" i="1" s="1"/>
  <c r="S1285" i="1"/>
  <c r="T1285" i="1" s="1"/>
  <c r="S1286" i="1"/>
  <c r="T1286" i="1" s="1"/>
  <c r="S1287" i="1"/>
  <c r="T1287" i="1" s="1"/>
  <c r="S1283" i="1"/>
  <c r="T1283" i="1" s="1"/>
  <c r="S1082" i="1"/>
  <c r="T1082" i="1" s="1"/>
  <c r="S501" i="1"/>
  <c r="T501" i="1" s="1"/>
  <c r="S502" i="1"/>
  <c r="T502" i="1" s="1"/>
  <c r="S503" i="1"/>
  <c r="T503" i="1" s="1"/>
  <c r="S504" i="1"/>
  <c r="T504" i="1" s="1"/>
  <c r="S978" i="1"/>
  <c r="T978" i="1" s="1"/>
  <c r="S975" i="1"/>
  <c r="T975" i="1" s="1"/>
  <c r="S976" i="1"/>
  <c r="T976" i="1" s="1"/>
  <c r="S977" i="1"/>
  <c r="T977" i="1" s="1"/>
  <c r="S970" i="1"/>
  <c r="T970" i="1" s="1"/>
  <c r="S972" i="1"/>
  <c r="T972" i="1" s="1"/>
  <c r="S973" i="1"/>
  <c r="T973" i="1" s="1"/>
  <c r="S974" i="1"/>
  <c r="T974" i="1" s="1"/>
  <c r="S971" i="1"/>
  <c r="T971" i="1" s="1"/>
  <c r="S418" i="1"/>
  <c r="T418" i="1" s="1"/>
  <c r="S419" i="1"/>
  <c r="T419" i="1" s="1"/>
  <c r="S420" i="1"/>
  <c r="T420" i="1" s="1"/>
  <c r="S421" i="1"/>
  <c r="T421" i="1" s="1"/>
  <c r="S422" i="1"/>
  <c r="T422" i="1" s="1"/>
  <c r="S518" i="1"/>
  <c r="T518" i="1" s="1"/>
  <c r="S519" i="1"/>
  <c r="T519" i="1" s="1"/>
  <c r="S520" i="1"/>
  <c r="T520" i="1" s="1"/>
  <c r="S521" i="1"/>
  <c r="T521" i="1" s="1"/>
  <c r="S1314" i="1"/>
  <c r="T1314" i="1" s="1"/>
  <c r="S1316" i="1"/>
  <c r="T1316" i="1" s="1"/>
  <c r="S1317" i="1"/>
  <c r="T1317" i="1" s="1"/>
  <c r="S1315" i="1"/>
  <c r="T1315" i="1" s="1"/>
  <c r="S836" i="1"/>
  <c r="T836" i="1" s="1"/>
  <c r="S837" i="1"/>
  <c r="T837" i="1" s="1"/>
  <c r="S838" i="1"/>
  <c r="T838" i="1" s="1"/>
  <c r="S839" i="1"/>
  <c r="T839" i="1" s="1"/>
  <c r="S434" i="1"/>
  <c r="T434" i="1" s="1"/>
  <c r="S435" i="1"/>
  <c r="T435" i="1" s="1"/>
  <c r="S431" i="1"/>
  <c r="T431" i="1" s="1"/>
  <c r="S432" i="1"/>
  <c r="T432" i="1" s="1"/>
  <c r="S433" i="1"/>
  <c r="T433" i="1" s="1"/>
  <c r="S75" i="1"/>
  <c r="T75" i="1" s="1"/>
  <c r="S76" i="1"/>
  <c r="T76" i="1" s="1"/>
  <c r="S77" i="1"/>
  <c r="T77" i="1" s="1"/>
  <c r="S78" i="1"/>
  <c r="T78" i="1" s="1"/>
  <c r="S114" i="1"/>
  <c r="T114" i="1" s="1"/>
  <c r="S115" i="1"/>
  <c r="T115" i="1" s="1"/>
  <c r="S116" i="1"/>
  <c r="T116" i="1" s="1"/>
  <c r="S117" i="1"/>
  <c r="T117" i="1" s="1"/>
  <c r="S109" i="1"/>
  <c r="T109" i="1" s="1"/>
  <c r="S110" i="1"/>
  <c r="T110" i="1" s="1"/>
  <c r="S111" i="1"/>
  <c r="T111" i="1" s="1"/>
  <c r="S112" i="1"/>
  <c r="T112" i="1" s="1"/>
  <c r="S113" i="1"/>
  <c r="T113" i="1" s="1"/>
  <c r="S122" i="1"/>
  <c r="T122" i="1" s="1"/>
  <c r="S118" i="1"/>
  <c r="T118" i="1" s="1"/>
  <c r="S119" i="1"/>
  <c r="T119" i="1" s="1"/>
  <c r="S120" i="1"/>
  <c r="T120" i="1" s="1"/>
  <c r="S121" i="1"/>
  <c r="T121" i="1" s="1"/>
  <c r="S1170" i="1"/>
  <c r="T1170" i="1" s="1"/>
  <c r="S1172" i="1"/>
  <c r="T1172" i="1" s="1"/>
  <c r="S1173" i="1"/>
  <c r="T1173" i="1" s="1"/>
  <c r="S1174" i="1"/>
  <c r="T1174" i="1" s="1"/>
  <c r="S1171" i="1"/>
  <c r="T1171" i="1" s="1"/>
  <c r="S131" i="1"/>
  <c r="T131" i="1" s="1"/>
  <c r="S132" i="1"/>
  <c r="T132" i="1" s="1"/>
  <c r="S133" i="1"/>
  <c r="T133" i="1" s="1"/>
  <c r="S134" i="1"/>
  <c r="T134" i="1" s="1"/>
  <c r="S1138" i="1"/>
  <c r="T1138" i="1" s="1"/>
  <c r="S1136" i="1"/>
  <c r="T1136" i="1" s="1"/>
  <c r="S1137" i="1"/>
  <c r="T1137" i="1" s="1"/>
  <c r="S1139" i="1"/>
  <c r="T1139" i="1" s="1"/>
  <c r="S557" i="1"/>
  <c r="T557" i="1" s="1"/>
  <c r="S558" i="1"/>
  <c r="T558" i="1" s="1"/>
  <c r="S559" i="1"/>
  <c r="T559" i="1" s="1"/>
  <c r="S560" i="1"/>
  <c r="T560" i="1" s="1"/>
  <c r="S561" i="1"/>
  <c r="T561" i="1" s="1"/>
  <c r="S876" i="1"/>
  <c r="T876" i="1" s="1"/>
  <c r="S877" i="1"/>
  <c r="T877" i="1" s="1"/>
  <c r="S878" i="1"/>
  <c r="T878" i="1" s="1"/>
  <c r="S875" i="1"/>
  <c r="T875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498" i="1"/>
  <c r="T498" i="1" s="1"/>
  <c r="S499" i="1"/>
  <c r="T499" i="1" s="1"/>
  <c r="S500" i="1"/>
  <c r="T500" i="1" s="1"/>
  <c r="S497" i="1"/>
  <c r="T497" i="1" s="1"/>
  <c r="S514" i="1"/>
  <c r="T514" i="1" s="1"/>
  <c r="S515" i="1"/>
  <c r="T515" i="1" s="1"/>
  <c r="S516" i="1"/>
  <c r="T516" i="1" s="1"/>
  <c r="S517" i="1"/>
  <c r="T517" i="1" s="1"/>
  <c r="S1002" i="1"/>
  <c r="T1002" i="1" s="1"/>
  <c r="S1004" i="1"/>
  <c r="T1004" i="1" s="1"/>
  <c r="S1001" i="1"/>
  <c r="T1001" i="1" s="1"/>
  <c r="S1003" i="1"/>
  <c r="T1003" i="1" s="1"/>
  <c r="V82" i="29"/>
  <c r="S874" i="1"/>
  <c r="T874" i="1" s="1"/>
  <c r="S870" i="1"/>
  <c r="T870" i="1" s="1"/>
  <c r="S871" i="1"/>
  <c r="T871" i="1" s="1"/>
  <c r="S872" i="1"/>
  <c r="T872" i="1" s="1"/>
  <c r="S873" i="1"/>
  <c r="T873" i="1" s="1"/>
  <c r="S914" i="1"/>
  <c r="T914" i="1" s="1"/>
  <c r="S916" i="1"/>
  <c r="T916" i="1" s="1"/>
  <c r="S917" i="1"/>
  <c r="T917" i="1" s="1"/>
  <c r="S915" i="1"/>
  <c r="T915" i="1" s="1"/>
  <c r="S410" i="1"/>
  <c r="T410" i="1" s="1"/>
  <c r="S411" i="1"/>
  <c r="T411" i="1" s="1"/>
  <c r="S412" i="1"/>
  <c r="T412" i="1" s="1"/>
  <c r="S413" i="1"/>
  <c r="T413" i="1" s="1"/>
  <c r="S409" i="1"/>
  <c r="T409" i="1" s="1"/>
  <c r="S1110" i="1"/>
  <c r="T1110" i="1" s="1"/>
  <c r="S1112" i="1"/>
  <c r="T1112" i="1" s="1"/>
  <c r="S1111" i="1"/>
  <c r="T1111" i="1" s="1"/>
  <c r="S1113" i="1"/>
  <c r="T1113" i="1" s="1"/>
  <c r="S800" i="1"/>
  <c r="T800" i="1" s="1"/>
  <c r="S427" i="1"/>
  <c r="T427" i="1" s="1"/>
  <c r="S428" i="1"/>
  <c r="T428" i="1" s="1"/>
  <c r="S429" i="1"/>
  <c r="T429" i="1" s="1"/>
  <c r="S430" i="1"/>
  <c r="T430" i="1" s="1"/>
  <c r="S794" i="1"/>
  <c r="T794" i="1" s="1"/>
  <c r="S796" i="1"/>
  <c r="T796" i="1" s="1"/>
  <c r="S792" i="1"/>
  <c r="T792" i="1" s="1"/>
  <c r="S793" i="1"/>
  <c r="T793" i="1" s="1"/>
  <c r="S795" i="1"/>
  <c r="T795" i="1" s="1"/>
  <c r="S1262" i="1"/>
  <c r="T1262" i="1" s="1"/>
  <c r="S1264" i="1"/>
  <c r="T1264" i="1" s="1"/>
  <c r="S1265" i="1"/>
  <c r="T1265" i="1" s="1"/>
  <c r="S1263" i="1"/>
  <c r="T1263" i="1" s="1"/>
  <c r="S906" i="1"/>
  <c r="T906" i="1" s="1"/>
  <c r="S908" i="1"/>
  <c r="T908" i="1" s="1"/>
  <c r="S909" i="1"/>
  <c r="T909" i="1" s="1"/>
  <c r="S905" i="1"/>
  <c r="T905" i="1" s="1"/>
  <c r="S907" i="1"/>
  <c r="T907" i="1" s="1"/>
  <c r="S882" i="1"/>
  <c r="T882" i="1" s="1"/>
  <c r="S879" i="1"/>
  <c r="T879" i="1" s="1"/>
  <c r="S880" i="1"/>
  <c r="T880" i="1" s="1"/>
  <c r="S881" i="1"/>
  <c r="T881" i="1" s="1"/>
  <c r="S426" i="1"/>
  <c r="T426" i="1" s="1"/>
  <c r="S423" i="1"/>
  <c r="T423" i="1" s="1"/>
  <c r="S424" i="1"/>
  <c r="T424" i="1" s="1"/>
  <c r="S425" i="1"/>
  <c r="T425" i="1" s="1"/>
  <c r="S605" i="1"/>
  <c r="T605" i="1" s="1"/>
  <c r="S606" i="1"/>
  <c r="T606" i="1" s="1"/>
  <c r="S607" i="1"/>
  <c r="T607" i="1" s="1"/>
  <c r="S608" i="1"/>
  <c r="T608" i="1" s="1"/>
  <c r="S1244" i="1"/>
  <c r="T1244" i="1" s="1"/>
  <c r="S1245" i="1"/>
  <c r="T1245" i="1" s="1"/>
  <c r="S1246" i="1"/>
  <c r="T1246" i="1" s="1"/>
  <c r="S1248" i="1"/>
  <c r="T1248" i="1" s="1"/>
  <c r="S1247" i="1"/>
  <c r="T1247" i="1" s="1"/>
  <c r="S1028" i="1"/>
  <c r="T1028" i="1" s="1"/>
  <c r="S1029" i="1"/>
  <c r="T1029" i="1" s="1"/>
  <c r="S1030" i="1"/>
  <c r="T1030" i="1" s="1"/>
  <c r="S1027" i="1"/>
  <c r="T1027" i="1" s="1"/>
  <c r="S614" i="1"/>
  <c r="T614" i="1" s="1"/>
  <c r="S615" i="1"/>
  <c r="T615" i="1" s="1"/>
  <c r="S616" i="1"/>
  <c r="T616" i="1" s="1"/>
  <c r="S617" i="1"/>
  <c r="T617" i="1" s="1"/>
  <c r="S698" i="1"/>
  <c r="T698" i="1" s="1"/>
  <c r="S699" i="1"/>
  <c r="T699" i="1" s="1"/>
  <c r="S700" i="1"/>
  <c r="T700" i="1" s="1"/>
  <c r="S697" i="1"/>
  <c r="T697" i="1" s="1"/>
  <c r="S1101" i="1"/>
  <c r="T1101" i="1" s="1"/>
  <c r="S1102" i="1"/>
  <c r="T1102" i="1" s="1"/>
  <c r="S1104" i="1"/>
  <c r="T1104" i="1" s="1"/>
  <c r="S1103" i="1"/>
  <c r="T1103" i="1" s="1"/>
  <c r="V106" i="29"/>
  <c r="S718" i="1"/>
  <c r="T718" i="1" s="1"/>
  <c r="S719" i="1"/>
  <c r="T719" i="1" s="1"/>
  <c r="S720" i="1"/>
  <c r="T720" i="1" s="1"/>
  <c r="S721" i="1"/>
  <c r="T721" i="1" s="1"/>
  <c r="S146" i="1"/>
  <c r="T146" i="1" s="1"/>
  <c r="S147" i="1"/>
  <c r="T147" i="1" s="1"/>
  <c r="S148" i="1"/>
  <c r="T148" i="1" s="1"/>
  <c r="S144" i="1"/>
  <c r="T144" i="1" s="1"/>
  <c r="S145" i="1"/>
  <c r="T145" i="1" s="1"/>
  <c r="S90" i="1"/>
  <c r="T90" i="1" s="1"/>
  <c r="S91" i="1"/>
  <c r="T91" i="1" s="1"/>
  <c r="S88" i="1"/>
  <c r="T88" i="1" s="1"/>
  <c r="S89" i="1"/>
  <c r="T89" i="1" s="1"/>
  <c r="S1098" i="1"/>
  <c r="T1098" i="1" s="1"/>
  <c r="S1100" i="1"/>
  <c r="T1100" i="1" s="1"/>
  <c r="S1096" i="1"/>
  <c r="T1096" i="1" s="1"/>
  <c r="S1099" i="1"/>
  <c r="T1099" i="1" s="1"/>
  <c r="S1097" i="1"/>
  <c r="T1097" i="1" s="1"/>
  <c r="V83" i="29"/>
  <c r="S1062" i="1"/>
  <c r="T1062" i="1" s="1"/>
  <c r="S1064" i="1"/>
  <c r="T1064" i="1" s="1"/>
  <c r="S1063" i="1"/>
  <c r="T1063" i="1" s="1"/>
  <c r="S1065" i="1"/>
  <c r="T1065" i="1" s="1"/>
  <c r="S1226" i="1"/>
  <c r="T1226" i="1" s="1"/>
  <c r="S1224" i="1"/>
  <c r="T1224" i="1" s="1"/>
  <c r="S1223" i="1"/>
  <c r="T1223" i="1" s="1"/>
  <c r="S1225" i="1"/>
  <c r="T1225" i="1" s="1"/>
  <c r="S130" i="1"/>
  <c r="T130" i="1" s="1"/>
  <c r="S127" i="1"/>
  <c r="T127" i="1" s="1"/>
  <c r="S128" i="1"/>
  <c r="T128" i="1" s="1"/>
  <c r="S129" i="1"/>
  <c r="T129" i="1" s="1"/>
  <c r="S1122" i="1"/>
  <c r="T1122" i="1" s="1"/>
  <c r="S1118" i="1"/>
  <c r="T1118" i="1" s="1"/>
  <c r="S1120" i="1"/>
  <c r="T1120" i="1" s="1"/>
  <c r="S1121" i="1"/>
  <c r="T1121" i="1" s="1"/>
  <c r="S1119" i="1"/>
  <c r="T1119" i="1" s="1"/>
  <c r="S962" i="1"/>
  <c r="T962" i="1" s="1"/>
  <c r="S964" i="1"/>
  <c r="T964" i="1" s="1"/>
  <c r="S965" i="1"/>
  <c r="T965" i="1" s="1"/>
  <c r="S963" i="1"/>
  <c r="T963" i="1" s="1"/>
  <c r="S890" i="1"/>
  <c r="T890" i="1" s="1"/>
  <c r="S888" i="1"/>
  <c r="T888" i="1" s="1"/>
  <c r="S889" i="1"/>
  <c r="T889" i="1" s="1"/>
  <c r="S891" i="1"/>
  <c r="T891" i="1" s="1"/>
  <c r="S236" i="1"/>
  <c r="T236" i="1" s="1"/>
  <c r="S237" i="1"/>
  <c r="T237" i="1" s="1"/>
  <c r="S238" i="1"/>
  <c r="T238" i="1" s="1"/>
  <c r="S239" i="1"/>
  <c r="T239" i="1" s="1"/>
  <c r="S178" i="1"/>
  <c r="T178" i="1" s="1"/>
  <c r="S175" i="1"/>
  <c r="T175" i="1" s="1"/>
  <c r="S176" i="1"/>
  <c r="T176" i="1" s="1"/>
  <c r="S177" i="1"/>
  <c r="T177" i="1" s="1"/>
  <c r="S1324" i="1"/>
  <c r="T1324" i="1" s="1"/>
  <c r="S1325" i="1"/>
  <c r="T1325" i="1" s="1"/>
  <c r="S1326" i="1"/>
  <c r="T1326" i="1" s="1"/>
  <c r="S1323" i="1"/>
  <c r="T1323" i="1" s="1"/>
  <c r="S370" i="1"/>
  <c r="T370" i="1" s="1"/>
  <c r="S371" i="1"/>
  <c r="T371" i="1" s="1"/>
  <c r="S372" i="1"/>
  <c r="T372" i="1" s="1"/>
  <c r="S373" i="1"/>
  <c r="T373" i="1" s="1"/>
  <c r="S374" i="1"/>
  <c r="T374" i="1" s="1"/>
  <c r="S1166" i="1"/>
  <c r="T1166" i="1" s="1"/>
  <c r="S1168" i="1"/>
  <c r="T1168" i="1" s="1"/>
  <c r="S1167" i="1"/>
  <c r="T1167" i="1" s="1"/>
  <c r="S1169" i="1"/>
  <c r="T1169" i="1" s="1"/>
  <c r="S1106" i="1"/>
  <c r="T1106" i="1" s="1"/>
  <c r="S1108" i="1"/>
  <c r="T1108" i="1" s="1"/>
  <c r="S1109" i="1"/>
  <c r="T1109" i="1" s="1"/>
  <c r="S1105" i="1"/>
  <c r="T1105" i="1" s="1"/>
  <c r="S1107" i="1"/>
  <c r="T1107" i="1" s="1"/>
  <c r="V75" i="29"/>
  <c r="S1340" i="1"/>
  <c r="T1340" i="1" s="1"/>
  <c r="S1341" i="1"/>
  <c r="T1341" i="1" s="1"/>
  <c r="S1342" i="1"/>
  <c r="T1342" i="1" s="1"/>
  <c r="S1343" i="1"/>
  <c r="T1343" i="1" s="1"/>
  <c r="S692" i="1"/>
  <c r="T692" i="1" s="1"/>
  <c r="S693" i="1"/>
  <c r="T693" i="1" s="1"/>
  <c r="S694" i="1"/>
  <c r="T694" i="1" s="1"/>
  <c r="S695" i="1"/>
  <c r="T695" i="1" s="1"/>
  <c r="S696" i="1"/>
  <c r="T696" i="1" s="1"/>
  <c r="S957" i="1"/>
  <c r="T957" i="1" s="1"/>
  <c r="S958" i="1"/>
  <c r="T958" i="1" s="1"/>
  <c r="S959" i="1"/>
  <c r="T959" i="1" s="1"/>
  <c r="S960" i="1"/>
  <c r="T960" i="1" s="1"/>
  <c r="S961" i="1"/>
  <c r="T961" i="1" s="1"/>
  <c r="S1234" i="1"/>
  <c r="T1234" i="1" s="1"/>
  <c r="S1232" i="1"/>
  <c r="T1232" i="1" s="1"/>
  <c r="S1231" i="1"/>
  <c r="T1231" i="1" s="1"/>
  <c r="S1233" i="1"/>
  <c r="T1233" i="1" s="1"/>
  <c r="S1235" i="1"/>
  <c r="T1235" i="1" s="1"/>
  <c r="S1356" i="1"/>
  <c r="T1356" i="1" s="1"/>
  <c r="S1353" i="1"/>
  <c r="T1353" i="1" s="1"/>
  <c r="V90" i="29"/>
  <c r="S140" i="1"/>
  <c r="T140" i="1" s="1"/>
  <c r="S141" i="1"/>
  <c r="T141" i="1" s="1"/>
  <c r="S142" i="1"/>
  <c r="T142" i="1" s="1"/>
  <c r="S143" i="1"/>
  <c r="T143" i="1" s="1"/>
  <c r="S858" i="1"/>
  <c r="T858" i="1" s="1"/>
  <c r="S860" i="1"/>
  <c r="T860" i="1" s="1"/>
  <c r="S861" i="1"/>
  <c r="T861" i="1" s="1"/>
  <c r="S857" i="1"/>
  <c r="T857" i="1" s="1"/>
  <c r="S859" i="1"/>
  <c r="T859" i="1" s="1"/>
  <c r="S1214" i="1"/>
  <c r="T1214" i="1" s="1"/>
  <c r="S1216" i="1"/>
  <c r="T1216" i="1" s="1"/>
  <c r="S1215" i="1"/>
  <c r="T1215" i="1" s="1"/>
  <c r="S1217" i="1"/>
  <c r="T1217" i="1" s="1"/>
  <c r="S834" i="1"/>
  <c r="T834" i="1" s="1"/>
  <c r="S831" i="1"/>
  <c r="T831" i="1" s="1"/>
  <c r="S832" i="1"/>
  <c r="T832" i="1" s="1"/>
  <c r="S833" i="1"/>
  <c r="T833" i="1" s="1"/>
  <c r="S835" i="1"/>
  <c r="T835" i="1" s="1"/>
  <c r="V109" i="29"/>
  <c r="S214" i="1"/>
  <c r="T214" i="1" s="1"/>
  <c r="S215" i="1"/>
  <c r="T215" i="1" s="1"/>
  <c r="S216" i="1"/>
  <c r="T216" i="1" s="1"/>
  <c r="S217" i="1"/>
  <c r="T217" i="1" s="1"/>
  <c r="S1157" i="1"/>
  <c r="T1157" i="1" s="1"/>
  <c r="S1158" i="1"/>
  <c r="T1158" i="1" s="1"/>
  <c r="S1160" i="1"/>
  <c r="T1160" i="1" s="1"/>
  <c r="S1161" i="1"/>
  <c r="T1161" i="1" s="1"/>
  <c r="S1159" i="1"/>
  <c r="T1159" i="1" s="1"/>
  <c r="S666" i="1"/>
  <c r="T666" i="1" s="1"/>
  <c r="S667" i="1"/>
  <c r="T667" i="1" s="1"/>
  <c r="S668" i="1"/>
  <c r="T668" i="1" s="1"/>
  <c r="S669" i="1"/>
  <c r="T669" i="1" s="1"/>
  <c r="S866" i="1"/>
  <c r="T866" i="1" s="1"/>
  <c r="S868" i="1"/>
  <c r="T868" i="1" s="1"/>
  <c r="S869" i="1"/>
  <c r="T869" i="1" s="1"/>
  <c r="S867" i="1"/>
  <c r="T867" i="1" s="1"/>
  <c r="S1276" i="1"/>
  <c r="T1276" i="1" s="1"/>
  <c r="S1277" i="1"/>
  <c r="T1277" i="1" s="1"/>
  <c r="S1278" i="1"/>
  <c r="T1278" i="1" s="1"/>
  <c r="S1275" i="1"/>
  <c r="T1275" i="1" s="1"/>
  <c r="S1014" i="1"/>
  <c r="T1014" i="1" s="1"/>
  <c r="S1015" i="1"/>
  <c r="T1015" i="1" s="1"/>
  <c r="S1016" i="1"/>
  <c r="T1016" i="1" s="1"/>
  <c r="S1017" i="1"/>
  <c r="T1017" i="1" s="1"/>
  <c r="S602" i="1"/>
  <c r="T602" i="1" s="1"/>
  <c r="S603" i="1"/>
  <c r="T603" i="1" s="1"/>
  <c r="S604" i="1"/>
  <c r="T604" i="1" s="1"/>
  <c r="S601" i="1"/>
  <c r="T601" i="1" s="1"/>
  <c r="S1194" i="1"/>
  <c r="T1194" i="1" s="1"/>
  <c r="S1196" i="1"/>
  <c r="T1196" i="1" s="1"/>
  <c r="S1192" i="1"/>
  <c r="T1192" i="1" s="1"/>
  <c r="S1193" i="1"/>
  <c r="T1193" i="1" s="1"/>
  <c r="S1195" i="1"/>
  <c r="T1195" i="1" s="1"/>
  <c r="S949" i="1"/>
  <c r="T949" i="1" s="1"/>
  <c r="S950" i="1"/>
  <c r="T950" i="1" s="1"/>
  <c r="S951" i="1"/>
  <c r="T951" i="1" s="1"/>
  <c r="S952" i="1"/>
  <c r="T952" i="1" s="1"/>
  <c r="S1218" i="1"/>
  <c r="T1218" i="1" s="1"/>
  <c r="S1220" i="1"/>
  <c r="T1220" i="1" s="1"/>
  <c r="S1221" i="1"/>
  <c r="T1221" i="1" s="1"/>
  <c r="S1222" i="1"/>
  <c r="T1222" i="1" s="1"/>
  <c r="S1219" i="1"/>
  <c r="T1219" i="1" s="1"/>
  <c r="S1146" i="1"/>
  <c r="T1146" i="1" s="1"/>
  <c r="S1148" i="1"/>
  <c r="T1148" i="1" s="1"/>
  <c r="S1144" i="1"/>
  <c r="T1144" i="1" s="1"/>
  <c r="S1145" i="1"/>
  <c r="T1145" i="1" s="1"/>
  <c r="S1147" i="1"/>
  <c r="T1147" i="1" s="1"/>
  <c r="S946" i="1"/>
  <c r="T946" i="1" s="1"/>
  <c r="S948" i="1"/>
  <c r="T948" i="1" s="1"/>
  <c r="S944" i="1"/>
  <c r="T944" i="1" s="1"/>
  <c r="S947" i="1"/>
  <c r="T947" i="1" s="1"/>
  <c r="S945" i="1"/>
  <c r="T945" i="1" s="1"/>
  <c r="S1036" i="1"/>
  <c r="T1036" i="1" s="1"/>
  <c r="S1037" i="1"/>
  <c r="T1037" i="1" s="1"/>
  <c r="S1038" i="1"/>
  <c r="T1038" i="1" s="1"/>
  <c r="S1039" i="1"/>
  <c r="T1039" i="1" s="1"/>
  <c r="S590" i="1"/>
  <c r="T590" i="1" s="1"/>
  <c r="S1366" i="1"/>
  <c r="T1366" i="1" s="1"/>
  <c r="S1368" i="1"/>
  <c r="T1368" i="1" s="1"/>
  <c r="S1367" i="1"/>
  <c r="T1367" i="1" s="1"/>
  <c r="S1369" i="1"/>
  <c r="T1369" i="1" s="1"/>
  <c r="S578" i="1"/>
  <c r="T578" i="1" s="1"/>
  <c r="S575" i="1"/>
  <c r="T575" i="1" s="1"/>
  <c r="S576" i="1"/>
  <c r="T576" i="1" s="1"/>
  <c r="S577" i="1"/>
  <c r="T577" i="1" s="1"/>
  <c r="S202" i="1"/>
  <c r="T202" i="1" s="1"/>
  <c r="S203" i="1"/>
  <c r="T203" i="1" s="1"/>
  <c r="S204" i="1"/>
  <c r="T204" i="1" s="1"/>
  <c r="S201" i="1"/>
  <c r="T201" i="1" s="1"/>
  <c r="S1066" i="1"/>
  <c r="T1066" i="1" s="1"/>
  <c r="S1068" i="1"/>
  <c r="T1068" i="1" s="1"/>
  <c r="S1069" i="1"/>
  <c r="T1069" i="1" s="1"/>
  <c r="S1070" i="1"/>
  <c r="T1070" i="1" s="1"/>
  <c r="S1067" i="1"/>
  <c r="T1067" i="1" s="1"/>
  <c r="S44" i="1"/>
  <c r="T44" i="1" s="1"/>
  <c r="S45" i="1"/>
  <c r="T45" i="1" s="1"/>
  <c r="S46" i="1"/>
  <c r="T46" i="1" s="1"/>
  <c r="S47" i="1"/>
  <c r="T47" i="1" s="1"/>
  <c r="S48" i="1"/>
  <c r="T48" i="1" s="1"/>
  <c r="V24" i="29"/>
  <c r="S27" i="1"/>
  <c r="T27" i="1" s="1"/>
  <c r="S28" i="1"/>
  <c r="T28" i="1" s="1"/>
  <c r="S29" i="1"/>
  <c r="T29" i="1" s="1"/>
  <c r="S30" i="1"/>
  <c r="T30" i="1" s="1"/>
  <c r="S274" i="1"/>
  <c r="T274" i="1" s="1"/>
  <c r="S270" i="1"/>
  <c r="T270" i="1" s="1"/>
  <c r="S271" i="1"/>
  <c r="T271" i="1" s="1"/>
  <c r="S272" i="1"/>
  <c r="T272" i="1" s="1"/>
  <c r="S273" i="1"/>
  <c r="T273" i="1" s="1"/>
  <c r="S1330" i="1"/>
  <c r="T1330" i="1" s="1"/>
  <c r="S1328" i="1"/>
  <c r="T1328" i="1" s="1"/>
  <c r="S1327" i="1"/>
  <c r="T1327" i="1" s="1"/>
  <c r="S1329" i="1"/>
  <c r="T1329" i="1" s="1"/>
  <c r="S1140" i="1"/>
  <c r="T1140" i="1" s="1"/>
  <c r="S1141" i="1"/>
  <c r="T1141" i="1" s="1"/>
  <c r="S1142" i="1"/>
  <c r="T1142" i="1" s="1"/>
  <c r="S1143" i="1"/>
  <c r="T1143" i="1" s="1"/>
  <c r="S918" i="1"/>
  <c r="T918" i="1" s="1"/>
  <c r="S919" i="1"/>
  <c r="T919" i="1" s="1"/>
  <c r="S920" i="1"/>
  <c r="T920" i="1" s="1"/>
  <c r="S921" i="1"/>
  <c r="T921" i="1" s="1"/>
  <c r="S826" i="1"/>
  <c r="T826" i="1" s="1"/>
  <c r="S823" i="1"/>
  <c r="T823" i="1" s="1"/>
  <c r="S824" i="1"/>
  <c r="T824" i="1" s="1"/>
  <c r="S825" i="1"/>
  <c r="T825" i="1" s="1"/>
  <c r="S1378" i="1"/>
  <c r="T1378" i="1" s="1"/>
  <c r="S1376" i="1"/>
  <c r="T1376" i="1" s="1"/>
  <c r="S1377" i="1"/>
  <c r="T1377" i="1" s="1"/>
  <c r="S1375" i="1"/>
  <c r="T1375" i="1" s="1"/>
  <c r="S997" i="1"/>
  <c r="T997" i="1" s="1"/>
  <c r="S998" i="1"/>
  <c r="T998" i="1" s="1"/>
  <c r="S999" i="1"/>
  <c r="T999" i="1" s="1"/>
  <c r="S1000" i="1"/>
  <c r="T1000" i="1" s="1"/>
  <c r="S954" i="1"/>
  <c r="T954" i="1" s="1"/>
  <c r="S956" i="1"/>
  <c r="T956" i="1" s="1"/>
  <c r="S955" i="1"/>
  <c r="T955" i="1" s="1"/>
  <c r="S953" i="1"/>
  <c r="T953" i="1" s="1"/>
  <c r="S283" i="1"/>
  <c r="T283" i="1" s="1"/>
  <c r="S284" i="1"/>
  <c r="T284" i="1" s="1"/>
  <c r="S285" i="1"/>
  <c r="T285" i="1" s="1"/>
  <c r="S286" i="1"/>
  <c r="T286" i="1" s="1"/>
  <c r="S287" i="1"/>
  <c r="T287" i="1" s="1"/>
  <c r="S980" i="1"/>
  <c r="T980" i="1" s="1"/>
  <c r="S981" i="1"/>
  <c r="T981" i="1" s="1"/>
  <c r="S982" i="1"/>
  <c r="T982" i="1" s="1"/>
  <c r="S979" i="1"/>
  <c r="T979" i="1" s="1"/>
  <c r="S492" i="1"/>
  <c r="T492" i="1" s="1"/>
  <c r="S493" i="1"/>
  <c r="T493" i="1" s="1"/>
  <c r="S494" i="1"/>
  <c r="T494" i="1" s="1"/>
  <c r="S495" i="1"/>
  <c r="T495" i="1" s="1"/>
  <c r="S496" i="1"/>
  <c r="T496" i="1" s="1"/>
  <c r="S1092" i="1"/>
  <c r="T1092" i="1" s="1"/>
  <c r="S1093" i="1"/>
  <c r="T1093" i="1" s="1"/>
  <c r="S1094" i="1"/>
  <c r="T1094" i="1" s="1"/>
  <c r="S1095" i="1"/>
  <c r="T1095" i="1" s="1"/>
  <c r="S1050" i="1"/>
  <c r="T1050" i="1" s="1"/>
  <c r="S1052" i="1"/>
  <c r="T1052" i="1" s="1"/>
  <c r="S1049" i="1"/>
  <c r="T1049" i="1" s="1"/>
  <c r="S1051" i="1"/>
  <c r="T1051" i="1" s="1"/>
  <c r="S1186" i="1"/>
  <c r="T1186" i="1" s="1"/>
  <c r="S1184" i="1"/>
  <c r="T1184" i="1" s="1"/>
  <c r="S1185" i="1"/>
  <c r="T1185" i="1" s="1"/>
  <c r="S1183" i="1"/>
  <c r="T1183" i="1" s="1"/>
  <c r="S1187" i="1"/>
  <c r="T1187" i="1" s="1"/>
  <c r="S932" i="1"/>
  <c r="T932" i="1" s="1"/>
  <c r="S933" i="1"/>
  <c r="T933" i="1" s="1"/>
  <c r="S934" i="1"/>
  <c r="T934" i="1" s="1"/>
  <c r="S935" i="1"/>
  <c r="T935" i="1" s="1"/>
  <c r="S931" i="1"/>
  <c r="T931" i="1" s="1"/>
  <c r="S282" i="1"/>
  <c r="T282" i="1" s="1"/>
  <c r="S279" i="1"/>
  <c r="T279" i="1" s="1"/>
  <c r="S280" i="1"/>
  <c r="T280" i="1" s="1"/>
  <c r="S281" i="1"/>
  <c r="T281" i="1" s="1"/>
  <c r="S414" i="1"/>
  <c r="T414" i="1" s="1"/>
  <c r="S415" i="1"/>
  <c r="T415" i="1" s="1"/>
  <c r="S416" i="1"/>
  <c r="T416" i="1" s="1"/>
  <c r="S417" i="1"/>
  <c r="T417" i="1" s="1"/>
  <c r="S179" i="1"/>
  <c r="T179" i="1" s="1"/>
  <c r="S180" i="1"/>
  <c r="T180" i="1" s="1"/>
  <c r="S181" i="1"/>
  <c r="T181" i="1" s="1"/>
  <c r="S182" i="1"/>
  <c r="T182" i="1" s="1"/>
  <c r="S183" i="1"/>
  <c r="T183" i="1" s="1"/>
  <c r="S818" i="1"/>
  <c r="T818" i="1" s="1"/>
  <c r="S820" i="1"/>
  <c r="T820" i="1" s="1"/>
  <c r="S821" i="1"/>
  <c r="T821" i="1" s="1"/>
  <c r="S822" i="1"/>
  <c r="T822" i="1" s="1"/>
  <c r="S819" i="1"/>
  <c r="T819" i="1" s="1"/>
  <c r="S1349" i="1"/>
  <c r="T1349" i="1" s="1"/>
  <c r="S1350" i="1"/>
  <c r="T1350" i="1" s="1"/>
  <c r="S1352" i="1"/>
  <c r="T1352" i="1" s="1"/>
  <c r="S1351" i="1"/>
  <c r="T1351" i="1" s="1"/>
  <c r="S1074" i="1"/>
  <c r="T1074" i="1" s="1"/>
  <c r="S1072" i="1"/>
  <c r="T1072" i="1" s="1"/>
  <c r="S1071" i="1"/>
  <c r="T1071" i="1" s="1"/>
  <c r="S1073" i="1"/>
  <c r="T1073" i="1" s="1"/>
  <c r="S1124" i="1"/>
  <c r="T1124" i="1" s="1"/>
  <c r="S1125" i="1"/>
  <c r="T1125" i="1" s="1"/>
  <c r="S1126" i="1"/>
  <c r="T1126" i="1" s="1"/>
  <c r="S1123" i="1"/>
  <c r="T1123" i="1" s="1"/>
  <c r="V113" i="29"/>
  <c r="V58" i="29"/>
  <c r="S566" i="1"/>
  <c r="T566" i="1" s="1"/>
  <c r="S567" i="1"/>
  <c r="T567" i="1" s="1"/>
  <c r="S568" i="1"/>
  <c r="T568" i="1" s="1"/>
  <c r="S569" i="1"/>
  <c r="T569" i="1" s="1"/>
  <c r="S922" i="1"/>
  <c r="T922" i="1" s="1"/>
  <c r="S924" i="1"/>
  <c r="T924" i="1" s="1"/>
  <c r="S925" i="1"/>
  <c r="T925" i="1" s="1"/>
  <c r="S926" i="1"/>
  <c r="T926" i="1" s="1"/>
  <c r="S923" i="1"/>
  <c r="T923" i="1" s="1"/>
  <c r="S1180" i="1"/>
  <c r="T1180" i="1" s="1"/>
  <c r="S1181" i="1"/>
  <c r="T1181" i="1" s="1"/>
  <c r="S1182" i="1"/>
  <c r="T1182" i="1" s="1"/>
  <c r="S1179" i="1"/>
  <c r="T1179" i="1" s="1"/>
  <c r="S1197" i="1"/>
  <c r="T1197" i="1" s="1"/>
  <c r="S1198" i="1"/>
  <c r="T1198" i="1" s="1"/>
  <c r="S1200" i="1"/>
  <c r="T1200" i="1" s="1"/>
  <c r="S1199" i="1"/>
  <c r="T1199" i="1" s="1"/>
  <c r="S594" i="1"/>
  <c r="T594" i="1" s="1"/>
  <c r="S595" i="1"/>
  <c r="T595" i="1" s="1"/>
  <c r="S596" i="1"/>
  <c r="T596" i="1" s="1"/>
  <c r="S592" i="1"/>
  <c r="T592" i="1" s="1"/>
  <c r="S593" i="1"/>
  <c r="T593" i="1" s="1"/>
  <c r="S1202" i="1"/>
  <c r="T1202" i="1" s="1"/>
  <c r="S1204" i="1"/>
  <c r="T1204" i="1" s="1"/>
  <c r="S1201" i="1"/>
  <c r="T1201" i="1" s="1"/>
  <c r="S1203" i="1"/>
  <c r="T1203" i="1" s="1"/>
  <c r="S938" i="1"/>
  <c r="T938" i="1" s="1"/>
  <c r="S936" i="1"/>
  <c r="T936" i="1" s="1"/>
  <c r="S937" i="1"/>
  <c r="T937" i="1" s="1"/>
  <c r="S939" i="1"/>
  <c r="T939" i="1" s="1"/>
  <c r="S1084" i="1"/>
  <c r="T1084" i="1" s="1"/>
  <c r="S1085" i="1"/>
  <c r="T1085" i="1" s="1"/>
  <c r="S1086" i="1"/>
  <c r="T1086" i="1" s="1"/>
  <c r="S1083" i="1"/>
  <c r="T1083" i="1" s="1"/>
  <c r="S1087" i="1"/>
  <c r="T1087" i="1" s="1"/>
  <c r="S966" i="1"/>
  <c r="T966" i="1" s="1"/>
  <c r="S967" i="1"/>
  <c r="T967" i="1" s="1"/>
  <c r="S968" i="1"/>
  <c r="T968" i="1" s="1"/>
  <c r="S969" i="1"/>
  <c r="T969" i="1" s="1"/>
  <c r="S842" i="1"/>
  <c r="T842" i="1" s="1"/>
  <c r="S840" i="1"/>
  <c r="T840" i="1" s="1"/>
  <c r="S841" i="1"/>
  <c r="T841" i="1" s="1"/>
  <c r="S843" i="1"/>
  <c r="T843" i="1" s="1"/>
  <c r="S1274" i="1"/>
  <c r="T1274" i="1" s="1"/>
  <c r="S1272" i="1"/>
  <c r="T1272" i="1" s="1"/>
  <c r="S1271" i="1"/>
  <c r="T1271" i="1" s="1"/>
  <c r="S1273" i="1"/>
  <c r="T1273" i="1" s="1"/>
  <c r="V159" i="29"/>
  <c r="S275" i="1"/>
  <c r="T275" i="1" s="1"/>
  <c r="S276" i="1"/>
  <c r="T276" i="1" s="1"/>
  <c r="S277" i="1"/>
  <c r="T277" i="1" s="1"/>
  <c r="S278" i="1"/>
  <c r="T278" i="1" s="1"/>
  <c r="S266" i="1"/>
  <c r="T266" i="1" s="1"/>
  <c r="S267" i="1"/>
  <c r="T267" i="1" s="1"/>
  <c r="S268" i="1"/>
  <c r="T268" i="1" s="1"/>
  <c r="S269" i="1"/>
  <c r="T269" i="1" s="1"/>
  <c r="S1010" i="1"/>
  <c r="T1010" i="1" s="1"/>
  <c r="S1012" i="1"/>
  <c r="T1012" i="1" s="1"/>
  <c r="S1013" i="1"/>
  <c r="T1013" i="1" s="1"/>
  <c r="S1011" i="1"/>
  <c r="T1011" i="1" s="1"/>
  <c r="S1018" i="1"/>
  <c r="T1018" i="1" s="1"/>
  <c r="S1020" i="1"/>
  <c r="T1020" i="1" s="1"/>
  <c r="S1021" i="1"/>
  <c r="T1021" i="1" s="1"/>
  <c r="S1019" i="1"/>
  <c r="T1019" i="1" s="1"/>
  <c r="S1362" i="1"/>
  <c r="T1362" i="1" s="1"/>
  <c r="S1364" i="1"/>
  <c r="T1364" i="1" s="1"/>
  <c r="S1365" i="1"/>
  <c r="T1365" i="1" s="1"/>
  <c r="S1363" i="1"/>
  <c r="T1363" i="1" s="1"/>
  <c r="V77" i="29"/>
  <c r="V145" i="29"/>
  <c r="V62" i="29"/>
  <c r="S805" i="1"/>
  <c r="T805" i="1" s="1"/>
  <c r="S806" i="1"/>
  <c r="T806" i="1" s="1"/>
  <c r="S807" i="1"/>
  <c r="T807" i="1" s="1"/>
  <c r="S808" i="1"/>
  <c r="T808" i="1" s="1"/>
  <c r="S809" i="1"/>
  <c r="T809" i="1" s="1"/>
  <c r="S149" i="1"/>
  <c r="T149" i="1" s="1"/>
  <c r="S150" i="1"/>
  <c r="T150" i="1" s="1"/>
  <c r="S151" i="1"/>
  <c r="T151" i="1" s="1"/>
  <c r="S152" i="1"/>
  <c r="T152" i="1" s="1"/>
  <c r="S186" i="1"/>
  <c r="T186" i="1" s="1"/>
  <c r="S187" i="1"/>
  <c r="T187" i="1" s="1"/>
  <c r="S184" i="1"/>
  <c r="T184" i="1" s="1"/>
  <c r="S185" i="1"/>
  <c r="T185" i="1" s="1"/>
  <c r="V26" i="29"/>
  <c r="S1282" i="1"/>
  <c r="T1282" i="1" s="1"/>
  <c r="S1280" i="1"/>
  <c r="T1280" i="1" s="1"/>
  <c r="S1279" i="1"/>
  <c r="T1279" i="1" s="1"/>
  <c r="S1281" i="1"/>
  <c r="T1281" i="1" s="1"/>
  <c r="S154" i="1"/>
  <c r="T154" i="1" s="1"/>
  <c r="S155" i="1"/>
  <c r="T155" i="1" s="1"/>
  <c r="S156" i="1"/>
  <c r="T156" i="1" s="1"/>
  <c r="S153" i="1"/>
  <c r="T153" i="1" s="1"/>
  <c r="S138" i="1"/>
  <c r="T138" i="1" s="1"/>
  <c r="S139" i="1"/>
  <c r="T139" i="1" s="1"/>
  <c r="S135" i="1"/>
  <c r="T135" i="1" s="1"/>
  <c r="S136" i="1"/>
  <c r="T136" i="1" s="1"/>
  <c r="S137" i="1"/>
  <c r="T137" i="1" s="1"/>
  <c r="S1258" i="1"/>
  <c r="T1258" i="1" s="1"/>
  <c r="S1260" i="1"/>
  <c r="T1260" i="1" s="1"/>
  <c r="S1261" i="1"/>
  <c r="T1261" i="1" s="1"/>
  <c r="S1257" i="1"/>
  <c r="T1257" i="1" s="1"/>
  <c r="S1259" i="1"/>
  <c r="T1259" i="1" s="1"/>
  <c r="S1250" i="1"/>
  <c r="T1250" i="1" s="1"/>
  <c r="S1252" i="1"/>
  <c r="T1252" i="1" s="1"/>
  <c r="S1249" i="1"/>
  <c r="T1249" i="1" s="1"/>
  <c r="S1251" i="1"/>
  <c r="T1251" i="1" s="1"/>
  <c r="S196" i="1"/>
  <c r="T196" i="1" s="1"/>
  <c r="S197" i="1"/>
  <c r="T197" i="1" s="1"/>
  <c r="S198" i="1"/>
  <c r="T198" i="1" s="1"/>
  <c r="S199" i="1"/>
  <c r="T199" i="1" s="1"/>
  <c r="S200" i="1"/>
  <c r="T200" i="1" s="1"/>
  <c r="S42" i="1"/>
  <c r="T42" i="1" s="1"/>
  <c r="S43" i="1"/>
  <c r="T43" i="1" s="1"/>
  <c r="S40" i="1"/>
  <c r="T40" i="1" s="1"/>
  <c r="S41" i="1"/>
  <c r="T41" i="1" s="1"/>
  <c r="S50" i="1"/>
  <c r="T50" i="1" s="1"/>
  <c r="S51" i="1"/>
  <c r="T51" i="1" s="1"/>
  <c r="S52" i="1"/>
  <c r="T52" i="1" s="1"/>
  <c r="S49" i="1"/>
  <c r="T49" i="1" s="1"/>
  <c r="S1306" i="1"/>
  <c r="T1306" i="1" s="1"/>
  <c r="S1308" i="1"/>
  <c r="T1308" i="1" s="1"/>
  <c r="S1309" i="1"/>
  <c r="T1309" i="1" s="1"/>
  <c r="S1307" i="1"/>
  <c r="T1307" i="1" s="1"/>
  <c r="S1305" i="1"/>
  <c r="T1305" i="1" s="1"/>
  <c r="S366" i="1"/>
  <c r="T366" i="1" s="1"/>
  <c r="S367" i="1"/>
  <c r="T367" i="1" s="1"/>
  <c r="S368" i="1"/>
  <c r="T368" i="1" s="1"/>
  <c r="S369" i="1"/>
  <c r="T369" i="1" s="1"/>
  <c r="S1332" i="1"/>
  <c r="T1332" i="1" s="1"/>
  <c r="S1333" i="1"/>
  <c r="T1333" i="1" s="1"/>
  <c r="S1334" i="1"/>
  <c r="T1334" i="1" s="1"/>
  <c r="S1331" i="1"/>
  <c r="T1331" i="1" s="1"/>
  <c r="S1357" i="1"/>
  <c r="T1357" i="1" s="1"/>
  <c r="S1358" i="1"/>
  <c r="T1358" i="1" s="1"/>
  <c r="S1360" i="1"/>
  <c r="T1360" i="1" s="1"/>
  <c r="S1359" i="1"/>
  <c r="T1359" i="1" s="1"/>
  <c r="S1361" i="1"/>
  <c r="T1361" i="1" s="1"/>
  <c r="S1370" i="1"/>
  <c r="T1370" i="1" s="1"/>
  <c r="S1372" i="1"/>
  <c r="T1372" i="1" s="1"/>
  <c r="S1373" i="1"/>
  <c r="T1373" i="1" s="1"/>
  <c r="S1374" i="1"/>
  <c r="T1374" i="1" s="1"/>
  <c r="S1371" i="1"/>
  <c r="T1371" i="1" s="1"/>
  <c r="S1338" i="1"/>
  <c r="T1338" i="1" s="1"/>
  <c r="S1336" i="1"/>
  <c r="T1336" i="1" s="1"/>
  <c r="S1335" i="1"/>
  <c r="T1335" i="1" s="1"/>
  <c r="S1337" i="1"/>
  <c r="T1337" i="1" s="1"/>
  <c r="S1339" i="1"/>
  <c r="T1339" i="1" s="1"/>
  <c r="V154" i="29"/>
  <c r="S405" i="1"/>
  <c r="T405" i="1" s="1"/>
  <c r="S406" i="1"/>
  <c r="T406" i="1" s="1"/>
  <c r="S407" i="1"/>
  <c r="T407" i="1" s="1"/>
  <c r="S408" i="1"/>
  <c r="T408" i="1" s="1"/>
  <c r="V155" i="29"/>
  <c r="S732" i="1"/>
  <c r="T732" i="1" s="1"/>
  <c r="S733" i="1"/>
  <c r="T733" i="1" s="1"/>
  <c r="S734" i="1"/>
  <c r="T734" i="1" s="1"/>
  <c r="S735" i="1"/>
  <c r="T735" i="1" s="1"/>
  <c r="S731" i="1"/>
  <c r="T731" i="1" s="1"/>
  <c r="S244" i="1"/>
  <c r="T244" i="1" s="1"/>
  <c r="S245" i="1"/>
  <c r="T245" i="1" s="1"/>
  <c r="S246" i="1"/>
  <c r="T246" i="1" s="1"/>
  <c r="S247" i="1"/>
  <c r="T247" i="1" s="1"/>
  <c r="S248" i="1"/>
  <c r="T248" i="1" s="1"/>
  <c r="S810" i="1"/>
  <c r="T810" i="1" s="1"/>
  <c r="S812" i="1"/>
  <c r="T812" i="1" s="1"/>
  <c r="S813" i="1"/>
  <c r="T813" i="1" s="1"/>
  <c r="S811" i="1"/>
  <c r="T811" i="1" s="1"/>
  <c r="S170" i="1"/>
  <c r="T170" i="1" s="1"/>
  <c r="S171" i="1"/>
  <c r="T171" i="1" s="1"/>
  <c r="S172" i="1"/>
  <c r="T172" i="1" s="1"/>
  <c r="S173" i="1"/>
  <c r="T173" i="1" s="1"/>
  <c r="S174" i="1"/>
  <c r="T174" i="1" s="1"/>
  <c r="S738" i="1"/>
  <c r="T738" i="1" s="1"/>
  <c r="S736" i="1"/>
  <c r="T736" i="1" s="1"/>
  <c r="S737" i="1"/>
  <c r="T737" i="1" s="1"/>
  <c r="S739" i="1"/>
  <c r="T739" i="1" s="1"/>
  <c r="S474" i="1"/>
  <c r="T474" i="1" s="1"/>
  <c r="S470" i="1"/>
  <c r="T470" i="1" s="1"/>
  <c r="S471" i="1"/>
  <c r="T471" i="1" s="1"/>
  <c r="S472" i="1"/>
  <c r="T472" i="1" s="1"/>
  <c r="S473" i="1"/>
  <c r="T473" i="1" s="1"/>
  <c r="S340" i="1"/>
  <c r="T340" i="1" s="1"/>
  <c r="S341" i="1"/>
  <c r="T341" i="1" s="1"/>
  <c r="S342" i="1"/>
  <c r="T342" i="1" s="1"/>
  <c r="S343" i="1"/>
  <c r="T343" i="1" s="1"/>
  <c r="S106" i="1"/>
  <c r="T106" i="1" s="1"/>
  <c r="S107" i="1"/>
  <c r="T107" i="1" s="1"/>
  <c r="S108" i="1"/>
  <c r="T108" i="1" s="1"/>
  <c r="S105" i="1"/>
  <c r="T105" i="1" s="1"/>
  <c r="V169" i="29"/>
  <c r="S766" i="1"/>
  <c r="T766" i="1" s="1"/>
  <c r="S1130" i="1"/>
  <c r="T1130" i="1" s="1"/>
  <c r="S1128" i="1"/>
  <c r="T1128" i="1" s="1"/>
  <c r="S1127" i="1"/>
  <c r="T1127" i="1" s="1"/>
  <c r="S1129" i="1"/>
  <c r="T1129" i="1" s="1"/>
  <c r="S985" i="1"/>
  <c r="T985" i="1" s="1"/>
  <c r="S650" i="1"/>
  <c r="T650" i="1" s="1"/>
  <c r="S651" i="1"/>
  <c r="T651" i="1" s="1"/>
  <c r="S652" i="1"/>
  <c r="T652" i="1" s="1"/>
  <c r="S649" i="1"/>
  <c r="T649" i="1" s="1"/>
  <c r="S157" i="1"/>
  <c r="T157" i="1" s="1"/>
  <c r="S158" i="1"/>
  <c r="T158" i="1" s="1"/>
  <c r="S159" i="1"/>
  <c r="T159" i="1" s="1"/>
  <c r="S160" i="1"/>
  <c r="T160" i="1" s="1"/>
  <c r="S161" i="1"/>
  <c r="T161" i="1" s="1"/>
  <c r="S892" i="1"/>
  <c r="T892" i="1" s="1"/>
  <c r="S893" i="1"/>
  <c r="T893" i="1" s="1"/>
  <c r="S894" i="1"/>
  <c r="T894" i="1" s="1"/>
  <c r="S895" i="1"/>
  <c r="T895" i="1" s="1"/>
  <c r="S896" i="1"/>
  <c r="T896" i="1" s="1"/>
  <c r="S1301" i="1"/>
  <c r="T1301" i="1" s="1"/>
  <c r="S1302" i="1"/>
  <c r="T1302" i="1" s="1"/>
  <c r="S1304" i="1"/>
  <c r="T1304" i="1" s="1"/>
  <c r="S1303" i="1"/>
  <c r="T1303" i="1" s="1"/>
  <c r="S690" i="1"/>
  <c r="T690" i="1" s="1"/>
  <c r="S691" i="1"/>
  <c r="T691" i="1" s="1"/>
  <c r="S688" i="1"/>
  <c r="T688" i="1" s="1"/>
  <c r="S689" i="1"/>
  <c r="T689" i="1" s="1"/>
  <c r="S1310" i="1"/>
  <c r="T1310" i="1" s="1"/>
  <c r="S1312" i="1"/>
  <c r="T1312" i="1" s="1"/>
  <c r="S1313" i="1"/>
  <c r="T1313" i="1" s="1"/>
  <c r="S1311" i="1"/>
  <c r="T1311" i="1" s="1"/>
  <c r="S701" i="1"/>
  <c r="T701" i="1" s="1"/>
  <c r="S702" i="1"/>
  <c r="T702" i="1" s="1"/>
  <c r="S703" i="1"/>
  <c r="T703" i="1" s="1"/>
  <c r="S704" i="1"/>
  <c r="T704" i="1" s="1"/>
  <c r="S549" i="1"/>
  <c r="T549" i="1" s="1"/>
  <c r="S550" i="1"/>
  <c r="T550" i="1" s="1"/>
  <c r="S551" i="1"/>
  <c r="T551" i="1" s="1"/>
  <c r="S552" i="1"/>
  <c r="T552" i="1" s="1"/>
  <c r="S83" i="1"/>
  <c r="T83" i="1" s="1"/>
  <c r="S84" i="1"/>
  <c r="T84" i="1" s="1"/>
  <c r="S85" i="1"/>
  <c r="T85" i="1" s="1"/>
  <c r="S86" i="1"/>
  <c r="T86" i="1" s="1"/>
  <c r="S87" i="1"/>
  <c r="T87" i="1" s="1"/>
  <c r="S802" i="1"/>
  <c r="T802" i="1" s="1"/>
  <c r="S804" i="1"/>
  <c r="T804" i="1" s="1"/>
  <c r="S801" i="1"/>
  <c r="T801" i="1" s="1"/>
  <c r="S803" i="1"/>
  <c r="T803" i="1" s="1"/>
  <c r="S1034" i="1"/>
  <c r="T1034" i="1" s="1"/>
  <c r="S1031" i="1"/>
  <c r="T1031" i="1" s="1"/>
  <c r="S1032" i="1"/>
  <c r="T1032" i="1" s="1"/>
  <c r="S1033" i="1"/>
  <c r="T1033" i="1" s="1"/>
  <c r="S1035" i="1"/>
  <c r="T1035" i="1" s="1"/>
  <c r="S626" i="1"/>
  <c r="T626" i="1" s="1"/>
  <c r="S623" i="1"/>
  <c r="T623" i="1" s="1"/>
  <c r="S624" i="1"/>
  <c r="T624" i="1" s="1"/>
  <c r="S625" i="1"/>
  <c r="T625" i="1" s="1"/>
  <c r="S506" i="1"/>
  <c r="T506" i="1" s="1"/>
  <c r="S507" i="1"/>
  <c r="T507" i="1" s="1"/>
  <c r="S508" i="1"/>
  <c r="T508" i="1" s="1"/>
  <c r="S505" i="1"/>
  <c r="T505" i="1" s="1"/>
  <c r="S1178" i="1"/>
  <c r="T1178" i="1" s="1"/>
  <c r="S1176" i="1"/>
  <c r="T1176" i="1" s="1"/>
  <c r="S1177" i="1"/>
  <c r="T1177" i="1" s="1"/>
  <c r="S1175" i="1"/>
  <c r="T1175" i="1" s="1"/>
  <c r="V123" i="29"/>
  <c r="S1114" i="1"/>
  <c r="T1114" i="1" s="1"/>
  <c r="S1116" i="1"/>
  <c r="T1116" i="1" s="1"/>
  <c r="S1117" i="1"/>
  <c r="T1117" i="1" s="1"/>
  <c r="S1115" i="1"/>
  <c r="T1115" i="1" s="1"/>
  <c r="S262" i="1"/>
  <c r="T262" i="1" s="1"/>
  <c r="S263" i="1"/>
  <c r="T263" i="1" s="1"/>
  <c r="S264" i="1"/>
  <c r="T264" i="1" s="1"/>
  <c r="S265" i="1"/>
  <c r="T265" i="1" s="1"/>
  <c r="S188" i="1"/>
  <c r="T188" i="1" s="1"/>
  <c r="S189" i="1"/>
  <c r="T189" i="1" s="1"/>
  <c r="S190" i="1"/>
  <c r="T190" i="1" s="1"/>
  <c r="S191" i="1"/>
  <c r="T191" i="1" s="1"/>
  <c r="S227" i="1"/>
  <c r="T227" i="1" s="1"/>
  <c r="S228" i="1"/>
  <c r="T228" i="1" s="1"/>
  <c r="S229" i="1"/>
  <c r="T229" i="1" s="1"/>
  <c r="S230" i="1"/>
  <c r="T230" i="1" s="1"/>
  <c r="S674" i="1"/>
  <c r="T674" i="1" s="1"/>
  <c r="S670" i="1"/>
  <c r="T670" i="1" s="1"/>
  <c r="S671" i="1"/>
  <c r="T671" i="1" s="1"/>
  <c r="S672" i="1"/>
  <c r="T672" i="1" s="1"/>
  <c r="S673" i="1"/>
  <c r="T673" i="1" s="1"/>
  <c r="S226" i="1"/>
  <c r="T226" i="1" s="1"/>
  <c r="S223" i="1"/>
  <c r="T223" i="1" s="1"/>
  <c r="S224" i="1"/>
  <c r="T224" i="1" s="1"/>
  <c r="S225" i="1"/>
  <c r="T225" i="1" s="1"/>
  <c r="S1154" i="1"/>
  <c r="T1154" i="1" s="1"/>
  <c r="S1156" i="1"/>
  <c r="T1156" i="1" s="1"/>
  <c r="S1155" i="1"/>
  <c r="T1155" i="1" s="1"/>
  <c r="S1153" i="1"/>
  <c r="T1153" i="1" s="1"/>
  <c r="S62" i="1"/>
  <c r="T62" i="1" s="1"/>
  <c r="S63" i="1"/>
  <c r="T63" i="1" s="1"/>
  <c r="S64" i="1"/>
  <c r="T64" i="1" s="1"/>
  <c r="S65" i="1"/>
  <c r="T65" i="1" s="1"/>
  <c r="S82" i="1"/>
  <c r="T82" i="1" s="1"/>
  <c r="S79" i="1"/>
  <c r="T79" i="1" s="1"/>
  <c r="S80" i="1"/>
  <c r="T80" i="1" s="1"/>
  <c r="S81" i="1"/>
  <c r="T81" i="1" s="1"/>
  <c r="S66" i="1"/>
  <c r="T66" i="1" s="1"/>
  <c r="S67" i="1"/>
  <c r="T67" i="1" s="1"/>
  <c r="S68" i="1"/>
  <c r="T68" i="1" s="1"/>
  <c r="S69" i="1"/>
  <c r="T69" i="1" s="1"/>
  <c r="S1322" i="1"/>
  <c r="T1322" i="1" s="1"/>
  <c r="S1318" i="1"/>
  <c r="T1318" i="1" s="1"/>
  <c r="S1320" i="1"/>
  <c r="T1320" i="1" s="1"/>
  <c r="S1319" i="1"/>
  <c r="T1319" i="1" s="1"/>
  <c r="S1321" i="1"/>
  <c r="T1321" i="1" s="1"/>
  <c r="S1298" i="1"/>
  <c r="T1298" i="1" s="1"/>
  <c r="S1300" i="1"/>
  <c r="T1300" i="1" s="1"/>
  <c r="S1296" i="1"/>
  <c r="T1296" i="1" s="1"/>
  <c r="S1297" i="1"/>
  <c r="T1297" i="1" s="1"/>
  <c r="S1299" i="1"/>
  <c r="T1299" i="1" s="1"/>
  <c r="S35" i="1"/>
  <c r="T35" i="1" s="1"/>
  <c r="S36" i="1"/>
  <c r="T36" i="1" s="1"/>
  <c r="S37" i="1"/>
  <c r="T37" i="1" s="1"/>
  <c r="S38" i="1"/>
  <c r="T38" i="1" s="1"/>
  <c r="S39" i="1"/>
  <c r="T39" i="1" s="1"/>
  <c r="S19" i="1"/>
  <c r="T19" i="1" s="1"/>
  <c r="S18" i="1"/>
  <c r="T18" i="1" s="1"/>
  <c r="S20" i="1"/>
  <c r="T20" i="1" s="1"/>
  <c r="S21" i="1"/>
  <c r="T21" i="1" s="1"/>
  <c r="S22" i="1"/>
  <c r="T22" i="1" s="1"/>
  <c r="V174" i="29"/>
  <c r="V50" i="29"/>
  <c r="V170" i="29"/>
  <c r="V8" i="29"/>
  <c r="V112" i="29"/>
  <c r="V51" i="29"/>
  <c r="V89" i="29"/>
  <c r="V78" i="29"/>
  <c r="V105" i="29"/>
  <c r="V147" i="29"/>
  <c r="V128" i="29"/>
  <c r="V91" i="29"/>
  <c r="V173" i="29"/>
  <c r="V41" i="29"/>
  <c r="V40" i="29"/>
  <c r="V176" i="29"/>
  <c r="V167" i="29"/>
  <c r="V149" i="29"/>
  <c r="V56" i="29"/>
  <c r="V165" i="29"/>
  <c r="V177" i="29"/>
  <c r="V126" i="29"/>
  <c r="V166" i="29"/>
  <c r="V104" i="29"/>
  <c r="V103" i="29"/>
  <c r="V178" i="29"/>
  <c r="V60" i="29"/>
  <c r="V76" i="29"/>
  <c r="V148" i="29"/>
  <c r="V71" i="29"/>
  <c r="V151" i="29"/>
  <c r="V80" i="29"/>
  <c r="V74" i="29"/>
  <c r="V73" i="29"/>
  <c r="V69" i="29"/>
  <c r="V150" i="29"/>
  <c r="V125" i="29"/>
  <c r="V70" i="29"/>
  <c r="S589" i="1" l="1"/>
  <c r="T589" i="1" s="1"/>
  <c r="S513" i="1"/>
  <c r="T513" i="1" s="1"/>
  <c r="S588" i="1"/>
  <c r="T588" i="1" s="1"/>
  <c r="S512" i="1"/>
  <c r="T512" i="1" s="1"/>
  <c r="S511" i="1"/>
  <c r="T511" i="1" s="1"/>
  <c r="S304" i="1"/>
  <c r="T304" i="1" s="1"/>
  <c r="S510" i="1"/>
  <c r="T510" i="1" s="1"/>
  <c r="D62" i="32"/>
  <c r="S303" i="1"/>
  <c r="T303" i="1" s="1"/>
  <c r="S1081" i="1"/>
  <c r="T1081" i="1" s="1"/>
  <c r="S585" i="1"/>
  <c r="T585" i="1" s="1"/>
  <c r="S355" i="1"/>
  <c r="T355" i="1" s="1"/>
  <c r="S302" i="1"/>
  <c r="T302" i="1" s="1"/>
  <c r="S1079" i="1"/>
  <c r="T1079" i="1" s="1"/>
  <c r="S584" i="1"/>
  <c r="T584" i="1" s="1"/>
  <c r="S1227" i="1"/>
  <c r="T1227" i="1" s="1"/>
  <c r="S360" i="1"/>
  <c r="T360" i="1" s="1"/>
  <c r="S1089" i="1"/>
  <c r="T1089" i="1" s="1"/>
  <c r="S1230" i="1"/>
  <c r="T1230" i="1" s="1"/>
  <c r="S677" i="1"/>
  <c r="T677" i="1" s="1"/>
  <c r="S402" i="1"/>
  <c r="T402" i="1" s="1"/>
  <c r="S1229" i="1"/>
  <c r="T1229" i="1" s="1"/>
  <c r="E62" i="32"/>
  <c r="F62" i="32" s="1"/>
  <c r="S1354" i="1"/>
  <c r="T1354" i="1" s="1"/>
  <c r="S767" i="1"/>
  <c r="T767" i="1" s="1"/>
  <c r="S570" i="1"/>
  <c r="T570" i="1" s="1"/>
  <c r="S403" i="1"/>
  <c r="T403" i="1" s="1"/>
  <c r="S678" i="1"/>
  <c r="T678" i="1" s="1"/>
  <c r="S799" i="1"/>
  <c r="T799" i="1" s="1"/>
  <c r="S676" i="1"/>
  <c r="T676" i="1" s="1"/>
  <c r="S798" i="1"/>
  <c r="T798" i="1" s="1"/>
  <c r="S574" i="1"/>
  <c r="T574" i="1" s="1"/>
  <c r="S573" i="1"/>
  <c r="T573" i="1" s="1"/>
  <c r="S769" i="1"/>
  <c r="T769" i="1" s="1"/>
  <c r="S572" i="1"/>
  <c r="T572" i="1" s="1"/>
  <c r="S401" i="1"/>
  <c r="T401" i="1" s="1"/>
  <c r="S987" i="1"/>
  <c r="T987" i="1" s="1"/>
  <c r="S453" i="1"/>
  <c r="T453" i="1" s="1"/>
  <c r="S354" i="1"/>
  <c r="T354" i="1" s="1"/>
  <c r="S984" i="1"/>
  <c r="T984" i="1" s="1"/>
  <c r="S983" i="1"/>
  <c r="T983" i="1" s="1"/>
  <c r="S456" i="1"/>
  <c r="T456" i="1" s="1"/>
  <c r="S455" i="1"/>
  <c r="T455" i="1" s="1"/>
  <c r="S1210" i="1"/>
  <c r="T1210" i="1" s="1"/>
  <c r="S1212" i="1"/>
  <c r="T1212" i="1" s="1"/>
  <c r="S1213" i="1"/>
  <c r="T1213" i="1" s="1"/>
  <c r="S1211" i="1"/>
  <c r="T1211" i="1" s="1"/>
  <c r="S442" i="1"/>
  <c r="T442" i="1" s="1"/>
  <c r="S443" i="1"/>
  <c r="T443" i="1" s="1"/>
  <c r="S440" i="1"/>
  <c r="T440" i="1" s="1"/>
  <c r="S441" i="1"/>
  <c r="T441" i="1" s="1"/>
  <c r="S644" i="1"/>
  <c r="T644" i="1" s="1"/>
  <c r="S645" i="1"/>
  <c r="T645" i="1" s="1"/>
  <c r="S646" i="1"/>
  <c r="T646" i="1" s="1"/>
  <c r="S647" i="1"/>
  <c r="T647" i="1" s="1"/>
  <c r="S648" i="1"/>
  <c r="T648" i="1" s="1"/>
  <c r="S709" i="1"/>
  <c r="T709" i="1" s="1"/>
  <c r="S710" i="1"/>
  <c r="T710" i="1" s="1"/>
  <c r="S711" i="1"/>
  <c r="T711" i="1" s="1"/>
  <c r="S712" i="1"/>
  <c r="T712" i="1" s="1"/>
  <c r="S713" i="1"/>
  <c r="T713" i="1" s="1"/>
  <c r="S162" i="1"/>
  <c r="T162" i="1" s="1"/>
  <c r="S163" i="1"/>
  <c r="T163" i="1" s="1"/>
  <c r="S164" i="1"/>
  <c r="T164" i="1" s="1"/>
  <c r="S165" i="1"/>
  <c r="T165" i="1" s="1"/>
  <c r="S378" i="1"/>
  <c r="T378" i="1" s="1"/>
  <c r="S375" i="1"/>
  <c r="T375" i="1" s="1"/>
  <c r="S376" i="1"/>
  <c r="T376" i="1" s="1"/>
  <c r="S377" i="1"/>
  <c r="T377" i="1" s="1"/>
  <c r="S658" i="1"/>
  <c r="T658" i="1" s="1"/>
  <c r="S659" i="1"/>
  <c r="T659" i="1" s="1"/>
  <c r="S660" i="1"/>
  <c r="T660" i="1" s="1"/>
  <c r="S661" i="1"/>
  <c r="T661" i="1" s="1"/>
  <c r="S657" i="1"/>
  <c r="T657" i="1" s="1"/>
  <c r="S58" i="1"/>
  <c r="T58" i="1" s="1"/>
  <c r="S59" i="1"/>
  <c r="T59" i="1" s="1"/>
  <c r="S60" i="1"/>
  <c r="T60" i="1" s="1"/>
  <c r="S61" i="1"/>
  <c r="T61" i="1" s="1"/>
  <c r="S57" i="1"/>
  <c r="T57" i="1" s="1"/>
  <c r="S682" i="1"/>
  <c r="T682" i="1" s="1"/>
  <c r="S679" i="1"/>
  <c r="T679" i="1" s="1"/>
  <c r="S680" i="1"/>
  <c r="T680" i="1" s="1"/>
  <c r="S681" i="1"/>
  <c r="T681" i="1" s="1"/>
  <c r="S242" i="1"/>
  <c r="T242" i="1" s="1"/>
  <c r="S243" i="1"/>
  <c r="T243" i="1" s="1"/>
  <c r="S240" i="1"/>
  <c r="T240" i="1" s="1"/>
  <c r="S241" i="1"/>
  <c r="T241" i="1" s="1"/>
  <c r="S450" i="1"/>
  <c r="T450" i="1" s="1"/>
  <c r="S451" i="1"/>
  <c r="T451" i="1" s="1"/>
  <c r="S452" i="1"/>
  <c r="T452" i="1" s="1"/>
  <c r="S448" i="1"/>
  <c r="T448" i="1" s="1"/>
  <c r="S449" i="1"/>
  <c r="T449" i="1" s="1"/>
  <c r="S483" i="1"/>
  <c r="T483" i="1" s="1"/>
  <c r="S484" i="1"/>
  <c r="T484" i="1" s="1"/>
  <c r="S485" i="1"/>
  <c r="T485" i="1" s="1"/>
  <c r="S486" i="1"/>
  <c r="T486" i="1" s="1"/>
  <c r="S487" i="1"/>
  <c r="T487" i="1" s="1"/>
  <c r="S531" i="1"/>
  <c r="T531" i="1" s="1"/>
  <c r="S532" i="1"/>
  <c r="T532" i="1" s="1"/>
  <c r="S533" i="1"/>
  <c r="T533" i="1" s="1"/>
  <c r="S534" i="1"/>
  <c r="T534" i="1" s="1"/>
  <c r="S535" i="1"/>
  <c r="T535" i="1" s="1"/>
  <c r="S757" i="1"/>
  <c r="T757" i="1" s="1"/>
  <c r="S758" i="1"/>
  <c r="T758" i="1" s="1"/>
  <c r="S759" i="1"/>
  <c r="T759" i="1" s="1"/>
  <c r="S760" i="1"/>
  <c r="T760" i="1" s="1"/>
  <c r="S761" i="1"/>
  <c r="T761" i="1" s="1"/>
  <c r="S740" i="1"/>
  <c r="T740" i="1" s="1"/>
  <c r="S741" i="1"/>
  <c r="T741" i="1" s="1"/>
  <c r="S742" i="1"/>
  <c r="T742" i="1" s="1"/>
  <c r="S743" i="1"/>
  <c r="T743" i="1" s="1"/>
  <c r="S475" i="1"/>
  <c r="T475" i="1" s="1"/>
  <c r="S476" i="1"/>
  <c r="T476" i="1" s="1"/>
  <c r="S477" i="1"/>
  <c r="T477" i="1" s="1"/>
  <c r="S478" i="1"/>
  <c r="T478" i="1" s="1"/>
  <c r="S258" i="1"/>
  <c r="T258" i="1" s="1"/>
  <c r="S259" i="1"/>
  <c r="T259" i="1" s="1"/>
  <c r="S260" i="1"/>
  <c r="T260" i="1" s="1"/>
  <c r="S261" i="1"/>
  <c r="T261" i="1" s="1"/>
  <c r="S257" i="1"/>
  <c r="T257" i="1" s="1"/>
  <c r="S482" i="1"/>
  <c r="T482" i="1" s="1"/>
  <c r="S479" i="1"/>
  <c r="T479" i="1" s="1"/>
  <c r="S480" i="1"/>
  <c r="T480" i="1" s="1"/>
  <c r="S481" i="1"/>
  <c r="T481" i="1" s="1"/>
  <c r="S462" i="1"/>
  <c r="T462" i="1" s="1"/>
  <c r="S463" i="1"/>
  <c r="T463" i="1" s="1"/>
  <c r="S464" i="1"/>
  <c r="T464" i="1" s="1"/>
  <c r="S465" i="1"/>
  <c r="T465" i="1" s="1"/>
  <c r="S314" i="1"/>
  <c r="T314" i="1" s="1"/>
  <c r="S315" i="1"/>
  <c r="T315" i="1" s="1"/>
  <c r="S316" i="1"/>
  <c r="T316" i="1" s="1"/>
  <c r="S317" i="1"/>
  <c r="T317" i="1" s="1"/>
  <c r="S634" i="1"/>
  <c r="T634" i="1" s="1"/>
  <c r="S635" i="1"/>
  <c r="T635" i="1" s="1"/>
  <c r="S631" i="1"/>
  <c r="T631" i="1" s="1"/>
  <c r="S632" i="1"/>
  <c r="T632" i="1" s="1"/>
  <c r="S633" i="1"/>
  <c r="T633" i="1" s="1"/>
  <c r="S642" i="1"/>
  <c r="T642" i="1" s="1"/>
  <c r="S643" i="1"/>
  <c r="T643" i="1" s="1"/>
  <c r="S640" i="1"/>
  <c r="T640" i="1" s="1"/>
  <c r="S641" i="1"/>
  <c r="T641" i="1" s="1"/>
  <c r="S322" i="1"/>
  <c r="T322" i="1" s="1"/>
  <c r="S318" i="1"/>
  <c r="T318" i="1" s="1"/>
  <c r="S319" i="1"/>
  <c r="T319" i="1" s="1"/>
  <c r="S320" i="1"/>
  <c r="T320" i="1" s="1"/>
  <c r="S321" i="1"/>
  <c r="T321" i="1" s="1"/>
  <c r="S706" i="1"/>
  <c r="T706" i="1" s="1"/>
  <c r="S707" i="1"/>
  <c r="T707" i="1" s="1"/>
  <c r="S708" i="1"/>
  <c r="T708" i="1" s="1"/>
  <c r="S705" i="1"/>
  <c r="T705" i="1" s="1"/>
  <c r="S386" i="1"/>
  <c r="T386" i="1" s="1"/>
  <c r="S387" i="1"/>
  <c r="T387" i="1" s="1"/>
  <c r="S384" i="1"/>
  <c r="T384" i="1" s="1"/>
  <c r="S385" i="1"/>
  <c r="T385" i="1" s="1"/>
  <c r="S26" i="1"/>
  <c r="T26" i="1" s="1"/>
  <c r="S23" i="1"/>
  <c r="T23" i="1" s="1"/>
  <c r="S24" i="1"/>
  <c r="T24" i="1" s="1"/>
  <c r="S25" i="1"/>
  <c r="T25" i="1" s="1"/>
  <c r="S662" i="1"/>
  <c r="T662" i="1" s="1"/>
  <c r="S663" i="1"/>
  <c r="T663" i="1" s="1"/>
  <c r="S664" i="1"/>
  <c r="T664" i="1" s="1"/>
  <c r="S665" i="1"/>
  <c r="T665" i="1" s="1"/>
  <c r="S618" i="1"/>
  <c r="T618" i="1" s="1"/>
  <c r="S619" i="1"/>
  <c r="T619" i="1" s="1"/>
  <c r="S620" i="1"/>
  <c r="T620" i="1" s="1"/>
  <c r="S621" i="1"/>
  <c r="T621" i="1" s="1"/>
  <c r="S622" i="1"/>
  <c r="T622" i="1" s="1"/>
  <c r="S346" i="1"/>
  <c r="T346" i="1" s="1"/>
  <c r="S347" i="1"/>
  <c r="T347" i="1" s="1"/>
  <c r="S348" i="1"/>
  <c r="T348" i="1" s="1"/>
  <c r="S344" i="1"/>
  <c r="T344" i="1" s="1"/>
  <c r="S345" i="1"/>
  <c r="T345" i="1" s="1"/>
  <c r="S988" i="1"/>
  <c r="T988" i="1" s="1"/>
  <c r="S989" i="1"/>
  <c r="T989" i="1" s="1"/>
  <c r="S990" i="1"/>
  <c r="T990" i="1" s="1"/>
  <c r="S991" i="1"/>
  <c r="T991" i="1" s="1"/>
  <c r="S292" i="1"/>
  <c r="T292" i="1" s="1"/>
  <c r="S293" i="1"/>
  <c r="T293" i="1" s="1"/>
  <c r="S294" i="1"/>
  <c r="T294" i="1" s="1"/>
  <c r="S295" i="1"/>
  <c r="T295" i="1" s="1"/>
  <c r="S538" i="1"/>
  <c r="T538" i="1" s="1"/>
  <c r="S539" i="1"/>
  <c r="T539" i="1" s="1"/>
  <c r="S536" i="1"/>
  <c r="T536" i="1" s="1"/>
  <c r="S537" i="1"/>
  <c r="T537" i="1" s="1"/>
  <c r="S210" i="1"/>
  <c r="T210" i="1" s="1"/>
  <c r="S211" i="1"/>
  <c r="T211" i="1" s="1"/>
  <c r="S212" i="1"/>
  <c r="T212" i="1" s="1"/>
  <c r="S213" i="1"/>
  <c r="T213" i="1" s="1"/>
  <c r="S209" i="1"/>
  <c r="T209" i="1" s="1"/>
  <c r="S250" i="1"/>
  <c r="T250" i="1" s="1"/>
  <c r="S251" i="1"/>
  <c r="T251" i="1" s="1"/>
  <c r="S252" i="1"/>
  <c r="T252" i="1" s="1"/>
  <c r="S249" i="1"/>
  <c r="T249" i="1" s="1"/>
  <c r="S234" i="1"/>
  <c r="T234" i="1" s="1"/>
  <c r="S235" i="1"/>
  <c r="T235" i="1" s="1"/>
  <c r="S231" i="1"/>
  <c r="T231" i="1" s="1"/>
  <c r="S232" i="1"/>
  <c r="T232" i="1" s="1"/>
  <c r="S233" i="1"/>
  <c r="T233" i="1" s="1"/>
  <c r="S546" i="1"/>
  <c r="T546" i="1" s="1"/>
  <c r="S547" i="1"/>
  <c r="T547" i="1" s="1"/>
  <c r="S548" i="1"/>
  <c r="T548" i="1" s="1"/>
  <c r="S544" i="1"/>
  <c r="T544" i="1" s="1"/>
  <c r="S545" i="1"/>
  <c r="T545" i="1" s="1"/>
  <c r="S730" i="1"/>
  <c r="T730" i="1" s="1"/>
  <c r="S727" i="1"/>
  <c r="T727" i="1" s="1"/>
  <c r="S728" i="1"/>
  <c r="T728" i="1" s="1"/>
  <c r="S729" i="1"/>
  <c r="T729" i="1" s="1"/>
  <c r="S522" i="1"/>
  <c r="T522" i="1" s="1"/>
  <c r="S523" i="1"/>
  <c r="T523" i="1" s="1"/>
  <c r="S524" i="1"/>
  <c r="T524" i="1" s="1"/>
  <c r="S525" i="1"/>
  <c r="T525" i="1" s="1"/>
  <c r="S526" i="1"/>
  <c r="T526" i="1" s="1"/>
  <c r="S101" i="1"/>
  <c r="T101" i="1" s="1"/>
  <c r="S102" i="1"/>
  <c r="T102" i="1" s="1"/>
  <c r="S103" i="1"/>
  <c r="T103" i="1" s="1"/>
  <c r="S104" i="1"/>
  <c r="T104" i="1" s="1"/>
  <c r="S323" i="1"/>
  <c r="T323" i="1" s="1"/>
  <c r="S324" i="1"/>
  <c r="T324" i="1" s="1"/>
  <c r="S325" i="1"/>
  <c r="T325" i="1" s="1"/>
  <c r="S326" i="1"/>
  <c r="T326" i="1" s="1"/>
  <c r="S298" i="1"/>
  <c r="T298" i="1" s="1"/>
  <c r="S299" i="1"/>
  <c r="T299" i="1" s="1"/>
  <c r="S300" i="1"/>
  <c r="T300" i="1" s="1"/>
  <c r="S296" i="1"/>
  <c r="T296" i="1" s="1"/>
  <c r="S297" i="1"/>
  <c r="T297" i="1" s="1"/>
  <c r="S166" i="1"/>
  <c r="T166" i="1" s="1"/>
  <c r="S167" i="1"/>
  <c r="T167" i="1" s="1"/>
  <c r="S168" i="1"/>
  <c r="T168" i="1" s="1"/>
  <c r="S169" i="1"/>
  <c r="T169" i="1" s="1"/>
  <c r="S290" i="1"/>
  <c r="T290" i="1" s="1"/>
  <c r="S291" i="1"/>
  <c r="T291" i="1" s="1"/>
  <c r="S288" i="1"/>
  <c r="T288" i="1" s="1"/>
  <c r="S289" i="1"/>
  <c r="T289" i="1" s="1"/>
  <c r="S306" i="1"/>
  <c r="T306" i="1" s="1"/>
  <c r="S307" i="1"/>
  <c r="T307" i="1" s="1"/>
  <c r="S308" i="1"/>
  <c r="T308" i="1" s="1"/>
  <c r="S305" i="1"/>
  <c r="T305" i="1" s="1"/>
  <c r="S762" i="1"/>
  <c r="T762" i="1" s="1"/>
  <c r="S764" i="1"/>
  <c r="T764" i="1" s="1"/>
  <c r="S765" i="1"/>
  <c r="T765" i="1" s="1"/>
  <c r="S763" i="1"/>
  <c r="T763" i="1" s="1"/>
  <c r="S636" i="1"/>
  <c r="T636" i="1" s="1"/>
  <c r="S637" i="1"/>
  <c r="T637" i="1" s="1"/>
  <c r="S638" i="1"/>
  <c r="T638" i="1" s="1"/>
  <c r="S639" i="1"/>
  <c r="T639" i="1" s="1"/>
  <c r="S627" i="1"/>
  <c r="T627" i="1" s="1"/>
  <c r="S628" i="1"/>
  <c r="T628" i="1" s="1"/>
  <c r="S629" i="1"/>
  <c r="T629" i="1" s="1"/>
  <c r="S630" i="1"/>
  <c r="T630" i="1" s="1"/>
  <c r="S205" i="1"/>
  <c r="T205" i="1" s="1"/>
  <c r="S206" i="1"/>
  <c r="T206" i="1" s="1"/>
  <c r="S207" i="1"/>
  <c r="T207" i="1" s="1"/>
  <c r="S208" i="1"/>
  <c r="T208" i="1" s="1"/>
  <c r="S379" i="1"/>
  <c r="T379" i="1" s="1"/>
  <c r="S380" i="1"/>
  <c r="T380" i="1" s="1"/>
  <c r="S381" i="1"/>
  <c r="T381" i="1" s="1"/>
  <c r="S382" i="1"/>
  <c r="T382" i="1" s="1"/>
  <c r="S383" i="1"/>
  <c r="T383" i="1" s="1"/>
  <c r="S540" i="1"/>
  <c r="T540" i="1" s="1"/>
  <c r="S541" i="1"/>
  <c r="T541" i="1" s="1"/>
  <c r="S542" i="1"/>
  <c r="T542" i="1" s="1"/>
  <c r="S543" i="1"/>
  <c r="T543" i="1" s="1"/>
  <c r="S388" i="1"/>
  <c r="T388" i="1" s="1"/>
  <c r="S389" i="1"/>
  <c r="T389" i="1" s="1"/>
  <c r="S390" i="1"/>
  <c r="T390" i="1" s="1"/>
  <c r="S391" i="1"/>
  <c r="T391" i="1" s="1"/>
  <c r="S722" i="1"/>
  <c r="T722" i="1" s="1"/>
  <c r="S724" i="1"/>
  <c r="T724" i="1" s="1"/>
  <c r="S725" i="1"/>
  <c r="T725" i="1" s="1"/>
  <c r="S726" i="1"/>
  <c r="T726" i="1" s="1"/>
  <c r="S723" i="1"/>
  <c r="T723" i="1" s="1"/>
  <c r="S92" i="1"/>
  <c r="T92" i="1" s="1"/>
  <c r="S93" i="1"/>
  <c r="T93" i="1" s="1"/>
  <c r="S94" i="1"/>
  <c r="T94" i="1" s="1"/>
  <c r="S95" i="1"/>
  <c r="T95" i="1" s="1"/>
  <c r="S349" i="1"/>
  <c r="T349" i="1" s="1"/>
  <c r="S350" i="1"/>
  <c r="T350" i="1" s="1"/>
  <c r="S351" i="1"/>
  <c r="T351" i="1" s="1"/>
  <c r="S352" i="1"/>
  <c r="T352" i="1" s="1"/>
  <c r="S683" i="1"/>
  <c r="T683" i="1" s="1"/>
  <c r="S684" i="1"/>
  <c r="T684" i="1" s="1"/>
  <c r="S685" i="1"/>
  <c r="T685" i="1" s="1"/>
  <c r="S686" i="1"/>
  <c r="T686" i="1" s="1"/>
  <c r="S687" i="1"/>
  <c r="T687" i="1" s="1"/>
  <c r="S1058" i="1"/>
  <c r="T1058" i="1" s="1"/>
  <c r="S1060" i="1"/>
  <c r="T1060" i="1" s="1"/>
  <c r="S1061" i="1"/>
  <c r="T1061" i="1" s="1"/>
  <c r="S1057" i="1"/>
  <c r="T1057" i="1" s="1"/>
  <c r="S1059" i="1"/>
  <c r="T1059" i="1" s="1"/>
  <c r="S778" i="1"/>
  <c r="T778" i="1" s="1"/>
  <c r="S775" i="1"/>
  <c r="T775" i="1" s="1"/>
  <c r="S776" i="1"/>
  <c r="T776" i="1" s="1"/>
  <c r="S777" i="1"/>
  <c r="T777" i="1" s="1"/>
  <c r="S309" i="1"/>
  <c r="T309" i="1" s="1"/>
  <c r="S310" i="1"/>
  <c r="T310" i="1" s="1"/>
  <c r="S311" i="1"/>
  <c r="T311" i="1" s="1"/>
  <c r="S312" i="1"/>
  <c r="T312" i="1" s="1"/>
  <c r="S313" i="1"/>
  <c r="T313" i="1" s="1"/>
  <c r="S436" i="1"/>
  <c r="T436" i="1" s="1"/>
  <c r="S437" i="1"/>
  <c r="T437" i="1" s="1"/>
  <c r="S438" i="1"/>
  <c r="T438" i="1" s="1"/>
  <c r="S439" i="1"/>
  <c r="T439" i="1" s="1"/>
  <c r="S714" i="1"/>
  <c r="T714" i="1" s="1"/>
  <c r="S715" i="1"/>
  <c r="T715" i="1" s="1"/>
  <c r="S716" i="1"/>
  <c r="T716" i="1" s="1"/>
  <c r="S717" i="1"/>
  <c r="T717" i="1" s="1"/>
  <c r="S444" i="1"/>
  <c r="T444" i="1" s="1"/>
  <c r="S445" i="1"/>
  <c r="T445" i="1" s="1"/>
  <c r="S446" i="1"/>
  <c r="T446" i="1" s="1"/>
  <c r="S447" i="1"/>
  <c r="T447" i="1" s="1"/>
  <c r="S746" i="1"/>
  <c r="T746" i="1" s="1"/>
  <c r="S748" i="1"/>
  <c r="T748" i="1" s="1"/>
  <c r="S744" i="1"/>
  <c r="T744" i="1" s="1"/>
  <c r="S745" i="1"/>
  <c r="T745" i="1" s="1"/>
  <c r="S747" i="1"/>
  <c r="T747" i="1" s="1"/>
  <c r="S338" i="1"/>
  <c r="T338" i="1" s="1"/>
  <c r="S339" i="1"/>
  <c r="T339" i="1" s="1"/>
  <c r="S336" i="1"/>
  <c r="T336" i="1" s="1"/>
  <c r="S337" i="1"/>
  <c r="T337" i="1" s="1"/>
  <c r="S754" i="1"/>
  <c r="T754" i="1" s="1"/>
  <c r="S756" i="1"/>
  <c r="T756" i="1" s="1"/>
  <c r="S755" i="1"/>
  <c r="T755" i="1" s="1"/>
  <c r="S753" i="1"/>
  <c r="T753" i="1" s="1"/>
  <c r="S330" i="1"/>
  <c r="T330" i="1" s="1"/>
  <c r="S327" i="1"/>
  <c r="T327" i="1" s="1"/>
  <c r="S328" i="1"/>
  <c r="T328" i="1" s="1"/>
  <c r="S329" i="1"/>
  <c r="T329" i="1" s="1"/>
  <c r="S34" i="1"/>
  <c r="T34" i="1" s="1"/>
  <c r="S31" i="1"/>
  <c r="T31" i="1" s="1"/>
  <c r="S32" i="1"/>
  <c r="T32" i="1" s="1"/>
  <c r="S33" i="1"/>
  <c r="T33" i="1" s="1"/>
  <c r="S554" i="1"/>
  <c r="T554" i="1" s="1"/>
  <c r="S555" i="1"/>
  <c r="T555" i="1" s="1"/>
  <c r="S556" i="1"/>
  <c r="T556" i="1" s="1"/>
  <c r="S553" i="1"/>
  <c r="T553" i="1" s="1"/>
  <c r="E333" i="28"/>
  <c r="E332" i="28"/>
  <c r="M331" i="28"/>
  <c r="I331" i="28"/>
  <c r="G331" i="28"/>
  <c r="E331" i="28"/>
  <c r="M330" i="28"/>
  <c r="I330" i="28"/>
  <c r="G330" i="28"/>
  <c r="E330" i="28"/>
  <c r="M329" i="28"/>
  <c r="I329" i="28"/>
  <c r="G329" i="28"/>
  <c r="E329" i="28"/>
  <c r="M328" i="28"/>
  <c r="I328" i="28"/>
  <c r="G328" i="28"/>
  <c r="E328" i="28"/>
  <c r="M327" i="28"/>
  <c r="I327" i="28"/>
  <c r="G327" i="28"/>
  <c r="E327" i="28"/>
  <c r="M326" i="28"/>
  <c r="I326" i="28"/>
  <c r="G326" i="28"/>
  <c r="E326" i="28"/>
  <c r="M325" i="28"/>
  <c r="I325" i="28"/>
  <c r="G325" i="28"/>
  <c r="E325" i="28"/>
  <c r="M324" i="28"/>
  <c r="I324" i="28"/>
  <c r="K323" i="28" s="1"/>
  <c r="G324" i="28"/>
  <c r="E324" i="28"/>
  <c r="M323" i="28"/>
  <c r="I323" i="28"/>
  <c r="G323" i="28"/>
  <c r="E323" i="28"/>
  <c r="M322" i="28"/>
  <c r="I322" i="28"/>
  <c r="G322" i="28"/>
  <c r="E322" i="28"/>
  <c r="M321" i="28"/>
  <c r="I321" i="28"/>
  <c r="J321" i="28" s="1"/>
  <c r="G321" i="28"/>
  <c r="E321" i="28"/>
  <c r="M320" i="28"/>
  <c r="I320" i="28"/>
  <c r="G320" i="28"/>
  <c r="E320" i="28"/>
  <c r="N319" i="28"/>
  <c r="M319" i="28"/>
  <c r="I319" i="28"/>
  <c r="G319" i="28"/>
  <c r="E319" i="28"/>
  <c r="N318" i="28"/>
  <c r="M318" i="28"/>
  <c r="I318" i="28"/>
  <c r="G318" i="28"/>
  <c r="E318" i="28"/>
  <c r="N317" i="28"/>
  <c r="M317" i="28"/>
  <c r="I317" i="28"/>
  <c r="G317" i="28"/>
  <c r="E317" i="28"/>
  <c r="N316" i="28"/>
  <c r="M316" i="28"/>
  <c r="I316" i="28"/>
  <c r="G316" i="28"/>
  <c r="E316" i="28"/>
  <c r="N315" i="28"/>
  <c r="M315" i="28"/>
  <c r="I315" i="28"/>
  <c r="G315" i="28"/>
  <c r="E315" i="28"/>
  <c r="C315" i="28"/>
  <c r="N314" i="28"/>
  <c r="M314" i="28"/>
  <c r="I314" i="28"/>
  <c r="G314" i="28"/>
  <c r="E314" i="28"/>
  <c r="C314" i="28"/>
  <c r="N313" i="28"/>
  <c r="M313" i="28"/>
  <c r="I313" i="28"/>
  <c r="G313" i="28"/>
  <c r="E313" i="28"/>
  <c r="C313" i="28"/>
  <c r="N312" i="28"/>
  <c r="M312" i="28"/>
  <c r="I312" i="28"/>
  <c r="G312" i="28"/>
  <c r="E312" i="28"/>
  <c r="C312" i="28"/>
  <c r="N311" i="28"/>
  <c r="M311" i="28"/>
  <c r="I311" i="28"/>
  <c r="G311" i="28"/>
  <c r="E311" i="28"/>
  <c r="C311" i="28"/>
  <c r="N310" i="28"/>
  <c r="M310" i="28"/>
  <c r="I310" i="28"/>
  <c r="G310" i="28"/>
  <c r="E310" i="28"/>
  <c r="C310" i="28"/>
  <c r="N309" i="28"/>
  <c r="M309" i="28"/>
  <c r="I309" i="28"/>
  <c r="G309" i="28"/>
  <c r="E309" i="28"/>
  <c r="C309" i="28"/>
  <c r="N308" i="28"/>
  <c r="M308" i="28"/>
  <c r="I308" i="28"/>
  <c r="G308" i="28"/>
  <c r="E308" i="28"/>
  <c r="C308" i="28"/>
  <c r="N307" i="28"/>
  <c r="M307" i="28"/>
  <c r="I307" i="28"/>
  <c r="G307" i="28"/>
  <c r="E307" i="28"/>
  <c r="C307" i="28"/>
  <c r="N306" i="28"/>
  <c r="M306" i="28"/>
  <c r="I306" i="28"/>
  <c r="G306" i="28"/>
  <c r="E306" i="28"/>
  <c r="C306" i="28"/>
  <c r="N305" i="28"/>
  <c r="M305" i="28"/>
  <c r="I305" i="28"/>
  <c r="G305" i="28"/>
  <c r="E305" i="28"/>
  <c r="C305" i="28"/>
  <c r="N304" i="28"/>
  <c r="M304" i="28"/>
  <c r="I304" i="28"/>
  <c r="G304" i="28"/>
  <c r="E304" i="28"/>
  <c r="C304" i="28"/>
  <c r="N303" i="28"/>
  <c r="M303" i="28"/>
  <c r="I303" i="28"/>
  <c r="G303" i="28"/>
  <c r="E303" i="28"/>
  <c r="C303" i="28"/>
  <c r="N302" i="28"/>
  <c r="M302" i="28"/>
  <c r="I302" i="28"/>
  <c r="G302" i="28"/>
  <c r="E302" i="28"/>
  <c r="C302" i="28"/>
  <c r="N301" i="28"/>
  <c r="M301" i="28"/>
  <c r="I301" i="28"/>
  <c r="G301" i="28"/>
  <c r="E301" i="28"/>
  <c r="C301" i="28"/>
  <c r="N300" i="28"/>
  <c r="M300" i="28"/>
  <c r="I300" i="28"/>
  <c r="G300" i="28"/>
  <c r="E300" i="28"/>
  <c r="C300" i="28"/>
  <c r="N299" i="28"/>
  <c r="M299" i="28"/>
  <c r="I299" i="28"/>
  <c r="G299" i="28"/>
  <c r="E299" i="28"/>
  <c r="C299" i="28"/>
  <c r="N298" i="28"/>
  <c r="M298" i="28"/>
  <c r="I298" i="28"/>
  <c r="G298" i="28"/>
  <c r="E298" i="28"/>
  <c r="C298" i="28"/>
  <c r="N297" i="28"/>
  <c r="M297" i="28"/>
  <c r="I297" i="28"/>
  <c r="G297" i="28"/>
  <c r="E297" i="28"/>
  <c r="C297" i="28"/>
  <c r="N296" i="28"/>
  <c r="M296" i="28"/>
  <c r="I296" i="28"/>
  <c r="G296" i="28"/>
  <c r="E296" i="28"/>
  <c r="C296" i="28"/>
  <c r="N295" i="28"/>
  <c r="M295" i="28"/>
  <c r="I295" i="28"/>
  <c r="G295" i="28"/>
  <c r="E295" i="28"/>
  <c r="C295" i="28"/>
  <c r="N294" i="28"/>
  <c r="M294" i="28"/>
  <c r="I294" i="28"/>
  <c r="G294" i="28"/>
  <c r="E294" i="28"/>
  <c r="C294" i="28"/>
  <c r="N293" i="28"/>
  <c r="M293" i="28"/>
  <c r="I293" i="28"/>
  <c r="G293" i="28"/>
  <c r="E293" i="28"/>
  <c r="C293" i="28"/>
  <c r="N292" i="28"/>
  <c r="M292" i="28"/>
  <c r="I292" i="28"/>
  <c r="G292" i="28"/>
  <c r="E292" i="28"/>
  <c r="C292" i="28"/>
  <c r="N291" i="28"/>
  <c r="M291" i="28"/>
  <c r="I291" i="28"/>
  <c r="G291" i="28"/>
  <c r="E291" i="28"/>
  <c r="C291" i="28"/>
  <c r="N290" i="28"/>
  <c r="M290" i="28"/>
  <c r="I290" i="28"/>
  <c r="G290" i="28"/>
  <c r="E290" i="28"/>
  <c r="C290" i="28"/>
  <c r="N289" i="28"/>
  <c r="M289" i="28"/>
  <c r="I289" i="28"/>
  <c r="G289" i="28"/>
  <c r="E289" i="28"/>
  <c r="C289" i="28"/>
  <c r="N288" i="28"/>
  <c r="M288" i="28"/>
  <c r="I288" i="28"/>
  <c r="G288" i="28"/>
  <c r="E288" i="28"/>
  <c r="C288" i="28"/>
  <c r="N287" i="28"/>
  <c r="M287" i="28"/>
  <c r="I287" i="28"/>
  <c r="G287" i="28"/>
  <c r="E287" i="28"/>
  <c r="C287" i="28"/>
  <c r="N286" i="28"/>
  <c r="M286" i="28"/>
  <c r="I286" i="28"/>
  <c r="G286" i="28"/>
  <c r="E286" i="28"/>
  <c r="C286" i="28"/>
  <c r="N285" i="28"/>
  <c r="M285" i="28"/>
  <c r="I285" i="28"/>
  <c r="G285" i="28"/>
  <c r="E285" i="28"/>
  <c r="C285" i="28"/>
  <c r="N284" i="28"/>
  <c r="M284" i="28"/>
  <c r="I284" i="28"/>
  <c r="G284" i="28"/>
  <c r="E284" i="28"/>
  <c r="C284" i="28"/>
  <c r="N283" i="28"/>
  <c r="M283" i="28"/>
  <c r="I283" i="28"/>
  <c r="G283" i="28"/>
  <c r="E283" i="28"/>
  <c r="C283" i="28"/>
  <c r="N282" i="28"/>
  <c r="M282" i="28"/>
  <c r="I282" i="28"/>
  <c r="G282" i="28"/>
  <c r="E282" i="28"/>
  <c r="C282" i="28"/>
  <c r="N281" i="28"/>
  <c r="M281" i="28"/>
  <c r="I281" i="28"/>
  <c r="G281" i="28"/>
  <c r="E281" i="28"/>
  <c r="C281" i="28"/>
  <c r="N280" i="28"/>
  <c r="M280" i="28"/>
  <c r="I280" i="28"/>
  <c r="G280" i="28"/>
  <c r="E280" i="28"/>
  <c r="C280" i="28"/>
  <c r="N279" i="28"/>
  <c r="M279" i="28"/>
  <c r="I279" i="28"/>
  <c r="G279" i="28"/>
  <c r="E279" i="28"/>
  <c r="C279" i="28"/>
  <c r="N278" i="28"/>
  <c r="M278" i="28"/>
  <c r="I278" i="28"/>
  <c r="G278" i="28"/>
  <c r="E278" i="28"/>
  <c r="C278" i="28"/>
  <c r="N277" i="28"/>
  <c r="M277" i="28"/>
  <c r="I277" i="28"/>
  <c r="G277" i="28"/>
  <c r="E277" i="28"/>
  <c r="C277" i="28"/>
  <c r="N276" i="28"/>
  <c r="M276" i="28"/>
  <c r="I276" i="28"/>
  <c r="G276" i="28"/>
  <c r="E276" i="28"/>
  <c r="C276" i="28"/>
  <c r="N275" i="28"/>
  <c r="M275" i="28"/>
  <c r="I275" i="28"/>
  <c r="G275" i="28"/>
  <c r="E275" i="28"/>
  <c r="C275" i="28"/>
  <c r="N274" i="28"/>
  <c r="M274" i="28"/>
  <c r="I274" i="28"/>
  <c r="G274" i="28"/>
  <c r="E274" i="28"/>
  <c r="C274" i="28"/>
  <c r="N273" i="28"/>
  <c r="M273" i="28"/>
  <c r="I273" i="28"/>
  <c r="G273" i="28"/>
  <c r="E273" i="28"/>
  <c r="C273" i="28"/>
  <c r="N272" i="28"/>
  <c r="M272" i="28"/>
  <c r="I272" i="28"/>
  <c r="G272" i="28"/>
  <c r="E272" i="28"/>
  <c r="C272" i="28"/>
  <c r="N271" i="28"/>
  <c r="M271" i="28"/>
  <c r="I271" i="28"/>
  <c r="G271" i="28"/>
  <c r="E271" i="28"/>
  <c r="C271" i="28"/>
  <c r="N270" i="28"/>
  <c r="M270" i="28"/>
  <c r="I270" i="28"/>
  <c r="G270" i="28"/>
  <c r="E270" i="28"/>
  <c r="C270" i="28"/>
  <c r="N269" i="28"/>
  <c r="M269" i="28"/>
  <c r="I269" i="28"/>
  <c r="J269" i="28" s="1"/>
  <c r="G269" i="28"/>
  <c r="E269" i="28"/>
  <c r="C269" i="28"/>
  <c r="N268" i="28"/>
  <c r="M268" i="28"/>
  <c r="I268" i="28"/>
  <c r="G268" i="28"/>
  <c r="E268" i="28"/>
  <c r="C268" i="28"/>
  <c r="N267" i="28"/>
  <c r="M267" i="28"/>
  <c r="I267" i="28"/>
  <c r="G267" i="28"/>
  <c r="E267" i="28"/>
  <c r="C267" i="28"/>
  <c r="N266" i="28"/>
  <c r="M266" i="28"/>
  <c r="I266" i="28"/>
  <c r="G266" i="28"/>
  <c r="E266" i="28"/>
  <c r="C266" i="28"/>
  <c r="N265" i="28"/>
  <c r="M265" i="28"/>
  <c r="I265" i="28"/>
  <c r="G265" i="28"/>
  <c r="E265" i="28"/>
  <c r="C265" i="28"/>
  <c r="N264" i="28"/>
  <c r="M264" i="28"/>
  <c r="I264" i="28"/>
  <c r="G264" i="28"/>
  <c r="E264" i="28"/>
  <c r="C264" i="28"/>
  <c r="N263" i="28"/>
  <c r="M263" i="28"/>
  <c r="I263" i="28"/>
  <c r="G263" i="28"/>
  <c r="E263" i="28"/>
  <c r="C263" i="28"/>
  <c r="N262" i="28"/>
  <c r="M262" i="28"/>
  <c r="I262" i="28"/>
  <c r="G262" i="28"/>
  <c r="E262" i="28"/>
  <c r="C262" i="28"/>
  <c r="N261" i="28"/>
  <c r="M261" i="28"/>
  <c r="I261" i="28"/>
  <c r="J261" i="28" s="1"/>
  <c r="G261" i="28"/>
  <c r="E261" i="28"/>
  <c r="C261" i="28"/>
  <c r="N260" i="28"/>
  <c r="M260" i="28"/>
  <c r="I260" i="28"/>
  <c r="G260" i="28"/>
  <c r="E260" i="28"/>
  <c r="C260" i="28"/>
  <c r="N259" i="28"/>
  <c r="M259" i="28"/>
  <c r="I259" i="28"/>
  <c r="G259" i="28"/>
  <c r="E259" i="28"/>
  <c r="C259" i="28"/>
  <c r="N258" i="28"/>
  <c r="M258" i="28"/>
  <c r="I258" i="28"/>
  <c r="G258" i="28"/>
  <c r="E258" i="28"/>
  <c r="C258" i="28"/>
  <c r="N257" i="28"/>
  <c r="M257" i="28"/>
  <c r="I257" i="28"/>
  <c r="G257" i="28"/>
  <c r="E257" i="28"/>
  <c r="C257" i="28"/>
  <c r="N256" i="28"/>
  <c r="M256" i="28"/>
  <c r="I256" i="28"/>
  <c r="G256" i="28"/>
  <c r="E256" i="28"/>
  <c r="C256" i="28"/>
  <c r="N255" i="28"/>
  <c r="M255" i="28"/>
  <c r="I255" i="28"/>
  <c r="G255" i="28"/>
  <c r="E255" i="28"/>
  <c r="C255" i="28"/>
  <c r="N254" i="28"/>
  <c r="M254" i="28"/>
  <c r="I254" i="28"/>
  <c r="G254" i="28"/>
  <c r="E254" i="28"/>
  <c r="C254" i="28"/>
  <c r="N253" i="28"/>
  <c r="M253" i="28"/>
  <c r="I253" i="28"/>
  <c r="G253" i="28"/>
  <c r="E253" i="28"/>
  <c r="C253" i="28"/>
  <c r="N252" i="28"/>
  <c r="M252" i="28"/>
  <c r="I252" i="28"/>
  <c r="G252" i="28"/>
  <c r="E252" i="28"/>
  <c r="C252" i="28"/>
  <c r="N251" i="28"/>
  <c r="M251" i="28"/>
  <c r="I251" i="28"/>
  <c r="G251" i="28"/>
  <c r="E251" i="28"/>
  <c r="C251" i="28"/>
  <c r="N250" i="28"/>
  <c r="M250" i="28"/>
  <c r="I250" i="28"/>
  <c r="G250" i="28"/>
  <c r="E250" i="28"/>
  <c r="C250" i="28"/>
  <c r="N249" i="28"/>
  <c r="M249" i="28"/>
  <c r="I249" i="28"/>
  <c r="J249" i="28" s="1"/>
  <c r="G249" i="28"/>
  <c r="E249" i="28"/>
  <c r="C249" i="28"/>
  <c r="N248" i="28"/>
  <c r="M248" i="28"/>
  <c r="I248" i="28"/>
  <c r="G248" i="28"/>
  <c r="E248" i="28"/>
  <c r="C248" i="28"/>
  <c r="N247" i="28"/>
  <c r="M247" i="28"/>
  <c r="I247" i="28"/>
  <c r="G247" i="28"/>
  <c r="E247" i="28"/>
  <c r="C247" i="28"/>
  <c r="N246" i="28"/>
  <c r="M246" i="28"/>
  <c r="I246" i="28"/>
  <c r="G246" i="28"/>
  <c r="E246" i="28"/>
  <c r="C246" i="28"/>
  <c r="N245" i="28"/>
  <c r="M245" i="28"/>
  <c r="I245" i="28"/>
  <c r="G245" i="28"/>
  <c r="E245" i="28"/>
  <c r="C245" i="28"/>
  <c r="N244" i="28"/>
  <c r="M244" i="28"/>
  <c r="I244" i="28"/>
  <c r="G244" i="28"/>
  <c r="E244" i="28"/>
  <c r="C244" i="28"/>
  <c r="N243" i="28"/>
  <c r="M243" i="28"/>
  <c r="I243" i="28"/>
  <c r="G243" i="28"/>
  <c r="E243" i="28"/>
  <c r="C243" i="28"/>
  <c r="N242" i="28"/>
  <c r="M242" i="28"/>
  <c r="I242" i="28"/>
  <c r="G242" i="28"/>
  <c r="E242" i="28"/>
  <c r="C242" i="28"/>
  <c r="N241" i="28"/>
  <c r="M241" i="28"/>
  <c r="I241" i="28"/>
  <c r="J241" i="28" s="1"/>
  <c r="G241" i="28"/>
  <c r="E241" i="28"/>
  <c r="C241" i="28"/>
  <c r="N240" i="28"/>
  <c r="M240" i="28"/>
  <c r="I240" i="28"/>
  <c r="G240" i="28"/>
  <c r="E240" i="28"/>
  <c r="C240" i="28"/>
  <c r="N239" i="28"/>
  <c r="M239" i="28"/>
  <c r="I239" i="28"/>
  <c r="G239" i="28"/>
  <c r="E239" i="28"/>
  <c r="C239" i="28"/>
  <c r="N238" i="28"/>
  <c r="M238" i="28"/>
  <c r="I238" i="28"/>
  <c r="G238" i="28"/>
  <c r="E238" i="28"/>
  <c r="C238" i="28"/>
  <c r="N237" i="28"/>
  <c r="M237" i="28"/>
  <c r="I237" i="28"/>
  <c r="G237" i="28"/>
  <c r="E237" i="28"/>
  <c r="C237" i="28"/>
  <c r="N236" i="28"/>
  <c r="M236" i="28"/>
  <c r="I236" i="28"/>
  <c r="G236" i="28"/>
  <c r="E236" i="28"/>
  <c r="C236" i="28"/>
  <c r="N235" i="28"/>
  <c r="M235" i="28"/>
  <c r="I235" i="28"/>
  <c r="G235" i="28"/>
  <c r="E235" i="28"/>
  <c r="C235" i="28"/>
  <c r="N234" i="28"/>
  <c r="M234" i="28"/>
  <c r="I234" i="28"/>
  <c r="G234" i="28"/>
  <c r="E234" i="28"/>
  <c r="C234" i="28"/>
  <c r="N233" i="28"/>
  <c r="M233" i="28"/>
  <c r="I233" i="28"/>
  <c r="G233" i="28"/>
  <c r="E233" i="28"/>
  <c r="C233" i="28"/>
  <c r="N232" i="28"/>
  <c r="M232" i="28"/>
  <c r="I232" i="28"/>
  <c r="G232" i="28"/>
  <c r="E232" i="28"/>
  <c r="C232" i="28"/>
  <c r="N231" i="28"/>
  <c r="M231" i="28"/>
  <c r="I231" i="28"/>
  <c r="G231" i="28"/>
  <c r="E231" i="28"/>
  <c r="C231" i="28"/>
  <c r="N230" i="28"/>
  <c r="M230" i="28"/>
  <c r="I230" i="28"/>
  <c r="G230" i="28"/>
  <c r="E230" i="28"/>
  <c r="C230" i="28"/>
  <c r="N229" i="28"/>
  <c r="M229" i="28"/>
  <c r="I229" i="28"/>
  <c r="J229" i="28" s="1"/>
  <c r="G229" i="28"/>
  <c r="E229" i="28"/>
  <c r="C229" i="28"/>
  <c r="N228" i="28"/>
  <c r="M228" i="28"/>
  <c r="I228" i="28"/>
  <c r="G228" i="28"/>
  <c r="E228" i="28"/>
  <c r="C228" i="28"/>
  <c r="N227" i="28"/>
  <c r="M227" i="28"/>
  <c r="I227" i="28"/>
  <c r="J227" i="28" s="1"/>
  <c r="G227" i="28"/>
  <c r="E227" i="28"/>
  <c r="C227" i="28"/>
  <c r="N226" i="28"/>
  <c r="M226" i="28"/>
  <c r="I226" i="28"/>
  <c r="G226" i="28"/>
  <c r="E226" i="28"/>
  <c r="C226" i="28"/>
  <c r="N225" i="28"/>
  <c r="M225" i="28"/>
  <c r="I225" i="28"/>
  <c r="J225" i="28" s="1"/>
  <c r="G225" i="28"/>
  <c r="E225" i="28"/>
  <c r="C225" i="28"/>
  <c r="N224" i="28"/>
  <c r="M224" i="28"/>
  <c r="I224" i="28"/>
  <c r="G224" i="28"/>
  <c r="E224" i="28"/>
  <c r="C224" i="28"/>
  <c r="N223" i="28"/>
  <c r="M223" i="28"/>
  <c r="I223" i="28"/>
  <c r="J223" i="28" s="1"/>
  <c r="G223" i="28"/>
  <c r="E223" i="28"/>
  <c r="C223" i="28"/>
  <c r="N222" i="28"/>
  <c r="M222" i="28"/>
  <c r="I222" i="28"/>
  <c r="G222" i="28"/>
  <c r="E222" i="28"/>
  <c r="C222" i="28"/>
  <c r="N221" i="28"/>
  <c r="M221" i="28"/>
  <c r="I221" i="28"/>
  <c r="G221" i="28"/>
  <c r="E221" i="28"/>
  <c r="C221" i="28"/>
  <c r="N220" i="28"/>
  <c r="M220" i="28"/>
  <c r="I220" i="28"/>
  <c r="G220" i="28"/>
  <c r="E220" i="28"/>
  <c r="C220" i="28"/>
  <c r="N219" i="28"/>
  <c r="M219" i="28"/>
  <c r="I219" i="28"/>
  <c r="G219" i="28"/>
  <c r="E219" i="28"/>
  <c r="C219" i="28"/>
  <c r="N218" i="28"/>
  <c r="M218" i="28"/>
  <c r="I218" i="28"/>
  <c r="G218" i="28"/>
  <c r="E218" i="28"/>
  <c r="C218" i="28"/>
  <c r="N217" i="28"/>
  <c r="M217" i="28"/>
  <c r="I217" i="28"/>
  <c r="J217" i="28" s="1"/>
  <c r="G217" i="28"/>
  <c r="E217" i="28"/>
  <c r="C217" i="28"/>
  <c r="N216" i="28"/>
  <c r="M216" i="28"/>
  <c r="I216" i="28"/>
  <c r="G216" i="28"/>
  <c r="E216" i="28"/>
  <c r="C216" i="28"/>
  <c r="N215" i="28"/>
  <c r="M215" i="28"/>
  <c r="I215" i="28"/>
  <c r="G215" i="28"/>
  <c r="E215" i="28"/>
  <c r="C215" i="28"/>
  <c r="N214" i="28"/>
  <c r="M214" i="28"/>
  <c r="I214" i="28"/>
  <c r="G214" i="28"/>
  <c r="E214" i="28"/>
  <c r="C214" i="28"/>
  <c r="N213" i="28"/>
  <c r="M213" i="28"/>
  <c r="I213" i="28"/>
  <c r="G213" i="28"/>
  <c r="E213" i="28"/>
  <c r="C213" i="28"/>
  <c r="N212" i="28"/>
  <c r="M212" i="28"/>
  <c r="I212" i="28"/>
  <c r="G212" i="28"/>
  <c r="E212" i="28"/>
  <c r="C212" i="28"/>
  <c r="N211" i="28"/>
  <c r="M211" i="28"/>
  <c r="I211" i="28"/>
  <c r="G211" i="28"/>
  <c r="E211" i="28"/>
  <c r="C211" i="28"/>
  <c r="N210" i="28"/>
  <c r="M210" i="28"/>
  <c r="I210" i="28"/>
  <c r="G210" i="28"/>
  <c r="E210" i="28"/>
  <c r="C210" i="28"/>
  <c r="N209" i="28"/>
  <c r="M209" i="28"/>
  <c r="I209" i="28"/>
  <c r="G209" i="28"/>
  <c r="E209" i="28"/>
  <c r="C209" i="28"/>
  <c r="N208" i="28"/>
  <c r="M208" i="28"/>
  <c r="I208" i="28"/>
  <c r="G208" i="28"/>
  <c r="E208" i="28"/>
  <c r="C208" i="28"/>
  <c r="N207" i="28"/>
  <c r="M207" i="28"/>
  <c r="I207" i="28"/>
  <c r="G207" i="28"/>
  <c r="E207" i="28"/>
  <c r="C207" i="28"/>
  <c r="N206" i="28"/>
  <c r="M206" i="28"/>
  <c r="I206" i="28"/>
  <c r="G206" i="28"/>
  <c r="E206" i="28"/>
  <c r="C206" i="28"/>
  <c r="N205" i="28"/>
  <c r="M205" i="28"/>
  <c r="I205" i="28"/>
  <c r="G205" i="28"/>
  <c r="E205" i="28"/>
  <c r="C205" i="28"/>
  <c r="N204" i="28"/>
  <c r="M204" i="28"/>
  <c r="I204" i="28"/>
  <c r="G204" i="28"/>
  <c r="E204" i="28"/>
  <c r="C204" i="28"/>
  <c r="N203" i="28"/>
  <c r="M203" i="28"/>
  <c r="I203" i="28"/>
  <c r="G203" i="28"/>
  <c r="E203" i="28"/>
  <c r="C203" i="28"/>
  <c r="N202" i="28"/>
  <c r="M202" i="28"/>
  <c r="I202" i="28"/>
  <c r="G202" i="28"/>
  <c r="E202" i="28"/>
  <c r="C202" i="28"/>
  <c r="N201" i="28"/>
  <c r="M201" i="28"/>
  <c r="I201" i="28"/>
  <c r="J201" i="28" s="1"/>
  <c r="G201" i="28"/>
  <c r="E201" i="28"/>
  <c r="C201" i="28"/>
  <c r="N200" i="28"/>
  <c r="M200" i="28"/>
  <c r="I200" i="28"/>
  <c r="G200" i="28"/>
  <c r="E200" i="28"/>
  <c r="C200" i="28"/>
  <c r="N199" i="28"/>
  <c r="M199" i="28"/>
  <c r="I199" i="28"/>
  <c r="G199" i="28"/>
  <c r="E199" i="28"/>
  <c r="C199" i="28"/>
  <c r="N198" i="28"/>
  <c r="M198" i="28"/>
  <c r="I198" i="28"/>
  <c r="G198" i="28"/>
  <c r="E198" i="28"/>
  <c r="C198" i="28"/>
  <c r="N197" i="28"/>
  <c r="M197" i="28"/>
  <c r="I197" i="28"/>
  <c r="G197" i="28"/>
  <c r="E197" i="28"/>
  <c r="C197" i="28"/>
  <c r="N196" i="28"/>
  <c r="M196" i="28"/>
  <c r="I196" i="28"/>
  <c r="G196" i="28"/>
  <c r="E196" i="28"/>
  <c r="C196" i="28"/>
  <c r="N195" i="28"/>
  <c r="M195" i="28"/>
  <c r="I195" i="28"/>
  <c r="G195" i="28"/>
  <c r="E195" i="28"/>
  <c r="C195" i="28"/>
  <c r="N194" i="28"/>
  <c r="M194" i="28"/>
  <c r="I194" i="28"/>
  <c r="G194" i="28"/>
  <c r="E194" i="28"/>
  <c r="C194" i="28"/>
  <c r="N193" i="28"/>
  <c r="M193" i="28"/>
  <c r="I193" i="28"/>
  <c r="G193" i="28"/>
  <c r="E193" i="28"/>
  <c r="C193" i="28"/>
  <c r="N192" i="28"/>
  <c r="M192" i="28"/>
  <c r="I192" i="28"/>
  <c r="J192" i="28" s="1"/>
  <c r="G192" i="28"/>
  <c r="E192" i="28"/>
  <c r="C192" i="28"/>
  <c r="N191" i="28"/>
  <c r="M191" i="28"/>
  <c r="I191" i="28"/>
  <c r="G191" i="28"/>
  <c r="E191" i="28"/>
  <c r="C191" i="28"/>
  <c r="N190" i="28"/>
  <c r="M190" i="28"/>
  <c r="I190" i="28"/>
  <c r="G190" i="28"/>
  <c r="E190" i="28"/>
  <c r="C190" i="28"/>
  <c r="N189" i="28"/>
  <c r="M189" i="28"/>
  <c r="I189" i="28"/>
  <c r="G189" i="28"/>
  <c r="E189" i="28"/>
  <c r="C189" i="28"/>
  <c r="N188" i="28"/>
  <c r="M188" i="28"/>
  <c r="I188" i="28"/>
  <c r="G188" i="28"/>
  <c r="E188" i="28"/>
  <c r="C188" i="28"/>
  <c r="N187" i="28"/>
  <c r="M187" i="28"/>
  <c r="I187" i="28"/>
  <c r="J187" i="28" s="1"/>
  <c r="G187" i="28"/>
  <c r="E187" i="28"/>
  <c r="C187" i="28"/>
  <c r="N186" i="28"/>
  <c r="M186" i="28"/>
  <c r="I186" i="28"/>
  <c r="G186" i="28"/>
  <c r="E186" i="28"/>
  <c r="C186" i="28"/>
  <c r="N185" i="28"/>
  <c r="M185" i="28"/>
  <c r="I185" i="28"/>
  <c r="G185" i="28"/>
  <c r="E185" i="28"/>
  <c r="C185" i="28"/>
  <c r="N184" i="28"/>
  <c r="M184" i="28"/>
  <c r="I184" i="28"/>
  <c r="G184" i="28"/>
  <c r="E184" i="28"/>
  <c r="C184" i="28"/>
  <c r="N183" i="28"/>
  <c r="M183" i="28"/>
  <c r="I183" i="28"/>
  <c r="G183" i="28"/>
  <c r="E183" i="28"/>
  <c r="C183" i="28"/>
  <c r="N182" i="28"/>
  <c r="M182" i="28"/>
  <c r="I182" i="28"/>
  <c r="G182" i="28"/>
  <c r="E182" i="28"/>
  <c r="C182" i="28"/>
  <c r="N181" i="28"/>
  <c r="M181" i="28"/>
  <c r="I181" i="28"/>
  <c r="G181" i="28"/>
  <c r="E181" i="28"/>
  <c r="C181" i="28"/>
  <c r="N180" i="28"/>
  <c r="M180" i="28"/>
  <c r="I180" i="28"/>
  <c r="G180" i="28"/>
  <c r="E180" i="28"/>
  <c r="C180" i="28"/>
  <c r="N179" i="28"/>
  <c r="M179" i="28"/>
  <c r="I179" i="28"/>
  <c r="G179" i="28"/>
  <c r="E179" i="28"/>
  <c r="C179" i="28"/>
  <c r="N178" i="28"/>
  <c r="M178" i="28"/>
  <c r="I178" i="28"/>
  <c r="G178" i="28"/>
  <c r="E178" i="28"/>
  <c r="C178" i="28"/>
  <c r="N177" i="28"/>
  <c r="M177" i="28"/>
  <c r="I177" i="28"/>
  <c r="G177" i="28"/>
  <c r="E177" i="28"/>
  <c r="C177" i="28"/>
  <c r="N176" i="28"/>
  <c r="M176" i="28"/>
  <c r="I176" i="28"/>
  <c r="G176" i="28"/>
  <c r="E176" i="28"/>
  <c r="C176" i="28"/>
  <c r="N175" i="28"/>
  <c r="M175" i="28"/>
  <c r="I175" i="28"/>
  <c r="G175" i="28"/>
  <c r="E175" i="28"/>
  <c r="C175" i="28"/>
  <c r="N174" i="28"/>
  <c r="M174" i="28"/>
  <c r="I174" i="28"/>
  <c r="J174" i="28" s="1"/>
  <c r="G174" i="28"/>
  <c r="E174" i="28"/>
  <c r="C174" i="28"/>
  <c r="N173" i="28"/>
  <c r="M173" i="28"/>
  <c r="I173" i="28"/>
  <c r="G173" i="28"/>
  <c r="E173" i="28"/>
  <c r="C173" i="28"/>
  <c r="N172" i="28"/>
  <c r="M172" i="28"/>
  <c r="I172" i="28"/>
  <c r="G172" i="28"/>
  <c r="E172" i="28"/>
  <c r="C172" i="28"/>
  <c r="N171" i="28"/>
  <c r="M171" i="28"/>
  <c r="I171" i="28"/>
  <c r="G171" i="28"/>
  <c r="E171" i="28"/>
  <c r="C171" i="28"/>
  <c r="N170" i="28"/>
  <c r="M170" i="28"/>
  <c r="I170" i="28"/>
  <c r="G170" i="28"/>
  <c r="E170" i="28"/>
  <c r="C170" i="28"/>
  <c r="N169" i="28"/>
  <c r="M169" i="28"/>
  <c r="I169" i="28"/>
  <c r="G169" i="28"/>
  <c r="E169" i="28"/>
  <c r="C169" i="28"/>
  <c r="N168" i="28"/>
  <c r="M168" i="28"/>
  <c r="I168" i="28"/>
  <c r="G168" i="28"/>
  <c r="E168" i="28"/>
  <c r="C168" i="28"/>
  <c r="N167" i="28"/>
  <c r="M167" i="28"/>
  <c r="I167" i="28"/>
  <c r="G167" i="28"/>
  <c r="E167" i="28"/>
  <c r="C167" i="28"/>
  <c r="N166" i="28"/>
  <c r="M166" i="28"/>
  <c r="I166" i="28"/>
  <c r="G166" i="28"/>
  <c r="E166" i="28"/>
  <c r="C166" i="28"/>
  <c r="N165" i="28"/>
  <c r="M165" i="28"/>
  <c r="I165" i="28"/>
  <c r="G165" i="28"/>
  <c r="E165" i="28"/>
  <c r="C165" i="28"/>
  <c r="N164" i="28"/>
  <c r="M164" i="28"/>
  <c r="I164" i="28"/>
  <c r="G164" i="28"/>
  <c r="E164" i="28"/>
  <c r="C164" i="28"/>
  <c r="N163" i="28"/>
  <c r="M163" i="28"/>
  <c r="I163" i="28"/>
  <c r="G163" i="28"/>
  <c r="E163" i="28"/>
  <c r="C163" i="28"/>
  <c r="N162" i="28"/>
  <c r="M162" i="28"/>
  <c r="I162" i="28"/>
  <c r="J162" i="28" s="1"/>
  <c r="G162" i="28"/>
  <c r="E162" i="28"/>
  <c r="C162" i="28"/>
  <c r="N161" i="28"/>
  <c r="M161" i="28"/>
  <c r="I161" i="28"/>
  <c r="G161" i="28"/>
  <c r="E161" i="28"/>
  <c r="C161" i="28"/>
  <c r="N160" i="28"/>
  <c r="M160" i="28"/>
  <c r="I160" i="28"/>
  <c r="G160" i="28"/>
  <c r="E160" i="28"/>
  <c r="C160" i="28"/>
  <c r="N159" i="28"/>
  <c r="M159" i="28"/>
  <c r="I159" i="28"/>
  <c r="G159" i="28"/>
  <c r="E159" i="28"/>
  <c r="C159" i="28"/>
  <c r="N158" i="28"/>
  <c r="M158" i="28"/>
  <c r="I158" i="28"/>
  <c r="G158" i="28"/>
  <c r="E158" i="28"/>
  <c r="C158" i="28"/>
  <c r="N157" i="28"/>
  <c r="M157" i="28"/>
  <c r="I157" i="28"/>
  <c r="G157" i="28"/>
  <c r="E157" i="28"/>
  <c r="C157" i="28"/>
  <c r="N156" i="28"/>
  <c r="M156" i="28"/>
  <c r="I156" i="28"/>
  <c r="G156" i="28"/>
  <c r="E156" i="28"/>
  <c r="C156" i="28"/>
  <c r="N155" i="28"/>
  <c r="M155" i="28"/>
  <c r="I155" i="28"/>
  <c r="G155" i="28"/>
  <c r="E155" i="28"/>
  <c r="C155" i="28"/>
  <c r="N154" i="28"/>
  <c r="M154" i="28"/>
  <c r="I154" i="28"/>
  <c r="G154" i="28"/>
  <c r="E154" i="28"/>
  <c r="C154" i="28"/>
  <c r="N153" i="28"/>
  <c r="M153" i="28"/>
  <c r="I153" i="28"/>
  <c r="G153" i="28"/>
  <c r="E153" i="28"/>
  <c r="C153" i="28"/>
  <c r="N152" i="28"/>
  <c r="M152" i="28"/>
  <c r="I152" i="28"/>
  <c r="J152" i="28" s="1"/>
  <c r="G152" i="28"/>
  <c r="E152" i="28"/>
  <c r="C152" i="28"/>
  <c r="N151" i="28"/>
  <c r="M151" i="28"/>
  <c r="I151" i="28"/>
  <c r="G151" i="28"/>
  <c r="E151" i="28"/>
  <c r="C151" i="28"/>
  <c r="N150" i="28"/>
  <c r="M150" i="28"/>
  <c r="I150" i="28"/>
  <c r="G150" i="28"/>
  <c r="E150" i="28"/>
  <c r="C150" i="28"/>
  <c r="N149" i="28"/>
  <c r="M149" i="28"/>
  <c r="I149" i="28"/>
  <c r="G149" i="28"/>
  <c r="E149" i="28"/>
  <c r="C149" i="28"/>
  <c r="N148" i="28"/>
  <c r="M148" i="28"/>
  <c r="I148" i="28"/>
  <c r="G148" i="28"/>
  <c r="E148" i="28"/>
  <c r="C148" i="28"/>
  <c r="N147" i="28"/>
  <c r="M147" i="28"/>
  <c r="I147" i="28"/>
  <c r="G147" i="28"/>
  <c r="E147" i="28"/>
  <c r="C147" i="28"/>
  <c r="N146" i="28"/>
  <c r="M146" i="28"/>
  <c r="I146" i="28"/>
  <c r="G146" i="28"/>
  <c r="E146" i="28"/>
  <c r="C146" i="28"/>
  <c r="N145" i="28"/>
  <c r="M145" i="28"/>
  <c r="I145" i="28"/>
  <c r="G145" i="28"/>
  <c r="E145" i="28"/>
  <c r="C145" i="28"/>
  <c r="N144" i="28"/>
  <c r="M144" i="28"/>
  <c r="I144" i="28"/>
  <c r="G144" i="28"/>
  <c r="E144" i="28"/>
  <c r="C144" i="28"/>
  <c r="N143" i="28"/>
  <c r="M143" i="28"/>
  <c r="I143" i="28"/>
  <c r="J143" i="28" s="1"/>
  <c r="G143" i="28"/>
  <c r="E143" i="28"/>
  <c r="C143" i="28"/>
  <c r="N142" i="28"/>
  <c r="M142" i="28"/>
  <c r="I142" i="28"/>
  <c r="G142" i="28"/>
  <c r="E142" i="28"/>
  <c r="C142" i="28"/>
  <c r="N141" i="28"/>
  <c r="M141" i="28"/>
  <c r="I141" i="28"/>
  <c r="G141" i="28"/>
  <c r="E141" i="28"/>
  <c r="C141" i="28"/>
  <c r="N140" i="28"/>
  <c r="M140" i="28"/>
  <c r="I140" i="28"/>
  <c r="G140" i="28"/>
  <c r="E140" i="28"/>
  <c r="C140" i="28"/>
  <c r="N139" i="28"/>
  <c r="M139" i="28"/>
  <c r="I139" i="28"/>
  <c r="G139" i="28"/>
  <c r="E139" i="28"/>
  <c r="C139" i="28"/>
  <c r="N138" i="28"/>
  <c r="M138" i="28"/>
  <c r="I138" i="28"/>
  <c r="G138" i="28"/>
  <c r="E138" i="28"/>
  <c r="C138" i="28"/>
  <c r="N137" i="28"/>
  <c r="M137" i="28"/>
  <c r="I137" i="28"/>
  <c r="G137" i="28"/>
  <c r="E137" i="28"/>
  <c r="C137" i="28"/>
  <c r="N136" i="28"/>
  <c r="M136" i="28"/>
  <c r="I136" i="28"/>
  <c r="G136" i="28"/>
  <c r="E136" i="28"/>
  <c r="C136" i="28"/>
  <c r="N135" i="28"/>
  <c r="M135" i="28"/>
  <c r="I135" i="28"/>
  <c r="G135" i="28"/>
  <c r="E135" i="28"/>
  <c r="C135" i="28"/>
  <c r="N134" i="28"/>
  <c r="M134" i="28"/>
  <c r="I134" i="28"/>
  <c r="G134" i="28"/>
  <c r="E134" i="28"/>
  <c r="C134" i="28"/>
  <c r="N133" i="28"/>
  <c r="M133" i="28"/>
  <c r="I133" i="28"/>
  <c r="G133" i="28"/>
  <c r="E133" i="28"/>
  <c r="C133" i="28"/>
  <c r="N132" i="28"/>
  <c r="M132" i="28"/>
  <c r="I132" i="28"/>
  <c r="G132" i="28"/>
  <c r="E132" i="28"/>
  <c r="C132" i="28"/>
  <c r="N131" i="28"/>
  <c r="M131" i="28"/>
  <c r="I131" i="28"/>
  <c r="G131" i="28"/>
  <c r="E131" i="28"/>
  <c r="C131" i="28"/>
  <c r="N130" i="28"/>
  <c r="M130" i="28"/>
  <c r="I130" i="28"/>
  <c r="G130" i="28"/>
  <c r="E130" i="28"/>
  <c r="C130" i="28"/>
  <c r="N129" i="28"/>
  <c r="M129" i="28"/>
  <c r="I129" i="28"/>
  <c r="G129" i="28"/>
  <c r="E129" i="28"/>
  <c r="C129" i="28"/>
  <c r="N128" i="28"/>
  <c r="M128" i="28"/>
  <c r="I128" i="28"/>
  <c r="G128" i="28"/>
  <c r="E128" i="28"/>
  <c r="C128" i="28"/>
  <c r="N127" i="28"/>
  <c r="M127" i="28"/>
  <c r="I127" i="28"/>
  <c r="G127" i="28"/>
  <c r="E127" i="28"/>
  <c r="C127" i="28"/>
  <c r="N126" i="28"/>
  <c r="M126" i="28"/>
  <c r="I126" i="28"/>
  <c r="G126" i="28"/>
  <c r="E126" i="28"/>
  <c r="C126" i="28"/>
  <c r="N125" i="28"/>
  <c r="M125" i="28"/>
  <c r="I125" i="28"/>
  <c r="G125" i="28"/>
  <c r="E125" i="28"/>
  <c r="C125" i="28"/>
  <c r="N124" i="28"/>
  <c r="M124" i="28"/>
  <c r="I124" i="28"/>
  <c r="G124" i="28"/>
  <c r="E124" i="28"/>
  <c r="C124" i="28"/>
  <c r="N123" i="28"/>
  <c r="M123" i="28"/>
  <c r="I123" i="28"/>
  <c r="G123" i="28"/>
  <c r="E123" i="28"/>
  <c r="C123" i="28"/>
  <c r="N122" i="28"/>
  <c r="M122" i="28"/>
  <c r="I122" i="28"/>
  <c r="G122" i="28"/>
  <c r="E122" i="28"/>
  <c r="C122" i="28"/>
  <c r="N121" i="28"/>
  <c r="M121" i="28"/>
  <c r="I121" i="28"/>
  <c r="G121" i="28"/>
  <c r="E121" i="28"/>
  <c r="C121" i="28"/>
  <c r="N120" i="28"/>
  <c r="M120" i="28"/>
  <c r="I120" i="28"/>
  <c r="G120" i="28"/>
  <c r="E120" i="28"/>
  <c r="C120" i="28"/>
  <c r="N119" i="28"/>
  <c r="M119" i="28"/>
  <c r="I119" i="28"/>
  <c r="G119" i="28"/>
  <c r="E119" i="28"/>
  <c r="C119" i="28"/>
  <c r="N118" i="28"/>
  <c r="M118" i="28"/>
  <c r="I118" i="28"/>
  <c r="G118" i="28"/>
  <c r="E118" i="28"/>
  <c r="C118" i="28"/>
  <c r="N117" i="28"/>
  <c r="M117" i="28"/>
  <c r="I117" i="28"/>
  <c r="G117" i="28"/>
  <c r="E117" i="28"/>
  <c r="C117" i="28"/>
  <c r="N116" i="28"/>
  <c r="M116" i="28"/>
  <c r="I116" i="28"/>
  <c r="G116" i="28"/>
  <c r="E116" i="28"/>
  <c r="C116" i="28"/>
  <c r="N115" i="28"/>
  <c r="M115" i="28"/>
  <c r="I115" i="28"/>
  <c r="G115" i="28"/>
  <c r="E115" i="28"/>
  <c r="C115" i="28"/>
  <c r="N114" i="28"/>
  <c r="M114" i="28"/>
  <c r="I114" i="28"/>
  <c r="G114" i="28"/>
  <c r="E114" i="28"/>
  <c r="C114" i="28"/>
  <c r="N113" i="28"/>
  <c r="M113" i="28"/>
  <c r="I113" i="28"/>
  <c r="G113" i="28"/>
  <c r="E113" i="28"/>
  <c r="C113" i="28"/>
  <c r="N112" i="28"/>
  <c r="M112" i="28"/>
  <c r="I112" i="28"/>
  <c r="G112" i="28"/>
  <c r="E112" i="28"/>
  <c r="C112" i="28"/>
  <c r="N111" i="28"/>
  <c r="M111" i="28"/>
  <c r="I111" i="28"/>
  <c r="G111" i="28"/>
  <c r="E111" i="28"/>
  <c r="C111" i="28"/>
  <c r="N110" i="28"/>
  <c r="M110" i="28"/>
  <c r="I110" i="28"/>
  <c r="G110" i="28"/>
  <c r="E110" i="28"/>
  <c r="C110" i="28"/>
  <c r="N109" i="28"/>
  <c r="M109" i="28"/>
  <c r="I109" i="28"/>
  <c r="G109" i="28"/>
  <c r="E109" i="28"/>
  <c r="C109" i="28"/>
  <c r="N108" i="28"/>
  <c r="M108" i="28"/>
  <c r="I108" i="28"/>
  <c r="G108" i="28"/>
  <c r="E108" i="28"/>
  <c r="C108" i="28"/>
  <c r="N107" i="28"/>
  <c r="M107" i="28"/>
  <c r="I107" i="28"/>
  <c r="G107" i="28"/>
  <c r="E107" i="28"/>
  <c r="C107" i="28"/>
  <c r="N106" i="28"/>
  <c r="M106" i="28"/>
  <c r="I106" i="28"/>
  <c r="G106" i="28"/>
  <c r="E106" i="28"/>
  <c r="C106" i="28"/>
  <c r="N105" i="28"/>
  <c r="M105" i="28"/>
  <c r="I105" i="28"/>
  <c r="G105" i="28"/>
  <c r="E105" i="28"/>
  <c r="C105" i="28"/>
  <c r="N104" i="28"/>
  <c r="M104" i="28"/>
  <c r="I104" i="28"/>
  <c r="G104" i="28"/>
  <c r="E104" i="28"/>
  <c r="C104" i="28"/>
  <c r="N103" i="28"/>
  <c r="M103" i="28"/>
  <c r="I103" i="28"/>
  <c r="G103" i="28"/>
  <c r="E103" i="28"/>
  <c r="C103" i="28"/>
  <c r="N102" i="28"/>
  <c r="M102" i="28"/>
  <c r="I102" i="28"/>
  <c r="G102" i="28"/>
  <c r="E102" i="28"/>
  <c r="C102" i="28"/>
  <c r="N101" i="28"/>
  <c r="M101" i="28"/>
  <c r="I101" i="28"/>
  <c r="G101" i="28"/>
  <c r="E101" i="28"/>
  <c r="C101" i="28"/>
  <c r="N100" i="28"/>
  <c r="M100" i="28"/>
  <c r="I100" i="28"/>
  <c r="G100" i="28"/>
  <c r="E100" i="28"/>
  <c r="C100" i="28"/>
  <c r="N99" i="28"/>
  <c r="M99" i="28"/>
  <c r="I99" i="28"/>
  <c r="J99" i="28" s="1"/>
  <c r="G99" i="28"/>
  <c r="E99" i="28"/>
  <c r="C99" i="28"/>
  <c r="N98" i="28"/>
  <c r="M98" i="28"/>
  <c r="I98" i="28"/>
  <c r="G98" i="28"/>
  <c r="E98" i="28"/>
  <c r="C98" i="28"/>
  <c r="N97" i="28"/>
  <c r="M97" i="28"/>
  <c r="I97" i="28"/>
  <c r="G97" i="28"/>
  <c r="E97" i="28"/>
  <c r="C97" i="28"/>
  <c r="N96" i="28"/>
  <c r="M96" i="28"/>
  <c r="I96" i="28"/>
  <c r="G96" i="28"/>
  <c r="E96" i="28"/>
  <c r="C96" i="28"/>
  <c r="N95" i="28"/>
  <c r="M95" i="28"/>
  <c r="I95" i="28"/>
  <c r="J95" i="28" s="1"/>
  <c r="G95" i="28"/>
  <c r="E95" i="28"/>
  <c r="C95" i="28"/>
  <c r="N94" i="28"/>
  <c r="M94" i="28"/>
  <c r="I94" i="28"/>
  <c r="G94" i="28"/>
  <c r="E94" i="28"/>
  <c r="C94" i="28"/>
  <c r="N93" i="28"/>
  <c r="M93" i="28"/>
  <c r="I93" i="28"/>
  <c r="G93" i="28"/>
  <c r="E93" i="28"/>
  <c r="C93" i="28"/>
  <c r="N92" i="28"/>
  <c r="M92" i="28"/>
  <c r="I92" i="28"/>
  <c r="G92" i="28"/>
  <c r="E92" i="28"/>
  <c r="C92" i="28"/>
  <c r="N91" i="28"/>
  <c r="M91" i="28"/>
  <c r="I91" i="28"/>
  <c r="J91" i="28" s="1"/>
  <c r="G91" i="28"/>
  <c r="E91" i="28"/>
  <c r="C91" i="28"/>
  <c r="N90" i="28"/>
  <c r="M90" i="28"/>
  <c r="I90" i="28"/>
  <c r="G90" i="28"/>
  <c r="E90" i="28"/>
  <c r="C90" i="28"/>
  <c r="N89" i="28"/>
  <c r="M89" i="28"/>
  <c r="I89" i="28"/>
  <c r="G89" i="28"/>
  <c r="E89" i="28"/>
  <c r="C89" i="28"/>
  <c r="N88" i="28"/>
  <c r="M88" i="28"/>
  <c r="I88" i="28"/>
  <c r="G88" i="28"/>
  <c r="E88" i="28"/>
  <c r="C88" i="28"/>
  <c r="N87" i="28"/>
  <c r="M87" i="28"/>
  <c r="I87" i="28"/>
  <c r="G87" i="28"/>
  <c r="E87" i="28"/>
  <c r="C87" i="28"/>
  <c r="N86" i="28"/>
  <c r="M86" i="28"/>
  <c r="I86" i="28"/>
  <c r="G86" i="28"/>
  <c r="E86" i="28"/>
  <c r="C86" i="28"/>
  <c r="N85" i="28"/>
  <c r="M85" i="28"/>
  <c r="I85" i="28"/>
  <c r="J85" i="28" s="1"/>
  <c r="G85" i="28"/>
  <c r="E85" i="28"/>
  <c r="C85" i="28"/>
  <c r="N84" i="28"/>
  <c r="M84" i="28"/>
  <c r="I84" i="28"/>
  <c r="G84" i="28"/>
  <c r="E84" i="28"/>
  <c r="C84" i="28"/>
  <c r="N83" i="28"/>
  <c r="M83" i="28"/>
  <c r="I83" i="28"/>
  <c r="J83" i="28" s="1"/>
  <c r="G83" i="28"/>
  <c r="E83" i="28"/>
  <c r="C83" i="28"/>
  <c r="N82" i="28"/>
  <c r="M82" i="28"/>
  <c r="I82" i="28"/>
  <c r="G82" i="28"/>
  <c r="E82" i="28"/>
  <c r="C82" i="28"/>
  <c r="N81" i="28"/>
  <c r="M81" i="28"/>
  <c r="I81" i="28"/>
  <c r="G81" i="28"/>
  <c r="E81" i="28"/>
  <c r="C81" i="28"/>
  <c r="N80" i="28"/>
  <c r="M80" i="28"/>
  <c r="I80" i="28"/>
  <c r="G80" i="28"/>
  <c r="E80" i="28"/>
  <c r="C80" i="28"/>
  <c r="N79" i="28"/>
  <c r="M79" i="28"/>
  <c r="I79" i="28"/>
  <c r="G79" i="28"/>
  <c r="E79" i="28"/>
  <c r="C79" i="28"/>
  <c r="N78" i="28"/>
  <c r="M78" i="28"/>
  <c r="I78" i="28"/>
  <c r="G78" i="28"/>
  <c r="E78" i="28"/>
  <c r="C78" i="28"/>
  <c r="N77" i="28"/>
  <c r="M77" i="28"/>
  <c r="I77" i="28"/>
  <c r="J77" i="28" s="1"/>
  <c r="G77" i="28"/>
  <c r="E77" i="28"/>
  <c r="C77" i="28"/>
  <c r="N76" i="28"/>
  <c r="M76" i="28"/>
  <c r="I76" i="28"/>
  <c r="G76" i="28"/>
  <c r="E76" i="28"/>
  <c r="C76" i="28"/>
  <c r="N75" i="28"/>
  <c r="M75" i="28"/>
  <c r="I75" i="28"/>
  <c r="G75" i="28"/>
  <c r="E75" i="28"/>
  <c r="C75" i="28"/>
  <c r="N74" i="28"/>
  <c r="M74" i="28"/>
  <c r="I74" i="28"/>
  <c r="G74" i="28"/>
  <c r="E74" i="28"/>
  <c r="C74" i="28"/>
  <c r="N73" i="28"/>
  <c r="M73" i="28"/>
  <c r="I73" i="28"/>
  <c r="G73" i="28"/>
  <c r="E73" i="28"/>
  <c r="C73" i="28"/>
  <c r="N72" i="28"/>
  <c r="M72" i="28"/>
  <c r="I72" i="28"/>
  <c r="G72" i="28"/>
  <c r="E72" i="28"/>
  <c r="C72" i="28"/>
  <c r="N71" i="28"/>
  <c r="M71" i="28"/>
  <c r="I71" i="28"/>
  <c r="G71" i="28"/>
  <c r="E71" i="28"/>
  <c r="C71" i="28"/>
  <c r="N70" i="28"/>
  <c r="M70" i="28"/>
  <c r="I70" i="28"/>
  <c r="G70" i="28"/>
  <c r="E70" i="28"/>
  <c r="C70" i="28"/>
  <c r="N69" i="28"/>
  <c r="M69" i="28"/>
  <c r="I69" i="28"/>
  <c r="J69" i="28" s="1"/>
  <c r="G69" i="28"/>
  <c r="E69" i="28"/>
  <c r="C69" i="28"/>
  <c r="N68" i="28"/>
  <c r="M68" i="28"/>
  <c r="I68" i="28"/>
  <c r="G68" i="28"/>
  <c r="E68" i="28"/>
  <c r="C68" i="28"/>
  <c r="N67" i="28"/>
  <c r="M67" i="28"/>
  <c r="I67" i="28"/>
  <c r="G67" i="28"/>
  <c r="E67" i="28"/>
  <c r="C67" i="28"/>
  <c r="N66" i="28"/>
  <c r="M66" i="28"/>
  <c r="I66" i="28"/>
  <c r="G66" i="28"/>
  <c r="E66" i="28"/>
  <c r="C66" i="28"/>
  <c r="N65" i="28"/>
  <c r="M65" i="28"/>
  <c r="I65" i="28"/>
  <c r="G65" i="28"/>
  <c r="E65" i="28"/>
  <c r="C65" i="28"/>
  <c r="N64" i="28"/>
  <c r="M64" i="28"/>
  <c r="I64" i="28"/>
  <c r="G64" i="28"/>
  <c r="E64" i="28"/>
  <c r="C64" i="28"/>
  <c r="N63" i="28"/>
  <c r="M63" i="28"/>
  <c r="I63" i="28"/>
  <c r="G63" i="28"/>
  <c r="E63" i="28"/>
  <c r="C63" i="28"/>
  <c r="N62" i="28"/>
  <c r="M62" i="28"/>
  <c r="I62" i="28"/>
  <c r="G62" i="28"/>
  <c r="E62" i="28"/>
  <c r="C62" i="28"/>
  <c r="N61" i="28"/>
  <c r="M61" i="28"/>
  <c r="I61" i="28"/>
  <c r="G61" i="28"/>
  <c r="E61" i="28"/>
  <c r="C61" i="28"/>
  <c r="N60" i="28"/>
  <c r="M60" i="28"/>
  <c r="I60" i="28"/>
  <c r="G60" i="28"/>
  <c r="E60" i="28"/>
  <c r="C60" i="28"/>
  <c r="N59" i="28"/>
  <c r="M59" i="28"/>
  <c r="I59" i="28"/>
  <c r="J59" i="28" s="1"/>
  <c r="G59" i="28"/>
  <c r="E59" i="28"/>
  <c r="C59" i="28"/>
  <c r="N58" i="28"/>
  <c r="M58" i="28"/>
  <c r="I58" i="28"/>
  <c r="G58" i="28"/>
  <c r="E58" i="28"/>
  <c r="C58" i="28"/>
  <c r="N57" i="28"/>
  <c r="M57" i="28"/>
  <c r="I57" i="28"/>
  <c r="J57" i="28" s="1"/>
  <c r="G57" i="28"/>
  <c r="E57" i="28"/>
  <c r="C57" i="28"/>
  <c r="N56" i="28"/>
  <c r="M56" i="28"/>
  <c r="I56" i="28"/>
  <c r="G56" i="28"/>
  <c r="E56" i="28"/>
  <c r="C56" i="28"/>
  <c r="N55" i="28"/>
  <c r="M55" i="28"/>
  <c r="I55" i="28"/>
  <c r="G55" i="28"/>
  <c r="E55" i="28"/>
  <c r="C55" i="28"/>
  <c r="N54" i="28"/>
  <c r="M54" i="28"/>
  <c r="I54" i="28"/>
  <c r="G54" i="28"/>
  <c r="E54" i="28"/>
  <c r="C54" i="28"/>
  <c r="N53" i="28"/>
  <c r="M53" i="28"/>
  <c r="I53" i="28"/>
  <c r="G53" i="28"/>
  <c r="E53" i="28"/>
  <c r="C53" i="28"/>
  <c r="N52" i="28"/>
  <c r="M52" i="28"/>
  <c r="I52" i="28"/>
  <c r="G52" i="28"/>
  <c r="E52" i="28"/>
  <c r="C52" i="28"/>
  <c r="N51" i="28"/>
  <c r="M51" i="28"/>
  <c r="I51" i="28"/>
  <c r="G51" i="28"/>
  <c r="E51" i="28"/>
  <c r="C51" i="28"/>
  <c r="N50" i="28"/>
  <c r="M50" i="28"/>
  <c r="I50" i="28"/>
  <c r="G50" i="28"/>
  <c r="E50" i="28"/>
  <c r="C50" i="28"/>
  <c r="N49" i="28"/>
  <c r="M49" i="28"/>
  <c r="I49" i="28"/>
  <c r="G49" i="28"/>
  <c r="E49" i="28"/>
  <c r="C49" i="28"/>
  <c r="N48" i="28"/>
  <c r="M48" i="28"/>
  <c r="I48" i="28"/>
  <c r="G48" i="28"/>
  <c r="E48" i="28"/>
  <c r="C48" i="28"/>
  <c r="N47" i="28"/>
  <c r="M47" i="28"/>
  <c r="I47" i="28"/>
  <c r="G47" i="28"/>
  <c r="E47" i="28"/>
  <c r="C47" i="28"/>
  <c r="N46" i="28"/>
  <c r="M46" i="28"/>
  <c r="I46" i="28"/>
  <c r="G46" i="28"/>
  <c r="E46" i="28"/>
  <c r="C46" i="28"/>
  <c r="N45" i="28"/>
  <c r="M45" i="28"/>
  <c r="I45" i="28"/>
  <c r="G45" i="28"/>
  <c r="E45" i="28"/>
  <c r="C45" i="28"/>
  <c r="N44" i="28"/>
  <c r="M44" i="28"/>
  <c r="I44" i="28"/>
  <c r="G44" i="28"/>
  <c r="E44" i="28"/>
  <c r="C44" i="28"/>
  <c r="N43" i="28"/>
  <c r="M43" i="28"/>
  <c r="I43" i="28"/>
  <c r="G43" i="28"/>
  <c r="E43" i="28"/>
  <c r="C43" i="28"/>
  <c r="N42" i="28"/>
  <c r="M42" i="28"/>
  <c r="I42" i="28"/>
  <c r="G42" i="28"/>
  <c r="E42" i="28"/>
  <c r="C42" i="28"/>
  <c r="N41" i="28"/>
  <c r="M41" i="28"/>
  <c r="I41" i="28"/>
  <c r="J41" i="28" s="1"/>
  <c r="G41" i="28"/>
  <c r="E41" i="28"/>
  <c r="C41" i="28"/>
  <c r="N40" i="28"/>
  <c r="M40" i="28"/>
  <c r="I40" i="28"/>
  <c r="G40" i="28"/>
  <c r="E40" i="28"/>
  <c r="C40" i="28"/>
  <c r="N39" i="28"/>
  <c r="M39" i="28"/>
  <c r="I39" i="28"/>
  <c r="G39" i="28"/>
  <c r="E39" i="28"/>
  <c r="C39" i="28"/>
  <c r="N38" i="28"/>
  <c r="M38" i="28"/>
  <c r="I38" i="28"/>
  <c r="G38" i="28"/>
  <c r="E38" i="28"/>
  <c r="C38" i="28"/>
  <c r="N37" i="28"/>
  <c r="M37" i="28"/>
  <c r="I37" i="28"/>
  <c r="G37" i="28"/>
  <c r="E37" i="28"/>
  <c r="C37" i="28"/>
  <c r="N36" i="28"/>
  <c r="M36" i="28"/>
  <c r="I36" i="28"/>
  <c r="G36" i="28"/>
  <c r="E36" i="28"/>
  <c r="C36" i="28"/>
  <c r="N35" i="28"/>
  <c r="M35" i="28"/>
  <c r="I35" i="28"/>
  <c r="G35" i="28"/>
  <c r="E35" i="28"/>
  <c r="C35" i="28"/>
  <c r="N34" i="28"/>
  <c r="M34" i="28"/>
  <c r="I34" i="28"/>
  <c r="G34" i="28"/>
  <c r="E34" i="28"/>
  <c r="C34" i="28"/>
  <c r="N33" i="28"/>
  <c r="M33" i="28"/>
  <c r="I33" i="28"/>
  <c r="G33" i="28"/>
  <c r="E33" i="28"/>
  <c r="C33" i="28"/>
  <c r="N32" i="28"/>
  <c r="M32" i="28"/>
  <c r="I32" i="28"/>
  <c r="G32" i="28"/>
  <c r="E32" i="28"/>
  <c r="C32" i="28"/>
  <c r="N31" i="28"/>
  <c r="M31" i="28"/>
  <c r="I31" i="28"/>
  <c r="G31" i="28"/>
  <c r="E31" i="28"/>
  <c r="C31" i="28"/>
  <c r="N30" i="28"/>
  <c r="M30" i="28"/>
  <c r="I30" i="28"/>
  <c r="G30" i="28"/>
  <c r="E30" i="28"/>
  <c r="C30" i="28"/>
  <c r="N29" i="28"/>
  <c r="M29" i="28"/>
  <c r="I29" i="28"/>
  <c r="G29" i="28"/>
  <c r="E29" i="28"/>
  <c r="C29" i="28"/>
  <c r="N28" i="28"/>
  <c r="M28" i="28"/>
  <c r="I28" i="28"/>
  <c r="G28" i="28"/>
  <c r="E28" i="28"/>
  <c r="C28" i="28"/>
  <c r="N27" i="28"/>
  <c r="M27" i="28"/>
  <c r="I27" i="28"/>
  <c r="G27" i="28"/>
  <c r="E27" i="28"/>
  <c r="C27" i="28"/>
  <c r="N26" i="28"/>
  <c r="M26" i="28"/>
  <c r="I26" i="28"/>
  <c r="G26" i="28"/>
  <c r="E26" i="28"/>
  <c r="C26" i="28"/>
  <c r="N25" i="28"/>
  <c r="M25" i="28"/>
  <c r="I25" i="28"/>
  <c r="J25" i="28" s="1"/>
  <c r="G25" i="28"/>
  <c r="E25" i="28"/>
  <c r="C25" i="28"/>
  <c r="N24" i="28"/>
  <c r="M24" i="28"/>
  <c r="I24" i="28"/>
  <c r="J24" i="28" s="1"/>
  <c r="G24" i="28"/>
  <c r="E24" i="28"/>
  <c r="C24" i="28"/>
  <c r="N23" i="28"/>
  <c r="M23" i="28"/>
  <c r="I23" i="28"/>
  <c r="G23" i="28"/>
  <c r="E23" i="28"/>
  <c r="C23" i="28"/>
  <c r="N22" i="28"/>
  <c r="M22" i="28"/>
  <c r="I22" i="28"/>
  <c r="G22" i="28"/>
  <c r="E22" i="28"/>
  <c r="C22" i="28"/>
  <c r="N21" i="28"/>
  <c r="M21" i="28"/>
  <c r="I21" i="28"/>
  <c r="G21" i="28"/>
  <c r="E21" i="28"/>
  <c r="C21" i="28"/>
  <c r="N20" i="28"/>
  <c r="M20" i="28"/>
  <c r="I20" i="28"/>
  <c r="G20" i="28"/>
  <c r="E20" i="28"/>
  <c r="C20" i="28"/>
  <c r="N19" i="28"/>
  <c r="M19" i="28"/>
  <c r="I19" i="28"/>
  <c r="G19" i="28"/>
  <c r="E19" i="28"/>
  <c r="C19" i="28"/>
  <c r="N18" i="28"/>
  <c r="M18" i="28"/>
  <c r="I18" i="28"/>
  <c r="G18" i="28"/>
  <c r="E18" i="28"/>
  <c r="C18" i="28"/>
  <c r="N17" i="28"/>
  <c r="M17" i="28"/>
  <c r="I17" i="28"/>
  <c r="J17" i="28" s="1"/>
  <c r="G17" i="28"/>
  <c r="E17" i="28"/>
  <c r="C17" i="28"/>
  <c r="N16" i="28"/>
  <c r="M16" i="28"/>
  <c r="I16" i="28"/>
  <c r="G16" i="28"/>
  <c r="E16" i="28"/>
  <c r="C16" i="28"/>
  <c r="N15" i="28"/>
  <c r="M15" i="28"/>
  <c r="I15" i="28"/>
  <c r="G15" i="28"/>
  <c r="E15" i="28"/>
  <c r="C15" i="28"/>
  <c r="N14" i="28"/>
  <c r="M14" i="28"/>
  <c r="I14" i="28"/>
  <c r="G14" i="28"/>
  <c r="E14" i="28"/>
  <c r="C14" i="28"/>
  <c r="N13" i="28"/>
  <c r="M13" i="28"/>
  <c r="I13" i="28"/>
  <c r="G13" i="28"/>
  <c r="E13" i="28"/>
  <c r="C13" i="28"/>
  <c r="N12" i="28"/>
  <c r="M12" i="28"/>
  <c r="I12" i="28"/>
  <c r="G12" i="28"/>
  <c r="E12" i="28"/>
  <c r="C12" i="28"/>
  <c r="N11" i="28"/>
  <c r="M11" i="28"/>
  <c r="I11" i="28"/>
  <c r="G11" i="28"/>
  <c r="E11" i="28"/>
  <c r="C11" i="28"/>
  <c r="N10" i="28"/>
  <c r="M10" i="28"/>
  <c r="I10" i="28"/>
  <c r="G10" i="28"/>
  <c r="E10" i="28"/>
  <c r="C10" i="28"/>
  <c r="N9" i="28"/>
  <c r="M9" i="28"/>
  <c r="I9" i="28"/>
  <c r="J5" i="28" s="1"/>
  <c r="G9" i="28"/>
  <c r="E9" i="28"/>
  <c r="C9" i="28"/>
  <c r="N8" i="28"/>
  <c r="M8" i="28"/>
  <c r="I8" i="28"/>
  <c r="J4" i="28" s="1"/>
  <c r="O4" i="28" s="1"/>
  <c r="G8" i="28"/>
  <c r="E8" i="28"/>
  <c r="C8" i="28"/>
  <c r="N7" i="28"/>
  <c r="M7" i="28"/>
  <c r="I7" i="28"/>
  <c r="J3" i="28" s="1"/>
  <c r="G7" i="28"/>
  <c r="E7" i="28"/>
  <c r="C7" i="28"/>
  <c r="N6" i="28"/>
  <c r="M6" i="28"/>
  <c r="I6" i="28"/>
  <c r="K5" i="28" s="1"/>
  <c r="G6" i="28"/>
  <c r="E6" i="28"/>
  <c r="C6" i="28"/>
  <c r="D50" i="32" l="1"/>
  <c r="E50" i="32" s="1"/>
  <c r="F50" i="32" s="1"/>
  <c r="C49" i="32"/>
  <c r="O3" i="28"/>
  <c r="D47" i="32"/>
  <c r="E47" i="32" s="1"/>
  <c r="F47" i="32" s="1"/>
  <c r="O5" i="28"/>
  <c r="K103" i="28"/>
  <c r="K107" i="28"/>
  <c r="K111" i="28"/>
  <c r="K141" i="28"/>
  <c r="K199" i="28"/>
  <c r="J199" i="28"/>
  <c r="O199" i="28" s="1"/>
  <c r="K235" i="28"/>
  <c r="K255" i="28"/>
  <c r="K263" i="28"/>
  <c r="K279" i="28"/>
  <c r="K142" i="28"/>
  <c r="K146" i="28"/>
  <c r="K154" i="28"/>
  <c r="K170" i="28"/>
  <c r="K233" i="28"/>
  <c r="K71" i="28"/>
  <c r="K176" i="28"/>
  <c r="K180" i="28"/>
  <c r="K184" i="28"/>
  <c r="K145" i="28"/>
  <c r="K322" i="28"/>
  <c r="J103" i="28"/>
  <c r="O103" i="28" s="1"/>
  <c r="K140" i="28"/>
  <c r="K193" i="28"/>
  <c r="J317" i="28"/>
  <c r="J325" i="28"/>
  <c r="K102" i="28"/>
  <c r="J111" i="28"/>
  <c r="K115" i="28"/>
  <c r="K119" i="28"/>
  <c r="K123" i="28"/>
  <c r="K127" i="28"/>
  <c r="K81" i="28"/>
  <c r="K93" i="28"/>
  <c r="K155" i="28"/>
  <c r="K191" i="28"/>
  <c r="K321" i="28"/>
  <c r="J191" i="28"/>
  <c r="K99" i="28"/>
  <c r="K118" i="28"/>
  <c r="J127" i="28"/>
  <c r="K178" i="28"/>
  <c r="K195" i="28"/>
  <c r="J233" i="28"/>
  <c r="K254" i="28"/>
  <c r="K320" i="28"/>
  <c r="K33" i="28"/>
  <c r="K61" i="28"/>
  <c r="K65" i="28"/>
  <c r="K122" i="28"/>
  <c r="K126" i="28"/>
  <c r="K131" i="28"/>
  <c r="K165" i="28"/>
  <c r="K208" i="28"/>
  <c r="K8" i="28"/>
  <c r="K16" i="28"/>
  <c r="K113" i="28"/>
  <c r="K117" i="28"/>
  <c r="K152" i="28"/>
  <c r="O152" i="28" s="1"/>
  <c r="K156" i="28"/>
  <c r="J164" i="28"/>
  <c r="K185" i="28"/>
  <c r="J189" i="28"/>
  <c r="K198" i="28"/>
  <c r="K203" i="28"/>
  <c r="K138" i="28"/>
  <c r="K147" i="28"/>
  <c r="K151" i="28"/>
  <c r="K164" i="28"/>
  <c r="K168" i="28"/>
  <c r="K172" i="28"/>
  <c r="K207" i="28"/>
  <c r="K211" i="28"/>
  <c r="K215" i="28"/>
  <c r="K236" i="28"/>
  <c r="K240" i="28"/>
  <c r="J107" i="28"/>
  <c r="J188" i="28"/>
  <c r="K80" i="28"/>
  <c r="K101" i="28"/>
  <c r="K106" i="28"/>
  <c r="J231" i="28"/>
  <c r="J150" i="28"/>
  <c r="J159" i="28"/>
  <c r="J207" i="28"/>
  <c r="K217" i="28"/>
  <c r="J221" i="28"/>
  <c r="J320" i="28"/>
  <c r="K19" i="28"/>
  <c r="J19" i="28"/>
  <c r="K87" i="28"/>
  <c r="K105" i="28"/>
  <c r="K110" i="28"/>
  <c r="K125" i="28"/>
  <c r="K158" i="28"/>
  <c r="J168" i="28"/>
  <c r="K192" i="28"/>
  <c r="O192" i="28" s="1"/>
  <c r="J193" i="28"/>
  <c r="K206" i="28"/>
  <c r="J215" i="28"/>
  <c r="O215" i="28" s="1"/>
  <c r="J235" i="28"/>
  <c r="K273" i="28"/>
  <c r="K277" i="28"/>
  <c r="K281" i="28"/>
  <c r="K11" i="28"/>
  <c r="K6" i="28"/>
  <c r="K14" i="28"/>
  <c r="K31" i="28"/>
  <c r="K35" i="28"/>
  <c r="K39" i="28"/>
  <c r="K43" i="28"/>
  <c r="K47" i="28"/>
  <c r="J115" i="28"/>
  <c r="O115" i="28" s="1"/>
  <c r="J138" i="28"/>
  <c r="O138" i="28" s="1"/>
  <c r="K144" i="28"/>
  <c r="K148" i="28"/>
  <c r="K162" i="28"/>
  <c r="O162" i="28" s="1"/>
  <c r="K166" i="28"/>
  <c r="J178" i="28"/>
  <c r="K229" i="28"/>
  <c r="K234" i="28"/>
  <c r="K239" i="28"/>
  <c r="K244" i="28"/>
  <c r="K248" i="28"/>
  <c r="K252" i="28"/>
  <c r="K316" i="28"/>
  <c r="K121" i="28"/>
  <c r="K18" i="28"/>
  <c r="J22" i="28"/>
  <c r="K63" i="28"/>
  <c r="J76" i="28"/>
  <c r="J81" i="28"/>
  <c r="K109" i="28"/>
  <c r="K114" i="28"/>
  <c r="J119" i="28"/>
  <c r="K129" i="28"/>
  <c r="K136" i="28"/>
  <c r="K161" i="28"/>
  <c r="J172" i="28"/>
  <c r="K177" i="28"/>
  <c r="J205" i="28"/>
  <c r="K219" i="28"/>
  <c r="J316" i="28"/>
  <c r="J322" i="28"/>
  <c r="K13" i="28"/>
  <c r="K26" i="28"/>
  <c r="J142" i="28"/>
  <c r="O142" i="28" s="1"/>
  <c r="J166" i="28"/>
  <c r="J176" i="28"/>
  <c r="J209" i="28"/>
  <c r="J211" i="28"/>
  <c r="J21" i="28"/>
  <c r="J71" i="28"/>
  <c r="J123" i="28"/>
  <c r="J136" i="28"/>
  <c r="J156" i="28"/>
  <c r="O156" i="28" s="1"/>
  <c r="K73" i="28"/>
  <c r="J160" i="28"/>
  <c r="K15" i="28"/>
  <c r="K22" i="28"/>
  <c r="K28" i="28"/>
  <c r="J45" i="28"/>
  <c r="K67" i="28"/>
  <c r="J73" i="28"/>
  <c r="J101" i="28"/>
  <c r="J109" i="28"/>
  <c r="J117" i="28"/>
  <c r="J125" i="28"/>
  <c r="K149" i="28"/>
  <c r="K150" i="28"/>
  <c r="J158" i="28"/>
  <c r="K160" i="28"/>
  <c r="K181" i="28"/>
  <c r="K196" i="28"/>
  <c r="J197" i="28"/>
  <c r="K204" i="28"/>
  <c r="K205" i="28"/>
  <c r="J213" i="28"/>
  <c r="K243" i="28"/>
  <c r="J248" i="28"/>
  <c r="K257" i="28"/>
  <c r="J63" i="28"/>
  <c r="J182" i="28"/>
  <c r="K10" i="28"/>
  <c r="K9" i="28"/>
  <c r="J15" i="28"/>
  <c r="K20" i="28"/>
  <c r="J28" i="28"/>
  <c r="J49" i="28"/>
  <c r="J53" i="28"/>
  <c r="J67" i="28"/>
  <c r="K89" i="28"/>
  <c r="K95" i="28"/>
  <c r="O95" i="28" s="1"/>
  <c r="K100" i="28"/>
  <c r="K108" i="28"/>
  <c r="K116" i="28"/>
  <c r="K124" i="28"/>
  <c r="J131" i="28"/>
  <c r="K143" i="28"/>
  <c r="O143" i="28" s="1"/>
  <c r="J144" i="28"/>
  <c r="J145" i="28"/>
  <c r="J146" i="28"/>
  <c r="J147" i="28"/>
  <c r="J148" i="28"/>
  <c r="K157" i="28"/>
  <c r="K173" i="28"/>
  <c r="J180" i="28"/>
  <c r="K194" i="28"/>
  <c r="J195" i="28"/>
  <c r="J196" i="28"/>
  <c r="K197" i="28"/>
  <c r="J203" i="28"/>
  <c r="J219" i="28"/>
  <c r="J243" i="28"/>
  <c r="K247" i="28"/>
  <c r="K265" i="28"/>
  <c r="J23" i="28"/>
  <c r="J151" i="28"/>
  <c r="K159" i="28"/>
  <c r="O164" i="28"/>
  <c r="K187" i="28"/>
  <c r="O187" i="28" s="1"/>
  <c r="K249" i="28"/>
  <c r="O249" i="28" s="1"/>
  <c r="J9" i="28"/>
  <c r="J27" i="28"/>
  <c r="K82" i="28"/>
  <c r="J89" i="28"/>
  <c r="K130" i="28"/>
  <c r="K135" i="28"/>
  <c r="J194" i="28"/>
  <c r="J324" i="28"/>
  <c r="K241" i="28"/>
  <c r="O241" i="28" s="1"/>
  <c r="J281" i="28"/>
  <c r="O281" i="28" s="1"/>
  <c r="K317" i="28"/>
  <c r="O317" i="28" s="1"/>
  <c r="J326" i="28"/>
  <c r="J11" i="28"/>
  <c r="K41" i="28"/>
  <c r="O41" i="28" s="1"/>
  <c r="K7" i="28"/>
  <c r="J13" i="28"/>
  <c r="J65" i="28"/>
  <c r="K75" i="28"/>
  <c r="K76" i="28"/>
  <c r="J105" i="28"/>
  <c r="J113" i="28"/>
  <c r="J121" i="28"/>
  <c r="J140" i="28"/>
  <c r="O140" i="28" s="1"/>
  <c r="J154" i="28"/>
  <c r="J170" i="28"/>
  <c r="J184" i="28"/>
  <c r="J240" i="28"/>
  <c r="K21" i="28"/>
  <c r="J7" i="28"/>
  <c r="K12" i="28"/>
  <c r="K17" i="28"/>
  <c r="O17" i="28" s="1"/>
  <c r="K24" i="28"/>
  <c r="O24" i="28" s="1"/>
  <c r="K51" i="28"/>
  <c r="K55" i="28"/>
  <c r="K69" i="28"/>
  <c r="O69" i="28" s="1"/>
  <c r="J75" i="28"/>
  <c r="K104" i="28"/>
  <c r="K112" i="28"/>
  <c r="K120" i="28"/>
  <c r="K128" i="28"/>
  <c r="K169" i="28"/>
  <c r="K182" i="28"/>
  <c r="J208" i="28"/>
  <c r="K133" i="28"/>
  <c r="J129" i="28"/>
  <c r="J133" i="28"/>
  <c r="K25" i="28"/>
  <c r="O25" i="28" s="1"/>
  <c r="K29" i="28"/>
  <c r="J35" i="28"/>
  <c r="K36" i="28"/>
  <c r="J36" i="28"/>
  <c r="J43" i="28"/>
  <c r="K44" i="28"/>
  <c r="J44" i="28"/>
  <c r="J51" i="28"/>
  <c r="K52" i="28"/>
  <c r="J52" i="28"/>
  <c r="K62" i="28"/>
  <c r="J62" i="28"/>
  <c r="K79" i="28"/>
  <c r="J79" i="28"/>
  <c r="J29" i="28"/>
  <c r="K37" i="28"/>
  <c r="K45" i="28"/>
  <c r="K53" i="28"/>
  <c r="J61" i="28"/>
  <c r="O61" i="28" s="1"/>
  <c r="K64" i="28"/>
  <c r="J64" i="28"/>
  <c r="K66" i="28"/>
  <c r="J66" i="28"/>
  <c r="K68" i="28"/>
  <c r="J68" i="28"/>
  <c r="K70" i="28"/>
  <c r="J70" i="28"/>
  <c r="K72" i="28"/>
  <c r="J72" i="28"/>
  <c r="K74" i="28"/>
  <c r="J74" i="28"/>
  <c r="K60" i="28"/>
  <c r="J60" i="28"/>
  <c r="K30" i="28"/>
  <c r="J30" i="28"/>
  <c r="J37" i="28"/>
  <c r="K38" i="28"/>
  <c r="J38" i="28"/>
  <c r="K46" i="28"/>
  <c r="J46" i="28"/>
  <c r="K54" i="28"/>
  <c r="J54" i="28"/>
  <c r="J78" i="28"/>
  <c r="K77" i="28"/>
  <c r="O77" i="28" s="1"/>
  <c r="K78" i="28"/>
  <c r="K86" i="28"/>
  <c r="J86" i="28"/>
  <c r="K59" i="28"/>
  <c r="O59" i="28" s="1"/>
  <c r="J6" i="28"/>
  <c r="J10" i="28"/>
  <c r="J14" i="28"/>
  <c r="J18" i="28"/>
  <c r="K84" i="28"/>
  <c r="J84" i="28"/>
  <c r="K97" i="28"/>
  <c r="J97" i="28"/>
  <c r="J8" i="28"/>
  <c r="J12" i="28"/>
  <c r="J16" i="28"/>
  <c r="O16" i="28" s="1"/>
  <c r="J20" i="28"/>
  <c r="J26" i="28"/>
  <c r="K23" i="28"/>
  <c r="K27" i="28"/>
  <c r="J31" i="28"/>
  <c r="K32" i="28"/>
  <c r="J32" i="28"/>
  <c r="J39" i="28"/>
  <c r="K40" i="28"/>
  <c r="J40" i="28"/>
  <c r="J47" i="28"/>
  <c r="O47" i="28" s="1"/>
  <c r="K48" i="28"/>
  <c r="J48" i="28"/>
  <c r="J55" i="28"/>
  <c r="K56" i="28"/>
  <c r="J56" i="28"/>
  <c r="K83" i="28"/>
  <c r="O83" i="28" s="1"/>
  <c r="K85" i="28"/>
  <c r="O85" i="28" s="1"/>
  <c r="K49" i="28"/>
  <c r="K57" i="28"/>
  <c r="O57" i="28" s="1"/>
  <c r="J93" i="28"/>
  <c r="K96" i="28"/>
  <c r="J96" i="28"/>
  <c r="J33" i="28"/>
  <c r="K34" i="28"/>
  <c r="J34" i="28"/>
  <c r="K42" i="28"/>
  <c r="J42" i="28"/>
  <c r="O43" i="28"/>
  <c r="K50" i="28"/>
  <c r="J50" i="28"/>
  <c r="K58" i="28"/>
  <c r="J58" i="28"/>
  <c r="J87" i="28"/>
  <c r="K91" i="28"/>
  <c r="O91" i="28" s="1"/>
  <c r="K90" i="28"/>
  <c r="J90" i="28"/>
  <c r="K134" i="28"/>
  <c r="J134" i="28"/>
  <c r="K163" i="28"/>
  <c r="J163" i="28"/>
  <c r="K179" i="28"/>
  <c r="J179" i="28"/>
  <c r="K175" i="28"/>
  <c r="J175" i="28"/>
  <c r="J82" i="28"/>
  <c r="K92" i="28"/>
  <c r="J92" i="28"/>
  <c r="K132" i="28"/>
  <c r="K98" i="28"/>
  <c r="J98" i="28"/>
  <c r="O99" i="28"/>
  <c r="K171" i="28"/>
  <c r="J171" i="28"/>
  <c r="K174" i="28"/>
  <c r="O174" i="28" s="1"/>
  <c r="J80" i="28"/>
  <c r="K88" i="28"/>
  <c r="J88" i="28"/>
  <c r="K153" i="28"/>
  <c r="J149" i="28"/>
  <c r="J153" i="28"/>
  <c r="K94" i="28"/>
  <c r="J94" i="28"/>
  <c r="K137" i="28"/>
  <c r="J137" i="28"/>
  <c r="K139" i="28"/>
  <c r="J139" i="28"/>
  <c r="J135" i="28"/>
  <c r="K167" i="28"/>
  <c r="J167" i="28"/>
  <c r="K183" i="28"/>
  <c r="J183" i="28"/>
  <c r="K200" i="28"/>
  <c r="J200" i="28"/>
  <c r="K202" i="28"/>
  <c r="J198" i="28"/>
  <c r="O198" i="28" s="1"/>
  <c r="K210" i="28"/>
  <c r="J210" i="28"/>
  <c r="K209" i="28"/>
  <c r="J100" i="28"/>
  <c r="J102" i="28"/>
  <c r="J104" i="28"/>
  <c r="J106" i="28"/>
  <c r="O106" i="28" s="1"/>
  <c r="J108" i="28"/>
  <c r="J110" i="28"/>
  <c r="J112" i="28"/>
  <c r="J114" i="28"/>
  <c r="J116" i="28"/>
  <c r="J118" i="28"/>
  <c r="O118" i="28" s="1"/>
  <c r="J120" i="28"/>
  <c r="J122" i="28"/>
  <c r="J124" i="28"/>
  <c r="J126" i="28"/>
  <c r="J128" i="28"/>
  <c r="O128" i="28" s="1"/>
  <c r="J130" i="28"/>
  <c r="J132" i="28"/>
  <c r="J141" i="28"/>
  <c r="J157" i="28"/>
  <c r="K201" i="28"/>
  <c r="O201" i="28" s="1"/>
  <c r="J202" i="28"/>
  <c r="J206" i="28"/>
  <c r="K226" i="28"/>
  <c r="J226" i="28"/>
  <c r="K225" i="28"/>
  <c r="O225" i="28" s="1"/>
  <c r="K190" i="28"/>
  <c r="J186" i="28"/>
  <c r="J161" i="28"/>
  <c r="J165" i="28"/>
  <c r="J169" i="28"/>
  <c r="J173" i="28"/>
  <c r="J177" i="28"/>
  <c r="J181" i="28"/>
  <c r="O181" i="28" s="1"/>
  <c r="J185" i="28"/>
  <c r="K189" i="28"/>
  <c r="J190" i="28"/>
  <c r="J155" i="28"/>
  <c r="K188" i="28"/>
  <c r="K216" i="28"/>
  <c r="J216" i="28"/>
  <c r="K250" i="28"/>
  <c r="K276" i="28"/>
  <c r="J276" i="28"/>
  <c r="O217" i="28"/>
  <c r="K222" i="28"/>
  <c r="J222" i="28"/>
  <c r="K228" i="28"/>
  <c r="J228" i="28"/>
  <c r="O229" i="28"/>
  <c r="K246" i="28"/>
  <c r="J246" i="28"/>
  <c r="J242" i="28"/>
  <c r="K284" i="28"/>
  <c r="J284" i="28"/>
  <c r="K186" i="28"/>
  <c r="J204" i="28"/>
  <c r="K212" i="28"/>
  <c r="J212" i="28"/>
  <c r="K221" i="28"/>
  <c r="K227" i="28"/>
  <c r="O227" i="28" s="1"/>
  <c r="K259" i="28"/>
  <c r="J259" i="28"/>
  <c r="K275" i="28"/>
  <c r="J271" i="28"/>
  <c r="J275" i="28"/>
  <c r="K292" i="28"/>
  <c r="J292" i="28"/>
  <c r="K218" i="28"/>
  <c r="J218" i="28"/>
  <c r="K230" i="28"/>
  <c r="J230" i="28"/>
  <c r="K300" i="28"/>
  <c r="J300" i="28"/>
  <c r="K224" i="28"/>
  <c r="J224" i="28"/>
  <c r="K308" i="28"/>
  <c r="J308" i="28"/>
  <c r="K214" i="28"/>
  <c r="J214" i="28"/>
  <c r="K223" i="28"/>
  <c r="O223" i="28" s="1"/>
  <c r="K232" i="28"/>
  <c r="J232" i="28"/>
  <c r="K213" i="28"/>
  <c r="K220" i="28"/>
  <c r="J220" i="28"/>
  <c r="K231" i="28"/>
  <c r="K238" i="28"/>
  <c r="J238" i="28"/>
  <c r="K242" i="28"/>
  <c r="K251" i="28"/>
  <c r="J251" i="28"/>
  <c r="K267" i="28"/>
  <c r="J267" i="28"/>
  <c r="K237" i="28"/>
  <c r="K245" i="28"/>
  <c r="J250" i="28"/>
  <c r="O250" i="28" s="1"/>
  <c r="K253" i="28"/>
  <c r="K286" i="28"/>
  <c r="J286" i="28"/>
  <c r="K294" i="28"/>
  <c r="J294" i="28"/>
  <c r="K302" i="28"/>
  <c r="J302" i="28"/>
  <c r="K310" i="28"/>
  <c r="J310" i="28"/>
  <c r="J237" i="28"/>
  <c r="J245" i="28"/>
  <c r="J253" i="28"/>
  <c r="J257" i="28"/>
  <c r="K258" i="28"/>
  <c r="J258" i="28"/>
  <c r="J265" i="28"/>
  <c r="K266" i="28"/>
  <c r="J266" i="28"/>
  <c r="J273" i="28"/>
  <c r="O273" i="28" s="1"/>
  <c r="K274" i="28"/>
  <c r="J274" i="28"/>
  <c r="K285" i="28"/>
  <c r="J285" i="28"/>
  <c r="K293" i="28"/>
  <c r="J293" i="28"/>
  <c r="K301" i="28"/>
  <c r="J301" i="28"/>
  <c r="K309" i="28"/>
  <c r="J309" i="28"/>
  <c r="K260" i="28"/>
  <c r="J260" i="28"/>
  <c r="K268" i="28"/>
  <c r="J268" i="28"/>
  <c r="K278" i="28"/>
  <c r="J278" i="28"/>
  <c r="K283" i="28"/>
  <c r="J283" i="28"/>
  <c r="K291" i="28"/>
  <c r="J291" i="28"/>
  <c r="K299" i="28"/>
  <c r="J299" i="28"/>
  <c r="K307" i="28"/>
  <c r="J307" i="28"/>
  <c r="K315" i="28"/>
  <c r="J315" i="28"/>
  <c r="J327" i="28"/>
  <c r="J254" i="28"/>
  <c r="K261" i="28"/>
  <c r="O261" i="28" s="1"/>
  <c r="K269" i="28"/>
  <c r="O269" i="28" s="1"/>
  <c r="J277" i="28"/>
  <c r="K280" i="28"/>
  <c r="J280" i="28"/>
  <c r="K282" i="28"/>
  <c r="J282" i="28"/>
  <c r="K290" i="28"/>
  <c r="J290" i="28"/>
  <c r="K298" i="28"/>
  <c r="J298" i="28"/>
  <c r="K306" i="28"/>
  <c r="J306" i="28"/>
  <c r="K314" i="28"/>
  <c r="J314" i="28"/>
  <c r="J323" i="28"/>
  <c r="K262" i="28"/>
  <c r="J262" i="28"/>
  <c r="K270" i="28"/>
  <c r="J270" i="28"/>
  <c r="J279" i="28"/>
  <c r="K289" i="28"/>
  <c r="J289" i="28"/>
  <c r="K297" i="28"/>
  <c r="J297" i="28"/>
  <c r="K305" i="28"/>
  <c r="J305" i="28"/>
  <c r="K313" i="28"/>
  <c r="J313" i="28"/>
  <c r="K319" i="28"/>
  <c r="J319" i="28"/>
  <c r="J234" i="28"/>
  <c r="O234" i="28" s="1"/>
  <c r="J236" i="28"/>
  <c r="J244" i="28"/>
  <c r="J252" i="28"/>
  <c r="K271" i="28"/>
  <c r="O271" i="28" s="1"/>
  <c r="K288" i="28"/>
  <c r="J288" i="28"/>
  <c r="K296" i="28"/>
  <c r="J296" i="28"/>
  <c r="K304" i="28"/>
  <c r="J304" i="28"/>
  <c r="K312" i="28"/>
  <c r="J312" i="28"/>
  <c r="J239" i="28"/>
  <c r="J247" i="28"/>
  <c r="J255" i="28"/>
  <c r="O255" i="28" s="1"/>
  <c r="K256" i="28"/>
  <c r="J256" i="28"/>
  <c r="J263" i="28"/>
  <c r="K264" i="28"/>
  <c r="J264" i="28"/>
  <c r="K272" i="28"/>
  <c r="J272" i="28"/>
  <c r="K287" i="28"/>
  <c r="J287" i="28"/>
  <c r="K295" i="28"/>
  <c r="J295" i="28"/>
  <c r="K303" i="28"/>
  <c r="J303" i="28"/>
  <c r="K311" i="28"/>
  <c r="J311" i="28"/>
  <c r="K318" i="28"/>
  <c r="J318" i="28"/>
  <c r="O129" i="28" l="1"/>
  <c r="O159" i="28"/>
  <c r="O172" i="28"/>
  <c r="O111" i="28"/>
  <c r="O21" i="28"/>
  <c r="O193" i="28"/>
  <c r="O18" i="28"/>
  <c r="P17" i="28" s="1"/>
  <c r="O145" i="28"/>
  <c r="O71" i="28"/>
  <c r="O177" i="28"/>
  <c r="D49" i="32"/>
  <c r="E49" i="32" s="1"/>
  <c r="F49" i="32" s="1"/>
  <c r="O160" i="28"/>
  <c r="O166" i="28"/>
  <c r="O125" i="28"/>
  <c r="O168" i="28"/>
  <c r="O191" i="28"/>
  <c r="P3" i="28"/>
  <c r="M4" i="1" s="1"/>
  <c r="N4" i="1" s="1"/>
  <c r="O116" i="28"/>
  <c r="O101" i="28"/>
  <c r="P99" i="28" s="1"/>
  <c r="O15" i="28"/>
  <c r="O127" i="28"/>
  <c r="O207" i="28"/>
  <c r="O319" i="28"/>
  <c r="P319" i="28" s="1"/>
  <c r="O214" i="28"/>
  <c r="O108" i="28"/>
  <c r="O113" i="28"/>
  <c r="O176" i="28"/>
  <c r="O203" i="28"/>
  <c r="O28" i="28"/>
  <c r="O81" i="28"/>
  <c r="O296" i="28"/>
  <c r="O196" i="28"/>
  <c r="O19" i="28"/>
  <c r="P19" i="28" s="1"/>
  <c r="O231" i="28"/>
  <c r="O161" i="28"/>
  <c r="O7" i="28"/>
  <c r="O263" i="28"/>
  <c r="O265" i="28"/>
  <c r="O185" i="28"/>
  <c r="O105" i="28"/>
  <c r="O13" i="28"/>
  <c r="O151" i="28"/>
  <c r="O146" i="28"/>
  <c r="O211" i="28"/>
  <c r="O119" i="28"/>
  <c r="O178" i="28"/>
  <c r="O158" i="28"/>
  <c r="P158" i="28" s="1"/>
  <c r="O93" i="28"/>
  <c r="O107" i="28"/>
  <c r="P106" i="28" s="1"/>
  <c r="O157" i="28"/>
  <c r="O208" i="28"/>
  <c r="O154" i="28"/>
  <c r="O65" i="28"/>
  <c r="O11" i="28"/>
  <c r="O277" i="28"/>
  <c r="O221" i="28"/>
  <c r="O102" i="28"/>
  <c r="P101" i="28" s="1"/>
  <c r="O76" i="28"/>
  <c r="O123" i="28"/>
  <c r="O316" i="28"/>
  <c r="O244" i="28"/>
  <c r="P244" i="28" s="1"/>
  <c r="O257" i="28"/>
  <c r="O239" i="28"/>
  <c r="O236" i="28"/>
  <c r="O279" i="28"/>
  <c r="O188" i="28"/>
  <c r="O189" i="28"/>
  <c r="O122" i="28"/>
  <c r="O114" i="28"/>
  <c r="P113" i="28" s="1"/>
  <c r="O209" i="28"/>
  <c r="O26" i="28"/>
  <c r="P24" i="28" s="1"/>
  <c r="O8" i="28"/>
  <c r="O6" i="28"/>
  <c r="P5" i="28" s="1"/>
  <c r="M10" i="1" s="1"/>
  <c r="N10" i="1" s="1"/>
  <c r="O64" i="28"/>
  <c r="O45" i="28"/>
  <c r="O79" i="28"/>
  <c r="O9" i="28"/>
  <c r="P7" i="28" s="1"/>
  <c r="O180" i="28"/>
  <c r="O67" i="28"/>
  <c r="O197" i="28"/>
  <c r="O233" i="28"/>
  <c r="P231" i="28" s="1"/>
  <c r="O155" i="28"/>
  <c r="O141" i="28"/>
  <c r="O33" i="28"/>
  <c r="O14" i="28"/>
  <c r="P13" i="28" s="1"/>
  <c r="O184" i="28"/>
  <c r="O124" i="28"/>
  <c r="O80" i="28"/>
  <c r="O49" i="28"/>
  <c r="O23" i="28"/>
  <c r="O12" i="28"/>
  <c r="O170" i="28"/>
  <c r="O121" i="28"/>
  <c r="P121" i="28" s="1"/>
  <c r="O144" i="28"/>
  <c r="P142" i="28" s="1"/>
  <c r="O235" i="28"/>
  <c r="O109" i="28"/>
  <c r="O297" i="28"/>
  <c r="O290" i="28"/>
  <c r="O300" i="28"/>
  <c r="O20" i="28"/>
  <c r="O274" i="28"/>
  <c r="O39" i="28"/>
  <c r="O219" i="28"/>
  <c r="P219" i="28" s="1"/>
  <c r="O22" i="28"/>
  <c r="O117" i="28"/>
  <c r="P117" i="28" s="1"/>
  <c r="O275" i="28"/>
  <c r="O37" i="28"/>
  <c r="O194" i="28"/>
  <c r="O89" i="28"/>
  <c r="O10" i="28"/>
  <c r="O195" i="28"/>
  <c r="O78" i="28"/>
  <c r="O70" i="28"/>
  <c r="P69" i="28" s="1"/>
  <c r="O182" i="28"/>
  <c r="P180" i="28" s="1"/>
  <c r="O313" i="28"/>
  <c r="O32" i="28"/>
  <c r="O53" i="28"/>
  <c r="O52" i="28"/>
  <c r="O262" i="28"/>
  <c r="O299" i="28"/>
  <c r="O268" i="28"/>
  <c r="O293" i="28"/>
  <c r="O163" i="28"/>
  <c r="O86" i="28"/>
  <c r="O205" i="28"/>
  <c r="O240" i="28"/>
  <c r="O254" i="28"/>
  <c r="O75" i="28"/>
  <c r="O131" i="28"/>
  <c r="O206" i="28"/>
  <c r="O132" i="28"/>
  <c r="O31" i="28"/>
  <c r="O63" i="28"/>
  <c r="O284" i="28"/>
  <c r="O292" i="28"/>
  <c r="O165" i="28"/>
  <c r="O130" i="28"/>
  <c r="P128" i="28" s="1"/>
  <c r="O94" i="28"/>
  <c r="O98" i="28"/>
  <c r="O42" i="28"/>
  <c r="P41" i="28" s="1"/>
  <c r="O60" i="28"/>
  <c r="P59" i="28" s="1"/>
  <c r="O68" i="28"/>
  <c r="O36" i="28"/>
  <c r="O148" i="28"/>
  <c r="O248" i="28"/>
  <c r="P246" i="28" s="1"/>
  <c r="O136" i="28"/>
  <c r="O147" i="28"/>
  <c r="O267" i="28"/>
  <c r="O126" i="28"/>
  <c r="P125" i="28" s="1"/>
  <c r="O110" i="28"/>
  <c r="O210" i="28"/>
  <c r="O153" i="28"/>
  <c r="P152" i="28" s="1"/>
  <c r="O87" i="28"/>
  <c r="P85" i="28" s="1"/>
  <c r="O35" i="28"/>
  <c r="P15" i="28"/>
  <c r="O213" i="28"/>
  <c r="O304" i="28"/>
  <c r="O104" i="28"/>
  <c r="O173" i="28"/>
  <c r="O252" i="28"/>
  <c r="O204" i="28"/>
  <c r="P204" i="28" s="1"/>
  <c r="O135" i="28"/>
  <c r="O171" i="28"/>
  <c r="O38" i="28"/>
  <c r="O295" i="28"/>
  <c r="O307" i="28"/>
  <c r="O278" i="28"/>
  <c r="O226" i="28"/>
  <c r="P225" i="28" s="1"/>
  <c r="O120" i="28"/>
  <c r="P118" i="28" s="1"/>
  <c r="O243" i="28"/>
  <c r="O246" i="28"/>
  <c r="O100" i="28"/>
  <c r="O237" i="28"/>
  <c r="O150" i="28"/>
  <c r="P150" i="28" s="1"/>
  <c r="O73" i="28"/>
  <c r="O220" i="28"/>
  <c r="O169" i="28"/>
  <c r="P168" i="28" s="1"/>
  <c r="O311" i="28"/>
  <c r="O247" i="28"/>
  <c r="O288" i="28"/>
  <c r="O308" i="28"/>
  <c r="O230" i="28"/>
  <c r="O112" i="28"/>
  <c r="P111" i="28" s="1"/>
  <c r="O183" i="28"/>
  <c r="O175" i="28"/>
  <c r="P174" i="28" s="1"/>
  <c r="O133" i="28"/>
  <c r="O149" i="28"/>
  <c r="O282" i="28"/>
  <c r="O303" i="28"/>
  <c r="O306" i="28"/>
  <c r="O315" i="28"/>
  <c r="P315" i="28" s="1"/>
  <c r="O283" i="28"/>
  <c r="O309" i="28"/>
  <c r="O258" i="28"/>
  <c r="O232" i="28"/>
  <c r="O167" i="28"/>
  <c r="O96" i="28"/>
  <c r="O66" i="28"/>
  <c r="P160" i="28"/>
  <c r="P191" i="28"/>
  <c r="O242" i="28"/>
  <c r="O90" i="28"/>
  <c r="O298" i="28"/>
  <c r="O280" i="28"/>
  <c r="O302" i="28"/>
  <c r="O238" i="28"/>
  <c r="O276" i="28"/>
  <c r="O190" i="28"/>
  <c r="P189" i="28" s="1"/>
  <c r="O202" i="28"/>
  <c r="P201" i="28" s="1"/>
  <c r="O200" i="28"/>
  <c r="P199" i="28" s="1"/>
  <c r="O139" i="28"/>
  <c r="P139" i="28" s="1"/>
  <c r="O88" i="28"/>
  <c r="O50" i="28"/>
  <c r="O245" i="28"/>
  <c r="O82" i="28"/>
  <c r="P81" i="28" s="1"/>
  <c r="O55" i="28"/>
  <c r="O51" i="28"/>
  <c r="O29" i="28"/>
  <c r="O312" i="28"/>
  <c r="O289" i="28"/>
  <c r="O314" i="28"/>
  <c r="O301" i="28"/>
  <c r="O253" i="28"/>
  <c r="P253" i="28" s="1"/>
  <c r="O294" i="28"/>
  <c r="O212" i="28"/>
  <c r="P212" i="28" s="1"/>
  <c r="O186" i="28"/>
  <c r="O137" i="28"/>
  <c r="O179" i="28"/>
  <c r="P179" i="28" s="1"/>
  <c r="O48" i="28"/>
  <c r="P47" i="28" s="1"/>
  <c r="O74" i="28"/>
  <c r="O44" i="28"/>
  <c r="P43" i="28" s="1"/>
  <c r="P176" i="28"/>
  <c r="O318" i="28"/>
  <c r="O270" i="28"/>
  <c r="O266" i="28"/>
  <c r="O224" i="28"/>
  <c r="O218" i="28"/>
  <c r="O259" i="28"/>
  <c r="O216" i="28"/>
  <c r="P215" i="28" s="1"/>
  <c r="O34" i="28"/>
  <c r="O27" i="28"/>
  <c r="O97" i="28"/>
  <c r="P97" i="28" s="1"/>
  <c r="O62" i="28"/>
  <c r="O287" i="28"/>
  <c r="O256" i="28"/>
  <c r="O305" i="28"/>
  <c r="P305" i="28" s="1"/>
  <c r="O291" i="28"/>
  <c r="P290" i="28" s="1"/>
  <c r="O260" i="28"/>
  <c r="O285" i="28"/>
  <c r="O310" i="28"/>
  <c r="O286" i="28"/>
  <c r="O251" i="28"/>
  <c r="P250" i="28" s="1"/>
  <c r="O58" i="28"/>
  <c r="P58" i="28" s="1"/>
  <c r="O30" i="28"/>
  <c r="O72" i="28"/>
  <c r="P71" i="28" s="1"/>
  <c r="P93" i="28"/>
  <c r="P190" i="28"/>
  <c r="P77" i="28"/>
  <c r="P155" i="28"/>
  <c r="P207" i="28"/>
  <c r="P78" i="28"/>
  <c r="P127" i="28"/>
  <c r="P21" i="28"/>
  <c r="P196" i="28"/>
  <c r="P197" i="28"/>
  <c r="P79" i="28"/>
  <c r="P163" i="28"/>
  <c r="P159" i="28"/>
  <c r="P20" i="28"/>
  <c r="P14" i="28"/>
  <c r="P187" i="28"/>
  <c r="O272" i="28"/>
  <c r="O46" i="28"/>
  <c r="P140" i="28"/>
  <c r="P224" i="28"/>
  <c r="P161" i="28"/>
  <c r="P146" i="28"/>
  <c r="P229" i="28"/>
  <c r="O264" i="28"/>
  <c r="O228" i="28"/>
  <c r="P227" i="28" s="1"/>
  <c r="P151" i="28"/>
  <c r="O134" i="28"/>
  <c r="P213" i="28"/>
  <c r="P141" i="28"/>
  <c r="P170" i="28"/>
  <c r="O84" i="28"/>
  <c r="P83" i="28" s="1"/>
  <c r="P145" i="28"/>
  <c r="O222" i="28"/>
  <c r="P221" i="28" s="1"/>
  <c r="P162" i="28"/>
  <c r="O92" i="28"/>
  <c r="P147" i="28"/>
  <c r="O56" i="28"/>
  <c r="O40" i="28"/>
  <c r="O54" i="28"/>
  <c r="P123" i="28"/>
  <c r="P223" i="28"/>
  <c r="P153" i="28"/>
  <c r="P98" i="28"/>
  <c r="P164" i="28"/>
  <c r="P18" i="28"/>
  <c r="P31" i="28"/>
  <c r="P37" i="28"/>
  <c r="P247" i="28" l="1"/>
  <c r="P16" i="28"/>
  <c r="C51" i="32"/>
  <c r="P115" i="28"/>
  <c r="P206" i="28"/>
  <c r="P173" i="28"/>
  <c r="P277" i="28"/>
  <c r="M1193" i="1" s="1"/>
  <c r="N1193" i="1" s="1"/>
  <c r="P238" i="28"/>
  <c r="P67" i="28"/>
  <c r="P239" i="28"/>
  <c r="P218" i="28"/>
  <c r="P314" i="28"/>
  <c r="P235" i="28"/>
  <c r="P156" i="28"/>
  <c r="P172" i="28"/>
  <c r="M737" i="1" s="1"/>
  <c r="N737" i="1" s="1"/>
  <c r="P185" i="28"/>
  <c r="P35" i="28"/>
  <c r="P4" i="28"/>
  <c r="P42" i="28"/>
  <c r="P318" i="28"/>
  <c r="P233" i="28"/>
  <c r="P25" i="28"/>
  <c r="P171" i="28"/>
  <c r="M733" i="1" s="1"/>
  <c r="N733" i="1" s="1"/>
  <c r="P157" i="28"/>
  <c r="M13" i="1"/>
  <c r="N13" i="1" s="1"/>
  <c r="M11" i="1"/>
  <c r="N11" i="1" s="1"/>
  <c r="M12" i="1"/>
  <c r="N12" i="1" s="1"/>
  <c r="P131" i="28"/>
  <c r="P12" i="28"/>
  <c r="P181" i="28"/>
  <c r="P195" i="28"/>
  <c r="M836" i="1" s="1"/>
  <c r="N836" i="1" s="1"/>
  <c r="P234" i="28"/>
  <c r="P105" i="28"/>
  <c r="P208" i="28"/>
  <c r="P63" i="28"/>
  <c r="M263" i="1" s="1"/>
  <c r="N263" i="1" s="1"/>
  <c r="P205" i="28"/>
  <c r="P89" i="28"/>
  <c r="P273" i="28"/>
  <c r="P261" i="28"/>
  <c r="M1123" i="1" s="1"/>
  <c r="N1123" i="1" s="1"/>
  <c r="P267" i="28"/>
  <c r="P122" i="28"/>
  <c r="P210" i="28"/>
  <c r="P308" i="28"/>
  <c r="M1330" i="1" s="1"/>
  <c r="N1330" i="1" s="1"/>
  <c r="P129" i="28"/>
  <c r="M550" i="1" s="1"/>
  <c r="N550" i="1" s="1"/>
  <c r="P263" i="28"/>
  <c r="M1132" i="1" s="1"/>
  <c r="N1132" i="1" s="1"/>
  <c r="P116" i="28"/>
  <c r="P11" i="28"/>
  <c r="M35" i="1" s="1"/>
  <c r="N35" i="1" s="1"/>
  <c r="P80" i="28"/>
  <c r="M338" i="1" s="1"/>
  <c r="N338" i="1" s="1"/>
  <c r="P149" i="28"/>
  <c r="M639" i="1" s="1"/>
  <c r="N639" i="1" s="1"/>
  <c r="P107" i="28"/>
  <c r="P100" i="28"/>
  <c r="M423" i="1" s="1"/>
  <c r="N423" i="1" s="1"/>
  <c r="P120" i="28"/>
  <c r="M512" i="1" s="1"/>
  <c r="N512" i="1" s="1"/>
  <c r="P177" i="28"/>
  <c r="M758" i="1" s="1"/>
  <c r="N758" i="1" s="1"/>
  <c r="P249" i="28"/>
  <c r="P202" i="28"/>
  <c r="M868" i="1" s="1"/>
  <c r="N868" i="1" s="1"/>
  <c r="P175" i="28"/>
  <c r="M751" i="1" s="1"/>
  <c r="N751" i="1" s="1"/>
  <c r="P30" i="28"/>
  <c r="M121" i="1" s="1"/>
  <c r="N121" i="1" s="1"/>
  <c r="P309" i="28"/>
  <c r="P299" i="28"/>
  <c r="M1291" i="1" s="1"/>
  <c r="N1291" i="1" s="1"/>
  <c r="P243" i="28"/>
  <c r="M1046" i="1" s="1"/>
  <c r="N1046" i="1" s="1"/>
  <c r="P64" i="28"/>
  <c r="M266" i="1" s="1"/>
  <c r="N266" i="1" s="1"/>
  <c r="P258" i="28"/>
  <c r="P306" i="28"/>
  <c r="M1318" i="1" s="1"/>
  <c r="N1318" i="1" s="1"/>
  <c r="P241" i="28"/>
  <c r="M1038" i="1" s="1"/>
  <c r="N1038" i="1" s="1"/>
  <c r="P104" i="28"/>
  <c r="M442" i="1" s="1"/>
  <c r="N442" i="1" s="1"/>
  <c r="P108" i="28"/>
  <c r="P9" i="28"/>
  <c r="M27" i="1" s="1"/>
  <c r="N27" i="1" s="1"/>
  <c r="P22" i="28"/>
  <c r="M83" i="1" s="1"/>
  <c r="N83" i="1" s="1"/>
  <c r="P154" i="28"/>
  <c r="M659" i="1" s="1"/>
  <c r="N659" i="1" s="1"/>
  <c r="P178" i="28"/>
  <c r="P188" i="28"/>
  <c r="M807" i="1" s="1"/>
  <c r="N807" i="1" s="1"/>
  <c r="P75" i="28"/>
  <c r="M317" i="1" s="1"/>
  <c r="N317" i="1" s="1"/>
  <c r="P39" i="28"/>
  <c r="M157" i="1" s="1"/>
  <c r="N157" i="1" s="1"/>
  <c r="P10" i="28"/>
  <c r="M34" i="1" s="1"/>
  <c r="N34" i="1" s="1"/>
  <c r="P143" i="28"/>
  <c r="M611" i="1" s="1"/>
  <c r="N611" i="1" s="1"/>
  <c r="P198" i="28"/>
  <c r="M850" i="1" s="1"/>
  <c r="N850" i="1" s="1"/>
  <c r="P23" i="28"/>
  <c r="M89" i="1" s="1"/>
  <c r="N89" i="1" s="1"/>
  <c r="P8" i="28"/>
  <c r="M25" i="1" s="1"/>
  <c r="N25" i="1" s="1"/>
  <c r="P242" i="28"/>
  <c r="M1040" i="1" s="1"/>
  <c r="N1040" i="1" s="1"/>
  <c r="P94" i="28"/>
  <c r="M398" i="1" s="1"/>
  <c r="N398" i="1" s="1"/>
  <c r="P68" i="28"/>
  <c r="M284" i="1" s="1"/>
  <c r="N284" i="1" s="1"/>
  <c r="P114" i="28"/>
  <c r="M485" i="1" s="1"/>
  <c r="N485" i="1" s="1"/>
  <c r="P119" i="28"/>
  <c r="M507" i="1" s="1"/>
  <c r="N507" i="1" s="1"/>
  <c r="P144" i="28"/>
  <c r="M614" i="1" s="1"/>
  <c r="N614" i="1" s="1"/>
  <c r="P214" i="28"/>
  <c r="M920" i="1" s="1"/>
  <c r="N920" i="1" s="1"/>
  <c r="P182" i="28"/>
  <c r="M781" i="1" s="1"/>
  <c r="N781" i="1" s="1"/>
  <c r="P6" i="28"/>
  <c r="P33" i="28"/>
  <c r="M131" i="1" s="1"/>
  <c r="N131" i="1" s="1"/>
  <c r="P130" i="28"/>
  <c r="M553" i="1" s="1"/>
  <c r="N553" i="1" s="1"/>
  <c r="P260" i="28"/>
  <c r="M1119" i="1" s="1"/>
  <c r="N1119" i="1" s="1"/>
  <c r="P34" i="28"/>
  <c r="M136" i="1" s="1"/>
  <c r="N136" i="1" s="1"/>
  <c r="P183" i="28"/>
  <c r="M783" i="1" s="1"/>
  <c r="N783" i="1" s="1"/>
  <c r="P193" i="28"/>
  <c r="M830" i="1" s="1"/>
  <c r="N830" i="1" s="1"/>
  <c r="P76" i="28"/>
  <c r="M319" i="1" s="1"/>
  <c r="N319" i="1" s="1"/>
  <c r="P90" i="28"/>
  <c r="M380" i="1" s="1"/>
  <c r="N380" i="1" s="1"/>
  <c r="P245" i="28"/>
  <c r="M1054" i="1" s="1"/>
  <c r="N1054" i="1" s="1"/>
  <c r="P209" i="28"/>
  <c r="M900" i="1" s="1"/>
  <c r="N900" i="1" s="1"/>
  <c r="P50" i="28"/>
  <c r="M206" i="1" s="1"/>
  <c r="N206" i="1" s="1"/>
  <c r="P313" i="28"/>
  <c r="M1349" i="1" s="1"/>
  <c r="N1349" i="1" s="1"/>
  <c r="P65" i="28"/>
  <c r="M273" i="1" s="1"/>
  <c r="N273" i="1" s="1"/>
  <c r="P132" i="28"/>
  <c r="M564" i="1" s="1"/>
  <c r="N564" i="1" s="1"/>
  <c r="P110" i="28"/>
  <c r="M469" i="1" s="1"/>
  <c r="N469" i="1" s="1"/>
  <c r="P248" i="28"/>
  <c r="M1067" i="1" s="1"/>
  <c r="N1067" i="1" s="1"/>
  <c r="P102" i="28"/>
  <c r="M432" i="1" s="1"/>
  <c r="N432" i="1" s="1"/>
  <c r="P291" i="28"/>
  <c r="M1253" i="1" s="1"/>
  <c r="N1253" i="1" s="1"/>
  <c r="P135" i="28"/>
  <c r="M575" i="1" s="1"/>
  <c r="N575" i="1" s="1"/>
  <c r="P297" i="28"/>
  <c r="M1280" i="1" s="1"/>
  <c r="N1280" i="1" s="1"/>
  <c r="P232" i="28"/>
  <c r="M1000" i="1" s="1"/>
  <c r="N1000" i="1" s="1"/>
  <c r="P112" i="28"/>
  <c r="M475" i="1" s="1"/>
  <c r="N475" i="1" s="1"/>
  <c r="P49" i="28"/>
  <c r="P60" i="28"/>
  <c r="M252" i="1" s="1"/>
  <c r="N252" i="1" s="1"/>
  <c r="P265" i="28"/>
  <c r="M1140" i="1" s="1"/>
  <c r="N1140" i="1" s="1"/>
  <c r="P192" i="28"/>
  <c r="M823" i="1" s="1"/>
  <c r="N823" i="1" s="1"/>
  <c r="P230" i="28"/>
  <c r="P109" i="28"/>
  <c r="M463" i="1" s="1"/>
  <c r="N463" i="1" s="1"/>
  <c r="P36" i="28"/>
  <c r="M144" i="1" s="1"/>
  <c r="N144" i="1" s="1"/>
  <c r="P292" i="28"/>
  <c r="M1257" i="1" s="1"/>
  <c r="N1257" i="1" s="1"/>
  <c r="P262" i="28"/>
  <c r="P32" i="28"/>
  <c r="M129" i="1" s="1"/>
  <c r="N129" i="1" s="1"/>
  <c r="P268" i="28"/>
  <c r="M1156" i="1" s="1"/>
  <c r="N1156" i="1" s="1"/>
  <c r="P194" i="28"/>
  <c r="M831" i="1" s="1"/>
  <c r="N831" i="1" s="1"/>
  <c r="P312" i="28"/>
  <c r="P87" i="28"/>
  <c r="M368" i="1" s="1"/>
  <c r="N368" i="1" s="1"/>
  <c r="P278" i="28"/>
  <c r="M1197" i="1" s="1"/>
  <c r="N1197" i="1" s="1"/>
  <c r="P303" i="28"/>
  <c r="M1305" i="1" s="1"/>
  <c r="N1305" i="1" s="1"/>
  <c r="P307" i="28"/>
  <c r="P295" i="28"/>
  <c r="M1271" i="1" s="1"/>
  <c r="N1271" i="1" s="1"/>
  <c r="P70" i="28"/>
  <c r="M293" i="1" s="1"/>
  <c r="N293" i="1" s="1"/>
  <c r="P257" i="28"/>
  <c r="M1105" i="1" s="1"/>
  <c r="N1105" i="1" s="1"/>
  <c r="P211" i="28"/>
  <c r="P259" i="28"/>
  <c r="M1117" i="1" s="1"/>
  <c r="N1117" i="1" s="1"/>
  <c r="P74" i="28"/>
  <c r="M310" i="1" s="1"/>
  <c r="N310" i="1" s="1"/>
  <c r="P251" i="28"/>
  <c r="M1081" i="1" s="1"/>
  <c r="N1081" i="1" s="1"/>
  <c r="P203" i="28"/>
  <c r="M268" i="1"/>
  <c r="N268" i="1" s="1"/>
  <c r="M988" i="1"/>
  <c r="N988" i="1" s="1"/>
  <c r="M989" i="1"/>
  <c r="N989" i="1" s="1"/>
  <c r="M990" i="1"/>
  <c r="N990" i="1" s="1"/>
  <c r="M991" i="1"/>
  <c r="N991" i="1" s="1"/>
  <c r="M440" i="1"/>
  <c r="N440" i="1" s="1"/>
  <c r="M140" i="1"/>
  <c r="N140" i="1" s="1"/>
  <c r="M141" i="1"/>
  <c r="N141" i="1" s="1"/>
  <c r="M142" i="1"/>
  <c r="N142" i="1" s="1"/>
  <c r="M143" i="1"/>
  <c r="N143" i="1" s="1"/>
  <c r="M1315" i="1"/>
  <c r="N1315" i="1" s="1"/>
  <c r="M1316" i="1"/>
  <c r="N1316" i="1" s="1"/>
  <c r="M1317" i="1"/>
  <c r="N1317" i="1" s="1"/>
  <c r="M1314" i="1"/>
  <c r="N1314" i="1" s="1"/>
  <c r="M339" i="1"/>
  <c r="N339" i="1" s="1"/>
  <c r="M336" i="1"/>
  <c r="N336" i="1" s="1"/>
  <c r="M718" i="1"/>
  <c r="N718" i="1" s="1"/>
  <c r="M719" i="1"/>
  <c r="N719" i="1" s="1"/>
  <c r="M720" i="1"/>
  <c r="N720" i="1" s="1"/>
  <c r="M721" i="1"/>
  <c r="N721" i="1" s="1"/>
  <c r="M501" i="1"/>
  <c r="N501" i="1" s="1"/>
  <c r="M502" i="1"/>
  <c r="N502" i="1" s="1"/>
  <c r="M503" i="1"/>
  <c r="N503" i="1" s="1"/>
  <c r="M504" i="1"/>
  <c r="N504" i="1" s="1"/>
  <c r="M883" i="1"/>
  <c r="N883" i="1" s="1"/>
  <c r="M884" i="1"/>
  <c r="N884" i="1" s="1"/>
  <c r="M885" i="1"/>
  <c r="N885" i="1" s="1"/>
  <c r="M886" i="1"/>
  <c r="N886" i="1" s="1"/>
  <c r="M887" i="1"/>
  <c r="N887" i="1" s="1"/>
  <c r="M1321" i="1"/>
  <c r="N1321" i="1" s="1"/>
  <c r="M1120" i="1"/>
  <c r="N1120" i="1" s="1"/>
  <c r="M1121" i="1"/>
  <c r="N1121" i="1" s="1"/>
  <c r="M923" i="1"/>
  <c r="N923" i="1" s="1"/>
  <c r="M924" i="1"/>
  <c r="N924" i="1" s="1"/>
  <c r="M925" i="1"/>
  <c r="N925" i="1" s="1"/>
  <c r="M926" i="1"/>
  <c r="N926" i="1" s="1"/>
  <c r="M922" i="1"/>
  <c r="N922" i="1" s="1"/>
  <c r="M1108" i="1"/>
  <c r="N1108" i="1" s="1"/>
  <c r="M747" i="1"/>
  <c r="N747" i="1" s="1"/>
  <c r="M748" i="1"/>
  <c r="N748" i="1" s="1"/>
  <c r="M744" i="1"/>
  <c r="N744" i="1" s="1"/>
  <c r="M745" i="1"/>
  <c r="N745" i="1" s="1"/>
  <c r="M746" i="1"/>
  <c r="N746" i="1" s="1"/>
  <c r="M870" i="1"/>
  <c r="N870" i="1" s="1"/>
  <c r="M871" i="1"/>
  <c r="N871" i="1" s="1"/>
  <c r="M872" i="1"/>
  <c r="N872" i="1" s="1"/>
  <c r="M873" i="1"/>
  <c r="N873" i="1" s="1"/>
  <c r="M874" i="1"/>
  <c r="N874" i="1" s="1"/>
  <c r="M771" i="1"/>
  <c r="N771" i="1" s="1"/>
  <c r="M772" i="1"/>
  <c r="N772" i="1" s="1"/>
  <c r="M773" i="1"/>
  <c r="N773" i="1" s="1"/>
  <c r="M774" i="1"/>
  <c r="N774" i="1" s="1"/>
  <c r="M770" i="1"/>
  <c r="N770" i="1" s="1"/>
  <c r="M1044" i="1"/>
  <c r="N1044" i="1" s="1"/>
  <c r="M1047" i="1"/>
  <c r="N1047" i="1" s="1"/>
  <c r="M1048" i="1"/>
  <c r="N1048" i="1" s="1"/>
  <c r="M597" i="1"/>
  <c r="N597" i="1" s="1"/>
  <c r="M598" i="1"/>
  <c r="N598" i="1" s="1"/>
  <c r="M599" i="1"/>
  <c r="N599" i="1" s="1"/>
  <c r="M600" i="1"/>
  <c r="N600" i="1" s="1"/>
  <c r="M811" i="1"/>
  <c r="N811" i="1" s="1"/>
  <c r="M812" i="1"/>
  <c r="N812" i="1" s="1"/>
  <c r="M813" i="1"/>
  <c r="N813" i="1" s="1"/>
  <c r="M810" i="1"/>
  <c r="N810" i="1" s="1"/>
  <c r="M123" i="1"/>
  <c r="N123" i="1" s="1"/>
  <c r="M124" i="1"/>
  <c r="N124" i="1" s="1"/>
  <c r="M125" i="1"/>
  <c r="N125" i="1" s="1"/>
  <c r="M126" i="1"/>
  <c r="N126" i="1" s="1"/>
  <c r="M1375" i="1"/>
  <c r="N1375" i="1" s="1"/>
  <c r="M1376" i="1"/>
  <c r="N1376" i="1" s="1"/>
  <c r="M1377" i="1"/>
  <c r="N1377" i="1" s="1"/>
  <c r="M1378" i="1"/>
  <c r="N1378" i="1" s="1"/>
  <c r="M987" i="1"/>
  <c r="N987" i="1" s="1"/>
  <c r="M983" i="1"/>
  <c r="N983" i="1" s="1"/>
  <c r="M984" i="1"/>
  <c r="N984" i="1" s="1"/>
  <c r="M985" i="1"/>
  <c r="N985" i="1" s="1"/>
  <c r="M986" i="1"/>
  <c r="N986" i="1" s="1"/>
  <c r="M427" i="1"/>
  <c r="N427" i="1" s="1"/>
  <c r="M428" i="1"/>
  <c r="N428" i="1" s="1"/>
  <c r="M429" i="1"/>
  <c r="N429" i="1" s="1"/>
  <c r="M430" i="1"/>
  <c r="N430" i="1" s="1"/>
  <c r="M207" i="1"/>
  <c r="N207" i="1" s="1"/>
  <c r="M208" i="1"/>
  <c r="N208" i="1" s="1"/>
  <c r="M435" i="1"/>
  <c r="N435" i="1" s="1"/>
  <c r="M433" i="1"/>
  <c r="N433" i="1" s="1"/>
  <c r="M434" i="1"/>
  <c r="N434" i="1" s="1"/>
  <c r="M760" i="1"/>
  <c r="N760" i="1" s="1"/>
  <c r="M1149" i="1"/>
  <c r="N1149" i="1" s="1"/>
  <c r="M1150" i="1"/>
  <c r="N1150" i="1" s="1"/>
  <c r="M1151" i="1"/>
  <c r="N1151" i="1" s="1"/>
  <c r="M1152" i="1"/>
  <c r="N1152" i="1" s="1"/>
  <c r="M470" i="1"/>
  <c r="N470" i="1" s="1"/>
  <c r="M471" i="1"/>
  <c r="N471" i="1" s="1"/>
  <c r="M472" i="1"/>
  <c r="N472" i="1" s="1"/>
  <c r="M473" i="1"/>
  <c r="N473" i="1" s="1"/>
  <c r="M474" i="1"/>
  <c r="N474" i="1" s="1"/>
  <c r="M875" i="1"/>
  <c r="N875" i="1" s="1"/>
  <c r="M876" i="1"/>
  <c r="N876" i="1" s="1"/>
  <c r="M877" i="1"/>
  <c r="N877" i="1" s="1"/>
  <c r="M878" i="1"/>
  <c r="N878" i="1" s="1"/>
  <c r="M467" i="1"/>
  <c r="N467" i="1" s="1"/>
  <c r="M466" i="1"/>
  <c r="N466" i="1" s="1"/>
  <c r="M844" i="1"/>
  <c r="N844" i="1" s="1"/>
  <c r="M845" i="1"/>
  <c r="N845" i="1" s="1"/>
  <c r="M846" i="1"/>
  <c r="N846" i="1" s="1"/>
  <c r="M847" i="1"/>
  <c r="N847" i="1" s="1"/>
  <c r="M848" i="1"/>
  <c r="N848" i="1" s="1"/>
  <c r="M1075" i="1"/>
  <c r="N1075" i="1" s="1"/>
  <c r="M1076" i="1"/>
  <c r="N1076" i="1" s="1"/>
  <c r="M1077" i="1"/>
  <c r="N1077" i="1" s="1"/>
  <c r="M1078" i="1"/>
  <c r="N1078" i="1" s="1"/>
  <c r="M939" i="1"/>
  <c r="N939" i="1" s="1"/>
  <c r="M936" i="1"/>
  <c r="N936" i="1" s="1"/>
  <c r="M937" i="1"/>
  <c r="N937" i="1" s="1"/>
  <c r="M938" i="1"/>
  <c r="N938" i="1" s="1"/>
  <c r="M453" i="1"/>
  <c r="N453" i="1" s="1"/>
  <c r="M454" i="1"/>
  <c r="N454" i="1" s="1"/>
  <c r="M455" i="1"/>
  <c r="N455" i="1" s="1"/>
  <c r="M456" i="1"/>
  <c r="N456" i="1" s="1"/>
  <c r="P226" i="28"/>
  <c r="P53" i="28"/>
  <c r="M692" i="1"/>
  <c r="N692" i="1" s="1"/>
  <c r="M693" i="1"/>
  <c r="N693" i="1" s="1"/>
  <c r="M694" i="1"/>
  <c r="N694" i="1" s="1"/>
  <c r="M695" i="1"/>
  <c r="N695" i="1" s="1"/>
  <c r="M696" i="1"/>
  <c r="N696" i="1" s="1"/>
  <c r="M70" i="1"/>
  <c r="N70" i="1" s="1"/>
  <c r="M71" i="1"/>
  <c r="N71" i="1" s="1"/>
  <c r="M72" i="1"/>
  <c r="N72" i="1" s="1"/>
  <c r="M73" i="1"/>
  <c r="N73" i="1" s="1"/>
  <c r="M74" i="1"/>
  <c r="N74" i="1" s="1"/>
  <c r="M727" i="1"/>
  <c r="N727" i="1" s="1"/>
  <c r="M728" i="1"/>
  <c r="N728" i="1" s="1"/>
  <c r="M729" i="1"/>
  <c r="N729" i="1" s="1"/>
  <c r="M730" i="1"/>
  <c r="N730" i="1" s="1"/>
  <c r="M915" i="1"/>
  <c r="N915" i="1" s="1"/>
  <c r="M916" i="1"/>
  <c r="N916" i="1" s="1"/>
  <c r="M917" i="1"/>
  <c r="N917" i="1" s="1"/>
  <c r="M914" i="1"/>
  <c r="N914" i="1" s="1"/>
  <c r="M375" i="1"/>
  <c r="N375" i="1" s="1"/>
  <c r="M376" i="1"/>
  <c r="N376" i="1" s="1"/>
  <c r="M377" i="1"/>
  <c r="N377" i="1" s="1"/>
  <c r="M378" i="1"/>
  <c r="N378" i="1" s="1"/>
  <c r="P96" i="28"/>
  <c r="M963" i="1"/>
  <c r="N963" i="1" s="1"/>
  <c r="M964" i="1"/>
  <c r="N964" i="1" s="1"/>
  <c r="M965" i="1"/>
  <c r="N965" i="1" s="1"/>
  <c r="M962" i="1"/>
  <c r="N962" i="1" s="1"/>
  <c r="P73" i="28"/>
  <c r="M1051" i="1"/>
  <c r="N1051" i="1" s="1"/>
  <c r="M1052" i="1"/>
  <c r="N1052" i="1" s="1"/>
  <c r="M1049" i="1"/>
  <c r="N1049" i="1" s="1"/>
  <c r="M1050" i="1"/>
  <c r="N1050" i="1" s="1"/>
  <c r="M51" i="1"/>
  <c r="N51" i="1" s="1"/>
  <c r="M52" i="1"/>
  <c r="N52" i="1" s="1"/>
  <c r="M49" i="1"/>
  <c r="N49" i="1" s="1"/>
  <c r="M50" i="1"/>
  <c r="N50" i="1" s="1"/>
  <c r="P252" i="28"/>
  <c r="M843" i="1"/>
  <c r="N843" i="1" s="1"/>
  <c r="M840" i="1"/>
  <c r="N840" i="1" s="1"/>
  <c r="M841" i="1"/>
  <c r="N841" i="1" s="1"/>
  <c r="M842" i="1"/>
  <c r="N842" i="1" s="1"/>
  <c r="M1055" i="1"/>
  <c r="N1055" i="1" s="1"/>
  <c r="M1056" i="1"/>
  <c r="N1056" i="1" s="1"/>
  <c r="M547" i="1"/>
  <c r="N547" i="1" s="1"/>
  <c r="M548" i="1"/>
  <c r="N548" i="1" s="1"/>
  <c r="M544" i="1"/>
  <c r="N544" i="1" s="1"/>
  <c r="M545" i="1"/>
  <c r="N545" i="1" s="1"/>
  <c r="M546" i="1"/>
  <c r="N546" i="1" s="1"/>
  <c r="M661" i="1"/>
  <c r="N661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P103" i="28"/>
  <c r="M243" i="1"/>
  <c r="N243" i="1" s="1"/>
  <c r="M240" i="1"/>
  <c r="N240" i="1" s="1"/>
  <c r="M241" i="1"/>
  <c r="N241" i="1" s="1"/>
  <c r="M242" i="1"/>
  <c r="N242" i="1" s="1"/>
  <c r="P254" i="28"/>
  <c r="M195" i="1"/>
  <c r="N195" i="1" s="1"/>
  <c r="M192" i="1"/>
  <c r="N192" i="1" s="1"/>
  <c r="M193" i="1"/>
  <c r="N193" i="1" s="1"/>
  <c r="M194" i="1"/>
  <c r="N194" i="1" s="1"/>
  <c r="M819" i="1"/>
  <c r="N819" i="1" s="1"/>
  <c r="M820" i="1"/>
  <c r="N820" i="1" s="1"/>
  <c r="M821" i="1"/>
  <c r="N821" i="1" s="1"/>
  <c r="M822" i="1"/>
  <c r="N822" i="1" s="1"/>
  <c r="M818" i="1"/>
  <c r="N818" i="1" s="1"/>
  <c r="M492" i="1"/>
  <c r="N492" i="1" s="1"/>
  <c r="M493" i="1"/>
  <c r="N493" i="1" s="1"/>
  <c r="M494" i="1"/>
  <c r="N494" i="1" s="1"/>
  <c r="M495" i="1"/>
  <c r="N495" i="1" s="1"/>
  <c r="M496" i="1"/>
  <c r="N496" i="1" s="1"/>
  <c r="M918" i="1"/>
  <c r="N918" i="1" s="1"/>
  <c r="M731" i="1"/>
  <c r="N731" i="1" s="1"/>
  <c r="M518" i="1"/>
  <c r="N518" i="1" s="1"/>
  <c r="M519" i="1"/>
  <c r="N519" i="1" s="1"/>
  <c r="M520" i="1"/>
  <c r="N520" i="1" s="1"/>
  <c r="M521" i="1"/>
  <c r="N521" i="1" s="1"/>
  <c r="M483" i="1"/>
  <c r="N483" i="1" s="1"/>
  <c r="M486" i="1"/>
  <c r="N486" i="1" s="1"/>
  <c r="M487" i="1"/>
  <c r="N487" i="1" s="1"/>
  <c r="M244" i="1"/>
  <c r="N244" i="1" s="1"/>
  <c r="M245" i="1"/>
  <c r="N245" i="1" s="1"/>
  <c r="M246" i="1"/>
  <c r="N246" i="1" s="1"/>
  <c r="M247" i="1"/>
  <c r="N247" i="1" s="1"/>
  <c r="M248" i="1"/>
  <c r="N248" i="1" s="1"/>
  <c r="M907" i="1"/>
  <c r="N907" i="1" s="1"/>
  <c r="M908" i="1"/>
  <c r="N908" i="1" s="1"/>
  <c r="M909" i="1"/>
  <c r="N909" i="1" s="1"/>
  <c r="M905" i="1"/>
  <c r="N905" i="1" s="1"/>
  <c r="M906" i="1"/>
  <c r="N906" i="1" s="1"/>
  <c r="M740" i="1"/>
  <c r="N740" i="1" s="1"/>
  <c r="M741" i="1"/>
  <c r="N741" i="1" s="1"/>
  <c r="M742" i="1"/>
  <c r="N742" i="1" s="1"/>
  <c r="M743" i="1"/>
  <c r="N743" i="1" s="1"/>
  <c r="M477" i="1"/>
  <c r="N477" i="1" s="1"/>
  <c r="M853" i="1"/>
  <c r="N853" i="1" s="1"/>
  <c r="M854" i="1"/>
  <c r="N854" i="1" s="1"/>
  <c r="M855" i="1"/>
  <c r="N855" i="1" s="1"/>
  <c r="M856" i="1"/>
  <c r="N856" i="1" s="1"/>
  <c r="M67" i="1"/>
  <c r="N67" i="1" s="1"/>
  <c r="M68" i="1"/>
  <c r="N68" i="1" s="1"/>
  <c r="M69" i="1"/>
  <c r="N69" i="1" s="1"/>
  <c r="M66" i="1"/>
  <c r="N66" i="1" s="1"/>
  <c r="M419" i="1"/>
  <c r="N419" i="1" s="1"/>
  <c r="M420" i="1"/>
  <c r="N420" i="1" s="1"/>
  <c r="M421" i="1"/>
  <c r="N421" i="1" s="1"/>
  <c r="M422" i="1"/>
  <c r="N422" i="1" s="1"/>
  <c r="M418" i="1"/>
  <c r="N418" i="1" s="1"/>
  <c r="M637" i="1"/>
  <c r="N637" i="1" s="1"/>
  <c r="M1062" i="1"/>
  <c r="N1062" i="1" s="1"/>
  <c r="M1063" i="1"/>
  <c r="N1063" i="1" s="1"/>
  <c r="M1064" i="1"/>
  <c r="N1064" i="1" s="1"/>
  <c r="M1065" i="1"/>
  <c r="N1065" i="1" s="1"/>
  <c r="M340" i="1"/>
  <c r="N340" i="1" s="1"/>
  <c r="M341" i="1"/>
  <c r="N341" i="1" s="1"/>
  <c r="M342" i="1"/>
  <c r="N342" i="1" s="1"/>
  <c r="M343" i="1"/>
  <c r="N343" i="1" s="1"/>
  <c r="M699" i="1"/>
  <c r="N699" i="1" s="1"/>
  <c r="M700" i="1"/>
  <c r="N700" i="1" s="1"/>
  <c r="M697" i="1"/>
  <c r="N697" i="1" s="1"/>
  <c r="M698" i="1"/>
  <c r="N698" i="1" s="1"/>
  <c r="M540" i="1"/>
  <c r="N540" i="1" s="1"/>
  <c r="M541" i="1"/>
  <c r="N541" i="1" s="1"/>
  <c r="M542" i="1"/>
  <c r="N542" i="1" s="1"/>
  <c r="M543" i="1"/>
  <c r="N543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749" i="1"/>
  <c r="N749" i="1" s="1"/>
  <c r="M752" i="1"/>
  <c r="N752" i="1" s="1"/>
  <c r="M444" i="1"/>
  <c r="N444" i="1" s="1"/>
  <c r="M445" i="1"/>
  <c r="N445" i="1" s="1"/>
  <c r="M446" i="1"/>
  <c r="N446" i="1" s="1"/>
  <c r="M447" i="1"/>
  <c r="N447" i="1" s="1"/>
  <c r="M957" i="1"/>
  <c r="N957" i="1" s="1"/>
  <c r="M958" i="1"/>
  <c r="N958" i="1" s="1"/>
  <c r="M959" i="1"/>
  <c r="N959" i="1" s="1"/>
  <c r="M960" i="1"/>
  <c r="N960" i="1" s="1"/>
  <c r="M961" i="1"/>
  <c r="N961" i="1" s="1"/>
  <c r="M551" i="1"/>
  <c r="N551" i="1" s="1"/>
  <c r="M552" i="1"/>
  <c r="N552" i="1" s="1"/>
  <c r="M479" i="1"/>
  <c r="N479" i="1" s="1"/>
  <c r="M480" i="1"/>
  <c r="N480" i="1" s="1"/>
  <c r="M481" i="1"/>
  <c r="N481" i="1" s="1"/>
  <c r="M482" i="1"/>
  <c r="N482" i="1" s="1"/>
  <c r="M670" i="1"/>
  <c r="N670" i="1" s="1"/>
  <c r="M671" i="1"/>
  <c r="N671" i="1" s="1"/>
  <c r="M672" i="1"/>
  <c r="N672" i="1" s="1"/>
  <c r="M673" i="1"/>
  <c r="N673" i="1" s="1"/>
  <c r="M674" i="1"/>
  <c r="N674" i="1" s="1"/>
  <c r="M615" i="1"/>
  <c r="N615" i="1" s="1"/>
  <c r="M616" i="1"/>
  <c r="N616" i="1" s="1"/>
  <c r="M491" i="1"/>
  <c r="N491" i="1" s="1"/>
  <c r="M488" i="1"/>
  <c r="N488" i="1" s="1"/>
  <c r="M489" i="1"/>
  <c r="N489" i="1" s="1"/>
  <c r="M490" i="1"/>
  <c r="N490" i="1" s="1"/>
  <c r="M75" i="1"/>
  <c r="N75" i="1" s="1"/>
  <c r="M76" i="1"/>
  <c r="N76" i="1" s="1"/>
  <c r="M77" i="1"/>
  <c r="N77" i="1" s="1"/>
  <c r="M78" i="1"/>
  <c r="N78" i="1" s="1"/>
  <c r="P256" i="28"/>
  <c r="M851" i="1"/>
  <c r="N851" i="1" s="1"/>
  <c r="M852" i="1"/>
  <c r="N852" i="1" s="1"/>
  <c r="M327" i="1"/>
  <c r="N327" i="1" s="1"/>
  <c r="M328" i="1"/>
  <c r="N328" i="1" s="1"/>
  <c r="M329" i="1"/>
  <c r="N329" i="1" s="1"/>
  <c r="M330" i="1"/>
  <c r="N330" i="1" s="1"/>
  <c r="M662" i="1"/>
  <c r="N662" i="1" s="1"/>
  <c r="M663" i="1"/>
  <c r="N663" i="1" s="1"/>
  <c r="M664" i="1"/>
  <c r="N664" i="1" s="1"/>
  <c r="M665" i="1"/>
  <c r="N665" i="1" s="1"/>
  <c r="P72" i="28"/>
  <c r="M1355" i="1"/>
  <c r="N1355" i="1" s="1"/>
  <c r="M1356" i="1"/>
  <c r="N1356" i="1" s="1"/>
  <c r="M1353" i="1"/>
  <c r="N1353" i="1" s="1"/>
  <c r="M1354" i="1"/>
  <c r="N1354" i="1" s="1"/>
  <c r="M683" i="1"/>
  <c r="N683" i="1" s="1"/>
  <c r="M684" i="1"/>
  <c r="N684" i="1" s="1"/>
  <c r="M685" i="1"/>
  <c r="N685" i="1" s="1"/>
  <c r="M686" i="1"/>
  <c r="N686" i="1" s="1"/>
  <c r="M687" i="1"/>
  <c r="N687" i="1" s="1"/>
  <c r="M975" i="1"/>
  <c r="N975" i="1" s="1"/>
  <c r="M976" i="1"/>
  <c r="N976" i="1" s="1"/>
  <c r="M977" i="1"/>
  <c r="N977" i="1" s="1"/>
  <c r="M978" i="1"/>
  <c r="N978" i="1" s="1"/>
  <c r="M605" i="1"/>
  <c r="N605" i="1" s="1"/>
  <c r="M606" i="1"/>
  <c r="N606" i="1" s="1"/>
  <c r="M607" i="1"/>
  <c r="N607" i="1" s="1"/>
  <c r="M608" i="1"/>
  <c r="N608" i="1" s="1"/>
  <c r="M1329" i="1"/>
  <c r="N1329" i="1" s="1"/>
  <c r="M775" i="1"/>
  <c r="N775" i="1" s="1"/>
  <c r="M776" i="1"/>
  <c r="N776" i="1" s="1"/>
  <c r="M777" i="1"/>
  <c r="N777" i="1" s="1"/>
  <c r="M778" i="1"/>
  <c r="N778" i="1" s="1"/>
  <c r="M357" i="1"/>
  <c r="N357" i="1" s="1"/>
  <c r="M358" i="1"/>
  <c r="N358" i="1" s="1"/>
  <c r="M359" i="1"/>
  <c r="N359" i="1" s="1"/>
  <c r="M360" i="1"/>
  <c r="N360" i="1" s="1"/>
  <c r="M361" i="1"/>
  <c r="N361" i="1" s="1"/>
  <c r="M1110" i="1"/>
  <c r="N1110" i="1" s="1"/>
  <c r="M1111" i="1"/>
  <c r="N1111" i="1" s="1"/>
  <c r="M1112" i="1"/>
  <c r="N1112" i="1" s="1"/>
  <c r="M1113" i="1"/>
  <c r="N1113" i="1" s="1"/>
  <c r="M19" i="1"/>
  <c r="N19" i="1" s="1"/>
  <c r="M18" i="1"/>
  <c r="N18" i="1" s="1"/>
  <c r="M20" i="1"/>
  <c r="N20" i="1" s="1"/>
  <c r="M21" i="1"/>
  <c r="N21" i="1" s="1"/>
  <c r="M22" i="1"/>
  <c r="N22" i="1" s="1"/>
  <c r="M509" i="1"/>
  <c r="N509" i="1" s="1"/>
  <c r="M510" i="1"/>
  <c r="N510" i="1" s="1"/>
  <c r="M513" i="1"/>
  <c r="N513" i="1" s="1"/>
  <c r="M995" i="1"/>
  <c r="N995" i="1" s="1"/>
  <c r="M996" i="1"/>
  <c r="N996" i="1" s="1"/>
  <c r="M992" i="1"/>
  <c r="N992" i="1" s="1"/>
  <c r="M993" i="1"/>
  <c r="N993" i="1" s="1"/>
  <c r="M994" i="1"/>
  <c r="N994" i="1" s="1"/>
  <c r="M576" i="1"/>
  <c r="N576" i="1" s="1"/>
  <c r="M577" i="1"/>
  <c r="N577" i="1" s="1"/>
  <c r="M825" i="1"/>
  <c r="N825" i="1" s="1"/>
  <c r="M643" i="1"/>
  <c r="N643" i="1" s="1"/>
  <c r="M640" i="1"/>
  <c r="N640" i="1" s="1"/>
  <c r="M641" i="1"/>
  <c r="N641" i="1" s="1"/>
  <c r="M642" i="1"/>
  <c r="N642" i="1" s="1"/>
  <c r="M159" i="1"/>
  <c r="N159" i="1" s="1"/>
  <c r="M619" i="1"/>
  <c r="N619" i="1" s="1"/>
  <c r="M620" i="1"/>
  <c r="N620" i="1" s="1"/>
  <c r="M621" i="1"/>
  <c r="N621" i="1" s="1"/>
  <c r="M622" i="1"/>
  <c r="N622" i="1" s="1"/>
  <c r="M618" i="1"/>
  <c r="N618" i="1" s="1"/>
  <c r="M779" i="1"/>
  <c r="N779" i="1" s="1"/>
  <c r="M782" i="1"/>
  <c r="N782" i="1" s="1"/>
  <c r="M84" i="1"/>
  <c r="N84" i="1" s="1"/>
  <c r="M85" i="1"/>
  <c r="N85" i="1" s="1"/>
  <c r="M323" i="1"/>
  <c r="N323" i="1" s="1"/>
  <c r="M324" i="1"/>
  <c r="N324" i="1" s="1"/>
  <c r="M325" i="1"/>
  <c r="N325" i="1" s="1"/>
  <c r="M326" i="1"/>
  <c r="N326" i="1" s="1"/>
  <c r="M879" i="1"/>
  <c r="N879" i="1" s="1"/>
  <c r="M880" i="1"/>
  <c r="N880" i="1" s="1"/>
  <c r="M881" i="1"/>
  <c r="N881" i="1" s="1"/>
  <c r="M882" i="1"/>
  <c r="N882" i="1" s="1"/>
  <c r="M1154" i="1"/>
  <c r="N1154" i="1" s="1"/>
  <c r="M1347" i="1"/>
  <c r="N1347" i="1" s="1"/>
  <c r="M1348" i="1"/>
  <c r="N1348" i="1" s="1"/>
  <c r="M1344" i="1"/>
  <c r="N1344" i="1" s="1"/>
  <c r="M1345" i="1"/>
  <c r="N1345" i="1" s="1"/>
  <c r="M1346" i="1"/>
  <c r="N1346" i="1" s="1"/>
  <c r="M396" i="1"/>
  <c r="N396" i="1" s="1"/>
  <c r="M399" i="1"/>
  <c r="N399" i="1" s="1"/>
  <c r="M400" i="1"/>
  <c r="N400" i="1" s="1"/>
  <c r="M1308" i="1"/>
  <c r="N1308" i="1" s="1"/>
  <c r="M1323" i="1"/>
  <c r="N1323" i="1" s="1"/>
  <c r="M1324" i="1"/>
  <c r="N1324" i="1" s="1"/>
  <c r="M1325" i="1"/>
  <c r="N1325" i="1" s="1"/>
  <c r="M1326" i="1"/>
  <c r="N1326" i="1" s="1"/>
  <c r="M1011" i="1"/>
  <c r="N1011" i="1" s="1"/>
  <c r="M1012" i="1"/>
  <c r="N1012" i="1" s="1"/>
  <c r="M1013" i="1"/>
  <c r="N1013" i="1" s="1"/>
  <c r="M1010" i="1"/>
  <c r="N1010" i="1" s="1"/>
  <c r="P304" i="28"/>
  <c r="M531" i="1"/>
  <c r="N531" i="1" s="1"/>
  <c r="M532" i="1"/>
  <c r="N532" i="1" s="1"/>
  <c r="M533" i="1"/>
  <c r="N533" i="1" s="1"/>
  <c r="M534" i="1"/>
  <c r="N534" i="1" s="1"/>
  <c r="M535" i="1"/>
  <c r="N535" i="1" s="1"/>
  <c r="M279" i="1"/>
  <c r="N279" i="1" s="1"/>
  <c r="M280" i="1"/>
  <c r="N280" i="1" s="1"/>
  <c r="M281" i="1"/>
  <c r="N281" i="1" s="1"/>
  <c r="M282" i="1"/>
  <c r="N282" i="1" s="1"/>
  <c r="M44" i="1"/>
  <c r="N44" i="1" s="1"/>
  <c r="M45" i="1"/>
  <c r="N45" i="1" s="1"/>
  <c r="M46" i="1"/>
  <c r="N46" i="1" s="1"/>
  <c r="M47" i="1"/>
  <c r="N47" i="1" s="1"/>
  <c r="M48" i="1"/>
  <c r="N48" i="1" s="1"/>
  <c r="M262" i="1"/>
  <c r="N262" i="1" s="1"/>
  <c r="M171" i="1"/>
  <c r="N171" i="1" s="1"/>
  <c r="M172" i="1"/>
  <c r="N172" i="1" s="1"/>
  <c r="M173" i="1"/>
  <c r="N173" i="1" s="1"/>
  <c r="M174" i="1"/>
  <c r="N174" i="1" s="1"/>
  <c r="M170" i="1"/>
  <c r="N170" i="1" s="1"/>
  <c r="M603" i="1"/>
  <c r="N603" i="1" s="1"/>
  <c r="M604" i="1"/>
  <c r="N604" i="1" s="1"/>
  <c r="M601" i="1"/>
  <c r="N601" i="1" s="1"/>
  <c r="M602" i="1"/>
  <c r="N602" i="1" s="1"/>
  <c r="M59" i="1"/>
  <c r="N59" i="1" s="1"/>
  <c r="M60" i="1"/>
  <c r="N60" i="1" s="1"/>
  <c r="M61" i="1"/>
  <c r="N61" i="1" s="1"/>
  <c r="M57" i="1"/>
  <c r="N57" i="1" s="1"/>
  <c r="M58" i="1"/>
  <c r="N58" i="1" s="1"/>
  <c r="M1059" i="1"/>
  <c r="N1059" i="1" s="1"/>
  <c r="M1060" i="1"/>
  <c r="N1060" i="1" s="1"/>
  <c r="M1061" i="1"/>
  <c r="N1061" i="1" s="1"/>
  <c r="M1057" i="1"/>
  <c r="N1057" i="1" s="1"/>
  <c r="M1058" i="1"/>
  <c r="N1058" i="1" s="1"/>
  <c r="M1036" i="1"/>
  <c r="N1036" i="1" s="1"/>
  <c r="M1039" i="1"/>
  <c r="N1039" i="1" s="1"/>
  <c r="M814" i="1"/>
  <c r="N814" i="1" s="1"/>
  <c r="M815" i="1"/>
  <c r="N815" i="1" s="1"/>
  <c r="M816" i="1"/>
  <c r="N816" i="1" s="1"/>
  <c r="M817" i="1"/>
  <c r="N817" i="1" s="1"/>
  <c r="M1331" i="1"/>
  <c r="N1331" i="1" s="1"/>
  <c r="M1332" i="1"/>
  <c r="N1332" i="1" s="1"/>
  <c r="M1333" i="1"/>
  <c r="N1333" i="1" s="1"/>
  <c r="M1334" i="1"/>
  <c r="N1334" i="1" s="1"/>
  <c r="M653" i="1"/>
  <c r="N653" i="1" s="1"/>
  <c r="M654" i="1"/>
  <c r="N654" i="1" s="1"/>
  <c r="M655" i="1"/>
  <c r="N655" i="1" s="1"/>
  <c r="M656" i="1"/>
  <c r="N656" i="1" s="1"/>
  <c r="M515" i="1"/>
  <c r="N515" i="1" s="1"/>
  <c r="M516" i="1"/>
  <c r="N516" i="1" s="1"/>
  <c r="M517" i="1"/>
  <c r="N517" i="1" s="1"/>
  <c r="M514" i="1"/>
  <c r="N514" i="1" s="1"/>
  <c r="M949" i="1"/>
  <c r="N949" i="1" s="1"/>
  <c r="M950" i="1"/>
  <c r="N950" i="1" s="1"/>
  <c r="M951" i="1"/>
  <c r="N951" i="1" s="1"/>
  <c r="M952" i="1"/>
  <c r="N952" i="1" s="1"/>
  <c r="M349" i="1"/>
  <c r="N349" i="1" s="1"/>
  <c r="M350" i="1"/>
  <c r="N350" i="1" s="1"/>
  <c r="M351" i="1"/>
  <c r="N351" i="1" s="1"/>
  <c r="M352" i="1"/>
  <c r="N352" i="1" s="1"/>
  <c r="M940" i="1"/>
  <c r="N940" i="1" s="1"/>
  <c r="M941" i="1"/>
  <c r="N941" i="1" s="1"/>
  <c r="M942" i="1"/>
  <c r="N942" i="1" s="1"/>
  <c r="M943" i="1"/>
  <c r="N943" i="1" s="1"/>
  <c r="M1134" i="1"/>
  <c r="N1134" i="1" s="1"/>
  <c r="M31" i="1"/>
  <c r="N31" i="1" s="1"/>
  <c r="M32" i="1"/>
  <c r="N32" i="1" s="1"/>
  <c r="M691" i="1"/>
  <c r="N691" i="1" s="1"/>
  <c r="M688" i="1"/>
  <c r="N688" i="1" s="1"/>
  <c r="M689" i="1"/>
  <c r="N689" i="1" s="1"/>
  <c r="M690" i="1"/>
  <c r="N690" i="1" s="1"/>
  <c r="M763" i="1"/>
  <c r="N763" i="1" s="1"/>
  <c r="M764" i="1"/>
  <c r="N764" i="1" s="1"/>
  <c r="M765" i="1"/>
  <c r="N765" i="1" s="1"/>
  <c r="M762" i="1"/>
  <c r="N762" i="1" s="1"/>
  <c r="M675" i="1"/>
  <c r="N675" i="1" s="1"/>
  <c r="M676" i="1"/>
  <c r="N676" i="1" s="1"/>
  <c r="M677" i="1"/>
  <c r="N677" i="1" s="1"/>
  <c r="M678" i="1"/>
  <c r="N678" i="1" s="1"/>
  <c r="M803" i="1"/>
  <c r="N803" i="1" s="1"/>
  <c r="M804" i="1"/>
  <c r="N804" i="1" s="1"/>
  <c r="M801" i="1"/>
  <c r="N801" i="1" s="1"/>
  <c r="M802" i="1"/>
  <c r="N802" i="1" s="1"/>
  <c r="M315" i="1"/>
  <c r="N315" i="1" s="1"/>
  <c r="M314" i="1"/>
  <c r="N314" i="1" s="1"/>
  <c r="M1175" i="1"/>
  <c r="N1175" i="1" s="1"/>
  <c r="M1176" i="1"/>
  <c r="N1176" i="1" s="1"/>
  <c r="M1177" i="1"/>
  <c r="N1177" i="1" s="1"/>
  <c r="M1178" i="1"/>
  <c r="N1178" i="1" s="1"/>
  <c r="M79" i="1"/>
  <c r="N79" i="1" s="1"/>
  <c r="M80" i="1"/>
  <c r="N80" i="1" s="1"/>
  <c r="M81" i="1"/>
  <c r="N81" i="1" s="1"/>
  <c r="M82" i="1"/>
  <c r="N82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892" i="1"/>
  <c r="N892" i="1" s="1"/>
  <c r="M893" i="1"/>
  <c r="N893" i="1" s="1"/>
  <c r="M894" i="1"/>
  <c r="N894" i="1" s="1"/>
  <c r="M895" i="1"/>
  <c r="N895" i="1" s="1"/>
  <c r="M896" i="1"/>
  <c r="N896" i="1" s="1"/>
  <c r="M203" i="1"/>
  <c r="N203" i="1" s="1"/>
  <c r="M204" i="1"/>
  <c r="N204" i="1" s="1"/>
  <c r="M201" i="1"/>
  <c r="N201" i="1" s="1"/>
  <c r="M202" i="1"/>
  <c r="N202" i="1" s="1"/>
  <c r="M99" i="1"/>
  <c r="N99" i="1" s="1"/>
  <c r="M100" i="1"/>
  <c r="N100" i="1" s="1"/>
  <c r="M96" i="1"/>
  <c r="N96" i="1" s="1"/>
  <c r="M97" i="1"/>
  <c r="N97" i="1" s="1"/>
  <c r="M98" i="1"/>
  <c r="N98" i="1" s="1"/>
  <c r="M1371" i="1"/>
  <c r="N1371" i="1" s="1"/>
  <c r="M1372" i="1"/>
  <c r="N1372" i="1" s="1"/>
  <c r="M1370" i="1"/>
  <c r="N1370" i="1" s="1"/>
  <c r="M1373" i="1"/>
  <c r="N1373" i="1" s="1"/>
  <c r="M1374" i="1"/>
  <c r="N1374" i="1" s="1"/>
  <c r="M795" i="1"/>
  <c r="N795" i="1" s="1"/>
  <c r="M796" i="1"/>
  <c r="N796" i="1" s="1"/>
  <c r="M792" i="1"/>
  <c r="N792" i="1" s="1"/>
  <c r="M793" i="1"/>
  <c r="N793" i="1" s="1"/>
  <c r="M794" i="1"/>
  <c r="N794" i="1" s="1"/>
  <c r="M595" i="1"/>
  <c r="N595" i="1" s="1"/>
  <c r="M596" i="1"/>
  <c r="N596" i="1" s="1"/>
  <c r="M592" i="1"/>
  <c r="N592" i="1" s="1"/>
  <c r="M593" i="1"/>
  <c r="N593" i="1" s="1"/>
  <c r="M594" i="1"/>
  <c r="N594" i="1" s="1"/>
  <c r="M270" i="1"/>
  <c r="N270" i="1" s="1"/>
  <c r="M271" i="1"/>
  <c r="N271" i="1" s="1"/>
  <c r="M274" i="1"/>
  <c r="N274" i="1" s="1"/>
  <c r="M679" i="1"/>
  <c r="N679" i="1" s="1"/>
  <c r="M680" i="1"/>
  <c r="N680" i="1" s="1"/>
  <c r="M681" i="1"/>
  <c r="N681" i="1" s="1"/>
  <c r="M682" i="1"/>
  <c r="N682" i="1" s="1"/>
  <c r="M299" i="1"/>
  <c r="N299" i="1" s="1"/>
  <c r="M300" i="1"/>
  <c r="N300" i="1" s="1"/>
  <c r="M296" i="1"/>
  <c r="N296" i="1" s="1"/>
  <c r="M297" i="1"/>
  <c r="N297" i="1" s="1"/>
  <c r="M298" i="1"/>
  <c r="N298" i="1" s="1"/>
  <c r="M459" i="1"/>
  <c r="N459" i="1" s="1"/>
  <c r="M460" i="1"/>
  <c r="N460" i="1" s="1"/>
  <c r="M461" i="1"/>
  <c r="N461" i="1" s="1"/>
  <c r="M457" i="1"/>
  <c r="N457" i="1" s="1"/>
  <c r="M458" i="1"/>
  <c r="N458" i="1" s="1"/>
  <c r="M1091" i="1"/>
  <c r="N1091" i="1" s="1"/>
  <c r="M1088" i="1"/>
  <c r="N1088" i="1" s="1"/>
  <c r="M1089" i="1"/>
  <c r="N1089" i="1" s="1"/>
  <c r="M1090" i="1"/>
  <c r="N1090" i="1" s="1"/>
  <c r="M132" i="1"/>
  <c r="N132" i="1" s="1"/>
  <c r="M133" i="1"/>
  <c r="N133" i="1" s="1"/>
  <c r="M23" i="1"/>
  <c r="N23" i="1" s="1"/>
  <c r="M26" i="1"/>
  <c r="N26" i="1" s="1"/>
  <c r="M411" i="1"/>
  <c r="N411" i="1" s="1"/>
  <c r="M412" i="1"/>
  <c r="N412" i="1" s="1"/>
  <c r="M413" i="1"/>
  <c r="N413" i="1" s="1"/>
  <c r="M409" i="1"/>
  <c r="N409" i="1" s="1"/>
  <c r="M410" i="1"/>
  <c r="N410" i="1" s="1"/>
  <c r="M833" i="1"/>
  <c r="N833" i="1" s="1"/>
  <c r="M149" i="1"/>
  <c r="N149" i="1" s="1"/>
  <c r="M150" i="1"/>
  <c r="N150" i="1" s="1"/>
  <c r="M151" i="1"/>
  <c r="N151" i="1" s="1"/>
  <c r="M152" i="1"/>
  <c r="N152" i="1" s="1"/>
  <c r="M291" i="1"/>
  <c r="N291" i="1" s="1"/>
  <c r="M288" i="1"/>
  <c r="N288" i="1" s="1"/>
  <c r="M289" i="1"/>
  <c r="N289" i="1" s="1"/>
  <c r="M290" i="1"/>
  <c r="N290" i="1" s="1"/>
  <c r="M901" i="1"/>
  <c r="N901" i="1" s="1"/>
  <c r="M902" i="1"/>
  <c r="N902" i="1" s="1"/>
  <c r="M903" i="1"/>
  <c r="N903" i="1" s="1"/>
  <c r="M904" i="1"/>
  <c r="N904" i="1" s="1"/>
  <c r="M557" i="1"/>
  <c r="N557" i="1" s="1"/>
  <c r="M558" i="1"/>
  <c r="N558" i="1" s="1"/>
  <c r="M559" i="1"/>
  <c r="N559" i="1" s="1"/>
  <c r="M560" i="1"/>
  <c r="N560" i="1" s="1"/>
  <c r="M561" i="1"/>
  <c r="N561" i="1" s="1"/>
  <c r="M627" i="1"/>
  <c r="N627" i="1" s="1"/>
  <c r="M628" i="1"/>
  <c r="N628" i="1" s="1"/>
  <c r="M629" i="1"/>
  <c r="N629" i="1" s="1"/>
  <c r="M630" i="1"/>
  <c r="N630" i="1" s="1"/>
  <c r="M166" i="1"/>
  <c r="N166" i="1" s="1"/>
  <c r="M167" i="1"/>
  <c r="N167" i="1" s="1"/>
  <c r="M168" i="1"/>
  <c r="N168" i="1" s="1"/>
  <c r="M169" i="1"/>
  <c r="N169" i="1" s="1"/>
  <c r="M1196" i="1"/>
  <c r="N1196" i="1" s="1"/>
  <c r="M562" i="1"/>
  <c r="N562" i="1" s="1"/>
  <c r="M839" i="1"/>
  <c r="N839" i="1" s="1"/>
  <c r="M784" i="1"/>
  <c r="N784" i="1" s="1"/>
  <c r="M785" i="1"/>
  <c r="N785" i="1" s="1"/>
  <c r="P240" i="28"/>
  <c r="M966" i="1"/>
  <c r="N966" i="1" s="1"/>
  <c r="M967" i="1"/>
  <c r="N967" i="1" s="1"/>
  <c r="M968" i="1"/>
  <c r="N968" i="1" s="1"/>
  <c r="M969" i="1"/>
  <c r="N969" i="1" s="1"/>
  <c r="M499" i="1"/>
  <c r="N499" i="1" s="1"/>
  <c r="M500" i="1"/>
  <c r="N500" i="1" s="1"/>
  <c r="M497" i="1"/>
  <c r="N497" i="1" s="1"/>
  <c r="M498" i="1"/>
  <c r="N498" i="1" s="1"/>
  <c r="M91" i="1"/>
  <c r="N91" i="1" s="1"/>
  <c r="M1071" i="1"/>
  <c r="N1071" i="1" s="1"/>
  <c r="M1072" i="1"/>
  <c r="N1072" i="1" s="1"/>
  <c r="M1073" i="1"/>
  <c r="N1073" i="1" s="1"/>
  <c r="M1074" i="1"/>
  <c r="N1074" i="1" s="1"/>
  <c r="M891" i="1"/>
  <c r="N891" i="1" s="1"/>
  <c r="M888" i="1"/>
  <c r="N888" i="1" s="1"/>
  <c r="M889" i="1"/>
  <c r="N889" i="1" s="1"/>
  <c r="M890" i="1"/>
  <c r="N890" i="1" s="1"/>
  <c r="M38" i="1"/>
  <c r="N38" i="1" s="1"/>
  <c r="M92" i="1"/>
  <c r="N92" i="1" s="1"/>
  <c r="M93" i="1"/>
  <c r="N93" i="1" s="1"/>
  <c r="M94" i="1"/>
  <c r="N94" i="1" s="1"/>
  <c r="M95" i="1"/>
  <c r="N95" i="1" s="1"/>
  <c r="M755" i="1"/>
  <c r="N755" i="1" s="1"/>
  <c r="M756" i="1"/>
  <c r="N756" i="1" s="1"/>
  <c r="M753" i="1"/>
  <c r="N753" i="1" s="1"/>
  <c r="M754" i="1"/>
  <c r="N754" i="1" s="1"/>
  <c r="M910" i="1"/>
  <c r="N910" i="1" s="1"/>
  <c r="M911" i="1"/>
  <c r="N911" i="1" s="1"/>
  <c r="M912" i="1"/>
  <c r="N912" i="1" s="1"/>
  <c r="M913" i="1"/>
  <c r="N913" i="1" s="1"/>
  <c r="P51" i="28"/>
  <c r="P200" i="28"/>
  <c r="M997" i="1"/>
  <c r="N997" i="1" s="1"/>
  <c r="M998" i="1"/>
  <c r="N998" i="1" s="1"/>
  <c r="P169" i="28"/>
  <c r="M53" i="1"/>
  <c r="N53" i="1" s="1"/>
  <c r="M54" i="1"/>
  <c r="N54" i="1" s="1"/>
  <c r="M55" i="1"/>
  <c r="N55" i="1" s="1"/>
  <c r="M56" i="1"/>
  <c r="N56" i="1" s="1"/>
  <c r="M701" i="1"/>
  <c r="N701" i="1" s="1"/>
  <c r="M702" i="1"/>
  <c r="N702" i="1" s="1"/>
  <c r="M703" i="1"/>
  <c r="N703" i="1" s="1"/>
  <c r="M704" i="1"/>
  <c r="N704" i="1" s="1"/>
  <c r="M451" i="1"/>
  <c r="N451" i="1" s="1"/>
  <c r="M452" i="1"/>
  <c r="N452" i="1" s="1"/>
  <c r="M448" i="1"/>
  <c r="N448" i="1" s="1"/>
  <c r="M449" i="1"/>
  <c r="N449" i="1" s="1"/>
  <c r="M450" i="1"/>
  <c r="N450" i="1" s="1"/>
  <c r="M805" i="1"/>
  <c r="N805" i="1" s="1"/>
  <c r="M644" i="1"/>
  <c r="N644" i="1" s="1"/>
  <c r="M645" i="1"/>
  <c r="N645" i="1" s="1"/>
  <c r="M646" i="1"/>
  <c r="N646" i="1" s="1"/>
  <c r="M647" i="1"/>
  <c r="N647" i="1" s="1"/>
  <c r="M648" i="1"/>
  <c r="N648" i="1" s="1"/>
  <c r="M1251" i="1"/>
  <c r="N1251" i="1" s="1"/>
  <c r="M1252" i="1"/>
  <c r="N1252" i="1" s="1"/>
  <c r="M1249" i="1"/>
  <c r="N1249" i="1" s="1"/>
  <c r="M1250" i="1"/>
  <c r="N1250" i="1" s="1"/>
  <c r="M331" i="1"/>
  <c r="N331" i="1" s="1"/>
  <c r="M332" i="1"/>
  <c r="N332" i="1" s="1"/>
  <c r="M333" i="1"/>
  <c r="N333" i="1" s="1"/>
  <c r="M334" i="1"/>
  <c r="N334" i="1" s="1"/>
  <c r="M335" i="1"/>
  <c r="N335" i="1" s="1"/>
  <c r="M898" i="1"/>
  <c r="N898" i="1" s="1"/>
  <c r="M286" i="1"/>
  <c r="N286" i="1" s="1"/>
  <c r="M1255" i="1"/>
  <c r="N1255" i="1" s="1"/>
  <c r="M862" i="1"/>
  <c r="N862" i="1" s="1"/>
  <c r="M863" i="1"/>
  <c r="N863" i="1" s="1"/>
  <c r="M864" i="1"/>
  <c r="N864" i="1" s="1"/>
  <c r="M865" i="1"/>
  <c r="N865" i="1" s="1"/>
  <c r="M828" i="1"/>
  <c r="N828" i="1" s="1"/>
  <c r="M1003" i="1"/>
  <c r="N1003" i="1" s="1"/>
  <c r="M1004" i="1"/>
  <c r="N1004" i="1" s="1"/>
  <c r="M1001" i="1"/>
  <c r="N1001" i="1" s="1"/>
  <c r="M1002" i="1"/>
  <c r="N1002" i="1" s="1"/>
  <c r="M623" i="1"/>
  <c r="N623" i="1" s="1"/>
  <c r="M624" i="1"/>
  <c r="N624" i="1" s="1"/>
  <c r="M625" i="1"/>
  <c r="N625" i="1" s="1"/>
  <c r="M626" i="1"/>
  <c r="N626" i="1" s="1"/>
  <c r="M414" i="1"/>
  <c r="N414" i="1" s="1"/>
  <c r="M415" i="1"/>
  <c r="N415" i="1" s="1"/>
  <c r="M416" i="1"/>
  <c r="N416" i="1" s="1"/>
  <c r="M417" i="1"/>
  <c r="N417" i="1" s="1"/>
  <c r="M1027" i="1"/>
  <c r="N1027" i="1" s="1"/>
  <c r="M1028" i="1"/>
  <c r="N1028" i="1" s="1"/>
  <c r="M1029" i="1"/>
  <c r="N1029" i="1" s="1"/>
  <c r="M1030" i="1"/>
  <c r="N1030" i="1" s="1"/>
  <c r="M320" i="1"/>
  <c r="N320" i="1" s="1"/>
  <c r="M321" i="1"/>
  <c r="N321" i="1" s="1"/>
  <c r="M1127" i="1"/>
  <c r="N1127" i="1" s="1"/>
  <c r="M1128" i="1"/>
  <c r="N1128" i="1" s="1"/>
  <c r="M1129" i="1"/>
  <c r="N1129" i="1" s="1"/>
  <c r="M1130" i="1"/>
  <c r="N1130" i="1" s="1"/>
  <c r="M175" i="1"/>
  <c r="N175" i="1" s="1"/>
  <c r="M176" i="1"/>
  <c r="N176" i="1" s="1"/>
  <c r="M177" i="1"/>
  <c r="N177" i="1" s="1"/>
  <c r="M178" i="1"/>
  <c r="N178" i="1" s="1"/>
  <c r="M62" i="1"/>
  <c r="N62" i="1" s="1"/>
  <c r="M63" i="1"/>
  <c r="N63" i="1" s="1"/>
  <c r="M64" i="1"/>
  <c r="N64" i="1" s="1"/>
  <c r="M65" i="1"/>
  <c r="N65" i="1" s="1"/>
  <c r="M43" i="1"/>
  <c r="N43" i="1" s="1"/>
  <c r="M40" i="1"/>
  <c r="N40" i="1" s="1"/>
  <c r="M41" i="1"/>
  <c r="N41" i="1" s="1"/>
  <c r="M42" i="1"/>
  <c r="N42" i="1" s="1"/>
  <c r="M523" i="1"/>
  <c r="N523" i="1" s="1"/>
  <c r="M524" i="1"/>
  <c r="N524" i="1" s="1"/>
  <c r="M525" i="1"/>
  <c r="N525" i="1" s="1"/>
  <c r="M526" i="1"/>
  <c r="N526" i="1" s="1"/>
  <c r="M522" i="1"/>
  <c r="N522" i="1" s="1"/>
  <c r="M667" i="1"/>
  <c r="N667" i="1" s="1"/>
  <c r="M668" i="1"/>
  <c r="N668" i="1" s="1"/>
  <c r="M669" i="1"/>
  <c r="N669" i="1" s="1"/>
  <c r="M666" i="1"/>
  <c r="N666" i="1" s="1"/>
  <c r="M739" i="1"/>
  <c r="N739" i="1" s="1"/>
  <c r="M736" i="1"/>
  <c r="N736" i="1" s="1"/>
  <c r="M738" i="1"/>
  <c r="N738" i="1" s="1"/>
  <c r="M119" i="1"/>
  <c r="N119" i="1" s="1"/>
  <c r="M766" i="1"/>
  <c r="N766" i="1" s="1"/>
  <c r="M767" i="1"/>
  <c r="N767" i="1" s="1"/>
  <c r="M768" i="1"/>
  <c r="N768" i="1" s="1"/>
  <c r="M769" i="1"/>
  <c r="N769" i="1" s="1"/>
  <c r="M555" i="1"/>
  <c r="N555" i="1" s="1"/>
  <c r="M395" i="1"/>
  <c r="N395" i="1" s="1"/>
  <c r="M392" i="1"/>
  <c r="N392" i="1" s="1"/>
  <c r="M393" i="1"/>
  <c r="N393" i="1" s="1"/>
  <c r="M394" i="1"/>
  <c r="N394" i="1" s="1"/>
  <c r="M651" i="1"/>
  <c r="N651" i="1" s="1"/>
  <c r="M652" i="1"/>
  <c r="N652" i="1" s="1"/>
  <c r="M649" i="1"/>
  <c r="N649" i="1" s="1"/>
  <c r="M650" i="1"/>
  <c r="N650" i="1" s="1"/>
  <c r="P294" i="28"/>
  <c r="P88" i="28"/>
  <c r="P285" i="28"/>
  <c r="P29" i="28"/>
  <c r="P165" i="28"/>
  <c r="P282" i="28"/>
  <c r="P288" i="28"/>
  <c r="P86" i="28"/>
  <c r="P269" i="28"/>
  <c r="P279" i="28"/>
  <c r="P293" i="28"/>
  <c r="P126" i="28"/>
  <c r="P276" i="28"/>
  <c r="P236" i="28"/>
  <c r="P124" i="28"/>
  <c r="P95" i="28"/>
  <c r="P237" i="28"/>
  <c r="P302" i="28"/>
  <c r="P66" i="28"/>
  <c r="P317" i="28"/>
  <c r="P26" i="28"/>
  <c r="P298" i="28"/>
  <c r="P296" i="28"/>
  <c r="P148" i="28"/>
  <c r="P316" i="28"/>
  <c r="P27" i="28"/>
  <c r="P283" i="28"/>
  <c r="P186" i="28"/>
  <c r="P281" i="28"/>
  <c r="P166" i="28"/>
  <c r="P280" i="28"/>
  <c r="P28" i="28"/>
  <c r="P184" i="28"/>
  <c r="P216" i="28"/>
  <c r="P301" i="28"/>
  <c r="P167" i="28"/>
  <c r="P138" i="28"/>
  <c r="P286" i="28"/>
  <c r="P289" i="28"/>
  <c r="P311" i="28"/>
  <c r="P284" i="28"/>
  <c r="P137" i="28"/>
  <c r="P48" i="28"/>
  <c r="P57" i="28"/>
  <c r="P61" i="28"/>
  <c r="P217" i="28"/>
  <c r="P136" i="28"/>
  <c r="P266" i="28"/>
  <c r="P287" i="28"/>
  <c r="P275" i="28"/>
  <c r="P274" i="28"/>
  <c r="P310" i="28"/>
  <c r="P300" i="28"/>
  <c r="P255" i="28"/>
  <c r="P62" i="28"/>
  <c r="P56" i="28"/>
  <c r="P272" i="28"/>
  <c r="P264" i="28"/>
  <c r="P46" i="28"/>
  <c r="P271" i="28"/>
  <c r="P44" i="28"/>
  <c r="P38" i="28"/>
  <c r="P220" i="28"/>
  <c r="P92" i="28"/>
  <c r="P84" i="28"/>
  <c r="P54" i="28"/>
  <c r="P270" i="28"/>
  <c r="P91" i="28"/>
  <c r="P134" i="28"/>
  <c r="P228" i="28"/>
  <c r="P82" i="28"/>
  <c r="P133" i="28"/>
  <c r="P45" i="28"/>
  <c r="P55" i="28"/>
  <c r="P40" i="28"/>
  <c r="P222" i="28"/>
  <c r="P52" i="28"/>
  <c r="M806" i="1" l="1"/>
  <c r="N806" i="1" s="1"/>
  <c r="M39" i="1"/>
  <c r="N39" i="1" s="1"/>
  <c r="M1192" i="1"/>
  <c r="N1192" i="1" s="1"/>
  <c r="M1272" i="1"/>
  <c r="N1272" i="1" s="1"/>
  <c r="M127" i="1"/>
  <c r="N127" i="1" s="1"/>
  <c r="M867" i="1"/>
  <c r="N867" i="1" s="1"/>
  <c r="M732" i="1"/>
  <c r="N732" i="1" s="1"/>
  <c r="M1322" i="1"/>
  <c r="N1322" i="1" s="1"/>
  <c r="M37" i="1"/>
  <c r="N37" i="1" s="1"/>
  <c r="M838" i="1"/>
  <c r="N838" i="1" s="1"/>
  <c r="M1195" i="1"/>
  <c r="N1195" i="1" s="1"/>
  <c r="M1126" i="1"/>
  <c r="N1126" i="1" s="1"/>
  <c r="M1320" i="1"/>
  <c r="N1320" i="1" s="1"/>
  <c r="M36" i="1"/>
  <c r="N36" i="1" s="1"/>
  <c r="M837" i="1"/>
  <c r="N837" i="1" s="1"/>
  <c r="M1125" i="1"/>
  <c r="N1125" i="1" s="1"/>
  <c r="M1319" i="1"/>
  <c r="N1319" i="1" s="1"/>
  <c r="M382" i="1"/>
  <c r="N382" i="1" s="1"/>
  <c r="M1124" i="1"/>
  <c r="N1124" i="1" s="1"/>
  <c r="M809" i="1"/>
  <c r="N809" i="1" s="1"/>
  <c r="M866" i="1"/>
  <c r="N866" i="1" s="1"/>
  <c r="M735" i="1"/>
  <c r="N735" i="1" s="1"/>
  <c r="M1069" i="1"/>
  <c r="N1069" i="1" s="1"/>
  <c r="M1042" i="1"/>
  <c r="N1042" i="1" s="1"/>
  <c r="M808" i="1"/>
  <c r="N808" i="1" s="1"/>
  <c r="M1194" i="1"/>
  <c r="N1194" i="1" s="1"/>
  <c r="M250" i="1"/>
  <c r="N250" i="1" s="1"/>
  <c r="M869" i="1"/>
  <c r="N869" i="1" s="1"/>
  <c r="M734" i="1"/>
  <c r="N734" i="1" s="1"/>
  <c r="M1273" i="1"/>
  <c r="N1273" i="1" s="1"/>
  <c r="M130" i="1"/>
  <c r="N130" i="1" s="1"/>
  <c r="M249" i="1"/>
  <c r="N249" i="1" s="1"/>
  <c r="M9" i="1"/>
  <c r="N9" i="1" s="1"/>
  <c r="M5" i="1"/>
  <c r="N5" i="1" s="1"/>
  <c r="M6" i="1"/>
  <c r="N6" i="1" s="1"/>
  <c r="M7" i="1"/>
  <c r="N7" i="1" s="1"/>
  <c r="M8" i="1"/>
  <c r="N8" i="1" s="1"/>
  <c r="D51" i="32"/>
  <c r="E51" i="32" s="1"/>
  <c r="F51" i="32" s="1"/>
  <c r="M1079" i="1"/>
  <c r="N1079" i="1" s="1"/>
  <c r="M464" i="1"/>
  <c r="N464" i="1" s="1"/>
  <c r="M15" i="1"/>
  <c r="N15" i="1" s="1"/>
  <c r="M14" i="1"/>
  <c r="N14" i="1" s="1"/>
  <c r="M1351" i="1"/>
  <c r="N1351" i="1" s="1"/>
  <c r="M1282" i="1"/>
  <c r="N1282" i="1" s="1"/>
  <c r="M505" i="1"/>
  <c r="N505" i="1" s="1"/>
  <c r="M1328" i="1"/>
  <c r="N1328" i="1" s="1"/>
  <c r="M1290" i="1"/>
  <c r="N1290" i="1" s="1"/>
  <c r="M1327" i="1"/>
  <c r="N1327" i="1" s="1"/>
  <c r="M30" i="1"/>
  <c r="N30" i="1" s="1"/>
  <c r="M1289" i="1"/>
  <c r="N1289" i="1" s="1"/>
  <c r="M426" i="1"/>
  <c r="N426" i="1" s="1"/>
  <c r="M29" i="1"/>
  <c r="N29" i="1" s="1"/>
  <c r="M1288" i="1"/>
  <c r="N1288" i="1" s="1"/>
  <c r="M425" i="1"/>
  <c r="N425" i="1" s="1"/>
  <c r="M28" i="1"/>
  <c r="N28" i="1" s="1"/>
  <c r="M265" i="1"/>
  <c r="N265" i="1" s="1"/>
  <c r="M424" i="1"/>
  <c r="N424" i="1" s="1"/>
  <c r="M1114" i="1"/>
  <c r="N1114" i="1" s="1"/>
  <c r="M138" i="1"/>
  <c r="N138" i="1" s="1"/>
  <c r="M613" i="1"/>
  <c r="N613" i="1" s="1"/>
  <c r="M369" i="1"/>
  <c r="N369" i="1" s="1"/>
  <c r="M264" i="1"/>
  <c r="N264" i="1" s="1"/>
  <c r="M1115" i="1"/>
  <c r="N1115" i="1" s="1"/>
  <c r="M139" i="1"/>
  <c r="N139" i="1" s="1"/>
  <c r="M366" i="1"/>
  <c r="N366" i="1" s="1"/>
  <c r="M465" i="1"/>
  <c r="N465" i="1" s="1"/>
  <c r="M827" i="1"/>
  <c r="N827" i="1" s="1"/>
  <c r="M1254" i="1"/>
  <c r="N1254" i="1" s="1"/>
  <c r="M285" i="1"/>
  <c r="N285" i="1" s="1"/>
  <c r="M90" i="1"/>
  <c r="N90" i="1" s="1"/>
  <c r="M565" i="1"/>
  <c r="N565" i="1" s="1"/>
  <c r="M1199" i="1"/>
  <c r="N1199" i="1" s="1"/>
  <c r="M1153" i="1"/>
  <c r="N1153" i="1" s="1"/>
  <c r="M158" i="1"/>
  <c r="N158" i="1" s="1"/>
  <c r="M636" i="1"/>
  <c r="N636" i="1" s="1"/>
  <c r="M660" i="1"/>
  <c r="N660" i="1" s="1"/>
  <c r="M759" i="1"/>
  <c r="N759" i="1" s="1"/>
  <c r="M146" i="1"/>
  <c r="N146" i="1" s="1"/>
  <c r="M556" i="1"/>
  <c r="N556" i="1" s="1"/>
  <c r="M120" i="1"/>
  <c r="N120" i="1" s="1"/>
  <c r="M829" i="1"/>
  <c r="N829" i="1" s="1"/>
  <c r="M1256" i="1"/>
  <c r="N1256" i="1" s="1"/>
  <c r="M287" i="1"/>
  <c r="N287" i="1" s="1"/>
  <c r="M283" i="1"/>
  <c r="N283" i="1" s="1"/>
  <c r="M899" i="1"/>
  <c r="N899" i="1" s="1"/>
  <c r="M999" i="1"/>
  <c r="N999" i="1" s="1"/>
  <c r="M88" i="1"/>
  <c r="N88" i="1" s="1"/>
  <c r="M786" i="1"/>
  <c r="N786" i="1" s="1"/>
  <c r="M787" i="1"/>
  <c r="N787" i="1" s="1"/>
  <c r="M563" i="1"/>
  <c r="N563" i="1" s="1"/>
  <c r="M134" i="1"/>
  <c r="N134" i="1" s="1"/>
  <c r="M272" i="1"/>
  <c r="N272" i="1" s="1"/>
  <c r="M316" i="1"/>
  <c r="N316" i="1" s="1"/>
  <c r="M1135" i="1"/>
  <c r="N1135" i="1" s="1"/>
  <c r="M1131" i="1"/>
  <c r="N1131" i="1" s="1"/>
  <c r="M367" i="1"/>
  <c r="N367" i="1" s="1"/>
  <c r="M1037" i="1"/>
  <c r="N1037" i="1" s="1"/>
  <c r="M1274" i="1"/>
  <c r="N1274" i="1" s="1"/>
  <c r="M397" i="1"/>
  <c r="N397" i="1" s="1"/>
  <c r="M86" i="1"/>
  <c r="N86" i="1" s="1"/>
  <c r="M128" i="1"/>
  <c r="N128" i="1" s="1"/>
  <c r="M160" i="1"/>
  <c r="N160" i="1" s="1"/>
  <c r="M1141" i="1"/>
  <c r="N1141" i="1" s="1"/>
  <c r="M251" i="1"/>
  <c r="N251" i="1" s="1"/>
  <c r="M511" i="1"/>
  <c r="N511" i="1" s="1"/>
  <c r="M849" i="1"/>
  <c r="N849" i="1" s="1"/>
  <c r="M617" i="1"/>
  <c r="N617" i="1" s="1"/>
  <c r="M549" i="1"/>
  <c r="N549" i="1" s="1"/>
  <c r="M750" i="1"/>
  <c r="N750" i="1" s="1"/>
  <c r="M638" i="1"/>
  <c r="N638" i="1" s="1"/>
  <c r="M478" i="1"/>
  <c r="N478" i="1" s="1"/>
  <c r="M919" i="1"/>
  <c r="N919" i="1" s="1"/>
  <c r="M657" i="1"/>
  <c r="N657" i="1" s="1"/>
  <c r="M1053" i="1"/>
  <c r="N1053" i="1" s="1"/>
  <c r="M761" i="1"/>
  <c r="N761" i="1" s="1"/>
  <c r="M757" i="1"/>
  <c r="N757" i="1" s="1"/>
  <c r="M431" i="1"/>
  <c r="N431" i="1" s="1"/>
  <c r="M1045" i="1"/>
  <c r="N1045" i="1" s="1"/>
  <c r="M1116" i="1"/>
  <c r="N1116" i="1" s="1"/>
  <c r="M147" i="1"/>
  <c r="N147" i="1" s="1"/>
  <c r="M462" i="1"/>
  <c r="N462" i="1" s="1"/>
  <c r="M337" i="1"/>
  <c r="N337" i="1" s="1"/>
  <c r="M309" i="1"/>
  <c r="N309" i="1" s="1"/>
  <c r="M441" i="1"/>
  <c r="N441" i="1" s="1"/>
  <c r="M269" i="1"/>
  <c r="N269" i="1" s="1"/>
  <c r="M17" i="1"/>
  <c r="N17" i="1" s="1"/>
  <c r="M554" i="1"/>
  <c r="N554" i="1" s="1"/>
  <c r="M122" i="1"/>
  <c r="N122" i="1" s="1"/>
  <c r="M118" i="1"/>
  <c r="N118" i="1" s="1"/>
  <c r="M897" i="1"/>
  <c r="N897" i="1" s="1"/>
  <c r="M1133" i="1"/>
  <c r="N1133" i="1" s="1"/>
  <c r="M476" i="1"/>
  <c r="N476" i="1" s="1"/>
  <c r="M921" i="1"/>
  <c r="N921" i="1" s="1"/>
  <c r="M443" i="1"/>
  <c r="N443" i="1" s="1"/>
  <c r="M267" i="1"/>
  <c r="N267" i="1" s="1"/>
  <c r="M1198" i="1"/>
  <c r="N1198" i="1" s="1"/>
  <c r="M87" i="1"/>
  <c r="N87" i="1" s="1"/>
  <c r="M161" i="1"/>
  <c r="N161" i="1" s="1"/>
  <c r="M1142" i="1"/>
  <c r="N1142" i="1" s="1"/>
  <c r="M658" i="1"/>
  <c r="N658" i="1" s="1"/>
  <c r="M145" i="1"/>
  <c r="N145" i="1" s="1"/>
  <c r="M312" i="1"/>
  <c r="N312" i="1" s="1"/>
  <c r="M381" i="1"/>
  <c r="N381" i="1" s="1"/>
  <c r="M612" i="1"/>
  <c r="N612" i="1" s="1"/>
  <c r="M1350" i="1"/>
  <c r="N1350" i="1" s="1"/>
  <c r="M832" i="1"/>
  <c r="N832" i="1" s="1"/>
  <c r="M508" i="1"/>
  <c r="N508" i="1" s="1"/>
  <c r="M1306" i="1"/>
  <c r="N1306" i="1" s="1"/>
  <c r="M1107" i="1"/>
  <c r="N1107" i="1" s="1"/>
  <c r="M137" i="1"/>
  <c r="N137" i="1" s="1"/>
  <c r="M16" i="1"/>
  <c r="N16" i="1" s="1"/>
  <c r="M1070" i="1"/>
  <c r="N1070" i="1" s="1"/>
  <c r="M322" i="1"/>
  <c r="N322" i="1" s="1"/>
  <c r="M318" i="1"/>
  <c r="N318" i="1" s="1"/>
  <c r="M1043" i="1"/>
  <c r="N1043" i="1" s="1"/>
  <c r="M383" i="1"/>
  <c r="N383" i="1" s="1"/>
  <c r="M379" i="1"/>
  <c r="N379" i="1" s="1"/>
  <c r="M609" i="1"/>
  <c r="N609" i="1" s="1"/>
  <c r="M1352" i="1"/>
  <c r="N1352" i="1" s="1"/>
  <c r="M834" i="1"/>
  <c r="N834" i="1" s="1"/>
  <c r="M835" i="1"/>
  <c r="N835" i="1" s="1"/>
  <c r="M24" i="1"/>
  <c r="N24" i="1" s="1"/>
  <c r="M1279" i="1"/>
  <c r="N1279" i="1" s="1"/>
  <c r="M33" i="1"/>
  <c r="N33" i="1" s="1"/>
  <c r="M506" i="1"/>
  <c r="N506" i="1" s="1"/>
  <c r="M1309" i="1"/>
  <c r="N1309" i="1" s="1"/>
  <c r="M1200" i="1"/>
  <c r="N1200" i="1" s="1"/>
  <c r="M1155" i="1"/>
  <c r="N1155" i="1" s="1"/>
  <c r="M780" i="1"/>
  <c r="N780" i="1" s="1"/>
  <c r="M826" i="1"/>
  <c r="N826" i="1" s="1"/>
  <c r="M578" i="1"/>
  <c r="N578" i="1" s="1"/>
  <c r="M1143" i="1"/>
  <c r="N1143" i="1" s="1"/>
  <c r="M484" i="1"/>
  <c r="N484" i="1" s="1"/>
  <c r="M468" i="1"/>
  <c r="N468" i="1" s="1"/>
  <c r="M205" i="1"/>
  <c r="N205" i="1" s="1"/>
  <c r="M1080" i="1"/>
  <c r="N1080" i="1" s="1"/>
  <c r="M1109" i="1"/>
  <c r="N1109" i="1" s="1"/>
  <c r="M1122" i="1"/>
  <c r="N1122" i="1" s="1"/>
  <c r="M1118" i="1"/>
  <c r="N1118" i="1" s="1"/>
  <c r="M148" i="1"/>
  <c r="N148" i="1" s="1"/>
  <c r="M313" i="1"/>
  <c r="N313" i="1" s="1"/>
  <c r="M292" i="1"/>
  <c r="N292" i="1" s="1"/>
  <c r="M135" i="1"/>
  <c r="N135" i="1" s="1"/>
  <c r="M1068" i="1"/>
  <c r="N1068" i="1" s="1"/>
  <c r="M1041" i="1"/>
  <c r="N1041" i="1" s="1"/>
  <c r="M1281" i="1"/>
  <c r="N1281" i="1" s="1"/>
  <c r="M1307" i="1"/>
  <c r="N1307" i="1" s="1"/>
  <c r="M824" i="1"/>
  <c r="N824" i="1" s="1"/>
  <c r="M1082" i="1"/>
  <c r="N1082" i="1" s="1"/>
  <c r="M1106" i="1"/>
  <c r="N1106" i="1" s="1"/>
  <c r="M1261" i="1"/>
  <c r="N1261" i="1" s="1"/>
  <c r="M1066" i="1"/>
  <c r="N1066" i="1" s="1"/>
  <c r="M610" i="1"/>
  <c r="N610" i="1" s="1"/>
  <c r="M295" i="1"/>
  <c r="N295" i="1" s="1"/>
  <c r="M1260" i="1"/>
  <c r="N1260" i="1" s="1"/>
  <c r="M311" i="1"/>
  <c r="N311" i="1" s="1"/>
  <c r="M1259" i="1"/>
  <c r="N1259" i="1" s="1"/>
  <c r="M294" i="1"/>
  <c r="N294" i="1" s="1"/>
  <c r="M1258" i="1"/>
  <c r="N1258" i="1" s="1"/>
  <c r="M387" i="1"/>
  <c r="N387" i="1" s="1"/>
  <c r="M384" i="1"/>
  <c r="N384" i="1" s="1"/>
  <c r="M385" i="1"/>
  <c r="N385" i="1" s="1"/>
  <c r="M386" i="1"/>
  <c r="N386" i="1" s="1"/>
  <c r="M235" i="1"/>
  <c r="N235" i="1" s="1"/>
  <c r="M231" i="1"/>
  <c r="N231" i="1" s="1"/>
  <c r="M232" i="1"/>
  <c r="N232" i="1" s="1"/>
  <c r="M233" i="1"/>
  <c r="N233" i="1" s="1"/>
  <c r="M234" i="1"/>
  <c r="N234" i="1" s="1"/>
  <c r="M1340" i="1"/>
  <c r="N1340" i="1" s="1"/>
  <c r="M1341" i="1"/>
  <c r="N1341" i="1" s="1"/>
  <c r="M1342" i="1"/>
  <c r="N1342" i="1" s="1"/>
  <c r="M1343" i="1"/>
  <c r="N1343" i="1" s="1"/>
  <c r="M635" i="1"/>
  <c r="N635" i="1" s="1"/>
  <c r="M631" i="1"/>
  <c r="N631" i="1" s="1"/>
  <c r="M632" i="1"/>
  <c r="N632" i="1" s="1"/>
  <c r="M633" i="1"/>
  <c r="N633" i="1" s="1"/>
  <c r="M634" i="1"/>
  <c r="N634" i="1" s="1"/>
  <c r="M363" i="1"/>
  <c r="N363" i="1" s="1"/>
  <c r="M364" i="1"/>
  <c r="N364" i="1" s="1"/>
  <c r="M365" i="1"/>
  <c r="N365" i="1" s="1"/>
  <c r="M362" i="1"/>
  <c r="N362" i="1" s="1"/>
  <c r="M347" i="1"/>
  <c r="N347" i="1" s="1"/>
  <c r="M348" i="1"/>
  <c r="N348" i="1" s="1"/>
  <c r="M344" i="1"/>
  <c r="N344" i="1" s="1"/>
  <c r="M345" i="1"/>
  <c r="N345" i="1" s="1"/>
  <c r="M346" i="1"/>
  <c r="N346" i="1" s="1"/>
  <c r="M259" i="1"/>
  <c r="N259" i="1" s="1"/>
  <c r="M260" i="1"/>
  <c r="N260" i="1" s="1"/>
  <c r="M261" i="1"/>
  <c r="N261" i="1" s="1"/>
  <c r="M257" i="1"/>
  <c r="N257" i="1" s="1"/>
  <c r="M258" i="1"/>
  <c r="N258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75" i="1"/>
  <c r="N1275" i="1" s="1"/>
  <c r="M1276" i="1"/>
  <c r="N1276" i="1" s="1"/>
  <c r="M1277" i="1"/>
  <c r="N1277" i="1" s="1"/>
  <c r="M1278" i="1"/>
  <c r="N1278" i="1" s="1"/>
  <c r="M527" i="1"/>
  <c r="N527" i="1" s="1"/>
  <c r="M528" i="1"/>
  <c r="N528" i="1" s="1"/>
  <c r="M529" i="1"/>
  <c r="N529" i="1" s="1"/>
  <c r="M530" i="1"/>
  <c r="N530" i="1" s="1"/>
  <c r="M979" i="1"/>
  <c r="N979" i="1" s="1"/>
  <c r="M980" i="1"/>
  <c r="N980" i="1" s="1"/>
  <c r="M981" i="1"/>
  <c r="N981" i="1" s="1"/>
  <c r="M982" i="1"/>
  <c r="N982" i="1" s="1"/>
  <c r="M155" i="1"/>
  <c r="N155" i="1" s="1"/>
  <c r="M156" i="1"/>
  <c r="N156" i="1" s="1"/>
  <c r="M153" i="1"/>
  <c r="N153" i="1" s="1"/>
  <c r="M154" i="1"/>
  <c r="N154" i="1" s="1"/>
  <c r="M1099" i="1"/>
  <c r="N1099" i="1" s="1"/>
  <c r="M1100" i="1"/>
  <c r="N1100" i="1" s="1"/>
  <c r="M1096" i="1"/>
  <c r="N1096" i="1" s="1"/>
  <c r="M1097" i="1"/>
  <c r="N1097" i="1" s="1"/>
  <c r="M1098" i="1"/>
  <c r="N1098" i="1" s="1"/>
  <c r="M931" i="1"/>
  <c r="N931" i="1" s="1"/>
  <c r="M932" i="1"/>
  <c r="N932" i="1" s="1"/>
  <c r="M933" i="1"/>
  <c r="N933" i="1" s="1"/>
  <c r="M934" i="1"/>
  <c r="N934" i="1" s="1"/>
  <c r="M935" i="1"/>
  <c r="N935" i="1" s="1"/>
  <c r="M1235" i="1"/>
  <c r="N1235" i="1" s="1"/>
  <c r="M1231" i="1"/>
  <c r="N1231" i="1" s="1"/>
  <c r="M1232" i="1"/>
  <c r="N1232" i="1" s="1"/>
  <c r="M1233" i="1"/>
  <c r="N1233" i="1" s="1"/>
  <c r="M1234" i="1"/>
  <c r="N1234" i="1" s="1"/>
  <c r="M709" i="1"/>
  <c r="N709" i="1" s="1"/>
  <c r="M710" i="1"/>
  <c r="N710" i="1" s="1"/>
  <c r="M711" i="1"/>
  <c r="N711" i="1" s="1"/>
  <c r="M712" i="1"/>
  <c r="N712" i="1" s="1"/>
  <c r="M713" i="1"/>
  <c r="N713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014" i="1"/>
  <c r="N1014" i="1" s="1"/>
  <c r="M1015" i="1"/>
  <c r="N1015" i="1" s="1"/>
  <c r="M1016" i="1"/>
  <c r="N1016" i="1" s="1"/>
  <c r="M1017" i="1"/>
  <c r="N1017" i="1" s="1"/>
  <c r="M1214" i="1"/>
  <c r="N1214" i="1" s="1"/>
  <c r="M1215" i="1"/>
  <c r="N1215" i="1" s="1"/>
  <c r="M1216" i="1"/>
  <c r="N1216" i="1" s="1"/>
  <c r="M1217" i="1"/>
  <c r="N1217" i="1" s="1"/>
  <c r="M723" i="1"/>
  <c r="N723" i="1" s="1"/>
  <c r="M724" i="1"/>
  <c r="N724" i="1" s="1"/>
  <c r="M725" i="1"/>
  <c r="N725" i="1" s="1"/>
  <c r="M726" i="1"/>
  <c r="N726" i="1" s="1"/>
  <c r="M722" i="1"/>
  <c r="N722" i="1" s="1"/>
  <c r="M307" i="1"/>
  <c r="N307" i="1" s="1"/>
  <c r="M308" i="1"/>
  <c r="N308" i="1" s="1"/>
  <c r="M305" i="1"/>
  <c r="N305" i="1" s="1"/>
  <c r="M306" i="1"/>
  <c r="N306" i="1" s="1"/>
  <c r="M388" i="1"/>
  <c r="N388" i="1" s="1"/>
  <c r="M389" i="1"/>
  <c r="N389" i="1" s="1"/>
  <c r="M390" i="1"/>
  <c r="N390" i="1" s="1"/>
  <c r="M391" i="1"/>
  <c r="N391" i="1" s="1"/>
  <c r="M1147" i="1"/>
  <c r="N1147" i="1" s="1"/>
  <c r="M1148" i="1"/>
  <c r="N1148" i="1" s="1"/>
  <c r="M1144" i="1"/>
  <c r="N1144" i="1" s="1"/>
  <c r="M1145" i="1"/>
  <c r="N1145" i="1" s="1"/>
  <c r="M1146" i="1"/>
  <c r="N1146" i="1" s="1"/>
  <c r="M109" i="1"/>
  <c r="N109" i="1" s="1"/>
  <c r="M110" i="1"/>
  <c r="N110" i="1" s="1"/>
  <c r="M111" i="1"/>
  <c r="N111" i="1" s="1"/>
  <c r="M112" i="1"/>
  <c r="N112" i="1" s="1"/>
  <c r="M113" i="1"/>
  <c r="N113" i="1" s="1"/>
  <c r="M403" i="1"/>
  <c r="N403" i="1" s="1"/>
  <c r="M404" i="1"/>
  <c r="N404" i="1" s="1"/>
  <c r="M401" i="1"/>
  <c r="N401" i="1" s="1"/>
  <c r="M402" i="1"/>
  <c r="N402" i="1" s="1"/>
  <c r="M214" i="1"/>
  <c r="N214" i="1" s="1"/>
  <c r="M215" i="1"/>
  <c r="N215" i="1" s="1"/>
  <c r="M216" i="1"/>
  <c r="N216" i="1" s="1"/>
  <c r="M217" i="1"/>
  <c r="N217" i="1" s="1"/>
  <c r="M571" i="1"/>
  <c r="N571" i="1" s="1"/>
  <c r="M572" i="1"/>
  <c r="N572" i="1" s="1"/>
  <c r="M573" i="1"/>
  <c r="N573" i="1" s="1"/>
  <c r="M574" i="1"/>
  <c r="N574" i="1" s="1"/>
  <c r="M570" i="1"/>
  <c r="N570" i="1" s="1"/>
  <c r="M179" i="1"/>
  <c r="N179" i="1" s="1"/>
  <c r="M180" i="1"/>
  <c r="N180" i="1" s="1"/>
  <c r="M181" i="1"/>
  <c r="N181" i="1" s="1"/>
  <c r="M182" i="1"/>
  <c r="N182" i="1" s="1"/>
  <c r="M183" i="1"/>
  <c r="N183" i="1" s="1"/>
  <c r="M1292" i="1"/>
  <c r="N1292" i="1" s="1"/>
  <c r="M1293" i="1"/>
  <c r="N1293" i="1" s="1"/>
  <c r="M1294" i="1"/>
  <c r="N1294" i="1" s="1"/>
  <c r="M1295" i="1"/>
  <c r="N1295" i="1" s="1"/>
  <c r="M253" i="1"/>
  <c r="N253" i="1" s="1"/>
  <c r="M254" i="1"/>
  <c r="N254" i="1" s="1"/>
  <c r="M255" i="1"/>
  <c r="N255" i="1" s="1"/>
  <c r="M256" i="1"/>
  <c r="N256" i="1" s="1"/>
  <c r="M588" i="1"/>
  <c r="N588" i="1" s="1"/>
  <c r="M589" i="1"/>
  <c r="N589" i="1" s="1"/>
  <c r="M590" i="1"/>
  <c r="N590" i="1" s="1"/>
  <c r="M591" i="1"/>
  <c r="N591" i="1" s="1"/>
  <c r="M1211" i="1"/>
  <c r="N1211" i="1" s="1"/>
  <c r="M1212" i="1"/>
  <c r="N1212" i="1" s="1"/>
  <c r="M1213" i="1"/>
  <c r="N1213" i="1" s="1"/>
  <c r="M1210" i="1"/>
  <c r="N1210" i="1" s="1"/>
  <c r="M101" i="1"/>
  <c r="N101" i="1" s="1"/>
  <c r="M102" i="1"/>
  <c r="N102" i="1" s="1"/>
  <c r="M103" i="1"/>
  <c r="N103" i="1" s="1"/>
  <c r="M104" i="1"/>
  <c r="N104" i="1" s="1"/>
  <c r="M1188" i="1"/>
  <c r="N1188" i="1" s="1"/>
  <c r="M1189" i="1"/>
  <c r="N1189" i="1" s="1"/>
  <c r="M1190" i="1"/>
  <c r="N1190" i="1" s="1"/>
  <c r="M1191" i="1"/>
  <c r="N1191" i="1" s="1"/>
  <c r="M707" i="1"/>
  <c r="N707" i="1" s="1"/>
  <c r="M708" i="1"/>
  <c r="N708" i="1" s="1"/>
  <c r="M705" i="1"/>
  <c r="N705" i="1" s="1"/>
  <c r="M706" i="1"/>
  <c r="N706" i="1" s="1"/>
  <c r="M955" i="1"/>
  <c r="N955" i="1" s="1"/>
  <c r="M956" i="1"/>
  <c r="N956" i="1" s="1"/>
  <c r="M953" i="1"/>
  <c r="N953" i="1" s="1"/>
  <c r="M954" i="1"/>
  <c r="N954" i="1" s="1"/>
  <c r="M715" i="1"/>
  <c r="N715" i="1" s="1"/>
  <c r="M716" i="1"/>
  <c r="N716" i="1" s="1"/>
  <c r="M717" i="1"/>
  <c r="N717" i="1" s="1"/>
  <c r="M714" i="1"/>
  <c r="N714" i="1" s="1"/>
  <c r="M539" i="1"/>
  <c r="N539" i="1" s="1"/>
  <c r="M536" i="1"/>
  <c r="N536" i="1" s="1"/>
  <c r="M537" i="1"/>
  <c r="N537" i="1" s="1"/>
  <c r="M538" i="1"/>
  <c r="N538" i="1" s="1"/>
  <c r="M1310" i="1"/>
  <c r="N1310" i="1" s="1"/>
  <c r="M1311" i="1"/>
  <c r="N1311" i="1" s="1"/>
  <c r="M1312" i="1"/>
  <c r="N1312" i="1" s="1"/>
  <c r="M1313" i="1"/>
  <c r="N1313" i="1" s="1"/>
  <c r="M1092" i="1"/>
  <c r="N1092" i="1" s="1"/>
  <c r="M1093" i="1"/>
  <c r="N1093" i="1" s="1"/>
  <c r="M1094" i="1"/>
  <c r="N1094" i="1" s="1"/>
  <c r="M1095" i="1"/>
  <c r="N1095" i="1" s="1"/>
  <c r="M1166" i="1"/>
  <c r="N1166" i="1" s="1"/>
  <c r="M1167" i="1"/>
  <c r="N1167" i="1" s="1"/>
  <c r="M1168" i="1"/>
  <c r="N1168" i="1" s="1"/>
  <c r="M1169" i="1"/>
  <c r="N1169" i="1" s="1"/>
  <c r="M797" i="1"/>
  <c r="N797" i="1" s="1"/>
  <c r="M798" i="1"/>
  <c r="N798" i="1" s="1"/>
  <c r="M799" i="1"/>
  <c r="N799" i="1" s="1"/>
  <c r="M800" i="1"/>
  <c r="N800" i="1" s="1"/>
  <c r="M188" i="1"/>
  <c r="N188" i="1" s="1"/>
  <c r="M189" i="1"/>
  <c r="N189" i="1" s="1"/>
  <c r="M190" i="1"/>
  <c r="N190" i="1" s="1"/>
  <c r="M191" i="1"/>
  <c r="N191" i="1" s="1"/>
  <c r="M1299" i="1"/>
  <c r="N1299" i="1" s="1"/>
  <c r="M1300" i="1"/>
  <c r="N1300" i="1" s="1"/>
  <c r="M1296" i="1"/>
  <c r="N1296" i="1" s="1"/>
  <c r="M1297" i="1"/>
  <c r="N1297" i="1" s="1"/>
  <c r="M1298" i="1"/>
  <c r="N1298" i="1" s="1"/>
  <c r="M1262" i="1"/>
  <c r="N1262" i="1" s="1"/>
  <c r="M1263" i="1"/>
  <c r="N1263" i="1" s="1"/>
  <c r="M1264" i="1"/>
  <c r="N1264" i="1" s="1"/>
  <c r="M1265" i="1"/>
  <c r="N1265" i="1" s="1"/>
  <c r="M1227" i="1"/>
  <c r="N1227" i="1" s="1"/>
  <c r="M1228" i="1"/>
  <c r="N1228" i="1" s="1"/>
  <c r="M1229" i="1"/>
  <c r="N1229" i="1" s="1"/>
  <c r="M1230" i="1"/>
  <c r="N1230" i="1" s="1"/>
  <c r="M1101" i="1"/>
  <c r="N1101" i="1" s="1"/>
  <c r="M1102" i="1"/>
  <c r="N1102" i="1" s="1"/>
  <c r="M1103" i="1"/>
  <c r="N1103" i="1" s="1"/>
  <c r="M1104" i="1"/>
  <c r="N1104" i="1" s="1"/>
  <c r="M236" i="1"/>
  <c r="N236" i="1" s="1"/>
  <c r="M237" i="1"/>
  <c r="N237" i="1" s="1"/>
  <c r="M238" i="1"/>
  <c r="N238" i="1" s="1"/>
  <c r="M239" i="1"/>
  <c r="N239" i="1" s="1"/>
  <c r="M1163" i="1"/>
  <c r="N1163" i="1" s="1"/>
  <c r="M1164" i="1"/>
  <c r="N1164" i="1" s="1"/>
  <c r="M1165" i="1"/>
  <c r="N1165" i="1" s="1"/>
  <c r="M1162" i="1"/>
  <c r="N1162" i="1" s="1"/>
  <c r="M196" i="1"/>
  <c r="N196" i="1" s="1"/>
  <c r="M197" i="1"/>
  <c r="N197" i="1" s="1"/>
  <c r="M198" i="1"/>
  <c r="N198" i="1" s="1"/>
  <c r="M199" i="1"/>
  <c r="N199" i="1" s="1"/>
  <c r="M200" i="1"/>
  <c r="N200" i="1" s="1"/>
  <c r="M275" i="1"/>
  <c r="N275" i="1" s="1"/>
  <c r="M276" i="1"/>
  <c r="N276" i="1" s="1"/>
  <c r="M277" i="1"/>
  <c r="N277" i="1" s="1"/>
  <c r="M278" i="1"/>
  <c r="N278" i="1" s="1"/>
  <c r="M227" i="1"/>
  <c r="N227" i="1" s="1"/>
  <c r="M228" i="1"/>
  <c r="N228" i="1" s="1"/>
  <c r="M229" i="1"/>
  <c r="N229" i="1" s="1"/>
  <c r="M230" i="1"/>
  <c r="N230" i="1" s="1"/>
  <c r="M1139" i="1"/>
  <c r="N1139" i="1" s="1"/>
  <c r="M1136" i="1"/>
  <c r="N1136" i="1" s="1"/>
  <c r="M1137" i="1"/>
  <c r="N1137" i="1" s="1"/>
  <c r="M1138" i="1"/>
  <c r="N1138" i="1" s="1"/>
  <c r="M587" i="1"/>
  <c r="N587" i="1" s="1"/>
  <c r="M584" i="1"/>
  <c r="N584" i="1" s="1"/>
  <c r="M585" i="1"/>
  <c r="N585" i="1" s="1"/>
  <c r="M586" i="1"/>
  <c r="N586" i="1" s="1"/>
  <c r="M107" i="1"/>
  <c r="N107" i="1" s="1"/>
  <c r="M108" i="1"/>
  <c r="N108" i="1" s="1"/>
  <c r="M105" i="1"/>
  <c r="N105" i="1" s="1"/>
  <c r="M106" i="1"/>
  <c r="N106" i="1" s="1"/>
  <c r="M1203" i="1"/>
  <c r="N1203" i="1" s="1"/>
  <c r="M1204" i="1"/>
  <c r="N1204" i="1" s="1"/>
  <c r="M1201" i="1"/>
  <c r="N1201" i="1" s="1"/>
  <c r="M1202" i="1"/>
  <c r="N1202" i="1" s="1"/>
  <c r="M371" i="1"/>
  <c r="N371" i="1" s="1"/>
  <c r="M372" i="1"/>
  <c r="N372" i="1" s="1"/>
  <c r="M373" i="1"/>
  <c r="N373" i="1" s="1"/>
  <c r="M374" i="1"/>
  <c r="N374" i="1" s="1"/>
  <c r="M370" i="1"/>
  <c r="N370" i="1" s="1"/>
  <c r="M219" i="1"/>
  <c r="N219" i="1" s="1"/>
  <c r="M220" i="1"/>
  <c r="N220" i="1" s="1"/>
  <c r="M221" i="1"/>
  <c r="N221" i="1" s="1"/>
  <c r="M222" i="1"/>
  <c r="N222" i="1" s="1"/>
  <c r="M218" i="1"/>
  <c r="N218" i="1" s="1"/>
  <c r="M1339" i="1"/>
  <c r="N1339" i="1" s="1"/>
  <c r="M1335" i="1"/>
  <c r="N1335" i="1" s="1"/>
  <c r="M1336" i="1"/>
  <c r="N1336" i="1" s="1"/>
  <c r="M1337" i="1"/>
  <c r="N1337" i="1" s="1"/>
  <c r="M1338" i="1"/>
  <c r="N1338" i="1" s="1"/>
  <c r="M1366" i="1"/>
  <c r="N1366" i="1" s="1"/>
  <c r="M1367" i="1"/>
  <c r="N1367" i="1" s="1"/>
  <c r="M1368" i="1"/>
  <c r="N1368" i="1" s="1"/>
  <c r="M1369" i="1"/>
  <c r="N1369" i="1" s="1"/>
  <c r="M115" i="1"/>
  <c r="N115" i="1" s="1"/>
  <c r="M116" i="1"/>
  <c r="N116" i="1" s="1"/>
  <c r="M117" i="1"/>
  <c r="N117" i="1" s="1"/>
  <c r="M114" i="1"/>
  <c r="N114" i="1" s="1"/>
  <c r="M163" i="1"/>
  <c r="N163" i="1" s="1"/>
  <c r="M164" i="1"/>
  <c r="N164" i="1" s="1"/>
  <c r="M165" i="1"/>
  <c r="N165" i="1" s="1"/>
  <c r="M162" i="1"/>
  <c r="N162" i="1" s="1"/>
  <c r="M1179" i="1"/>
  <c r="N1179" i="1" s="1"/>
  <c r="M1180" i="1"/>
  <c r="N1180" i="1" s="1"/>
  <c r="M1181" i="1"/>
  <c r="N1181" i="1" s="1"/>
  <c r="M1182" i="1"/>
  <c r="N1182" i="1" s="1"/>
  <c r="M1219" i="1"/>
  <c r="N1219" i="1" s="1"/>
  <c r="M1220" i="1"/>
  <c r="N1220" i="1" s="1"/>
  <c r="M1221" i="1"/>
  <c r="N1221" i="1" s="1"/>
  <c r="M1222" i="1"/>
  <c r="N1222" i="1" s="1"/>
  <c r="M1218" i="1"/>
  <c r="N1218" i="1" s="1"/>
  <c r="M223" i="1"/>
  <c r="N223" i="1" s="1"/>
  <c r="M224" i="1"/>
  <c r="N224" i="1" s="1"/>
  <c r="M225" i="1"/>
  <c r="N225" i="1" s="1"/>
  <c r="M226" i="1"/>
  <c r="N226" i="1" s="1"/>
  <c r="M1187" i="1"/>
  <c r="N1187" i="1" s="1"/>
  <c r="M1183" i="1"/>
  <c r="N1183" i="1" s="1"/>
  <c r="M1184" i="1"/>
  <c r="N1184" i="1" s="1"/>
  <c r="M1185" i="1"/>
  <c r="N1185" i="1" s="1"/>
  <c r="M1186" i="1"/>
  <c r="N1186" i="1" s="1"/>
  <c r="M927" i="1"/>
  <c r="N927" i="1" s="1"/>
  <c r="M928" i="1"/>
  <c r="N928" i="1" s="1"/>
  <c r="M929" i="1"/>
  <c r="N929" i="1" s="1"/>
  <c r="M930" i="1"/>
  <c r="N930" i="1" s="1"/>
  <c r="M1301" i="1"/>
  <c r="N1301" i="1" s="1"/>
  <c r="M1302" i="1"/>
  <c r="N1302" i="1" s="1"/>
  <c r="M1303" i="1"/>
  <c r="N1303" i="1" s="1"/>
  <c r="M1304" i="1"/>
  <c r="N1304" i="1" s="1"/>
  <c r="M187" i="1"/>
  <c r="N187" i="1" s="1"/>
  <c r="M184" i="1"/>
  <c r="N184" i="1" s="1"/>
  <c r="M185" i="1"/>
  <c r="N185" i="1" s="1"/>
  <c r="M186" i="1"/>
  <c r="N186" i="1" s="1"/>
  <c r="M355" i="1"/>
  <c r="N355" i="1" s="1"/>
  <c r="M356" i="1"/>
  <c r="N356" i="1" s="1"/>
  <c r="M353" i="1"/>
  <c r="N353" i="1" s="1"/>
  <c r="M354" i="1"/>
  <c r="N354" i="1" s="1"/>
  <c r="M1171" i="1"/>
  <c r="N1171" i="1" s="1"/>
  <c r="M1172" i="1"/>
  <c r="N1172" i="1" s="1"/>
  <c r="M1173" i="1"/>
  <c r="N1173" i="1" s="1"/>
  <c r="M1174" i="1"/>
  <c r="N1174" i="1" s="1"/>
  <c r="M1170" i="1"/>
  <c r="N1170" i="1" s="1"/>
  <c r="M1236" i="1"/>
  <c r="N1236" i="1" s="1"/>
  <c r="M1237" i="1"/>
  <c r="N1237" i="1" s="1"/>
  <c r="M1238" i="1"/>
  <c r="N1238" i="1" s="1"/>
  <c r="M1239" i="1"/>
  <c r="N1239" i="1" s="1"/>
  <c r="M1223" i="1"/>
  <c r="N1223" i="1" s="1"/>
  <c r="M1224" i="1"/>
  <c r="N1224" i="1" s="1"/>
  <c r="M1225" i="1"/>
  <c r="N1225" i="1" s="1"/>
  <c r="M1226" i="1"/>
  <c r="N1226" i="1" s="1"/>
  <c r="M788" i="1"/>
  <c r="N788" i="1" s="1"/>
  <c r="M789" i="1"/>
  <c r="N789" i="1" s="1"/>
  <c r="M790" i="1"/>
  <c r="N790" i="1" s="1"/>
  <c r="M791" i="1"/>
  <c r="N791" i="1" s="1"/>
  <c r="M1363" i="1"/>
  <c r="N1363" i="1" s="1"/>
  <c r="M1364" i="1"/>
  <c r="N1364" i="1" s="1"/>
  <c r="M1365" i="1"/>
  <c r="N1365" i="1" s="1"/>
  <c r="M1362" i="1"/>
  <c r="N1362" i="1" s="1"/>
  <c r="M1019" i="1"/>
  <c r="N1019" i="1" s="1"/>
  <c r="M1020" i="1"/>
  <c r="N1020" i="1" s="1"/>
  <c r="M1021" i="1"/>
  <c r="N1021" i="1" s="1"/>
  <c r="M1018" i="1"/>
  <c r="N1018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267" i="1"/>
  <c r="N1267" i="1" s="1"/>
  <c r="M1268" i="1"/>
  <c r="N1268" i="1" s="1"/>
  <c r="M1269" i="1"/>
  <c r="N1269" i="1" s="1"/>
  <c r="M1270" i="1"/>
  <c r="N1270" i="1" s="1"/>
  <c r="M1266" i="1"/>
  <c r="N1266" i="1" s="1"/>
  <c r="M859" i="1"/>
  <c r="N859" i="1" s="1"/>
  <c r="M860" i="1"/>
  <c r="N860" i="1" s="1"/>
  <c r="M861" i="1"/>
  <c r="N861" i="1" s="1"/>
  <c r="M857" i="1"/>
  <c r="N857" i="1" s="1"/>
  <c r="M858" i="1"/>
  <c r="N858" i="1" s="1"/>
  <c r="M1035" i="1"/>
  <c r="N1035" i="1" s="1"/>
  <c r="M1031" i="1"/>
  <c r="N1031" i="1" s="1"/>
  <c r="M1032" i="1"/>
  <c r="N1032" i="1" s="1"/>
  <c r="M1033" i="1"/>
  <c r="N1033" i="1" s="1"/>
  <c r="M1034" i="1"/>
  <c r="N1034" i="1" s="1"/>
  <c r="M405" i="1"/>
  <c r="N405" i="1" s="1"/>
  <c r="M406" i="1"/>
  <c r="N406" i="1" s="1"/>
  <c r="M407" i="1"/>
  <c r="N407" i="1" s="1"/>
  <c r="M408" i="1"/>
  <c r="N408" i="1" s="1"/>
  <c r="M971" i="1"/>
  <c r="N971" i="1" s="1"/>
  <c r="M972" i="1"/>
  <c r="N972" i="1" s="1"/>
  <c r="M973" i="1"/>
  <c r="N973" i="1" s="1"/>
  <c r="M974" i="1"/>
  <c r="N974" i="1" s="1"/>
  <c r="M970" i="1"/>
  <c r="N970" i="1" s="1"/>
  <c r="M211" i="1"/>
  <c r="N211" i="1" s="1"/>
  <c r="M212" i="1"/>
  <c r="N212" i="1" s="1"/>
  <c r="M213" i="1"/>
  <c r="N213" i="1" s="1"/>
  <c r="M209" i="1"/>
  <c r="N209" i="1" s="1"/>
  <c r="M210" i="1"/>
  <c r="N210" i="1" s="1"/>
  <c r="M301" i="1"/>
  <c r="N301" i="1" s="1"/>
  <c r="M302" i="1"/>
  <c r="N302" i="1" s="1"/>
  <c r="M303" i="1"/>
  <c r="N303" i="1" s="1"/>
  <c r="M304" i="1"/>
  <c r="N304" i="1" s="1"/>
  <c r="M566" i="1"/>
  <c r="N566" i="1" s="1"/>
  <c r="M567" i="1"/>
  <c r="N567" i="1" s="1"/>
  <c r="M568" i="1"/>
  <c r="N568" i="1" s="1"/>
  <c r="M569" i="1"/>
  <c r="N569" i="1" s="1"/>
  <c r="M947" i="1"/>
  <c r="N947" i="1" s="1"/>
  <c r="M948" i="1"/>
  <c r="N948" i="1" s="1"/>
  <c r="M944" i="1"/>
  <c r="N944" i="1" s="1"/>
  <c r="M945" i="1"/>
  <c r="N945" i="1" s="1"/>
  <c r="M946" i="1"/>
  <c r="N946" i="1" s="1"/>
  <c r="M579" i="1"/>
  <c r="N579" i="1" s="1"/>
  <c r="M580" i="1"/>
  <c r="N580" i="1" s="1"/>
  <c r="M581" i="1"/>
  <c r="N581" i="1" s="1"/>
  <c r="M582" i="1"/>
  <c r="N582" i="1" s="1"/>
  <c r="M583" i="1"/>
  <c r="N583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43" i="1"/>
  <c r="N1243" i="1" s="1"/>
  <c r="M1240" i="1"/>
  <c r="N1240" i="1" s="1"/>
  <c r="M1241" i="1"/>
  <c r="N1241" i="1" s="1"/>
  <c r="M1242" i="1"/>
  <c r="N1242" i="1" s="1"/>
  <c r="M436" i="1"/>
  <c r="N436" i="1" s="1"/>
  <c r="M437" i="1"/>
  <c r="N437" i="1" s="1"/>
  <c r="M438" i="1"/>
  <c r="N438" i="1" s="1"/>
  <c r="M439" i="1"/>
  <c r="N439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L1545" i="26"/>
  <c r="L1544" i="26"/>
  <c r="L1543" i="26"/>
  <c r="L1542" i="26"/>
  <c r="L1541" i="26"/>
  <c r="L1540" i="26"/>
  <c r="L1539" i="26"/>
  <c r="L1538" i="26"/>
  <c r="L1537" i="26"/>
  <c r="L1536" i="26"/>
  <c r="L1535" i="26"/>
  <c r="L1534" i="26"/>
  <c r="L1533" i="26"/>
  <c r="L1532" i="26"/>
  <c r="B1532" i="26"/>
  <c r="L1531" i="26"/>
  <c r="D1531" i="26"/>
  <c r="B1531" i="26"/>
  <c r="L1530" i="26"/>
  <c r="D1530" i="26"/>
  <c r="B1530" i="26"/>
  <c r="L1529" i="26"/>
  <c r="D1529" i="26"/>
  <c r="B1529" i="26"/>
  <c r="L1528" i="26"/>
  <c r="D1528" i="26"/>
  <c r="B1528" i="26"/>
  <c r="L1527" i="26"/>
  <c r="D1527" i="26"/>
  <c r="B1527" i="26"/>
  <c r="L1526" i="26"/>
  <c r="D1526" i="26"/>
  <c r="B1526" i="26"/>
  <c r="L1525" i="26"/>
  <c r="D1525" i="26"/>
  <c r="B1525" i="26"/>
  <c r="L1524" i="26"/>
  <c r="D1524" i="26"/>
  <c r="B1524" i="26"/>
  <c r="L1523" i="26"/>
  <c r="D1523" i="26"/>
  <c r="B1523" i="26"/>
  <c r="L1522" i="26"/>
  <c r="D1522" i="26"/>
  <c r="B1522" i="26"/>
  <c r="L1521" i="26"/>
  <c r="D1521" i="26"/>
  <c r="B1521" i="26"/>
  <c r="L1520" i="26"/>
  <c r="D1520" i="26"/>
  <c r="B1520" i="26"/>
  <c r="L1519" i="26"/>
  <c r="D1519" i="26"/>
  <c r="B1519" i="26"/>
  <c r="L1518" i="26"/>
  <c r="D1518" i="26"/>
  <c r="B1518" i="26"/>
  <c r="L1517" i="26"/>
  <c r="D1517" i="26"/>
  <c r="B1517" i="26"/>
  <c r="L1516" i="26"/>
  <c r="D1516" i="26"/>
  <c r="B1516" i="26"/>
  <c r="L1515" i="26"/>
  <c r="D1515" i="26"/>
  <c r="B1515" i="26"/>
  <c r="L1514" i="26"/>
  <c r="D1514" i="26"/>
  <c r="B1514" i="26"/>
  <c r="L1513" i="26"/>
  <c r="N1513" i="26" s="1"/>
  <c r="T1513" i="26" s="1"/>
  <c r="D1513" i="26"/>
  <c r="B1513" i="26"/>
  <c r="L1512" i="26"/>
  <c r="D1512" i="26"/>
  <c r="B1512" i="26"/>
  <c r="L1511" i="26"/>
  <c r="D1511" i="26"/>
  <c r="B1511" i="26"/>
  <c r="L1510" i="26"/>
  <c r="D1510" i="26"/>
  <c r="B1510" i="26"/>
  <c r="L1509" i="26"/>
  <c r="D1509" i="26"/>
  <c r="B1509" i="26"/>
  <c r="L1508" i="26"/>
  <c r="D1508" i="26"/>
  <c r="B1508" i="26"/>
  <c r="L1507" i="26"/>
  <c r="D1507" i="26"/>
  <c r="B1507" i="26"/>
  <c r="L1506" i="26"/>
  <c r="D1506" i="26"/>
  <c r="B1506" i="26"/>
  <c r="L1505" i="26"/>
  <c r="D1505" i="26"/>
  <c r="B1505" i="26"/>
  <c r="L1504" i="26"/>
  <c r="D1504" i="26"/>
  <c r="B1504" i="26"/>
  <c r="L1503" i="26"/>
  <c r="N1503" i="26" s="1"/>
  <c r="T1503" i="26" s="1"/>
  <c r="D1503" i="26"/>
  <c r="B1503" i="26"/>
  <c r="L1502" i="26"/>
  <c r="D1502" i="26"/>
  <c r="B1502" i="26"/>
  <c r="L1501" i="26"/>
  <c r="D1501" i="26"/>
  <c r="B1501" i="26"/>
  <c r="L1500" i="26"/>
  <c r="I1500" i="26"/>
  <c r="D1500" i="26"/>
  <c r="B1500" i="26"/>
  <c r="L1499" i="26"/>
  <c r="I1499" i="26"/>
  <c r="D1499" i="26"/>
  <c r="B1499" i="26"/>
  <c r="L1498" i="26"/>
  <c r="I1498" i="26"/>
  <c r="D1498" i="26"/>
  <c r="B1498" i="26"/>
  <c r="L1497" i="26"/>
  <c r="N1497" i="26" s="1"/>
  <c r="I1497" i="26"/>
  <c r="D1497" i="26"/>
  <c r="B1497" i="26"/>
  <c r="L1496" i="26"/>
  <c r="I1496" i="26"/>
  <c r="D1496" i="26"/>
  <c r="B1496" i="26"/>
  <c r="L1495" i="26"/>
  <c r="I1495" i="26"/>
  <c r="D1495" i="26"/>
  <c r="B1495" i="26"/>
  <c r="L1494" i="26"/>
  <c r="I1494" i="26"/>
  <c r="F1494" i="26"/>
  <c r="H1494" i="26" s="1"/>
  <c r="E1494" i="26"/>
  <c r="G1494" i="26" s="1"/>
  <c r="D1494" i="26"/>
  <c r="B1494" i="26"/>
  <c r="L1493" i="26"/>
  <c r="I1493" i="26"/>
  <c r="F1493" i="26"/>
  <c r="H1493" i="26" s="1"/>
  <c r="E1493" i="26"/>
  <c r="G1493" i="26" s="1"/>
  <c r="D1493" i="26"/>
  <c r="B1493" i="26"/>
  <c r="L1492" i="26"/>
  <c r="I1492" i="26"/>
  <c r="F1492" i="26"/>
  <c r="H1492" i="26" s="1"/>
  <c r="E1492" i="26"/>
  <c r="G1492" i="26" s="1"/>
  <c r="D1492" i="26"/>
  <c r="B1492" i="26"/>
  <c r="L1491" i="26"/>
  <c r="N1491" i="26" s="1"/>
  <c r="I1491" i="26"/>
  <c r="F1491" i="26"/>
  <c r="H1491" i="26" s="1"/>
  <c r="E1491" i="26"/>
  <c r="G1491" i="26" s="1"/>
  <c r="D1491" i="26"/>
  <c r="B1491" i="26"/>
  <c r="L1490" i="26"/>
  <c r="I1490" i="26"/>
  <c r="F1490" i="26"/>
  <c r="H1490" i="26" s="1"/>
  <c r="E1490" i="26"/>
  <c r="G1490" i="26" s="1"/>
  <c r="D1490" i="26"/>
  <c r="B1490" i="26"/>
  <c r="L1489" i="26"/>
  <c r="I1489" i="26"/>
  <c r="F1489" i="26"/>
  <c r="H1489" i="26" s="1"/>
  <c r="E1489" i="26"/>
  <c r="G1489" i="26" s="1"/>
  <c r="D1489" i="26"/>
  <c r="B1489" i="26"/>
  <c r="L1488" i="26"/>
  <c r="I1488" i="26"/>
  <c r="F1488" i="26"/>
  <c r="H1488" i="26" s="1"/>
  <c r="E1488" i="26"/>
  <c r="G1488" i="26" s="1"/>
  <c r="D1488" i="26"/>
  <c r="B1488" i="26"/>
  <c r="L1487" i="26"/>
  <c r="I1487" i="26"/>
  <c r="F1487" i="26"/>
  <c r="H1487" i="26" s="1"/>
  <c r="E1487" i="26"/>
  <c r="G1487" i="26" s="1"/>
  <c r="D1487" i="26"/>
  <c r="B1487" i="26"/>
  <c r="L1486" i="26"/>
  <c r="I1486" i="26"/>
  <c r="F1486" i="26"/>
  <c r="H1486" i="26" s="1"/>
  <c r="E1486" i="26"/>
  <c r="G1486" i="26" s="1"/>
  <c r="D1486" i="26"/>
  <c r="B1486" i="26"/>
  <c r="L1485" i="26"/>
  <c r="I1485" i="26"/>
  <c r="F1485" i="26"/>
  <c r="H1485" i="26" s="1"/>
  <c r="E1485" i="26"/>
  <c r="G1485" i="26" s="1"/>
  <c r="D1485" i="26"/>
  <c r="B1485" i="26"/>
  <c r="L1484" i="26"/>
  <c r="I1484" i="26"/>
  <c r="F1484" i="26"/>
  <c r="H1484" i="26" s="1"/>
  <c r="E1484" i="26"/>
  <c r="G1484" i="26" s="1"/>
  <c r="D1484" i="26"/>
  <c r="B1484" i="26"/>
  <c r="L1483" i="26"/>
  <c r="I1483" i="26"/>
  <c r="F1483" i="26"/>
  <c r="H1483" i="26" s="1"/>
  <c r="E1483" i="26"/>
  <c r="G1483" i="26" s="1"/>
  <c r="D1483" i="26"/>
  <c r="B1483" i="26"/>
  <c r="L1482" i="26"/>
  <c r="I1482" i="26"/>
  <c r="K1482" i="26" s="1"/>
  <c r="F1482" i="26"/>
  <c r="H1482" i="26" s="1"/>
  <c r="E1482" i="26"/>
  <c r="G1482" i="26" s="1"/>
  <c r="D1482" i="26"/>
  <c r="B1482" i="26"/>
  <c r="L1481" i="26"/>
  <c r="I1481" i="26"/>
  <c r="F1481" i="26"/>
  <c r="H1481" i="26" s="1"/>
  <c r="E1481" i="26"/>
  <c r="G1481" i="26" s="1"/>
  <c r="D1481" i="26"/>
  <c r="B1481" i="26"/>
  <c r="L1480" i="26"/>
  <c r="I1480" i="26"/>
  <c r="F1480" i="26"/>
  <c r="H1480" i="26" s="1"/>
  <c r="E1480" i="26"/>
  <c r="G1480" i="26" s="1"/>
  <c r="D1480" i="26"/>
  <c r="B1480" i="26"/>
  <c r="L1479" i="26"/>
  <c r="I1479" i="26"/>
  <c r="F1479" i="26"/>
  <c r="H1479" i="26" s="1"/>
  <c r="E1479" i="26"/>
  <c r="G1479" i="26" s="1"/>
  <c r="D1479" i="26"/>
  <c r="B1479" i="26"/>
  <c r="L1478" i="26"/>
  <c r="I1478" i="26"/>
  <c r="F1478" i="26"/>
  <c r="H1478" i="26" s="1"/>
  <c r="E1478" i="26"/>
  <c r="G1478" i="26" s="1"/>
  <c r="D1478" i="26"/>
  <c r="B1478" i="26"/>
  <c r="L1477" i="26"/>
  <c r="I1477" i="26"/>
  <c r="F1477" i="26"/>
  <c r="H1477" i="26" s="1"/>
  <c r="E1477" i="26"/>
  <c r="G1477" i="26" s="1"/>
  <c r="D1477" i="26"/>
  <c r="B1477" i="26"/>
  <c r="L1476" i="26"/>
  <c r="I1476" i="26"/>
  <c r="F1476" i="26"/>
  <c r="H1476" i="26" s="1"/>
  <c r="E1476" i="26"/>
  <c r="G1476" i="26" s="1"/>
  <c r="D1476" i="26"/>
  <c r="B1476" i="26"/>
  <c r="L1475" i="26"/>
  <c r="I1475" i="26"/>
  <c r="F1475" i="26"/>
  <c r="H1475" i="26" s="1"/>
  <c r="E1475" i="26"/>
  <c r="G1475" i="26" s="1"/>
  <c r="D1475" i="26"/>
  <c r="B1475" i="26"/>
  <c r="L1474" i="26"/>
  <c r="I1474" i="26"/>
  <c r="F1474" i="26"/>
  <c r="H1474" i="26" s="1"/>
  <c r="E1474" i="26"/>
  <c r="G1474" i="26" s="1"/>
  <c r="D1474" i="26"/>
  <c r="B1474" i="26"/>
  <c r="L1473" i="26"/>
  <c r="I1473" i="26"/>
  <c r="F1473" i="26"/>
  <c r="H1473" i="26" s="1"/>
  <c r="E1473" i="26"/>
  <c r="G1473" i="26" s="1"/>
  <c r="D1473" i="26"/>
  <c r="B1473" i="26"/>
  <c r="L1472" i="26"/>
  <c r="I1472" i="26"/>
  <c r="F1472" i="26"/>
  <c r="H1472" i="26" s="1"/>
  <c r="E1472" i="26"/>
  <c r="G1472" i="26" s="1"/>
  <c r="D1472" i="26"/>
  <c r="B1472" i="26"/>
  <c r="L1471" i="26"/>
  <c r="N1471" i="26" s="1"/>
  <c r="I1471" i="26"/>
  <c r="F1471" i="26"/>
  <c r="H1471" i="26" s="1"/>
  <c r="E1471" i="26"/>
  <c r="G1471" i="26" s="1"/>
  <c r="D1471" i="26"/>
  <c r="B1471" i="26"/>
  <c r="L1470" i="26"/>
  <c r="I1470" i="26"/>
  <c r="K1470" i="26" s="1"/>
  <c r="F1470" i="26"/>
  <c r="H1470" i="26" s="1"/>
  <c r="E1470" i="26"/>
  <c r="G1470" i="26" s="1"/>
  <c r="D1470" i="26"/>
  <c r="B1470" i="26"/>
  <c r="L1469" i="26"/>
  <c r="I1469" i="26"/>
  <c r="F1469" i="26"/>
  <c r="H1469" i="26" s="1"/>
  <c r="E1469" i="26"/>
  <c r="G1469" i="26" s="1"/>
  <c r="D1469" i="26"/>
  <c r="B1469" i="26"/>
  <c r="L1468" i="26"/>
  <c r="I1468" i="26"/>
  <c r="F1468" i="26"/>
  <c r="H1468" i="26" s="1"/>
  <c r="E1468" i="26"/>
  <c r="G1468" i="26" s="1"/>
  <c r="D1468" i="26"/>
  <c r="B1468" i="26"/>
  <c r="L1467" i="26"/>
  <c r="N1467" i="26" s="1"/>
  <c r="I1467" i="26"/>
  <c r="F1467" i="26"/>
  <c r="H1467" i="26" s="1"/>
  <c r="E1467" i="26"/>
  <c r="G1467" i="26" s="1"/>
  <c r="D1467" i="26"/>
  <c r="B1467" i="26"/>
  <c r="L1466" i="26"/>
  <c r="I1466" i="26"/>
  <c r="F1466" i="26"/>
  <c r="H1466" i="26" s="1"/>
  <c r="E1466" i="26"/>
  <c r="G1466" i="26" s="1"/>
  <c r="D1466" i="26"/>
  <c r="B1466" i="26"/>
  <c r="L1465" i="26"/>
  <c r="I1465" i="26"/>
  <c r="F1465" i="26"/>
  <c r="H1465" i="26" s="1"/>
  <c r="E1465" i="26"/>
  <c r="G1465" i="26" s="1"/>
  <c r="D1465" i="26"/>
  <c r="B1465" i="26"/>
  <c r="L1464" i="26"/>
  <c r="I1464" i="26"/>
  <c r="F1464" i="26"/>
  <c r="H1464" i="26" s="1"/>
  <c r="E1464" i="26"/>
  <c r="G1464" i="26" s="1"/>
  <c r="D1464" i="26"/>
  <c r="B1464" i="26"/>
  <c r="L1463" i="26"/>
  <c r="I1463" i="26"/>
  <c r="F1463" i="26"/>
  <c r="H1463" i="26" s="1"/>
  <c r="E1463" i="26"/>
  <c r="G1463" i="26" s="1"/>
  <c r="D1463" i="26"/>
  <c r="B1463" i="26"/>
  <c r="L1462" i="26"/>
  <c r="I1462" i="26"/>
  <c r="F1462" i="26"/>
  <c r="H1462" i="26" s="1"/>
  <c r="E1462" i="26"/>
  <c r="G1462" i="26" s="1"/>
  <c r="D1462" i="26"/>
  <c r="B1462" i="26"/>
  <c r="L1461" i="26"/>
  <c r="I1461" i="26"/>
  <c r="F1461" i="26"/>
  <c r="H1461" i="26" s="1"/>
  <c r="E1461" i="26"/>
  <c r="G1461" i="26" s="1"/>
  <c r="D1461" i="26"/>
  <c r="B1461" i="26"/>
  <c r="L1460" i="26"/>
  <c r="I1460" i="26"/>
  <c r="F1460" i="26"/>
  <c r="H1460" i="26" s="1"/>
  <c r="E1460" i="26"/>
  <c r="G1460" i="26" s="1"/>
  <c r="D1460" i="26"/>
  <c r="B1460" i="26"/>
  <c r="L1459" i="26"/>
  <c r="I1459" i="26"/>
  <c r="F1459" i="26"/>
  <c r="H1459" i="26" s="1"/>
  <c r="E1459" i="26"/>
  <c r="G1459" i="26" s="1"/>
  <c r="D1459" i="26"/>
  <c r="B1459" i="26"/>
  <c r="L1458" i="26"/>
  <c r="I1458" i="26"/>
  <c r="F1458" i="26"/>
  <c r="H1458" i="26" s="1"/>
  <c r="E1458" i="26"/>
  <c r="G1458" i="26" s="1"/>
  <c r="D1458" i="26"/>
  <c r="B1458" i="26"/>
  <c r="L1457" i="26"/>
  <c r="I1457" i="26"/>
  <c r="F1457" i="26"/>
  <c r="H1457" i="26" s="1"/>
  <c r="E1457" i="26"/>
  <c r="G1457" i="26" s="1"/>
  <c r="D1457" i="26"/>
  <c r="B1457" i="26"/>
  <c r="L1456" i="26"/>
  <c r="I1456" i="26"/>
  <c r="F1456" i="26"/>
  <c r="H1456" i="26" s="1"/>
  <c r="E1456" i="26"/>
  <c r="G1456" i="26" s="1"/>
  <c r="D1456" i="26"/>
  <c r="B1456" i="26"/>
  <c r="L1455" i="26"/>
  <c r="I1455" i="26"/>
  <c r="F1455" i="26"/>
  <c r="H1455" i="26" s="1"/>
  <c r="E1455" i="26"/>
  <c r="G1455" i="26" s="1"/>
  <c r="D1455" i="26"/>
  <c r="B1455" i="26"/>
  <c r="L1454" i="26"/>
  <c r="I1454" i="26"/>
  <c r="F1454" i="26"/>
  <c r="H1454" i="26" s="1"/>
  <c r="E1454" i="26"/>
  <c r="G1454" i="26" s="1"/>
  <c r="D1454" i="26"/>
  <c r="B1454" i="26"/>
  <c r="L1453" i="26"/>
  <c r="I1453" i="26"/>
  <c r="F1453" i="26"/>
  <c r="H1453" i="26" s="1"/>
  <c r="E1453" i="26"/>
  <c r="G1453" i="26" s="1"/>
  <c r="D1453" i="26"/>
  <c r="B1453" i="26"/>
  <c r="L1452" i="26"/>
  <c r="I1452" i="26"/>
  <c r="F1452" i="26"/>
  <c r="H1452" i="26" s="1"/>
  <c r="E1452" i="26"/>
  <c r="G1452" i="26" s="1"/>
  <c r="D1452" i="26"/>
  <c r="B1452" i="26"/>
  <c r="L1451" i="26"/>
  <c r="I1451" i="26"/>
  <c r="F1451" i="26"/>
  <c r="H1451" i="26" s="1"/>
  <c r="E1451" i="26"/>
  <c r="G1451" i="26" s="1"/>
  <c r="D1451" i="26"/>
  <c r="B1451" i="26"/>
  <c r="L1450" i="26"/>
  <c r="I1450" i="26"/>
  <c r="F1450" i="26"/>
  <c r="H1450" i="26" s="1"/>
  <c r="E1450" i="26"/>
  <c r="G1450" i="26" s="1"/>
  <c r="D1450" i="26"/>
  <c r="B1450" i="26"/>
  <c r="L1449" i="26"/>
  <c r="I1449" i="26"/>
  <c r="F1449" i="26"/>
  <c r="H1449" i="26" s="1"/>
  <c r="E1449" i="26"/>
  <c r="G1449" i="26" s="1"/>
  <c r="D1449" i="26"/>
  <c r="B1449" i="26"/>
  <c r="L1448" i="26"/>
  <c r="I1448" i="26"/>
  <c r="F1448" i="26"/>
  <c r="H1448" i="26" s="1"/>
  <c r="E1448" i="26"/>
  <c r="G1448" i="26" s="1"/>
  <c r="D1448" i="26"/>
  <c r="B1448" i="26"/>
  <c r="L1447" i="26"/>
  <c r="I1447" i="26"/>
  <c r="F1447" i="26"/>
  <c r="H1447" i="26" s="1"/>
  <c r="E1447" i="26"/>
  <c r="G1447" i="26" s="1"/>
  <c r="D1447" i="26"/>
  <c r="B1447" i="26"/>
  <c r="L1446" i="26"/>
  <c r="I1446" i="26"/>
  <c r="F1446" i="26"/>
  <c r="H1446" i="26" s="1"/>
  <c r="E1446" i="26"/>
  <c r="G1446" i="26" s="1"/>
  <c r="D1446" i="26"/>
  <c r="B1446" i="26"/>
  <c r="L1445" i="26"/>
  <c r="I1445" i="26"/>
  <c r="F1445" i="26"/>
  <c r="H1445" i="26" s="1"/>
  <c r="E1445" i="26"/>
  <c r="G1445" i="26" s="1"/>
  <c r="D1445" i="26"/>
  <c r="B1445" i="26"/>
  <c r="L1444" i="26"/>
  <c r="I1444" i="26"/>
  <c r="F1444" i="26"/>
  <c r="H1444" i="26" s="1"/>
  <c r="E1444" i="26"/>
  <c r="G1444" i="26" s="1"/>
  <c r="D1444" i="26"/>
  <c r="B1444" i="26"/>
  <c r="L1443" i="26"/>
  <c r="I1443" i="26"/>
  <c r="F1443" i="26"/>
  <c r="H1443" i="26" s="1"/>
  <c r="E1443" i="26"/>
  <c r="G1443" i="26" s="1"/>
  <c r="D1443" i="26"/>
  <c r="B1443" i="26"/>
  <c r="L1442" i="26"/>
  <c r="I1442" i="26"/>
  <c r="F1442" i="26"/>
  <c r="H1442" i="26" s="1"/>
  <c r="E1442" i="26"/>
  <c r="G1442" i="26" s="1"/>
  <c r="D1442" i="26"/>
  <c r="B1442" i="26"/>
  <c r="L1441" i="26"/>
  <c r="I1441" i="26"/>
  <c r="F1441" i="26"/>
  <c r="H1441" i="26" s="1"/>
  <c r="E1441" i="26"/>
  <c r="G1441" i="26" s="1"/>
  <c r="D1441" i="26"/>
  <c r="B1441" i="26"/>
  <c r="L1440" i="26"/>
  <c r="I1440" i="26"/>
  <c r="F1440" i="26"/>
  <c r="H1440" i="26" s="1"/>
  <c r="E1440" i="26"/>
  <c r="G1440" i="26" s="1"/>
  <c r="D1440" i="26"/>
  <c r="B1440" i="26"/>
  <c r="L1439" i="26"/>
  <c r="I1439" i="26"/>
  <c r="F1439" i="26"/>
  <c r="H1439" i="26" s="1"/>
  <c r="E1439" i="26"/>
  <c r="G1439" i="26" s="1"/>
  <c r="D1439" i="26"/>
  <c r="B1439" i="26"/>
  <c r="L1438" i="26"/>
  <c r="I1438" i="26"/>
  <c r="F1438" i="26"/>
  <c r="H1438" i="26" s="1"/>
  <c r="E1438" i="26"/>
  <c r="G1438" i="26" s="1"/>
  <c r="D1438" i="26"/>
  <c r="B1438" i="26"/>
  <c r="L1437" i="26"/>
  <c r="I1437" i="26"/>
  <c r="F1437" i="26"/>
  <c r="H1437" i="26" s="1"/>
  <c r="E1437" i="26"/>
  <c r="G1437" i="26" s="1"/>
  <c r="D1437" i="26"/>
  <c r="B1437" i="26"/>
  <c r="L1436" i="26"/>
  <c r="I1436" i="26"/>
  <c r="F1436" i="26"/>
  <c r="H1436" i="26" s="1"/>
  <c r="E1436" i="26"/>
  <c r="G1436" i="26" s="1"/>
  <c r="D1436" i="26"/>
  <c r="B1436" i="26"/>
  <c r="L1435" i="26"/>
  <c r="I1435" i="26"/>
  <c r="F1435" i="26"/>
  <c r="H1435" i="26" s="1"/>
  <c r="E1435" i="26"/>
  <c r="G1435" i="26" s="1"/>
  <c r="D1435" i="26"/>
  <c r="B1435" i="26"/>
  <c r="L1434" i="26"/>
  <c r="I1434" i="26"/>
  <c r="F1434" i="26"/>
  <c r="H1434" i="26" s="1"/>
  <c r="E1434" i="26"/>
  <c r="G1434" i="26" s="1"/>
  <c r="D1434" i="26"/>
  <c r="B1434" i="26"/>
  <c r="L1433" i="26"/>
  <c r="I1433" i="26"/>
  <c r="F1433" i="26"/>
  <c r="H1433" i="26" s="1"/>
  <c r="E1433" i="26"/>
  <c r="G1433" i="26" s="1"/>
  <c r="D1433" i="26"/>
  <c r="B1433" i="26"/>
  <c r="L1432" i="26"/>
  <c r="I1432" i="26"/>
  <c r="F1432" i="26"/>
  <c r="H1432" i="26" s="1"/>
  <c r="E1432" i="26"/>
  <c r="G1432" i="26" s="1"/>
  <c r="D1432" i="26"/>
  <c r="B1432" i="26"/>
  <c r="L1431" i="26"/>
  <c r="I1431" i="26"/>
  <c r="F1431" i="26"/>
  <c r="H1431" i="26" s="1"/>
  <c r="E1431" i="26"/>
  <c r="G1431" i="26" s="1"/>
  <c r="D1431" i="26"/>
  <c r="B1431" i="26"/>
  <c r="L1430" i="26"/>
  <c r="I1430" i="26"/>
  <c r="F1430" i="26"/>
  <c r="H1430" i="26" s="1"/>
  <c r="E1430" i="26"/>
  <c r="G1430" i="26" s="1"/>
  <c r="D1430" i="26"/>
  <c r="B1430" i="26"/>
  <c r="L1429" i="26"/>
  <c r="I1429" i="26"/>
  <c r="F1429" i="26"/>
  <c r="H1429" i="26" s="1"/>
  <c r="E1429" i="26"/>
  <c r="G1429" i="26" s="1"/>
  <c r="D1429" i="26"/>
  <c r="B1429" i="26"/>
  <c r="L1428" i="26"/>
  <c r="I1428" i="26"/>
  <c r="F1428" i="26"/>
  <c r="H1428" i="26" s="1"/>
  <c r="E1428" i="26"/>
  <c r="G1428" i="26" s="1"/>
  <c r="D1428" i="26"/>
  <c r="B1428" i="26"/>
  <c r="L1427" i="26"/>
  <c r="I1427" i="26"/>
  <c r="F1427" i="26"/>
  <c r="H1427" i="26" s="1"/>
  <c r="E1427" i="26"/>
  <c r="G1427" i="26" s="1"/>
  <c r="D1427" i="26"/>
  <c r="B1427" i="26"/>
  <c r="L1426" i="26"/>
  <c r="I1426" i="26"/>
  <c r="F1426" i="26"/>
  <c r="H1426" i="26" s="1"/>
  <c r="E1426" i="26"/>
  <c r="G1426" i="26" s="1"/>
  <c r="D1426" i="26"/>
  <c r="B1426" i="26"/>
  <c r="L1425" i="26"/>
  <c r="I1425" i="26"/>
  <c r="F1425" i="26"/>
  <c r="H1425" i="26" s="1"/>
  <c r="E1425" i="26"/>
  <c r="G1425" i="26" s="1"/>
  <c r="D1425" i="26"/>
  <c r="B1425" i="26"/>
  <c r="L1424" i="26"/>
  <c r="I1424" i="26"/>
  <c r="F1424" i="26"/>
  <c r="H1424" i="26" s="1"/>
  <c r="E1424" i="26"/>
  <c r="G1424" i="26" s="1"/>
  <c r="D1424" i="26"/>
  <c r="B1424" i="26"/>
  <c r="L1423" i="26"/>
  <c r="I1423" i="26"/>
  <c r="F1423" i="26"/>
  <c r="H1423" i="26" s="1"/>
  <c r="E1423" i="26"/>
  <c r="G1423" i="26" s="1"/>
  <c r="D1423" i="26"/>
  <c r="B1423" i="26"/>
  <c r="L1422" i="26"/>
  <c r="I1422" i="26"/>
  <c r="F1422" i="26"/>
  <c r="H1422" i="26" s="1"/>
  <c r="E1422" i="26"/>
  <c r="G1422" i="26" s="1"/>
  <c r="D1422" i="26"/>
  <c r="B1422" i="26"/>
  <c r="L1421" i="26"/>
  <c r="I1421" i="26"/>
  <c r="F1421" i="26"/>
  <c r="H1421" i="26" s="1"/>
  <c r="E1421" i="26"/>
  <c r="G1421" i="26" s="1"/>
  <c r="D1421" i="26"/>
  <c r="B1421" i="26"/>
  <c r="L1420" i="26"/>
  <c r="I1420" i="26"/>
  <c r="F1420" i="26"/>
  <c r="H1420" i="26" s="1"/>
  <c r="E1420" i="26"/>
  <c r="G1420" i="26" s="1"/>
  <c r="D1420" i="26"/>
  <c r="B1420" i="26"/>
  <c r="L1419" i="26"/>
  <c r="I1419" i="26"/>
  <c r="F1419" i="26"/>
  <c r="H1419" i="26" s="1"/>
  <c r="E1419" i="26"/>
  <c r="G1419" i="26" s="1"/>
  <c r="D1419" i="26"/>
  <c r="B1419" i="26"/>
  <c r="L1418" i="26"/>
  <c r="I1418" i="26"/>
  <c r="F1418" i="26"/>
  <c r="H1418" i="26" s="1"/>
  <c r="E1418" i="26"/>
  <c r="G1418" i="26" s="1"/>
  <c r="D1418" i="26"/>
  <c r="B1418" i="26"/>
  <c r="L1417" i="26"/>
  <c r="I1417" i="26"/>
  <c r="F1417" i="26"/>
  <c r="H1417" i="26" s="1"/>
  <c r="E1417" i="26"/>
  <c r="G1417" i="26" s="1"/>
  <c r="D1417" i="26"/>
  <c r="B1417" i="26"/>
  <c r="L1416" i="26"/>
  <c r="I1416" i="26"/>
  <c r="F1416" i="26"/>
  <c r="H1416" i="26" s="1"/>
  <c r="E1416" i="26"/>
  <c r="G1416" i="26" s="1"/>
  <c r="D1416" i="26"/>
  <c r="B1416" i="26"/>
  <c r="L1415" i="26"/>
  <c r="I1415" i="26"/>
  <c r="F1415" i="26"/>
  <c r="H1415" i="26" s="1"/>
  <c r="E1415" i="26"/>
  <c r="G1415" i="26" s="1"/>
  <c r="D1415" i="26"/>
  <c r="B1415" i="26"/>
  <c r="L1414" i="26"/>
  <c r="I1414" i="26"/>
  <c r="F1414" i="26"/>
  <c r="H1414" i="26" s="1"/>
  <c r="E1414" i="26"/>
  <c r="G1414" i="26" s="1"/>
  <c r="D1414" i="26"/>
  <c r="B1414" i="26"/>
  <c r="L1413" i="26"/>
  <c r="I1413" i="26"/>
  <c r="F1413" i="26"/>
  <c r="H1413" i="26" s="1"/>
  <c r="E1413" i="26"/>
  <c r="G1413" i="26" s="1"/>
  <c r="D1413" i="26"/>
  <c r="B1413" i="26"/>
  <c r="L1412" i="26"/>
  <c r="I1412" i="26"/>
  <c r="F1412" i="26"/>
  <c r="H1412" i="26" s="1"/>
  <c r="E1412" i="26"/>
  <c r="G1412" i="26" s="1"/>
  <c r="D1412" i="26"/>
  <c r="B1412" i="26"/>
  <c r="L1411" i="26"/>
  <c r="I1411" i="26"/>
  <c r="F1411" i="26"/>
  <c r="H1411" i="26" s="1"/>
  <c r="E1411" i="26"/>
  <c r="G1411" i="26" s="1"/>
  <c r="D1411" i="26"/>
  <c r="B1411" i="26"/>
  <c r="L1410" i="26"/>
  <c r="I1410" i="26"/>
  <c r="F1410" i="26"/>
  <c r="H1410" i="26" s="1"/>
  <c r="E1410" i="26"/>
  <c r="G1410" i="26" s="1"/>
  <c r="D1410" i="26"/>
  <c r="B1410" i="26"/>
  <c r="L1409" i="26"/>
  <c r="I1409" i="26"/>
  <c r="F1409" i="26"/>
  <c r="H1409" i="26" s="1"/>
  <c r="E1409" i="26"/>
  <c r="G1409" i="26" s="1"/>
  <c r="D1409" i="26"/>
  <c r="B1409" i="26"/>
  <c r="L1408" i="26"/>
  <c r="I1408" i="26"/>
  <c r="F1408" i="26"/>
  <c r="H1408" i="26" s="1"/>
  <c r="E1408" i="26"/>
  <c r="G1408" i="26" s="1"/>
  <c r="D1408" i="26"/>
  <c r="B1408" i="26"/>
  <c r="L1407" i="26"/>
  <c r="I1407" i="26"/>
  <c r="F1407" i="26"/>
  <c r="H1407" i="26" s="1"/>
  <c r="E1407" i="26"/>
  <c r="G1407" i="26" s="1"/>
  <c r="D1407" i="26"/>
  <c r="B1407" i="26"/>
  <c r="L1406" i="26"/>
  <c r="I1406" i="26"/>
  <c r="F1406" i="26"/>
  <c r="H1406" i="26" s="1"/>
  <c r="E1406" i="26"/>
  <c r="G1406" i="26" s="1"/>
  <c r="D1406" i="26"/>
  <c r="B1406" i="26"/>
  <c r="L1405" i="26"/>
  <c r="I1405" i="26"/>
  <c r="F1405" i="26"/>
  <c r="H1405" i="26" s="1"/>
  <c r="E1405" i="26"/>
  <c r="G1405" i="26" s="1"/>
  <c r="D1405" i="26"/>
  <c r="B1405" i="26"/>
  <c r="L1404" i="26"/>
  <c r="I1404" i="26"/>
  <c r="F1404" i="26"/>
  <c r="H1404" i="26" s="1"/>
  <c r="E1404" i="26"/>
  <c r="G1404" i="26" s="1"/>
  <c r="D1404" i="26"/>
  <c r="B1404" i="26"/>
  <c r="L1403" i="26"/>
  <c r="I1403" i="26"/>
  <c r="F1403" i="26"/>
  <c r="H1403" i="26" s="1"/>
  <c r="E1403" i="26"/>
  <c r="G1403" i="26" s="1"/>
  <c r="D1403" i="26"/>
  <c r="B1403" i="26"/>
  <c r="L1402" i="26"/>
  <c r="I1402" i="26"/>
  <c r="F1402" i="26"/>
  <c r="H1402" i="26" s="1"/>
  <c r="E1402" i="26"/>
  <c r="G1402" i="26" s="1"/>
  <c r="D1402" i="26"/>
  <c r="B1402" i="26"/>
  <c r="L1401" i="26"/>
  <c r="I1401" i="26"/>
  <c r="F1401" i="26"/>
  <c r="H1401" i="26" s="1"/>
  <c r="E1401" i="26"/>
  <c r="G1401" i="26" s="1"/>
  <c r="D1401" i="26"/>
  <c r="B1401" i="26"/>
  <c r="L1400" i="26"/>
  <c r="I1400" i="26"/>
  <c r="F1400" i="26"/>
  <c r="H1400" i="26" s="1"/>
  <c r="E1400" i="26"/>
  <c r="G1400" i="26" s="1"/>
  <c r="D1400" i="26"/>
  <c r="B1400" i="26"/>
  <c r="L1399" i="26"/>
  <c r="I1399" i="26"/>
  <c r="F1399" i="26"/>
  <c r="H1399" i="26" s="1"/>
  <c r="E1399" i="26"/>
  <c r="G1399" i="26" s="1"/>
  <c r="D1399" i="26"/>
  <c r="B1399" i="26"/>
  <c r="L1398" i="26"/>
  <c r="I1398" i="26"/>
  <c r="F1398" i="26"/>
  <c r="H1398" i="26" s="1"/>
  <c r="E1398" i="26"/>
  <c r="G1398" i="26" s="1"/>
  <c r="D1398" i="26"/>
  <c r="B1398" i="26"/>
  <c r="L1397" i="26"/>
  <c r="I1397" i="26"/>
  <c r="F1397" i="26"/>
  <c r="H1397" i="26" s="1"/>
  <c r="E1397" i="26"/>
  <c r="G1397" i="26" s="1"/>
  <c r="D1397" i="26"/>
  <c r="B1397" i="26"/>
  <c r="L1396" i="26"/>
  <c r="I1396" i="26"/>
  <c r="F1396" i="26"/>
  <c r="H1396" i="26" s="1"/>
  <c r="E1396" i="26"/>
  <c r="G1396" i="26" s="1"/>
  <c r="D1396" i="26"/>
  <c r="B1396" i="26"/>
  <c r="L1395" i="26"/>
  <c r="I1395" i="26"/>
  <c r="F1395" i="26"/>
  <c r="H1395" i="26" s="1"/>
  <c r="E1395" i="26"/>
  <c r="G1395" i="26" s="1"/>
  <c r="D1395" i="26"/>
  <c r="B1395" i="26"/>
  <c r="L1394" i="26"/>
  <c r="I1394" i="26"/>
  <c r="F1394" i="26"/>
  <c r="H1394" i="26" s="1"/>
  <c r="E1394" i="26"/>
  <c r="G1394" i="26" s="1"/>
  <c r="D1394" i="26"/>
  <c r="B1394" i="26"/>
  <c r="L1393" i="26"/>
  <c r="I1393" i="26"/>
  <c r="F1393" i="26"/>
  <c r="H1393" i="26" s="1"/>
  <c r="E1393" i="26"/>
  <c r="G1393" i="26" s="1"/>
  <c r="D1393" i="26"/>
  <c r="B1393" i="26"/>
  <c r="L1392" i="26"/>
  <c r="I1392" i="26"/>
  <c r="F1392" i="26"/>
  <c r="H1392" i="26" s="1"/>
  <c r="E1392" i="26"/>
  <c r="G1392" i="26" s="1"/>
  <c r="D1392" i="26"/>
  <c r="B1392" i="26"/>
  <c r="L1391" i="26"/>
  <c r="I1391" i="26"/>
  <c r="F1391" i="26"/>
  <c r="H1391" i="26" s="1"/>
  <c r="E1391" i="26"/>
  <c r="G1391" i="26" s="1"/>
  <c r="D1391" i="26"/>
  <c r="B1391" i="26"/>
  <c r="L1390" i="26"/>
  <c r="I1390" i="26"/>
  <c r="K1390" i="26" s="1"/>
  <c r="F1390" i="26"/>
  <c r="H1390" i="26" s="1"/>
  <c r="E1390" i="26"/>
  <c r="G1390" i="26" s="1"/>
  <c r="D1390" i="26"/>
  <c r="B1390" i="26"/>
  <c r="L1389" i="26"/>
  <c r="I1389" i="26"/>
  <c r="F1389" i="26"/>
  <c r="H1389" i="26" s="1"/>
  <c r="E1389" i="26"/>
  <c r="G1389" i="26" s="1"/>
  <c r="D1389" i="26"/>
  <c r="B1389" i="26"/>
  <c r="L1388" i="26"/>
  <c r="I1388" i="26"/>
  <c r="F1388" i="26"/>
  <c r="H1388" i="26" s="1"/>
  <c r="E1388" i="26"/>
  <c r="G1388" i="26" s="1"/>
  <c r="D1388" i="26"/>
  <c r="B1388" i="26"/>
  <c r="L1387" i="26"/>
  <c r="I1387" i="26"/>
  <c r="K1387" i="26" s="1"/>
  <c r="F1387" i="26"/>
  <c r="H1387" i="26" s="1"/>
  <c r="E1387" i="26"/>
  <c r="G1387" i="26" s="1"/>
  <c r="D1387" i="26"/>
  <c r="B1387" i="26"/>
  <c r="L1386" i="26"/>
  <c r="I1386" i="26"/>
  <c r="F1386" i="26"/>
  <c r="H1386" i="26" s="1"/>
  <c r="E1386" i="26"/>
  <c r="G1386" i="26" s="1"/>
  <c r="D1386" i="26"/>
  <c r="B1386" i="26"/>
  <c r="L1385" i="26"/>
  <c r="I1385" i="26"/>
  <c r="F1385" i="26"/>
  <c r="H1385" i="26" s="1"/>
  <c r="E1385" i="26"/>
  <c r="G1385" i="26" s="1"/>
  <c r="D1385" i="26"/>
  <c r="B1385" i="26"/>
  <c r="L1384" i="26"/>
  <c r="I1384" i="26"/>
  <c r="F1384" i="26"/>
  <c r="H1384" i="26" s="1"/>
  <c r="E1384" i="26"/>
  <c r="G1384" i="26" s="1"/>
  <c r="D1384" i="26"/>
  <c r="B1384" i="26"/>
  <c r="L1383" i="26"/>
  <c r="I1383" i="26"/>
  <c r="K1383" i="26" s="1"/>
  <c r="F1383" i="26"/>
  <c r="H1383" i="26" s="1"/>
  <c r="E1383" i="26"/>
  <c r="G1383" i="26" s="1"/>
  <c r="D1383" i="26"/>
  <c r="B1383" i="26"/>
  <c r="L1382" i="26"/>
  <c r="I1382" i="26"/>
  <c r="F1382" i="26"/>
  <c r="H1382" i="26" s="1"/>
  <c r="E1382" i="26"/>
  <c r="G1382" i="26" s="1"/>
  <c r="D1382" i="26"/>
  <c r="B1382" i="26"/>
  <c r="L1381" i="26"/>
  <c r="I1381" i="26"/>
  <c r="F1381" i="26"/>
  <c r="H1381" i="26" s="1"/>
  <c r="E1381" i="26"/>
  <c r="G1381" i="26" s="1"/>
  <c r="D1381" i="26"/>
  <c r="B1381" i="26"/>
  <c r="L1380" i="26"/>
  <c r="I1380" i="26"/>
  <c r="F1380" i="26"/>
  <c r="H1380" i="26" s="1"/>
  <c r="E1380" i="26"/>
  <c r="G1380" i="26" s="1"/>
  <c r="D1380" i="26"/>
  <c r="B1380" i="26"/>
  <c r="L1379" i="26"/>
  <c r="I1379" i="26"/>
  <c r="F1379" i="26"/>
  <c r="H1379" i="26" s="1"/>
  <c r="E1379" i="26"/>
  <c r="G1379" i="26" s="1"/>
  <c r="D1379" i="26"/>
  <c r="B1379" i="26"/>
  <c r="L1378" i="26"/>
  <c r="I1378" i="26"/>
  <c r="F1378" i="26"/>
  <c r="H1378" i="26" s="1"/>
  <c r="E1378" i="26"/>
  <c r="G1378" i="26" s="1"/>
  <c r="D1378" i="26"/>
  <c r="B1378" i="26"/>
  <c r="L1377" i="26"/>
  <c r="I1377" i="26"/>
  <c r="F1377" i="26"/>
  <c r="H1377" i="26" s="1"/>
  <c r="E1377" i="26"/>
  <c r="G1377" i="26" s="1"/>
  <c r="D1377" i="26"/>
  <c r="B1377" i="26"/>
  <c r="L1376" i="26"/>
  <c r="I1376" i="26"/>
  <c r="F1376" i="26"/>
  <c r="H1376" i="26" s="1"/>
  <c r="E1376" i="26"/>
  <c r="G1376" i="26" s="1"/>
  <c r="D1376" i="26"/>
  <c r="B1376" i="26"/>
  <c r="L1375" i="26"/>
  <c r="I1375" i="26"/>
  <c r="F1375" i="26"/>
  <c r="H1375" i="26" s="1"/>
  <c r="E1375" i="26"/>
  <c r="G1375" i="26" s="1"/>
  <c r="D1375" i="26"/>
  <c r="B1375" i="26"/>
  <c r="L1374" i="26"/>
  <c r="I1374" i="26"/>
  <c r="F1374" i="26"/>
  <c r="H1374" i="26" s="1"/>
  <c r="E1374" i="26"/>
  <c r="G1374" i="26" s="1"/>
  <c r="D1374" i="26"/>
  <c r="B1374" i="26"/>
  <c r="L1373" i="26"/>
  <c r="I1373" i="26"/>
  <c r="F1373" i="26"/>
  <c r="H1373" i="26" s="1"/>
  <c r="E1373" i="26"/>
  <c r="G1373" i="26" s="1"/>
  <c r="D1373" i="26"/>
  <c r="B1373" i="26"/>
  <c r="L1372" i="26"/>
  <c r="I1372" i="26"/>
  <c r="F1372" i="26"/>
  <c r="H1372" i="26" s="1"/>
  <c r="E1372" i="26"/>
  <c r="G1372" i="26" s="1"/>
  <c r="D1372" i="26"/>
  <c r="B1372" i="26"/>
  <c r="L1371" i="26"/>
  <c r="I1371" i="26"/>
  <c r="F1371" i="26"/>
  <c r="H1371" i="26" s="1"/>
  <c r="E1371" i="26"/>
  <c r="G1371" i="26" s="1"/>
  <c r="D1371" i="26"/>
  <c r="B1371" i="26"/>
  <c r="L1370" i="26"/>
  <c r="I1370" i="26"/>
  <c r="F1370" i="26"/>
  <c r="H1370" i="26" s="1"/>
  <c r="E1370" i="26"/>
  <c r="G1370" i="26" s="1"/>
  <c r="D1370" i="26"/>
  <c r="B1370" i="26"/>
  <c r="L1369" i="26"/>
  <c r="I1369" i="26"/>
  <c r="F1369" i="26"/>
  <c r="H1369" i="26" s="1"/>
  <c r="E1369" i="26"/>
  <c r="G1369" i="26" s="1"/>
  <c r="D1369" i="26"/>
  <c r="B1369" i="26"/>
  <c r="L1368" i="26"/>
  <c r="I1368" i="26"/>
  <c r="F1368" i="26"/>
  <c r="H1368" i="26" s="1"/>
  <c r="E1368" i="26"/>
  <c r="G1368" i="26" s="1"/>
  <c r="D1368" i="26"/>
  <c r="B1368" i="26"/>
  <c r="L1367" i="26"/>
  <c r="I1367" i="26"/>
  <c r="F1367" i="26"/>
  <c r="H1367" i="26" s="1"/>
  <c r="E1367" i="26"/>
  <c r="G1367" i="26" s="1"/>
  <c r="D1367" i="26"/>
  <c r="B1367" i="26"/>
  <c r="L1366" i="26"/>
  <c r="I1366" i="26"/>
  <c r="F1366" i="26"/>
  <c r="H1366" i="26" s="1"/>
  <c r="E1366" i="26"/>
  <c r="G1366" i="26" s="1"/>
  <c r="D1366" i="26"/>
  <c r="B1366" i="26"/>
  <c r="L1365" i="26"/>
  <c r="I1365" i="26"/>
  <c r="F1365" i="26"/>
  <c r="H1365" i="26" s="1"/>
  <c r="E1365" i="26"/>
  <c r="G1365" i="26" s="1"/>
  <c r="D1365" i="26"/>
  <c r="B1365" i="26"/>
  <c r="L1364" i="26"/>
  <c r="I1364" i="26"/>
  <c r="F1364" i="26"/>
  <c r="H1364" i="26" s="1"/>
  <c r="E1364" i="26"/>
  <c r="G1364" i="26" s="1"/>
  <c r="D1364" i="26"/>
  <c r="B1364" i="26"/>
  <c r="L1363" i="26"/>
  <c r="I1363" i="26"/>
  <c r="K1363" i="26" s="1"/>
  <c r="F1363" i="26"/>
  <c r="H1363" i="26" s="1"/>
  <c r="E1363" i="26"/>
  <c r="G1363" i="26" s="1"/>
  <c r="D1363" i="26"/>
  <c r="B1363" i="26"/>
  <c r="L1362" i="26"/>
  <c r="I1362" i="26"/>
  <c r="F1362" i="26"/>
  <c r="H1362" i="26" s="1"/>
  <c r="E1362" i="26"/>
  <c r="G1362" i="26" s="1"/>
  <c r="D1362" i="26"/>
  <c r="B1362" i="26"/>
  <c r="L1361" i="26"/>
  <c r="N1361" i="26" s="1"/>
  <c r="I1361" i="26"/>
  <c r="F1361" i="26"/>
  <c r="H1361" i="26" s="1"/>
  <c r="E1361" i="26"/>
  <c r="G1361" i="26" s="1"/>
  <c r="D1361" i="26"/>
  <c r="B1361" i="26"/>
  <c r="L1360" i="26"/>
  <c r="I1360" i="26"/>
  <c r="F1360" i="26"/>
  <c r="H1360" i="26" s="1"/>
  <c r="E1360" i="26"/>
  <c r="G1360" i="26" s="1"/>
  <c r="D1360" i="26"/>
  <c r="B1360" i="26"/>
  <c r="L1359" i="26"/>
  <c r="I1359" i="26"/>
  <c r="F1359" i="26"/>
  <c r="H1359" i="26" s="1"/>
  <c r="E1359" i="26"/>
  <c r="G1359" i="26" s="1"/>
  <c r="D1359" i="26"/>
  <c r="B1359" i="26"/>
  <c r="L1358" i="26"/>
  <c r="I1358" i="26"/>
  <c r="F1358" i="26"/>
  <c r="H1358" i="26" s="1"/>
  <c r="E1358" i="26"/>
  <c r="G1358" i="26" s="1"/>
  <c r="D1358" i="26"/>
  <c r="B1358" i="26"/>
  <c r="L1357" i="26"/>
  <c r="I1357" i="26"/>
  <c r="F1357" i="26"/>
  <c r="H1357" i="26" s="1"/>
  <c r="E1357" i="26"/>
  <c r="G1357" i="26" s="1"/>
  <c r="D1357" i="26"/>
  <c r="B1357" i="26"/>
  <c r="L1356" i="26"/>
  <c r="I1356" i="26"/>
  <c r="F1356" i="26"/>
  <c r="H1356" i="26" s="1"/>
  <c r="E1356" i="26"/>
  <c r="G1356" i="26" s="1"/>
  <c r="D1356" i="26"/>
  <c r="B1356" i="26"/>
  <c r="L1355" i="26"/>
  <c r="I1355" i="26"/>
  <c r="K1355" i="26" s="1"/>
  <c r="F1355" i="26"/>
  <c r="H1355" i="26" s="1"/>
  <c r="E1355" i="26"/>
  <c r="G1355" i="26" s="1"/>
  <c r="D1355" i="26"/>
  <c r="B1355" i="26"/>
  <c r="L1354" i="26"/>
  <c r="I1354" i="26"/>
  <c r="F1354" i="26"/>
  <c r="H1354" i="26" s="1"/>
  <c r="E1354" i="26"/>
  <c r="G1354" i="26" s="1"/>
  <c r="D1354" i="26"/>
  <c r="B1354" i="26"/>
  <c r="L1353" i="26"/>
  <c r="I1353" i="26"/>
  <c r="F1353" i="26"/>
  <c r="H1353" i="26" s="1"/>
  <c r="E1353" i="26"/>
  <c r="G1353" i="26" s="1"/>
  <c r="D1353" i="26"/>
  <c r="B1353" i="26"/>
  <c r="L1352" i="26"/>
  <c r="I1352" i="26"/>
  <c r="F1352" i="26"/>
  <c r="H1352" i="26" s="1"/>
  <c r="E1352" i="26"/>
  <c r="G1352" i="26" s="1"/>
  <c r="D1352" i="26"/>
  <c r="B1352" i="26"/>
  <c r="L1351" i="26"/>
  <c r="I1351" i="26"/>
  <c r="F1351" i="26"/>
  <c r="H1351" i="26" s="1"/>
  <c r="E1351" i="26"/>
  <c r="G1351" i="26" s="1"/>
  <c r="D1351" i="26"/>
  <c r="B1351" i="26"/>
  <c r="L1350" i="26"/>
  <c r="I1350" i="26"/>
  <c r="F1350" i="26"/>
  <c r="H1350" i="26" s="1"/>
  <c r="E1350" i="26"/>
  <c r="G1350" i="26" s="1"/>
  <c r="D1350" i="26"/>
  <c r="B1350" i="26"/>
  <c r="L1349" i="26"/>
  <c r="I1349" i="26"/>
  <c r="F1349" i="26"/>
  <c r="H1349" i="26" s="1"/>
  <c r="E1349" i="26"/>
  <c r="G1349" i="26" s="1"/>
  <c r="D1349" i="26"/>
  <c r="B1349" i="26"/>
  <c r="L1348" i="26"/>
  <c r="I1348" i="26"/>
  <c r="F1348" i="26"/>
  <c r="H1348" i="26" s="1"/>
  <c r="E1348" i="26"/>
  <c r="G1348" i="26" s="1"/>
  <c r="D1348" i="26"/>
  <c r="B1348" i="26"/>
  <c r="L1347" i="26"/>
  <c r="I1347" i="26"/>
  <c r="F1347" i="26"/>
  <c r="H1347" i="26" s="1"/>
  <c r="E1347" i="26"/>
  <c r="G1347" i="26" s="1"/>
  <c r="D1347" i="26"/>
  <c r="B1347" i="26"/>
  <c r="L1346" i="26"/>
  <c r="I1346" i="26"/>
  <c r="F1346" i="26"/>
  <c r="H1346" i="26" s="1"/>
  <c r="E1346" i="26"/>
  <c r="G1346" i="26" s="1"/>
  <c r="D1346" i="26"/>
  <c r="B1346" i="26"/>
  <c r="L1345" i="26"/>
  <c r="I1345" i="26"/>
  <c r="F1345" i="26"/>
  <c r="H1345" i="26" s="1"/>
  <c r="E1345" i="26"/>
  <c r="G1345" i="26" s="1"/>
  <c r="D1345" i="26"/>
  <c r="B1345" i="26"/>
  <c r="L1344" i="26"/>
  <c r="I1344" i="26"/>
  <c r="F1344" i="26"/>
  <c r="H1344" i="26" s="1"/>
  <c r="E1344" i="26"/>
  <c r="G1344" i="26" s="1"/>
  <c r="D1344" i="26"/>
  <c r="B1344" i="26"/>
  <c r="L1343" i="26"/>
  <c r="I1343" i="26"/>
  <c r="F1343" i="26"/>
  <c r="H1343" i="26" s="1"/>
  <c r="E1343" i="26"/>
  <c r="G1343" i="26" s="1"/>
  <c r="D1343" i="26"/>
  <c r="B1343" i="26"/>
  <c r="L1342" i="26"/>
  <c r="I1342" i="26"/>
  <c r="F1342" i="26"/>
  <c r="H1342" i="26" s="1"/>
  <c r="E1342" i="26"/>
  <c r="G1342" i="26" s="1"/>
  <c r="D1342" i="26"/>
  <c r="B1342" i="26"/>
  <c r="L1341" i="26"/>
  <c r="I1341" i="26"/>
  <c r="F1341" i="26"/>
  <c r="H1341" i="26" s="1"/>
  <c r="E1341" i="26"/>
  <c r="G1341" i="26" s="1"/>
  <c r="D1341" i="26"/>
  <c r="B1341" i="26"/>
  <c r="L1340" i="26"/>
  <c r="I1340" i="26"/>
  <c r="F1340" i="26"/>
  <c r="H1340" i="26" s="1"/>
  <c r="E1340" i="26"/>
  <c r="G1340" i="26" s="1"/>
  <c r="D1340" i="26"/>
  <c r="B1340" i="26"/>
  <c r="L1339" i="26"/>
  <c r="I1339" i="26"/>
  <c r="K1339" i="26" s="1"/>
  <c r="F1339" i="26"/>
  <c r="H1339" i="26" s="1"/>
  <c r="E1339" i="26"/>
  <c r="G1339" i="26" s="1"/>
  <c r="D1339" i="26"/>
  <c r="B1339" i="26"/>
  <c r="L1338" i="26"/>
  <c r="I1338" i="26"/>
  <c r="F1338" i="26"/>
  <c r="H1338" i="26" s="1"/>
  <c r="E1338" i="26"/>
  <c r="G1338" i="26" s="1"/>
  <c r="D1338" i="26"/>
  <c r="B1338" i="26"/>
  <c r="L1337" i="26"/>
  <c r="I1337" i="26"/>
  <c r="F1337" i="26"/>
  <c r="H1337" i="26" s="1"/>
  <c r="E1337" i="26"/>
  <c r="G1337" i="26" s="1"/>
  <c r="D1337" i="26"/>
  <c r="B1337" i="26"/>
  <c r="L1336" i="26"/>
  <c r="I1336" i="26"/>
  <c r="F1336" i="26"/>
  <c r="H1336" i="26" s="1"/>
  <c r="E1336" i="26"/>
  <c r="G1336" i="26" s="1"/>
  <c r="D1336" i="26"/>
  <c r="B1336" i="26"/>
  <c r="L1335" i="26"/>
  <c r="I1335" i="26"/>
  <c r="F1335" i="26"/>
  <c r="H1335" i="26" s="1"/>
  <c r="E1335" i="26"/>
  <c r="G1335" i="26" s="1"/>
  <c r="D1335" i="26"/>
  <c r="B1335" i="26"/>
  <c r="L1334" i="26"/>
  <c r="I1334" i="26"/>
  <c r="F1334" i="26"/>
  <c r="H1334" i="26" s="1"/>
  <c r="E1334" i="26"/>
  <c r="G1334" i="26" s="1"/>
  <c r="D1334" i="26"/>
  <c r="B1334" i="26"/>
  <c r="L1333" i="26"/>
  <c r="I1333" i="26"/>
  <c r="F1333" i="26"/>
  <c r="H1333" i="26" s="1"/>
  <c r="E1333" i="26"/>
  <c r="G1333" i="26" s="1"/>
  <c r="D1333" i="26"/>
  <c r="B1333" i="26"/>
  <c r="L1332" i="26"/>
  <c r="I1332" i="26"/>
  <c r="F1332" i="26"/>
  <c r="H1332" i="26" s="1"/>
  <c r="E1332" i="26"/>
  <c r="G1332" i="26" s="1"/>
  <c r="D1332" i="26"/>
  <c r="B1332" i="26"/>
  <c r="L1331" i="26"/>
  <c r="I1331" i="26"/>
  <c r="F1331" i="26"/>
  <c r="H1331" i="26" s="1"/>
  <c r="E1331" i="26"/>
  <c r="G1331" i="26" s="1"/>
  <c r="D1331" i="26"/>
  <c r="B1331" i="26"/>
  <c r="L1330" i="26"/>
  <c r="I1330" i="26"/>
  <c r="K1330" i="26" s="1"/>
  <c r="F1330" i="26"/>
  <c r="H1330" i="26" s="1"/>
  <c r="E1330" i="26"/>
  <c r="G1330" i="26" s="1"/>
  <c r="D1330" i="26"/>
  <c r="B1330" i="26"/>
  <c r="L1329" i="26"/>
  <c r="I1329" i="26"/>
  <c r="F1329" i="26"/>
  <c r="H1329" i="26" s="1"/>
  <c r="E1329" i="26"/>
  <c r="G1329" i="26" s="1"/>
  <c r="D1329" i="26"/>
  <c r="B1329" i="26"/>
  <c r="L1328" i="26"/>
  <c r="I1328" i="26"/>
  <c r="F1328" i="26"/>
  <c r="H1328" i="26" s="1"/>
  <c r="E1328" i="26"/>
  <c r="G1328" i="26" s="1"/>
  <c r="D1328" i="26"/>
  <c r="B1328" i="26"/>
  <c r="L1327" i="26"/>
  <c r="I1327" i="26"/>
  <c r="F1327" i="26"/>
  <c r="H1327" i="26" s="1"/>
  <c r="E1327" i="26"/>
  <c r="G1327" i="26" s="1"/>
  <c r="D1327" i="26"/>
  <c r="B1327" i="26"/>
  <c r="L1326" i="26"/>
  <c r="I1326" i="26"/>
  <c r="F1326" i="26"/>
  <c r="H1326" i="26" s="1"/>
  <c r="E1326" i="26"/>
  <c r="G1326" i="26" s="1"/>
  <c r="D1326" i="26"/>
  <c r="B1326" i="26"/>
  <c r="L1325" i="26"/>
  <c r="I1325" i="26"/>
  <c r="F1325" i="26"/>
  <c r="H1325" i="26" s="1"/>
  <c r="E1325" i="26"/>
  <c r="G1325" i="26" s="1"/>
  <c r="D1325" i="26"/>
  <c r="B1325" i="26"/>
  <c r="L1324" i="26"/>
  <c r="I1324" i="26"/>
  <c r="F1324" i="26"/>
  <c r="H1324" i="26" s="1"/>
  <c r="E1324" i="26"/>
  <c r="G1324" i="26" s="1"/>
  <c r="D1324" i="26"/>
  <c r="B1324" i="26"/>
  <c r="L1323" i="26"/>
  <c r="I1323" i="26"/>
  <c r="F1323" i="26"/>
  <c r="H1323" i="26" s="1"/>
  <c r="E1323" i="26"/>
  <c r="G1323" i="26" s="1"/>
  <c r="D1323" i="26"/>
  <c r="B1323" i="26"/>
  <c r="L1322" i="26"/>
  <c r="I1322" i="26"/>
  <c r="F1322" i="26"/>
  <c r="H1322" i="26" s="1"/>
  <c r="E1322" i="26"/>
  <c r="G1322" i="26" s="1"/>
  <c r="D1322" i="26"/>
  <c r="B1322" i="26"/>
  <c r="L1321" i="26"/>
  <c r="I1321" i="26"/>
  <c r="F1321" i="26"/>
  <c r="H1321" i="26" s="1"/>
  <c r="E1321" i="26"/>
  <c r="G1321" i="26" s="1"/>
  <c r="D1321" i="26"/>
  <c r="B1321" i="26"/>
  <c r="L1320" i="26"/>
  <c r="I1320" i="26"/>
  <c r="F1320" i="26"/>
  <c r="H1320" i="26" s="1"/>
  <c r="E1320" i="26"/>
  <c r="G1320" i="26" s="1"/>
  <c r="D1320" i="26"/>
  <c r="B1320" i="26"/>
  <c r="L1319" i="26"/>
  <c r="I1319" i="26"/>
  <c r="F1319" i="26"/>
  <c r="H1319" i="26" s="1"/>
  <c r="E1319" i="26"/>
  <c r="G1319" i="26" s="1"/>
  <c r="D1319" i="26"/>
  <c r="B1319" i="26"/>
  <c r="L1318" i="26"/>
  <c r="I1318" i="26"/>
  <c r="F1318" i="26"/>
  <c r="H1318" i="26" s="1"/>
  <c r="E1318" i="26"/>
  <c r="G1318" i="26" s="1"/>
  <c r="D1318" i="26"/>
  <c r="B1318" i="26"/>
  <c r="L1317" i="26"/>
  <c r="I1317" i="26"/>
  <c r="K1317" i="26" s="1"/>
  <c r="F1317" i="26"/>
  <c r="H1317" i="26" s="1"/>
  <c r="E1317" i="26"/>
  <c r="G1317" i="26" s="1"/>
  <c r="D1317" i="26"/>
  <c r="B1317" i="26"/>
  <c r="L1316" i="26"/>
  <c r="I1316" i="26"/>
  <c r="F1316" i="26"/>
  <c r="H1316" i="26" s="1"/>
  <c r="E1316" i="26"/>
  <c r="G1316" i="26" s="1"/>
  <c r="D1316" i="26"/>
  <c r="B1316" i="26"/>
  <c r="L1315" i="26"/>
  <c r="I1315" i="26"/>
  <c r="F1315" i="26"/>
  <c r="H1315" i="26" s="1"/>
  <c r="E1315" i="26"/>
  <c r="G1315" i="26" s="1"/>
  <c r="D1315" i="26"/>
  <c r="B1315" i="26"/>
  <c r="L1314" i="26"/>
  <c r="I1314" i="26"/>
  <c r="F1314" i="26"/>
  <c r="H1314" i="26" s="1"/>
  <c r="E1314" i="26"/>
  <c r="G1314" i="26" s="1"/>
  <c r="D1314" i="26"/>
  <c r="B1314" i="26"/>
  <c r="L1313" i="26"/>
  <c r="I1313" i="26"/>
  <c r="F1313" i="26"/>
  <c r="H1313" i="26" s="1"/>
  <c r="E1313" i="26"/>
  <c r="G1313" i="26" s="1"/>
  <c r="D1313" i="26"/>
  <c r="B1313" i="26"/>
  <c r="L1312" i="26"/>
  <c r="I1312" i="26"/>
  <c r="F1312" i="26"/>
  <c r="H1312" i="26" s="1"/>
  <c r="E1312" i="26"/>
  <c r="G1312" i="26" s="1"/>
  <c r="D1312" i="26"/>
  <c r="B1312" i="26"/>
  <c r="L1311" i="26"/>
  <c r="I1311" i="26"/>
  <c r="F1311" i="26"/>
  <c r="H1311" i="26" s="1"/>
  <c r="E1311" i="26"/>
  <c r="G1311" i="26" s="1"/>
  <c r="D1311" i="26"/>
  <c r="B1311" i="26"/>
  <c r="L1310" i="26"/>
  <c r="I1310" i="26"/>
  <c r="F1310" i="26"/>
  <c r="H1310" i="26" s="1"/>
  <c r="E1310" i="26"/>
  <c r="G1310" i="26" s="1"/>
  <c r="D1310" i="26"/>
  <c r="B1310" i="26"/>
  <c r="L1309" i="26"/>
  <c r="I1309" i="26"/>
  <c r="F1309" i="26"/>
  <c r="H1309" i="26" s="1"/>
  <c r="E1309" i="26"/>
  <c r="G1309" i="26" s="1"/>
  <c r="D1309" i="26"/>
  <c r="B1309" i="26"/>
  <c r="L1308" i="26"/>
  <c r="I1308" i="26"/>
  <c r="F1308" i="26"/>
  <c r="H1308" i="26" s="1"/>
  <c r="E1308" i="26"/>
  <c r="G1308" i="26" s="1"/>
  <c r="D1308" i="26"/>
  <c r="B1308" i="26"/>
  <c r="L1307" i="26"/>
  <c r="I1307" i="26"/>
  <c r="F1307" i="26"/>
  <c r="H1307" i="26" s="1"/>
  <c r="E1307" i="26"/>
  <c r="G1307" i="26" s="1"/>
  <c r="D1307" i="26"/>
  <c r="B1307" i="26"/>
  <c r="L1306" i="26"/>
  <c r="I1306" i="26"/>
  <c r="F1306" i="26"/>
  <c r="H1306" i="26" s="1"/>
  <c r="E1306" i="26"/>
  <c r="G1306" i="26" s="1"/>
  <c r="D1306" i="26"/>
  <c r="B1306" i="26"/>
  <c r="L1305" i="26"/>
  <c r="I1305" i="26"/>
  <c r="F1305" i="26"/>
  <c r="H1305" i="26" s="1"/>
  <c r="E1305" i="26"/>
  <c r="G1305" i="26" s="1"/>
  <c r="D1305" i="26"/>
  <c r="B1305" i="26"/>
  <c r="L1304" i="26"/>
  <c r="I1304" i="26"/>
  <c r="F1304" i="26"/>
  <c r="H1304" i="26" s="1"/>
  <c r="E1304" i="26"/>
  <c r="G1304" i="26" s="1"/>
  <c r="D1304" i="26"/>
  <c r="B1304" i="26"/>
  <c r="L1303" i="26"/>
  <c r="I1303" i="26"/>
  <c r="F1303" i="26"/>
  <c r="H1303" i="26" s="1"/>
  <c r="E1303" i="26"/>
  <c r="G1303" i="26" s="1"/>
  <c r="D1303" i="26"/>
  <c r="B1303" i="26"/>
  <c r="L1302" i="26"/>
  <c r="I1302" i="26"/>
  <c r="F1302" i="26"/>
  <c r="H1302" i="26" s="1"/>
  <c r="E1302" i="26"/>
  <c r="G1302" i="26" s="1"/>
  <c r="D1302" i="26"/>
  <c r="B1302" i="26"/>
  <c r="L1301" i="26"/>
  <c r="I1301" i="26"/>
  <c r="F1301" i="26"/>
  <c r="H1301" i="26" s="1"/>
  <c r="E1301" i="26"/>
  <c r="G1301" i="26" s="1"/>
  <c r="D1301" i="26"/>
  <c r="B1301" i="26"/>
  <c r="L1300" i="26"/>
  <c r="I1300" i="26"/>
  <c r="F1300" i="26"/>
  <c r="H1300" i="26" s="1"/>
  <c r="E1300" i="26"/>
  <c r="G1300" i="26" s="1"/>
  <c r="D1300" i="26"/>
  <c r="B1300" i="26"/>
  <c r="L1299" i="26"/>
  <c r="I1299" i="26"/>
  <c r="F1299" i="26"/>
  <c r="H1299" i="26" s="1"/>
  <c r="E1299" i="26"/>
  <c r="G1299" i="26" s="1"/>
  <c r="D1299" i="26"/>
  <c r="B1299" i="26"/>
  <c r="L1298" i="26"/>
  <c r="I1298" i="26"/>
  <c r="F1298" i="26"/>
  <c r="H1298" i="26" s="1"/>
  <c r="E1298" i="26"/>
  <c r="G1298" i="26" s="1"/>
  <c r="D1298" i="26"/>
  <c r="B1298" i="26"/>
  <c r="L1297" i="26"/>
  <c r="I1297" i="26"/>
  <c r="F1297" i="26"/>
  <c r="H1297" i="26" s="1"/>
  <c r="E1297" i="26"/>
  <c r="G1297" i="26" s="1"/>
  <c r="D1297" i="26"/>
  <c r="B1297" i="26"/>
  <c r="L1296" i="26"/>
  <c r="I1296" i="26"/>
  <c r="F1296" i="26"/>
  <c r="H1296" i="26" s="1"/>
  <c r="E1296" i="26"/>
  <c r="G1296" i="26" s="1"/>
  <c r="D1296" i="26"/>
  <c r="B1296" i="26"/>
  <c r="L1295" i="26"/>
  <c r="I1295" i="26"/>
  <c r="F1295" i="26"/>
  <c r="H1295" i="26" s="1"/>
  <c r="E1295" i="26"/>
  <c r="G1295" i="26" s="1"/>
  <c r="D1295" i="26"/>
  <c r="B1295" i="26"/>
  <c r="L1294" i="26"/>
  <c r="I1294" i="26"/>
  <c r="F1294" i="26"/>
  <c r="H1294" i="26" s="1"/>
  <c r="E1294" i="26"/>
  <c r="G1294" i="26" s="1"/>
  <c r="D1294" i="26"/>
  <c r="B1294" i="26"/>
  <c r="L1293" i="26"/>
  <c r="I1293" i="26"/>
  <c r="F1293" i="26"/>
  <c r="H1293" i="26" s="1"/>
  <c r="E1293" i="26"/>
  <c r="G1293" i="26" s="1"/>
  <c r="D1293" i="26"/>
  <c r="B1293" i="26"/>
  <c r="L1292" i="26"/>
  <c r="I1292" i="26"/>
  <c r="F1292" i="26"/>
  <c r="H1292" i="26" s="1"/>
  <c r="E1292" i="26"/>
  <c r="G1292" i="26" s="1"/>
  <c r="D1292" i="26"/>
  <c r="B1292" i="26"/>
  <c r="L1291" i="26"/>
  <c r="I1291" i="26"/>
  <c r="F1291" i="26"/>
  <c r="H1291" i="26" s="1"/>
  <c r="E1291" i="26"/>
  <c r="G1291" i="26" s="1"/>
  <c r="D1291" i="26"/>
  <c r="B1291" i="26"/>
  <c r="L1290" i="26"/>
  <c r="I1290" i="26"/>
  <c r="F1290" i="26"/>
  <c r="H1290" i="26" s="1"/>
  <c r="E1290" i="26"/>
  <c r="G1290" i="26" s="1"/>
  <c r="D1290" i="26"/>
  <c r="B1290" i="26"/>
  <c r="L1289" i="26"/>
  <c r="I1289" i="26"/>
  <c r="F1289" i="26"/>
  <c r="H1289" i="26" s="1"/>
  <c r="E1289" i="26"/>
  <c r="G1289" i="26" s="1"/>
  <c r="D1289" i="26"/>
  <c r="B1289" i="26"/>
  <c r="L1288" i="26"/>
  <c r="I1288" i="26"/>
  <c r="F1288" i="26"/>
  <c r="H1288" i="26" s="1"/>
  <c r="E1288" i="26"/>
  <c r="G1288" i="26" s="1"/>
  <c r="D1288" i="26"/>
  <c r="B1288" i="26"/>
  <c r="L1287" i="26"/>
  <c r="I1287" i="26"/>
  <c r="F1287" i="26"/>
  <c r="H1287" i="26" s="1"/>
  <c r="E1287" i="26"/>
  <c r="G1287" i="26" s="1"/>
  <c r="D1287" i="26"/>
  <c r="B1287" i="26"/>
  <c r="L1286" i="26"/>
  <c r="I1286" i="26"/>
  <c r="F1286" i="26"/>
  <c r="H1286" i="26" s="1"/>
  <c r="E1286" i="26"/>
  <c r="G1286" i="26" s="1"/>
  <c r="D1286" i="26"/>
  <c r="B1286" i="26"/>
  <c r="L1285" i="26"/>
  <c r="I1285" i="26"/>
  <c r="F1285" i="26"/>
  <c r="H1285" i="26" s="1"/>
  <c r="E1285" i="26"/>
  <c r="G1285" i="26" s="1"/>
  <c r="D1285" i="26"/>
  <c r="B1285" i="26"/>
  <c r="L1284" i="26"/>
  <c r="I1284" i="26"/>
  <c r="F1284" i="26"/>
  <c r="H1284" i="26" s="1"/>
  <c r="E1284" i="26"/>
  <c r="G1284" i="26" s="1"/>
  <c r="D1284" i="26"/>
  <c r="B1284" i="26"/>
  <c r="L1283" i="26"/>
  <c r="I1283" i="26"/>
  <c r="F1283" i="26"/>
  <c r="H1283" i="26" s="1"/>
  <c r="E1283" i="26"/>
  <c r="G1283" i="26" s="1"/>
  <c r="D1283" i="26"/>
  <c r="B1283" i="26"/>
  <c r="L1282" i="26"/>
  <c r="N1282" i="26" s="1"/>
  <c r="I1282" i="26"/>
  <c r="F1282" i="26"/>
  <c r="H1282" i="26" s="1"/>
  <c r="E1282" i="26"/>
  <c r="G1282" i="26" s="1"/>
  <c r="D1282" i="26"/>
  <c r="B1282" i="26"/>
  <c r="L1281" i="26"/>
  <c r="I1281" i="26"/>
  <c r="F1281" i="26"/>
  <c r="H1281" i="26" s="1"/>
  <c r="E1281" i="26"/>
  <c r="G1281" i="26" s="1"/>
  <c r="D1281" i="26"/>
  <c r="B1281" i="26"/>
  <c r="L1280" i="26"/>
  <c r="I1280" i="26"/>
  <c r="F1280" i="26"/>
  <c r="H1280" i="26" s="1"/>
  <c r="E1280" i="26"/>
  <c r="G1280" i="26" s="1"/>
  <c r="D1280" i="26"/>
  <c r="B1280" i="26"/>
  <c r="L1279" i="26"/>
  <c r="I1279" i="26"/>
  <c r="F1279" i="26"/>
  <c r="H1279" i="26" s="1"/>
  <c r="E1279" i="26"/>
  <c r="G1279" i="26" s="1"/>
  <c r="D1279" i="26"/>
  <c r="B1279" i="26"/>
  <c r="L1278" i="26"/>
  <c r="I1278" i="26"/>
  <c r="F1278" i="26"/>
  <c r="H1278" i="26" s="1"/>
  <c r="E1278" i="26"/>
  <c r="G1278" i="26" s="1"/>
  <c r="D1278" i="26"/>
  <c r="B1278" i="26"/>
  <c r="L1277" i="26"/>
  <c r="I1277" i="26"/>
  <c r="K1277" i="26" s="1"/>
  <c r="F1277" i="26"/>
  <c r="H1277" i="26" s="1"/>
  <c r="E1277" i="26"/>
  <c r="G1277" i="26" s="1"/>
  <c r="D1277" i="26"/>
  <c r="B1277" i="26"/>
  <c r="L1276" i="26"/>
  <c r="I1276" i="26"/>
  <c r="F1276" i="26"/>
  <c r="H1276" i="26" s="1"/>
  <c r="E1276" i="26"/>
  <c r="G1276" i="26" s="1"/>
  <c r="D1276" i="26"/>
  <c r="B1276" i="26"/>
  <c r="L1275" i="26"/>
  <c r="N1275" i="26" s="1"/>
  <c r="I1275" i="26"/>
  <c r="F1275" i="26"/>
  <c r="H1275" i="26" s="1"/>
  <c r="E1275" i="26"/>
  <c r="G1275" i="26" s="1"/>
  <c r="D1275" i="26"/>
  <c r="B1275" i="26"/>
  <c r="L1274" i="26"/>
  <c r="I1274" i="26"/>
  <c r="F1274" i="26"/>
  <c r="H1274" i="26" s="1"/>
  <c r="E1274" i="26"/>
  <c r="G1274" i="26" s="1"/>
  <c r="D1274" i="26"/>
  <c r="B1274" i="26"/>
  <c r="L1273" i="26"/>
  <c r="I1273" i="26"/>
  <c r="F1273" i="26"/>
  <c r="H1273" i="26" s="1"/>
  <c r="E1273" i="26"/>
  <c r="G1273" i="26" s="1"/>
  <c r="D1273" i="26"/>
  <c r="B1273" i="26"/>
  <c r="L1272" i="26"/>
  <c r="I1272" i="26"/>
  <c r="F1272" i="26"/>
  <c r="H1272" i="26" s="1"/>
  <c r="E1272" i="26"/>
  <c r="G1272" i="26" s="1"/>
  <c r="D1272" i="26"/>
  <c r="B1272" i="26"/>
  <c r="L1271" i="26"/>
  <c r="I1271" i="26"/>
  <c r="F1271" i="26"/>
  <c r="H1271" i="26" s="1"/>
  <c r="E1271" i="26"/>
  <c r="G1271" i="26" s="1"/>
  <c r="D1271" i="26"/>
  <c r="B1271" i="26"/>
  <c r="L1270" i="26"/>
  <c r="I1270" i="26"/>
  <c r="F1270" i="26"/>
  <c r="H1270" i="26" s="1"/>
  <c r="E1270" i="26"/>
  <c r="G1270" i="26" s="1"/>
  <c r="D1270" i="26"/>
  <c r="B1270" i="26"/>
  <c r="L1269" i="26"/>
  <c r="I1269" i="26"/>
  <c r="F1269" i="26"/>
  <c r="H1269" i="26" s="1"/>
  <c r="E1269" i="26"/>
  <c r="G1269" i="26" s="1"/>
  <c r="D1269" i="26"/>
  <c r="B1269" i="26"/>
  <c r="L1268" i="26"/>
  <c r="I1268" i="26"/>
  <c r="F1268" i="26"/>
  <c r="H1268" i="26" s="1"/>
  <c r="E1268" i="26"/>
  <c r="G1268" i="26" s="1"/>
  <c r="D1268" i="26"/>
  <c r="B1268" i="26"/>
  <c r="L1267" i="26"/>
  <c r="I1267" i="26"/>
  <c r="F1267" i="26"/>
  <c r="H1267" i="26" s="1"/>
  <c r="E1267" i="26"/>
  <c r="G1267" i="26" s="1"/>
  <c r="D1267" i="26"/>
  <c r="B1267" i="26"/>
  <c r="L1266" i="26"/>
  <c r="N1266" i="26" s="1"/>
  <c r="I1266" i="26"/>
  <c r="F1266" i="26"/>
  <c r="H1266" i="26" s="1"/>
  <c r="E1266" i="26"/>
  <c r="G1266" i="26" s="1"/>
  <c r="D1266" i="26"/>
  <c r="B1266" i="26"/>
  <c r="L1265" i="26"/>
  <c r="I1265" i="26"/>
  <c r="F1265" i="26"/>
  <c r="H1265" i="26" s="1"/>
  <c r="E1265" i="26"/>
  <c r="G1265" i="26" s="1"/>
  <c r="D1265" i="26"/>
  <c r="B1265" i="26"/>
  <c r="L1264" i="26"/>
  <c r="I1264" i="26"/>
  <c r="F1264" i="26"/>
  <c r="H1264" i="26" s="1"/>
  <c r="E1264" i="26"/>
  <c r="G1264" i="26" s="1"/>
  <c r="D1264" i="26"/>
  <c r="B1264" i="26"/>
  <c r="L1263" i="26"/>
  <c r="I1263" i="26"/>
  <c r="F1263" i="26"/>
  <c r="H1263" i="26" s="1"/>
  <c r="E1263" i="26"/>
  <c r="G1263" i="26" s="1"/>
  <c r="D1263" i="26"/>
  <c r="B1263" i="26"/>
  <c r="L1262" i="26"/>
  <c r="I1262" i="26"/>
  <c r="F1262" i="26"/>
  <c r="H1262" i="26" s="1"/>
  <c r="E1262" i="26"/>
  <c r="G1262" i="26" s="1"/>
  <c r="D1262" i="26"/>
  <c r="B1262" i="26"/>
  <c r="L1261" i="26"/>
  <c r="I1261" i="26"/>
  <c r="F1261" i="26"/>
  <c r="H1261" i="26" s="1"/>
  <c r="E1261" i="26"/>
  <c r="G1261" i="26" s="1"/>
  <c r="D1261" i="26"/>
  <c r="B1261" i="26"/>
  <c r="L1260" i="26"/>
  <c r="I1260" i="26"/>
  <c r="F1260" i="26"/>
  <c r="H1260" i="26" s="1"/>
  <c r="E1260" i="26"/>
  <c r="G1260" i="26" s="1"/>
  <c r="D1260" i="26"/>
  <c r="B1260" i="26"/>
  <c r="L1259" i="26"/>
  <c r="I1259" i="26"/>
  <c r="F1259" i="26"/>
  <c r="H1259" i="26" s="1"/>
  <c r="E1259" i="26"/>
  <c r="G1259" i="26" s="1"/>
  <c r="D1259" i="26"/>
  <c r="B1259" i="26"/>
  <c r="L1258" i="26"/>
  <c r="I1258" i="26"/>
  <c r="F1258" i="26"/>
  <c r="H1258" i="26" s="1"/>
  <c r="E1258" i="26"/>
  <c r="G1258" i="26" s="1"/>
  <c r="D1258" i="26"/>
  <c r="B1258" i="26"/>
  <c r="L1257" i="26"/>
  <c r="I1257" i="26"/>
  <c r="F1257" i="26"/>
  <c r="H1257" i="26" s="1"/>
  <c r="E1257" i="26"/>
  <c r="G1257" i="26" s="1"/>
  <c r="D1257" i="26"/>
  <c r="B1257" i="26"/>
  <c r="L1256" i="26"/>
  <c r="I1256" i="26"/>
  <c r="F1256" i="26"/>
  <c r="H1256" i="26" s="1"/>
  <c r="E1256" i="26"/>
  <c r="G1256" i="26" s="1"/>
  <c r="D1256" i="26"/>
  <c r="B1256" i="26"/>
  <c r="L1255" i="26"/>
  <c r="I1255" i="26"/>
  <c r="F1255" i="26"/>
  <c r="H1255" i="26" s="1"/>
  <c r="E1255" i="26"/>
  <c r="G1255" i="26" s="1"/>
  <c r="D1255" i="26"/>
  <c r="B1255" i="26"/>
  <c r="L1254" i="26"/>
  <c r="I1254" i="26"/>
  <c r="F1254" i="26"/>
  <c r="H1254" i="26" s="1"/>
  <c r="E1254" i="26"/>
  <c r="G1254" i="26" s="1"/>
  <c r="D1254" i="26"/>
  <c r="B1254" i="26"/>
  <c r="L1253" i="26"/>
  <c r="I1253" i="26"/>
  <c r="F1253" i="26"/>
  <c r="H1253" i="26" s="1"/>
  <c r="E1253" i="26"/>
  <c r="G1253" i="26" s="1"/>
  <c r="D1253" i="26"/>
  <c r="B1253" i="26"/>
  <c r="L1252" i="26"/>
  <c r="I1252" i="26"/>
  <c r="F1252" i="26"/>
  <c r="H1252" i="26" s="1"/>
  <c r="E1252" i="26"/>
  <c r="G1252" i="26" s="1"/>
  <c r="D1252" i="26"/>
  <c r="B1252" i="26"/>
  <c r="L1251" i="26"/>
  <c r="I1251" i="26"/>
  <c r="K1251" i="26" s="1"/>
  <c r="F1251" i="26"/>
  <c r="H1251" i="26" s="1"/>
  <c r="E1251" i="26"/>
  <c r="G1251" i="26" s="1"/>
  <c r="D1251" i="26"/>
  <c r="B1251" i="26"/>
  <c r="L1250" i="26"/>
  <c r="I1250" i="26"/>
  <c r="F1250" i="26"/>
  <c r="H1250" i="26" s="1"/>
  <c r="E1250" i="26"/>
  <c r="G1250" i="26" s="1"/>
  <c r="D1250" i="26"/>
  <c r="B1250" i="26"/>
  <c r="L1249" i="26"/>
  <c r="I1249" i="26"/>
  <c r="F1249" i="26"/>
  <c r="H1249" i="26" s="1"/>
  <c r="E1249" i="26"/>
  <c r="G1249" i="26" s="1"/>
  <c r="D1249" i="26"/>
  <c r="B1249" i="26"/>
  <c r="L1248" i="26"/>
  <c r="I1248" i="26"/>
  <c r="F1248" i="26"/>
  <c r="H1248" i="26" s="1"/>
  <c r="E1248" i="26"/>
  <c r="G1248" i="26" s="1"/>
  <c r="D1248" i="26"/>
  <c r="B1248" i="26"/>
  <c r="L1247" i="26"/>
  <c r="I1247" i="26"/>
  <c r="K1247" i="26" s="1"/>
  <c r="F1247" i="26"/>
  <c r="H1247" i="26" s="1"/>
  <c r="E1247" i="26"/>
  <c r="G1247" i="26" s="1"/>
  <c r="D1247" i="26"/>
  <c r="B1247" i="26"/>
  <c r="L1246" i="26"/>
  <c r="I1246" i="26"/>
  <c r="F1246" i="26"/>
  <c r="H1246" i="26" s="1"/>
  <c r="E1246" i="26"/>
  <c r="G1246" i="26" s="1"/>
  <c r="D1246" i="26"/>
  <c r="B1246" i="26"/>
  <c r="L1245" i="26"/>
  <c r="I1245" i="26"/>
  <c r="F1245" i="26"/>
  <c r="H1245" i="26" s="1"/>
  <c r="E1245" i="26"/>
  <c r="G1245" i="26" s="1"/>
  <c r="D1245" i="26"/>
  <c r="B1245" i="26"/>
  <c r="L1244" i="26"/>
  <c r="I1244" i="26"/>
  <c r="K1244" i="26" s="1"/>
  <c r="F1244" i="26"/>
  <c r="H1244" i="26" s="1"/>
  <c r="E1244" i="26"/>
  <c r="G1244" i="26" s="1"/>
  <c r="D1244" i="26"/>
  <c r="B1244" i="26"/>
  <c r="L1243" i="26"/>
  <c r="I1243" i="26"/>
  <c r="F1243" i="26"/>
  <c r="H1243" i="26" s="1"/>
  <c r="E1243" i="26"/>
  <c r="G1243" i="26" s="1"/>
  <c r="D1243" i="26"/>
  <c r="B1243" i="26"/>
  <c r="L1242" i="26"/>
  <c r="I1242" i="26"/>
  <c r="F1242" i="26"/>
  <c r="H1242" i="26" s="1"/>
  <c r="E1242" i="26"/>
  <c r="G1242" i="26" s="1"/>
  <c r="D1242" i="26"/>
  <c r="B1242" i="26"/>
  <c r="L1241" i="26"/>
  <c r="I1241" i="26"/>
  <c r="F1241" i="26"/>
  <c r="H1241" i="26" s="1"/>
  <c r="E1241" i="26"/>
  <c r="G1241" i="26" s="1"/>
  <c r="D1241" i="26"/>
  <c r="B1241" i="26"/>
  <c r="L1240" i="26"/>
  <c r="I1240" i="26"/>
  <c r="F1240" i="26"/>
  <c r="H1240" i="26" s="1"/>
  <c r="E1240" i="26"/>
  <c r="G1240" i="26" s="1"/>
  <c r="D1240" i="26"/>
  <c r="B1240" i="26"/>
  <c r="L1239" i="26"/>
  <c r="I1239" i="26"/>
  <c r="F1239" i="26"/>
  <c r="H1239" i="26" s="1"/>
  <c r="E1239" i="26"/>
  <c r="G1239" i="26" s="1"/>
  <c r="D1239" i="26"/>
  <c r="B1239" i="26"/>
  <c r="L1238" i="26"/>
  <c r="I1238" i="26"/>
  <c r="F1238" i="26"/>
  <c r="H1238" i="26" s="1"/>
  <c r="E1238" i="26"/>
  <c r="G1238" i="26" s="1"/>
  <c r="D1238" i="26"/>
  <c r="B1238" i="26"/>
  <c r="L1237" i="26"/>
  <c r="I1237" i="26"/>
  <c r="F1237" i="26"/>
  <c r="H1237" i="26" s="1"/>
  <c r="E1237" i="26"/>
  <c r="G1237" i="26" s="1"/>
  <c r="D1237" i="26"/>
  <c r="B1237" i="26"/>
  <c r="L1236" i="26"/>
  <c r="I1236" i="26"/>
  <c r="F1236" i="26"/>
  <c r="H1236" i="26" s="1"/>
  <c r="E1236" i="26"/>
  <c r="G1236" i="26" s="1"/>
  <c r="D1236" i="26"/>
  <c r="B1236" i="26"/>
  <c r="L1235" i="26"/>
  <c r="I1235" i="26"/>
  <c r="F1235" i="26"/>
  <c r="H1235" i="26" s="1"/>
  <c r="E1235" i="26"/>
  <c r="G1235" i="26" s="1"/>
  <c r="D1235" i="26"/>
  <c r="B1235" i="26"/>
  <c r="L1234" i="26"/>
  <c r="I1234" i="26"/>
  <c r="F1234" i="26"/>
  <c r="H1234" i="26" s="1"/>
  <c r="E1234" i="26"/>
  <c r="G1234" i="26" s="1"/>
  <c r="D1234" i="26"/>
  <c r="B1234" i="26"/>
  <c r="L1233" i="26"/>
  <c r="I1233" i="26"/>
  <c r="F1233" i="26"/>
  <c r="H1233" i="26" s="1"/>
  <c r="E1233" i="26"/>
  <c r="G1233" i="26" s="1"/>
  <c r="D1233" i="26"/>
  <c r="B1233" i="26"/>
  <c r="L1232" i="26"/>
  <c r="I1232" i="26"/>
  <c r="F1232" i="26"/>
  <c r="H1232" i="26" s="1"/>
  <c r="E1232" i="26"/>
  <c r="G1232" i="26" s="1"/>
  <c r="D1232" i="26"/>
  <c r="B1232" i="26"/>
  <c r="L1231" i="26"/>
  <c r="I1231" i="26"/>
  <c r="F1231" i="26"/>
  <c r="H1231" i="26" s="1"/>
  <c r="E1231" i="26"/>
  <c r="G1231" i="26" s="1"/>
  <c r="D1231" i="26"/>
  <c r="B1231" i="26"/>
  <c r="L1230" i="26"/>
  <c r="N1230" i="26" s="1"/>
  <c r="I1230" i="26"/>
  <c r="F1230" i="26"/>
  <c r="H1230" i="26" s="1"/>
  <c r="E1230" i="26"/>
  <c r="G1230" i="26" s="1"/>
  <c r="D1230" i="26"/>
  <c r="B1230" i="26"/>
  <c r="L1229" i="26"/>
  <c r="I1229" i="26"/>
  <c r="F1229" i="26"/>
  <c r="H1229" i="26" s="1"/>
  <c r="E1229" i="26"/>
  <c r="G1229" i="26" s="1"/>
  <c r="D1229" i="26"/>
  <c r="B1229" i="26"/>
  <c r="L1228" i="26"/>
  <c r="I1228" i="26"/>
  <c r="F1228" i="26"/>
  <c r="H1228" i="26" s="1"/>
  <c r="E1228" i="26"/>
  <c r="G1228" i="26" s="1"/>
  <c r="D1228" i="26"/>
  <c r="B1228" i="26"/>
  <c r="L1227" i="26"/>
  <c r="I1227" i="26"/>
  <c r="F1227" i="26"/>
  <c r="H1227" i="26" s="1"/>
  <c r="E1227" i="26"/>
  <c r="G1227" i="26" s="1"/>
  <c r="D1227" i="26"/>
  <c r="B1227" i="26"/>
  <c r="L1226" i="26"/>
  <c r="N1226" i="26" s="1"/>
  <c r="I1226" i="26"/>
  <c r="F1226" i="26"/>
  <c r="H1226" i="26" s="1"/>
  <c r="E1226" i="26"/>
  <c r="G1226" i="26" s="1"/>
  <c r="D1226" i="26"/>
  <c r="B1226" i="26"/>
  <c r="L1225" i="26"/>
  <c r="I1225" i="26"/>
  <c r="F1225" i="26"/>
  <c r="H1225" i="26" s="1"/>
  <c r="E1225" i="26"/>
  <c r="G1225" i="26" s="1"/>
  <c r="D1225" i="26"/>
  <c r="B1225" i="26"/>
  <c r="L1224" i="26"/>
  <c r="N1224" i="26" s="1"/>
  <c r="I1224" i="26"/>
  <c r="F1224" i="26"/>
  <c r="H1224" i="26" s="1"/>
  <c r="E1224" i="26"/>
  <c r="G1224" i="26" s="1"/>
  <c r="D1224" i="26"/>
  <c r="B1224" i="26"/>
  <c r="L1223" i="26"/>
  <c r="I1223" i="26"/>
  <c r="F1223" i="26"/>
  <c r="H1223" i="26" s="1"/>
  <c r="E1223" i="26"/>
  <c r="G1223" i="26" s="1"/>
  <c r="D1223" i="26"/>
  <c r="B1223" i="26"/>
  <c r="L1222" i="26"/>
  <c r="I1222" i="26"/>
  <c r="F1222" i="26"/>
  <c r="H1222" i="26" s="1"/>
  <c r="E1222" i="26"/>
  <c r="G1222" i="26" s="1"/>
  <c r="D1222" i="26"/>
  <c r="B1222" i="26"/>
  <c r="L1221" i="26"/>
  <c r="I1221" i="26"/>
  <c r="F1221" i="26"/>
  <c r="H1221" i="26" s="1"/>
  <c r="E1221" i="26"/>
  <c r="G1221" i="26" s="1"/>
  <c r="D1221" i="26"/>
  <c r="B1221" i="26"/>
  <c r="L1220" i="26"/>
  <c r="I1220" i="26"/>
  <c r="F1220" i="26"/>
  <c r="H1220" i="26" s="1"/>
  <c r="E1220" i="26"/>
  <c r="G1220" i="26" s="1"/>
  <c r="D1220" i="26"/>
  <c r="B1220" i="26"/>
  <c r="L1219" i="26"/>
  <c r="I1219" i="26"/>
  <c r="F1219" i="26"/>
  <c r="H1219" i="26" s="1"/>
  <c r="E1219" i="26"/>
  <c r="G1219" i="26" s="1"/>
  <c r="D1219" i="26"/>
  <c r="B1219" i="26"/>
  <c r="L1218" i="26"/>
  <c r="I1218" i="26"/>
  <c r="F1218" i="26"/>
  <c r="H1218" i="26" s="1"/>
  <c r="E1218" i="26"/>
  <c r="G1218" i="26" s="1"/>
  <c r="D1218" i="26"/>
  <c r="B1218" i="26"/>
  <c r="L1217" i="26"/>
  <c r="I1217" i="26"/>
  <c r="F1217" i="26"/>
  <c r="H1217" i="26" s="1"/>
  <c r="E1217" i="26"/>
  <c r="G1217" i="26" s="1"/>
  <c r="D1217" i="26"/>
  <c r="B1217" i="26"/>
  <c r="L1216" i="26"/>
  <c r="I1216" i="26"/>
  <c r="F1216" i="26"/>
  <c r="H1216" i="26" s="1"/>
  <c r="E1216" i="26"/>
  <c r="G1216" i="26" s="1"/>
  <c r="D1216" i="26"/>
  <c r="B1216" i="26"/>
  <c r="L1215" i="26"/>
  <c r="I1215" i="26"/>
  <c r="F1215" i="26"/>
  <c r="H1215" i="26" s="1"/>
  <c r="E1215" i="26"/>
  <c r="G1215" i="26" s="1"/>
  <c r="D1215" i="26"/>
  <c r="B1215" i="26"/>
  <c r="L1214" i="26"/>
  <c r="I1214" i="26"/>
  <c r="F1214" i="26"/>
  <c r="H1214" i="26" s="1"/>
  <c r="E1214" i="26"/>
  <c r="G1214" i="26" s="1"/>
  <c r="D1214" i="26"/>
  <c r="B1214" i="26"/>
  <c r="L1213" i="26"/>
  <c r="I1213" i="26"/>
  <c r="F1213" i="26"/>
  <c r="H1213" i="26" s="1"/>
  <c r="E1213" i="26"/>
  <c r="G1213" i="26" s="1"/>
  <c r="D1213" i="26"/>
  <c r="B1213" i="26"/>
  <c r="L1212" i="26"/>
  <c r="I1212" i="26"/>
  <c r="F1212" i="26"/>
  <c r="H1212" i="26" s="1"/>
  <c r="E1212" i="26"/>
  <c r="G1212" i="26" s="1"/>
  <c r="D1212" i="26"/>
  <c r="B1212" i="26"/>
  <c r="L1211" i="26"/>
  <c r="I1211" i="26"/>
  <c r="F1211" i="26"/>
  <c r="H1211" i="26" s="1"/>
  <c r="E1211" i="26"/>
  <c r="G1211" i="26" s="1"/>
  <c r="D1211" i="26"/>
  <c r="B1211" i="26"/>
  <c r="L1210" i="26"/>
  <c r="I1210" i="26"/>
  <c r="F1210" i="26"/>
  <c r="H1210" i="26" s="1"/>
  <c r="E1210" i="26"/>
  <c r="G1210" i="26" s="1"/>
  <c r="D1210" i="26"/>
  <c r="B1210" i="26"/>
  <c r="L1209" i="26"/>
  <c r="I1209" i="26"/>
  <c r="F1209" i="26"/>
  <c r="H1209" i="26" s="1"/>
  <c r="E1209" i="26"/>
  <c r="G1209" i="26" s="1"/>
  <c r="D1209" i="26"/>
  <c r="B1209" i="26"/>
  <c r="L1208" i="26"/>
  <c r="I1208" i="26"/>
  <c r="F1208" i="26"/>
  <c r="H1208" i="26" s="1"/>
  <c r="E1208" i="26"/>
  <c r="G1208" i="26" s="1"/>
  <c r="D1208" i="26"/>
  <c r="B1208" i="26"/>
  <c r="L1207" i="26"/>
  <c r="I1207" i="26"/>
  <c r="F1207" i="26"/>
  <c r="H1207" i="26" s="1"/>
  <c r="E1207" i="26"/>
  <c r="G1207" i="26" s="1"/>
  <c r="D1207" i="26"/>
  <c r="B1207" i="26"/>
  <c r="L1206" i="26"/>
  <c r="I1206" i="26"/>
  <c r="F1206" i="26"/>
  <c r="H1206" i="26" s="1"/>
  <c r="E1206" i="26"/>
  <c r="G1206" i="26" s="1"/>
  <c r="D1206" i="26"/>
  <c r="B1206" i="26"/>
  <c r="L1205" i="26"/>
  <c r="I1205" i="26"/>
  <c r="F1205" i="26"/>
  <c r="H1205" i="26" s="1"/>
  <c r="E1205" i="26"/>
  <c r="G1205" i="26" s="1"/>
  <c r="D1205" i="26"/>
  <c r="B1205" i="26"/>
  <c r="L1204" i="26"/>
  <c r="I1204" i="26"/>
  <c r="F1204" i="26"/>
  <c r="H1204" i="26" s="1"/>
  <c r="E1204" i="26"/>
  <c r="G1204" i="26" s="1"/>
  <c r="D1204" i="26"/>
  <c r="B1204" i="26"/>
  <c r="L1203" i="26"/>
  <c r="I1203" i="26"/>
  <c r="F1203" i="26"/>
  <c r="H1203" i="26" s="1"/>
  <c r="E1203" i="26"/>
  <c r="G1203" i="26" s="1"/>
  <c r="D1203" i="26"/>
  <c r="B1203" i="26"/>
  <c r="L1202" i="26"/>
  <c r="I1202" i="26"/>
  <c r="F1202" i="26"/>
  <c r="H1202" i="26" s="1"/>
  <c r="E1202" i="26"/>
  <c r="G1202" i="26" s="1"/>
  <c r="D1202" i="26"/>
  <c r="B1202" i="26"/>
  <c r="L1201" i="26"/>
  <c r="I1201" i="26"/>
  <c r="F1201" i="26"/>
  <c r="H1201" i="26" s="1"/>
  <c r="E1201" i="26"/>
  <c r="G1201" i="26" s="1"/>
  <c r="D1201" i="26"/>
  <c r="B1201" i="26"/>
  <c r="L1200" i="26"/>
  <c r="I1200" i="26"/>
  <c r="F1200" i="26"/>
  <c r="H1200" i="26" s="1"/>
  <c r="E1200" i="26"/>
  <c r="G1200" i="26" s="1"/>
  <c r="D1200" i="26"/>
  <c r="B1200" i="26"/>
  <c r="L1199" i="26"/>
  <c r="I1199" i="26"/>
  <c r="F1199" i="26"/>
  <c r="H1199" i="26" s="1"/>
  <c r="E1199" i="26"/>
  <c r="G1199" i="26" s="1"/>
  <c r="D1199" i="26"/>
  <c r="B1199" i="26"/>
  <c r="L1198" i="26"/>
  <c r="I1198" i="26"/>
  <c r="F1198" i="26"/>
  <c r="H1198" i="26" s="1"/>
  <c r="E1198" i="26"/>
  <c r="G1198" i="26" s="1"/>
  <c r="D1198" i="26"/>
  <c r="B1198" i="26"/>
  <c r="L1197" i="26"/>
  <c r="N1197" i="26" s="1"/>
  <c r="I1197" i="26"/>
  <c r="F1197" i="26"/>
  <c r="H1197" i="26" s="1"/>
  <c r="E1197" i="26"/>
  <c r="G1197" i="26" s="1"/>
  <c r="D1197" i="26"/>
  <c r="B1197" i="26"/>
  <c r="L1196" i="26"/>
  <c r="I1196" i="26"/>
  <c r="F1196" i="26"/>
  <c r="H1196" i="26" s="1"/>
  <c r="E1196" i="26"/>
  <c r="G1196" i="26" s="1"/>
  <c r="D1196" i="26"/>
  <c r="B1196" i="26"/>
  <c r="L1195" i="26"/>
  <c r="I1195" i="26"/>
  <c r="F1195" i="26"/>
  <c r="H1195" i="26" s="1"/>
  <c r="E1195" i="26"/>
  <c r="G1195" i="26" s="1"/>
  <c r="D1195" i="26"/>
  <c r="B1195" i="26"/>
  <c r="L1194" i="26"/>
  <c r="I1194" i="26"/>
  <c r="F1194" i="26"/>
  <c r="H1194" i="26" s="1"/>
  <c r="E1194" i="26"/>
  <c r="G1194" i="26" s="1"/>
  <c r="D1194" i="26"/>
  <c r="B1194" i="26"/>
  <c r="L1193" i="26"/>
  <c r="I1193" i="26"/>
  <c r="F1193" i="26"/>
  <c r="H1193" i="26" s="1"/>
  <c r="E1193" i="26"/>
  <c r="G1193" i="26" s="1"/>
  <c r="D1193" i="26"/>
  <c r="B1193" i="26"/>
  <c r="L1192" i="26"/>
  <c r="I1192" i="26"/>
  <c r="F1192" i="26"/>
  <c r="H1192" i="26" s="1"/>
  <c r="E1192" i="26"/>
  <c r="G1192" i="26" s="1"/>
  <c r="D1192" i="26"/>
  <c r="B1192" i="26"/>
  <c r="L1191" i="26"/>
  <c r="I1191" i="26"/>
  <c r="F1191" i="26"/>
  <c r="H1191" i="26" s="1"/>
  <c r="E1191" i="26"/>
  <c r="G1191" i="26" s="1"/>
  <c r="D1191" i="26"/>
  <c r="B1191" i="26"/>
  <c r="L1190" i="26"/>
  <c r="I1190" i="26"/>
  <c r="F1190" i="26"/>
  <c r="H1190" i="26" s="1"/>
  <c r="E1190" i="26"/>
  <c r="G1190" i="26" s="1"/>
  <c r="D1190" i="26"/>
  <c r="B1190" i="26"/>
  <c r="L1189" i="26"/>
  <c r="N1189" i="26" s="1"/>
  <c r="I1189" i="26"/>
  <c r="F1189" i="26"/>
  <c r="H1189" i="26" s="1"/>
  <c r="E1189" i="26"/>
  <c r="G1189" i="26" s="1"/>
  <c r="D1189" i="26"/>
  <c r="B1189" i="26"/>
  <c r="L1188" i="26"/>
  <c r="I1188" i="26"/>
  <c r="F1188" i="26"/>
  <c r="H1188" i="26" s="1"/>
  <c r="E1188" i="26"/>
  <c r="G1188" i="26" s="1"/>
  <c r="D1188" i="26"/>
  <c r="B1188" i="26"/>
  <c r="L1187" i="26"/>
  <c r="I1187" i="26"/>
  <c r="F1187" i="26"/>
  <c r="H1187" i="26" s="1"/>
  <c r="E1187" i="26"/>
  <c r="G1187" i="26" s="1"/>
  <c r="D1187" i="26"/>
  <c r="B1187" i="26"/>
  <c r="L1186" i="26"/>
  <c r="I1186" i="26"/>
  <c r="F1186" i="26"/>
  <c r="H1186" i="26" s="1"/>
  <c r="E1186" i="26"/>
  <c r="G1186" i="26" s="1"/>
  <c r="D1186" i="26"/>
  <c r="B1186" i="26"/>
  <c r="L1185" i="26"/>
  <c r="I1185" i="26"/>
  <c r="F1185" i="26"/>
  <c r="H1185" i="26" s="1"/>
  <c r="E1185" i="26"/>
  <c r="G1185" i="26" s="1"/>
  <c r="D1185" i="26"/>
  <c r="B1185" i="26"/>
  <c r="L1184" i="26"/>
  <c r="I1184" i="26"/>
  <c r="F1184" i="26"/>
  <c r="H1184" i="26" s="1"/>
  <c r="E1184" i="26"/>
  <c r="G1184" i="26" s="1"/>
  <c r="D1184" i="26"/>
  <c r="B1184" i="26"/>
  <c r="L1183" i="26"/>
  <c r="I1183" i="26"/>
  <c r="F1183" i="26"/>
  <c r="H1183" i="26" s="1"/>
  <c r="E1183" i="26"/>
  <c r="G1183" i="26" s="1"/>
  <c r="D1183" i="26"/>
  <c r="B1183" i="26"/>
  <c r="L1182" i="26"/>
  <c r="I1182" i="26"/>
  <c r="F1182" i="26"/>
  <c r="H1182" i="26" s="1"/>
  <c r="E1182" i="26"/>
  <c r="G1182" i="26" s="1"/>
  <c r="D1182" i="26"/>
  <c r="B1182" i="26"/>
  <c r="L1181" i="26"/>
  <c r="N1181" i="26" s="1"/>
  <c r="I1181" i="26"/>
  <c r="F1181" i="26"/>
  <c r="H1181" i="26" s="1"/>
  <c r="E1181" i="26"/>
  <c r="G1181" i="26" s="1"/>
  <c r="D1181" i="26"/>
  <c r="B1181" i="26"/>
  <c r="L1180" i="26"/>
  <c r="I1180" i="26"/>
  <c r="F1180" i="26"/>
  <c r="H1180" i="26" s="1"/>
  <c r="E1180" i="26"/>
  <c r="G1180" i="26" s="1"/>
  <c r="D1180" i="26"/>
  <c r="B1180" i="26"/>
  <c r="L1179" i="26"/>
  <c r="I1179" i="26"/>
  <c r="F1179" i="26"/>
  <c r="H1179" i="26" s="1"/>
  <c r="E1179" i="26"/>
  <c r="G1179" i="26" s="1"/>
  <c r="D1179" i="26"/>
  <c r="B1179" i="26"/>
  <c r="L1178" i="26"/>
  <c r="I1178" i="26"/>
  <c r="F1178" i="26"/>
  <c r="H1178" i="26" s="1"/>
  <c r="E1178" i="26"/>
  <c r="G1178" i="26" s="1"/>
  <c r="D1178" i="26"/>
  <c r="B1178" i="26"/>
  <c r="L1177" i="26"/>
  <c r="I1177" i="26"/>
  <c r="F1177" i="26"/>
  <c r="H1177" i="26" s="1"/>
  <c r="E1177" i="26"/>
  <c r="G1177" i="26" s="1"/>
  <c r="D1177" i="26"/>
  <c r="B1177" i="26"/>
  <c r="L1176" i="26"/>
  <c r="I1176" i="26"/>
  <c r="F1176" i="26"/>
  <c r="H1176" i="26" s="1"/>
  <c r="E1176" i="26"/>
  <c r="G1176" i="26" s="1"/>
  <c r="D1176" i="26"/>
  <c r="B1176" i="26"/>
  <c r="L1175" i="26"/>
  <c r="I1175" i="26"/>
  <c r="F1175" i="26"/>
  <c r="H1175" i="26" s="1"/>
  <c r="E1175" i="26"/>
  <c r="G1175" i="26" s="1"/>
  <c r="D1175" i="26"/>
  <c r="B1175" i="26"/>
  <c r="L1174" i="26"/>
  <c r="N1174" i="26" s="1"/>
  <c r="I1174" i="26"/>
  <c r="F1174" i="26"/>
  <c r="H1174" i="26" s="1"/>
  <c r="E1174" i="26"/>
  <c r="G1174" i="26" s="1"/>
  <c r="D1174" i="26"/>
  <c r="B1174" i="26"/>
  <c r="L1173" i="26"/>
  <c r="I1173" i="26"/>
  <c r="F1173" i="26"/>
  <c r="H1173" i="26" s="1"/>
  <c r="E1173" i="26"/>
  <c r="G1173" i="26" s="1"/>
  <c r="D1173" i="26"/>
  <c r="B1173" i="26"/>
  <c r="L1172" i="26"/>
  <c r="I1172" i="26"/>
  <c r="F1172" i="26"/>
  <c r="H1172" i="26" s="1"/>
  <c r="E1172" i="26"/>
  <c r="G1172" i="26" s="1"/>
  <c r="D1172" i="26"/>
  <c r="B1172" i="26"/>
  <c r="L1171" i="26"/>
  <c r="I1171" i="26"/>
  <c r="F1171" i="26"/>
  <c r="H1171" i="26" s="1"/>
  <c r="E1171" i="26"/>
  <c r="G1171" i="26" s="1"/>
  <c r="D1171" i="26"/>
  <c r="B1171" i="26"/>
  <c r="L1170" i="26"/>
  <c r="I1170" i="26"/>
  <c r="F1170" i="26"/>
  <c r="H1170" i="26" s="1"/>
  <c r="E1170" i="26"/>
  <c r="G1170" i="26" s="1"/>
  <c r="D1170" i="26"/>
  <c r="B1170" i="26"/>
  <c r="L1169" i="26"/>
  <c r="I1169" i="26"/>
  <c r="F1169" i="26"/>
  <c r="H1169" i="26" s="1"/>
  <c r="E1169" i="26"/>
  <c r="G1169" i="26" s="1"/>
  <c r="D1169" i="26"/>
  <c r="B1169" i="26"/>
  <c r="L1168" i="26"/>
  <c r="N1168" i="26" s="1"/>
  <c r="I1168" i="26"/>
  <c r="F1168" i="26"/>
  <c r="H1168" i="26" s="1"/>
  <c r="E1168" i="26"/>
  <c r="G1168" i="26" s="1"/>
  <c r="D1168" i="26"/>
  <c r="B1168" i="26"/>
  <c r="L1167" i="26"/>
  <c r="I1167" i="26"/>
  <c r="F1167" i="26"/>
  <c r="H1167" i="26" s="1"/>
  <c r="E1167" i="26"/>
  <c r="G1167" i="26" s="1"/>
  <c r="D1167" i="26"/>
  <c r="B1167" i="26"/>
  <c r="L1166" i="26"/>
  <c r="I1166" i="26"/>
  <c r="F1166" i="26"/>
  <c r="H1166" i="26" s="1"/>
  <c r="E1166" i="26"/>
  <c r="G1166" i="26" s="1"/>
  <c r="D1166" i="26"/>
  <c r="B1166" i="26"/>
  <c r="L1165" i="26"/>
  <c r="I1165" i="26"/>
  <c r="F1165" i="26"/>
  <c r="H1165" i="26" s="1"/>
  <c r="E1165" i="26"/>
  <c r="G1165" i="26" s="1"/>
  <c r="D1165" i="26"/>
  <c r="B1165" i="26"/>
  <c r="L1164" i="26"/>
  <c r="I1164" i="26"/>
  <c r="F1164" i="26"/>
  <c r="H1164" i="26" s="1"/>
  <c r="E1164" i="26"/>
  <c r="G1164" i="26" s="1"/>
  <c r="D1164" i="26"/>
  <c r="B1164" i="26"/>
  <c r="L1163" i="26"/>
  <c r="I1163" i="26"/>
  <c r="F1163" i="26"/>
  <c r="H1163" i="26" s="1"/>
  <c r="E1163" i="26"/>
  <c r="G1163" i="26" s="1"/>
  <c r="D1163" i="26"/>
  <c r="B1163" i="26"/>
  <c r="L1162" i="26"/>
  <c r="I1162" i="26"/>
  <c r="F1162" i="26"/>
  <c r="H1162" i="26" s="1"/>
  <c r="E1162" i="26"/>
  <c r="G1162" i="26" s="1"/>
  <c r="D1162" i="26"/>
  <c r="B1162" i="26"/>
  <c r="L1161" i="26"/>
  <c r="I1161" i="26"/>
  <c r="F1161" i="26"/>
  <c r="H1161" i="26" s="1"/>
  <c r="E1161" i="26"/>
  <c r="G1161" i="26" s="1"/>
  <c r="D1161" i="26"/>
  <c r="B1161" i="26"/>
  <c r="L1160" i="26"/>
  <c r="I1160" i="26"/>
  <c r="F1160" i="26"/>
  <c r="H1160" i="26" s="1"/>
  <c r="E1160" i="26"/>
  <c r="G1160" i="26" s="1"/>
  <c r="D1160" i="26"/>
  <c r="B1160" i="26"/>
  <c r="L1159" i="26"/>
  <c r="I1159" i="26"/>
  <c r="F1159" i="26"/>
  <c r="H1159" i="26" s="1"/>
  <c r="E1159" i="26"/>
  <c r="G1159" i="26" s="1"/>
  <c r="D1159" i="26"/>
  <c r="B1159" i="26"/>
  <c r="L1158" i="26"/>
  <c r="N1158" i="26" s="1"/>
  <c r="I1158" i="26"/>
  <c r="F1158" i="26"/>
  <c r="H1158" i="26" s="1"/>
  <c r="E1158" i="26"/>
  <c r="G1158" i="26" s="1"/>
  <c r="D1158" i="26"/>
  <c r="B1158" i="26"/>
  <c r="L1157" i="26"/>
  <c r="I1157" i="26"/>
  <c r="F1157" i="26"/>
  <c r="H1157" i="26" s="1"/>
  <c r="E1157" i="26"/>
  <c r="G1157" i="26" s="1"/>
  <c r="D1157" i="26"/>
  <c r="B1157" i="26"/>
  <c r="L1156" i="26"/>
  <c r="I1156" i="26"/>
  <c r="F1156" i="26"/>
  <c r="H1156" i="26" s="1"/>
  <c r="E1156" i="26"/>
  <c r="G1156" i="26" s="1"/>
  <c r="D1156" i="26"/>
  <c r="B1156" i="26"/>
  <c r="L1155" i="26"/>
  <c r="I1155" i="26"/>
  <c r="F1155" i="26"/>
  <c r="H1155" i="26" s="1"/>
  <c r="E1155" i="26"/>
  <c r="G1155" i="26" s="1"/>
  <c r="D1155" i="26"/>
  <c r="B1155" i="26"/>
  <c r="L1154" i="26"/>
  <c r="I1154" i="26"/>
  <c r="F1154" i="26"/>
  <c r="H1154" i="26" s="1"/>
  <c r="E1154" i="26"/>
  <c r="G1154" i="26" s="1"/>
  <c r="D1154" i="26"/>
  <c r="B1154" i="26"/>
  <c r="L1153" i="26"/>
  <c r="I1153" i="26"/>
  <c r="F1153" i="26"/>
  <c r="H1153" i="26" s="1"/>
  <c r="E1153" i="26"/>
  <c r="G1153" i="26" s="1"/>
  <c r="D1153" i="26"/>
  <c r="B1153" i="26"/>
  <c r="L1152" i="26"/>
  <c r="I1152" i="26"/>
  <c r="F1152" i="26"/>
  <c r="H1152" i="26" s="1"/>
  <c r="E1152" i="26"/>
  <c r="G1152" i="26" s="1"/>
  <c r="D1152" i="26"/>
  <c r="B1152" i="26"/>
  <c r="L1151" i="26"/>
  <c r="I1151" i="26"/>
  <c r="F1151" i="26"/>
  <c r="H1151" i="26" s="1"/>
  <c r="E1151" i="26"/>
  <c r="G1151" i="26" s="1"/>
  <c r="D1151" i="26"/>
  <c r="B1151" i="26"/>
  <c r="L1150" i="26"/>
  <c r="I1150" i="26"/>
  <c r="F1150" i="26"/>
  <c r="H1150" i="26" s="1"/>
  <c r="E1150" i="26"/>
  <c r="G1150" i="26" s="1"/>
  <c r="D1150" i="26"/>
  <c r="B1150" i="26"/>
  <c r="L1149" i="26"/>
  <c r="I1149" i="26"/>
  <c r="F1149" i="26"/>
  <c r="H1149" i="26" s="1"/>
  <c r="E1149" i="26"/>
  <c r="G1149" i="26" s="1"/>
  <c r="D1149" i="26"/>
  <c r="B1149" i="26"/>
  <c r="L1148" i="26"/>
  <c r="I1148" i="26"/>
  <c r="F1148" i="26"/>
  <c r="H1148" i="26" s="1"/>
  <c r="E1148" i="26"/>
  <c r="G1148" i="26" s="1"/>
  <c r="D1148" i="26"/>
  <c r="B1148" i="26"/>
  <c r="L1147" i="26"/>
  <c r="N1147" i="26" s="1"/>
  <c r="I1147" i="26"/>
  <c r="F1147" i="26"/>
  <c r="H1147" i="26" s="1"/>
  <c r="E1147" i="26"/>
  <c r="G1147" i="26" s="1"/>
  <c r="D1147" i="26"/>
  <c r="B1147" i="26"/>
  <c r="L1146" i="26"/>
  <c r="N1146" i="26" s="1"/>
  <c r="I1146" i="26"/>
  <c r="F1146" i="26"/>
  <c r="H1146" i="26" s="1"/>
  <c r="E1146" i="26"/>
  <c r="G1146" i="26" s="1"/>
  <c r="D1146" i="26"/>
  <c r="B1146" i="26"/>
  <c r="L1145" i="26"/>
  <c r="I1145" i="26"/>
  <c r="F1145" i="26"/>
  <c r="H1145" i="26" s="1"/>
  <c r="E1145" i="26"/>
  <c r="G1145" i="26" s="1"/>
  <c r="D1145" i="26"/>
  <c r="B1145" i="26"/>
  <c r="L1144" i="26"/>
  <c r="N1144" i="26" s="1"/>
  <c r="I1144" i="26"/>
  <c r="F1144" i="26"/>
  <c r="H1144" i="26" s="1"/>
  <c r="E1144" i="26"/>
  <c r="G1144" i="26" s="1"/>
  <c r="D1144" i="26"/>
  <c r="B1144" i="26"/>
  <c r="L1143" i="26"/>
  <c r="I1143" i="26"/>
  <c r="F1143" i="26"/>
  <c r="H1143" i="26" s="1"/>
  <c r="E1143" i="26"/>
  <c r="G1143" i="26" s="1"/>
  <c r="D1143" i="26"/>
  <c r="B1143" i="26"/>
  <c r="L1142" i="26"/>
  <c r="I1142" i="26"/>
  <c r="F1142" i="26"/>
  <c r="H1142" i="26" s="1"/>
  <c r="E1142" i="26"/>
  <c r="G1142" i="26" s="1"/>
  <c r="D1142" i="26"/>
  <c r="B1142" i="26"/>
  <c r="L1141" i="26"/>
  <c r="I1141" i="26"/>
  <c r="F1141" i="26"/>
  <c r="H1141" i="26" s="1"/>
  <c r="E1141" i="26"/>
  <c r="G1141" i="26" s="1"/>
  <c r="D1141" i="26"/>
  <c r="B1141" i="26"/>
  <c r="L1140" i="26"/>
  <c r="I1140" i="26"/>
  <c r="F1140" i="26"/>
  <c r="H1140" i="26" s="1"/>
  <c r="E1140" i="26"/>
  <c r="G1140" i="26" s="1"/>
  <c r="D1140" i="26"/>
  <c r="B1140" i="26"/>
  <c r="L1139" i="26"/>
  <c r="I1139" i="26"/>
  <c r="F1139" i="26"/>
  <c r="H1139" i="26" s="1"/>
  <c r="E1139" i="26"/>
  <c r="G1139" i="26" s="1"/>
  <c r="D1139" i="26"/>
  <c r="B1139" i="26"/>
  <c r="L1138" i="26"/>
  <c r="I1138" i="26"/>
  <c r="F1138" i="26"/>
  <c r="H1138" i="26" s="1"/>
  <c r="E1138" i="26"/>
  <c r="G1138" i="26" s="1"/>
  <c r="D1138" i="26"/>
  <c r="B1138" i="26"/>
  <c r="L1137" i="26"/>
  <c r="I1137" i="26"/>
  <c r="F1137" i="26"/>
  <c r="H1137" i="26" s="1"/>
  <c r="E1137" i="26"/>
  <c r="G1137" i="26" s="1"/>
  <c r="D1137" i="26"/>
  <c r="B1137" i="26"/>
  <c r="L1136" i="26"/>
  <c r="I1136" i="26"/>
  <c r="F1136" i="26"/>
  <c r="H1136" i="26" s="1"/>
  <c r="E1136" i="26"/>
  <c r="G1136" i="26" s="1"/>
  <c r="D1136" i="26"/>
  <c r="B1136" i="26"/>
  <c r="L1135" i="26"/>
  <c r="I1135" i="26"/>
  <c r="F1135" i="26"/>
  <c r="H1135" i="26" s="1"/>
  <c r="E1135" i="26"/>
  <c r="G1135" i="26" s="1"/>
  <c r="D1135" i="26"/>
  <c r="B1135" i="26"/>
  <c r="L1134" i="26"/>
  <c r="I1134" i="26"/>
  <c r="F1134" i="26"/>
  <c r="H1134" i="26" s="1"/>
  <c r="E1134" i="26"/>
  <c r="G1134" i="26" s="1"/>
  <c r="D1134" i="26"/>
  <c r="B1134" i="26"/>
  <c r="L1133" i="26"/>
  <c r="I1133" i="26"/>
  <c r="F1133" i="26"/>
  <c r="H1133" i="26" s="1"/>
  <c r="E1133" i="26"/>
  <c r="G1133" i="26" s="1"/>
  <c r="D1133" i="26"/>
  <c r="B1133" i="26"/>
  <c r="L1132" i="26"/>
  <c r="I1132" i="26"/>
  <c r="F1132" i="26"/>
  <c r="H1132" i="26" s="1"/>
  <c r="E1132" i="26"/>
  <c r="G1132" i="26" s="1"/>
  <c r="D1132" i="26"/>
  <c r="B1132" i="26"/>
  <c r="L1131" i="26"/>
  <c r="I1131" i="26"/>
  <c r="F1131" i="26"/>
  <c r="H1131" i="26" s="1"/>
  <c r="E1131" i="26"/>
  <c r="G1131" i="26" s="1"/>
  <c r="D1131" i="26"/>
  <c r="B1131" i="26"/>
  <c r="L1130" i="26"/>
  <c r="I1130" i="26"/>
  <c r="F1130" i="26"/>
  <c r="H1130" i="26" s="1"/>
  <c r="E1130" i="26"/>
  <c r="G1130" i="26" s="1"/>
  <c r="D1130" i="26"/>
  <c r="B1130" i="26"/>
  <c r="L1129" i="26"/>
  <c r="I1129" i="26"/>
  <c r="F1129" i="26"/>
  <c r="H1129" i="26" s="1"/>
  <c r="E1129" i="26"/>
  <c r="G1129" i="26" s="1"/>
  <c r="D1129" i="26"/>
  <c r="B1129" i="26"/>
  <c r="L1128" i="26"/>
  <c r="I1128" i="26"/>
  <c r="F1128" i="26"/>
  <c r="H1128" i="26" s="1"/>
  <c r="E1128" i="26"/>
  <c r="G1128" i="26" s="1"/>
  <c r="D1128" i="26"/>
  <c r="B1128" i="26"/>
  <c r="L1127" i="26"/>
  <c r="I1127" i="26"/>
  <c r="F1127" i="26"/>
  <c r="H1127" i="26" s="1"/>
  <c r="E1127" i="26"/>
  <c r="G1127" i="26" s="1"/>
  <c r="D1127" i="26"/>
  <c r="B1127" i="26"/>
  <c r="L1126" i="26"/>
  <c r="N1126" i="26" s="1"/>
  <c r="I1126" i="26"/>
  <c r="F1126" i="26"/>
  <c r="H1126" i="26" s="1"/>
  <c r="E1126" i="26"/>
  <c r="G1126" i="26" s="1"/>
  <c r="D1126" i="26"/>
  <c r="B1126" i="26"/>
  <c r="L1125" i="26"/>
  <c r="I1125" i="26"/>
  <c r="F1125" i="26"/>
  <c r="H1125" i="26" s="1"/>
  <c r="E1125" i="26"/>
  <c r="G1125" i="26" s="1"/>
  <c r="D1125" i="26"/>
  <c r="B1125" i="26"/>
  <c r="L1124" i="26"/>
  <c r="I1124" i="26"/>
  <c r="F1124" i="26"/>
  <c r="H1124" i="26" s="1"/>
  <c r="E1124" i="26"/>
  <c r="G1124" i="26" s="1"/>
  <c r="D1124" i="26"/>
  <c r="B1124" i="26"/>
  <c r="L1123" i="26"/>
  <c r="I1123" i="26"/>
  <c r="F1123" i="26"/>
  <c r="H1123" i="26" s="1"/>
  <c r="E1123" i="26"/>
  <c r="G1123" i="26" s="1"/>
  <c r="D1123" i="26"/>
  <c r="B1123" i="26"/>
  <c r="L1122" i="26"/>
  <c r="I1122" i="26"/>
  <c r="F1122" i="26"/>
  <c r="H1122" i="26" s="1"/>
  <c r="E1122" i="26"/>
  <c r="G1122" i="26" s="1"/>
  <c r="D1122" i="26"/>
  <c r="B1122" i="26"/>
  <c r="L1121" i="26"/>
  <c r="I1121" i="26"/>
  <c r="F1121" i="26"/>
  <c r="H1121" i="26" s="1"/>
  <c r="E1121" i="26"/>
  <c r="G1121" i="26" s="1"/>
  <c r="D1121" i="26"/>
  <c r="B1121" i="26"/>
  <c r="L1120" i="26"/>
  <c r="I1120" i="26"/>
  <c r="F1120" i="26"/>
  <c r="H1120" i="26" s="1"/>
  <c r="E1120" i="26"/>
  <c r="G1120" i="26" s="1"/>
  <c r="D1120" i="26"/>
  <c r="B1120" i="26"/>
  <c r="L1119" i="26"/>
  <c r="I1119" i="26"/>
  <c r="F1119" i="26"/>
  <c r="H1119" i="26" s="1"/>
  <c r="E1119" i="26"/>
  <c r="G1119" i="26" s="1"/>
  <c r="D1119" i="26"/>
  <c r="B1119" i="26"/>
  <c r="L1118" i="26"/>
  <c r="I1118" i="26"/>
  <c r="F1118" i="26"/>
  <c r="H1118" i="26" s="1"/>
  <c r="E1118" i="26"/>
  <c r="G1118" i="26" s="1"/>
  <c r="D1118" i="26"/>
  <c r="B1118" i="26"/>
  <c r="L1117" i="26"/>
  <c r="I1117" i="26"/>
  <c r="F1117" i="26"/>
  <c r="H1117" i="26" s="1"/>
  <c r="E1117" i="26"/>
  <c r="G1117" i="26" s="1"/>
  <c r="D1117" i="26"/>
  <c r="B1117" i="26"/>
  <c r="L1116" i="26"/>
  <c r="I1116" i="26"/>
  <c r="F1116" i="26"/>
  <c r="H1116" i="26" s="1"/>
  <c r="E1116" i="26"/>
  <c r="G1116" i="26" s="1"/>
  <c r="D1116" i="26"/>
  <c r="B1116" i="26"/>
  <c r="L1115" i="26"/>
  <c r="I1115" i="26"/>
  <c r="F1115" i="26"/>
  <c r="H1115" i="26" s="1"/>
  <c r="E1115" i="26"/>
  <c r="G1115" i="26" s="1"/>
  <c r="D1115" i="26"/>
  <c r="B1115" i="26"/>
  <c r="L1114" i="26"/>
  <c r="I1114" i="26"/>
  <c r="F1114" i="26"/>
  <c r="H1114" i="26" s="1"/>
  <c r="E1114" i="26"/>
  <c r="G1114" i="26" s="1"/>
  <c r="D1114" i="26"/>
  <c r="B1114" i="26"/>
  <c r="L1113" i="26"/>
  <c r="I1113" i="26"/>
  <c r="F1113" i="26"/>
  <c r="H1113" i="26" s="1"/>
  <c r="E1113" i="26"/>
  <c r="G1113" i="26" s="1"/>
  <c r="D1113" i="26"/>
  <c r="B1113" i="26"/>
  <c r="L1112" i="26"/>
  <c r="I1112" i="26"/>
  <c r="F1112" i="26"/>
  <c r="H1112" i="26" s="1"/>
  <c r="E1112" i="26"/>
  <c r="G1112" i="26" s="1"/>
  <c r="D1112" i="26"/>
  <c r="B1112" i="26"/>
  <c r="L1111" i="26"/>
  <c r="I1111" i="26"/>
  <c r="F1111" i="26"/>
  <c r="H1111" i="26" s="1"/>
  <c r="E1111" i="26"/>
  <c r="G1111" i="26" s="1"/>
  <c r="D1111" i="26"/>
  <c r="B1111" i="26"/>
  <c r="L1110" i="26"/>
  <c r="I1110" i="26"/>
  <c r="F1110" i="26"/>
  <c r="H1110" i="26" s="1"/>
  <c r="E1110" i="26"/>
  <c r="G1110" i="26" s="1"/>
  <c r="D1110" i="26"/>
  <c r="B1110" i="26"/>
  <c r="L1109" i="26"/>
  <c r="I1109" i="26"/>
  <c r="K1109" i="26" s="1"/>
  <c r="F1109" i="26"/>
  <c r="H1109" i="26" s="1"/>
  <c r="E1109" i="26"/>
  <c r="G1109" i="26" s="1"/>
  <c r="D1109" i="26"/>
  <c r="B1109" i="26"/>
  <c r="L1108" i="26"/>
  <c r="I1108" i="26"/>
  <c r="F1108" i="26"/>
  <c r="H1108" i="26" s="1"/>
  <c r="E1108" i="26"/>
  <c r="G1108" i="26" s="1"/>
  <c r="D1108" i="26"/>
  <c r="B1108" i="26"/>
  <c r="L1107" i="26"/>
  <c r="I1107" i="26"/>
  <c r="F1107" i="26"/>
  <c r="H1107" i="26" s="1"/>
  <c r="E1107" i="26"/>
  <c r="G1107" i="26" s="1"/>
  <c r="D1107" i="26"/>
  <c r="B1107" i="26"/>
  <c r="L1106" i="26"/>
  <c r="I1106" i="26"/>
  <c r="F1106" i="26"/>
  <c r="H1106" i="26" s="1"/>
  <c r="E1106" i="26"/>
  <c r="G1106" i="26" s="1"/>
  <c r="D1106" i="26"/>
  <c r="B1106" i="26"/>
  <c r="L1105" i="26"/>
  <c r="I1105" i="26"/>
  <c r="F1105" i="26"/>
  <c r="H1105" i="26" s="1"/>
  <c r="E1105" i="26"/>
  <c r="G1105" i="26" s="1"/>
  <c r="D1105" i="26"/>
  <c r="B1105" i="26"/>
  <c r="L1104" i="26"/>
  <c r="I1104" i="26"/>
  <c r="K1104" i="26" s="1"/>
  <c r="F1104" i="26"/>
  <c r="H1104" i="26" s="1"/>
  <c r="E1104" i="26"/>
  <c r="G1104" i="26" s="1"/>
  <c r="D1104" i="26"/>
  <c r="B1104" i="26"/>
  <c r="L1103" i="26"/>
  <c r="I1103" i="26"/>
  <c r="F1103" i="26"/>
  <c r="H1103" i="26" s="1"/>
  <c r="E1103" i="26"/>
  <c r="G1103" i="26" s="1"/>
  <c r="D1103" i="26"/>
  <c r="B1103" i="26"/>
  <c r="L1102" i="26"/>
  <c r="N1102" i="26" s="1"/>
  <c r="I1102" i="26"/>
  <c r="F1102" i="26"/>
  <c r="H1102" i="26" s="1"/>
  <c r="E1102" i="26"/>
  <c r="G1102" i="26" s="1"/>
  <c r="D1102" i="26"/>
  <c r="B1102" i="26"/>
  <c r="L1101" i="26"/>
  <c r="I1101" i="26"/>
  <c r="F1101" i="26"/>
  <c r="H1101" i="26" s="1"/>
  <c r="E1101" i="26"/>
  <c r="G1101" i="26" s="1"/>
  <c r="D1101" i="26"/>
  <c r="B1101" i="26"/>
  <c r="L1100" i="26"/>
  <c r="I1100" i="26"/>
  <c r="F1100" i="26"/>
  <c r="H1100" i="26" s="1"/>
  <c r="E1100" i="26"/>
  <c r="G1100" i="26" s="1"/>
  <c r="D1100" i="26"/>
  <c r="B1100" i="26"/>
  <c r="L1099" i="26"/>
  <c r="I1099" i="26"/>
  <c r="F1099" i="26"/>
  <c r="H1099" i="26" s="1"/>
  <c r="E1099" i="26"/>
  <c r="G1099" i="26" s="1"/>
  <c r="D1099" i="26"/>
  <c r="B1099" i="26"/>
  <c r="L1098" i="26"/>
  <c r="I1098" i="26"/>
  <c r="F1098" i="26"/>
  <c r="H1098" i="26" s="1"/>
  <c r="E1098" i="26"/>
  <c r="G1098" i="26" s="1"/>
  <c r="D1098" i="26"/>
  <c r="B1098" i="26"/>
  <c r="L1097" i="26"/>
  <c r="I1097" i="26"/>
  <c r="F1097" i="26"/>
  <c r="H1097" i="26" s="1"/>
  <c r="E1097" i="26"/>
  <c r="G1097" i="26" s="1"/>
  <c r="D1097" i="26"/>
  <c r="B1097" i="26"/>
  <c r="L1096" i="26"/>
  <c r="I1096" i="26"/>
  <c r="K1096" i="26" s="1"/>
  <c r="F1096" i="26"/>
  <c r="H1096" i="26" s="1"/>
  <c r="E1096" i="26"/>
  <c r="G1096" i="26" s="1"/>
  <c r="D1096" i="26"/>
  <c r="B1096" i="26"/>
  <c r="L1095" i="26"/>
  <c r="I1095" i="26"/>
  <c r="F1095" i="26"/>
  <c r="H1095" i="26" s="1"/>
  <c r="E1095" i="26"/>
  <c r="G1095" i="26" s="1"/>
  <c r="D1095" i="26"/>
  <c r="B1095" i="26"/>
  <c r="L1094" i="26"/>
  <c r="I1094" i="26"/>
  <c r="F1094" i="26"/>
  <c r="H1094" i="26" s="1"/>
  <c r="E1094" i="26"/>
  <c r="G1094" i="26" s="1"/>
  <c r="D1094" i="26"/>
  <c r="B1094" i="26"/>
  <c r="L1093" i="26"/>
  <c r="I1093" i="26"/>
  <c r="F1093" i="26"/>
  <c r="H1093" i="26" s="1"/>
  <c r="E1093" i="26"/>
  <c r="G1093" i="26" s="1"/>
  <c r="D1093" i="26"/>
  <c r="B1093" i="26"/>
  <c r="L1092" i="26"/>
  <c r="I1092" i="26"/>
  <c r="F1092" i="26"/>
  <c r="H1092" i="26" s="1"/>
  <c r="E1092" i="26"/>
  <c r="G1092" i="26" s="1"/>
  <c r="D1092" i="26"/>
  <c r="B1092" i="26"/>
  <c r="L1091" i="26"/>
  <c r="N1091" i="26" s="1"/>
  <c r="I1091" i="26"/>
  <c r="F1091" i="26"/>
  <c r="H1091" i="26" s="1"/>
  <c r="E1091" i="26"/>
  <c r="G1091" i="26" s="1"/>
  <c r="D1091" i="26"/>
  <c r="B1091" i="26"/>
  <c r="L1090" i="26"/>
  <c r="I1090" i="26"/>
  <c r="F1090" i="26"/>
  <c r="H1090" i="26" s="1"/>
  <c r="E1090" i="26"/>
  <c r="G1090" i="26" s="1"/>
  <c r="D1090" i="26"/>
  <c r="B1090" i="26"/>
  <c r="L1089" i="26"/>
  <c r="I1089" i="26"/>
  <c r="F1089" i="26"/>
  <c r="H1089" i="26" s="1"/>
  <c r="E1089" i="26"/>
  <c r="G1089" i="26" s="1"/>
  <c r="D1089" i="26"/>
  <c r="B1089" i="26"/>
  <c r="L1088" i="26"/>
  <c r="I1088" i="26"/>
  <c r="F1088" i="26"/>
  <c r="H1088" i="26" s="1"/>
  <c r="E1088" i="26"/>
  <c r="G1088" i="26" s="1"/>
  <c r="D1088" i="26"/>
  <c r="B1088" i="26"/>
  <c r="L1087" i="26"/>
  <c r="I1087" i="26"/>
  <c r="K1087" i="26" s="1"/>
  <c r="F1087" i="26"/>
  <c r="H1087" i="26" s="1"/>
  <c r="E1087" i="26"/>
  <c r="G1087" i="26" s="1"/>
  <c r="D1087" i="26"/>
  <c r="B1087" i="26"/>
  <c r="L1086" i="26"/>
  <c r="I1086" i="26"/>
  <c r="F1086" i="26"/>
  <c r="H1086" i="26" s="1"/>
  <c r="E1086" i="26"/>
  <c r="G1086" i="26" s="1"/>
  <c r="D1086" i="26"/>
  <c r="B1086" i="26"/>
  <c r="L1085" i="26"/>
  <c r="I1085" i="26"/>
  <c r="K1085" i="26" s="1"/>
  <c r="F1085" i="26"/>
  <c r="H1085" i="26" s="1"/>
  <c r="E1085" i="26"/>
  <c r="G1085" i="26" s="1"/>
  <c r="D1085" i="26"/>
  <c r="B1085" i="26"/>
  <c r="L1084" i="26"/>
  <c r="I1084" i="26"/>
  <c r="F1084" i="26"/>
  <c r="H1084" i="26" s="1"/>
  <c r="E1084" i="26"/>
  <c r="G1084" i="26" s="1"/>
  <c r="D1084" i="26"/>
  <c r="B1084" i="26"/>
  <c r="L1083" i="26"/>
  <c r="I1083" i="26"/>
  <c r="F1083" i="26"/>
  <c r="H1083" i="26" s="1"/>
  <c r="E1083" i="26"/>
  <c r="G1083" i="26" s="1"/>
  <c r="D1083" i="26"/>
  <c r="B1083" i="26"/>
  <c r="L1082" i="26"/>
  <c r="I1082" i="26"/>
  <c r="F1082" i="26"/>
  <c r="H1082" i="26" s="1"/>
  <c r="E1082" i="26"/>
  <c r="G1082" i="26" s="1"/>
  <c r="D1082" i="26"/>
  <c r="B1082" i="26"/>
  <c r="L1081" i="26"/>
  <c r="I1081" i="26"/>
  <c r="F1081" i="26"/>
  <c r="H1081" i="26" s="1"/>
  <c r="E1081" i="26"/>
  <c r="G1081" i="26" s="1"/>
  <c r="D1081" i="26"/>
  <c r="B1081" i="26"/>
  <c r="L1080" i="26"/>
  <c r="I1080" i="26"/>
  <c r="F1080" i="26"/>
  <c r="H1080" i="26" s="1"/>
  <c r="E1080" i="26"/>
  <c r="G1080" i="26" s="1"/>
  <c r="D1080" i="26"/>
  <c r="B1080" i="26"/>
  <c r="L1079" i="26"/>
  <c r="I1079" i="26"/>
  <c r="F1079" i="26"/>
  <c r="H1079" i="26" s="1"/>
  <c r="E1079" i="26"/>
  <c r="G1079" i="26" s="1"/>
  <c r="D1079" i="26"/>
  <c r="B1079" i="26"/>
  <c r="L1078" i="26"/>
  <c r="I1078" i="26"/>
  <c r="K1078" i="26" s="1"/>
  <c r="F1078" i="26"/>
  <c r="H1078" i="26" s="1"/>
  <c r="E1078" i="26"/>
  <c r="G1078" i="26" s="1"/>
  <c r="D1078" i="26"/>
  <c r="B1078" i="26"/>
  <c r="L1077" i="26"/>
  <c r="I1077" i="26"/>
  <c r="F1077" i="26"/>
  <c r="H1077" i="26" s="1"/>
  <c r="E1077" i="26"/>
  <c r="G1077" i="26" s="1"/>
  <c r="D1077" i="26"/>
  <c r="B1077" i="26"/>
  <c r="L1076" i="26"/>
  <c r="N1076" i="26" s="1"/>
  <c r="I1076" i="26"/>
  <c r="K1076" i="26" s="1"/>
  <c r="F1076" i="26"/>
  <c r="H1076" i="26" s="1"/>
  <c r="E1076" i="26"/>
  <c r="G1076" i="26" s="1"/>
  <c r="D1076" i="26"/>
  <c r="B1076" i="26"/>
  <c r="L1075" i="26"/>
  <c r="I1075" i="26"/>
  <c r="F1075" i="26"/>
  <c r="H1075" i="26" s="1"/>
  <c r="E1075" i="26"/>
  <c r="G1075" i="26" s="1"/>
  <c r="D1075" i="26"/>
  <c r="B1075" i="26"/>
  <c r="L1074" i="26"/>
  <c r="I1074" i="26"/>
  <c r="F1074" i="26"/>
  <c r="H1074" i="26" s="1"/>
  <c r="E1074" i="26"/>
  <c r="G1074" i="26" s="1"/>
  <c r="D1074" i="26"/>
  <c r="B1074" i="26"/>
  <c r="L1073" i="26"/>
  <c r="N1073" i="26" s="1"/>
  <c r="I1073" i="26"/>
  <c r="F1073" i="26"/>
  <c r="H1073" i="26" s="1"/>
  <c r="E1073" i="26"/>
  <c r="G1073" i="26" s="1"/>
  <c r="D1073" i="26"/>
  <c r="B1073" i="26"/>
  <c r="L1072" i="26"/>
  <c r="I1072" i="26"/>
  <c r="F1072" i="26"/>
  <c r="H1072" i="26" s="1"/>
  <c r="E1072" i="26"/>
  <c r="G1072" i="26" s="1"/>
  <c r="D1072" i="26"/>
  <c r="B1072" i="26"/>
  <c r="L1071" i="26"/>
  <c r="I1071" i="26"/>
  <c r="F1071" i="26"/>
  <c r="H1071" i="26" s="1"/>
  <c r="E1071" i="26"/>
  <c r="G1071" i="26" s="1"/>
  <c r="D1071" i="26"/>
  <c r="B1071" i="26"/>
  <c r="L1070" i="26"/>
  <c r="I1070" i="26"/>
  <c r="F1070" i="26"/>
  <c r="H1070" i="26" s="1"/>
  <c r="E1070" i="26"/>
  <c r="G1070" i="26" s="1"/>
  <c r="D1070" i="26"/>
  <c r="B1070" i="26"/>
  <c r="L1069" i="26"/>
  <c r="I1069" i="26"/>
  <c r="F1069" i="26"/>
  <c r="H1069" i="26" s="1"/>
  <c r="E1069" i="26"/>
  <c r="G1069" i="26" s="1"/>
  <c r="D1069" i="26"/>
  <c r="B1069" i="26"/>
  <c r="L1068" i="26"/>
  <c r="I1068" i="26"/>
  <c r="F1068" i="26"/>
  <c r="H1068" i="26" s="1"/>
  <c r="E1068" i="26"/>
  <c r="G1068" i="26" s="1"/>
  <c r="D1068" i="26"/>
  <c r="B1068" i="26"/>
  <c r="L1067" i="26"/>
  <c r="I1067" i="26"/>
  <c r="F1067" i="26"/>
  <c r="H1067" i="26" s="1"/>
  <c r="E1067" i="26"/>
  <c r="G1067" i="26" s="1"/>
  <c r="D1067" i="26"/>
  <c r="B1067" i="26"/>
  <c r="L1066" i="26"/>
  <c r="I1066" i="26"/>
  <c r="F1066" i="26"/>
  <c r="H1066" i="26" s="1"/>
  <c r="E1066" i="26"/>
  <c r="G1066" i="26" s="1"/>
  <c r="D1066" i="26"/>
  <c r="B1066" i="26"/>
  <c r="L1065" i="26"/>
  <c r="I1065" i="26"/>
  <c r="F1065" i="26"/>
  <c r="H1065" i="26" s="1"/>
  <c r="E1065" i="26"/>
  <c r="G1065" i="26" s="1"/>
  <c r="D1065" i="26"/>
  <c r="B1065" i="26"/>
  <c r="L1064" i="26"/>
  <c r="I1064" i="26"/>
  <c r="F1064" i="26"/>
  <c r="H1064" i="26" s="1"/>
  <c r="E1064" i="26"/>
  <c r="G1064" i="26" s="1"/>
  <c r="D1064" i="26"/>
  <c r="B1064" i="26"/>
  <c r="L1063" i="26"/>
  <c r="I1063" i="26"/>
  <c r="F1063" i="26"/>
  <c r="H1063" i="26" s="1"/>
  <c r="E1063" i="26"/>
  <c r="G1063" i="26" s="1"/>
  <c r="D1063" i="26"/>
  <c r="B1063" i="26"/>
  <c r="L1062" i="26"/>
  <c r="I1062" i="26"/>
  <c r="F1062" i="26"/>
  <c r="H1062" i="26" s="1"/>
  <c r="E1062" i="26"/>
  <c r="G1062" i="26" s="1"/>
  <c r="D1062" i="26"/>
  <c r="B1062" i="26"/>
  <c r="L1061" i="26"/>
  <c r="I1061" i="26"/>
  <c r="F1061" i="26"/>
  <c r="H1061" i="26" s="1"/>
  <c r="E1061" i="26"/>
  <c r="G1061" i="26" s="1"/>
  <c r="D1061" i="26"/>
  <c r="B1061" i="26"/>
  <c r="L1060" i="26"/>
  <c r="I1060" i="26"/>
  <c r="F1060" i="26"/>
  <c r="H1060" i="26" s="1"/>
  <c r="E1060" i="26"/>
  <c r="G1060" i="26" s="1"/>
  <c r="D1060" i="26"/>
  <c r="B1060" i="26"/>
  <c r="L1059" i="26"/>
  <c r="I1059" i="26"/>
  <c r="F1059" i="26"/>
  <c r="H1059" i="26" s="1"/>
  <c r="E1059" i="26"/>
  <c r="G1059" i="26" s="1"/>
  <c r="D1059" i="26"/>
  <c r="B1059" i="26"/>
  <c r="L1058" i="26"/>
  <c r="I1058" i="26"/>
  <c r="F1058" i="26"/>
  <c r="H1058" i="26" s="1"/>
  <c r="E1058" i="26"/>
  <c r="G1058" i="26" s="1"/>
  <c r="D1058" i="26"/>
  <c r="B1058" i="26"/>
  <c r="L1057" i="26"/>
  <c r="I1057" i="26"/>
  <c r="F1057" i="26"/>
  <c r="H1057" i="26" s="1"/>
  <c r="E1057" i="26"/>
  <c r="G1057" i="26" s="1"/>
  <c r="D1057" i="26"/>
  <c r="B1057" i="26"/>
  <c r="L1056" i="26"/>
  <c r="N1056" i="26" s="1"/>
  <c r="I1056" i="26"/>
  <c r="F1056" i="26"/>
  <c r="H1056" i="26" s="1"/>
  <c r="E1056" i="26"/>
  <c r="G1056" i="26" s="1"/>
  <c r="D1056" i="26"/>
  <c r="B1056" i="26"/>
  <c r="L1055" i="26"/>
  <c r="I1055" i="26"/>
  <c r="F1055" i="26"/>
  <c r="H1055" i="26" s="1"/>
  <c r="E1055" i="26"/>
  <c r="G1055" i="26" s="1"/>
  <c r="D1055" i="26"/>
  <c r="B1055" i="26"/>
  <c r="L1054" i="26"/>
  <c r="I1054" i="26"/>
  <c r="K1054" i="26" s="1"/>
  <c r="F1054" i="26"/>
  <c r="H1054" i="26" s="1"/>
  <c r="E1054" i="26"/>
  <c r="G1054" i="26" s="1"/>
  <c r="D1054" i="26"/>
  <c r="B1054" i="26"/>
  <c r="L1053" i="26"/>
  <c r="I1053" i="26"/>
  <c r="F1053" i="26"/>
  <c r="H1053" i="26" s="1"/>
  <c r="E1053" i="26"/>
  <c r="G1053" i="26" s="1"/>
  <c r="D1053" i="26"/>
  <c r="B1053" i="26"/>
  <c r="L1052" i="26"/>
  <c r="I1052" i="26"/>
  <c r="F1052" i="26"/>
  <c r="H1052" i="26" s="1"/>
  <c r="E1052" i="26"/>
  <c r="G1052" i="26" s="1"/>
  <c r="D1052" i="26"/>
  <c r="B1052" i="26"/>
  <c r="L1051" i="26"/>
  <c r="I1051" i="26"/>
  <c r="F1051" i="26"/>
  <c r="H1051" i="26" s="1"/>
  <c r="E1051" i="26"/>
  <c r="G1051" i="26" s="1"/>
  <c r="D1051" i="26"/>
  <c r="B1051" i="26"/>
  <c r="L1050" i="26"/>
  <c r="I1050" i="26"/>
  <c r="F1050" i="26"/>
  <c r="H1050" i="26" s="1"/>
  <c r="E1050" i="26"/>
  <c r="G1050" i="26" s="1"/>
  <c r="D1050" i="26"/>
  <c r="B1050" i="26"/>
  <c r="L1049" i="26"/>
  <c r="I1049" i="26"/>
  <c r="F1049" i="26"/>
  <c r="H1049" i="26" s="1"/>
  <c r="E1049" i="26"/>
  <c r="G1049" i="26" s="1"/>
  <c r="D1049" i="26"/>
  <c r="B1049" i="26"/>
  <c r="L1048" i="26"/>
  <c r="I1048" i="26"/>
  <c r="F1048" i="26"/>
  <c r="H1048" i="26" s="1"/>
  <c r="E1048" i="26"/>
  <c r="G1048" i="26" s="1"/>
  <c r="D1048" i="26"/>
  <c r="B1048" i="26"/>
  <c r="L1047" i="26"/>
  <c r="I1047" i="26"/>
  <c r="F1047" i="26"/>
  <c r="H1047" i="26" s="1"/>
  <c r="E1047" i="26"/>
  <c r="G1047" i="26" s="1"/>
  <c r="D1047" i="26"/>
  <c r="B1047" i="26"/>
  <c r="L1046" i="26"/>
  <c r="I1046" i="26"/>
  <c r="F1046" i="26"/>
  <c r="H1046" i="26" s="1"/>
  <c r="E1046" i="26"/>
  <c r="G1046" i="26" s="1"/>
  <c r="D1046" i="26"/>
  <c r="B1046" i="26"/>
  <c r="L1045" i="26"/>
  <c r="I1045" i="26"/>
  <c r="F1045" i="26"/>
  <c r="H1045" i="26" s="1"/>
  <c r="E1045" i="26"/>
  <c r="G1045" i="26" s="1"/>
  <c r="D1045" i="26"/>
  <c r="B1045" i="26"/>
  <c r="L1044" i="26"/>
  <c r="I1044" i="26"/>
  <c r="F1044" i="26"/>
  <c r="H1044" i="26" s="1"/>
  <c r="E1044" i="26"/>
  <c r="G1044" i="26" s="1"/>
  <c r="D1044" i="26"/>
  <c r="B1044" i="26"/>
  <c r="L1043" i="26"/>
  <c r="I1043" i="26"/>
  <c r="F1043" i="26"/>
  <c r="H1043" i="26" s="1"/>
  <c r="E1043" i="26"/>
  <c r="G1043" i="26" s="1"/>
  <c r="D1043" i="26"/>
  <c r="B1043" i="26"/>
  <c r="L1042" i="26"/>
  <c r="I1042" i="26"/>
  <c r="F1042" i="26"/>
  <c r="H1042" i="26" s="1"/>
  <c r="E1042" i="26"/>
  <c r="G1042" i="26" s="1"/>
  <c r="D1042" i="26"/>
  <c r="B1042" i="26"/>
  <c r="L1041" i="26"/>
  <c r="I1041" i="26"/>
  <c r="F1041" i="26"/>
  <c r="H1041" i="26" s="1"/>
  <c r="E1041" i="26"/>
  <c r="G1041" i="26" s="1"/>
  <c r="D1041" i="26"/>
  <c r="B1041" i="26"/>
  <c r="L1040" i="26"/>
  <c r="I1040" i="26"/>
  <c r="F1040" i="26"/>
  <c r="H1040" i="26" s="1"/>
  <c r="E1040" i="26"/>
  <c r="G1040" i="26" s="1"/>
  <c r="D1040" i="26"/>
  <c r="B1040" i="26"/>
  <c r="L1039" i="26"/>
  <c r="I1039" i="26"/>
  <c r="F1039" i="26"/>
  <c r="H1039" i="26" s="1"/>
  <c r="E1039" i="26"/>
  <c r="G1039" i="26" s="1"/>
  <c r="D1039" i="26"/>
  <c r="B1039" i="26"/>
  <c r="L1038" i="26"/>
  <c r="I1038" i="26"/>
  <c r="F1038" i="26"/>
  <c r="H1038" i="26" s="1"/>
  <c r="E1038" i="26"/>
  <c r="G1038" i="26" s="1"/>
  <c r="D1038" i="26"/>
  <c r="B1038" i="26"/>
  <c r="L1037" i="26"/>
  <c r="I1037" i="26"/>
  <c r="F1037" i="26"/>
  <c r="H1037" i="26" s="1"/>
  <c r="E1037" i="26"/>
  <c r="G1037" i="26" s="1"/>
  <c r="D1037" i="26"/>
  <c r="B1037" i="26"/>
  <c r="L1036" i="26"/>
  <c r="I1036" i="26"/>
  <c r="F1036" i="26"/>
  <c r="H1036" i="26" s="1"/>
  <c r="E1036" i="26"/>
  <c r="G1036" i="26" s="1"/>
  <c r="D1036" i="26"/>
  <c r="B1036" i="26"/>
  <c r="L1035" i="26"/>
  <c r="I1035" i="26"/>
  <c r="F1035" i="26"/>
  <c r="H1035" i="26" s="1"/>
  <c r="E1035" i="26"/>
  <c r="G1035" i="26" s="1"/>
  <c r="D1035" i="26"/>
  <c r="B1035" i="26"/>
  <c r="L1034" i="26"/>
  <c r="I1034" i="26"/>
  <c r="F1034" i="26"/>
  <c r="H1034" i="26" s="1"/>
  <c r="E1034" i="26"/>
  <c r="G1034" i="26" s="1"/>
  <c r="D1034" i="26"/>
  <c r="B1034" i="26"/>
  <c r="L1033" i="26"/>
  <c r="I1033" i="26"/>
  <c r="F1033" i="26"/>
  <c r="H1033" i="26" s="1"/>
  <c r="E1033" i="26"/>
  <c r="G1033" i="26" s="1"/>
  <c r="D1033" i="26"/>
  <c r="B1033" i="26"/>
  <c r="L1032" i="26"/>
  <c r="I1032" i="26"/>
  <c r="K1032" i="26" s="1"/>
  <c r="F1032" i="26"/>
  <c r="H1032" i="26" s="1"/>
  <c r="E1032" i="26"/>
  <c r="G1032" i="26" s="1"/>
  <c r="D1032" i="26"/>
  <c r="B1032" i="26"/>
  <c r="L1031" i="26"/>
  <c r="I1031" i="26"/>
  <c r="F1031" i="26"/>
  <c r="H1031" i="26" s="1"/>
  <c r="E1031" i="26"/>
  <c r="G1031" i="26" s="1"/>
  <c r="D1031" i="26"/>
  <c r="B1031" i="26"/>
  <c r="L1030" i="26"/>
  <c r="I1030" i="26"/>
  <c r="F1030" i="26"/>
  <c r="H1030" i="26" s="1"/>
  <c r="E1030" i="26"/>
  <c r="G1030" i="26" s="1"/>
  <c r="D1030" i="26"/>
  <c r="B1030" i="26"/>
  <c r="L1029" i="26"/>
  <c r="I1029" i="26"/>
  <c r="F1029" i="26"/>
  <c r="H1029" i="26" s="1"/>
  <c r="E1029" i="26"/>
  <c r="G1029" i="26" s="1"/>
  <c r="D1029" i="26"/>
  <c r="B1029" i="26"/>
  <c r="L1028" i="26"/>
  <c r="I1028" i="26"/>
  <c r="F1028" i="26"/>
  <c r="H1028" i="26" s="1"/>
  <c r="E1028" i="26"/>
  <c r="G1028" i="26" s="1"/>
  <c r="D1028" i="26"/>
  <c r="B1028" i="26"/>
  <c r="L1027" i="26"/>
  <c r="I1027" i="26"/>
  <c r="F1027" i="26"/>
  <c r="H1027" i="26" s="1"/>
  <c r="E1027" i="26"/>
  <c r="G1027" i="26" s="1"/>
  <c r="D1027" i="26"/>
  <c r="B1027" i="26"/>
  <c r="L1026" i="26"/>
  <c r="I1026" i="26"/>
  <c r="F1026" i="26"/>
  <c r="H1026" i="26" s="1"/>
  <c r="E1026" i="26"/>
  <c r="G1026" i="26" s="1"/>
  <c r="D1026" i="26"/>
  <c r="B1026" i="26"/>
  <c r="L1025" i="26"/>
  <c r="I1025" i="26"/>
  <c r="F1025" i="26"/>
  <c r="H1025" i="26" s="1"/>
  <c r="E1025" i="26"/>
  <c r="G1025" i="26" s="1"/>
  <c r="D1025" i="26"/>
  <c r="B1025" i="26"/>
  <c r="L1024" i="26"/>
  <c r="I1024" i="26"/>
  <c r="F1024" i="26"/>
  <c r="H1024" i="26" s="1"/>
  <c r="E1024" i="26"/>
  <c r="G1024" i="26" s="1"/>
  <c r="D1024" i="26"/>
  <c r="B1024" i="26"/>
  <c r="L1023" i="26"/>
  <c r="I1023" i="26"/>
  <c r="K1023" i="26" s="1"/>
  <c r="F1023" i="26"/>
  <c r="H1023" i="26" s="1"/>
  <c r="E1023" i="26"/>
  <c r="G1023" i="26" s="1"/>
  <c r="D1023" i="26"/>
  <c r="B1023" i="26"/>
  <c r="L1022" i="26"/>
  <c r="I1022" i="26"/>
  <c r="F1022" i="26"/>
  <c r="H1022" i="26" s="1"/>
  <c r="E1022" i="26"/>
  <c r="G1022" i="26" s="1"/>
  <c r="D1022" i="26"/>
  <c r="B1022" i="26"/>
  <c r="L1021" i="26"/>
  <c r="I1021" i="26"/>
  <c r="F1021" i="26"/>
  <c r="H1021" i="26" s="1"/>
  <c r="E1021" i="26"/>
  <c r="G1021" i="26" s="1"/>
  <c r="D1021" i="26"/>
  <c r="B1021" i="26"/>
  <c r="L1020" i="26"/>
  <c r="I1020" i="26"/>
  <c r="F1020" i="26"/>
  <c r="H1020" i="26" s="1"/>
  <c r="E1020" i="26"/>
  <c r="G1020" i="26" s="1"/>
  <c r="D1020" i="26"/>
  <c r="B1020" i="26"/>
  <c r="L1019" i="26"/>
  <c r="I1019" i="26"/>
  <c r="F1019" i="26"/>
  <c r="H1019" i="26" s="1"/>
  <c r="E1019" i="26"/>
  <c r="G1019" i="26" s="1"/>
  <c r="D1019" i="26"/>
  <c r="B1019" i="26"/>
  <c r="L1018" i="26"/>
  <c r="I1018" i="26"/>
  <c r="F1018" i="26"/>
  <c r="H1018" i="26" s="1"/>
  <c r="E1018" i="26"/>
  <c r="G1018" i="26" s="1"/>
  <c r="D1018" i="26"/>
  <c r="B1018" i="26"/>
  <c r="L1017" i="26"/>
  <c r="I1017" i="26"/>
  <c r="F1017" i="26"/>
  <c r="H1017" i="26" s="1"/>
  <c r="E1017" i="26"/>
  <c r="G1017" i="26" s="1"/>
  <c r="D1017" i="26"/>
  <c r="B1017" i="26"/>
  <c r="L1016" i="26"/>
  <c r="I1016" i="26"/>
  <c r="F1016" i="26"/>
  <c r="H1016" i="26" s="1"/>
  <c r="E1016" i="26"/>
  <c r="G1016" i="26" s="1"/>
  <c r="D1016" i="26"/>
  <c r="B1016" i="26"/>
  <c r="L1015" i="26"/>
  <c r="I1015" i="26"/>
  <c r="F1015" i="26"/>
  <c r="H1015" i="26" s="1"/>
  <c r="E1015" i="26"/>
  <c r="G1015" i="26" s="1"/>
  <c r="D1015" i="26"/>
  <c r="B1015" i="26"/>
  <c r="L1014" i="26"/>
  <c r="I1014" i="26"/>
  <c r="F1014" i="26"/>
  <c r="H1014" i="26" s="1"/>
  <c r="E1014" i="26"/>
  <c r="G1014" i="26" s="1"/>
  <c r="D1014" i="26"/>
  <c r="B1014" i="26"/>
  <c r="L1013" i="26"/>
  <c r="I1013" i="26"/>
  <c r="K1013" i="26" s="1"/>
  <c r="F1013" i="26"/>
  <c r="H1013" i="26" s="1"/>
  <c r="E1013" i="26"/>
  <c r="G1013" i="26" s="1"/>
  <c r="D1013" i="26"/>
  <c r="B1013" i="26"/>
  <c r="L1012" i="26"/>
  <c r="I1012" i="26"/>
  <c r="F1012" i="26"/>
  <c r="H1012" i="26" s="1"/>
  <c r="E1012" i="26"/>
  <c r="G1012" i="26" s="1"/>
  <c r="D1012" i="26"/>
  <c r="B1012" i="26"/>
  <c r="L1011" i="26"/>
  <c r="I1011" i="26"/>
  <c r="F1011" i="26"/>
  <c r="H1011" i="26" s="1"/>
  <c r="E1011" i="26"/>
  <c r="G1011" i="26" s="1"/>
  <c r="D1011" i="26"/>
  <c r="B1011" i="26"/>
  <c r="L1010" i="26"/>
  <c r="I1010" i="26"/>
  <c r="F1010" i="26"/>
  <c r="H1010" i="26" s="1"/>
  <c r="E1010" i="26"/>
  <c r="G1010" i="26" s="1"/>
  <c r="D1010" i="26"/>
  <c r="B1010" i="26"/>
  <c r="L1009" i="26"/>
  <c r="I1009" i="26"/>
  <c r="F1009" i="26"/>
  <c r="H1009" i="26" s="1"/>
  <c r="E1009" i="26"/>
  <c r="G1009" i="26" s="1"/>
  <c r="D1009" i="26"/>
  <c r="B1009" i="26"/>
  <c r="L1008" i="26"/>
  <c r="I1008" i="26"/>
  <c r="F1008" i="26"/>
  <c r="H1008" i="26" s="1"/>
  <c r="E1008" i="26"/>
  <c r="G1008" i="26" s="1"/>
  <c r="D1008" i="26"/>
  <c r="B1008" i="26"/>
  <c r="L1007" i="26"/>
  <c r="I1007" i="26"/>
  <c r="F1007" i="26"/>
  <c r="H1007" i="26" s="1"/>
  <c r="E1007" i="26"/>
  <c r="G1007" i="26" s="1"/>
  <c r="D1007" i="26"/>
  <c r="B1007" i="26"/>
  <c r="L1006" i="26"/>
  <c r="I1006" i="26"/>
  <c r="F1006" i="26"/>
  <c r="H1006" i="26" s="1"/>
  <c r="E1006" i="26"/>
  <c r="G1006" i="26" s="1"/>
  <c r="D1006" i="26"/>
  <c r="B1006" i="26"/>
  <c r="L1005" i="26"/>
  <c r="I1005" i="26"/>
  <c r="F1005" i="26"/>
  <c r="H1005" i="26" s="1"/>
  <c r="E1005" i="26"/>
  <c r="G1005" i="26" s="1"/>
  <c r="D1005" i="26"/>
  <c r="B1005" i="26"/>
  <c r="L1004" i="26"/>
  <c r="I1004" i="26"/>
  <c r="F1004" i="26"/>
  <c r="H1004" i="26" s="1"/>
  <c r="E1004" i="26"/>
  <c r="G1004" i="26" s="1"/>
  <c r="D1004" i="26"/>
  <c r="B1004" i="26"/>
  <c r="L1003" i="26"/>
  <c r="I1003" i="26"/>
  <c r="F1003" i="26"/>
  <c r="H1003" i="26" s="1"/>
  <c r="E1003" i="26"/>
  <c r="G1003" i="26" s="1"/>
  <c r="D1003" i="26"/>
  <c r="B1003" i="26"/>
  <c r="L1002" i="26"/>
  <c r="I1002" i="26"/>
  <c r="K1002" i="26" s="1"/>
  <c r="F1002" i="26"/>
  <c r="H1002" i="26" s="1"/>
  <c r="E1002" i="26"/>
  <c r="G1002" i="26" s="1"/>
  <c r="D1002" i="26"/>
  <c r="B1002" i="26"/>
  <c r="L1001" i="26"/>
  <c r="I1001" i="26"/>
  <c r="F1001" i="26"/>
  <c r="H1001" i="26" s="1"/>
  <c r="E1001" i="26"/>
  <c r="G1001" i="26" s="1"/>
  <c r="D1001" i="26"/>
  <c r="B1001" i="26"/>
  <c r="L1000" i="26"/>
  <c r="I1000" i="26"/>
  <c r="F1000" i="26"/>
  <c r="H1000" i="26" s="1"/>
  <c r="E1000" i="26"/>
  <c r="G1000" i="26" s="1"/>
  <c r="D1000" i="26"/>
  <c r="B1000" i="26"/>
  <c r="L999" i="26"/>
  <c r="I999" i="26"/>
  <c r="F999" i="26"/>
  <c r="H999" i="26" s="1"/>
  <c r="E999" i="26"/>
  <c r="G999" i="26" s="1"/>
  <c r="D999" i="26"/>
  <c r="B999" i="26"/>
  <c r="L998" i="26"/>
  <c r="I998" i="26"/>
  <c r="F998" i="26"/>
  <c r="H998" i="26" s="1"/>
  <c r="E998" i="26"/>
  <c r="G998" i="26" s="1"/>
  <c r="D998" i="26"/>
  <c r="B998" i="26"/>
  <c r="L997" i="26"/>
  <c r="I997" i="26"/>
  <c r="K997" i="26" s="1"/>
  <c r="F997" i="26"/>
  <c r="H997" i="26" s="1"/>
  <c r="E997" i="26"/>
  <c r="G997" i="26" s="1"/>
  <c r="D997" i="26"/>
  <c r="B997" i="26"/>
  <c r="L996" i="26"/>
  <c r="I996" i="26"/>
  <c r="F996" i="26"/>
  <c r="H996" i="26" s="1"/>
  <c r="E996" i="26"/>
  <c r="G996" i="26" s="1"/>
  <c r="D996" i="26"/>
  <c r="B996" i="26"/>
  <c r="L995" i="26"/>
  <c r="I995" i="26"/>
  <c r="F995" i="26"/>
  <c r="H995" i="26" s="1"/>
  <c r="E995" i="26"/>
  <c r="G995" i="26" s="1"/>
  <c r="D995" i="26"/>
  <c r="B995" i="26"/>
  <c r="L994" i="26"/>
  <c r="I994" i="26"/>
  <c r="F994" i="26"/>
  <c r="H994" i="26" s="1"/>
  <c r="E994" i="26"/>
  <c r="G994" i="26" s="1"/>
  <c r="D994" i="26"/>
  <c r="B994" i="26"/>
  <c r="L993" i="26"/>
  <c r="I993" i="26"/>
  <c r="F993" i="26"/>
  <c r="H993" i="26" s="1"/>
  <c r="E993" i="26"/>
  <c r="G993" i="26" s="1"/>
  <c r="D993" i="26"/>
  <c r="B993" i="26"/>
  <c r="L992" i="26"/>
  <c r="I992" i="26"/>
  <c r="F992" i="26"/>
  <c r="H992" i="26" s="1"/>
  <c r="E992" i="26"/>
  <c r="G992" i="26" s="1"/>
  <c r="D992" i="26"/>
  <c r="B992" i="26"/>
  <c r="L991" i="26"/>
  <c r="I991" i="26"/>
  <c r="F991" i="26"/>
  <c r="H991" i="26" s="1"/>
  <c r="E991" i="26"/>
  <c r="G991" i="26" s="1"/>
  <c r="D991" i="26"/>
  <c r="B991" i="26"/>
  <c r="L990" i="26"/>
  <c r="I990" i="26"/>
  <c r="F990" i="26"/>
  <c r="H990" i="26" s="1"/>
  <c r="E990" i="26"/>
  <c r="G990" i="26" s="1"/>
  <c r="D990" i="26"/>
  <c r="B990" i="26"/>
  <c r="L989" i="26"/>
  <c r="I989" i="26"/>
  <c r="F989" i="26"/>
  <c r="H989" i="26" s="1"/>
  <c r="E989" i="26"/>
  <c r="G989" i="26" s="1"/>
  <c r="D989" i="26"/>
  <c r="B989" i="26"/>
  <c r="L988" i="26"/>
  <c r="N988" i="26" s="1"/>
  <c r="I988" i="26"/>
  <c r="F988" i="26"/>
  <c r="H988" i="26" s="1"/>
  <c r="E988" i="26"/>
  <c r="G988" i="26" s="1"/>
  <c r="D988" i="26"/>
  <c r="B988" i="26"/>
  <c r="L987" i="26"/>
  <c r="I987" i="26"/>
  <c r="F987" i="26"/>
  <c r="H987" i="26" s="1"/>
  <c r="E987" i="26"/>
  <c r="G987" i="26" s="1"/>
  <c r="D987" i="26"/>
  <c r="B987" i="26"/>
  <c r="L986" i="26"/>
  <c r="I986" i="26"/>
  <c r="F986" i="26"/>
  <c r="H986" i="26" s="1"/>
  <c r="E986" i="26"/>
  <c r="G986" i="26" s="1"/>
  <c r="D986" i="26"/>
  <c r="B986" i="26"/>
  <c r="L985" i="26"/>
  <c r="I985" i="26"/>
  <c r="F985" i="26"/>
  <c r="H985" i="26" s="1"/>
  <c r="E985" i="26"/>
  <c r="G985" i="26" s="1"/>
  <c r="D985" i="26"/>
  <c r="B985" i="26"/>
  <c r="L984" i="26"/>
  <c r="I984" i="26"/>
  <c r="F984" i="26"/>
  <c r="H984" i="26" s="1"/>
  <c r="E984" i="26"/>
  <c r="G984" i="26" s="1"/>
  <c r="D984" i="26"/>
  <c r="B984" i="26"/>
  <c r="L983" i="26"/>
  <c r="I983" i="26"/>
  <c r="F983" i="26"/>
  <c r="H983" i="26" s="1"/>
  <c r="E983" i="26"/>
  <c r="G983" i="26" s="1"/>
  <c r="D983" i="26"/>
  <c r="B983" i="26"/>
  <c r="L982" i="26"/>
  <c r="I982" i="26"/>
  <c r="F982" i="26"/>
  <c r="H982" i="26" s="1"/>
  <c r="E982" i="26"/>
  <c r="G982" i="26" s="1"/>
  <c r="D982" i="26"/>
  <c r="B982" i="26"/>
  <c r="L981" i="26"/>
  <c r="I981" i="26"/>
  <c r="F981" i="26"/>
  <c r="H981" i="26" s="1"/>
  <c r="E981" i="26"/>
  <c r="G981" i="26" s="1"/>
  <c r="D981" i="26"/>
  <c r="B981" i="26"/>
  <c r="L980" i="26"/>
  <c r="I980" i="26"/>
  <c r="F980" i="26"/>
  <c r="H980" i="26" s="1"/>
  <c r="E980" i="26"/>
  <c r="G980" i="26" s="1"/>
  <c r="D980" i="26"/>
  <c r="B980" i="26"/>
  <c r="L979" i="26"/>
  <c r="I979" i="26"/>
  <c r="F979" i="26"/>
  <c r="H979" i="26" s="1"/>
  <c r="E979" i="26"/>
  <c r="G979" i="26" s="1"/>
  <c r="D979" i="26"/>
  <c r="B979" i="26"/>
  <c r="L978" i="26"/>
  <c r="I978" i="26"/>
  <c r="F978" i="26"/>
  <c r="H978" i="26" s="1"/>
  <c r="E978" i="26"/>
  <c r="G978" i="26" s="1"/>
  <c r="D978" i="26"/>
  <c r="B978" i="26"/>
  <c r="L977" i="26"/>
  <c r="I977" i="26"/>
  <c r="F977" i="26"/>
  <c r="H977" i="26" s="1"/>
  <c r="E977" i="26"/>
  <c r="G977" i="26" s="1"/>
  <c r="D977" i="26"/>
  <c r="B977" i="26"/>
  <c r="L976" i="26"/>
  <c r="I976" i="26"/>
  <c r="F976" i="26"/>
  <c r="H976" i="26" s="1"/>
  <c r="E976" i="26"/>
  <c r="G976" i="26" s="1"/>
  <c r="D976" i="26"/>
  <c r="B976" i="26"/>
  <c r="L975" i="26"/>
  <c r="I975" i="26"/>
  <c r="F975" i="26"/>
  <c r="H975" i="26" s="1"/>
  <c r="E975" i="26"/>
  <c r="G975" i="26" s="1"/>
  <c r="D975" i="26"/>
  <c r="B975" i="26"/>
  <c r="L974" i="26"/>
  <c r="I974" i="26"/>
  <c r="K974" i="26" s="1"/>
  <c r="F974" i="26"/>
  <c r="H974" i="26" s="1"/>
  <c r="E974" i="26"/>
  <c r="G974" i="26" s="1"/>
  <c r="D974" i="26"/>
  <c r="B974" i="26"/>
  <c r="L973" i="26"/>
  <c r="I973" i="26"/>
  <c r="F973" i="26"/>
  <c r="H973" i="26" s="1"/>
  <c r="E973" i="26"/>
  <c r="G973" i="26" s="1"/>
  <c r="D973" i="26"/>
  <c r="B973" i="26"/>
  <c r="L972" i="26"/>
  <c r="I972" i="26"/>
  <c r="F972" i="26"/>
  <c r="H972" i="26" s="1"/>
  <c r="E972" i="26"/>
  <c r="G972" i="26" s="1"/>
  <c r="D972" i="26"/>
  <c r="B972" i="26"/>
  <c r="L971" i="26"/>
  <c r="I971" i="26"/>
  <c r="F971" i="26"/>
  <c r="H971" i="26" s="1"/>
  <c r="E971" i="26"/>
  <c r="G971" i="26" s="1"/>
  <c r="D971" i="26"/>
  <c r="B971" i="26"/>
  <c r="L970" i="26"/>
  <c r="N970" i="26" s="1"/>
  <c r="I970" i="26"/>
  <c r="F970" i="26"/>
  <c r="H970" i="26" s="1"/>
  <c r="E970" i="26"/>
  <c r="G970" i="26" s="1"/>
  <c r="D970" i="26"/>
  <c r="B970" i="26"/>
  <c r="L969" i="26"/>
  <c r="I969" i="26"/>
  <c r="F969" i="26"/>
  <c r="H969" i="26" s="1"/>
  <c r="E969" i="26"/>
  <c r="G969" i="26" s="1"/>
  <c r="D969" i="26"/>
  <c r="B969" i="26"/>
  <c r="L968" i="26"/>
  <c r="I968" i="26"/>
  <c r="F968" i="26"/>
  <c r="H968" i="26" s="1"/>
  <c r="E968" i="26"/>
  <c r="G968" i="26" s="1"/>
  <c r="D968" i="26"/>
  <c r="B968" i="26"/>
  <c r="L967" i="26"/>
  <c r="I967" i="26"/>
  <c r="F967" i="26"/>
  <c r="H967" i="26" s="1"/>
  <c r="E967" i="26"/>
  <c r="G967" i="26" s="1"/>
  <c r="D967" i="26"/>
  <c r="B967" i="26"/>
  <c r="L966" i="26"/>
  <c r="I966" i="26"/>
  <c r="F966" i="26"/>
  <c r="H966" i="26" s="1"/>
  <c r="E966" i="26"/>
  <c r="G966" i="26" s="1"/>
  <c r="D966" i="26"/>
  <c r="B966" i="26"/>
  <c r="L965" i="26"/>
  <c r="I965" i="26"/>
  <c r="F965" i="26"/>
  <c r="H965" i="26" s="1"/>
  <c r="E965" i="26"/>
  <c r="G965" i="26" s="1"/>
  <c r="D965" i="26"/>
  <c r="B965" i="26"/>
  <c r="L964" i="26"/>
  <c r="I964" i="26"/>
  <c r="F964" i="26"/>
  <c r="H964" i="26" s="1"/>
  <c r="E964" i="26"/>
  <c r="G964" i="26" s="1"/>
  <c r="D964" i="26"/>
  <c r="B964" i="26"/>
  <c r="L963" i="26"/>
  <c r="I963" i="26"/>
  <c r="K963" i="26" s="1"/>
  <c r="F963" i="26"/>
  <c r="H963" i="26" s="1"/>
  <c r="E963" i="26"/>
  <c r="G963" i="26" s="1"/>
  <c r="D963" i="26"/>
  <c r="B963" i="26"/>
  <c r="L962" i="26"/>
  <c r="I962" i="26"/>
  <c r="F962" i="26"/>
  <c r="H962" i="26" s="1"/>
  <c r="E962" i="26"/>
  <c r="G962" i="26" s="1"/>
  <c r="D962" i="26"/>
  <c r="B962" i="26"/>
  <c r="L961" i="26"/>
  <c r="I961" i="26"/>
  <c r="F961" i="26"/>
  <c r="H961" i="26" s="1"/>
  <c r="E961" i="26"/>
  <c r="G961" i="26" s="1"/>
  <c r="D961" i="26"/>
  <c r="B961" i="26"/>
  <c r="L960" i="26"/>
  <c r="I960" i="26"/>
  <c r="F960" i="26"/>
  <c r="H960" i="26" s="1"/>
  <c r="E960" i="26"/>
  <c r="G960" i="26" s="1"/>
  <c r="D960" i="26"/>
  <c r="B960" i="26"/>
  <c r="L959" i="26"/>
  <c r="I959" i="26"/>
  <c r="F959" i="26"/>
  <c r="H959" i="26" s="1"/>
  <c r="E959" i="26"/>
  <c r="G959" i="26" s="1"/>
  <c r="D959" i="26"/>
  <c r="B959" i="26"/>
  <c r="L958" i="26"/>
  <c r="I958" i="26"/>
  <c r="F958" i="26"/>
  <c r="H958" i="26" s="1"/>
  <c r="E958" i="26"/>
  <c r="G958" i="26" s="1"/>
  <c r="D958" i="26"/>
  <c r="B958" i="26"/>
  <c r="L957" i="26"/>
  <c r="I957" i="26"/>
  <c r="F957" i="26"/>
  <c r="H957" i="26" s="1"/>
  <c r="E957" i="26"/>
  <c r="G957" i="26" s="1"/>
  <c r="D957" i="26"/>
  <c r="B957" i="26"/>
  <c r="L956" i="26"/>
  <c r="I956" i="26"/>
  <c r="F956" i="26"/>
  <c r="H956" i="26" s="1"/>
  <c r="E956" i="26"/>
  <c r="G956" i="26" s="1"/>
  <c r="D956" i="26"/>
  <c r="B956" i="26"/>
  <c r="L955" i="26"/>
  <c r="I955" i="26"/>
  <c r="F955" i="26"/>
  <c r="H955" i="26" s="1"/>
  <c r="E955" i="26"/>
  <c r="G955" i="26" s="1"/>
  <c r="D955" i="26"/>
  <c r="B955" i="26"/>
  <c r="L954" i="26"/>
  <c r="I954" i="26"/>
  <c r="F954" i="26"/>
  <c r="H954" i="26" s="1"/>
  <c r="E954" i="26"/>
  <c r="G954" i="26" s="1"/>
  <c r="D954" i="26"/>
  <c r="B954" i="26"/>
  <c r="L953" i="26"/>
  <c r="I953" i="26"/>
  <c r="F953" i="26"/>
  <c r="H953" i="26" s="1"/>
  <c r="E953" i="26"/>
  <c r="G953" i="26" s="1"/>
  <c r="D953" i="26"/>
  <c r="B953" i="26"/>
  <c r="L952" i="26"/>
  <c r="I952" i="26"/>
  <c r="K952" i="26" s="1"/>
  <c r="F952" i="26"/>
  <c r="H952" i="26" s="1"/>
  <c r="E952" i="26"/>
  <c r="G952" i="26" s="1"/>
  <c r="D952" i="26"/>
  <c r="B952" i="26"/>
  <c r="L951" i="26"/>
  <c r="I951" i="26"/>
  <c r="F951" i="26"/>
  <c r="H951" i="26" s="1"/>
  <c r="E951" i="26"/>
  <c r="G951" i="26" s="1"/>
  <c r="D951" i="26"/>
  <c r="B951" i="26"/>
  <c r="L950" i="26"/>
  <c r="I950" i="26"/>
  <c r="F950" i="26"/>
  <c r="H950" i="26" s="1"/>
  <c r="E950" i="26"/>
  <c r="G950" i="26" s="1"/>
  <c r="D950" i="26"/>
  <c r="B950" i="26"/>
  <c r="L949" i="26"/>
  <c r="I949" i="26"/>
  <c r="F949" i="26"/>
  <c r="H949" i="26" s="1"/>
  <c r="E949" i="26"/>
  <c r="G949" i="26" s="1"/>
  <c r="D949" i="26"/>
  <c r="B949" i="26"/>
  <c r="L948" i="26"/>
  <c r="I948" i="26"/>
  <c r="F948" i="26"/>
  <c r="H948" i="26" s="1"/>
  <c r="E948" i="26"/>
  <c r="G948" i="26" s="1"/>
  <c r="D948" i="26"/>
  <c r="B948" i="26"/>
  <c r="L947" i="26"/>
  <c r="I947" i="26"/>
  <c r="F947" i="26"/>
  <c r="H947" i="26" s="1"/>
  <c r="E947" i="26"/>
  <c r="G947" i="26" s="1"/>
  <c r="D947" i="26"/>
  <c r="B947" i="26"/>
  <c r="L946" i="26"/>
  <c r="I946" i="26"/>
  <c r="F946" i="26"/>
  <c r="H946" i="26" s="1"/>
  <c r="E946" i="26"/>
  <c r="G946" i="26" s="1"/>
  <c r="D946" i="26"/>
  <c r="B946" i="26"/>
  <c r="L945" i="26"/>
  <c r="I945" i="26"/>
  <c r="F945" i="26"/>
  <c r="H945" i="26" s="1"/>
  <c r="E945" i="26"/>
  <c r="G945" i="26" s="1"/>
  <c r="D945" i="26"/>
  <c r="B945" i="26"/>
  <c r="L944" i="26"/>
  <c r="I944" i="26"/>
  <c r="F944" i="26"/>
  <c r="H944" i="26" s="1"/>
  <c r="E944" i="26"/>
  <c r="G944" i="26" s="1"/>
  <c r="D944" i="26"/>
  <c r="B944" i="26"/>
  <c r="L943" i="26"/>
  <c r="I943" i="26"/>
  <c r="K943" i="26" s="1"/>
  <c r="F943" i="26"/>
  <c r="H943" i="26" s="1"/>
  <c r="E943" i="26"/>
  <c r="G943" i="26" s="1"/>
  <c r="D943" i="26"/>
  <c r="B943" i="26"/>
  <c r="L942" i="26"/>
  <c r="I942" i="26"/>
  <c r="F942" i="26"/>
  <c r="H942" i="26" s="1"/>
  <c r="E942" i="26"/>
  <c r="G942" i="26" s="1"/>
  <c r="D942" i="26"/>
  <c r="B942" i="26"/>
  <c r="L941" i="26"/>
  <c r="I941" i="26"/>
  <c r="F941" i="26"/>
  <c r="H941" i="26" s="1"/>
  <c r="E941" i="26"/>
  <c r="G941" i="26" s="1"/>
  <c r="D941" i="26"/>
  <c r="B941" i="26"/>
  <c r="L940" i="26"/>
  <c r="I940" i="26"/>
  <c r="F940" i="26"/>
  <c r="H940" i="26" s="1"/>
  <c r="E940" i="26"/>
  <c r="G940" i="26" s="1"/>
  <c r="D940" i="26"/>
  <c r="B940" i="26"/>
  <c r="L939" i="26"/>
  <c r="I939" i="26"/>
  <c r="F939" i="26"/>
  <c r="H939" i="26" s="1"/>
  <c r="E939" i="26"/>
  <c r="G939" i="26" s="1"/>
  <c r="D939" i="26"/>
  <c r="B939" i="26"/>
  <c r="L938" i="26"/>
  <c r="I938" i="26"/>
  <c r="F938" i="26"/>
  <c r="H938" i="26" s="1"/>
  <c r="E938" i="26"/>
  <c r="G938" i="26" s="1"/>
  <c r="D938" i="26"/>
  <c r="B938" i="26"/>
  <c r="L937" i="26"/>
  <c r="I937" i="26"/>
  <c r="F937" i="26"/>
  <c r="H937" i="26" s="1"/>
  <c r="E937" i="26"/>
  <c r="G937" i="26" s="1"/>
  <c r="D937" i="26"/>
  <c r="B937" i="26"/>
  <c r="L936" i="26"/>
  <c r="I936" i="26"/>
  <c r="F936" i="26"/>
  <c r="H936" i="26" s="1"/>
  <c r="E936" i="26"/>
  <c r="G936" i="26" s="1"/>
  <c r="D936" i="26"/>
  <c r="B936" i="26"/>
  <c r="L935" i="26"/>
  <c r="I935" i="26"/>
  <c r="K935" i="26" s="1"/>
  <c r="F935" i="26"/>
  <c r="H935" i="26" s="1"/>
  <c r="E935" i="26"/>
  <c r="G935" i="26" s="1"/>
  <c r="D935" i="26"/>
  <c r="B935" i="26"/>
  <c r="L934" i="26"/>
  <c r="I934" i="26"/>
  <c r="F934" i="26"/>
  <c r="H934" i="26" s="1"/>
  <c r="E934" i="26"/>
  <c r="G934" i="26" s="1"/>
  <c r="D934" i="26"/>
  <c r="B934" i="26"/>
  <c r="L933" i="26"/>
  <c r="I933" i="26"/>
  <c r="F933" i="26"/>
  <c r="H933" i="26" s="1"/>
  <c r="E933" i="26"/>
  <c r="G933" i="26" s="1"/>
  <c r="D933" i="26"/>
  <c r="B933" i="26"/>
  <c r="L932" i="26"/>
  <c r="I932" i="26"/>
  <c r="K932" i="26" s="1"/>
  <c r="F932" i="26"/>
  <c r="H932" i="26" s="1"/>
  <c r="E932" i="26"/>
  <c r="G932" i="26" s="1"/>
  <c r="D932" i="26"/>
  <c r="B932" i="26"/>
  <c r="L931" i="26"/>
  <c r="I931" i="26"/>
  <c r="F931" i="26"/>
  <c r="H931" i="26" s="1"/>
  <c r="E931" i="26"/>
  <c r="G931" i="26" s="1"/>
  <c r="D931" i="26"/>
  <c r="B931" i="26"/>
  <c r="L930" i="26"/>
  <c r="I930" i="26"/>
  <c r="F930" i="26"/>
  <c r="H930" i="26" s="1"/>
  <c r="E930" i="26"/>
  <c r="G930" i="26" s="1"/>
  <c r="D930" i="26"/>
  <c r="B930" i="26"/>
  <c r="L929" i="26"/>
  <c r="I929" i="26"/>
  <c r="F929" i="26"/>
  <c r="H929" i="26" s="1"/>
  <c r="E929" i="26"/>
  <c r="G929" i="26" s="1"/>
  <c r="D929" i="26"/>
  <c r="B929" i="26"/>
  <c r="L928" i="26"/>
  <c r="I928" i="26"/>
  <c r="F928" i="26"/>
  <c r="H928" i="26" s="1"/>
  <c r="E928" i="26"/>
  <c r="G928" i="26" s="1"/>
  <c r="D928" i="26"/>
  <c r="B928" i="26"/>
  <c r="L927" i="26"/>
  <c r="I927" i="26"/>
  <c r="F927" i="26"/>
  <c r="H927" i="26" s="1"/>
  <c r="E927" i="26"/>
  <c r="G927" i="26" s="1"/>
  <c r="D927" i="26"/>
  <c r="B927" i="26"/>
  <c r="L926" i="26"/>
  <c r="I926" i="26"/>
  <c r="F926" i="26"/>
  <c r="H926" i="26" s="1"/>
  <c r="E926" i="26"/>
  <c r="G926" i="26" s="1"/>
  <c r="D926" i="26"/>
  <c r="B926" i="26"/>
  <c r="L925" i="26"/>
  <c r="I925" i="26"/>
  <c r="F925" i="26"/>
  <c r="H925" i="26" s="1"/>
  <c r="E925" i="26"/>
  <c r="G925" i="26" s="1"/>
  <c r="D925" i="26"/>
  <c r="B925" i="26"/>
  <c r="L924" i="26"/>
  <c r="I924" i="26"/>
  <c r="F924" i="26"/>
  <c r="H924" i="26" s="1"/>
  <c r="E924" i="26"/>
  <c r="G924" i="26" s="1"/>
  <c r="D924" i="26"/>
  <c r="B924" i="26"/>
  <c r="L923" i="26"/>
  <c r="I923" i="26"/>
  <c r="F923" i="26"/>
  <c r="H923" i="26" s="1"/>
  <c r="E923" i="26"/>
  <c r="G923" i="26" s="1"/>
  <c r="D923" i="26"/>
  <c r="B923" i="26"/>
  <c r="L922" i="26"/>
  <c r="I922" i="26"/>
  <c r="F922" i="26"/>
  <c r="H922" i="26" s="1"/>
  <c r="E922" i="26"/>
  <c r="G922" i="26" s="1"/>
  <c r="D922" i="26"/>
  <c r="B922" i="26"/>
  <c r="L921" i="26"/>
  <c r="I921" i="26"/>
  <c r="F921" i="26"/>
  <c r="H921" i="26" s="1"/>
  <c r="E921" i="26"/>
  <c r="G921" i="26" s="1"/>
  <c r="D921" i="26"/>
  <c r="B921" i="26"/>
  <c r="L920" i="26"/>
  <c r="I920" i="26"/>
  <c r="F920" i="26"/>
  <c r="H920" i="26" s="1"/>
  <c r="E920" i="26"/>
  <c r="G920" i="26" s="1"/>
  <c r="D920" i="26"/>
  <c r="B920" i="26"/>
  <c r="L919" i="26"/>
  <c r="I919" i="26"/>
  <c r="F919" i="26"/>
  <c r="H919" i="26" s="1"/>
  <c r="E919" i="26"/>
  <c r="G919" i="26" s="1"/>
  <c r="D919" i="26"/>
  <c r="B919" i="26"/>
  <c r="L918" i="26"/>
  <c r="I918" i="26"/>
  <c r="F918" i="26"/>
  <c r="H918" i="26" s="1"/>
  <c r="E918" i="26"/>
  <c r="G918" i="26" s="1"/>
  <c r="D918" i="26"/>
  <c r="B918" i="26"/>
  <c r="L917" i="26"/>
  <c r="I917" i="26"/>
  <c r="F917" i="26"/>
  <c r="H917" i="26" s="1"/>
  <c r="E917" i="26"/>
  <c r="G917" i="26" s="1"/>
  <c r="D917" i="26"/>
  <c r="B917" i="26"/>
  <c r="L916" i="26"/>
  <c r="I916" i="26"/>
  <c r="F916" i="26"/>
  <c r="H916" i="26" s="1"/>
  <c r="E916" i="26"/>
  <c r="G916" i="26" s="1"/>
  <c r="D916" i="26"/>
  <c r="B916" i="26"/>
  <c r="L915" i="26"/>
  <c r="I915" i="26"/>
  <c r="F915" i="26"/>
  <c r="H915" i="26" s="1"/>
  <c r="E915" i="26"/>
  <c r="G915" i="26" s="1"/>
  <c r="D915" i="26"/>
  <c r="B915" i="26"/>
  <c r="L914" i="26"/>
  <c r="I914" i="26"/>
  <c r="K914" i="26" s="1"/>
  <c r="F914" i="26"/>
  <c r="H914" i="26" s="1"/>
  <c r="E914" i="26"/>
  <c r="G914" i="26" s="1"/>
  <c r="D914" i="26"/>
  <c r="B914" i="26"/>
  <c r="L913" i="26"/>
  <c r="I913" i="26"/>
  <c r="F913" i="26"/>
  <c r="H913" i="26" s="1"/>
  <c r="E913" i="26"/>
  <c r="G913" i="26" s="1"/>
  <c r="D913" i="26"/>
  <c r="B913" i="26"/>
  <c r="L912" i="26"/>
  <c r="I912" i="26"/>
  <c r="F912" i="26"/>
  <c r="H912" i="26" s="1"/>
  <c r="E912" i="26"/>
  <c r="G912" i="26" s="1"/>
  <c r="D912" i="26"/>
  <c r="B912" i="26"/>
  <c r="L911" i="26"/>
  <c r="I911" i="26"/>
  <c r="F911" i="26"/>
  <c r="H911" i="26" s="1"/>
  <c r="E911" i="26"/>
  <c r="G911" i="26" s="1"/>
  <c r="D911" i="26"/>
  <c r="B911" i="26"/>
  <c r="L910" i="26"/>
  <c r="I910" i="26"/>
  <c r="F910" i="26"/>
  <c r="H910" i="26" s="1"/>
  <c r="E910" i="26"/>
  <c r="G910" i="26" s="1"/>
  <c r="D910" i="26"/>
  <c r="B910" i="26"/>
  <c r="L909" i="26"/>
  <c r="I909" i="26"/>
  <c r="F909" i="26"/>
  <c r="H909" i="26" s="1"/>
  <c r="E909" i="26"/>
  <c r="G909" i="26" s="1"/>
  <c r="D909" i="26"/>
  <c r="B909" i="26"/>
  <c r="L908" i="26"/>
  <c r="I908" i="26"/>
  <c r="F908" i="26"/>
  <c r="H908" i="26" s="1"/>
  <c r="E908" i="26"/>
  <c r="G908" i="26" s="1"/>
  <c r="D908" i="26"/>
  <c r="B908" i="26"/>
  <c r="L907" i="26"/>
  <c r="I907" i="26"/>
  <c r="K907" i="26" s="1"/>
  <c r="F907" i="26"/>
  <c r="H907" i="26" s="1"/>
  <c r="E907" i="26"/>
  <c r="G907" i="26" s="1"/>
  <c r="D907" i="26"/>
  <c r="B907" i="26"/>
  <c r="L906" i="26"/>
  <c r="I906" i="26"/>
  <c r="F906" i="26"/>
  <c r="H906" i="26" s="1"/>
  <c r="E906" i="26"/>
  <c r="G906" i="26" s="1"/>
  <c r="D906" i="26"/>
  <c r="B906" i="26"/>
  <c r="L905" i="26"/>
  <c r="I905" i="26"/>
  <c r="F905" i="26"/>
  <c r="H905" i="26" s="1"/>
  <c r="E905" i="26"/>
  <c r="G905" i="26" s="1"/>
  <c r="D905" i="26"/>
  <c r="B905" i="26"/>
  <c r="L904" i="26"/>
  <c r="I904" i="26"/>
  <c r="F904" i="26"/>
  <c r="H904" i="26" s="1"/>
  <c r="E904" i="26"/>
  <c r="G904" i="26" s="1"/>
  <c r="D904" i="26"/>
  <c r="B904" i="26"/>
  <c r="L903" i="26"/>
  <c r="I903" i="26"/>
  <c r="F903" i="26"/>
  <c r="H903" i="26" s="1"/>
  <c r="E903" i="26"/>
  <c r="G903" i="26" s="1"/>
  <c r="D903" i="26"/>
  <c r="B903" i="26"/>
  <c r="L902" i="26"/>
  <c r="I902" i="26"/>
  <c r="F902" i="26"/>
  <c r="H902" i="26" s="1"/>
  <c r="E902" i="26"/>
  <c r="G902" i="26" s="1"/>
  <c r="D902" i="26"/>
  <c r="B902" i="26"/>
  <c r="L901" i="26"/>
  <c r="I901" i="26"/>
  <c r="F901" i="26"/>
  <c r="H901" i="26" s="1"/>
  <c r="E901" i="26"/>
  <c r="G901" i="26" s="1"/>
  <c r="D901" i="26"/>
  <c r="B901" i="26"/>
  <c r="L900" i="26"/>
  <c r="I900" i="26"/>
  <c r="F900" i="26"/>
  <c r="H900" i="26" s="1"/>
  <c r="E900" i="26"/>
  <c r="G900" i="26" s="1"/>
  <c r="D900" i="26"/>
  <c r="B900" i="26"/>
  <c r="L899" i="26"/>
  <c r="I899" i="26"/>
  <c r="F899" i="26"/>
  <c r="H899" i="26" s="1"/>
  <c r="E899" i="26"/>
  <c r="G899" i="26" s="1"/>
  <c r="D899" i="26"/>
  <c r="B899" i="26"/>
  <c r="L898" i="26"/>
  <c r="N898" i="26" s="1"/>
  <c r="I898" i="26"/>
  <c r="K898" i="26" s="1"/>
  <c r="F898" i="26"/>
  <c r="H898" i="26" s="1"/>
  <c r="E898" i="26"/>
  <c r="G898" i="26" s="1"/>
  <c r="D898" i="26"/>
  <c r="B898" i="26"/>
  <c r="L897" i="26"/>
  <c r="I897" i="26"/>
  <c r="F897" i="26"/>
  <c r="H897" i="26" s="1"/>
  <c r="E897" i="26"/>
  <c r="G897" i="26" s="1"/>
  <c r="D897" i="26"/>
  <c r="B897" i="26"/>
  <c r="L896" i="26"/>
  <c r="I896" i="26"/>
  <c r="F896" i="26"/>
  <c r="H896" i="26" s="1"/>
  <c r="E896" i="26"/>
  <c r="G896" i="26" s="1"/>
  <c r="D896" i="26"/>
  <c r="B896" i="26"/>
  <c r="L895" i="26"/>
  <c r="I895" i="26"/>
  <c r="F895" i="26"/>
  <c r="H895" i="26" s="1"/>
  <c r="E895" i="26"/>
  <c r="G895" i="26" s="1"/>
  <c r="D895" i="26"/>
  <c r="B895" i="26"/>
  <c r="L894" i="26"/>
  <c r="I894" i="26"/>
  <c r="F894" i="26"/>
  <c r="H894" i="26" s="1"/>
  <c r="E894" i="26"/>
  <c r="G894" i="26" s="1"/>
  <c r="D894" i="26"/>
  <c r="B894" i="26"/>
  <c r="L893" i="26"/>
  <c r="I893" i="26"/>
  <c r="F893" i="26"/>
  <c r="H893" i="26" s="1"/>
  <c r="E893" i="26"/>
  <c r="G893" i="26" s="1"/>
  <c r="D893" i="26"/>
  <c r="B893" i="26"/>
  <c r="L892" i="26"/>
  <c r="I892" i="26"/>
  <c r="F892" i="26"/>
  <c r="H892" i="26" s="1"/>
  <c r="E892" i="26"/>
  <c r="G892" i="26" s="1"/>
  <c r="D892" i="26"/>
  <c r="B892" i="26"/>
  <c r="L891" i="26"/>
  <c r="I891" i="26"/>
  <c r="F891" i="26"/>
  <c r="H891" i="26" s="1"/>
  <c r="E891" i="26"/>
  <c r="G891" i="26" s="1"/>
  <c r="D891" i="26"/>
  <c r="B891" i="26"/>
  <c r="L890" i="26"/>
  <c r="I890" i="26"/>
  <c r="F890" i="26"/>
  <c r="H890" i="26" s="1"/>
  <c r="E890" i="26"/>
  <c r="G890" i="26" s="1"/>
  <c r="D890" i="26"/>
  <c r="B890" i="26"/>
  <c r="L889" i="26"/>
  <c r="I889" i="26"/>
  <c r="F889" i="26"/>
  <c r="H889" i="26" s="1"/>
  <c r="E889" i="26"/>
  <c r="G889" i="26" s="1"/>
  <c r="D889" i="26"/>
  <c r="B889" i="26"/>
  <c r="L888" i="26"/>
  <c r="I888" i="26"/>
  <c r="F888" i="26"/>
  <c r="H888" i="26" s="1"/>
  <c r="E888" i="26"/>
  <c r="G888" i="26" s="1"/>
  <c r="D888" i="26"/>
  <c r="B888" i="26"/>
  <c r="L887" i="26"/>
  <c r="I887" i="26"/>
  <c r="F887" i="26"/>
  <c r="H887" i="26" s="1"/>
  <c r="E887" i="26"/>
  <c r="G887" i="26" s="1"/>
  <c r="D887" i="26"/>
  <c r="B887" i="26"/>
  <c r="L886" i="26"/>
  <c r="I886" i="26"/>
  <c r="F886" i="26"/>
  <c r="H886" i="26" s="1"/>
  <c r="E886" i="26"/>
  <c r="G886" i="26" s="1"/>
  <c r="D886" i="26"/>
  <c r="B886" i="26"/>
  <c r="L885" i="26"/>
  <c r="I885" i="26"/>
  <c r="F885" i="26"/>
  <c r="H885" i="26" s="1"/>
  <c r="E885" i="26"/>
  <c r="G885" i="26" s="1"/>
  <c r="D885" i="26"/>
  <c r="B885" i="26"/>
  <c r="L884" i="26"/>
  <c r="N884" i="26" s="1"/>
  <c r="I884" i="26"/>
  <c r="F884" i="26"/>
  <c r="H884" i="26" s="1"/>
  <c r="E884" i="26"/>
  <c r="G884" i="26" s="1"/>
  <c r="D884" i="26"/>
  <c r="B884" i="26"/>
  <c r="L883" i="26"/>
  <c r="I883" i="26"/>
  <c r="F883" i="26"/>
  <c r="H883" i="26" s="1"/>
  <c r="E883" i="26"/>
  <c r="G883" i="26" s="1"/>
  <c r="D883" i="26"/>
  <c r="B883" i="26"/>
  <c r="L882" i="26"/>
  <c r="I882" i="26"/>
  <c r="F882" i="26"/>
  <c r="H882" i="26" s="1"/>
  <c r="E882" i="26"/>
  <c r="G882" i="26" s="1"/>
  <c r="D882" i="26"/>
  <c r="B882" i="26"/>
  <c r="L881" i="26"/>
  <c r="I881" i="26"/>
  <c r="F881" i="26"/>
  <c r="H881" i="26" s="1"/>
  <c r="E881" i="26"/>
  <c r="G881" i="26" s="1"/>
  <c r="D881" i="26"/>
  <c r="B881" i="26"/>
  <c r="L880" i="26"/>
  <c r="I880" i="26"/>
  <c r="F880" i="26"/>
  <c r="H880" i="26" s="1"/>
  <c r="E880" i="26"/>
  <c r="G880" i="26" s="1"/>
  <c r="D880" i="26"/>
  <c r="B880" i="26"/>
  <c r="L879" i="26"/>
  <c r="I879" i="26"/>
  <c r="F879" i="26"/>
  <c r="H879" i="26" s="1"/>
  <c r="E879" i="26"/>
  <c r="G879" i="26" s="1"/>
  <c r="D879" i="26"/>
  <c r="B879" i="26"/>
  <c r="L878" i="26"/>
  <c r="I878" i="26"/>
  <c r="F878" i="26"/>
  <c r="H878" i="26" s="1"/>
  <c r="E878" i="26"/>
  <c r="G878" i="26" s="1"/>
  <c r="D878" i="26"/>
  <c r="B878" i="26"/>
  <c r="L877" i="26"/>
  <c r="I877" i="26"/>
  <c r="F877" i="26"/>
  <c r="H877" i="26" s="1"/>
  <c r="E877" i="26"/>
  <c r="G877" i="26" s="1"/>
  <c r="D877" i="26"/>
  <c r="B877" i="26"/>
  <c r="L876" i="26"/>
  <c r="N876" i="26" s="1"/>
  <c r="I876" i="26"/>
  <c r="F876" i="26"/>
  <c r="H876" i="26" s="1"/>
  <c r="E876" i="26"/>
  <c r="G876" i="26" s="1"/>
  <c r="D876" i="26"/>
  <c r="B876" i="26"/>
  <c r="L875" i="26"/>
  <c r="I875" i="26"/>
  <c r="K875" i="26" s="1"/>
  <c r="F875" i="26"/>
  <c r="H875" i="26" s="1"/>
  <c r="E875" i="26"/>
  <c r="G875" i="26" s="1"/>
  <c r="D875" i="26"/>
  <c r="B875" i="26"/>
  <c r="L874" i="26"/>
  <c r="I874" i="26"/>
  <c r="F874" i="26"/>
  <c r="H874" i="26" s="1"/>
  <c r="E874" i="26"/>
  <c r="G874" i="26" s="1"/>
  <c r="D874" i="26"/>
  <c r="B874" i="26"/>
  <c r="L873" i="26"/>
  <c r="I873" i="26"/>
  <c r="F873" i="26"/>
  <c r="H873" i="26" s="1"/>
  <c r="E873" i="26"/>
  <c r="G873" i="26" s="1"/>
  <c r="D873" i="26"/>
  <c r="B873" i="26"/>
  <c r="L872" i="26"/>
  <c r="I872" i="26"/>
  <c r="F872" i="26"/>
  <c r="H872" i="26" s="1"/>
  <c r="E872" i="26"/>
  <c r="G872" i="26" s="1"/>
  <c r="D872" i="26"/>
  <c r="B872" i="26"/>
  <c r="L871" i="26"/>
  <c r="I871" i="26"/>
  <c r="F871" i="26"/>
  <c r="H871" i="26" s="1"/>
  <c r="E871" i="26"/>
  <c r="G871" i="26" s="1"/>
  <c r="D871" i="26"/>
  <c r="B871" i="26"/>
  <c r="L870" i="26"/>
  <c r="I870" i="26"/>
  <c r="K870" i="26" s="1"/>
  <c r="F870" i="26"/>
  <c r="H870" i="26" s="1"/>
  <c r="E870" i="26"/>
  <c r="G870" i="26" s="1"/>
  <c r="D870" i="26"/>
  <c r="B870" i="26"/>
  <c r="L869" i="26"/>
  <c r="I869" i="26"/>
  <c r="F869" i="26"/>
  <c r="H869" i="26" s="1"/>
  <c r="E869" i="26"/>
  <c r="G869" i="26" s="1"/>
  <c r="D869" i="26"/>
  <c r="B869" i="26"/>
  <c r="L868" i="26"/>
  <c r="N868" i="26" s="1"/>
  <c r="I868" i="26"/>
  <c r="K868" i="26" s="1"/>
  <c r="F868" i="26"/>
  <c r="H868" i="26" s="1"/>
  <c r="E868" i="26"/>
  <c r="G868" i="26" s="1"/>
  <c r="D868" i="26"/>
  <c r="B868" i="26"/>
  <c r="L867" i="26"/>
  <c r="I867" i="26"/>
  <c r="K867" i="26" s="1"/>
  <c r="F867" i="26"/>
  <c r="H867" i="26" s="1"/>
  <c r="E867" i="26"/>
  <c r="G867" i="26" s="1"/>
  <c r="D867" i="26"/>
  <c r="B867" i="26"/>
  <c r="L866" i="26"/>
  <c r="N866" i="26" s="1"/>
  <c r="I866" i="26"/>
  <c r="F866" i="26"/>
  <c r="H866" i="26" s="1"/>
  <c r="E866" i="26"/>
  <c r="G866" i="26" s="1"/>
  <c r="D866" i="26"/>
  <c r="B866" i="26"/>
  <c r="L865" i="26"/>
  <c r="I865" i="26"/>
  <c r="F865" i="26"/>
  <c r="H865" i="26" s="1"/>
  <c r="E865" i="26"/>
  <c r="G865" i="26" s="1"/>
  <c r="D865" i="26"/>
  <c r="B865" i="26"/>
  <c r="L864" i="26"/>
  <c r="I864" i="26"/>
  <c r="F864" i="26"/>
  <c r="H864" i="26" s="1"/>
  <c r="E864" i="26"/>
  <c r="G864" i="26" s="1"/>
  <c r="D864" i="26"/>
  <c r="B864" i="26"/>
  <c r="L863" i="26"/>
  <c r="I863" i="26"/>
  <c r="F863" i="26"/>
  <c r="H863" i="26" s="1"/>
  <c r="E863" i="26"/>
  <c r="G863" i="26" s="1"/>
  <c r="D863" i="26"/>
  <c r="B863" i="26"/>
  <c r="L862" i="26"/>
  <c r="I862" i="26"/>
  <c r="F862" i="26"/>
  <c r="H862" i="26" s="1"/>
  <c r="E862" i="26"/>
  <c r="G862" i="26" s="1"/>
  <c r="D862" i="26"/>
  <c r="B862" i="26"/>
  <c r="L861" i="26"/>
  <c r="I861" i="26"/>
  <c r="F861" i="26"/>
  <c r="H861" i="26" s="1"/>
  <c r="E861" i="26"/>
  <c r="G861" i="26" s="1"/>
  <c r="D861" i="26"/>
  <c r="B861" i="26"/>
  <c r="L860" i="26"/>
  <c r="I860" i="26"/>
  <c r="K860" i="26" s="1"/>
  <c r="F860" i="26"/>
  <c r="H860" i="26" s="1"/>
  <c r="E860" i="26"/>
  <c r="G860" i="26" s="1"/>
  <c r="D860" i="26"/>
  <c r="B860" i="26"/>
  <c r="L859" i="26"/>
  <c r="I859" i="26"/>
  <c r="F859" i="26"/>
  <c r="H859" i="26" s="1"/>
  <c r="E859" i="26"/>
  <c r="G859" i="26" s="1"/>
  <c r="D859" i="26"/>
  <c r="B859" i="26"/>
  <c r="L858" i="26"/>
  <c r="I858" i="26"/>
  <c r="F858" i="26"/>
  <c r="H858" i="26" s="1"/>
  <c r="E858" i="26"/>
  <c r="G858" i="26" s="1"/>
  <c r="D858" i="26"/>
  <c r="B858" i="26"/>
  <c r="L857" i="26"/>
  <c r="I857" i="26"/>
  <c r="F857" i="26"/>
  <c r="H857" i="26" s="1"/>
  <c r="E857" i="26"/>
  <c r="G857" i="26" s="1"/>
  <c r="D857" i="26"/>
  <c r="B857" i="26"/>
  <c r="L856" i="26"/>
  <c r="I856" i="26"/>
  <c r="F856" i="26"/>
  <c r="H856" i="26" s="1"/>
  <c r="E856" i="26"/>
  <c r="G856" i="26" s="1"/>
  <c r="D856" i="26"/>
  <c r="B856" i="26"/>
  <c r="L855" i="26"/>
  <c r="I855" i="26"/>
  <c r="F855" i="26"/>
  <c r="H855" i="26" s="1"/>
  <c r="E855" i="26"/>
  <c r="G855" i="26" s="1"/>
  <c r="D855" i="26"/>
  <c r="B855" i="26"/>
  <c r="L854" i="26"/>
  <c r="I854" i="26"/>
  <c r="F854" i="26"/>
  <c r="H854" i="26" s="1"/>
  <c r="E854" i="26"/>
  <c r="G854" i="26" s="1"/>
  <c r="D854" i="26"/>
  <c r="B854" i="26"/>
  <c r="L853" i="26"/>
  <c r="I853" i="26"/>
  <c r="K853" i="26" s="1"/>
  <c r="F853" i="26"/>
  <c r="H853" i="26" s="1"/>
  <c r="E853" i="26"/>
  <c r="G853" i="26" s="1"/>
  <c r="D853" i="26"/>
  <c r="B853" i="26"/>
  <c r="L852" i="26"/>
  <c r="I852" i="26"/>
  <c r="F852" i="26"/>
  <c r="H852" i="26" s="1"/>
  <c r="E852" i="26"/>
  <c r="G852" i="26" s="1"/>
  <c r="D852" i="26"/>
  <c r="B852" i="26"/>
  <c r="L851" i="26"/>
  <c r="I851" i="26"/>
  <c r="F851" i="26"/>
  <c r="H851" i="26" s="1"/>
  <c r="E851" i="26"/>
  <c r="G851" i="26" s="1"/>
  <c r="D851" i="26"/>
  <c r="B851" i="26"/>
  <c r="L850" i="26"/>
  <c r="I850" i="26"/>
  <c r="F850" i="26"/>
  <c r="H850" i="26" s="1"/>
  <c r="E850" i="26"/>
  <c r="G850" i="26" s="1"/>
  <c r="D850" i="26"/>
  <c r="B850" i="26"/>
  <c r="L849" i="26"/>
  <c r="I849" i="26"/>
  <c r="F849" i="26"/>
  <c r="H849" i="26" s="1"/>
  <c r="E849" i="26"/>
  <c r="G849" i="26" s="1"/>
  <c r="D849" i="26"/>
  <c r="B849" i="26"/>
  <c r="L848" i="26"/>
  <c r="I848" i="26"/>
  <c r="F848" i="26"/>
  <c r="H848" i="26" s="1"/>
  <c r="E848" i="26"/>
  <c r="G848" i="26" s="1"/>
  <c r="D848" i="26"/>
  <c r="B848" i="26"/>
  <c r="L847" i="26"/>
  <c r="I847" i="26"/>
  <c r="F847" i="26"/>
  <c r="H847" i="26" s="1"/>
  <c r="E847" i="26"/>
  <c r="G847" i="26" s="1"/>
  <c r="D847" i="26"/>
  <c r="B847" i="26"/>
  <c r="L846" i="26"/>
  <c r="I846" i="26"/>
  <c r="F846" i="26"/>
  <c r="H846" i="26" s="1"/>
  <c r="E846" i="26"/>
  <c r="G846" i="26" s="1"/>
  <c r="D846" i="26"/>
  <c r="B846" i="26"/>
  <c r="L845" i="26"/>
  <c r="I845" i="26"/>
  <c r="F845" i="26"/>
  <c r="H845" i="26" s="1"/>
  <c r="E845" i="26"/>
  <c r="G845" i="26" s="1"/>
  <c r="D845" i="26"/>
  <c r="B845" i="26"/>
  <c r="L844" i="26"/>
  <c r="I844" i="26"/>
  <c r="F844" i="26"/>
  <c r="H844" i="26" s="1"/>
  <c r="E844" i="26"/>
  <c r="G844" i="26" s="1"/>
  <c r="D844" i="26"/>
  <c r="B844" i="26"/>
  <c r="L843" i="26"/>
  <c r="I843" i="26"/>
  <c r="F843" i="26"/>
  <c r="H843" i="26" s="1"/>
  <c r="E843" i="26"/>
  <c r="G843" i="26" s="1"/>
  <c r="D843" i="26"/>
  <c r="B843" i="26"/>
  <c r="L842" i="26"/>
  <c r="I842" i="26"/>
  <c r="F842" i="26"/>
  <c r="H842" i="26" s="1"/>
  <c r="E842" i="26"/>
  <c r="G842" i="26" s="1"/>
  <c r="D842" i="26"/>
  <c r="B842" i="26"/>
  <c r="L841" i="26"/>
  <c r="I841" i="26"/>
  <c r="F841" i="26"/>
  <c r="H841" i="26" s="1"/>
  <c r="E841" i="26"/>
  <c r="G841" i="26" s="1"/>
  <c r="D841" i="26"/>
  <c r="B841" i="26"/>
  <c r="L840" i="26"/>
  <c r="I840" i="26"/>
  <c r="F840" i="26"/>
  <c r="H840" i="26" s="1"/>
  <c r="E840" i="26"/>
  <c r="G840" i="26" s="1"/>
  <c r="D840" i="26"/>
  <c r="B840" i="26"/>
  <c r="L839" i="26"/>
  <c r="I839" i="26"/>
  <c r="F839" i="26"/>
  <c r="H839" i="26" s="1"/>
  <c r="E839" i="26"/>
  <c r="G839" i="26" s="1"/>
  <c r="D839" i="26"/>
  <c r="B839" i="26"/>
  <c r="L838" i="26"/>
  <c r="I838" i="26"/>
  <c r="F838" i="26"/>
  <c r="H838" i="26" s="1"/>
  <c r="E838" i="26"/>
  <c r="G838" i="26" s="1"/>
  <c r="D838" i="26"/>
  <c r="B838" i="26"/>
  <c r="L837" i="26"/>
  <c r="I837" i="26"/>
  <c r="F837" i="26"/>
  <c r="H837" i="26" s="1"/>
  <c r="E837" i="26"/>
  <c r="G837" i="26" s="1"/>
  <c r="D837" i="26"/>
  <c r="B837" i="26"/>
  <c r="L836" i="26"/>
  <c r="I836" i="26"/>
  <c r="F836" i="26"/>
  <c r="H836" i="26" s="1"/>
  <c r="E836" i="26"/>
  <c r="G836" i="26" s="1"/>
  <c r="D836" i="26"/>
  <c r="B836" i="26"/>
  <c r="L835" i="26"/>
  <c r="I835" i="26"/>
  <c r="F835" i="26"/>
  <c r="H835" i="26" s="1"/>
  <c r="E835" i="26"/>
  <c r="G835" i="26" s="1"/>
  <c r="D835" i="26"/>
  <c r="B835" i="26"/>
  <c r="L834" i="26"/>
  <c r="I834" i="26"/>
  <c r="F834" i="26"/>
  <c r="H834" i="26" s="1"/>
  <c r="E834" i="26"/>
  <c r="G834" i="26" s="1"/>
  <c r="D834" i="26"/>
  <c r="B834" i="26"/>
  <c r="L833" i="26"/>
  <c r="I833" i="26"/>
  <c r="F833" i="26"/>
  <c r="H833" i="26" s="1"/>
  <c r="E833" i="26"/>
  <c r="G833" i="26" s="1"/>
  <c r="D833" i="26"/>
  <c r="B833" i="26"/>
  <c r="L832" i="26"/>
  <c r="I832" i="26"/>
  <c r="F832" i="26"/>
  <c r="H832" i="26" s="1"/>
  <c r="E832" i="26"/>
  <c r="G832" i="26" s="1"/>
  <c r="D832" i="26"/>
  <c r="B832" i="26"/>
  <c r="L831" i="26"/>
  <c r="I831" i="26"/>
  <c r="F831" i="26"/>
  <c r="H831" i="26" s="1"/>
  <c r="E831" i="26"/>
  <c r="G831" i="26" s="1"/>
  <c r="D831" i="26"/>
  <c r="B831" i="26"/>
  <c r="L830" i="26"/>
  <c r="I830" i="26"/>
  <c r="F830" i="26"/>
  <c r="H830" i="26" s="1"/>
  <c r="E830" i="26"/>
  <c r="G830" i="26" s="1"/>
  <c r="D830" i="26"/>
  <c r="B830" i="26"/>
  <c r="L829" i="26"/>
  <c r="I829" i="26"/>
  <c r="F829" i="26"/>
  <c r="H829" i="26" s="1"/>
  <c r="E829" i="26"/>
  <c r="G829" i="26" s="1"/>
  <c r="D829" i="26"/>
  <c r="B829" i="26"/>
  <c r="L828" i="26"/>
  <c r="I828" i="26"/>
  <c r="F828" i="26"/>
  <c r="H828" i="26" s="1"/>
  <c r="E828" i="26"/>
  <c r="G828" i="26" s="1"/>
  <c r="D828" i="26"/>
  <c r="B828" i="26"/>
  <c r="L827" i="26"/>
  <c r="I827" i="26"/>
  <c r="F827" i="26"/>
  <c r="H827" i="26" s="1"/>
  <c r="E827" i="26"/>
  <c r="G827" i="26" s="1"/>
  <c r="D827" i="26"/>
  <c r="B827" i="26"/>
  <c r="L826" i="26"/>
  <c r="I826" i="26"/>
  <c r="K826" i="26" s="1"/>
  <c r="F826" i="26"/>
  <c r="H826" i="26" s="1"/>
  <c r="E826" i="26"/>
  <c r="G826" i="26" s="1"/>
  <c r="D826" i="26"/>
  <c r="B826" i="26"/>
  <c r="L825" i="26"/>
  <c r="I825" i="26"/>
  <c r="F825" i="26"/>
  <c r="H825" i="26" s="1"/>
  <c r="E825" i="26"/>
  <c r="G825" i="26" s="1"/>
  <c r="D825" i="26"/>
  <c r="B825" i="26"/>
  <c r="L824" i="26"/>
  <c r="I824" i="26"/>
  <c r="F824" i="26"/>
  <c r="H824" i="26" s="1"/>
  <c r="E824" i="26"/>
  <c r="G824" i="26" s="1"/>
  <c r="D824" i="26"/>
  <c r="B824" i="26"/>
  <c r="L823" i="26"/>
  <c r="I823" i="26"/>
  <c r="F823" i="26"/>
  <c r="H823" i="26" s="1"/>
  <c r="E823" i="26"/>
  <c r="G823" i="26" s="1"/>
  <c r="D823" i="26"/>
  <c r="B823" i="26"/>
  <c r="L822" i="26"/>
  <c r="I822" i="26"/>
  <c r="F822" i="26"/>
  <c r="H822" i="26" s="1"/>
  <c r="E822" i="26"/>
  <c r="G822" i="26" s="1"/>
  <c r="D822" i="26"/>
  <c r="B822" i="26"/>
  <c r="L821" i="26"/>
  <c r="I821" i="26"/>
  <c r="F821" i="26"/>
  <c r="H821" i="26" s="1"/>
  <c r="E821" i="26"/>
  <c r="G821" i="26" s="1"/>
  <c r="D821" i="26"/>
  <c r="B821" i="26"/>
  <c r="L820" i="26"/>
  <c r="I820" i="26"/>
  <c r="F820" i="26"/>
  <c r="H820" i="26" s="1"/>
  <c r="E820" i="26"/>
  <c r="G820" i="26" s="1"/>
  <c r="D820" i="26"/>
  <c r="B820" i="26"/>
  <c r="L819" i="26"/>
  <c r="I819" i="26"/>
  <c r="F819" i="26"/>
  <c r="H819" i="26" s="1"/>
  <c r="E819" i="26"/>
  <c r="G819" i="26" s="1"/>
  <c r="D819" i="26"/>
  <c r="B819" i="26"/>
  <c r="L818" i="26"/>
  <c r="I818" i="26"/>
  <c r="F818" i="26"/>
  <c r="H818" i="26" s="1"/>
  <c r="E818" i="26"/>
  <c r="G818" i="26" s="1"/>
  <c r="D818" i="26"/>
  <c r="B818" i="26"/>
  <c r="L817" i="26"/>
  <c r="I817" i="26"/>
  <c r="F817" i="26"/>
  <c r="H817" i="26" s="1"/>
  <c r="E817" i="26"/>
  <c r="G817" i="26" s="1"/>
  <c r="D817" i="26"/>
  <c r="B817" i="26"/>
  <c r="L816" i="26"/>
  <c r="I816" i="26"/>
  <c r="F816" i="26"/>
  <c r="H816" i="26" s="1"/>
  <c r="E816" i="26"/>
  <c r="G816" i="26" s="1"/>
  <c r="D816" i="26"/>
  <c r="B816" i="26"/>
  <c r="L815" i="26"/>
  <c r="I815" i="26"/>
  <c r="F815" i="26"/>
  <c r="H815" i="26" s="1"/>
  <c r="E815" i="26"/>
  <c r="G815" i="26" s="1"/>
  <c r="D815" i="26"/>
  <c r="B815" i="26"/>
  <c r="L814" i="26"/>
  <c r="I814" i="26"/>
  <c r="F814" i="26"/>
  <c r="H814" i="26" s="1"/>
  <c r="E814" i="26"/>
  <c r="G814" i="26" s="1"/>
  <c r="D814" i="26"/>
  <c r="B814" i="26"/>
  <c r="L813" i="26"/>
  <c r="I813" i="26"/>
  <c r="K813" i="26" s="1"/>
  <c r="F813" i="26"/>
  <c r="H813" i="26" s="1"/>
  <c r="E813" i="26"/>
  <c r="G813" i="26" s="1"/>
  <c r="D813" i="26"/>
  <c r="B813" i="26"/>
  <c r="L812" i="26"/>
  <c r="N812" i="26" s="1"/>
  <c r="I812" i="26"/>
  <c r="F812" i="26"/>
  <c r="H812" i="26" s="1"/>
  <c r="E812" i="26"/>
  <c r="G812" i="26" s="1"/>
  <c r="D812" i="26"/>
  <c r="B812" i="26"/>
  <c r="L811" i="26"/>
  <c r="I811" i="26"/>
  <c r="F811" i="26"/>
  <c r="H811" i="26" s="1"/>
  <c r="E811" i="26"/>
  <c r="G811" i="26" s="1"/>
  <c r="D811" i="26"/>
  <c r="B811" i="26"/>
  <c r="L810" i="26"/>
  <c r="I810" i="26"/>
  <c r="F810" i="26"/>
  <c r="H810" i="26" s="1"/>
  <c r="E810" i="26"/>
  <c r="G810" i="26" s="1"/>
  <c r="D810" i="26"/>
  <c r="B810" i="26"/>
  <c r="L809" i="26"/>
  <c r="I809" i="26"/>
  <c r="F809" i="26"/>
  <c r="H809" i="26" s="1"/>
  <c r="E809" i="26"/>
  <c r="G809" i="26" s="1"/>
  <c r="D809" i="26"/>
  <c r="B809" i="26"/>
  <c r="L808" i="26"/>
  <c r="I808" i="26"/>
  <c r="F808" i="26"/>
  <c r="H808" i="26" s="1"/>
  <c r="E808" i="26"/>
  <c r="G808" i="26" s="1"/>
  <c r="D808" i="26"/>
  <c r="B808" i="26"/>
  <c r="L807" i="26"/>
  <c r="I807" i="26"/>
  <c r="F807" i="26"/>
  <c r="H807" i="26" s="1"/>
  <c r="E807" i="26"/>
  <c r="G807" i="26" s="1"/>
  <c r="D807" i="26"/>
  <c r="B807" i="26"/>
  <c r="L806" i="26"/>
  <c r="I806" i="26"/>
  <c r="F806" i="26"/>
  <c r="H806" i="26" s="1"/>
  <c r="E806" i="26"/>
  <c r="G806" i="26" s="1"/>
  <c r="D806" i="26"/>
  <c r="B806" i="26"/>
  <c r="L805" i="26"/>
  <c r="I805" i="26"/>
  <c r="K805" i="26" s="1"/>
  <c r="F805" i="26"/>
  <c r="H805" i="26" s="1"/>
  <c r="E805" i="26"/>
  <c r="G805" i="26" s="1"/>
  <c r="D805" i="26"/>
  <c r="B805" i="26"/>
  <c r="L804" i="26"/>
  <c r="I804" i="26"/>
  <c r="F804" i="26"/>
  <c r="H804" i="26" s="1"/>
  <c r="E804" i="26"/>
  <c r="G804" i="26" s="1"/>
  <c r="D804" i="26"/>
  <c r="B804" i="26"/>
  <c r="L803" i="26"/>
  <c r="I803" i="26"/>
  <c r="F803" i="26"/>
  <c r="H803" i="26" s="1"/>
  <c r="E803" i="26"/>
  <c r="G803" i="26" s="1"/>
  <c r="D803" i="26"/>
  <c r="B803" i="26"/>
  <c r="L802" i="26"/>
  <c r="I802" i="26"/>
  <c r="F802" i="26"/>
  <c r="H802" i="26" s="1"/>
  <c r="E802" i="26"/>
  <c r="G802" i="26" s="1"/>
  <c r="D802" i="26"/>
  <c r="B802" i="26"/>
  <c r="L801" i="26"/>
  <c r="I801" i="26"/>
  <c r="F801" i="26"/>
  <c r="H801" i="26" s="1"/>
  <c r="E801" i="26"/>
  <c r="G801" i="26" s="1"/>
  <c r="D801" i="26"/>
  <c r="B801" i="26"/>
  <c r="L800" i="26"/>
  <c r="I800" i="26"/>
  <c r="F800" i="26"/>
  <c r="H800" i="26" s="1"/>
  <c r="E800" i="26"/>
  <c r="G800" i="26" s="1"/>
  <c r="D800" i="26"/>
  <c r="B800" i="26"/>
  <c r="L799" i="26"/>
  <c r="I799" i="26"/>
  <c r="K799" i="26" s="1"/>
  <c r="F799" i="26"/>
  <c r="H799" i="26" s="1"/>
  <c r="E799" i="26"/>
  <c r="G799" i="26" s="1"/>
  <c r="D799" i="26"/>
  <c r="B799" i="26"/>
  <c r="L798" i="26"/>
  <c r="I798" i="26"/>
  <c r="F798" i="26"/>
  <c r="H798" i="26" s="1"/>
  <c r="E798" i="26"/>
  <c r="G798" i="26" s="1"/>
  <c r="D798" i="26"/>
  <c r="B798" i="26"/>
  <c r="L797" i="26"/>
  <c r="I797" i="26"/>
  <c r="K797" i="26" s="1"/>
  <c r="F797" i="26"/>
  <c r="H797" i="26" s="1"/>
  <c r="E797" i="26"/>
  <c r="G797" i="26" s="1"/>
  <c r="D797" i="26"/>
  <c r="B797" i="26"/>
  <c r="L796" i="26"/>
  <c r="I796" i="26"/>
  <c r="F796" i="26"/>
  <c r="H796" i="26" s="1"/>
  <c r="E796" i="26"/>
  <c r="G796" i="26" s="1"/>
  <c r="D796" i="26"/>
  <c r="B796" i="26"/>
  <c r="L795" i="26"/>
  <c r="I795" i="26"/>
  <c r="F795" i="26"/>
  <c r="H795" i="26" s="1"/>
  <c r="E795" i="26"/>
  <c r="G795" i="26" s="1"/>
  <c r="D795" i="26"/>
  <c r="B795" i="26"/>
  <c r="L794" i="26"/>
  <c r="I794" i="26"/>
  <c r="F794" i="26"/>
  <c r="H794" i="26" s="1"/>
  <c r="E794" i="26"/>
  <c r="G794" i="26" s="1"/>
  <c r="D794" i="26"/>
  <c r="B794" i="26"/>
  <c r="L793" i="26"/>
  <c r="I793" i="26"/>
  <c r="F793" i="26"/>
  <c r="H793" i="26" s="1"/>
  <c r="E793" i="26"/>
  <c r="G793" i="26" s="1"/>
  <c r="D793" i="26"/>
  <c r="B793" i="26"/>
  <c r="L792" i="26"/>
  <c r="I792" i="26"/>
  <c r="F792" i="26"/>
  <c r="H792" i="26" s="1"/>
  <c r="E792" i="26"/>
  <c r="G792" i="26" s="1"/>
  <c r="D792" i="26"/>
  <c r="B792" i="26"/>
  <c r="L791" i="26"/>
  <c r="I791" i="26"/>
  <c r="F791" i="26"/>
  <c r="H791" i="26" s="1"/>
  <c r="E791" i="26"/>
  <c r="G791" i="26" s="1"/>
  <c r="D791" i="26"/>
  <c r="B791" i="26"/>
  <c r="L790" i="26"/>
  <c r="I790" i="26"/>
  <c r="F790" i="26"/>
  <c r="H790" i="26" s="1"/>
  <c r="E790" i="26"/>
  <c r="G790" i="26" s="1"/>
  <c r="D790" i="26"/>
  <c r="B790" i="26"/>
  <c r="L789" i="26"/>
  <c r="N789" i="26" s="1"/>
  <c r="I789" i="26"/>
  <c r="F789" i="26"/>
  <c r="H789" i="26" s="1"/>
  <c r="E789" i="26"/>
  <c r="G789" i="26" s="1"/>
  <c r="D789" i="26"/>
  <c r="B789" i="26"/>
  <c r="L788" i="26"/>
  <c r="I788" i="26"/>
  <c r="F788" i="26"/>
  <c r="H788" i="26" s="1"/>
  <c r="E788" i="26"/>
  <c r="G788" i="26" s="1"/>
  <c r="D788" i="26"/>
  <c r="B788" i="26"/>
  <c r="L787" i="26"/>
  <c r="I787" i="26"/>
  <c r="F787" i="26"/>
  <c r="H787" i="26" s="1"/>
  <c r="E787" i="26"/>
  <c r="G787" i="26" s="1"/>
  <c r="D787" i="26"/>
  <c r="B787" i="26"/>
  <c r="L786" i="26"/>
  <c r="I786" i="26"/>
  <c r="F786" i="26"/>
  <c r="H786" i="26" s="1"/>
  <c r="E786" i="26"/>
  <c r="G786" i="26" s="1"/>
  <c r="D786" i="26"/>
  <c r="B786" i="26"/>
  <c r="L785" i="26"/>
  <c r="I785" i="26"/>
  <c r="F785" i="26"/>
  <c r="H785" i="26" s="1"/>
  <c r="E785" i="26"/>
  <c r="G785" i="26" s="1"/>
  <c r="D785" i="26"/>
  <c r="B785" i="26"/>
  <c r="L784" i="26"/>
  <c r="I784" i="26"/>
  <c r="F784" i="26"/>
  <c r="H784" i="26" s="1"/>
  <c r="E784" i="26"/>
  <c r="G784" i="26" s="1"/>
  <c r="D784" i="26"/>
  <c r="B784" i="26"/>
  <c r="L783" i="26"/>
  <c r="I783" i="26"/>
  <c r="F783" i="26"/>
  <c r="H783" i="26" s="1"/>
  <c r="E783" i="26"/>
  <c r="G783" i="26" s="1"/>
  <c r="D783" i="26"/>
  <c r="B783" i="26"/>
  <c r="L782" i="26"/>
  <c r="I782" i="26"/>
  <c r="F782" i="26"/>
  <c r="H782" i="26" s="1"/>
  <c r="E782" i="26"/>
  <c r="G782" i="26" s="1"/>
  <c r="D782" i="26"/>
  <c r="B782" i="26"/>
  <c r="L781" i="26"/>
  <c r="I781" i="26"/>
  <c r="F781" i="26"/>
  <c r="H781" i="26" s="1"/>
  <c r="E781" i="26"/>
  <c r="G781" i="26" s="1"/>
  <c r="D781" i="26"/>
  <c r="B781" i="26"/>
  <c r="L780" i="26"/>
  <c r="I780" i="26"/>
  <c r="F780" i="26"/>
  <c r="H780" i="26" s="1"/>
  <c r="E780" i="26"/>
  <c r="G780" i="26" s="1"/>
  <c r="D780" i="26"/>
  <c r="B780" i="26"/>
  <c r="L779" i="26"/>
  <c r="I779" i="26"/>
  <c r="F779" i="26"/>
  <c r="H779" i="26" s="1"/>
  <c r="E779" i="26"/>
  <c r="G779" i="26" s="1"/>
  <c r="D779" i="26"/>
  <c r="B779" i="26"/>
  <c r="L778" i="26"/>
  <c r="I778" i="26"/>
  <c r="F778" i="26"/>
  <c r="H778" i="26" s="1"/>
  <c r="E778" i="26"/>
  <c r="G778" i="26" s="1"/>
  <c r="D778" i="26"/>
  <c r="B778" i="26"/>
  <c r="L777" i="26"/>
  <c r="N777" i="26" s="1"/>
  <c r="I777" i="26"/>
  <c r="F777" i="26"/>
  <c r="H777" i="26" s="1"/>
  <c r="E777" i="26"/>
  <c r="G777" i="26" s="1"/>
  <c r="D777" i="26"/>
  <c r="B777" i="26"/>
  <c r="L776" i="26"/>
  <c r="I776" i="26"/>
  <c r="F776" i="26"/>
  <c r="H776" i="26" s="1"/>
  <c r="E776" i="26"/>
  <c r="G776" i="26" s="1"/>
  <c r="D776" i="26"/>
  <c r="B776" i="26"/>
  <c r="L775" i="26"/>
  <c r="I775" i="26"/>
  <c r="F775" i="26"/>
  <c r="H775" i="26" s="1"/>
  <c r="E775" i="26"/>
  <c r="G775" i="26" s="1"/>
  <c r="D775" i="26"/>
  <c r="B775" i="26"/>
  <c r="L774" i="26"/>
  <c r="I774" i="26"/>
  <c r="F774" i="26"/>
  <c r="H774" i="26" s="1"/>
  <c r="E774" i="26"/>
  <c r="G774" i="26" s="1"/>
  <c r="D774" i="26"/>
  <c r="B774" i="26"/>
  <c r="L773" i="26"/>
  <c r="I773" i="26"/>
  <c r="F773" i="26"/>
  <c r="H773" i="26" s="1"/>
  <c r="E773" i="26"/>
  <c r="G773" i="26" s="1"/>
  <c r="D773" i="26"/>
  <c r="B773" i="26"/>
  <c r="L772" i="26"/>
  <c r="I772" i="26"/>
  <c r="F772" i="26"/>
  <c r="H772" i="26" s="1"/>
  <c r="E772" i="26"/>
  <c r="G772" i="26" s="1"/>
  <c r="D772" i="26"/>
  <c r="B772" i="26"/>
  <c r="L771" i="26"/>
  <c r="I771" i="26"/>
  <c r="F771" i="26"/>
  <c r="H771" i="26" s="1"/>
  <c r="E771" i="26"/>
  <c r="G771" i="26" s="1"/>
  <c r="D771" i="26"/>
  <c r="B771" i="26"/>
  <c r="L770" i="26"/>
  <c r="I770" i="26"/>
  <c r="F770" i="26"/>
  <c r="H770" i="26" s="1"/>
  <c r="E770" i="26"/>
  <c r="G770" i="26" s="1"/>
  <c r="D770" i="26"/>
  <c r="B770" i="26"/>
  <c r="L769" i="26"/>
  <c r="I769" i="26"/>
  <c r="K769" i="26" s="1"/>
  <c r="F769" i="26"/>
  <c r="H769" i="26" s="1"/>
  <c r="E769" i="26"/>
  <c r="G769" i="26" s="1"/>
  <c r="D769" i="26"/>
  <c r="B769" i="26"/>
  <c r="L768" i="26"/>
  <c r="I768" i="26"/>
  <c r="F768" i="26"/>
  <c r="H768" i="26" s="1"/>
  <c r="E768" i="26"/>
  <c r="G768" i="26" s="1"/>
  <c r="D768" i="26"/>
  <c r="B768" i="26"/>
  <c r="L767" i="26"/>
  <c r="N767" i="26" s="1"/>
  <c r="I767" i="26"/>
  <c r="F767" i="26"/>
  <c r="H767" i="26" s="1"/>
  <c r="E767" i="26"/>
  <c r="G767" i="26" s="1"/>
  <c r="D767" i="26"/>
  <c r="B767" i="26"/>
  <c r="L766" i="26"/>
  <c r="I766" i="26"/>
  <c r="F766" i="26"/>
  <c r="H766" i="26" s="1"/>
  <c r="E766" i="26"/>
  <c r="G766" i="26" s="1"/>
  <c r="D766" i="26"/>
  <c r="B766" i="26"/>
  <c r="L765" i="26"/>
  <c r="I765" i="26"/>
  <c r="F765" i="26"/>
  <c r="H765" i="26" s="1"/>
  <c r="E765" i="26"/>
  <c r="G765" i="26" s="1"/>
  <c r="D765" i="26"/>
  <c r="B765" i="26"/>
  <c r="L764" i="26"/>
  <c r="I764" i="26"/>
  <c r="F764" i="26"/>
  <c r="H764" i="26" s="1"/>
  <c r="E764" i="26"/>
  <c r="G764" i="26" s="1"/>
  <c r="D764" i="26"/>
  <c r="B764" i="26"/>
  <c r="L763" i="26"/>
  <c r="I763" i="26"/>
  <c r="F763" i="26"/>
  <c r="H763" i="26" s="1"/>
  <c r="E763" i="26"/>
  <c r="G763" i="26" s="1"/>
  <c r="D763" i="26"/>
  <c r="B763" i="26"/>
  <c r="L762" i="26"/>
  <c r="I762" i="26"/>
  <c r="F762" i="26"/>
  <c r="H762" i="26" s="1"/>
  <c r="E762" i="26"/>
  <c r="G762" i="26" s="1"/>
  <c r="D762" i="26"/>
  <c r="B762" i="26"/>
  <c r="L761" i="26"/>
  <c r="I761" i="26"/>
  <c r="F761" i="26"/>
  <c r="H761" i="26" s="1"/>
  <c r="E761" i="26"/>
  <c r="G761" i="26" s="1"/>
  <c r="D761" i="26"/>
  <c r="B761" i="26"/>
  <c r="L760" i="26"/>
  <c r="I760" i="26"/>
  <c r="F760" i="26"/>
  <c r="H760" i="26" s="1"/>
  <c r="E760" i="26"/>
  <c r="G760" i="26" s="1"/>
  <c r="D760" i="26"/>
  <c r="B760" i="26"/>
  <c r="L759" i="26"/>
  <c r="I759" i="26"/>
  <c r="F759" i="26"/>
  <c r="H759" i="26" s="1"/>
  <c r="E759" i="26"/>
  <c r="G759" i="26" s="1"/>
  <c r="D759" i="26"/>
  <c r="B759" i="26"/>
  <c r="L758" i="26"/>
  <c r="I758" i="26"/>
  <c r="F758" i="26"/>
  <c r="H758" i="26" s="1"/>
  <c r="E758" i="26"/>
  <c r="G758" i="26" s="1"/>
  <c r="D758" i="26"/>
  <c r="B758" i="26"/>
  <c r="L757" i="26"/>
  <c r="N757" i="26" s="1"/>
  <c r="I757" i="26"/>
  <c r="K757" i="26" s="1"/>
  <c r="F757" i="26"/>
  <c r="H757" i="26" s="1"/>
  <c r="E757" i="26"/>
  <c r="G757" i="26" s="1"/>
  <c r="D757" i="26"/>
  <c r="B757" i="26"/>
  <c r="L756" i="26"/>
  <c r="I756" i="26"/>
  <c r="F756" i="26"/>
  <c r="H756" i="26" s="1"/>
  <c r="E756" i="26"/>
  <c r="G756" i="26" s="1"/>
  <c r="D756" i="26"/>
  <c r="B756" i="26"/>
  <c r="L755" i="26"/>
  <c r="I755" i="26"/>
  <c r="F755" i="26"/>
  <c r="H755" i="26" s="1"/>
  <c r="E755" i="26"/>
  <c r="G755" i="26" s="1"/>
  <c r="D755" i="26"/>
  <c r="B755" i="26"/>
  <c r="L754" i="26"/>
  <c r="I754" i="26"/>
  <c r="F754" i="26"/>
  <c r="H754" i="26" s="1"/>
  <c r="E754" i="26"/>
  <c r="G754" i="26" s="1"/>
  <c r="D754" i="26"/>
  <c r="B754" i="26"/>
  <c r="L753" i="26"/>
  <c r="I753" i="26"/>
  <c r="F753" i="26"/>
  <c r="H753" i="26" s="1"/>
  <c r="E753" i="26"/>
  <c r="G753" i="26" s="1"/>
  <c r="D753" i="26"/>
  <c r="B753" i="26"/>
  <c r="L752" i="26"/>
  <c r="I752" i="26"/>
  <c r="F752" i="26"/>
  <c r="H752" i="26" s="1"/>
  <c r="E752" i="26"/>
  <c r="G752" i="26" s="1"/>
  <c r="D752" i="26"/>
  <c r="B752" i="26"/>
  <c r="L751" i="26"/>
  <c r="I751" i="26"/>
  <c r="F751" i="26"/>
  <c r="H751" i="26" s="1"/>
  <c r="E751" i="26"/>
  <c r="G751" i="26" s="1"/>
  <c r="D751" i="26"/>
  <c r="B751" i="26"/>
  <c r="L750" i="26"/>
  <c r="I750" i="26"/>
  <c r="F750" i="26"/>
  <c r="H750" i="26" s="1"/>
  <c r="E750" i="26"/>
  <c r="G750" i="26" s="1"/>
  <c r="D750" i="26"/>
  <c r="B750" i="26"/>
  <c r="L749" i="26"/>
  <c r="I749" i="26"/>
  <c r="F749" i="26"/>
  <c r="H749" i="26" s="1"/>
  <c r="E749" i="26"/>
  <c r="G749" i="26" s="1"/>
  <c r="D749" i="26"/>
  <c r="B749" i="26"/>
  <c r="L748" i="26"/>
  <c r="I748" i="26"/>
  <c r="F748" i="26"/>
  <c r="H748" i="26" s="1"/>
  <c r="E748" i="26"/>
  <c r="G748" i="26" s="1"/>
  <c r="D748" i="26"/>
  <c r="B748" i="26"/>
  <c r="L747" i="26"/>
  <c r="I747" i="26"/>
  <c r="F747" i="26"/>
  <c r="H747" i="26" s="1"/>
  <c r="E747" i="26"/>
  <c r="G747" i="26" s="1"/>
  <c r="D747" i="26"/>
  <c r="B747" i="26"/>
  <c r="L746" i="26"/>
  <c r="I746" i="26"/>
  <c r="F746" i="26"/>
  <c r="H746" i="26" s="1"/>
  <c r="E746" i="26"/>
  <c r="G746" i="26" s="1"/>
  <c r="D746" i="26"/>
  <c r="B746" i="26"/>
  <c r="L745" i="26"/>
  <c r="I745" i="26"/>
  <c r="F745" i="26"/>
  <c r="H745" i="26" s="1"/>
  <c r="E745" i="26"/>
  <c r="G745" i="26" s="1"/>
  <c r="D745" i="26"/>
  <c r="B745" i="26"/>
  <c r="L744" i="26"/>
  <c r="I744" i="26"/>
  <c r="F744" i="26"/>
  <c r="H744" i="26" s="1"/>
  <c r="E744" i="26"/>
  <c r="G744" i="26" s="1"/>
  <c r="D744" i="26"/>
  <c r="B744" i="26"/>
  <c r="L743" i="26"/>
  <c r="N743" i="26" s="1"/>
  <c r="I743" i="26"/>
  <c r="F743" i="26"/>
  <c r="H743" i="26" s="1"/>
  <c r="E743" i="26"/>
  <c r="G743" i="26" s="1"/>
  <c r="D743" i="26"/>
  <c r="B743" i="26"/>
  <c r="L742" i="26"/>
  <c r="I742" i="26"/>
  <c r="F742" i="26"/>
  <c r="H742" i="26" s="1"/>
  <c r="E742" i="26"/>
  <c r="G742" i="26" s="1"/>
  <c r="D742" i="26"/>
  <c r="B742" i="26"/>
  <c r="L741" i="26"/>
  <c r="I741" i="26"/>
  <c r="F741" i="26"/>
  <c r="H741" i="26" s="1"/>
  <c r="E741" i="26"/>
  <c r="G741" i="26" s="1"/>
  <c r="D741" i="26"/>
  <c r="B741" i="26"/>
  <c r="L740" i="26"/>
  <c r="I740" i="26"/>
  <c r="F740" i="26"/>
  <c r="H740" i="26" s="1"/>
  <c r="E740" i="26"/>
  <c r="G740" i="26" s="1"/>
  <c r="D740" i="26"/>
  <c r="B740" i="26"/>
  <c r="L739" i="26"/>
  <c r="I739" i="26"/>
  <c r="F739" i="26"/>
  <c r="H739" i="26" s="1"/>
  <c r="E739" i="26"/>
  <c r="G739" i="26" s="1"/>
  <c r="D739" i="26"/>
  <c r="B739" i="26"/>
  <c r="L738" i="26"/>
  <c r="I738" i="26"/>
  <c r="F738" i="26"/>
  <c r="H738" i="26" s="1"/>
  <c r="E738" i="26"/>
  <c r="G738" i="26" s="1"/>
  <c r="D738" i="26"/>
  <c r="B738" i="26"/>
  <c r="L737" i="26"/>
  <c r="I737" i="26"/>
  <c r="F737" i="26"/>
  <c r="H737" i="26" s="1"/>
  <c r="E737" i="26"/>
  <c r="G737" i="26" s="1"/>
  <c r="D737" i="26"/>
  <c r="B737" i="26"/>
  <c r="L736" i="26"/>
  <c r="I736" i="26"/>
  <c r="F736" i="26"/>
  <c r="H736" i="26" s="1"/>
  <c r="E736" i="26"/>
  <c r="G736" i="26" s="1"/>
  <c r="D736" i="26"/>
  <c r="B736" i="26"/>
  <c r="L735" i="26"/>
  <c r="I735" i="26"/>
  <c r="F735" i="26"/>
  <c r="H735" i="26" s="1"/>
  <c r="E735" i="26"/>
  <c r="G735" i="26" s="1"/>
  <c r="D735" i="26"/>
  <c r="B735" i="26"/>
  <c r="L734" i="26"/>
  <c r="I734" i="26"/>
  <c r="F734" i="26"/>
  <c r="H734" i="26" s="1"/>
  <c r="E734" i="26"/>
  <c r="G734" i="26" s="1"/>
  <c r="D734" i="26"/>
  <c r="B734" i="26"/>
  <c r="L733" i="26"/>
  <c r="I733" i="26"/>
  <c r="F733" i="26"/>
  <c r="H733" i="26" s="1"/>
  <c r="E733" i="26"/>
  <c r="G733" i="26" s="1"/>
  <c r="D733" i="26"/>
  <c r="B733" i="26"/>
  <c r="L732" i="26"/>
  <c r="I732" i="26"/>
  <c r="F732" i="26"/>
  <c r="H732" i="26" s="1"/>
  <c r="E732" i="26"/>
  <c r="G732" i="26" s="1"/>
  <c r="D732" i="26"/>
  <c r="B732" i="26"/>
  <c r="L731" i="26"/>
  <c r="I731" i="26"/>
  <c r="F731" i="26"/>
  <c r="H731" i="26" s="1"/>
  <c r="E731" i="26"/>
  <c r="G731" i="26" s="1"/>
  <c r="D731" i="26"/>
  <c r="B731" i="26"/>
  <c r="L730" i="26"/>
  <c r="I730" i="26"/>
  <c r="F730" i="26"/>
  <c r="H730" i="26" s="1"/>
  <c r="E730" i="26"/>
  <c r="G730" i="26" s="1"/>
  <c r="D730" i="26"/>
  <c r="B730" i="26"/>
  <c r="L729" i="26"/>
  <c r="I729" i="26"/>
  <c r="F729" i="26"/>
  <c r="H729" i="26" s="1"/>
  <c r="E729" i="26"/>
  <c r="G729" i="26" s="1"/>
  <c r="D729" i="26"/>
  <c r="B729" i="26"/>
  <c r="L728" i="26"/>
  <c r="I728" i="26"/>
  <c r="F728" i="26"/>
  <c r="H728" i="26" s="1"/>
  <c r="E728" i="26"/>
  <c r="G728" i="26" s="1"/>
  <c r="D728" i="26"/>
  <c r="B728" i="26"/>
  <c r="L727" i="26"/>
  <c r="I727" i="26"/>
  <c r="F727" i="26"/>
  <c r="H727" i="26" s="1"/>
  <c r="E727" i="26"/>
  <c r="G727" i="26" s="1"/>
  <c r="D727" i="26"/>
  <c r="B727" i="26"/>
  <c r="L726" i="26"/>
  <c r="I726" i="26"/>
  <c r="F726" i="26"/>
  <c r="H726" i="26" s="1"/>
  <c r="E726" i="26"/>
  <c r="G726" i="26" s="1"/>
  <c r="D726" i="26"/>
  <c r="B726" i="26"/>
  <c r="L725" i="26"/>
  <c r="I725" i="26"/>
  <c r="F725" i="26"/>
  <c r="H725" i="26" s="1"/>
  <c r="E725" i="26"/>
  <c r="G725" i="26" s="1"/>
  <c r="D725" i="26"/>
  <c r="B725" i="26"/>
  <c r="L724" i="26"/>
  <c r="I724" i="26"/>
  <c r="F724" i="26"/>
  <c r="H724" i="26" s="1"/>
  <c r="E724" i="26"/>
  <c r="G724" i="26" s="1"/>
  <c r="D724" i="26"/>
  <c r="B724" i="26"/>
  <c r="L723" i="26"/>
  <c r="I723" i="26"/>
  <c r="F723" i="26"/>
  <c r="H723" i="26" s="1"/>
  <c r="E723" i="26"/>
  <c r="G723" i="26" s="1"/>
  <c r="D723" i="26"/>
  <c r="B723" i="26"/>
  <c r="L722" i="26"/>
  <c r="I722" i="26"/>
  <c r="F722" i="26"/>
  <c r="H722" i="26" s="1"/>
  <c r="E722" i="26"/>
  <c r="G722" i="26" s="1"/>
  <c r="D722" i="26"/>
  <c r="B722" i="26"/>
  <c r="L721" i="26"/>
  <c r="I721" i="26"/>
  <c r="F721" i="26"/>
  <c r="H721" i="26" s="1"/>
  <c r="E721" i="26"/>
  <c r="G721" i="26" s="1"/>
  <c r="D721" i="26"/>
  <c r="B721" i="26"/>
  <c r="L720" i="26"/>
  <c r="I720" i="26"/>
  <c r="F720" i="26"/>
  <c r="H720" i="26" s="1"/>
  <c r="E720" i="26"/>
  <c r="G720" i="26" s="1"/>
  <c r="D720" i="26"/>
  <c r="B720" i="26"/>
  <c r="L719" i="26"/>
  <c r="I719" i="26"/>
  <c r="F719" i="26"/>
  <c r="H719" i="26" s="1"/>
  <c r="E719" i="26"/>
  <c r="G719" i="26" s="1"/>
  <c r="D719" i="26"/>
  <c r="B719" i="26"/>
  <c r="L718" i="26"/>
  <c r="I718" i="26"/>
  <c r="F718" i="26"/>
  <c r="H718" i="26" s="1"/>
  <c r="E718" i="26"/>
  <c r="G718" i="26" s="1"/>
  <c r="D718" i="26"/>
  <c r="B718" i="26"/>
  <c r="L717" i="26"/>
  <c r="I717" i="26"/>
  <c r="F717" i="26"/>
  <c r="H717" i="26" s="1"/>
  <c r="E717" i="26"/>
  <c r="G717" i="26" s="1"/>
  <c r="D717" i="26"/>
  <c r="B717" i="26"/>
  <c r="L716" i="26"/>
  <c r="I716" i="26"/>
  <c r="F716" i="26"/>
  <c r="H716" i="26" s="1"/>
  <c r="E716" i="26"/>
  <c r="G716" i="26" s="1"/>
  <c r="D716" i="26"/>
  <c r="B716" i="26"/>
  <c r="L715" i="26"/>
  <c r="I715" i="26"/>
  <c r="F715" i="26"/>
  <c r="H715" i="26" s="1"/>
  <c r="E715" i="26"/>
  <c r="G715" i="26" s="1"/>
  <c r="D715" i="26"/>
  <c r="B715" i="26"/>
  <c r="L714" i="26"/>
  <c r="I714" i="26"/>
  <c r="F714" i="26"/>
  <c r="H714" i="26" s="1"/>
  <c r="E714" i="26"/>
  <c r="G714" i="26" s="1"/>
  <c r="D714" i="26"/>
  <c r="B714" i="26"/>
  <c r="L713" i="26"/>
  <c r="I713" i="26"/>
  <c r="F713" i="26"/>
  <c r="H713" i="26" s="1"/>
  <c r="E713" i="26"/>
  <c r="G713" i="26" s="1"/>
  <c r="D713" i="26"/>
  <c r="B713" i="26"/>
  <c r="L712" i="26"/>
  <c r="I712" i="26"/>
  <c r="F712" i="26"/>
  <c r="H712" i="26" s="1"/>
  <c r="E712" i="26"/>
  <c r="G712" i="26" s="1"/>
  <c r="D712" i="26"/>
  <c r="B712" i="26"/>
  <c r="L711" i="26"/>
  <c r="I711" i="26"/>
  <c r="F711" i="26"/>
  <c r="H711" i="26" s="1"/>
  <c r="E711" i="26"/>
  <c r="G711" i="26" s="1"/>
  <c r="D711" i="26"/>
  <c r="B711" i="26"/>
  <c r="L710" i="26"/>
  <c r="I710" i="26"/>
  <c r="F710" i="26"/>
  <c r="H710" i="26" s="1"/>
  <c r="E710" i="26"/>
  <c r="G710" i="26" s="1"/>
  <c r="D710" i="26"/>
  <c r="B710" i="26"/>
  <c r="L709" i="26"/>
  <c r="I709" i="26"/>
  <c r="F709" i="26"/>
  <c r="H709" i="26" s="1"/>
  <c r="E709" i="26"/>
  <c r="G709" i="26" s="1"/>
  <c r="D709" i="26"/>
  <c r="B709" i="26"/>
  <c r="L708" i="26"/>
  <c r="I708" i="26"/>
  <c r="F708" i="26"/>
  <c r="H708" i="26" s="1"/>
  <c r="E708" i="26"/>
  <c r="G708" i="26" s="1"/>
  <c r="D708" i="26"/>
  <c r="B708" i="26"/>
  <c r="L707" i="26"/>
  <c r="I707" i="26"/>
  <c r="F707" i="26"/>
  <c r="H707" i="26" s="1"/>
  <c r="E707" i="26"/>
  <c r="G707" i="26" s="1"/>
  <c r="D707" i="26"/>
  <c r="B707" i="26"/>
  <c r="L706" i="26"/>
  <c r="I706" i="26"/>
  <c r="F706" i="26"/>
  <c r="H706" i="26" s="1"/>
  <c r="E706" i="26"/>
  <c r="G706" i="26" s="1"/>
  <c r="D706" i="26"/>
  <c r="B706" i="26"/>
  <c r="L705" i="26"/>
  <c r="I705" i="26"/>
  <c r="F705" i="26"/>
  <c r="H705" i="26" s="1"/>
  <c r="E705" i="26"/>
  <c r="G705" i="26" s="1"/>
  <c r="D705" i="26"/>
  <c r="B705" i="26"/>
  <c r="L704" i="26"/>
  <c r="I704" i="26"/>
  <c r="F704" i="26"/>
  <c r="H704" i="26" s="1"/>
  <c r="E704" i="26"/>
  <c r="G704" i="26" s="1"/>
  <c r="D704" i="26"/>
  <c r="B704" i="26"/>
  <c r="L703" i="26"/>
  <c r="I703" i="26"/>
  <c r="F703" i="26"/>
  <c r="H703" i="26" s="1"/>
  <c r="E703" i="26"/>
  <c r="G703" i="26" s="1"/>
  <c r="D703" i="26"/>
  <c r="B703" i="26"/>
  <c r="L702" i="26"/>
  <c r="I702" i="26"/>
  <c r="F702" i="26"/>
  <c r="H702" i="26" s="1"/>
  <c r="E702" i="26"/>
  <c r="G702" i="26" s="1"/>
  <c r="D702" i="26"/>
  <c r="B702" i="26"/>
  <c r="L701" i="26"/>
  <c r="I701" i="26"/>
  <c r="F701" i="26"/>
  <c r="H701" i="26" s="1"/>
  <c r="E701" i="26"/>
  <c r="G701" i="26" s="1"/>
  <c r="D701" i="26"/>
  <c r="B701" i="26"/>
  <c r="L700" i="26"/>
  <c r="I700" i="26"/>
  <c r="F700" i="26"/>
  <c r="H700" i="26" s="1"/>
  <c r="E700" i="26"/>
  <c r="G700" i="26" s="1"/>
  <c r="D700" i="26"/>
  <c r="B700" i="26"/>
  <c r="L699" i="26"/>
  <c r="I699" i="26"/>
  <c r="F699" i="26"/>
  <c r="H699" i="26" s="1"/>
  <c r="E699" i="26"/>
  <c r="G699" i="26" s="1"/>
  <c r="D699" i="26"/>
  <c r="B699" i="26"/>
  <c r="L698" i="26"/>
  <c r="I698" i="26"/>
  <c r="F698" i="26"/>
  <c r="H698" i="26" s="1"/>
  <c r="E698" i="26"/>
  <c r="G698" i="26" s="1"/>
  <c r="D698" i="26"/>
  <c r="B698" i="26"/>
  <c r="L697" i="26"/>
  <c r="I697" i="26"/>
  <c r="F697" i="26"/>
  <c r="H697" i="26" s="1"/>
  <c r="E697" i="26"/>
  <c r="G697" i="26" s="1"/>
  <c r="D697" i="26"/>
  <c r="B697" i="26"/>
  <c r="L696" i="26"/>
  <c r="I696" i="26"/>
  <c r="F696" i="26"/>
  <c r="H696" i="26" s="1"/>
  <c r="E696" i="26"/>
  <c r="G696" i="26" s="1"/>
  <c r="D696" i="26"/>
  <c r="B696" i="26"/>
  <c r="L695" i="26"/>
  <c r="I695" i="26"/>
  <c r="F695" i="26"/>
  <c r="H695" i="26" s="1"/>
  <c r="E695" i="26"/>
  <c r="G695" i="26" s="1"/>
  <c r="D695" i="26"/>
  <c r="B695" i="26"/>
  <c r="L694" i="26"/>
  <c r="I694" i="26"/>
  <c r="F694" i="26"/>
  <c r="H694" i="26" s="1"/>
  <c r="E694" i="26"/>
  <c r="G694" i="26" s="1"/>
  <c r="D694" i="26"/>
  <c r="B694" i="26"/>
  <c r="L693" i="26"/>
  <c r="I693" i="26"/>
  <c r="F693" i="26"/>
  <c r="H693" i="26" s="1"/>
  <c r="E693" i="26"/>
  <c r="G693" i="26" s="1"/>
  <c r="D693" i="26"/>
  <c r="B693" i="26"/>
  <c r="L692" i="26"/>
  <c r="I692" i="26"/>
  <c r="F692" i="26"/>
  <c r="H692" i="26" s="1"/>
  <c r="E692" i="26"/>
  <c r="G692" i="26" s="1"/>
  <c r="D692" i="26"/>
  <c r="B692" i="26"/>
  <c r="L691" i="26"/>
  <c r="I691" i="26"/>
  <c r="F691" i="26"/>
  <c r="H691" i="26" s="1"/>
  <c r="E691" i="26"/>
  <c r="G691" i="26" s="1"/>
  <c r="D691" i="26"/>
  <c r="B691" i="26"/>
  <c r="L690" i="26"/>
  <c r="I690" i="26"/>
  <c r="F690" i="26"/>
  <c r="H690" i="26" s="1"/>
  <c r="E690" i="26"/>
  <c r="G690" i="26" s="1"/>
  <c r="D690" i="26"/>
  <c r="B690" i="26"/>
  <c r="L689" i="26"/>
  <c r="I689" i="26"/>
  <c r="F689" i="26"/>
  <c r="H689" i="26" s="1"/>
  <c r="E689" i="26"/>
  <c r="G689" i="26" s="1"/>
  <c r="D689" i="26"/>
  <c r="B689" i="26"/>
  <c r="L688" i="26"/>
  <c r="I688" i="26"/>
  <c r="F688" i="26"/>
  <c r="H688" i="26" s="1"/>
  <c r="E688" i="26"/>
  <c r="G688" i="26" s="1"/>
  <c r="D688" i="26"/>
  <c r="B688" i="26"/>
  <c r="L687" i="26"/>
  <c r="I687" i="26"/>
  <c r="F687" i="26"/>
  <c r="H687" i="26" s="1"/>
  <c r="E687" i="26"/>
  <c r="G687" i="26" s="1"/>
  <c r="D687" i="26"/>
  <c r="B687" i="26"/>
  <c r="L686" i="26"/>
  <c r="I686" i="26"/>
  <c r="F686" i="26"/>
  <c r="H686" i="26" s="1"/>
  <c r="E686" i="26"/>
  <c r="G686" i="26" s="1"/>
  <c r="D686" i="26"/>
  <c r="B686" i="26"/>
  <c r="L685" i="26"/>
  <c r="I685" i="26"/>
  <c r="F685" i="26"/>
  <c r="H685" i="26" s="1"/>
  <c r="E685" i="26"/>
  <c r="G685" i="26" s="1"/>
  <c r="D685" i="26"/>
  <c r="B685" i="26"/>
  <c r="L684" i="26"/>
  <c r="I684" i="26"/>
  <c r="F684" i="26"/>
  <c r="H684" i="26" s="1"/>
  <c r="E684" i="26"/>
  <c r="G684" i="26" s="1"/>
  <c r="D684" i="26"/>
  <c r="B684" i="26"/>
  <c r="L683" i="26"/>
  <c r="I683" i="26"/>
  <c r="F683" i="26"/>
  <c r="H683" i="26" s="1"/>
  <c r="E683" i="26"/>
  <c r="G683" i="26" s="1"/>
  <c r="D683" i="26"/>
  <c r="B683" i="26"/>
  <c r="L682" i="26"/>
  <c r="I682" i="26"/>
  <c r="F682" i="26"/>
  <c r="H682" i="26" s="1"/>
  <c r="E682" i="26"/>
  <c r="G682" i="26" s="1"/>
  <c r="D682" i="26"/>
  <c r="B682" i="26"/>
  <c r="L681" i="26"/>
  <c r="I681" i="26"/>
  <c r="F681" i="26"/>
  <c r="H681" i="26" s="1"/>
  <c r="E681" i="26"/>
  <c r="G681" i="26" s="1"/>
  <c r="D681" i="26"/>
  <c r="B681" i="26"/>
  <c r="L680" i="26"/>
  <c r="I680" i="26"/>
  <c r="F680" i="26"/>
  <c r="H680" i="26" s="1"/>
  <c r="E680" i="26"/>
  <c r="G680" i="26" s="1"/>
  <c r="D680" i="26"/>
  <c r="B680" i="26"/>
  <c r="L679" i="26"/>
  <c r="I679" i="26"/>
  <c r="F679" i="26"/>
  <c r="H679" i="26" s="1"/>
  <c r="E679" i="26"/>
  <c r="G679" i="26" s="1"/>
  <c r="D679" i="26"/>
  <c r="B679" i="26"/>
  <c r="L678" i="26"/>
  <c r="I678" i="26"/>
  <c r="F678" i="26"/>
  <c r="H678" i="26" s="1"/>
  <c r="E678" i="26"/>
  <c r="G678" i="26" s="1"/>
  <c r="D678" i="26"/>
  <c r="B678" i="26"/>
  <c r="L677" i="26"/>
  <c r="I677" i="26"/>
  <c r="F677" i="26"/>
  <c r="H677" i="26" s="1"/>
  <c r="E677" i="26"/>
  <c r="G677" i="26" s="1"/>
  <c r="D677" i="26"/>
  <c r="B677" i="26"/>
  <c r="L676" i="26"/>
  <c r="I676" i="26"/>
  <c r="F676" i="26"/>
  <c r="H676" i="26" s="1"/>
  <c r="E676" i="26"/>
  <c r="G676" i="26" s="1"/>
  <c r="D676" i="26"/>
  <c r="B676" i="26"/>
  <c r="L675" i="26"/>
  <c r="I675" i="26"/>
  <c r="F675" i="26"/>
  <c r="H675" i="26" s="1"/>
  <c r="E675" i="26"/>
  <c r="G675" i="26" s="1"/>
  <c r="D675" i="26"/>
  <c r="B675" i="26"/>
  <c r="L674" i="26"/>
  <c r="I674" i="26"/>
  <c r="F674" i="26"/>
  <c r="H674" i="26" s="1"/>
  <c r="E674" i="26"/>
  <c r="G674" i="26" s="1"/>
  <c r="D674" i="26"/>
  <c r="B674" i="26"/>
  <c r="L673" i="26"/>
  <c r="I673" i="26"/>
  <c r="F673" i="26"/>
  <c r="H673" i="26" s="1"/>
  <c r="E673" i="26"/>
  <c r="G673" i="26" s="1"/>
  <c r="D673" i="26"/>
  <c r="B673" i="26"/>
  <c r="L672" i="26"/>
  <c r="I672" i="26"/>
  <c r="F672" i="26"/>
  <c r="H672" i="26" s="1"/>
  <c r="E672" i="26"/>
  <c r="G672" i="26" s="1"/>
  <c r="D672" i="26"/>
  <c r="B672" i="26"/>
  <c r="L671" i="26"/>
  <c r="I671" i="26"/>
  <c r="F671" i="26"/>
  <c r="H671" i="26" s="1"/>
  <c r="E671" i="26"/>
  <c r="G671" i="26" s="1"/>
  <c r="D671" i="26"/>
  <c r="B671" i="26"/>
  <c r="L670" i="26"/>
  <c r="I670" i="26"/>
  <c r="F670" i="26"/>
  <c r="H670" i="26" s="1"/>
  <c r="E670" i="26"/>
  <c r="G670" i="26" s="1"/>
  <c r="D670" i="26"/>
  <c r="B670" i="26"/>
  <c r="L669" i="26"/>
  <c r="I669" i="26"/>
  <c r="F669" i="26"/>
  <c r="H669" i="26" s="1"/>
  <c r="E669" i="26"/>
  <c r="G669" i="26" s="1"/>
  <c r="D669" i="26"/>
  <c r="B669" i="26"/>
  <c r="L668" i="26"/>
  <c r="I668" i="26"/>
  <c r="F668" i="26"/>
  <c r="H668" i="26" s="1"/>
  <c r="E668" i="26"/>
  <c r="G668" i="26" s="1"/>
  <c r="D668" i="26"/>
  <c r="B668" i="26"/>
  <c r="L667" i="26"/>
  <c r="I667" i="26"/>
  <c r="F667" i="26"/>
  <c r="H667" i="26" s="1"/>
  <c r="E667" i="26"/>
  <c r="G667" i="26" s="1"/>
  <c r="D667" i="26"/>
  <c r="B667" i="26"/>
  <c r="L666" i="26"/>
  <c r="I666" i="26"/>
  <c r="F666" i="26"/>
  <c r="H666" i="26" s="1"/>
  <c r="E666" i="26"/>
  <c r="G666" i="26" s="1"/>
  <c r="D666" i="26"/>
  <c r="B666" i="26"/>
  <c r="L665" i="26"/>
  <c r="I665" i="26"/>
  <c r="F665" i="26"/>
  <c r="H665" i="26" s="1"/>
  <c r="E665" i="26"/>
  <c r="G665" i="26" s="1"/>
  <c r="D665" i="26"/>
  <c r="B665" i="26"/>
  <c r="L664" i="26"/>
  <c r="I664" i="26"/>
  <c r="F664" i="26"/>
  <c r="H664" i="26" s="1"/>
  <c r="E664" i="26"/>
  <c r="G664" i="26" s="1"/>
  <c r="D664" i="26"/>
  <c r="B664" i="26"/>
  <c r="L663" i="26"/>
  <c r="I663" i="26"/>
  <c r="F663" i="26"/>
  <c r="H663" i="26" s="1"/>
  <c r="E663" i="26"/>
  <c r="G663" i="26" s="1"/>
  <c r="D663" i="26"/>
  <c r="B663" i="26"/>
  <c r="L662" i="26"/>
  <c r="I662" i="26"/>
  <c r="F662" i="26"/>
  <c r="H662" i="26" s="1"/>
  <c r="E662" i="26"/>
  <c r="G662" i="26" s="1"/>
  <c r="D662" i="26"/>
  <c r="B662" i="26"/>
  <c r="L661" i="26"/>
  <c r="I661" i="26"/>
  <c r="F661" i="26"/>
  <c r="H661" i="26" s="1"/>
  <c r="E661" i="26"/>
  <c r="G661" i="26" s="1"/>
  <c r="D661" i="26"/>
  <c r="B661" i="26"/>
  <c r="L660" i="26"/>
  <c r="I660" i="26"/>
  <c r="F660" i="26"/>
  <c r="H660" i="26" s="1"/>
  <c r="E660" i="26"/>
  <c r="G660" i="26" s="1"/>
  <c r="D660" i="26"/>
  <c r="B660" i="26"/>
  <c r="L659" i="26"/>
  <c r="I659" i="26"/>
  <c r="F659" i="26"/>
  <c r="H659" i="26" s="1"/>
  <c r="E659" i="26"/>
  <c r="G659" i="26" s="1"/>
  <c r="D659" i="26"/>
  <c r="B659" i="26"/>
  <c r="L658" i="26"/>
  <c r="I658" i="26"/>
  <c r="F658" i="26"/>
  <c r="H658" i="26" s="1"/>
  <c r="E658" i="26"/>
  <c r="G658" i="26" s="1"/>
  <c r="D658" i="26"/>
  <c r="B658" i="26"/>
  <c r="L657" i="26"/>
  <c r="I657" i="26"/>
  <c r="F657" i="26"/>
  <c r="H657" i="26" s="1"/>
  <c r="E657" i="26"/>
  <c r="G657" i="26" s="1"/>
  <c r="D657" i="26"/>
  <c r="B657" i="26"/>
  <c r="L656" i="26"/>
  <c r="I656" i="26"/>
  <c r="F656" i="26"/>
  <c r="H656" i="26" s="1"/>
  <c r="E656" i="26"/>
  <c r="G656" i="26" s="1"/>
  <c r="D656" i="26"/>
  <c r="B656" i="26"/>
  <c r="L655" i="26"/>
  <c r="I655" i="26"/>
  <c r="F655" i="26"/>
  <c r="H655" i="26" s="1"/>
  <c r="E655" i="26"/>
  <c r="G655" i="26" s="1"/>
  <c r="D655" i="26"/>
  <c r="B655" i="26"/>
  <c r="L654" i="26"/>
  <c r="I654" i="26"/>
  <c r="F654" i="26"/>
  <c r="H654" i="26" s="1"/>
  <c r="E654" i="26"/>
  <c r="G654" i="26" s="1"/>
  <c r="D654" i="26"/>
  <c r="B654" i="26"/>
  <c r="L653" i="26"/>
  <c r="I653" i="26"/>
  <c r="F653" i="26"/>
  <c r="H653" i="26" s="1"/>
  <c r="E653" i="26"/>
  <c r="G653" i="26" s="1"/>
  <c r="D653" i="26"/>
  <c r="B653" i="26"/>
  <c r="L652" i="26"/>
  <c r="I652" i="26"/>
  <c r="F652" i="26"/>
  <c r="H652" i="26" s="1"/>
  <c r="E652" i="26"/>
  <c r="G652" i="26" s="1"/>
  <c r="D652" i="26"/>
  <c r="B652" i="26"/>
  <c r="L651" i="26"/>
  <c r="I651" i="26"/>
  <c r="F651" i="26"/>
  <c r="H651" i="26" s="1"/>
  <c r="E651" i="26"/>
  <c r="G651" i="26" s="1"/>
  <c r="D651" i="26"/>
  <c r="B651" i="26"/>
  <c r="L650" i="26"/>
  <c r="I650" i="26"/>
  <c r="F650" i="26"/>
  <c r="H650" i="26" s="1"/>
  <c r="E650" i="26"/>
  <c r="G650" i="26" s="1"/>
  <c r="D650" i="26"/>
  <c r="B650" i="26"/>
  <c r="L649" i="26"/>
  <c r="I649" i="26"/>
  <c r="F649" i="26"/>
  <c r="H649" i="26" s="1"/>
  <c r="E649" i="26"/>
  <c r="G649" i="26" s="1"/>
  <c r="D649" i="26"/>
  <c r="B649" i="26"/>
  <c r="L648" i="26"/>
  <c r="I648" i="26"/>
  <c r="F648" i="26"/>
  <c r="H648" i="26" s="1"/>
  <c r="E648" i="26"/>
  <c r="G648" i="26" s="1"/>
  <c r="D648" i="26"/>
  <c r="B648" i="26"/>
  <c r="L647" i="26"/>
  <c r="I647" i="26"/>
  <c r="F647" i="26"/>
  <c r="H647" i="26" s="1"/>
  <c r="E647" i="26"/>
  <c r="G647" i="26" s="1"/>
  <c r="D647" i="26"/>
  <c r="B647" i="26"/>
  <c r="L646" i="26"/>
  <c r="I646" i="26"/>
  <c r="F646" i="26"/>
  <c r="H646" i="26" s="1"/>
  <c r="E646" i="26"/>
  <c r="G646" i="26" s="1"/>
  <c r="D646" i="26"/>
  <c r="B646" i="26"/>
  <c r="L645" i="26"/>
  <c r="I645" i="26"/>
  <c r="F645" i="26"/>
  <c r="H645" i="26" s="1"/>
  <c r="E645" i="26"/>
  <c r="G645" i="26" s="1"/>
  <c r="D645" i="26"/>
  <c r="B645" i="26"/>
  <c r="L644" i="26"/>
  <c r="I644" i="26"/>
  <c r="F644" i="26"/>
  <c r="H644" i="26" s="1"/>
  <c r="E644" i="26"/>
  <c r="G644" i="26" s="1"/>
  <c r="D644" i="26"/>
  <c r="B644" i="26"/>
  <c r="L643" i="26"/>
  <c r="I643" i="26"/>
  <c r="K643" i="26" s="1"/>
  <c r="F643" i="26"/>
  <c r="H643" i="26" s="1"/>
  <c r="E643" i="26"/>
  <c r="G643" i="26" s="1"/>
  <c r="D643" i="26"/>
  <c r="B643" i="26"/>
  <c r="L642" i="26"/>
  <c r="I642" i="26"/>
  <c r="F642" i="26"/>
  <c r="H642" i="26" s="1"/>
  <c r="E642" i="26"/>
  <c r="G642" i="26" s="1"/>
  <c r="D642" i="26"/>
  <c r="B642" i="26"/>
  <c r="L641" i="26"/>
  <c r="I641" i="26"/>
  <c r="F641" i="26"/>
  <c r="H641" i="26" s="1"/>
  <c r="E641" i="26"/>
  <c r="G641" i="26" s="1"/>
  <c r="D641" i="26"/>
  <c r="B641" i="26"/>
  <c r="L640" i="26"/>
  <c r="I640" i="26"/>
  <c r="F640" i="26"/>
  <c r="H640" i="26" s="1"/>
  <c r="E640" i="26"/>
  <c r="G640" i="26" s="1"/>
  <c r="D640" i="26"/>
  <c r="B640" i="26"/>
  <c r="L639" i="26"/>
  <c r="I639" i="26"/>
  <c r="F639" i="26"/>
  <c r="H639" i="26" s="1"/>
  <c r="E639" i="26"/>
  <c r="G639" i="26" s="1"/>
  <c r="D639" i="26"/>
  <c r="B639" i="26"/>
  <c r="L638" i="26"/>
  <c r="I638" i="26"/>
  <c r="F638" i="26"/>
  <c r="H638" i="26" s="1"/>
  <c r="E638" i="26"/>
  <c r="G638" i="26" s="1"/>
  <c r="D638" i="26"/>
  <c r="B638" i="26"/>
  <c r="L637" i="26"/>
  <c r="I637" i="26"/>
  <c r="F637" i="26"/>
  <c r="H637" i="26" s="1"/>
  <c r="E637" i="26"/>
  <c r="G637" i="26" s="1"/>
  <c r="D637" i="26"/>
  <c r="B637" i="26"/>
  <c r="L636" i="26"/>
  <c r="I636" i="26"/>
  <c r="F636" i="26"/>
  <c r="H636" i="26" s="1"/>
  <c r="E636" i="26"/>
  <c r="G636" i="26" s="1"/>
  <c r="D636" i="26"/>
  <c r="B636" i="26"/>
  <c r="L635" i="26"/>
  <c r="I635" i="26"/>
  <c r="F635" i="26"/>
  <c r="H635" i="26" s="1"/>
  <c r="E635" i="26"/>
  <c r="G635" i="26" s="1"/>
  <c r="D635" i="26"/>
  <c r="B635" i="26"/>
  <c r="L634" i="26"/>
  <c r="I634" i="26"/>
  <c r="F634" i="26"/>
  <c r="H634" i="26" s="1"/>
  <c r="E634" i="26"/>
  <c r="G634" i="26" s="1"/>
  <c r="D634" i="26"/>
  <c r="B634" i="26"/>
  <c r="L633" i="26"/>
  <c r="I633" i="26"/>
  <c r="F633" i="26"/>
  <c r="H633" i="26" s="1"/>
  <c r="E633" i="26"/>
  <c r="G633" i="26" s="1"/>
  <c r="D633" i="26"/>
  <c r="B633" i="26"/>
  <c r="L632" i="26"/>
  <c r="I632" i="26"/>
  <c r="F632" i="26"/>
  <c r="H632" i="26" s="1"/>
  <c r="E632" i="26"/>
  <c r="G632" i="26" s="1"/>
  <c r="D632" i="26"/>
  <c r="B632" i="26"/>
  <c r="L631" i="26"/>
  <c r="I631" i="26"/>
  <c r="F631" i="26"/>
  <c r="H631" i="26" s="1"/>
  <c r="E631" i="26"/>
  <c r="G631" i="26" s="1"/>
  <c r="D631" i="26"/>
  <c r="B631" i="26"/>
  <c r="L630" i="26"/>
  <c r="I630" i="26"/>
  <c r="F630" i="26"/>
  <c r="H630" i="26" s="1"/>
  <c r="E630" i="26"/>
  <c r="G630" i="26" s="1"/>
  <c r="D630" i="26"/>
  <c r="B630" i="26"/>
  <c r="L629" i="26"/>
  <c r="I629" i="26"/>
  <c r="F629" i="26"/>
  <c r="H629" i="26" s="1"/>
  <c r="E629" i="26"/>
  <c r="G629" i="26" s="1"/>
  <c r="D629" i="26"/>
  <c r="B629" i="26"/>
  <c r="L628" i="26"/>
  <c r="I628" i="26"/>
  <c r="F628" i="26"/>
  <c r="H628" i="26" s="1"/>
  <c r="E628" i="26"/>
  <c r="G628" i="26" s="1"/>
  <c r="D628" i="26"/>
  <c r="B628" i="26"/>
  <c r="L627" i="26"/>
  <c r="I627" i="26"/>
  <c r="F627" i="26"/>
  <c r="H627" i="26" s="1"/>
  <c r="E627" i="26"/>
  <c r="G627" i="26" s="1"/>
  <c r="D627" i="26"/>
  <c r="B627" i="26"/>
  <c r="L626" i="26"/>
  <c r="I626" i="26"/>
  <c r="F626" i="26"/>
  <c r="H626" i="26" s="1"/>
  <c r="E626" i="26"/>
  <c r="G626" i="26" s="1"/>
  <c r="D626" i="26"/>
  <c r="B626" i="26"/>
  <c r="L625" i="26"/>
  <c r="I625" i="26"/>
  <c r="F625" i="26"/>
  <c r="H625" i="26" s="1"/>
  <c r="E625" i="26"/>
  <c r="G625" i="26" s="1"/>
  <c r="D625" i="26"/>
  <c r="B625" i="26"/>
  <c r="L624" i="26"/>
  <c r="I624" i="26"/>
  <c r="F624" i="26"/>
  <c r="H624" i="26" s="1"/>
  <c r="E624" i="26"/>
  <c r="G624" i="26" s="1"/>
  <c r="D624" i="26"/>
  <c r="B624" i="26"/>
  <c r="L623" i="26"/>
  <c r="I623" i="26"/>
  <c r="K623" i="26" s="1"/>
  <c r="F623" i="26"/>
  <c r="H623" i="26" s="1"/>
  <c r="E623" i="26"/>
  <c r="G623" i="26" s="1"/>
  <c r="D623" i="26"/>
  <c r="B623" i="26"/>
  <c r="L622" i="26"/>
  <c r="I622" i="26"/>
  <c r="F622" i="26"/>
  <c r="H622" i="26" s="1"/>
  <c r="E622" i="26"/>
  <c r="G622" i="26" s="1"/>
  <c r="D622" i="26"/>
  <c r="B622" i="26"/>
  <c r="L621" i="26"/>
  <c r="I621" i="26"/>
  <c r="K621" i="26" s="1"/>
  <c r="F621" i="26"/>
  <c r="H621" i="26" s="1"/>
  <c r="E621" i="26"/>
  <c r="G621" i="26" s="1"/>
  <c r="D621" i="26"/>
  <c r="B621" i="26"/>
  <c r="L620" i="26"/>
  <c r="I620" i="26"/>
  <c r="F620" i="26"/>
  <c r="H620" i="26" s="1"/>
  <c r="E620" i="26"/>
  <c r="G620" i="26" s="1"/>
  <c r="D620" i="26"/>
  <c r="B620" i="26"/>
  <c r="L619" i="26"/>
  <c r="I619" i="26"/>
  <c r="F619" i="26"/>
  <c r="H619" i="26" s="1"/>
  <c r="E619" i="26"/>
  <c r="G619" i="26" s="1"/>
  <c r="D619" i="26"/>
  <c r="B619" i="26"/>
  <c r="L618" i="26"/>
  <c r="I618" i="26"/>
  <c r="K618" i="26" s="1"/>
  <c r="F618" i="26"/>
  <c r="H618" i="26" s="1"/>
  <c r="E618" i="26"/>
  <c r="G618" i="26" s="1"/>
  <c r="D618" i="26"/>
  <c r="B618" i="26"/>
  <c r="L617" i="26"/>
  <c r="I617" i="26"/>
  <c r="F617" i="26"/>
  <c r="H617" i="26" s="1"/>
  <c r="E617" i="26"/>
  <c r="G617" i="26" s="1"/>
  <c r="D617" i="26"/>
  <c r="B617" i="26"/>
  <c r="L616" i="26"/>
  <c r="I616" i="26"/>
  <c r="F616" i="26"/>
  <c r="H616" i="26" s="1"/>
  <c r="E616" i="26"/>
  <c r="G616" i="26" s="1"/>
  <c r="D616" i="26"/>
  <c r="B616" i="26"/>
  <c r="L615" i="26"/>
  <c r="I615" i="26"/>
  <c r="F615" i="26"/>
  <c r="H615" i="26" s="1"/>
  <c r="E615" i="26"/>
  <c r="G615" i="26" s="1"/>
  <c r="D615" i="26"/>
  <c r="B615" i="26"/>
  <c r="L614" i="26"/>
  <c r="I614" i="26"/>
  <c r="F614" i="26"/>
  <c r="H614" i="26" s="1"/>
  <c r="E614" i="26"/>
  <c r="G614" i="26" s="1"/>
  <c r="D614" i="26"/>
  <c r="B614" i="26"/>
  <c r="L613" i="26"/>
  <c r="I613" i="26"/>
  <c r="F613" i="26"/>
  <c r="H613" i="26" s="1"/>
  <c r="E613" i="26"/>
  <c r="G613" i="26" s="1"/>
  <c r="D613" i="26"/>
  <c r="B613" i="26"/>
  <c r="L612" i="26"/>
  <c r="I612" i="26"/>
  <c r="F612" i="26"/>
  <c r="H612" i="26" s="1"/>
  <c r="E612" i="26"/>
  <c r="G612" i="26" s="1"/>
  <c r="D612" i="26"/>
  <c r="B612" i="26"/>
  <c r="L611" i="26"/>
  <c r="I611" i="26"/>
  <c r="F611" i="26"/>
  <c r="H611" i="26" s="1"/>
  <c r="E611" i="26"/>
  <c r="G611" i="26" s="1"/>
  <c r="D611" i="26"/>
  <c r="B611" i="26"/>
  <c r="L610" i="26"/>
  <c r="I610" i="26"/>
  <c r="F610" i="26"/>
  <c r="H610" i="26" s="1"/>
  <c r="E610" i="26"/>
  <c r="G610" i="26" s="1"/>
  <c r="D610" i="26"/>
  <c r="B610" i="26"/>
  <c r="L609" i="26"/>
  <c r="I609" i="26"/>
  <c r="F609" i="26"/>
  <c r="H609" i="26" s="1"/>
  <c r="E609" i="26"/>
  <c r="G609" i="26" s="1"/>
  <c r="D609" i="26"/>
  <c r="B609" i="26"/>
  <c r="L608" i="26"/>
  <c r="I608" i="26"/>
  <c r="F608" i="26"/>
  <c r="H608" i="26" s="1"/>
  <c r="E608" i="26"/>
  <c r="G608" i="26" s="1"/>
  <c r="D608" i="26"/>
  <c r="B608" i="26"/>
  <c r="L607" i="26"/>
  <c r="I607" i="26"/>
  <c r="F607" i="26"/>
  <c r="H607" i="26" s="1"/>
  <c r="E607" i="26"/>
  <c r="G607" i="26" s="1"/>
  <c r="D607" i="26"/>
  <c r="B607" i="26"/>
  <c r="L606" i="26"/>
  <c r="I606" i="26"/>
  <c r="F606" i="26"/>
  <c r="H606" i="26" s="1"/>
  <c r="E606" i="26"/>
  <c r="G606" i="26" s="1"/>
  <c r="D606" i="26"/>
  <c r="B606" i="26"/>
  <c r="L605" i="26"/>
  <c r="I605" i="26"/>
  <c r="F605" i="26"/>
  <c r="H605" i="26" s="1"/>
  <c r="E605" i="26"/>
  <c r="G605" i="26" s="1"/>
  <c r="D605" i="26"/>
  <c r="B605" i="26"/>
  <c r="L604" i="26"/>
  <c r="N604" i="26" s="1"/>
  <c r="I604" i="26"/>
  <c r="F604" i="26"/>
  <c r="H604" i="26" s="1"/>
  <c r="E604" i="26"/>
  <c r="G604" i="26" s="1"/>
  <c r="D604" i="26"/>
  <c r="B604" i="26"/>
  <c r="L603" i="26"/>
  <c r="N603" i="26" s="1"/>
  <c r="I603" i="26"/>
  <c r="F603" i="26"/>
  <c r="H603" i="26" s="1"/>
  <c r="E603" i="26"/>
  <c r="G603" i="26" s="1"/>
  <c r="D603" i="26"/>
  <c r="B603" i="26"/>
  <c r="L602" i="26"/>
  <c r="I602" i="26"/>
  <c r="F602" i="26"/>
  <c r="H602" i="26" s="1"/>
  <c r="E602" i="26"/>
  <c r="G602" i="26" s="1"/>
  <c r="D602" i="26"/>
  <c r="B602" i="26"/>
  <c r="L601" i="26"/>
  <c r="I601" i="26"/>
  <c r="F601" i="26"/>
  <c r="H601" i="26" s="1"/>
  <c r="E601" i="26"/>
  <c r="G601" i="26" s="1"/>
  <c r="D601" i="26"/>
  <c r="B601" i="26"/>
  <c r="L600" i="26"/>
  <c r="I600" i="26"/>
  <c r="F600" i="26"/>
  <c r="H600" i="26" s="1"/>
  <c r="E600" i="26"/>
  <c r="G600" i="26" s="1"/>
  <c r="D600" i="26"/>
  <c r="B600" i="26"/>
  <c r="L599" i="26"/>
  <c r="N599" i="26" s="1"/>
  <c r="I599" i="26"/>
  <c r="F599" i="26"/>
  <c r="H599" i="26" s="1"/>
  <c r="E599" i="26"/>
  <c r="G599" i="26" s="1"/>
  <c r="D599" i="26"/>
  <c r="B599" i="26"/>
  <c r="L598" i="26"/>
  <c r="I598" i="26"/>
  <c r="F598" i="26"/>
  <c r="H598" i="26" s="1"/>
  <c r="E598" i="26"/>
  <c r="G598" i="26" s="1"/>
  <c r="D598" i="26"/>
  <c r="B598" i="26"/>
  <c r="L597" i="26"/>
  <c r="I597" i="26"/>
  <c r="F597" i="26"/>
  <c r="H597" i="26" s="1"/>
  <c r="E597" i="26"/>
  <c r="G597" i="26" s="1"/>
  <c r="D597" i="26"/>
  <c r="B597" i="26"/>
  <c r="L596" i="26"/>
  <c r="I596" i="26"/>
  <c r="F596" i="26"/>
  <c r="H596" i="26" s="1"/>
  <c r="E596" i="26"/>
  <c r="G596" i="26" s="1"/>
  <c r="D596" i="26"/>
  <c r="B596" i="26"/>
  <c r="L595" i="26"/>
  <c r="N595" i="26" s="1"/>
  <c r="I595" i="26"/>
  <c r="F595" i="26"/>
  <c r="H595" i="26" s="1"/>
  <c r="E595" i="26"/>
  <c r="G595" i="26" s="1"/>
  <c r="D595" i="26"/>
  <c r="B595" i="26"/>
  <c r="L594" i="26"/>
  <c r="I594" i="26"/>
  <c r="F594" i="26"/>
  <c r="H594" i="26" s="1"/>
  <c r="E594" i="26"/>
  <c r="G594" i="26" s="1"/>
  <c r="D594" i="26"/>
  <c r="B594" i="26"/>
  <c r="L593" i="26"/>
  <c r="I593" i="26"/>
  <c r="K593" i="26" s="1"/>
  <c r="F593" i="26"/>
  <c r="H593" i="26" s="1"/>
  <c r="E593" i="26"/>
  <c r="G593" i="26" s="1"/>
  <c r="D593" i="26"/>
  <c r="B593" i="26"/>
  <c r="L592" i="26"/>
  <c r="I592" i="26"/>
  <c r="F592" i="26"/>
  <c r="H592" i="26" s="1"/>
  <c r="E592" i="26"/>
  <c r="G592" i="26" s="1"/>
  <c r="D592" i="26"/>
  <c r="B592" i="26"/>
  <c r="L591" i="26"/>
  <c r="I591" i="26"/>
  <c r="K591" i="26" s="1"/>
  <c r="F591" i="26"/>
  <c r="H591" i="26" s="1"/>
  <c r="E591" i="26"/>
  <c r="G591" i="26" s="1"/>
  <c r="D591" i="26"/>
  <c r="B591" i="26"/>
  <c r="L590" i="26"/>
  <c r="I590" i="26"/>
  <c r="F590" i="26"/>
  <c r="H590" i="26" s="1"/>
  <c r="E590" i="26"/>
  <c r="G590" i="26" s="1"/>
  <c r="D590" i="26"/>
  <c r="B590" i="26"/>
  <c r="L589" i="26"/>
  <c r="I589" i="26"/>
  <c r="K589" i="26" s="1"/>
  <c r="F589" i="26"/>
  <c r="H589" i="26" s="1"/>
  <c r="E589" i="26"/>
  <c r="G589" i="26" s="1"/>
  <c r="D589" i="26"/>
  <c r="B589" i="26"/>
  <c r="L588" i="26"/>
  <c r="I588" i="26"/>
  <c r="F588" i="26"/>
  <c r="H588" i="26" s="1"/>
  <c r="E588" i="26"/>
  <c r="G588" i="26" s="1"/>
  <c r="D588" i="26"/>
  <c r="B588" i="26"/>
  <c r="L587" i="26"/>
  <c r="I587" i="26"/>
  <c r="F587" i="26"/>
  <c r="H587" i="26" s="1"/>
  <c r="E587" i="26"/>
  <c r="G587" i="26" s="1"/>
  <c r="D587" i="26"/>
  <c r="B587" i="26"/>
  <c r="L586" i="26"/>
  <c r="I586" i="26"/>
  <c r="F586" i="26"/>
  <c r="H586" i="26" s="1"/>
  <c r="E586" i="26"/>
  <c r="G586" i="26" s="1"/>
  <c r="D586" i="26"/>
  <c r="B586" i="26"/>
  <c r="L585" i="26"/>
  <c r="I585" i="26"/>
  <c r="F585" i="26"/>
  <c r="H585" i="26" s="1"/>
  <c r="E585" i="26"/>
  <c r="G585" i="26" s="1"/>
  <c r="D585" i="26"/>
  <c r="B585" i="26"/>
  <c r="L584" i="26"/>
  <c r="I584" i="26"/>
  <c r="F584" i="26"/>
  <c r="H584" i="26" s="1"/>
  <c r="E584" i="26"/>
  <c r="G584" i="26" s="1"/>
  <c r="D584" i="26"/>
  <c r="B584" i="26"/>
  <c r="L583" i="26"/>
  <c r="I583" i="26"/>
  <c r="F583" i="26"/>
  <c r="H583" i="26" s="1"/>
  <c r="E583" i="26"/>
  <c r="G583" i="26" s="1"/>
  <c r="D583" i="26"/>
  <c r="B583" i="26"/>
  <c r="L582" i="26"/>
  <c r="I582" i="26"/>
  <c r="F582" i="26"/>
  <c r="H582" i="26" s="1"/>
  <c r="E582" i="26"/>
  <c r="G582" i="26" s="1"/>
  <c r="D582" i="26"/>
  <c r="B582" i="26"/>
  <c r="L581" i="26"/>
  <c r="I581" i="26"/>
  <c r="F581" i="26"/>
  <c r="H581" i="26" s="1"/>
  <c r="E581" i="26"/>
  <c r="G581" i="26" s="1"/>
  <c r="D581" i="26"/>
  <c r="B581" i="26"/>
  <c r="L580" i="26"/>
  <c r="I580" i="26"/>
  <c r="F580" i="26"/>
  <c r="H580" i="26" s="1"/>
  <c r="E580" i="26"/>
  <c r="G580" i="26" s="1"/>
  <c r="D580" i="26"/>
  <c r="B580" i="26"/>
  <c r="L579" i="26"/>
  <c r="I579" i="26"/>
  <c r="F579" i="26"/>
  <c r="H579" i="26" s="1"/>
  <c r="E579" i="26"/>
  <c r="G579" i="26" s="1"/>
  <c r="D579" i="26"/>
  <c r="B579" i="26"/>
  <c r="L578" i="26"/>
  <c r="I578" i="26"/>
  <c r="F578" i="26"/>
  <c r="H578" i="26" s="1"/>
  <c r="E578" i="26"/>
  <c r="G578" i="26" s="1"/>
  <c r="D578" i="26"/>
  <c r="B578" i="26"/>
  <c r="L577" i="26"/>
  <c r="I577" i="26"/>
  <c r="F577" i="26"/>
  <c r="H577" i="26" s="1"/>
  <c r="E577" i="26"/>
  <c r="G577" i="26" s="1"/>
  <c r="D577" i="26"/>
  <c r="B577" i="26"/>
  <c r="L576" i="26"/>
  <c r="I576" i="26"/>
  <c r="F576" i="26"/>
  <c r="H576" i="26" s="1"/>
  <c r="E576" i="26"/>
  <c r="G576" i="26" s="1"/>
  <c r="D576" i="26"/>
  <c r="B576" i="26"/>
  <c r="L575" i="26"/>
  <c r="I575" i="26"/>
  <c r="F575" i="26"/>
  <c r="H575" i="26" s="1"/>
  <c r="E575" i="26"/>
  <c r="G575" i="26" s="1"/>
  <c r="D575" i="26"/>
  <c r="B575" i="26"/>
  <c r="L574" i="26"/>
  <c r="N574" i="26" s="1"/>
  <c r="I574" i="26"/>
  <c r="F574" i="26"/>
  <c r="H574" i="26" s="1"/>
  <c r="E574" i="26"/>
  <c r="G574" i="26" s="1"/>
  <c r="D574" i="26"/>
  <c r="B574" i="26"/>
  <c r="L573" i="26"/>
  <c r="I573" i="26"/>
  <c r="F573" i="26"/>
  <c r="H573" i="26" s="1"/>
  <c r="E573" i="26"/>
  <c r="G573" i="26" s="1"/>
  <c r="D573" i="26"/>
  <c r="B573" i="26"/>
  <c r="L572" i="26"/>
  <c r="I572" i="26"/>
  <c r="F572" i="26"/>
  <c r="H572" i="26" s="1"/>
  <c r="E572" i="26"/>
  <c r="G572" i="26" s="1"/>
  <c r="D572" i="26"/>
  <c r="B572" i="26"/>
  <c r="L571" i="26"/>
  <c r="I571" i="26"/>
  <c r="F571" i="26"/>
  <c r="H571" i="26" s="1"/>
  <c r="E571" i="26"/>
  <c r="G571" i="26" s="1"/>
  <c r="D571" i="26"/>
  <c r="B571" i="26"/>
  <c r="L570" i="26"/>
  <c r="I570" i="26"/>
  <c r="F570" i="26"/>
  <c r="H570" i="26" s="1"/>
  <c r="E570" i="26"/>
  <c r="G570" i="26" s="1"/>
  <c r="D570" i="26"/>
  <c r="B570" i="26"/>
  <c r="L569" i="26"/>
  <c r="I569" i="26"/>
  <c r="F569" i="26"/>
  <c r="H569" i="26" s="1"/>
  <c r="E569" i="26"/>
  <c r="G569" i="26" s="1"/>
  <c r="D569" i="26"/>
  <c r="B569" i="26"/>
  <c r="L568" i="26"/>
  <c r="I568" i="26"/>
  <c r="F568" i="26"/>
  <c r="H568" i="26" s="1"/>
  <c r="E568" i="26"/>
  <c r="G568" i="26" s="1"/>
  <c r="D568" i="26"/>
  <c r="B568" i="26"/>
  <c r="L567" i="26"/>
  <c r="I567" i="26"/>
  <c r="K567" i="26" s="1"/>
  <c r="F567" i="26"/>
  <c r="H567" i="26" s="1"/>
  <c r="E567" i="26"/>
  <c r="G567" i="26" s="1"/>
  <c r="D567" i="26"/>
  <c r="B567" i="26"/>
  <c r="L566" i="26"/>
  <c r="I566" i="26"/>
  <c r="F566" i="26"/>
  <c r="H566" i="26" s="1"/>
  <c r="E566" i="26"/>
  <c r="G566" i="26" s="1"/>
  <c r="D566" i="26"/>
  <c r="B566" i="26"/>
  <c r="L565" i="26"/>
  <c r="I565" i="26"/>
  <c r="F565" i="26"/>
  <c r="H565" i="26" s="1"/>
  <c r="E565" i="26"/>
  <c r="G565" i="26" s="1"/>
  <c r="D565" i="26"/>
  <c r="B565" i="26"/>
  <c r="L564" i="26"/>
  <c r="I564" i="26"/>
  <c r="F564" i="26"/>
  <c r="H564" i="26" s="1"/>
  <c r="E564" i="26"/>
  <c r="G564" i="26" s="1"/>
  <c r="D564" i="26"/>
  <c r="B564" i="26"/>
  <c r="L563" i="26"/>
  <c r="N563" i="26" s="1"/>
  <c r="I563" i="26"/>
  <c r="F563" i="26"/>
  <c r="H563" i="26" s="1"/>
  <c r="E563" i="26"/>
  <c r="G563" i="26" s="1"/>
  <c r="D563" i="26"/>
  <c r="B563" i="26"/>
  <c r="L562" i="26"/>
  <c r="I562" i="26"/>
  <c r="F562" i="26"/>
  <c r="H562" i="26" s="1"/>
  <c r="E562" i="26"/>
  <c r="G562" i="26" s="1"/>
  <c r="D562" i="26"/>
  <c r="B562" i="26"/>
  <c r="L561" i="26"/>
  <c r="I561" i="26"/>
  <c r="F561" i="26"/>
  <c r="H561" i="26" s="1"/>
  <c r="E561" i="26"/>
  <c r="G561" i="26" s="1"/>
  <c r="D561" i="26"/>
  <c r="B561" i="26"/>
  <c r="L560" i="26"/>
  <c r="N560" i="26" s="1"/>
  <c r="I560" i="26"/>
  <c r="F560" i="26"/>
  <c r="H560" i="26" s="1"/>
  <c r="E560" i="26"/>
  <c r="G560" i="26" s="1"/>
  <c r="D560" i="26"/>
  <c r="B560" i="26"/>
  <c r="L559" i="26"/>
  <c r="I559" i="26"/>
  <c r="F559" i="26"/>
  <c r="H559" i="26" s="1"/>
  <c r="E559" i="26"/>
  <c r="G559" i="26" s="1"/>
  <c r="D559" i="26"/>
  <c r="B559" i="26"/>
  <c r="L558" i="26"/>
  <c r="I558" i="26"/>
  <c r="F558" i="26"/>
  <c r="H558" i="26" s="1"/>
  <c r="E558" i="26"/>
  <c r="G558" i="26" s="1"/>
  <c r="D558" i="26"/>
  <c r="B558" i="26"/>
  <c r="L557" i="26"/>
  <c r="I557" i="26"/>
  <c r="F557" i="26"/>
  <c r="H557" i="26" s="1"/>
  <c r="E557" i="26"/>
  <c r="G557" i="26" s="1"/>
  <c r="D557" i="26"/>
  <c r="B557" i="26"/>
  <c r="L556" i="26"/>
  <c r="I556" i="26"/>
  <c r="F556" i="26"/>
  <c r="H556" i="26" s="1"/>
  <c r="E556" i="26"/>
  <c r="G556" i="26" s="1"/>
  <c r="D556" i="26"/>
  <c r="B556" i="26"/>
  <c r="L555" i="26"/>
  <c r="I555" i="26"/>
  <c r="F555" i="26"/>
  <c r="H555" i="26" s="1"/>
  <c r="E555" i="26"/>
  <c r="G555" i="26" s="1"/>
  <c r="D555" i="26"/>
  <c r="B555" i="26"/>
  <c r="L554" i="26"/>
  <c r="I554" i="26"/>
  <c r="K554" i="26" s="1"/>
  <c r="F554" i="26"/>
  <c r="H554" i="26" s="1"/>
  <c r="E554" i="26"/>
  <c r="G554" i="26" s="1"/>
  <c r="D554" i="26"/>
  <c r="B554" i="26"/>
  <c r="L553" i="26"/>
  <c r="I553" i="26"/>
  <c r="K553" i="26" s="1"/>
  <c r="F553" i="26"/>
  <c r="H553" i="26" s="1"/>
  <c r="E553" i="26"/>
  <c r="G553" i="26" s="1"/>
  <c r="D553" i="26"/>
  <c r="B553" i="26"/>
  <c r="L552" i="26"/>
  <c r="I552" i="26"/>
  <c r="F552" i="26"/>
  <c r="H552" i="26" s="1"/>
  <c r="E552" i="26"/>
  <c r="G552" i="26" s="1"/>
  <c r="D552" i="26"/>
  <c r="B552" i="26"/>
  <c r="L551" i="26"/>
  <c r="N551" i="26" s="1"/>
  <c r="I551" i="26"/>
  <c r="F551" i="26"/>
  <c r="H551" i="26" s="1"/>
  <c r="E551" i="26"/>
  <c r="G551" i="26" s="1"/>
  <c r="D551" i="26"/>
  <c r="B551" i="26"/>
  <c r="L550" i="26"/>
  <c r="I550" i="26"/>
  <c r="F550" i="26"/>
  <c r="H550" i="26" s="1"/>
  <c r="E550" i="26"/>
  <c r="G550" i="26" s="1"/>
  <c r="D550" i="26"/>
  <c r="B550" i="26"/>
  <c r="L549" i="26"/>
  <c r="I549" i="26"/>
  <c r="F549" i="26"/>
  <c r="H549" i="26" s="1"/>
  <c r="E549" i="26"/>
  <c r="G549" i="26" s="1"/>
  <c r="D549" i="26"/>
  <c r="B549" i="26"/>
  <c r="L548" i="26"/>
  <c r="I548" i="26"/>
  <c r="F548" i="26"/>
  <c r="H548" i="26" s="1"/>
  <c r="E548" i="26"/>
  <c r="G548" i="26" s="1"/>
  <c r="D548" i="26"/>
  <c r="B548" i="26"/>
  <c r="L547" i="26"/>
  <c r="I547" i="26"/>
  <c r="F547" i="26"/>
  <c r="H547" i="26" s="1"/>
  <c r="E547" i="26"/>
  <c r="G547" i="26" s="1"/>
  <c r="D547" i="26"/>
  <c r="B547" i="26"/>
  <c r="L546" i="26"/>
  <c r="I546" i="26"/>
  <c r="F546" i="26"/>
  <c r="H546" i="26" s="1"/>
  <c r="E546" i="26"/>
  <c r="G546" i="26" s="1"/>
  <c r="D546" i="26"/>
  <c r="B546" i="26"/>
  <c r="L545" i="26"/>
  <c r="I545" i="26"/>
  <c r="F545" i="26"/>
  <c r="H545" i="26" s="1"/>
  <c r="E545" i="26"/>
  <c r="G545" i="26" s="1"/>
  <c r="D545" i="26"/>
  <c r="B545" i="26"/>
  <c r="L544" i="26"/>
  <c r="I544" i="26"/>
  <c r="F544" i="26"/>
  <c r="H544" i="26" s="1"/>
  <c r="E544" i="26"/>
  <c r="G544" i="26" s="1"/>
  <c r="D544" i="26"/>
  <c r="B544" i="26"/>
  <c r="L543" i="26"/>
  <c r="I543" i="26"/>
  <c r="K543" i="26" s="1"/>
  <c r="F543" i="26"/>
  <c r="H543" i="26" s="1"/>
  <c r="E543" i="26"/>
  <c r="G543" i="26" s="1"/>
  <c r="D543" i="26"/>
  <c r="B543" i="26"/>
  <c r="L542" i="26"/>
  <c r="I542" i="26"/>
  <c r="F542" i="26"/>
  <c r="H542" i="26" s="1"/>
  <c r="E542" i="26"/>
  <c r="G542" i="26" s="1"/>
  <c r="D542" i="26"/>
  <c r="B542" i="26"/>
  <c r="L541" i="26"/>
  <c r="I541" i="26"/>
  <c r="F541" i="26"/>
  <c r="H541" i="26" s="1"/>
  <c r="E541" i="26"/>
  <c r="G541" i="26" s="1"/>
  <c r="D541" i="26"/>
  <c r="B541" i="26"/>
  <c r="L540" i="26"/>
  <c r="I540" i="26"/>
  <c r="F540" i="26"/>
  <c r="H540" i="26" s="1"/>
  <c r="E540" i="26"/>
  <c r="G540" i="26" s="1"/>
  <c r="D540" i="26"/>
  <c r="B540" i="26"/>
  <c r="L539" i="26"/>
  <c r="I539" i="26"/>
  <c r="F539" i="26"/>
  <c r="H539" i="26" s="1"/>
  <c r="E539" i="26"/>
  <c r="G539" i="26" s="1"/>
  <c r="D539" i="26"/>
  <c r="B539" i="26"/>
  <c r="L538" i="26"/>
  <c r="I538" i="26"/>
  <c r="F538" i="26"/>
  <c r="H538" i="26" s="1"/>
  <c r="E538" i="26"/>
  <c r="G538" i="26" s="1"/>
  <c r="D538" i="26"/>
  <c r="B538" i="26"/>
  <c r="L537" i="26"/>
  <c r="I537" i="26"/>
  <c r="F537" i="26"/>
  <c r="H537" i="26" s="1"/>
  <c r="E537" i="26"/>
  <c r="G537" i="26" s="1"/>
  <c r="D537" i="26"/>
  <c r="B537" i="26"/>
  <c r="L536" i="26"/>
  <c r="I536" i="26"/>
  <c r="F536" i="26"/>
  <c r="H536" i="26" s="1"/>
  <c r="E536" i="26"/>
  <c r="G536" i="26" s="1"/>
  <c r="D536" i="26"/>
  <c r="B536" i="26"/>
  <c r="L535" i="26"/>
  <c r="I535" i="26"/>
  <c r="F535" i="26"/>
  <c r="H535" i="26" s="1"/>
  <c r="E535" i="26"/>
  <c r="G535" i="26" s="1"/>
  <c r="D535" i="26"/>
  <c r="B535" i="26"/>
  <c r="L534" i="26"/>
  <c r="I534" i="26"/>
  <c r="F534" i="26"/>
  <c r="H534" i="26" s="1"/>
  <c r="E534" i="26"/>
  <c r="G534" i="26" s="1"/>
  <c r="D534" i="26"/>
  <c r="B534" i="26"/>
  <c r="L533" i="26"/>
  <c r="I533" i="26"/>
  <c r="F533" i="26"/>
  <c r="H533" i="26" s="1"/>
  <c r="E533" i="26"/>
  <c r="G533" i="26" s="1"/>
  <c r="D533" i="26"/>
  <c r="B533" i="26"/>
  <c r="L532" i="26"/>
  <c r="I532" i="26"/>
  <c r="F532" i="26"/>
  <c r="H532" i="26" s="1"/>
  <c r="E532" i="26"/>
  <c r="G532" i="26" s="1"/>
  <c r="D532" i="26"/>
  <c r="B532" i="26"/>
  <c r="L531" i="26"/>
  <c r="I531" i="26"/>
  <c r="F531" i="26"/>
  <c r="H531" i="26" s="1"/>
  <c r="E531" i="26"/>
  <c r="G531" i="26" s="1"/>
  <c r="D531" i="26"/>
  <c r="B531" i="26"/>
  <c r="L530" i="26"/>
  <c r="I530" i="26"/>
  <c r="F530" i="26"/>
  <c r="H530" i="26" s="1"/>
  <c r="E530" i="26"/>
  <c r="G530" i="26" s="1"/>
  <c r="D530" i="26"/>
  <c r="B530" i="26"/>
  <c r="L529" i="26"/>
  <c r="I529" i="26"/>
  <c r="F529" i="26"/>
  <c r="H529" i="26" s="1"/>
  <c r="E529" i="26"/>
  <c r="G529" i="26" s="1"/>
  <c r="D529" i="26"/>
  <c r="B529" i="26"/>
  <c r="L528" i="26"/>
  <c r="I528" i="26"/>
  <c r="F528" i="26"/>
  <c r="H528" i="26" s="1"/>
  <c r="E528" i="26"/>
  <c r="G528" i="26" s="1"/>
  <c r="D528" i="26"/>
  <c r="B528" i="26"/>
  <c r="L527" i="26"/>
  <c r="I527" i="26"/>
  <c r="F527" i="26"/>
  <c r="H527" i="26" s="1"/>
  <c r="E527" i="26"/>
  <c r="G527" i="26" s="1"/>
  <c r="D527" i="26"/>
  <c r="B527" i="26"/>
  <c r="L526" i="26"/>
  <c r="I526" i="26"/>
  <c r="F526" i="26"/>
  <c r="H526" i="26" s="1"/>
  <c r="E526" i="26"/>
  <c r="G526" i="26" s="1"/>
  <c r="D526" i="26"/>
  <c r="B526" i="26"/>
  <c r="L525" i="26"/>
  <c r="I525" i="26"/>
  <c r="F525" i="26"/>
  <c r="H525" i="26" s="1"/>
  <c r="E525" i="26"/>
  <c r="G525" i="26" s="1"/>
  <c r="D525" i="26"/>
  <c r="B525" i="26"/>
  <c r="L524" i="26"/>
  <c r="I524" i="26"/>
  <c r="F524" i="26"/>
  <c r="H524" i="26" s="1"/>
  <c r="E524" i="26"/>
  <c r="G524" i="26" s="1"/>
  <c r="D524" i="26"/>
  <c r="B524" i="26"/>
  <c r="L523" i="26"/>
  <c r="I523" i="26"/>
  <c r="F523" i="26"/>
  <c r="H523" i="26" s="1"/>
  <c r="E523" i="26"/>
  <c r="G523" i="26" s="1"/>
  <c r="D523" i="26"/>
  <c r="B523" i="26"/>
  <c r="L522" i="26"/>
  <c r="I522" i="26"/>
  <c r="F522" i="26"/>
  <c r="H522" i="26" s="1"/>
  <c r="E522" i="26"/>
  <c r="G522" i="26" s="1"/>
  <c r="D522" i="26"/>
  <c r="B522" i="26"/>
  <c r="L521" i="26"/>
  <c r="I521" i="26"/>
  <c r="F521" i="26"/>
  <c r="H521" i="26" s="1"/>
  <c r="E521" i="26"/>
  <c r="G521" i="26" s="1"/>
  <c r="D521" i="26"/>
  <c r="B521" i="26"/>
  <c r="L520" i="26"/>
  <c r="I520" i="26"/>
  <c r="K520" i="26" s="1"/>
  <c r="F520" i="26"/>
  <c r="H520" i="26" s="1"/>
  <c r="E520" i="26"/>
  <c r="G520" i="26" s="1"/>
  <c r="D520" i="26"/>
  <c r="B520" i="26"/>
  <c r="L519" i="26"/>
  <c r="I519" i="26"/>
  <c r="F519" i="26"/>
  <c r="H519" i="26" s="1"/>
  <c r="E519" i="26"/>
  <c r="G519" i="26" s="1"/>
  <c r="D519" i="26"/>
  <c r="B519" i="26"/>
  <c r="L518" i="26"/>
  <c r="I518" i="26"/>
  <c r="F518" i="26"/>
  <c r="H518" i="26" s="1"/>
  <c r="E518" i="26"/>
  <c r="G518" i="26" s="1"/>
  <c r="D518" i="26"/>
  <c r="B518" i="26"/>
  <c r="L517" i="26"/>
  <c r="I517" i="26"/>
  <c r="F517" i="26"/>
  <c r="H517" i="26" s="1"/>
  <c r="E517" i="26"/>
  <c r="G517" i="26" s="1"/>
  <c r="D517" i="26"/>
  <c r="B517" i="26"/>
  <c r="L516" i="26"/>
  <c r="I516" i="26"/>
  <c r="F516" i="26"/>
  <c r="H516" i="26" s="1"/>
  <c r="E516" i="26"/>
  <c r="G516" i="26" s="1"/>
  <c r="D516" i="26"/>
  <c r="B516" i="26"/>
  <c r="L515" i="26"/>
  <c r="I515" i="26"/>
  <c r="F515" i="26"/>
  <c r="H515" i="26" s="1"/>
  <c r="E515" i="26"/>
  <c r="G515" i="26" s="1"/>
  <c r="D515" i="26"/>
  <c r="B515" i="26"/>
  <c r="L514" i="26"/>
  <c r="I514" i="26"/>
  <c r="K514" i="26" s="1"/>
  <c r="F514" i="26"/>
  <c r="H514" i="26" s="1"/>
  <c r="E514" i="26"/>
  <c r="G514" i="26" s="1"/>
  <c r="D514" i="26"/>
  <c r="B514" i="26"/>
  <c r="L513" i="26"/>
  <c r="I513" i="26"/>
  <c r="F513" i="26"/>
  <c r="H513" i="26" s="1"/>
  <c r="E513" i="26"/>
  <c r="G513" i="26" s="1"/>
  <c r="D513" i="26"/>
  <c r="B513" i="26"/>
  <c r="L512" i="26"/>
  <c r="I512" i="26"/>
  <c r="F512" i="26"/>
  <c r="H512" i="26" s="1"/>
  <c r="E512" i="26"/>
  <c r="G512" i="26" s="1"/>
  <c r="D512" i="26"/>
  <c r="B512" i="26"/>
  <c r="L511" i="26"/>
  <c r="I511" i="26"/>
  <c r="F511" i="26"/>
  <c r="H511" i="26" s="1"/>
  <c r="E511" i="26"/>
  <c r="G511" i="26" s="1"/>
  <c r="D511" i="26"/>
  <c r="B511" i="26"/>
  <c r="L510" i="26"/>
  <c r="I510" i="26"/>
  <c r="F510" i="26"/>
  <c r="H510" i="26" s="1"/>
  <c r="E510" i="26"/>
  <c r="G510" i="26" s="1"/>
  <c r="D510" i="26"/>
  <c r="B510" i="26"/>
  <c r="L509" i="26"/>
  <c r="I509" i="26"/>
  <c r="K509" i="26" s="1"/>
  <c r="F509" i="26"/>
  <c r="H509" i="26" s="1"/>
  <c r="E509" i="26"/>
  <c r="G509" i="26" s="1"/>
  <c r="D509" i="26"/>
  <c r="B509" i="26"/>
  <c r="L508" i="26"/>
  <c r="I508" i="26"/>
  <c r="K508" i="26" s="1"/>
  <c r="F508" i="26"/>
  <c r="H508" i="26" s="1"/>
  <c r="E508" i="26"/>
  <c r="G508" i="26" s="1"/>
  <c r="D508" i="26"/>
  <c r="B508" i="26"/>
  <c r="L507" i="26"/>
  <c r="N507" i="26" s="1"/>
  <c r="I507" i="26"/>
  <c r="F507" i="26"/>
  <c r="H507" i="26" s="1"/>
  <c r="E507" i="26"/>
  <c r="G507" i="26" s="1"/>
  <c r="D507" i="26"/>
  <c r="B507" i="26"/>
  <c r="L506" i="26"/>
  <c r="I506" i="26"/>
  <c r="F506" i="26"/>
  <c r="H506" i="26" s="1"/>
  <c r="E506" i="26"/>
  <c r="G506" i="26" s="1"/>
  <c r="D506" i="26"/>
  <c r="B506" i="26"/>
  <c r="L505" i="26"/>
  <c r="I505" i="26"/>
  <c r="F505" i="26"/>
  <c r="H505" i="26" s="1"/>
  <c r="E505" i="26"/>
  <c r="G505" i="26" s="1"/>
  <c r="D505" i="26"/>
  <c r="B505" i="26"/>
  <c r="L504" i="26"/>
  <c r="I504" i="26"/>
  <c r="F504" i="26"/>
  <c r="H504" i="26" s="1"/>
  <c r="E504" i="26"/>
  <c r="G504" i="26" s="1"/>
  <c r="D504" i="26"/>
  <c r="B504" i="26"/>
  <c r="L503" i="26"/>
  <c r="I503" i="26"/>
  <c r="F503" i="26"/>
  <c r="H503" i="26" s="1"/>
  <c r="E503" i="26"/>
  <c r="G503" i="26" s="1"/>
  <c r="D503" i="26"/>
  <c r="B503" i="26"/>
  <c r="L502" i="26"/>
  <c r="I502" i="26"/>
  <c r="F502" i="26"/>
  <c r="H502" i="26" s="1"/>
  <c r="E502" i="26"/>
  <c r="G502" i="26" s="1"/>
  <c r="D502" i="26"/>
  <c r="B502" i="26"/>
  <c r="L501" i="26"/>
  <c r="I501" i="26"/>
  <c r="F501" i="26"/>
  <c r="H501" i="26" s="1"/>
  <c r="E501" i="26"/>
  <c r="G501" i="26" s="1"/>
  <c r="D501" i="26"/>
  <c r="B501" i="26"/>
  <c r="L500" i="26"/>
  <c r="I500" i="26"/>
  <c r="F500" i="26"/>
  <c r="H500" i="26" s="1"/>
  <c r="E500" i="26"/>
  <c r="G500" i="26" s="1"/>
  <c r="D500" i="26"/>
  <c r="B500" i="26"/>
  <c r="L499" i="26"/>
  <c r="I499" i="26"/>
  <c r="F499" i="26"/>
  <c r="H499" i="26" s="1"/>
  <c r="E499" i="26"/>
  <c r="G499" i="26" s="1"/>
  <c r="D499" i="26"/>
  <c r="B499" i="26"/>
  <c r="L498" i="26"/>
  <c r="I498" i="26"/>
  <c r="K498" i="26" s="1"/>
  <c r="F498" i="26"/>
  <c r="H498" i="26" s="1"/>
  <c r="E498" i="26"/>
  <c r="G498" i="26" s="1"/>
  <c r="D498" i="26"/>
  <c r="B498" i="26"/>
  <c r="L497" i="26"/>
  <c r="I497" i="26"/>
  <c r="F497" i="26"/>
  <c r="H497" i="26" s="1"/>
  <c r="E497" i="26"/>
  <c r="G497" i="26" s="1"/>
  <c r="D497" i="26"/>
  <c r="B497" i="26"/>
  <c r="L496" i="26"/>
  <c r="I496" i="26"/>
  <c r="F496" i="26"/>
  <c r="H496" i="26" s="1"/>
  <c r="E496" i="26"/>
  <c r="G496" i="26" s="1"/>
  <c r="D496" i="26"/>
  <c r="B496" i="26"/>
  <c r="L495" i="26"/>
  <c r="I495" i="26"/>
  <c r="F495" i="26"/>
  <c r="H495" i="26" s="1"/>
  <c r="E495" i="26"/>
  <c r="G495" i="26" s="1"/>
  <c r="D495" i="26"/>
  <c r="B495" i="26"/>
  <c r="L494" i="26"/>
  <c r="I494" i="26"/>
  <c r="F494" i="26"/>
  <c r="H494" i="26" s="1"/>
  <c r="E494" i="26"/>
  <c r="G494" i="26" s="1"/>
  <c r="D494" i="26"/>
  <c r="B494" i="26"/>
  <c r="L493" i="26"/>
  <c r="I493" i="26"/>
  <c r="K493" i="26" s="1"/>
  <c r="F493" i="26"/>
  <c r="H493" i="26" s="1"/>
  <c r="E493" i="26"/>
  <c r="G493" i="26" s="1"/>
  <c r="D493" i="26"/>
  <c r="B493" i="26"/>
  <c r="L492" i="26"/>
  <c r="N492" i="26" s="1"/>
  <c r="I492" i="26"/>
  <c r="F492" i="26"/>
  <c r="H492" i="26" s="1"/>
  <c r="E492" i="26"/>
  <c r="G492" i="26" s="1"/>
  <c r="D492" i="26"/>
  <c r="B492" i="26"/>
  <c r="L491" i="26"/>
  <c r="N491" i="26" s="1"/>
  <c r="I491" i="26"/>
  <c r="F491" i="26"/>
  <c r="H491" i="26" s="1"/>
  <c r="E491" i="26"/>
  <c r="G491" i="26" s="1"/>
  <c r="D491" i="26"/>
  <c r="B491" i="26"/>
  <c r="L490" i="26"/>
  <c r="I490" i="26"/>
  <c r="F490" i="26"/>
  <c r="H490" i="26" s="1"/>
  <c r="E490" i="26"/>
  <c r="G490" i="26" s="1"/>
  <c r="D490" i="26"/>
  <c r="B490" i="26"/>
  <c r="L489" i="26"/>
  <c r="I489" i="26"/>
  <c r="F489" i="26"/>
  <c r="H489" i="26" s="1"/>
  <c r="E489" i="26"/>
  <c r="G489" i="26" s="1"/>
  <c r="D489" i="26"/>
  <c r="B489" i="26"/>
  <c r="L488" i="26"/>
  <c r="I488" i="26"/>
  <c r="F488" i="26"/>
  <c r="H488" i="26" s="1"/>
  <c r="E488" i="26"/>
  <c r="G488" i="26" s="1"/>
  <c r="D488" i="26"/>
  <c r="B488" i="26"/>
  <c r="L487" i="26"/>
  <c r="I487" i="26"/>
  <c r="F487" i="26"/>
  <c r="H487" i="26" s="1"/>
  <c r="E487" i="26"/>
  <c r="G487" i="26" s="1"/>
  <c r="D487" i="26"/>
  <c r="B487" i="26"/>
  <c r="L486" i="26"/>
  <c r="I486" i="26"/>
  <c r="K486" i="26" s="1"/>
  <c r="F486" i="26"/>
  <c r="H486" i="26" s="1"/>
  <c r="E486" i="26"/>
  <c r="G486" i="26" s="1"/>
  <c r="D486" i="26"/>
  <c r="B486" i="26"/>
  <c r="L485" i="26"/>
  <c r="I485" i="26"/>
  <c r="F485" i="26"/>
  <c r="H485" i="26" s="1"/>
  <c r="E485" i="26"/>
  <c r="G485" i="26" s="1"/>
  <c r="D485" i="26"/>
  <c r="B485" i="26"/>
  <c r="L484" i="26"/>
  <c r="N484" i="26" s="1"/>
  <c r="I484" i="26"/>
  <c r="K484" i="26" s="1"/>
  <c r="F484" i="26"/>
  <c r="H484" i="26" s="1"/>
  <c r="E484" i="26"/>
  <c r="G484" i="26" s="1"/>
  <c r="D484" i="26"/>
  <c r="B484" i="26"/>
  <c r="L483" i="26"/>
  <c r="I483" i="26"/>
  <c r="F483" i="26"/>
  <c r="H483" i="26" s="1"/>
  <c r="E483" i="26"/>
  <c r="G483" i="26" s="1"/>
  <c r="D483" i="26"/>
  <c r="B483" i="26"/>
  <c r="L482" i="26"/>
  <c r="I482" i="26"/>
  <c r="F482" i="26"/>
  <c r="H482" i="26" s="1"/>
  <c r="E482" i="26"/>
  <c r="G482" i="26" s="1"/>
  <c r="D482" i="26"/>
  <c r="B482" i="26"/>
  <c r="L481" i="26"/>
  <c r="N481" i="26" s="1"/>
  <c r="I481" i="26"/>
  <c r="K481" i="26" s="1"/>
  <c r="F481" i="26"/>
  <c r="H481" i="26" s="1"/>
  <c r="E481" i="26"/>
  <c r="G481" i="26" s="1"/>
  <c r="D481" i="26"/>
  <c r="B481" i="26"/>
  <c r="L480" i="26"/>
  <c r="I480" i="26"/>
  <c r="F480" i="26"/>
  <c r="H480" i="26" s="1"/>
  <c r="E480" i="26"/>
  <c r="G480" i="26" s="1"/>
  <c r="D480" i="26"/>
  <c r="B480" i="26"/>
  <c r="L479" i="26"/>
  <c r="I479" i="26"/>
  <c r="F479" i="26"/>
  <c r="H479" i="26" s="1"/>
  <c r="E479" i="26"/>
  <c r="G479" i="26" s="1"/>
  <c r="D479" i="26"/>
  <c r="B479" i="26"/>
  <c r="L478" i="26"/>
  <c r="I478" i="26"/>
  <c r="F478" i="26"/>
  <c r="H478" i="26" s="1"/>
  <c r="E478" i="26"/>
  <c r="G478" i="26" s="1"/>
  <c r="D478" i="26"/>
  <c r="B478" i="26"/>
  <c r="L477" i="26"/>
  <c r="N477" i="26" s="1"/>
  <c r="I477" i="26"/>
  <c r="K477" i="26" s="1"/>
  <c r="F477" i="26"/>
  <c r="H477" i="26" s="1"/>
  <c r="E477" i="26"/>
  <c r="G477" i="26" s="1"/>
  <c r="D477" i="26"/>
  <c r="B477" i="26"/>
  <c r="L476" i="26"/>
  <c r="I476" i="26"/>
  <c r="K476" i="26" s="1"/>
  <c r="F476" i="26"/>
  <c r="H476" i="26" s="1"/>
  <c r="E476" i="26"/>
  <c r="G476" i="26" s="1"/>
  <c r="D476" i="26"/>
  <c r="B476" i="26"/>
  <c r="L475" i="26"/>
  <c r="N475" i="26" s="1"/>
  <c r="I475" i="26"/>
  <c r="F475" i="26"/>
  <c r="H475" i="26" s="1"/>
  <c r="E475" i="26"/>
  <c r="G475" i="26" s="1"/>
  <c r="D475" i="26"/>
  <c r="B475" i="26"/>
  <c r="L474" i="26"/>
  <c r="I474" i="26"/>
  <c r="F474" i="26"/>
  <c r="H474" i="26" s="1"/>
  <c r="E474" i="26"/>
  <c r="G474" i="26" s="1"/>
  <c r="D474" i="26"/>
  <c r="B474" i="26"/>
  <c r="L473" i="26"/>
  <c r="I473" i="26"/>
  <c r="F473" i="26"/>
  <c r="H473" i="26" s="1"/>
  <c r="E473" i="26"/>
  <c r="G473" i="26" s="1"/>
  <c r="D473" i="26"/>
  <c r="B473" i="26"/>
  <c r="L472" i="26"/>
  <c r="I472" i="26"/>
  <c r="F472" i="26"/>
  <c r="H472" i="26" s="1"/>
  <c r="E472" i="26"/>
  <c r="G472" i="26" s="1"/>
  <c r="D472" i="26"/>
  <c r="B472" i="26"/>
  <c r="L471" i="26"/>
  <c r="I471" i="26"/>
  <c r="F471" i="26"/>
  <c r="H471" i="26" s="1"/>
  <c r="E471" i="26"/>
  <c r="G471" i="26" s="1"/>
  <c r="D471" i="26"/>
  <c r="B471" i="26"/>
  <c r="L470" i="26"/>
  <c r="I470" i="26"/>
  <c r="K470" i="26" s="1"/>
  <c r="F470" i="26"/>
  <c r="H470" i="26" s="1"/>
  <c r="E470" i="26"/>
  <c r="G470" i="26" s="1"/>
  <c r="D470" i="26"/>
  <c r="B470" i="26"/>
  <c r="L469" i="26"/>
  <c r="N469" i="26" s="1"/>
  <c r="I469" i="26"/>
  <c r="F469" i="26"/>
  <c r="H469" i="26" s="1"/>
  <c r="E469" i="26"/>
  <c r="G469" i="26" s="1"/>
  <c r="D469" i="26"/>
  <c r="B469" i="26"/>
  <c r="L468" i="26"/>
  <c r="I468" i="26"/>
  <c r="F468" i="26"/>
  <c r="H468" i="26" s="1"/>
  <c r="E468" i="26"/>
  <c r="G468" i="26" s="1"/>
  <c r="D468" i="26"/>
  <c r="B468" i="26"/>
  <c r="L467" i="26"/>
  <c r="I467" i="26"/>
  <c r="F467" i="26"/>
  <c r="H467" i="26" s="1"/>
  <c r="E467" i="26"/>
  <c r="G467" i="26" s="1"/>
  <c r="D467" i="26"/>
  <c r="B467" i="26"/>
  <c r="L466" i="26"/>
  <c r="I466" i="26"/>
  <c r="F466" i="26"/>
  <c r="H466" i="26" s="1"/>
  <c r="E466" i="26"/>
  <c r="G466" i="26" s="1"/>
  <c r="D466" i="26"/>
  <c r="B466" i="26"/>
  <c r="L465" i="26"/>
  <c r="I465" i="26"/>
  <c r="F465" i="26"/>
  <c r="H465" i="26" s="1"/>
  <c r="E465" i="26"/>
  <c r="G465" i="26" s="1"/>
  <c r="D465" i="26"/>
  <c r="B465" i="26"/>
  <c r="L464" i="26"/>
  <c r="I464" i="26"/>
  <c r="F464" i="26"/>
  <c r="H464" i="26" s="1"/>
  <c r="E464" i="26"/>
  <c r="G464" i="26" s="1"/>
  <c r="D464" i="26"/>
  <c r="B464" i="26"/>
  <c r="L463" i="26"/>
  <c r="I463" i="26"/>
  <c r="F463" i="26"/>
  <c r="H463" i="26" s="1"/>
  <c r="E463" i="26"/>
  <c r="G463" i="26" s="1"/>
  <c r="D463" i="26"/>
  <c r="B463" i="26"/>
  <c r="L462" i="26"/>
  <c r="I462" i="26"/>
  <c r="K462" i="26" s="1"/>
  <c r="F462" i="26"/>
  <c r="H462" i="26" s="1"/>
  <c r="E462" i="26"/>
  <c r="G462" i="26" s="1"/>
  <c r="D462" i="26"/>
  <c r="B462" i="26"/>
  <c r="L461" i="26"/>
  <c r="I461" i="26"/>
  <c r="F461" i="26"/>
  <c r="H461" i="26" s="1"/>
  <c r="E461" i="26"/>
  <c r="G461" i="26" s="1"/>
  <c r="D461" i="26"/>
  <c r="B461" i="26"/>
  <c r="L460" i="26"/>
  <c r="I460" i="26"/>
  <c r="F460" i="26"/>
  <c r="H460" i="26" s="1"/>
  <c r="E460" i="26"/>
  <c r="G460" i="26" s="1"/>
  <c r="D460" i="26"/>
  <c r="B460" i="26"/>
  <c r="L459" i="26"/>
  <c r="I459" i="26"/>
  <c r="F459" i="26"/>
  <c r="H459" i="26" s="1"/>
  <c r="E459" i="26"/>
  <c r="G459" i="26" s="1"/>
  <c r="D459" i="26"/>
  <c r="B459" i="26"/>
  <c r="L458" i="26"/>
  <c r="I458" i="26"/>
  <c r="F458" i="26"/>
  <c r="H458" i="26" s="1"/>
  <c r="E458" i="26"/>
  <c r="G458" i="26" s="1"/>
  <c r="D458" i="26"/>
  <c r="B458" i="26"/>
  <c r="L457" i="26"/>
  <c r="I457" i="26"/>
  <c r="F457" i="26"/>
  <c r="H457" i="26" s="1"/>
  <c r="E457" i="26"/>
  <c r="G457" i="26" s="1"/>
  <c r="D457" i="26"/>
  <c r="B457" i="26"/>
  <c r="L456" i="26"/>
  <c r="I456" i="26"/>
  <c r="F456" i="26"/>
  <c r="H456" i="26" s="1"/>
  <c r="E456" i="26"/>
  <c r="G456" i="26" s="1"/>
  <c r="D456" i="26"/>
  <c r="B456" i="26"/>
  <c r="L455" i="26"/>
  <c r="I455" i="26"/>
  <c r="F455" i="26"/>
  <c r="H455" i="26" s="1"/>
  <c r="E455" i="26"/>
  <c r="G455" i="26" s="1"/>
  <c r="D455" i="26"/>
  <c r="B455" i="26"/>
  <c r="L454" i="26"/>
  <c r="I454" i="26"/>
  <c r="F454" i="26"/>
  <c r="H454" i="26" s="1"/>
  <c r="E454" i="26"/>
  <c r="G454" i="26" s="1"/>
  <c r="D454" i="26"/>
  <c r="B454" i="26"/>
  <c r="L453" i="26"/>
  <c r="I453" i="26"/>
  <c r="F453" i="26"/>
  <c r="H453" i="26" s="1"/>
  <c r="E453" i="26"/>
  <c r="G453" i="26" s="1"/>
  <c r="D453" i="26"/>
  <c r="B453" i="26"/>
  <c r="L452" i="26"/>
  <c r="I452" i="26"/>
  <c r="F452" i="26"/>
  <c r="H452" i="26" s="1"/>
  <c r="E452" i="26"/>
  <c r="G452" i="26" s="1"/>
  <c r="D452" i="26"/>
  <c r="B452" i="26"/>
  <c r="L451" i="26"/>
  <c r="I451" i="26"/>
  <c r="F451" i="26"/>
  <c r="H451" i="26" s="1"/>
  <c r="E451" i="26"/>
  <c r="G451" i="26" s="1"/>
  <c r="D451" i="26"/>
  <c r="B451" i="26"/>
  <c r="L450" i="26"/>
  <c r="I450" i="26"/>
  <c r="F450" i="26"/>
  <c r="H450" i="26" s="1"/>
  <c r="E450" i="26"/>
  <c r="G450" i="26" s="1"/>
  <c r="D450" i="26"/>
  <c r="B450" i="26"/>
  <c r="L449" i="26"/>
  <c r="I449" i="26"/>
  <c r="F449" i="26"/>
  <c r="H449" i="26" s="1"/>
  <c r="E449" i="26"/>
  <c r="G449" i="26" s="1"/>
  <c r="D449" i="26"/>
  <c r="B449" i="26"/>
  <c r="L448" i="26"/>
  <c r="I448" i="26"/>
  <c r="F448" i="26"/>
  <c r="H448" i="26" s="1"/>
  <c r="E448" i="26"/>
  <c r="G448" i="26" s="1"/>
  <c r="D448" i="26"/>
  <c r="B448" i="26"/>
  <c r="L447" i="26"/>
  <c r="I447" i="26"/>
  <c r="F447" i="26"/>
  <c r="H447" i="26" s="1"/>
  <c r="E447" i="26"/>
  <c r="G447" i="26" s="1"/>
  <c r="D447" i="26"/>
  <c r="B447" i="26"/>
  <c r="L446" i="26"/>
  <c r="I446" i="26"/>
  <c r="K446" i="26" s="1"/>
  <c r="F446" i="26"/>
  <c r="H446" i="26" s="1"/>
  <c r="E446" i="26"/>
  <c r="G446" i="26" s="1"/>
  <c r="D446" i="26"/>
  <c r="B446" i="26"/>
  <c r="L445" i="26"/>
  <c r="I445" i="26"/>
  <c r="F445" i="26"/>
  <c r="H445" i="26" s="1"/>
  <c r="E445" i="26"/>
  <c r="G445" i="26" s="1"/>
  <c r="D445" i="26"/>
  <c r="B445" i="26"/>
  <c r="L444" i="26"/>
  <c r="I444" i="26"/>
  <c r="F444" i="26"/>
  <c r="H444" i="26" s="1"/>
  <c r="E444" i="26"/>
  <c r="G444" i="26" s="1"/>
  <c r="D444" i="26"/>
  <c r="B444" i="26"/>
  <c r="L443" i="26"/>
  <c r="I443" i="26"/>
  <c r="F443" i="26"/>
  <c r="H443" i="26" s="1"/>
  <c r="E443" i="26"/>
  <c r="G443" i="26" s="1"/>
  <c r="D443" i="26"/>
  <c r="B443" i="26"/>
  <c r="L442" i="26"/>
  <c r="I442" i="26"/>
  <c r="F442" i="26"/>
  <c r="H442" i="26" s="1"/>
  <c r="E442" i="26"/>
  <c r="G442" i="26" s="1"/>
  <c r="D442" i="26"/>
  <c r="B442" i="26"/>
  <c r="L441" i="26"/>
  <c r="I441" i="26"/>
  <c r="F441" i="26"/>
  <c r="H441" i="26" s="1"/>
  <c r="E441" i="26"/>
  <c r="G441" i="26" s="1"/>
  <c r="D441" i="26"/>
  <c r="B441" i="26"/>
  <c r="L440" i="26"/>
  <c r="I440" i="26"/>
  <c r="F440" i="26"/>
  <c r="H440" i="26" s="1"/>
  <c r="E440" i="26"/>
  <c r="G440" i="26" s="1"/>
  <c r="D440" i="26"/>
  <c r="B440" i="26"/>
  <c r="L439" i="26"/>
  <c r="I439" i="26"/>
  <c r="F439" i="26"/>
  <c r="H439" i="26" s="1"/>
  <c r="E439" i="26"/>
  <c r="G439" i="26" s="1"/>
  <c r="D439" i="26"/>
  <c r="B439" i="26"/>
  <c r="L438" i="26"/>
  <c r="I438" i="26"/>
  <c r="F438" i="26"/>
  <c r="H438" i="26" s="1"/>
  <c r="E438" i="26"/>
  <c r="G438" i="26" s="1"/>
  <c r="D438" i="26"/>
  <c r="B438" i="26"/>
  <c r="L437" i="26"/>
  <c r="I437" i="26"/>
  <c r="F437" i="26"/>
  <c r="H437" i="26" s="1"/>
  <c r="E437" i="26"/>
  <c r="G437" i="26" s="1"/>
  <c r="D437" i="26"/>
  <c r="B437" i="26"/>
  <c r="L436" i="26"/>
  <c r="I436" i="26"/>
  <c r="F436" i="26"/>
  <c r="H436" i="26" s="1"/>
  <c r="E436" i="26"/>
  <c r="G436" i="26" s="1"/>
  <c r="D436" i="26"/>
  <c r="B436" i="26"/>
  <c r="L435" i="26"/>
  <c r="I435" i="26"/>
  <c r="F435" i="26"/>
  <c r="H435" i="26" s="1"/>
  <c r="E435" i="26"/>
  <c r="G435" i="26" s="1"/>
  <c r="D435" i="26"/>
  <c r="B435" i="26"/>
  <c r="L434" i="26"/>
  <c r="I434" i="26"/>
  <c r="K434" i="26" s="1"/>
  <c r="F434" i="26"/>
  <c r="H434" i="26" s="1"/>
  <c r="E434" i="26"/>
  <c r="G434" i="26" s="1"/>
  <c r="D434" i="26"/>
  <c r="B434" i="26"/>
  <c r="L433" i="26"/>
  <c r="I433" i="26"/>
  <c r="F433" i="26"/>
  <c r="H433" i="26" s="1"/>
  <c r="E433" i="26"/>
  <c r="G433" i="26" s="1"/>
  <c r="D433" i="26"/>
  <c r="B433" i="26"/>
  <c r="L432" i="26"/>
  <c r="I432" i="26"/>
  <c r="F432" i="26"/>
  <c r="H432" i="26" s="1"/>
  <c r="E432" i="26"/>
  <c r="G432" i="26" s="1"/>
  <c r="D432" i="26"/>
  <c r="B432" i="26"/>
  <c r="L431" i="26"/>
  <c r="I431" i="26"/>
  <c r="F431" i="26"/>
  <c r="H431" i="26" s="1"/>
  <c r="E431" i="26"/>
  <c r="G431" i="26" s="1"/>
  <c r="D431" i="26"/>
  <c r="B431" i="26"/>
  <c r="L430" i="26"/>
  <c r="I430" i="26"/>
  <c r="F430" i="26"/>
  <c r="H430" i="26" s="1"/>
  <c r="E430" i="26"/>
  <c r="G430" i="26" s="1"/>
  <c r="D430" i="26"/>
  <c r="B430" i="26"/>
  <c r="L429" i="26"/>
  <c r="I429" i="26"/>
  <c r="F429" i="26"/>
  <c r="H429" i="26" s="1"/>
  <c r="E429" i="26"/>
  <c r="G429" i="26" s="1"/>
  <c r="D429" i="26"/>
  <c r="B429" i="26"/>
  <c r="L428" i="26"/>
  <c r="I428" i="26"/>
  <c r="F428" i="26"/>
  <c r="H428" i="26" s="1"/>
  <c r="E428" i="26"/>
  <c r="G428" i="26" s="1"/>
  <c r="D428" i="26"/>
  <c r="B428" i="26"/>
  <c r="L427" i="26"/>
  <c r="I427" i="26"/>
  <c r="F427" i="26"/>
  <c r="H427" i="26" s="1"/>
  <c r="E427" i="26"/>
  <c r="G427" i="26" s="1"/>
  <c r="D427" i="26"/>
  <c r="B427" i="26"/>
  <c r="L426" i="26"/>
  <c r="I426" i="26"/>
  <c r="K426" i="26" s="1"/>
  <c r="F426" i="26"/>
  <c r="H426" i="26" s="1"/>
  <c r="E426" i="26"/>
  <c r="G426" i="26" s="1"/>
  <c r="D426" i="26"/>
  <c r="B426" i="26"/>
  <c r="L425" i="26"/>
  <c r="I425" i="26"/>
  <c r="K425" i="26" s="1"/>
  <c r="F425" i="26"/>
  <c r="H425" i="26" s="1"/>
  <c r="E425" i="26"/>
  <c r="G425" i="26" s="1"/>
  <c r="D425" i="26"/>
  <c r="B425" i="26"/>
  <c r="L424" i="26"/>
  <c r="I424" i="26"/>
  <c r="F424" i="26"/>
  <c r="H424" i="26" s="1"/>
  <c r="E424" i="26"/>
  <c r="G424" i="26" s="1"/>
  <c r="D424" i="26"/>
  <c r="B424" i="26"/>
  <c r="L423" i="26"/>
  <c r="I423" i="26"/>
  <c r="F423" i="26"/>
  <c r="H423" i="26" s="1"/>
  <c r="E423" i="26"/>
  <c r="G423" i="26" s="1"/>
  <c r="D423" i="26"/>
  <c r="B423" i="26"/>
  <c r="L422" i="26"/>
  <c r="I422" i="26"/>
  <c r="F422" i="26"/>
  <c r="H422" i="26" s="1"/>
  <c r="E422" i="26"/>
  <c r="G422" i="26" s="1"/>
  <c r="D422" i="26"/>
  <c r="B422" i="26"/>
  <c r="L421" i="26"/>
  <c r="I421" i="26"/>
  <c r="F421" i="26"/>
  <c r="H421" i="26" s="1"/>
  <c r="E421" i="26"/>
  <c r="G421" i="26" s="1"/>
  <c r="D421" i="26"/>
  <c r="B421" i="26"/>
  <c r="L420" i="26"/>
  <c r="I420" i="26"/>
  <c r="K420" i="26" s="1"/>
  <c r="F420" i="26"/>
  <c r="H420" i="26" s="1"/>
  <c r="E420" i="26"/>
  <c r="G420" i="26" s="1"/>
  <c r="D420" i="26"/>
  <c r="B420" i="26"/>
  <c r="L419" i="26"/>
  <c r="I419" i="26"/>
  <c r="F419" i="26"/>
  <c r="H419" i="26" s="1"/>
  <c r="E419" i="26"/>
  <c r="G419" i="26" s="1"/>
  <c r="D419" i="26"/>
  <c r="B419" i="26"/>
  <c r="L418" i="26"/>
  <c r="I418" i="26"/>
  <c r="F418" i="26"/>
  <c r="H418" i="26" s="1"/>
  <c r="E418" i="26"/>
  <c r="G418" i="26" s="1"/>
  <c r="D418" i="26"/>
  <c r="B418" i="26"/>
  <c r="L417" i="26"/>
  <c r="I417" i="26"/>
  <c r="F417" i="26"/>
  <c r="H417" i="26" s="1"/>
  <c r="E417" i="26"/>
  <c r="G417" i="26" s="1"/>
  <c r="D417" i="26"/>
  <c r="B417" i="26"/>
  <c r="L416" i="26"/>
  <c r="I416" i="26"/>
  <c r="F416" i="26"/>
  <c r="H416" i="26" s="1"/>
  <c r="E416" i="26"/>
  <c r="G416" i="26" s="1"/>
  <c r="D416" i="26"/>
  <c r="B416" i="26"/>
  <c r="L415" i="26"/>
  <c r="I415" i="26"/>
  <c r="F415" i="26"/>
  <c r="H415" i="26" s="1"/>
  <c r="E415" i="26"/>
  <c r="G415" i="26" s="1"/>
  <c r="D415" i="26"/>
  <c r="B415" i="26"/>
  <c r="L414" i="26"/>
  <c r="I414" i="26"/>
  <c r="F414" i="26"/>
  <c r="H414" i="26" s="1"/>
  <c r="E414" i="26"/>
  <c r="G414" i="26" s="1"/>
  <c r="D414" i="26"/>
  <c r="B414" i="26"/>
  <c r="L413" i="26"/>
  <c r="I413" i="26"/>
  <c r="F413" i="26"/>
  <c r="H413" i="26" s="1"/>
  <c r="E413" i="26"/>
  <c r="G413" i="26" s="1"/>
  <c r="D413" i="26"/>
  <c r="B413" i="26"/>
  <c r="L412" i="26"/>
  <c r="I412" i="26"/>
  <c r="K412" i="26" s="1"/>
  <c r="F412" i="26"/>
  <c r="H412" i="26" s="1"/>
  <c r="E412" i="26"/>
  <c r="G412" i="26" s="1"/>
  <c r="D412" i="26"/>
  <c r="B412" i="26"/>
  <c r="L411" i="26"/>
  <c r="I411" i="26"/>
  <c r="F411" i="26"/>
  <c r="H411" i="26" s="1"/>
  <c r="E411" i="26"/>
  <c r="G411" i="26" s="1"/>
  <c r="D411" i="26"/>
  <c r="B411" i="26"/>
  <c r="L410" i="26"/>
  <c r="I410" i="26"/>
  <c r="F410" i="26"/>
  <c r="H410" i="26" s="1"/>
  <c r="E410" i="26"/>
  <c r="G410" i="26" s="1"/>
  <c r="D410" i="26"/>
  <c r="B410" i="26"/>
  <c r="L409" i="26"/>
  <c r="I409" i="26"/>
  <c r="F409" i="26"/>
  <c r="H409" i="26" s="1"/>
  <c r="E409" i="26"/>
  <c r="G409" i="26" s="1"/>
  <c r="D409" i="26"/>
  <c r="B409" i="26"/>
  <c r="L408" i="26"/>
  <c r="I408" i="26"/>
  <c r="F408" i="26"/>
  <c r="H408" i="26" s="1"/>
  <c r="E408" i="26"/>
  <c r="G408" i="26" s="1"/>
  <c r="D408" i="26"/>
  <c r="B408" i="26"/>
  <c r="L407" i="26"/>
  <c r="I407" i="26"/>
  <c r="F407" i="26"/>
  <c r="H407" i="26" s="1"/>
  <c r="E407" i="26"/>
  <c r="G407" i="26" s="1"/>
  <c r="D407" i="26"/>
  <c r="B407" i="26"/>
  <c r="L406" i="26"/>
  <c r="I406" i="26"/>
  <c r="K406" i="26" s="1"/>
  <c r="F406" i="26"/>
  <c r="H406" i="26" s="1"/>
  <c r="E406" i="26"/>
  <c r="G406" i="26" s="1"/>
  <c r="D406" i="26"/>
  <c r="B406" i="26"/>
  <c r="L405" i="26"/>
  <c r="I405" i="26"/>
  <c r="F405" i="26"/>
  <c r="H405" i="26" s="1"/>
  <c r="E405" i="26"/>
  <c r="G405" i="26" s="1"/>
  <c r="D405" i="26"/>
  <c r="B405" i="26"/>
  <c r="L404" i="26"/>
  <c r="I404" i="26"/>
  <c r="F404" i="26"/>
  <c r="H404" i="26" s="1"/>
  <c r="E404" i="26"/>
  <c r="G404" i="26" s="1"/>
  <c r="D404" i="26"/>
  <c r="B404" i="26"/>
  <c r="L403" i="26"/>
  <c r="I403" i="26"/>
  <c r="F403" i="26"/>
  <c r="H403" i="26" s="1"/>
  <c r="E403" i="26"/>
  <c r="G403" i="26" s="1"/>
  <c r="D403" i="26"/>
  <c r="B403" i="26"/>
  <c r="L402" i="26"/>
  <c r="I402" i="26"/>
  <c r="F402" i="26"/>
  <c r="H402" i="26" s="1"/>
  <c r="E402" i="26"/>
  <c r="G402" i="26" s="1"/>
  <c r="D402" i="26"/>
  <c r="B402" i="26"/>
  <c r="L401" i="26"/>
  <c r="I401" i="26"/>
  <c r="F401" i="26"/>
  <c r="H401" i="26" s="1"/>
  <c r="E401" i="26"/>
  <c r="G401" i="26" s="1"/>
  <c r="D401" i="26"/>
  <c r="B401" i="26"/>
  <c r="L400" i="26"/>
  <c r="I400" i="26"/>
  <c r="F400" i="26"/>
  <c r="H400" i="26" s="1"/>
  <c r="E400" i="26"/>
  <c r="G400" i="26" s="1"/>
  <c r="D400" i="26"/>
  <c r="B400" i="26"/>
  <c r="L399" i="26"/>
  <c r="I399" i="26"/>
  <c r="F399" i="26"/>
  <c r="H399" i="26" s="1"/>
  <c r="E399" i="26"/>
  <c r="G399" i="26" s="1"/>
  <c r="D399" i="26"/>
  <c r="B399" i="26"/>
  <c r="L398" i="26"/>
  <c r="I398" i="26"/>
  <c r="F398" i="26"/>
  <c r="H398" i="26" s="1"/>
  <c r="E398" i="26"/>
  <c r="G398" i="26" s="1"/>
  <c r="D398" i="26"/>
  <c r="B398" i="26"/>
  <c r="L397" i="26"/>
  <c r="I397" i="26"/>
  <c r="F397" i="26"/>
  <c r="H397" i="26" s="1"/>
  <c r="E397" i="26"/>
  <c r="G397" i="26" s="1"/>
  <c r="D397" i="26"/>
  <c r="B397" i="26"/>
  <c r="L396" i="26"/>
  <c r="I396" i="26"/>
  <c r="F396" i="26"/>
  <c r="H396" i="26" s="1"/>
  <c r="E396" i="26"/>
  <c r="G396" i="26" s="1"/>
  <c r="D396" i="26"/>
  <c r="B396" i="26"/>
  <c r="L395" i="26"/>
  <c r="I395" i="26"/>
  <c r="F395" i="26"/>
  <c r="H395" i="26" s="1"/>
  <c r="E395" i="26"/>
  <c r="G395" i="26" s="1"/>
  <c r="D395" i="26"/>
  <c r="B395" i="26"/>
  <c r="L394" i="26"/>
  <c r="I394" i="26"/>
  <c r="F394" i="26"/>
  <c r="H394" i="26" s="1"/>
  <c r="E394" i="26"/>
  <c r="G394" i="26" s="1"/>
  <c r="D394" i="26"/>
  <c r="B394" i="26"/>
  <c r="L393" i="26"/>
  <c r="I393" i="26"/>
  <c r="F393" i="26"/>
  <c r="H393" i="26" s="1"/>
  <c r="E393" i="26"/>
  <c r="G393" i="26" s="1"/>
  <c r="D393" i="26"/>
  <c r="B393" i="26"/>
  <c r="L392" i="26"/>
  <c r="I392" i="26"/>
  <c r="F392" i="26"/>
  <c r="H392" i="26" s="1"/>
  <c r="E392" i="26"/>
  <c r="G392" i="26" s="1"/>
  <c r="D392" i="26"/>
  <c r="B392" i="26"/>
  <c r="L391" i="26"/>
  <c r="I391" i="26"/>
  <c r="F391" i="26"/>
  <c r="H391" i="26" s="1"/>
  <c r="E391" i="26"/>
  <c r="G391" i="26" s="1"/>
  <c r="D391" i="26"/>
  <c r="B391" i="26"/>
  <c r="L390" i="26"/>
  <c r="I390" i="26"/>
  <c r="F390" i="26"/>
  <c r="H390" i="26" s="1"/>
  <c r="E390" i="26"/>
  <c r="G390" i="26" s="1"/>
  <c r="D390" i="26"/>
  <c r="B390" i="26"/>
  <c r="L389" i="26"/>
  <c r="I389" i="26"/>
  <c r="F389" i="26"/>
  <c r="H389" i="26" s="1"/>
  <c r="E389" i="26"/>
  <c r="G389" i="26" s="1"/>
  <c r="D389" i="26"/>
  <c r="B389" i="26"/>
  <c r="L388" i="26"/>
  <c r="I388" i="26"/>
  <c r="F388" i="26"/>
  <c r="H388" i="26" s="1"/>
  <c r="E388" i="26"/>
  <c r="G388" i="26" s="1"/>
  <c r="D388" i="26"/>
  <c r="B388" i="26"/>
  <c r="L387" i="26"/>
  <c r="I387" i="26"/>
  <c r="F387" i="26"/>
  <c r="H387" i="26" s="1"/>
  <c r="E387" i="26"/>
  <c r="G387" i="26" s="1"/>
  <c r="D387" i="26"/>
  <c r="B387" i="26"/>
  <c r="L386" i="26"/>
  <c r="I386" i="26"/>
  <c r="F386" i="26"/>
  <c r="H386" i="26" s="1"/>
  <c r="E386" i="26"/>
  <c r="G386" i="26" s="1"/>
  <c r="D386" i="26"/>
  <c r="B386" i="26"/>
  <c r="L385" i="26"/>
  <c r="I385" i="26"/>
  <c r="F385" i="26"/>
  <c r="H385" i="26" s="1"/>
  <c r="E385" i="26"/>
  <c r="G385" i="26" s="1"/>
  <c r="D385" i="26"/>
  <c r="B385" i="26"/>
  <c r="L384" i="26"/>
  <c r="I384" i="26"/>
  <c r="F384" i="26"/>
  <c r="H384" i="26" s="1"/>
  <c r="E384" i="26"/>
  <c r="G384" i="26" s="1"/>
  <c r="D384" i="26"/>
  <c r="B384" i="26"/>
  <c r="L383" i="26"/>
  <c r="I383" i="26"/>
  <c r="F383" i="26"/>
  <c r="H383" i="26" s="1"/>
  <c r="E383" i="26"/>
  <c r="G383" i="26" s="1"/>
  <c r="D383" i="26"/>
  <c r="B383" i="26"/>
  <c r="L382" i="26"/>
  <c r="I382" i="26"/>
  <c r="F382" i="26"/>
  <c r="H382" i="26" s="1"/>
  <c r="E382" i="26"/>
  <c r="G382" i="26" s="1"/>
  <c r="D382" i="26"/>
  <c r="B382" i="26"/>
  <c r="L381" i="26"/>
  <c r="I381" i="26"/>
  <c r="F381" i="26"/>
  <c r="H381" i="26" s="1"/>
  <c r="E381" i="26"/>
  <c r="G381" i="26" s="1"/>
  <c r="D381" i="26"/>
  <c r="B381" i="26"/>
  <c r="L380" i="26"/>
  <c r="I380" i="26"/>
  <c r="F380" i="26"/>
  <c r="H380" i="26" s="1"/>
  <c r="E380" i="26"/>
  <c r="G380" i="26" s="1"/>
  <c r="D380" i="26"/>
  <c r="B380" i="26"/>
  <c r="L379" i="26"/>
  <c r="I379" i="26"/>
  <c r="F379" i="26"/>
  <c r="H379" i="26" s="1"/>
  <c r="E379" i="26"/>
  <c r="G379" i="26" s="1"/>
  <c r="D379" i="26"/>
  <c r="B379" i="26"/>
  <c r="L378" i="26"/>
  <c r="I378" i="26"/>
  <c r="F378" i="26"/>
  <c r="H378" i="26" s="1"/>
  <c r="E378" i="26"/>
  <c r="G378" i="26" s="1"/>
  <c r="D378" i="26"/>
  <c r="B378" i="26"/>
  <c r="L377" i="26"/>
  <c r="I377" i="26"/>
  <c r="F377" i="26"/>
  <c r="H377" i="26" s="1"/>
  <c r="E377" i="26"/>
  <c r="G377" i="26" s="1"/>
  <c r="D377" i="26"/>
  <c r="B377" i="26"/>
  <c r="L376" i="26"/>
  <c r="I376" i="26"/>
  <c r="F376" i="26"/>
  <c r="H376" i="26" s="1"/>
  <c r="E376" i="26"/>
  <c r="G376" i="26" s="1"/>
  <c r="D376" i="26"/>
  <c r="B376" i="26"/>
  <c r="L375" i="26"/>
  <c r="I375" i="26"/>
  <c r="F375" i="26"/>
  <c r="H375" i="26" s="1"/>
  <c r="E375" i="26"/>
  <c r="G375" i="26" s="1"/>
  <c r="D375" i="26"/>
  <c r="B375" i="26"/>
  <c r="L374" i="26"/>
  <c r="I374" i="26"/>
  <c r="F374" i="26"/>
  <c r="H374" i="26" s="1"/>
  <c r="E374" i="26"/>
  <c r="G374" i="26" s="1"/>
  <c r="D374" i="26"/>
  <c r="B374" i="26"/>
  <c r="L373" i="26"/>
  <c r="I373" i="26"/>
  <c r="F373" i="26"/>
  <c r="H373" i="26" s="1"/>
  <c r="E373" i="26"/>
  <c r="G373" i="26" s="1"/>
  <c r="D373" i="26"/>
  <c r="B373" i="26"/>
  <c r="L372" i="26"/>
  <c r="I372" i="26"/>
  <c r="K372" i="26" s="1"/>
  <c r="F372" i="26"/>
  <c r="H372" i="26" s="1"/>
  <c r="E372" i="26"/>
  <c r="G372" i="26" s="1"/>
  <c r="D372" i="26"/>
  <c r="B372" i="26"/>
  <c r="L371" i="26"/>
  <c r="I371" i="26"/>
  <c r="F371" i="26"/>
  <c r="H371" i="26" s="1"/>
  <c r="E371" i="26"/>
  <c r="G371" i="26" s="1"/>
  <c r="D371" i="26"/>
  <c r="B371" i="26"/>
  <c r="L370" i="26"/>
  <c r="I370" i="26"/>
  <c r="F370" i="26"/>
  <c r="H370" i="26" s="1"/>
  <c r="E370" i="26"/>
  <c r="G370" i="26" s="1"/>
  <c r="D370" i="26"/>
  <c r="B370" i="26"/>
  <c r="L369" i="26"/>
  <c r="I369" i="26"/>
  <c r="F369" i="26"/>
  <c r="H369" i="26" s="1"/>
  <c r="E369" i="26"/>
  <c r="G369" i="26" s="1"/>
  <c r="D369" i="26"/>
  <c r="B369" i="26"/>
  <c r="L368" i="26"/>
  <c r="I368" i="26"/>
  <c r="F368" i="26"/>
  <c r="H368" i="26" s="1"/>
  <c r="E368" i="26"/>
  <c r="G368" i="26" s="1"/>
  <c r="D368" i="26"/>
  <c r="B368" i="26"/>
  <c r="L367" i="26"/>
  <c r="I367" i="26"/>
  <c r="F367" i="26"/>
  <c r="H367" i="26" s="1"/>
  <c r="E367" i="26"/>
  <c r="G367" i="26" s="1"/>
  <c r="D367" i="26"/>
  <c r="B367" i="26"/>
  <c r="L366" i="26"/>
  <c r="I366" i="26"/>
  <c r="F366" i="26"/>
  <c r="H366" i="26" s="1"/>
  <c r="E366" i="26"/>
  <c r="G366" i="26" s="1"/>
  <c r="D366" i="26"/>
  <c r="B366" i="26"/>
  <c r="L365" i="26"/>
  <c r="I365" i="26"/>
  <c r="F365" i="26"/>
  <c r="H365" i="26" s="1"/>
  <c r="E365" i="26"/>
  <c r="G365" i="26" s="1"/>
  <c r="D365" i="26"/>
  <c r="B365" i="26"/>
  <c r="L364" i="26"/>
  <c r="I364" i="26"/>
  <c r="F364" i="26"/>
  <c r="H364" i="26" s="1"/>
  <c r="E364" i="26"/>
  <c r="G364" i="26" s="1"/>
  <c r="D364" i="26"/>
  <c r="B364" i="26"/>
  <c r="L363" i="26"/>
  <c r="I363" i="26"/>
  <c r="F363" i="26"/>
  <c r="H363" i="26" s="1"/>
  <c r="E363" i="26"/>
  <c r="G363" i="26" s="1"/>
  <c r="D363" i="26"/>
  <c r="B363" i="26"/>
  <c r="L362" i="26"/>
  <c r="I362" i="26"/>
  <c r="F362" i="26"/>
  <c r="H362" i="26" s="1"/>
  <c r="E362" i="26"/>
  <c r="G362" i="26" s="1"/>
  <c r="D362" i="26"/>
  <c r="B362" i="26"/>
  <c r="L361" i="26"/>
  <c r="I361" i="26"/>
  <c r="K361" i="26" s="1"/>
  <c r="F361" i="26"/>
  <c r="H361" i="26" s="1"/>
  <c r="E361" i="26"/>
  <c r="G361" i="26" s="1"/>
  <c r="D361" i="26"/>
  <c r="B361" i="26"/>
  <c r="L360" i="26"/>
  <c r="I360" i="26"/>
  <c r="F360" i="26"/>
  <c r="H360" i="26" s="1"/>
  <c r="E360" i="26"/>
  <c r="G360" i="26" s="1"/>
  <c r="D360" i="26"/>
  <c r="B360" i="26"/>
  <c r="L359" i="26"/>
  <c r="I359" i="26"/>
  <c r="F359" i="26"/>
  <c r="H359" i="26" s="1"/>
  <c r="E359" i="26"/>
  <c r="G359" i="26" s="1"/>
  <c r="D359" i="26"/>
  <c r="B359" i="26"/>
  <c r="L358" i="26"/>
  <c r="I358" i="26"/>
  <c r="F358" i="26"/>
  <c r="H358" i="26" s="1"/>
  <c r="E358" i="26"/>
  <c r="G358" i="26" s="1"/>
  <c r="D358" i="26"/>
  <c r="B358" i="26"/>
  <c r="L357" i="26"/>
  <c r="I357" i="26"/>
  <c r="F357" i="26"/>
  <c r="H357" i="26" s="1"/>
  <c r="E357" i="26"/>
  <c r="G357" i="26" s="1"/>
  <c r="D357" i="26"/>
  <c r="B357" i="26"/>
  <c r="L356" i="26"/>
  <c r="I356" i="26"/>
  <c r="F356" i="26"/>
  <c r="H356" i="26" s="1"/>
  <c r="E356" i="26"/>
  <c r="G356" i="26" s="1"/>
  <c r="D356" i="26"/>
  <c r="B356" i="26"/>
  <c r="L355" i="26"/>
  <c r="I355" i="26"/>
  <c r="F355" i="26"/>
  <c r="H355" i="26" s="1"/>
  <c r="E355" i="26"/>
  <c r="G355" i="26" s="1"/>
  <c r="D355" i="26"/>
  <c r="B355" i="26"/>
  <c r="L354" i="26"/>
  <c r="I354" i="26"/>
  <c r="F354" i="26"/>
  <c r="H354" i="26" s="1"/>
  <c r="E354" i="26"/>
  <c r="G354" i="26" s="1"/>
  <c r="D354" i="26"/>
  <c r="B354" i="26"/>
  <c r="L353" i="26"/>
  <c r="I353" i="26"/>
  <c r="F353" i="26"/>
  <c r="H353" i="26" s="1"/>
  <c r="E353" i="26"/>
  <c r="G353" i="26" s="1"/>
  <c r="D353" i="26"/>
  <c r="B353" i="26"/>
  <c r="L352" i="26"/>
  <c r="I352" i="26"/>
  <c r="F352" i="26"/>
  <c r="H352" i="26" s="1"/>
  <c r="E352" i="26"/>
  <c r="G352" i="26" s="1"/>
  <c r="D352" i="26"/>
  <c r="B352" i="26"/>
  <c r="L351" i="26"/>
  <c r="I351" i="26"/>
  <c r="F351" i="26"/>
  <c r="H351" i="26" s="1"/>
  <c r="E351" i="26"/>
  <c r="G351" i="26" s="1"/>
  <c r="D351" i="26"/>
  <c r="B351" i="26"/>
  <c r="L350" i="26"/>
  <c r="I350" i="26"/>
  <c r="F350" i="26"/>
  <c r="H350" i="26" s="1"/>
  <c r="E350" i="26"/>
  <c r="G350" i="26" s="1"/>
  <c r="D350" i="26"/>
  <c r="B350" i="26"/>
  <c r="L349" i="26"/>
  <c r="I349" i="26"/>
  <c r="F349" i="26"/>
  <c r="H349" i="26" s="1"/>
  <c r="E349" i="26"/>
  <c r="G349" i="26" s="1"/>
  <c r="D349" i="26"/>
  <c r="B349" i="26"/>
  <c r="L348" i="26"/>
  <c r="I348" i="26"/>
  <c r="F348" i="26"/>
  <c r="H348" i="26" s="1"/>
  <c r="E348" i="26"/>
  <c r="G348" i="26" s="1"/>
  <c r="D348" i="26"/>
  <c r="B348" i="26"/>
  <c r="L347" i="26"/>
  <c r="I347" i="26"/>
  <c r="F347" i="26"/>
  <c r="H347" i="26" s="1"/>
  <c r="E347" i="26"/>
  <c r="G347" i="26" s="1"/>
  <c r="D347" i="26"/>
  <c r="B347" i="26"/>
  <c r="L346" i="26"/>
  <c r="I346" i="26"/>
  <c r="F346" i="26"/>
  <c r="H346" i="26" s="1"/>
  <c r="E346" i="26"/>
  <c r="G346" i="26" s="1"/>
  <c r="D346" i="26"/>
  <c r="B346" i="26"/>
  <c r="L345" i="26"/>
  <c r="I345" i="26"/>
  <c r="F345" i="26"/>
  <c r="H345" i="26" s="1"/>
  <c r="E345" i="26"/>
  <c r="G345" i="26" s="1"/>
  <c r="D345" i="26"/>
  <c r="B345" i="26"/>
  <c r="L344" i="26"/>
  <c r="I344" i="26"/>
  <c r="F344" i="26"/>
  <c r="H344" i="26" s="1"/>
  <c r="E344" i="26"/>
  <c r="G344" i="26" s="1"/>
  <c r="D344" i="26"/>
  <c r="B344" i="26"/>
  <c r="L343" i="26"/>
  <c r="I343" i="26"/>
  <c r="F343" i="26"/>
  <c r="H343" i="26" s="1"/>
  <c r="E343" i="26"/>
  <c r="G343" i="26" s="1"/>
  <c r="D343" i="26"/>
  <c r="B343" i="26"/>
  <c r="L342" i="26"/>
  <c r="I342" i="26"/>
  <c r="F342" i="26"/>
  <c r="H342" i="26" s="1"/>
  <c r="E342" i="26"/>
  <c r="G342" i="26" s="1"/>
  <c r="D342" i="26"/>
  <c r="B342" i="26"/>
  <c r="L341" i="26"/>
  <c r="I341" i="26"/>
  <c r="F341" i="26"/>
  <c r="H341" i="26" s="1"/>
  <c r="E341" i="26"/>
  <c r="G341" i="26" s="1"/>
  <c r="D341" i="26"/>
  <c r="B341" i="26"/>
  <c r="L340" i="26"/>
  <c r="I340" i="26"/>
  <c r="F340" i="26"/>
  <c r="H340" i="26" s="1"/>
  <c r="E340" i="26"/>
  <c r="G340" i="26" s="1"/>
  <c r="D340" i="26"/>
  <c r="B340" i="26"/>
  <c r="L339" i="26"/>
  <c r="I339" i="26"/>
  <c r="F339" i="26"/>
  <c r="H339" i="26" s="1"/>
  <c r="E339" i="26"/>
  <c r="G339" i="26" s="1"/>
  <c r="D339" i="26"/>
  <c r="B339" i="26"/>
  <c r="L338" i="26"/>
  <c r="I338" i="26"/>
  <c r="F338" i="26"/>
  <c r="H338" i="26" s="1"/>
  <c r="E338" i="26"/>
  <c r="G338" i="26" s="1"/>
  <c r="D338" i="26"/>
  <c r="B338" i="26"/>
  <c r="L337" i="26"/>
  <c r="I337" i="26"/>
  <c r="F337" i="26"/>
  <c r="H337" i="26" s="1"/>
  <c r="E337" i="26"/>
  <c r="G337" i="26" s="1"/>
  <c r="D337" i="26"/>
  <c r="B337" i="26"/>
  <c r="L336" i="26"/>
  <c r="I336" i="26"/>
  <c r="F336" i="26"/>
  <c r="H336" i="26" s="1"/>
  <c r="E336" i="26"/>
  <c r="G336" i="26" s="1"/>
  <c r="D336" i="26"/>
  <c r="B336" i="26"/>
  <c r="L335" i="26"/>
  <c r="I335" i="26"/>
  <c r="F335" i="26"/>
  <c r="H335" i="26" s="1"/>
  <c r="E335" i="26"/>
  <c r="G335" i="26" s="1"/>
  <c r="D335" i="26"/>
  <c r="B335" i="26"/>
  <c r="L334" i="26"/>
  <c r="I334" i="26"/>
  <c r="F334" i="26"/>
  <c r="H334" i="26" s="1"/>
  <c r="E334" i="26"/>
  <c r="G334" i="26" s="1"/>
  <c r="D334" i="26"/>
  <c r="B334" i="26"/>
  <c r="L333" i="26"/>
  <c r="I333" i="26"/>
  <c r="F333" i="26"/>
  <c r="H333" i="26" s="1"/>
  <c r="E333" i="26"/>
  <c r="G333" i="26" s="1"/>
  <c r="D333" i="26"/>
  <c r="B333" i="26"/>
  <c r="L332" i="26"/>
  <c r="I332" i="26"/>
  <c r="F332" i="26"/>
  <c r="H332" i="26" s="1"/>
  <c r="E332" i="26"/>
  <c r="G332" i="26" s="1"/>
  <c r="D332" i="26"/>
  <c r="B332" i="26"/>
  <c r="L331" i="26"/>
  <c r="I331" i="26"/>
  <c r="F331" i="26"/>
  <c r="H331" i="26" s="1"/>
  <c r="E331" i="26"/>
  <c r="G331" i="26" s="1"/>
  <c r="D331" i="26"/>
  <c r="B331" i="26"/>
  <c r="L330" i="26"/>
  <c r="I330" i="26"/>
  <c r="F330" i="26"/>
  <c r="H330" i="26" s="1"/>
  <c r="E330" i="26"/>
  <c r="G330" i="26" s="1"/>
  <c r="D330" i="26"/>
  <c r="B330" i="26"/>
  <c r="L329" i="26"/>
  <c r="I329" i="26"/>
  <c r="F329" i="26"/>
  <c r="H329" i="26" s="1"/>
  <c r="E329" i="26"/>
  <c r="G329" i="26" s="1"/>
  <c r="D329" i="26"/>
  <c r="B329" i="26"/>
  <c r="L328" i="26"/>
  <c r="I328" i="26"/>
  <c r="F328" i="26"/>
  <c r="H328" i="26" s="1"/>
  <c r="E328" i="26"/>
  <c r="G328" i="26" s="1"/>
  <c r="D328" i="26"/>
  <c r="B328" i="26"/>
  <c r="L327" i="26"/>
  <c r="I327" i="26"/>
  <c r="F327" i="26"/>
  <c r="H327" i="26" s="1"/>
  <c r="E327" i="26"/>
  <c r="G327" i="26" s="1"/>
  <c r="D327" i="26"/>
  <c r="B327" i="26"/>
  <c r="L326" i="26"/>
  <c r="I326" i="26"/>
  <c r="F326" i="26"/>
  <c r="H326" i="26" s="1"/>
  <c r="E326" i="26"/>
  <c r="G326" i="26" s="1"/>
  <c r="D326" i="26"/>
  <c r="B326" i="26"/>
  <c r="L325" i="26"/>
  <c r="I325" i="26"/>
  <c r="F325" i="26"/>
  <c r="H325" i="26" s="1"/>
  <c r="E325" i="26"/>
  <c r="G325" i="26" s="1"/>
  <c r="D325" i="26"/>
  <c r="B325" i="26"/>
  <c r="L324" i="26"/>
  <c r="I324" i="26"/>
  <c r="F324" i="26"/>
  <c r="H324" i="26" s="1"/>
  <c r="E324" i="26"/>
  <c r="G324" i="26" s="1"/>
  <c r="D324" i="26"/>
  <c r="B324" i="26"/>
  <c r="L323" i="26"/>
  <c r="I323" i="26"/>
  <c r="F323" i="26"/>
  <c r="H323" i="26" s="1"/>
  <c r="E323" i="26"/>
  <c r="G323" i="26" s="1"/>
  <c r="D323" i="26"/>
  <c r="B323" i="26"/>
  <c r="L322" i="26"/>
  <c r="I322" i="26"/>
  <c r="F322" i="26"/>
  <c r="H322" i="26" s="1"/>
  <c r="E322" i="26"/>
  <c r="G322" i="26" s="1"/>
  <c r="D322" i="26"/>
  <c r="B322" i="26"/>
  <c r="L321" i="26"/>
  <c r="I321" i="26"/>
  <c r="F321" i="26"/>
  <c r="H321" i="26" s="1"/>
  <c r="E321" i="26"/>
  <c r="G321" i="26" s="1"/>
  <c r="D321" i="26"/>
  <c r="B321" i="26"/>
  <c r="L320" i="26"/>
  <c r="I320" i="26"/>
  <c r="F320" i="26"/>
  <c r="H320" i="26" s="1"/>
  <c r="E320" i="26"/>
  <c r="G320" i="26" s="1"/>
  <c r="D320" i="26"/>
  <c r="B320" i="26"/>
  <c r="L319" i="26"/>
  <c r="I319" i="26"/>
  <c r="F319" i="26"/>
  <c r="H319" i="26" s="1"/>
  <c r="E319" i="26"/>
  <c r="G319" i="26" s="1"/>
  <c r="D319" i="26"/>
  <c r="B319" i="26"/>
  <c r="L318" i="26"/>
  <c r="I318" i="26"/>
  <c r="F318" i="26"/>
  <c r="H318" i="26" s="1"/>
  <c r="E318" i="26"/>
  <c r="G318" i="26" s="1"/>
  <c r="D318" i="26"/>
  <c r="B318" i="26"/>
  <c r="L317" i="26"/>
  <c r="I317" i="26"/>
  <c r="F317" i="26"/>
  <c r="H317" i="26" s="1"/>
  <c r="E317" i="26"/>
  <c r="G317" i="26" s="1"/>
  <c r="D317" i="26"/>
  <c r="B317" i="26"/>
  <c r="L316" i="26"/>
  <c r="I316" i="26"/>
  <c r="F316" i="26"/>
  <c r="H316" i="26" s="1"/>
  <c r="E316" i="26"/>
  <c r="G316" i="26" s="1"/>
  <c r="D316" i="26"/>
  <c r="B316" i="26"/>
  <c r="L315" i="26"/>
  <c r="I315" i="26"/>
  <c r="F315" i="26"/>
  <c r="H315" i="26" s="1"/>
  <c r="E315" i="26"/>
  <c r="G315" i="26" s="1"/>
  <c r="D315" i="26"/>
  <c r="B315" i="26"/>
  <c r="L314" i="26"/>
  <c r="I314" i="26"/>
  <c r="F314" i="26"/>
  <c r="H314" i="26" s="1"/>
  <c r="E314" i="26"/>
  <c r="G314" i="26" s="1"/>
  <c r="D314" i="26"/>
  <c r="B314" i="26"/>
  <c r="L313" i="26"/>
  <c r="I313" i="26"/>
  <c r="F313" i="26"/>
  <c r="H313" i="26" s="1"/>
  <c r="E313" i="26"/>
  <c r="G313" i="26" s="1"/>
  <c r="D313" i="26"/>
  <c r="B313" i="26"/>
  <c r="L312" i="26"/>
  <c r="I312" i="26"/>
  <c r="F312" i="26"/>
  <c r="H312" i="26" s="1"/>
  <c r="E312" i="26"/>
  <c r="G312" i="26" s="1"/>
  <c r="D312" i="26"/>
  <c r="B312" i="26"/>
  <c r="L311" i="26"/>
  <c r="I311" i="26"/>
  <c r="F311" i="26"/>
  <c r="H311" i="26" s="1"/>
  <c r="E311" i="26"/>
  <c r="G311" i="26" s="1"/>
  <c r="D311" i="26"/>
  <c r="B311" i="26"/>
  <c r="L310" i="26"/>
  <c r="I310" i="26"/>
  <c r="F310" i="26"/>
  <c r="H310" i="26" s="1"/>
  <c r="E310" i="26"/>
  <c r="G310" i="26" s="1"/>
  <c r="D310" i="26"/>
  <c r="B310" i="26"/>
  <c r="L309" i="26"/>
  <c r="I309" i="26"/>
  <c r="F309" i="26"/>
  <c r="H309" i="26" s="1"/>
  <c r="E309" i="26"/>
  <c r="G309" i="26" s="1"/>
  <c r="D309" i="26"/>
  <c r="B309" i="26"/>
  <c r="L308" i="26"/>
  <c r="I308" i="26"/>
  <c r="F308" i="26"/>
  <c r="H308" i="26" s="1"/>
  <c r="E308" i="26"/>
  <c r="G308" i="26" s="1"/>
  <c r="D308" i="26"/>
  <c r="B308" i="26"/>
  <c r="L307" i="26"/>
  <c r="I307" i="26"/>
  <c r="F307" i="26"/>
  <c r="H307" i="26" s="1"/>
  <c r="E307" i="26"/>
  <c r="G307" i="26" s="1"/>
  <c r="D307" i="26"/>
  <c r="B307" i="26"/>
  <c r="L306" i="26"/>
  <c r="I306" i="26"/>
  <c r="F306" i="26"/>
  <c r="H306" i="26" s="1"/>
  <c r="E306" i="26"/>
  <c r="G306" i="26" s="1"/>
  <c r="D306" i="26"/>
  <c r="B306" i="26"/>
  <c r="L305" i="26"/>
  <c r="I305" i="26"/>
  <c r="F305" i="26"/>
  <c r="H305" i="26" s="1"/>
  <c r="E305" i="26"/>
  <c r="G305" i="26" s="1"/>
  <c r="D305" i="26"/>
  <c r="B305" i="26"/>
  <c r="L304" i="26"/>
  <c r="I304" i="26"/>
  <c r="F304" i="26"/>
  <c r="H304" i="26" s="1"/>
  <c r="E304" i="26"/>
  <c r="G304" i="26" s="1"/>
  <c r="D304" i="26"/>
  <c r="B304" i="26"/>
  <c r="L303" i="26"/>
  <c r="I303" i="26"/>
  <c r="F303" i="26"/>
  <c r="H303" i="26" s="1"/>
  <c r="E303" i="26"/>
  <c r="G303" i="26" s="1"/>
  <c r="D303" i="26"/>
  <c r="B303" i="26"/>
  <c r="L302" i="26"/>
  <c r="I302" i="26"/>
  <c r="F302" i="26"/>
  <c r="H302" i="26" s="1"/>
  <c r="E302" i="26"/>
  <c r="G302" i="26" s="1"/>
  <c r="D302" i="26"/>
  <c r="B302" i="26"/>
  <c r="L301" i="26"/>
  <c r="I301" i="26"/>
  <c r="F301" i="26"/>
  <c r="H301" i="26" s="1"/>
  <c r="E301" i="26"/>
  <c r="G301" i="26" s="1"/>
  <c r="D301" i="26"/>
  <c r="B301" i="26"/>
  <c r="L300" i="26"/>
  <c r="I300" i="26"/>
  <c r="F300" i="26"/>
  <c r="H300" i="26" s="1"/>
  <c r="E300" i="26"/>
  <c r="G300" i="26" s="1"/>
  <c r="D300" i="26"/>
  <c r="B300" i="26"/>
  <c r="L299" i="26"/>
  <c r="I299" i="26"/>
  <c r="F299" i="26"/>
  <c r="H299" i="26" s="1"/>
  <c r="E299" i="26"/>
  <c r="G299" i="26" s="1"/>
  <c r="D299" i="26"/>
  <c r="B299" i="26"/>
  <c r="L298" i="26"/>
  <c r="I298" i="26"/>
  <c r="K298" i="26" s="1"/>
  <c r="F298" i="26"/>
  <c r="H298" i="26" s="1"/>
  <c r="E298" i="26"/>
  <c r="G298" i="26" s="1"/>
  <c r="D298" i="26"/>
  <c r="B298" i="26"/>
  <c r="L297" i="26"/>
  <c r="I297" i="26"/>
  <c r="F297" i="26"/>
  <c r="H297" i="26" s="1"/>
  <c r="E297" i="26"/>
  <c r="G297" i="26" s="1"/>
  <c r="D297" i="26"/>
  <c r="B297" i="26"/>
  <c r="L296" i="26"/>
  <c r="I296" i="26"/>
  <c r="F296" i="26"/>
  <c r="H296" i="26" s="1"/>
  <c r="E296" i="26"/>
  <c r="G296" i="26" s="1"/>
  <c r="D296" i="26"/>
  <c r="B296" i="26"/>
  <c r="L295" i="26"/>
  <c r="I295" i="26"/>
  <c r="F295" i="26"/>
  <c r="H295" i="26" s="1"/>
  <c r="E295" i="26"/>
  <c r="G295" i="26" s="1"/>
  <c r="D295" i="26"/>
  <c r="B295" i="26"/>
  <c r="L294" i="26"/>
  <c r="I294" i="26"/>
  <c r="F294" i="26"/>
  <c r="H294" i="26" s="1"/>
  <c r="E294" i="26"/>
  <c r="G294" i="26" s="1"/>
  <c r="D294" i="26"/>
  <c r="B294" i="26"/>
  <c r="L293" i="26"/>
  <c r="I293" i="26"/>
  <c r="F293" i="26"/>
  <c r="H293" i="26" s="1"/>
  <c r="E293" i="26"/>
  <c r="G293" i="26" s="1"/>
  <c r="D293" i="26"/>
  <c r="B293" i="26"/>
  <c r="L292" i="26"/>
  <c r="I292" i="26"/>
  <c r="F292" i="26"/>
  <c r="H292" i="26" s="1"/>
  <c r="E292" i="26"/>
  <c r="G292" i="26" s="1"/>
  <c r="D292" i="26"/>
  <c r="B292" i="26"/>
  <c r="L291" i="26"/>
  <c r="I291" i="26"/>
  <c r="F291" i="26"/>
  <c r="H291" i="26" s="1"/>
  <c r="E291" i="26"/>
  <c r="G291" i="26" s="1"/>
  <c r="D291" i="26"/>
  <c r="B291" i="26"/>
  <c r="L290" i="26"/>
  <c r="I290" i="26"/>
  <c r="F290" i="26"/>
  <c r="H290" i="26" s="1"/>
  <c r="E290" i="26"/>
  <c r="G290" i="26" s="1"/>
  <c r="D290" i="26"/>
  <c r="B290" i="26"/>
  <c r="L289" i="26"/>
  <c r="I289" i="26"/>
  <c r="F289" i="26"/>
  <c r="H289" i="26" s="1"/>
  <c r="E289" i="26"/>
  <c r="G289" i="26" s="1"/>
  <c r="D289" i="26"/>
  <c r="B289" i="26"/>
  <c r="L288" i="26"/>
  <c r="I288" i="26"/>
  <c r="F288" i="26"/>
  <c r="H288" i="26" s="1"/>
  <c r="E288" i="26"/>
  <c r="G288" i="26" s="1"/>
  <c r="D288" i="26"/>
  <c r="B288" i="26"/>
  <c r="L287" i="26"/>
  <c r="I287" i="26"/>
  <c r="F287" i="26"/>
  <c r="H287" i="26" s="1"/>
  <c r="E287" i="26"/>
  <c r="G287" i="26" s="1"/>
  <c r="D287" i="26"/>
  <c r="B287" i="26"/>
  <c r="L286" i="26"/>
  <c r="I286" i="26"/>
  <c r="F286" i="26"/>
  <c r="H286" i="26" s="1"/>
  <c r="E286" i="26"/>
  <c r="G286" i="26" s="1"/>
  <c r="D286" i="26"/>
  <c r="B286" i="26"/>
  <c r="L285" i="26"/>
  <c r="I285" i="26"/>
  <c r="F285" i="26"/>
  <c r="H285" i="26" s="1"/>
  <c r="E285" i="26"/>
  <c r="G285" i="26" s="1"/>
  <c r="D285" i="26"/>
  <c r="B285" i="26"/>
  <c r="L284" i="26"/>
  <c r="I284" i="26"/>
  <c r="F284" i="26"/>
  <c r="H284" i="26" s="1"/>
  <c r="E284" i="26"/>
  <c r="G284" i="26" s="1"/>
  <c r="D284" i="26"/>
  <c r="B284" i="26"/>
  <c r="L283" i="26"/>
  <c r="I283" i="26"/>
  <c r="F283" i="26"/>
  <c r="H283" i="26" s="1"/>
  <c r="E283" i="26"/>
  <c r="G283" i="26" s="1"/>
  <c r="D283" i="26"/>
  <c r="B283" i="26"/>
  <c r="L282" i="26"/>
  <c r="I282" i="26"/>
  <c r="F282" i="26"/>
  <c r="H282" i="26" s="1"/>
  <c r="E282" i="26"/>
  <c r="G282" i="26" s="1"/>
  <c r="D282" i="26"/>
  <c r="B282" i="26"/>
  <c r="L281" i="26"/>
  <c r="I281" i="26"/>
  <c r="F281" i="26"/>
  <c r="H281" i="26" s="1"/>
  <c r="E281" i="26"/>
  <c r="G281" i="26" s="1"/>
  <c r="D281" i="26"/>
  <c r="B281" i="26"/>
  <c r="L280" i="26"/>
  <c r="I280" i="26"/>
  <c r="F280" i="26"/>
  <c r="H280" i="26" s="1"/>
  <c r="E280" i="26"/>
  <c r="G280" i="26" s="1"/>
  <c r="D280" i="26"/>
  <c r="B280" i="26"/>
  <c r="L279" i="26"/>
  <c r="I279" i="26"/>
  <c r="F279" i="26"/>
  <c r="H279" i="26" s="1"/>
  <c r="E279" i="26"/>
  <c r="G279" i="26" s="1"/>
  <c r="D279" i="26"/>
  <c r="B279" i="26"/>
  <c r="L278" i="26"/>
  <c r="I278" i="26"/>
  <c r="F278" i="26"/>
  <c r="H278" i="26" s="1"/>
  <c r="E278" i="26"/>
  <c r="G278" i="26" s="1"/>
  <c r="D278" i="26"/>
  <c r="B278" i="26"/>
  <c r="L277" i="26"/>
  <c r="I277" i="26"/>
  <c r="F277" i="26"/>
  <c r="H277" i="26" s="1"/>
  <c r="E277" i="26"/>
  <c r="G277" i="26" s="1"/>
  <c r="D277" i="26"/>
  <c r="B277" i="26"/>
  <c r="L276" i="26"/>
  <c r="I276" i="26"/>
  <c r="F276" i="26"/>
  <c r="H276" i="26" s="1"/>
  <c r="E276" i="26"/>
  <c r="G276" i="26" s="1"/>
  <c r="D276" i="26"/>
  <c r="B276" i="26"/>
  <c r="L275" i="26"/>
  <c r="I275" i="26"/>
  <c r="F275" i="26"/>
  <c r="H275" i="26" s="1"/>
  <c r="E275" i="26"/>
  <c r="G275" i="26" s="1"/>
  <c r="D275" i="26"/>
  <c r="B275" i="26"/>
  <c r="L274" i="26"/>
  <c r="I274" i="26"/>
  <c r="F274" i="26"/>
  <c r="H274" i="26" s="1"/>
  <c r="E274" i="26"/>
  <c r="G274" i="26" s="1"/>
  <c r="D274" i="26"/>
  <c r="B274" i="26"/>
  <c r="L273" i="26"/>
  <c r="I273" i="26"/>
  <c r="F273" i="26"/>
  <c r="H273" i="26" s="1"/>
  <c r="E273" i="26"/>
  <c r="G273" i="26" s="1"/>
  <c r="D273" i="26"/>
  <c r="B273" i="26"/>
  <c r="L272" i="26"/>
  <c r="I272" i="26"/>
  <c r="F272" i="26"/>
  <c r="H272" i="26" s="1"/>
  <c r="E272" i="26"/>
  <c r="G272" i="26" s="1"/>
  <c r="D272" i="26"/>
  <c r="B272" i="26"/>
  <c r="L271" i="26"/>
  <c r="I271" i="26"/>
  <c r="F271" i="26"/>
  <c r="H271" i="26" s="1"/>
  <c r="E271" i="26"/>
  <c r="G271" i="26" s="1"/>
  <c r="D271" i="26"/>
  <c r="B271" i="26"/>
  <c r="L270" i="26"/>
  <c r="I270" i="26"/>
  <c r="F270" i="26"/>
  <c r="H270" i="26" s="1"/>
  <c r="E270" i="26"/>
  <c r="G270" i="26" s="1"/>
  <c r="D270" i="26"/>
  <c r="B270" i="26"/>
  <c r="L269" i="26"/>
  <c r="I269" i="26"/>
  <c r="F269" i="26"/>
  <c r="H269" i="26" s="1"/>
  <c r="E269" i="26"/>
  <c r="G269" i="26" s="1"/>
  <c r="D269" i="26"/>
  <c r="B269" i="26"/>
  <c r="L268" i="26"/>
  <c r="I268" i="26"/>
  <c r="F268" i="26"/>
  <c r="H268" i="26" s="1"/>
  <c r="E268" i="26"/>
  <c r="G268" i="26" s="1"/>
  <c r="D268" i="26"/>
  <c r="B268" i="26"/>
  <c r="L267" i="26"/>
  <c r="I267" i="26"/>
  <c r="F267" i="26"/>
  <c r="H267" i="26" s="1"/>
  <c r="E267" i="26"/>
  <c r="G267" i="26" s="1"/>
  <c r="D267" i="26"/>
  <c r="B267" i="26"/>
  <c r="L266" i="26"/>
  <c r="I266" i="26"/>
  <c r="F266" i="26"/>
  <c r="H266" i="26" s="1"/>
  <c r="E266" i="26"/>
  <c r="G266" i="26" s="1"/>
  <c r="D266" i="26"/>
  <c r="B266" i="26"/>
  <c r="L265" i="26"/>
  <c r="I265" i="26"/>
  <c r="F265" i="26"/>
  <c r="H265" i="26" s="1"/>
  <c r="E265" i="26"/>
  <c r="G265" i="26" s="1"/>
  <c r="D265" i="26"/>
  <c r="B265" i="26"/>
  <c r="L264" i="26"/>
  <c r="I264" i="26"/>
  <c r="F264" i="26"/>
  <c r="H264" i="26" s="1"/>
  <c r="E264" i="26"/>
  <c r="G264" i="26" s="1"/>
  <c r="D264" i="26"/>
  <c r="B264" i="26"/>
  <c r="L263" i="26"/>
  <c r="I263" i="26"/>
  <c r="F263" i="26"/>
  <c r="H263" i="26" s="1"/>
  <c r="E263" i="26"/>
  <c r="G263" i="26" s="1"/>
  <c r="D263" i="26"/>
  <c r="B263" i="26"/>
  <c r="L262" i="26"/>
  <c r="I262" i="26"/>
  <c r="F262" i="26"/>
  <c r="H262" i="26" s="1"/>
  <c r="E262" i="26"/>
  <c r="G262" i="26" s="1"/>
  <c r="D262" i="26"/>
  <c r="B262" i="26"/>
  <c r="L261" i="26"/>
  <c r="I261" i="26"/>
  <c r="F261" i="26"/>
  <c r="H261" i="26" s="1"/>
  <c r="E261" i="26"/>
  <c r="G261" i="26" s="1"/>
  <c r="D261" i="26"/>
  <c r="B261" i="26"/>
  <c r="L260" i="26"/>
  <c r="I260" i="26"/>
  <c r="F260" i="26"/>
  <c r="H260" i="26" s="1"/>
  <c r="E260" i="26"/>
  <c r="G260" i="26" s="1"/>
  <c r="D260" i="26"/>
  <c r="B260" i="26"/>
  <c r="L259" i="26"/>
  <c r="I259" i="26"/>
  <c r="F259" i="26"/>
  <c r="H259" i="26" s="1"/>
  <c r="E259" i="26"/>
  <c r="G259" i="26" s="1"/>
  <c r="D259" i="26"/>
  <c r="B259" i="26"/>
  <c r="L258" i="26"/>
  <c r="I258" i="26"/>
  <c r="F258" i="26"/>
  <c r="H258" i="26" s="1"/>
  <c r="E258" i="26"/>
  <c r="G258" i="26" s="1"/>
  <c r="D258" i="26"/>
  <c r="B258" i="26"/>
  <c r="L257" i="26"/>
  <c r="I257" i="26"/>
  <c r="F257" i="26"/>
  <c r="H257" i="26" s="1"/>
  <c r="E257" i="26"/>
  <c r="G257" i="26" s="1"/>
  <c r="D257" i="26"/>
  <c r="B257" i="26"/>
  <c r="L256" i="26"/>
  <c r="I256" i="26"/>
  <c r="F256" i="26"/>
  <c r="H256" i="26" s="1"/>
  <c r="E256" i="26"/>
  <c r="G256" i="26" s="1"/>
  <c r="D256" i="26"/>
  <c r="B256" i="26"/>
  <c r="L255" i="26"/>
  <c r="I255" i="26"/>
  <c r="F255" i="26"/>
  <c r="H255" i="26" s="1"/>
  <c r="E255" i="26"/>
  <c r="G255" i="26" s="1"/>
  <c r="D255" i="26"/>
  <c r="B255" i="26"/>
  <c r="L254" i="26"/>
  <c r="I254" i="26"/>
  <c r="F254" i="26"/>
  <c r="H254" i="26" s="1"/>
  <c r="E254" i="26"/>
  <c r="G254" i="26" s="1"/>
  <c r="D254" i="26"/>
  <c r="B254" i="26"/>
  <c r="L253" i="26"/>
  <c r="I253" i="26"/>
  <c r="F253" i="26"/>
  <c r="H253" i="26" s="1"/>
  <c r="E253" i="26"/>
  <c r="G253" i="26" s="1"/>
  <c r="D253" i="26"/>
  <c r="B253" i="26"/>
  <c r="L252" i="26"/>
  <c r="I252" i="26"/>
  <c r="F252" i="26"/>
  <c r="H252" i="26" s="1"/>
  <c r="E252" i="26"/>
  <c r="G252" i="26" s="1"/>
  <c r="D252" i="26"/>
  <c r="B252" i="26"/>
  <c r="L251" i="26"/>
  <c r="I251" i="26"/>
  <c r="F251" i="26"/>
  <c r="H251" i="26" s="1"/>
  <c r="E251" i="26"/>
  <c r="G251" i="26" s="1"/>
  <c r="D251" i="26"/>
  <c r="B251" i="26"/>
  <c r="L250" i="26"/>
  <c r="I250" i="26"/>
  <c r="F250" i="26"/>
  <c r="H250" i="26" s="1"/>
  <c r="E250" i="26"/>
  <c r="G250" i="26" s="1"/>
  <c r="D250" i="26"/>
  <c r="B250" i="26"/>
  <c r="L249" i="26"/>
  <c r="I249" i="26"/>
  <c r="F249" i="26"/>
  <c r="H249" i="26" s="1"/>
  <c r="E249" i="26"/>
  <c r="G249" i="26" s="1"/>
  <c r="D249" i="26"/>
  <c r="B249" i="26"/>
  <c r="L248" i="26"/>
  <c r="I248" i="26"/>
  <c r="F248" i="26"/>
  <c r="H248" i="26" s="1"/>
  <c r="E248" i="26"/>
  <c r="G248" i="26" s="1"/>
  <c r="D248" i="26"/>
  <c r="B248" i="26"/>
  <c r="L247" i="26"/>
  <c r="I247" i="26"/>
  <c r="F247" i="26"/>
  <c r="H247" i="26" s="1"/>
  <c r="E247" i="26"/>
  <c r="G247" i="26" s="1"/>
  <c r="D247" i="26"/>
  <c r="B247" i="26"/>
  <c r="L246" i="26"/>
  <c r="I246" i="26"/>
  <c r="F246" i="26"/>
  <c r="H246" i="26" s="1"/>
  <c r="E246" i="26"/>
  <c r="G246" i="26" s="1"/>
  <c r="D246" i="26"/>
  <c r="B246" i="26"/>
  <c r="L245" i="26"/>
  <c r="I245" i="26"/>
  <c r="F245" i="26"/>
  <c r="H245" i="26" s="1"/>
  <c r="E245" i="26"/>
  <c r="G245" i="26" s="1"/>
  <c r="D245" i="26"/>
  <c r="B245" i="26"/>
  <c r="L244" i="26"/>
  <c r="I244" i="26"/>
  <c r="F244" i="26"/>
  <c r="H244" i="26" s="1"/>
  <c r="E244" i="26"/>
  <c r="G244" i="26" s="1"/>
  <c r="D244" i="26"/>
  <c r="B244" i="26"/>
  <c r="L243" i="26"/>
  <c r="I243" i="26"/>
  <c r="F243" i="26"/>
  <c r="H243" i="26" s="1"/>
  <c r="E243" i="26"/>
  <c r="G243" i="26" s="1"/>
  <c r="D243" i="26"/>
  <c r="B243" i="26"/>
  <c r="L242" i="26"/>
  <c r="I242" i="26"/>
  <c r="K242" i="26" s="1"/>
  <c r="F242" i="26"/>
  <c r="H242" i="26" s="1"/>
  <c r="E242" i="26"/>
  <c r="G242" i="26" s="1"/>
  <c r="D242" i="26"/>
  <c r="B242" i="26"/>
  <c r="L241" i="26"/>
  <c r="I241" i="26"/>
  <c r="F241" i="26"/>
  <c r="H241" i="26" s="1"/>
  <c r="E241" i="26"/>
  <c r="G241" i="26" s="1"/>
  <c r="D241" i="26"/>
  <c r="B241" i="26"/>
  <c r="L240" i="26"/>
  <c r="I240" i="26"/>
  <c r="F240" i="26"/>
  <c r="H240" i="26" s="1"/>
  <c r="E240" i="26"/>
  <c r="G240" i="26" s="1"/>
  <c r="D240" i="26"/>
  <c r="B240" i="26"/>
  <c r="L239" i="26"/>
  <c r="I239" i="26"/>
  <c r="F239" i="26"/>
  <c r="H239" i="26" s="1"/>
  <c r="E239" i="26"/>
  <c r="G239" i="26" s="1"/>
  <c r="D239" i="26"/>
  <c r="B239" i="26"/>
  <c r="L238" i="26"/>
  <c r="I238" i="26"/>
  <c r="F238" i="26"/>
  <c r="H238" i="26" s="1"/>
  <c r="E238" i="26"/>
  <c r="G238" i="26" s="1"/>
  <c r="D238" i="26"/>
  <c r="B238" i="26"/>
  <c r="L237" i="26"/>
  <c r="I237" i="26"/>
  <c r="F237" i="26"/>
  <c r="H237" i="26" s="1"/>
  <c r="E237" i="26"/>
  <c r="G237" i="26" s="1"/>
  <c r="D237" i="26"/>
  <c r="B237" i="26"/>
  <c r="L236" i="26"/>
  <c r="I236" i="26"/>
  <c r="F236" i="26"/>
  <c r="H236" i="26" s="1"/>
  <c r="E236" i="26"/>
  <c r="G236" i="26" s="1"/>
  <c r="D236" i="26"/>
  <c r="B236" i="26"/>
  <c r="L235" i="26"/>
  <c r="I235" i="26"/>
  <c r="F235" i="26"/>
  <c r="H235" i="26" s="1"/>
  <c r="E235" i="26"/>
  <c r="G235" i="26" s="1"/>
  <c r="D235" i="26"/>
  <c r="B235" i="26"/>
  <c r="L234" i="26"/>
  <c r="I234" i="26"/>
  <c r="F234" i="26"/>
  <c r="H234" i="26" s="1"/>
  <c r="E234" i="26"/>
  <c r="G234" i="26" s="1"/>
  <c r="D234" i="26"/>
  <c r="B234" i="26"/>
  <c r="L233" i="26"/>
  <c r="I233" i="26"/>
  <c r="F233" i="26"/>
  <c r="H233" i="26" s="1"/>
  <c r="E233" i="26"/>
  <c r="G233" i="26" s="1"/>
  <c r="D233" i="26"/>
  <c r="B233" i="26"/>
  <c r="L232" i="26"/>
  <c r="I232" i="26"/>
  <c r="F232" i="26"/>
  <c r="H232" i="26" s="1"/>
  <c r="E232" i="26"/>
  <c r="G232" i="26" s="1"/>
  <c r="D232" i="26"/>
  <c r="B232" i="26"/>
  <c r="L231" i="26"/>
  <c r="I231" i="26"/>
  <c r="F231" i="26"/>
  <c r="H231" i="26" s="1"/>
  <c r="E231" i="26"/>
  <c r="G231" i="26" s="1"/>
  <c r="D231" i="26"/>
  <c r="B231" i="26"/>
  <c r="L230" i="26"/>
  <c r="I230" i="26"/>
  <c r="F230" i="26"/>
  <c r="H230" i="26" s="1"/>
  <c r="E230" i="26"/>
  <c r="G230" i="26" s="1"/>
  <c r="D230" i="26"/>
  <c r="B230" i="26"/>
  <c r="L229" i="26"/>
  <c r="I229" i="26"/>
  <c r="F229" i="26"/>
  <c r="H229" i="26" s="1"/>
  <c r="E229" i="26"/>
  <c r="G229" i="26" s="1"/>
  <c r="D229" i="26"/>
  <c r="B229" i="26"/>
  <c r="L228" i="26"/>
  <c r="I228" i="26"/>
  <c r="F228" i="26"/>
  <c r="H228" i="26" s="1"/>
  <c r="E228" i="26"/>
  <c r="G228" i="26" s="1"/>
  <c r="D228" i="26"/>
  <c r="B228" i="26"/>
  <c r="L227" i="26"/>
  <c r="I227" i="26"/>
  <c r="F227" i="26"/>
  <c r="H227" i="26" s="1"/>
  <c r="E227" i="26"/>
  <c r="G227" i="26" s="1"/>
  <c r="D227" i="26"/>
  <c r="B227" i="26"/>
  <c r="L226" i="26"/>
  <c r="I226" i="26"/>
  <c r="F226" i="26"/>
  <c r="H226" i="26" s="1"/>
  <c r="E226" i="26"/>
  <c r="G226" i="26" s="1"/>
  <c r="D226" i="26"/>
  <c r="B226" i="26"/>
  <c r="L225" i="26"/>
  <c r="I225" i="26"/>
  <c r="K225" i="26" s="1"/>
  <c r="F225" i="26"/>
  <c r="H225" i="26" s="1"/>
  <c r="E225" i="26"/>
  <c r="G225" i="26" s="1"/>
  <c r="D225" i="26"/>
  <c r="B225" i="26"/>
  <c r="L224" i="26"/>
  <c r="I224" i="26"/>
  <c r="F224" i="26"/>
  <c r="H224" i="26" s="1"/>
  <c r="E224" i="26"/>
  <c r="G224" i="26" s="1"/>
  <c r="D224" i="26"/>
  <c r="B224" i="26"/>
  <c r="L223" i="26"/>
  <c r="I223" i="26"/>
  <c r="F223" i="26"/>
  <c r="H223" i="26" s="1"/>
  <c r="E223" i="26"/>
  <c r="G223" i="26" s="1"/>
  <c r="D223" i="26"/>
  <c r="B223" i="26"/>
  <c r="L222" i="26"/>
  <c r="I222" i="26"/>
  <c r="F222" i="26"/>
  <c r="H222" i="26" s="1"/>
  <c r="E222" i="26"/>
  <c r="G222" i="26" s="1"/>
  <c r="D222" i="26"/>
  <c r="B222" i="26"/>
  <c r="L221" i="26"/>
  <c r="I221" i="26"/>
  <c r="F221" i="26"/>
  <c r="H221" i="26" s="1"/>
  <c r="E221" i="26"/>
  <c r="G221" i="26" s="1"/>
  <c r="D221" i="26"/>
  <c r="B221" i="26"/>
  <c r="L220" i="26"/>
  <c r="I220" i="26"/>
  <c r="F220" i="26"/>
  <c r="H220" i="26" s="1"/>
  <c r="E220" i="26"/>
  <c r="G220" i="26" s="1"/>
  <c r="D220" i="26"/>
  <c r="B220" i="26"/>
  <c r="L219" i="26"/>
  <c r="I219" i="26"/>
  <c r="F219" i="26"/>
  <c r="H219" i="26" s="1"/>
  <c r="E219" i="26"/>
  <c r="G219" i="26" s="1"/>
  <c r="D219" i="26"/>
  <c r="B219" i="26"/>
  <c r="L218" i="26"/>
  <c r="I218" i="26"/>
  <c r="F218" i="26"/>
  <c r="H218" i="26" s="1"/>
  <c r="E218" i="26"/>
  <c r="G218" i="26" s="1"/>
  <c r="D218" i="26"/>
  <c r="B218" i="26"/>
  <c r="L217" i="26"/>
  <c r="I217" i="26"/>
  <c r="F217" i="26"/>
  <c r="H217" i="26" s="1"/>
  <c r="E217" i="26"/>
  <c r="G217" i="26" s="1"/>
  <c r="D217" i="26"/>
  <c r="B217" i="26"/>
  <c r="L216" i="26"/>
  <c r="I216" i="26"/>
  <c r="F216" i="26"/>
  <c r="H216" i="26" s="1"/>
  <c r="E216" i="26"/>
  <c r="G216" i="26" s="1"/>
  <c r="D216" i="26"/>
  <c r="B216" i="26"/>
  <c r="L215" i="26"/>
  <c r="I215" i="26"/>
  <c r="F215" i="26"/>
  <c r="H215" i="26" s="1"/>
  <c r="E215" i="26"/>
  <c r="G215" i="26" s="1"/>
  <c r="D215" i="26"/>
  <c r="B215" i="26"/>
  <c r="L214" i="26"/>
  <c r="I214" i="26"/>
  <c r="F214" i="26"/>
  <c r="H214" i="26" s="1"/>
  <c r="E214" i="26"/>
  <c r="G214" i="26" s="1"/>
  <c r="D214" i="26"/>
  <c r="B214" i="26"/>
  <c r="L213" i="26"/>
  <c r="I213" i="26"/>
  <c r="F213" i="26"/>
  <c r="H213" i="26" s="1"/>
  <c r="E213" i="26"/>
  <c r="G213" i="26" s="1"/>
  <c r="D213" i="26"/>
  <c r="B213" i="26"/>
  <c r="L212" i="26"/>
  <c r="I212" i="26"/>
  <c r="F212" i="26"/>
  <c r="H212" i="26" s="1"/>
  <c r="E212" i="26"/>
  <c r="G212" i="26" s="1"/>
  <c r="D212" i="26"/>
  <c r="B212" i="26"/>
  <c r="L211" i="26"/>
  <c r="I211" i="26"/>
  <c r="F211" i="26"/>
  <c r="H211" i="26" s="1"/>
  <c r="E211" i="26"/>
  <c r="G211" i="26" s="1"/>
  <c r="D211" i="26"/>
  <c r="B211" i="26"/>
  <c r="L210" i="26"/>
  <c r="I210" i="26"/>
  <c r="F210" i="26"/>
  <c r="H210" i="26" s="1"/>
  <c r="E210" i="26"/>
  <c r="G210" i="26" s="1"/>
  <c r="D210" i="26"/>
  <c r="B210" i="26"/>
  <c r="L209" i="26"/>
  <c r="I209" i="26"/>
  <c r="F209" i="26"/>
  <c r="H209" i="26" s="1"/>
  <c r="E209" i="26"/>
  <c r="G209" i="26" s="1"/>
  <c r="D209" i="26"/>
  <c r="B209" i="26"/>
  <c r="L208" i="26"/>
  <c r="I208" i="26"/>
  <c r="F208" i="26"/>
  <c r="H208" i="26" s="1"/>
  <c r="E208" i="26"/>
  <c r="G208" i="26" s="1"/>
  <c r="D208" i="26"/>
  <c r="B208" i="26"/>
  <c r="L207" i="26"/>
  <c r="I207" i="26"/>
  <c r="F207" i="26"/>
  <c r="H207" i="26" s="1"/>
  <c r="E207" i="26"/>
  <c r="G207" i="26" s="1"/>
  <c r="D207" i="26"/>
  <c r="B207" i="26"/>
  <c r="L206" i="26"/>
  <c r="I206" i="26"/>
  <c r="F206" i="26"/>
  <c r="H206" i="26" s="1"/>
  <c r="E206" i="26"/>
  <c r="G206" i="26" s="1"/>
  <c r="D206" i="26"/>
  <c r="B206" i="26"/>
  <c r="L205" i="26"/>
  <c r="I205" i="26"/>
  <c r="F205" i="26"/>
  <c r="H205" i="26" s="1"/>
  <c r="E205" i="26"/>
  <c r="G205" i="26" s="1"/>
  <c r="D205" i="26"/>
  <c r="B205" i="26"/>
  <c r="L204" i="26"/>
  <c r="I204" i="26"/>
  <c r="F204" i="26"/>
  <c r="H204" i="26" s="1"/>
  <c r="E204" i="26"/>
  <c r="G204" i="26" s="1"/>
  <c r="D204" i="26"/>
  <c r="B204" i="26"/>
  <c r="L203" i="26"/>
  <c r="I203" i="26"/>
  <c r="F203" i="26"/>
  <c r="H203" i="26" s="1"/>
  <c r="E203" i="26"/>
  <c r="G203" i="26" s="1"/>
  <c r="D203" i="26"/>
  <c r="B203" i="26"/>
  <c r="L202" i="26"/>
  <c r="I202" i="26"/>
  <c r="F202" i="26"/>
  <c r="H202" i="26" s="1"/>
  <c r="E202" i="26"/>
  <c r="G202" i="26" s="1"/>
  <c r="D202" i="26"/>
  <c r="B202" i="26"/>
  <c r="L201" i="26"/>
  <c r="I201" i="26"/>
  <c r="F201" i="26"/>
  <c r="H201" i="26" s="1"/>
  <c r="E201" i="26"/>
  <c r="G201" i="26" s="1"/>
  <c r="D201" i="26"/>
  <c r="B201" i="26"/>
  <c r="L200" i="26"/>
  <c r="I200" i="26"/>
  <c r="F200" i="26"/>
  <c r="H200" i="26" s="1"/>
  <c r="E200" i="26"/>
  <c r="G200" i="26" s="1"/>
  <c r="D200" i="26"/>
  <c r="B200" i="26"/>
  <c r="L199" i="26"/>
  <c r="I199" i="26"/>
  <c r="F199" i="26"/>
  <c r="H199" i="26" s="1"/>
  <c r="E199" i="26"/>
  <c r="G199" i="26" s="1"/>
  <c r="D199" i="26"/>
  <c r="B199" i="26"/>
  <c r="L198" i="26"/>
  <c r="I198" i="26"/>
  <c r="F198" i="26"/>
  <c r="H198" i="26" s="1"/>
  <c r="E198" i="26"/>
  <c r="G198" i="26" s="1"/>
  <c r="D198" i="26"/>
  <c r="B198" i="26"/>
  <c r="L197" i="26"/>
  <c r="I197" i="26"/>
  <c r="F197" i="26"/>
  <c r="H197" i="26" s="1"/>
  <c r="E197" i="26"/>
  <c r="G197" i="26" s="1"/>
  <c r="D197" i="26"/>
  <c r="B197" i="26"/>
  <c r="L196" i="26"/>
  <c r="I196" i="26"/>
  <c r="F196" i="26"/>
  <c r="H196" i="26" s="1"/>
  <c r="E196" i="26"/>
  <c r="G196" i="26" s="1"/>
  <c r="D196" i="26"/>
  <c r="B196" i="26"/>
  <c r="L195" i="26"/>
  <c r="I195" i="26"/>
  <c r="F195" i="26"/>
  <c r="H195" i="26" s="1"/>
  <c r="E195" i="26"/>
  <c r="G195" i="26" s="1"/>
  <c r="D195" i="26"/>
  <c r="B195" i="26"/>
  <c r="L194" i="26"/>
  <c r="I194" i="26"/>
  <c r="F194" i="26"/>
  <c r="H194" i="26" s="1"/>
  <c r="E194" i="26"/>
  <c r="G194" i="26" s="1"/>
  <c r="D194" i="26"/>
  <c r="B194" i="26"/>
  <c r="L193" i="26"/>
  <c r="I193" i="26"/>
  <c r="F193" i="26"/>
  <c r="H193" i="26" s="1"/>
  <c r="E193" i="26"/>
  <c r="G193" i="26" s="1"/>
  <c r="D193" i="26"/>
  <c r="B193" i="26"/>
  <c r="L192" i="26"/>
  <c r="I192" i="26"/>
  <c r="F192" i="26"/>
  <c r="H192" i="26" s="1"/>
  <c r="E192" i="26"/>
  <c r="G192" i="26" s="1"/>
  <c r="D192" i="26"/>
  <c r="B192" i="26"/>
  <c r="L191" i="26"/>
  <c r="I191" i="26"/>
  <c r="F191" i="26"/>
  <c r="H191" i="26" s="1"/>
  <c r="E191" i="26"/>
  <c r="G191" i="26" s="1"/>
  <c r="D191" i="26"/>
  <c r="B191" i="26"/>
  <c r="L190" i="26"/>
  <c r="I190" i="26"/>
  <c r="F190" i="26"/>
  <c r="H190" i="26" s="1"/>
  <c r="E190" i="26"/>
  <c r="G190" i="26" s="1"/>
  <c r="D190" i="26"/>
  <c r="B190" i="26"/>
  <c r="L189" i="26"/>
  <c r="I189" i="26"/>
  <c r="F189" i="26"/>
  <c r="H189" i="26" s="1"/>
  <c r="E189" i="26"/>
  <c r="G189" i="26" s="1"/>
  <c r="D189" i="26"/>
  <c r="B189" i="26"/>
  <c r="L188" i="26"/>
  <c r="I188" i="26"/>
  <c r="F188" i="26"/>
  <c r="H188" i="26" s="1"/>
  <c r="E188" i="26"/>
  <c r="G188" i="26" s="1"/>
  <c r="D188" i="26"/>
  <c r="B188" i="26"/>
  <c r="L187" i="26"/>
  <c r="I187" i="26"/>
  <c r="F187" i="26"/>
  <c r="H187" i="26" s="1"/>
  <c r="E187" i="26"/>
  <c r="G187" i="26" s="1"/>
  <c r="D187" i="26"/>
  <c r="B187" i="26"/>
  <c r="L186" i="26"/>
  <c r="I186" i="26"/>
  <c r="F186" i="26"/>
  <c r="H186" i="26" s="1"/>
  <c r="E186" i="26"/>
  <c r="G186" i="26" s="1"/>
  <c r="D186" i="26"/>
  <c r="B186" i="26"/>
  <c r="L185" i="26"/>
  <c r="I185" i="26"/>
  <c r="F185" i="26"/>
  <c r="H185" i="26" s="1"/>
  <c r="E185" i="26"/>
  <c r="G185" i="26" s="1"/>
  <c r="D185" i="26"/>
  <c r="B185" i="26"/>
  <c r="L184" i="26"/>
  <c r="I184" i="26"/>
  <c r="F184" i="26"/>
  <c r="H184" i="26" s="1"/>
  <c r="E184" i="26"/>
  <c r="G184" i="26" s="1"/>
  <c r="D184" i="26"/>
  <c r="B184" i="26"/>
  <c r="L183" i="26"/>
  <c r="I183" i="26"/>
  <c r="F183" i="26"/>
  <c r="H183" i="26" s="1"/>
  <c r="E183" i="26"/>
  <c r="G183" i="26" s="1"/>
  <c r="D183" i="26"/>
  <c r="B183" i="26"/>
  <c r="L182" i="26"/>
  <c r="I182" i="26"/>
  <c r="F182" i="26"/>
  <c r="H182" i="26" s="1"/>
  <c r="E182" i="26"/>
  <c r="G182" i="26" s="1"/>
  <c r="D182" i="26"/>
  <c r="B182" i="26"/>
  <c r="L181" i="26"/>
  <c r="I181" i="26"/>
  <c r="F181" i="26"/>
  <c r="H181" i="26" s="1"/>
  <c r="E181" i="26"/>
  <c r="G181" i="26" s="1"/>
  <c r="D181" i="26"/>
  <c r="B181" i="26"/>
  <c r="L180" i="26"/>
  <c r="I180" i="26"/>
  <c r="F180" i="26"/>
  <c r="H180" i="26" s="1"/>
  <c r="E180" i="26"/>
  <c r="G180" i="26" s="1"/>
  <c r="D180" i="26"/>
  <c r="B180" i="26"/>
  <c r="L179" i="26"/>
  <c r="I179" i="26"/>
  <c r="F179" i="26"/>
  <c r="H179" i="26" s="1"/>
  <c r="E179" i="26"/>
  <c r="G179" i="26" s="1"/>
  <c r="D179" i="26"/>
  <c r="B179" i="26"/>
  <c r="L178" i="26"/>
  <c r="I178" i="26"/>
  <c r="F178" i="26"/>
  <c r="H178" i="26" s="1"/>
  <c r="E178" i="26"/>
  <c r="G178" i="26" s="1"/>
  <c r="D178" i="26"/>
  <c r="B178" i="26"/>
  <c r="L177" i="26"/>
  <c r="I177" i="26"/>
  <c r="F177" i="26"/>
  <c r="H177" i="26" s="1"/>
  <c r="E177" i="26"/>
  <c r="G177" i="26" s="1"/>
  <c r="D177" i="26"/>
  <c r="B177" i="26"/>
  <c r="L176" i="26"/>
  <c r="I176" i="26"/>
  <c r="F176" i="26"/>
  <c r="H176" i="26" s="1"/>
  <c r="E176" i="26"/>
  <c r="G176" i="26" s="1"/>
  <c r="D176" i="26"/>
  <c r="B176" i="26"/>
  <c r="L175" i="26"/>
  <c r="I175" i="26"/>
  <c r="F175" i="26"/>
  <c r="H175" i="26" s="1"/>
  <c r="E175" i="26"/>
  <c r="G175" i="26" s="1"/>
  <c r="D175" i="26"/>
  <c r="B175" i="26"/>
  <c r="L174" i="26"/>
  <c r="I174" i="26"/>
  <c r="F174" i="26"/>
  <c r="H174" i="26" s="1"/>
  <c r="E174" i="26"/>
  <c r="G174" i="26" s="1"/>
  <c r="D174" i="26"/>
  <c r="B174" i="26"/>
  <c r="L173" i="26"/>
  <c r="I173" i="26"/>
  <c r="F173" i="26"/>
  <c r="H173" i="26" s="1"/>
  <c r="E173" i="26"/>
  <c r="G173" i="26" s="1"/>
  <c r="D173" i="26"/>
  <c r="B173" i="26"/>
  <c r="L172" i="26"/>
  <c r="I172" i="26"/>
  <c r="F172" i="26"/>
  <c r="H172" i="26" s="1"/>
  <c r="E172" i="26"/>
  <c r="G172" i="26" s="1"/>
  <c r="D172" i="26"/>
  <c r="B172" i="26"/>
  <c r="L171" i="26"/>
  <c r="I171" i="26"/>
  <c r="F171" i="26"/>
  <c r="H171" i="26" s="1"/>
  <c r="E171" i="26"/>
  <c r="G171" i="26" s="1"/>
  <c r="D171" i="26"/>
  <c r="B171" i="26"/>
  <c r="L170" i="26"/>
  <c r="I170" i="26"/>
  <c r="F170" i="26"/>
  <c r="H170" i="26" s="1"/>
  <c r="E170" i="26"/>
  <c r="G170" i="26" s="1"/>
  <c r="D170" i="26"/>
  <c r="B170" i="26"/>
  <c r="L169" i="26"/>
  <c r="I169" i="26"/>
  <c r="F169" i="26"/>
  <c r="H169" i="26" s="1"/>
  <c r="E169" i="26"/>
  <c r="G169" i="26" s="1"/>
  <c r="D169" i="26"/>
  <c r="B169" i="26"/>
  <c r="L168" i="26"/>
  <c r="I168" i="26"/>
  <c r="F168" i="26"/>
  <c r="H168" i="26" s="1"/>
  <c r="E168" i="26"/>
  <c r="G168" i="26" s="1"/>
  <c r="D168" i="26"/>
  <c r="B168" i="26"/>
  <c r="L167" i="26"/>
  <c r="I167" i="26"/>
  <c r="F167" i="26"/>
  <c r="H167" i="26" s="1"/>
  <c r="E167" i="26"/>
  <c r="G167" i="26" s="1"/>
  <c r="D167" i="26"/>
  <c r="B167" i="26"/>
  <c r="L166" i="26"/>
  <c r="I166" i="26"/>
  <c r="F166" i="26"/>
  <c r="H166" i="26" s="1"/>
  <c r="E166" i="26"/>
  <c r="G166" i="26" s="1"/>
  <c r="D166" i="26"/>
  <c r="B166" i="26"/>
  <c r="L165" i="26"/>
  <c r="I165" i="26"/>
  <c r="F165" i="26"/>
  <c r="H165" i="26" s="1"/>
  <c r="E165" i="26"/>
  <c r="G165" i="26" s="1"/>
  <c r="D165" i="26"/>
  <c r="B165" i="26"/>
  <c r="L164" i="26"/>
  <c r="I164" i="26"/>
  <c r="F164" i="26"/>
  <c r="H164" i="26" s="1"/>
  <c r="E164" i="26"/>
  <c r="G164" i="26" s="1"/>
  <c r="D164" i="26"/>
  <c r="B164" i="26"/>
  <c r="L163" i="26"/>
  <c r="I163" i="26"/>
  <c r="F163" i="26"/>
  <c r="H163" i="26" s="1"/>
  <c r="E163" i="26"/>
  <c r="G163" i="26" s="1"/>
  <c r="D163" i="26"/>
  <c r="B163" i="26"/>
  <c r="L162" i="26"/>
  <c r="I162" i="26"/>
  <c r="F162" i="26"/>
  <c r="H162" i="26" s="1"/>
  <c r="E162" i="26"/>
  <c r="G162" i="26" s="1"/>
  <c r="D162" i="26"/>
  <c r="B162" i="26"/>
  <c r="L161" i="26"/>
  <c r="I161" i="26"/>
  <c r="F161" i="26"/>
  <c r="H161" i="26" s="1"/>
  <c r="E161" i="26"/>
  <c r="G161" i="26" s="1"/>
  <c r="D161" i="26"/>
  <c r="B161" i="26"/>
  <c r="L160" i="26"/>
  <c r="I160" i="26"/>
  <c r="F160" i="26"/>
  <c r="H160" i="26" s="1"/>
  <c r="E160" i="26"/>
  <c r="G160" i="26" s="1"/>
  <c r="D160" i="26"/>
  <c r="B160" i="26"/>
  <c r="L159" i="26"/>
  <c r="I159" i="26"/>
  <c r="F159" i="26"/>
  <c r="H159" i="26" s="1"/>
  <c r="E159" i="26"/>
  <c r="G159" i="26" s="1"/>
  <c r="D159" i="26"/>
  <c r="B159" i="26"/>
  <c r="L158" i="26"/>
  <c r="I158" i="26"/>
  <c r="K158" i="26" s="1"/>
  <c r="F158" i="26"/>
  <c r="H158" i="26" s="1"/>
  <c r="E158" i="26"/>
  <c r="G158" i="26" s="1"/>
  <c r="D158" i="26"/>
  <c r="B158" i="26"/>
  <c r="L157" i="26"/>
  <c r="I157" i="26"/>
  <c r="F157" i="26"/>
  <c r="H157" i="26" s="1"/>
  <c r="E157" i="26"/>
  <c r="G157" i="26" s="1"/>
  <c r="D157" i="26"/>
  <c r="B157" i="26"/>
  <c r="L156" i="26"/>
  <c r="I156" i="26"/>
  <c r="F156" i="26"/>
  <c r="H156" i="26" s="1"/>
  <c r="E156" i="26"/>
  <c r="G156" i="26" s="1"/>
  <c r="D156" i="26"/>
  <c r="B156" i="26"/>
  <c r="L155" i="26"/>
  <c r="I155" i="26"/>
  <c r="F155" i="26"/>
  <c r="H155" i="26" s="1"/>
  <c r="E155" i="26"/>
  <c r="G155" i="26" s="1"/>
  <c r="D155" i="26"/>
  <c r="B155" i="26"/>
  <c r="L154" i="26"/>
  <c r="I154" i="26"/>
  <c r="F154" i="26"/>
  <c r="H154" i="26" s="1"/>
  <c r="E154" i="26"/>
  <c r="G154" i="26" s="1"/>
  <c r="D154" i="26"/>
  <c r="B154" i="26"/>
  <c r="L153" i="26"/>
  <c r="I153" i="26"/>
  <c r="F153" i="26"/>
  <c r="H153" i="26" s="1"/>
  <c r="E153" i="26"/>
  <c r="G153" i="26" s="1"/>
  <c r="D153" i="26"/>
  <c r="B153" i="26"/>
  <c r="L152" i="26"/>
  <c r="I152" i="26"/>
  <c r="F152" i="26"/>
  <c r="H152" i="26" s="1"/>
  <c r="E152" i="26"/>
  <c r="G152" i="26" s="1"/>
  <c r="D152" i="26"/>
  <c r="B152" i="26"/>
  <c r="L151" i="26"/>
  <c r="I151" i="26"/>
  <c r="F151" i="26"/>
  <c r="H151" i="26" s="1"/>
  <c r="E151" i="26"/>
  <c r="G151" i="26" s="1"/>
  <c r="D151" i="26"/>
  <c r="B151" i="26"/>
  <c r="L150" i="26"/>
  <c r="I150" i="26"/>
  <c r="F150" i="26"/>
  <c r="H150" i="26" s="1"/>
  <c r="E150" i="26"/>
  <c r="G150" i="26" s="1"/>
  <c r="D150" i="26"/>
  <c r="B150" i="26"/>
  <c r="L149" i="26"/>
  <c r="I149" i="26"/>
  <c r="F149" i="26"/>
  <c r="H149" i="26" s="1"/>
  <c r="E149" i="26"/>
  <c r="G149" i="26" s="1"/>
  <c r="D149" i="26"/>
  <c r="B149" i="26"/>
  <c r="L148" i="26"/>
  <c r="I148" i="26"/>
  <c r="F148" i="26"/>
  <c r="H148" i="26" s="1"/>
  <c r="E148" i="26"/>
  <c r="G148" i="26" s="1"/>
  <c r="D148" i="26"/>
  <c r="B148" i="26"/>
  <c r="L147" i="26"/>
  <c r="I147" i="26"/>
  <c r="F147" i="26"/>
  <c r="H147" i="26" s="1"/>
  <c r="E147" i="26"/>
  <c r="G147" i="26" s="1"/>
  <c r="D147" i="26"/>
  <c r="B147" i="26"/>
  <c r="L146" i="26"/>
  <c r="I146" i="26"/>
  <c r="F146" i="26"/>
  <c r="H146" i="26" s="1"/>
  <c r="E146" i="26"/>
  <c r="G146" i="26" s="1"/>
  <c r="D146" i="26"/>
  <c r="B146" i="26"/>
  <c r="L145" i="26"/>
  <c r="I145" i="26"/>
  <c r="F145" i="26"/>
  <c r="H145" i="26" s="1"/>
  <c r="E145" i="26"/>
  <c r="G145" i="26" s="1"/>
  <c r="D145" i="26"/>
  <c r="B145" i="26"/>
  <c r="L144" i="26"/>
  <c r="I144" i="26"/>
  <c r="F144" i="26"/>
  <c r="H144" i="26" s="1"/>
  <c r="E144" i="26"/>
  <c r="G144" i="26" s="1"/>
  <c r="D144" i="26"/>
  <c r="B144" i="26"/>
  <c r="L143" i="26"/>
  <c r="I143" i="26"/>
  <c r="F143" i="26"/>
  <c r="H143" i="26" s="1"/>
  <c r="E143" i="26"/>
  <c r="G143" i="26" s="1"/>
  <c r="D143" i="26"/>
  <c r="B143" i="26"/>
  <c r="L142" i="26"/>
  <c r="I142" i="26"/>
  <c r="F142" i="26"/>
  <c r="H142" i="26" s="1"/>
  <c r="E142" i="26"/>
  <c r="G142" i="26" s="1"/>
  <c r="D142" i="26"/>
  <c r="B142" i="26"/>
  <c r="L141" i="26"/>
  <c r="I141" i="26"/>
  <c r="F141" i="26"/>
  <c r="H141" i="26" s="1"/>
  <c r="E141" i="26"/>
  <c r="G141" i="26" s="1"/>
  <c r="D141" i="26"/>
  <c r="B141" i="26"/>
  <c r="L140" i="26"/>
  <c r="I140" i="26"/>
  <c r="F140" i="26"/>
  <c r="H140" i="26" s="1"/>
  <c r="E140" i="26"/>
  <c r="G140" i="26" s="1"/>
  <c r="D140" i="26"/>
  <c r="B140" i="26"/>
  <c r="L139" i="26"/>
  <c r="I139" i="26"/>
  <c r="F139" i="26"/>
  <c r="H139" i="26" s="1"/>
  <c r="E139" i="26"/>
  <c r="G139" i="26" s="1"/>
  <c r="D139" i="26"/>
  <c r="B139" i="26"/>
  <c r="L138" i="26"/>
  <c r="I138" i="26"/>
  <c r="F138" i="26"/>
  <c r="H138" i="26" s="1"/>
  <c r="E138" i="26"/>
  <c r="G138" i="26" s="1"/>
  <c r="D138" i="26"/>
  <c r="B138" i="26"/>
  <c r="L137" i="26"/>
  <c r="I137" i="26"/>
  <c r="F137" i="26"/>
  <c r="H137" i="26" s="1"/>
  <c r="E137" i="26"/>
  <c r="G137" i="26" s="1"/>
  <c r="D137" i="26"/>
  <c r="B137" i="26"/>
  <c r="L136" i="26"/>
  <c r="I136" i="26"/>
  <c r="F136" i="26"/>
  <c r="H136" i="26" s="1"/>
  <c r="E136" i="26"/>
  <c r="G136" i="26" s="1"/>
  <c r="D136" i="26"/>
  <c r="B136" i="26"/>
  <c r="L135" i="26"/>
  <c r="I135" i="26"/>
  <c r="F135" i="26"/>
  <c r="H135" i="26" s="1"/>
  <c r="E135" i="26"/>
  <c r="G135" i="26" s="1"/>
  <c r="D135" i="26"/>
  <c r="B135" i="26"/>
  <c r="L134" i="26"/>
  <c r="I134" i="26"/>
  <c r="F134" i="26"/>
  <c r="H134" i="26" s="1"/>
  <c r="E134" i="26"/>
  <c r="G134" i="26" s="1"/>
  <c r="D134" i="26"/>
  <c r="B134" i="26"/>
  <c r="L133" i="26"/>
  <c r="I133" i="26"/>
  <c r="F133" i="26"/>
  <c r="H133" i="26" s="1"/>
  <c r="E133" i="26"/>
  <c r="G133" i="26" s="1"/>
  <c r="D133" i="26"/>
  <c r="B133" i="26"/>
  <c r="L132" i="26"/>
  <c r="I132" i="26"/>
  <c r="F132" i="26"/>
  <c r="H132" i="26" s="1"/>
  <c r="E132" i="26"/>
  <c r="G132" i="26" s="1"/>
  <c r="D132" i="26"/>
  <c r="B132" i="26"/>
  <c r="L131" i="26"/>
  <c r="I131" i="26"/>
  <c r="F131" i="26"/>
  <c r="H131" i="26" s="1"/>
  <c r="E131" i="26"/>
  <c r="G131" i="26" s="1"/>
  <c r="D131" i="26"/>
  <c r="B131" i="26"/>
  <c r="L130" i="26"/>
  <c r="I130" i="26"/>
  <c r="F130" i="26"/>
  <c r="H130" i="26" s="1"/>
  <c r="E130" i="26"/>
  <c r="G130" i="26" s="1"/>
  <c r="D130" i="26"/>
  <c r="B130" i="26"/>
  <c r="L129" i="26"/>
  <c r="I129" i="26"/>
  <c r="F129" i="26"/>
  <c r="H129" i="26" s="1"/>
  <c r="E129" i="26"/>
  <c r="G129" i="26" s="1"/>
  <c r="D129" i="26"/>
  <c r="B129" i="26"/>
  <c r="L128" i="26"/>
  <c r="I128" i="26"/>
  <c r="F128" i="26"/>
  <c r="H128" i="26" s="1"/>
  <c r="E128" i="26"/>
  <c r="G128" i="26" s="1"/>
  <c r="D128" i="26"/>
  <c r="B128" i="26"/>
  <c r="L127" i="26"/>
  <c r="I127" i="26"/>
  <c r="F127" i="26"/>
  <c r="H127" i="26" s="1"/>
  <c r="E127" i="26"/>
  <c r="G127" i="26" s="1"/>
  <c r="D127" i="26"/>
  <c r="B127" i="26"/>
  <c r="L126" i="26"/>
  <c r="I126" i="26"/>
  <c r="F126" i="26"/>
  <c r="H126" i="26" s="1"/>
  <c r="E126" i="26"/>
  <c r="G126" i="26" s="1"/>
  <c r="D126" i="26"/>
  <c r="B126" i="26"/>
  <c r="L125" i="26"/>
  <c r="I125" i="26"/>
  <c r="F125" i="26"/>
  <c r="H125" i="26" s="1"/>
  <c r="E125" i="26"/>
  <c r="G125" i="26" s="1"/>
  <c r="D125" i="26"/>
  <c r="B125" i="26"/>
  <c r="L124" i="26"/>
  <c r="I124" i="26"/>
  <c r="F124" i="26"/>
  <c r="H124" i="26" s="1"/>
  <c r="E124" i="26"/>
  <c r="G124" i="26" s="1"/>
  <c r="D124" i="26"/>
  <c r="B124" i="26"/>
  <c r="L123" i="26"/>
  <c r="I123" i="26"/>
  <c r="F123" i="26"/>
  <c r="H123" i="26" s="1"/>
  <c r="E123" i="26"/>
  <c r="G123" i="26" s="1"/>
  <c r="D123" i="26"/>
  <c r="B123" i="26"/>
  <c r="L122" i="26"/>
  <c r="I122" i="26"/>
  <c r="F122" i="26"/>
  <c r="H122" i="26" s="1"/>
  <c r="E122" i="26"/>
  <c r="G122" i="26" s="1"/>
  <c r="D122" i="26"/>
  <c r="B122" i="26"/>
  <c r="L121" i="26"/>
  <c r="I121" i="26"/>
  <c r="F121" i="26"/>
  <c r="H121" i="26" s="1"/>
  <c r="E121" i="26"/>
  <c r="G121" i="26" s="1"/>
  <c r="D121" i="26"/>
  <c r="B121" i="26"/>
  <c r="L120" i="26"/>
  <c r="I120" i="26"/>
  <c r="F120" i="26"/>
  <c r="H120" i="26" s="1"/>
  <c r="E120" i="26"/>
  <c r="G120" i="26" s="1"/>
  <c r="D120" i="26"/>
  <c r="B120" i="26"/>
  <c r="L119" i="26"/>
  <c r="I119" i="26"/>
  <c r="F119" i="26"/>
  <c r="H119" i="26" s="1"/>
  <c r="E119" i="26"/>
  <c r="G119" i="26" s="1"/>
  <c r="D119" i="26"/>
  <c r="B119" i="26"/>
  <c r="L118" i="26"/>
  <c r="I118" i="26"/>
  <c r="F118" i="26"/>
  <c r="H118" i="26" s="1"/>
  <c r="E118" i="26"/>
  <c r="G118" i="26" s="1"/>
  <c r="D118" i="26"/>
  <c r="B118" i="26"/>
  <c r="L117" i="26"/>
  <c r="I117" i="26"/>
  <c r="F117" i="26"/>
  <c r="H117" i="26" s="1"/>
  <c r="E117" i="26"/>
  <c r="G117" i="26" s="1"/>
  <c r="D117" i="26"/>
  <c r="B117" i="26"/>
  <c r="L116" i="26"/>
  <c r="I116" i="26"/>
  <c r="F116" i="26"/>
  <c r="H116" i="26" s="1"/>
  <c r="E116" i="26"/>
  <c r="G116" i="26" s="1"/>
  <c r="D116" i="26"/>
  <c r="B116" i="26"/>
  <c r="L115" i="26"/>
  <c r="I115" i="26"/>
  <c r="F115" i="26"/>
  <c r="H115" i="26" s="1"/>
  <c r="E115" i="26"/>
  <c r="G115" i="26" s="1"/>
  <c r="D115" i="26"/>
  <c r="B115" i="26"/>
  <c r="L114" i="26"/>
  <c r="I114" i="26"/>
  <c r="F114" i="26"/>
  <c r="H114" i="26" s="1"/>
  <c r="E114" i="26"/>
  <c r="G114" i="26" s="1"/>
  <c r="D114" i="26"/>
  <c r="B114" i="26"/>
  <c r="L113" i="26"/>
  <c r="I113" i="26"/>
  <c r="F113" i="26"/>
  <c r="H113" i="26" s="1"/>
  <c r="E113" i="26"/>
  <c r="G113" i="26" s="1"/>
  <c r="D113" i="26"/>
  <c r="B113" i="26"/>
  <c r="L112" i="26"/>
  <c r="I112" i="26"/>
  <c r="F112" i="26"/>
  <c r="H112" i="26" s="1"/>
  <c r="E112" i="26"/>
  <c r="G112" i="26" s="1"/>
  <c r="D112" i="26"/>
  <c r="B112" i="26"/>
  <c r="L111" i="26"/>
  <c r="I111" i="26"/>
  <c r="F111" i="26"/>
  <c r="H111" i="26" s="1"/>
  <c r="E111" i="26"/>
  <c r="G111" i="26" s="1"/>
  <c r="D111" i="26"/>
  <c r="B111" i="26"/>
  <c r="L110" i="26"/>
  <c r="I110" i="26"/>
  <c r="F110" i="26"/>
  <c r="H110" i="26" s="1"/>
  <c r="E110" i="26"/>
  <c r="G110" i="26" s="1"/>
  <c r="D110" i="26"/>
  <c r="B110" i="26"/>
  <c r="L109" i="26"/>
  <c r="I109" i="26"/>
  <c r="F109" i="26"/>
  <c r="H109" i="26" s="1"/>
  <c r="E109" i="26"/>
  <c r="G109" i="26" s="1"/>
  <c r="D109" i="26"/>
  <c r="B109" i="26"/>
  <c r="L108" i="26"/>
  <c r="I108" i="26"/>
  <c r="F108" i="26"/>
  <c r="H108" i="26" s="1"/>
  <c r="E108" i="26"/>
  <c r="G108" i="26" s="1"/>
  <c r="D108" i="26"/>
  <c r="B108" i="26"/>
  <c r="L107" i="26"/>
  <c r="I107" i="26"/>
  <c r="F107" i="26"/>
  <c r="H107" i="26" s="1"/>
  <c r="E107" i="26"/>
  <c r="G107" i="26" s="1"/>
  <c r="D107" i="26"/>
  <c r="B107" i="26"/>
  <c r="L106" i="26"/>
  <c r="I106" i="26"/>
  <c r="F106" i="26"/>
  <c r="H106" i="26" s="1"/>
  <c r="E106" i="26"/>
  <c r="G106" i="26" s="1"/>
  <c r="D106" i="26"/>
  <c r="B106" i="26"/>
  <c r="L105" i="26"/>
  <c r="I105" i="26"/>
  <c r="F105" i="26"/>
  <c r="H105" i="26" s="1"/>
  <c r="E105" i="26"/>
  <c r="G105" i="26" s="1"/>
  <c r="D105" i="26"/>
  <c r="B105" i="26"/>
  <c r="L104" i="26"/>
  <c r="I104" i="26"/>
  <c r="F104" i="26"/>
  <c r="H104" i="26" s="1"/>
  <c r="E104" i="26"/>
  <c r="G104" i="26" s="1"/>
  <c r="D104" i="26"/>
  <c r="B104" i="26"/>
  <c r="L103" i="26"/>
  <c r="I103" i="26"/>
  <c r="F103" i="26"/>
  <c r="H103" i="26" s="1"/>
  <c r="E103" i="26"/>
  <c r="G103" i="26" s="1"/>
  <c r="D103" i="26"/>
  <c r="B103" i="26"/>
  <c r="L102" i="26"/>
  <c r="I102" i="26"/>
  <c r="F102" i="26"/>
  <c r="H102" i="26" s="1"/>
  <c r="E102" i="26"/>
  <c r="G102" i="26" s="1"/>
  <c r="D102" i="26"/>
  <c r="B102" i="26"/>
  <c r="L101" i="26"/>
  <c r="I101" i="26"/>
  <c r="K101" i="26" s="1"/>
  <c r="F101" i="26"/>
  <c r="H101" i="26" s="1"/>
  <c r="E101" i="26"/>
  <c r="G101" i="26" s="1"/>
  <c r="D101" i="26"/>
  <c r="B101" i="26"/>
  <c r="L100" i="26"/>
  <c r="I100" i="26"/>
  <c r="F100" i="26"/>
  <c r="H100" i="26" s="1"/>
  <c r="E100" i="26"/>
  <c r="G100" i="26" s="1"/>
  <c r="D100" i="26"/>
  <c r="B100" i="26"/>
  <c r="L99" i="26"/>
  <c r="I99" i="26"/>
  <c r="F99" i="26"/>
  <c r="H99" i="26" s="1"/>
  <c r="E99" i="26"/>
  <c r="G99" i="26" s="1"/>
  <c r="D99" i="26"/>
  <c r="B99" i="26"/>
  <c r="L98" i="26"/>
  <c r="I98" i="26"/>
  <c r="F98" i="26"/>
  <c r="H98" i="26" s="1"/>
  <c r="E98" i="26"/>
  <c r="G98" i="26" s="1"/>
  <c r="D98" i="26"/>
  <c r="B98" i="26"/>
  <c r="L97" i="26"/>
  <c r="I97" i="26"/>
  <c r="F97" i="26"/>
  <c r="H97" i="26" s="1"/>
  <c r="E97" i="26"/>
  <c r="G97" i="26" s="1"/>
  <c r="D97" i="26"/>
  <c r="B97" i="26"/>
  <c r="L96" i="26"/>
  <c r="I96" i="26"/>
  <c r="F96" i="26"/>
  <c r="H96" i="26" s="1"/>
  <c r="E96" i="26"/>
  <c r="G96" i="26" s="1"/>
  <c r="D96" i="26"/>
  <c r="B96" i="26"/>
  <c r="L95" i="26"/>
  <c r="I95" i="26"/>
  <c r="F95" i="26"/>
  <c r="H95" i="26" s="1"/>
  <c r="E95" i="26"/>
  <c r="G95" i="26" s="1"/>
  <c r="D95" i="26"/>
  <c r="B95" i="26"/>
  <c r="L94" i="26"/>
  <c r="I94" i="26"/>
  <c r="F94" i="26"/>
  <c r="H94" i="26" s="1"/>
  <c r="E94" i="26"/>
  <c r="G94" i="26" s="1"/>
  <c r="D94" i="26"/>
  <c r="B94" i="26"/>
  <c r="L93" i="26"/>
  <c r="N93" i="26" s="1"/>
  <c r="I93" i="26"/>
  <c r="F93" i="26"/>
  <c r="H93" i="26" s="1"/>
  <c r="E93" i="26"/>
  <c r="G93" i="26" s="1"/>
  <c r="D93" i="26"/>
  <c r="B93" i="26"/>
  <c r="L92" i="26"/>
  <c r="I92" i="26"/>
  <c r="F92" i="26"/>
  <c r="H92" i="26" s="1"/>
  <c r="E92" i="26"/>
  <c r="G92" i="26" s="1"/>
  <c r="D92" i="26"/>
  <c r="B92" i="26"/>
  <c r="L91" i="26"/>
  <c r="I91" i="26"/>
  <c r="F91" i="26"/>
  <c r="H91" i="26" s="1"/>
  <c r="E91" i="26"/>
  <c r="G91" i="26" s="1"/>
  <c r="D91" i="26"/>
  <c r="B91" i="26"/>
  <c r="L90" i="26"/>
  <c r="I90" i="26"/>
  <c r="F90" i="26"/>
  <c r="H90" i="26" s="1"/>
  <c r="E90" i="26"/>
  <c r="G90" i="26" s="1"/>
  <c r="D90" i="26"/>
  <c r="B90" i="26"/>
  <c r="L89" i="26"/>
  <c r="I89" i="26"/>
  <c r="K89" i="26" s="1"/>
  <c r="F89" i="26"/>
  <c r="H89" i="26" s="1"/>
  <c r="E89" i="26"/>
  <c r="G89" i="26" s="1"/>
  <c r="D89" i="26"/>
  <c r="B89" i="26"/>
  <c r="L88" i="26"/>
  <c r="I88" i="26"/>
  <c r="F88" i="26"/>
  <c r="H88" i="26" s="1"/>
  <c r="E88" i="26"/>
  <c r="G88" i="26" s="1"/>
  <c r="D88" i="26"/>
  <c r="B88" i="26"/>
  <c r="L87" i="26"/>
  <c r="N87" i="26" s="1"/>
  <c r="I87" i="26"/>
  <c r="K87" i="26" s="1"/>
  <c r="F87" i="26"/>
  <c r="H87" i="26" s="1"/>
  <c r="E87" i="26"/>
  <c r="G87" i="26" s="1"/>
  <c r="D87" i="26"/>
  <c r="B87" i="26"/>
  <c r="L86" i="26"/>
  <c r="I86" i="26"/>
  <c r="F86" i="26"/>
  <c r="H86" i="26" s="1"/>
  <c r="E86" i="26"/>
  <c r="G86" i="26" s="1"/>
  <c r="D86" i="26"/>
  <c r="B86" i="26"/>
  <c r="L85" i="26"/>
  <c r="N85" i="26" s="1"/>
  <c r="I85" i="26"/>
  <c r="F85" i="26"/>
  <c r="H85" i="26" s="1"/>
  <c r="E85" i="26"/>
  <c r="G85" i="26" s="1"/>
  <c r="D85" i="26"/>
  <c r="B85" i="26"/>
  <c r="L84" i="26"/>
  <c r="I84" i="26"/>
  <c r="F84" i="26"/>
  <c r="H84" i="26" s="1"/>
  <c r="E84" i="26"/>
  <c r="G84" i="26" s="1"/>
  <c r="D84" i="26"/>
  <c r="B84" i="26"/>
  <c r="L83" i="26"/>
  <c r="I83" i="26"/>
  <c r="F83" i="26"/>
  <c r="H83" i="26" s="1"/>
  <c r="E83" i="26"/>
  <c r="G83" i="26" s="1"/>
  <c r="D83" i="26"/>
  <c r="B83" i="26"/>
  <c r="L82" i="26"/>
  <c r="I82" i="26"/>
  <c r="F82" i="26"/>
  <c r="H82" i="26" s="1"/>
  <c r="E82" i="26"/>
  <c r="G82" i="26" s="1"/>
  <c r="D82" i="26"/>
  <c r="B82" i="26"/>
  <c r="L81" i="26"/>
  <c r="I81" i="26"/>
  <c r="K81" i="26" s="1"/>
  <c r="F81" i="26"/>
  <c r="H81" i="26" s="1"/>
  <c r="E81" i="26"/>
  <c r="G81" i="26" s="1"/>
  <c r="D81" i="26"/>
  <c r="B81" i="26"/>
  <c r="L80" i="26"/>
  <c r="I80" i="26"/>
  <c r="F80" i="26"/>
  <c r="H80" i="26" s="1"/>
  <c r="E80" i="26"/>
  <c r="G80" i="26" s="1"/>
  <c r="D80" i="26"/>
  <c r="B80" i="26"/>
  <c r="L79" i="26"/>
  <c r="N79" i="26" s="1"/>
  <c r="I79" i="26"/>
  <c r="K79" i="26" s="1"/>
  <c r="F79" i="26"/>
  <c r="H79" i="26" s="1"/>
  <c r="E79" i="26"/>
  <c r="G79" i="26" s="1"/>
  <c r="D79" i="26"/>
  <c r="B79" i="26"/>
  <c r="L78" i="26"/>
  <c r="I78" i="26"/>
  <c r="F78" i="26"/>
  <c r="H78" i="26" s="1"/>
  <c r="E78" i="26"/>
  <c r="G78" i="26" s="1"/>
  <c r="D78" i="26"/>
  <c r="B78" i="26"/>
  <c r="L77" i="26"/>
  <c r="N77" i="26" s="1"/>
  <c r="I77" i="26"/>
  <c r="F77" i="26"/>
  <c r="H77" i="26" s="1"/>
  <c r="E77" i="26"/>
  <c r="G77" i="26" s="1"/>
  <c r="D77" i="26"/>
  <c r="B77" i="26"/>
  <c r="L76" i="26"/>
  <c r="I76" i="26"/>
  <c r="K76" i="26" s="1"/>
  <c r="F76" i="26"/>
  <c r="H76" i="26" s="1"/>
  <c r="E76" i="26"/>
  <c r="G76" i="26" s="1"/>
  <c r="D76" i="26"/>
  <c r="B76" i="26"/>
  <c r="L75" i="26"/>
  <c r="I75" i="26"/>
  <c r="F75" i="26"/>
  <c r="H75" i="26" s="1"/>
  <c r="E75" i="26"/>
  <c r="G75" i="26" s="1"/>
  <c r="D75" i="26"/>
  <c r="B75" i="26"/>
  <c r="L74" i="26"/>
  <c r="N74" i="26" s="1"/>
  <c r="I74" i="26"/>
  <c r="F74" i="26"/>
  <c r="H74" i="26" s="1"/>
  <c r="E74" i="26"/>
  <c r="G74" i="26" s="1"/>
  <c r="D74" i="26"/>
  <c r="B74" i="26"/>
  <c r="L73" i="26"/>
  <c r="I73" i="26"/>
  <c r="K73" i="26" s="1"/>
  <c r="F73" i="26"/>
  <c r="H73" i="26" s="1"/>
  <c r="E73" i="26"/>
  <c r="G73" i="26" s="1"/>
  <c r="D73" i="26"/>
  <c r="B73" i="26"/>
  <c r="L72" i="26"/>
  <c r="I72" i="26"/>
  <c r="F72" i="26"/>
  <c r="H72" i="26" s="1"/>
  <c r="E72" i="26"/>
  <c r="G72" i="26" s="1"/>
  <c r="D72" i="26"/>
  <c r="B72" i="26"/>
  <c r="L71" i="26"/>
  <c r="N71" i="26" s="1"/>
  <c r="I71" i="26"/>
  <c r="F71" i="26"/>
  <c r="H71" i="26" s="1"/>
  <c r="E71" i="26"/>
  <c r="G71" i="26" s="1"/>
  <c r="D71" i="26"/>
  <c r="B71" i="26"/>
  <c r="L70" i="26"/>
  <c r="I70" i="26"/>
  <c r="F70" i="26"/>
  <c r="H70" i="26" s="1"/>
  <c r="E70" i="26"/>
  <c r="G70" i="26" s="1"/>
  <c r="D70" i="26"/>
  <c r="B70" i="26"/>
  <c r="L69" i="26"/>
  <c r="I69" i="26"/>
  <c r="F69" i="26"/>
  <c r="H69" i="26" s="1"/>
  <c r="E69" i="26"/>
  <c r="G69" i="26" s="1"/>
  <c r="D69" i="26"/>
  <c r="B69" i="26"/>
  <c r="L68" i="26"/>
  <c r="I68" i="26"/>
  <c r="K68" i="26" s="1"/>
  <c r="F68" i="26"/>
  <c r="H68" i="26" s="1"/>
  <c r="E68" i="26"/>
  <c r="G68" i="26" s="1"/>
  <c r="D68" i="26"/>
  <c r="B68" i="26"/>
  <c r="L67" i="26"/>
  <c r="I67" i="26"/>
  <c r="F67" i="26"/>
  <c r="H67" i="26" s="1"/>
  <c r="E67" i="26"/>
  <c r="G67" i="26" s="1"/>
  <c r="D67" i="26"/>
  <c r="B67" i="26"/>
  <c r="L66" i="26"/>
  <c r="N66" i="26" s="1"/>
  <c r="I66" i="26"/>
  <c r="F66" i="26"/>
  <c r="H66" i="26" s="1"/>
  <c r="E66" i="26"/>
  <c r="G66" i="26" s="1"/>
  <c r="D66" i="26"/>
  <c r="B66" i="26"/>
  <c r="L65" i="26"/>
  <c r="I65" i="26"/>
  <c r="K65" i="26" s="1"/>
  <c r="F65" i="26"/>
  <c r="H65" i="26" s="1"/>
  <c r="E65" i="26"/>
  <c r="G65" i="26" s="1"/>
  <c r="D65" i="26"/>
  <c r="B65" i="26"/>
  <c r="L64" i="26"/>
  <c r="I64" i="26"/>
  <c r="F64" i="26"/>
  <c r="H64" i="26" s="1"/>
  <c r="E64" i="26"/>
  <c r="G64" i="26" s="1"/>
  <c r="D64" i="26"/>
  <c r="B64" i="26"/>
  <c r="L63" i="26"/>
  <c r="N63" i="26" s="1"/>
  <c r="I63" i="26"/>
  <c r="F63" i="26"/>
  <c r="H63" i="26" s="1"/>
  <c r="E63" i="26"/>
  <c r="G63" i="26" s="1"/>
  <c r="D63" i="26"/>
  <c r="B63" i="26"/>
  <c r="L62" i="26"/>
  <c r="I62" i="26"/>
  <c r="F62" i="26"/>
  <c r="H62" i="26" s="1"/>
  <c r="E62" i="26"/>
  <c r="G62" i="26" s="1"/>
  <c r="D62" i="26"/>
  <c r="B62" i="26"/>
  <c r="L61" i="26"/>
  <c r="I61" i="26"/>
  <c r="F61" i="26"/>
  <c r="H61" i="26" s="1"/>
  <c r="E61" i="26"/>
  <c r="G61" i="26" s="1"/>
  <c r="D61" i="26"/>
  <c r="B61" i="26"/>
  <c r="L60" i="26"/>
  <c r="I60" i="26"/>
  <c r="K60" i="26" s="1"/>
  <c r="F60" i="26"/>
  <c r="H60" i="26" s="1"/>
  <c r="E60" i="26"/>
  <c r="G60" i="26" s="1"/>
  <c r="D60" i="26"/>
  <c r="B60" i="26"/>
  <c r="L59" i="26"/>
  <c r="I59" i="26"/>
  <c r="F59" i="26"/>
  <c r="H59" i="26" s="1"/>
  <c r="E59" i="26"/>
  <c r="G59" i="26" s="1"/>
  <c r="D59" i="26"/>
  <c r="B59" i="26"/>
  <c r="L58" i="26"/>
  <c r="N58" i="26" s="1"/>
  <c r="I58" i="26"/>
  <c r="F58" i="26"/>
  <c r="H58" i="26" s="1"/>
  <c r="E58" i="26"/>
  <c r="G58" i="26" s="1"/>
  <c r="D58" i="26"/>
  <c r="B58" i="26"/>
  <c r="L57" i="26"/>
  <c r="I57" i="26"/>
  <c r="K57" i="26" s="1"/>
  <c r="F57" i="26"/>
  <c r="H57" i="26" s="1"/>
  <c r="E57" i="26"/>
  <c r="G57" i="26" s="1"/>
  <c r="D57" i="26"/>
  <c r="B57" i="26"/>
  <c r="L56" i="26"/>
  <c r="I56" i="26"/>
  <c r="F56" i="26"/>
  <c r="H56" i="26" s="1"/>
  <c r="E56" i="26"/>
  <c r="G56" i="26" s="1"/>
  <c r="D56" i="26"/>
  <c r="B56" i="26"/>
  <c r="L55" i="26"/>
  <c r="N55" i="26" s="1"/>
  <c r="I55" i="26"/>
  <c r="F55" i="26"/>
  <c r="H55" i="26" s="1"/>
  <c r="E55" i="26"/>
  <c r="G55" i="26" s="1"/>
  <c r="D55" i="26"/>
  <c r="B55" i="26"/>
  <c r="L54" i="26"/>
  <c r="I54" i="26"/>
  <c r="F54" i="26"/>
  <c r="H54" i="26" s="1"/>
  <c r="E54" i="26"/>
  <c r="G54" i="26" s="1"/>
  <c r="D54" i="26"/>
  <c r="B54" i="26"/>
  <c r="L53" i="26"/>
  <c r="I53" i="26"/>
  <c r="F53" i="26"/>
  <c r="H53" i="26" s="1"/>
  <c r="E53" i="26"/>
  <c r="G53" i="26" s="1"/>
  <c r="D53" i="26"/>
  <c r="B53" i="26"/>
  <c r="L52" i="26"/>
  <c r="I52" i="26"/>
  <c r="K52" i="26" s="1"/>
  <c r="F52" i="26"/>
  <c r="H52" i="26" s="1"/>
  <c r="E52" i="26"/>
  <c r="G52" i="26" s="1"/>
  <c r="D52" i="26"/>
  <c r="B52" i="26"/>
  <c r="L51" i="26"/>
  <c r="I51" i="26"/>
  <c r="F51" i="26"/>
  <c r="H51" i="26" s="1"/>
  <c r="E51" i="26"/>
  <c r="G51" i="26" s="1"/>
  <c r="D51" i="26"/>
  <c r="B51" i="26"/>
  <c r="L50" i="26"/>
  <c r="I50" i="26"/>
  <c r="F50" i="26"/>
  <c r="H50" i="26" s="1"/>
  <c r="E50" i="26"/>
  <c r="G50" i="26" s="1"/>
  <c r="D50" i="26"/>
  <c r="B50" i="26"/>
  <c r="L49" i="26"/>
  <c r="I49" i="26"/>
  <c r="K49" i="26" s="1"/>
  <c r="F49" i="26"/>
  <c r="H49" i="26" s="1"/>
  <c r="E49" i="26"/>
  <c r="G49" i="26" s="1"/>
  <c r="D49" i="26"/>
  <c r="B49" i="26"/>
  <c r="L48" i="26"/>
  <c r="I48" i="26"/>
  <c r="F48" i="26"/>
  <c r="H48" i="26" s="1"/>
  <c r="E48" i="26"/>
  <c r="G48" i="26" s="1"/>
  <c r="D48" i="26"/>
  <c r="B48" i="26"/>
  <c r="L47" i="26"/>
  <c r="N47" i="26" s="1"/>
  <c r="I47" i="26"/>
  <c r="F47" i="26"/>
  <c r="H47" i="26" s="1"/>
  <c r="E47" i="26"/>
  <c r="G47" i="26" s="1"/>
  <c r="D47" i="26"/>
  <c r="B47" i="26"/>
  <c r="L46" i="26"/>
  <c r="I46" i="26"/>
  <c r="F46" i="26"/>
  <c r="H46" i="26" s="1"/>
  <c r="E46" i="26"/>
  <c r="G46" i="26" s="1"/>
  <c r="D46" i="26"/>
  <c r="B46" i="26"/>
  <c r="L45" i="26"/>
  <c r="I45" i="26"/>
  <c r="F45" i="26"/>
  <c r="H45" i="26" s="1"/>
  <c r="E45" i="26"/>
  <c r="G45" i="26" s="1"/>
  <c r="D45" i="26"/>
  <c r="B45" i="26"/>
  <c r="L44" i="26"/>
  <c r="I44" i="26"/>
  <c r="K44" i="26" s="1"/>
  <c r="F44" i="26"/>
  <c r="H44" i="26" s="1"/>
  <c r="E44" i="26"/>
  <c r="G44" i="26" s="1"/>
  <c r="D44" i="26"/>
  <c r="B44" i="26"/>
  <c r="L43" i="26"/>
  <c r="I43" i="26"/>
  <c r="F43" i="26"/>
  <c r="H43" i="26" s="1"/>
  <c r="E43" i="26"/>
  <c r="G43" i="26" s="1"/>
  <c r="D43" i="26"/>
  <c r="B43" i="26"/>
  <c r="L42" i="26"/>
  <c r="N42" i="26" s="1"/>
  <c r="I42" i="26"/>
  <c r="F42" i="26"/>
  <c r="H42" i="26" s="1"/>
  <c r="E42" i="26"/>
  <c r="G42" i="26" s="1"/>
  <c r="D42" i="26"/>
  <c r="B42" i="26"/>
  <c r="L41" i="26"/>
  <c r="I41" i="26"/>
  <c r="K41" i="26" s="1"/>
  <c r="F41" i="26"/>
  <c r="H41" i="26" s="1"/>
  <c r="E41" i="26"/>
  <c r="G41" i="26" s="1"/>
  <c r="D41" i="26"/>
  <c r="B41" i="26"/>
  <c r="L40" i="26"/>
  <c r="I40" i="26"/>
  <c r="F40" i="26"/>
  <c r="H40" i="26" s="1"/>
  <c r="E40" i="26"/>
  <c r="G40" i="26" s="1"/>
  <c r="D40" i="26"/>
  <c r="B40" i="26"/>
  <c r="L39" i="26"/>
  <c r="N39" i="26" s="1"/>
  <c r="I39" i="26"/>
  <c r="F39" i="26"/>
  <c r="H39" i="26" s="1"/>
  <c r="E39" i="26"/>
  <c r="G39" i="26" s="1"/>
  <c r="D39" i="26"/>
  <c r="B39" i="26"/>
  <c r="L38" i="26"/>
  <c r="I38" i="26"/>
  <c r="F38" i="26"/>
  <c r="H38" i="26" s="1"/>
  <c r="E38" i="26"/>
  <c r="G38" i="26" s="1"/>
  <c r="D38" i="26"/>
  <c r="B38" i="26"/>
  <c r="L37" i="26"/>
  <c r="I37" i="26"/>
  <c r="F37" i="26"/>
  <c r="H37" i="26" s="1"/>
  <c r="E37" i="26"/>
  <c r="G37" i="26" s="1"/>
  <c r="D37" i="26"/>
  <c r="B37" i="26"/>
  <c r="L36" i="26"/>
  <c r="I36" i="26"/>
  <c r="K36" i="26" s="1"/>
  <c r="F36" i="26"/>
  <c r="H36" i="26" s="1"/>
  <c r="E36" i="26"/>
  <c r="G36" i="26" s="1"/>
  <c r="D36" i="26"/>
  <c r="B36" i="26"/>
  <c r="L35" i="26"/>
  <c r="I35" i="26"/>
  <c r="F35" i="26"/>
  <c r="H35" i="26" s="1"/>
  <c r="E35" i="26"/>
  <c r="G35" i="26" s="1"/>
  <c r="D35" i="26"/>
  <c r="B35" i="26"/>
  <c r="L34" i="26"/>
  <c r="N34" i="26" s="1"/>
  <c r="I34" i="26"/>
  <c r="F34" i="26"/>
  <c r="H34" i="26" s="1"/>
  <c r="E34" i="26"/>
  <c r="G34" i="26" s="1"/>
  <c r="D34" i="26"/>
  <c r="B34" i="26"/>
  <c r="L33" i="26"/>
  <c r="I33" i="26"/>
  <c r="K33" i="26" s="1"/>
  <c r="F33" i="26"/>
  <c r="H33" i="26" s="1"/>
  <c r="E33" i="26"/>
  <c r="G33" i="26" s="1"/>
  <c r="D33" i="26"/>
  <c r="B33" i="26"/>
  <c r="L32" i="26"/>
  <c r="I32" i="26"/>
  <c r="F32" i="26"/>
  <c r="H32" i="26" s="1"/>
  <c r="E32" i="26"/>
  <c r="G32" i="26" s="1"/>
  <c r="D32" i="26"/>
  <c r="B32" i="26"/>
  <c r="L31" i="26"/>
  <c r="N31" i="26" s="1"/>
  <c r="I31" i="26"/>
  <c r="F31" i="26"/>
  <c r="H31" i="26" s="1"/>
  <c r="E31" i="26"/>
  <c r="G31" i="26" s="1"/>
  <c r="D31" i="26"/>
  <c r="B31" i="26"/>
  <c r="L30" i="26"/>
  <c r="I30" i="26"/>
  <c r="F30" i="26"/>
  <c r="H30" i="26" s="1"/>
  <c r="E30" i="26"/>
  <c r="G30" i="26" s="1"/>
  <c r="D30" i="26"/>
  <c r="B30" i="26"/>
  <c r="L29" i="26"/>
  <c r="I29" i="26"/>
  <c r="F29" i="26"/>
  <c r="H29" i="26" s="1"/>
  <c r="E29" i="26"/>
  <c r="G29" i="26" s="1"/>
  <c r="D29" i="26"/>
  <c r="B29" i="26"/>
  <c r="L28" i="26"/>
  <c r="I28" i="26"/>
  <c r="F28" i="26"/>
  <c r="H28" i="26" s="1"/>
  <c r="E28" i="26"/>
  <c r="G28" i="26" s="1"/>
  <c r="D28" i="26"/>
  <c r="B28" i="26"/>
  <c r="L27" i="26"/>
  <c r="I27" i="26"/>
  <c r="F27" i="26"/>
  <c r="H27" i="26" s="1"/>
  <c r="E27" i="26"/>
  <c r="G27" i="26" s="1"/>
  <c r="D27" i="26"/>
  <c r="B27" i="26"/>
  <c r="L26" i="26"/>
  <c r="I26" i="26"/>
  <c r="F26" i="26"/>
  <c r="H26" i="26" s="1"/>
  <c r="E26" i="26"/>
  <c r="G26" i="26" s="1"/>
  <c r="D26" i="26"/>
  <c r="B26" i="26"/>
  <c r="L25" i="26"/>
  <c r="I25" i="26"/>
  <c r="F25" i="26"/>
  <c r="H25" i="26" s="1"/>
  <c r="E25" i="26"/>
  <c r="G25" i="26" s="1"/>
  <c r="D25" i="26"/>
  <c r="B25" i="26"/>
  <c r="L24" i="26"/>
  <c r="I24" i="26"/>
  <c r="F24" i="26"/>
  <c r="H24" i="26" s="1"/>
  <c r="E24" i="26"/>
  <c r="G24" i="26" s="1"/>
  <c r="D24" i="26"/>
  <c r="B24" i="26"/>
  <c r="L23" i="26"/>
  <c r="I23" i="26"/>
  <c r="F23" i="26"/>
  <c r="H23" i="26" s="1"/>
  <c r="E23" i="26"/>
  <c r="G23" i="26" s="1"/>
  <c r="D23" i="26"/>
  <c r="B23" i="26"/>
  <c r="L22" i="26"/>
  <c r="I22" i="26"/>
  <c r="F22" i="26"/>
  <c r="H22" i="26" s="1"/>
  <c r="E22" i="26"/>
  <c r="G22" i="26" s="1"/>
  <c r="D22" i="26"/>
  <c r="B22" i="26"/>
  <c r="L21" i="26"/>
  <c r="I21" i="26"/>
  <c r="F21" i="26"/>
  <c r="H21" i="26" s="1"/>
  <c r="E21" i="26"/>
  <c r="G21" i="26" s="1"/>
  <c r="D21" i="26"/>
  <c r="B21" i="26"/>
  <c r="L20" i="26"/>
  <c r="I20" i="26"/>
  <c r="F20" i="26"/>
  <c r="H20" i="26" s="1"/>
  <c r="E20" i="26"/>
  <c r="G20" i="26" s="1"/>
  <c r="D20" i="26"/>
  <c r="B20" i="26"/>
  <c r="L19" i="26"/>
  <c r="I19" i="26"/>
  <c r="F19" i="26"/>
  <c r="H19" i="26" s="1"/>
  <c r="E19" i="26"/>
  <c r="G19" i="26" s="1"/>
  <c r="D19" i="26"/>
  <c r="B19" i="26"/>
  <c r="L18" i="26"/>
  <c r="I18" i="26"/>
  <c r="F18" i="26"/>
  <c r="H18" i="26" s="1"/>
  <c r="E18" i="26"/>
  <c r="G18" i="26" s="1"/>
  <c r="D18" i="26"/>
  <c r="B18" i="26"/>
  <c r="N1295" i="26" l="1"/>
  <c r="K1320" i="26"/>
  <c r="K1350" i="26"/>
  <c r="K231" i="26"/>
  <c r="K276" i="26"/>
  <c r="N943" i="26"/>
  <c r="N965" i="26"/>
  <c r="K1033" i="26"/>
  <c r="N1101" i="26"/>
  <c r="N1139" i="26"/>
  <c r="N1160" i="26"/>
  <c r="N1219" i="26"/>
  <c r="K1245" i="26"/>
  <c r="K411" i="26"/>
  <c r="K419" i="26"/>
  <c r="N465" i="26"/>
  <c r="K538" i="26"/>
  <c r="K631" i="26"/>
  <c r="K102" i="26"/>
  <c r="K171" i="26"/>
  <c r="K235" i="26"/>
  <c r="K315" i="26"/>
  <c r="N473" i="26"/>
  <c r="K796" i="26"/>
  <c r="N809" i="26"/>
  <c r="K825" i="26"/>
  <c r="K833" i="26"/>
  <c r="N861" i="26"/>
  <c r="N1081" i="26"/>
  <c r="K270" i="26"/>
  <c r="K480" i="26"/>
  <c r="K552" i="26"/>
  <c r="N557" i="26"/>
  <c r="N837" i="26"/>
  <c r="K900" i="26"/>
  <c r="N1265" i="26"/>
  <c r="N1281" i="26"/>
  <c r="K1396" i="26"/>
  <c r="N1433" i="26"/>
  <c r="K1434" i="26"/>
  <c r="N1440" i="26"/>
  <c r="K1456" i="26"/>
  <c r="N1470" i="26"/>
  <c r="T1470" i="26" s="1"/>
  <c r="N1478" i="26"/>
  <c r="K1480" i="26"/>
  <c r="N1020" i="26"/>
  <c r="N1065" i="26"/>
  <c r="K1397" i="26"/>
  <c r="K1405" i="26"/>
  <c r="N1411" i="26"/>
  <c r="K1413" i="26"/>
  <c r="N1427" i="26"/>
  <c r="N210" i="26"/>
  <c r="K429" i="26"/>
  <c r="N435" i="26"/>
  <c r="K461" i="26"/>
  <c r="K540" i="26"/>
  <c r="N748" i="26"/>
  <c r="N908" i="26"/>
  <c r="N963" i="26"/>
  <c r="K964" i="26"/>
  <c r="N1052" i="26"/>
  <c r="N1150" i="26"/>
  <c r="N1216" i="26"/>
  <c r="N1291" i="26"/>
  <c r="K1316" i="26"/>
  <c r="K112" i="26"/>
  <c r="K119" i="26"/>
  <c r="N788" i="26"/>
  <c r="N871" i="26"/>
  <c r="K873" i="26"/>
  <c r="K881" i="26"/>
  <c r="N1414" i="26"/>
  <c r="N1458" i="26"/>
  <c r="K143" i="26"/>
  <c r="K182" i="26"/>
  <c r="K198" i="26"/>
  <c r="N445" i="26"/>
  <c r="K506" i="26"/>
  <c r="K713" i="26"/>
  <c r="K744" i="26"/>
  <c r="N850" i="26"/>
  <c r="K852" i="26"/>
  <c r="N857" i="26"/>
  <c r="N872" i="26"/>
  <c r="N1068" i="26"/>
  <c r="K1070" i="26"/>
  <c r="N1131" i="26"/>
  <c r="K1419" i="26"/>
  <c r="K1427" i="26"/>
  <c r="N1439" i="26"/>
  <c r="K94" i="26"/>
  <c r="K202" i="26"/>
  <c r="K286" i="26"/>
  <c r="K349" i="26"/>
  <c r="K377" i="26"/>
  <c r="N414" i="26"/>
  <c r="N421" i="26"/>
  <c r="K474" i="26"/>
  <c r="K500" i="26"/>
  <c r="N541" i="26"/>
  <c r="K542" i="26"/>
  <c r="K610" i="26"/>
  <c r="N671" i="26"/>
  <c r="N727" i="26"/>
  <c r="K729" i="26"/>
  <c r="N734" i="26"/>
  <c r="K909" i="26"/>
  <c r="N969" i="26"/>
  <c r="K970" i="26"/>
  <c r="N1117" i="26"/>
  <c r="N1138" i="26"/>
  <c r="N1169" i="26"/>
  <c r="N1235" i="26"/>
  <c r="N1244" i="26"/>
  <c r="K1282" i="26"/>
  <c r="K1305" i="26"/>
  <c r="K1347" i="26"/>
  <c r="K1404" i="26"/>
  <c r="N577" i="26"/>
  <c r="K649" i="26"/>
  <c r="K656" i="26"/>
  <c r="N798" i="26"/>
  <c r="N805" i="26"/>
  <c r="N881" i="26"/>
  <c r="N896" i="26"/>
  <c r="K911" i="26"/>
  <c r="N917" i="26"/>
  <c r="K919" i="26"/>
  <c r="K1000" i="26"/>
  <c r="K1001" i="26"/>
  <c r="N1075" i="26"/>
  <c r="N1096" i="26"/>
  <c r="K1113" i="26"/>
  <c r="N1119" i="26"/>
  <c r="K1153" i="26"/>
  <c r="N1170" i="26"/>
  <c r="K1239" i="26"/>
  <c r="N1274" i="26"/>
  <c r="K1298" i="26"/>
  <c r="N1304" i="26"/>
  <c r="K1313" i="26"/>
  <c r="K1314" i="26"/>
  <c r="N1320" i="26"/>
  <c r="N1332" i="26"/>
  <c r="N1366" i="26"/>
  <c r="K385" i="26"/>
  <c r="N390" i="26"/>
  <c r="K398" i="26"/>
  <c r="K488" i="26"/>
  <c r="K502" i="26"/>
  <c r="K530" i="26"/>
  <c r="N950" i="26"/>
  <c r="K972" i="26"/>
  <c r="N1036" i="26"/>
  <c r="N1211" i="26"/>
  <c r="N1259" i="26"/>
  <c r="K1308" i="26"/>
  <c r="N1480" i="26"/>
  <c r="T1480" i="26" s="1"/>
  <c r="K588" i="26"/>
  <c r="K607" i="26"/>
  <c r="N799" i="26"/>
  <c r="K822" i="26"/>
  <c r="K892" i="26"/>
  <c r="N903" i="26"/>
  <c r="K302" i="26"/>
  <c r="K318" i="26"/>
  <c r="K394" i="26"/>
  <c r="K443" i="26"/>
  <c r="K444" i="26"/>
  <c r="N494" i="26"/>
  <c r="K504" i="26"/>
  <c r="K532" i="26"/>
  <c r="N537" i="26"/>
  <c r="N579" i="26"/>
  <c r="N601" i="26"/>
  <c r="N717" i="26"/>
  <c r="N731" i="26"/>
  <c r="K733" i="26"/>
  <c r="N761" i="26"/>
  <c r="K763" i="26"/>
  <c r="N800" i="26"/>
  <c r="N807" i="26"/>
  <c r="K809" i="26"/>
  <c r="K816" i="26"/>
  <c r="K817" i="26"/>
  <c r="K854" i="26"/>
  <c r="N911" i="26"/>
  <c r="N919" i="26"/>
  <c r="K1039" i="26"/>
  <c r="K1079" i="26"/>
  <c r="K1108" i="26"/>
  <c r="N1114" i="26"/>
  <c r="K1137" i="26"/>
  <c r="N1187" i="26"/>
  <c r="K1271" i="26"/>
  <c r="K1279" i="26"/>
  <c r="N1308" i="26"/>
  <c r="N1392" i="26"/>
  <c r="K1394" i="26"/>
  <c r="N1399" i="26"/>
  <c r="K1468" i="26"/>
  <c r="N1481" i="26"/>
  <c r="K1497" i="26"/>
  <c r="T1497" i="26" s="1"/>
  <c r="N1499" i="26"/>
  <c r="N1505" i="26"/>
  <c r="T1505" i="26" s="1"/>
  <c r="N1254" i="26"/>
  <c r="K1256" i="26"/>
  <c r="K1272" i="26"/>
  <c r="K1323" i="26"/>
  <c r="K1331" i="26"/>
  <c r="N82" i="26"/>
  <c r="K84" i="26"/>
  <c r="N90" i="26"/>
  <c r="K92" i="26"/>
  <c r="K155" i="26"/>
  <c r="K249" i="26"/>
  <c r="K290" i="26"/>
  <c r="K355" i="26"/>
  <c r="K369" i="26"/>
  <c r="K401" i="26"/>
  <c r="N406" i="26"/>
  <c r="K407" i="26"/>
  <c r="N428" i="26"/>
  <c r="K438" i="26"/>
  <c r="K457" i="26"/>
  <c r="K472" i="26"/>
  <c r="K485" i="26"/>
  <c r="K505" i="26"/>
  <c r="K561" i="26"/>
  <c r="N566" i="26"/>
  <c r="K735" i="26"/>
  <c r="K773" i="26"/>
  <c r="K781" i="26"/>
  <c r="N886" i="26"/>
  <c r="K887" i="26"/>
  <c r="N906" i="26"/>
  <c r="N913" i="26"/>
  <c r="K916" i="26"/>
  <c r="N929" i="26"/>
  <c r="N1004" i="26"/>
  <c r="N1025" i="26"/>
  <c r="K1040" i="26"/>
  <c r="K1081" i="26"/>
  <c r="N1108" i="26"/>
  <c r="N1123" i="26"/>
  <c r="N1279" i="26"/>
  <c r="N1302" i="26"/>
  <c r="K1359" i="26"/>
  <c r="N1364" i="26"/>
  <c r="K188" i="26"/>
  <c r="N231" i="26"/>
  <c r="K233" i="26"/>
  <c r="N244" i="26"/>
  <c r="K131" i="26"/>
  <c r="K166" i="26"/>
  <c r="K205" i="26"/>
  <c r="K211" i="26"/>
  <c r="K246" i="26"/>
  <c r="K267" i="26"/>
  <c r="N306" i="26"/>
  <c r="K133" i="26"/>
  <c r="N174" i="26"/>
  <c r="K199" i="26"/>
  <c r="K206" i="26"/>
  <c r="K248" i="26"/>
  <c r="N111" i="26"/>
  <c r="K142" i="26"/>
  <c r="N206" i="26"/>
  <c r="K320" i="26"/>
  <c r="N135" i="26"/>
  <c r="K137" i="26"/>
  <c r="N178" i="26"/>
  <c r="N215" i="26"/>
  <c r="K217" i="26"/>
  <c r="K278" i="26"/>
  <c r="K609" i="26"/>
  <c r="K761" i="26"/>
  <c r="K37" i="26"/>
  <c r="K45" i="26"/>
  <c r="N51" i="26"/>
  <c r="K53" i="26"/>
  <c r="N59" i="26"/>
  <c r="K61" i="26"/>
  <c r="N67" i="26"/>
  <c r="K69" i="26"/>
  <c r="N75" i="26"/>
  <c r="K77" i="26"/>
  <c r="N83" i="26"/>
  <c r="K85" i="26"/>
  <c r="N91" i="26"/>
  <c r="K115" i="26"/>
  <c r="K218" i="26"/>
  <c r="K294" i="26"/>
  <c r="K334" i="26"/>
  <c r="K364" i="26"/>
  <c r="N420" i="26"/>
  <c r="N426" i="26"/>
  <c r="N430" i="26"/>
  <c r="N513" i="26"/>
  <c r="N525" i="26"/>
  <c r="K528" i="26"/>
  <c r="N554" i="26"/>
  <c r="K556" i="26"/>
  <c r="K575" i="26"/>
  <c r="N587" i="26"/>
  <c r="K594" i="26"/>
  <c r="K613" i="26"/>
  <c r="N725" i="26"/>
  <c r="N50" i="26"/>
  <c r="K110" i="26"/>
  <c r="N114" i="26"/>
  <c r="K148" i="26"/>
  <c r="K257" i="26"/>
  <c r="K721" i="26"/>
  <c r="K31" i="26"/>
  <c r="K39" i="26"/>
  <c r="N45" i="26"/>
  <c r="K47" i="26"/>
  <c r="N53" i="26"/>
  <c r="K55" i="26"/>
  <c r="N61" i="26"/>
  <c r="K63" i="26"/>
  <c r="N69" i="26"/>
  <c r="K71" i="26"/>
  <c r="K274" i="26"/>
  <c r="K307" i="26"/>
  <c r="N346" i="26"/>
  <c r="K347" i="26"/>
  <c r="K353" i="26"/>
  <c r="K393" i="26"/>
  <c r="N398" i="26"/>
  <c r="K399" i="26"/>
  <c r="K428" i="26"/>
  <c r="N455" i="26"/>
  <c r="K463" i="26"/>
  <c r="N467" i="26"/>
  <c r="K468" i="26"/>
  <c r="K496" i="26"/>
  <c r="N514" i="26"/>
  <c r="N521" i="26"/>
  <c r="K522" i="26"/>
  <c r="N532" i="26"/>
  <c r="K558" i="26"/>
  <c r="K601" i="26"/>
  <c r="K648" i="26"/>
  <c r="N665" i="26"/>
  <c r="K689" i="26"/>
  <c r="N739" i="26"/>
  <c r="N21" i="26"/>
  <c r="K23" i="26"/>
  <c r="N29" i="26"/>
  <c r="N37" i="26"/>
  <c r="N116" i="26"/>
  <c r="N148" i="26"/>
  <c r="K150" i="26"/>
  <c r="K214" i="26"/>
  <c r="K221" i="26"/>
  <c r="K243" i="26"/>
  <c r="K253" i="26"/>
  <c r="K258" i="26"/>
  <c r="K291" i="26"/>
  <c r="N733" i="26"/>
  <c r="N416" i="26"/>
  <c r="K464" i="26"/>
  <c r="N468" i="26"/>
  <c r="K469" i="26"/>
  <c r="N479" i="26"/>
  <c r="N485" i="26"/>
  <c r="K492" i="26"/>
  <c r="N496" i="26"/>
  <c r="K497" i="26"/>
  <c r="N508" i="26"/>
  <c r="N509" i="26"/>
  <c r="N522" i="26"/>
  <c r="K524" i="26"/>
  <c r="K545" i="26"/>
  <c r="K560" i="26"/>
  <c r="N570" i="26"/>
  <c r="N590" i="26"/>
  <c r="K603" i="26"/>
  <c r="N606" i="26"/>
  <c r="K620" i="26"/>
  <c r="K66" i="26"/>
  <c r="N72" i="26"/>
  <c r="K74" i="26"/>
  <c r="N80" i="26"/>
  <c r="K82" i="26"/>
  <c r="N88" i="26"/>
  <c r="K90" i="26"/>
  <c r="N124" i="26"/>
  <c r="K126" i="26"/>
  <c r="N132" i="26"/>
  <c r="K134" i="26"/>
  <c r="N172" i="26"/>
  <c r="N183" i="26"/>
  <c r="K185" i="26"/>
  <c r="K216" i="26"/>
  <c r="K222" i="26"/>
  <c r="K227" i="26"/>
  <c r="K254" i="26"/>
  <c r="K271" i="26"/>
  <c r="K310" i="26"/>
  <c r="K321" i="26"/>
  <c r="K330" i="26"/>
  <c r="K331" i="26"/>
  <c r="K337" i="26"/>
  <c r="K338" i="26"/>
  <c r="N354" i="26"/>
  <c r="K356" i="26"/>
  <c r="K512" i="26"/>
  <c r="K536" i="26"/>
  <c r="N584" i="26"/>
  <c r="K586" i="26"/>
  <c r="K598" i="26"/>
  <c r="N602" i="26"/>
  <c r="N607" i="26"/>
  <c r="K608" i="26"/>
  <c r="N631" i="26"/>
  <c r="K650" i="26"/>
  <c r="K711" i="26"/>
  <c r="N716" i="26"/>
  <c r="N119" i="26"/>
  <c r="K135" i="26"/>
  <c r="N162" i="26"/>
  <c r="N167" i="26"/>
  <c r="K168" i="26"/>
  <c r="N372" i="26"/>
  <c r="K436" i="26"/>
  <c r="K441" i="26"/>
  <c r="K460" i="26"/>
  <c r="K466" i="26"/>
  <c r="N511" i="26"/>
  <c r="K526" i="26"/>
  <c r="N531" i="26"/>
  <c r="N617" i="26"/>
  <c r="K651" i="26"/>
  <c r="N657" i="26"/>
  <c r="K738" i="26"/>
  <c r="N744" i="26"/>
  <c r="K746" i="26"/>
  <c r="N752" i="26"/>
  <c r="K1264" i="26"/>
  <c r="N1270" i="26"/>
  <c r="N1290" i="26"/>
  <c r="K1299" i="26"/>
  <c r="K1311" i="26"/>
  <c r="K1319" i="26"/>
  <c r="N1367" i="26"/>
  <c r="N1374" i="26"/>
  <c r="K1376" i="26"/>
  <c r="N1382" i="26"/>
  <c r="N1388" i="26"/>
  <c r="N1417" i="26"/>
  <c r="K1441" i="26"/>
  <c r="N1453" i="26"/>
  <c r="K725" i="26"/>
  <c r="N736" i="26"/>
  <c r="K737" i="26"/>
  <c r="N750" i="26"/>
  <c r="K777" i="26"/>
  <c r="N783" i="26"/>
  <c r="K785" i="26"/>
  <c r="N796" i="26"/>
  <c r="N804" i="26"/>
  <c r="N824" i="26"/>
  <c r="N831" i="26"/>
  <c r="K876" i="26"/>
  <c r="K884" i="26"/>
  <c r="N890" i="26"/>
  <c r="N901" i="26"/>
  <c r="N918" i="26"/>
  <c r="N924" i="26"/>
  <c r="K925" i="26"/>
  <c r="K940" i="26"/>
  <c r="K947" i="26"/>
  <c r="N952" i="26"/>
  <c r="N960" i="26"/>
  <c r="N994" i="26"/>
  <c r="K995" i="26"/>
  <c r="N1007" i="26"/>
  <c r="K1009" i="26"/>
  <c r="K1027" i="26"/>
  <c r="K1045" i="26"/>
  <c r="K1063" i="26"/>
  <c r="K1068" i="26"/>
  <c r="K1073" i="26"/>
  <c r="K1089" i="26"/>
  <c r="N1095" i="26"/>
  <c r="N1141" i="26"/>
  <c r="N1142" i="26"/>
  <c r="N1180" i="26"/>
  <c r="N1342" i="26"/>
  <c r="K1369" i="26"/>
  <c r="K1377" i="26"/>
  <c r="N1389" i="26"/>
  <c r="K765" i="26"/>
  <c r="N902" i="26"/>
  <c r="N1103" i="26"/>
  <c r="N1137" i="26"/>
  <c r="N1159" i="26"/>
  <c r="N1203" i="26"/>
  <c r="K1204" i="26"/>
  <c r="N1208" i="26"/>
  <c r="N1238" i="26"/>
  <c r="K1240" i="26"/>
  <c r="N1257" i="26"/>
  <c r="N1264" i="26"/>
  <c r="K1265" i="26"/>
  <c r="K1280" i="26"/>
  <c r="K1287" i="26"/>
  <c r="K1327" i="26"/>
  <c r="K1346" i="26"/>
  <c r="K1351" i="26"/>
  <c r="K1449" i="26"/>
  <c r="N1454" i="26"/>
  <c r="N1455" i="26"/>
  <c r="N1469" i="26"/>
  <c r="N1477" i="26"/>
  <c r="K1484" i="26"/>
  <c r="K1492" i="26"/>
  <c r="K779" i="26"/>
  <c r="K787" i="26"/>
  <c r="N806" i="26"/>
  <c r="N813" i="26"/>
  <c r="K828" i="26"/>
  <c r="N834" i="26"/>
  <c r="K849" i="26"/>
  <c r="K894" i="26"/>
  <c r="N920" i="26"/>
  <c r="K922" i="26"/>
  <c r="K926" i="26"/>
  <c r="K948" i="26"/>
  <c r="N953" i="26"/>
  <c r="N961" i="26"/>
  <c r="K973" i="26"/>
  <c r="N980" i="26"/>
  <c r="N1009" i="26"/>
  <c r="K1016" i="26"/>
  <c r="N1021" i="26"/>
  <c r="N1028" i="26"/>
  <c r="N1033" i="26"/>
  <c r="K1046" i="26"/>
  <c r="N1057" i="26"/>
  <c r="K1058" i="26"/>
  <c r="K1065" i="26"/>
  <c r="K1069" i="26"/>
  <c r="K1084" i="26"/>
  <c r="N1089" i="26"/>
  <c r="N1090" i="26"/>
  <c r="K1106" i="26"/>
  <c r="K1110" i="26"/>
  <c r="N1120" i="26"/>
  <c r="K1122" i="26"/>
  <c r="N1198" i="26"/>
  <c r="N1214" i="26"/>
  <c r="N1245" i="26"/>
  <c r="K1259" i="26"/>
  <c r="N1345" i="26"/>
  <c r="K1371" i="26"/>
  <c r="K1379" i="26"/>
  <c r="K1392" i="26"/>
  <c r="N1397" i="26"/>
  <c r="T1397" i="26" s="1"/>
  <c r="K1399" i="26"/>
  <c r="K1407" i="26"/>
  <c r="N1413" i="26"/>
  <c r="N1420" i="26"/>
  <c r="K1430" i="26"/>
  <c r="K1435" i="26"/>
  <c r="K1472" i="26"/>
  <c r="N1502" i="26"/>
  <c r="T1502" i="26" s="1"/>
  <c r="K754" i="26"/>
  <c r="N786" i="26"/>
  <c r="K801" i="26"/>
  <c r="N855" i="26"/>
  <c r="N862" i="26"/>
  <c r="N877" i="26"/>
  <c r="K895" i="26"/>
  <c r="N948" i="26"/>
  <c r="N989" i="26"/>
  <c r="N1010" i="26"/>
  <c r="K1030" i="26"/>
  <c r="N1041" i="26"/>
  <c r="K1099" i="26"/>
  <c r="K1111" i="26"/>
  <c r="N1215" i="26"/>
  <c r="K1234" i="26"/>
  <c r="N1240" i="26"/>
  <c r="K1242" i="26"/>
  <c r="K1248" i="26"/>
  <c r="K1267" i="26"/>
  <c r="N1312" i="26"/>
  <c r="N1370" i="26"/>
  <c r="N1378" i="26"/>
  <c r="K1380" i="26"/>
  <c r="N1429" i="26"/>
  <c r="N1435" i="26"/>
  <c r="T1435" i="26" s="1"/>
  <c r="N1464" i="26"/>
  <c r="K1494" i="26"/>
  <c r="N1496" i="26"/>
  <c r="N1504" i="26"/>
  <c r="T1504" i="26" s="1"/>
  <c r="N1507" i="26"/>
  <c r="T1507" i="26" s="1"/>
  <c r="N773" i="26"/>
  <c r="N787" i="26"/>
  <c r="N815" i="26"/>
  <c r="N863" i="26"/>
  <c r="K880" i="26"/>
  <c r="K923" i="26"/>
  <c r="K929" i="26"/>
  <c r="K951" i="26"/>
  <c r="K958" i="26"/>
  <c r="N1011" i="26"/>
  <c r="K1012" i="26"/>
  <c r="N1017" i="26"/>
  <c r="K1024" i="26"/>
  <c r="K1025" i="26"/>
  <c r="K1031" i="26"/>
  <c r="K1038" i="26"/>
  <c r="K1044" i="26"/>
  <c r="K1066" i="26"/>
  <c r="N1092" i="26"/>
  <c r="N1111" i="26"/>
  <c r="N1134" i="26"/>
  <c r="N1151" i="26"/>
  <c r="N1182" i="26"/>
  <c r="N1194" i="26"/>
  <c r="N1242" i="26"/>
  <c r="N1248" i="26"/>
  <c r="K1249" i="26"/>
  <c r="K1250" i="26"/>
  <c r="N1303" i="26"/>
  <c r="N1329" i="26"/>
  <c r="K1342" i="26"/>
  <c r="N1358" i="26"/>
  <c r="N1372" i="26"/>
  <c r="K1382" i="26"/>
  <c r="K1388" i="26"/>
  <c r="N1393" i="26"/>
  <c r="N1407" i="26"/>
  <c r="T1407" i="26" s="1"/>
  <c r="N1422" i="26"/>
  <c r="N1423" i="26"/>
  <c r="K1425" i="26"/>
  <c r="N1445" i="26"/>
  <c r="K1446" i="26"/>
  <c r="K1452" i="26"/>
  <c r="K1453" i="26"/>
  <c r="N1465" i="26"/>
  <c r="N1466" i="26"/>
  <c r="K1476" i="26"/>
  <c r="N1509" i="26"/>
  <c r="T1509" i="26" s="1"/>
  <c r="N755" i="26"/>
  <c r="K803" i="26"/>
  <c r="N817" i="26"/>
  <c r="N823" i="26"/>
  <c r="N844" i="26"/>
  <c r="K874" i="26"/>
  <c r="N879" i="26"/>
  <c r="K890" i="26"/>
  <c r="K896" i="26"/>
  <c r="K924" i="26"/>
  <c r="N964" i="26"/>
  <c r="N976" i="26"/>
  <c r="K985" i="26"/>
  <c r="N992" i="26"/>
  <c r="K993" i="26"/>
  <c r="N1060" i="26"/>
  <c r="K1237" i="26"/>
  <c r="N1297" i="26"/>
  <c r="N1316" i="26"/>
  <c r="K1318" i="26"/>
  <c r="K1324" i="26"/>
  <c r="K1337" i="26"/>
  <c r="N1341" i="26"/>
  <c r="N1353" i="26"/>
  <c r="K1403" i="26"/>
  <c r="N1409" i="26"/>
  <c r="K1411" i="26"/>
  <c r="K1418" i="26"/>
  <c r="N1460" i="26"/>
  <c r="N1475" i="26"/>
  <c r="K1499" i="26"/>
  <c r="K34" i="26"/>
  <c r="K98" i="26"/>
  <c r="K103" i="26"/>
  <c r="K107" i="26"/>
  <c r="K113" i="26"/>
  <c r="K118" i="26"/>
  <c r="K123" i="26"/>
  <c r="K136" i="26"/>
  <c r="N147" i="26"/>
  <c r="N158" i="26"/>
  <c r="K163" i="26"/>
  <c r="K170" i="26"/>
  <c r="K180" i="26"/>
  <c r="N190" i="26"/>
  <c r="N228" i="26"/>
  <c r="K32" i="26"/>
  <c r="N38" i="26"/>
  <c r="K40" i="26"/>
  <c r="N46" i="26"/>
  <c r="K48" i="26"/>
  <c r="N54" i="26"/>
  <c r="K56" i="26"/>
  <c r="N62" i="26"/>
  <c r="K64" i="26"/>
  <c r="N70" i="26"/>
  <c r="K72" i="26"/>
  <c r="N78" i="26"/>
  <c r="K80" i="26"/>
  <c r="N86" i="26"/>
  <c r="K88" i="26"/>
  <c r="K100" i="26"/>
  <c r="K114" i="26"/>
  <c r="K120" i="26"/>
  <c r="K125" i="26"/>
  <c r="K132" i="26"/>
  <c r="K145" i="26"/>
  <c r="N154" i="26"/>
  <c r="K172" i="26"/>
  <c r="K187" i="26"/>
  <c r="N191" i="26"/>
  <c r="K192" i="26"/>
  <c r="K204" i="26"/>
  <c r="K215" i="26"/>
  <c r="N220" i="26"/>
  <c r="K95" i="26"/>
  <c r="N150" i="26"/>
  <c r="K156" i="26"/>
  <c r="K173" i="26"/>
  <c r="K177" i="26"/>
  <c r="N32" i="26"/>
  <c r="K50" i="26"/>
  <c r="K58" i="26"/>
  <c r="K226" i="26"/>
  <c r="K42" i="26"/>
  <c r="N56" i="26"/>
  <c r="N64" i="26"/>
  <c r="K116" i="26"/>
  <c r="K128" i="26"/>
  <c r="K146" i="26"/>
  <c r="N156" i="26"/>
  <c r="K169" i="26"/>
  <c r="K174" i="26"/>
  <c r="N182" i="26"/>
  <c r="K200" i="26"/>
  <c r="N48" i="26"/>
  <c r="K97" i="26"/>
  <c r="K117" i="26"/>
  <c r="N127" i="26"/>
  <c r="K129" i="26"/>
  <c r="K139" i="26"/>
  <c r="N142" i="26"/>
  <c r="K147" i="26"/>
  <c r="K179" i="26"/>
  <c r="K184" i="26"/>
  <c r="K190" i="26"/>
  <c r="K195" i="26"/>
  <c r="N199" i="26"/>
  <c r="N40" i="26"/>
  <c r="N35" i="26"/>
  <c r="N43" i="26"/>
  <c r="K203" i="26"/>
  <c r="K219" i="26"/>
  <c r="K220" i="26"/>
  <c r="K232" i="26"/>
  <c r="K237" i="26"/>
  <c r="K241" i="26"/>
  <c r="N247" i="26"/>
  <c r="N260" i="26"/>
  <c r="N266" i="26"/>
  <c r="K275" i="26"/>
  <c r="K306" i="26"/>
  <c r="N314" i="26"/>
  <c r="N318" i="26"/>
  <c r="K319" i="26"/>
  <c r="K341" i="26"/>
  <c r="K345" i="26"/>
  <c r="K346" i="26"/>
  <c r="K350" i="26"/>
  <c r="N362" i="26"/>
  <c r="K363" i="26"/>
  <c r="K373" i="26"/>
  <c r="N380" i="26"/>
  <c r="N388" i="26"/>
  <c r="K402" i="26"/>
  <c r="K417" i="26"/>
  <c r="N422" i="26"/>
  <c r="K423" i="26"/>
  <c r="K431" i="26"/>
  <c r="K445" i="26"/>
  <c r="K449" i="26"/>
  <c r="K459" i="26"/>
  <c r="K467" i="26"/>
  <c r="K471" i="26"/>
  <c r="K482" i="26"/>
  <c r="K489" i="26"/>
  <c r="N493" i="26"/>
  <c r="K494" i="26"/>
  <c r="K510" i="26"/>
  <c r="N515" i="26"/>
  <c r="K516" i="26"/>
  <c r="N529" i="26"/>
  <c r="N533" i="26"/>
  <c r="K534" i="26"/>
  <c r="N536" i="26"/>
  <c r="N540" i="26"/>
  <c r="N545" i="26"/>
  <c r="K546" i="26"/>
  <c r="N555" i="26"/>
  <c r="K562" i="26"/>
  <c r="K571" i="26"/>
  <c r="K616" i="26"/>
  <c r="K238" i="26"/>
  <c r="K262" i="26"/>
  <c r="K272" i="26"/>
  <c r="K277" i="26"/>
  <c r="K289" i="26"/>
  <c r="K329" i="26"/>
  <c r="K342" i="26"/>
  <c r="K418" i="26"/>
  <c r="K478" i="26"/>
  <c r="K483" i="26"/>
  <c r="K490" i="26"/>
  <c r="K499" i="26"/>
  <c r="K503" i="26"/>
  <c r="K507" i="26"/>
  <c r="K527" i="26"/>
  <c r="K535" i="26"/>
  <c r="K547" i="26"/>
  <c r="N562" i="26"/>
  <c r="K563" i="26"/>
  <c r="N571" i="26"/>
  <c r="N575" i="26"/>
  <c r="K581" i="26"/>
  <c r="N586" i="26"/>
  <c r="K587" i="26"/>
  <c r="N591" i="26"/>
  <c r="K597" i="26"/>
  <c r="K606" i="26"/>
  <c r="K263" i="26"/>
  <c r="N271" i="26"/>
  <c r="K273" i="26"/>
  <c r="N276" i="26"/>
  <c r="K300" i="26"/>
  <c r="K322" i="26"/>
  <c r="K326" i="26"/>
  <c r="K348" i="26"/>
  <c r="K365" i="26"/>
  <c r="K391" i="26"/>
  <c r="N413" i="26"/>
  <c r="N423" i="26"/>
  <c r="N450" i="26"/>
  <c r="K452" i="26"/>
  <c r="N464" i="26"/>
  <c r="K465" i="26"/>
  <c r="K479" i="26"/>
  <c r="N487" i="26"/>
  <c r="N495" i="26"/>
  <c r="N499" i="26"/>
  <c r="N517" i="26"/>
  <c r="K518" i="26"/>
  <c r="K548" i="26"/>
  <c r="N567" i="26"/>
  <c r="K577" i="26"/>
  <c r="N580" i="26"/>
  <c r="N581" i="26"/>
  <c r="N222" i="26"/>
  <c r="K230" i="26"/>
  <c r="N234" i="26"/>
  <c r="K244" i="26"/>
  <c r="K251" i="26"/>
  <c r="K259" i="26"/>
  <c r="K265" i="26"/>
  <c r="N278" i="26"/>
  <c r="K283" i="26"/>
  <c r="N290" i="26"/>
  <c r="K292" i="26"/>
  <c r="K313" i="26"/>
  <c r="N330" i="26"/>
  <c r="K332" i="26"/>
  <c r="K409" i="26"/>
  <c r="N437" i="26"/>
  <c r="K442" i="26"/>
  <c r="K454" i="26"/>
  <c r="N472" i="26"/>
  <c r="K501" i="26"/>
  <c r="N504" i="26"/>
  <c r="N505" i="26"/>
  <c r="N523" i="26"/>
  <c r="N539" i="26"/>
  <c r="N543" i="26"/>
  <c r="K544" i="26"/>
  <c r="K550" i="26"/>
  <c r="N559" i="26"/>
  <c r="K565" i="26"/>
  <c r="K569" i="26"/>
  <c r="K573" i="26"/>
  <c r="K247" i="26"/>
  <c r="N250" i="26"/>
  <c r="N254" i="26"/>
  <c r="K260" i="26"/>
  <c r="N282" i="26"/>
  <c r="K297" i="26"/>
  <c r="K305" i="26"/>
  <c r="K314" i="26"/>
  <c r="K324" i="26"/>
  <c r="K380" i="26"/>
  <c r="N396" i="26"/>
  <c r="N453" i="26"/>
  <c r="K458" i="26"/>
  <c r="N501" i="26"/>
  <c r="N519" i="26"/>
  <c r="N549" i="26"/>
  <c r="K525" i="26"/>
  <c r="N528" i="26"/>
  <c r="K566" i="26"/>
  <c r="K570" i="26"/>
  <c r="K574" i="26"/>
  <c r="N578" i="26"/>
  <c r="K579" i="26"/>
  <c r="N583" i="26"/>
  <c r="K585" i="26"/>
  <c r="K590" i="26"/>
  <c r="K611" i="26"/>
  <c r="K619" i="26"/>
  <c r="N633" i="26"/>
  <c r="N639" i="26"/>
  <c r="K667" i="26"/>
  <c r="K691" i="26"/>
  <c r="K697" i="26"/>
  <c r="N711" i="26"/>
  <c r="N712" i="26"/>
  <c r="K714" i="26"/>
  <c r="N718" i="26"/>
  <c r="K719" i="26"/>
  <c r="K731" i="26"/>
  <c r="K736" i="26"/>
  <c r="K741" i="26"/>
  <c r="N747" i="26"/>
  <c r="K865" i="26"/>
  <c r="K869" i="26"/>
  <c r="K891" i="26"/>
  <c r="N904" i="26"/>
  <c r="K910" i="26"/>
  <c r="N914" i="26"/>
  <c r="N938" i="26"/>
  <c r="N945" i="26"/>
  <c r="K946" i="26"/>
  <c r="K957" i="26"/>
  <c r="K969" i="26"/>
  <c r="K980" i="26"/>
  <c r="N985" i="26"/>
  <c r="N990" i="26"/>
  <c r="N996" i="26"/>
  <c r="N1005" i="26"/>
  <c r="N1012" i="26"/>
  <c r="K1026" i="26"/>
  <c r="N1029" i="26"/>
  <c r="N1044" i="26"/>
  <c r="N1049" i="26"/>
  <c r="N1104" i="26"/>
  <c r="K627" i="26"/>
  <c r="N663" i="26"/>
  <c r="K675" i="26"/>
  <c r="N702" i="26"/>
  <c r="K709" i="26"/>
  <c r="N719" i="26"/>
  <c r="K720" i="26"/>
  <c r="N735" i="26"/>
  <c r="K742" i="26"/>
  <c r="K749" i="26"/>
  <c r="K755" i="26"/>
  <c r="N759" i="26"/>
  <c r="N769" i="26"/>
  <c r="K771" i="26"/>
  <c r="N775" i="26"/>
  <c r="N785" i="26"/>
  <c r="K786" i="26"/>
  <c r="N797" i="26"/>
  <c r="N803" i="26"/>
  <c r="K804" i="26"/>
  <c r="N810" i="26"/>
  <c r="K811" i="26"/>
  <c r="N816" i="26"/>
  <c r="N841" i="26"/>
  <c r="K842" i="26"/>
  <c r="N847" i="26"/>
  <c r="N858" i="26"/>
  <c r="N864" i="26"/>
  <c r="N885" i="26"/>
  <c r="N899" i="26"/>
  <c r="K906" i="26"/>
  <c r="N915" i="26"/>
  <c r="K930" i="26"/>
  <c r="N940" i="26"/>
  <c r="N991" i="26"/>
  <c r="N1006" i="26"/>
  <c r="K1018" i="26"/>
  <c r="K1050" i="26"/>
  <c r="N1053" i="26"/>
  <c r="N1063" i="26"/>
  <c r="N1067" i="26"/>
  <c r="K1071" i="26"/>
  <c r="K1075" i="26"/>
  <c r="N1082" i="26"/>
  <c r="N1099" i="26"/>
  <c r="N1100" i="26"/>
  <c r="K645" i="26"/>
  <c r="K657" i="26"/>
  <c r="K681" i="26"/>
  <c r="N686" i="26"/>
  <c r="K688" i="26"/>
  <c r="K699" i="26"/>
  <c r="N709" i="26"/>
  <c r="K710" i="26"/>
  <c r="N715" i="26"/>
  <c r="N720" i="26"/>
  <c r="K722" i="26"/>
  <c r="N741" i="26"/>
  <c r="N765" i="26"/>
  <c r="N771" i="26"/>
  <c r="N781" i="26"/>
  <c r="K783" i="26"/>
  <c r="K794" i="26"/>
  <c r="K800" i="26"/>
  <c r="N811" i="26"/>
  <c r="N818" i="26"/>
  <c r="K819" i="26"/>
  <c r="N832" i="26"/>
  <c r="N838" i="26"/>
  <c r="K839" i="26"/>
  <c r="K844" i="26"/>
  <c r="N848" i="26"/>
  <c r="N854" i="26"/>
  <c r="N859" i="26"/>
  <c r="N860" i="26"/>
  <c r="K866" i="26"/>
  <c r="N870" i="26"/>
  <c r="K871" i="26"/>
  <c r="N875" i="26"/>
  <c r="N887" i="26"/>
  <c r="K888" i="26"/>
  <c r="K893" i="26"/>
  <c r="K931" i="26"/>
  <c r="K936" i="26"/>
  <c r="K942" i="26"/>
  <c r="K954" i="26"/>
  <c r="K959" i="26"/>
  <c r="N974" i="26"/>
  <c r="K975" i="26"/>
  <c r="K976" i="26"/>
  <c r="N981" i="26"/>
  <c r="N993" i="26"/>
  <c r="K998" i="26"/>
  <c r="N1008" i="26"/>
  <c r="K1014" i="26"/>
  <c r="K1019" i="26"/>
  <c r="N1040" i="26"/>
  <c r="K1041" i="26"/>
  <c r="K1051" i="26"/>
  <c r="K1055" i="26"/>
  <c r="N1059" i="26"/>
  <c r="K1060" i="26"/>
  <c r="N1079" i="26"/>
  <c r="K1080" i="26"/>
  <c r="N1084" i="26"/>
  <c r="N687" i="26"/>
  <c r="K717" i="26"/>
  <c r="N726" i="26"/>
  <c r="K727" i="26"/>
  <c r="K728" i="26"/>
  <c r="K739" i="26"/>
  <c r="N742" i="26"/>
  <c r="K745" i="26"/>
  <c r="N749" i="26"/>
  <c r="K789" i="26"/>
  <c r="K927" i="26"/>
  <c r="K807" i="26"/>
  <c r="N819" i="26"/>
  <c r="K820" i="26"/>
  <c r="N828" i="26"/>
  <c r="K829" i="26"/>
  <c r="K835" i="26"/>
  <c r="N839" i="26"/>
  <c r="K845" i="26"/>
  <c r="K851" i="26"/>
  <c r="K856" i="26"/>
  <c r="K883" i="26"/>
  <c r="N897" i="26"/>
  <c r="K903" i="26"/>
  <c r="K913" i="26"/>
  <c r="K937" i="26"/>
  <c r="N954" i="26"/>
  <c r="K966" i="26"/>
  <c r="N982" i="26"/>
  <c r="K999" i="26"/>
  <c r="K1011" i="26"/>
  <c r="K1015" i="26"/>
  <c r="K1056" i="26"/>
  <c r="K1061" i="26"/>
  <c r="K1077" i="26"/>
  <c r="K1092" i="26"/>
  <c r="K625" i="26"/>
  <c r="K642" i="26"/>
  <c r="K683" i="26"/>
  <c r="N694" i="26"/>
  <c r="K701" i="26"/>
  <c r="K707" i="26"/>
  <c r="K712" i="26"/>
  <c r="N723" i="26"/>
  <c r="N728" i="26"/>
  <c r="K730" i="26"/>
  <c r="K747" i="26"/>
  <c r="N751" i="26"/>
  <c r="K752" i="26"/>
  <c r="K791" i="26"/>
  <c r="N801" i="26"/>
  <c r="K808" i="26"/>
  <c r="N814" i="26"/>
  <c r="K815" i="26"/>
  <c r="N820" i="26"/>
  <c r="K836" i="26"/>
  <c r="K840" i="26"/>
  <c r="K863" i="26"/>
  <c r="N867" i="26"/>
  <c r="N878" i="26"/>
  <c r="K879" i="26"/>
  <c r="K908" i="26"/>
  <c r="N922" i="26"/>
  <c r="N927" i="26"/>
  <c r="K928" i="26"/>
  <c r="N932" i="26"/>
  <c r="K933" i="26"/>
  <c r="N944" i="26"/>
  <c r="N949" i="26"/>
  <c r="K956" i="26"/>
  <c r="K968" i="26"/>
  <c r="N971" i="26"/>
  <c r="N983" i="26"/>
  <c r="N995" i="26"/>
  <c r="K996" i="26"/>
  <c r="K1034" i="26"/>
  <c r="N1042" i="26"/>
  <c r="N1047" i="26"/>
  <c r="K1049" i="26"/>
  <c r="K1057" i="26"/>
  <c r="K1062" i="26"/>
  <c r="K1074" i="26"/>
  <c r="K653" i="26"/>
  <c r="K753" i="26"/>
  <c r="K759" i="26"/>
  <c r="N763" i="26"/>
  <c r="K775" i="26"/>
  <c r="N779" i="26"/>
  <c r="N790" i="26"/>
  <c r="K792" i="26"/>
  <c r="N802" i="26"/>
  <c r="N808" i="26"/>
  <c r="K830" i="26"/>
  <c r="N835" i="26"/>
  <c r="N836" i="26"/>
  <c r="K841" i="26"/>
  <c r="K846" i="26"/>
  <c r="N851" i="26"/>
  <c r="N852" i="26"/>
  <c r="K857" i="26"/>
  <c r="K858" i="26"/>
  <c r="K1017" i="26"/>
  <c r="K1022" i="26"/>
  <c r="N1066" i="26"/>
  <c r="K1082" i="26"/>
  <c r="N1118" i="26"/>
  <c r="K1135" i="26"/>
  <c r="N1155" i="26"/>
  <c r="N1163" i="26"/>
  <c r="N1176" i="26"/>
  <c r="K1186" i="26"/>
  <c r="N1395" i="26"/>
  <c r="N1408" i="26"/>
  <c r="K1410" i="26"/>
  <c r="N1415" i="26"/>
  <c r="N1426" i="26"/>
  <c r="N1437" i="26"/>
  <c r="K1439" i="26"/>
  <c r="N1457" i="26"/>
  <c r="K1465" i="26"/>
  <c r="N1221" i="26"/>
  <c r="N1229" i="26"/>
  <c r="K1241" i="26"/>
  <c r="K1246" i="26"/>
  <c r="N1251" i="26"/>
  <c r="K1258" i="26"/>
  <c r="N1261" i="26"/>
  <c r="K1262" i="26"/>
  <c r="N1267" i="26"/>
  <c r="K1268" i="26"/>
  <c r="N1272" i="26"/>
  <c r="K1296" i="26"/>
  <c r="K1321" i="26"/>
  <c r="N1340" i="26"/>
  <c r="N1354" i="26"/>
  <c r="K1481" i="26"/>
  <c r="N1087" i="26"/>
  <c r="K1088" i="26"/>
  <c r="N1106" i="26"/>
  <c r="N1110" i="26"/>
  <c r="K1121" i="26"/>
  <c r="N1128" i="26"/>
  <c r="N1129" i="26"/>
  <c r="K1130" i="26"/>
  <c r="N1135" i="26"/>
  <c r="K1145" i="26"/>
  <c r="N1148" i="26"/>
  <c r="N1186" i="26"/>
  <c r="N1190" i="26"/>
  <c r="N1209" i="26"/>
  <c r="K1210" i="26"/>
  <c r="N1222" i="26"/>
  <c r="K1236" i="26"/>
  <c r="K1243" i="26"/>
  <c r="K1253" i="26"/>
  <c r="N1262" i="26"/>
  <c r="N1268" i="26"/>
  <c r="K1275" i="26"/>
  <c r="K1281" i="26"/>
  <c r="N1286" i="26"/>
  <c r="K1288" i="26"/>
  <c r="N1296" i="26"/>
  <c r="K1303" i="26"/>
  <c r="K1307" i="26"/>
  <c r="K1312" i="26"/>
  <c r="N1327" i="26"/>
  <c r="K1338" i="26"/>
  <c r="K1357" i="26"/>
  <c r="K1366" i="26"/>
  <c r="K1372" i="26"/>
  <c r="K1373" i="26"/>
  <c r="N1379" i="26"/>
  <c r="T1379" i="26" s="1"/>
  <c r="K1381" i="26"/>
  <c r="N1385" i="26"/>
  <c r="K1386" i="26"/>
  <c r="N1396" i="26"/>
  <c r="K1398" i="26"/>
  <c r="N1402" i="26"/>
  <c r="N1410" i="26"/>
  <c r="K1412" i="26"/>
  <c r="N1421" i="26"/>
  <c r="K1422" i="26"/>
  <c r="N1428" i="26"/>
  <c r="N1452" i="26"/>
  <c r="T1452" i="26" s="1"/>
  <c r="K1454" i="26"/>
  <c r="K1466" i="26"/>
  <c r="K1467" i="26"/>
  <c r="T1467" i="26" s="1"/>
  <c r="K1488" i="26"/>
  <c r="N1493" i="26"/>
  <c r="N1495" i="26"/>
  <c r="N1501" i="26"/>
  <c r="T1501" i="26" s="1"/>
  <c r="N1512" i="26"/>
  <c r="T1512" i="26" s="1"/>
  <c r="K1334" i="26"/>
  <c r="N1337" i="26"/>
  <c r="K1090" i="26"/>
  <c r="N1093" i="26"/>
  <c r="K1097" i="26"/>
  <c r="K1098" i="26"/>
  <c r="N1107" i="26"/>
  <c r="N1112" i="26"/>
  <c r="N1121" i="26"/>
  <c r="N1125" i="26"/>
  <c r="K1132" i="26"/>
  <c r="K1138" i="26"/>
  <c r="N1152" i="26"/>
  <c r="N1178" i="26"/>
  <c r="N1183" i="26"/>
  <c r="N1200" i="26"/>
  <c r="K1201" i="26"/>
  <c r="N1206" i="26"/>
  <c r="K1233" i="26"/>
  <c r="N1247" i="26"/>
  <c r="N1253" i="26"/>
  <c r="N1263" i="26"/>
  <c r="N1269" i="26"/>
  <c r="K1270" i="26"/>
  <c r="K1283" i="26"/>
  <c r="N1288" i="26"/>
  <c r="N1292" i="26"/>
  <c r="K1293" i="26"/>
  <c r="K1304" i="26"/>
  <c r="K1329" i="26"/>
  <c r="N1333" i="26"/>
  <c r="N1347" i="26"/>
  <c r="K1348" i="26"/>
  <c r="K1353" i="26"/>
  <c r="K1368" i="26"/>
  <c r="K1375" i="26"/>
  <c r="N1381" i="26"/>
  <c r="T1381" i="26" s="1"/>
  <c r="N1390" i="26"/>
  <c r="T1390" i="26" s="1"/>
  <c r="N1391" i="26"/>
  <c r="K1393" i="26"/>
  <c r="N1398" i="26"/>
  <c r="T1398" i="26" s="1"/>
  <c r="N1404" i="26"/>
  <c r="T1404" i="26" s="1"/>
  <c r="K1414" i="26"/>
  <c r="K1424" i="26"/>
  <c r="N1446" i="26"/>
  <c r="T1446" i="26" s="1"/>
  <c r="K1448" i="26"/>
  <c r="K1478" i="26"/>
  <c r="N1487" i="26"/>
  <c r="K1490" i="26"/>
  <c r="N1517" i="26"/>
  <c r="T1517" i="26" s="1"/>
  <c r="N1098" i="26"/>
  <c r="N1113" i="26"/>
  <c r="N1122" i="26"/>
  <c r="N1132" i="26"/>
  <c r="N1149" i="26"/>
  <c r="N1165" i="26"/>
  <c r="N1166" i="26"/>
  <c r="K1194" i="26"/>
  <c r="N1207" i="26"/>
  <c r="N1212" i="26"/>
  <c r="N1232" i="26"/>
  <c r="N1237" i="26"/>
  <c r="N1283" i="26"/>
  <c r="N1293" i="26"/>
  <c r="K1294" i="26"/>
  <c r="N1334" i="26"/>
  <c r="N1368" i="26"/>
  <c r="N1387" i="26"/>
  <c r="T1387" i="26" s="1"/>
  <c r="N1406" i="26"/>
  <c r="K1408" i="26"/>
  <c r="K1415" i="26"/>
  <c r="N1424" i="26"/>
  <c r="K1426" i="26"/>
  <c r="N1430" i="26"/>
  <c r="T1430" i="26" s="1"/>
  <c r="K1432" i="26"/>
  <c r="K1437" i="26"/>
  <c r="N1442" i="26"/>
  <c r="N1448" i="26"/>
  <c r="T1448" i="26" s="1"/>
  <c r="K1463" i="26"/>
  <c r="K1464" i="26"/>
  <c r="K1474" i="26"/>
  <c r="N1489" i="26"/>
  <c r="N1184" i="26"/>
  <c r="K1185" i="26"/>
  <c r="N1193" i="26"/>
  <c r="N1255" i="26"/>
  <c r="N1260" i="26"/>
  <c r="K1285" i="26"/>
  <c r="K1291" i="26"/>
  <c r="K1295" i="26"/>
  <c r="N1299" i="26"/>
  <c r="K1309" i="26"/>
  <c r="K1315" i="26"/>
  <c r="K1345" i="26"/>
  <c r="N1348" i="26"/>
  <c r="N1349" i="26"/>
  <c r="N1359" i="26"/>
  <c r="K1364" i="26"/>
  <c r="N1375" i="26"/>
  <c r="N1376" i="26"/>
  <c r="K1378" i="26"/>
  <c r="N1383" i="26"/>
  <c r="T1383" i="26" s="1"/>
  <c r="K1384" i="26"/>
  <c r="N1394" i="26"/>
  <c r="T1394" i="26" s="1"/>
  <c r="K1395" i="26"/>
  <c r="N1400" i="26"/>
  <c r="K1401" i="26"/>
  <c r="K1409" i="26"/>
  <c r="N1419" i="26"/>
  <c r="T1419" i="26" s="1"/>
  <c r="K1420" i="26"/>
  <c r="N1425" i="26"/>
  <c r="T1425" i="26" s="1"/>
  <c r="K1438" i="26"/>
  <c r="K1458" i="26"/>
  <c r="N1463" i="26"/>
  <c r="T1463" i="26" s="1"/>
  <c r="N1473" i="26"/>
  <c r="N1474" i="26"/>
  <c r="K1485" i="26"/>
  <c r="K99" i="26"/>
  <c r="N22" i="26"/>
  <c r="K24" i="26"/>
  <c r="N30" i="26"/>
  <c r="N24" i="26"/>
  <c r="K35" i="26"/>
  <c r="N41" i="26"/>
  <c r="K43" i="26"/>
  <c r="N49" i="26"/>
  <c r="K51" i="26"/>
  <c r="N57" i="26"/>
  <c r="K59" i="26"/>
  <c r="N65" i="26"/>
  <c r="K67" i="26"/>
  <c r="N73" i="26"/>
  <c r="K75" i="26"/>
  <c r="N81" i="26"/>
  <c r="K83" i="26"/>
  <c r="K19" i="26"/>
  <c r="N25" i="26"/>
  <c r="K27" i="26"/>
  <c r="K93" i="26"/>
  <c r="K18" i="26"/>
  <c r="K26" i="26"/>
  <c r="N19" i="26"/>
  <c r="K21" i="26"/>
  <c r="N27" i="26"/>
  <c r="K29" i="26"/>
  <c r="N23" i="26"/>
  <c r="K25" i="26"/>
  <c r="N33" i="26"/>
  <c r="N18" i="26"/>
  <c r="K20" i="26"/>
  <c r="N26" i="26"/>
  <c r="K28" i="26"/>
  <c r="N20" i="26"/>
  <c r="K22" i="26"/>
  <c r="N28" i="26"/>
  <c r="K30" i="26"/>
  <c r="N36" i="26"/>
  <c r="K38" i="26"/>
  <c r="N44" i="26"/>
  <c r="K46" i="26"/>
  <c r="N52" i="26"/>
  <c r="K54" i="26"/>
  <c r="N60" i="26"/>
  <c r="K62" i="26"/>
  <c r="N68" i="26"/>
  <c r="K70" i="26"/>
  <c r="N76" i="26"/>
  <c r="K78" i="26"/>
  <c r="K183" i="26"/>
  <c r="K186" i="26"/>
  <c r="N204" i="26"/>
  <c r="N100" i="26"/>
  <c r="N103" i="26"/>
  <c r="K104" i="26"/>
  <c r="N106" i="26"/>
  <c r="N122" i="26"/>
  <c r="N138" i="26"/>
  <c r="N141" i="26"/>
  <c r="K159" i="26"/>
  <c r="K162" i="26"/>
  <c r="N180" i="26"/>
  <c r="K181" i="26"/>
  <c r="N186" i="26"/>
  <c r="K193" i="26"/>
  <c r="K196" i="26"/>
  <c r="N198" i="26"/>
  <c r="N207" i="26"/>
  <c r="K208" i="26"/>
  <c r="K223" i="26"/>
  <c r="K229" i="26"/>
  <c r="K234" i="26"/>
  <c r="N239" i="26"/>
  <c r="K240" i="26"/>
  <c r="N242" i="26"/>
  <c r="K268" i="26"/>
  <c r="N270" i="26"/>
  <c r="N279" i="26"/>
  <c r="K280" i="26"/>
  <c r="N294" i="26"/>
  <c r="K295" i="26"/>
  <c r="K301" i="26"/>
  <c r="N303" i="26"/>
  <c r="K304" i="26"/>
  <c r="K316" i="26"/>
  <c r="N343" i="26"/>
  <c r="K344" i="26"/>
  <c r="N350" i="26"/>
  <c r="K351" i="26"/>
  <c r="N89" i="26"/>
  <c r="K91" i="26"/>
  <c r="K130" i="26"/>
  <c r="K151" i="26"/>
  <c r="K154" i="26"/>
  <c r="N159" i="26"/>
  <c r="K160" i="26"/>
  <c r="K175" i="26"/>
  <c r="K178" i="26"/>
  <c r="N196" i="26"/>
  <c r="K197" i="26"/>
  <c r="N202" i="26"/>
  <c r="K209" i="26"/>
  <c r="K212" i="26"/>
  <c r="N214" i="26"/>
  <c r="N223" i="26"/>
  <c r="K224" i="26"/>
  <c r="N226" i="26"/>
  <c r="K252" i="26"/>
  <c r="N262" i="26"/>
  <c r="N268" i="26"/>
  <c r="K269" i="26"/>
  <c r="N274" i="26"/>
  <c r="K281" i="26"/>
  <c r="K284" i="26"/>
  <c r="N286" i="26"/>
  <c r="K287" i="26"/>
  <c r="K293" i="26"/>
  <c r="N295" i="26"/>
  <c r="K296" i="26"/>
  <c r="N322" i="26"/>
  <c r="K323" i="26"/>
  <c r="N334" i="26"/>
  <c r="K335" i="26"/>
  <c r="N95" i="26"/>
  <c r="K96" i="26"/>
  <c r="N98" i="26"/>
  <c r="K105" i="26"/>
  <c r="K108" i="26"/>
  <c r="K111" i="26"/>
  <c r="K121" i="26"/>
  <c r="K124" i="26"/>
  <c r="K127" i="26"/>
  <c r="N298" i="26"/>
  <c r="K299" i="26"/>
  <c r="K308" i="26"/>
  <c r="K317" i="26"/>
  <c r="N319" i="26"/>
  <c r="K357" i="26"/>
  <c r="N364" i="26"/>
  <c r="N130" i="26"/>
  <c r="K140" i="26"/>
  <c r="N151" i="26"/>
  <c r="K152" i="26"/>
  <c r="K161" i="26"/>
  <c r="K164" i="26"/>
  <c r="N166" i="26"/>
  <c r="N175" i="26"/>
  <c r="K176" i="26"/>
  <c r="K191" i="26"/>
  <c r="K194" i="26"/>
  <c r="N212" i="26"/>
  <c r="K213" i="26"/>
  <c r="N218" i="26"/>
  <c r="K236" i="26"/>
  <c r="N246" i="26"/>
  <c r="N252" i="26"/>
  <c r="K255" i="26"/>
  <c r="K261" i="26"/>
  <c r="K266" i="26"/>
  <c r="N284" i="26"/>
  <c r="K285" i="26"/>
  <c r="N287" i="26"/>
  <c r="K288" i="26"/>
  <c r="N310" i="26"/>
  <c r="K311" i="26"/>
  <c r="N84" i="26"/>
  <c r="K86" i="26"/>
  <c r="N92" i="26"/>
  <c r="N108" i="26"/>
  <c r="K109" i="26"/>
  <c r="K167" i="26"/>
  <c r="N188" i="26"/>
  <c r="K189" i="26"/>
  <c r="N194" i="26"/>
  <c r="K201" i="26"/>
  <c r="K228" i="26"/>
  <c r="N238" i="26"/>
  <c r="N263" i="26"/>
  <c r="K264" i="26"/>
  <c r="K106" i="26"/>
  <c r="K122" i="26"/>
  <c r="K138" i="26"/>
  <c r="K141" i="26"/>
  <c r="N146" i="26"/>
  <c r="K153" i="26"/>
  <c r="N164" i="26"/>
  <c r="K165" i="26"/>
  <c r="N170" i="26"/>
  <c r="K207" i="26"/>
  <c r="K210" i="26"/>
  <c r="N230" i="26"/>
  <c r="N236" i="26"/>
  <c r="K239" i="26"/>
  <c r="K245" i="26"/>
  <c r="K250" i="26"/>
  <c r="N255" i="26"/>
  <c r="K256" i="26"/>
  <c r="N258" i="26"/>
  <c r="K279" i="26"/>
  <c r="K282" i="26"/>
  <c r="N302" i="26"/>
  <c r="K303" i="26"/>
  <c r="K309" i="26"/>
  <c r="N311" i="26"/>
  <c r="K312" i="26"/>
  <c r="K325" i="26"/>
  <c r="N327" i="26"/>
  <c r="K328" i="26"/>
  <c r="K340" i="26"/>
  <c r="N342" i="26"/>
  <c r="K343" i="26"/>
  <c r="K354" i="26"/>
  <c r="K358" i="26"/>
  <c r="N374" i="26"/>
  <c r="K375" i="26"/>
  <c r="K378" i="26"/>
  <c r="N391" i="26"/>
  <c r="K392" i="26"/>
  <c r="N394" i="26"/>
  <c r="K395" i="26"/>
  <c r="K405" i="26"/>
  <c r="N408" i="26"/>
  <c r="N412" i="26"/>
  <c r="N417" i="26"/>
  <c r="K427" i="26"/>
  <c r="N429" i="26"/>
  <c r="K430" i="26"/>
  <c r="K435" i="26"/>
  <c r="K473" i="26"/>
  <c r="N480" i="26"/>
  <c r="N483" i="26"/>
  <c r="K487" i="26"/>
  <c r="N489" i="26"/>
  <c r="K495" i="26"/>
  <c r="N497" i="26"/>
  <c r="N500" i="26"/>
  <c r="N503" i="26"/>
  <c r="K511" i="26"/>
  <c r="N516" i="26"/>
  <c r="K517" i="26"/>
  <c r="K533" i="26"/>
  <c r="K541" i="26"/>
  <c r="N548" i="26"/>
  <c r="K549" i="26"/>
  <c r="K555" i="26"/>
  <c r="K559" i="26"/>
  <c r="N565" i="26"/>
  <c r="N568" i="26"/>
  <c r="K572" i="26"/>
  <c r="K582" i="26"/>
  <c r="N585" i="26"/>
  <c r="N588" i="26"/>
  <c r="K592" i="26"/>
  <c r="N598" i="26"/>
  <c r="K599" i="26"/>
  <c r="N655" i="26"/>
  <c r="N615" i="26"/>
  <c r="K622" i="26"/>
  <c r="N326" i="26"/>
  <c r="K327" i="26"/>
  <c r="K333" i="26"/>
  <c r="N335" i="26"/>
  <c r="K336" i="26"/>
  <c r="N338" i="26"/>
  <c r="K339" i="26"/>
  <c r="N351" i="26"/>
  <c r="K352" i="26"/>
  <c r="N358" i="26"/>
  <c r="K359" i="26"/>
  <c r="K362" i="26"/>
  <c r="N375" i="26"/>
  <c r="K376" i="26"/>
  <c r="N378" i="26"/>
  <c r="K379" i="26"/>
  <c r="K382" i="26"/>
  <c r="K389" i="26"/>
  <c r="K396" i="26"/>
  <c r="K415" i="26"/>
  <c r="N418" i="26"/>
  <c r="N427" i="26"/>
  <c r="K433" i="26"/>
  <c r="K455" i="26"/>
  <c r="N463" i="26"/>
  <c r="N471" i="26"/>
  <c r="K523" i="26"/>
  <c r="K531" i="26"/>
  <c r="K539" i="26"/>
  <c r="N552" i="26"/>
  <c r="N569" i="26"/>
  <c r="N572" i="26"/>
  <c r="K576" i="26"/>
  <c r="N582" i="26"/>
  <c r="K583" i="26"/>
  <c r="N382" i="26"/>
  <c r="K383" i="26"/>
  <c r="K386" i="26"/>
  <c r="N399" i="26"/>
  <c r="K400" i="26"/>
  <c r="N402" i="26"/>
  <c r="K403" i="26"/>
  <c r="K410" i="26"/>
  <c r="N419" i="26"/>
  <c r="K424" i="26"/>
  <c r="K439" i="26"/>
  <c r="K447" i="26"/>
  <c r="N476" i="26"/>
  <c r="N490" i="26"/>
  <c r="K491" i="26"/>
  <c r="N506" i="26"/>
  <c r="K529" i="26"/>
  <c r="N359" i="26"/>
  <c r="K360" i="26"/>
  <c r="K366" i="26"/>
  <c r="K450" i="26"/>
  <c r="K453" i="26"/>
  <c r="K515" i="26"/>
  <c r="N520" i="26"/>
  <c r="K521" i="26"/>
  <c r="K537" i="26"/>
  <c r="N544" i="26"/>
  <c r="N547" i="26"/>
  <c r="K551" i="26"/>
  <c r="N553" i="26"/>
  <c r="N556" i="26"/>
  <c r="K557" i="26"/>
  <c r="K564" i="26"/>
  <c r="N573" i="26"/>
  <c r="N576" i="26"/>
  <c r="K580" i="26"/>
  <c r="K584" i="26"/>
  <c r="N600" i="26"/>
  <c r="K604" i="26"/>
  <c r="N356" i="26"/>
  <c r="N366" i="26"/>
  <c r="K367" i="26"/>
  <c r="K370" i="26"/>
  <c r="N383" i="26"/>
  <c r="K384" i="26"/>
  <c r="N386" i="26"/>
  <c r="K387" i="26"/>
  <c r="K390" i="26"/>
  <c r="K397" i="26"/>
  <c r="K404" i="26"/>
  <c r="N410" i="26"/>
  <c r="N415" i="26"/>
  <c r="K421" i="26"/>
  <c r="N424" i="26"/>
  <c r="N439" i="26"/>
  <c r="N447" i="26"/>
  <c r="K456" i="26"/>
  <c r="N458" i="26"/>
  <c r="N461" i="26"/>
  <c r="N597" i="26"/>
  <c r="N407" i="26"/>
  <c r="K408" i="26"/>
  <c r="N431" i="26"/>
  <c r="N442" i="26"/>
  <c r="K475" i="26"/>
  <c r="N488" i="26"/>
  <c r="N502" i="26"/>
  <c r="N512" i="26"/>
  <c r="K513" i="26"/>
  <c r="K519" i="26"/>
  <c r="N524" i="26"/>
  <c r="N527" i="26"/>
  <c r="N535" i="26"/>
  <c r="N561" i="26"/>
  <c r="N564" i="26"/>
  <c r="K568" i="26"/>
  <c r="K624" i="26"/>
  <c r="N367" i="26"/>
  <c r="K368" i="26"/>
  <c r="N370" i="26"/>
  <c r="K371" i="26"/>
  <c r="K374" i="26"/>
  <c r="K381" i="26"/>
  <c r="K388" i="26"/>
  <c r="N404" i="26"/>
  <c r="K413" i="26"/>
  <c r="K422" i="26"/>
  <c r="N425" i="26"/>
  <c r="K432" i="26"/>
  <c r="N434" i="26"/>
  <c r="K451" i="26"/>
  <c r="K578" i="26"/>
  <c r="N594" i="26"/>
  <c r="K595" i="26"/>
  <c r="K602" i="26"/>
  <c r="K605" i="26"/>
  <c r="K635" i="26"/>
  <c r="K641" i="26"/>
  <c r="N649" i="26"/>
  <c r="K677" i="26"/>
  <c r="K680" i="26"/>
  <c r="K724" i="26"/>
  <c r="N730" i="26"/>
  <c r="N737" i="26"/>
  <c r="K756" i="26"/>
  <c r="K760" i="26"/>
  <c r="K764" i="26"/>
  <c r="K768" i="26"/>
  <c r="K772" i="26"/>
  <c r="K776" i="26"/>
  <c r="K780" i="26"/>
  <c r="K784" i="26"/>
  <c r="N792" i="26"/>
  <c r="N795" i="26"/>
  <c r="K798" i="26"/>
  <c r="K814" i="26"/>
  <c r="K824" i="26"/>
  <c r="N827" i="26"/>
  <c r="N830" i="26"/>
  <c r="K831" i="26"/>
  <c r="N833" i="26"/>
  <c r="K834" i="26"/>
  <c r="K837" i="26"/>
  <c r="N840" i="26"/>
  <c r="K855" i="26"/>
  <c r="K861" i="26"/>
  <c r="K793" i="26"/>
  <c r="K812" i="26"/>
  <c r="K821" i="26"/>
  <c r="K859" i="26"/>
  <c r="N589" i="26"/>
  <c r="N592" i="26"/>
  <c r="K596" i="26"/>
  <c r="N605" i="26"/>
  <c r="K614" i="26"/>
  <c r="K617" i="26"/>
  <c r="N625" i="26"/>
  <c r="K634" i="26"/>
  <c r="K637" i="26"/>
  <c r="K640" i="26"/>
  <c r="K666" i="26"/>
  <c r="K669" i="26"/>
  <c r="K672" i="26"/>
  <c r="N695" i="26"/>
  <c r="K696" i="26"/>
  <c r="K705" i="26"/>
  <c r="K708" i="26"/>
  <c r="N710" i="26"/>
  <c r="N713" i="26"/>
  <c r="K718" i="26"/>
  <c r="N724" i="26"/>
  <c r="K732" i="26"/>
  <c r="N738" i="26"/>
  <c r="K743" i="26"/>
  <c r="N745" i="26"/>
  <c r="K750" i="26"/>
  <c r="N756" i="26"/>
  <c r="N760" i="26"/>
  <c r="N764" i="26"/>
  <c r="N768" i="26"/>
  <c r="N772" i="26"/>
  <c r="N776" i="26"/>
  <c r="N780" i="26"/>
  <c r="N784" i="26"/>
  <c r="K790" i="26"/>
  <c r="N793" i="26"/>
  <c r="K802" i="26"/>
  <c r="K818" i="26"/>
  <c r="N821" i="26"/>
  <c r="K838" i="26"/>
  <c r="K848" i="26"/>
  <c r="N873" i="26"/>
  <c r="N593" i="26"/>
  <c r="N596" i="26"/>
  <c r="K600" i="26"/>
  <c r="N609" i="26"/>
  <c r="K612" i="26"/>
  <c r="K615" i="26"/>
  <c r="N623" i="26"/>
  <c r="K626" i="26"/>
  <c r="K629" i="26"/>
  <c r="K632" i="26"/>
  <c r="K658" i="26"/>
  <c r="K661" i="26"/>
  <c r="K664" i="26"/>
  <c r="N714" i="26"/>
  <c r="K715" i="26"/>
  <c r="N721" i="26"/>
  <c r="K726" i="26"/>
  <c r="N732" i="26"/>
  <c r="K740" i="26"/>
  <c r="N746" i="26"/>
  <c r="K751" i="26"/>
  <c r="N753" i="26"/>
  <c r="K758" i="26"/>
  <c r="K762" i="26"/>
  <c r="K766" i="26"/>
  <c r="K770" i="26"/>
  <c r="K774" i="26"/>
  <c r="K778" i="26"/>
  <c r="K782" i="26"/>
  <c r="K788" i="26"/>
  <c r="K806" i="26"/>
  <c r="N822" i="26"/>
  <c r="K823" i="26"/>
  <c r="N825" i="26"/>
  <c r="K832" i="26"/>
  <c r="N842" i="26"/>
  <c r="K843" i="26"/>
  <c r="N845" i="26"/>
  <c r="N856" i="26"/>
  <c r="N869" i="26"/>
  <c r="K673" i="26"/>
  <c r="N678" i="26"/>
  <c r="N882" i="26"/>
  <c r="K716" i="26"/>
  <c r="N722" i="26"/>
  <c r="K723" i="26"/>
  <c r="N729" i="26"/>
  <c r="K734" i="26"/>
  <c r="N740" i="26"/>
  <c r="K748" i="26"/>
  <c r="N754" i="26"/>
  <c r="N758" i="26"/>
  <c r="N762" i="26"/>
  <c r="N766" i="26"/>
  <c r="K767" i="26"/>
  <c r="N770" i="26"/>
  <c r="N774" i="26"/>
  <c r="N778" i="26"/>
  <c r="N782" i="26"/>
  <c r="N791" i="26"/>
  <c r="N794" i="26"/>
  <c r="K795" i="26"/>
  <c r="K810" i="26"/>
  <c r="N826" i="26"/>
  <c r="K827" i="26"/>
  <c r="N829" i="26"/>
  <c r="N843" i="26"/>
  <c r="N846" i="26"/>
  <c r="K847" i="26"/>
  <c r="N849" i="26"/>
  <c r="K850" i="26"/>
  <c r="N853" i="26"/>
  <c r="K864" i="26"/>
  <c r="K633" i="26"/>
  <c r="N641" i="26"/>
  <c r="N647" i="26"/>
  <c r="K659" i="26"/>
  <c r="K665" i="26"/>
  <c r="N673" i="26"/>
  <c r="N679" i="26"/>
  <c r="K704" i="26"/>
  <c r="N883" i="26"/>
  <c r="N955" i="26"/>
  <c r="N959" i="26"/>
  <c r="N967" i="26"/>
  <c r="N1037" i="26"/>
  <c r="N1043" i="26"/>
  <c r="N1046" i="26"/>
  <c r="N1058" i="26"/>
  <c r="N1069" i="26"/>
  <c r="N874" i="26"/>
  <c r="K877" i="26"/>
  <c r="N880" i="26"/>
  <c r="N893" i="26"/>
  <c r="K899" i="26"/>
  <c r="N905" i="26"/>
  <c r="K918" i="26"/>
  <c r="K921" i="26"/>
  <c r="N923" i="26"/>
  <c r="N933" i="26"/>
  <c r="K945" i="26"/>
  <c r="K960" i="26"/>
  <c r="K971" i="26"/>
  <c r="N975" i="26"/>
  <c r="N978" i="26"/>
  <c r="K982" i="26"/>
  <c r="K986" i="26"/>
  <c r="K989" i="26"/>
  <c r="N1000" i="26"/>
  <c r="K1008" i="26"/>
  <c r="N1015" i="26"/>
  <c r="N1018" i="26"/>
  <c r="N1031" i="26"/>
  <c r="N1034" i="26"/>
  <c r="K1047" i="26"/>
  <c r="K1053" i="26"/>
  <c r="N1062" i="26"/>
  <c r="N1083" i="26"/>
  <c r="K1094" i="26"/>
  <c r="K897" i="26"/>
  <c r="K912" i="26"/>
  <c r="K934" i="26"/>
  <c r="N937" i="26"/>
  <c r="K938" i="26"/>
  <c r="K941" i="26"/>
  <c r="K953" i="26"/>
  <c r="K979" i="26"/>
  <c r="K1035" i="26"/>
  <c r="K862" i="26"/>
  <c r="N865" i="26"/>
  <c r="K872" i="26"/>
  <c r="K878" i="26"/>
  <c r="N909" i="26"/>
  <c r="N912" i="26"/>
  <c r="K915" i="26"/>
  <c r="N921" i="26"/>
  <c r="N930" i="26"/>
  <c r="N934" i="26"/>
  <c r="N941" i="26"/>
  <c r="K949" i="26"/>
  <c r="N956" i="26"/>
  <c r="K961" i="26"/>
  <c r="N968" i="26"/>
  <c r="N979" i="26"/>
  <c r="K983" i="26"/>
  <c r="K987" i="26"/>
  <c r="K990" i="26"/>
  <c r="K994" i="26"/>
  <c r="N997" i="26"/>
  <c r="N1001" i="26"/>
  <c r="K1005" i="26"/>
  <c r="N1016" i="26"/>
  <c r="N1019" i="26"/>
  <c r="K1020" i="26"/>
  <c r="N1022" i="26"/>
  <c r="K1029" i="26"/>
  <c r="N1032" i="26"/>
  <c r="N1035" i="26"/>
  <c r="K1036" i="26"/>
  <c r="N1038" i="26"/>
  <c r="K1048" i="26"/>
  <c r="N1050" i="26"/>
  <c r="K1064" i="26"/>
  <c r="K1067" i="26"/>
  <c r="N1070" i="26"/>
  <c r="N1077" i="26"/>
  <c r="K882" i="26"/>
  <c r="K885" i="26"/>
  <c r="K889" i="26"/>
  <c r="N891" i="26"/>
  <c r="N900" i="26"/>
  <c r="K901" i="26"/>
  <c r="K904" i="26"/>
  <c r="N910" i="26"/>
  <c r="N925" i="26"/>
  <c r="N928" i="26"/>
  <c r="N931" i="26"/>
  <c r="N935" i="26"/>
  <c r="K939" i="26"/>
  <c r="N942" i="26"/>
  <c r="N946" i="26"/>
  <c r="K950" i="26"/>
  <c r="N957" i="26"/>
  <c r="K962" i="26"/>
  <c r="K965" i="26"/>
  <c r="N972" i="26"/>
  <c r="K977" i="26"/>
  <c r="K984" i="26"/>
  <c r="N987" i="26"/>
  <c r="K988" i="26"/>
  <c r="K991" i="26"/>
  <c r="N998" i="26"/>
  <c r="N1002" i="26"/>
  <c r="K1003" i="26"/>
  <c r="K1006" i="26"/>
  <c r="K1010" i="26"/>
  <c r="N1013" i="26"/>
  <c r="N1023" i="26"/>
  <c r="N1026" i="26"/>
  <c r="N1039" i="26"/>
  <c r="K1042" i="26"/>
  <c r="N1045" i="26"/>
  <c r="N1048" i="26"/>
  <c r="N1051" i="26"/>
  <c r="K1052" i="26"/>
  <c r="N1054" i="26"/>
  <c r="N1064" i="26"/>
  <c r="N1085" i="26"/>
  <c r="K1086" i="26"/>
  <c r="N939" i="26"/>
  <c r="N1072" i="26"/>
  <c r="N1078" i="26"/>
  <c r="K886" i="26"/>
  <c r="N889" i="26"/>
  <c r="N895" i="26"/>
  <c r="K902" i="26"/>
  <c r="K905" i="26"/>
  <c r="N907" i="26"/>
  <c r="N916" i="26"/>
  <c r="K917" i="26"/>
  <c r="K920" i="26"/>
  <c r="N926" i="26"/>
  <c r="N936" i="26"/>
  <c r="K944" i="26"/>
  <c r="N947" i="26"/>
  <c r="N951" i="26"/>
  <c r="K955" i="26"/>
  <c r="N958" i="26"/>
  <c r="N962" i="26"/>
  <c r="N966" i="26"/>
  <c r="K967" i="26"/>
  <c r="N973" i="26"/>
  <c r="N977" i="26"/>
  <c r="K978" i="26"/>
  <c r="K981" i="26"/>
  <c r="K992" i="26"/>
  <c r="N999" i="26"/>
  <c r="N1003" i="26"/>
  <c r="K1004" i="26"/>
  <c r="K1007" i="26"/>
  <c r="N1014" i="26"/>
  <c r="K1021" i="26"/>
  <c r="N1024" i="26"/>
  <c r="N1027" i="26"/>
  <c r="K1028" i="26"/>
  <c r="N1030" i="26"/>
  <c r="K1037" i="26"/>
  <c r="K1043" i="26"/>
  <c r="N1055" i="26"/>
  <c r="N1061" i="26"/>
  <c r="K1169" i="26"/>
  <c r="K1172" i="26"/>
  <c r="N1177" i="26"/>
  <c r="K1178" i="26"/>
  <c r="K1198" i="26"/>
  <c r="K1091" i="26"/>
  <c r="K1093" i="26"/>
  <c r="K1100" i="26"/>
  <c r="K1107" i="26"/>
  <c r="N1109" i="26"/>
  <c r="N1116" i="26"/>
  <c r="K1261" i="26"/>
  <c r="K1266" i="26"/>
  <c r="K1269" i="26"/>
  <c r="K1273" i="26"/>
  <c r="K1276" i="26"/>
  <c r="N1298" i="26"/>
  <c r="K1124" i="26"/>
  <c r="K1127" i="26"/>
  <c r="K1140" i="26"/>
  <c r="K1143" i="26"/>
  <c r="N1145" i="26"/>
  <c r="K1146" i="26"/>
  <c r="N1154" i="26"/>
  <c r="N1157" i="26"/>
  <c r="K1161" i="26"/>
  <c r="K1164" i="26"/>
  <c r="K1170" i="26"/>
  <c r="N1172" i="26"/>
  <c r="N1175" i="26"/>
  <c r="K1190" i="26"/>
  <c r="N1192" i="26"/>
  <c r="K1193" i="26"/>
  <c r="N1195" i="26"/>
  <c r="N1218" i="26"/>
  <c r="N1227" i="26"/>
  <c r="N1233" i="26"/>
  <c r="K1254" i="26"/>
  <c r="N1258" i="26"/>
  <c r="N1273" i="26"/>
  <c r="K1274" i="26"/>
  <c r="N1276" i="26"/>
  <c r="K1284" i="26"/>
  <c r="N1294" i="26"/>
  <c r="K1196" i="26"/>
  <c r="N1201" i="26"/>
  <c r="K1202" i="26"/>
  <c r="N1204" i="26"/>
  <c r="K1225" i="26"/>
  <c r="K1228" i="26"/>
  <c r="N1236" i="26"/>
  <c r="N1280" i="26"/>
  <c r="N1307" i="26"/>
  <c r="N1080" i="26"/>
  <c r="K1083" i="26"/>
  <c r="N1086" i="26"/>
  <c r="N1094" i="26"/>
  <c r="K1095" i="26"/>
  <c r="N1097" i="26"/>
  <c r="K1101" i="26"/>
  <c r="K1102" i="26"/>
  <c r="N1124" i="26"/>
  <c r="N1127" i="26"/>
  <c r="N1130" i="26"/>
  <c r="N1133" i="26"/>
  <c r="N1136" i="26"/>
  <c r="N1140" i="26"/>
  <c r="N1143" i="26"/>
  <c r="K1156" i="26"/>
  <c r="K1159" i="26"/>
  <c r="N1161" i="26"/>
  <c r="K1162" i="26"/>
  <c r="N1164" i="26"/>
  <c r="N1167" i="26"/>
  <c r="K1182" i="26"/>
  <c r="N1210" i="26"/>
  <c r="K1252" i="26"/>
  <c r="K1255" i="26"/>
  <c r="K1326" i="26"/>
  <c r="K1188" i="26"/>
  <c r="N1196" i="26"/>
  <c r="N1199" i="26"/>
  <c r="N1213" i="26"/>
  <c r="K1217" i="26"/>
  <c r="K1220" i="26"/>
  <c r="N1225" i="26"/>
  <c r="K1226" i="26"/>
  <c r="N1228" i="26"/>
  <c r="N1231" i="26"/>
  <c r="N1234" i="26"/>
  <c r="N1252" i="26"/>
  <c r="K1263" i="26"/>
  <c r="N1277" i="26"/>
  <c r="K1278" i="26"/>
  <c r="K1289" i="26"/>
  <c r="N1325" i="26"/>
  <c r="K1105" i="26"/>
  <c r="N1156" i="26"/>
  <c r="N1173" i="26"/>
  <c r="K1177" i="26"/>
  <c r="N1179" i="26"/>
  <c r="N1185" i="26"/>
  <c r="N1202" i="26"/>
  <c r="K1059" i="26"/>
  <c r="N1071" i="26"/>
  <c r="K1072" i="26"/>
  <c r="N1074" i="26"/>
  <c r="N1088" i="26"/>
  <c r="K1103" i="26"/>
  <c r="N1105" i="26"/>
  <c r="K1112" i="26"/>
  <c r="N1115" i="26"/>
  <c r="K1116" i="26"/>
  <c r="K1126" i="26"/>
  <c r="K1129" i="26"/>
  <c r="K1148" i="26"/>
  <c r="K1151" i="26"/>
  <c r="N1153" i="26"/>
  <c r="K1154" i="26"/>
  <c r="N1162" i="26"/>
  <c r="N1171" i="26"/>
  <c r="K1180" i="26"/>
  <c r="N1188" i="26"/>
  <c r="N1191" i="26"/>
  <c r="N1205" i="26"/>
  <c r="K1209" i="26"/>
  <c r="K1212" i="26"/>
  <c r="N1217" i="26"/>
  <c r="K1218" i="26"/>
  <c r="N1220" i="26"/>
  <c r="N1223" i="26"/>
  <c r="K1238" i="26"/>
  <c r="N1243" i="26"/>
  <c r="N1246" i="26"/>
  <c r="N1250" i="26"/>
  <c r="N1256" i="26"/>
  <c r="K1257" i="26"/>
  <c r="K1260" i="26"/>
  <c r="N1301" i="26"/>
  <c r="N1305" i="26"/>
  <c r="N1309" i="26"/>
  <c r="N1313" i="26"/>
  <c r="N1317" i="26"/>
  <c r="N1321" i="26"/>
  <c r="K1322" i="26"/>
  <c r="N1324" i="26"/>
  <c r="N1328" i="26"/>
  <c r="N1331" i="26"/>
  <c r="K1332" i="26"/>
  <c r="K1335" i="26"/>
  <c r="N1344" i="26"/>
  <c r="K1443" i="26"/>
  <c r="N1447" i="26"/>
  <c r="N1462" i="26"/>
  <c r="N1350" i="26"/>
  <c r="N1443" i="26"/>
  <c r="K1459" i="26"/>
  <c r="N1483" i="26"/>
  <c r="K1498" i="26"/>
  <c r="N1514" i="26"/>
  <c r="T1514" i="26" s="1"/>
  <c r="N1285" i="26"/>
  <c r="K1286" i="26"/>
  <c r="N1289" i="26"/>
  <c r="K1290" i="26"/>
  <c r="K1292" i="26"/>
  <c r="N1306" i="26"/>
  <c r="N1310" i="26"/>
  <c r="N1314" i="26"/>
  <c r="N1318" i="26"/>
  <c r="N1322" i="26"/>
  <c r="K1333" i="26"/>
  <c r="N1335" i="26"/>
  <c r="K1336" i="26"/>
  <c r="N1338" i="26"/>
  <c r="K1349" i="26"/>
  <c r="N1351" i="26"/>
  <c r="K1352" i="26"/>
  <c r="N1362" i="26"/>
  <c r="K1367" i="26"/>
  <c r="N1369" i="26"/>
  <c r="K1370" i="26"/>
  <c r="N1373" i="26"/>
  <c r="K1374" i="26"/>
  <c r="N1380" i="26"/>
  <c r="N1384" i="26"/>
  <c r="T1384" i="26" s="1"/>
  <c r="K1385" i="26"/>
  <c r="K1389" i="26"/>
  <c r="K1400" i="26"/>
  <c r="N1403" i="26"/>
  <c r="N1418" i="26"/>
  <c r="K1423" i="26"/>
  <c r="K1431" i="26"/>
  <c r="N1434" i="26"/>
  <c r="T1434" i="26" s="1"/>
  <c r="N1438" i="26"/>
  <c r="T1438" i="26" s="1"/>
  <c r="K1440" i="26"/>
  <c r="K1444" i="26"/>
  <c r="K1445" i="26"/>
  <c r="K1455" i="26"/>
  <c r="N1459" i="26"/>
  <c r="T1459" i="26" s="1"/>
  <c r="K1460" i="26"/>
  <c r="N1479" i="26"/>
  <c r="N1488" i="26"/>
  <c r="T1488" i="26" s="1"/>
  <c r="K1489" i="26"/>
  <c r="N1492" i="26"/>
  <c r="T1492" i="26" s="1"/>
  <c r="K1493" i="26"/>
  <c r="K1496" i="26"/>
  <c r="N1498" i="26"/>
  <c r="T1498" i="26" s="1"/>
  <c r="K1500" i="26"/>
  <c r="N1510" i="26"/>
  <c r="T1510" i="26" s="1"/>
  <c r="N1516" i="26"/>
  <c r="T1516" i="26" s="1"/>
  <c r="N1377" i="26"/>
  <c r="N1444" i="26"/>
  <c r="T1444" i="26" s="1"/>
  <c r="N1449" i="26"/>
  <c r="K1450" i="26"/>
  <c r="K1461" i="26"/>
  <c r="N1484" i="26"/>
  <c r="T1484" i="26" s="1"/>
  <c r="K1495" i="26"/>
  <c r="N1500" i="26"/>
  <c r="T1500" i="26" s="1"/>
  <c r="N1311" i="26"/>
  <c r="N1315" i="26"/>
  <c r="N1319" i="26"/>
  <c r="N1326" i="26"/>
  <c r="N1336" i="26"/>
  <c r="N1339" i="26"/>
  <c r="K1340" i="26"/>
  <c r="K1343" i="26"/>
  <c r="N1352" i="26"/>
  <c r="K1356" i="26"/>
  <c r="K1360" i="26"/>
  <c r="N1363" i="26"/>
  <c r="K1416" i="26"/>
  <c r="N1431" i="26"/>
  <c r="T1431" i="26" s="1"/>
  <c r="K1436" i="26"/>
  <c r="K1447" i="26"/>
  <c r="N1450" i="26"/>
  <c r="K1451" i="26"/>
  <c r="N1461" i="26"/>
  <c r="K1462" i="26"/>
  <c r="N1468" i="26"/>
  <c r="T1468" i="26" s="1"/>
  <c r="K1469" i="26"/>
  <c r="N1472" i="26"/>
  <c r="T1472" i="26" s="1"/>
  <c r="K1473" i="26"/>
  <c r="N1476" i="26"/>
  <c r="T1476" i="26" s="1"/>
  <c r="K1477" i="26"/>
  <c r="N1485" i="26"/>
  <c r="T1485" i="26" s="1"/>
  <c r="K1486" i="26"/>
  <c r="K1487" i="26"/>
  <c r="K1491" i="26"/>
  <c r="T1491" i="26" s="1"/>
  <c r="N1506" i="26"/>
  <c r="T1506" i="26" s="1"/>
  <c r="N1515" i="26"/>
  <c r="T1515" i="26" s="1"/>
  <c r="U1524" i="26"/>
  <c r="N1271" i="26"/>
  <c r="N1278" i="26"/>
  <c r="N1284" i="26"/>
  <c r="N1287" i="26"/>
  <c r="K1297" i="26"/>
  <c r="N1300" i="26"/>
  <c r="K1301" i="26"/>
  <c r="N1330" i="26"/>
  <c r="K1341" i="26"/>
  <c r="N1343" i="26"/>
  <c r="K1344" i="26"/>
  <c r="N1346" i="26"/>
  <c r="N1356" i="26"/>
  <c r="N1360" i="26"/>
  <c r="K1361" i="26"/>
  <c r="K1365" i="26"/>
  <c r="N1371" i="26"/>
  <c r="N1386" i="26"/>
  <c r="T1386" i="26" s="1"/>
  <c r="K1391" i="26"/>
  <c r="N1401" i="26"/>
  <c r="T1401" i="26" s="1"/>
  <c r="K1402" i="26"/>
  <c r="N1405" i="26"/>
  <c r="T1405" i="26" s="1"/>
  <c r="K1406" i="26"/>
  <c r="N1412" i="26"/>
  <c r="N1416" i="26"/>
  <c r="K1417" i="26"/>
  <c r="K1421" i="26"/>
  <c r="K1428" i="26"/>
  <c r="K1429" i="26"/>
  <c r="N1432" i="26"/>
  <c r="T1432" i="26" s="1"/>
  <c r="K1433" i="26"/>
  <c r="T1433" i="26" s="1"/>
  <c r="N1436" i="26"/>
  <c r="T1436" i="26" s="1"/>
  <c r="N1441" i="26"/>
  <c r="T1441" i="26" s="1"/>
  <c r="K1442" i="26"/>
  <c r="N1451" i="26"/>
  <c r="N1456" i="26"/>
  <c r="T1456" i="26" s="1"/>
  <c r="K1457" i="26"/>
  <c r="K1483" i="26"/>
  <c r="N1486" i="26"/>
  <c r="T1486" i="26" s="1"/>
  <c r="N1490" i="26"/>
  <c r="N1494" i="26"/>
  <c r="T1494" i="26" s="1"/>
  <c r="N1508" i="26"/>
  <c r="T1508" i="26" s="1"/>
  <c r="K1471" i="26"/>
  <c r="T1471" i="26" s="1"/>
  <c r="K1475" i="26"/>
  <c r="K1479" i="26"/>
  <c r="N1482" i="26"/>
  <c r="T1482" i="26" s="1"/>
  <c r="N1511" i="26"/>
  <c r="T1511" i="26" s="1"/>
  <c r="U1532" i="26"/>
  <c r="N99" i="26"/>
  <c r="N107" i="26"/>
  <c r="N115" i="26"/>
  <c r="N123" i="26"/>
  <c r="N131" i="26"/>
  <c r="N139" i="26"/>
  <c r="N143" i="26"/>
  <c r="N97" i="26"/>
  <c r="N105" i="26"/>
  <c r="N113" i="26"/>
  <c r="N121" i="26"/>
  <c r="N129" i="26"/>
  <c r="N137" i="26"/>
  <c r="N96" i="26"/>
  <c r="N104" i="26"/>
  <c r="N112" i="26"/>
  <c r="N120" i="26"/>
  <c r="N128" i="26"/>
  <c r="N136" i="26"/>
  <c r="K144" i="26"/>
  <c r="N94" i="26"/>
  <c r="N102" i="26"/>
  <c r="N110" i="26"/>
  <c r="N118" i="26"/>
  <c r="N126" i="26"/>
  <c r="N134" i="26"/>
  <c r="N144" i="26"/>
  <c r="K157" i="26"/>
  <c r="N101" i="26"/>
  <c r="N109" i="26"/>
  <c r="N117" i="26"/>
  <c r="N125" i="26"/>
  <c r="N133" i="26"/>
  <c r="N140" i="26"/>
  <c r="K149" i="26"/>
  <c r="N149" i="26"/>
  <c r="N157" i="26"/>
  <c r="N165" i="26"/>
  <c r="N173" i="26"/>
  <c r="N181" i="26"/>
  <c r="N189" i="26"/>
  <c r="N197" i="26"/>
  <c r="N205" i="26"/>
  <c r="N213" i="26"/>
  <c r="N221" i="26"/>
  <c r="N229" i="26"/>
  <c r="N237" i="26"/>
  <c r="N245" i="26"/>
  <c r="N253" i="26"/>
  <c r="N261" i="26"/>
  <c r="N269" i="26"/>
  <c r="N277" i="26"/>
  <c r="N285" i="26"/>
  <c r="N293" i="26"/>
  <c r="N301" i="26"/>
  <c r="N309" i="26"/>
  <c r="N317" i="26"/>
  <c r="N325" i="26"/>
  <c r="N333" i="26"/>
  <c r="N341" i="26"/>
  <c r="N349" i="26"/>
  <c r="N357" i="26"/>
  <c r="N365" i="26"/>
  <c r="N373" i="26"/>
  <c r="N381" i="26"/>
  <c r="N389" i="26"/>
  <c r="N397" i="26"/>
  <c r="N405" i="26"/>
  <c r="N411" i="26"/>
  <c r="N292" i="26"/>
  <c r="N300" i="26"/>
  <c r="N308" i="26"/>
  <c r="N316" i="26"/>
  <c r="N324" i="26"/>
  <c r="N332" i="26"/>
  <c r="N340" i="26"/>
  <c r="N348" i="26"/>
  <c r="N155" i="26"/>
  <c r="N163" i="26"/>
  <c r="N171" i="26"/>
  <c r="N179" i="26"/>
  <c r="N187" i="26"/>
  <c r="N195" i="26"/>
  <c r="N203" i="26"/>
  <c r="N211" i="26"/>
  <c r="N219" i="26"/>
  <c r="N227" i="26"/>
  <c r="N235" i="26"/>
  <c r="N243" i="26"/>
  <c r="N251" i="26"/>
  <c r="N259" i="26"/>
  <c r="N267" i="26"/>
  <c r="N275" i="26"/>
  <c r="N283" i="26"/>
  <c r="N291" i="26"/>
  <c r="N299" i="26"/>
  <c r="N307" i="26"/>
  <c r="N315" i="26"/>
  <c r="N323" i="26"/>
  <c r="N331" i="26"/>
  <c r="N339" i="26"/>
  <c r="N347" i="26"/>
  <c r="N355" i="26"/>
  <c r="N363" i="26"/>
  <c r="N371" i="26"/>
  <c r="N379" i="26"/>
  <c r="N387" i="26"/>
  <c r="N395" i="26"/>
  <c r="N403" i="26"/>
  <c r="N145" i="26"/>
  <c r="N153" i="26"/>
  <c r="N161" i="26"/>
  <c r="N169" i="26"/>
  <c r="N177" i="26"/>
  <c r="N185" i="26"/>
  <c r="N193" i="26"/>
  <c r="N201" i="26"/>
  <c r="N209" i="26"/>
  <c r="N217" i="26"/>
  <c r="N225" i="26"/>
  <c r="N233" i="26"/>
  <c r="N241" i="26"/>
  <c r="N249" i="26"/>
  <c r="N257" i="26"/>
  <c r="N265" i="26"/>
  <c r="N273" i="26"/>
  <c r="N281" i="26"/>
  <c r="N289" i="26"/>
  <c r="N297" i="26"/>
  <c r="N305" i="26"/>
  <c r="N313" i="26"/>
  <c r="N321" i="26"/>
  <c r="N329" i="26"/>
  <c r="N337" i="26"/>
  <c r="N345" i="26"/>
  <c r="N353" i="26"/>
  <c r="N361" i="26"/>
  <c r="N369" i="26"/>
  <c r="N377" i="26"/>
  <c r="N385" i="26"/>
  <c r="N393" i="26"/>
  <c r="N401" i="26"/>
  <c r="N409" i="26"/>
  <c r="K414" i="26"/>
  <c r="N152" i="26"/>
  <c r="N160" i="26"/>
  <c r="N168" i="26"/>
  <c r="N176" i="26"/>
  <c r="N184" i="26"/>
  <c r="N192" i="26"/>
  <c r="N200" i="26"/>
  <c r="N208" i="26"/>
  <c r="N216" i="26"/>
  <c r="N224" i="26"/>
  <c r="N232" i="26"/>
  <c r="N240" i="26"/>
  <c r="N248" i="26"/>
  <c r="N256" i="26"/>
  <c r="N264" i="26"/>
  <c r="N272" i="26"/>
  <c r="N280" i="26"/>
  <c r="N288" i="26"/>
  <c r="N296" i="26"/>
  <c r="N304" i="26"/>
  <c r="N312" i="26"/>
  <c r="N320" i="26"/>
  <c r="N328" i="26"/>
  <c r="N336" i="26"/>
  <c r="N344" i="26"/>
  <c r="N352" i="26"/>
  <c r="N360" i="26"/>
  <c r="N368" i="26"/>
  <c r="N376" i="26"/>
  <c r="N384" i="26"/>
  <c r="N392" i="26"/>
  <c r="N400" i="26"/>
  <c r="K416" i="26"/>
  <c r="K448" i="26"/>
  <c r="N432" i="26"/>
  <c r="K440" i="26"/>
  <c r="K437" i="26"/>
  <c r="N436" i="26"/>
  <c r="N444" i="26"/>
  <c r="N452" i="26"/>
  <c r="N460" i="26"/>
  <c r="N486" i="26"/>
  <c r="N498" i="26"/>
  <c r="N550" i="26"/>
  <c r="N443" i="26"/>
  <c r="N451" i="26"/>
  <c r="N459" i="26"/>
  <c r="N474" i="26"/>
  <c r="N526" i="26"/>
  <c r="N538" i="26"/>
  <c r="N558" i="26"/>
  <c r="N433" i="26"/>
  <c r="N441" i="26"/>
  <c r="N449" i="26"/>
  <c r="N457" i="26"/>
  <c r="N478" i="26"/>
  <c r="N542" i="26"/>
  <c r="N440" i="26"/>
  <c r="N448" i="26"/>
  <c r="N456" i="26"/>
  <c r="N466" i="26"/>
  <c r="N518" i="26"/>
  <c r="N530" i="26"/>
  <c r="N438" i="26"/>
  <c r="N446" i="26"/>
  <c r="N454" i="26"/>
  <c r="N462" i="26"/>
  <c r="N470" i="26"/>
  <c r="N482" i="26"/>
  <c r="N534" i="26"/>
  <c r="N546" i="26"/>
  <c r="N510" i="26"/>
  <c r="N703" i="26"/>
  <c r="N612" i="26"/>
  <c r="N620" i="26"/>
  <c r="N628" i="26"/>
  <c r="K630" i="26"/>
  <c r="N636" i="26"/>
  <c r="K638" i="26"/>
  <c r="N644" i="26"/>
  <c r="K646" i="26"/>
  <c r="N652" i="26"/>
  <c r="K654" i="26"/>
  <c r="N660" i="26"/>
  <c r="K662" i="26"/>
  <c r="N668" i="26"/>
  <c r="K670" i="26"/>
  <c r="N676" i="26"/>
  <c r="K678" i="26"/>
  <c r="N684" i="26"/>
  <c r="K686" i="26"/>
  <c r="N692" i="26"/>
  <c r="K694" i="26"/>
  <c r="N700" i="26"/>
  <c r="K702" i="26"/>
  <c r="N708" i="26"/>
  <c r="N681" i="26"/>
  <c r="N689" i="26"/>
  <c r="N697" i="26"/>
  <c r="N705" i="26"/>
  <c r="N614" i="26"/>
  <c r="N622" i="26"/>
  <c r="N630" i="26"/>
  <c r="N638" i="26"/>
  <c r="N646" i="26"/>
  <c r="N654" i="26"/>
  <c r="N662" i="26"/>
  <c r="N670" i="26"/>
  <c r="N611" i="26"/>
  <c r="N619" i="26"/>
  <c r="N627" i="26"/>
  <c r="N635" i="26"/>
  <c r="N643" i="26"/>
  <c r="N651" i="26"/>
  <c r="N659" i="26"/>
  <c r="N667" i="26"/>
  <c r="N675" i="26"/>
  <c r="N683" i="26"/>
  <c r="K685" i="26"/>
  <c r="N691" i="26"/>
  <c r="K693" i="26"/>
  <c r="N699" i="26"/>
  <c r="N707" i="26"/>
  <c r="N608" i="26"/>
  <c r="N616" i="26"/>
  <c r="N624" i="26"/>
  <c r="N632" i="26"/>
  <c r="N640" i="26"/>
  <c r="N648" i="26"/>
  <c r="N656" i="26"/>
  <c r="N664" i="26"/>
  <c r="N672" i="26"/>
  <c r="K674" i="26"/>
  <c r="N680" i="26"/>
  <c r="K682" i="26"/>
  <c r="N688" i="26"/>
  <c r="K690" i="26"/>
  <c r="N696" i="26"/>
  <c r="K698" i="26"/>
  <c r="N704" i="26"/>
  <c r="K706" i="26"/>
  <c r="N613" i="26"/>
  <c r="N621" i="26"/>
  <c r="N629" i="26"/>
  <c r="N637" i="26"/>
  <c r="K639" i="26"/>
  <c r="N645" i="26"/>
  <c r="K647" i="26"/>
  <c r="N653" i="26"/>
  <c r="K655" i="26"/>
  <c r="N661" i="26"/>
  <c r="K663" i="26"/>
  <c r="N669" i="26"/>
  <c r="K671" i="26"/>
  <c r="N677" i="26"/>
  <c r="K679" i="26"/>
  <c r="N685" i="26"/>
  <c r="K687" i="26"/>
  <c r="N693" i="26"/>
  <c r="K695" i="26"/>
  <c r="N701" i="26"/>
  <c r="K703" i="26"/>
  <c r="N610" i="26"/>
  <c r="N618" i="26"/>
  <c r="N626" i="26"/>
  <c r="K628" i="26"/>
  <c r="N634" i="26"/>
  <c r="K636" i="26"/>
  <c r="N642" i="26"/>
  <c r="K644" i="26"/>
  <c r="N650" i="26"/>
  <c r="K652" i="26"/>
  <c r="N658" i="26"/>
  <c r="K660" i="26"/>
  <c r="N666" i="26"/>
  <c r="K668" i="26"/>
  <c r="N674" i="26"/>
  <c r="K676" i="26"/>
  <c r="N682" i="26"/>
  <c r="K684" i="26"/>
  <c r="N690" i="26"/>
  <c r="K692" i="26"/>
  <c r="N698" i="26"/>
  <c r="K700" i="26"/>
  <c r="N706" i="26"/>
  <c r="N892" i="26"/>
  <c r="N894" i="26"/>
  <c r="N888" i="26"/>
  <c r="N984" i="26"/>
  <c r="N986" i="26"/>
  <c r="K1119" i="26"/>
  <c r="K1118" i="26"/>
  <c r="K1114" i="26"/>
  <c r="K1117" i="26"/>
  <c r="K1120" i="26"/>
  <c r="K1128" i="26"/>
  <c r="K1136" i="26"/>
  <c r="K1144" i="26"/>
  <c r="K1152" i="26"/>
  <c r="K1160" i="26"/>
  <c r="K1168" i="26"/>
  <c r="K1176" i="26"/>
  <c r="K1184" i="26"/>
  <c r="K1192" i="26"/>
  <c r="K1200" i="26"/>
  <c r="K1208" i="26"/>
  <c r="K1216" i="26"/>
  <c r="K1224" i="26"/>
  <c r="K1232" i="26"/>
  <c r="K1167" i="26"/>
  <c r="K1175" i="26"/>
  <c r="K1183" i="26"/>
  <c r="K1191" i="26"/>
  <c r="K1199" i="26"/>
  <c r="K1207" i="26"/>
  <c r="K1215" i="26"/>
  <c r="K1223" i="26"/>
  <c r="K1231" i="26"/>
  <c r="K1134" i="26"/>
  <c r="K1142" i="26"/>
  <c r="K1150" i="26"/>
  <c r="K1158" i="26"/>
  <c r="K1166" i="26"/>
  <c r="K1174" i="26"/>
  <c r="K1206" i="26"/>
  <c r="K1214" i="26"/>
  <c r="K1222" i="26"/>
  <c r="K1230" i="26"/>
  <c r="K1125" i="26"/>
  <c r="K1133" i="26"/>
  <c r="K1141" i="26"/>
  <c r="K1149" i="26"/>
  <c r="K1157" i="26"/>
  <c r="K1165" i="26"/>
  <c r="K1173" i="26"/>
  <c r="K1181" i="26"/>
  <c r="K1189" i="26"/>
  <c r="K1197" i="26"/>
  <c r="K1205" i="26"/>
  <c r="K1213" i="26"/>
  <c r="K1221" i="26"/>
  <c r="K1229" i="26"/>
  <c r="N1239" i="26"/>
  <c r="N1249" i="26"/>
  <c r="K1115" i="26"/>
  <c r="K1123" i="26"/>
  <c r="K1131" i="26"/>
  <c r="K1139" i="26"/>
  <c r="K1147" i="26"/>
  <c r="K1155" i="26"/>
  <c r="K1163" i="26"/>
  <c r="K1171" i="26"/>
  <c r="K1179" i="26"/>
  <c r="K1187" i="26"/>
  <c r="K1195" i="26"/>
  <c r="K1203" i="26"/>
  <c r="K1211" i="26"/>
  <c r="K1219" i="26"/>
  <c r="K1227" i="26"/>
  <c r="K1235" i="26"/>
  <c r="N1241" i="26"/>
  <c r="K1306" i="26"/>
  <c r="K1300" i="26"/>
  <c r="K1302" i="26"/>
  <c r="K1310" i="26"/>
  <c r="K1325" i="26"/>
  <c r="N1323" i="26"/>
  <c r="K1328" i="26"/>
  <c r="K1354" i="26"/>
  <c r="N1355" i="26"/>
  <c r="N1357" i="26"/>
  <c r="K1362" i="26"/>
  <c r="K1358" i="26"/>
  <c r="N1365" i="26"/>
  <c r="U1521" i="26"/>
  <c r="U1530" i="26"/>
  <c r="T1462" i="26" l="1"/>
  <c r="T1469" i="26"/>
  <c r="T1427" i="26"/>
  <c r="T1408" i="26"/>
  <c r="T1410" i="26"/>
  <c r="T1429" i="26"/>
  <c r="T1445" i="26"/>
  <c r="T1481" i="26"/>
  <c r="T1439" i="26"/>
  <c r="T1451" i="26"/>
  <c r="T1418" i="26"/>
  <c r="T1396" i="26"/>
  <c r="T1412" i="26"/>
  <c r="T1493" i="26"/>
  <c r="T1437" i="26"/>
  <c r="U1436" i="26" s="1"/>
  <c r="T1460" i="26"/>
  <c r="T1465" i="26"/>
  <c r="T1477" i="26"/>
  <c r="T1483" i="26"/>
  <c r="T1461" i="26"/>
  <c r="T1413" i="26"/>
  <c r="T1424" i="26"/>
  <c r="T1487" i="26"/>
  <c r="T1395" i="26"/>
  <c r="T1458" i="26"/>
  <c r="T1411" i="26"/>
  <c r="T1449" i="26"/>
  <c r="T1403" i="26"/>
  <c r="T1391" i="26"/>
  <c r="T1428" i="26"/>
  <c r="T1457" i="26"/>
  <c r="U1455" i="26" s="1"/>
  <c r="T1423" i="26"/>
  <c r="T1399" i="26"/>
  <c r="T1414" i="26"/>
  <c r="T1440" i="26"/>
  <c r="T1416" i="26"/>
  <c r="T1443" i="26"/>
  <c r="T1495" i="26"/>
  <c r="T1385" i="26"/>
  <c r="T1475" i="26"/>
  <c r="T1466" i="26"/>
  <c r="T1422" i="26"/>
  <c r="T1496" i="26"/>
  <c r="T1389" i="26"/>
  <c r="T1453" i="26"/>
  <c r="T1490" i="26"/>
  <c r="T1450" i="26"/>
  <c r="T1442" i="26"/>
  <c r="T1406" i="26"/>
  <c r="T1421" i="26"/>
  <c r="T1420" i="26"/>
  <c r="T1392" i="26"/>
  <c r="T1474" i="26"/>
  <c r="T1426" i="26"/>
  <c r="T1393" i="26"/>
  <c r="U1391" i="26" s="1"/>
  <c r="T1464" i="26"/>
  <c r="T1417" i="26"/>
  <c r="T1479" i="26"/>
  <c r="T1447" i="26"/>
  <c r="T1473" i="26"/>
  <c r="T1415" i="26"/>
  <c r="T1455" i="26"/>
  <c r="T1388" i="26"/>
  <c r="U1387" i="26" s="1"/>
  <c r="T1499" i="26"/>
  <c r="T1380" i="26"/>
  <c r="T1400" i="26"/>
  <c r="T1489" i="26"/>
  <c r="T1402" i="26"/>
  <c r="T1409" i="26"/>
  <c r="T1454" i="26"/>
  <c r="U1454" i="26" s="1"/>
  <c r="T1382" i="26"/>
  <c r="U1381" i="26" s="1"/>
  <c r="T1478" i="26"/>
  <c r="U1476" i="26" s="1"/>
  <c r="D9" i="32"/>
  <c r="E9" i="32" s="1"/>
  <c r="F9" i="32" s="1"/>
  <c r="U1509" i="26"/>
  <c r="D10" i="32"/>
  <c r="E10" i="32" s="1"/>
  <c r="F10" i="32" s="1"/>
  <c r="U1527" i="26"/>
  <c r="U1528" i="26"/>
  <c r="U1520" i="26"/>
  <c r="U1523" i="26"/>
  <c r="U1518" i="26"/>
  <c r="U1531" i="26"/>
  <c r="U1526" i="26"/>
  <c r="U1529" i="26"/>
  <c r="U1525" i="26"/>
  <c r="U1519" i="26"/>
  <c r="U1522" i="26"/>
  <c r="U1517" i="26"/>
  <c r="U1409" i="26"/>
  <c r="U1516" i="26"/>
  <c r="U1508" i="26"/>
  <c r="U1395" i="26"/>
  <c r="U1497" i="26"/>
  <c r="U1446" i="26"/>
  <c r="U1404" i="26"/>
  <c r="U1408" i="26"/>
  <c r="U1399" i="26"/>
  <c r="U1465" i="26"/>
  <c r="U1418" i="26"/>
  <c r="U1441" i="26"/>
  <c r="U1503" i="26"/>
  <c r="U1459" i="26"/>
  <c r="U1422" i="26"/>
  <c r="U1513" i="26"/>
  <c r="U1481" i="26"/>
  <c r="U1507" i="26"/>
  <c r="U1501" i="26"/>
  <c r="U1502" i="26"/>
  <c r="U1468" i="26"/>
  <c r="U1506" i="26"/>
  <c r="U1511" i="26"/>
  <c r="U1512" i="26"/>
  <c r="U1417" i="26"/>
  <c r="U1515" i="26"/>
  <c r="U1472" i="26"/>
  <c r="U1466" i="26"/>
  <c r="U1438" i="26"/>
  <c r="U1510" i="26"/>
  <c r="U1514" i="26"/>
  <c r="U1474" i="26"/>
  <c r="U1464" i="26"/>
  <c r="U1495" i="26"/>
  <c r="U1421" i="26"/>
  <c r="U1475" i="26"/>
  <c r="U1453" i="26"/>
  <c r="U1389" i="26"/>
  <c r="U1425" i="26"/>
  <c r="U1471" i="26"/>
  <c r="U1467" i="26"/>
  <c r="U1473" i="26"/>
  <c r="U1504" i="26"/>
  <c r="U1434" i="26"/>
  <c r="U1490" i="26"/>
  <c r="U1480" i="26"/>
  <c r="U1469" i="26"/>
  <c r="U1470" i="26"/>
  <c r="U1413" i="26"/>
  <c r="U1414" i="26"/>
  <c r="U1491" i="26"/>
  <c r="U1505" i="26"/>
  <c r="U1451" i="26"/>
  <c r="U1416" i="26"/>
  <c r="U1437" i="26" l="1"/>
  <c r="U1456" i="26"/>
  <c r="U1388" i="26"/>
  <c r="U1435" i="26"/>
  <c r="U1415" i="26"/>
  <c r="U1449" i="26"/>
  <c r="U1450" i="26"/>
  <c r="U1463" i="26"/>
  <c r="U1431" i="26"/>
  <c r="U1432" i="26"/>
  <c r="U1411" i="26"/>
  <c r="U1412" i="26"/>
  <c r="U1493" i="26"/>
  <c r="U1499" i="26"/>
  <c r="U1478" i="26"/>
  <c r="U1444" i="26"/>
  <c r="U1452" i="26"/>
  <c r="U1445" i="26"/>
  <c r="U1488" i="26"/>
  <c r="U1486" i="26"/>
  <c r="U1390" i="26"/>
  <c r="U1428" i="26"/>
  <c r="U1392" i="26"/>
  <c r="U1407" i="26"/>
  <c r="U1430" i="26"/>
  <c r="U1489" i="26"/>
  <c r="U1427" i="26"/>
  <c r="U1433" i="26"/>
  <c r="U1429" i="26"/>
  <c r="U1405" i="26"/>
  <c r="U1394" i="26"/>
  <c r="U1382" i="26"/>
  <c r="U1439" i="26"/>
  <c r="U1482" i="26"/>
  <c r="U1423" i="26"/>
  <c r="U1440" i="26"/>
  <c r="U1424" i="26"/>
  <c r="U1500" i="26"/>
  <c r="U1419" i="26"/>
  <c r="U1393" i="26"/>
  <c r="U1498" i="26"/>
  <c r="U1384" i="26"/>
  <c r="U1462" i="26"/>
  <c r="U1484" i="26"/>
  <c r="U1398" i="26"/>
  <c r="U1483" i="26"/>
  <c r="U1447" i="26"/>
  <c r="U1426" i="26"/>
  <c r="U1448" i="26"/>
  <c r="U1460" i="26"/>
  <c r="U1461" i="26"/>
  <c r="U1485" i="26"/>
  <c r="U1383" i="26"/>
  <c r="U1477" i="26"/>
  <c r="U1479" i="26"/>
  <c r="U1386" i="26"/>
  <c r="U1402" i="26"/>
  <c r="U1385" i="26"/>
  <c r="U1494" i="26"/>
  <c r="U1492" i="26"/>
  <c r="U1443" i="26"/>
  <c r="U1487" i="26"/>
  <c r="U1406" i="26"/>
  <c r="U1397" i="26"/>
  <c r="U1410" i="26"/>
  <c r="U1442" i="26"/>
  <c r="U1396" i="26"/>
  <c r="U1420" i="26"/>
  <c r="U1403" i="26"/>
  <c r="U1401" i="26"/>
  <c r="U1458" i="26"/>
  <c r="U1457" i="26"/>
  <c r="U1496" i="26"/>
  <c r="U1380" i="26"/>
  <c r="U1400" i="26"/>
  <c r="U1379" i="26"/>
  <c r="AC325" i="25" l="1"/>
  <c r="AA325" i="25"/>
  <c r="AC324" i="25"/>
  <c r="AA324" i="25"/>
  <c r="AC323" i="25"/>
  <c r="AA323" i="25"/>
  <c r="AC322" i="25"/>
  <c r="AA322" i="25"/>
  <c r="W322" i="25"/>
  <c r="K322" i="25"/>
  <c r="C322" i="25"/>
  <c r="AC321" i="25"/>
  <c r="AA321" i="25"/>
  <c r="W321" i="25"/>
  <c r="T321" i="25"/>
  <c r="Q321" i="25"/>
  <c r="N321" i="25"/>
  <c r="K321" i="25"/>
  <c r="C321" i="25"/>
  <c r="AC320" i="25"/>
  <c r="AA320" i="25"/>
  <c r="W320" i="25"/>
  <c r="T320" i="25"/>
  <c r="Q320" i="25"/>
  <c r="N320" i="25"/>
  <c r="O320" i="25" s="1"/>
  <c r="K320" i="25"/>
  <c r="C320" i="25"/>
  <c r="AC319" i="25"/>
  <c r="AA319" i="25"/>
  <c r="Y319" i="25"/>
  <c r="W319" i="25"/>
  <c r="T319" i="25"/>
  <c r="Q319" i="25"/>
  <c r="N319" i="25"/>
  <c r="K319" i="25"/>
  <c r="G319" i="25"/>
  <c r="C319" i="25"/>
  <c r="AC318" i="25"/>
  <c r="AA318" i="25"/>
  <c r="Y318" i="25"/>
  <c r="W318" i="25"/>
  <c r="X318" i="25" s="1"/>
  <c r="T318" i="25"/>
  <c r="Q318" i="25"/>
  <c r="N318" i="25"/>
  <c r="K318" i="25"/>
  <c r="G318" i="25"/>
  <c r="C318" i="25"/>
  <c r="AC317" i="25"/>
  <c r="AA317" i="25"/>
  <c r="Y317" i="25"/>
  <c r="W317" i="25"/>
  <c r="T317" i="25"/>
  <c r="Q317" i="25"/>
  <c r="N317" i="25"/>
  <c r="K317" i="25"/>
  <c r="G317" i="25"/>
  <c r="C317" i="25"/>
  <c r="AC316" i="25"/>
  <c r="AA316" i="25"/>
  <c r="Y316" i="25"/>
  <c r="W316" i="25"/>
  <c r="T316" i="25"/>
  <c r="Q316" i="25"/>
  <c r="N316" i="25"/>
  <c r="K316" i="25"/>
  <c r="G316" i="25"/>
  <c r="C316" i="25"/>
  <c r="D316" i="25" s="1"/>
  <c r="AC315" i="25"/>
  <c r="AA315" i="25"/>
  <c r="Y315" i="25"/>
  <c r="W315" i="25"/>
  <c r="T315" i="25"/>
  <c r="Q315" i="25"/>
  <c r="N315" i="25"/>
  <c r="K315" i="25"/>
  <c r="G315" i="25"/>
  <c r="C315" i="25"/>
  <c r="AC314" i="25"/>
  <c r="AA314" i="25"/>
  <c r="Y314" i="25"/>
  <c r="W314" i="25"/>
  <c r="X314" i="25" s="1"/>
  <c r="T314" i="25"/>
  <c r="Q314" i="25"/>
  <c r="N314" i="25"/>
  <c r="K314" i="25"/>
  <c r="G314" i="25"/>
  <c r="C314" i="25"/>
  <c r="D314" i="25" s="1"/>
  <c r="AC313" i="25"/>
  <c r="AA313" i="25"/>
  <c r="Y313" i="25"/>
  <c r="W313" i="25"/>
  <c r="T313" i="25"/>
  <c r="Q313" i="25"/>
  <c r="N313" i="25"/>
  <c r="K313" i="25"/>
  <c r="G313" i="25"/>
  <c r="C313" i="25"/>
  <c r="AC312" i="25"/>
  <c r="AA312" i="25"/>
  <c r="Y312" i="25"/>
  <c r="W312" i="25"/>
  <c r="X312" i="25" s="1"/>
  <c r="T312" i="25"/>
  <c r="Q312" i="25"/>
  <c r="N312" i="25"/>
  <c r="K312" i="25"/>
  <c r="G312" i="25"/>
  <c r="C312" i="25"/>
  <c r="AC311" i="25"/>
  <c r="AA311" i="25"/>
  <c r="Y311" i="25"/>
  <c r="W311" i="25"/>
  <c r="X311" i="25" s="1"/>
  <c r="T311" i="25"/>
  <c r="Q311" i="25"/>
  <c r="N311" i="25"/>
  <c r="K311" i="25"/>
  <c r="G311" i="25"/>
  <c r="C311" i="25"/>
  <c r="AC310" i="25"/>
  <c r="AA310" i="25"/>
  <c r="Y310" i="25"/>
  <c r="W310" i="25"/>
  <c r="T310" i="25"/>
  <c r="Q310" i="25"/>
  <c r="N310" i="25"/>
  <c r="K310" i="25"/>
  <c r="G310" i="25"/>
  <c r="C310" i="25"/>
  <c r="AC309" i="25"/>
  <c r="AA309" i="25"/>
  <c r="AB309" i="25" s="1"/>
  <c r="Y309" i="25"/>
  <c r="W309" i="25"/>
  <c r="T309" i="25"/>
  <c r="Q309" i="25"/>
  <c r="N309" i="25"/>
  <c r="K309" i="25"/>
  <c r="G309" i="25"/>
  <c r="C309" i="25"/>
  <c r="D309" i="25" s="1"/>
  <c r="AC308" i="25"/>
  <c r="AA308" i="25"/>
  <c r="Y308" i="25"/>
  <c r="W308" i="25"/>
  <c r="X308" i="25" s="1"/>
  <c r="T308" i="25"/>
  <c r="Q308" i="25"/>
  <c r="N308" i="25"/>
  <c r="K308" i="25"/>
  <c r="G308" i="25"/>
  <c r="C308" i="25"/>
  <c r="D308" i="25" s="1"/>
  <c r="AC307" i="25"/>
  <c r="AA307" i="25"/>
  <c r="Y307" i="25"/>
  <c r="W307" i="25"/>
  <c r="T307" i="25"/>
  <c r="Q307" i="25"/>
  <c r="N307" i="25"/>
  <c r="K307" i="25"/>
  <c r="G307" i="25"/>
  <c r="C307" i="25"/>
  <c r="AC306" i="25"/>
  <c r="AA306" i="25"/>
  <c r="AB306" i="25" s="1"/>
  <c r="Y306" i="25"/>
  <c r="W306" i="25"/>
  <c r="T306" i="25"/>
  <c r="Q306" i="25"/>
  <c r="N306" i="25"/>
  <c r="K306" i="25"/>
  <c r="G306" i="25"/>
  <c r="C306" i="25"/>
  <c r="AC305" i="25"/>
  <c r="AA305" i="25"/>
  <c r="AB305" i="25" s="1"/>
  <c r="Y305" i="25"/>
  <c r="W305" i="25"/>
  <c r="X305" i="25" s="1"/>
  <c r="T305" i="25"/>
  <c r="Q305" i="25"/>
  <c r="N305" i="25"/>
  <c r="K305" i="25"/>
  <c r="G305" i="25"/>
  <c r="C305" i="25"/>
  <c r="AC304" i="25"/>
  <c r="AA304" i="25"/>
  <c r="AB304" i="25" s="1"/>
  <c r="Y304" i="25"/>
  <c r="W304" i="25"/>
  <c r="T304" i="25"/>
  <c r="Q304" i="25"/>
  <c r="N304" i="25"/>
  <c r="K304" i="25"/>
  <c r="G304" i="25"/>
  <c r="C304" i="25"/>
  <c r="D304" i="25" s="1"/>
  <c r="AC303" i="25"/>
  <c r="AA303" i="25"/>
  <c r="Y303" i="25"/>
  <c r="W303" i="25"/>
  <c r="X303" i="25" s="1"/>
  <c r="T303" i="25"/>
  <c r="Q303" i="25"/>
  <c r="N303" i="25"/>
  <c r="K303" i="25"/>
  <c r="G303" i="25"/>
  <c r="C303" i="25"/>
  <c r="AC302" i="25"/>
  <c r="AA302" i="25"/>
  <c r="AB302" i="25" s="1"/>
  <c r="Y302" i="25"/>
  <c r="W302" i="25"/>
  <c r="T302" i="25"/>
  <c r="Q302" i="25"/>
  <c r="N302" i="25"/>
  <c r="K302" i="25"/>
  <c r="G302" i="25"/>
  <c r="C302" i="25"/>
  <c r="AC301" i="25"/>
  <c r="AA301" i="25"/>
  <c r="AB301" i="25" s="1"/>
  <c r="Y301" i="25"/>
  <c r="W301" i="25"/>
  <c r="T301" i="25"/>
  <c r="Q301" i="25"/>
  <c r="N301" i="25"/>
  <c r="K301" i="25"/>
  <c r="G301" i="25"/>
  <c r="C301" i="25"/>
  <c r="AC300" i="25"/>
  <c r="AA300" i="25"/>
  <c r="Y300" i="25"/>
  <c r="W300" i="25"/>
  <c r="X300" i="25" s="1"/>
  <c r="T300" i="25"/>
  <c r="Q300" i="25"/>
  <c r="N300" i="25"/>
  <c r="K300" i="25"/>
  <c r="G300" i="25"/>
  <c r="C300" i="25"/>
  <c r="D300" i="25" s="1"/>
  <c r="AC299" i="25"/>
  <c r="AA299" i="25"/>
  <c r="AB299" i="25" s="1"/>
  <c r="Y299" i="25"/>
  <c r="W299" i="25"/>
  <c r="T299" i="25"/>
  <c r="Q299" i="25"/>
  <c r="N299" i="25"/>
  <c r="K299" i="25"/>
  <c r="G299" i="25"/>
  <c r="C299" i="25"/>
  <c r="AC298" i="25"/>
  <c r="AA298" i="25"/>
  <c r="Y298" i="25"/>
  <c r="W298" i="25"/>
  <c r="T298" i="25"/>
  <c r="Q298" i="25"/>
  <c r="N298" i="25"/>
  <c r="K298" i="25"/>
  <c r="G298" i="25"/>
  <c r="C298" i="25"/>
  <c r="AC297" i="25"/>
  <c r="AA297" i="25"/>
  <c r="AB297" i="25" s="1"/>
  <c r="Y297" i="25"/>
  <c r="W297" i="25"/>
  <c r="X297" i="25" s="1"/>
  <c r="T297" i="25"/>
  <c r="Q297" i="25"/>
  <c r="N297" i="25"/>
  <c r="K297" i="25"/>
  <c r="G297" i="25"/>
  <c r="C297" i="25"/>
  <c r="AC296" i="25"/>
  <c r="AA296" i="25"/>
  <c r="AB296" i="25" s="1"/>
  <c r="Y296" i="25"/>
  <c r="W296" i="25"/>
  <c r="T296" i="25"/>
  <c r="Q296" i="25"/>
  <c r="N296" i="25"/>
  <c r="K296" i="25"/>
  <c r="G296" i="25"/>
  <c r="C296" i="25"/>
  <c r="AC295" i="25"/>
  <c r="AA295" i="25"/>
  <c r="Y295" i="25"/>
  <c r="W295" i="25"/>
  <c r="T295" i="25"/>
  <c r="Q295" i="25"/>
  <c r="N295" i="25"/>
  <c r="K295" i="25"/>
  <c r="G295" i="25"/>
  <c r="C295" i="25"/>
  <c r="AC294" i="25"/>
  <c r="AA294" i="25"/>
  <c r="Y294" i="25"/>
  <c r="W294" i="25"/>
  <c r="X294" i="25" s="1"/>
  <c r="T294" i="25"/>
  <c r="Q294" i="25"/>
  <c r="N294" i="25"/>
  <c r="K294" i="25"/>
  <c r="G294" i="25"/>
  <c r="C294" i="25"/>
  <c r="AC293" i="25"/>
  <c r="AA293" i="25"/>
  <c r="Y293" i="25"/>
  <c r="W293" i="25"/>
  <c r="T293" i="25"/>
  <c r="Q293" i="25"/>
  <c r="N293" i="25"/>
  <c r="K293" i="25"/>
  <c r="G293" i="25"/>
  <c r="C293" i="25"/>
  <c r="AC292" i="25"/>
  <c r="AA292" i="25"/>
  <c r="Y292" i="25"/>
  <c r="W292" i="25"/>
  <c r="T292" i="25"/>
  <c r="Q292" i="25"/>
  <c r="N292" i="25"/>
  <c r="K292" i="25"/>
  <c r="G292" i="25"/>
  <c r="C292" i="25"/>
  <c r="D292" i="25" s="1"/>
  <c r="AC291" i="25"/>
  <c r="AA291" i="25"/>
  <c r="AB291" i="25" s="1"/>
  <c r="Y291" i="25"/>
  <c r="W291" i="25"/>
  <c r="T291" i="25"/>
  <c r="Q291" i="25"/>
  <c r="N291" i="25"/>
  <c r="K291" i="25"/>
  <c r="G291" i="25"/>
  <c r="C291" i="25"/>
  <c r="AC290" i="25"/>
  <c r="AA290" i="25"/>
  <c r="Y290" i="25"/>
  <c r="W290" i="25"/>
  <c r="X290" i="25" s="1"/>
  <c r="T290" i="25"/>
  <c r="Q290" i="25"/>
  <c r="N290" i="25"/>
  <c r="K290" i="25"/>
  <c r="G290" i="25"/>
  <c r="C290" i="25"/>
  <c r="AC289" i="25"/>
  <c r="AA289" i="25"/>
  <c r="Y289" i="25"/>
  <c r="W289" i="25"/>
  <c r="T289" i="25"/>
  <c r="Q289" i="25"/>
  <c r="N289" i="25"/>
  <c r="K289" i="25"/>
  <c r="G289" i="25"/>
  <c r="C289" i="25"/>
  <c r="AC288" i="25"/>
  <c r="AA288" i="25"/>
  <c r="AB288" i="25" s="1"/>
  <c r="Y288" i="25"/>
  <c r="W288" i="25"/>
  <c r="X288" i="25" s="1"/>
  <c r="T288" i="25"/>
  <c r="Q288" i="25"/>
  <c r="N288" i="25"/>
  <c r="K288" i="25"/>
  <c r="G288" i="25"/>
  <c r="C288" i="25"/>
  <c r="D288" i="25" s="1"/>
  <c r="AC287" i="25"/>
  <c r="AA287" i="25"/>
  <c r="Y287" i="25"/>
  <c r="W287" i="25"/>
  <c r="T287" i="25"/>
  <c r="Q287" i="25"/>
  <c r="N287" i="25"/>
  <c r="K287" i="25"/>
  <c r="G287" i="25"/>
  <c r="C287" i="25"/>
  <c r="AC286" i="25"/>
  <c r="AA286" i="25"/>
  <c r="Y286" i="25"/>
  <c r="W286" i="25"/>
  <c r="T286" i="25"/>
  <c r="Q286" i="25"/>
  <c r="N286" i="25"/>
  <c r="K286" i="25"/>
  <c r="G286" i="25"/>
  <c r="C286" i="25"/>
  <c r="AC285" i="25"/>
  <c r="AA285" i="25"/>
  <c r="Y285" i="25"/>
  <c r="W285" i="25"/>
  <c r="T285" i="25"/>
  <c r="Q285" i="25"/>
  <c r="N285" i="25"/>
  <c r="K285" i="25"/>
  <c r="G285" i="25"/>
  <c r="C285" i="25"/>
  <c r="AC284" i="25"/>
  <c r="AA284" i="25"/>
  <c r="Y284" i="25"/>
  <c r="W284" i="25"/>
  <c r="T284" i="25"/>
  <c r="Q284" i="25"/>
  <c r="N284" i="25"/>
  <c r="K284" i="25"/>
  <c r="G284" i="25"/>
  <c r="C284" i="25"/>
  <c r="AC283" i="25"/>
  <c r="AA283" i="25"/>
  <c r="Y283" i="25"/>
  <c r="W283" i="25"/>
  <c r="T283" i="25"/>
  <c r="U283" i="25" s="1"/>
  <c r="Q283" i="25"/>
  <c r="N283" i="25"/>
  <c r="K283" i="25"/>
  <c r="G283" i="25"/>
  <c r="C283" i="25"/>
  <c r="AC282" i="25"/>
  <c r="AA282" i="25"/>
  <c r="Y282" i="25"/>
  <c r="W282" i="25"/>
  <c r="T282" i="25"/>
  <c r="Q282" i="25"/>
  <c r="N282" i="25"/>
  <c r="K282" i="25"/>
  <c r="G282" i="25"/>
  <c r="C282" i="25"/>
  <c r="AC281" i="25"/>
  <c r="AA281" i="25"/>
  <c r="Y281" i="25"/>
  <c r="W281" i="25"/>
  <c r="T281" i="25"/>
  <c r="Q281" i="25"/>
  <c r="N281" i="25"/>
  <c r="K281" i="25"/>
  <c r="G281" i="25"/>
  <c r="C281" i="25"/>
  <c r="AC280" i="25"/>
  <c r="AA280" i="25"/>
  <c r="Y280" i="25"/>
  <c r="W280" i="25"/>
  <c r="T280" i="25"/>
  <c r="Q280" i="25"/>
  <c r="N280" i="25"/>
  <c r="K280" i="25"/>
  <c r="G280" i="25"/>
  <c r="C280" i="25"/>
  <c r="AC279" i="25"/>
  <c r="AA279" i="25"/>
  <c r="Y279" i="25"/>
  <c r="W279" i="25"/>
  <c r="T279" i="25"/>
  <c r="Q279" i="25"/>
  <c r="N279" i="25"/>
  <c r="K279" i="25"/>
  <c r="G279" i="25"/>
  <c r="C279" i="25"/>
  <c r="D279" i="25" s="1"/>
  <c r="AC278" i="25"/>
  <c r="AA278" i="25"/>
  <c r="Y278" i="25"/>
  <c r="W278" i="25"/>
  <c r="T278" i="25"/>
  <c r="Q278" i="25"/>
  <c r="N278" i="25"/>
  <c r="K278" i="25"/>
  <c r="G278" i="25"/>
  <c r="C278" i="25"/>
  <c r="AC277" i="25"/>
  <c r="AA277" i="25"/>
  <c r="Y277" i="25"/>
  <c r="W277" i="25"/>
  <c r="T277" i="25"/>
  <c r="Q277" i="25"/>
  <c r="N277" i="25"/>
  <c r="K277" i="25"/>
  <c r="G277" i="25"/>
  <c r="C277" i="25"/>
  <c r="D277" i="25" s="1"/>
  <c r="AC276" i="25"/>
  <c r="AA276" i="25"/>
  <c r="Y276" i="25"/>
  <c r="W276" i="25"/>
  <c r="T276" i="25"/>
  <c r="Q276" i="25"/>
  <c r="N276" i="25"/>
  <c r="K276" i="25"/>
  <c r="G276" i="25"/>
  <c r="C276" i="25"/>
  <c r="AC275" i="25"/>
  <c r="AA275" i="25"/>
  <c r="Y275" i="25"/>
  <c r="W275" i="25"/>
  <c r="T275" i="25"/>
  <c r="Q275" i="25"/>
  <c r="N275" i="25"/>
  <c r="K275" i="25"/>
  <c r="G275" i="25"/>
  <c r="C275" i="25"/>
  <c r="AC274" i="25"/>
  <c r="AA274" i="25"/>
  <c r="AB274" i="25" s="1"/>
  <c r="Y274" i="25"/>
  <c r="W274" i="25"/>
  <c r="T274" i="25"/>
  <c r="Q274" i="25"/>
  <c r="N274" i="25"/>
  <c r="K274" i="25"/>
  <c r="G274" i="25"/>
  <c r="C274" i="25"/>
  <c r="AC273" i="25"/>
  <c r="AA273" i="25"/>
  <c r="Y273" i="25"/>
  <c r="W273" i="25"/>
  <c r="T273" i="25"/>
  <c r="Q273" i="25"/>
  <c r="N273" i="25"/>
  <c r="K273" i="25"/>
  <c r="G273" i="25"/>
  <c r="C273" i="25"/>
  <c r="AC272" i="25"/>
  <c r="AA272" i="25"/>
  <c r="AB272" i="25" s="1"/>
  <c r="Y272" i="25"/>
  <c r="W272" i="25"/>
  <c r="T272" i="25"/>
  <c r="Q272" i="25"/>
  <c r="N272" i="25"/>
  <c r="K272" i="25"/>
  <c r="G272" i="25"/>
  <c r="C272" i="25"/>
  <c r="AC271" i="25"/>
  <c r="AA271" i="25"/>
  <c r="AB271" i="25" s="1"/>
  <c r="Y271" i="25"/>
  <c r="W271" i="25"/>
  <c r="T271" i="25"/>
  <c r="Q271" i="25"/>
  <c r="N271" i="25"/>
  <c r="K271" i="25"/>
  <c r="G271" i="25"/>
  <c r="C271" i="25"/>
  <c r="AC270" i="25"/>
  <c r="AA270" i="25"/>
  <c r="Y270" i="25"/>
  <c r="W270" i="25"/>
  <c r="T270" i="25"/>
  <c r="Q270" i="25"/>
  <c r="N270" i="25"/>
  <c r="K270" i="25"/>
  <c r="G270" i="25"/>
  <c r="C270" i="25"/>
  <c r="AC269" i="25"/>
  <c r="AA269" i="25"/>
  <c r="Y269" i="25"/>
  <c r="W269" i="25"/>
  <c r="T269" i="25"/>
  <c r="Q269" i="25"/>
  <c r="N269" i="25"/>
  <c r="K269" i="25"/>
  <c r="G269" i="25"/>
  <c r="C269" i="25"/>
  <c r="AC268" i="25"/>
  <c r="AA268" i="25"/>
  <c r="Y268" i="25"/>
  <c r="W268" i="25"/>
  <c r="T268" i="25"/>
  <c r="Q268" i="25"/>
  <c r="N268" i="25"/>
  <c r="K268" i="25"/>
  <c r="G268" i="25"/>
  <c r="C268" i="25"/>
  <c r="AC267" i="25"/>
  <c r="AA267" i="25"/>
  <c r="AB267" i="25" s="1"/>
  <c r="Y267" i="25"/>
  <c r="W267" i="25"/>
  <c r="T267" i="25"/>
  <c r="Q267" i="25"/>
  <c r="N267" i="25"/>
  <c r="K267" i="25"/>
  <c r="G267" i="25"/>
  <c r="C267" i="25"/>
  <c r="D267" i="25" s="1"/>
  <c r="AC266" i="25"/>
  <c r="AA266" i="25"/>
  <c r="Y266" i="25"/>
  <c r="W266" i="25"/>
  <c r="T266" i="25"/>
  <c r="Q266" i="25"/>
  <c r="N266" i="25"/>
  <c r="K266" i="25"/>
  <c r="G266" i="25"/>
  <c r="C266" i="25"/>
  <c r="AC265" i="25"/>
  <c r="AA265" i="25"/>
  <c r="Y265" i="25"/>
  <c r="W265" i="25"/>
  <c r="T265" i="25"/>
  <c r="Q265" i="25"/>
  <c r="N265" i="25"/>
  <c r="K265" i="25"/>
  <c r="G265" i="25"/>
  <c r="C265" i="25"/>
  <c r="D265" i="25" s="1"/>
  <c r="AC264" i="25"/>
  <c r="AA264" i="25"/>
  <c r="Y264" i="25"/>
  <c r="W264" i="25"/>
  <c r="T264" i="25"/>
  <c r="Q264" i="25"/>
  <c r="N264" i="25"/>
  <c r="K264" i="25"/>
  <c r="G264" i="25"/>
  <c r="C264" i="25"/>
  <c r="AC263" i="25"/>
  <c r="AA263" i="25"/>
  <c r="Y263" i="25"/>
  <c r="W263" i="25"/>
  <c r="X263" i="25" s="1"/>
  <c r="T263" i="25"/>
  <c r="Q263" i="25"/>
  <c r="N263" i="25"/>
  <c r="K263" i="25"/>
  <c r="G263" i="25"/>
  <c r="C263" i="25"/>
  <c r="AC262" i="25"/>
  <c r="AA262" i="25"/>
  <c r="Y262" i="25"/>
  <c r="W262" i="25"/>
  <c r="T262" i="25"/>
  <c r="Q262" i="25"/>
  <c r="N262" i="25"/>
  <c r="K262" i="25"/>
  <c r="G262" i="25"/>
  <c r="C262" i="25"/>
  <c r="AC261" i="25"/>
  <c r="AA261" i="25"/>
  <c r="Y261" i="25"/>
  <c r="W261" i="25"/>
  <c r="T261" i="25"/>
  <c r="Q261" i="25"/>
  <c r="N261" i="25"/>
  <c r="K261" i="25"/>
  <c r="G261" i="25"/>
  <c r="C261" i="25"/>
  <c r="AC260" i="25"/>
  <c r="AA260" i="25"/>
  <c r="AB260" i="25" s="1"/>
  <c r="Y260" i="25"/>
  <c r="W260" i="25"/>
  <c r="T260" i="25"/>
  <c r="Q260" i="25"/>
  <c r="N260" i="25"/>
  <c r="K260" i="25"/>
  <c r="G260" i="25"/>
  <c r="C260" i="25"/>
  <c r="AC259" i="25"/>
  <c r="AA259" i="25"/>
  <c r="Y259" i="25"/>
  <c r="W259" i="25"/>
  <c r="T259" i="25"/>
  <c r="Q259" i="25"/>
  <c r="N259" i="25"/>
  <c r="K259" i="25"/>
  <c r="G259" i="25"/>
  <c r="C259" i="25"/>
  <c r="AC258" i="25"/>
  <c r="AA258" i="25"/>
  <c r="Y258" i="25"/>
  <c r="W258" i="25"/>
  <c r="T258" i="25"/>
  <c r="Q258" i="25"/>
  <c r="N258" i="25"/>
  <c r="K258" i="25"/>
  <c r="G258" i="25"/>
  <c r="C258" i="25"/>
  <c r="AC257" i="25"/>
  <c r="AA257" i="25"/>
  <c r="Y257" i="25"/>
  <c r="W257" i="25"/>
  <c r="T257" i="25"/>
  <c r="Q257" i="25"/>
  <c r="N257" i="25"/>
  <c r="K257" i="25"/>
  <c r="G257" i="25"/>
  <c r="C257" i="25"/>
  <c r="AC256" i="25"/>
  <c r="AA256" i="25"/>
  <c r="AB256" i="25" s="1"/>
  <c r="Y256" i="25"/>
  <c r="W256" i="25"/>
  <c r="X256" i="25" s="1"/>
  <c r="T256" i="25"/>
  <c r="Q256" i="25"/>
  <c r="N256" i="25"/>
  <c r="K256" i="25"/>
  <c r="G256" i="25"/>
  <c r="C256" i="25"/>
  <c r="AC255" i="25"/>
  <c r="AA255" i="25"/>
  <c r="Y255" i="25"/>
  <c r="W255" i="25"/>
  <c r="T255" i="25"/>
  <c r="Q255" i="25"/>
  <c r="N255" i="25"/>
  <c r="K255" i="25"/>
  <c r="G255" i="25"/>
  <c r="C255" i="25"/>
  <c r="AC254" i="25"/>
  <c r="AA254" i="25"/>
  <c r="Y254" i="25"/>
  <c r="W254" i="25"/>
  <c r="T254" i="25"/>
  <c r="Q254" i="25"/>
  <c r="N254" i="25"/>
  <c r="K254" i="25"/>
  <c r="G254" i="25"/>
  <c r="C254" i="25"/>
  <c r="AC253" i="25"/>
  <c r="AA253" i="25"/>
  <c r="Y253" i="25"/>
  <c r="W253" i="25"/>
  <c r="T253" i="25"/>
  <c r="Q253" i="25"/>
  <c r="N253" i="25"/>
  <c r="K253" i="25"/>
  <c r="G253" i="25"/>
  <c r="C253" i="25"/>
  <c r="AC252" i="25"/>
  <c r="AA252" i="25"/>
  <c r="Y252" i="25"/>
  <c r="W252" i="25"/>
  <c r="T252" i="25"/>
  <c r="Q252" i="25"/>
  <c r="N252" i="25"/>
  <c r="K252" i="25"/>
  <c r="G252" i="25"/>
  <c r="C252" i="25"/>
  <c r="D252" i="25" s="1"/>
  <c r="AC251" i="25"/>
  <c r="AA251" i="25"/>
  <c r="Y251" i="25"/>
  <c r="W251" i="25"/>
  <c r="T251" i="25"/>
  <c r="Q251" i="25"/>
  <c r="N251" i="25"/>
  <c r="K251" i="25"/>
  <c r="G251" i="25"/>
  <c r="C251" i="25"/>
  <c r="AC250" i="25"/>
  <c r="AA250" i="25"/>
  <c r="Y250" i="25"/>
  <c r="W250" i="25"/>
  <c r="X250" i="25" s="1"/>
  <c r="T250" i="25"/>
  <c r="Q250" i="25"/>
  <c r="N250" i="25"/>
  <c r="K250" i="25"/>
  <c r="G250" i="25"/>
  <c r="C250" i="25"/>
  <c r="AC249" i="25"/>
  <c r="AA249" i="25"/>
  <c r="Y249" i="25"/>
  <c r="W249" i="25"/>
  <c r="T249" i="25"/>
  <c r="Q249" i="25"/>
  <c r="N249" i="25"/>
  <c r="K249" i="25"/>
  <c r="G249" i="25"/>
  <c r="C249" i="25"/>
  <c r="AC248" i="25"/>
  <c r="AA248" i="25"/>
  <c r="Y248" i="25"/>
  <c r="W248" i="25"/>
  <c r="T248" i="25"/>
  <c r="Q248" i="25"/>
  <c r="N248" i="25"/>
  <c r="K248" i="25"/>
  <c r="G248" i="25"/>
  <c r="C248" i="25"/>
  <c r="AC247" i="25"/>
  <c r="AA247" i="25"/>
  <c r="Y247" i="25"/>
  <c r="W247" i="25"/>
  <c r="X247" i="25" s="1"/>
  <c r="T247" i="25"/>
  <c r="Q247" i="25"/>
  <c r="N247" i="25"/>
  <c r="K247" i="25"/>
  <c r="G247" i="25"/>
  <c r="C247" i="25"/>
  <c r="AC246" i="25"/>
  <c r="AA246" i="25"/>
  <c r="Y246" i="25"/>
  <c r="W246" i="25"/>
  <c r="T246" i="25"/>
  <c r="Q246" i="25"/>
  <c r="N246" i="25"/>
  <c r="K246" i="25"/>
  <c r="G246" i="25"/>
  <c r="C246" i="25"/>
  <c r="AC245" i="25"/>
  <c r="AA245" i="25"/>
  <c r="AB245" i="25" s="1"/>
  <c r="Y245" i="25"/>
  <c r="W245" i="25"/>
  <c r="T245" i="25"/>
  <c r="Q245" i="25"/>
  <c r="N245" i="25"/>
  <c r="K245" i="25"/>
  <c r="G245" i="25"/>
  <c r="C245" i="25"/>
  <c r="AC244" i="25"/>
  <c r="AA244" i="25"/>
  <c r="Y244" i="25"/>
  <c r="W244" i="25"/>
  <c r="X244" i="25" s="1"/>
  <c r="T244" i="25"/>
  <c r="Q244" i="25"/>
  <c r="N244" i="25"/>
  <c r="K244" i="25"/>
  <c r="G244" i="25"/>
  <c r="C244" i="25"/>
  <c r="D244" i="25" s="1"/>
  <c r="AC243" i="25"/>
  <c r="AA243" i="25"/>
  <c r="Y243" i="25"/>
  <c r="W243" i="25"/>
  <c r="X243" i="25" s="1"/>
  <c r="T243" i="25"/>
  <c r="Q243" i="25"/>
  <c r="N243" i="25"/>
  <c r="K243" i="25"/>
  <c r="G243" i="25"/>
  <c r="C243" i="25"/>
  <c r="AC242" i="25"/>
  <c r="AA242" i="25"/>
  <c r="AB242" i="25" s="1"/>
  <c r="Y242" i="25"/>
  <c r="W242" i="25"/>
  <c r="T242" i="25"/>
  <c r="Q242" i="25"/>
  <c r="N242" i="25"/>
  <c r="K242" i="25"/>
  <c r="G242" i="25"/>
  <c r="C242" i="25"/>
  <c r="AC241" i="25"/>
  <c r="AA241" i="25"/>
  <c r="Y241" i="25"/>
  <c r="W241" i="25"/>
  <c r="T241" i="25"/>
  <c r="Q241" i="25"/>
  <c r="N241" i="25"/>
  <c r="K241" i="25"/>
  <c r="G241" i="25"/>
  <c r="C241" i="25"/>
  <c r="AC240" i="25"/>
  <c r="AA240" i="25"/>
  <c r="Y240" i="25"/>
  <c r="W240" i="25"/>
  <c r="X240" i="25" s="1"/>
  <c r="T240" i="25"/>
  <c r="Q240" i="25"/>
  <c r="N240" i="25"/>
  <c r="K240" i="25"/>
  <c r="G240" i="25"/>
  <c r="C240" i="25"/>
  <c r="AC239" i="25"/>
  <c r="AA239" i="25"/>
  <c r="AB239" i="25" s="1"/>
  <c r="Y239" i="25"/>
  <c r="W239" i="25"/>
  <c r="T239" i="25"/>
  <c r="Q239" i="25"/>
  <c r="N239" i="25"/>
  <c r="K239" i="25"/>
  <c r="G239" i="25"/>
  <c r="C239" i="25"/>
  <c r="AC238" i="25"/>
  <c r="AA238" i="25"/>
  <c r="AB238" i="25" s="1"/>
  <c r="Y238" i="25"/>
  <c r="W238" i="25"/>
  <c r="T238" i="25"/>
  <c r="Q238" i="25"/>
  <c r="N238" i="25"/>
  <c r="K238" i="25"/>
  <c r="G238" i="25"/>
  <c r="C238" i="25"/>
  <c r="AC237" i="25"/>
  <c r="AA237" i="25"/>
  <c r="AB237" i="25" s="1"/>
  <c r="Y237" i="25"/>
  <c r="W237" i="25"/>
  <c r="T237" i="25"/>
  <c r="Q237" i="25"/>
  <c r="N237" i="25"/>
  <c r="K237" i="25"/>
  <c r="G237" i="25"/>
  <c r="C237" i="25"/>
  <c r="AC236" i="25"/>
  <c r="AA236" i="25"/>
  <c r="AB236" i="25" s="1"/>
  <c r="Y236" i="25"/>
  <c r="W236" i="25"/>
  <c r="T236" i="25"/>
  <c r="Q236" i="25"/>
  <c r="N236" i="25"/>
  <c r="K236" i="25"/>
  <c r="G236" i="25"/>
  <c r="C236" i="25"/>
  <c r="AC235" i="25"/>
  <c r="AA235" i="25"/>
  <c r="Y235" i="25"/>
  <c r="W235" i="25"/>
  <c r="X235" i="25" s="1"/>
  <c r="T235" i="25"/>
  <c r="Q235" i="25"/>
  <c r="N235" i="25"/>
  <c r="K235" i="25"/>
  <c r="G235" i="25"/>
  <c r="C235" i="25"/>
  <c r="AC234" i="25"/>
  <c r="AA234" i="25"/>
  <c r="Y234" i="25"/>
  <c r="W234" i="25"/>
  <c r="T234" i="25"/>
  <c r="Q234" i="25"/>
  <c r="N234" i="25"/>
  <c r="K234" i="25"/>
  <c r="G234" i="25"/>
  <c r="C234" i="25"/>
  <c r="AC233" i="25"/>
  <c r="AA233" i="25"/>
  <c r="Y233" i="25"/>
  <c r="W233" i="25"/>
  <c r="T233" i="25"/>
  <c r="Q233" i="25"/>
  <c r="N233" i="25"/>
  <c r="K233" i="25"/>
  <c r="G233" i="25"/>
  <c r="C233" i="25"/>
  <c r="AC232" i="25"/>
  <c r="AA232" i="25"/>
  <c r="AB232" i="25" s="1"/>
  <c r="Y232" i="25"/>
  <c r="W232" i="25"/>
  <c r="T232" i="25"/>
  <c r="Q232" i="25"/>
  <c r="N232" i="25"/>
  <c r="K232" i="25"/>
  <c r="G232" i="25"/>
  <c r="C232" i="25"/>
  <c r="D232" i="25" s="1"/>
  <c r="AC231" i="25"/>
  <c r="AA231" i="25"/>
  <c r="AB231" i="25" s="1"/>
  <c r="Y231" i="25"/>
  <c r="W231" i="25"/>
  <c r="X231" i="25" s="1"/>
  <c r="T231" i="25"/>
  <c r="Q231" i="25"/>
  <c r="N231" i="25"/>
  <c r="K231" i="25"/>
  <c r="G231" i="25"/>
  <c r="C231" i="25"/>
  <c r="AC230" i="25"/>
  <c r="AA230" i="25"/>
  <c r="Y230" i="25"/>
  <c r="W230" i="25"/>
  <c r="T230" i="25"/>
  <c r="Q230" i="25"/>
  <c r="N230" i="25"/>
  <c r="K230" i="25"/>
  <c r="G230" i="25"/>
  <c r="C230" i="25"/>
  <c r="AC229" i="25"/>
  <c r="AA229" i="25"/>
  <c r="Y229" i="25"/>
  <c r="W229" i="25"/>
  <c r="T229" i="25"/>
  <c r="Q229" i="25"/>
  <c r="N229" i="25"/>
  <c r="K229" i="25"/>
  <c r="G229" i="25"/>
  <c r="C229" i="25"/>
  <c r="AC228" i="25"/>
  <c r="AA228" i="25"/>
  <c r="Y228" i="25"/>
  <c r="W228" i="25"/>
  <c r="X228" i="25" s="1"/>
  <c r="T228" i="25"/>
  <c r="Q228" i="25"/>
  <c r="N228" i="25"/>
  <c r="K228" i="25"/>
  <c r="G228" i="25"/>
  <c r="C228" i="25"/>
  <c r="AC227" i="25"/>
  <c r="AA227" i="25"/>
  <c r="Y227" i="25"/>
  <c r="W227" i="25"/>
  <c r="T227" i="25"/>
  <c r="Q227" i="25"/>
  <c r="N227" i="25"/>
  <c r="K227" i="25"/>
  <c r="G227" i="25"/>
  <c r="C227" i="25"/>
  <c r="AC226" i="25"/>
  <c r="AA226" i="25"/>
  <c r="Y226" i="25"/>
  <c r="W226" i="25"/>
  <c r="T226" i="25"/>
  <c r="Q226" i="25"/>
  <c r="N226" i="25"/>
  <c r="K226" i="25"/>
  <c r="G226" i="25"/>
  <c r="C226" i="25"/>
  <c r="AC225" i="25"/>
  <c r="AA225" i="25"/>
  <c r="Y225" i="25"/>
  <c r="W225" i="25"/>
  <c r="T225" i="25"/>
  <c r="Q225" i="25"/>
  <c r="N225" i="25"/>
  <c r="K225" i="25"/>
  <c r="G225" i="25"/>
  <c r="C225" i="25"/>
  <c r="AC224" i="25"/>
  <c r="AA224" i="25"/>
  <c r="Y224" i="25"/>
  <c r="W224" i="25"/>
  <c r="X224" i="25" s="1"/>
  <c r="T224" i="25"/>
  <c r="Q224" i="25"/>
  <c r="N224" i="25"/>
  <c r="K224" i="25"/>
  <c r="G224" i="25"/>
  <c r="C224" i="25"/>
  <c r="AC223" i="25"/>
  <c r="AA223" i="25"/>
  <c r="Y223" i="25"/>
  <c r="W223" i="25"/>
  <c r="X223" i="25" s="1"/>
  <c r="T223" i="25"/>
  <c r="Q223" i="25"/>
  <c r="N223" i="25"/>
  <c r="K223" i="25"/>
  <c r="G223" i="25"/>
  <c r="C223" i="25"/>
  <c r="AC222" i="25"/>
  <c r="AA222" i="25"/>
  <c r="Y222" i="25"/>
  <c r="W222" i="25"/>
  <c r="T222" i="25"/>
  <c r="Q222" i="25"/>
  <c r="N222" i="25"/>
  <c r="K222" i="25"/>
  <c r="G222" i="25"/>
  <c r="C222" i="25"/>
  <c r="AC221" i="25"/>
  <c r="AA221" i="25"/>
  <c r="Y221" i="25"/>
  <c r="W221" i="25"/>
  <c r="T221" i="25"/>
  <c r="Q221" i="25"/>
  <c r="N221" i="25"/>
  <c r="K221" i="25"/>
  <c r="G221" i="25"/>
  <c r="C221" i="25"/>
  <c r="AC220" i="25"/>
  <c r="AA220" i="25"/>
  <c r="Y220" i="25"/>
  <c r="W220" i="25"/>
  <c r="T220" i="25"/>
  <c r="Q220" i="25"/>
  <c r="N220" i="25"/>
  <c r="K220" i="25"/>
  <c r="G220" i="25"/>
  <c r="C220" i="25"/>
  <c r="AC219" i="25"/>
  <c r="AA219" i="25"/>
  <c r="Y219" i="25"/>
  <c r="W219" i="25"/>
  <c r="T219" i="25"/>
  <c r="Q219" i="25"/>
  <c r="N219" i="25"/>
  <c r="K219" i="25"/>
  <c r="G219" i="25"/>
  <c r="C219" i="25"/>
  <c r="AC218" i="25"/>
  <c r="AA218" i="25"/>
  <c r="Y218" i="25"/>
  <c r="W218" i="25"/>
  <c r="X218" i="25" s="1"/>
  <c r="T218" i="25"/>
  <c r="Q218" i="25"/>
  <c r="N218" i="25"/>
  <c r="K218" i="25"/>
  <c r="G218" i="25"/>
  <c r="C218" i="25"/>
  <c r="AC217" i="25"/>
  <c r="AA217" i="25"/>
  <c r="Y217" i="25"/>
  <c r="W217" i="25"/>
  <c r="T217" i="25"/>
  <c r="Q217" i="25"/>
  <c r="N217" i="25"/>
  <c r="K217" i="25"/>
  <c r="G217" i="25"/>
  <c r="C217" i="25"/>
  <c r="AC216" i="25"/>
  <c r="AA216" i="25"/>
  <c r="Y216" i="25"/>
  <c r="W216" i="25"/>
  <c r="T216" i="25"/>
  <c r="Q216" i="25"/>
  <c r="N216" i="25"/>
  <c r="K216" i="25"/>
  <c r="G216" i="25"/>
  <c r="C216" i="25"/>
  <c r="AC215" i="25"/>
  <c r="AA215" i="25"/>
  <c r="Y215" i="25"/>
  <c r="W215" i="25"/>
  <c r="X215" i="25" s="1"/>
  <c r="T215" i="25"/>
  <c r="Q215" i="25"/>
  <c r="N215" i="25"/>
  <c r="K215" i="25"/>
  <c r="G215" i="25"/>
  <c r="C215" i="25"/>
  <c r="AC214" i="25"/>
  <c r="AA214" i="25"/>
  <c r="AB214" i="25" s="1"/>
  <c r="Y214" i="25"/>
  <c r="W214" i="25"/>
  <c r="X214" i="25" s="1"/>
  <c r="T214" i="25"/>
  <c r="Q214" i="25"/>
  <c r="N214" i="25"/>
  <c r="K214" i="25"/>
  <c r="G214" i="25"/>
  <c r="C214" i="25"/>
  <c r="AC213" i="25"/>
  <c r="AA213" i="25"/>
  <c r="AB213" i="25" s="1"/>
  <c r="Y213" i="25"/>
  <c r="W213" i="25"/>
  <c r="T213" i="25"/>
  <c r="Q213" i="25"/>
  <c r="N213" i="25"/>
  <c r="K213" i="25"/>
  <c r="G213" i="25"/>
  <c r="C213" i="25"/>
  <c r="AC212" i="25"/>
  <c r="AA212" i="25"/>
  <c r="Y212" i="25"/>
  <c r="W212" i="25"/>
  <c r="T212" i="25"/>
  <c r="Q212" i="25"/>
  <c r="N212" i="25"/>
  <c r="K212" i="25"/>
  <c r="G212" i="25"/>
  <c r="C212" i="25"/>
  <c r="AC211" i="25"/>
  <c r="AA211" i="25"/>
  <c r="Y211" i="25"/>
  <c r="W211" i="25"/>
  <c r="T211" i="25"/>
  <c r="Q211" i="25"/>
  <c r="N211" i="25"/>
  <c r="K211" i="25"/>
  <c r="G211" i="25"/>
  <c r="C211" i="25"/>
  <c r="AC210" i="25"/>
  <c r="AA210" i="25"/>
  <c r="Y210" i="25"/>
  <c r="W210" i="25"/>
  <c r="T210" i="25"/>
  <c r="Q210" i="25"/>
  <c r="N210" i="25"/>
  <c r="K210" i="25"/>
  <c r="G210" i="25"/>
  <c r="C210" i="25"/>
  <c r="AC209" i="25"/>
  <c r="AA209" i="25"/>
  <c r="AB209" i="25" s="1"/>
  <c r="Y209" i="25"/>
  <c r="W209" i="25"/>
  <c r="X209" i="25" s="1"/>
  <c r="T209" i="25"/>
  <c r="Q209" i="25"/>
  <c r="N209" i="25"/>
  <c r="K209" i="25"/>
  <c r="G209" i="25"/>
  <c r="C209" i="25"/>
  <c r="AC208" i="25"/>
  <c r="AA208" i="25"/>
  <c r="AB208" i="25" s="1"/>
  <c r="Y208" i="25"/>
  <c r="W208" i="25"/>
  <c r="T208" i="25"/>
  <c r="Q208" i="25"/>
  <c r="N208" i="25"/>
  <c r="K208" i="25"/>
  <c r="G208" i="25"/>
  <c r="C208" i="25"/>
  <c r="AC207" i="25"/>
  <c r="AA207" i="25"/>
  <c r="Y207" i="25"/>
  <c r="W207" i="25"/>
  <c r="T207" i="25"/>
  <c r="Q207" i="25"/>
  <c r="N207" i="25"/>
  <c r="K207" i="25"/>
  <c r="G207" i="25"/>
  <c r="C207" i="25"/>
  <c r="D207" i="25" s="1"/>
  <c r="AC206" i="25"/>
  <c r="AA206" i="25"/>
  <c r="Y206" i="25"/>
  <c r="W206" i="25"/>
  <c r="X206" i="25" s="1"/>
  <c r="T206" i="25"/>
  <c r="Q206" i="25"/>
  <c r="N206" i="25"/>
  <c r="K206" i="25"/>
  <c r="G206" i="25"/>
  <c r="C206" i="25"/>
  <c r="AC205" i="25"/>
  <c r="AA205" i="25"/>
  <c r="Y205" i="25"/>
  <c r="W205" i="25"/>
  <c r="T205" i="25"/>
  <c r="Q205" i="25"/>
  <c r="N205" i="25"/>
  <c r="K205" i="25"/>
  <c r="G205" i="25"/>
  <c r="C205" i="25"/>
  <c r="AC204" i="25"/>
  <c r="AA204" i="25"/>
  <c r="Y204" i="25"/>
  <c r="W204" i="25"/>
  <c r="T204" i="25"/>
  <c r="Q204" i="25"/>
  <c r="N204" i="25"/>
  <c r="K204" i="25"/>
  <c r="G204" i="25"/>
  <c r="C204" i="25"/>
  <c r="AC203" i="25"/>
  <c r="AA203" i="25"/>
  <c r="Y203" i="25"/>
  <c r="W203" i="25"/>
  <c r="T203" i="25"/>
  <c r="Q203" i="25"/>
  <c r="N203" i="25"/>
  <c r="K203" i="25"/>
  <c r="G203" i="25"/>
  <c r="C203" i="25"/>
  <c r="AC202" i="25"/>
  <c r="AA202" i="25"/>
  <c r="Y202" i="25"/>
  <c r="W202" i="25"/>
  <c r="X202" i="25" s="1"/>
  <c r="T202" i="25"/>
  <c r="Q202" i="25"/>
  <c r="N202" i="25"/>
  <c r="K202" i="25"/>
  <c r="G202" i="25"/>
  <c r="C202" i="25"/>
  <c r="AC201" i="25"/>
  <c r="AA201" i="25"/>
  <c r="Y201" i="25"/>
  <c r="W201" i="25"/>
  <c r="T201" i="25"/>
  <c r="Q201" i="25"/>
  <c r="N201" i="25"/>
  <c r="K201" i="25"/>
  <c r="G201" i="25"/>
  <c r="C201" i="25"/>
  <c r="AC200" i="25"/>
  <c r="AA200" i="25"/>
  <c r="Y200" i="25"/>
  <c r="W200" i="25"/>
  <c r="X200" i="25" s="1"/>
  <c r="T200" i="25"/>
  <c r="Q200" i="25"/>
  <c r="N200" i="25"/>
  <c r="K200" i="25"/>
  <c r="G200" i="25"/>
  <c r="C200" i="25"/>
  <c r="AC199" i="25"/>
  <c r="AA199" i="25"/>
  <c r="Y199" i="25"/>
  <c r="W199" i="25"/>
  <c r="T199" i="25"/>
  <c r="Q199" i="25"/>
  <c r="N199" i="25"/>
  <c r="K199" i="25"/>
  <c r="G199" i="25"/>
  <c r="C199" i="25"/>
  <c r="AC198" i="25"/>
  <c r="AA198" i="25"/>
  <c r="Y198" i="25"/>
  <c r="W198" i="25"/>
  <c r="T198" i="25"/>
  <c r="Q198" i="25"/>
  <c r="N198" i="25"/>
  <c r="K198" i="25"/>
  <c r="G198" i="25"/>
  <c r="C198" i="25"/>
  <c r="AC197" i="25"/>
  <c r="AA197" i="25"/>
  <c r="Y197" i="25"/>
  <c r="W197" i="25"/>
  <c r="T197" i="25"/>
  <c r="Q197" i="25"/>
  <c r="N197" i="25"/>
  <c r="K197" i="25"/>
  <c r="G197" i="25"/>
  <c r="C197" i="25"/>
  <c r="AC196" i="25"/>
  <c r="AA196" i="25"/>
  <c r="Y196" i="25"/>
  <c r="W196" i="25"/>
  <c r="T196" i="25"/>
  <c r="Q196" i="25"/>
  <c r="N196" i="25"/>
  <c r="K196" i="25"/>
  <c r="G196" i="25"/>
  <c r="C196" i="25"/>
  <c r="AC195" i="25"/>
  <c r="AA195" i="25"/>
  <c r="Y195" i="25"/>
  <c r="W195" i="25"/>
  <c r="T195" i="25"/>
  <c r="Q195" i="25"/>
  <c r="N195" i="25"/>
  <c r="K195" i="25"/>
  <c r="G195" i="25"/>
  <c r="C195" i="25"/>
  <c r="AC194" i="25"/>
  <c r="AA194" i="25"/>
  <c r="Y194" i="25"/>
  <c r="W194" i="25"/>
  <c r="X194" i="25" s="1"/>
  <c r="T194" i="25"/>
  <c r="Q194" i="25"/>
  <c r="N194" i="25"/>
  <c r="K194" i="25"/>
  <c r="G194" i="25"/>
  <c r="C194" i="25"/>
  <c r="AC193" i="25"/>
  <c r="AA193" i="25"/>
  <c r="Y193" i="25"/>
  <c r="W193" i="25"/>
  <c r="T193" i="25"/>
  <c r="Q193" i="25"/>
  <c r="N193" i="25"/>
  <c r="K193" i="25"/>
  <c r="G193" i="25"/>
  <c r="C193" i="25"/>
  <c r="AC192" i="25"/>
  <c r="AA192" i="25"/>
  <c r="Y192" i="25"/>
  <c r="W192" i="25"/>
  <c r="T192" i="25"/>
  <c r="Q192" i="25"/>
  <c r="N192" i="25"/>
  <c r="K192" i="25"/>
  <c r="G192" i="25"/>
  <c r="C192" i="25"/>
  <c r="AC191" i="25"/>
  <c r="AA191" i="25"/>
  <c r="Y191" i="25"/>
  <c r="W191" i="25"/>
  <c r="T191" i="25"/>
  <c r="Q191" i="25"/>
  <c r="N191" i="25"/>
  <c r="K191" i="25"/>
  <c r="G191" i="25"/>
  <c r="C191" i="25"/>
  <c r="AC190" i="25"/>
  <c r="AA190" i="25"/>
  <c r="Y190" i="25"/>
  <c r="W190" i="25"/>
  <c r="T190" i="25"/>
  <c r="Q190" i="25"/>
  <c r="N190" i="25"/>
  <c r="K190" i="25"/>
  <c r="G190" i="25"/>
  <c r="C190" i="25"/>
  <c r="AC189" i="25"/>
  <c r="AA189" i="25"/>
  <c r="Y189" i="25"/>
  <c r="W189" i="25"/>
  <c r="T189" i="25"/>
  <c r="Q189" i="25"/>
  <c r="N189" i="25"/>
  <c r="K189" i="25"/>
  <c r="G189" i="25"/>
  <c r="C189" i="25"/>
  <c r="AC188" i="25"/>
  <c r="AA188" i="25"/>
  <c r="Y188" i="25"/>
  <c r="W188" i="25"/>
  <c r="T188" i="25"/>
  <c r="Q188" i="25"/>
  <c r="N188" i="25"/>
  <c r="K188" i="25"/>
  <c r="G188" i="25"/>
  <c r="C188" i="25"/>
  <c r="AC187" i="25"/>
  <c r="AA187" i="25"/>
  <c r="Y187" i="25"/>
  <c r="W187" i="25"/>
  <c r="X187" i="25" s="1"/>
  <c r="T187" i="25"/>
  <c r="Q187" i="25"/>
  <c r="N187" i="25"/>
  <c r="K187" i="25"/>
  <c r="G187" i="25"/>
  <c r="C187" i="25"/>
  <c r="AC186" i="25"/>
  <c r="AA186" i="25"/>
  <c r="Y186" i="25"/>
  <c r="W186" i="25"/>
  <c r="T186" i="25"/>
  <c r="Q186" i="25"/>
  <c r="N186" i="25"/>
  <c r="K186" i="25"/>
  <c r="G186" i="25"/>
  <c r="C186" i="25"/>
  <c r="AC185" i="25"/>
  <c r="AA185" i="25"/>
  <c r="Y185" i="25"/>
  <c r="W185" i="25"/>
  <c r="T185" i="25"/>
  <c r="Q185" i="25"/>
  <c r="N185" i="25"/>
  <c r="K185" i="25"/>
  <c r="G185" i="25"/>
  <c r="C185" i="25"/>
  <c r="AC184" i="25"/>
  <c r="AA184" i="25"/>
  <c r="AB184" i="25" s="1"/>
  <c r="Y184" i="25"/>
  <c r="W184" i="25"/>
  <c r="T184" i="25"/>
  <c r="Q184" i="25"/>
  <c r="N184" i="25"/>
  <c r="K184" i="25"/>
  <c r="G184" i="25"/>
  <c r="C184" i="25"/>
  <c r="AC183" i="25"/>
  <c r="AA183" i="25"/>
  <c r="Y183" i="25"/>
  <c r="W183" i="25"/>
  <c r="T183" i="25"/>
  <c r="Q183" i="25"/>
  <c r="N183" i="25"/>
  <c r="K183" i="25"/>
  <c r="G183" i="25"/>
  <c r="C183" i="25"/>
  <c r="AC182" i="25"/>
  <c r="AA182" i="25"/>
  <c r="Y182" i="25"/>
  <c r="W182" i="25"/>
  <c r="T182" i="25"/>
  <c r="Q182" i="25"/>
  <c r="N182" i="25"/>
  <c r="K182" i="25"/>
  <c r="G182" i="25"/>
  <c r="C182" i="25"/>
  <c r="AC181" i="25"/>
  <c r="AA181" i="25"/>
  <c r="Y181" i="25"/>
  <c r="W181" i="25"/>
  <c r="T181" i="25"/>
  <c r="Q181" i="25"/>
  <c r="N181" i="25"/>
  <c r="K181" i="25"/>
  <c r="G181" i="25"/>
  <c r="C181" i="25"/>
  <c r="AC180" i="25"/>
  <c r="AA180" i="25"/>
  <c r="AB180" i="25" s="1"/>
  <c r="Y180" i="25"/>
  <c r="W180" i="25"/>
  <c r="T180" i="25"/>
  <c r="Q180" i="25"/>
  <c r="N180" i="25"/>
  <c r="K180" i="25"/>
  <c r="G180" i="25"/>
  <c r="C180" i="25"/>
  <c r="AC179" i="25"/>
  <c r="AA179" i="25"/>
  <c r="Y179" i="25"/>
  <c r="W179" i="25"/>
  <c r="X179" i="25" s="1"/>
  <c r="T179" i="25"/>
  <c r="Q179" i="25"/>
  <c r="N179" i="25"/>
  <c r="K179" i="25"/>
  <c r="G179" i="25"/>
  <c r="C179" i="25"/>
  <c r="AC178" i="25"/>
  <c r="AA178" i="25"/>
  <c r="Y178" i="25"/>
  <c r="W178" i="25"/>
  <c r="T178" i="25"/>
  <c r="Q178" i="25"/>
  <c r="N178" i="25"/>
  <c r="K178" i="25"/>
  <c r="G178" i="25"/>
  <c r="C178" i="25"/>
  <c r="AC177" i="25"/>
  <c r="AA177" i="25"/>
  <c r="Y177" i="25"/>
  <c r="W177" i="25"/>
  <c r="T177" i="25"/>
  <c r="Q177" i="25"/>
  <c r="N177" i="25"/>
  <c r="K177" i="25"/>
  <c r="G177" i="25"/>
  <c r="C177" i="25"/>
  <c r="AC176" i="25"/>
  <c r="AA176" i="25"/>
  <c r="Y176" i="25"/>
  <c r="W176" i="25"/>
  <c r="X176" i="25" s="1"/>
  <c r="T176" i="25"/>
  <c r="Q176" i="25"/>
  <c r="N176" i="25"/>
  <c r="K176" i="25"/>
  <c r="G176" i="25"/>
  <c r="C176" i="25"/>
  <c r="AC175" i="25"/>
  <c r="AA175" i="25"/>
  <c r="AB175" i="25" s="1"/>
  <c r="Y175" i="25"/>
  <c r="W175" i="25"/>
  <c r="T175" i="25"/>
  <c r="Q175" i="25"/>
  <c r="N175" i="25"/>
  <c r="K175" i="25"/>
  <c r="G175" i="25"/>
  <c r="C175" i="25"/>
  <c r="AC174" i="25"/>
  <c r="AA174" i="25"/>
  <c r="Y174" i="25"/>
  <c r="W174" i="25"/>
  <c r="X174" i="25" s="1"/>
  <c r="T174" i="25"/>
  <c r="Q174" i="25"/>
  <c r="N174" i="25"/>
  <c r="K174" i="25"/>
  <c r="G174" i="25"/>
  <c r="C174" i="25"/>
  <c r="AC173" i="25"/>
  <c r="AA173" i="25"/>
  <c r="AB173" i="25" s="1"/>
  <c r="Y173" i="25"/>
  <c r="W173" i="25"/>
  <c r="T173" i="25"/>
  <c r="Q173" i="25"/>
  <c r="N173" i="25"/>
  <c r="K173" i="25"/>
  <c r="G173" i="25"/>
  <c r="C173" i="25"/>
  <c r="AC172" i="25"/>
  <c r="AA172" i="25"/>
  <c r="AB172" i="25" s="1"/>
  <c r="Y172" i="25"/>
  <c r="W172" i="25"/>
  <c r="T172" i="25"/>
  <c r="Q172" i="25"/>
  <c r="N172" i="25"/>
  <c r="K172" i="25"/>
  <c r="G172" i="25"/>
  <c r="C172" i="25"/>
  <c r="AC171" i="25"/>
  <c r="AA171" i="25"/>
  <c r="AB171" i="25" s="1"/>
  <c r="Y171" i="25"/>
  <c r="W171" i="25"/>
  <c r="T171" i="25"/>
  <c r="Q171" i="25"/>
  <c r="N171" i="25"/>
  <c r="K171" i="25"/>
  <c r="G171" i="25"/>
  <c r="C171" i="25"/>
  <c r="AC170" i="25"/>
  <c r="AA170" i="25"/>
  <c r="Y170" i="25"/>
  <c r="W170" i="25"/>
  <c r="T170" i="25"/>
  <c r="Q170" i="25"/>
  <c r="N170" i="25"/>
  <c r="K170" i="25"/>
  <c r="G170" i="25"/>
  <c r="C170" i="25"/>
  <c r="AC169" i="25"/>
  <c r="AA169" i="25"/>
  <c r="Y169" i="25"/>
  <c r="W169" i="25"/>
  <c r="X169" i="25" s="1"/>
  <c r="T169" i="25"/>
  <c r="Q169" i="25"/>
  <c r="N169" i="25"/>
  <c r="K169" i="25"/>
  <c r="G169" i="25"/>
  <c r="C169" i="25"/>
  <c r="AC168" i="25"/>
  <c r="AA168" i="25"/>
  <c r="Y168" i="25"/>
  <c r="W168" i="25"/>
  <c r="T168" i="25"/>
  <c r="Q168" i="25"/>
  <c r="N168" i="25"/>
  <c r="K168" i="25"/>
  <c r="G168" i="25"/>
  <c r="C168" i="25"/>
  <c r="AC167" i="25"/>
  <c r="AA167" i="25"/>
  <c r="AB167" i="25" s="1"/>
  <c r="Y167" i="25"/>
  <c r="W167" i="25"/>
  <c r="X167" i="25" s="1"/>
  <c r="T167" i="25"/>
  <c r="Q167" i="25"/>
  <c r="N167" i="25"/>
  <c r="K167" i="25"/>
  <c r="G167" i="25"/>
  <c r="C167" i="25"/>
  <c r="AC166" i="25"/>
  <c r="AA166" i="25"/>
  <c r="Y166" i="25"/>
  <c r="W166" i="25"/>
  <c r="T166" i="25"/>
  <c r="Q166" i="25"/>
  <c r="N166" i="25"/>
  <c r="K166" i="25"/>
  <c r="G166" i="25"/>
  <c r="C166" i="25"/>
  <c r="AC165" i="25"/>
  <c r="AA165" i="25"/>
  <c r="AB165" i="25" s="1"/>
  <c r="Y165" i="25"/>
  <c r="W165" i="25"/>
  <c r="T165" i="25"/>
  <c r="Q165" i="25"/>
  <c r="N165" i="25"/>
  <c r="K165" i="25"/>
  <c r="G165" i="25"/>
  <c r="C165" i="25"/>
  <c r="AC164" i="25"/>
  <c r="AA164" i="25"/>
  <c r="Y164" i="25"/>
  <c r="W164" i="25"/>
  <c r="T164" i="25"/>
  <c r="Q164" i="25"/>
  <c r="N164" i="25"/>
  <c r="K164" i="25"/>
  <c r="G164" i="25"/>
  <c r="C164" i="25"/>
  <c r="AC163" i="25"/>
  <c r="AA163" i="25"/>
  <c r="Y163" i="25"/>
  <c r="W163" i="25"/>
  <c r="T163" i="25"/>
  <c r="Q163" i="25"/>
  <c r="N163" i="25"/>
  <c r="K163" i="25"/>
  <c r="G163" i="25"/>
  <c r="C163" i="25"/>
  <c r="AC162" i="25"/>
  <c r="AA162" i="25"/>
  <c r="Y162" i="25"/>
  <c r="W162" i="25"/>
  <c r="T162" i="25"/>
  <c r="Q162" i="25"/>
  <c r="N162" i="25"/>
  <c r="K162" i="25"/>
  <c r="G162" i="25"/>
  <c r="C162" i="25"/>
  <c r="AC161" i="25"/>
  <c r="AA161" i="25"/>
  <c r="Y161" i="25"/>
  <c r="W161" i="25"/>
  <c r="X161" i="25" s="1"/>
  <c r="T161" i="25"/>
  <c r="Q161" i="25"/>
  <c r="N161" i="25"/>
  <c r="K161" i="25"/>
  <c r="G161" i="25"/>
  <c r="C161" i="25"/>
  <c r="AC160" i="25"/>
  <c r="AA160" i="25"/>
  <c r="Y160" i="25"/>
  <c r="W160" i="25"/>
  <c r="X160" i="25" s="1"/>
  <c r="T160" i="25"/>
  <c r="Q160" i="25"/>
  <c r="N160" i="25"/>
  <c r="K160" i="25"/>
  <c r="G160" i="25"/>
  <c r="C160" i="25"/>
  <c r="AC159" i="25"/>
  <c r="AA159" i="25"/>
  <c r="AB159" i="25" s="1"/>
  <c r="Y159" i="25"/>
  <c r="W159" i="25"/>
  <c r="T159" i="25"/>
  <c r="Q159" i="25"/>
  <c r="N159" i="25"/>
  <c r="K159" i="25"/>
  <c r="G159" i="25"/>
  <c r="C159" i="25"/>
  <c r="AC158" i="25"/>
  <c r="AA158" i="25"/>
  <c r="Y158" i="25"/>
  <c r="W158" i="25"/>
  <c r="X158" i="25" s="1"/>
  <c r="T158" i="25"/>
  <c r="Q158" i="25"/>
  <c r="N158" i="25"/>
  <c r="K158" i="25"/>
  <c r="G158" i="25"/>
  <c r="C158" i="25"/>
  <c r="AC157" i="25"/>
  <c r="AA157" i="25"/>
  <c r="Y157" i="25"/>
  <c r="W157" i="25"/>
  <c r="X157" i="25" s="1"/>
  <c r="T157" i="25"/>
  <c r="Q157" i="25"/>
  <c r="N157" i="25"/>
  <c r="K157" i="25"/>
  <c r="G157" i="25"/>
  <c r="C157" i="25"/>
  <c r="AC156" i="25"/>
  <c r="AA156" i="25"/>
  <c r="AB156" i="25" s="1"/>
  <c r="Y156" i="25"/>
  <c r="W156" i="25"/>
  <c r="T156" i="25"/>
  <c r="Q156" i="25"/>
  <c r="N156" i="25"/>
  <c r="K156" i="25"/>
  <c r="G156" i="25"/>
  <c r="C156" i="25"/>
  <c r="AC155" i="25"/>
  <c r="AA155" i="25"/>
  <c r="Y155" i="25"/>
  <c r="W155" i="25"/>
  <c r="X155" i="25" s="1"/>
  <c r="T155" i="25"/>
  <c r="Q155" i="25"/>
  <c r="N155" i="25"/>
  <c r="K155" i="25"/>
  <c r="G155" i="25"/>
  <c r="C155" i="25"/>
  <c r="AC154" i="25"/>
  <c r="AA154" i="25"/>
  <c r="Y154" i="25"/>
  <c r="W154" i="25"/>
  <c r="T154" i="25"/>
  <c r="Q154" i="25"/>
  <c r="N154" i="25"/>
  <c r="K154" i="25"/>
  <c r="G154" i="25"/>
  <c r="C154" i="25"/>
  <c r="AC153" i="25"/>
  <c r="AA153" i="25"/>
  <c r="Y153" i="25"/>
  <c r="W153" i="25"/>
  <c r="X153" i="25" s="1"/>
  <c r="T153" i="25"/>
  <c r="Q153" i="25"/>
  <c r="N153" i="25"/>
  <c r="K153" i="25"/>
  <c r="G153" i="25"/>
  <c r="C153" i="25"/>
  <c r="AC152" i="25"/>
  <c r="AA152" i="25"/>
  <c r="Y152" i="25"/>
  <c r="W152" i="25"/>
  <c r="X152" i="25" s="1"/>
  <c r="T152" i="25"/>
  <c r="Q152" i="25"/>
  <c r="N152" i="25"/>
  <c r="K152" i="25"/>
  <c r="G152" i="25"/>
  <c r="C152" i="25"/>
  <c r="AC151" i="25"/>
  <c r="AA151" i="25"/>
  <c r="Y151" i="25"/>
  <c r="W151" i="25"/>
  <c r="T151" i="25"/>
  <c r="Q151" i="25"/>
  <c r="N151" i="25"/>
  <c r="K151" i="25"/>
  <c r="G151" i="25"/>
  <c r="C151" i="25"/>
  <c r="AC150" i="25"/>
  <c r="AA150" i="25"/>
  <c r="Y150" i="25"/>
  <c r="W150" i="25"/>
  <c r="X150" i="25" s="1"/>
  <c r="T150" i="25"/>
  <c r="Q150" i="25"/>
  <c r="N150" i="25"/>
  <c r="K150" i="25"/>
  <c r="G150" i="25"/>
  <c r="C150" i="25"/>
  <c r="AC149" i="25"/>
  <c r="AA149" i="25"/>
  <c r="AB149" i="25" s="1"/>
  <c r="Y149" i="25"/>
  <c r="W149" i="25"/>
  <c r="T149" i="25"/>
  <c r="Q149" i="25"/>
  <c r="N149" i="25"/>
  <c r="K149" i="25"/>
  <c r="G149" i="25"/>
  <c r="C149" i="25"/>
  <c r="AC148" i="25"/>
  <c r="AA148" i="25"/>
  <c r="AB148" i="25" s="1"/>
  <c r="Y148" i="25"/>
  <c r="W148" i="25"/>
  <c r="X148" i="25" s="1"/>
  <c r="T148" i="25"/>
  <c r="Q148" i="25"/>
  <c r="N148" i="25"/>
  <c r="K148" i="25"/>
  <c r="G148" i="25"/>
  <c r="C148" i="25"/>
  <c r="AC147" i="25"/>
  <c r="AA147" i="25"/>
  <c r="Y147" i="25"/>
  <c r="W147" i="25"/>
  <c r="T147" i="25"/>
  <c r="Q147" i="25"/>
  <c r="N147" i="25"/>
  <c r="K147" i="25"/>
  <c r="G147" i="25"/>
  <c r="C147" i="25"/>
  <c r="AC146" i="25"/>
  <c r="AA146" i="25"/>
  <c r="Y146" i="25"/>
  <c r="W146" i="25"/>
  <c r="T146" i="25"/>
  <c r="Q146" i="25"/>
  <c r="N146" i="25"/>
  <c r="K146" i="25"/>
  <c r="G146" i="25"/>
  <c r="C146" i="25"/>
  <c r="AC145" i="25"/>
  <c r="AA145" i="25"/>
  <c r="Y145" i="25"/>
  <c r="W145" i="25"/>
  <c r="T145" i="25"/>
  <c r="Q145" i="25"/>
  <c r="N145" i="25"/>
  <c r="K145" i="25"/>
  <c r="G145" i="25"/>
  <c r="C145" i="25"/>
  <c r="AC144" i="25"/>
  <c r="AA144" i="25"/>
  <c r="Y144" i="25"/>
  <c r="W144" i="25"/>
  <c r="X144" i="25" s="1"/>
  <c r="T144" i="25"/>
  <c r="Q144" i="25"/>
  <c r="N144" i="25"/>
  <c r="K144" i="25"/>
  <c r="G144" i="25"/>
  <c r="C144" i="25"/>
  <c r="AC143" i="25"/>
  <c r="AA143" i="25"/>
  <c r="Y143" i="25"/>
  <c r="W143" i="25"/>
  <c r="T143" i="25"/>
  <c r="Q143" i="25"/>
  <c r="N143" i="25"/>
  <c r="K143" i="25"/>
  <c r="G143" i="25"/>
  <c r="C143" i="25"/>
  <c r="AC142" i="25"/>
  <c r="AA142" i="25"/>
  <c r="Y142" i="25"/>
  <c r="W142" i="25"/>
  <c r="T142" i="25"/>
  <c r="Q142" i="25"/>
  <c r="N142" i="25"/>
  <c r="K142" i="25"/>
  <c r="G142" i="25"/>
  <c r="C142" i="25"/>
  <c r="AC141" i="25"/>
  <c r="AA141" i="25"/>
  <c r="Y141" i="25"/>
  <c r="W141" i="25"/>
  <c r="T141" i="25"/>
  <c r="Q141" i="25"/>
  <c r="N141" i="25"/>
  <c r="K141" i="25"/>
  <c r="G141" i="25"/>
  <c r="C141" i="25"/>
  <c r="AC140" i="25"/>
  <c r="AA140" i="25"/>
  <c r="Y140" i="25"/>
  <c r="W140" i="25"/>
  <c r="T140" i="25"/>
  <c r="Q140" i="25"/>
  <c r="N140" i="25"/>
  <c r="K140" i="25"/>
  <c r="G140" i="25"/>
  <c r="C140" i="25"/>
  <c r="AC139" i="25"/>
  <c r="AA139" i="25"/>
  <c r="Y139" i="25"/>
  <c r="W139" i="25"/>
  <c r="T139" i="25"/>
  <c r="Q139" i="25"/>
  <c r="N139" i="25"/>
  <c r="K139" i="25"/>
  <c r="G139" i="25"/>
  <c r="C139" i="25"/>
  <c r="AC138" i="25"/>
  <c r="AA138" i="25"/>
  <c r="Y138" i="25"/>
  <c r="W138" i="25"/>
  <c r="T138" i="25"/>
  <c r="Q138" i="25"/>
  <c r="N138" i="25"/>
  <c r="K138" i="25"/>
  <c r="G138" i="25"/>
  <c r="C138" i="25"/>
  <c r="AC137" i="25"/>
  <c r="AA137" i="25"/>
  <c r="Y137" i="25"/>
  <c r="W137" i="25"/>
  <c r="T137" i="25"/>
  <c r="Q137" i="25"/>
  <c r="N137" i="25"/>
  <c r="K137" i="25"/>
  <c r="G137" i="25"/>
  <c r="C137" i="25"/>
  <c r="AC136" i="25"/>
  <c r="AA136" i="25"/>
  <c r="Y136" i="25"/>
  <c r="W136" i="25"/>
  <c r="T136" i="25"/>
  <c r="Q136" i="25"/>
  <c r="N136" i="25"/>
  <c r="K136" i="25"/>
  <c r="G136" i="25"/>
  <c r="C136" i="25"/>
  <c r="AC135" i="25"/>
  <c r="AA135" i="25"/>
  <c r="Y135" i="25"/>
  <c r="W135" i="25"/>
  <c r="T135" i="25"/>
  <c r="Q135" i="25"/>
  <c r="N135" i="25"/>
  <c r="K135" i="25"/>
  <c r="G135" i="25"/>
  <c r="C135" i="25"/>
  <c r="AC134" i="25"/>
  <c r="AA134" i="25"/>
  <c r="Y134" i="25"/>
  <c r="W134" i="25"/>
  <c r="T134" i="25"/>
  <c r="Q134" i="25"/>
  <c r="N134" i="25"/>
  <c r="K134" i="25"/>
  <c r="G134" i="25"/>
  <c r="C134" i="25"/>
  <c r="AC133" i="25"/>
  <c r="AA133" i="25"/>
  <c r="Y133" i="25"/>
  <c r="W133" i="25"/>
  <c r="X133" i="25" s="1"/>
  <c r="T133" i="25"/>
  <c r="Q133" i="25"/>
  <c r="N133" i="25"/>
  <c r="K133" i="25"/>
  <c r="G133" i="25"/>
  <c r="C133" i="25"/>
  <c r="AC132" i="25"/>
  <c r="AA132" i="25"/>
  <c r="AB132" i="25" s="1"/>
  <c r="Y132" i="25"/>
  <c r="W132" i="25"/>
  <c r="T132" i="25"/>
  <c r="Q132" i="25"/>
  <c r="N132" i="25"/>
  <c r="K132" i="25"/>
  <c r="G132" i="25"/>
  <c r="C132" i="25"/>
  <c r="AC131" i="25"/>
  <c r="AA131" i="25"/>
  <c r="Y131" i="25"/>
  <c r="W131" i="25"/>
  <c r="T131" i="25"/>
  <c r="Q131" i="25"/>
  <c r="N131" i="25"/>
  <c r="K131" i="25"/>
  <c r="G131" i="25"/>
  <c r="C131" i="25"/>
  <c r="AC130" i="25"/>
  <c r="AA130" i="25"/>
  <c r="AB130" i="25" s="1"/>
  <c r="Y130" i="25"/>
  <c r="W130" i="25"/>
  <c r="T130" i="25"/>
  <c r="Q130" i="25"/>
  <c r="N130" i="25"/>
  <c r="K130" i="25"/>
  <c r="G130" i="25"/>
  <c r="C130" i="25"/>
  <c r="AC129" i="25"/>
  <c r="AA129" i="25"/>
  <c r="Y129" i="25"/>
  <c r="W129" i="25"/>
  <c r="X129" i="25" s="1"/>
  <c r="T129" i="25"/>
  <c r="Q129" i="25"/>
  <c r="N129" i="25"/>
  <c r="K129" i="25"/>
  <c r="G129" i="25"/>
  <c r="C129" i="25"/>
  <c r="AC128" i="25"/>
  <c r="AA128" i="25"/>
  <c r="Y128" i="25"/>
  <c r="W128" i="25"/>
  <c r="T128" i="25"/>
  <c r="Q128" i="25"/>
  <c r="N128" i="25"/>
  <c r="K128" i="25"/>
  <c r="G128" i="25"/>
  <c r="C128" i="25"/>
  <c r="AC127" i="25"/>
  <c r="AA127" i="25"/>
  <c r="Y127" i="25"/>
  <c r="W127" i="25"/>
  <c r="X127" i="25" s="1"/>
  <c r="T127" i="25"/>
  <c r="Q127" i="25"/>
  <c r="N127" i="25"/>
  <c r="K127" i="25"/>
  <c r="G127" i="25"/>
  <c r="C127" i="25"/>
  <c r="AC126" i="25"/>
  <c r="AA126" i="25"/>
  <c r="Y126" i="25"/>
  <c r="W126" i="25"/>
  <c r="T126" i="25"/>
  <c r="Q126" i="25"/>
  <c r="N126" i="25"/>
  <c r="K126" i="25"/>
  <c r="G126" i="25"/>
  <c r="C126" i="25"/>
  <c r="AC125" i="25"/>
  <c r="AA125" i="25"/>
  <c r="Y125" i="25"/>
  <c r="W125" i="25"/>
  <c r="T125" i="25"/>
  <c r="Q125" i="25"/>
  <c r="N125" i="25"/>
  <c r="K125" i="25"/>
  <c r="G125" i="25"/>
  <c r="C125" i="25"/>
  <c r="AC124" i="25"/>
  <c r="AA124" i="25"/>
  <c r="Y124" i="25"/>
  <c r="W124" i="25"/>
  <c r="T124" i="25"/>
  <c r="Q124" i="25"/>
  <c r="N124" i="25"/>
  <c r="K124" i="25"/>
  <c r="G124" i="25"/>
  <c r="C124" i="25"/>
  <c r="AC123" i="25"/>
  <c r="AA123" i="25"/>
  <c r="Y123" i="25"/>
  <c r="W123" i="25"/>
  <c r="T123" i="25"/>
  <c r="Q123" i="25"/>
  <c r="N123" i="25"/>
  <c r="K123" i="25"/>
  <c r="G123" i="25"/>
  <c r="C123" i="25"/>
  <c r="AC122" i="25"/>
  <c r="AA122" i="25"/>
  <c r="AB122" i="25" s="1"/>
  <c r="Y122" i="25"/>
  <c r="W122" i="25"/>
  <c r="T122" i="25"/>
  <c r="Q122" i="25"/>
  <c r="N122" i="25"/>
  <c r="K122" i="25"/>
  <c r="G122" i="25"/>
  <c r="C122" i="25"/>
  <c r="AC121" i="25"/>
  <c r="AA121" i="25"/>
  <c r="Y121" i="25"/>
  <c r="W121" i="25"/>
  <c r="X121" i="25" s="1"/>
  <c r="T121" i="25"/>
  <c r="Q121" i="25"/>
  <c r="N121" i="25"/>
  <c r="K121" i="25"/>
  <c r="G121" i="25"/>
  <c r="C121" i="25"/>
  <c r="AC120" i="25"/>
  <c r="AA120" i="25"/>
  <c r="Y120" i="25"/>
  <c r="W120" i="25"/>
  <c r="T120" i="25"/>
  <c r="Q120" i="25"/>
  <c r="N120" i="25"/>
  <c r="K120" i="25"/>
  <c r="G120" i="25"/>
  <c r="C120" i="25"/>
  <c r="AC119" i="25"/>
  <c r="AA119" i="25"/>
  <c r="Y119" i="25"/>
  <c r="W119" i="25"/>
  <c r="T119" i="25"/>
  <c r="Q119" i="25"/>
  <c r="N119" i="25"/>
  <c r="K119" i="25"/>
  <c r="G119" i="25"/>
  <c r="C119" i="25"/>
  <c r="AC118" i="25"/>
  <c r="AA118" i="25"/>
  <c r="Y118" i="25"/>
  <c r="W118" i="25"/>
  <c r="X118" i="25" s="1"/>
  <c r="T118" i="25"/>
  <c r="Q118" i="25"/>
  <c r="N118" i="25"/>
  <c r="K118" i="25"/>
  <c r="G118" i="25"/>
  <c r="C118" i="25"/>
  <c r="AC117" i="25"/>
  <c r="AA117" i="25"/>
  <c r="Y117" i="25"/>
  <c r="W117" i="25"/>
  <c r="X117" i="25" s="1"/>
  <c r="T117" i="25"/>
  <c r="Q117" i="25"/>
  <c r="N117" i="25"/>
  <c r="K117" i="25"/>
  <c r="G117" i="25"/>
  <c r="C117" i="25"/>
  <c r="AC116" i="25"/>
  <c r="AA116" i="25"/>
  <c r="Y116" i="25"/>
  <c r="W116" i="25"/>
  <c r="X116" i="25" s="1"/>
  <c r="T116" i="25"/>
  <c r="Q116" i="25"/>
  <c r="N116" i="25"/>
  <c r="K116" i="25"/>
  <c r="G116" i="25"/>
  <c r="C116" i="25"/>
  <c r="AC115" i="25"/>
  <c r="AA115" i="25"/>
  <c r="AB115" i="25" s="1"/>
  <c r="Y115" i="25"/>
  <c r="W115" i="25"/>
  <c r="T115" i="25"/>
  <c r="Q115" i="25"/>
  <c r="N115" i="25"/>
  <c r="K115" i="25"/>
  <c r="G115" i="25"/>
  <c r="C115" i="25"/>
  <c r="AC114" i="25"/>
  <c r="AA114" i="25"/>
  <c r="AB114" i="25" s="1"/>
  <c r="Y114" i="25"/>
  <c r="W114" i="25"/>
  <c r="T114" i="25"/>
  <c r="Q114" i="25"/>
  <c r="N114" i="25"/>
  <c r="K114" i="25"/>
  <c r="G114" i="25"/>
  <c r="C114" i="25"/>
  <c r="AC113" i="25"/>
  <c r="AA113" i="25"/>
  <c r="Y113" i="25"/>
  <c r="W113" i="25"/>
  <c r="T113" i="25"/>
  <c r="Q113" i="25"/>
  <c r="N113" i="25"/>
  <c r="K113" i="25"/>
  <c r="G113" i="25"/>
  <c r="C113" i="25"/>
  <c r="AC112" i="25"/>
  <c r="AA112" i="25"/>
  <c r="Y112" i="25"/>
  <c r="W112" i="25"/>
  <c r="T112" i="25"/>
  <c r="Q112" i="25"/>
  <c r="N112" i="25"/>
  <c r="K112" i="25"/>
  <c r="G112" i="25"/>
  <c r="C112" i="25"/>
  <c r="AC111" i="25"/>
  <c r="AA111" i="25"/>
  <c r="Y111" i="25"/>
  <c r="W111" i="25"/>
  <c r="T111" i="25"/>
  <c r="Q111" i="25"/>
  <c r="N111" i="25"/>
  <c r="K111" i="25"/>
  <c r="G111" i="25"/>
  <c r="C111" i="25"/>
  <c r="AC110" i="25"/>
  <c r="AA110" i="25"/>
  <c r="Y110" i="25"/>
  <c r="W110" i="25"/>
  <c r="T110" i="25"/>
  <c r="Q110" i="25"/>
  <c r="N110" i="25"/>
  <c r="K110" i="25"/>
  <c r="G110" i="25"/>
  <c r="C110" i="25"/>
  <c r="AC109" i="25"/>
  <c r="AA109" i="25"/>
  <c r="Y109" i="25"/>
  <c r="W109" i="25"/>
  <c r="T109" i="25"/>
  <c r="Q109" i="25"/>
  <c r="N109" i="25"/>
  <c r="K109" i="25"/>
  <c r="G109" i="25"/>
  <c r="C109" i="25"/>
  <c r="AC108" i="25"/>
  <c r="AA108" i="25"/>
  <c r="Y108" i="25"/>
  <c r="W108" i="25"/>
  <c r="T108" i="25"/>
  <c r="Q108" i="25"/>
  <c r="N108" i="25"/>
  <c r="K108" i="25"/>
  <c r="G108" i="25"/>
  <c r="C108" i="25"/>
  <c r="AC107" i="25"/>
  <c r="AA107" i="25"/>
  <c r="Y107" i="25"/>
  <c r="W107" i="25"/>
  <c r="T107" i="25"/>
  <c r="Q107" i="25"/>
  <c r="N107" i="25"/>
  <c r="K107" i="25"/>
  <c r="G107" i="25"/>
  <c r="C107" i="25"/>
  <c r="AC106" i="25"/>
  <c r="AA106" i="25"/>
  <c r="Y106" i="25"/>
  <c r="W106" i="25"/>
  <c r="T106" i="25"/>
  <c r="Q106" i="25"/>
  <c r="N106" i="25"/>
  <c r="K106" i="25"/>
  <c r="G106" i="25"/>
  <c r="C106" i="25"/>
  <c r="AC105" i="25"/>
  <c r="AA105" i="25"/>
  <c r="Y105" i="25"/>
  <c r="W105" i="25"/>
  <c r="T105" i="25"/>
  <c r="Q105" i="25"/>
  <c r="N105" i="25"/>
  <c r="K105" i="25"/>
  <c r="G105" i="25"/>
  <c r="C105" i="25"/>
  <c r="AC104" i="25"/>
  <c r="AA104" i="25"/>
  <c r="Y104" i="25"/>
  <c r="W104" i="25"/>
  <c r="T104" i="25"/>
  <c r="Q104" i="25"/>
  <c r="N104" i="25"/>
  <c r="K104" i="25"/>
  <c r="G104" i="25"/>
  <c r="C104" i="25"/>
  <c r="AC103" i="25"/>
  <c r="AA103" i="25"/>
  <c r="AB103" i="25" s="1"/>
  <c r="Y103" i="25"/>
  <c r="W103" i="25"/>
  <c r="T103" i="25"/>
  <c r="Q103" i="25"/>
  <c r="N103" i="25"/>
  <c r="K103" i="25"/>
  <c r="G103" i="25"/>
  <c r="C103" i="25"/>
  <c r="AC102" i="25"/>
  <c r="AA102" i="25"/>
  <c r="Y102" i="25"/>
  <c r="W102" i="25"/>
  <c r="T102" i="25"/>
  <c r="Q102" i="25"/>
  <c r="N102" i="25"/>
  <c r="K102" i="25"/>
  <c r="G102" i="25"/>
  <c r="C102" i="25"/>
  <c r="AC101" i="25"/>
  <c r="AA101" i="25"/>
  <c r="Y101" i="25"/>
  <c r="W101" i="25"/>
  <c r="T101" i="25"/>
  <c r="Q101" i="25"/>
  <c r="N101" i="25"/>
  <c r="K101" i="25"/>
  <c r="G101" i="25"/>
  <c r="C101" i="25"/>
  <c r="AC100" i="25"/>
  <c r="AA100" i="25"/>
  <c r="Y100" i="25"/>
  <c r="W100" i="25"/>
  <c r="X100" i="25" s="1"/>
  <c r="T100" i="25"/>
  <c r="Q100" i="25"/>
  <c r="N100" i="25"/>
  <c r="K100" i="25"/>
  <c r="G100" i="25"/>
  <c r="C100" i="25"/>
  <c r="AC99" i="25"/>
  <c r="AA99" i="25"/>
  <c r="Y99" i="25"/>
  <c r="W99" i="25"/>
  <c r="X99" i="25" s="1"/>
  <c r="T99" i="25"/>
  <c r="Q99" i="25"/>
  <c r="N99" i="25"/>
  <c r="K99" i="25"/>
  <c r="G99" i="25"/>
  <c r="C99" i="25"/>
  <c r="D99" i="25" s="1"/>
  <c r="AC98" i="25"/>
  <c r="AA98" i="25"/>
  <c r="Y98" i="25"/>
  <c r="W98" i="25"/>
  <c r="T98" i="25"/>
  <c r="Q98" i="25"/>
  <c r="N98" i="25"/>
  <c r="K98" i="25"/>
  <c r="G98" i="25"/>
  <c r="C98" i="25"/>
  <c r="AC97" i="25"/>
  <c r="AA97" i="25"/>
  <c r="Y97" i="25"/>
  <c r="W97" i="25"/>
  <c r="T97" i="25"/>
  <c r="Q97" i="25"/>
  <c r="N97" i="25"/>
  <c r="K97" i="25"/>
  <c r="G97" i="25"/>
  <c r="C97" i="25"/>
  <c r="AC96" i="25"/>
  <c r="AA96" i="25"/>
  <c r="Y96" i="25"/>
  <c r="W96" i="25"/>
  <c r="T96" i="25"/>
  <c r="Q96" i="25"/>
  <c r="N96" i="25"/>
  <c r="K96" i="25"/>
  <c r="G96" i="25"/>
  <c r="C96" i="25"/>
  <c r="AC95" i="25"/>
  <c r="AA95" i="25"/>
  <c r="Y95" i="25"/>
  <c r="W95" i="25"/>
  <c r="T95" i="25"/>
  <c r="Q95" i="25"/>
  <c r="N95" i="25"/>
  <c r="K95" i="25"/>
  <c r="G95" i="25"/>
  <c r="C95" i="25"/>
  <c r="AC94" i="25"/>
  <c r="AA94" i="25"/>
  <c r="Y94" i="25"/>
  <c r="W94" i="25"/>
  <c r="T94" i="25"/>
  <c r="Q94" i="25"/>
  <c r="N94" i="25"/>
  <c r="K94" i="25"/>
  <c r="G94" i="25"/>
  <c r="C94" i="25"/>
  <c r="AC93" i="25"/>
  <c r="AA93" i="25"/>
  <c r="AB93" i="25" s="1"/>
  <c r="Y93" i="25"/>
  <c r="W93" i="25"/>
  <c r="T93" i="25"/>
  <c r="Q93" i="25"/>
  <c r="N93" i="25"/>
  <c r="K93" i="25"/>
  <c r="G93" i="25"/>
  <c r="C93" i="25"/>
  <c r="AC92" i="25"/>
  <c r="AA92" i="25"/>
  <c r="Y92" i="25"/>
  <c r="W92" i="25"/>
  <c r="X92" i="25" s="1"/>
  <c r="T92" i="25"/>
  <c r="Q92" i="25"/>
  <c r="N92" i="25"/>
  <c r="K92" i="25"/>
  <c r="G92" i="25"/>
  <c r="C92" i="25"/>
  <c r="AC91" i="25"/>
  <c r="AA91" i="25"/>
  <c r="Y91" i="25"/>
  <c r="W91" i="25"/>
  <c r="T91" i="25"/>
  <c r="Q91" i="25"/>
  <c r="N91" i="25"/>
  <c r="K91" i="25"/>
  <c r="G91" i="25"/>
  <c r="C91" i="25"/>
  <c r="AC90" i="25"/>
  <c r="AA90" i="25"/>
  <c r="Y90" i="25"/>
  <c r="W90" i="25"/>
  <c r="T90" i="25"/>
  <c r="Q90" i="25"/>
  <c r="N90" i="25"/>
  <c r="K90" i="25"/>
  <c r="G90" i="25"/>
  <c r="C90" i="25"/>
  <c r="AC89" i="25"/>
  <c r="AA89" i="25"/>
  <c r="Y89" i="25"/>
  <c r="W89" i="25"/>
  <c r="T89" i="25"/>
  <c r="Q89" i="25"/>
  <c r="N89" i="25"/>
  <c r="K89" i="25"/>
  <c r="G89" i="25"/>
  <c r="C89" i="25"/>
  <c r="AC88" i="25"/>
  <c r="AA88" i="25"/>
  <c r="Y88" i="25"/>
  <c r="W88" i="25"/>
  <c r="T88" i="25"/>
  <c r="Q88" i="25"/>
  <c r="N88" i="25"/>
  <c r="K88" i="25"/>
  <c r="G88" i="25"/>
  <c r="C88" i="25"/>
  <c r="AC87" i="25"/>
  <c r="AA87" i="25"/>
  <c r="Y87" i="25"/>
  <c r="W87" i="25"/>
  <c r="T87" i="25"/>
  <c r="Q87" i="25"/>
  <c r="N87" i="25"/>
  <c r="K87" i="25"/>
  <c r="G87" i="25"/>
  <c r="C87" i="25"/>
  <c r="AC86" i="25"/>
  <c r="AA86" i="25"/>
  <c r="Y86" i="25"/>
  <c r="W86" i="25"/>
  <c r="T86" i="25"/>
  <c r="Q86" i="25"/>
  <c r="N86" i="25"/>
  <c r="K86" i="25"/>
  <c r="G86" i="25"/>
  <c r="C86" i="25"/>
  <c r="AC85" i="25"/>
  <c r="AA85" i="25"/>
  <c r="Y85" i="25"/>
  <c r="W85" i="25"/>
  <c r="T85" i="25"/>
  <c r="Q85" i="25"/>
  <c r="N85" i="25"/>
  <c r="K85" i="25"/>
  <c r="G85" i="25"/>
  <c r="C85" i="25"/>
  <c r="AC84" i="25"/>
  <c r="AA84" i="25"/>
  <c r="AB84" i="25" s="1"/>
  <c r="Y84" i="25"/>
  <c r="W84" i="25"/>
  <c r="T84" i="25"/>
  <c r="Q84" i="25"/>
  <c r="N84" i="25"/>
  <c r="K84" i="25"/>
  <c r="G84" i="25"/>
  <c r="C84" i="25"/>
  <c r="AC83" i="25"/>
  <c r="AA83" i="25"/>
  <c r="Y83" i="25"/>
  <c r="W83" i="25"/>
  <c r="T83" i="25"/>
  <c r="Q83" i="25"/>
  <c r="N83" i="25"/>
  <c r="K83" i="25"/>
  <c r="G83" i="25"/>
  <c r="C83" i="25"/>
  <c r="AC82" i="25"/>
  <c r="AA82" i="25"/>
  <c r="Y82" i="25"/>
  <c r="W82" i="25"/>
  <c r="X82" i="25" s="1"/>
  <c r="T82" i="25"/>
  <c r="Q82" i="25"/>
  <c r="N82" i="25"/>
  <c r="K82" i="25"/>
  <c r="G82" i="25"/>
  <c r="C82" i="25"/>
  <c r="AC81" i="25"/>
  <c r="AA81" i="25"/>
  <c r="Y81" i="25"/>
  <c r="W81" i="25"/>
  <c r="T81" i="25"/>
  <c r="Q81" i="25"/>
  <c r="N81" i="25"/>
  <c r="K81" i="25"/>
  <c r="G81" i="25"/>
  <c r="C81" i="25"/>
  <c r="AC80" i="25"/>
  <c r="AA80" i="25"/>
  <c r="Y80" i="25"/>
  <c r="W80" i="25"/>
  <c r="T80" i="25"/>
  <c r="Q80" i="25"/>
  <c r="N80" i="25"/>
  <c r="K80" i="25"/>
  <c r="G80" i="25"/>
  <c r="C80" i="25"/>
  <c r="AC79" i="25"/>
  <c r="AA79" i="25"/>
  <c r="Y79" i="25"/>
  <c r="W79" i="25"/>
  <c r="X79" i="25" s="1"/>
  <c r="T79" i="25"/>
  <c r="Q79" i="25"/>
  <c r="N79" i="25"/>
  <c r="K79" i="25"/>
  <c r="G79" i="25"/>
  <c r="C79" i="25"/>
  <c r="AC78" i="25"/>
  <c r="AA78" i="25"/>
  <c r="AB78" i="25" s="1"/>
  <c r="Y78" i="25"/>
  <c r="W78" i="25"/>
  <c r="T78" i="25"/>
  <c r="Q78" i="25"/>
  <c r="N78" i="25"/>
  <c r="K78" i="25"/>
  <c r="G78" i="25"/>
  <c r="C78" i="25"/>
  <c r="AC77" i="25"/>
  <c r="AA77" i="25"/>
  <c r="Y77" i="25"/>
  <c r="W77" i="25"/>
  <c r="T77" i="25"/>
  <c r="Q77" i="25"/>
  <c r="N77" i="25"/>
  <c r="K77" i="25"/>
  <c r="G77" i="25"/>
  <c r="C77" i="25"/>
  <c r="AC76" i="25"/>
  <c r="AA76" i="25"/>
  <c r="Y76" i="25"/>
  <c r="W76" i="25"/>
  <c r="T76" i="25"/>
  <c r="Q76" i="25"/>
  <c r="N76" i="25"/>
  <c r="K76" i="25"/>
  <c r="G76" i="25"/>
  <c r="C76" i="25"/>
  <c r="AC75" i="25"/>
  <c r="AA75" i="25"/>
  <c r="AB75" i="25" s="1"/>
  <c r="Y75" i="25"/>
  <c r="W75" i="25"/>
  <c r="T75" i="25"/>
  <c r="Q75" i="25"/>
  <c r="N75" i="25"/>
  <c r="K75" i="25"/>
  <c r="G75" i="25"/>
  <c r="C75" i="25"/>
  <c r="D75" i="25" s="1"/>
  <c r="AC74" i="25"/>
  <c r="AA74" i="25"/>
  <c r="Y74" i="25"/>
  <c r="W74" i="25"/>
  <c r="T74" i="25"/>
  <c r="Q74" i="25"/>
  <c r="N74" i="25"/>
  <c r="K74" i="25"/>
  <c r="G74" i="25"/>
  <c r="C74" i="25"/>
  <c r="AC73" i="25"/>
  <c r="AA73" i="25"/>
  <c r="AB73" i="25" s="1"/>
  <c r="Y73" i="25"/>
  <c r="W73" i="25"/>
  <c r="T73" i="25"/>
  <c r="Q73" i="25"/>
  <c r="N73" i="25"/>
  <c r="K73" i="25"/>
  <c r="G73" i="25"/>
  <c r="C73" i="25"/>
  <c r="AC72" i="25"/>
  <c r="AA72" i="25"/>
  <c r="AB72" i="25" s="1"/>
  <c r="Y72" i="25"/>
  <c r="W72" i="25"/>
  <c r="T72" i="25"/>
  <c r="Q72" i="25"/>
  <c r="N72" i="25"/>
  <c r="K72" i="25"/>
  <c r="G72" i="25"/>
  <c r="C72" i="25"/>
  <c r="AC71" i="25"/>
  <c r="AA71" i="25"/>
  <c r="Y71" i="25"/>
  <c r="W71" i="25"/>
  <c r="T71" i="25"/>
  <c r="Q71" i="25"/>
  <c r="N71" i="25"/>
  <c r="K71" i="25"/>
  <c r="G71" i="25"/>
  <c r="C71" i="25"/>
  <c r="D71" i="25" s="1"/>
  <c r="AC70" i="25"/>
  <c r="AA70" i="25"/>
  <c r="Y70" i="25"/>
  <c r="W70" i="25"/>
  <c r="T70" i="25"/>
  <c r="Q70" i="25"/>
  <c r="N70" i="25"/>
  <c r="K70" i="25"/>
  <c r="G70" i="25"/>
  <c r="C70" i="25"/>
  <c r="AC69" i="25"/>
  <c r="AA69" i="25"/>
  <c r="Y69" i="25"/>
  <c r="W69" i="25"/>
  <c r="T69" i="25"/>
  <c r="Q69" i="25"/>
  <c r="N69" i="25"/>
  <c r="K69" i="25"/>
  <c r="G69" i="25"/>
  <c r="C69" i="25"/>
  <c r="AC68" i="25"/>
  <c r="AA68" i="25"/>
  <c r="Y68" i="25"/>
  <c r="W68" i="25"/>
  <c r="T68" i="25"/>
  <c r="Q68" i="25"/>
  <c r="N68" i="25"/>
  <c r="K68" i="25"/>
  <c r="G68" i="25"/>
  <c r="C68" i="25"/>
  <c r="AC67" i="25"/>
  <c r="AA67" i="25"/>
  <c r="Y67" i="25"/>
  <c r="W67" i="25"/>
  <c r="T67" i="25"/>
  <c r="Q67" i="25"/>
  <c r="N67" i="25"/>
  <c r="K67" i="25"/>
  <c r="G67" i="25"/>
  <c r="C67" i="25"/>
  <c r="AC66" i="25"/>
  <c r="AA66" i="25"/>
  <c r="Y66" i="25"/>
  <c r="W66" i="25"/>
  <c r="T66" i="25"/>
  <c r="Q66" i="25"/>
  <c r="N66" i="25"/>
  <c r="K66" i="25"/>
  <c r="G66" i="25"/>
  <c r="C66" i="25"/>
  <c r="AC65" i="25"/>
  <c r="AA65" i="25"/>
  <c r="Y65" i="25"/>
  <c r="W65" i="25"/>
  <c r="T65" i="25"/>
  <c r="Q65" i="25"/>
  <c r="N65" i="25"/>
  <c r="K65" i="25"/>
  <c r="G65" i="25"/>
  <c r="C65" i="25"/>
  <c r="D65" i="25" s="1"/>
  <c r="AC64" i="25"/>
  <c r="AA64" i="25"/>
  <c r="Y64" i="25"/>
  <c r="W64" i="25"/>
  <c r="T64" i="25"/>
  <c r="Q64" i="25"/>
  <c r="N64" i="25"/>
  <c r="K64" i="25"/>
  <c r="G64" i="25"/>
  <c r="C64" i="25"/>
  <c r="AC63" i="25"/>
  <c r="AA63" i="25"/>
  <c r="Y63" i="25"/>
  <c r="W63" i="25"/>
  <c r="T63" i="25"/>
  <c r="Q63" i="25"/>
  <c r="N63" i="25"/>
  <c r="K63" i="25"/>
  <c r="G63" i="25"/>
  <c r="C63" i="25"/>
  <c r="AC62" i="25"/>
  <c r="AA62" i="25"/>
  <c r="Y62" i="25"/>
  <c r="W62" i="25"/>
  <c r="X62" i="25" s="1"/>
  <c r="T62" i="25"/>
  <c r="Q62" i="25"/>
  <c r="N62" i="25"/>
  <c r="K62" i="25"/>
  <c r="G62" i="25"/>
  <c r="C62" i="25"/>
  <c r="AC61" i="25"/>
  <c r="AA61" i="25"/>
  <c r="Y61" i="25"/>
  <c r="W61" i="25"/>
  <c r="T61" i="25"/>
  <c r="Q61" i="25"/>
  <c r="N61" i="25"/>
  <c r="K61" i="25"/>
  <c r="G61" i="25"/>
  <c r="C61" i="25"/>
  <c r="AC60" i="25"/>
  <c r="AA60" i="25"/>
  <c r="Y60" i="25"/>
  <c r="W60" i="25"/>
  <c r="T60" i="25"/>
  <c r="Q60" i="25"/>
  <c r="N60" i="25"/>
  <c r="K60" i="25"/>
  <c r="G60" i="25"/>
  <c r="C60" i="25"/>
  <c r="AC59" i="25"/>
  <c r="AA59" i="25"/>
  <c r="AB59" i="25" s="1"/>
  <c r="Y59" i="25"/>
  <c r="W59" i="25"/>
  <c r="T59" i="25"/>
  <c r="Q59" i="25"/>
  <c r="N59" i="25"/>
  <c r="K59" i="25"/>
  <c r="G59" i="25"/>
  <c r="C59" i="25"/>
  <c r="AC58" i="25"/>
  <c r="AA58" i="25"/>
  <c r="Y58" i="25"/>
  <c r="W58" i="25"/>
  <c r="T58" i="25"/>
  <c r="Q58" i="25"/>
  <c r="N58" i="25"/>
  <c r="K58" i="25"/>
  <c r="G58" i="25"/>
  <c r="C58" i="25"/>
  <c r="AC57" i="25"/>
  <c r="AA57" i="25"/>
  <c r="Y57" i="25"/>
  <c r="W57" i="25"/>
  <c r="T57" i="25"/>
  <c r="Q57" i="25"/>
  <c r="N57" i="25"/>
  <c r="K57" i="25"/>
  <c r="G57" i="25"/>
  <c r="C57" i="25"/>
  <c r="AC56" i="25"/>
  <c r="AA56" i="25"/>
  <c r="Y56" i="25"/>
  <c r="W56" i="25"/>
  <c r="T56" i="25"/>
  <c r="Q56" i="25"/>
  <c r="N56" i="25"/>
  <c r="K56" i="25"/>
  <c r="G56" i="25"/>
  <c r="C56" i="25"/>
  <c r="AC55" i="25"/>
  <c r="AA55" i="25"/>
  <c r="Y55" i="25"/>
  <c r="W55" i="25"/>
  <c r="T55" i="25"/>
  <c r="Q55" i="25"/>
  <c r="N55" i="25"/>
  <c r="K55" i="25"/>
  <c r="G55" i="25"/>
  <c r="C55" i="25"/>
  <c r="AC54" i="25"/>
  <c r="AA54" i="25"/>
  <c r="AB54" i="25" s="1"/>
  <c r="Y54" i="25"/>
  <c r="W54" i="25"/>
  <c r="T54" i="25"/>
  <c r="Q54" i="25"/>
  <c r="N54" i="25"/>
  <c r="K54" i="25"/>
  <c r="G54" i="25"/>
  <c r="C54" i="25"/>
  <c r="AC53" i="25"/>
  <c r="AA53" i="25"/>
  <c r="Y53" i="25"/>
  <c r="W53" i="25"/>
  <c r="T53" i="25"/>
  <c r="Q53" i="25"/>
  <c r="N53" i="25"/>
  <c r="K53" i="25"/>
  <c r="G53" i="25"/>
  <c r="C53" i="25"/>
  <c r="AC52" i="25"/>
  <c r="AA52" i="25"/>
  <c r="Y52" i="25"/>
  <c r="W52" i="25"/>
  <c r="T52" i="25"/>
  <c r="Q52" i="25"/>
  <c r="N52" i="25"/>
  <c r="K52" i="25"/>
  <c r="G52" i="25"/>
  <c r="C52" i="25"/>
  <c r="AC51" i="25"/>
  <c r="AA51" i="25"/>
  <c r="Y51" i="25"/>
  <c r="W51" i="25"/>
  <c r="T51" i="25"/>
  <c r="Q51" i="25"/>
  <c r="N51" i="25"/>
  <c r="K51" i="25"/>
  <c r="G51" i="25"/>
  <c r="C51" i="25"/>
  <c r="AC50" i="25"/>
  <c r="AA50" i="25"/>
  <c r="Y50" i="25"/>
  <c r="W50" i="25"/>
  <c r="T50" i="25"/>
  <c r="Q50" i="25"/>
  <c r="N50" i="25"/>
  <c r="K50" i="25"/>
  <c r="G50" i="25"/>
  <c r="C50" i="25"/>
  <c r="AC49" i="25"/>
  <c r="AA49" i="25"/>
  <c r="Y49" i="25"/>
  <c r="W49" i="25"/>
  <c r="T49" i="25"/>
  <c r="Q49" i="25"/>
  <c r="N49" i="25"/>
  <c r="K49" i="25"/>
  <c r="G49" i="25"/>
  <c r="C49" i="25"/>
  <c r="AC48" i="25"/>
  <c r="AA48" i="25"/>
  <c r="Y48" i="25"/>
  <c r="W48" i="25"/>
  <c r="T48" i="25"/>
  <c r="Q48" i="25"/>
  <c r="N48" i="25"/>
  <c r="K48" i="25"/>
  <c r="G48" i="25"/>
  <c r="C48" i="25"/>
  <c r="AC47" i="25"/>
  <c r="AA47" i="25"/>
  <c r="Y47" i="25"/>
  <c r="W47" i="25"/>
  <c r="T47" i="25"/>
  <c r="Q47" i="25"/>
  <c r="N47" i="25"/>
  <c r="K47" i="25"/>
  <c r="G47" i="25"/>
  <c r="C47" i="25"/>
  <c r="AC46" i="25"/>
  <c r="AA46" i="25"/>
  <c r="Y46" i="25"/>
  <c r="W46" i="25"/>
  <c r="T46" i="25"/>
  <c r="Q46" i="25"/>
  <c r="N46" i="25"/>
  <c r="K46" i="25"/>
  <c r="G46" i="25"/>
  <c r="C46" i="25"/>
  <c r="D46" i="25" s="1"/>
  <c r="AC45" i="25"/>
  <c r="AA45" i="25"/>
  <c r="Y45" i="25"/>
  <c r="W45" i="25"/>
  <c r="T45" i="25"/>
  <c r="Q45" i="25"/>
  <c r="N45" i="25"/>
  <c r="K45" i="25"/>
  <c r="G45" i="25"/>
  <c r="C45" i="25"/>
  <c r="AC44" i="25"/>
  <c r="AA44" i="25"/>
  <c r="Y44" i="25"/>
  <c r="W44" i="25"/>
  <c r="X44" i="25" s="1"/>
  <c r="T44" i="25"/>
  <c r="Q44" i="25"/>
  <c r="N44" i="25"/>
  <c r="K44" i="25"/>
  <c r="G44" i="25"/>
  <c r="C44" i="25"/>
  <c r="AC43" i="25"/>
  <c r="AA43" i="25"/>
  <c r="AB43" i="25" s="1"/>
  <c r="Y43" i="25"/>
  <c r="W43" i="25"/>
  <c r="T43" i="25"/>
  <c r="Q43" i="25"/>
  <c r="N43" i="25"/>
  <c r="K43" i="25"/>
  <c r="G43" i="25"/>
  <c r="C43" i="25"/>
  <c r="AC42" i="25"/>
  <c r="AA42" i="25"/>
  <c r="Y42" i="25"/>
  <c r="W42" i="25"/>
  <c r="T42" i="25"/>
  <c r="Q42" i="25"/>
  <c r="N42" i="25"/>
  <c r="K42" i="25"/>
  <c r="G42" i="25"/>
  <c r="C42" i="25"/>
  <c r="AC41" i="25"/>
  <c r="AA41" i="25"/>
  <c r="Y41" i="25"/>
  <c r="W41" i="25"/>
  <c r="X41" i="25" s="1"/>
  <c r="T41" i="25"/>
  <c r="Q41" i="25"/>
  <c r="N41" i="25"/>
  <c r="K41" i="25"/>
  <c r="G41" i="25"/>
  <c r="C41" i="25"/>
  <c r="AC40" i="25"/>
  <c r="AA40" i="25"/>
  <c r="Y40" i="25"/>
  <c r="W40" i="25"/>
  <c r="T40" i="25"/>
  <c r="Q40" i="25"/>
  <c r="N40" i="25"/>
  <c r="K40" i="25"/>
  <c r="G40" i="25"/>
  <c r="C40" i="25"/>
  <c r="AC39" i="25"/>
  <c r="AA39" i="25"/>
  <c r="Y39" i="25"/>
  <c r="W39" i="25"/>
  <c r="X39" i="25" s="1"/>
  <c r="T39" i="25"/>
  <c r="Q39" i="25"/>
  <c r="N39" i="25"/>
  <c r="K39" i="25"/>
  <c r="G39" i="25"/>
  <c r="C39" i="25"/>
  <c r="AC38" i="25"/>
  <c r="AA38" i="25"/>
  <c r="Y38" i="25"/>
  <c r="W38" i="25"/>
  <c r="X38" i="25" s="1"/>
  <c r="T38" i="25"/>
  <c r="Q38" i="25"/>
  <c r="N38" i="25"/>
  <c r="K38" i="25"/>
  <c r="G38" i="25"/>
  <c r="C38" i="25"/>
  <c r="AC37" i="25"/>
  <c r="AA37" i="25"/>
  <c r="Y37" i="25"/>
  <c r="W37" i="25"/>
  <c r="T37" i="25"/>
  <c r="Q37" i="25"/>
  <c r="N37" i="25"/>
  <c r="K37" i="25"/>
  <c r="G37" i="25"/>
  <c r="C37" i="25"/>
  <c r="AC36" i="25"/>
  <c r="AA36" i="25"/>
  <c r="Y36" i="25"/>
  <c r="W36" i="25"/>
  <c r="X36" i="25" s="1"/>
  <c r="T36" i="25"/>
  <c r="Q36" i="25"/>
  <c r="N36" i="25"/>
  <c r="K36" i="25"/>
  <c r="G36" i="25"/>
  <c r="C36" i="25"/>
  <c r="AC35" i="25"/>
  <c r="AA35" i="25"/>
  <c r="Y35" i="25"/>
  <c r="W35" i="25"/>
  <c r="T35" i="25"/>
  <c r="Q35" i="25"/>
  <c r="N35" i="25"/>
  <c r="K35" i="25"/>
  <c r="G35" i="25"/>
  <c r="C35" i="25"/>
  <c r="AC34" i="25"/>
  <c r="AA34" i="25"/>
  <c r="Y34" i="25"/>
  <c r="W34" i="25"/>
  <c r="T34" i="25"/>
  <c r="Q34" i="25"/>
  <c r="N34" i="25"/>
  <c r="K34" i="25"/>
  <c r="G34" i="25"/>
  <c r="C34" i="25"/>
  <c r="AC33" i="25"/>
  <c r="AA33" i="25"/>
  <c r="Y33" i="25"/>
  <c r="W33" i="25"/>
  <c r="X33" i="25" s="1"/>
  <c r="T33" i="25"/>
  <c r="Q33" i="25"/>
  <c r="N33" i="25"/>
  <c r="K33" i="25"/>
  <c r="G33" i="25"/>
  <c r="C33" i="25"/>
  <c r="D33" i="25" s="1"/>
  <c r="AC32" i="25"/>
  <c r="AA32" i="25"/>
  <c r="Y32" i="25"/>
  <c r="W32" i="25"/>
  <c r="X32" i="25" s="1"/>
  <c r="T32" i="25"/>
  <c r="Q32" i="25"/>
  <c r="N32" i="25"/>
  <c r="K32" i="25"/>
  <c r="G32" i="25"/>
  <c r="C32" i="25"/>
  <c r="AC31" i="25"/>
  <c r="AA31" i="25"/>
  <c r="Y31" i="25"/>
  <c r="W31" i="25"/>
  <c r="T31" i="25"/>
  <c r="Q31" i="25"/>
  <c r="N31" i="25"/>
  <c r="K31" i="25"/>
  <c r="G31" i="25"/>
  <c r="C31" i="25"/>
  <c r="AC30" i="25"/>
  <c r="AA30" i="25"/>
  <c r="Y30" i="25"/>
  <c r="W30" i="25"/>
  <c r="X30" i="25" s="1"/>
  <c r="T30" i="25"/>
  <c r="Q30" i="25"/>
  <c r="N30" i="25"/>
  <c r="K30" i="25"/>
  <c r="G30" i="25"/>
  <c r="C30" i="25"/>
  <c r="AC29" i="25"/>
  <c r="AA29" i="25"/>
  <c r="Y29" i="25"/>
  <c r="W29" i="25"/>
  <c r="X29" i="25" s="1"/>
  <c r="T29" i="25"/>
  <c r="Q29" i="25"/>
  <c r="N29" i="25"/>
  <c r="K29" i="25"/>
  <c r="G29" i="25"/>
  <c r="C29" i="25"/>
  <c r="AC28" i="25"/>
  <c r="AA28" i="25"/>
  <c r="AB28" i="25" s="1"/>
  <c r="Y28" i="25"/>
  <c r="W28" i="25"/>
  <c r="T28" i="25"/>
  <c r="Q28" i="25"/>
  <c r="N28" i="25"/>
  <c r="K28" i="25"/>
  <c r="G28" i="25"/>
  <c r="C28" i="25"/>
  <c r="AC27" i="25"/>
  <c r="AA27" i="25"/>
  <c r="Y27" i="25"/>
  <c r="W27" i="25"/>
  <c r="T27" i="25"/>
  <c r="Q27" i="25"/>
  <c r="N27" i="25"/>
  <c r="K27" i="25"/>
  <c r="G27" i="25"/>
  <c r="C27" i="25"/>
  <c r="AC26" i="25"/>
  <c r="AA26" i="25"/>
  <c r="Y26" i="25"/>
  <c r="W26" i="25"/>
  <c r="T26" i="25"/>
  <c r="Q26" i="25"/>
  <c r="N26" i="25"/>
  <c r="K26" i="25"/>
  <c r="G26" i="25"/>
  <c r="C26" i="25"/>
  <c r="AC25" i="25"/>
  <c r="AA25" i="25"/>
  <c r="AB25" i="25" s="1"/>
  <c r="Y25" i="25"/>
  <c r="W25" i="25"/>
  <c r="T25" i="25"/>
  <c r="Q25" i="25"/>
  <c r="N25" i="25"/>
  <c r="K25" i="25"/>
  <c r="G25" i="25"/>
  <c r="C25" i="25"/>
  <c r="AC24" i="25"/>
  <c r="AA24" i="25"/>
  <c r="Y24" i="25"/>
  <c r="W24" i="25"/>
  <c r="T24" i="25"/>
  <c r="Q24" i="25"/>
  <c r="N24" i="25"/>
  <c r="K24" i="25"/>
  <c r="G24" i="25"/>
  <c r="C24" i="25"/>
  <c r="AC23" i="25"/>
  <c r="AA23" i="25"/>
  <c r="AB23" i="25" s="1"/>
  <c r="Y23" i="25"/>
  <c r="W23" i="25"/>
  <c r="X23" i="25" s="1"/>
  <c r="T23" i="25"/>
  <c r="Q23" i="25"/>
  <c r="N23" i="25"/>
  <c r="K23" i="25"/>
  <c r="G23" i="25"/>
  <c r="C23" i="25"/>
  <c r="AC22" i="25"/>
  <c r="AA22" i="25"/>
  <c r="Y22" i="25"/>
  <c r="W22" i="25"/>
  <c r="T22" i="25"/>
  <c r="Q22" i="25"/>
  <c r="N22" i="25"/>
  <c r="K22" i="25"/>
  <c r="G22" i="25"/>
  <c r="C22" i="25"/>
  <c r="AC21" i="25"/>
  <c r="AA21" i="25"/>
  <c r="Y21" i="25"/>
  <c r="W21" i="25"/>
  <c r="X21" i="25" s="1"/>
  <c r="T21" i="25"/>
  <c r="Q21" i="25"/>
  <c r="N21" i="25"/>
  <c r="K21" i="25"/>
  <c r="G21" i="25"/>
  <c r="C21" i="25"/>
  <c r="AC20" i="25"/>
  <c r="AA20" i="25"/>
  <c r="AB20" i="25" s="1"/>
  <c r="Y20" i="25"/>
  <c r="W20" i="25"/>
  <c r="T20" i="25"/>
  <c r="Q20" i="25"/>
  <c r="N20" i="25"/>
  <c r="K20" i="25"/>
  <c r="G20" i="25"/>
  <c r="C20" i="25"/>
  <c r="AC19" i="25"/>
  <c r="AA19" i="25"/>
  <c r="Y19" i="25"/>
  <c r="W19" i="25"/>
  <c r="X19" i="25" s="1"/>
  <c r="T19" i="25"/>
  <c r="Q19" i="25"/>
  <c r="N19" i="25"/>
  <c r="K19" i="25"/>
  <c r="G19" i="25"/>
  <c r="C19" i="25"/>
  <c r="D19" i="25" s="1"/>
  <c r="AC18" i="25"/>
  <c r="AA18" i="25"/>
  <c r="Y18" i="25"/>
  <c r="W18" i="25"/>
  <c r="T18" i="25"/>
  <c r="Q18" i="25"/>
  <c r="N18" i="25"/>
  <c r="K18" i="25"/>
  <c r="G18" i="25"/>
  <c r="C18" i="25"/>
  <c r="AC17" i="25"/>
  <c r="AA17" i="25"/>
  <c r="Y17" i="25"/>
  <c r="W17" i="25"/>
  <c r="X17" i="25" s="1"/>
  <c r="T17" i="25"/>
  <c r="Q17" i="25"/>
  <c r="N17" i="25"/>
  <c r="K17" i="25"/>
  <c r="G17" i="25"/>
  <c r="C17" i="25"/>
  <c r="AC16" i="25"/>
  <c r="AA16" i="25"/>
  <c r="Y16" i="25"/>
  <c r="W16" i="25"/>
  <c r="X16" i="25" s="1"/>
  <c r="T16" i="25"/>
  <c r="Q16" i="25"/>
  <c r="N16" i="25"/>
  <c r="K16" i="25"/>
  <c r="G16" i="25"/>
  <c r="C16" i="25"/>
  <c r="AC15" i="25"/>
  <c r="AA15" i="25"/>
  <c r="AB15" i="25" s="1"/>
  <c r="Y15" i="25"/>
  <c r="W15" i="25"/>
  <c r="T15" i="25"/>
  <c r="Q15" i="25"/>
  <c r="N15" i="25"/>
  <c r="K15" i="25"/>
  <c r="G15" i="25"/>
  <c r="C15" i="25"/>
  <c r="AC14" i="25"/>
  <c r="AA14" i="25"/>
  <c r="Y14" i="25"/>
  <c r="W14" i="25"/>
  <c r="X14" i="25" s="1"/>
  <c r="T14" i="25"/>
  <c r="Q14" i="25"/>
  <c r="N14" i="25"/>
  <c r="K14" i="25"/>
  <c r="G14" i="25"/>
  <c r="C14" i="25"/>
  <c r="AC13" i="25"/>
  <c r="AA13" i="25"/>
  <c r="AB13" i="25" s="1"/>
  <c r="Y13" i="25"/>
  <c r="W13" i="25"/>
  <c r="T13" i="25"/>
  <c r="Q13" i="25"/>
  <c r="N13" i="25"/>
  <c r="K13" i="25"/>
  <c r="G13" i="25"/>
  <c r="C13" i="25"/>
  <c r="AC12" i="25"/>
  <c r="AA12" i="25"/>
  <c r="AB12" i="25" s="1"/>
  <c r="Y12" i="25"/>
  <c r="W12" i="25"/>
  <c r="T12" i="25"/>
  <c r="Q12" i="25"/>
  <c r="N12" i="25"/>
  <c r="K12" i="25"/>
  <c r="G12" i="25"/>
  <c r="C12" i="25"/>
  <c r="AC11" i="25"/>
  <c r="AA11" i="25"/>
  <c r="AB11" i="25" s="1"/>
  <c r="Y11" i="25"/>
  <c r="W11" i="25"/>
  <c r="X11" i="25" s="1"/>
  <c r="T11" i="25"/>
  <c r="Q11" i="25"/>
  <c r="N11" i="25"/>
  <c r="K11" i="25"/>
  <c r="G11" i="25"/>
  <c r="C11" i="25"/>
  <c r="D5" i="25" s="1"/>
  <c r="AC10" i="25"/>
  <c r="AA10" i="25"/>
  <c r="Y10" i="25"/>
  <c r="W10" i="25"/>
  <c r="T10" i="25"/>
  <c r="Q10" i="25"/>
  <c r="N10" i="25"/>
  <c r="K10" i="25"/>
  <c r="G10" i="25"/>
  <c r="C10" i="25"/>
  <c r="D4" i="25" s="1"/>
  <c r="AC9" i="25"/>
  <c r="AA9" i="25"/>
  <c r="AB5" i="25" s="1"/>
  <c r="Y9" i="25"/>
  <c r="W9" i="25"/>
  <c r="T9" i="25"/>
  <c r="Q9" i="25"/>
  <c r="N9" i="25"/>
  <c r="K9" i="25"/>
  <c r="G9" i="25"/>
  <c r="C9" i="25"/>
  <c r="D3" i="25" s="1"/>
  <c r="AC8" i="25"/>
  <c r="AA8" i="25"/>
  <c r="Y8" i="25"/>
  <c r="W8" i="25"/>
  <c r="X4" i="25" s="1"/>
  <c r="T8" i="25"/>
  <c r="Q8" i="25"/>
  <c r="N8" i="25"/>
  <c r="K8" i="25"/>
  <c r="G8" i="25"/>
  <c r="C8" i="25"/>
  <c r="AC7" i="25"/>
  <c r="AA7" i="25"/>
  <c r="AB3" i="25" s="1"/>
  <c r="Y7" i="25"/>
  <c r="W7" i="25"/>
  <c r="X3" i="25" s="1"/>
  <c r="T7" i="25"/>
  <c r="Q7" i="25"/>
  <c r="N7" i="25"/>
  <c r="K7" i="25"/>
  <c r="G7" i="25"/>
  <c r="C7" i="25"/>
  <c r="AC6" i="25"/>
  <c r="AA6" i="25"/>
  <c r="Y6" i="25"/>
  <c r="W6" i="25"/>
  <c r="T6" i="25"/>
  <c r="Q6" i="25"/>
  <c r="N6" i="25"/>
  <c r="O3" i="25" s="1"/>
  <c r="K6" i="25"/>
  <c r="G6" i="25"/>
  <c r="C6" i="25"/>
  <c r="D278" i="25" l="1"/>
  <c r="D28" i="25"/>
  <c r="R320" i="25"/>
  <c r="D16" i="25"/>
  <c r="P15" i="26"/>
  <c r="Q15" i="26" s="1"/>
  <c r="T15" i="26" s="1"/>
  <c r="P16" i="26"/>
  <c r="Q16" i="26" s="1"/>
  <c r="T16" i="26" s="1"/>
  <c r="P17" i="26"/>
  <c r="Q17" i="26" s="1"/>
  <c r="T17" i="26" s="1"/>
  <c r="P14" i="26"/>
  <c r="Q14" i="26" s="1"/>
  <c r="I3" i="25"/>
  <c r="P43" i="26"/>
  <c r="Q43" i="26" s="1"/>
  <c r="T43" i="26" s="1"/>
  <c r="P40" i="26"/>
  <c r="Q40" i="26" s="1"/>
  <c r="T40" i="26" s="1"/>
  <c r="P41" i="26"/>
  <c r="Q41" i="26" s="1"/>
  <c r="T41" i="26" s="1"/>
  <c r="P42" i="26"/>
  <c r="Q42" i="26" s="1"/>
  <c r="T42" i="26" s="1"/>
  <c r="P127" i="26"/>
  <c r="Q127" i="26" s="1"/>
  <c r="T127" i="26" s="1"/>
  <c r="P128" i="26"/>
  <c r="Q128" i="26" s="1"/>
  <c r="T128" i="26" s="1"/>
  <c r="P129" i="26"/>
  <c r="Q129" i="26" s="1"/>
  <c r="T129" i="26" s="1"/>
  <c r="P130" i="26"/>
  <c r="Q130" i="26" s="1"/>
  <c r="T130" i="26" s="1"/>
  <c r="P147" i="26"/>
  <c r="Q147" i="26" s="1"/>
  <c r="T147" i="26" s="1"/>
  <c r="P145" i="26"/>
  <c r="Q145" i="26" s="1"/>
  <c r="T145" i="26" s="1"/>
  <c r="P146" i="26"/>
  <c r="Q146" i="26" s="1"/>
  <c r="T146" i="26" s="1"/>
  <c r="P144" i="26"/>
  <c r="Q144" i="26" s="1"/>
  <c r="T144" i="26" s="1"/>
  <c r="P148" i="26"/>
  <c r="Q148" i="26" s="1"/>
  <c r="T148" i="26" s="1"/>
  <c r="P165" i="26"/>
  <c r="Q165" i="26" s="1"/>
  <c r="T165" i="26" s="1"/>
  <c r="P164" i="26"/>
  <c r="Q164" i="26" s="1"/>
  <c r="T164" i="26" s="1"/>
  <c r="P162" i="26"/>
  <c r="Q162" i="26" s="1"/>
  <c r="T162" i="26" s="1"/>
  <c r="P163" i="26"/>
  <c r="Q163" i="26" s="1"/>
  <c r="T163" i="26" s="1"/>
  <c r="P181" i="26"/>
  <c r="Q181" i="26" s="1"/>
  <c r="T181" i="26" s="1"/>
  <c r="P183" i="26"/>
  <c r="Q183" i="26" s="1"/>
  <c r="T183" i="26" s="1"/>
  <c r="P179" i="26"/>
  <c r="Q179" i="26" s="1"/>
  <c r="T179" i="26" s="1"/>
  <c r="P180" i="26"/>
  <c r="Q180" i="26" s="1"/>
  <c r="T180" i="26" s="1"/>
  <c r="P182" i="26"/>
  <c r="Q182" i="26" s="1"/>
  <c r="T182" i="26" s="1"/>
  <c r="P199" i="26"/>
  <c r="Q199" i="26" s="1"/>
  <c r="T199" i="26" s="1"/>
  <c r="P196" i="26"/>
  <c r="Q196" i="26" s="1"/>
  <c r="T196" i="26" s="1"/>
  <c r="P200" i="26"/>
  <c r="Q200" i="26" s="1"/>
  <c r="T200" i="26" s="1"/>
  <c r="P197" i="26"/>
  <c r="Q197" i="26" s="1"/>
  <c r="T197" i="26" s="1"/>
  <c r="P198" i="26"/>
  <c r="Q198" i="26" s="1"/>
  <c r="T198" i="26" s="1"/>
  <c r="P215" i="26"/>
  <c r="Q215" i="26" s="1"/>
  <c r="T215" i="26" s="1"/>
  <c r="P216" i="26"/>
  <c r="Q216" i="26" s="1"/>
  <c r="T216" i="26" s="1"/>
  <c r="P217" i="26"/>
  <c r="Q217" i="26" s="1"/>
  <c r="T217" i="26" s="1"/>
  <c r="P214" i="26"/>
  <c r="Q214" i="26" s="1"/>
  <c r="T214" i="26" s="1"/>
  <c r="P231" i="26"/>
  <c r="Q231" i="26" s="1"/>
  <c r="T231" i="26" s="1"/>
  <c r="P235" i="26"/>
  <c r="Q235" i="26" s="1"/>
  <c r="T235" i="26" s="1"/>
  <c r="P232" i="26"/>
  <c r="Q232" i="26" s="1"/>
  <c r="T232" i="26" s="1"/>
  <c r="P233" i="26"/>
  <c r="Q233" i="26" s="1"/>
  <c r="T233" i="26" s="1"/>
  <c r="P234" i="26"/>
  <c r="Q234" i="26" s="1"/>
  <c r="T234" i="26" s="1"/>
  <c r="P251" i="26"/>
  <c r="Q251" i="26" s="1"/>
  <c r="T251" i="26" s="1"/>
  <c r="P252" i="26"/>
  <c r="Q252" i="26" s="1"/>
  <c r="T252" i="26" s="1"/>
  <c r="P249" i="26"/>
  <c r="Q249" i="26" s="1"/>
  <c r="T249" i="26" s="1"/>
  <c r="P250" i="26"/>
  <c r="Q250" i="26" s="1"/>
  <c r="T250" i="26" s="1"/>
  <c r="P267" i="26"/>
  <c r="Q267" i="26" s="1"/>
  <c r="T267" i="26" s="1"/>
  <c r="P268" i="26"/>
  <c r="Q268" i="26" s="1"/>
  <c r="T268" i="26" s="1"/>
  <c r="P269" i="26"/>
  <c r="Q269" i="26" s="1"/>
  <c r="T269" i="26" s="1"/>
  <c r="P266" i="26"/>
  <c r="Q266" i="26" s="1"/>
  <c r="T266" i="26" s="1"/>
  <c r="P283" i="26"/>
  <c r="Q283" i="26" s="1"/>
  <c r="T283" i="26" s="1"/>
  <c r="P287" i="26"/>
  <c r="Q287" i="26" s="1"/>
  <c r="T287" i="26" s="1"/>
  <c r="P284" i="26"/>
  <c r="Q284" i="26" s="1"/>
  <c r="T284" i="26" s="1"/>
  <c r="P285" i="26"/>
  <c r="Q285" i="26" s="1"/>
  <c r="T285" i="26" s="1"/>
  <c r="P286" i="26"/>
  <c r="Q286" i="26" s="1"/>
  <c r="T286" i="26" s="1"/>
  <c r="R114" i="25"/>
  <c r="L115" i="25"/>
  <c r="L119" i="25"/>
  <c r="R126" i="25"/>
  <c r="P647" i="26"/>
  <c r="Q647" i="26" s="1"/>
  <c r="T647" i="26" s="1"/>
  <c r="P645" i="26"/>
  <c r="Q645" i="26" s="1"/>
  <c r="T645" i="26" s="1"/>
  <c r="P648" i="26"/>
  <c r="Q648" i="26" s="1"/>
  <c r="T648" i="26" s="1"/>
  <c r="P644" i="26"/>
  <c r="Q644" i="26" s="1"/>
  <c r="T644" i="26" s="1"/>
  <c r="P646" i="26"/>
  <c r="Q646" i="26" s="1"/>
  <c r="T646" i="26" s="1"/>
  <c r="P663" i="26"/>
  <c r="Q663" i="26" s="1"/>
  <c r="T663" i="26" s="1"/>
  <c r="P665" i="26"/>
  <c r="Q665" i="26" s="1"/>
  <c r="T665" i="26" s="1"/>
  <c r="P664" i="26"/>
  <c r="Q664" i="26" s="1"/>
  <c r="T664" i="26" s="1"/>
  <c r="P662" i="26"/>
  <c r="Q662" i="26" s="1"/>
  <c r="T662" i="26" s="1"/>
  <c r="P679" i="26"/>
  <c r="Q679" i="26" s="1"/>
  <c r="T679" i="26" s="1"/>
  <c r="P681" i="26"/>
  <c r="Q681" i="26" s="1"/>
  <c r="T681" i="26" s="1"/>
  <c r="P680" i="26"/>
  <c r="Q680" i="26" s="1"/>
  <c r="T680" i="26" s="1"/>
  <c r="P682" i="26"/>
  <c r="Q682" i="26" s="1"/>
  <c r="T682" i="26" s="1"/>
  <c r="P699" i="26"/>
  <c r="Q699" i="26" s="1"/>
  <c r="T699" i="26" s="1"/>
  <c r="P700" i="26"/>
  <c r="Q700" i="26" s="1"/>
  <c r="T700" i="26" s="1"/>
  <c r="P697" i="26"/>
  <c r="Q697" i="26" s="1"/>
  <c r="T697" i="26" s="1"/>
  <c r="P698" i="26"/>
  <c r="Q698" i="26" s="1"/>
  <c r="T698" i="26" s="1"/>
  <c r="P715" i="26"/>
  <c r="Q715" i="26" s="1"/>
  <c r="T715" i="26" s="1"/>
  <c r="P716" i="26"/>
  <c r="Q716" i="26" s="1"/>
  <c r="T716" i="26" s="1"/>
  <c r="P717" i="26"/>
  <c r="Q717" i="26" s="1"/>
  <c r="T717" i="26" s="1"/>
  <c r="P714" i="26"/>
  <c r="Q714" i="26" s="1"/>
  <c r="T714" i="26" s="1"/>
  <c r="P731" i="26"/>
  <c r="Q731" i="26" s="1"/>
  <c r="T731" i="26" s="1"/>
  <c r="P735" i="26"/>
  <c r="Q735" i="26" s="1"/>
  <c r="T735" i="26" s="1"/>
  <c r="P732" i="26"/>
  <c r="Q732" i="26" s="1"/>
  <c r="T732" i="26" s="1"/>
  <c r="P733" i="26"/>
  <c r="Q733" i="26" s="1"/>
  <c r="T733" i="26" s="1"/>
  <c r="P734" i="26"/>
  <c r="Q734" i="26" s="1"/>
  <c r="T734" i="26" s="1"/>
  <c r="H175" i="25"/>
  <c r="P751" i="26"/>
  <c r="Q751" i="26" s="1"/>
  <c r="T751" i="26" s="1"/>
  <c r="P752" i="26"/>
  <c r="Q752" i="26" s="1"/>
  <c r="T752" i="26" s="1"/>
  <c r="P749" i="26"/>
  <c r="Q749" i="26" s="1"/>
  <c r="T749" i="26" s="1"/>
  <c r="P750" i="26"/>
  <c r="Q750" i="26" s="1"/>
  <c r="T750" i="26" s="1"/>
  <c r="P767" i="26"/>
  <c r="Q767" i="26" s="1"/>
  <c r="T767" i="26" s="1"/>
  <c r="P768" i="26"/>
  <c r="Q768" i="26" s="1"/>
  <c r="T768" i="26" s="1"/>
  <c r="P769" i="26"/>
  <c r="Q769" i="26" s="1"/>
  <c r="T769" i="26" s="1"/>
  <c r="P766" i="26"/>
  <c r="Q766" i="26" s="1"/>
  <c r="T766" i="26" s="1"/>
  <c r="P787" i="26"/>
  <c r="Q787" i="26" s="1"/>
  <c r="T787" i="26" s="1"/>
  <c r="P783" i="26"/>
  <c r="Q783" i="26" s="1"/>
  <c r="T783" i="26" s="1"/>
  <c r="P784" i="26"/>
  <c r="Q784" i="26" s="1"/>
  <c r="T784" i="26" s="1"/>
  <c r="P785" i="26"/>
  <c r="Q785" i="26" s="1"/>
  <c r="T785" i="26" s="1"/>
  <c r="P786" i="26"/>
  <c r="Q786" i="26" s="1"/>
  <c r="T786" i="26" s="1"/>
  <c r="P803" i="26"/>
  <c r="Q803" i="26" s="1"/>
  <c r="T803" i="26" s="1"/>
  <c r="P804" i="26"/>
  <c r="Q804" i="26" s="1"/>
  <c r="T804" i="26" s="1"/>
  <c r="P801" i="26"/>
  <c r="Q801" i="26" s="1"/>
  <c r="T801" i="26" s="1"/>
  <c r="P802" i="26"/>
  <c r="Q802" i="26" s="1"/>
  <c r="T802" i="26" s="1"/>
  <c r="P819" i="26"/>
  <c r="Q819" i="26" s="1"/>
  <c r="T819" i="26" s="1"/>
  <c r="P820" i="26"/>
  <c r="Q820" i="26" s="1"/>
  <c r="T820" i="26" s="1"/>
  <c r="P821" i="26"/>
  <c r="Q821" i="26" s="1"/>
  <c r="T821" i="26" s="1"/>
  <c r="P818" i="26"/>
  <c r="Q818" i="26" s="1"/>
  <c r="T818" i="26" s="1"/>
  <c r="P822" i="26"/>
  <c r="Q822" i="26" s="1"/>
  <c r="T822" i="26" s="1"/>
  <c r="P839" i="26"/>
  <c r="Q839" i="26" s="1"/>
  <c r="T839" i="26" s="1"/>
  <c r="P836" i="26"/>
  <c r="Q836" i="26" s="1"/>
  <c r="T836" i="26" s="1"/>
  <c r="P837" i="26"/>
  <c r="Q837" i="26" s="1"/>
  <c r="T837" i="26" s="1"/>
  <c r="P838" i="26"/>
  <c r="Q838" i="26" s="1"/>
  <c r="T838" i="26" s="1"/>
  <c r="P855" i="26"/>
  <c r="Q855" i="26" s="1"/>
  <c r="T855" i="26" s="1"/>
  <c r="P856" i="26"/>
  <c r="Q856" i="26" s="1"/>
  <c r="T856" i="26" s="1"/>
  <c r="P853" i="26"/>
  <c r="Q853" i="26" s="1"/>
  <c r="T853" i="26" s="1"/>
  <c r="P854" i="26"/>
  <c r="Q854" i="26" s="1"/>
  <c r="T854" i="26" s="1"/>
  <c r="P871" i="26"/>
  <c r="Q871" i="26" s="1"/>
  <c r="T871" i="26" s="1"/>
  <c r="P872" i="26"/>
  <c r="Q872" i="26" s="1"/>
  <c r="T872" i="26" s="1"/>
  <c r="P873" i="26"/>
  <c r="Q873" i="26" s="1"/>
  <c r="T873" i="26" s="1"/>
  <c r="P870" i="26"/>
  <c r="Q870" i="26" s="1"/>
  <c r="T870" i="26" s="1"/>
  <c r="P874" i="26"/>
  <c r="Q874" i="26" s="1"/>
  <c r="T874" i="26" s="1"/>
  <c r="P891" i="26"/>
  <c r="Q891" i="26" s="1"/>
  <c r="T891" i="26" s="1"/>
  <c r="P888" i="26"/>
  <c r="Q888" i="26" s="1"/>
  <c r="T888" i="26" s="1"/>
  <c r="P889" i="26"/>
  <c r="Q889" i="26" s="1"/>
  <c r="T889" i="26" s="1"/>
  <c r="P890" i="26"/>
  <c r="Q890" i="26" s="1"/>
  <c r="T890" i="26" s="1"/>
  <c r="P907" i="26"/>
  <c r="Q907" i="26" s="1"/>
  <c r="T907" i="26" s="1"/>
  <c r="P908" i="26"/>
  <c r="Q908" i="26" s="1"/>
  <c r="T908" i="26" s="1"/>
  <c r="P905" i="26"/>
  <c r="Q905" i="26" s="1"/>
  <c r="T905" i="26" s="1"/>
  <c r="P909" i="26"/>
  <c r="Q909" i="26" s="1"/>
  <c r="T909" i="26" s="1"/>
  <c r="P906" i="26"/>
  <c r="Q906" i="26" s="1"/>
  <c r="T906" i="26" s="1"/>
  <c r="P923" i="26"/>
  <c r="Q923" i="26" s="1"/>
  <c r="T923" i="26" s="1"/>
  <c r="P924" i="26"/>
  <c r="Q924" i="26" s="1"/>
  <c r="T924" i="26" s="1"/>
  <c r="P925" i="26"/>
  <c r="Q925" i="26" s="1"/>
  <c r="T925" i="26" s="1"/>
  <c r="P926" i="26"/>
  <c r="Q926" i="26" s="1"/>
  <c r="T926" i="26" s="1"/>
  <c r="P922" i="26"/>
  <c r="Q922" i="26" s="1"/>
  <c r="T922" i="26" s="1"/>
  <c r="U922" i="26" s="1"/>
  <c r="G922" i="1" s="1"/>
  <c r="H219" i="25"/>
  <c r="P943" i="26"/>
  <c r="Q943" i="26" s="1"/>
  <c r="T943" i="26" s="1"/>
  <c r="P940" i="26"/>
  <c r="Q940" i="26" s="1"/>
  <c r="T940" i="26" s="1"/>
  <c r="P941" i="26"/>
  <c r="Q941" i="26" s="1"/>
  <c r="T941" i="26" s="1"/>
  <c r="P942" i="26"/>
  <c r="Q942" i="26" s="1"/>
  <c r="T942" i="26" s="1"/>
  <c r="P959" i="26"/>
  <c r="Q959" i="26" s="1"/>
  <c r="T959" i="26" s="1"/>
  <c r="P960" i="26"/>
  <c r="Q960" i="26" s="1"/>
  <c r="T960" i="26" s="1"/>
  <c r="P961" i="26"/>
  <c r="Q961" i="26" s="1"/>
  <c r="T961" i="26" s="1"/>
  <c r="P957" i="26"/>
  <c r="Q957" i="26" s="1"/>
  <c r="T957" i="26" s="1"/>
  <c r="P958" i="26"/>
  <c r="Q958" i="26" s="1"/>
  <c r="T958" i="26" s="1"/>
  <c r="P991" i="26"/>
  <c r="Q991" i="26" s="1"/>
  <c r="T991" i="26" s="1"/>
  <c r="P988" i="26"/>
  <c r="Q988" i="26" s="1"/>
  <c r="T988" i="26" s="1"/>
  <c r="P989" i="26"/>
  <c r="Q989" i="26" s="1"/>
  <c r="T989" i="26" s="1"/>
  <c r="P990" i="26"/>
  <c r="Q990" i="26" s="1"/>
  <c r="T990" i="26" s="1"/>
  <c r="P1007" i="26"/>
  <c r="Q1007" i="26" s="1"/>
  <c r="T1007" i="26" s="1"/>
  <c r="P1008" i="26"/>
  <c r="Q1008" i="26" s="1"/>
  <c r="T1008" i="26" s="1"/>
  <c r="P1009" i="26"/>
  <c r="Q1009" i="26" s="1"/>
  <c r="T1009" i="26" s="1"/>
  <c r="P1005" i="26"/>
  <c r="Q1005" i="26" s="1"/>
  <c r="T1005" i="26" s="1"/>
  <c r="P1006" i="26"/>
  <c r="Q1006" i="26" s="1"/>
  <c r="T1006" i="26" s="1"/>
  <c r="P1023" i="26"/>
  <c r="Q1023" i="26" s="1"/>
  <c r="T1023" i="26" s="1"/>
  <c r="P1024" i="26"/>
  <c r="Q1024" i="26" s="1"/>
  <c r="T1024" i="26" s="1"/>
  <c r="P1025" i="26"/>
  <c r="Q1025" i="26" s="1"/>
  <c r="T1025" i="26" s="1"/>
  <c r="P1022" i="26"/>
  <c r="Q1022" i="26" s="1"/>
  <c r="T1022" i="26" s="1"/>
  <c r="P1026" i="26"/>
  <c r="Q1026" i="26" s="1"/>
  <c r="T1026" i="26" s="1"/>
  <c r="P1043" i="26"/>
  <c r="Q1043" i="26" s="1"/>
  <c r="T1043" i="26" s="1"/>
  <c r="P1040" i="26"/>
  <c r="Q1040" i="26" s="1"/>
  <c r="T1040" i="26" s="1"/>
  <c r="P1041" i="26"/>
  <c r="Q1041" i="26" s="1"/>
  <c r="T1041" i="26" s="1"/>
  <c r="P1042" i="26"/>
  <c r="Q1042" i="26" s="1"/>
  <c r="T1042" i="26" s="1"/>
  <c r="P1059" i="26"/>
  <c r="Q1059" i="26" s="1"/>
  <c r="T1059" i="26" s="1"/>
  <c r="P1060" i="26"/>
  <c r="Q1060" i="26" s="1"/>
  <c r="T1060" i="26" s="1"/>
  <c r="P1057" i="26"/>
  <c r="Q1057" i="26" s="1"/>
  <c r="T1057" i="26" s="1"/>
  <c r="P1061" i="26"/>
  <c r="Q1061" i="26" s="1"/>
  <c r="T1061" i="26" s="1"/>
  <c r="P1058" i="26"/>
  <c r="Q1058" i="26" s="1"/>
  <c r="T1058" i="26" s="1"/>
  <c r="P1075" i="26"/>
  <c r="Q1075" i="26" s="1"/>
  <c r="T1075" i="26" s="1"/>
  <c r="P1076" i="26"/>
  <c r="Q1076" i="26" s="1"/>
  <c r="T1076" i="26" s="1"/>
  <c r="P1077" i="26"/>
  <c r="Q1077" i="26" s="1"/>
  <c r="T1077" i="26" s="1"/>
  <c r="P1078" i="26"/>
  <c r="Q1078" i="26" s="1"/>
  <c r="T1078" i="26" s="1"/>
  <c r="P1095" i="26"/>
  <c r="Q1095" i="26" s="1"/>
  <c r="T1095" i="26" s="1"/>
  <c r="P1092" i="26"/>
  <c r="Q1092" i="26" s="1"/>
  <c r="T1092" i="26" s="1"/>
  <c r="P1093" i="26"/>
  <c r="Q1093" i="26" s="1"/>
  <c r="T1093" i="26" s="1"/>
  <c r="P1094" i="26"/>
  <c r="Q1094" i="26" s="1"/>
  <c r="T1094" i="26" s="1"/>
  <c r="P1111" i="26"/>
  <c r="Q1111" i="26" s="1"/>
  <c r="T1111" i="26" s="1"/>
  <c r="P1112" i="26"/>
  <c r="Q1112" i="26" s="1"/>
  <c r="T1112" i="26" s="1"/>
  <c r="P1113" i="26"/>
  <c r="Q1113" i="26" s="1"/>
  <c r="T1113" i="26" s="1"/>
  <c r="P1110" i="26"/>
  <c r="Q1110" i="26" s="1"/>
  <c r="T1110" i="26" s="1"/>
  <c r="P1127" i="26"/>
  <c r="Q1127" i="26" s="1"/>
  <c r="T1127" i="26" s="1"/>
  <c r="P1128" i="26"/>
  <c r="Q1128" i="26" s="1"/>
  <c r="T1128" i="26" s="1"/>
  <c r="P1129" i="26"/>
  <c r="Q1129" i="26" s="1"/>
  <c r="T1129" i="26" s="1"/>
  <c r="P1130" i="26"/>
  <c r="Q1130" i="26" s="1"/>
  <c r="T1130" i="26" s="1"/>
  <c r="P1147" i="26"/>
  <c r="Q1147" i="26" s="1"/>
  <c r="T1147" i="26" s="1"/>
  <c r="P1144" i="26"/>
  <c r="Q1144" i="26" s="1"/>
  <c r="T1144" i="26" s="1"/>
  <c r="P1148" i="26"/>
  <c r="Q1148" i="26" s="1"/>
  <c r="T1148" i="26" s="1"/>
  <c r="P1145" i="26"/>
  <c r="Q1145" i="26" s="1"/>
  <c r="T1145" i="26" s="1"/>
  <c r="P1146" i="26"/>
  <c r="Q1146" i="26" s="1"/>
  <c r="T1146" i="26" s="1"/>
  <c r="P1163" i="26"/>
  <c r="Q1163" i="26" s="1"/>
  <c r="T1163" i="26" s="1"/>
  <c r="P1164" i="26"/>
  <c r="Q1164" i="26" s="1"/>
  <c r="T1164" i="26" s="1"/>
  <c r="P1165" i="26"/>
  <c r="Q1165" i="26" s="1"/>
  <c r="T1165" i="26" s="1"/>
  <c r="P1162" i="26"/>
  <c r="Q1162" i="26" s="1"/>
  <c r="T1162" i="26" s="1"/>
  <c r="H274" i="25"/>
  <c r="P1179" i="26"/>
  <c r="Q1179" i="26" s="1"/>
  <c r="T1179" i="26" s="1"/>
  <c r="P1180" i="26"/>
  <c r="Q1180" i="26" s="1"/>
  <c r="T1180" i="26" s="1"/>
  <c r="P1181" i="26"/>
  <c r="Q1181" i="26" s="1"/>
  <c r="T1181" i="26" s="1"/>
  <c r="P1182" i="26"/>
  <c r="Q1182" i="26" s="1"/>
  <c r="T1182" i="26" s="1"/>
  <c r="P1199" i="26"/>
  <c r="Q1199" i="26" s="1"/>
  <c r="T1199" i="26" s="1"/>
  <c r="P1200" i="26"/>
  <c r="Q1200" i="26" s="1"/>
  <c r="T1200" i="26" s="1"/>
  <c r="P1197" i="26"/>
  <c r="Q1197" i="26" s="1"/>
  <c r="T1197" i="26" s="1"/>
  <c r="P1198" i="26"/>
  <c r="Q1198" i="26" s="1"/>
  <c r="T1198" i="26" s="1"/>
  <c r="P1216" i="26"/>
  <c r="Q1216" i="26" s="1"/>
  <c r="T1216" i="26" s="1"/>
  <c r="P1217" i="26"/>
  <c r="Q1217" i="26" s="1"/>
  <c r="T1217" i="26" s="1"/>
  <c r="P1214" i="26"/>
  <c r="Q1214" i="26" s="1"/>
  <c r="T1214" i="26" s="1"/>
  <c r="P1215" i="26"/>
  <c r="Q1215" i="26" s="1"/>
  <c r="T1215" i="26" s="1"/>
  <c r="P1232" i="26"/>
  <c r="Q1232" i="26" s="1"/>
  <c r="T1232" i="26" s="1"/>
  <c r="P1233" i="26"/>
  <c r="Q1233" i="26" s="1"/>
  <c r="T1233" i="26" s="1"/>
  <c r="P1234" i="26"/>
  <c r="Q1234" i="26" s="1"/>
  <c r="T1234" i="26" s="1"/>
  <c r="P1231" i="26"/>
  <c r="Q1231" i="26" s="1"/>
  <c r="T1231" i="26" s="1"/>
  <c r="P1235" i="26"/>
  <c r="Q1235" i="26" s="1"/>
  <c r="T1235" i="26" s="1"/>
  <c r="H5" i="25"/>
  <c r="P27" i="26"/>
  <c r="Q27" i="26" s="1"/>
  <c r="T27" i="26" s="1"/>
  <c r="P28" i="26"/>
  <c r="Q28" i="26" s="1"/>
  <c r="T28" i="26" s="1"/>
  <c r="P29" i="26"/>
  <c r="Q29" i="26" s="1"/>
  <c r="T29" i="26" s="1"/>
  <c r="P30" i="26"/>
  <c r="Q30" i="26" s="1"/>
  <c r="T30" i="26" s="1"/>
  <c r="P47" i="26"/>
  <c r="Q47" i="26" s="1"/>
  <c r="T47" i="26" s="1"/>
  <c r="P44" i="26"/>
  <c r="Q44" i="26" s="1"/>
  <c r="T44" i="26" s="1"/>
  <c r="P48" i="26"/>
  <c r="Q48" i="26" s="1"/>
  <c r="T48" i="26" s="1"/>
  <c r="P45" i="26"/>
  <c r="Q45" i="26" s="1"/>
  <c r="T45" i="26" s="1"/>
  <c r="P46" i="26"/>
  <c r="Q46" i="26" s="1"/>
  <c r="T46" i="26" s="1"/>
  <c r="P63" i="26"/>
  <c r="Q63" i="26" s="1"/>
  <c r="T63" i="26" s="1"/>
  <c r="P64" i="26"/>
  <c r="Q64" i="26" s="1"/>
  <c r="T64" i="26" s="1"/>
  <c r="P65" i="26"/>
  <c r="Q65" i="26" s="1"/>
  <c r="T65" i="26" s="1"/>
  <c r="P62" i="26"/>
  <c r="Q62" i="26" s="1"/>
  <c r="T62" i="26" s="1"/>
  <c r="P79" i="26"/>
  <c r="Q79" i="26" s="1"/>
  <c r="T79" i="26" s="1"/>
  <c r="P80" i="26"/>
  <c r="Q80" i="26" s="1"/>
  <c r="T80" i="26" s="1"/>
  <c r="P81" i="26"/>
  <c r="Q81" i="26" s="1"/>
  <c r="T81" i="26" s="1"/>
  <c r="P82" i="26"/>
  <c r="Q82" i="26" s="1"/>
  <c r="T82" i="26" s="1"/>
  <c r="P99" i="26"/>
  <c r="Q99" i="26" s="1"/>
  <c r="T99" i="26" s="1"/>
  <c r="P96" i="26"/>
  <c r="Q96" i="26" s="1"/>
  <c r="T96" i="26" s="1"/>
  <c r="P100" i="26"/>
  <c r="Q100" i="26" s="1"/>
  <c r="T100" i="26" s="1"/>
  <c r="P97" i="26"/>
  <c r="Q97" i="26" s="1"/>
  <c r="T97" i="26" s="1"/>
  <c r="P98" i="26"/>
  <c r="Q98" i="26" s="1"/>
  <c r="T98" i="26" s="1"/>
  <c r="P115" i="26"/>
  <c r="Q115" i="26" s="1"/>
  <c r="T115" i="26" s="1"/>
  <c r="P116" i="26"/>
  <c r="Q116" i="26" s="1"/>
  <c r="T116" i="26" s="1"/>
  <c r="P117" i="26"/>
  <c r="Q117" i="26" s="1"/>
  <c r="T117" i="26" s="1"/>
  <c r="P114" i="26"/>
  <c r="Q114" i="26" s="1"/>
  <c r="T114" i="26" s="1"/>
  <c r="P303" i="26"/>
  <c r="Q303" i="26" s="1"/>
  <c r="T303" i="26" s="1"/>
  <c r="P304" i="26"/>
  <c r="Q304" i="26" s="1"/>
  <c r="T304" i="26" s="1"/>
  <c r="P301" i="26"/>
  <c r="Q301" i="26" s="1"/>
  <c r="T301" i="26" s="1"/>
  <c r="P302" i="26"/>
  <c r="Q302" i="26" s="1"/>
  <c r="T302" i="26" s="1"/>
  <c r="P319" i="26"/>
  <c r="Q319" i="26" s="1"/>
  <c r="T319" i="26" s="1"/>
  <c r="P320" i="26"/>
  <c r="Q320" i="26" s="1"/>
  <c r="T320" i="26" s="1"/>
  <c r="P321" i="26"/>
  <c r="Q321" i="26" s="1"/>
  <c r="T321" i="26" s="1"/>
  <c r="P322" i="26"/>
  <c r="Q322" i="26" s="1"/>
  <c r="T322" i="26" s="1"/>
  <c r="P318" i="26"/>
  <c r="Q318" i="26" s="1"/>
  <c r="T318" i="26" s="1"/>
  <c r="P339" i="26"/>
  <c r="Q339" i="26" s="1"/>
  <c r="T339" i="26" s="1"/>
  <c r="P336" i="26"/>
  <c r="Q336" i="26" s="1"/>
  <c r="T336" i="26" s="1"/>
  <c r="P337" i="26"/>
  <c r="Q337" i="26" s="1"/>
  <c r="T337" i="26" s="1"/>
  <c r="P338" i="26"/>
  <c r="Q338" i="26" s="1"/>
  <c r="T338" i="26" s="1"/>
  <c r="P355" i="26"/>
  <c r="Q355" i="26" s="1"/>
  <c r="T355" i="26" s="1"/>
  <c r="P356" i="26"/>
  <c r="Q356" i="26" s="1"/>
  <c r="T356" i="26" s="1"/>
  <c r="P353" i="26"/>
  <c r="Q353" i="26" s="1"/>
  <c r="T353" i="26" s="1"/>
  <c r="P354" i="26"/>
  <c r="Q354" i="26" s="1"/>
  <c r="T354" i="26" s="1"/>
  <c r="P371" i="26"/>
  <c r="Q371" i="26" s="1"/>
  <c r="T371" i="26" s="1"/>
  <c r="P372" i="26"/>
  <c r="Q372" i="26" s="1"/>
  <c r="T372" i="26" s="1"/>
  <c r="P373" i="26"/>
  <c r="Q373" i="26" s="1"/>
  <c r="T373" i="26" s="1"/>
  <c r="P370" i="26"/>
  <c r="Q370" i="26" s="1"/>
  <c r="T370" i="26" s="1"/>
  <c r="P374" i="26"/>
  <c r="Q374" i="26" s="1"/>
  <c r="T374" i="26" s="1"/>
  <c r="H92" i="25"/>
  <c r="P391" i="26"/>
  <c r="Q391" i="26" s="1"/>
  <c r="T391" i="26" s="1"/>
  <c r="P388" i="26"/>
  <c r="Q388" i="26" s="1"/>
  <c r="T388" i="26" s="1"/>
  <c r="P389" i="26"/>
  <c r="Q389" i="26" s="1"/>
  <c r="T389" i="26" s="1"/>
  <c r="P390" i="26"/>
  <c r="Q390" i="26" s="1"/>
  <c r="T390" i="26" s="1"/>
  <c r="P407" i="26"/>
  <c r="Q407" i="26" s="1"/>
  <c r="T407" i="26" s="1"/>
  <c r="P408" i="26"/>
  <c r="Q408" i="26" s="1"/>
  <c r="T408" i="26" s="1"/>
  <c r="P405" i="26"/>
  <c r="Q405" i="26" s="1"/>
  <c r="T405" i="26" s="1"/>
  <c r="P406" i="26"/>
  <c r="Q406" i="26" s="1"/>
  <c r="T406" i="26" s="1"/>
  <c r="P423" i="26"/>
  <c r="Q423" i="26" s="1"/>
  <c r="T423" i="26" s="1"/>
  <c r="P424" i="26"/>
  <c r="Q424" i="26" s="1"/>
  <c r="T424" i="26" s="1"/>
  <c r="P425" i="26"/>
  <c r="Q425" i="26" s="1"/>
  <c r="T425" i="26" s="1"/>
  <c r="P426" i="26"/>
  <c r="Q426" i="26" s="1"/>
  <c r="T426" i="26" s="1"/>
  <c r="P443" i="26"/>
  <c r="Q443" i="26" s="1"/>
  <c r="T443" i="26" s="1"/>
  <c r="P440" i="26"/>
  <c r="Q440" i="26" s="1"/>
  <c r="T440" i="26" s="1"/>
  <c r="P441" i="26"/>
  <c r="Q441" i="26" s="1"/>
  <c r="T441" i="26" s="1"/>
  <c r="P442" i="26"/>
  <c r="Q442" i="26" s="1"/>
  <c r="T442" i="26" s="1"/>
  <c r="P459" i="26"/>
  <c r="Q459" i="26" s="1"/>
  <c r="T459" i="26" s="1"/>
  <c r="P460" i="26"/>
  <c r="Q460" i="26" s="1"/>
  <c r="T460" i="26" s="1"/>
  <c r="P457" i="26"/>
  <c r="Q457" i="26" s="1"/>
  <c r="T457" i="26" s="1"/>
  <c r="P461" i="26"/>
  <c r="Q461" i="26" s="1"/>
  <c r="T461" i="26" s="1"/>
  <c r="P458" i="26"/>
  <c r="Q458" i="26" s="1"/>
  <c r="T458" i="26" s="1"/>
  <c r="H112" i="25"/>
  <c r="P475" i="26"/>
  <c r="Q475" i="26" s="1"/>
  <c r="T475" i="26" s="1"/>
  <c r="P476" i="26"/>
  <c r="Q476" i="26" s="1"/>
  <c r="T476" i="26" s="1"/>
  <c r="P477" i="26"/>
  <c r="Q477" i="26" s="1"/>
  <c r="T477" i="26" s="1"/>
  <c r="P478" i="26"/>
  <c r="Q478" i="26" s="1"/>
  <c r="T478" i="26" s="1"/>
  <c r="P495" i="26"/>
  <c r="Q495" i="26" s="1"/>
  <c r="T495" i="26" s="1"/>
  <c r="P496" i="26"/>
  <c r="Q496" i="26" s="1"/>
  <c r="T496" i="26" s="1"/>
  <c r="P492" i="26"/>
  <c r="Q492" i="26" s="1"/>
  <c r="T492" i="26" s="1"/>
  <c r="P493" i="26"/>
  <c r="Q493" i="26" s="1"/>
  <c r="T493" i="26" s="1"/>
  <c r="U493" i="26" s="1"/>
  <c r="G493" i="1" s="1"/>
  <c r="P494" i="26"/>
  <c r="Q494" i="26" s="1"/>
  <c r="T494" i="26" s="1"/>
  <c r="P511" i="26"/>
  <c r="Q511" i="26" s="1"/>
  <c r="T511" i="26" s="1"/>
  <c r="P512" i="26"/>
  <c r="Q512" i="26" s="1"/>
  <c r="T512" i="26" s="1"/>
  <c r="P509" i="26"/>
  <c r="Q509" i="26" s="1"/>
  <c r="T509" i="26" s="1"/>
  <c r="P513" i="26"/>
  <c r="Q513" i="26" s="1"/>
  <c r="T513" i="26" s="1"/>
  <c r="P510" i="26"/>
  <c r="Q510" i="26" s="1"/>
  <c r="T510" i="26" s="1"/>
  <c r="P527" i="26"/>
  <c r="Q527" i="26" s="1"/>
  <c r="T527" i="26" s="1"/>
  <c r="P528" i="26"/>
  <c r="Q528" i="26" s="1"/>
  <c r="T528" i="26" s="1"/>
  <c r="P529" i="26"/>
  <c r="Q529" i="26" s="1"/>
  <c r="T529" i="26" s="1"/>
  <c r="P530" i="26"/>
  <c r="Q530" i="26" s="1"/>
  <c r="T530" i="26" s="1"/>
  <c r="P547" i="26"/>
  <c r="Q547" i="26" s="1"/>
  <c r="T547" i="26" s="1"/>
  <c r="P548" i="26"/>
  <c r="Q548" i="26" s="1"/>
  <c r="T548" i="26" s="1"/>
  <c r="P544" i="26"/>
  <c r="Q544" i="26" s="1"/>
  <c r="T544" i="26" s="1"/>
  <c r="P545" i="26"/>
  <c r="Q545" i="26" s="1"/>
  <c r="T545" i="26" s="1"/>
  <c r="P546" i="26"/>
  <c r="Q546" i="26" s="1"/>
  <c r="T546" i="26" s="1"/>
  <c r="P563" i="26"/>
  <c r="Q563" i="26" s="1"/>
  <c r="T563" i="26" s="1"/>
  <c r="P564" i="26"/>
  <c r="Q564" i="26" s="1"/>
  <c r="T564" i="26" s="1"/>
  <c r="P565" i="26"/>
  <c r="Q565" i="26" s="1"/>
  <c r="T565" i="26" s="1"/>
  <c r="P562" i="26"/>
  <c r="Q562" i="26" s="1"/>
  <c r="T562" i="26" s="1"/>
  <c r="P583" i="26"/>
  <c r="Q583" i="26" s="1"/>
  <c r="T583" i="26" s="1"/>
  <c r="P579" i="26"/>
  <c r="Q579" i="26" s="1"/>
  <c r="T579" i="26" s="1"/>
  <c r="P580" i="26"/>
  <c r="Q580" i="26" s="1"/>
  <c r="T580" i="26" s="1"/>
  <c r="P581" i="26"/>
  <c r="Q581" i="26" s="1"/>
  <c r="T581" i="26" s="1"/>
  <c r="P582" i="26"/>
  <c r="Q582" i="26" s="1"/>
  <c r="T582" i="26" s="1"/>
  <c r="P599" i="26"/>
  <c r="Q599" i="26" s="1"/>
  <c r="T599" i="26" s="1"/>
  <c r="P600" i="26"/>
  <c r="Q600" i="26" s="1"/>
  <c r="T600" i="26" s="1"/>
  <c r="P597" i="26"/>
  <c r="Q597" i="26" s="1"/>
  <c r="T597" i="26" s="1"/>
  <c r="P598" i="26"/>
  <c r="Q598" i="26" s="1"/>
  <c r="T598" i="26" s="1"/>
  <c r="P615" i="26"/>
  <c r="Q615" i="26" s="1"/>
  <c r="T615" i="26" s="1"/>
  <c r="P616" i="26"/>
  <c r="Q616" i="26" s="1"/>
  <c r="T616" i="26" s="1"/>
  <c r="P617" i="26"/>
  <c r="Q617" i="26" s="1"/>
  <c r="T617" i="26" s="1"/>
  <c r="P614" i="26"/>
  <c r="Q614" i="26" s="1"/>
  <c r="T614" i="26" s="1"/>
  <c r="P631" i="26"/>
  <c r="Q631" i="26" s="1"/>
  <c r="T631" i="26" s="1"/>
  <c r="P635" i="26"/>
  <c r="Q635" i="26" s="1"/>
  <c r="T635" i="26" s="1"/>
  <c r="P633" i="26"/>
  <c r="Q633" i="26" s="1"/>
  <c r="T633" i="26" s="1"/>
  <c r="P632" i="26"/>
  <c r="Q632" i="26" s="1"/>
  <c r="T632" i="26" s="1"/>
  <c r="P634" i="26"/>
  <c r="Q634" i="26" s="1"/>
  <c r="T634" i="26" s="1"/>
  <c r="H223" i="25"/>
  <c r="P975" i="26"/>
  <c r="Q975" i="26" s="1"/>
  <c r="T975" i="26" s="1"/>
  <c r="P976" i="26"/>
  <c r="Q976" i="26" s="1"/>
  <c r="T976" i="26" s="1"/>
  <c r="P977" i="26"/>
  <c r="Q977" i="26" s="1"/>
  <c r="T977" i="26" s="1"/>
  <c r="P978" i="26"/>
  <c r="Q978" i="26" s="1"/>
  <c r="T978" i="26" s="1"/>
  <c r="P1252" i="26"/>
  <c r="Q1252" i="26" s="1"/>
  <c r="T1252" i="26" s="1"/>
  <c r="P1249" i="26"/>
  <c r="Q1249" i="26" s="1"/>
  <c r="T1249" i="26" s="1"/>
  <c r="P1250" i="26"/>
  <c r="Q1250" i="26" s="1"/>
  <c r="T1250" i="26" s="1"/>
  <c r="P1251" i="26"/>
  <c r="Q1251" i="26" s="1"/>
  <c r="T1251" i="26" s="1"/>
  <c r="P1269" i="26"/>
  <c r="Q1269" i="26" s="1"/>
  <c r="T1269" i="26" s="1"/>
  <c r="P1266" i="26"/>
  <c r="Q1266" i="26" s="1"/>
  <c r="T1266" i="26" s="1"/>
  <c r="P1270" i="26"/>
  <c r="Q1270" i="26" s="1"/>
  <c r="T1270" i="26" s="1"/>
  <c r="P1268" i="26"/>
  <c r="Q1268" i="26" s="1"/>
  <c r="T1268" i="26" s="1"/>
  <c r="P1267" i="26"/>
  <c r="Q1267" i="26" s="1"/>
  <c r="T1267" i="26" s="1"/>
  <c r="P1284" i="26"/>
  <c r="Q1284" i="26" s="1"/>
  <c r="T1284" i="26" s="1"/>
  <c r="P1285" i="26"/>
  <c r="Q1285" i="26" s="1"/>
  <c r="T1285" i="26" s="1"/>
  <c r="P1286" i="26"/>
  <c r="Q1286" i="26" s="1"/>
  <c r="T1286" i="26" s="1"/>
  <c r="P1283" i="26"/>
  <c r="Q1283" i="26" s="1"/>
  <c r="T1283" i="26" s="1"/>
  <c r="P1287" i="26"/>
  <c r="Q1287" i="26" s="1"/>
  <c r="T1287" i="26" s="1"/>
  <c r="P1304" i="26"/>
  <c r="Q1304" i="26" s="1"/>
  <c r="T1304" i="26" s="1"/>
  <c r="P1301" i="26"/>
  <c r="Q1301" i="26" s="1"/>
  <c r="T1301" i="26" s="1"/>
  <c r="P1302" i="26"/>
  <c r="Q1302" i="26" s="1"/>
  <c r="T1302" i="26" s="1"/>
  <c r="P1303" i="26"/>
  <c r="Q1303" i="26" s="1"/>
  <c r="T1303" i="26" s="1"/>
  <c r="P1321" i="26"/>
  <c r="Q1321" i="26" s="1"/>
  <c r="T1321" i="26" s="1"/>
  <c r="P1318" i="26"/>
  <c r="Q1318" i="26" s="1"/>
  <c r="T1318" i="26" s="1"/>
  <c r="P1322" i="26"/>
  <c r="Q1322" i="26" s="1"/>
  <c r="T1322" i="26" s="1"/>
  <c r="P1319" i="26"/>
  <c r="Q1319" i="26" s="1"/>
  <c r="T1319" i="26" s="1"/>
  <c r="U1319" i="26" s="1"/>
  <c r="G1319" i="1" s="1"/>
  <c r="P1320" i="26"/>
  <c r="Q1320" i="26" s="1"/>
  <c r="T1320" i="26" s="1"/>
  <c r="P1339" i="26"/>
  <c r="Q1339" i="26" s="1"/>
  <c r="T1339" i="26" s="1"/>
  <c r="P1337" i="26"/>
  <c r="Q1337" i="26" s="1"/>
  <c r="T1337" i="26" s="1"/>
  <c r="P1336" i="26"/>
  <c r="Q1336" i="26" s="1"/>
  <c r="T1336" i="26" s="1"/>
  <c r="P1338" i="26"/>
  <c r="Q1338" i="26" s="1"/>
  <c r="T1338" i="26" s="1"/>
  <c r="P1335" i="26"/>
  <c r="Q1335" i="26" s="1"/>
  <c r="T1335" i="26" s="1"/>
  <c r="P1356" i="26"/>
  <c r="Q1356" i="26" s="1"/>
  <c r="T1356" i="26" s="1"/>
  <c r="P1353" i="26"/>
  <c r="Q1353" i="26" s="1"/>
  <c r="T1353" i="26" s="1"/>
  <c r="P1355" i="26"/>
  <c r="Q1355" i="26" s="1"/>
  <c r="T1355" i="26" s="1"/>
  <c r="P1354" i="26"/>
  <c r="Q1354" i="26" s="1"/>
  <c r="T1354" i="26" s="1"/>
  <c r="P1373" i="26"/>
  <c r="Q1373" i="26" s="1"/>
  <c r="T1373" i="26" s="1"/>
  <c r="P1374" i="26"/>
  <c r="Q1374" i="26" s="1"/>
  <c r="T1374" i="26" s="1"/>
  <c r="P1372" i="26"/>
  <c r="Q1372" i="26" s="1"/>
  <c r="T1372" i="26" s="1"/>
  <c r="P1371" i="26"/>
  <c r="Q1371" i="26" s="1"/>
  <c r="T1371" i="26" s="1"/>
  <c r="P1370" i="26"/>
  <c r="Q1370" i="26" s="1"/>
  <c r="T1370" i="26" s="1"/>
  <c r="R4" i="25"/>
  <c r="R3" i="25"/>
  <c r="D29" i="32"/>
  <c r="E29" i="32" s="1"/>
  <c r="F29" i="32" s="1"/>
  <c r="U3" i="25"/>
  <c r="P23" i="26"/>
  <c r="Q23" i="26" s="1"/>
  <c r="T23" i="26" s="1"/>
  <c r="P24" i="26"/>
  <c r="Q24" i="26" s="1"/>
  <c r="T24" i="26" s="1"/>
  <c r="P25" i="26"/>
  <c r="Q25" i="26" s="1"/>
  <c r="T25" i="26" s="1"/>
  <c r="P26" i="26"/>
  <c r="Q26" i="26" s="1"/>
  <c r="T26" i="26" s="1"/>
  <c r="E3" i="25"/>
  <c r="D25" i="32"/>
  <c r="E25" i="32" s="1"/>
  <c r="F25" i="32" s="1"/>
  <c r="D31" i="32"/>
  <c r="E31" i="32" s="1"/>
  <c r="F31" i="32" s="1"/>
  <c r="C30" i="32"/>
  <c r="P131" i="26"/>
  <c r="Q131" i="26" s="1"/>
  <c r="T131" i="26" s="1"/>
  <c r="P132" i="26"/>
  <c r="Q132" i="26" s="1"/>
  <c r="T132" i="26" s="1"/>
  <c r="P133" i="26"/>
  <c r="Q133" i="26" s="1"/>
  <c r="T133" i="26" s="1"/>
  <c r="P134" i="26"/>
  <c r="Q134" i="26" s="1"/>
  <c r="T134" i="26" s="1"/>
  <c r="P151" i="26"/>
  <c r="Q151" i="26" s="1"/>
  <c r="T151" i="26" s="1"/>
  <c r="P149" i="26"/>
  <c r="Q149" i="26" s="1"/>
  <c r="T149" i="26" s="1"/>
  <c r="P150" i="26"/>
  <c r="Q150" i="26" s="1"/>
  <c r="T150" i="26" s="1"/>
  <c r="P152" i="26"/>
  <c r="Q152" i="26" s="1"/>
  <c r="T152" i="26" s="1"/>
  <c r="H41" i="25"/>
  <c r="P169" i="26"/>
  <c r="Q169" i="26" s="1"/>
  <c r="T169" i="26" s="1"/>
  <c r="P166" i="26"/>
  <c r="Q166" i="26" s="1"/>
  <c r="T166" i="26" s="1"/>
  <c r="P167" i="26"/>
  <c r="Q167" i="26" s="1"/>
  <c r="T167" i="26" s="1"/>
  <c r="P168" i="26"/>
  <c r="Q168" i="26" s="1"/>
  <c r="T168" i="26" s="1"/>
  <c r="P187" i="26"/>
  <c r="Q187" i="26" s="1"/>
  <c r="T187" i="26" s="1"/>
  <c r="P184" i="26"/>
  <c r="Q184" i="26" s="1"/>
  <c r="T184" i="26" s="1"/>
  <c r="P185" i="26"/>
  <c r="Q185" i="26" s="1"/>
  <c r="T185" i="26" s="1"/>
  <c r="P186" i="26"/>
  <c r="Q186" i="26" s="1"/>
  <c r="T186" i="26" s="1"/>
  <c r="P203" i="26"/>
  <c r="Q203" i="26" s="1"/>
  <c r="T203" i="26" s="1"/>
  <c r="P204" i="26"/>
  <c r="Q204" i="26" s="1"/>
  <c r="T204" i="26" s="1"/>
  <c r="P201" i="26"/>
  <c r="Q201" i="26" s="1"/>
  <c r="T201" i="26" s="1"/>
  <c r="P202" i="26"/>
  <c r="Q202" i="26" s="1"/>
  <c r="T202" i="26" s="1"/>
  <c r="P219" i="26"/>
  <c r="Q219" i="26" s="1"/>
  <c r="T219" i="26" s="1"/>
  <c r="P220" i="26"/>
  <c r="Q220" i="26" s="1"/>
  <c r="T220" i="26" s="1"/>
  <c r="P221" i="26"/>
  <c r="Q221" i="26" s="1"/>
  <c r="T221" i="26" s="1"/>
  <c r="P218" i="26"/>
  <c r="Q218" i="26" s="1"/>
  <c r="T218" i="26" s="1"/>
  <c r="P222" i="26"/>
  <c r="Q222" i="26" s="1"/>
  <c r="T222" i="26" s="1"/>
  <c r="P239" i="26"/>
  <c r="Q239" i="26" s="1"/>
  <c r="T239" i="26" s="1"/>
  <c r="P236" i="26"/>
  <c r="Q236" i="26" s="1"/>
  <c r="T236" i="26" s="1"/>
  <c r="P237" i="26"/>
  <c r="Q237" i="26" s="1"/>
  <c r="T237" i="26" s="1"/>
  <c r="P238" i="26"/>
  <c r="Q238" i="26" s="1"/>
  <c r="T238" i="26" s="1"/>
  <c r="P255" i="26"/>
  <c r="Q255" i="26" s="1"/>
  <c r="T255" i="26" s="1"/>
  <c r="P256" i="26"/>
  <c r="Q256" i="26" s="1"/>
  <c r="T256" i="26" s="1"/>
  <c r="P253" i="26"/>
  <c r="Q253" i="26" s="1"/>
  <c r="T253" i="26" s="1"/>
  <c r="P254" i="26"/>
  <c r="Q254" i="26" s="1"/>
  <c r="T254" i="26" s="1"/>
  <c r="P271" i="26"/>
  <c r="Q271" i="26" s="1"/>
  <c r="T271" i="26" s="1"/>
  <c r="P272" i="26"/>
  <c r="Q272" i="26" s="1"/>
  <c r="T272" i="26" s="1"/>
  <c r="P273" i="26"/>
  <c r="Q273" i="26" s="1"/>
  <c r="T273" i="26" s="1"/>
  <c r="P274" i="26"/>
  <c r="Q274" i="26" s="1"/>
  <c r="T274" i="26" s="1"/>
  <c r="P270" i="26"/>
  <c r="Q270" i="26" s="1"/>
  <c r="T270" i="26" s="1"/>
  <c r="P291" i="26"/>
  <c r="Q291" i="26" s="1"/>
  <c r="T291" i="26" s="1"/>
  <c r="P288" i="26"/>
  <c r="Q288" i="26" s="1"/>
  <c r="T288" i="26" s="1"/>
  <c r="P289" i="26"/>
  <c r="Q289" i="26" s="1"/>
  <c r="T289" i="26" s="1"/>
  <c r="P290" i="26"/>
  <c r="Q290" i="26" s="1"/>
  <c r="T290" i="26" s="1"/>
  <c r="D73" i="25"/>
  <c r="D89" i="25"/>
  <c r="P651" i="26"/>
  <c r="Q651" i="26" s="1"/>
  <c r="T651" i="26" s="1"/>
  <c r="P649" i="26"/>
  <c r="Q649" i="26" s="1"/>
  <c r="T649" i="26" s="1"/>
  <c r="P650" i="26"/>
  <c r="Q650" i="26" s="1"/>
  <c r="T650" i="26" s="1"/>
  <c r="P652" i="26"/>
  <c r="Q652" i="26" s="1"/>
  <c r="T652" i="26" s="1"/>
  <c r="P667" i="26"/>
  <c r="Q667" i="26" s="1"/>
  <c r="T667" i="26" s="1"/>
  <c r="P669" i="26"/>
  <c r="Q669" i="26" s="1"/>
  <c r="T669" i="26" s="1"/>
  <c r="P666" i="26"/>
  <c r="Q666" i="26" s="1"/>
  <c r="T666" i="26" s="1"/>
  <c r="P668" i="26"/>
  <c r="Q668" i="26" s="1"/>
  <c r="T668" i="26" s="1"/>
  <c r="H160" i="25"/>
  <c r="P687" i="26"/>
  <c r="Q687" i="26" s="1"/>
  <c r="T687" i="26" s="1"/>
  <c r="P683" i="26"/>
  <c r="Q683" i="26" s="1"/>
  <c r="T683" i="26" s="1"/>
  <c r="P685" i="26"/>
  <c r="Q685" i="26" s="1"/>
  <c r="T685" i="26" s="1"/>
  <c r="P686" i="26"/>
  <c r="Q686" i="26" s="1"/>
  <c r="T686" i="26" s="1"/>
  <c r="P684" i="26"/>
  <c r="Q684" i="26" s="1"/>
  <c r="T684" i="26" s="1"/>
  <c r="P703" i="26"/>
  <c r="Q703" i="26" s="1"/>
  <c r="T703" i="26" s="1"/>
  <c r="P704" i="26"/>
  <c r="Q704" i="26" s="1"/>
  <c r="T704" i="26" s="1"/>
  <c r="P701" i="26"/>
  <c r="Q701" i="26" s="1"/>
  <c r="T701" i="26" s="1"/>
  <c r="P702" i="26"/>
  <c r="Q702" i="26" s="1"/>
  <c r="T702" i="26" s="1"/>
  <c r="P719" i="26"/>
  <c r="Q719" i="26" s="1"/>
  <c r="T719" i="26" s="1"/>
  <c r="P720" i="26"/>
  <c r="Q720" i="26" s="1"/>
  <c r="T720" i="26" s="1"/>
  <c r="P721" i="26"/>
  <c r="Q721" i="26" s="1"/>
  <c r="T721" i="26" s="1"/>
  <c r="P718" i="26"/>
  <c r="Q718" i="26" s="1"/>
  <c r="T718" i="26" s="1"/>
  <c r="P739" i="26"/>
  <c r="Q739" i="26" s="1"/>
  <c r="T739" i="26" s="1"/>
  <c r="P736" i="26"/>
  <c r="Q736" i="26" s="1"/>
  <c r="T736" i="26" s="1"/>
  <c r="P737" i="26"/>
  <c r="Q737" i="26" s="1"/>
  <c r="T737" i="26" s="1"/>
  <c r="P738" i="26"/>
  <c r="Q738" i="26" s="1"/>
  <c r="T738" i="26" s="1"/>
  <c r="P755" i="26"/>
  <c r="Q755" i="26" s="1"/>
  <c r="T755" i="26" s="1"/>
  <c r="P756" i="26"/>
  <c r="Q756" i="26" s="1"/>
  <c r="T756" i="26" s="1"/>
  <c r="P753" i="26"/>
  <c r="Q753" i="26" s="1"/>
  <c r="T753" i="26" s="1"/>
  <c r="P754" i="26"/>
  <c r="Q754" i="26" s="1"/>
  <c r="T754" i="26" s="1"/>
  <c r="P771" i="26"/>
  <c r="Q771" i="26" s="1"/>
  <c r="T771" i="26" s="1"/>
  <c r="P772" i="26"/>
  <c r="Q772" i="26" s="1"/>
  <c r="T772" i="26" s="1"/>
  <c r="U772" i="26" s="1"/>
  <c r="G772" i="1" s="1"/>
  <c r="P773" i="26"/>
  <c r="Q773" i="26" s="1"/>
  <c r="T773" i="26" s="1"/>
  <c r="P770" i="26"/>
  <c r="Q770" i="26" s="1"/>
  <c r="T770" i="26" s="1"/>
  <c r="P774" i="26"/>
  <c r="Q774" i="26" s="1"/>
  <c r="T774" i="26" s="1"/>
  <c r="H184" i="25"/>
  <c r="P791" i="26"/>
  <c r="Q791" i="26" s="1"/>
  <c r="T791" i="26" s="1"/>
  <c r="P788" i="26"/>
  <c r="Q788" i="26" s="1"/>
  <c r="T788" i="26" s="1"/>
  <c r="P789" i="26"/>
  <c r="Q789" i="26" s="1"/>
  <c r="T789" i="26" s="1"/>
  <c r="P790" i="26"/>
  <c r="Q790" i="26" s="1"/>
  <c r="T790" i="26" s="1"/>
  <c r="P807" i="26"/>
  <c r="Q807" i="26" s="1"/>
  <c r="T807" i="26" s="1"/>
  <c r="P808" i="26"/>
  <c r="Q808" i="26" s="1"/>
  <c r="T808" i="26" s="1"/>
  <c r="P809" i="26"/>
  <c r="Q809" i="26" s="1"/>
  <c r="T809" i="26" s="1"/>
  <c r="P805" i="26"/>
  <c r="Q805" i="26" s="1"/>
  <c r="T805" i="26" s="1"/>
  <c r="P806" i="26"/>
  <c r="Q806" i="26" s="1"/>
  <c r="T806" i="26" s="1"/>
  <c r="P823" i="26"/>
  <c r="Q823" i="26" s="1"/>
  <c r="T823" i="26" s="1"/>
  <c r="P824" i="26"/>
  <c r="Q824" i="26" s="1"/>
  <c r="T824" i="26" s="1"/>
  <c r="P825" i="26"/>
  <c r="Q825" i="26" s="1"/>
  <c r="T825" i="26" s="1"/>
  <c r="P826" i="26"/>
  <c r="Q826" i="26" s="1"/>
  <c r="T826" i="26" s="1"/>
  <c r="P843" i="26"/>
  <c r="Q843" i="26" s="1"/>
  <c r="T843" i="26" s="1"/>
  <c r="P840" i="26"/>
  <c r="Q840" i="26" s="1"/>
  <c r="T840" i="26" s="1"/>
  <c r="P841" i="26"/>
  <c r="Q841" i="26" s="1"/>
  <c r="T841" i="26" s="1"/>
  <c r="P842" i="26"/>
  <c r="Q842" i="26" s="1"/>
  <c r="T842" i="26" s="1"/>
  <c r="P859" i="26"/>
  <c r="Q859" i="26" s="1"/>
  <c r="T859" i="26" s="1"/>
  <c r="P860" i="26"/>
  <c r="Q860" i="26" s="1"/>
  <c r="T860" i="26" s="1"/>
  <c r="P857" i="26"/>
  <c r="Q857" i="26" s="1"/>
  <c r="T857" i="26" s="1"/>
  <c r="P861" i="26"/>
  <c r="Q861" i="26" s="1"/>
  <c r="T861" i="26" s="1"/>
  <c r="P858" i="26"/>
  <c r="Q858" i="26" s="1"/>
  <c r="T858" i="26" s="1"/>
  <c r="P875" i="26"/>
  <c r="Q875" i="26" s="1"/>
  <c r="T875" i="26" s="1"/>
  <c r="P876" i="26"/>
  <c r="Q876" i="26" s="1"/>
  <c r="T876" i="26" s="1"/>
  <c r="P877" i="26"/>
  <c r="Q877" i="26" s="1"/>
  <c r="T877" i="26" s="1"/>
  <c r="P878" i="26"/>
  <c r="Q878" i="26" s="1"/>
  <c r="T878" i="26" s="1"/>
  <c r="H208" i="25"/>
  <c r="P895" i="26"/>
  <c r="Q895" i="26" s="1"/>
  <c r="T895" i="26" s="1"/>
  <c r="P896" i="26"/>
  <c r="Q896" i="26" s="1"/>
  <c r="T896" i="26" s="1"/>
  <c r="P892" i="26"/>
  <c r="Q892" i="26" s="1"/>
  <c r="T892" i="26" s="1"/>
  <c r="P893" i="26"/>
  <c r="Q893" i="26" s="1"/>
  <c r="T893" i="26" s="1"/>
  <c r="P894" i="26"/>
  <c r="Q894" i="26" s="1"/>
  <c r="T894" i="26" s="1"/>
  <c r="P911" i="26"/>
  <c r="Q911" i="26" s="1"/>
  <c r="T911" i="26" s="1"/>
  <c r="P912" i="26"/>
  <c r="Q912" i="26" s="1"/>
  <c r="T912" i="26" s="1"/>
  <c r="P913" i="26"/>
  <c r="Q913" i="26" s="1"/>
  <c r="T913" i="26" s="1"/>
  <c r="P910" i="26"/>
  <c r="Q910" i="26" s="1"/>
  <c r="T910" i="26" s="1"/>
  <c r="P927" i="26"/>
  <c r="Q927" i="26" s="1"/>
  <c r="T927" i="26" s="1"/>
  <c r="P928" i="26"/>
  <c r="Q928" i="26" s="1"/>
  <c r="T928" i="26" s="1"/>
  <c r="P929" i="26"/>
  <c r="Q929" i="26" s="1"/>
  <c r="T929" i="26" s="1"/>
  <c r="P930" i="26"/>
  <c r="Q930" i="26" s="1"/>
  <c r="T930" i="26" s="1"/>
  <c r="P947" i="26"/>
  <c r="Q947" i="26" s="1"/>
  <c r="T947" i="26" s="1"/>
  <c r="P944" i="26"/>
  <c r="Q944" i="26" s="1"/>
  <c r="T944" i="26" s="1"/>
  <c r="P948" i="26"/>
  <c r="Q948" i="26" s="1"/>
  <c r="T948" i="26" s="1"/>
  <c r="P945" i="26"/>
  <c r="Q945" i="26" s="1"/>
  <c r="T945" i="26" s="1"/>
  <c r="P946" i="26"/>
  <c r="Q946" i="26" s="1"/>
  <c r="T946" i="26" s="1"/>
  <c r="X225" i="25"/>
  <c r="P995" i="26"/>
  <c r="Q995" i="26" s="1"/>
  <c r="T995" i="26" s="1"/>
  <c r="P996" i="26"/>
  <c r="Q996" i="26" s="1"/>
  <c r="T996" i="26" s="1"/>
  <c r="P992" i="26"/>
  <c r="Q992" i="26" s="1"/>
  <c r="T992" i="26" s="1"/>
  <c r="P993" i="26"/>
  <c r="Q993" i="26" s="1"/>
  <c r="T993" i="26" s="1"/>
  <c r="P994" i="26"/>
  <c r="Q994" i="26" s="1"/>
  <c r="T994" i="26" s="1"/>
  <c r="P1011" i="26"/>
  <c r="Q1011" i="26" s="1"/>
  <c r="T1011" i="26" s="1"/>
  <c r="P1012" i="26"/>
  <c r="Q1012" i="26" s="1"/>
  <c r="T1012" i="26" s="1"/>
  <c r="P1013" i="26"/>
  <c r="Q1013" i="26" s="1"/>
  <c r="T1013" i="26" s="1"/>
  <c r="P1010" i="26"/>
  <c r="Q1010" i="26" s="1"/>
  <c r="T1010" i="26" s="1"/>
  <c r="P1027" i="26"/>
  <c r="Q1027" i="26" s="1"/>
  <c r="T1027" i="26" s="1"/>
  <c r="P1028" i="26"/>
  <c r="Q1028" i="26" s="1"/>
  <c r="T1028" i="26" s="1"/>
  <c r="P1029" i="26"/>
  <c r="Q1029" i="26" s="1"/>
  <c r="T1029" i="26" s="1"/>
  <c r="P1030" i="26"/>
  <c r="Q1030" i="26" s="1"/>
  <c r="T1030" i="26" s="1"/>
  <c r="P1047" i="26"/>
  <c r="Q1047" i="26" s="1"/>
  <c r="T1047" i="26" s="1"/>
  <c r="P1044" i="26"/>
  <c r="Q1044" i="26" s="1"/>
  <c r="T1044" i="26" s="1"/>
  <c r="P1048" i="26"/>
  <c r="Q1048" i="26" s="1"/>
  <c r="T1048" i="26" s="1"/>
  <c r="P1045" i="26"/>
  <c r="Q1045" i="26" s="1"/>
  <c r="T1045" i="26" s="1"/>
  <c r="P1046" i="26"/>
  <c r="Q1046" i="26" s="1"/>
  <c r="T1046" i="26" s="1"/>
  <c r="P1063" i="26"/>
  <c r="Q1063" i="26" s="1"/>
  <c r="T1063" i="26" s="1"/>
  <c r="P1064" i="26"/>
  <c r="Q1064" i="26" s="1"/>
  <c r="T1064" i="26" s="1"/>
  <c r="P1065" i="26"/>
  <c r="Q1065" i="26" s="1"/>
  <c r="T1065" i="26" s="1"/>
  <c r="P1062" i="26"/>
  <c r="Q1062" i="26" s="1"/>
  <c r="T1062" i="26" s="1"/>
  <c r="P1079" i="26"/>
  <c r="Q1079" i="26" s="1"/>
  <c r="T1079" i="26" s="1"/>
  <c r="P1080" i="26"/>
  <c r="Q1080" i="26" s="1"/>
  <c r="T1080" i="26" s="1"/>
  <c r="P1081" i="26"/>
  <c r="Q1081" i="26" s="1"/>
  <c r="T1081" i="26" s="1"/>
  <c r="P1082" i="26"/>
  <c r="Q1082" i="26" s="1"/>
  <c r="T1082" i="26" s="1"/>
  <c r="P1099" i="26"/>
  <c r="Q1099" i="26" s="1"/>
  <c r="T1099" i="26" s="1"/>
  <c r="P1100" i="26"/>
  <c r="Q1100" i="26" s="1"/>
  <c r="T1100" i="26" s="1"/>
  <c r="P1096" i="26"/>
  <c r="Q1096" i="26" s="1"/>
  <c r="T1096" i="26" s="1"/>
  <c r="P1097" i="26"/>
  <c r="Q1097" i="26" s="1"/>
  <c r="T1097" i="26" s="1"/>
  <c r="P1098" i="26"/>
  <c r="Q1098" i="26" s="1"/>
  <c r="T1098" i="26" s="1"/>
  <c r="P1115" i="26"/>
  <c r="Q1115" i="26" s="1"/>
  <c r="T1115" i="26" s="1"/>
  <c r="P1116" i="26"/>
  <c r="Q1116" i="26" s="1"/>
  <c r="T1116" i="26" s="1"/>
  <c r="P1117" i="26"/>
  <c r="Q1117" i="26" s="1"/>
  <c r="T1117" i="26" s="1"/>
  <c r="P1114" i="26"/>
  <c r="Q1114" i="26" s="1"/>
  <c r="T1114" i="26" s="1"/>
  <c r="H263" i="25"/>
  <c r="P1131" i="26"/>
  <c r="Q1131" i="26" s="1"/>
  <c r="T1131" i="26" s="1"/>
  <c r="P1135" i="26"/>
  <c r="Q1135" i="26" s="1"/>
  <c r="T1135" i="26" s="1"/>
  <c r="P1132" i="26"/>
  <c r="Q1132" i="26" s="1"/>
  <c r="T1132" i="26" s="1"/>
  <c r="P1133" i="26"/>
  <c r="Q1133" i="26" s="1"/>
  <c r="T1133" i="26" s="1"/>
  <c r="P1134" i="26"/>
  <c r="Q1134" i="26" s="1"/>
  <c r="T1134" i="26" s="1"/>
  <c r="P1151" i="26"/>
  <c r="Q1151" i="26" s="1"/>
  <c r="T1151" i="26" s="1"/>
  <c r="P1152" i="26"/>
  <c r="Q1152" i="26" s="1"/>
  <c r="T1152" i="26" s="1"/>
  <c r="P1149" i="26"/>
  <c r="Q1149" i="26" s="1"/>
  <c r="T1149" i="26" s="1"/>
  <c r="P1150" i="26"/>
  <c r="Q1150" i="26" s="1"/>
  <c r="T1150" i="26" s="1"/>
  <c r="P1167" i="26"/>
  <c r="Q1167" i="26" s="1"/>
  <c r="T1167" i="26" s="1"/>
  <c r="P1168" i="26"/>
  <c r="Q1168" i="26" s="1"/>
  <c r="T1168" i="26" s="1"/>
  <c r="P1169" i="26"/>
  <c r="Q1169" i="26" s="1"/>
  <c r="T1169" i="26" s="1"/>
  <c r="P1166" i="26"/>
  <c r="Q1166" i="26" s="1"/>
  <c r="T1166" i="26" s="1"/>
  <c r="P1187" i="26"/>
  <c r="Q1187" i="26" s="1"/>
  <c r="T1187" i="26" s="1"/>
  <c r="P1183" i="26"/>
  <c r="Q1183" i="26" s="1"/>
  <c r="T1183" i="26" s="1"/>
  <c r="P1184" i="26"/>
  <c r="Q1184" i="26" s="1"/>
  <c r="T1184" i="26" s="1"/>
  <c r="P1185" i="26"/>
  <c r="Q1185" i="26" s="1"/>
  <c r="T1185" i="26" s="1"/>
  <c r="P1186" i="26"/>
  <c r="Q1186" i="26" s="1"/>
  <c r="T1186" i="26" s="1"/>
  <c r="P1203" i="26"/>
  <c r="Q1203" i="26" s="1"/>
  <c r="T1203" i="26" s="1"/>
  <c r="P1204" i="26"/>
  <c r="Q1204" i="26" s="1"/>
  <c r="T1204" i="26" s="1"/>
  <c r="P1201" i="26"/>
  <c r="Q1201" i="26" s="1"/>
  <c r="T1201" i="26" s="1"/>
  <c r="P1202" i="26"/>
  <c r="Q1202" i="26" s="1"/>
  <c r="T1202" i="26" s="1"/>
  <c r="P1220" i="26"/>
  <c r="Q1220" i="26" s="1"/>
  <c r="T1220" i="26" s="1"/>
  <c r="P1221" i="26"/>
  <c r="Q1221" i="26" s="1"/>
  <c r="T1221" i="26" s="1"/>
  <c r="P1218" i="26"/>
  <c r="Q1218" i="26" s="1"/>
  <c r="T1218" i="26" s="1"/>
  <c r="P1222" i="26"/>
  <c r="Q1222" i="26" s="1"/>
  <c r="T1222" i="26" s="1"/>
  <c r="P1219" i="26"/>
  <c r="Q1219" i="26" s="1"/>
  <c r="T1219" i="26" s="1"/>
  <c r="P1236" i="26"/>
  <c r="Q1236" i="26" s="1"/>
  <c r="T1236" i="26" s="1"/>
  <c r="P1237" i="26"/>
  <c r="Q1237" i="26" s="1"/>
  <c r="T1237" i="26" s="1"/>
  <c r="P1238" i="26"/>
  <c r="Q1238" i="26" s="1"/>
  <c r="T1238" i="26" s="1"/>
  <c r="P1239" i="26"/>
  <c r="Q1239" i="26" s="1"/>
  <c r="T1239" i="26" s="1"/>
  <c r="H18" i="25"/>
  <c r="P67" i="26"/>
  <c r="Q67" i="26" s="1"/>
  <c r="T67" i="26" s="1"/>
  <c r="P68" i="26"/>
  <c r="Q68" i="26" s="1"/>
  <c r="T68" i="26" s="1"/>
  <c r="P69" i="26"/>
  <c r="Q69" i="26" s="1"/>
  <c r="T69" i="26" s="1"/>
  <c r="P66" i="26"/>
  <c r="Q66" i="26" s="1"/>
  <c r="T66" i="26" s="1"/>
  <c r="P83" i="26"/>
  <c r="Q83" i="26" s="1"/>
  <c r="T83" i="26" s="1"/>
  <c r="P87" i="26"/>
  <c r="Q87" i="26" s="1"/>
  <c r="T87" i="26" s="1"/>
  <c r="P84" i="26"/>
  <c r="Q84" i="26" s="1"/>
  <c r="T84" i="26" s="1"/>
  <c r="P85" i="26"/>
  <c r="Q85" i="26" s="1"/>
  <c r="T85" i="26" s="1"/>
  <c r="P86" i="26"/>
  <c r="Q86" i="26" s="1"/>
  <c r="T86" i="26" s="1"/>
  <c r="P103" i="26"/>
  <c r="Q103" i="26" s="1"/>
  <c r="T103" i="26" s="1"/>
  <c r="P104" i="26"/>
  <c r="Q104" i="26" s="1"/>
  <c r="T104" i="26" s="1"/>
  <c r="P101" i="26"/>
  <c r="Q101" i="26" s="1"/>
  <c r="T101" i="26" s="1"/>
  <c r="P102" i="26"/>
  <c r="Q102" i="26" s="1"/>
  <c r="T102" i="26" s="1"/>
  <c r="P119" i="26"/>
  <c r="Q119" i="26" s="1"/>
  <c r="T119" i="26" s="1"/>
  <c r="P120" i="26"/>
  <c r="Q120" i="26" s="1"/>
  <c r="T120" i="26" s="1"/>
  <c r="P121" i="26"/>
  <c r="Q121" i="26" s="1"/>
  <c r="T121" i="26" s="1"/>
  <c r="P118" i="26"/>
  <c r="Q118" i="26" s="1"/>
  <c r="T118" i="26" s="1"/>
  <c r="P122" i="26"/>
  <c r="Q122" i="26" s="1"/>
  <c r="T122" i="26" s="1"/>
  <c r="P307" i="26"/>
  <c r="Q307" i="26" s="1"/>
  <c r="T307" i="26" s="1"/>
  <c r="P308" i="26"/>
  <c r="Q308" i="26" s="1"/>
  <c r="T308" i="26" s="1"/>
  <c r="P305" i="26"/>
  <c r="Q305" i="26" s="1"/>
  <c r="T305" i="26" s="1"/>
  <c r="P306" i="26"/>
  <c r="Q306" i="26" s="1"/>
  <c r="T306" i="26" s="1"/>
  <c r="P323" i="26"/>
  <c r="Q323" i="26" s="1"/>
  <c r="T323" i="26" s="1"/>
  <c r="P324" i="26"/>
  <c r="Q324" i="26" s="1"/>
  <c r="T324" i="26" s="1"/>
  <c r="P325" i="26"/>
  <c r="Q325" i="26" s="1"/>
  <c r="T325" i="26" s="1"/>
  <c r="P326" i="26"/>
  <c r="Q326" i="26" s="1"/>
  <c r="T326" i="26" s="1"/>
  <c r="P343" i="26"/>
  <c r="Q343" i="26" s="1"/>
  <c r="T343" i="26" s="1"/>
  <c r="P340" i="26"/>
  <c r="Q340" i="26" s="1"/>
  <c r="T340" i="26" s="1"/>
  <c r="P341" i="26"/>
  <c r="Q341" i="26" s="1"/>
  <c r="T341" i="26" s="1"/>
  <c r="P342" i="26"/>
  <c r="Q342" i="26" s="1"/>
  <c r="T342" i="26" s="1"/>
  <c r="P359" i="26"/>
  <c r="Q359" i="26" s="1"/>
  <c r="T359" i="26" s="1"/>
  <c r="P360" i="26"/>
  <c r="Q360" i="26" s="1"/>
  <c r="T360" i="26" s="1"/>
  <c r="P361" i="26"/>
  <c r="Q361" i="26" s="1"/>
  <c r="T361" i="26" s="1"/>
  <c r="P357" i="26"/>
  <c r="Q357" i="26" s="1"/>
  <c r="T357" i="26" s="1"/>
  <c r="P358" i="26"/>
  <c r="Q358" i="26" s="1"/>
  <c r="T358" i="26" s="1"/>
  <c r="P375" i="26"/>
  <c r="Q375" i="26" s="1"/>
  <c r="T375" i="26" s="1"/>
  <c r="P376" i="26"/>
  <c r="Q376" i="26" s="1"/>
  <c r="T376" i="26" s="1"/>
  <c r="P377" i="26"/>
  <c r="Q377" i="26" s="1"/>
  <c r="T377" i="26" s="1"/>
  <c r="P378" i="26"/>
  <c r="Q378" i="26" s="1"/>
  <c r="T378" i="26" s="1"/>
  <c r="P395" i="26"/>
  <c r="Q395" i="26" s="1"/>
  <c r="T395" i="26" s="1"/>
  <c r="P392" i="26"/>
  <c r="Q392" i="26" s="1"/>
  <c r="T392" i="26" s="1"/>
  <c r="P393" i="26"/>
  <c r="Q393" i="26" s="1"/>
  <c r="T393" i="26" s="1"/>
  <c r="P394" i="26"/>
  <c r="Q394" i="26" s="1"/>
  <c r="T394" i="26" s="1"/>
  <c r="P411" i="26"/>
  <c r="Q411" i="26" s="1"/>
  <c r="T411" i="26" s="1"/>
  <c r="P412" i="26"/>
  <c r="Q412" i="26" s="1"/>
  <c r="T412" i="26" s="1"/>
  <c r="P409" i="26"/>
  <c r="Q409" i="26" s="1"/>
  <c r="T409" i="26" s="1"/>
  <c r="P413" i="26"/>
  <c r="Q413" i="26" s="1"/>
  <c r="T413" i="26" s="1"/>
  <c r="P410" i="26"/>
  <c r="Q410" i="26" s="1"/>
  <c r="T410" i="26" s="1"/>
  <c r="P427" i="26"/>
  <c r="Q427" i="26" s="1"/>
  <c r="T427" i="26" s="1"/>
  <c r="P428" i="26"/>
  <c r="Q428" i="26" s="1"/>
  <c r="T428" i="26" s="1"/>
  <c r="P429" i="26"/>
  <c r="Q429" i="26" s="1"/>
  <c r="T429" i="26" s="1"/>
  <c r="P430" i="26"/>
  <c r="Q430" i="26" s="1"/>
  <c r="T430" i="26" s="1"/>
  <c r="P447" i="26"/>
  <c r="Q447" i="26" s="1"/>
  <c r="T447" i="26" s="1"/>
  <c r="P444" i="26"/>
  <c r="Q444" i="26" s="1"/>
  <c r="T444" i="26" s="1"/>
  <c r="P445" i="26"/>
  <c r="Q445" i="26" s="1"/>
  <c r="T445" i="26" s="1"/>
  <c r="P446" i="26"/>
  <c r="Q446" i="26" s="1"/>
  <c r="T446" i="26" s="1"/>
  <c r="P463" i="26"/>
  <c r="Q463" i="26" s="1"/>
  <c r="T463" i="26" s="1"/>
  <c r="P464" i="26"/>
  <c r="Q464" i="26" s="1"/>
  <c r="T464" i="26" s="1"/>
  <c r="P465" i="26"/>
  <c r="Q465" i="26" s="1"/>
  <c r="T465" i="26" s="1"/>
  <c r="P462" i="26"/>
  <c r="Q462" i="26" s="1"/>
  <c r="T462" i="26" s="1"/>
  <c r="P479" i="26"/>
  <c r="Q479" i="26" s="1"/>
  <c r="T479" i="26" s="1"/>
  <c r="P480" i="26"/>
  <c r="Q480" i="26" s="1"/>
  <c r="T480" i="26" s="1"/>
  <c r="P481" i="26"/>
  <c r="Q481" i="26" s="1"/>
  <c r="T481" i="26" s="1"/>
  <c r="P482" i="26"/>
  <c r="Q482" i="26" s="1"/>
  <c r="T482" i="26" s="1"/>
  <c r="P499" i="26"/>
  <c r="Q499" i="26" s="1"/>
  <c r="T499" i="26" s="1"/>
  <c r="P500" i="26"/>
  <c r="Q500" i="26" s="1"/>
  <c r="T500" i="26" s="1"/>
  <c r="P497" i="26"/>
  <c r="Q497" i="26" s="1"/>
  <c r="T497" i="26" s="1"/>
  <c r="P498" i="26"/>
  <c r="Q498" i="26" s="1"/>
  <c r="T498" i="26" s="1"/>
  <c r="P515" i="26"/>
  <c r="Q515" i="26" s="1"/>
  <c r="T515" i="26" s="1"/>
  <c r="P516" i="26"/>
  <c r="Q516" i="26" s="1"/>
  <c r="T516" i="26" s="1"/>
  <c r="P517" i="26"/>
  <c r="Q517" i="26" s="1"/>
  <c r="T517" i="26" s="1"/>
  <c r="P514" i="26"/>
  <c r="Q514" i="26" s="1"/>
  <c r="T514" i="26" s="1"/>
  <c r="P535" i="26"/>
  <c r="Q535" i="26" s="1"/>
  <c r="T535" i="26" s="1"/>
  <c r="P531" i="26"/>
  <c r="Q531" i="26" s="1"/>
  <c r="T531" i="26" s="1"/>
  <c r="P532" i="26"/>
  <c r="Q532" i="26" s="1"/>
  <c r="T532" i="26" s="1"/>
  <c r="P533" i="26"/>
  <c r="Q533" i="26" s="1"/>
  <c r="T533" i="26" s="1"/>
  <c r="P534" i="26"/>
  <c r="Q534" i="26" s="1"/>
  <c r="T534" i="26" s="1"/>
  <c r="P551" i="26"/>
  <c r="Q551" i="26" s="1"/>
  <c r="T551" i="26" s="1"/>
  <c r="P552" i="26"/>
  <c r="Q552" i="26" s="1"/>
  <c r="T552" i="26" s="1"/>
  <c r="P549" i="26"/>
  <c r="Q549" i="26" s="1"/>
  <c r="T549" i="26" s="1"/>
  <c r="P550" i="26"/>
  <c r="Q550" i="26" s="1"/>
  <c r="T550" i="26" s="1"/>
  <c r="P567" i="26"/>
  <c r="Q567" i="26" s="1"/>
  <c r="T567" i="26" s="1"/>
  <c r="P568" i="26"/>
  <c r="Q568" i="26" s="1"/>
  <c r="T568" i="26" s="1"/>
  <c r="P569" i="26"/>
  <c r="Q569" i="26" s="1"/>
  <c r="T569" i="26" s="1"/>
  <c r="P566" i="26"/>
  <c r="Q566" i="26" s="1"/>
  <c r="T566" i="26" s="1"/>
  <c r="P587" i="26"/>
  <c r="Q587" i="26" s="1"/>
  <c r="T587" i="26" s="1"/>
  <c r="P584" i="26"/>
  <c r="Q584" i="26" s="1"/>
  <c r="T584" i="26" s="1"/>
  <c r="P585" i="26"/>
  <c r="Q585" i="26" s="1"/>
  <c r="T585" i="26" s="1"/>
  <c r="P586" i="26"/>
  <c r="Q586" i="26" s="1"/>
  <c r="T586" i="26" s="1"/>
  <c r="P603" i="26"/>
  <c r="Q603" i="26" s="1"/>
  <c r="T603" i="26" s="1"/>
  <c r="P604" i="26"/>
  <c r="Q604" i="26" s="1"/>
  <c r="T604" i="26" s="1"/>
  <c r="P601" i="26"/>
  <c r="Q601" i="26" s="1"/>
  <c r="T601" i="26" s="1"/>
  <c r="P602" i="26"/>
  <c r="Q602" i="26" s="1"/>
  <c r="T602" i="26" s="1"/>
  <c r="P619" i="26"/>
  <c r="Q619" i="26" s="1"/>
  <c r="T619" i="26" s="1"/>
  <c r="P620" i="26"/>
  <c r="Q620" i="26" s="1"/>
  <c r="T620" i="26" s="1"/>
  <c r="P621" i="26"/>
  <c r="Q621" i="26" s="1"/>
  <c r="T621" i="26" s="1"/>
  <c r="P622" i="26"/>
  <c r="Q622" i="26" s="1"/>
  <c r="T622" i="26" s="1"/>
  <c r="P618" i="26"/>
  <c r="Q618" i="26" s="1"/>
  <c r="T618" i="26" s="1"/>
  <c r="H224" i="25"/>
  <c r="P963" i="26"/>
  <c r="Q963" i="26" s="1"/>
  <c r="T963" i="26" s="1"/>
  <c r="P964" i="26"/>
  <c r="Q964" i="26" s="1"/>
  <c r="T964" i="26" s="1"/>
  <c r="P965" i="26"/>
  <c r="Q965" i="26" s="1"/>
  <c r="T965" i="26" s="1"/>
  <c r="P962" i="26"/>
  <c r="Q962" i="26" s="1"/>
  <c r="T962" i="26" s="1"/>
  <c r="P979" i="26"/>
  <c r="Q979" i="26" s="1"/>
  <c r="T979" i="26" s="1"/>
  <c r="P980" i="26"/>
  <c r="Q980" i="26" s="1"/>
  <c r="T980" i="26" s="1"/>
  <c r="P981" i="26"/>
  <c r="Q981" i="26" s="1"/>
  <c r="T981" i="26" s="1"/>
  <c r="P982" i="26"/>
  <c r="Q982" i="26" s="1"/>
  <c r="T982" i="26" s="1"/>
  <c r="H291" i="25"/>
  <c r="P1256" i="26"/>
  <c r="Q1256" i="26" s="1"/>
  <c r="T1256" i="26" s="1"/>
  <c r="P1253" i="26"/>
  <c r="Q1253" i="26" s="1"/>
  <c r="T1253" i="26" s="1"/>
  <c r="P1254" i="26"/>
  <c r="Q1254" i="26" s="1"/>
  <c r="T1254" i="26" s="1"/>
  <c r="P1255" i="26"/>
  <c r="Q1255" i="26" s="1"/>
  <c r="T1255" i="26" s="1"/>
  <c r="P1272" i="26"/>
  <c r="Q1272" i="26" s="1"/>
  <c r="T1272" i="26" s="1"/>
  <c r="P1273" i="26"/>
  <c r="Q1273" i="26" s="1"/>
  <c r="T1273" i="26" s="1"/>
  <c r="P1274" i="26"/>
  <c r="Q1274" i="26" s="1"/>
  <c r="T1274" i="26" s="1"/>
  <c r="P1271" i="26"/>
  <c r="Q1271" i="26" s="1"/>
  <c r="T1271" i="26" s="1"/>
  <c r="H299" i="25"/>
  <c r="P1289" i="26"/>
  <c r="Q1289" i="26" s="1"/>
  <c r="T1289" i="26" s="1"/>
  <c r="P1290" i="26"/>
  <c r="Q1290" i="26" s="1"/>
  <c r="T1290" i="26" s="1"/>
  <c r="P1288" i="26"/>
  <c r="Q1288" i="26" s="1"/>
  <c r="T1288" i="26" s="1"/>
  <c r="P1291" i="26"/>
  <c r="Q1291" i="26" s="1"/>
  <c r="T1291" i="26" s="1"/>
  <c r="P1309" i="26"/>
  <c r="Q1309" i="26" s="1"/>
  <c r="T1309" i="26" s="1"/>
  <c r="P1305" i="26"/>
  <c r="Q1305" i="26" s="1"/>
  <c r="T1305" i="26" s="1"/>
  <c r="P1306" i="26"/>
  <c r="Q1306" i="26" s="1"/>
  <c r="T1306" i="26" s="1"/>
  <c r="P1308" i="26"/>
  <c r="Q1308" i="26" s="1"/>
  <c r="T1308" i="26" s="1"/>
  <c r="P1307" i="26"/>
  <c r="Q1307" i="26" s="1"/>
  <c r="T1307" i="26" s="1"/>
  <c r="P1325" i="26"/>
  <c r="Q1325" i="26" s="1"/>
  <c r="T1325" i="26" s="1"/>
  <c r="P1323" i="26"/>
  <c r="Q1323" i="26" s="1"/>
  <c r="T1323" i="26" s="1"/>
  <c r="P1324" i="26"/>
  <c r="Q1324" i="26" s="1"/>
  <c r="T1324" i="26" s="1"/>
  <c r="P1326" i="26"/>
  <c r="Q1326" i="26" s="1"/>
  <c r="T1326" i="26" s="1"/>
  <c r="P1341" i="26"/>
  <c r="Q1341" i="26" s="1"/>
  <c r="T1341" i="26" s="1"/>
  <c r="P1342" i="26"/>
  <c r="Q1342" i="26" s="1"/>
  <c r="T1342" i="26" s="1"/>
  <c r="P1343" i="26"/>
  <c r="Q1343" i="26" s="1"/>
  <c r="T1343" i="26" s="1"/>
  <c r="P1340" i="26"/>
  <c r="Q1340" i="26" s="1"/>
  <c r="T1340" i="26" s="1"/>
  <c r="H315" i="25"/>
  <c r="P1357" i="26"/>
  <c r="Q1357" i="26" s="1"/>
  <c r="T1357" i="26" s="1"/>
  <c r="P1361" i="26"/>
  <c r="Q1361" i="26" s="1"/>
  <c r="T1361" i="26" s="1"/>
  <c r="P1360" i="26"/>
  <c r="Q1360" i="26" s="1"/>
  <c r="T1360" i="26" s="1"/>
  <c r="P1358" i="26"/>
  <c r="Q1358" i="26" s="1"/>
  <c r="T1358" i="26" s="1"/>
  <c r="P1359" i="26"/>
  <c r="Q1359" i="26" s="1"/>
  <c r="T1359" i="26" s="1"/>
  <c r="P1377" i="26"/>
  <c r="Q1377" i="26" s="1"/>
  <c r="T1377" i="26" s="1"/>
  <c r="P1376" i="26"/>
  <c r="Q1376" i="26" s="1"/>
  <c r="T1376" i="26" s="1"/>
  <c r="P1378" i="26"/>
  <c r="Q1378" i="26" s="1"/>
  <c r="T1378" i="26" s="1"/>
  <c r="U1378" i="26" s="1"/>
  <c r="G1378" i="1" s="1"/>
  <c r="P1375" i="26"/>
  <c r="Q1375" i="26" s="1"/>
  <c r="T1375" i="26" s="1"/>
  <c r="P51" i="26"/>
  <c r="Q51" i="26" s="1"/>
  <c r="T51" i="26" s="1"/>
  <c r="P52" i="26"/>
  <c r="Q52" i="26" s="1"/>
  <c r="T52" i="26" s="1"/>
  <c r="P49" i="26"/>
  <c r="Q49" i="26" s="1"/>
  <c r="T49" i="26" s="1"/>
  <c r="P50" i="26"/>
  <c r="Q50" i="26" s="1"/>
  <c r="T50" i="26" s="1"/>
  <c r="L4" i="25"/>
  <c r="L3" i="25"/>
  <c r="P153" i="26"/>
  <c r="Q153" i="26" s="1"/>
  <c r="T153" i="26" s="1"/>
  <c r="P155" i="26"/>
  <c r="Q155" i="26" s="1"/>
  <c r="T155" i="26" s="1"/>
  <c r="P156" i="26"/>
  <c r="Q156" i="26" s="1"/>
  <c r="T156" i="26" s="1"/>
  <c r="P154" i="26"/>
  <c r="Q154" i="26" s="1"/>
  <c r="T154" i="26" s="1"/>
  <c r="P173" i="26"/>
  <c r="Q173" i="26" s="1"/>
  <c r="T173" i="26" s="1"/>
  <c r="P174" i="26"/>
  <c r="Q174" i="26" s="1"/>
  <c r="T174" i="26" s="1"/>
  <c r="P170" i="26"/>
  <c r="Q170" i="26" s="1"/>
  <c r="T170" i="26" s="1"/>
  <c r="P171" i="26"/>
  <c r="Q171" i="26" s="1"/>
  <c r="T171" i="26" s="1"/>
  <c r="P172" i="26"/>
  <c r="Q172" i="26" s="1"/>
  <c r="T172" i="26" s="1"/>
  <c r="P191" i="26"/>
  <c r="Q191" i="26" s="1"/>
  <c r="T191" i="26" s="1"/>
  <c r="P188" i="26"/>
  <c r="Q188" i="26" s="1"/>
  <c r="T188" i="26" s="1"/>
  <c r="P189" i="26"/>
  <c r="Q189" i="26" s="1"/>
  <c r="T189" i="26" s="1"/>
  <c r="P190" i="26"/>
  <c r="Q190" i="26" s="1"/>
  <c r="T190" i="26" s="1"/>
  <c r="P207" i="26"/>
  <c r="Q207" i="26" s="1"/>
  <c r="T207" i="26" s="1"/>
  <c r="P208" i="26"/>
  <c r="Q208" i="26" s="1"/>
  <c r="T208" i="26" s="1"/>
  <c r="P205" i="26"/>
  <c r="Q205" i="26" s="1"/>
  <c r="T205" i="26" s="1"/>
  <c r="P206" i="26"/>
  <c r="Q206" i="26" s="1"/>
  <c r="T206" i="26" s="1"/>
  <c r="P223" i="26"/>
  <c r="Q223" i="26" s="1"/>
  <c r="T223" i="26" s="1"/>
  <c r="P224" i="26"/>
  <c r="Q224" i="26" s="1"/>
  <c r="T224" i="26" s="1"/>
  <c r="P225" i="26"/>
  <c r="Q225" i="26" s="1"/>
  <c r="T225" i="26" s="1"/>
  <c r="P226" i="26"/>
  <c r="Q226" i="26" s="1"/>
  <c r="T226" i="26" s="1"/>
  <c r="P243" i="26"/>
  <c r="Q243" i="26" s="1"/>
  <c r="T243" i="26" s="1"/>
  <c r="P240" i="26"/>
  <c r="Q240" i="26" s="1"/>
  <c r="T240" i="26" s="1"/>
  <c r="P241" i="26"/>
  <c r="Q241" i="26" s="1"/>
  <c r="T241" i="26" s="1"/>
  <c r="P242" i="26"/>
  <c r="Q242" i="26" s="1"/>
  <c r="T242" i="26" s="1"/>
  <c r="H62" i="25"/>
  <c r="P259" i="26"/>
  <c r="Q259" i="26" s="1"/>
  <c r="T259" i="26" s="1"/>
  <c r="P260" i="26"/>
  <c r="Q260" i="26" s="1"/>
  <c r="T260" i="26" s="1"/>
  <c r="P257" i="26"/>
  <c r="Q257" i="26" s="1"/>
  <c r="T257" i="26" s="1"/>
  <c r="P261" i="26"/>
  <c r="Q261" i="26" s="1"/>
  <c r="T261" i="26" s="1"/>
  <c r="P258" i="26"/>
  <c r="Q258" i="26" s="1"/>
  <c r="T258" i="26" s="1"/>
  <c r="P275" i="26"/>
  <c r="Q275" i="26" s="1"/>
  <c r="T275" i="26" s="1"/>
  <c r="P276" i="26"/>
  <c r="Q276" i="26" s="1"/>
  <c r="T276" i="26" s="1"/>
  <c r="P277" i="26"/>
  <c r="Q277" i="26" s="1"/>
  <c r="T277" i="26" s="1"/>
  <c r="P278" i="26"/>
  <c r="Q278" i="26" s="1"/>
  <c r="T278" i="26" s="1"/>
  <c r="P295" i="26"/>
  <c r="Q295" i="26" s="1"/>
  <c r="T295" i="26" s="1"/>
  <c r="P292" i="26"/>
  <c r="Q292" i="26" s="1"/>
  <c r="T292" i="26" s="1"/>
  <c r="P293" i="26"/>
  <c r="Q293" i="26" s="1"/>
  <c r="T293" i="26" s="1"/>
  <c r="P294" i="26"/>
  <c r="Q294" i="26" s="1"/>
  <c r="T294" i="26" s="1"/>
  <c r="E90" i="25"/>
  <c r="P639" i="26"/>
  <c r="Q639" i="26" s="1"/>
  <c r="T639" i="26" s="1"/>
  <c r="P637" i="26"/>
  <c r="Q637" i="26" s="1"/>
  <c r="T637" i="26" s="1"/>
  <c r="P638" i="26"/>
  <c r="Q638" i="26" s="1"/>
  <c r="T638" i="26" s="1"/>
  <c r="P636" i="26"/>
  <c r="Q636" i="26" s="1"/>
  <c r="T636" i="26" s="1"/>
  <c r="P655" i="26"/>
  <c r="Q655" i="26" s="1"/>
  <c r="T655" i="26" s="1"/>
  <c r="P653" i="26"/>
  <c r="Q653" i="26" s="1"/>
  <c r="T653" i="26" s="1"/>
  <c r="P654" i="26"/>
  <c r="Q654" i="26" s="1"/>
  <c r="T654" i="26" s="1"/>
  <c r="P656" i="26"/>
  <c r="Q656" i="26" s="1"/>
  <c r="T656" i="26" s="1"/>
  <c r="H157" i="25"/>
  <c r="P671" i="26"/>
  <c r="Q671" i="26" s="1"/>
  <c r="T671" i="26" s="1"/>
  <c r="P673" i="26"/>
  <c r="Q673" i="26" s="1"/>
  <c r="T673" i="26" s="1"/>
  <c r="P670" i="26"/>
  <c r="Q670" i="26" s="1"/>
  <c r="T670" i="26" s="1"/>
  <c r="P672" i="26"/>
  <c r="Q672" i="26" s="1"/>
  <c r="T672" i="26" s="1"/>
  <c r="P674" i="26"/>
  <c r="Q674" i="26" s="1"/>
  <c r="T674" i="26" s="1"/>
  <c r="P691" i="26"/>
  <c r="Q691" i="26" s="1"/>
  <c r="T691" i="26" s="1"/>
  <c r="P690" i="26"/>
  <c r="Q690" i="26" s="1"/>
  <c r="T690" i="26" s="1"/>
  <c r="P688" i="26"/>
  <c r="Q688" i="26" s="1"/>
  <c r="T688" i="26" s="1"/>
  <c r="P689" i="26"/>
  <c r="Q689" i="26" s="1"/>
  <c r="T689" i="26" s="1"/>
  <c r="P707" i="26"/>
  <c r="Q707" i="26" s="1"/>
  <c r="T707" i="26" s="1"/>
  <c r="P708" i="26"/>
  <c r="Q708" i="26" s="1"/>
  <c r="T708" i="26" s="1"/>
  <c r="P705" i="26"/>
  <c r="Q705" i="26" s="1"/>
  <c r="T705" i="26" s="1"/>
  <c r="P706" i="26"/>
  <c r="Q706" i="26" s="1"/>
  <c r="T706" i="26" s="1"/>
  <c r="P723" i="26"/>
  <c r="Q723" i="26" s="1"/>
  <c r="T723" i="26" s="1"/>
  <c r="P724" i="26"/>
  <c r="Q724" i="26" s="1"/>
  <c r="T724" i="26" s="1"/>
  <c r="P725" i="26"/>
  <c r="Q725" i="26" s="1"/>
  <c r="T725" i="26" s="1"/>
  <c r="P722" i="26"/>
  <c r="Q722" i="26" s="1"/>
  <c r="T722" i="26" s="1"/>
  <c r="P726" i="26"/>
  <c r="Q726" i="26" s="1"/>
  <c r="T726" i="26" s="1"/>
  <c r="H173" i="25"/>
  <c r="P743" i="26"/>
  <c r="Q743" i="26" s="1"/>
  <c r="T743" i="26" s="1"/>
  <c r="P740" i="26"/>
  <c r="Q740" i="26" s="1"/>
  <c r="T740" i="26" s="1"/>
  <c r="P741" i="26"/>
  <c r="Q741" i="26" s="1"/>
  <c r="T741" i="26" s="1"/>
  <c r="P742" i="26"/>
  <c r="Q742" i="26" s="1"/>
  <c r="T742" i="26" s="1"/>
  <c r="P759" i="26"/>
  <c r="Q759" i="26" s="1"/>
  <c r="T759" i="26" s="1"/>
  <c r="P760" i="26"/>
  <c r="Q760" i="26" s="1"/>
  <c r="T760" i="26" s="1"/>
  <c r="P761" i="26"/>
  <c r="Q761" i="26" s="1"/>
  <c r="T761" i="26" s="1"/>
  <c r="P757" i="26"/>
  <c r="Q757" i="26" s="1"/>
  <c r="T757" i="26" s="1"/>
  <c r="P758" i="26"/>
  <c r="Q758" i="26" s="1"/>
  <c r="T758" i="26" s="1"/>
  <c r="P775" i="26"/>
  <c r="Q775" i="26" s="1"/>
  <c r="T775" i="26" s="1"/>
  <c r="P776" i="26"/>
  <c r="Q776" i="26" s="1"/>
  <c r="T776" i="26" s="1"/>
  <c r="P777" i="26"/>
  <c r="Q777" i="26" s="1"/>
  <c r="T777" i="26" s="1"/>
  <c r="P778" i="26"/>
  <c r="Q778" i="26" s="1"/>
  <c r="T778" i="26" s="1"/>
  <c r="P795" i="26"/>
  <c r="Q795" i="26" s="1"/>
  <c r="T795" i="26" s="1"/>
  <c r="P792" i="26"/>
  <c r="Q792" i="26" s="1"/>
  <c r="T792" i="26" s="1"/>
  <c r="P796" i="26"/>
  <c r="Q796" i="26" s="1"/>
  <c r="T796" i="26" s="1"/>
  <c r="P793" i="26"/>
  <c r="Q793" i="26" s="1"/>
  <c r="T793" i="26" s="1"/>
  <c r="P794" i="26"/>
  <c r="Q794" i="26" s="1"/>
  <c r="T794" i="26" s="1"/>
  <c r="P811" i="26"/>
  <c r="Q811" i="26" s="1"/>
  <c r="T811" i="26" s="1"/>
  <c r="P812" i="26"/>
  <c r="Q812" i="26" s="1"/>
  <c r="T812" i="26" s="1"/>
  <c r="P813" i="26"/>
  <c r="Q813" i="26" s="1"/>
  <c r="T813" i="26" s="1"/>
  <c r="P810" i="26"/>
  <c r="Q810" i="26" s="1"/>
  <c r="T810" i="26" s="1"/>
  <c r="P827" i="26"/>
  <c r="Q827" i="26" s="1"/>
  <c r="T827" i="26" s="1"/>
  <c r="P828" i="26"/>
  <c r="Q828" i="26" s="1"/>
  <c r="T828" i="26" s="1"/>
  <c r="P829" i="26"/>
  <c r="Q829" i="26" s="1"/>
  <c r="T829" i="26" s="1"/>
  <c r="P830" i="26"/>
  <c r="Q830" i="26" s="1"/>
  <c r="T830" i="26" s="1"/>
  <c r="P847" i="26"/>
  <c r="Q847" i="26" s="1"/>
  <c r="T847" i="26" s="1"/>
  <c r="P848" i="26"/>
  <c r="Q848" i="26" s="1"/>
  <c r="T848" i="26" s="1"/>
  <c r="P844" i="26"/>
  <c r="Q844" i="26" s="1"/>
  <c r="T844" i="26" s="1"/>
  <c r="P845" i="26"/>
  <c r="Q845" i="26" s="1"/>
  <c r="T845" i="26" s="1"/>
  <c r="P846" i="26"/>
  <c r="Q846" i="26" s="1"/>
  <c r="T846" i="26" s="1"/>
  <c r="P863" i="26"/>
  <c r="Q863" i="26" s="1"/>
  <c r="T863" i="26" s="1"/>
  <c r="P864" i="26"/>
  <c r="Q864" i="26" s="1"/>
  <c r="T864" i="26" s="1"/>
  <c r="P865" i="26"/>
  <c r="Q865" i="26" s="1"/>
  <c r="T865" i="26" s="1"/>
  <c r="P862" i="26"/>
  <c r="Q862" i="26" s="1"/>
  <c r="T862" i="26" s="1"/>
  <c r="H205" i="25"/>
  <c r="P879" i="26"/>
  <c r="Q879" i="26" s="1"/>
  <c r="T879" i="26" s="1"/>
  <c r="P880" i="26"/>
  <c r="Q880" i="26" s="1"/>
  <c r="T880" i="26" s="1"/>
  <c r="P881" i="26"/>
  <c r="Q881" i="26" s="1"/>
  <c r="T881" i="26" s="1"/>
  <c r="P882" i="26"/>
  <c r="Q882" i="26" s="1"/>
  <c r="T882" i="26" s="1"/>
  <c r="P899" i="26"/>
  <c r="Q899" i="26" s="1"/>
  <c r="T899" i="26" s="1"/>
  <c r="P900" i="26"/>
  <c r="Q900" i="26" s="1"/>
  <c r="T900" i="26" s="1"/>
  <c r="P897" i="26"/>
  <c r="Q897" i="26" s="1"/>
  <c r="T897" i="26" s="1"/>
  <c r="P898" i="26"/>
  <c r="Q898" i="26" s="1"/>
  <c r="T898" i="26" s="1"/>
  <c r="P915" i="26"/>
  <c r="Q915" i="26" s="1"/>
  <c r="T915" i="26" s="1"/>
  <c r="P916" i="26"/>
  <c r="Q916" i="26" s="1"/>
  <c r="T916" i="26" s="1"/>
  <c r="P917" i="26"/>
  <c r="Q917" i="26" s="1"/>
  <c r="T917" i="26" s="1"/>
  <c r="P914" i="26"/>
  <c r="Q914" i="26" s="1"/>
  <c r="T914" i="26" s="1"/>
  <c r="P931" i="26"/>
  <c r="Q931" i="26" s="1"/>
  <c r="T931" i="26" s="1"/>
  <c r="P935" i="26"/>
  <c r="Q935" i="26" s="1"/>
  <c r="T935" i="26" s="1"/>
  <c r="P932" i="26"/>
  <c r="Q932" i="26" s="1"/>
  <c r="T932" i="26" s="1"/>
  <c r="P933" i="26"/>
  <c r="Q933" i="26" s="1"/>
  <c r="T933" i="26" s="1"/>
  <c r="P934" i="26"/>
  <c r="Q934" i="26" s="1"/>
  <c r="T934" i="26" s="1"/>
  <c r="P951" i="26"/>
  <c r="Q951" i="26" s="1"/>
  <c r="T951" i="26" s="1"/>
  <c r="P952" i="26"/>
  <c r="Q952" i="26" s="1"/>
  <c r="T952" i="26" s="1"/>
  <c r="P949" i="26"/>
  <c r="Q949" i="26" s="1"/>
  <c r="T949" i="26" s="1"/>
  <c r="P950" i="26"/>
  <c r="Q950" i="26" s="1"/>
  <c r="T950" i="26" s="1"/>
  <c r="H232" i="25"/>
  <c r="P999" i="26"/>
  <c r="Q999" i="26" s="1"/>
  <c r="T999" i="26" s="1"/>
  <c r="P1000" i="26"/>
  <c r="Q1000" i="26" s="1"/>
  <c r="T1000" i="26" s="1"/>
  <c r="P997" i="26"/>
  <c r="Q997" i="26" s="1"/>
  <c r="T997" i="26" s="1"/>
  <c r="P998" i="26"/>
  <c r="Q998" i="26" s="1"/>
  <c r="T998" i="26" s="1"/>
  <c r="P1015" i="26"/>
  <c r="Q1015" i="26" s="1"/>
  <c r="T1015" i="26" s="1"/>
  <c r="P1016" i="26"/>
  <c r="Q1016" i="26" s="1"/>
  <c r="T1016" i="26" s="1"/>
  <c r="P1017" i="26"/>
  <c r="Q1017" i="26" s="1"/>
  <c r="T1017" i="26" s="1"/>
  <c r="P1014" i="26"/>
  <c r="Q1014" i="26" s="1"/>
  <c r="T1014" i="26" s="1"/>
  <c r="P1035" i="26"/>
  <c r="Q1035" i="26" s="1"/>
  <c r="T1035" i="26" s="1"/>
  <c r="P1031" i="26"/>
  <c r="Q1031" i="26" s="1"/>
  <c r="T1031" i="26" s="1"/>
  <c r="P1032" i="26"/>
  <c r="Q1032" i="26" s="1"/>
  <c r="T1032" i="26" s="1"/>
  <c r="P1033" i="26"/>
  <c r="Q1033" i="26" s="1"/>
  <c r="T1033" i="26" s="1"/>
  <c r="P1034" i="26"/>
  <c r="Q1034" i="26" s="1"/>
  <c r="T1034" i="26" s="1"/>
  <c r="P1051" i="26"/>
  <c r="Q1051" i="26" s="1"/>
  <c r="T1051" i="26" s="1"/>
  <c r="P1052" i="26"/>
  <c r="Q1052" i="26" s="1"/>
  <c r="T1052" i="26" s="1"/>
  <c r="P1049" i="26"/>
  <c r="Q1049" i="26" s="1"/>
  <c r="T1049" i="26" s="1"/>
  <c r="P1050" i="26"/>
  <c r="Q1050" i="26" s="1"/>
  <c r="T1050" i="26" s="1"/>
  <c r="P1067" i="26"/>
  <c r="Q1067" i="26" s="1"/>
  <c r="T1067" i="26" s="1"/>
  <c r="P1068" i="26"/>
  <c r="Q1068" i="26" s="1"/>
  <c r="T1068" i="26" s="1"/>
  <c r="P1069" i="26"/>
  <c r="Q1069" i="26" s="1"/>
  <c r="T1069" i="26" s="1"/>
  <c r="P1066" i="26"/>
  <c r="Q1066" i="26" s="1"/>
  <c r="T1066" i="26" s="1"/>
  <c r="P1070" i="26"/>
  <c r="Q1070" i="26" s="1"/>
  <c r="T1070" i="26" s="1"/>
  <c r="P1083" i="26"/>
  <c r="Q1083" i="26" s="1"/>
  <c r="T1083" i="26" s="1"/>
  <c r="P1087" i="26"/>
  <c r="Q1087" i="26" s="1"/>
  <c r="T1087" i="26" s="1"/>
  <c r="P1084" i="26"/>
  <c r="Q1084" i="26" s="1"/>
  <c r="T1084" i="26" s="1"/>
  <c r="P1085" i="26"/>
  <c r="Q1085" i="26" s="1"/>
  <c r="T1085" i="26" s="1"/>
  <c r="P1086" i="26"/>
  <c r="Q1086" i="26" s="1"/>
  <c r="T1086" i="26" s="1"/>
  <c r="P1103" i="26"/>
  <c r="Q1103" i="26" s="1"/>
  <c r="T1103" i="26" s="1"/>
  <c r="P1104" i="26"/>
  <c r="Q1104" i="26" s="1"/>
  <c r="T1104" i="26" s="1"/>
  <c r="P1101" i="26"/>
  <c r="Q1101" i="26" s="1"/>
  <c r="T1101" i="26" s="1"/>
  <c r="P1102" i="26"/>
  <c r="Q1102" i="26" s="1"/>
  <c r="T1102" i="26" s="1"/>
  <c r="H260" i="25"/>
  <c r="P1119" i="26"/>
  <c r="Q1119" i="26" s="1"/>
  <c r="T1119" i="26" s="1"/>
  <c r="P1120" i="26"/>
  <c r="Q1120" i="26" s="1"/>
  <c r="T1120" i="26" s="1"/>
  <c r="P1121" i="26"/>
  <c r="Q1121" i="26" s="1"/>
  <c r="T1121" i="26" s="1"/>
  <c r="P1122" i="26"/>
  <c r="Q1122" i="26" s="1"/>
  <c r="T1122" i="26" s="1"/>
  <c r="P1118" i="26"/>
  <c r="Q1118" i="26" s="1"/>
  <c r="T1118" i="26" s="1"/>
  <c r="P1139" i="26"/>
  <c r="Q1139" i="26" s="1"/>
  <c r="T1139" i="26" s="1"/>
  <c r="P1136" i="26"/>
  <c r="Q1136" i="26" s="1"/>
  <c r="T1136" i="26" s="1"/>
  <c r="P1137" i="26"/>
  <c r="Q1137" i="26" s="1"/>
  <c r="T1137" i="26" s="1"/>
  <c r="P1138" i="26"/>
  <c r="Q1138" i="26" s="1"/>
  <c r="T1138" i="26" s="1"/>
  <c r="P1155" i="26"/>
  <c r="Q1155" i="26" s="1"/>
  <c r="T1155" i="26" s="1"/>
  <c r="P1156" i="26"/>
  <c r="Q1156" i="26" s="1"/>
  <c r="T1156" i="26" s="1"/>
  <c r="P1153" i="26"/>
  <c r="Q1153" i="26" s="1"/>
  <c r="T1153" i="26" s="1"/>
  <c r="P1154" i="26"/>
  <c r="Q1154" i="26" s="1"/>
  <c r="T1154" i="26" s="1"/>
  <c r="P1171" i="26"/>
  <c r="Q1171" i="26" s="1"/>
  <c r="T1171" i="26" s="1"/>
  <c r="P1172" i="26"/>
  <c r="Q1172" i="26" s="1"/>
  <c r="T1172" i="26" s="1"/>
  <c r="P1173" i="26"/>
  <c r="Q1173" i="26" s="1"/>
  <c r="T1173" i="26" s="1"/>
  <c r="P1174" i="26"/>
  <c r="Q1174" i="26" s="1"/>
  <c r="T1174" i="26" s="1"/>
  <c r="P1170" i="26"/>
  <c r="Q1170" i="26" s="1"/>
  <c r="T1170" i="26" s="1"/>
  <c r="P1191" i="26"/>
  <c r="Q1191" i="26" s="1"/>
  <c r="T1191" i="26" s="1"/>
  <c r="P1188" i="26"/>
  <c r="Q1188" i="26" s="1"/>
  <c r="T1188" i="26" s="1"/>
  <c r="P1189" i="26"/>
  <c r="Q1189" i="26" s="1"/>
  <c r="T1189" i="26" s="1"/>
  <c r="P1190" i="26"/>
  <c r="Q1190" i="26" s="1"/>
  <c r="T1190" i="26" s="1"/>
  <c r="H280" i="25"/>
  <c r="P1207" i="26"/>
  <c r="Q1207" i="26" s="1"/>
  <c r="T1207" i="26" s="1"/>
  <c r="P1208" i="26"/>
  <c r="Q1208" i="26" s="1"/>
  <c r="T1208" i="26" s="1"/>
  <c r="P1209" i="26"/>
  <c r="Q1209" i="26" s="1"/>
  <c r="T1209" i="26" s="1"/>
  <c r="P1205" i="26"/>
  <c r="Q1205" i="26" s="1"/>
  <c r="T1205" i="26" s="1"/>
  <c r="P1206" i="26"/>
  <c r="Q1206" i="26" s="1"/>
  <c r="T1206" i="26" s="1"/>
  <c r="P1224" i="26"/>
  <c r="Q1224" i="26" s="1"/>
  <c r="T1224" i="26" s="1"/>
  <c r="P1225" i="26"/>
  <c r="Q1225" i="26" s="1"/>
  <c r="T1225" i="26" s="1"/>
  <c r="P1226" i="26"/>
  <c r="Q1226" i="26" s="1"/>
  <c r="T1226" i="26" s="1"/>
  <c r="P1223" i="26"/>
  <c r="Q1223" i="26" s="1"/>
  <c r="T1223" i="26" s="1"/>
  <c r="H10" i="25"/>
  <c r="P31" i="26"/>
  <c r="Q31" i="26" s="1"/>
  <c r="T31" i="26" s="1"/>
  <c r="P32" i="26"/>
  <c r="Q32" i="26" s="1"/>
  <c r="T32" i="26" s="1"/>
  <c r="P33" i="26"/>
  <c r="Q33" i="26" s="1"/>
  <c r="T33" i="26" s="1"/>
  <c r="P34" i="26"/>
  <c r="Q34" i="26" s="1"/>
  <c r="T34" i="26" s="1"/>
  <c r="P135" i="26"/>
  <c r="Q135" i="26" s="1"/>
  <c r="T135" i="26" s="1"/>
  <c r="P139" i="26"/>
  <c r="Q139" i="26" s="1"/>
  <c r="T139" i="26" s="1"/>
  <c r="P136" i="26"/>
  <c r="Q136" i="26" s="1"/>
  <c r="T136" i="26" s="1"/>
  <c r="P137" i="26"/>
  <c r="Q137" i="26" s="1"/>
  <c r="T137" i="26" s="1"/>
  <c r="P138" i="26"/>
  <c r="Q138" i="26" s="1"/>
  <c r="T138" i="26" s="1"/>
  <c r="P19" i="26"/>
  <c r="Q19" i="26" s="1"/>
  <c r="T19" i="26" s="1"/>
  <c r="P20" i="26"/>
  <c r="Q20" i="26" s="1"/>
  <c r="T20" i="26" s="1"/>
  <c r="P21" i="26"/>
  <c r="Q21" i="26" s="1"/>
  <c r="T21" i="26" s="1"/>
  <c r="P18" i="26"/>
  <c r="Q18" i="26" s="1"/>
  <c r="T18" i="26" s="1"/>
  <c r="P22" i="26"/>
  <c r="Q22" i="26" s="1"/>
  <c r="T22" i="26" s="1"/>
  <c r="U22" i="26" s="1"/>
  <c r="G22" i="1" s="1"/>
  <c r="H3" i="25"/>
  <c r="C26" i="32" s="1"/>
  <c r="P35" i="26"/>
  <c r="Q35" i="26" s="1"/>
  <c r="T35" i="26" s="1"/>
  <c r="P39" i="26"/>
  <c r="Q39" i="26" s="1"/>
  <c r="T39" i="26" s="1"/>
  <c r="P36" i="26"/>
  <c r="Q36" i="26" s="1"/>
  <c r="T36" i="26" s="1"/>
  <c r="P37" i="26"/>
  <c r="Q37" i="26" s="1"/>
  <c r="T37" i="26" s="1"/>
  <c r="P38" i="26"/>
  <c r="Q38" i="26" s="1"/>
  <c r="T38" i="26" s="1"/>
  <c r="P55" i="26"/>
  <c r="Q55" i="26" s="1"/>
  <c r="T55" i="26" s="1"/>
  <c r="P56" i="26"/>
  <c r="Q56" i="26" s="1"/>
  <c r="T56" i="26" s="1"/>
  <c r="P53" i="26"/>
  <c r="Q53" i="26" s="1"/>
  <c r="T53" i="26" s="1"/>
  <c r="P54" i="26"/>
  <c r="Q54" i="26" s="1"/>
  <c r="T54" i="26" s="1"/>
  <c r="P71" i="26"/>
  <c r="Q71" i="26" s="1"/>
  <c r="T71" i="26" s="1"/>
  <c r="P72" i="26"/>
  <c r="Q72" i="26" s="1"/>
  <c r="T72" i="26" s="1"/>
  <c r="P73" i="26"/>
  <c r="Q73" i="26" s="1"/>
  <c r="T73" i="26" s="1"/>
  <c r="P70" i="26"/>
  <c r="Q70" i="26" s="1"/>
  <c r="T70" i="26" s="1"/>
  <c r="P74" i="26"/>
  <c r="Q74" i="26" s="1"/>
  <c r="T74" i="26" s="1"/>
  <c r="H23" i="25"/>
  <c r="P91" i="26"/>
  <c r="Q91" i="26" s="1"/>
  <c r="T91" i="26" s="1"/>
  <c r="P88" i="26"/>
  <c r="Q88" i="26" s="1"/>
  <c r="T88" i="26" s="1"/>
  <c r="P89" i="26"/>
  <c r="Q89" i="26" s="1"/>
  <c r="T89" i="26" s="1"/>
  <c r="P90" i="26"/>
  <c r="Q90" i="26" s="1"/>
  <c r="T90" i="26" s="1"/>
  <c r="P107" i="26"/>
  <c r="Q107" i="26" s="1"/>
  <c r="T107" i="26" s="1"/>
  <c r="P108" i="26"/>
  <c r="Q108" i="26" s="1"/>
  <c r="T108" i="26" s="1"/>
  <c r="P105" i="26"/>
  <c r="Q105" i="26" s="1"/>
  <c r="T105" i="26" s="1"/>
  <c r="P106" i="26"/>
  <c r="Q106" i="26" s="1"/>
  <c r="T106" i="26" s="1"/>
  <c r="AB27" i="25"/>
  <c r="R37" i="25"/>
  <c r="D55" i="25"/>
  <c r="D59" i="25"/>
  <c r="P311" i="26"/>
  <c r="Q311" i="26" s="1"/>
  <c r="T311" i="26" s="1"/>
  <c r="P312" i="26"/>
  <c r="Q312" i="26" s="1"/>
  <c r="T312" i="26" s="1"/>
  <c r="P309" i="26"/>
  <c r="Q309" i="26" s="1"/>
  <c r="T309" i="26" s="1"/>
  <c r="P313" i="26"/>
  <c r="Q313" i="26" s="1"/>
  <c r="T313" i="26" s="1"/>
  <c r="P310" i="26"/>
  <c r="Q310" i="26" s="1"/>
  <c r="T310" i="26" s="1"/>
  <c r="P327" i="26"/>
  <c r="Q327" i="26" s="1"/>
  <c r="T327" i="26" s="1"/>
  <c r="P328" i="26"/>
  <c r="Q328" i="26" s="1"/>
  <c r="T328" i="26" s="1"/>
  <c r="P329" i="26"/>
  <c r="Q329" i="26" s="1"/>
  <c r="T329" i="26" s="1"/>
  <c r="P330" i="26"/>
  <c r="Q330" i="26" s="1"/>
  <c r="T330" i="26" s="1"/>
  <c r="P347" i="26"/>
  <c r="Q347" i="26" s="1"/>
  <c r="T347" i="26" s="1"/>
  <c r="P344" i="26"/>
  <c r="Q344" i="26" s="1"/>
  <c r="T344" i="26" s="1"/>
  <c r="P348" i="26"/>
  <c r="Q348" i="26" s="1"/>
  <c r="T348" i="26" s="1"/>
  <c r="P345" i="26"/>
  <c r="Q345" i="26" s="1"/>
  <c r="T345" i="26" s="1"/>
  <c r="P346" i="26"/>
  <c r="Q346" i="26" s="1"/>
  <c r="T346" i="26" s="1"/>
  <c r="P363" i="26"/>
  <c r="Q363" i="26" s="1"/>
  <c r="T363" i="26" s="1"/>
  <c r="P364" i="26"/>
  <c r="Q364" i="26" s="1"/>
  <c r="T364" i="26" s="1"/>
  <c r="P365" i="26"/>
  <c r="Q365" i="26" s="1"/>
  <c r="T365" i="26" s="1"/>
  <c r="P362" i="26"/>
  <c r="Q362" i="26" s="1"/>
  <c r="T362" i="26" s="1"/>
  <c r="P383" i="26"/>
  <c r="Q383" i="26" s="1"/>
  <c r="T383" i="26" s="1"/>
  <c r="P379" i="26"/>
  <c r="Q379" i="26" s="1"/>
  <c r="T379" i="26" s="1"/>
  <c r="P380" i="26"/>
  <c r="Q380" i="26" s="1"/>
  <c r="T380" i="26" s="1"/>
  <c r="P381" i="26"/>
  <c r="Q381" i="26" s="1"/>
  <c r="T381" i="26" s="1"/>
  <c r="P382" i="26"/>
  <c r="Q382" i="26" s="1"/>
  <c r="T382" i="26" s="1"/>
  <c r="P399" i="26"/>
  <c r="Q399" i="26" s="1"/>
  <c r="T399" i="26" s="1"/>
  <c r="P396" i="26"/>
  <c r="Q396" i="26" s="1"/>
  <c r="T396" i="26" s="1"/>
  <c r="P400" i="26"/>
  <c r="Q400" i="26" s="1"/>
  <c r="T400" i="26" s="1"/>
  <c r="P397" i="26"/>
  <c r="Q397" i="26" s="1"/>
  <c r="T397" i="26" s="1"/>
  <c r="P398" i="26"/>
  <c r="Q398" i="26" s="1"/>
  <c r="T398" i="26" s="1"/>
  <c r="P415" i="26"/>
  <c r="Q415" i="26" s="1"/>
  <c r="T415" i="26" s="1"/>
  <c r="P416" i="26"/>
  <c r="Q416" i="26" s="1"/>
  <c r="T416" i="26" s="1"/>
  <c r="P417" i="26"/>
  <c r="Q417" i="26" s="1"/>
  <c r="T417" i="26" s="1"/>
  <c r="P414" i="26"/>
  <c r="Q414" i="26" s="1"/>
  <c r="T414" i="26" s="1"/>
  <c r="P431" i="26"/>
  <c r="Q431" i="26" s="1"/>
  <c r="T431" i="26" s="1"/>
  <c r="P435" i="26"/>
  <c r="Q435" i="26" s="1"/>
  <c r="T435" i="26" s="1"/>
  <c r="P432" i="26"/>
  <c r="Q432" i="26" s="1"/>
  <c r="T432" i="26" s="1"/>
  <c r="P433" i="26"/>
  <c r="Q433" i="26" s="1"/>
  <c r="T433" i="26" s="1"/>
  <c r="P434" i="26"/>
  <c r="Q434" i="26" s="1"/>
  <c r="T434" i="26" s="1"/>
  <c r="P451" i="26"/>
  <c r="Q451" i="26" s="1"/>
  <c r="T451" i="26" s="1"/>
  <c r="P448" i="26"/>
  <c r="Q448" i="26" s="1"/>
  <c r="T448" i="26" s="1"/>
  <c r="P452" i="26"/>
  <c r="Q452" i="26" s="1"/>
  <c r="T452" i="26" s="1"/>
  <c r="P449" i="26"/>
  <c r="Q449" i="26" s="1"/>
  <c r="T449" i="26" s="1"/>
  <c r="P450" i="26"/>
  <c r="Q450" i="26" s="1"/>
  <c r="T450" i="26" s="1"/>
  <c r="H110" i="25"/>
  <c r="P467" i="26"/>
  <c r="Q467" i="26" s="1"/>
  <c r="T467" i="26" s="1"/>
  <c r="P468" i="26"/>
  <c r="Q468" i="26" s="1"/>
  <c r="T468" i="26" s="1"/>
  <c r="P469" i="26"/>
  <c r="Q469" i="26" s="1"/>
  <c r="T469" i="26" s="1"/>
  <c r="P466" i="26"/>
  <c r="Q466" i="26" s="1"/>
  <c r="T466" i="26" s="1"/>
  <c r="P487" i="26"/>
  <c r="Q487" i="26" s="1"/>
  <c r="T487" i="26" s="1"/>
  <c r="P483" i="26"/>
  <c r="Q483" i="26" s="1"/>
  <c r="T483" i="26" s="1"/>
  <c r="P484" i="26"/>
  <c r="Q484" i="26" s="1"/>
  <c r="T484" i="26" s="1"/>
  <c r="P485" i="26"/>
  <c r="Q485" i="26" s="1"/>
  <c r="T485" i="26" s="1"/>
  <c r="P486" i="26"/>
  <c r="Q486" i="26" s="1"/>
  <c r="T486" i="26" s="1"/>
  <c r="P503" i="26"/>
  <c r="Q503" i="26" s="1"/>
  <c r="T503" i="26" s="1"/>
  <c r="P504" i="26"/>
  <c r="Q504" i="26" s="1"/>
  <c r="T504" i="26" s="1"/>
  <c r="P501" i="26"/>
  <c r="Q501" i="26" s="1"/>
  <c r="T501" i="26" s="1"/>
  <c r="P502" i="26"/>
  <c r="Q502" i="26" s="1"/>
  <c r="T502" i="26" s="1"/>
  <c r="P519" i="26"/>
  <c r="Q519" i="26" s="1"/>
  <c r="T519" i="26" s="1"/>
  <c r="P520" i="26"/>
  <c r="Q520" i="26" s="1"/>
  <c r="T520" i="26" s="1"/>
  <c r="P521" i="26"/>
  <c r="Q521" i="26" s="1"/>
  <c r="T521" i="26" s="1"/>
  <c r="P518" i="26"/>
  <c r="Q518" i="26" s="1"/>
  <c r="T518" i="26" s="1"/>
  <c r="P539" i="26"/>
  <c r="Q539" i="26" s="1"/>
  <c r="T539" i="26" s="1"/>
  <c r="P536" i="26"/>
  <c r="Q536" i="26" s="1"/>
  <c r="T536" i="26" s="1"/>
  <c r="P537" i="26"/>
  <c r="Q537" i="26" s="1"/>
  <c r="T537" i="26" s="1"/>
  <c r="P538" i="26"/>
  <c r="Q538" i="26" s="1"/>
  <c r="T538" i="26" s="1"/>
  <c r="P555" i="26"/>
  <c r="Q555" i="26" s="1"/>
  <c r="T555" i="26" s="1"/>
  <c r="P556" i="26"/>
  <c r="Q556" i="26" s="1"/>
  <c r="T556" i="26" s="1"/>
  <c r="P553" i="26"/>
  <c r="Q553" i="26" s="1"/>
  <c r="T553" i="26" s="1"/>
  <c r="P554" i="26"/>
  <c r="Q554" i="26" s="1"/>
  <c r="T554" i="26" s="1"/>
  <c r="P571" i="26"/>
  <c r="Q571" i="26" s="1"/>
  <c r="T571" i="26" s="1"/>
  <c r="P572" i="26"/>
  <c r="Q572" i="26" s="1"/>
  <c r="T572" i="26" s="1"/>
  <c r="P573" i="26"/>
  <c r="Q573" i="26" s="1"/>
  <c r="T573" i="26" s="1"/>
  <c r="P570" i="26"/>
  <c r="Q570" i="26" s="1"/>
  <c r="T570" i="26" s="1"/>
  <c r="P574" i="26"/>
  <c r="Q574" i="26" s="1"/>
  <c r="T574" i="26" s="1"/>
  <c r="P591" i="26"/>
  <c r="Q591" i="26" s="1"/>
  <c r="T591" i="26" s="1"/>
  <c r="P588" i="26"/>
  <c r="Q588" i="26" s="1"/>
  <c r="T588" i="26" s="1"/>
  <c r="P589" i="26"/>
  <c r="Q589" i="26" s="1"/>
  <c r="T589" i="26" s="1"/>
  <c r="P590" i="26"/>
  <c r="Q590" i="26" s="1"/>
  <c r="T590" i="26" s="1"/>
  <c r="P607" i="26"/>
  <c r="Q607" i="26" s="1"/>
  <c r="T607" i="26" s="1"/>
  <c r="P608" i="26"/>
  <c r="Q608" i="26" s="1"/>
  <c r="T608" i="26" s="1"/>
  <c r="P605" i="26"/>
  <c r="Q605" i="26" s="1"/>
  <c r="T605" i="26" s="1"/>
  <c r="P606" i="26"/>
  <c r="Q606" i="26" s="1"/>
  <c r="T606" i="26" s="1"/>
  <c r="P623" i="26"/>
  <c r="Q623" i="26" s="1"/>
  <c r="T623" i="26" s="1"/>
  <c r="P624" i="26"/>
  <c r="Q624" i="26" s="1"/>
  <c r="T624" i="26" s="1"/>
  <c r="P625" i="26"/>
  <c r="Q625" i="26" s="1"/>
  <c r="T625" i="26" s="1"/>
  <c r="P626" i="26"/>
  <c r="Q626" i="26" s="1"/>
  <c r="T626" i="26" s="1"/>
  <c r="D186" i="25"/>
  <c r="D190" i="25"/>
  <c r="D194" i="25"/>
  <c r="P967" i="26"/>
  <c r="Q967" i="26" s="1"/>
  <c r="T967" i="26" s="1"/>
  <c r="P968" i="26"/>
  <c r="Q968" i="26" s="1"/>
  <c r="T968" i="26" s="1"/>
  <c r="P969" i="26"/>
  <c r="Q969" i="26" s="1"/>
  <c r="T969" i="26" s="1"/>
  <c r="P966" i="26"/>
  <c r="Q966" i="26" s="1"/>
  <c r="T966" i="26" s="1"/>
  <c r="H288" i="25"/>
  <c r="P1240" i="26"/>
  <c r="Q1240" i="26" s="1"/>
  <c r="T1240" i="26" s="1"/>
  <c r="P1241" i="26"/>
  <c r="Q1241" i="26" s="1"/>
  <c r="T1241" i="26" s="1"/>
  <c r="P1242" i="26"/>
  <c r="Q1242" i="26" s="1"/>
  <c r="T1242" i="26" s="1"/>
  <c r="P1243" i="26"/>
  <c r="Q1243" i="26" s="1"/>
  <c r="T1243" i="26" s="1"/>
  <c r="P1261" i="26"/>
  <c r="Q1261" i="26" s="1"/>
  <c r="T1261" i="26" s="1"/>
  <c r="P1257" i="26"/>
  <c r="Q1257" i="26" s="1"/>
  <c r="T1257" i="26" s="1"/>
  <c r="P1258" i="26"/>
  <c r="Q1258" i="26" s="1"/>
  <c r="T1258" i="26" s="1"/>
  <c r="P1259" i="26"/>
  <c r="Q1259" i="26" s="1"/>
  <c r="T1259" i="26" s="1"/>
  <c r="P1260" i="26"/>
  <c r="Q1260" i="26" s="1"/>
  <c r="T1260" i="26" s="1"/>
  <c r="P1277" i="26"/>
  <c r="Q1277" i="26" s="1"/>
  <c r="T1277" i="26" s="1"/>
  <c r="P1276" i="26"/>
  <c r="Q1276" i="26" s="1"/>
  <c r="T1276" i="26" s="1"/>
  <c r="P1278" i="26"/>
  <c r="Q1278" i="26" s="1"/>
  <c r="T1278" i="26" s="1"/>
  <c r="P1275" i="26"/>
  <c r="Q1275" i="26" s="1"/>
  <c r="T1275" i="26" s="1"/>
  <c r="P1293" i="26"/>
  <c r="Q1293" i="26" s="1"/>
  <c r="T1293" i="26" s="1"/>
  <c r="P1292" i="26"/>
  <c r="Q1292" i="26" s="1"/>
  <c r="T1292" i="26" s="1"/>
  <c r="P1294" i="26"/>
  <c r="Q1294" i="26" s="1"/>
  <c r="T1294" i="26" s="1"/>
  <c r="P1295" i="26"/>
  <c r="Q1295" i="26" s="1"/>
  <c r="T1295" i="26" s="1"/>
  <c r="P1312" i="26"/>
  <c r="Q1312" i="26" s="1"/>
  <c r="T1312" i="26" s="1"/>
  <c r="P1313" i="26"/>
  <c r="Q1313" i="26" s="1"/>
  <c r="T1313" i="26" s="1"/>
  <c r="P1310" i="26"/>
  <c r="Q1310" i="26" s="1"/>
  <c r="T1310" i="26" s="1"/>
  <c r="P1311" i="26"/>
  <c r="Q1311" i="26" s="1"/>
  <c r="T1311" i="26" s="1"/>
  <c r="P1328" i="26"/>
  <c r="Q1328" i="26" s="1"/>
  <c r="T1328" i="26" s="1"/>
  <c r="U1328" i="26" s="1"/>
  <c r="G1328" i="1" s="1"/>
  <c r="P1329" i="26"/>
  <c r="Q1329" i="26" s="1"/>
  <c r="T1329" i="26" s="1"/>
  <c r="P1327" i="26"/>
  <c r="Q1327" i="26" s="1"/>
  <c r="T1327" i="26" s="1"/>
  <c r="P1330" i="26"/>
  <c r="Q1330" i="26" s="1"/>
  <c r="T1330" i="26" s="1"/>
  <c r="P1348" i="26"/>
  <c r="Q1348" i="26" s="1"/>
  <c r="T1348" i="26" s="1"/>
  <c r="P1345" i="26"/>
  <c r="Q1345" i="26" s="1"/>
  <c r="T1345" i="26" s="1"/>
  <c r="P1346" i="26"/>
  <c r="Q1346" i="26" s="1"/>
  <c r="T1346" i="26" s="1"/>
  <c r="P1347" i="26"/>
  <c r="Q1347" i="26" s="1"/>
  <c r="T1347" i="26" s="1"/>
  <c r="P1344" i="26"/>
  <c r="Q1344" i="26" s="1"/>
  <c r="T1344" i="26" s="1"/>
  <c r="P1365" i="26"/>
  <c r="Q1365" i="26" s="1"/>
  <c r="T1365" i="26" s="1"/>
  <c r="P1362" i="26"/>
  <c r="Q1362" i="26" s="1"/>
  <c r="T1362" i="26" s="1"/>
  <c r="P1363" i="26"/>
  <c r="Q1363" i="26" s="1"/>
  <c r="T1363" i="26" s="1"/>
  <c r="P1364" i="26"/>
  <c r="Q1364" i="26" s="1"/>
  <c r="T1364" i="26" s="1"/>
  <c r="P123" i="26"/>
  <c r="Q123" i="26" s="1"/>
  <c r="T123" i="26" s="1"/>
  <c r="P124" i="26"/>
  <c r="Q124" i="26" s="1"/>
  <c r="T124" i="26" s="1"/>
  <c r="P125" i="26"/>
  <c r="Q125" i="26" s="1"/>
  <c r="T125" i="26" s="1"/>
  <c r="P126" i="26"/>
  <c r="Q126" i="26" s="1"/>
  <c r="T126" i="26" s="1"/>
  <c r="U126" i="26" s="1"/>
  <c r="G126" i="1" s="1"/>
  <c r="P143" i="26"/>
  <c r="Q143" i="26" s="1"/>
  <c r="T143" i="26" s="1"/>
  <c r="U143" i="26" s="1"/>
  <c r="G143" i="1" s="1"/>
  <c r="P140" i="26"/>
  <c r="Q140" i="26" s="1"/>
  <c r="T140" i="26" s="1"/>
  <c r="P141" i="26"/>
  <c r="Q141" i="26" s="1"/>
  <c r="T141" i="26" s="1"/>
  <c r="P142" i="26"/>
  <c r="Q142" i="26" s="1"/>
  <c r="T142" i="26" s="1"/>
  <c r="P157" i="26"/>
  <c r="Q157" i="26" s="1"/>
  <c r="T157" i="26" s="1"/>
  <c r="P161" i="26"/>
  <c r="Q161" i="26" s="1"/>
  <c r="T161" i="26" s="1"/>
  <c r="U161" i="26" s="1"/>
  <c r="G161" i="1" s="1"/>
  <c r="P160" i="26"/>
  <c r="Q160" i="26" s="1"/>
  <c r="T160" i="26" s="1"/>
  <c r="P158" i="26"/>
  <c r="Q158" i="26" s="1"/>
  <c r="T158" i="26" s="1"/>
  <c r="P159" i="26"/>
  <c r="Q159" i="26" s="1"/>
  <c r="T159" i="26" s="1"/>
  <c r="P177" i="26"/>
  <c r="Q177" i="26" s="1"/>
  <c r="T177" i="26" s="1"/>
  <c r="P178" i="26"/>
  <c r="Q178" i="26" s="1"/>
  <c r="T178" i="26" s="1"/>
  <c r="U178" i="26" s="1"/>
  <c r="G178" i="1" s="1"/>
  <c r="P175" i="26"/>
  <c r="Q175" i="26" s="1"/>
  <c r="T175" i="26" s="1"/>
  <c r="P176" i="26"/>
  <c r="Q176" i="26" s="1"/>
  <c r="T176" i="26" s="1"/>
  <c r="P195" i="26"/>
  <c r="Q195" i="26" s="1"/>
  <c r="T195" i="26" s="1"/>
  <c r="U195" i="26" s="1"/>
  <c r="G195" i="1" s="1"/>
  <c r="P192" i="26"/>
  <c r="Q192" i="26" s="1"/>
  <c r="T192" i="26" s="1"/>
  <c r="P193" i="26"/>
  <c r="Q193" i="26" s="1"/>
  <c r="T193" i="26" s="1"/>
  <c r="P194" i="26"/>
  <c r="Q194" i="26" s="1"/>
  <c r="T194" i="26" s="1"/>
  <c r="P211" i="26"/>
  <c r="Q211" i="26" s="1"/>
  <c r="T211" i="26" s="1"/>
  <c r="P212" i="26"/>
  <c r="Q212" i="26" s="1"/>
  <c r="T212" i="26" s="1"/>
  <c r="P209" i="26"/>
  <c r="Q209" i="26" s="1"/>
  <c r="T209" i="26" s="1"/>
  <c r="P213" i="26"/>
  <c r="Q213" i="26" s="1"/>
  <c r="T213" i="26" s="1"/>
  <c r="P210" i="26"/>
  <c r="Q210" i="26" s="1"/>
  <c r="T210" i="26" s="1"/>
  <c r="P227" i="26"/>
  <c r="Q227" i="26" s="1"/>
  <c r="T227" i="26" s="1"/>
  <c r="P228" i="26"/>
  <c r="Q228" i="26" s="1"/>
  <c r="T228" i="26" s="1"/>
  <c r="P229" i="26"/>
  <c r="Q229" i="26" s="1"/>
  <c r="T229" i="26" s="1"/>
  <c r="P230" i="26"/>
  <c r="Q230" i="26" s="1"/>
  <c r="T230" i="26" s="1"/>
  <c r="U230" i="26" s="1"/>
  <c r="G230" i="1" s="1"/>
  <c r="P247" i="26"/>
  <c r="Q247" i="26" s="1"/>
  <c r="T247" i="26" s="1"/>
  <c r="P244" i="26"/>
  <c r="Q244" i="26" s="1"/>
  <c r="T244" i="26" s="1"/>
  <c r="P248" i="26"/>
  <c r="Q248" i="26" s="1"/>
  <c r="T248" i="26" s="1"/>
  <c r="P245" i="26"/>
  <c r="Q245" i="26" s="1"/>
  <c r="T245" i="26" s="1"/>
  <c r="P246" i="26"/>
  <c r="Q246" i="26" s="1"/>
  <c r="T246" i="26" s="1"/>
  <c r="P263" i="26"/>
  <c r="Q263" i="26" s="1"/>
  <c r="T263" i="26" s="1"/>
  <c r="P264" i="26"/>
  <c r="Q264" i="26" s="1"/>
  <c r="T264" i="26" s="1"/>
  <c r="P265" i="26"/>
  <c r="Q265" i="26" s="1"/>
  <c r="T265" i="26" s="1"/>
  <c r="U265" i="26" s="1"/>
  <c r="G265" i="1" s="1"/>
  <c r="P262" i="26"/>
  <c r="Q262" i="26" s="1"/>
  <c r="T262" i="26" s="1"/>
  <c r="P279" i="26"/>
  <c r="Q279" i="26" s="1"/>
  <c r="T279" i="26" s="1"/>
  <c r="P280" i="26"/>
  <c r="Q280" i="26" s="1"/>
  <c r="T280" i="26" s="1"/>
  <c r="P281" i="26"/>
  <c r="Q281" i="26" s="1"/>
  <c r="T281" i="26" s="1"/>
  <c r="P282" i="26"/>
  <c r="Q282" i="26" s="1"/>
  <c r="T282" i="26" s="1"/>
  <c r="P643" i="26"/>
  <c r="Q643" i="26" s="1"/>
  <c r="T643" i="26" s="1"/>
  <c r="P641" i="26"/>
  <c r="Q641" i="26" s="1"/>
  <c r="T641" i="26" s="1"/>
  <c r="P640" i="26"/>
  <c r="Q640" i="26" s="1"/>
  <c r="T640" i="26" s="1"/>
  <c r="P642" i="26"/>
  <c r="Q642" i="26" s="1"/>
  <c r="T642" i="26" s="1"/>
  <c r="P659" i="26"/>
  <c r="Q659" i="26" s="1"/>
  <c r="T659" i="26" s="1"/>
  <c r="P657" i="26"/>
  <c r="Q657" i="26" s="1"/>
  <c r="T657" i="26" s="1"/>
  <c r="P661" i="26"/>
  <c r="Q661" i="26" s="1"/>
  <c r="T661" i="26" s="1"/>
  <c r="U661" i="26" s="1"/>
  <c r="G661" i="1" s="1"/>
  <c r="P660" i="26"/>
  <c r="Q660" i="26" s="1"/>
  <c r="T660" i="26" s="1"/>
  <c r="P658" i="26"/>
  <c r="Q658" i="26" s="1"/>
  <c r="T658" i="26" s="1"/>
  <c r="P675" i="26"/>
  <c r="Q675" i="26" s="1"/>
  <c r="T675" i="26" s="1"/>
  <c r="P677" i="26"/>
  <c r="Q677" i="26" s="1"/>
  <c r="T677" i="26" s="1"/>
  <c r="P676" i="26"/>
  <c r="Q676" i="26" s="1"/>
  <c r="T676" i="26" s="1"/>
  <c r="P678" i="26"/>
  <c r="Q678" i="26" s="1"/>
  <c r="T678" i="26" s="1"/>
  <c r="H162" i="25"/>
  <c r="P695" i="26"/>
  <c r="Q695" i="26" s="1"/>
  <c r="T695" i="26" s="1"/>
  <c r="P692" i="26"/>
  <c r="Q692" i="26" s="1"/>
  <c r="T692" i="26" s="1"/>
  <c r="P696" i="26"/>
  <c r="Q696" i="26" s="1"/>
  <c r="T696" i="26" s="1"/>
  <c r="U696" i="26" s="1"/>
  <c r="G696" i="1" s="1"/>
  <c r="P693" i="26"/>
  <c r="Q693" i="26" s="1"/>
  <c r="T693" i="26" s="1"/>
  <c r="P694" i="26"/>
  <c r="Q694" i="26" s="1"/>
  <c r="T694" i="26" s="1"/>
  <c r="P711" i="26"/>
  <c r="Q711" i="26" s="1"/>
  <c r="T711" i="26" s="1"/>
  <c r="P712" i="26"/>
  <c r="Q712" i="26" s="1"/>
  <c r="T712" i="26" s="1"/>
  <c r="P713" i="26"/>
  <c r="Q713" i="26" s="1"/>
  <c r="T713" i="26" s="1"/>
  <c r="P709" i="26"/>
  <c r="Q709" i="26" s="1"/>
  <c r="T709" i="26" s="1"/>
  <c r="P710" i="26"/>
  <c r="Q710" i="26" s="1"/>
  <c r="T710" i="26" s="1"/>
  <c r="P727" i="26"/>
  <c r="Q727" i="26" s="1"/>
  <c r="T727" i="26" s="1"/>
  <c r="P728" i="26"/>
  <c r="Q728" i="26" s="1"/>
  <c r="T728" i="26" s="1"/>
  <c r="P729" i="26"/>
  <c r="Q729" i="26" s="1"/>
  <c r="T729" i="26" s="1"/>
  <c r="P730" i="26"/>
  <c r="Q730" i="26" s="1"/>
  <c r="T730" i="26" s="1"/>
  <c r="P747" i="26"/>
  <c r="Q747" i="26" s="1"/>
  <c r="T747" i="26" s="1"/>
  <c r="P744" i="26"/>
  <c r="Q744" i="26" s="1"/>
  <c r="T744" i="26" s="1"/>
  <c r="P748" i="26"/>
  <c r="Q748" i="26" s="1"/>
  <c r="T748" i="26" s="1"/>
  <c r="U748" i="26" s="1"/>
  <c r="G748" i="1" s="1"/>
  <c r="P745" i="26"/>
  <c r="Q745" i="26" s="1"/>
  <c r="T745" i="26" s="1"/>
  <c r="P746" i="26"/>
  <c r="Q746" i="26" s="1"/>
  <c r="T746" i="26" s="1"/>
  <c r="P763" i="26"/>
  <c r="Q763" i="26" s="1"/>
  <c r="T763" i="26" s="1"/>
  <c r="P764" i="26"/>
  <c r="Q764" i="26" s="1"/>
  <c r="T764" i="26" s="1"/>
  <c r="P765" i="26"/>
  <c r="Q765" i="26" s="1"/>
  <c r="T765" i="26" s="1"/>
  <c r="U765" i="26" s="1"/>
  <c r="G765" i="1" s="1"/>
  <c r="P762" i="26"/>
  <c r="Q762" i="26" s="1"/>
  <c r="T762" i="26" s="1"/>
  <c r="P779" i="26"/>
  <c r="Q779" i="26" s="1"/>
  <c r="T779" i="26" s="1"/>
  <c r="P780" i="26"/>
  <c r="Q780" i="26" s="1"/>
  <c r="T780" i="26" s="1"/>
  <c r="P781" i="26"/>
  <c r="Q781" i="26" s="1"/>
  <c r="T781" i="26" s="1"/>
  <c r="P782" i="26"/>
  <c r="Q782" i="26" s="1"/>
  <c r="T782" i="26" s="1"/>
  <c r="P799" i="26"/>
  <c r="Q799" i="26" s="1"/>
  <c r="T799" i="26" s="1"/>
  <c r="P800" i="26"/>
  <c r="Q800" i="26" s="1"/>
  <c r="T800" i="26" s="1"/>
  <c r="U800" i="26" s="1"/>
  <c r="G800" i="1" s="1"/>
  <c r="P797" i="26"/>
  <c r="Q797" i="26" s="1"/>
  <c r="T797" i="26" s="1"/>
  <c r="P798" i="26"/>
  <c r="Q798" i="26" s="1"/>
  <c r="T798" i="26" s="1"/>
  <c r="P815" i="26"/>
  <c r="Q815" i="26" s="1"/>
  <c r="T815" i="26" s="1"/>
  <c r="P816" i="26"/>
  <c r="Q816" i="26" s="1"/>
  <c r="T816" i="26" s="1"/>
  <c r="P817" i="26"/>
  <c r="Q817" i="26" s="1"/>
  <c r="T817" i="26" s="1"/>
  <c r="U817" i="26" s="1"/>
  <c r="G817" i="1" s="1"/>
  <c r="P814" i="26"/>
  <c r="Q814" i="26" s="1"/>
  <c r="T814" i="26" s="1"/>
  <c r="P835" i="26"/>
  <c r="Q835" i="26" s="1"/>
  <c r="T835" i="26" s="1"/>
  <c r="U835" i="26" s="1"/>
  <c r="G835" i="1" s="1"/>
  <c r="P831" i="26"/>
  <c r="Q831" i="26" s="1"/>
  <c r="T831" i="26" s="1"/>
  <c r="P832" i="26"/>
  <c r="Q832" i="26" s="1"/>
  <c r="T832" i="26" s="1"/>
  <c r="P833" i="26"/>
  <c r="Q833" i="26" s="1"/>
  <c r="T833" i="26" s="1"/>
  <c r="P834" i="26"/>
  <c r="Q834" i="26" s="1"/>
  <c r="T834" i="26" s="1"/>
  <c r="U834" i="26" s="1"/>
  <c r="G834" i="1" s="1"/>
  <c r="P851" i="26"/>
  <c r="Q851" i="26" s="1"/>
  <c r="T851" i="26" s="1"/>
  <c r="P852" i="26"/>
  <c r="Q852" i="26" s="1"/>
  <c r="T852" i="26" s="1"/>
  <c r="U852" i="26" s="1"/>
  <c r="G852" i="1" s="1"/>
  <c r="P849" i="26"/>
  <c r="Q849" i="26" s="1"/>
  <c r="T849" i="26" s="1"/>
  <c r="P850" i="26"/>
  <c r="Q850" i="26" s="1"/>
  <c r="T850" i="26" s="1"/>
  <c r="P867" i="26"/>
  <c r="Q867" i="26" s="1"/>
  <c r="T867" i="26" s="1"/>
  <c r="P868" i="26"/>
  <c r="Q868" i="26" s="1"/>
  <c r="T868" i="26" s="1"/>
  <c r="P869" i="26"/>
  <c r="Q869" i="26" s="1"/>
  <c r="T869" i="26" s="1"/>
  <c r="P866" i="26"/>
  <c r="Q866" i="26" s="1"/>
  <c r="T866" i="26" s="1"/>
  <c r="H206" i="25"/>
  <c r="P883" i="26"/>
  <c r="Q883" i="26" s="1"/>
  <c r="T883" i="26" s="1"/>
  <c r="P887" i="26"/>
  <c r="Q887" i="26" s="1"/>
  <c r="T887" i="26" s="1"/>
  <c r="U887" i="26" s="1"/>
  <c r="G887" i="1" s="1"/>
  <c r="P884" i="26"/>
  <c r="Q884" i="26" s="1"/>
  <c r="T884" i="26" s="1"/>
  <c r="P885" i="26"/>
  <c r="Q885" i="26" s="1"/>
  <c r="T885" i="26" s="1"/>
  <c r="P886" i="26"/>
  <c r="Q886" i="26" s="1"/>
  <c r="T886" i="26" s="1"/>
  <c r="P903" i="26"/>
  <c r="Q903" i="26" s="1"/>
  <c r="T903" i="26" s="1"/>
  <c r="P904" i="26"/>
  <c r="Q904" i="26" s="1"/>
  <c r="T904" i="26" s="1"/>
  <c r="U904" i="26" s="1"/>
  <c r="G904" i="1" s="1"/>
  <c r="P901" i="26"/>
  <c r="Q901" i="26" s="1"/>
  <c r="T901" i="26" s="1"/>
  <c r="P902" i="26"/>
  <c r="Q902" i="26" s="1"/>
  <c r="T902" i="26" s="1"/>
  <c r="P919" i="26"/>
  <c r="Q919" i="26" s="1"/>
  <c r="T919" i="26" s="1"/>
  <c r="P920" i="26"/>
  <c r="Q920" i="26" s="1"/>
  <c r="T920" i="26" s="1"/>
  <c r="P921" i="26"/>
  <c r="Q921" i="26" s="1"/>
  <c r="T921" i="26" s="1"/>
  <c r="U921" i="26" s="1"/>
  <c r="G921" i="1" s="1"/>
  <c r="P918" i="26"/>
  <c r="Q918" i="26" s="1"/>
  <c r="T918" i="26" s="1"/>
  <c r="P939" i="26"/>
  <c r="Q939" i="26" s="1"/>
  <c r="T939" i="26" s="1"/>
  <c r="U939" i="26" s="1"/>
  <c r="G939" i="1" s="1"/>
  <c r="P936" i="26"/>
  <c r="Q936" i="26" s="1"/>
  <c r="T936" i="26" s="1"/>
  <c r="P937" i="26"/>
  <c r="Q937" i="26" s="1"/>
  <c r="T937" i="26" s="1"/>
  <c r="P938" i="26"/>
  <c r="Q938" i="26" s="1"/>
  <c r="T938" i="26" s="1"/>
  <c r="P955" i="26"/>
  <c r="Q955" i="26" s="1"/>
  <c r="T955" i="26" s="1"/>
  <c r="U955" i="26" s="1"/>
  <c r="G955" i="1" s="1"/>
  <c r="P956" i="26"/>
  <c r="Q956" i="26" s="1"/>
  <c r="T956" i="26" s="1"/>
  <c r="P953" i="26"/>
  <c r="Q953" i="26" s="1"/>
  <c r="T953" i="26" s="1"/>
  <c r="P954" i="26"/>
  <c r="Q954" i="26" s="1"/>
  <c r="T954" i="26" s="1"/>
  <c r="P987" i="26"/>
  <c r="Q987" i="26" s="1"/>
  <c r="T987" i="26" s="1"/>
  <c r="U987" i="26" s="1"/>
  <c r="G987" i="1" s="1"/>
  <c r="P983" i="26"/>
  <c r="Q983" i="26" s="1"/>
  <c r="T983" i="26" s="1"/>
  <c r="P984" i="26"/>
  <c r="Q984" i="26" s="1"/>
  <c r="T984" i="26" s="1"/>
  <c r="P985" i="26"/>
  <c r="Q985" i="26" s="1"/>
  <c r="T985" i="26" s="1"/>
  <c r="P986" i="26"/>
  <c r="Q986" i="26" s="1"/>
  <c r="T986" i="26" s="1"/>
  <c r="U986" i="26" s="1"/>
  <c r="G986" i="1" s="1"/>
  <c r="P1003" i="26"/>
  <c r="Q1003" i="26" s="1"/>
  <c r="T1003" i="26" s="1"/>
  <c r="P1004" i="26"/>
  <c r="Q1004" i="26" s="1"/>
  <c r="T1004" i="26" s="1"/>
  <c r="P1001" i="26"/>
  <c r="Q1001" i="26" s="1"/>
  <c r="T1001" i="26" s="1"/>
  <c r="P1002" i="26"/>
  <c r="Q1002" i="26" s="1"/>
  <c r="T1002" i="26" s="1"/>
  <c r="P1019" i="26"/>
  <c r="Q1019" i="26" s="1"/>
  <c r="T1019" i="26" s="1"/>
  <c r="P1020" i="26"/>
  <c r="Q1020" i="26" s="1"/>
  <c r="T1020" i="26" s="1"/>
  <c r="P1021" i="26"/>
  <c r="Q1021" i="26" s="1"/>
  <c r="T1021" i="26" s="1"/>
  <c r="U1021" i="26" s="1"/>
  <c r="G1021" i="1" s="1"/>
  <c r="P1018" i="26"/>
  <c r="Q1018" i="26" s="1"/>
  <c r="T1018" i="26" s="1"/>
  <c r="P1039" i="26"/>
  <c r="Q1039" i="26" s="1"/>
  <c r="T1039" i="26" s="1"/>
  <c r="P1036" i="26"/>
  <c r="Q1036" i="26" s="1"/>
  <c r="T1036" i="26" s="1"/>
  <c r="P1037" i="26"/>
  <c r="Q1037" i="26" s="1"/>
  <c r="T1037" i="26" s="1"/>
  <c r="P1038" i="26"/>
  <c r="Q1038" i="26" s="1"/>
  <c r="T1038" i="26" s="1"/>
  <c r="P1055" i="26"/>
  <c r="Q1055" i="26" s="1"/>
  <c r="T1055" i="26" s="1"/>
  <c r="P1056" i="26"/>
  <c r="Q1056" i="26" s="1"/>
  <c r="T1056" i="26" s="1"/>
  <c r="U1056" i="26" s="1"/>
  <c r="G1056" i="1" s="1"/>
  <c r="P1053" i="26"/>
  <c r="Q1053" i="26" s="1"/>
  <c r="T1053" i="26" s="1"/>
  <c r="P1054" i="26"/>
  <c r="Q1054" i="26" s="1"/>
  <c r="T1054" i="26" s="1"/>
  <c r="P1071" i="26"/>
  <c r="Q1071" i="26" s="1"/>
  <c r="T1071" i="26" s="1"/>
  <c r="P1072" i="26"/>
  <c r="Q1072" i="26" s="1"/>
  <c r="T1072" i="26" s="1"/>
  <c r="P1073" i="26"/>
  <c r="Q1073" i="26" s="1"/>
  <c r="T1073" i="26" s="1"/>
  <c r="P1074" i="26"/>
  <c r="Q1074" i="26" s="1"/>
  <c r="T1074" i="26" s="1"/>
  <c r="P1091" i="26"/>
  <c r="Q1091" i="26" s="1"/>
  <c r="T1091" i="26" s="1"/>
  <c r="U1091" i="26" s="1"/>
  <c r="G1091" i="1" s="1"/>
  <c r="P1088" i="26"/>
  <c r="Q1088" i="26" s="1"/>
  <c r="T1088" i="26" s="1"/>
  <c r="P1089" i="26"/>
  <c r="Q1089" i="26" s="1"/>
  <c r="T1089" i="26" s="1"/>
  <c r="P1090" i="26"/>
  <c r="Q1090" i="26" s="1"/>
  <c r="T1090" i="26" s="1"/>
  <c r="P1107" i="26"/>
  <c r="Q1107" i="26" s="1"/>
  <c r="T1107" i="26" s="1"/>
  <c r="P1108" i="26"/>
  <c r="Q1108" i="26" s="1"/>
  <c r="T1108" i="26" s="1"/>
  <c r="P1105" i="26"/>
  <c r="Q1105" i="26" s="1"/>
  <c r="T1105" i="26" s="1"/>
  <c r="P1109" i="26"/>
  <c r="Q1109" i="26" s="1"/>
  <c r="T1109" i="26" s="1"/>
  <c r="P1106" i="26"/>
  <c r="Q1106" i="26" s="1"/>
  <c r="T1106" i="26" s="1"/>
  <c r="P1123" i="26"/>
  <c r="Q1123" i="26" s="1"/>
  <c r="T1123" i="26" s="1"/>
  <c r="P1124" i="26"/>
  <c r="Q1124" i="26" s="1"/>
  <c r="T1124" i="26" s="1"/>
  <c r="P1125" i="26"/>
  <c r="Q1125" i="26" s="1"/>
  <c r="T1125" i="26" s="1"/>
  <c r="P1126" i="26"/>
  <c r="Q1126" i="26" s="1"/>
  <c r="T1126" i="26" s="1"/>
  <c r="P1143" i="26"/>
  <c r="Q1143" i="26" s="1"/>
  <c r="T1143" i="26" s="1"/>
  <c r="U1143" i="26" s="1"/>
  <c r="G1143" i="1" s="1"/>
  <c r="P1140" i="26"/>
  <c r="Q1140" i="26" s="1"/>
  <c r="T1140" i="26" s="1"/>
  <c r="P1141" i="26"/>
  <c r="Q1141" i="26" s="1"/>
  <c r="T1141" i="26" s="1"/>
  <c r="P1142" i="26"/>
  <c r="Q1142" i="26" s="1"/>
  <c r="T1142" i="26" s="1"/>
  <c r="P1159" i="26"/>
  <c r="Q1159" i="26" s="1"/>
  <c r="T1159" i="26" s="1"/>
  <c r="P1160" i="26"/>
  <c r="Q1160" i="26" s="1"/>
  <c r="T1160" i="26" s="1"/>
  <c r="P1161" i="26"/>
  <c r="Q1161" i="26" s="1"/>
  <c r="T1161" i="26" s="1"/>
  <c r="P1157" i="26"/>
  <c r="Q1157" i="26" s="1"/>
  <c r="T1157" i="26" s="1"/>
  <c r="P1158" i="26"/>
  <c r="Q1158" i="26" s="1"/>
  <c r="T1158" i="26" s="1"/>
  <c r="P1175" i="26"/>
  <c r="Q1175" i="26" s="1"/>
  <c r="T1175" i="26" s="1"/>
  <c r="P1176" i="26"/>
  <c r="Q1176" i="26" s="1"/>
  <c r="T1176" i="26" s="1"/>
  <c r="P1177" i="26"/>
  <c r="Q1177" i="26" s="1"/>
  <c r="T1177" i="26" s="1"/>
  <c r="P1178" i="26"/>
  <c r="Q1178" i="26" s="1"/>
  <c r="T1178" i="26" s="1"/>
  <c r="U1178" i="26" s="1"/>
  <c r="G1178" i="1" s="1"/>
  <c r="P1195" i="26"/>
  <c r="Q1195" i="26" s="1"/>
  <c r="T1195" i="26" s="1"/>
  <c r="P1192" i="26"/>
  <c r="Q1192" i="26" s="1"/>
  <c r="T1192" i="26" s="1"/>
  <c r="P1196" i="26"/>
  <c r="Q1196" i="26" s="1"/>
  <c r="T1196" i="26" s="1"/>
  <c r="P1193" i="26"/>
  <c r="Q1193" i="26" s="1"/>
  <c r="T1193" i="26" s="1"/>
  <c r="P1194" i="26"/>
  <c r="Q1194" i="26" s="1"/>
  <c r="T1194" i="26" s="1"/>
  <c r="P1211" i="26"/>
  <c r="Q1211" i="26" s="1"/>
  <c r="T1211" i="26" s="1"/>
  <c r="P1212" i="26"/>
  <c r="Q1212" i="26" s="1"/>
  <c r="T1212" i="26" s="1"/>
  <c r="P1213" i="26"/>
  <c r="Q1213" i="26" s="1"/>
  <c r="T1213" i="26" s="1"/>
  <c r="P1210" i="26"/>
  <c r="Q1210" i="26" s="1"/>
  <c r="T1210" i="26" s="1"/>
  <c r="P1228" i="26"/>
  <c r="Q1228" i="26" s="1"/>
  <c r="T1228" i="26" s="1"/>
  <c r="P1229" i="26"/>
  <c r="Q1229" i="26" s="1"/>
  <c r="T1229" i="26" s="1"/>
  <c r="P1230" i="26"/>
  <c r="Q1230" i="26" s="1"/>
  <c r="T1230" i="26" s="1"/>
  <c r="U1230" i="26" s="1"/>
  <c r="G1230" i="1" s="1"/>
  <c r="P1227" i="26"/>
  <c r="Q1227" i="26" s="1"/>
  <c r="T1227" i="26" s="1"/>
  <c r="AB8" i="25"/>
  <c r="AB4" i="25"/>
  <c r="P59" i="26"/>
  <c r="Q59" i="26" s="1"/>
  <c r="T59" i="26" s="1"/>
  <c r="P60" i="26"/>
  <c r="Q60" i="26" s="1"/>
  <c r="T60" i="26" s="1"/>
  <c r="P57" i="26"/>
  <c r="Q57" i="26" s="1"/>
  <c r="T57" i="26" s="1"/>
  <c r="P61" i="26"/>
  <c r="Q61" i="26" s="1"/>
  <c r="T61" i="26" s="1"/>
  <c r="P58" i="26"/>
  <c r="Q58" i="26" s="1"/>
  <c r="T58" i="26" s="1"/>
  <c r="P75" i="26"/>
  <c r="Q75" i="26" s="1"/>
  <c r="T75" i="26" s="1"/>
  <c r="P76" i="26"/>
  <c r="Q76" i="26" s="1"/>
  <c r="T76" i="26" s="1"/>
  <c r="P77" i="26"/>
  <c r="Q77" i="26" s="1"/>
  <c r="T77" i="26" s="1"/>
  <c r="P78" i="26"/>
  <c r="Q78" i="26" s="1"/>
  <c r="T78" i="26" s="1"/>
  <c r="U78" i="26" s="1"/>
  <c r="G78" i="1" s="1"/>
  <c r="P95" i="26"/>
  <c r="Q95" i="26" s="1"/>
  <c r="T95" i="26" s="1"/>
  <c r="P92" i="26"/>
  <c r="Q92" i="26" s="1"/>
  <c r="T92" i="26" s="1"/>
  <c r="P93" i="26"/>
  <c r="Q93" i="26" s="1"/>
  <c r="T93" i="26" s="1"/>
  <c r="P94" i="26"/>
  <c r="Q94" i="26" s="1"/>
  <c r="T94" i="26" s="1"/>
  <c r="P111" i="26"/>
  <c r="Q111" i="26" s="1"/>
  <c r="T111" i="26" s="1"/>
  <c r="P112" i="26"/>
  <c r="Q112" i="26" s="1"/>
  <c r="T112" i="26" s="1"/>
  <c r="P109" i="26"/>
  <c r="Q109" i="26" s="1"/>
  <c r="T109" i="26" s="1"/>
  <c r="P113" i="26"/>
  <c r="Q113" i="26" s="1"/>
  <c r="T113" i="26" s="1"/>
  <c r="U113" i="26" s="1"/>
  <c r="G113" i="1" s="1"/>
  <c r="P110" i="26"/>
  <c r="Q110" i="26" s="1"/>
  <c r="T110" i="26" s="1"/>
  <c r="D32" i="25"/>
  <c r="P299" i="26"/>
  <c r="Q299" i="26" s="1"/>
  <c r="T299" i="26" s="1"/>
  <c r="P296" i="26"/>
  <c r="Q296" i="26" s="1"/>
  <c r="T296" i="26" s="1"/>
  <c r="P300" i="26"/>
  <c r="Q300" i="26" s="1"/>
  <c r="T300" i="26" s="1"/>
  <c r="P297" i="26"/>
  <c r="Q297" i="26" s="1"/>
  <c r="T297" i="26" s="1"/>
  <c r="P298" i="26"/>
  <c r="Q298" i="26" s="1"/>
  <c r="T298" i="26" s="1"/>
  <c r="U298" i="26" s="1"/>
  <c r="G298" i="1" s="1"/>
  <c r="P315" i="26"/>
  <c r="Q315" i="26" s="1"/>
  <c r="T315" i="26" s="1"/>
  <c r="P316" i="26"/>
  <c r="Q316" i="26" s="1"/>
  <c r="T316" i="26" s="1"/>
  <c r="P317" i="26"/>
  <c r="Q317" i="26" s="1"/>
  <c r="T317" i="26" s="1"/>
  <c r="U317" i="26" s="1"/>
  <c r="G317" i="1" s="1"/>
  <c r="P314" i="26"/>
  <c r="Q314" i="26" s="1"/>
  <c r="T314" i="26" s="1"/>
  <c r="P335" i="26"/>
  <c r="Q335" i="26" s="1"/>
  <c r="T335" i="26" s="1"/>
  <c r="P331" i="26"/>
  <c r="Q331" i="26" s="1"/>
  <c r="T331" i="26" s="1"/>
  <c r="P332" i="26"/>
  <c r="Q332" i="26" s="1"/>
  <c r="T332" i="26" s="1"/>
  <c r="P333" i="26"/>
  <c r="Q333" i="26" s="1"/>
  <c r="T333" i="26" s="1"/>
  <c r="P334" i="26"/>
  <c r="Q334" i="26" s="1"/>
  <c r="T334" i="26" s="1"/>
  <c r="P351" i="26"/>
  <c r="Q351" i="26" s="1"/>
  <c r="T351" i="26" s="1"/>
  <c r="P352" i="26"/>
  <c r="Q352" i="26" s="1"/>
  <c r="T352" i="26" s="1"/>
  <c r="U352" i="26" s="1"/>
  <c r="G352" i="1" s="1"/>
  <c r="P349" i="26"/>
  <c r="Q349" i="26" s="1"/>
  <c r="T349" i="26" s="1"/>
  <c r="P350" i="26"/>
  <c r="Q350" i="26" s="1"/>
  <c r="T350" i="26" s="1"/>
  <c r="P367" i="26"/>
  <c r="Q367" i="26" s="1"/>
  <c r="T367" i="26" s="1"/>
  <c r="P368" i="26"/>
  <c r="Q368" i="26" s="1"/>
  <c r="T368" i="26" s="1"/>
  <c r="P369" i="26"/>
  <c r="Q369" i="26" s="1"/>
  <c r="T369" i="26" s="1"/>
  <c r="U369" i="26" s="1"/>
  <c r="G369" i="1" s="1"/>
  <c r="P366" i="26"/>
  <c r="Q366" i="26" s="1"/>
  <c r="T366" i="26" s="1"/>
  <c r="P387" i="26"/>
  <c r="Q387" i="26" s="1"/>
  <c r="T387" i="26" s="1"/>
  <c r="U387" i="26" s="1"/>
  <c r="G387" i="1" s="1"/>
  <c r="P384" i="26"/>
  <c r="Q384" i="26" s="1"/>
  <c r="T384" i="26" s="1"/>
  <c r="P385" i="26"/>
  <c r="Q385" i="26" s="1"/>
  <c r="T385" i="26" s="1"/>
  <c r="P386" i="26"/>
  <c r="Q386" i="26" s="1"/>
  <c r="T386" i="26" s="1"/>
  <c r="P403" i="26"/>
  <c r="Q403" i="26" s="1"/>
  <c r="T403" i="26" s="1"/>
  <c r="P404" i="26"/>
  <c r="Q404" i="26" s="1"/>
  <c r="T404" i="26" s="1"/>
  <c r="P401" i="26"/>
  <c r="Q401" i="26" s="1"/>
  <c r="T401" i="26" s="1"/>
  <c r="P402" i="26"/>
  <c r="Q402" i="26" s="1"/>
  <c r="T402" i="26" s="1"/>
  <c r="P419" i="26"/>
  <c r="Q419" i="26" s="1"/>
  <c r="T419" i="26" s="1"/>
  <c r="P420" i="26"/>
  <c r="Q420" i="26" s="1"/>
  <c r="T420" i="26" s="1"/>
  <c r="P421" i="26"/>
  <c r="Q421" i="26" s="1"/>
  <c r="T421" i="26" s="1"/>
  <c r="P422" i="26"/>
  <c r="Q422" i="26" s="1"/>
  <c r="T422" i="26" s="1"/>
  <c r="U422" i="26" s="1"/>
  <c r="G422" i="1" s="1"/>
  <c r="P418" i="26"/>
  <c r="Q418" i="26" s="1"/>
  <c r="T418" i="26" s="1"/>
  <c r="P439" i="26"/>
  <c r="Q439" i="26" s="1"/>
  <c r="T439" i="26" s="1"/>
  <c r="U439" i="26" s="1"/>
  <c r="G439" i="1" s="1"/>
  <c r="P436" i="26"/>
  <c r="Q436" i="26" s="1"/>
  <c r="T436" i="26" s="1"/>
  <c r="P437" i="26"/>
  <c r="Q437" i="26" s="1"/>
  <c r="T437" i="26" s="1"/>
  <c r="P438" i="26"/>
  <c r="Q438" i="26" s="1"/>
  <c r="T438" i="26" s="1"/>
  <c r="P455" i="26"/>
  <c r="Q455" i="26" s="1"/>
  <c r="T455" i="26" s="1"/>
  <c r="U455" i="26" s="1"/>
  <c r="G455" i="1" s="1"/>
  <c r="P456" i="26"/>
  <c r="Q456" i="26" s="1"/>
  <c r="T456" i="26" s="1"/>
  <c r="U456" i="26" s="1"/>
  <c r="G456" i="1" s="1"/>
  <c r="P453" i="26"/>
  <c r="Q453" i="26" s="1"/>
  <c r="T453" i="26" s="1"/>
  <c r="P454" i="26"/>
  <c r="Q454" i="26" s="1"/>
  <c r="T454" i="26" s="1"/>
  <c r="P471" i="26"/>
  <c r="Q471" i="26" s="1"/>
  <c r="T471" i="26" s="1"/>
  <c r="P472" i="26"/>
  <c r="Q472" i="26" s="1"/>
  <c r="T472" i="26" s="1"/>
  <c r="P473" i="26"/>
  <c r="Q473" i="26" s="1"/>
  <c r="T473" i="26" s="1"/>
  <c r="P474" i="26"/>
  <c r="Q474" i="26" s="1"/>
  <c r="T474" i="26" s="1"/>
  <c r="P470" i="26"/>
  <c r="Q470" i="26" s="1"/>
  <c r="T470" i="26" s="1"/>
  <c r="P491" i="26"/>
  <c r="Q491" i="26" s="1"/>
  <c r="T491" i="26" s="1"/>
  <c r="U491" i="26" s="1"/>
  <c r="G491" i="1" s="1"/>
  <c r="P488" i="26"/>
  <c r="Q488" i="26" s="1"/>
  <c r="T488" i="26" s="1"/>
  <c r="P489" i="26"/>
  <c r="Q489" i="26" s="1"/>
  <c r="T489" i="26" s="1"/>
  <c r="P490" i="26"/>
  <c r="Q490" i="26" s="1"/>
  <c r="T490" i="26" s="1"/>
  <c r="P507" i="26"/>
  <c r="Q507" i="26" s="1"/>
  <c r="T507" i="26" s="1"/>
  <c r="P508" i="26"/>
  <c r="Q508" i="26" s="1"/>
  <c r="T508" i="26" s="1"/>
  <c r="U508" i="26" s="1"/>
  <c r="G508" i="1" s="1"/>
  <c r="P505" i="26"/>
  <c r="Q505" i="26" s="1"/>
  <c r="T505" i="26" s="1"/>
  <c r="P506" i="26"/>
  <c r="Q506" i="26" s="1"/>
  <c r="T506" i="26" s="1"/>
  <c r="H123" i="25"/>
  <c r="P523" i="26"/>
  <c r="Q523" i="26" s="1"/>
  <c r="T523" i="26" s="1"/>
  <c r="P524" i="26"/>
  <c r="Q524" i="26" s="1"/>
  <c r="T524" i="26" s="1"/>
  <c r="P525" i="26"/>
  <c r="Q525" i="26" s="1"/>
  <c r="T525" i="26" s="1"/>
  <c r="P526" i="26"/>
  <c r="Q526" i="26" s="1"/>
  <c r="T526" i="26" s="1"/>
  <c r="U526" i="26" s="1"/>
  <c r="G526" i="1" s="1"/>
  <c r="P522" i="26"/>
  <c r="Q522" i="26" s="1"/>
  <c r="T522" i="26" s="1"/>
  <c r="P543" i="26"/>
  <c r="Q543" i="26" s="1"/>
  <c r="T543" i="26" s="1"/>
  <c r="P540" i="26"/>
  <c r="Q540" i="26" s="1"/>
  <c r="T540" i="26" s="1"/>
  <c r="P541" i="26"/>
  <c r="Q541" i="26" s="1"/>
  <c r="T541" i="26" s="1"/>
  <c r="P542" i="26"/>
  <c r="Q542" i="26" s="1"/>
  <c r="T542" i="26" s="1"/>
  <c r="P559" i="26"/>
  <c r="Q559" i="26" s="1"/>
  <c r="T559" i="26" s="1"/>
  <c r="P560" i="26"/>
  <c r="Q560" i="26" s="1"/>
  <c r="T560" i="26" s="1"/>
  <c r="P557" i="26"/>
  <c r="Q557" i="26" s="1"/>
  <c r="T557" i="26" s="1"/>
  <c r="P561" i="26"/>
  <c r="Q561" i="26" s="1"/>
  <c r="T561" i="26" s="1"/>
  <c r="U561" i="26" s="1"/>
  <c r="G561" i="1" s="1"/>
  <c r="P558" i="26"/>
  <c r="Q558" i="26" s="1"/>
  <c r="T558" i="26" s="1"/>
  <c r="P575" i="26"/>
  <c r="Q575" i="26" s="1"/>
  <c r="T575" i="26" s="1"/>
  <c r="P576" i="26"/>
  <c r="Q576" i="26" s="1"/>
  <c r="T576" i="26" s="1"/>
  <c r="P577" i="26"/>
  <c r="Q577" i="26" s="1"/>
  <c r="T577" i="26" s="1"/>
  <c r="P578" i="26"/>
  <c r="Q578" i="26" s="1"/>
  <c r="T578" i="26" s="1"/>
  <c r="U137" i="25"/>
  <c r="P595" i="26"/>
  <c r="Q595" i="26" s="1"/>
  <c r="T595" i="26" s="1"/>
  <c r="P596" i="26"/>
  <c r="Q596" i="26" s="1"/>
  <c r="T596" i="26" s="1"/>
  <c r="U596" i="26" s="1"/>
  <c r="G596" i="1" s="1"/>
  <c r="P592" i="26"/>
  <c r="Q592" i="26" s="1"/>
  <c r="T592" i="26" s="1"/>
  <c r="P593" i="26"/>
  <c r="Q593" i="26" s="1"/>
  <c r="T593" i="26" s="1"/>
  <c r="P594" i="26"/>
  <c r="Q594" i="26" s="1"/>
  <c r="T594" i="26" s="1"/>
  <c r="P611" i="26"/>
  <c r="Q611" i="26" s="1"/>
  <c r="T611" i="26" s="1"/>
  <c r="P612" i="26"/>
  <c r="Q612" i="26" s="1"/>
  <c r="T612" i="26" s="1"/>
  <c r="P609" i="26"/>
  <c r="Q609" i="26" s="1"/>
  <c r="T609" i="26" s="1"/>
  <c r="P613" i="26"/>
  <c r="Q613" i="26" s="1"/>
  <c r="T613" i="26" s="1"/>
  <c r="U613" i="26" s="1"/>
  <c r="G613" i="1" s="1"/>
  <c r="P610" i="26"/>
  <c r="Q610" i="26" s="1"/>
  <c r="T610" i="26" s="1"/>
  <c r="P627" i="26"/>
  <c r="Q627" i="26" s="1"/>
  <c r="T627" i="26" s="1"/>
  <c r="P628" i="26"/>
  <c r="Q628" i="26" s="1"/>
  <c r="T628" i="26" s="1"/>
  <c r="P629" i="26"/>
  <c r="Q629" i="26" s="1"/>
  <c r="T629" i="26" s="1"/>
  <c r="P630" i="26"/>
  <c r="Q630" i="26" s="1"/>
  <c r="T630" i="26" s="1"/>
  <c r="U630" i="26" s="1"/>
  <c r="G630" i="1" s="1"/>
  <c r="L189" i="25"/>
  <c r="R197" i="25"/>
  <c r="P971" i="26"/>
  <c r="Q971" i="26" s="1"/>
  <c r="T971" i="26" s="1"/>
  <c r="P972" i="26"/>
  <c r="Q972" i="26" s="1"/>
  <c r="T972" i="26" s="1"/>
  <c r="U972" i="26" s="1"/>
  <c r="G972" i="1" s="1"/>
  <c r="P973" i="26"/>
  <c r="Q973" i="26" s="1"/>
  <c r="T973" i="26" s="1"/>
  <c r="P970" i="26"/>
  <c r="Q970" i="26" s="1"/>
  <c r="T970" i="26" s="1"/>
  <c r="P974" i="26"/>
  <c r="Q974" i="26" s="1"/>
  <c r="T974" i="26" s="1"/>
  <c r="U974" i="26" s="1"/>
  <c r="G974" i="1" s="1"/>
  <c r="P1244" i="26"/>
  <c r="Q1244" i="26" s="1"/>
  <c r="T1244" i="26" s="1"/>
  <c r="P1248" i="26"/>
  <c r="Q1248" i="26" s="1"/>
  <c r="T1248" i="26" s="1"/>
  <c r="U1248" i="26" s="1"/>
  <c r="G1248" i="1" s="1"/>
  <c r="P1245" i="26"/>
  <c r="Q1245" i="26" s="1"/>
  <c r="T1245" i="26" s="1"/>
  <c r="P1246" i="26"/>
  <c r="Q1246" i="26" s="1"/>
  <c r="T1246" i="26" s="1"/>
  <c r="P1247" i="26"/>
  <c r="Q1247" i="26" s="1"/>
  <c r="T1247" i="26" s="1"/>
  <c r="U1247" i="26" s="1"/>
  <c r="G1247" i="1" s="1"/>
  <c r="P1264" i="26"/>
  <c r="Q1264" i="26" s="1"/>
  <c r="T1264" i="26" s="1"/>
  <c r="P1265" i="26"/>
  <c r="Q1265" i="26" s="1"/>
  <c r="T1265" i="26" s="1"/>
  <c r="U1265" i="26" s="1"/>
  <c r="G1265" i="1" s="1"/>
  <c r="P1262" i="26"/>
  <c r="Q1262" i="26" s="1"/>
  <c r="T1262" i="26" s="1"/>
  <c r="P1263" i="26"/>
  <c r="Q1263" i="26" s="1"/>
  <c r="T1263" i="26" s="1"/>
  <c r="P1281" i="26"/>
  <c r="Q1281" i="26" s="1"/>
  <c r="T1281" i="26" s="1"/>
  <c r="P1282" i="26"/>
  <c r="Q1282" i="26" s="1"/>
  <c r="T1282" i="26" s="1"/>
  <c r="U1282" i="26" s="1"/>
  <c r="G1282" i="1" s="1"/>
  <c r="P1279" i="26"/>
  <c r="Q1279" i="26" s="1"/>
  <c r="T1279" i="26" s="1"/>
  <c r="P1280" i="26"/>
  <c r="Q1280" i="26" s="1"/>
  <c r="T1280" i="26" s="1"/>
  <c r="U1280" i="26" s="1"/>
  <c r="G1280" i="1" s="1"/>
  <c r="P1297" i="26"/>
  <c r="Q1297" i="26" s="1"/>
  <c r="T1297" i="26" s="1"/>
  <c r="P1300" i="26"/>
  <c r="Q1300" i="26" s="1"/>
  <c r="T1300" i="26" s="1"/>
  <c r="P1298" i="26"/>
  <c r="Q1298" i="26" s="1"/>
  <c r="T1298" i="26" s="1"/>
  <c r="P1299" i="26"/>
  <c r="Q1299" i="26" s="1"/>
  <c r="T1299" i="26" s="1"/>
  <c r="P1296" i="26"/>
  <c r="Q1296" i="26" s="1"/>
  <c r="T1296" i="26" s="1"/>
  <c r="P1317" i="26"/>
  <c r="Q1317" i="26" s="1"/>
  <c r="T1317" i="26" s="1"/>
  <c r="P1314" i="26"/>
  <c r="Q1314" i="26" s="1"/>
  <c r="T1314" i="26" s="1"/>
  <c r="P1315" i="26"/>
  <c r="Q1315" i="26" s="1"/>
  <c r="T1315" i="26" s="1"/>
  <c r="U1315" i="26" s="1"/>
  <c r="G1315" i="1" s="1"/>
  <c r="P1316" i="26"/>
  <c r="Q1316" i="26" s="1"/>
  <c r="T1316" i="26" s="1"/>
  <c r="P1332" i="26"/>
  <c r="Q1332" i="26" s="1"/>
  <c r="T1332" i="26" s="1"/>
  <c r="P1333" i="26"/>
  <c r="Q1333" i="26" s="1"/>
  <c r="T1333" i="26" s="1"/>
  <c r="P1334" i="26"/>
  <c r="Q1334" i="26" s="1"/>
  <c r="T1334" i="26" s="1"/>
  <c r="P1331" i="26"/>
  <c r="Q1331" i="26" s="1"/>
  <c r="T1331" i="26" s="1"/>
  <c r="P1349" i="26"/>
  <c r="Q1349" i="26" s="1"/>
  <c r="T1349" i="26" s="1"/>
  <c r="P1351" i="26"/>
  <c r="Q1351" i="26" s="1"/>
  <c r="T1351" i="26" s="1"/>
  <c r="P1352" i="26"/>
  <c r="Q1352" i="26" s="1"/>
  <c r="T1352" i="26" s="1"/>
  <c r="P1350" i="26"/>
  <c r="Q1350" i="26" s="1"/>
  <c r="T1350" i="26" s="1"/>
  <c r="P1367" i="26"/>
  <c r="Q1367" i="26" s="1"/>
  <c r="T1367" i="26" s="1"/>
  <c r="P1369" i="26"/>
  <c r="Q1369" i="26" s="1"/>
  <c r="T1369" i="26" s="1"/>
  <c r="P1366" i="26"/>
  <c r="Q1366" i="26" s="1"/>
  <c r="T1366" i="26" s="1"/>
  <c r="P1368" i="26"/>
  <c r="Q1368" i="26" s="1"/>
  <c r="T1368" i="26" s="1"/>
  <c r="E121" i="25"/>
  <c r="L277" i="25"/>
  <c r="I49" i="25"/>
  <c r="O56" i="25"/>
  <c r="U138" i="25"/>
  <c r="L215" i="25"/>
  <c r="U319" i="25"/>
  <c r="O4" i="25"/>
  <c r="I4" i="25"/>
  <c r="E70" i="25"/>
  <c r="AB70" i="25"/>
  <c r="D220" i="25"/>
  <c r="AB287" i="25"/>
  <c r="U115" i="25"/>
  <c r="O128" i="25"/>
  <c r="H8" i="25"/>
  <c r="H4" i="25"/>
  <c r="X87" i="25"/>
  <c r="X222" i="25"/>
  <c r="H316" i="25"/>
  <c r="E319" i="25"/>
  <c r="E5" i="25"/>
  <c r="E4" i="25"/>
  <c r="U5" i="25"/>
  <c r="U4" i="25"/>
  <c r="X219" i="25"/>
  <c r="L319" i="25"/>
  <c r="AB79" i="25"/>
  <c r="AB286" i="25"/>
  <c r="H58" i="25"/>
  <c r="AB96" i="25"/>
  <c r="X97" i="25"/>
  <c r="O109" i="25"/>
  <c r="U129" i="25"/>
  <c r="O286" i="25"/>
  <c r="D9" i="25"/>
  <c r="E59" i="25"/>
  <c r="X56" i="25"/>
  <c r="L77" i="25"/>
  <c r="U106" i="25"/>
  <c r="U153" i="25"/>
  <c r="H36" i="25"/>
  <c r="D52" i="25"/>
  <c r="X57" i="25"/>
  <c r="R56" i="25"/>
  <c r="D67" i="25"/>
  <c r="E129" i="25"/>
  <c r="H148" i="25"/>
  <c r="X201" i="25"/>
  <c r="X227" i="25"/>
  <c r="I261" i="25"/>
  <c r="U277" i="25"/>
  <c r="O284" i="25"/>
  <c r="R295" i="25"/>
  <c r="X27" i="25"/>
  <c r="D30" i="25"/>
  <c r="D45" i="25"/>
  <c r="E57" i="25"/>
  <c r="AB68" i="25"/>
  <c r="X31" i="25"/>
  <c r="U104" i="25"/>
  <c r="X55" i="25"/>
  <c r="D88" i="25"/>
  <c r="AB88" i="25"/>
  <c r="X89" i="25"/>
  <c r="L188" i="25"/>
  <c r="H227" i="25"/>
  <c r="O254" i="25"/>
  <c r="R269" i="25"/>
  <c r="H56" i="25"/>
  <c r="X71" i="25"/>
  <c r="I87" i="25"/>
  <c r="U90" i="25"/>
  <c r="U126" i="25"/>
  <c r="O127" i="25"/>
  <c r="R130" i="25"/>
  <c r="U145" i="25"/>
  <c r="L149" i="25"/>
  <c r="E175" i="25"/>
  <c r="R200" i="25"/>
  <c r="U207" i="25"/>
  <c r="I212" i="25"/>
  <c r="H216" i="25"/>
  <c r="H250" i="25"/>
  <c r="R290" i="25"/>
  <c r="AB292" i="25"/>
  <c r="R294" i="25"/>
  <c r="E12" i="25"/>
  <c r="U15" i="25"/>
  <c r="X18" i="25"/>
  <c r="U26" i="25"/>
  <c r="O27" i="25"/>
  <c r="D35" i="25"/>
  <c r="AB45" i="25"/>
  <c r="E53" i="25"/>
  <c r="AB53" i="25"/>
  <c r="O82" i="25"/>
  <c r="R85" i="25"/>
  <c r="X103" i="25"/>
  <c r="U105" i="25"/>
  <c r="AB125" i="25"/>
  <c r="AB144" i="25"/>
  <c r="X145" i="25"/>
  <c r="H202" i="25"/>
  <c r="X221" i="25"/>
  <c r="I6" i="25"/>
  <c r="I5" i="25"/>
  <c r="U19" i="25"/>
  <c r="L37" i="25"/>
  <c r="R48" i="25"/>
  <c r="D50" i="25"/>
  <c r="E68" i="25"/>
  <c r="L91" i="25"/>
  <c r="E91" i="25"/>
  <c r="D90" i="25"/>
  <c r="R118" i="25"/>
  <c r="O198" i="25"/>
  <c r="U226" i="25"/>
  <c r="O292" i="25"/>
  <c r="L300" i="25"/>
  <c r="L24" i="25"/>
  <c r="D26" i="25"/>
  <c r="O42" i="25"/>
  <c r="E58" i="25"/>
  <c r="O111" i="25"/>
  <c r="O121" i="25"/>
  <c r="L160" i="25"/>
  <c r="R167" i="25"/>
  <c r="D169" i="25"/>
  <c r="AB185" i="25"/>
  <c r="X186" i="25"/>
  <c r="D204" i="25"/>
  <c r="R223" i="25"/>
  <c r="E270" i="25"/>
  <c r="O274" i="25"/>
  <c r="AB279" i="25"/>
  <c r="H286" i="25"/>
  <c r="X291" i="25"/>
  <c r="E294" i="25"/>
  <c r="AB294" i="25"/>
  <c r="E313" i="25"/>
  <c r="L5" i="25"/>
  <c r="O5" i="25"/>
  <c r="U8" i="25"/>
  <c r="O8" i="25"/>
  <c r="I11" i="25"/>
  <c r="L18" i="25"/>
  <c r="I26" i="25"/>
  <c r="L29" i="25"/>
  <c r="L36" i="25"/>
  <c r="E40" i="25"/>
  <c r="D38" i="25"/>
  <c r="L61" i="25"/>
  <c r="I65" i="25"/>
  <c r="E69" i="25"/>
  <c r="X73" i="25"/>
  <c r="AB100" i="25"/>
  <c r="H107" i="25"/>
  <c r="O129" i="25"/>
  <c r="R139" i="25"/>
  <c r="AB146" i="25"/>
  <c r="X147" i="25"/>
  <c r="U151" i="25"/>
  <c r="D189" i="25"/>
  <c r="H204" i="25"/>
  <c r="X213" i="25"/>
  <c r="I215" i="25"/>
  <c r="AB222" i="25"/>
  <c r="R239" i="25"/>
  <c r="D241" i="25"/>
  <c r="X242" i="25"/>
  <c r="D257" i="25"/>
  <c r="D272" i="25"/>
  <c r="O282" i="25"/>
  <c r="E287" i="25"/>
  <c r="R5" i="25"/>
  <c r="D8" i="25"/>
  <c r="X9" i="25"/>
  <c r="X5" i="25"/>
  <c r="X24" i="25"/>
  <c r="AB44" i="25"/>
  <c r="X45" i="25"/>
  <c r="X63" i="25"/>
  <c r="L65" i="25"/>
  <c r="AB83" i="25"/>
  <c r="X84" i="25"/>
  <c r="I99" i="25"/>
  <c r="X105" i="25"/>
  <c r="U121" i="25"/>
  <c r="O122" i="25"/>
  <c r="R129" i="25"/>
  <c r="R137" i="25"/>
  <c r="U139" i="25"/>
  <c r="D191" i="25"/>
  <c r="H241" i="25"/>
  <c r="R289" i="25"/>
  <c r="U300" i="25"/>
  <c r="H12" i="25"/>
  <c r="R18" i="25"/>
  <c r="L30" i="25"/>
  <c r="L45" i="25"/>
  <c r="X77" i="25"/>
  <c r="O89" i="25"/>
  <c r="X91" i="25"/>
  <c r="X109" i="25"/>
  <c r="AB124" i="25"/>
  <c r="H135" i="25"/>
  <c r="O185" i="25"/>
  <c r="I193" i="25"/>
  <c r="D210" i="25"/>
  <c r="R286" i="25"/>
  <c r="R20" i="25"/>
  <c r="L32" i="25"/>
  <c r="X34" i="25"/>
  <c r="L38" i="25"/>
  <c r="X43" i="25"/>
  <c r="H45" i="25"/>
  <c r="AB41" i="25"/>
  <c r="U46" i="25"/>
  <c r="O47" i="25"/>
  <c r="E60" i="25"/>
  <c r="D63" i="25"/>
  <c r="X64" i="25"/>
  <c r="D69" i="25"/>
  <c r="E74" i="25"/>
  <c r="U81" i="25"/>
  <c r="I95" i="25"/>
  <c r="D105" i="25"/>
  <c r="E108" i="25"/>
  <c r="O110" i="25"/>
  <c r="AB111" i="25"/>
  <c r="R112" i="25"/>
  <c r="I113" i="25"/>
  <c r="X115" i="25"/>
  <c r="L116" i="25"/>
  <c r="X124" i="25"/>
  <c r="R128" i="25"/>
  <c r="H129" i="25"/>
  <c r="I131" i="25"/>
  <c r="R156" i="25"/>
  <c r="L157" i="25"/>
  <c r="AB169" i="25"/>
  <c r="AB186" i="25"/>
  <c r="R198" i="25"/>
  <c r="L202" i="25"/>
  <c r="L205" i="25"/>
  <c r="X220" i="25"/>
  <c r="L233" i="25"/>
  <c r="U271" i="25"/>
  <c r="X282" i="25"/>
  <c r="D284" i="25"/>
  <c r="X285" i="25"/>
  <c r="O305" i="25"/>
  <c r="X307" i="25"/>
  <c r="R318" i="25"/>
  <c r="I7" i="25"/>
  <c r="L17" i="25"/>
  <c r="L19" i="25"/>
  <c r="U20" i="25"/>
  <c r="O21" i="25"/>
  <c r="X28" i="25"/>
  <c r="H30" i="25"/>
  <c r="H29" i="25"/>
  <c r="AB39" i="25"/>
  <c r="X53" i="25"/>
  <c r="H63" i="25"/>
  <c r="AB69" i="25"/>
  <c r="H77" i="25"/>
  <c r="U78" i="25"/>
  <c r="AB80" i="25"/>
  <c r="R80" i="25"/>
  <c r="D84" i="25"/>
  <c r="H84" i="25"/>
  <c r="U87" i="25"/>
  <c r="O92" i="25"/>
  <c r="I92" i="25"/>
  <c r="D91" i="25"/>
  <c r="U98" i="25"/>
  <c r="D103" i="25"/>
  <c r="O107" i="25"/>
  <c r="R113" i="25"/>
  <c r="L114" i="25"/>
  <c r="D109" i="25"/>
  <c r="U116" i="25"/>
  <c r="L120" i="25"/>
  <c r="H127" i="25"/>
  <c r="U127" i="25"/>
  <c r="I129" i="25"/>
  <c r="L132" i="25"/>
  <c r="R160" i="25"/>
  <c r="L161" i="25"/>
  <c r="X159" i="25"/>
  <c r="L178" i="25"/>
  <c r="AB179" i="25"/>
  <c r="AB196" i="25"/>
  <c r="X197" i="25"/>
  <c r="H195" i="25"/>
  <c r="X204" i="25"/>
  <c r="H210" i="25"/>
  <c r="D214" i="25"/>
  <c r="O222" i="25"/>
  <c r="E223" i="25"/>
  <c r="U230" i="25"/>
  <c r="U234" i="25"/>
  <c r="L238" i="25"/>
  <c r="L241" i="25"/>
  <c r="R265" i="25"/>
  <c r="D303" i="25"/>
  <c r="X304" i="25"/>
  <c r="L10" i="25"/>
  <c r="D11" i="25"/>
  <c r="X12" i="25"/>
  <c r="R22" i="25"/>
  <c r="R32" i="25"/>
  <c r="E37" i="25"/>
  <c r="U40" i="25"/>
  <c r="L63" i="25"/>
  <c r="D64" i="25"/>
  <c r="AB67" i="25"/>
  <c r="L76" i="25"/>
  <c r="R78" i="25"/>
  <c r="I84" i="25"/>
  <c r="E87" i="25"/>
  <c r="L104" i="25"/>
  <c r="U110" i="25"/>
  <c r="R117" i="25"/>
  <c r="L127" i="25"/>
  <c r="U128" i="25"/>
  <c r="U130" i="25"/>
  <c r="H147" i="25"/>
  <c r="D155" i="25"/>
  <c r="X156" i="25"/>
  <c r="D170" i="25"/>
  <c r="X171" i="25"/>
  <c r="O172" i="25"/>
  <c r="X212" i="25"/>
  <c r="X226" i="25"/>
  <c r="L232" i="25"/>
  <c r="D233" i="25"/>
  <c r="X234" i="25"/>
  <c r="AB254" i="25"/>
  <c r="X255" i="25"/>
  <c r="D261" i="25"/>
  <c r="O281" i="25"/>
  <c r="D285" i="25"/>
  <c r="L293" i="25"/>
  <c r="O302" i="25"/>
  <c r="AB303" i="25"/>
  <c r="E317" i="25"/>
  <c r="AB317" i="25"/>
  <c r="I58" i="25"/>
  <c r="O88" i="25"/>
  <c r="I91" i="25"/>
  <c r="X101" i="25"/>
  <c r="L102" i="25"/>
  <c r="U135" i="25"/>
  <c r="R195" i="25"/>
  <c r="O199" i="25"/>
  <c r="H229" i="25"/>
  <c r="X6" i="25"/>
  <c r="D25" i="25"/>
  <c r="L34" i="25"/>
  <c r="L43" i="25"/>
  <c r="L49" i="25"/>
  <c r="X51" i="25"/>
  <c r="O55" i="25"/>
  <c r="L58" i="25"/>
  <c r="X59" i="25"/>
  <c r="L64" i="25"/>
  <c r="L66" i="25"/>
  <c r="O69" i="25"/>
  <c r="D70" i="25"/>
  <c r="O72" i="25"/>
  <c r="R73" i="25"/>
  <c r="X72" i="25"/>
  <c r="E78" i="25"/>
  <c r="I81" i="25"/>
  <c r="O84" i="25"/>
  <c r="R86" i="25"/>
  <c r="H87" i="25"/>
  <c r="R92" i="25"/>
  <c r="I94" i="25"/>
  <c r="U99" i="25"/>
  <c r="U101" i="25"/>
  <c r="L103" i="25"/>
  <c r="R111" i="25"/>
  <c r="AB116" i="25"/>
  <c r="U120" i="25"/>
  <c r="I130" i="25"/>
  <c r="AB134" i="25"/>
  <c r="L137" i="25"/>
  <c r="R143" i="25"/>
  <c r="U146" i="25"/>
  <c r="O147" i="25"/>
  <c r="R150" i="25"/>
  <c r="I159" i="25"/>
  <c r="R168" i="25"/>
  <c r="X185" i="25"/>
  <c r="R186" i="25"/>
  <c r="O188" i="25"/>
  <c r="H190" i="25"/>
  <c r="AB201" i="25"/>
  <c r="L219" i="25"/>
  <c r="D221" i="25"/>
  <c r="X241" i="25"/>
  <c r="I258" i="25"/>
  <c r="AB258" i="25"/>
  <c r="E283" i="25"/>
  <c r="E285" i="25"/>
  <c r="U286" i="25"/>
  <c r="E288" i="25"/>
  <c r="D298" i="25"/>
  <c r="R308" i="25"/>
  <c r="U7" i="25"/>
  <c r="O20" i="25"/>
  <c r="O22" i="25"/>
  <c r="H35" i="25"/>
  <c r="E80" i="25"/>
  <c r="R84" i="25"/>
  <c r="X86" i="25"/>
  <c r="U93" i="25"/>
  <c r="X95" i="25"/>
  <c r="I101" i="25"/>
  <c r="AB97" i="25"/>
  <c r="X102" i="25"/>
  <c r="O108" i="25"/>
  <c r="D104" i="25"/>
  <c r="X114" i="25"/>
  <c r="H116" i="25"/>
  <c r="X120" i="25"/>
  <c r="AB131" i="25"/>
  <c r="U136" i="25"/>
  <c r="U142" i="25"/>
  <c r="X146" i="25"/>
  <c r="U150" i="25"/>
  <c r="O151" i="25"/>
  <c r="H156" i="25"/>
  <c r="L158" i="25"/>
  <c r="R166" i="25"/>
  <c r="L167" i="25"/>
  <c r="O169" i="25"/>
  <c r="E174" i="25"/>
  <c r="L180" i="25"/>
  <c r="AB181" i="25"/>
  <c r="R183" i="25"/>
  <c r="R196" i="25"/>
  <c r="R203" i="25"/>
  <c r="AB215" i="25"/>
  <c r="O217" i="25"/>
  <c r="O225" i="25"/>
  <c r="H234" i="25"/>
  <c r="X239" i="25"/>
  <c r="AB252" i="25"/>
  <c r="X253" i="25"/>
  <c r="H262" i="25"/>
  <c r="U264" i="25"/>
  <c r="D266" i="25"/>
  <c r="AB266" i="25"/>
  <c r="E269" i="25"/>
  <c r="O279" i="25"/>
  <c r="D283" i="25"/>
  <c r="U284" i="25"/>
  <c r="O283" i="25"/>
  <c r="E295" i="25"/>
  <c r="X298" i="25"/>
  <c r="O40" i="25"/>
  <c r="L44" i="25"/>
  <c r="I46" i="25"/>
  <c r="X48" i="25"/>
  <c r="R64" i="25"/>
  <c r="O75" i="25"/>
  <c r="E79" i="25"/>
  <c r="L96" i="25"/>
  <c r="E99" i="25"/>
  <c r="R100" i="25"/>
  <c r="O105" i="25"/>
  <c r="U133" i="25"/>
  <c r="L134" i="25"/>
  <c r="D142" i="25"/>
  <c r="AB142" i="25"/>
  <c r="L156" i="25"/>
  <c r="AB168" i="25"/>
  <c r="R187" i="25"/>
  <c r="U189" i="25"/>
  <c r="O190" i="25"/>
  <c r="X192" i="25"/>
  <c r="X199" i="25"/>
  <c r="L201" i="25"/>
  <c r="D209" i="25"/>
  <c r="R217" i="25"/>
  <c r="X236" i="25"/>
  <c r="I259" i="25"/>
  <c r="D263" i="25"/>
  <c r="AB263" i="25"/>
  <c r="O264" i="25"/>
  <c r="I263" i="25"/>
  <c r="O269" i="25"/>
  <c r="D159" i="25"/>
  <c r="X162" i="25"/>
  <c r="E6" i="25"/>
  <c r="AB6" i="25"/>
  <c r="I8" i="25"/>
  <c r="L20" i="25"/>
  <c r="U24" i="25"/>
  <c r="U25" i="25"/>
  <c r="L31" i="25"/>
  <c r="O32" i="25"/>
  <c r="L40" i="25"/>
  <c r="D41" i="25"/>
  <c r="L51" i="25"/>
  <c r="AB55" i="25"/>
  <c r="D57" i="25"/>
  <c r="U66" i="25"/>
  <c r="D62" i="25"/>
  <c r="X66" i="25"/>
  <c r="E72" i="25"/>
  <c r="R89" i="25"/>
  <c r="X110" i="25"/>
  <c r="AB121" i="25"/>
  <c r="I127" i="25"/>
  <c r="X135" i="25"/>
  <c r="R136" i="25"/>
  <c r="H137" i="25"/>
  <c r="U140" i="25"/>
  <c r="U158" i="25"/>
  <c r="L162" i="25"/>
  <c r="X163" i="25"/>
  <c r="O180" i="25"/>
  <c r="L190" i="25"/>
  <c r="O203" i="25"/>
  <c r="L210" i="25"/>
  <c r="O213" i="25"/>
  <c r="X216" i="25"/>
  <c r="AB218" i="25"/>
  <c r="AB220" i="25"/>
  <c r="L222" i="25"/>
  <c r="R234" i="25"/>
  <c r="AB235" i="25"/>
  <c r="X238" i="25"/>
  <c r="AB240" i="25"/>
  <c r="O247" i="25"/>
  <c r="D270" i="25"/>
  <c r="O276" i="25"/>
  <c r="I274" i="25"/>
  <c r="D280" i="25"/>
  <c r="E284" i="25"/>
  <c r="X287" i="25"/>
  <c r="AB313" i="25"/>
  <c r="O315" i="25"/>
  <c r="E214" i="25"/>
  <c r="R13" i="25"/>
  <c r="E15" i="25"/>
  <c r="D12" i="25"/>
  <c r="H19" i="25"/>
  <c r="H21" i="25"/>
  <c r="U22" i="25"/>
  <c r="O23" i="25"/>
  <c r="L26" i="25"/>
  <c r="I30" i="25"/>
  <c r="R30" i="25"/>
  <c r="E35" i="25"/>
  <c r="X37" i="25"/>
  <c r="R40" i="25"/>
  <c r="O43" i="25"/>
  <c r="X46" i="25"/>
  <c r="AB48" i="25"/>
  <c r="L48" i="25"/>
  <c r="E51" i="25"/>
  <c r="R52" i="25"/>
  <c r="E56" i="25"/>
  <c r="U58" i="25"/>
  <c r="X60" i="25"/>
  <c r="I62" i="25"/>
  <c r="R66" i="25"/>
  <c r="I67" i="25"/>
  <c r="D74" i="25"/>
  <c r="E76" i="25"/>
  <c r="I78" i="25"/>
  <c r="R81" i="25"/>
  <c r="D82" i="25"/>
  <c r="L85" i="25"/>
  <c r="AB87" i="25"/>
  <c r="E89" i="25"/>
  <c r="U89" i="25"/>
  <c r="E92" i="25"/>
  <c r="R93" i="25"/>
  <c r="H97" i="25"/>
  <c r="X104" i="25"/>
  <c r="X106" i="25"/>
  <c r="AB108" i="25"/>
  <c r="L109" i="25"/>
  <c r="AB110" i="25"/>
  <c r="L112" i="25"/>
  <c r="I116" i="25"/>
  <c r="R119" i="25"/>
  <c r="O123" i="25"/>
  <c r="X126" i="25"/>
  <c r="O126" i="25"/>
  <c r="U131" i="25"/>
  <c r="O132" i="25"/>
  <c r="L135" i="25"/>
  <c r="AB135" i="25"/>
  <c r="X138" i="25"/>
  <c r="X143" i="25"/>
  <c r="R144" i="25"/>
  <c r="AB155" i="25"/>
  <c r="R162" i="25"/>
  <c r="X164" i="25"/>
  <c r="AB166" i="25"/>
  <c r="X172" i="25"/>
  <c r="D176" i="25"/>
  <c r="AB176" i="25"/>
  <c r="E185" i="25"/>
  <c r="O186" i="25"/>
  <c r="R193" i="25"/>
  <c r="AB194" i="25"/>
  <c r="U201" i="25"/>
  <c r="R205" i="25"/>
  <c r="E212" i="25"/>
  <c r="I214" i="25"/>
  <c r="L220" i="25"/>
  <c r="R222" i="25"/>
  <c r="AB225" i="25"/>
  <c r="L235" i="25"/>
  <c r="L237" i="25"/>
  <c r="L240" i="25"/>
  <c r="L242" i="25"/>
  <c r="O244" i="25"/>
  <c r="R251" i="25"/>
  <c r="AB259" i="25"/>
  <c r="O263" i="25"/>
  <c r="H264" i="25"/>
  <c r="E266" i="25"/>
  <c r="E268" i="25"/>
  <c r="AB264" i="25"/>
  <c r="AB270" i="25"/>
  <c r="E281" i="25"/>
  <c r="X283" i="25"/>
  <c r="O285" i="25"/>
  <c r="D286" i="25"/>
  <c r="D295" i="25"/>
  <c r="E305" i="25"/>
  <c r="U307" i="25"/>
  <c r="AB307" i="25"/>
  <c r="U9" i="25"/>
  <c r="I15" i="25"/>
  <c r="R17" i="25"/>
  <c r="X22" i="25"/>
  <c r="D24" i="25"/>
  <c r="D23" i="25"/>
  <c r="AB30" i="25"/>
  <c r="L41" i="25"/>
  <c r="U47" i="25"/>
  <c r="AB51" i="25"/>
  <c r="O53" i="25"/>
  <c r="E54" i="25"/>
  <c r="L56" i="25"/>
  <c r="X58" i="25"/>
  <c r="L59" i="25"/>
  <c r="R61" i="25"/>
  <c r="AB64" i="25"/>
  <c r="U68" i="25"/>
  <c r="U73" i="25"/>
  <c r="AB74" i="25"/>
  <c r="D76" i="25"/>
  <c r="AB76" i="25"/>
  <c r="E82" i="25"/>
  <c r="U83" i="25"/>
  <c r="O87" i="25"/>
  <c r="R87" i="25"/>
  <c r="L90" i="25"/>
  <c r="R91" i="25"/>
  <c r="AB92" i="25"/>
  <c r="X94" i="25"/>
  <c r="H99" i="25"/>
  <c r="R99" i="25"/>
  <c r="U109" i="25"/>
  <c r="L118" i="25"/>
  <c r="X123" i="25"/>
  <c r="L125" i="25"/>
  <c r="H128" i="25"/>
  <c r="L133" i="25"/>
  <c r="AB133" i="25"/>
  <c r="U134" i="25"/>
  <c r="X136" i="25"/>
  <c r="U141" i="25"/>
  <c r="U154" i="25"/>
  <c r="L155" i="25"/>
  <c r="AB158" i="25"/>
  <c r="D182" i="25"/>
  <c r="AB182" i="25"/>
  <c r="O184" i="25"/>
  <c r="U205" i="25"/>
  <c r="R208" i="25"/>
  <c r="I209" i="25"/>
  <c r="X217" i="25"/>
  <c r="O220" i="25"/>
  <c r="U222" i="25"/>
  <c r="AB223" i="25"/>
  <c r="D225" i="25"/>
  <c r="D228" i="25"/>
  <c r="H236" i="25"/>
  <c r="X233" i="25"/>
  <c r="O240" i="25"/>
  <c r="O242" i="25"/>
  <c r="X269" i="25"/>
  <c r="H270" i="25"/>
  <c r="U282" i="25"/>
  <c r="R285" i="25"/>
  <c r="H287" i="25"/>
  <c r="O288" i="25"/>
  <c r="U299" i="25"/>
  <c r="AB300" i="25"/>
  <c r="X301" i="25"/>
  <c r="X309" i="25"/>
  <c r="H314" i="25"/>
  <c r="AB9" i="25"/>
  <c r="O13" i="25"/>
  <c r="R23" i="25"/>
  <c r="AB32" i="25"/>
  <c r="R34" i="25"/>
  <c r="R6" i="25"/>
  <c r="H7" i="25"/>
  <c r="AB7" i="25"/>
  <c r="R7" i="25"/>
  <c r="X10" i="25"/>
  <c r="X13" i="25"/>
  <c r="AB19" i="25"/>
  <c r="X25" i="25"/>
  <c r="O25" i="25"/>
  <c r="I27" i="25"/>
  <c r="X40" i="25"/>
  <c r="O41" i="25"/>
  <c r="H46" i="25"/>
  <c r="X49" i="25"/>
  <c r="R50" i="25"/>
  <c r="X52" i="25"/>
  <c r="O57" i="25"/>
  <c r="O59" i="25"/>
  <c r="AB60" i="25"/>
  <c r="U60" i="25"/>
  <c r="R65" i="25"/>
  <c r="X67" i="25"/>
  <c r="O68" i="25"/>
  <c r="X65" i="25"/>
  <c r="E71" i="25"/>
  <c r="D79" i="25"/>
  <c r="O79" i="25"/>
  <c r="E81" i="25"/>
  <c r="X83" i="25"/>
  <c r="R83" i="25"/>
  <c r="E88" i="25"/>
  <c r="U88" i="25"/>
  <c r="D85" i="25"/>
  <c r="E93" i="25"/>
  <c r="AB91" i="25"/>
  <c r="D98" i="25"/>
  <c r="X98" i="25"/>
  <c r="U100" i="25"/>
  <c r="U107" i="25"/>
  <c r="X107" i="25"/>
  <c r="H113" i="25"/>
  <c r="O116" i="25"/>
  <c r="O125" i="25"/>
  <c r="H126" i="25"/>
  <c r="AB126" i="25"/>
  <c r="R127" i="25"/>
  <c r="U132" i="25"/>
  <c r="X134" i="25"/>
  <c r="I134" i="25"/>
  <c r="X141" i="25"/>
  <c r="H143" i="25"/>
  <c r="I143" i="25"/>
  <c r="U148" i="25"/>
  <c r="AB150" i="25"/>
  <c r="O152" i="25"/>
  <c r="AB153" i="25"/>
  <c r="X154" i="25"/>
  <c r="AB164" i="25"/>
  <c r="L163" i="25"/>
  <c r="E166" i="25"/>
  <c r="H165" i="25"/>
  <c r="X170" i="25"/>
  <c r="I172" i="25"/>
  <c r="O179" i="25"/>
  <c r="X180" i="25"/>
  <c r="H182" i="25"/>
  <c r="X183" i="25"/>
  <c r="R184" i="25"/>
  <c r="AB187" i="25"/>
  <c r="AB189" i="25"/>
  <c r="O191" i="25"/>
  <c r="H192" i="25"/>
  <c r="X193" i="25"/>
  <c r="D195" i="25"/>
  <c r="X198" i="25"/>
  <c r="X203" i="25"/>
  <c r="X205" i="25"/>
  <c r="L212" i="25"/>
  <c r="L216" i="25"/>
  <c r="U218" i="25"/>
  <c r="L221" i="25"/>
  <c r="AB221" i="25"/>
  <c r="X232" i="25"/>
  <c r="R231" i="25"/>
  <c r="H230" i="25"/>
  <c r="L236" i="25"/>
  <c r="X237" i="25"/>
  <c r="O238" i="25"/>
  <c r="I241" i="25"/>
  <c r="H243" i="25"/>
  <c r="AB243" i="25"/>
  <c r="U244" i="25"/>
  <c r="H246" i="25"/>
  <c r="H256" i="25"/>
  <c r="AB262" i="25"/>
  <c r="H266" i="25"/>
  <c r="X271" i="25"/>
  <c r="U285" i="25"/>
  <c r="I286" i="25"/>
  <c r="X286" i="25"/>
  <c r="O289" i="25"/>
  <c r="O291" i="25"/>
  <c r="D294" i="25"/>
  <c r="U296" i="25"/>
  <c r="X299" i="25"/>
  <c r="R313" i="25"/>
  <c r="U316" i="25"/>
  <c r="O11" i="25"/>
  <c r="L9" i="25"/>
  <c r="AB16" i="25"/>
  <c r="O19" i="25"/>
  <c r="X20" i="25"/>
  <c r="H22" i="25"/>
  <c r="AB22" i="25"/>
  <c r="U23" i="25"/>
  <c r="AB29" i="25"/>
  <c r="L35" i="25"/>
  <c r="L39" i="25"/>
  <c r="E41" i="25"/>
  <c r="X47" i="25"/>
  <c r="E49" i="25"/>
  <c r="O50" i="25"/>
  <c r="E55" i="25"/>
  <c r="R57" i="25"/>
  <c r="I59" i="25"/>
  <c r="X61" i="25"/>
  <c r="L62" i="25"/>
  <c r="O70" i="25"/>
  <c r="E75" i="25"/>
  <c r="D81" i="25"/>
  <c r="X81" i="25"/>
  <c r="X88" i="25"/>
  <c r="AB85" i="25"/>
  <c r="O90" i="25"/>
  <c r="X93" i="25"/>
  <c r="R94" i="25"/>
  <c r="AB113" i="25"/>
  <c r="R115" i="25"/>
  <c r="E118" i="25"/>
  <c r="X119" i="25"/>
  <c r="O120" i="25"/>
  <c r="E123" i="25"/>
  <c r="I126" i="25"/>
  <c r="X132" i="25"/>
  <c r="E133" i="25"/>
  <c r="R135" i="25"/>
  <c r="AB136" i="25"/>
  <c r="AB147" i="25"/>
  <c r="H150" i="25"/>
  <c r="X151" i="25"/>
  <c r="I152" i="25"/>
  <c r="H161" i="25"/>
  <c r="X165" i="25"/>
  <c r="U171" i="25"/>
  <c r="X175" i="25"/>
  <c r="AB177" i="25"/>
  <c r="AB195" i="25"/>
  <c r="O202" i="25"/>
  <c r="D203" i="25"/>
  <c r="R204" i="25"/>
  <c r="E213" i="25"/>
  <c r="H215" i="25"/>
  <c r="AB219" i="25"/>
  <c r="D224" i="25"/>
  <c r="AB226" i="25"/>
  <c r="H228" i="25"/>
  <c r="X229" i="25"/>
  <c r="R230" i="25"/>
  <c r="L231" i="25"/>
  <c r="R233" i="25"/>
  <c r="AB230" i="25"/>
  <c r="L243" i="25"/>
  <c r="X248" i="25"/>
  <c r="D271" i="25"/>
  <c r="X274" i="25"/>
  <c r="E276" i="25"/>
  <c r="X277" i="25"/>
  <c r="O275" i="25"/>
  <c r="E277" i="25"/>
  <c r="O280" i="25"/>
  <c r="H295" i="25"/>
  <c r="AB295" i="25"/>
  <c r="X296" i="25"/>
  <c r="O309" i="25"/>
  <c r="R317" i="25"/>
  <c r="E318" i="25"/>
  <c r="O12" i="25"/>
  <c r="R19" i="25"/>
  <c r="O24" i="25"/>
  <c r="I28" i="25"/>
  <c r="O34" i="25"/>
  <c r="X50" i="25"/>
  <c r="O54" i="25"/>
  <c r="U57" i="25"/>
  <c r="L60" i="25"/>
  <c r="O66" i="25"/>
  <c r="R70" i="25"/>
  <c r="O76" i="25"/>
  <c r="O106" i="25"/>
  <c r="L111" i="25"/>
  <c r="L113" i="25"/>
  <c r="U124" i="25"/>
  <c r="L126" i="25"/>
  <c r="R140" i="25"/>
  <c r="O143" i="25"/>
  <c r="U152" i="25"/>
  <c r="L177" i="25"/>
  <c r="X188" i="25"/>
  <c r="R202" i="25"/>
  <c r="L207" i="25"/>
  <c r="E208" i="25"/>
  <c r="AB210" i="25"/>
  <c r="O221" i="25"/>
  <c r="D216" i="25"/>
  <c r="R235" i="25"/>
  <c r="AB251" i="25"/>
  <c r="H254" i="25"/>
  <c r="O262" i="25"/>
  <c r="E265" i="25"/>
  <c r="O273" i="25"/>
  <c r="O278" i="25"/>
  <c r="H285" i="25"/>
  <c r="L313" i="25"/>
  <c r="R21" i="25"/>
  <c r="O7" i="25"/>
  <c r="X8" i="25"/>
  <c r="L13" i="25"/>
  <c r="I20" i="25"/>
  <c r="X26" i="25"/>
  <c r="U30" i="25"/>
  <c r="D34" i="25"/>
  <c r="I38" i="25"/>
  <c r="L42" i="25"/>
  <c r="U44" i="25"/>
  <c r="O46" i="25"/>
  <c r="I47" i="25"/>
  <c r="U51" i="25"/>
  <c r="O60" i="25"/>
  <c r="E65" i="25"/>
  <c r="L70" i="25"/>
  <c r="AB71" i="25"/>
  <c r="X78" i="25"/>
  <c r="X76" i="25"/>
  <c r="H88" i="25"/>
  <c r="R106" i="25"/>
  <c r="AB107" i="25"/>
  <c r="U108" i="25"/>
  <c r="X108" i="25"/>
  <c r="D108" i="25"/>
  <c r="L117" i="25"/>
  <c r="X125" i="25"/>
  <c r="H130" i="25"/>
  <c r="R138" i="25"/>
  <c r="X142" i="25"/>
  <c r="R146" i="25"/>
  <c r="L147" i="25"/>
  <c r="U149" i="25"/>
  <c r="H151" i="25"/>
  <c r="D157" i="25"/>
  <c r="O160" i="25"/>
  <c r="O164" i="25"/>
  <c r="X181" i="25"/>
  <c r="R182" i="25"/>
  <c r="E186" i="25"/>
  <c r="R192" i="25"/>
  <c r="U212" i="25"/>
  <c r="R236" i="25"/>
  <c r="L239" i="25"/>
  <c r="AB248" i="25"/>
  <c r="X245" i="25"/>
  <c r="I253" i="25"/>
  <c r="E267" i="25"/>
  <c r="U268" i="25"/>
  <c r="I285" i="25"/>
  <c r="I288" i="25"/>
  <c r="U311" i="25"/>
  <c r="I19" i="25"/>
  <c r="H24" i="25"/>
  <c r="I24" i="25"/>
  <c r="O6" i="25"/>
  <c r="E13" i="25"/>
  <c r="H15" i="25"/>
  <c r="X15" i="25"/>
  <c r="H20" i="25"/>
  <c r="U21" i="25"/>
  <c r="I22" i="25"/>
  <c r="I23" i="25"/>
  <c r="L23" i="25"/>
  <c r="O26" i="25"/>
  <c r="E27" i="25"/>
  <c r="O31" i="25"/>
  <c r="L33" i="25"/>
  <c r="X35" i="25"/>
  <c r="O35" i="25"/>
  <c r="U37" i="25"/>
  <c r="O38" i="25"/>
  <c r="AB40" i="25"/>
  <c r="D37" i="25"/>
  <c r="L50" i="25"/>
  <c r="D53" i="25"/>
  <c r="U50" i="25"/>
  <c r="D54" i="25"/>
  <c r="U54" i="25"/>
  <c r="L57" i="25"/>
  <c r="O58" i="25"/>
  <c r="O62" i="25"/>
  <c r="R63" i="25"/>
  <c r="E64" i="25"/>
  <c r="U64" i="25"/>
  <c r="R69" i="25"/>
  <c r="L71" i="25"/>
  <c r="E73" i="25"/>
  <c r="U80" i="25"/>
  <c r="U79" i="25"/>
  <c r="L82" i="25"/>
  <c r="L100" i="25"/>
  <c r="L101" i="25"/>
  <c r="R123" i="25"/>
  <c r="R122" i="25"/>
  <c r="R121" i="25"/>
  <c r="R120" i="25"/>
  <c r="E168" i="25"/>
  <c r="D171" i="25"/>
  <c r="O9" i="25"/>
  <c r="I16" i="25"/>
  <c r="L21" i="25"/>
  <c r="R36" i="25"/>
  <c r="I43" i="25"/>
  <c r="H43" i="25"/>
  <c r="AB46" i="25"/>
  <c r="D48" i="25"/>
  <c r="AB56" i="25"/>
  <c r="AB52" i="25"/>
  <c r="I64" i="25"/>
  <c r="H64" i="25"/>
  <c r="U75" i="25"/>
  <c r="U74" i="25"/>
  <c r="R77" i="25"/>
  <c r="R75" i="25"/>
  <c r="E85" i="25"/>
  <c r="E86" i="25"/>
  <c r="D80" i="25"/>
  <c r="D86" i="25"/>
  <c r="AB90" i="25"/>
  <c r="AB94" i="25"/>
  <c r="R133" i="25"/>
  <c r="R134" i="25"/>
  <c r="R131" i="25"/>
  <c r="E112" i="25"/>
  <c r="D106" i="25"/>
  <c r="D112" i="25"/>
  <c r="H124" i="25"/>
  <c r="I121" i="25"/>
  <c r="I124" i="25"/>
  <c r="L11" i="25"/>
  <c r="I14" i="25"/>
  <c r="R14" i="25"/>
  <c r="L46" i="25"/>
  <c r="X7" i="25"/>
  <c r="H11" i="25"/>
  <c r="H14" i="25"/>
  <c r="AB10" i="25"/>
  <c r="O15" i="25"/>
  <c r="L22" i="25"/>
  <c r="AB24" i="25"/>
  <c r="H27" i="25"/>
  <c r="L28" i="25"/>
  <c r="U28" i="25"/>
  <c r="U31" i="25"/>
  <c r="R33" i="25"/>
  <c r="AB35" i="25"/>
  <c r="I34" i="25"/>
  <c r="R39" i="25"/>
  <c r="D40" i="25"/>
  <c r="U41" i="25"/>
  <c r="D42" i="25"/>
  <c r="U42" i="25"/>
  <c r="I44" i="25"/>
  <c r="D51" i="25"/>
  <c r="I53" i="25"/>
  <c r="I54" i="25"/>
  <c r="H54" i="25"/>
  <c r="X54" i="25"/>
  <c r="L55" i="25"/>
  <c r="O61" i="25"/>
  <c r="U62" i="25"/>
  <c r="E63" i="25"/>
  <c r="U63" i="25"/>
  <c r="D60" i="25"/>
  <c r="E66" i="25"/>
  <c r="L67" i="25"/>
  <c r="R71" i="25"/>
  <c r="I72" i="25"/>
  <c r="I71" i="25"/>
  <c r="R74" i="25"/>
  <c r="X75" i="25"/>
  <c r="H78" i="25"/>
  <c r="R79" i="25"/>
  <c r="L80" i="25"/>
  <c r="L81" i="25"/>
  <c r="AB81" i="25"/>
  <c r="AB77" i="25"/>
  <c r="E83" i="25"/>
  <c r="D83" i="25"/>
  <c r="L83" i="25"/>
  <c r="L84" i="25"/>
  <c r="I86" i="25"/>
  <c r="H86" i="25"/>
  <c r="AB82" i="25"/>
  <c r="AB86" i="25"/>
  <c r="D107" i="25"/>
  <c r="D113" i="25"/>
  <c r="H149" i="25"/>
  <c r="I149" i="25"/>
  <c r="I148" i="25"/>
  <c r="I21" i="25"/>
  <c r="E7" i="25"/>
  <c r="U6" i="25"/>
  <c r="L6" i="25"/>
  <c r="I10" i="25"/>
  <c r="AB14" i="25"/>
  <c r="D13" i="25"/>
  <c r="H26" i="25"/>
  <c r="L27" i="25"/>
  <c r="U32" i="25"/>
  <c r="D39" i="25"/>
  <c r="H40" i="25"/>
  <c r="R42" i="25"/>
  <c r="R45" i="25"/>
  <c r="D47" i="25"/>
  <c r="H53" i="25"/>
  <c r="L53" i="25"/>
  <c r="D58" i="25"/>
  <c r="E62" i="25"/>
  <c r="O65" i="25"/>
  <c r="D66" i="25"/>
  <c r="O67" i="25"/>
  <c r="D68" i="25"/>
  <c r="X68" i="25"/>
  <c r="U71" i="25"/>
  <c r="L72" i="25"/>
  <c r="O73" i="25"/>
  <c r="O71" i="25"/>
  <c r="R82" i="25"/>
  <c r="I83" i="25"/>
  <c r="H83" i="25"/>
  <c r="I82" i="25"/>
  <c r="I79" i="25"/>
  <c r="L86" i="25"/>
  <c r="L88" i="25"/>
  <c r="L87" i="25"/>
  <c r="L89" i="25"/>
  <c r="X96" i="25"/>
  <c r="L99" i="25"/>
  <c r="R105" i="25"/>
  <c r="H115" i="25"/>
  <c r="I114" i="25"/>
  <c r="I115" i="25"/>
  <c r="O131" i="25"/>
  <c r="O130" i="25"/>
  <c r="L74" i="25"/>
  <c r="L73" i="25"/>
  <c r="L154" i="25"/>
  <c r="L153" i="25"/>
  <c r="I12" i="25"/>
  <c r="AB21" i="25"/>
  <c r="R25" i="25"/>
  <c r="AB34" i="25"/>
  <c r="AB33" i="25"/>
  <c r="R38" i="25"/>
  <c r="E39" i="25"/>
  <c r="I40" i="25"/>
  <c r="I42" i="25"/>
  <c r="X42" i="25"/>
  <c r="L52" i="25"/>
  <c r="L54" i="25"/>
  <c r="I63" i="25"/>
  <c r="O63" i="25"/>
  <c r="AB66" i="25"/>
  <c r="X74" i="25"/>
  <c r="E77" i="25"/>
  <c r="D77" i="25"/>
  <c r="O78" i="25"/>
  <c r="O77" i="25"/>
  <c r="O81" i="25"/>
  <c r="O85" i="25"/>
  <c r="O86" i="25"/>
  <c r="R88" i="25"/>
  <c r="R90" i="25"/>
  <c r="O93" i="25"/>
  <c r="O94" i="25"/>
  <c r="R109" i="25"/>
  <c r="R108" i="25"/>
  <c r="R107" i="25"/>
  <c r="R110" i="25"/>
  <c r="U113" i="25"/>
  <c r="U112" i="25"/>
  <c r="U111" i="25"/>
  <c r="U114" i="25"/>
  <c r="L146" i="25"/>
  <c r="L145" i="25"/>
  <c r="U16" i="25"/>
  <c r="E20" i="25"/>
  <c r="D29" i="25"/>
  <c r="H31" i="25"/>
  <c r="R35" i="25"/>
  <c r="O37" i="25"/>
  <c r="H39" i="25"/>
  <c r="H47" i="25"/>
  <c r="R49" i="25"/>
  <c r="R53" i="25"/>
  <c r="R55" i="25"/>
  <c r="U56" i="25"/>
  <c r="O64" i="25"/>
  <c r="U65" i="25"/>
  <c r="U67" i="25"/>
  <c r="X85" i="25"/>
  <c r="I89" i="25"/>
  <c r="H89" i="25"/>
  <c r="I90" i="25"/>
  <c r="I93" i="25"/>
  <c r="H93" i="25"/>
  <c r="L94" i="25"/>
  <c r="L95" i="25"/>
  <c r="O101" i="25"/>
  <c r="O102" i="25"/>
  <c r="H119" i="25"/>
  <c r="I119" i="25"/>
  <c r="L69" i="25"/>
  <c r="L68" i="25"/>
  <c r="L79" i="25"/>
  <c r="L78" i="25"/>
  <c r="R9" i="25"/>
  <c r="L7" i="25"/>
  <c r="I9" i="25"/>
  <c r="U11" i="25"/>
  <c r="D15" i="25"/>
  <c r="H16" i="25"/>
  <c r="I18" i="25"/>
  <c r="D20" i="25"/>
  <c r="D17" i="25"/>
  <c r="H25" i="25"/>
  <c r="I25" i="25"/>
  <c r="AB26" i="25"/>
  <c r="R26" i="25"/>
  <c r="D22" i="25"/>
  <c r="E33" i="25"/>
  <c r="AB42" i="25"/>
  <c r="D44" i="25"/>
  <c r="L47" i="25"/>
  <c r="O52" i="25"/>
  <c r="I56" i="25"/>
  <c r="E61" i="25"/>
  <c r="AB62" i="25"/>
  <c r="D61" i="25"/>
  <c r="E67" i="25"/>
  <c r="U70" i="25"/>
  <c r="R72" i="25"/>
  <c r="O74" i="25"/>
  <c r="R76" i="25"/>
  <c r="L75" i="25"/>
  <c r="O80" i="25"/>
  <c r="O83" i="25"/>
  <c r="E84" i="25"/>
  <c r="H81" i="25"/>
  <c r="I85" i="25"/>
  <c r="H85" i="25"/>
  <c r="L93" i="25"/>
  <c r="R102" i="25"/>
  <c r="R103" i="25"/>
  <c r="R104" i="25"/>
  <c r="R68" i="25"/>
  <c r="H79" i="25"/>
  <c r="H82" i="25"/>
  <c r="U82" i="25"/>
  <c r="U97" i="25"/>
  <c r="E107" i="25"/>
  <c r="E111" i="25"/>
  <c r="H114" i="25"/>
  <c r="O117" i="25"/>
  <c r="U118" i="25"/>
  <c r="AB127" i="25"/>
  <c r="O137" i="25"/>
  <c r="R141" i="25"/>
  <c r="H142" i="25"/>
  <c r="R300" i="25"/>
  <c r="R298" i="25"/>
  <c r="H74" i="25"/>
  <c r="H90" i="25"/>
  <c r="O91" i="25"/>
  <c r="L92" i="25"/>
  <c r="E94" i="25"/>
  <c r="U96" i="25"/>
  <c r="D97" i="25"/>
  <c r="E109" i="25"/>
  <c r="E110" i="25"/>
  <c r="H111" i="25"/>
  <c r="U123" i="25"/>
  <c r="L124" i="25"/>
  <c r="R125" i="25"/>
  <c r="I142" i="25"/>
  <c r="L144" i="25"/>
  <c r="L152" i="25"/>
  <c r="I160" i="25"/>
  <c r="I162" i="25"/>
  <c r="I163" i="25"/>
  <c r="X177" i="25"/>
  <c r="O177" i="25"/>
  <c r="O178" i="25"/>
  <c r="AB284" i="25"/>
  <c r="AB280" i="25"/>
  <c r="U290" i="25"/>
  <c r="U288" i="25"/>
  <c r="U287" i="25"/>
  <c r="U289" i="25"/>
  <c r="I105" i="25"/>
  <c r="H118" i="25"/>
  <c r="I118" i="25"/>
  <c r="O119" i="25"/>
  <c r="L142" i="25"/>
  <c r="H158" i="25"/>
  <c r="I157" i="25"/>
  <c r="I158" i="25"/>
  <c r="U159" i="25"/>
  <c r="U161" i="25"/>
  <c r="U162" i="25"/>
  <c r="O211" i="25"/>
  <c r="AB58" i="25"/>
  <c r="H69" i="25"/>
  <c r="I70" i="25"/>
  <c r="I80" i="25"/>
  <c r="U86" i="25"/>
  <c r="D87" i="25"/>
  <c r="I88" i="25"/>
  <c r="AB89" i="25"/>
  <c r="X90" i="25"/>
  <c r="H94" i="25"/>
  <c r="E95" i="25"/>
  <c r="H96" i="25"/>
  <c r="L98" i="25"/>
  <c r="R101" i="25"/>
  <c r="U103" i="25"/>
  <c r="I106" i="25"/>
  <c r="I107" i="25"/>
  <c r="X111" i="25"/>
  <c r="X112" i="25"/>
  <c r="X113" i="25"/>
  <c r="O115" i="25"/>
  <c r="U117" i="25"/>
  <c r="I122" i="25"/>
  <c r="U122" i="25"/>
  <c r="I123" i="25"/>
  <c r="O124" i="25"/>
  <c r="U125" i="25"/>
  <c r="X128" i="25"/>
  <c r="O142" i="25"/>
  <c r="H145" i="25"/>
  <c r="I144" i="25"/>
  <c r="I145" i="25"/>
  <c r="AB145" i="25"/>
  <c r="L150" i="25"/>
  <c r="H153" i="25"/>
  <c r="I153" i="25"/>
  <c r="U156" i="25"/>
  <c r="U157" i="25"/>
  <c r="L25" i="25"/>
  <c r="R29" i="25"/>
  <c r="D31" i="25"/>
  <c r="I32" i="25"/>
  <c r="U35" i="25"/>
  <c r="U38" i="25"/>
  <c r="H42" i="25"/>
  <c r="D49" i="25"/>
  <c r="U49" i="25"/>
  <c r="AB47" i="25"/>
  <c r="D56" i="25"/>
  <c r="R60" i="25"/>
  <c r="H66" i="25"/>
  <c r="X69" i="25"/>
  <c r="H70" i="25"/>
  <c r="X70" i="25"/>
  <c r="H71" i="25"/>
  <c r="D72" i="25"/>
  <c r="I75" i="25"/>
  <c r="U76" i="25"/>
  <c r="D78" i="25"/>
  <c r="X80" i="25"/>
  <c r="H91" i="25"/>
  <c r="U91" i="25"/>
  <c r="I96" i="25"/>
  <c r="AB95" i="25"/>
  <c r="D95" i="25"/>
  <c r="H102" i="25"/>
  <c r="U102" i="25"/>
  <c r="H103" i="25"/>
  <c r="L105" i="25"/>
  <c r="L110" i="25"/>
  <c r="O114" i="25"/>
  <c r="R116" i="25"/>
  <c r="H120" i="25"/>
  <c r="I120" i="25"/>
  <c r="L123" i="25"/>
  <c r="AB123" i="25"/>
  <c r="R124" i="25"/>
  <c r="H125" i="25"/>
  <c r="I128" i="25"/>
  <c r="L129" i="25"/>
  <c r="L130" i="25"/>
  <c r="X130" i="25"/>
  <c r="L131" i="25"/>
  <c r="X131" i="25"/>
  <c r="O138" i="25"/>
  <c r="X139" i="25"/>
  <c r="R142" i="25"/>
  <c r="U143" i="25"/>
  <c r="U144" i="25"/>
  <c r="E183" i="25"/>
  <c r="D183" i="25"/>
  <c r="R191" i="25"/>
  <c r="X208" i="25"/>
  <c r="O209" i="25"/>
  <c r="AB49" i="25"/>
  <c r="H51" i="25"/>
  <c r="R58" i="25"/>
  <c r="R62" i="25"/>
  <c r="U72" i="25"/>
  <c r="H95" i="25"/>
  <c r="L97" i="25"/>
  <c r="R97" i="25"/>
  <c r="E97" i="25"/>
  <c r="D101" i="25"/>
  <c r="L106" i="25"/>
  <c r="L107" i="25"/>
  <c r="L108" i="25"/>
  <c r="O112" i="25"/>
  <c r="O113" i="25"/>
  <c r="H117" i="25"/>
  <c r="I117" i="25"/>
  <c r="O118" i="25"/>
  <c r="U119" i="25"/>
  <c r="L121" i="25"/>
  <c r="L122" i="25"/>
  <c r="X122" i="25"/>
  <c r="I125" i="25"/>
  <c r="L128" i="25"/>
  <c r="R132" i="25"/>
  <c r="O136" i="25"/>
  <c r="X137" i="25"/>
  <c r="U147" i="25"/>
  <c r="L148" i="25"/>
  <c r="X149" i="25"/>
  <c r="L151" i="25"/>
  <c r="U155" i="25"/>
  <c r="L164" i="25"/>
  <c r="H183" i="25"/>
  <c r="AB104" i="25"/>
  <c r="AB105" i="25"/>
  <c r="E114" i="25"/>
  <c r="AB129" i="25"/>
  <c r="O141" i="25"/>
  <c r="L143" i="25"/>
  <c r="H146" i="25"/>
  <c r="I146" i="25"/>
  <c r="U160" i="25"/>
  <c r="O166" i="25"/>
  <c r="O167" i="25"/>
  <c r="AB117" i="25"/>
  <c r="AB119" i="25"/>
  <c r="AB120" i="25"/>
  <c r="L136" i="25"/>
  <c r="L138" i="25"/>
  <c r="L140" i="25"/>
  <c r="H144" i="25"/>
  <c r="R147" i="25"/>
  <c r="R151" i="25"/>
  <c r="AB154" i="25"/>
  <c r="AB160" i="25"/>
  <c r="R161" i="25"/>
  <c r="R164" i="25"/>
  <c r="U168" i="25"/>
  <c r="L187" i="25"/>
  <c r="I189" i="25"/>
  <c r="H191" i="25"/>
  <c r="L195" i="25"/>
  <c r="R199" i="25"/>
  <c r="AB202" i="25"/>
  <c r="X210" i="25"/>
  <c r="R216" i="25"/>
  <c r="L217" i="25"/>
  <c r="L218" i="25"/>
  <c r="O245" i="25"/>
  <c r="AB246" i="25"/>
  <c r="AB250" i="25"/>
  <c r="E257" i="25"/>
  <c r="E260" i="25"/>
  <c r="D260" i="25"/>
  <c r="O272" i="25"/>
  <c r="X279" i="25"/>
  <c r="O146" i="25"/>
  <c r="O150" i="25"/>
  <c r="H152" i="25"/>
  <c r="R155" i="25"/>
  <c r="L159" i="25"/>
  <c r="AB163" i="25"/>
  <c r="D168" i="25"/>
  <c r="X168" i="25"/>
  <c r="O168" i="25"/>
  <c r="U172" i="25"/>
  <c r="L179" i="25"/>
  <c r="R185" i="25"/>
  <c r="O187" i="25"/>
  <c r="L191" i="25"/>
  <c r="H196" i="25"/>
  <c r="O207" i="25"/>
  <c r="O266" i="25"/>
  <c r="O265" i="25"/>
  <c r="O267" i="25"/>
  <c r="O268" i="25"/>
  <c r="O270" i="25"/>
  <c r="E272" i="25"/>
  <c r="E271" i="25"/>
  <c r="E273" i="25"/>
  <c r="E274" i="25"/>
  <c r="D274" i="25"/>
  <c r="X295" i="25"/>
  <c r="L307" i="25"/>
  <c r="R154" i="25"/>
  <c r="L165" i="25"/>
  <c r="I181" i="25"/>
  <c r="E189" i="25"/>
  <c r="R220" i="25"/>
  <c r="R221" i="25"/>
  <c r="L226" i="25"/>
  <c r="L227" i="25"/>
  <c r="I270" i="25"/>
  <c r="I271" i="25"/>
  <c r="H271" i="25"/>
  <c r="D276" i="25"/>
  <c r="E280" i="25"/>
  <c r="E282" i="25"/>
  <c r="D282" i="25"/>
  <c r="H139" i="25"/>
  <c r="H141" i="25"/>
  <c r="O145" i="25"/>
  <c r="O153" i="25"/>
  <c r="I156" i="25"/>
  <c r="R159" i="25"/>
  <c r="O165" i="25"/>
  <c r="D167" i="25"/>
  <c r="D178" i="25"/>
  <c r="AB183" i="25"/>
  <c r="I203" i="25"/>
  <c r="H203" i="25"/>
  <c r="L204" i="25"/>
  <c r="AB206" i="25"/>
  <c r="X207" i="25"/>
  <c r="X211" i="25"/>
  <c r="L214" i="25"/>
  <c r="R214" i="25"/>
  <c r="R215" i="25"/>
  <c r="R219" i="25"/>
  <c r="O228" i="25"/>
  <c r="O226" i="25"/>
  <c r="L314" i="25"/>
  <c r="H121" i="25"/>
  <c r="H122" i="25"/>
  <c r="AB137" i="25"/>
  <c r="L139" i="25"/>
  <c r="AB139" i="25"/>
  <c r="L141" i="25"/>
  <c r="R145" i="25"/>
  <c r="I147" i="25"/>
  <c r="R149" i="25"/>
  <c r="I151" i="25"/>
  <c r="AB152" i="25"/>
  <c r="R153" i="25"/>
  <c r="H155" i="25"/>
  <c r="AB157" i="25"/>
  <c r="R158" i="25"/>
  <c r="I161" i="25"/>
  <c r="AB162" i="25"/>
  <c r="R163" i="25"/>
  <c r="R165" i="25"/>
  <c r="D166" i="25"/>
  <c r="H163" i="25"/>
  <c r="R170" i="25"/>
  <c r="R173" i="25"/>
  <c r="AB174" i="25"/>
  <c r="R175" i="25"/>
  <c r="H174" i="25"/>
  <c r="R177" i="25"/>
  <c r="O181" i="25"/>
  <c r="R189" i="25"/>
  <c r="L194" i="25"/>
  <c r="AB197" i="25"/>
  <c r="L203" i="25"/>
  <c r="I205" i="25"/>
  <c r="L206" i="25"/>
  <c r="L223" i="25"/>
  <c r="L224" i="25"/>
  <c r="R224" i="25"/>
  <c r="R225" i="25"/>
  <c r="I247" i="25"/>
  <c r="H244" i="25"/>
  <c r="O271" i="25"/>
  <c r="AB281" i="25"/>
  <c r="AB285" i="25"/>
  <c r="L292" i="25"/>
  <c r="L290" i="25"/>
  <c r="L291" i="25"/>
  <c r="O295" i="25"/>
  <c r="E298" i="25"/>
  <c r="D299" i="25"/>
  <c r="R301" i="25"/>
  <c r="X310" i="25"/>
  <c r="O148" i="25"/>
  <c r="H154" i="25"/>
  <c r="I155" i="25"/>
  <c r="X166" i="25"/>
  <c r="D177" i="25"/>
  <c r="U179" i="25"/>
  <c r="I180" i="25"/>
  <c r="E181" i="25"/>
  <c r="L192" i="25"/>
  <c r="I211" i="25"/>
  <c r="H211" i="25"/>
  <c r="I240" i="25"/>
  <c r="H240" i="25"/>
  <c r="D255" i="25"/>
  <c r="D249" i="25"/>
  <c r="E261" i="25"/>
  <c r="E263" i="25"/>
  <c r="E264" i="25"/>
  <c r="D264" i="25"/>
  <c r="L285" i="25"/>
  <c r="X140" i="25"/>
  <c r="R148" i="25"/>
  <c r="I150" i="25"/>
  <c r="R152" i="25"/>
  <c r="I154" i="25"/>
  <c r="R157" i="25"/>
  <c r="H159" i="25"/>
  <c r="L169" i="25"/>
  <c r="X173" i="25"/>
  <c r="O176" i="25"/>
  <c r="U181" i="25"/>
  <c r="E184" i="25"/>
  <c r="X184" i="25"/>
  <c r="D181" i="25"/>
  <c r="X189" i="25"/>
  <c r="E191" i="25"/>
  <c r="E193" i="25"/>
  <c r="R194" i="25"/>
  <c r="O197" i="25"/>
  <c r="E198" i="25"/>
  <c r="R201" i="25"/>
  <c r="R206" i="25"/>
  <c r="L208" i="25"/>
  <c r="L209" i="25"/>
  <c r="L211" i="25"/>
  <c r="L213" i="25"/>
  <c r="R218" i="25"/>
  <c r="U258" i="25"/>
  <c r="E262" i="25"/>
  <c r="H272" i="25"/>
  <c r="H268" i="25"/>
  <c r="E275" i="25"/>
  <c r="D269" i="25"/>
  <c r="D275" i="25"/>
  <c r="X317" i="25"/>
  <c r="L186" i="25"/>
  <c r="U188" i="25"/>
  <c r="R190" i="25"/>
  <c r="X191" i="25"/>
  <c r="U193" i="25"/>
  <c r="O195" i="25"/>
  <c r="X196" i="25"/>
  <c r="I204" i="25"/>
  <c r="O206" i="25"/>
  <c r="R207" i="25"/>
  <c r="I208" i="25"/>
  <c r="O210" i="25"/>
  <c r="E211" i="25"/>
  <c r="H212" i="25"/>
  <c r="O216" i="25"/>
  <c r="O219" i="25"/>
  <c r="I222" i="25"/>
  <c r="AB224" i="25"/>
  <c r="AB227" i="25"/>
  <c r="X230" i="25"/>
  <c r="D236" i="25"/>
  <c r="E239" i="25"/>
  <c r="AB241" i="25"/>
  <c r="I250" i="25"/>
  <c r="O252" i="25"/>
  <c r="I254" i="25"/>
  <c r="AB255" i="25"/>
  <c r="X258" i="25"/>
  <c r="X264" i="25"/>
  <c r="I266" i="25"/>
  <c r="I276" i="25"/>
  <c r="E279" i="25"/>
  <c r="R279" i="25"/>
  <c r="I279" i="25"/>
  <c r="R288" i="25"/>
  <c r="X293" i="25"/>
  <c r="R296" i="25"/>
  <c r="R297" i="25"/>
  <c r="U301" i="25"/>
  <c r="U303" i="25"/>
  <c r="O307" i="25"/>
  <c r="O224" i="25"/>
  <c r="I226" i="25"/>
  <c r="L229" i="25"/>
  <c r="R232" i="25"/>
  <c r="L234" i="25"/>
  <c r="U238" i="25"/>
  <c r="I239" i="25"/>
  <c r="U242" i="25"/>
  <c r="O246" i="25"/>
  <c r="I255" i="25"/>
  <c r="L261" i="25"/>
  <c r="L266" i="25"/>
  <c r="R271" i="25"/>
  <c r="H276" i="25"/>
  <c r="AB276" i="25"/>
  <c r="O277" i="25"/>
  <c r="U281" i="25"/>
  <c r="AB283" i="25"/>
  <c r="O287" i="25"/>
  <c r="D293" i="25"/>
  <c r="L294" i="25"/>
  <c r="U305" i="25"/>
  <c r="L312" i="25"/>
  <c r="D317" i="25"/>
  <c r="D318" i="25" s="1"/>
  <c r="X316" i="25"/>
  <c r="O189" i="25"/>
  <c r="X190" i="25"/>
  <c r="AB191" i="25"/>
  <c r="AB200" i="25"/>
  <c r="I202" i="25"/>
  <c r="E210" i="25"/>
  <c r="U210" i="25"/>
  <c r="AB212" i="25"/>
  <c r="O223" i="25"/>
  <c r="O227" i="25"/>
  <c r="O237" i="25"/>
  <c r="H239" i="25"/>
  <c r="O241" i="25"/>
  <c r="AB244" i="25"/>
  <c r="O248" i="25"/>
  <c r="L253" i="25"/>
  <c r="H258" i="25"/>
  <c r="I260" i="25"/>
  <c r="O261" i="25"/>
  <c r="D262" i="25"/>
  <c r="U261" i="25"/>
  <c r="R267" i="25"/>
  <c r="D268" i="25"/>
  <c r="U266" i="25"/>
  <c r="I275" i="25"/>
  <c r="E278" i="25"/>
  <c r="D281" i="25"/>
  <c r="H282" i="25"/>
  <c r="D289" i="25"/>
  <c r="O294" i="25"/>
  <c r="U298" i="25"/>
  <c r="L308" i="25"/>
  <c r="AB308" i="25"/>
  <c r="U313" i="25"/>
  <c r="E316" i="25"/>
  <c r="I207" i="25"/>
  <c r="R209" i="25"/>
  <c r="O212" i="25"/>
  <c r="R213" i="25"/>
  <c r="U215" i="25"/>
  <c r="I220" i="25"/>
  <c r="I238" i="25"/>
  <c r="R241" i="25"/>
  <c r="I242" i="25"/>
  <c r="D247" i="25"/>
  <c r="I251" i="25"/>
  <c r="O253" i="25"/>
  <c r="O255" i="25"/>
  <c r="U257" i="25"/>
  <c r="U267" i="25"/>
  <c r="D273" i="25"/>
  <c r="AB275" i="25"/>
  <c r="I278" i="25"/>
  <c r="U280" i="25"/>
  <c r="E289" i="25"/>
  <c r="AB290" i="25"/>
  <c r="R293" i="25"/>
  <c r="O296" i="25"/>
  <c r="R302" i="25"/>
  <c r="U306" i="25"/>
  <c r="L305" i="25"/>
  <c r="O308" i="25"/>
  <c r="U309" i="25"/>
  <c r="R309" i="25"/>
  <c r="X313" i="25"/>
  <c r="U315" i="25"/>
  <c r="AB312" i="25"/>
  <c r="L193" i="25"/>
  <c r="AB193" i="25"/>
  <c r="X195" i="25"/>
  <c r="O196" i="25"/>
  <c r="AB203" i="25"/>
  <c r="I206" i="25"/>
  <c r="H207" i="25"/>
  <c r="O208" i="25"/>
  <c r="U209" i="25"/>
  <c r="AB211" i="25"/>
  <c r="U214" i="25"/>
  <c r="AB217" i="25"/>
  <c r="H220" i="25"/>
  <c r="L230" i="25"/>
  <c r="O233" i="25"/>
  <c r="H238" i="25"/>
  <c r="H242" i="25"/>
  <c r="R246" i="25"/>
  <c r="L256" i="25"/>
  <c r="R263" i="25"/>
  <c r="I268" i="25"/>
  <c r="L269" i="25"/>
  <c r="U272" i="25"/>
  <c r="H278" i="25"/>
  <c r="X280" i="25"/>
  <c r="E286" i="25"/>
  <c r="D287" i="25"/>
  <c r="O290" i="25"/>
  <c r="R291" i="25"/>
  <c r="U302" i="25"/>
  <c r="R312" i="25"/>
  <c r="O314" i="25"/>
  <c r="E315" i="25"/>
  <c r="I224" i="25"/>
  <c r="AB228" i="25"/>
  <c r="D231" i="25"/>
  <c r="D234" i="25"/>
  <c r="O239" i="25"/>
  <c r="R240" i="25"/>
  <c r="O243" i="25"/>
  <c r="O260" i="25"/>
  <c r="X261" i="25"/>
  <c r="R268" i="25"/>
  <c r="X272" i="25"/>
  <c r="L274" i="25"/>
  <c r="O293" i="25"/>
  <c r="U297" i="25"/>
  <c r="AB298" i="25"/>
  <c r="R299" i="25"/>
  <c r="U304" i="25"/>
  <c r="X266" i="25"/>
  <c r="I267" i="25"/>
  <c r="AB268" i="25"/>
  <c r="U269" i="25"/>
  <c r="U274" i="25"/>
  <c r="R307" i="25"/>
  <c r="U308" i="25"/>
  <c r="U310" i="25"/>
  <c r="L311" i="25"/>
  <c r="U314" i="25"/>
  <c r="H6" i="25"/>
  <c r="O10" i="25"/>
  <c r="E11" i="25"/>
  <c r="R12" i="25"/>
  <c r="H13" i="25"/>
  <c r="U14" i="25"/>
  <c r="L16" i="25"/>
  <c r="D18" i="25"/>
  <c r="O18" i="25"/>
  <c r="E19" i="25"/>
  <c r="E22" i="25"/>
  <c r="E24" i="25"/>
  <c r="E26" i="25"/>
  <c r="E28" i="25"/>
  <c r="R28" i="25"/>
  <c r="E30" i="25"/>
  <c r="I31" i="25"/>
  <c r="U33" i="25"/>
  <c r="I35" i="25"/>
  <c r="O36" i="25"/>
  <c r="H37" i="25"/>
  <c r="R41" i="25"/>
  <c r="D43" i="25"/>
  <c r="R43" i="25"/>
  <c r="E45" i="25"/>
  <c r="H48" i="25"/>
  <c r="H50" i="25"/>
  <c r="O51" i="25"/>
  <c r="H55" i="25"/>
  <c r="O30" i="25"/>
  <c r="L8" i="25"/>
  <c r="D10" i="25"/>
  <c r="E10" i="25"/>
  <c r="R11" i="25"/>
  <c r="I13" i="25"/>
  <c r="U13" i="25"/>
  <c r="L15" i="25"/>
  <c r="O17" i="25"/>
  <c r="E18" i="25"/>
  <c r="AB18" i="25"/>
  <c r="R24" i="25"/>
  <c r="H28" i="25"/>
  <c r="E32" i="25"/>
  <c r="H33" i="25"/>
  <c r="D36" i="25"/>
  <c r="AB36" i="25"/>
  <c r="U39" i="25"/>
  <c r="E43" i="25"/>
  <c r="U43" i="25"/>
  <c r="I45" i="25"/>
  <c r="U45" i="25"/>
  <c r="E47" i="25"/>
  <c r="R47" i="25"/>
  <c r="I48" i="25"/>
  <c r="U48" i="25"/>
  <c r="O49" i="25"/>
  <c r="I50" i="25"/>
  <c r="R51" i="25"/>
  <c r="R54" i="25"/>
  <c r="I55" i="25"/>
  <c r="U55" i="25"/>
  <c r="H57" i="25"/>
  <c r="E9" i="25"/>
  <c r="R10" i="25"/>
  <c r="U12" i="25"/>
  <c r="L14" i="25"/>
  <c r="O16" i="25"/>
  <c r="E17" i="25"/>
  <c r="AB17" i="25"/>
  <c r="O29" i="25"/>
  <c r="I33" i="25"/>
  <c r="E34" i="25"/>
  <c r="E36" i="25"/>
  <c r="E38" i="25"/>
  <c r="AB38" i="25"/>
  <c r="I39" i="25"/>
  <c r="O44" i="25"/>
  <c r="I57" i="25"/>
  <c r="AB61" i="25"/>
  <c r="AB57" i="25"/>
  <c r="D7" i="25"/>
  <c r="E8" i="25"/>
  <c r="E16" i="25"/>
  <c r="D6" i="25"/>
  <c r="R8" i="25"/>
  <c r="H9" i="25"/>
  <c r="U10" i="25"/>
  <c r="L12" i="25"/>
  <c r="D14" i="25"/>
  <c r="O14" i="25"/>
  <c r="R16" i="25"/>
  <c r="H17" i="25"/>
  <c r="U18" i="25"/>
  <c r="E21" i="25"/>
  <c r="E23" i="25"/>
  <c r="E25" i="25"/>
  <c r="D27" i="25"/>
  <c r="R27" i="25"/>
  <c r="E29" i="25"/>
  <c r="AB31" i="25"/>
  <c r="H32" i="25"/>
  <c r="H34" i="25"/>
  <c r="I36" i="25"/>
  <c r="U36" i="25"/>
  <c r="AB37" i="25"/>
  <c r="H38" i="25"/>
  <c r="I41" i="25"/>
  <c r="E42" i="25"/>
  <c r="E44" i="25"/>
  <c r="R44" i="25"/>
  <c r="E46" i="25"/>
  <c r="E52" i="25"/>
  <c r="E14" i="25"/>
  <c r="R15" i="25"/>
  <c r="I17" i="25"/>
  <c r="U17" i="25"/>
  <c r="D21" i="25"/>
  <c r="U27" i="25"/>
  <c r="I29" i="25"/>
  <c r="U29" i="25"/>
  <c r="E31" i="25"/>
  <c r="R31" i="25"/>
  <c r="O33" i="25"/>
  <c r="U34" i="25"/>
  <c r="O39" i="25"/>
  <c r="H44" i="25"/>
  <c r="R46" i="25"/>
  <c r="E48" i="25"/>
  <c r="O48" i="25"/>
  <c r="H49" i="25"/>
  <c r="AB50" i="25"/>
  <c r="I51" i="25"/>
  <c r="I52" i="25"/>
  <c r="H52" i="25"/>
  <c r="U59" i="25"/>
  <c r="O28" i="25"/>
  <c r="O45" i="25"/>
  <c r="E50" i="25"/>
  <c r="U52" i="25"/>
  <c r="U53" i="25"/>
  <c r="I37" i="25"/>
  <c r="H61" i="25"/>
  <c r="I61" i="25"/>
  <c r="R59" i="25"/>
  <c r="H60" i="25"/>
  <c r="U61" i="25"/>
  <c r="R67" i="25"/>
  <c r="H68" i="25"/>
  <c r="I69" i="25"/>
  <c r="U69" i="25"/>
  <c r="H76" i="25"/>
  <c r="I77" i="25"/>
  <c r="U77" i="25"/>
  <c r="U85" i="25"/>
  <c r="U92" i="25"/>
  <c r="U95" i="25"/>
  <c r="I97" i="25"/>
  <c r="H109" i="25"/>
  <c r="I108" i="25"/>
  <c r="I109" i="25"/>
  <c r="H59" i="25"/>
  <c r="I60" i="25"/>
  <c r="AB65" i="25"/>
  <c r="H67" i="25"/>
  <c r="I68" i="25"/>
  <c r="H75" i="25"/>
  <c r="I76" i="25"/>
  <c r="U84" i="25"/>
  <c r="E127" i="25"/>
  <c r="E128" i="25"/>
  <c r="D128" i="25"/>
  <c r="E125" i="25"/>
  <c r="O104" i="25"/>
  <c r="O103" i="25"/>
  <c r="AB63" i="25"/>
  <c r="H65" i="25"/>
  <c r="I66" i="25"/>
  <c r="H73" i="25"/>
  <c r="I74" i="25"/>
  <c r="O99" i="25"/>
  <c r="O100" i="25"/>
  <c r="AB102" i="25"/>
  <c r="AB98" i="25"/>
  <c r="H72" i="25"/>
  <c r="I73" i="25"/>
  <c r="H80" i="25"/>
  <c r="U94" i="25"/>
  <c r="O97" i="25"/>
  <c r="O96" i="25"/>
  <c r="O95" i="25"/>
  <c r="O98" i="25"/>
  <c r="E102" i="25"/>
  <c r="D96" i="25"/>
  <c r="D102" i="25"/>
  <c r="H104" i="25"/>
  <c r="I103" i="25"/>
  <c r="I104" i="25"/>
  <c r="H101" i="25"/>
  <c r="I100" i="25"/>
  <c r="I98" i="25"/>
  <c r="D116" i="25"/>
  <c r="E115" i="25"/>
  <c r="D110" i="25"/>
  <c r="E116" i="25"/>
  <c r="D120" i="25"/>
  <c r="E119" i="25"/>
  <c r="E117" i="25"/>
  <c r="E120" i="25"/>
  <c r="O140" i="25"/>
  <c r="E143" i="25"/>
  <c r="D143" i="25"/>
  <c r="AB151" i="25"/>
  <c r="O157" i="25"/>
  <c r="I168" i="25"/>
  <c r="I164" i="25"/>
  <c r="H164" i="25"/>
  <c r="H168" i="25"/>
  <c r="E105" i="25"/>
  <c r="I112" i="25"/>
  <c r="D117" i="25"/>
  <c r="D121" i="25"/>
  <c r="E131" i="25"/>
  <c r="E132" i="25"/>
  <c r="D132" i="25"/>
  <c r="E158" i="25"/>
  <c r="D158" i="25"/>
  <c r="E100" i="25"/>
  <c r="AB118" i="25"/>
  <c r="E122" i="25"/>
  <c r="D122" i="25"/>
  <c r="O133" i="25"/>
  <c r="O134" i="25"/>
  <c r="O135" i="25"/>
  <c r="E98" i="25"/>
  <c r="R98" i="25"/>
  <c r="D100" i="25"/>
  <c r="I102" i="25"/>
  <c r="E103" i="25"/>
  <c r="H105" i="25"/>
  <c r="AB106" i="25"/>
  <c r="I110" i="25"/>
  <c r="D114" i="25"/>
  <c r="D118" i="25"/>
  <c r="O154" i="25"/>
  <c r="O155" i="25"/>
  <c r="D92" i="25"/>
  <c r="D93" i="25"/>
  <c r="D94" i="25"/>
  <c r="H98" i="25"/>
  <c r="H100" i="25"/>
  <c r="AB101" i="25"/>
  <c r="E106" i="25"/>
  <c r="H108" i="25"/>
  <c r="AB109" i="25"/>
  <c r="D111" i="25"/>
  <c r="E124" i="25"/>
  <c r="D124" i="25"/>
  <c r="H136" i="25"/>
  <c r="I132" i="25"/>
  <c r="I133" i="25"/>
  <c r="I136" i="25"/>
  <c r="O139" i="25"/>
  <c r="E146" i="25"/>
  <c r="D146" i="25"/>
  <c r="O149" i="25"/>
  <c r="E96" i="25"/>
  <c r="E101" i="25"/>
  <c r="AB112" i="25"/>
  <c r="D115" i="25"/>
  <c r="D119" i="25"/>
  <c r="AB128" i="25"/>
  <c r="H138" i="25"/>
  <c r="I138" i="25"/>
  <c r="E150" i="25"/>
  <c r="D144" i="25"/>
  <c r="D150" i="25"/>
  <c r="R95" i="25"/>
  <c r="R96" i="25"/>
  <c r="AB99" i="25"/>
  <c r="E104" i="25"/>
  <c r="H106" i="25"/>
  <c r="I111" i="25"/>
  <c r="H140" i="25"/>
  <c r="I140" i="25"/>
  <c r="E154" i="25"/>
  <c r="D154" i="25"/>
  <c r="O158" i="25"/>
  <c r="O159" i="25"/>
  <c r="H133" i="25"/>
  <c r="AB141" i="25"/>
  <c r="E165" i="25"/>
  <c r="D165" i="25"/>
  <c r="I166" i="25"/>
  <c r="H166" i="25"/>
  <c r="I171" i="25"/>
  <c r="H171" i="25"/>
  <c r="R172" i="25"/>
  <c r="R169" i="25"/>
  <c r="R180" i="25"/>
  <c r="R178" i="25"/>
  <c r="E135" i="25"/>
  <c r="E137" i="25"/>
  <c r="E139" i="25"/>
  <c r="E141" i="25"/>
  <c r="O144" i="25"/>
  <c r="E147" i="25"/>
  <c r="E151" i="25"/>
  <c r="E155" i="25"/>
  <c r="E159" i="25"/>
  <c r="AB161" i="25"/>
  <c r="L166" i="25"/>
  <c r="L171" i="25"/>
  <c r="X182" i="25"/>
  <c r="X178" i="25"/>
  <c r="D123" i="25"/>
  <c r="D127" i="25"/>
  <c r="D131" i="25"/>
  <c r="H132" i="25"/>
  <c r="D135" i="25"/>
  <c r="D137" i="25"/>
  <c r="D139" i="25"/>
  <c r="D141" i="25"/>
  <c r="E144" i="25"/>
  <c r="D147" i="25"/>
  <c r="D151" i="25"/>
  <c r="O156" i="25"/>
  <c r="O161" i="25"/>
  <c r="O162" i="25"/>
  <c r="O163" i="25"/>
  <c r="L172" i="25"/>
  <c r="L174" i="25"/>
  <c r="I178" i="25"/>
  <c r="H178" i="25"/>
  <c r="E180" i="25"/>
  <c r="D174" i="25"/>
  <c r="D180" i="25"/>
  <c r="E148" i="25"/>
  <c r="E152" i="25"/>
  <c r="E156" i="25"/>
  <c r="E160" i="25"/>
  <c r="E164" i="25"/>
  <c r="D164" i="25"/>
  <c r="E172" i="25"/>
  <c r="E170" i="25"/>
  <c r="D172" i="25"/>
  <c r="L185" i="25"/>
  <c r="L181" i="25"/>
  <c r="L182" i="25"/>
  <c r="D126" i="25"/>
  <c r="D130" i="25"/>
  <c r="H131" i="25"/>
  <c r="D134" i="25"/>
  <c r="I135" i="25"/>
  <c r="I137" i="25"/>
  <c r="AB138" i="25"/>
  <c r="I139" i="25"/>
  <c r="AB140" i="25"/>
  <c r="I141" i="25"/>
  <c r="E142" i="25"/>
  <c r="D148" i="25"/>
  <c r="D152" i="25"/>
  <c r="D156" i="25"/>
  <c r="D160" i="25"/>
  <c r="E126" i="25"/>
  <c r="E130" i="25"/>
  <c r="E134" i="25"/>
  <c r="E136" i="25"/>
  <c r="E138" i="25"/>
  <c r="E140" i="25"/>
  <c r="E145" i="25"/>
  <c r="E149" i="25"/>
  <c r="E153" i="25"/>
  <c r="E157" i="25"/>
  <c r="E161" i="25"/>
  <c r="D161" i="25"/>
  <c r="E162" i="25"/>
  <c r="D162" i="25"/>
  <c r="E163" i="25"/>
  <c r="D163" i="25"/>
  <c r="L170" i="25"/>
  <c r="L173" i="25"/>
  <c r="E179" i="25"/>
  <c r="D173" i="25"/>
  <c r="E176" i="25"/>
  <c r="D179" i="25"/>
  <c r="E113" i="25"/>
  <c r="D125" i="25"/>
  <c r="D129" i="25"/>
  <c r="D133" i="25"/>
  <c r="H134" i="25"/>
  <c r="D136" i="25"/>
  <c r="D138" i="25"/>
  <c r="D140" i="25"/>
  <c r="AB143" i="25"/>
  <c r="D145" i="25"/>
  <c r="D149" i="25"/>
  <c r="D153" i="25"/>
  <c r="U166" i="25"/>
  <c r="U164" i="25"/>
  <c r="U163" i="25"/>
  <c r="O173" i="25"/>
  <c r="O171" i="25"/>
  <c r="O170" i="25"/>
  <c r="R176" i="25"/>
  <c r="U180" i="25"/>
  <c r="L184" i="25"/>
  <c r="R188" i="25"/>
  <c r="E202" i="25"/>
  <c r="D202" i="25"/>
  <c r="U176" i="25"/>
  <c r="I179" i="25"/>
  <c r="H179" i="25"/>
  <c r="L183" i="25"/>
  <c r="L199" i="25"/>
  <c r="L196" i="25"/>
  <c r="L198" i="25"/>
  <c r="L200" i="25"/>
  <c r="D246" i="25"/>
  <c r="E244" i="25"/>
  <c r="D240" i="25"/>
  <c r="E246" i="25"/>
  <c r="L168" i="25"/>
  <c r="E169" i="25"/>
  <c r="U169" i="25"/>
  <c r="AB170" i="25"/>
  <c r="O174" i="25"/>
  <c r="L175" i="25"/>
  <c r="I176" i="25"/>
  <c r="H180" i="25"/>
  <c r="H181" i="25"/>
  <c r="O183" i="25"/>
  <c r="AB188" i="25"/>
  <c r="AB192" i="25"/>
  <c r="I165" i="25"/>
  <c r="U165" i="25"/>
  <c r="I169" i="25"/>
  <c r="H169" i="25"/>
  <c r="H172" i="25"/>
  <c r="E173" i="25"/>
  <c r="U173" i="25"/>
  <c r="H176" i="25"/>
  <c r="AB178" i="25"/>
  <c r="I188" i="25"/>
  <c r="H188" i="25"/>
  <c r="O192" i="25"/>
  <c r="E206" i="25"/>
  <c r="D200" i="25"/>
  <c r="D206" i="25"/>
  <c r="E167" i="25"/>
  <c r="I173" i="25"/>
  <c r="R174" i="25"/>
  <c r="O175" i="25"/>
  <c r="L176" i="25"/>
  <c r="E177" i="25"/>
  <c r="U177" i="25"/>
  <c r="O182" i="25"/>
  <c r="D185" i="25"/>
  <c r="E182" i="25"/>
  <c r="U186" i="25"/>
  <c r="E196" i="25"/>
  <c r="D196" i="25"/>
  <c r="L197" i="25"/>
  <c r="U198" i="25"/>
  <c r="I201" i="25"/>
  <c r="H197" i="25"/>
  <c r="H201" i="25"/>
  <c r="I167" i="25"/>
  <c r="U167" i="25"/>
  <c r="U170" i="25"/>
  <c r="I177" i="25"/>
  <c r="H177" i="25"/>
  <c r="E187" i="25"/>
  <c r="D187" i="25"/>
  <c r="D235" i="25"/>
  <c r="E235" i="25"/>
  <c r="E232" i="25"/>
  <c r="E234" i="25"/>
  <c r="H167" i="25"/>
  <c r="I170" i="25"/>
  <c r="H170" i="25"/>
  <c r="E171" i="25"/>
  <c r="R171" i="25"/>
  <c r="D175" i="25"/>
  <c r="E178" i="25"/>
  <c r="U178" i="25"/>
  <c r="R179" i="25"/>
  <c r="R181" i="25"/>
  <c r="I186" i="25"/>
  <c r="H186" i="25"/>
  <c r="AB190" i="25"/>
  <c r="O193" i="25"/>
  <c r="O194" i="25"/>
  <c r="I198" i="25"/>
  <c r="H194" i="25"/>
  <c r="H198" i="25"/>
  <c r="I185" i="25"/>
  <c r="U185" i="25"/>
  <c r="E190" i="25"/>
  <c r="E199" i="25"/>
  <c r="I235" i="25"/>
  <c r="H235" i="25"/>
  <c r="E243" i="25"/>
  <c r="D243" i="25"/>
  <c r="I174" i="25"/>
  <c r="U174" i="25"/>
  <c r="I182" i="25"/>
  <c r="U182" i="25"/>
  <c r="D184" i="25"/>
  <c r="H185" i="25"/>
  <c r="I190" i="25"/>
  <c r="U190" i="25"/>
  <c r="D192" i="25"/>
  <c r="H193" i="25"/>
  <c r="E194" i="25"/>
  <c r="I196" i="25"/>
  <c r="U196" i="25"/>
  <c r="D199" i="25"/>
  <c r="U202" i="25"/>
  <c r="E203" i="25"/>
  <c r="AB204" i="25"/>
  <c r="U206" i="25"/>
  <c r="E207" i="25"/>
  <c r="D213" i="25"/>
  <c r="I187" i="25"/>
  <c r="U187" i="25"/>
  <c r="E192" i="25"/>
  <c r="E197" i="25"/>
  <c r="I199" i="25"/>
  <c r="U199" i="25"/>
  <c r="O200" i="25"/>
  <c r="O204" i="25"/>
  <c r="U213" i="25"/>
  <c r="O214" i="25"/>
  <c r="O215" i="25"/>
  <c r="O218" i="25"/>
  <c r="R229" i="25"/>
  <c r="R227" i="25"/>
  <c r="R226" i="25"/>
  <c r="O232" i="25"/>
  <c r="O236" i="25"/>
  <c r="E242" i="25"/>
  <c r="O257" i="25"/>
  <c r="O258" i="25"/>
  <c r="O259" i="25"/>
  <c r="O256" i="25"/>
  <c r="I184" i="25"/>
  <c r="U184" i="25"/>
  <c r="H187" i="25"/>
  <c r="I192" i="25"/>
  <c r="U192" i="25"/>
  <c r="I194" i="25"/>
  <c r="U194" i="25"/>
  <c r="D197" i="25"/>
  <c r="AB198" i="25"/>
  <c r="H199" i="25"/>
  <c r="E200" i="25"/>
  <c r="U203" i="25"/>
  <c r="E204" i="25"/>
  <c r="AB205" i="25"/>
  <c r="D208" i="25"/>
  <c r="U208" i="25"/>
  <c r="E209" i="25"/>
  <c r="I213" i="25"/>
  <c r="H213" i="25"/>
  <c r="AB216" i="25"/>
  <c r="E219" i="25"/>
  <c r="D219" i="25"/>
  <c r="O231" i="25"/>
  <c r="O229" i="25"/>
  <c r="O235" i="25"/>
  <c r="E251" i="25"/>
  <c r="E249" i="25"/>
  <c r="D251" i="25"/>
  <c r="D245" i="25"/>
  <c r="U252" i="25"/>
  <c r="U250" i="25"/>
  <c r="E195" i="25"/>
  <c r="I197" i="25"/>
  <c r="U197" i="25"/>
  <c r="O201" i="25"/>
  <c r="O205" i="25"/>
  <c r="R210" i="25"/>
  <c r="E215" i="25"/>
  <c r="D215" i="25"/>
  <c r="E241" i="25"/>
  <c r="D188" i="25"/>
  <c r="H189" i="25"/>
  <c r="I200" i="25"/>
  <c r="U200" i="25"/>
  <c r="E201" i="25"/>
  <c r="U204" i="25"/>
  <c r="E205" i="25"/>
  <c r="R211" i="25"/>
  <c r="D217" i="25"/>
  <c r="D229" i="25"/>
  <c r="I175" i="25"/>
  <c r="U175" i="25"/>
  <c r="I183" i="25"/>
  <c r="U183" i="25"/>
  <c r="E188" i="25"/>
  <c r="I191" i="25"/>
  <c r="U191" i="25"/>
  <c r="D193" i="25"/>
  <c r="I195" i="25"/>
  <c r="U195" i="25"/>
  <c r="D198" i="25"/>
  <c r="AB199" i="25"/>
  <c r="H200" i="25"/>
  <c r="D201" i="25"/>
  <c r="D205" i="25"/>
  <c r="AB207" i="25"/>
  <c r="H209" i="25"/>
  <c r="I210" i="25"/>
  <c r="D211" i="25"/>
  <c r="U211" i="25"/>
  <c r="D212" i="25"/>
  <c r="R212" i="25"/>
  <c r="H214" i="25"/>
  <c r="E217" i="25"/>
  <c r="I218" i="25"/>
  <c r="H218" i="25"/>
  <c r="R228" i="25"/>
  <c r="E229" i="25"/>
  <c r="O230" i="25"/>
  <c r="AB229" i="25"/>
  <c r="AB233" i="25"/>
  <c r="I217" i="25"/>
  <c r="U217" i="25"/>
  <c r="E218" i="25"/>
  <c r="I221" i="25"/>
  <c r="U221" i="25"/>
  <c r="E222" i="25"/>
  <c r="I225" i="25"/>
  <c r="U225" i="25"/>
  <c r="E226" i="25"/>
  <c r="E230" i="25"/>
  <c r="D230" i="25"/>
  <c r="E236" i="25"/>
  <c r="U236" i="25"/>
  <c r="D237" i="25"/>
  <c r="R237" i="25"/>
  <c r="R245" i="25"/>
  <c r="E247" i="25"/>
  <c r="E248" i="25"/>
  <c r="D248" i="25"/>
  <c r="H217" i="25"/>
  <c r="D218" i="25"/>
  <c r="H221" i="25"/>
  <c r="D222" i="25"/>
  <c r="H225" i="25"/>
  <c r="D226" i="25"/>
  <c r="L228" i="25"/>
  <c r="I230" i="25"/>
  <c r="E231" i="25"/>
  <c r="U231" i="25"/>
  <c r="AB234" i="25"/>
  <c r="I236" i="25"/>
  <c r="E237" i="25"/>
  <c r="U237" i="25"/>
  <c r="R247" i="25"/>
  <c r="R248" i="25"/>
  <c r="R249" i="25"/>
  <c r="I252" i="25"/>
  <c r="H252" i="25"/>
  <c r="R262" i="25"/>
  <c r="R260" i="25"/>
  <c r="R276" i="25"/>
  <c r="R278" i="25"/>
  <c r="E227" i="25"/>
  <c r="I231" i="25"/>
  <c r="H231" i="25"/>
  <c r="U232" i="25"/>
  <c r="O234" i="25"/>
  <c r="I237" i="25"/>
  <c r="H237" i="25"/>
  <c r="L248" i="25"/>
  <c r="L245" i="25"/>
  <c r="L244" i="25"/>
  <c r="U249" i="25"/>
  <c r="U253" i="25"/>
  <c r="U254" i="25"/>
  <c r="U255" i="25"/>
  <c r="E216" i="25"/>
  <c r="H222" i="25"/>
  <c r="D223" i="25"/>
  <c r="L225" i="25"/>
  <c r="H226" i="25"/>
  <c r="D227" i="25"/>
  <c r="I232" i="25"/>
  <c r="E233" i="25"/>
  <c r="U233" i="25"/>
  <c r="E238" i="25"/>
  <c r="D239" i="25"/>
  <c r="E240" i="25"/>
  <c r="E245" i="25"/>
  <c r="U246" i="25"/>
  <c r="U247" i="25"/>
  <c r="R284" i="25"/>
  <c r="R281" i="25"/>
  <c r="R283" i="25"/>
  <c r="I216" i="25"/>
  <c r="U216" i="25"/>
  <c r="I219" i="25"/>
  <c r="U219" i="25"/>
  <c r="E220" i="25"/>
  <c r="I223" i="25"/>
  <c r="U223" i="25"/>
  <c r="E224" i="25"/>
  <c r="I227" i="25"/>
  <c r="U227" i="25"/>
  <c r="E228" i="25"/>
  <c r="I233" i="25"/>
  <c r="H233" i="25"/>
  <c r="U241" i="25"/>
  <c r="D242" i="25"/>
  <c r="R244" i="25"/>
  <c r="AB249" i="25"/>
  <c r="AB253" i="25"/>
  <c r="R252" i="25"/>
  <c r="R254" i="25"/>
  <c r="U220" i="25"/>
  <c r="E221" i="25"/>
  <c r="U224" i="25"/>
  <c r="E225" i="25"/>
  <c r="I228" i="25"/>
  <c r="U228" i="25"/>
  <c r="I234" i="25"/>
  <c r="U235" i="25"/>
  <c r="I246" i="25"/>
  <c r="I244" i="25"/>
  <c r="I243" i="25"/>
  <c r="H247" i="25"/>
  <c r="AB247" i="25"/>
  <c r="E253" i="25"/>
  <c r="E252" i="25"/>
  <c r="E254" i="25"/>
  <c r="D254" i="25"/>
  <c r="U256" i="25"/>
  <c r="I229" i="25"/>
  <c r="U229" i="25"/>
  <c r="U239" i="25"/>
  <c r="R242" i="25"/>
  <c r="I256" i="25"/>
  <c r="H253" i="25"/>
  <c r="I257" i="25"/>
  <c r="H257" i="25"/>
  <c r="L258" i="25"/>
  <c r="U265" i="25"/>
  <c r="R266" i="25"/>
  <c r="I280" i="25"/>
  <c r="H277" i="25"/>
  <c r="I281" i="25"/>
  <c r="H281" i="25"/>
  <c r="I277" i="25"/>
  <c r="AB282" i="25"/>
  <c r="AB278" i="25"/>
  <c r="I297" i="25"/>
  <c r="H297" i="25"/>
  <c r="H293" i="25"/>
  <c r="E255" i="25"/>
  <c r="E256" i="25"/>
  <c r="D256" i="25"/>
  <c r="R259" i="25"/>
  <c r="R261" i="25"/>
  <c r="AB265" i="25"/>
  <c r="AB269" i="25"/>
  <c r="R277" i="25"/>
  <c r="AB293" i="25"/>
  <c r="AB289" i="25"/>
  <c r="R258" i="25"/>
  <c r="U259" i="25"/>
  <c r="U260" i="25"/>
  <c r="I264" i="25"/>
  <c r="H261" i="25"/>
  <c r="I265" i="25"/>
  <c r="H265" i="25"/>
  <c r="R275" i="25"/>
  <c r="U279" i="25"/>
  <c r="L297" i="25"/>
  <c r="L299" i="25"/>
  <c r="L298" i="25"/>
  <c r="U240" i="25"/>
  <c r="R243" i="25"/>
  <c r="U248" i="25"/>
  <c r="O249" i="25"/>
  <c r="O250" i="25"/>
  <c r="R253" i="25"/>
  <c r="R255" i="25"/>
  <c r="R256" i="25"/>
  <c r="D253" i="25"/>
  <c r="E259" i="25"/>
  <c r="I262" i="25"/>
  <c r="U263" i="25"/>
  <c r="R273" i="25"/>
  <c r="U275" i="25"/>
  <c r="U276" i="25"/>
  <c r="H279" i="25"/>
  <c r="R282" i="25"/>
  <c r="D238" i="25"/>
  <c r="R238" i="25"/>
  <c r="U243" i="25"/>
  <c r="I248" i="25"/>
  <c r="I245" i="25"/>
  <c r="I249" i="25"/>
  <c r="H245" i="25"/>
  <c r="H249" i="25"/>
  <c r="L250" i="25"/>
  <c r="O251" i="25"/>
  <c r="H255" i="25"/>
  <c r="R257" i="25"/>
  <c r="D259" i="25"/>
  <c r="R270" i="25"/>
  <c r="U273" i="25"/>
  <c r="R274" i="25"/>
  <c r="I296" i="25"/>
  <c r="H296" i="25"/>
  <c r="H292" i="25"/>
  <c r="X306" i="25"/>
  <c r="X302" i="25"/>
  <c r="AB257" i="25"/>
  <c r="AB261" i="25"/>
  <c r="AB273" i="25"/>
  <c r="AB277" i="25"/>
  <c r="H283" i="25"/>
  <c r="I283" i="25"/>
  <c r="I282" i="25"/>
  <c r="O299" i="25"/>
  <c r="O301" i="25"/>
  <c r="U245" i="25"/>
  <c r="H248" i="25"/>
  <c r="R250" i="25"/>
  <c r="U251" i="25"/>
  <c r="I272" i="25"/>
  <c r="H269" i="25"/>
  <c r="I273" i="25"/>
  <c r="H273" i="25"/>
  <c r="I269" i="25"/>
  <c r="L264" i="25"/>
  <c r="L272" i="25"/>
  <c r="L280" i="25"/>
  <c r="L287" i="25"/>
  <c r="I292" i="25"/>
  <c r="I293" i="25"/>
  <c r="R305" i="25"/>
  <c r="R306" i="25"/>
  <c r="AB314" i="25"/>
  <c r="AB310" i="25"/>
  <c r="L282" i="25"/>
  <c r="E296" i="25"/>
  <c r="D296" i="25"/>
  <c r="E297" i="25"/>
  <c r="D297" i="25"/>
  <c r="I298" i="25"/>
  <c r="H298" i="25"/>
  <c r="E302" i="25"/>
  <c r="E303" i="25"/>
  <c r="I305" i="25"/>
  <c r="H305" i="25"/>
  <c r="R316" i="25"/>
  <c r="R314" i="25"/>
  <c r="L247" i="25"/>
  <c r="X252" i="25"/>
  <c r="L255" i="25"/>
  <c r="X260" i="25"/>
  <c r="L263" i="25"/>
  <c r="X268" i="25"/>
  <c r="L271" i="25"/>
  <c r="X276" i="25"/>
  <c r="L279" i="25"/>
  <c r="L288" i="25"/>
  <c r="O300" i="25"/>
  <c r="E306" i="25"/>
  <c r="D306" i="25"/>
  <c r="I310" i="25"/>
  <c r="H310" i="25"/>
  <c r="R311" i="25"/>
  <c r="X249" i="25"/>
  <c r="L252" i="25"/>
  <c r="X257" i="25"/>
  <c r="L260" i="25"/>
  <c r="U262" i="25"/>
  <c r="R264" i="25"/>
  <c r="X265" i="25"/>
  <c r="L268" i="25"/>
  <c r="U270" i="25"/>
  <c r="R272" i="25"/>
  <c r="X273" i="25"/>
  <c r="L276" i="25"/>
  <c r="U278" i="25"/>
  <c r="R280" i="25"/>
  <c r="X281" i="25"/>
  <c r="L283" i="25"/>
  <c r="R287" i="25"/>
  <c r="H289" i="25"/>
  <c r="L295" i="25"/>
  <c r="L296" i="25"/>
  <c r="O298" i="25"/>
  <c r="L303" i="25"/>
  <c r="L304" i="25"/>
  <c r="I306" i="25"/>
  <c r="H306" i="25"/>
  <c r="L309" i="25"/>
  <c r="L310" i="25"/>
  <c r="AB311" i="25"/>
  <c r="AB315" i="25"/>
  <c r="O319" i="25"/>
  <c r="O316" i="25"/>
  <c r="X246" i="25"/>
  <c r="L249" i="25"/>
  <c r="D250" i="25"/>
  <c r="H251" i="25"/>
  <c r="X254" i="25"/>
  <c r="L257" i="25"/>
  <c r="D258" i="25"/>
  <c r="H259" i="25"/>
  <c r="X262" i="25"/>
  <c r="L265" i="25"/>
  <c r="H267" i="25"/>
  <c r="X270" i="25"/>
  <c r="L273" i="25"/>
  <c r="H275" i="25"/>
  <c r="X278" i="25"/>
  <c r="L281" i="25"/>
  <c r="H284" i="25"/>
  <c r="L286" i="25"/>
  <c r="I289" i="25"/>
  <c r="X289" i="25"/>
  <c r="D290" i="25"/>
  <c r="E291" i="25"/>
  <c r="R292" i="25"/>
  <c r="O297" i="25"/>
  <c r="I302" i="25"/>
  <c r="H302" i="25"/>
  <c r="O303" i="25"/>
  <c r="O304" i="25"/>
  <c r="L306" i="25"/>
  <c r="E310" i="25"/>
  <c r="D305" i="25"/>
  <c r="E309" i="25"/>
  <c r="E311" i="25"/>
  <c r="L315" i="25"/>
  <c r="L246" i="25"/>
  <c r="E250" i="25"/>
  <c r="X251" i="25"/>
  <c r="L254" i="25"/>
  <c r="E258" i="25"/>
  <c r="X259" i="25"/>
  <c r="L262" i="25"/>
  <c r="X267" i="25"/>
  <c r="L270" i="25"/>
  <c r="X275" i="25"/>
  <c r="L278" i="25"/>
  <c r="I284" i="25"/>
  <c r="X284" i="25"/>
  <c r="L289" i="25"/>
  <c r="E290" i="25"/>
  <c r="D291" i="25"/>
  <c r="E292" i="25"/>
  <c r="U292" i="25"/>
  <c r="L301" i="25"/>
  <c r="L302" i="25"/>
  <c r="E308" i="25"/>
  <c r="R310" i="25"/>
  <c r="D311" i="25"/>
  <c r="O313" i="25"/>
  <c r="O310" i="25"/>
  <c r="L251" i="25"/>
  <c r="L259" i="25"/>
  <c r="L267" i="25"/>
  <c r="L275" i="25"/>
  <c r="L284" i="25"/>
  <c r="I287" i="25"/>
  <c r="I290" i="25"/>
  <c r="H290" i="25"/>
  <c r="X292" i="25"/>
  <c r="E293" i="25"/>
  <c r="U293" i="25"/>
  <c r="E300" i="25"/>
  <c r="E301" i="25"/>
  <c r="R303" i="25"/>
  <c r="R304" i="25"/>
  <c r="O306" i="25"/>
  <c r="E307" i="25"/>
  <c r="D307" i="25"/>
  <c r="D301" i="25"/>
  <c r="L317" i="25"/>
  <c r="L318" i="25"/>
  <c r="I295" i="25"/>
  <c r="U295" i="25"/>
  <c r="I300" i="25"/>
  <c r="H300" i="25"/>
  <c r="I308" i="25"/>
  <c r="H308" i="25"/>
  <c r="D312" i="25"/>
  <c r="U312" i="25"/>
  <c r="U317" i="25"/>
  <c r="O318" i="25"/>
  <c r="AB318" i="25"/>
  <c r="AB319" i="25" s="1"/>
  <c r="AB320" i="25" s="1"/>
  <c r="AB321" i="25" s="1"/>
  <c r="AB322" i="25" s="1"/>
  <c r="AB323" i="25" s="1"/>
  <c r="AB324" i="25" s="1"/>
  <c r="AB325" i="25" s="1"/>
  <c r="R319" i="25"/>
  <c r="I303" i="25"/>
  <c r="H303" i="25"/>
  <c r="I311" i="25"/>
  <c r="H311" i="25"/>
  <c r="E312" i="25"/>
  <c r="D313" i="25"/>
  <c r="L316" i="25"/>
  <c r="I312" i="25"/>
  <c r="H312" i="25"/>
  <c r="R315" i="25"/>
  <c r="H317" i="25"/>
  <c r="X319" i="25"/>
  <c r="X320" i="25" s="1"/>
  <c r="X321" i="25" s="1"/>
  <c r="X322" i="25" s="1"/>
  <c r="X323" i="25" s="1"/>
  <c r="X324" i="25" s="1"/>
  <c r="X325" i="25" s="1"/>
  <c r="I294" i="25"/>
  <c r="U294" i="25"/>
  <c r="E299" i="25"/>
  <c r="I301" i="25"/>
  <c r="H301" i="25"/>
  <c r="E304" i="25"/>
  <c r="I309" i="25"/>
  <c r="H309" i="25"/>
  <c r="I313" i="25"/>
  <c r="H313" i="25"/>
  <c r="E314" i="25"/>
  <c r="AB316" i="25"/>
  <c r="I291" i="25"/>
  <c r="U291" i="25"/>
  <c r="H294" i="25"/>
  <c r="I299" i="25"/>
  <c r="D302" i="25"/>
  <c r="I304" i="25"/>
  <c r="H304" i="25"/>
  <c r="D310" i="25"/>
  <c r="O311" i="25"/>
  <c r="D315" i="25"/>
  <c r="U318" i="25"/>
  <c r="U320" i="25"/>
  <c r="I307" i="25"/>
  <c r="H307" i="25"/>
  <c r="O312" i="25"/>
  <c r="X315" i="25"/>
  <c r="O317" i="25"/>
  <c r="U1126" i="26" l="1"/>
  <c r="G1126" i="1" s="1"/>
  <c r="U628" i="26"/>
  <c r="G628" i="1" s="1"/>
  <c r="U575" i="26"/>
  <c r="G575" i="1" s="1"/>
  <c r="U420" i="26"/>
  <c r="G420" i="1" s="1"/>
  <c r="U384" i="26"/>
  <c r="G384" i="1" s="1"/>
  <c r="U92" i="26"/>
  <c r="G92" i="1" s="1"/>
  <c r="U1228" i="26"/>
  <c r="G1228" i="1" s="1"/>
  <c r="U1192" i="26"/>
  <c r="G1192" i="1" s="1"/>
  <c r="U1125" i="26"/>
  <c r="G1125" i="1" s="1"/>
  <c r="U919" i="26"/>
  <c r="G919" i="1" s="1"/>
  <c r="U727" i="26"/>
  <c r="G727" i="1" s="1"/>
  <c r="U643" i="26"/>
  <c r="G643" i="1" s="1"/>
  <c r="U263" i="26"/>
  <c r="G263" i="1" s="1"/>
  <c r="U228" i="26"/>
  <c r="G228" i="1" s="1"/>
  <c r="U1293" i="26"/>
  <c r="G1293" i="1" s="1"/>
  <c r="U1257" i="26"/>
  <c r="G1257" i="1" s="1"/>
  <c r="U624" i="26"/>
  <c r="G624" i="1" s="1"/>
  <c r="U588" i="26"/>
  <c r="G588" i="1" s="1"/>
  <c r="U432" i="26"/>
  <c r="G432" i="1" s="1"/>
  <c r="U344" i="26"/>
  <c r="G344" i="1" s="1"/>
  <c r="U135" i="26"/>
  <c r="G135" i="1" s="1"/>
  <c r="U1171" i="26"/>
  <c r="G1171" i="1" s="1"/>
  <c r="U863" i="26"/>
  <c r="G863" i="1" s="1"/>
  <c r="U828" i="26"/>
  <c r="G828" i="1" s="1"/>
  <c r="U567" i="26"/>
  <c r="G567" i="1" s="1"/>
  <c r="U531" i="26"/>
  <c r="G531" i="1" s="1"/>
  <c r="U428" i="26"/>
  <c r="G428" i="1" s="1"/>
  <c r="U1167" i="26"/>
  <c r="G1167" i="1" s="1"/>
  <c r="U1011" i="26"/>
  <c r="G1011" i="1" s="1"/>
  <c r="U736" i="26"/>
  <c r="G736" i="1" s="1"/>
  <c r="U1353" i="26"/>
  <c r="G1353" i="1" s="1"/>
  <c r="U1266" i="26"/>
  <c r="G1266" i="1" s="1"/>
  <c r="U976" i="26"/>
  <c r="G976" i="1" s="1"/>
  <c r="U563" i="26"/>
  <c r="G563" i="1" s="1"/>
  <c r="U528" i="26"/>
  <c r="G528" i="1" s="1"/>
  <c r="U440" i="26"/>
  <c r="G440" i="1" s="1"/>
  <c r="U319" i="26"/>
  <c r="G319" i="1" s="1"/>
  <c r="U115" i="26"/>
  <c r="G115" i="1" s="1"/>
  <c r="U80" i="26"/>
  <c r="G80" i="1" s="1"/>
  <c r="U1179" i="26"/>
  <c r="G1179" i="1" s="1"/>
  <c r="U1023" i="26"/>
  <c r="G1023" i="1" s="1"/>
  <c r="U988" i="26"/>
  <c r="G988" i="1" s="1"/>
  <c r="U923" i="26"/>
  <c r="G923" i="1" s="1"/>
  <c r="U888" i="26"/>
  <c r="G888" i="1" s="1"/>
  <c r="U767" i="26"/>
  <c r="G767" i="1" s="1"/>
  <c r="U732" i="26"/>
  <c r="G732" i="1" s="1"/>
  <c r="U283" i="26"/>
  <c r="G283" i="1" s="1"/>
  <c r="U127" i="26"/>
  <c r="G127" i="1" s="1"/>
  <c r="U1367" i="26"/>
  <c r="G1367" i="1" s="1"/>
  <c r="U1300" i="26"/>
  <c r="G1300" i="1" s="1"/>
  <c r="U540" i="26"/>
  <c r="G540" i="1" s="1"/>
  <c r="U474" i="26"/>
  <c r="G474" i="1" s="1"/>
  <c r="U282" i="26"/>
  <c r="G282" i="1" s="1"/>
  <c r="U26" i="26"/>
  <c r="G26" i="1" s="1"/>
  <c r="U473" i="26"/>
  <c r="G473" i="1" s="1"/>
  <c r="U59" i="26"/>
  <c r="G59" i="1" s="1"/>
  <c r="U1213" i="26"/>
  <c r="G1213" i="1" s="1"/>
  <c r="U1020" i="26"/>
  <c r="G1020" i="1" s="1"/>
  <c r="U851" i="26"/>
  <c r="G851" i="1" s="1"/>
  <c r="U816" i="26"/>
  <c r="G816" i="1" s="1"/>
  <c r="U709" i="26"/>
  <c r="G709" i="1" s="1"/>
  <c r="U281" i="26"/>
  <c r="G281" i="1" s="1"/>
  <c r="U245" i="26"/>
  <c r="G245" i="1" s="1"/>
  <c r="U713" i="26"/>
  <c r="G713" i="1" s="1"/>
  <c r="U248" i="26"/>
  <c r="G248" i="1" s="1"/>
  <c r="U213" i="26"/>
  <c r="G213" i="1" s="1"/>
  <c r="U1332" i="26"/>
  <c r="G1332" i="1" s="1"/>
  <c r="U1352" i="26"/>
  <c r="G1352" i="1" s="1"/>
  <c r="U404" i="26"/>
  <c r="G404" i="1" s="1"/>
  <c r="U869" i="26"/>
  <c r="G869" i="1" s="1"/>
  <c r="U678" i="26"/>
  <c r="G678" i="1" s="1"/>
  <c r="U1336" i="26"/>
  <c r="G1336" i="1" s="1"/>
  <c r="U632" i="26"/>
  <c r="G632" i="1" s="1"/>
  <c r="U354" i="26"/>
  <c r="G354" i="1" s="1"/>
  <c r="U1093" i="26"/>
  <c r="G1093" i="1" s="1"/>
  <c r="U837" i="26"/>
  <c r="G837" i="1" s="1"/>
  <c r="U802" i="26"/>
  <c r="G802" i="1" s="1"/>
  <c r="U680" i="26"/>
  <c r="G680" i="1" s="1"/>
  <c r="U644" i="26"/>
  <c r="G644" i="1" s="1"/>
  <c r="U629" i="26"/>
  <c r="G629" i="1" s="1"/>
  <c r="U421" i="26"/>
  <c r="G421" i="1" s="1"/>
  <c r="U1229" i="26"/>
  <c r="G1229" i="1" s="1"/>
  <c r="U920" i="26"/>
  <c r="G920" i="1" s="1"/>
  <c r="U799" i="26"/>
  <c r="G799" i="1" s="1"/>
  <c r="U264" i="26"/>
  <c r="G264" i="1" s="1"/>
  <c r="U229" i="26"/>
  <c r="G229" i="1" s="1"/>
  <c r="U180" i="26"/>
  <c r="G180" i="1" s="1"/>
  <c r="U1316" i="26"/>
  <c r="G1316" i="1" s="1"/>
  <c r="U1297" i="26"/>
  <c r="G1297" i="1" s="1"/>
  <c r="U973" i="26"/>
  <c r="G973" i="1" s="1"/>
  <c r="U558" i="26"/>
  <c r="G558" i="1" s="1"/>
  <c r="U438" i="26"/>
  <c r="G438" i="1" s="1"/>
  <c r="U110" i="26"/>
  <c r="G110" i="1" s="1"/>
  <c r="U938" i="26"/>
  <c r="G938" i="1" s="1"/>
  <c r="U883" i="26"/>
  <c r="G883" i="1" s="1"/>
  <c r="U692" i="26"/>
  <c r="G692" i="1" s="1"/>
  <c r="U21" i="26"/>
  <c r="G21" i="1" s="1"/>
  <c r="U792" i="26"/>
  <c r="G792" i="1" s="1"/>
  <c r="U1131" i="26"/>
  <c r="G1131" i="1" s="1"/>
  <c r="U266" i="26"/>
  <c r="G266" i="1" s="1"/>
  <c r="D30" i="32"/>
  <c r="U610" i="26"/>
  <c r="G610" i="1" s="1"/>
  <c r="U522" i="26"/>
  <c r="G522" i="1" s="1"/>
  <c r="U437" i="26"/>
  <c r="G437" i="1" s="1"/>
  <c r="U402" i="26"/>
  <c r="G402" i="1" s="1"/>
  <c r="U366" i="26"/>
  <c r="G366" i="1" s="1"/>
  <c r="U334" i="26"/>
  <c r="G334" i="1" s="1"/>
  <c r="U937" i="26"/>
  <c r="G937" i="1" s="1"/>
  <c r="U901" i="26"/>
  <c r="G901" i="1" s="1"/>
  <c r="U210" i="26"/>
  <c r="G210" i="1" s="1"/>
  <c r="U1346" i="26"/>
  <c r="G1346" i="1" s="1"/>
  <c r="U1310" i="26"/>
  <c r="G1310" i="1" s="1"/>
  <c r="U606" i="26"/>
  <c r="G606" i="1" s="1"/>
  <c r="U449" i="26"/>
  <c r="G449" i="1" s="1"/>
  <c r="U311" i="26"/>
  <c r="G311" i="1" s="1"/>
  <c r="U37" i="26"/>
  <c r="G37" i="1" s="1"/>
  <c r="U20" i="26"/>
  <c r="G20" i="1" s="1"/>
  <c r="U33" i="26"/>
  <c r="G33" i="1" s="1"/>
  <c r="U1206" i="26"/>
  <c r="G1206" i="1" s="1"/>
  <c r="U1033" i="26"/>
  <c r="G1033" i="1" s="1"/>
  <c r="U845" i="26"/>
  <c r="G845" i="1" s="1"/>
  <c r="U671" i="26"/>
  <c r="G671" i="1" s="1"/>
  <c r="U1142" i="26"/>
  <c r="G1142" i="1" s="1"/>
  <c r="U1106" i="26"/>
  <c r="G1106" i="1" s="1"/>
  <c r="U866" i="26"/>
  <c r="G866" i="1" s="1"/>
  <c r="U172" i="26"/>
  <c r="G172" i="1" s="1"/>
  <c r="U1337" i="26"/>
  <c r="G1337" i="1" s="1"/>
  <c r="U633" i="26"/>
  <c r="G633" i="1" s="1"/>
  <c r="U1159" i="26"/>
  <c r="G1159" i="1" s="1"/>
  <c r="U1123" i="26"/>
  <c r="G1123" i="1" s="1"/>
  <c r="U1088" i="26"/>
  <c r="G1088" i="1" s="1"/>
  <c r="U984" i="26"/>
  <c r="G984" i="1" s="1"/>
  <c r="U780" i="26"/>
  <c r="G780" i="1" s="1"/>
  <c r="U695" i="26"/>
  <c r="G695" i="1" s="1"/>
  <c r="U124" i="26"/>
  <c r="G124" i="1" s="1"/>
  <c r="U1243" i="26"/>
  <c r="G1243" i="1" s="1"/>
  <c r="U967" i="26"/>
  <c r="G967" i="1" s="1"/>
  <c r="U574" i="26"/>
  <c r="G574" i="1" s="1"/>
  <c r="U519" i="26"/>
  <c r="G519" i="1" s="1"/>
  <c r="U483" i="26"/>
  <c r="G483" i="1" s="1"/>
  <c r="U431" i="26"/>
  <c r="G431" i="1" s="1"/>
  <c r="U1246" i="26"/>
  <c r="G1246" i="1" s="1"/>
  <c r="U971" i="26"/>
  <c r="G971" i="1" s="1"/>
  <c r="U595" i="26"/>
  <c r="G595" i="1" s="1"/>
  <c r="U557" i="26"/>
  <c r="G557" i="1" s="1"/>
  <c r="U507" i="26"/>
  <c r="G507" i="1" s="1"/>
  <c r="U472" i="26"/>
  <c r="G472" i="1" s="1"/>
  <c r="U436" i="26"/>
  <c r="G436" i="1" s="1"/>
  <c r="U401" i="26"/>
  <c r="G401" i="1" s="1"/>
  <c r="U333" i="26"/>
  <c r="G333" i="1" s="1"/>
  <c r="U109" i="26"/>
  <c r="G109" i="1" s="1"/>
  <c r="U77" i="26"/>
  <c r="G77" i="1" s="1"/>
  <c r="U1212" i="26"/>
  <c r="G1212" i="1" s="1"/>
  <c r="U1177" i="26"/>
  <c r="G1177" i="1" s="1"/>
  <c r="U1055" i="26"/>
  <c r="G1055" i="1" s="1"/>
  <c r="U1019" i="26"/>
  <c r="G1019" i="1" s="1"/>
  <c r="U983" i="26"/>
  <c r="G983" i="1" s="1"/>
  <c r="U936" i="26"/>
  <c r="G936" i="1" s="1"/>
  <c r="U815" i="26"/>
  <c r="G815" i="1" s="1"/>
  <c r="U779" i="26"/>
  <c r="G779" i="1" s="1"/>
  <c r="U744" i="26"/>
  <c r="G744" i="1" s="1"/>
  <c r="U315" i="26"/>
  <c r="G315" i="1" s="1"/>
  <c r="U1368" i="26"/>
  <c r="G1368" i="1" s="1"/>
  <c r="U1281" i="26"/>
  <c r="G1281" i="1" s="1"/>
  <c r="U489" i="26"/>
  <c r="G489" i="1" s="1"/>
  <c r="U403" i="26"/>
  <c r="G403" i="1" s="1"/>
  <c r="U1037" i="26"/>
  <c r="G1037" i="1" s="1"/>
  <c r="U1001" i="26"/>
  <c r="G1001" i="1" s="1"/>
  <c r="U868" i="26"/>
  <c r="G868" i="1" s="1"/>
  <c r="U797" i="26"/>
  <c r="G797" i="1" s="1"/>
  <c r="U676" i="26"/>
  <c r="G676" i="1" s="1"/>
  <c r="U1108" i="26"/>
  <c r="G1108" i="1" s="1"/>
  <c r="U1107" i="26"/>
  <c r="G1107" i="1" s="1"/>
  <c r="U1264" i="26"/>
  <c r="G1264" i="1" s="1"/>
  <c r="U627" i="26"/>
  <c r="G627" i="1" s="1"/>
  <c r="U592" i="26"/>
  <c r="G592" i="1" s="1"/>
  <c r="U419" i="26"/>
  <c r="G419" i="1" s="1"/>
  <c r="U351" i="26"/>
  <c r="G351" i="1" s="1"/>
  <c r="U316" i="26"/>
  <c r="G316" i="1" s="1"/>
  <c r="U1124" i="26"/>
  <c r="G1124" i="1" s="1"/>
  <c r="U985" i="26"/>
  <c r="G985" i="1" s="1"/>
  <c r="U781" i="26"/>
  <c r="G781" i="1" s="1"/>
  <c r="U745" i="26"/>
  <c r="G745" i="1" s="1"/>
  <c r="U710" i="26"/>
  <c r="G710" i="1" s="1"/>
  <c r="U227" i="26"/>
  <c r="G227" i="1" s="1"/>
  <c r="U192" i="26"/>
  <c r="G192" i="1" s="1"/>
  <c r="U125" i="26"/>
  <c r="G125" i="1" s="1"/>
  <c r="U1347" i="26"/>
  <c r="G1347" i="1" s="1"/>
  <c r="U396" i="26"/>
  <c r="G396" i="1" s="1"/>
  <c r="U330" i="26"/>
  <c r="G330" i="1" s="1"/>
  <c r="U73" i="26"/>
  <c r="G73" i="1" s="1"/>
  <c r="U1188" i="26"/>
  <c r="G1188" i="1" s="1"/>
  <c r="U1153" i="26"/>
  <c r="G1153" i="1" s="1"/>
  <c r="U1103" i="26"/>
  <c r="G1103" i="1" s="1"/>
  <c r="U1069" i="26"/>
  <c r="G1069" i="1" s="1"/>
  <c r="U998" i="26"/>
  <c r="G998" i="1" s="1"/>
  <c r="U951" i="26"/>
  <c r="G951" i="1" s="1"/>
  <c r="U916" i="26"/>
  <c r="G916" i="1" s="1"/>
  <c r="U880" i="26"/>
  <c r="G880" i="1" s="1"/>
  <c r="U810" i="26"/>
  <c r="G810" i="1" s="1"/>
  <c r="U795" i="26"/>
  <c r="G795" i="1" s="1"/>
  <c r="U760" i="26"/>
  <c r="G760" i="1" s="1"/>
  <c r="U722" i="26"/>
  <c r="G722" i="1" s="1"/>
  <c r="U689" i="26"/>
  <c r="G689" i="1" s="1"/>
  <c r="U277" i="26"/>
  <c r="G277" i="1" s="1"/>
  <c r="U223" i="26"/>
  <c r="G223" i="1" s="1"/>
  <c r="U1375" i="26"/>
  <c r="G1375" i="1" s="1"/>
  <c r="U1357" i="26"/>
  <c r="G1357" i="1" s="1"/>
  <c r="U979" i="26"/>
  <c r="G979" i="1" s="1"/>
  <c r="U585" i="26"/>
  <c r="G585" i="1" s="1"/>
  <c r="U549" i="26"/>
  <c r="G549" i="1" s="1"/>
  <c r="U514" i="26"/>
  <c r="G514" i="1" s="1"/>
  <c r="U446" i="26"/>
  <c r="G446" i="1" s="1"/>
  <c r="U410" i="26"/>
  <c r="G410" i="1" s="1"/>
  <c r="U324" i="26"/>
  <c r="G324" i="1" s="1"/>
  <c r="U85" i="26"/>
  <c r="G85" i="1" s="1"/>
  <c r="U1221" i="26"/>
  <c r="G1221" i="1" s="1"/>
  <c r="U1184" i="26"/>
  <c r="G1184" i="1" s="1"/>
  <c r="U1149" i="26"/>
  <c r="G1149" i="1" s="1"/>
  <c r="U1029" i="26"/>
  <c r="G1029" i="1" s="1"/>
  <c r="U993" i="26"/>
  <c r="G993" i="1" s="1"/>
  <c r="U944" i="26"/>
  <c r="G944" i="1" s="1"/>
  <c r="U859" i="26"/>
  <c r="G859" i="1" s="1"/>
  <c r="U823" i="26"/>
  <c r="G823" i="1" s="1"/>
  <c r="U788" i="26"/>
  <c r="G788" i="1" s="1"/>
  <c r="U754" i="26"/>
  <c r="G754" i="1" s="1"/>
  <c r="U718" i="26"/>
  <c r="G718" i="1" s="1"/>
  <c r="U271" i="26"/>
  <c r="G271" i="1" s="1"/>
  <c r="U166" i="26"/>
  <c r="G166" i="1" s="1"/>
  <c r="U25" i="26"/>
  <c r="G25" i="1" s="1"/>
  <c r="U1371" i="26"/>
  <c r="G1371" i="1" s="1"/>
  <c r="U1335" i="26"/>
  <c r="G1335" i="1" s="1"/>
  <c r="U1318" i="26"/>
  <c r="G1318" i="1" s="1"/>
  <c r="U1286" i="26"/>
  <c r="G1286" i="1" s="1"/>
  <c r="U1251" i="26"/>
  <c r="G1251" i="1" s="1"/>
  <c r="U616" i="26"/>
  <c r="G616" i="1" s="1"/>
  <c r="U580" i="26"/>
  <c r="G580" i="1" s="1"/>
  <c r="U545" i="26"/>
  <c r="G545" i="1" s="1"/>
  <c r="U510" i="26"/>
  <c r="G510" i="1" s="1"/>
  <c r="U496" i="26"/>
  <c r="G496" i="1" s="1"/>
  <c r="U461" i="26"/>
  <c r="G461" i="1" s="1"/>
  <c r="U426" i="26"/>
  <c r="G426" i="1" s="1"/>
  <c r="U390" i="26"/>
  <c r="G390" i="1" s="1"/>
  <c r="U372" i="26"/>
  <c r="G372" i="1" s="1"/>
  <c r="U336" i="26"/>
  <c r="G336" i="1" s="1"/>
  <c r="U301" i="26"/>
  <c r="G301" i="1" s="1"/>
  <c r="U97" i="26"/>
  <c r="G97" i="1" s="1"/>
  <c r="U62" i="26"/>
  <c r="G62" i="1" s="1"/>
  <c r="U47" i="26"/>
  <c r="G47" i="1" s="1"/>
  <c r="U1234" i="26"/>
  <c r="G1234" i="1" s="1"/>
  <c r="U1197" i="26"/>
  <c r="G1197" i="1" s="1"/>
  <c r="U1162" i="26"/>
  <c r="G1162" i="1" s="1"/>
  <c r="U1147" i="26"/>
  <c r="G1147" i="1" s="1"/>
  <c r="U1111" i="26"/>
  <c r="G1111" i="1" s="1"/>
  <c r="U1075" i="26"/>
  <c r="G1075" i="1" s="1"/>
  <c r="U1040" i="26"/>
  <c r="G1040" i="1" s="1"/>
  <c r="U1005" i="26"/>
  <c r="G1005" i="1" s="1"/>
  <c r="U958" i="26"/>
  <c r="G958" i="1" s="1"/>
  <c r="U943" i="26"/>
  <c r="G943" i="1" s="1"/>
  <c r="U874" i="26"/>
  <c r="G874" i="1" s="1"/>
  <c r="U855" i="26"/>
  <c r="G855" i="1" s="1"/>
  <c r="U820" i="26"/>
  <c r="G820" i="1" s="1"/>
  <c r="U784" i="26"/>
  <c r="G784" i="1" s="1"/>
  <c r="U749" i="26"/>
  <c r="G749" i="1" s="1"/>
  <c r="U731" i="26"/>
  <c r="G731" i="1" s="1"/>
  <c r="U699" i="26"/>
  <c r="G699" i="1" s="1"/>
  <c r="U663" i="26"/>
  <c r="G663" i="1" s="1"/>
  <c r="U269" i="26"/>
  <c r="G269" i="1" s="1"/>
  <c r="U233" i="26"/>
  <c r="G233" i="1" s="1"/>
  <c r="U198" i="26"/>
  <c r="G198" i="1" s="1"/>
  <c r="U183" i="26"/>
  <c r="G183" i="1" s="1"/>
  <c r="U146" i="26"/>
  <c r="G146" i="1" s="1"/>
  <c r="U41" i="26"/>
  <c r="G41" i="1" s="1"/>
  <c r="U657" i="26"/>
  <c r="G657" i="1" s="1"/>
  <c r="U280" i="26"/>
  <c r="G280" i="1" s="1"/>
  <c r="U176" i="26"/>
  <c r="G176" i="1" s="1"/>
  <c r="U157" i="26"/>
  <c r="G157" i="1" s="1"/>
  <c r="U123" i="26"/>
  <c r="G123" i="1" s="1"/>
  <c r="U1345" i="26"/>
  <c r="G1345" i="1" s="1"/>
  <c r="U1276" i="26"/>
  <c r="G1276" i="1" s="1"/>
  <c r="U1242" i="26"/>
  <c r="G1242" i="1" s="1"/>
  <c r="U605" i="26"/>
  <c r="G605" i="1" s="1"/>
  <c r="U570" i="26"/>
  <c r="G570" i="1" s="1"/>
  <c r="U538" i="26"/>
  <c r="G538" i="1" s="1"/>
  <c r="U502" i="26"/>
  <c r="G502" i="1" s="1"/>
  <c r="U487" i="26"/>
  <c r="G487" i="1" s="1"/>
  <c r="U452" i="26"/>
  <c r="G452" i="1" s="1"/>
  <c r="U414" i="26"/>
  <c r="G414" i="1" s="1"/>
  <c r="U329" i="26"/>
  <c r="G329" i="1" s="1"/>
  <c r="U90" i="26"/>
  <c r="G90" i="1" s="1"/>
  <c r="U72" i="26"/>
  <c r="G72" i="1" s="1"/>
  <c r="U36" i="26"/>
  <c r="G36" i="1" s="1"/>
  <c r="U19" i="26"/>
  <c r="G19" i="1" s="1"/>
  <c r="U32" i="26"/>
  <c r="G32" i="1" s="1"/>
  <c r="U1205" i="26"/>
  <c r="G1205" i="1" s="1"/>
  <c r="U1191" i="26"/>
  <c r="G1191" i="1" s="1"/>
  <c r="U1156" i="26"/>
  <c r="G1156" i="1" s="1"/>
  <c r="U1121" i="26"/>
  <c r="G1121" i="1" s="1"/>
  <c r="U1086" i="26"/>
  <c r="G1086" i="1" s="1"/>
  <c r="U1068" i="26"/>
  <c r="G1068" i="1" s="1"/>
  <c r="U1032" i="26"/>
  <c r="G1032" i="1" s="1"/>
  <c r="U997" i="26"/>
  <c r="G997" i="1" s="1"/>
  <c r="U915" i="26"/>
  <c r="G915" i="1" s="1"/>
  <c r="U879" i="26"/>
  <c r="G879" i="1" s="1"/>
  <c r="U844" i="26"/>
  <c r="G844" i="1" s="1"/>
  <c r="U759" i="26"/>
  <c r="G759" i="1" s="1"/>
  <c r="U725" i="26"/>
  <c r="G725" i="1" s="1"/>
  <c r="U688" i="26"/>
  <c r="G688" i="1" s="1"/>
  <c r="U639" i="26"/>
  <c r="G639" i="1" s="1"/>
  <c r="U276" i="26"/>
  <c r="G276" i="1" s="1"/>
  <c r="U242" i="26"/>
  <c r="G242" i="1" s="1"/>
  <c r="U206" i="26"/>
  <c r="G206" i="1" s="1"/>
  <c r="U153" i="26"/>
  <c r="G153" i="1" s="1"/>
  <c r="U1325" i="26"/>
  <c r="G1325" i="1" s="1"/>
  <c r="U1290" i="26"/>
  <c r="G1290" i="1" s="1"/>
  <c r="U1254" i="26"/>
  <c r="G1254" i="1" s="1"/>
  <c r="U962" i="26"/>
  <c r="G962" i="1" s="1"/>
  <c r="U620" i="26"/>
  <c r="G620" i="1" s="1"/>
  <c r="U584" i="26"/>
  <c r="G584" i="1" s="1"/>
  <c r="U552" i="26"/>
  <c r="G552" i="1" s="1"/>
  <c r="U517" i="26"/>
  <c r="G517" i="1" s="1"/>
  <c r="U481" i="26"/>
  <c r="G481" i="1" s="1"/>
  <c r="U445" i="26"/>
  <c r="G445" i="1" s="1"/>
  <c r="U378" i="26"/>
  <c r="G378" i="1" s="1"/>
  <c r="U359" i="26"/>
  <c r="G359" i="1" s="1"/>
  <c r="U323" i="26"/>
  <c r="G323" i="1" s="1"/>
  <c r="U120" i="26"/>
  <c r="G120" i="1" s="1"/>
  <c r="U84" i="26"/>
  <c r="G84" i="1" s="1"/>
  <c r="U1239" i="26"/>
  <c r="G1239" i="1" s="1"/>
  <c r="U1220" i="26"/>
  <c r="G1220" i="1" s="1"/>
  <c r="U1183" i="26"/>
  <c r="G1183" i="1" s="1"/>
  <c r="U1152" i="26"/>
  <c r="G1152" i="1" s="1"/>
  <c r="U1114" i="26"/>
  <c r="G1114" i="1" s="1"/>
  <c r="U1099" i="26"/>
  <c r="G1099" i="1" s="1"/>
  <c r="U1063" i="26"/>
  <c r="G1063" i="1" s="1"/>
  <c r="U1028" i="26"/>
  <c r="G1028" i="1" s="1"/>
  <c r="U992" i="26"/>
  <c r="G992" i="1" s="1"/>
  <c r="U947" i="26"/>
  <c r="G947" i="1" s="1"/>
  <c r="U911" i="26"/>
  <c r="G911" i="1" s="1"/>
  <c r="U806" i="26"/>
  <c r="G806" i="1" s="1"/>
  <c r="U791" i="26"/>
  <c r="G791" i="1" s="1"/>
  <c r="U753" i="26"/>
  <c r="G753" i="1" s="1"/>
  <c r="U721" i="26"/>
  <c r="G721" i="1" s="1"/>
  <c r="U667" i="26"/>
  <c r="G667" i="1" s="1"/>
  <c r="U289" i="26"/>
  <c r="G289" i="1" s="1"/>
  <c r="U254" i="26"/>
  <c r="G254" i="1" s="1"/>
  <c r="U222" i="26"/>
  <c r="G222" i="1" s="1"/>
  <c r="U203" i="26"/>
  <c r="G203" i="1" s="1"/>
  <c r="U169" i="26"/>
  <c r="G169" i="1" s="1"/>
  <c r="U132" i="26"/>
  <c r="G132" i="1" s="1"/>
  <c r="U905" i="26"/>
  <c r="G905" i="1" s="1"/>
  <c r="U870" i="26"/>
  <c r="G870" i="1" s="1"/>
  <c r="U141" i="26"/>
  <c r="G141" i="1" s="1"/>
  <c r="U1363" i="26"/>
  <c r="G1363" i="1" s="1"/>
  <c r="U137" i="26"/>
  <c r="G137" i="1" s="1"/>
  <c r="U897" i="26"/>
  <c r="G897" i="1" s="1"/>
  <c r="U741" i="26"/>
  <c r="G741" i="1" s="1"/>
  <c r="U654" i="26"/>
  <c r="G654" i="1" s="1"/>
  <c r="U341" i="26"/>
  <c r="G341" i="1" s="1"/>
  <c r="U305" i="26"/>
  <c r="G305" i="1" s="1"/>
  <c r="U1201" i="26"/>
  <c r="G1201" i="1" s="1"/>
  <c r="U650" i="26"/>
  <c r="G650" i="1" s="1"/>
  <c r="U185" i="26"/>
  <c r="G185" i="1" s="1"/>
  <c r="U677" i="26"/>
  <c r="G677" i="1" s="1"/>
  <c r="U1305" i="26"/>
  <c r="G1305" i="1" s="1"/>
  <c r="U631" i="26"/>
  <c r="G631" i="1" s="1"/>
  <c r="U475" i="26"/>
  <c r="G475" i="1" s="1"/>
  <c r="U405" i="26"/>
  <c r="G405" i="1" s="1"/>
  <c r="U320" i="26"/>
  <c r="G320" i="1" s="1"/>
  <c r="U1180" i="26"/>
  <c r="G1180" i="1" s="1"/>
  <c r="U989" i="26"/>
  <c r="G989" i="1" s="1"/>
  <c r="U924" i="26"/>
  <c r="G924" i="1" s="1"/>
  <c r="U889" i="26"/>
  <c r="G889" i="1" s="1"/>
  <c r="U733" i="26"/>
  <c r="G733" i="1" s="1"/>
  <c r="U128" i="26"/>
  <c r="G128" i="1" s="1"/>
  <c r="U1261" i="26"/>
  <c r="G1261" i="1" s="1"/>
  <c r="U623" i="26"/>
  <c r="G623" i="1" s="1"/>
  <c r="U484" i="26"/>
  <c r="G484" i="1" s="1"/>
  <c r="U347" i="26"/>
  <c r="G347" i="1" s="1"/>
  <c r="U312" i="26"/>
  <c r="G312" i="1" s="1"/>
  <c r="U38" i="26"/>
  <c r="G38" i="1" s="1"/>
  <c r="U1224" i="26"/>
  <c r="G1224" i="1" s="1"/>
  <c r="U1118" i="26"/>
  <c r="G1118" i="1" s="1"/>
  <c r="U1034" i="26"/>
  <c r="G1034" i="1" s="1"/>
  <c r="U1015" i="26"/>
  <c r="G1015" i="1" s="1"/>
  <c r="U846" i="26"/>
  <c r="G846" i="1" s="1"/>
  <c r="U827" i="26"/>
  <c r="G827" i="1" s="1"/>
  <c r="U761" i="26"/>
  <c r="G761" i="1" s="1"/>
  <c r="U673" i="26"/>
  <c r="G673" i="1" s="1"/>
  <c r="U259" i="26"/>
  <c r="G259" i="1" s="1"/>
  <c r="U224" i="26"/>
  <c r="G224" i="1" s="1"/>
  <c r="U188" i="26"/>
  <c r="G188" i="1" s="1"/>
  <c r="U51" i="26"/>
  <c r="G51" i="1" s="1"/>
  <c r="U1272" i="26"/>
  <c r="G1272" i="1" s="1"/>
  <c r="U980" i="26"/>
  <c r="G980" i="1" s="1"/>
  <c r="U499" i="26"/>
  <c r="G499" i="1" s="1"/>
  <c r="U463" i="26"/>
  <c r="G463" i="1" s="1"/>
  <c r="U427" i="26"/>
  <c r="G427" i="1" s="1"/>
  <c r="U392" i="26"/>
  <c r="G392" i="1" s="1"/>
  <c r="U67" i="26"/>
  <c r="G67" i="1" s="1"/>
  <c r="U1185" i="26"/>
  <c r="G1185" i="1" s="1"/>
  <c r="U1096" i="26"/>
  <c r="G1096" i="1" s="1"/>
  <c r="U994" i="26"/>
  <c r="G994" i="1" s="1"/>
  <c r="U824" i="26"/>
  <c r="G824" i="1" s="1"/>
  <c r="U771" i="26"/>
  <c r="G771" i="1" s="1"/>
  <c r="U272" i="26"/>
  <c r="G272" i="1" s="1"/>
  <c r="U236" i="26"/>
  <c r="G236" i="1" s="1"/>
  <c r="U1283" i="26"/>
  <c r="G1283" i="1" s="1"/>
  <c r="U975" i="26"/>
  <c r="G975" i="1" s="1"/>
  <c r="U581" i="26"/>
  <c r="G581" i="1" s="1"/>
  <c r="U546" i="26"/>
  <c r="G546" i="1" s="1"/>
  <c r="U527" i="26"/>
  <c r="G527" i="1" s="1"/>
  <c r="U492" i="26"/>
  <c r="G492" i="1" s="1"/>
  <c r="U458" i="26"/>
  <c r="G458" i="1" s="1"/>
  <c r="U1313" i="26"/>
  <c r="G1313" i="1" s="1"/>
  <c r="U1349" i="26"/>
  <c r="G1349" i="1" s="1"/>
  <c r="U1317" i="26"/>
  <c r="G1317" i="1" s="1"/>
  <c r="U1245" i="26"/>
  <c r="G1245" i="1" s="1"/>
  <c r="U609" i="26"/>
  <c r="G609" i="1" s="1"/>
  <c r="U560" i="26"/>
  <c r="G560" i="1" s="1"/>
  <c r="U525" i="26"/>
  <c r="G525" i="1" s="1"/>
  <c r="U490" i="26"/>
  <c r="G490" i="1" s="1"/>
  <c r="U471" i="26"/>
  <c r="G471" i="1" s="1"/>
  <c r="U368" i="26"/>
  <c r="G368" i="1" s="1"/>
  <c r="U332" i="26"/>
  <c r="G332" i="1" s="1"/>
  <c r="U297" i="26"/>
  <c r="G297" i="1" s="1"/>
  <c r="U112" i="26"/>
  <c r="G112" i="1" s="1"/>
  <c r="U76" i="26"/>
  <c r="G76" i="1" s="1"/>
  <c r="U1211" i="26"/>
  <c r="G1211" i="1" s="1"/>
  <c r="U1176" i="26"/>
  <c r="G1176" i="1" s="1"/>
  <c r="U1141" i="26"/>
  <c r="G1141" i="1" s="1"/>
  <c r="U1109" i="26"/>
  <c r="G1109" i="1" s="1"/>
  <c r="U1074" i="26"/>
  <c r="G1074" i="1" s="1"/>
  <c r="U1038" i="26"/>
  <c r="G1038" i="1" s="1"/>
  <c r="U1002" i="26"/>
  <c r="G1002" i="1" s="1"/>
  <c r="U903" i="26"/>
  <c r="G903" i="1" s="1"/>
  <c r="U833" i="26"/>
  <c r="G833" i="1" s="1"/>
  <c r="U798" i="26"/>
  <c r="G798" i="1" s="1"/>
  <c r="U762" i="26"/>
  <c r="G762" i="1" s="1"/>
  <c r="U747" i="26"/>
  <c r="G747" i="1" s="1"/>
  <c r="U712" i="26"/>
  <c r="G712" i="1" s="1"/>
  <c r="U659" i="26"/>
  <c r="G659" i="1" s="1"/>
  <c r="U279" i="26"/>
  <c r="G279" i="1" s="1"/>
  <c r="U244" i="26"/>
  <c r="G244" i="1" s="1"/>
  <c r="U209" i="26"/>
  <c r="G209" i="1" s="1"/>
  <c r="U175" i="26"/>
  <c r="G175" i="1" s="1"/>
  <c r="U142" i="26"/>
  <c r="G142" i="1" s="1"/>
  <c r="U1364" i="26"/>
  <c r="G1364" i="1" s="1"/>
  <c r="U1348" i="26"/>
  <c r="G1348" i="1" s="1"/>
  <c r="U1312" i="26"/>
  <c r="G1312" i="1" s="1"/>
  <c r="U1277" i="26"/>
  <c r="G1277" i="1" s="1"/>
  <c r="U1241" i="26"/>
  <c r="G1241" i="1" s="1"/>
  <c r="U608" i="26"/>
  <c r="G608" i="1" s="1"/>
  <c r="U573" i="26"/>
  <c r="G573" i="1" s="1"/>
  <c r="U537" i="26"/>
  <c r="G537" i="1" s="1"/>
  <c r="U501" i="26"/>
  <c r="G501" i="1" s="1"/>
  <c r="U466" i="26"/>
  <c r="G466" i="1" s="1"/>
  <c r="U448" i="26"/>
  <c r="G448" i="1" s="1"/>
  <c r="U417" i="26"/>
  <c r="G417" i="1" s="1"/>
  <c r="U382" i="26"/>
  <c r="G382" i="1" s="1"/>
  <c r="U363" i="26"/>
  <c r="G363" i="1" s="1"/>
  <c r="U328" i="26"/>
  <c r="G328" i="1" s="1"/>
  <c r="U89" i="26"/>
  <c r="G89" i="1" s="1"/>
  <c r="U71" i="26"/>
  <c r="G71" i="1" s="1"/>
  <c r="U39" i="26"/>
  <c r="G39" i="1" s="1"/>
  <c r="U138" i="26"/>
  <c r="G138" i="1" s="1"/>
  <c r="U31" i="26"/>
  <c r="G31" i="1" s="1"/>
  <c r="U1209" i="26"/>
  <c r="G1209" i="1" s="1"/>
  <c r="U1170" i="26"/>
  <c r="G1170" i="1" s="1"/>
  <c r="U1155" i="26"/>
  <c r="G1155" i="1" s="1"/>
  <c r="U1120" i="26"/>
  <c r="G1120" i="1" s="1"/>
  <c r="U1085" i="26"/>
  <c r="G1085" i="1" s="1"/>
  <c r="U1067" i="26"/>
  <c r="G1067" i="1" s="1"/>
  <c r="U1031" i="26"/>
  <c r="G1031" i="1" s="1"/>
  <c r="U1000" i="26"/>
  <c r="G1000" i="1" s="1"/>
  <c r="U933" i="26"/>
  <c r="G933" i="1" s="1"/>
  <c r="U898" i="26"/>
  <c r="G898" i="1" s="1"/>
  <c r="U848" i="26"/>
  <c r="G848" i="1" s="1"/>
  <c r="U812" i="26"/>
  <c r="G812" i="1" s="1"/>
  <c r="U777" i="26"/>
  <c r="G777" i="1" s="1"/>
  <c r="U742" i="26"/>
  <c r="G742" i="1" s="1"/>
  <c r="U724" i="26"/>
  <c r="G724" i="1" s="1"/>
  <c r="U690" i="26"/>
  <c r="G690" i="1" s="1"/>
  <c r="U656" i="26"/>
  <c r="G656" i="1" s="1"/>
  <c r="U275" i="26"/>
  <c r="G275" i="1" s="1"/>
  <c r="U241" i="26"/>
  <c r="G241" i="1" s="1"/>
  <c r="U205" i="26"/>
  <c r="G205" i="1" s="1"/>
  <c r="U171" i="26"/>
  <c r="G171" i="1" s="1"/>
  <c r="U1376" i="26"/>
  <c r="G1376" i="1" s="1"/>
  <c r="U1340" i="26"/>
  <c r="G1340" i="1" s="1"/>
  <c r="U1307" i="26"/>
  <c r="G1307" i="1" s="1"/>
  <c r="U1289" i="26"/>
  <c r="G1289" i="1" s="1"/>
  <c r="U1253" i="26"/>
  <c r="G1253" i="1" s="1"/>
  <c r="U965" i="26"/>
  <c r="G965" i="1" s="1"/>
  <c r="U619" i="26"/>
  <c r="G619" i="1" s="1"/>
  <c r="U587" i="26"/>
  <c r="G587" i="1" s="1"/>
  <c r="U551" i="26"/>
  <c r="G551" i="1" s="1"/>
  <c r="U516" i="26"/>
  <c r="G516" i="1" s="1"/>
  <c r="U480" i="26"/>
  <c r="G480" i="1" s="1"/>
  <c r="U444" i="26"/>
  <c r="G444" i="1" s="1"/>
  <c r="U409" i="26"/>
  <c r="G409" i="1" s="1"/>
  <c r="U377" i="26"/>
  <c r="G377" i="1" s="1"/>
  <c r="U342" i="26"/>
  <c r="G342" i="1" s="1"/>
  <c r="U306" i="26"/>
  <c r="G306" i="1" s="1"/>
  <c r="U119" i="26"/>
  <c r="G119" i="1" s="1"/>
  <c r="U87" i="26"/>
  <c r="G87" i="1" s="1"/>
  <c r="U1238" i="26"/>
  <c r="G1238" i="1" s="1"/>
  <c r="U1202" i="26"/>
  <c r="G1202" i="1" s="1"/>
  <c r="U1187" i="26"/>
  <c r="G1187" i="1" s="1"/>
  <c r="U1151" i="26"/>
  <c r="G1151" i="1" s="1"/>
  <c r="U1117" i="26"/>
  <c r="G1117" i="1" s="1"/>
  <c r="U1082" i="26"/>
  <c r="G1082" i="1" s="1"/>
  <c r="U1046" i="26"/>
  <c r="G1046" i="1" s="1"/>
  <c r="U1027" i="26"/>
  <c r="G1027" i="1" s="1"/>
  <c r="U996" i="26"/>
  <c r="G996" i="1" s="1"/>
  <c r="U930" i="26"/>
  <c r="G930" i="1" s="1"/>
  <c r="U894" i="26"/>
  <c r="G894" i="1" s="1"/>
  <c r="U876" i="26"/>
  <c r="G876" i="1" s="1"/>
  <c r="U841" i="26"/>
  <c r="G841" i="1" s="1"/>
  <c r="U805" i="26"/>
  <c r="G805" i="1" s="1"/>
  <c r="U756" i="26"/>
  <c r="G756" i="1" s="1"/>
  <c r="U720" i="26"/>
  <c r="G720" i="1" s="1"/>
  <c r="U685" i="26"/>
  <c r="G685" i="1" s="1"/>
  <c r="U652" i="26"/>
  <c r="G652" i="1" s="1"/>
  <c r="U288" i="26"/>
  <c r="G288" i="1" s="1"/>
  <c r="U253" i="26"/>
  <c r="G253" i="1" s="1"/>
  <c r="U218" i="26"/>
  <c r="G218" i="1" s="1"/>
  <c r="U186" i="26"/>
  <c r="G186" i="1" s="1"/>
  <c r="U131" i="26"/>
  <c r="G131" i="1" s="1"/>
  <c r="U24" i="26"/>
  <c r="G24" i="1" s="1"/>
  <c r="U1372" i="26"/>
  <c r="G1372" i="1" s="1"/>
  <c r="U1338" i="26"/>
  <c r="G1338" i="1" s="1"/>
  <c r="U1321" i="26"/>
  <c r="G1321" i="1" s="1"/>
  <c r="U1285" i="26"/>
  <c r="G1285" i="1" s="1"/>
  <c r="U1250" i="26"/>
  <c r="G1250" i="1" s="1"/>
  <c r="U634" i="26"/>
  <c r="G634" i="1" s="1"/>
  <c r="U615" i="26"/>
  <c r="G615" i="1" s="1"/>
  <c r="U579" i="26"/>
  <c r="G579" i="1" s="1"/>
  <c r="U544" i="26"/>
  <c r="G544" i="1" s="1"/>
  <c r="U513" i="26"/>
  <c r="G513" i="1" s="1"/>
  <c r="U495" i="26"/>
  <c r="G495" i="1" s="1"/>
  <c r="U457" i="26"/>
  <c r="G457" i="1" s="1"/>
  <c r="U425" i="26"/>
  <c r="G425" i="1" s="1"/>
  <c r="U389" i="26"/>
  <c r="G389" i="1" s="1"/>
  <c r="U371" i="26"/>
  <c r="G371" i="1" s="1"/>
  <c r="U339" i="26"/>
  <c r="G339" i="1" s="1"/>
  <c r="U304" i="26"/>
  <c r="G304" i="1" s="1"/>
  <c r="U100" i="26"/>
  <c r="G100" i="1" s="1"/>
  <c r="U65" i="26"/>
  <c r="G65" i="1" s="1"/>
  <c r="U30" i="26"/>
  <c r="G30" i="1" s="1"/>
  <c r="U1233" i="26"/>
  <c r="G1233" i="1" s="1"/>
  <c r="U1200" i="26"/>
  <c r="G1200" i="1" s="1"/>
  <c r="U1165" i="26"/>
  <c r="G1165" i="1" s="1"/>
  <c r="U1130" i="26"/>
  <c r="G1130" i="1" s="1"/>
  <c r="U1094" i="26"/>
  <c r="G1094" i="1" s="1"/>
  <c r="U1058" i="26"/>
  <c r="G1058" i="1" s="1"/>
  <c r="U1043" i="26"/>
  <c r="G1043" i="1" s="1"/>
  <c r="U1009" i="26"/>
  <c r="G1009" i="1" s="1"/>
  <c r="U957" i="26"/>
  <c r="G957" i="1" s="1"/>
  <c r="U838" i="26"/>
  <c r="G838" i="1" s="1"/>
  <c r="U819" i="26"/>
  <c r="G819" i="1" s="1"/>
  <c r="U783" i="26"/>
  <c r="G783" i="1" s="1"/>
  <c r="U752" i="26"/>
  <c r="G752" i="1" s="1"/>
  <c r="U714" i="26"/>
  <c r="G714" i="1" s="1"/>
  <c r="U682" i="26"/>
  <c r="G682" i="1" s="1"/>
  <c r="U646" i="26"/>
  <c r="G646" i="1" s="1"/>
  <c r="U268" i="26"/>
  <c r="G268" i="1" s="1"/>
  <c r="U232" i="26"/>
  <c r="G232" i="1" s="1"/>
  <c r="U197" i="26"/>
  <c r="G197" i="1" s="1"/>
  <c r="U181" i="26"/>
  <c r="G181" i="1" s="1"/>
  <c r="U145" i="26"/>
  <c r="G145" i="1" s="1"/>
  <c r="U40" i="26"/>
  <c r="G40" i="1" s="1"/>
  <c r="U1314" i="26"/>
  <c r="G1314" i="1" s="1"/>
  <c r="U934" i="26"/>
  <c r="G934" i="1" s="1"/>
  <c r="U813" i="26"/>
  <c r="G813" i="1" s="1"/>
  <c r="U842" i="26"/>
  <c r="G842" i="1" s="1"/>
  <c r="AD42" i="25"/>
  <c r="U1331" i="26"/>
  <c r="G1331" i="1" s="1"/>
  <c r="U1296" i="26"/>
  <c r="G1296" i="1" s="1"/>
  <c r="U612" i="26"/>
  <c r="G612" i="1" s="1"/>
  <c r="U578" i="26"/>
  <c r="G578" i="1" s="1"/>
  <c r="U559" i="26"/>
  <c r="G559" i="1" s="1"/>
  <c r="U524" i="26"/>
  <c r="G524" i="1" s="1"/>
  <c r="U454" i="26"/>
  <c r="G454" i="1" s="1"/>
  <c r="U418" i="26"/>
  <c r="G418" i="1" s="1"/>
  <c r="U367" i="26"/>
  <c r="G367" i="1" s="1"/>
  <c r="U331" i="26"/>
  <c r="G331" i="1" s="1"/>
  <c r="U300" i="26"/>
  <c r="G300" i="1" s="1"/>
  <c r="U111" i="26"/>
  <c r="G111" i="1" s="1"/>
  <c r="U75" i="26"/>
  <c r="G75" i="1" s="1"/>
  <c r="U1227" i="26"/>
  <c r="G1227" i="1" s="1"/>
  <c r="U1194" i="26"/>
  <c r="G1194" i="1" s="1"/>
  <c r="U1175" i="26"/>
  <c r="G1175" i="1" s="1"/>
  <c r="U1140" i="26"/>
  <c r="G1140" i="1" s="1"/>
  <c r="U1105" i="26"/>
  <c r="G1105" i="1" s="1"/>
  <c r="U1073" i="26"/>
  <c r="G1073" i="1" s="1"/>
  <c r="U954" i="26"/>
  <c r="G954" i="1" s="1"/>
  <c r="U918" i="26"/>
  <c r="G918" i="1" s="1"/>
  <c r="U886" i="26"/>
  <c r="G886" i="1" s="1"/>
  <c r="U832" i="26"/>
  <c r="G832" i="1" s="1"/>
  <c r="U730" i="26"/>
  <c r="G730" i="1" s="1"/>
  <c r="U711" i="26"/>
  <c r="G711" i="1" s="1"/>
  <c r="U642" i="26"/>
  <c r="G642" i="1" s="1"/>
  <c r="U262" i="26"/>
  <c r="G262" i="1" s="1"/>
  <c r="U247" i="26"/>
  <c r="G247" i="1" s="1"/>
  <c r="U212" i="26"/>
  <c r="G212" i="1" s="1"/>
  <c r="U1330" i="26"/>
  <c r="G1330" i="1" s="1"/>
  <c r="U1295" i="26"/>
  <c r="G1295" i="1" s="1"/>
  <c r="U1260" i="26"/>
  <c r="G1260" i="1" s="1"/>
  <c r="U1240" i="26"/>
  <c r="G1240" i="1" s="1"/>
  <c r="U607" i="26"/>
  <c r="G607" i="1" s="1"/>
  <c r="U572" i="26"/>
  <c r="G572" i="1" s="1"/>
  <c r="U536" i="26"/>
  <c r="G536" i="1" s="1"/>
  <c r="U504" i="26"/>
  <c r="G504" i="1" s="1"/>
  <c r="U469" i="26"/>
  <c r="G469" i="1" s="1"/>
  <c r="U451" i="26"/>
  <c r="G451" i="1" s="1"/>
  <c r="U416" i="26"/>
  <c r="G416" i="1" s="1"/>
  <c r="U381" i="26"/>
  <c r="G381" i="1" s="1"/>
  <c r="U346" i="26"/>
  <c r="G346" i="1" s="1"/>
  <c r="U327" i="26"/>
  <c r="G327" i="1" s="1"/>
  <c r="U88" i="26"/>
  <c r="G88" i="1" s="1"/>
  <c r="U54" i="26"/>
  <c r="G54" i="1" s="1"/>
  <c r="U35" i="26"/>
  <c r="G35" i="1" s="1"/>
  <c r="U1208" i="26"/>
  <c r="G1208" i="1" s="1"/>
  <c r="U1174" i="26"/>
  <c r="G1174" i="1" s="1"/>
  <c r="U1138" i="26"/>
  <c r="G1138" i="1" s="1"/>
  <c r="U1119" i="26"/>
  <c r="G1119" i="1" s="1"/>
  <c r="U1084" i="26"/>
  <c r="G1084" i="1" s="1"/>
  <c r="U1050" i="26"/>
  <c r="G1050" i="1" s="1"/>
  <c r="U1035" i="26"/>
  <c r="G1035" i="1" s="1"/>
  <c r="U999" i="26"/>
  <c r="G999" i="1" s="1"/>
  <c r="U932" i="26"/>
  <c r="G932" i="1" s="1"/>
  <c r="U862" i="26"/>
  <c r="G862" i="1" s="1"/>
  <c r="U847" i="26"/>
  <c r="G847" i="1" s="1"/>
  <c r="U811" i="26"/>
  <c r="G811" i="1" s="1"/>
  <c r="U776" i="26"/>
  <c r="G776" i="1" s="1"/>
  <c r="U723" i="26"/>
  <c r="G723" i="1" s="1"/>
  <c r="U691" i="26"/>
  <c r="G691" i="1" s="1"/>
  <c r="U294" i="26"/>
  <c r="G294" i="1" s="1"/>
  <c r="U258" i="26"/>
  <c r="G258" i="1" s="1"/>
  <c r="U240" i="26"/>
  <c r="G240" i="1" s="1"/>
  <c r="U208" i="26"/>
  <c r="G208" i="1" s="1"/>
  <c r="U170" i="26"/>
  <c r="G170" i="1" s="1"/>
  <c r="U1377" i="26"/>
  <c r="G1377" i="1" s="1"/>
  <c r="U1343" i="26"/>
  <c r="G1343" i="1" s="1"/>
  <c r="U1308" i="26"/>
  <c r="G1308" i="1" s="1"/>
  <c r="U1256" i="26"/>
  <c r="G1256" i="1" s="1"/>
  <c r="U964" i="26"/>
  <c r="G964" i="1" s="1"/>
  <c r="U602" i="26"/>
  <c r="G602" i="1" s="1"/>
  <c r="U566" i="26"/>
  <c r="G566" i="1" s="1"/>
  <c r="U534" i="26"/>
  <c r="G534" i="1" s="1"/>
  <c r="U515" i="26"/>
  <c r="G515" i="1" s="1"/>
  <c r="U479" i="26"/>
  <c r="G479" i="1" s="1"/>
  <c r="U447" i="26"/>
  <c r="G447" i="1" s="1"/>
  <c r="U412" i="26"/>
  <c r="G412" i="1" s="1"/>
  <c r="U376" i="26"/>
  <c r="G376" i="1" s="1"/>
  <c r="U102" i="26"/>
  <c r="G102" i="1" s="1"/>
  <c r="U83" i="26"/>
  <c r="G83" i="1" s="1"/>
  <c r="U1237" i="26"/>
  <c r="G1237" i="1" s="1"/>
  <c r="U1166" i="26"/>
  <c r="G1166" i="1" s="1"/>
  <c r="U1134" i="26"/>
  <c r="G1134" i="1" s="1"/>
  <c r="U1116" i="26"/>
  <c r="G1116" i="1" s="1"/>
  <c r="U1081" i="26"/>
  <c r="G1081" i="1" s="1"/>
  <c r="U1045" i="26"/>
  <c r="G1045" i="1" s="1"/>
  <c r="U1010" i="26"/>
  <c r="G1010" i="1" s="1"/>
  <c r="U995" i="26"/>
  <c r="G995" i="1" s="1"/>
  <c r="U929" i="26"/>
  <c r="G929" i="1" s="1"/>
  <c r="U893" i="26"/>
  <c r="G893" i="1" s="1"/>
  <c r="U875" i="26"/>
  <c r="G875" i="1" s="1"/>
  <c r="U840" i="26"/>
  <c r="G840" i="1" s="1"/>
  <c r="U809" i="26"/>
  <c r="G809" i="1" s="1"/>
  <c r="U774" i="26"/>
  <c r="G774" i="1" s="1"/>
  <c r="U755" i="26"/>
  <c r="G755" i="1" s="1"/>
  <c r="U719" i="26"/>
  <c r="G719" i="1" s="1"/>
  <c r="U683" i="26"/>
  <c r="G683" i="1" s="1"/>
  <c r="U291" i="26"/>
  <c r="G291" i="1" s="1"/>
  <c r="U256" i="26"/>
  <c r="G256" i="1" s="1"/>
  <c r="U221" i="26"/>
  <c r="G221" i="1" s="1"/>
  <c r="U152" i="26"/>
  <c r="G152" i="1" s="1"/>
  <c r="E30" i="32"/>
  <c r="F30" i="32" s="1"/>
  <c r="U23" i="26"/>
  <c r="G23" i="1" s="1"/>
  <c r="U1374" i="26"/>
  <c r="G1374" i="1" s="1"/>
  <c r="U1303" i="26"/>
  <c r="G1303" i="1" s="1"/>
  <c r="U1284" i="26"/>
  <c r="G1284" i="1" s="1"/>
  <c r="U1249" i="26"/>
  <c r="G1249" i="1" s="1"/>
  <c r="U598" i="26"/>
  <c r="G598" i="1" s="1"/>
  <c r="U583" i="26"/>
  <c r="G583" i="1" s="1"/>
  <c r="U548" i="26"/>
  <c r="G548" i="1" s="1"/>
  <c r="U509" i="26"/>
  <c r="G509" i="1" s="1"/>
  <c r="U478" i="26"/>
  <c r="G478" i="1" s="1"/>
  <c r="U460" i="26"/>
  <c r="G460" i="1" s="1"/>
  <c r="U424" i="26"/>
  <c r="G424" i="1" s="1"/>
  <c r="U388" i="26"/>
  <c r="G388" i="1" s="1"/>
  <c r="U318" i="26"/>
  <c r="G318" i="1" s="1"/>
  <c r="U303" i="26"/>
  <c r="G303" i="1" s="1"/>
  <c r="U96" i="26"/>
  <c r="G96" i="1" s="1"/>
  <c r="U64" i="26"/>
  <c r="G64" i="1" s="1"/>
  <c r="U29" i="26"/>
  <c r="G29" i="1" s="1"/>
  <c r="U1232" i="26"/>
  <c r="G1232" i="1" s="1"/>
  <c r="U1199" i="26"/>
  <c r="G1199" i="1" s="1"/>
  <c r="U1164" i="26"/>
  <c r="G1164" i="1" s="1"/>
  <c r="U1129" i="26"/>
  <c r="G1129" i="1" s="1"/>
  <c r="U1061" i="26"/>
  <c r="G1061" i="1" s="1"/>
  <c r="U1026" i="26"/>
  <c r="G1026" i="1" s="1"/>
  <c r="U1008" i="26"/>
  <c r="G1008" i="1" s="1"/>
  <c r="U961" i="26"/>
  <c r="G961" i="1" s="1"/>
  <c r="U908" i="26"/>
  <c r="G908" i="1" s="1"/>
  <c r="U873" i="26"/>
  <c r="G873" i="1" s="1"/>
  <c r="U787" i="26"/>
  <c r="G787" i="1" s="1"/>
  <c r="U751" i="26"/>
  <c r="G751" i="1" s="1"/>
  <c r="U717" i="26"/>
  <c r="G717" i="1" s="1"/>
  <c r="U286" i="26"/>
  <c r="G286" i="1" s="1"/>
  <c r="U267" i="26"/>
  <c r="G267" i="1" s="1"/>
  <c r="U235" i="26"/>
  <c r="G235" i="1" s="1"/>
  <c r="U200" i="26"/>
  <c r="G200" i="1" s="1"/>
  <c r="U163" i="26"/>
  <c r="G163" i="1" s="1"/>
  <c r="U147" i="26"/>
  <c r="G147" i="1" s="1"/>
  <c r="U43" i="26"/>
  <c r="G43" i="1" s="1"/>
  <c r="U1279" i="26"/>
  <c r="G1279" i="1" s="1"/>
  <c r="U909" i="26"/>
  <c r="G909" i="1" s="1"/>
  <c r="AD78" i="25"/>
  <c r="AD4" i="25"/>
  <c r="U1366" i="26"/>
  <c r="G1366" i="1" s="1"/>
  <c r="U1334" i="26"/>
  <c r="G1334" i="1" s="1"/>
  <c r="U1299" i="26"/>
  <c r="G1299" i="1" s="1"/>
  <c r="U1263" i="26"/>
  <c r="G1263" i="1" s="1"/>
  <c r="U1244" i="26"/>
  <c r="G1244" i="1" s="1"/>
  <c r="U611" i="26"/>
  <c r="G611" i="1" s="1"/>
  <c r="U577" i="26"/>
  <c r="G577" i="1" s="1"/>
  <c r="U542" i="26"/>
  <c r="G542" i="1" s="1"/>
  <c r="U523" i="26"/>
  <c r="G523" i="1" s="1"/>
  <c r="U488" i="26"/>
  <c r="G488" i="1" s="1"/>
  <c r="U453" i="26"/>
  <c r="G453" i="1" s="1"/>
  <c r="U386" i="26"/>
  <c r="G386" i="1" s="1"/>
  <c r="U350" i="26"/>
  <c r="G350" i="1" s="1"/>
  <c r="U335" i="26"/>
  <c r="G335" i="1" s="1"/>
  <c r="U296" i="26"/>
  <c r="G296" i="1" s="1"/>
  <c r="U94" i="26"/>
  <c r="G94" i="1" s="1"/>
  <c r="U58" i="26"/>
  <c r="G58" i="1" s="1"/>
  <c r="U1193" i="26"/>
  <c r="G1193" i="1" s="1"/>
  <c r="U1158" i="26"/>
  <c r="G1158" i="1" s="1"/>
  <c r="U1072" i="26"/>
  <c r="G1072" i="1" s="1"/>
  <c r="U1036" i="26"/>
  <c r="G1036" i="1" s="1"/>
  <c r="U1004" i="26"/>
  <c r="G1004" i="1" s="1"/>
  <c r="U953" i="26"/>
  <c r="G953" i="1" s="1"/>
  <c r="U885" i="26"/>
  <c r="G885" i="1" s="1"/>
  <c r="U867" i="26"/>
  <c r="G867" i="1" s="1"/>
  <c r="U831" i="26"/>
  <c r="G831" i="1" s="1"/>
  <c r="U764" i="26"/>
  <c r="G764" i="1" s="1"/>
  <c r="U729" i="26"/>
  <c r="G729" i="1" s="1"/>
  <c r="U694" i="26"/>
  <c r="G694" i="1" s="1"/>
  <c r="U640" i="26"/>
  <c r="G640" i="1" s="1"/>
  <c r="U211" i="26"/>
  <c r="G211" i="1" s="1"/>
  <c r="U177" i="26"/>
  <c r="G177" i="1" s="1"/>
  <c r="U140" i="26"/>
  <c r="G140" i="1" s="1"/>
  <c r="U1362" i="26"/>
  <c r="G1362" i="1" s="1"/>
  <c r="U1327" i="26"/>
  <c r="G1327" i="1" s="1"/>
  <c r="U1294" i="26"/>
  <c r="G1294" i="1" s="1"/>
  <c r="U1259" i="26"/>
  <c r="G1259" i="1" s="1"/>
  <c r="U626" i="26"/>
  <c r="G626" i="1" s="1"/>
  <c r="U590" i="26"/>
  <c r="G590" i="1" s="1"/>
  <c r="U571" i="26"/>
  <c r="G571" i="1" s="1"/>
  <c r="U539" i="26"/>
  <c r="G539" i="1" s="1"/>
  <c r="U503" i="26"/>
  <c r="G503" i="1" s="1"/>
  <c r="U468" i="26"/>
  <c r="G468" i="1" s="1"/>
  <c r="U434" i="26"/>
  <c r="G434" i="1" s="1"/>
  <c r="U415" i="26"/>
  <c r="G415" i="1" s="1"/>
  <c r="U380" i="26"/>
  <c r="G380" i="1" s="1"/>
  <c r="U345" i="26"/>
  <c r="G345" i="1" s="1"/>
  <c r="U310" i="26"/>
  <c r="G310" i="1" s="1"/>
  <c r="U91" i="26"/>
  <c r="G91" i="1" s="1"/>
  <c r="U53" i="26"/>
  <c r="G53" i="1" s="1"/>
  <c r="U136" i="26"/>
  <c r="G136" i="1" s="1"/>
  <c r="U1223" i="26"/>
  <c r="G1223" i="1" s="1"/>
  <c r="U1207" i="26"/>
  <c r="G1207" i="1" s="1"/>
  <c r="U1173" i="26"/>
  <c r="G1173" i="1" s="1"/>
  <c r="U1137" i="26"/>
  <c r="G1137" i="1" s="1"/>
  <c r="U1087" i="26"/>
  <c r="G1087" i="1" s="1"/>
  <c r="U1049" i="26"/>
  <c r="G1049" i="1" s="1"/>
  <c r="U1014" i="26"/>
  <c r="G1014" i="1" s="1"/>
  <c r="U935" i="26"/>
  <c r="G935" i="1" s="1"/>
  <c r="U900" i="26"/>
  <c r="G900" i="1" s="1"/>
  <c r="U865" i="26"/>
  <c r="G865" i="1" s="1"/>
  <c r="U830" i="26"/>
  <c r="G830" i="1" s="1"/>
  <c r="U794" i="26"/>
  <c r="G794" i="1" s="1"/>
  <c r="U775" i="26"/>
  <c r="G775" i="1" s="1"/>
  <c r="U740" i="26"/>
  <c r="G740" i="1" s="1"/>
  <c r="U706" i="26"/>
  <c r="G706" i="1" s="1"/>
  <c r="U674" i="26"/>
  <c r="G674" i="1" s="1"/>
  <c r="U653" i="26"/>
  <c r="G653" i="1" s="1"/>
  <c r="U293" i="26"/>
  <c r="G293" i="1" s="1"/>
  <c r="U261" i="26"/>
  <c r="G261" i="1" s="1"/>
  <c r="U243" i="26"/>
  <c r="G243" i="1" s="1"/>
  <c r="U207" i="26"/>
  <c r="G207" i="1" s="1"/>
  <c r="U174" i="26"/>
  <c r="G174" i="1" s="1"/>
  <c r="U50" i="26"/>
  <c r="G50" i="1" s="1"/>
  <c r="U1359" i="26"/>
  <c r="G1359" i="1" s="1"/>
  <c r="U1342" i="26"/>
  <c r="G1342" i="1" s="1"/>
  <c r="U1306" i="26"/>
  <c r="G1306" i="1" s="1"/>
  <c r="U1271" i="26"/>
  <c r="G1271" i="1" s="1"/>
  <c r="U963" i="26"/>
  <c r="G963" i="1" s="1"/>
  <c r="U601" i="26"/>
  <c r="G601" i="1" s="1"/>
  <c r="U569" i="26"/>
  <c r="G569" i="1" s="1"/>
  <c r="U533" i="26"/>
  <c r="G533" i="1" s="1"/>
  <c r="U498" i="26"/>
  <c r="G498" i="1" s="1"/>
  <c r="U462" i="26"/>
  <c r="G462" i="1" s="1"/>
  <c r="U430" i="26"/>
  <c r="G430" i="1" s="1"/>
  <c r="U411" i="26"/>
  <c r="G411" i="1" s="1"/>
  <c r="U375" i="26"/>
  <c r="G375" i="1" s="1"/>
  <c r="U340" i="26"/>
  <c r="G340" i="1" s="1"/>
  <c r="U308" i="26"/>
  <c r="G308" i="1" s="1"/>
  <c r="U101" i="26"/>
  <c r="G101" i="1" s="1"/>
  <c r="U66" i="26"/>
  <c r="G66" i="1" s="1"/>
  <c r="U1236" i="26"/>
  <c r="G1236" i="1" s="1"/>
  <c r="U1204" i="26"/>
  <c r="G1204" i="1" s="1"/>
  <c r="U1169" i="26"/>
  <c r="G1169" i="1" s="1"/>
  <c r="U1133" i="26"/>
  <c r="G1133" i="1" s="1"/>
  <c r="U1115" i="26"/>
  <c r="G1115" i="1" s="1"/>
  <c r="U1080" i="26"/>
  <c r="G1080" i="1" s="1"/>
  <c r="U1048" i="26"/>
  <c r="G1048" i="1" s="1"/>
  <c r="U1013" i="26"/>
  <c r="G1013" i="1" s="1"/>
  <c r="U928" i="26"/>
  <c r="G928" i="1" s="1"/>
  <c r="U892" i="26"/>
  <c r="G892" i="1" s="1"/>
  <c r="U858" i="26"/>
  <c r="G858" i="1" s="1"/>
  <c r="U843" i="26"/>
  <c r="G843" i="1" s="1"/>
  <c r="U808" i="26"/>
  <c r="G808" i="1" s="1"/>
  <c r="U770" i="26"/>
  <c r="G770" i="1" s="1"/>
  <c r="U738" i="26"/>
  <c r="G738" i="1" s="1"/>
  <c r="U702" i="26"/>
  <c r="G702" i="1" s="1"/>
  <c r="U687" i="26"/>
  <c r="G687" i="1" s="1"/>
  <c r="U649" i="26"/>
  <c r="G649" i="1" s="1"/>
  <c r="U270" i="26"/>
  <c r="G270" i="1" s="1"/>
  <c r="U255" i="26"/>
  <c r="G255" i="1" s="1"/>
  <c r="U220" i="26"/>
  <c r="G220" i="1" s="1"/>
  <c r="U184" i="26"/>
  <c r="G184" i="1" s="1"/>
  <c r="U150" i="26"/>
  <c r="G150" i="1" s="1"/>
  <c r="U1373" i="26"/>
  <c r="G1373" i="1" s="1"/>
  <c r="U1302" i="26"/>
  <c r="G1302" i="1" s="1"/>
  <c r="U1267" i="26"/>
  <c r="G1267" i="1" s="1"/>
  <c r="U1252" i="26"/>
  <c r="G1252" i="1" s="1"/>
  <c r="U597" i="26"/>
  <c r="G597" i="1" s="1"/>
  <c r="U562" i="26"/>
  <c r="G562" i="1" s="1"/>
  <c r="U547" i="26"/>
  <c r="G547" i="1" s="1"/>
  <c r="U512" i="26"/>
  <c r="G512" i="1" s="1"/>
  <c r="U477" i="26"/>
  <c r="G477" i="1" s="1"/>
  <c r="U459" i="26"/>
  <c r="G459" i="1" s="1"/>
  <c r="U423" i="26"/>
  <c r="G423" i="1" s="1"/>
  <c r="U391" i="26"/>
  <c r="G391" i="1" s="1"/>
  <c r="U353" i="26"/>
  <c r="G353" i="1" s="1"/>
  <c r="U322" i="26"/>
  <c r="G322" i="1" s="1"/>
  <c r="U114" i="26"/>
  <c r="G114" i="1" s="1"/>
  <c r="U99" i="26"/>
  <c r="G99" i="1" s="1"/>
  <c r="U63" i="26"/>
  <c r="G63" i="1" s="1"/>
  <c r="U28" i="26"/>
  <c r="G28" i="1" s="1"/>
  <c r="U1215" i="26"/>
  <c r="G1215" i="1" s="1"/>
  <c r="U1182" i="26"/>
  <c r="G1182" i="1" s="1"/>
  <c r="U1163" i="26"/>
  <c r="G1163" i="1" s="1"/>
  <c r="U1128" i="26"/>
  <c r="G1128" i="1" s="1"/>
  <c r="U1092" i="26"/>
  <c r="G1092" i="1" s="1"/>
  <c r="U1057" i="26"/>
  <c r="G1057" i="1" s="1"/>
  <c r="U1022" i="26"/>
  <c r="G1022" i="1" s="1"/>
  <c r="U1007" i="26"/>
  <c r="G1007" i="1" s="1"/>
  <c r="U960" i="26"/>
  <c r="G960" i="1" s="1"/>
  <c r="U926" i="26"/>
  <c r="G926" i="1" s="1"/>
  <c r="U907" i="26"/>
  <c r="G907" i="1" s="1"/>
  <c r="U872" i="26"/>
  <c r="G872" i="1" s="1"/>
  <c r="U836" i="26"/>
  <c r="G836" i="1" s="1"/>
  <c r="U801" i="26"/>
  <c r="G801" i="1" s="1"/>
  <c r="U766" i="26"/>
  <c r="G766" i="1" s="1"/>
  <c r="U716" i="26"/>
  <c r="G716" i="1" s="1"/>
  <c r="U681" i="26"/>
  <c r="G681" i="1" s="1"/>
  <c r="U648" i="26"/>
  <c r="G648" i="1" s="1"/>
  <c r="U285" i="26"/>
  <c r="G285" i="1" s="1"/>
  <c r="U250" i="26"/>
  <c r="G250" i="1" s="1"/>
  <c r="U231" i="26"/>
  <c r="G231" i="1" s="1"/>
  <c r="U196" i="26"/>
  <c r="G196" i="1" s="1"/>
  <c r="U162" i="26"/>
  <c r="G162" i="1" s="1"/>
  <c r="U130" i="26"/>
  <c r="G130" i="1" s="1"/>
  <c r="U1351" i="26"/>
  <c r="G1351" i="1" s="1"/>
  <c r="U399" i="26"/>
  <c r="G399" i="1" s="1"/>
  <c r="U778" i="26"/>
  <c r="G778" i="1" s="1"/>
  <c r="U413" i="26"/>
  <c r="G413" i="1" s="1"/>
  <c r="U877" i="26"/>
  <c r="G877" i="1" s="1"/>
  <c r="U686" i="26"/>
  <c r="G686" i="1" s="1"/>
  <c r="AD137" i="25"/>
  <c r="AD19" i="25"/>
  <c r="AE19" i="25" s="1"/>
  <c r="AD62" i="25"/>
  <c r="AE62" i="25" s="1"/>
  <c r="U1369" i="26"/>
  <c r="G1369" i="1" s="1"/>
  <c r="U1333" i="26"/>
  <c r="G1333" i="1" s="1"/>
  <c r="U1298" i="26"/>
  <c r="G1298" i="1" s="1"/>
  <c r="U1262" i="26"/>
  <c r="G1262" i="1" s="1"/>
  <c r="U594" i="26"/>
  <c r="G594" i="1" s="1"/>
  <c r="U576" i="26"/>
  <c r="G576" i="1" s="1"/>
  <c r="U541" i="26"/>
  <c r="G541" i="1" s="1"/>
  <c r="U385" i="26"/>
  <c r="G385" i="1" s="1"/>
  <c r="U349" i="26"/>
  <c r="G349" i="1" s="1"/>
  <c r="U314" i="26"/>
  <c r="G314" i="1" s="1"/>
  <c r="U299" i="26"/>
  <c r="G299" i="1" s="1"/>
  <c r="U93" i="26"/>
  <c r="G93" i="1" s="1"/>
  <c r="U61" i="26"/>
  <c r="G61" i="1" s="1"/>
  <c r="U1196" i="26"/>
  <c r="G1196" i="1" s="1"/>
  <c r="U1157" i="26"/>
  <c r="G1157" i="1" s="1"/>
  <c r="U1071" i="26"/>
  <c r="G1071" i="1" s="1"/>
  <c r="U1039" i="26"/>
  <c r="G1039" i="1" s="1"/>
  <c r="U1003" i="26"/>
  <c r="G1003" i="1" s="1"/>
  <c r="U956" i="26"/>
  <c r="G956" i="1" s="1"/>
  <c r="U884" i="26"/>
  <c r="G884" i="1" s="1"/>
  <c r="U850" i="26"/>
  <c r="G850" i="1" s="1"/>
  <c r="U763" i="26"/>
  <c r="G763" i="1" s="1"/>
  <c r="U728" i="26"/>
  <c r="G728" i="1" s="1"/>
  <c r="U693" i="26"/>
  <c r="G693" i="1" s="1"/>
  <c r="U675" i="26"/>
  <c r="G675" i="1" s="1"/>
  <c r="U641" i="26"/>
  <c r="G641" i="1" s="1"/>
  <c r="U194" i="26"/>
  <c r="G194" i="1" s="1"/>
  <c r="U159" i="26"/>
  <c r="G159" i="1" s="1"/>
  <c r="U1365" i="26"/>
  <c r="G1365" i="1" s="1"/>
  <c r="U1329" i="26"/>
  <c r="G1329" i="1" s="1"/>
  <c r="U1292" i="26"/>
  <c r="G1292" i="1" s="1"/>
  <c r="U1258" i="26"/>
  <c r="G1258" i="1" s="1"/>
  <c r="U966" i="26"/>
  <c r="G966" i="1" s="1"/>
  <c r="U625" i="26"/>
  <c r="G625" i="1" s="1"/>
  <c r="U589" i="26"/>
  <c r="G589" i="1" s="1"/>
  <c r="U554" i="26"/>
  <c r="G554" i="1" s="1"/>
  <c r="U518" i="26"/>
  <c r="G518" i="1" s="1"/>
  <c r="U486" i="26"/>
  <c r="G486" i="1" s="1"/>
  <c r="U467" i="26"/>
  <c r="G467" i="1" s="1"/>
  <c r="U433" i="26"/>
  <c r="G433" i="1" s="1"/>
  <c r="U398" i="26"/>
  <c r="G398" i="1" s="1"/>
  <c r="U379" i="26"/>
  <c r="G379" i="1" s="1"/>
  <c r="U348" i="26"/>
  <c r="G348" i="1" s="1"/>
  <c r="U313" i="26"/>
  <c r="G313" i="1" s="1"/>
  <c r="U106" i="26"/>
  <c r="G106" i="1" s="1"/>
  <c r="U56" i="26"/>
  <c r="G56" i="1" s="1"/>
  <c r="U139" i="26"/>
  <c r="G139" i="1" s="1"/>
  <c r="U1226" i="26"/>
  <c r="G1226" i="1" s="1"/>
  <c r="U1172" i="26"/>
  <c r="G1172" i="1" s="1"/>
  <c r="U1136" i="26"/>
  <c r="G1136" i="1" s="1"/>
  <c r="U1102" i="26"/>
  <c r="G1102" i="1" s="1"/>
  <c r="U1083" i="26"/>
  <c r="G1083" i="1" s="1"/>
  <c r="U1052" i="26"/>
  <c r="G1052" i="1" s="1"/>
  <c r="U1017" i="26"/>
  <c r="G1017" i="1" s="1"/>
  <c r="U950" i="26"/>
  <c r="G950" i="1" s="1"/>
  <c r="U931" i="26"/>
  <c r="G931" i="1" s="1"/>
  <c r="U899" i="26"/>
  <c r="G899" i="1" s="1"/>
  <c r="U864" i="26"/>
  <c r="G864" i="1" s="1"/>
  <c r="U829" i="26"/>
  <c r="G829" i="1" s="1"/>
  <c r="U793" i="26"/>
  <c r="G793" i="1" s="1"/>
  <c r="U758" i="26"/>
  <c r="G758" i="1" s="1"/>
  <c r="U743" i="26"/>
  <c r="G743" i="1" s="1"/>
  <c r="U705" i="26"/>
  <c r="G705" i="1" s="1"/>
  <c r="U672" i="26"/>
  <c r="G672" i="1" s="1"/>
  <c r="U655" i="26"/>
  <c r="G655" i="1" s="1"/>
  <c r="U292" i="26"/>
  <c r="G292" i="1" s="1"/>
  <c r="U257" i="26"/>
  <c r="G257" i="1" s="1"/>
  <c r="U226" i="26"/>
  <c r="G226" i="1" s="1"/>
  <c r="U190" i="26"/>
  <c r="G190" i="1" s="1"/>
  <c r="U173" i="26"/>
  <c r="G173" i="1" s="1"/>
  <c r="U49" i="26"/>
  <c r="G49" i="1" s="1"/>
  <c r="U1358" i="26"/>
  <c r="G1358" i="1" s="1"/>
  <c r="U1341" i="26"/>
  <c r="G1341" i="1" s="1"/>
  <c r="U1274" i="26"/>
  <c r="G1274" i="1" s="1"/>
  <c r="U982" i="26"/>
  <c r="G982" i="1" s="1"/>
  <c r="U604" i="26"/>
  <c r="G604" i="1" s="1"/>
  <c r="U568" i="26"/>
  <c r="G568" i="1" s="1"/>
  <c r="U532" i="26"/>
  <c r="G532" i="1" s="1"/>
  <c r="U497" i="26"/>
  <c r="G497" i="1" s="1"/>
  <c r="U465" i="26"/>
  <c r="G465" i="1" s="1"/>
  <c r="U429" i="26"/>
  <c r="G429" i="1" s="1"/>
  <c r="U394" i="26"/>
  <c r="G394" i="1" s="1"/>
  <c r="U358" i="26"/>
  <c r="G358" i="1" s="1"/>
  <c r="U343" i="26"/>
  <c r="G343" i="1" s="1"/>
  <c r="U307" i="26"/>
  <c r="G307" i="1" s="1"/>
  <c r="U104" i="26"/>
  <c r="G104" i="1" s="1"/>
  <c r="U69" i="26"/>
  <c r="G69" i="1" s="1"/>
  <c r="U1219" i="26"/>
  <c r="G1219" i="1" s="1"/>
  <c r="U1203" i="26"/>
  <c r="G1203" i="1" s="1"/>
  <c r="U1168" i="26"/>
  <c r="G1168" i="1" s="1"/>
  <c r="U1132" i="26"/>
  <c r="G1132" i="1" s="1"/>
  <c r="U1098" i="26"/>
  <c r="G1098" i="1" s="1"/>
  <c r="U1079" i="26"/>
  <c r="G1079" i="1" s="1"/>
  <c r="U1044" i="26"/>
  <c r="G1044" i="1" s="1"/>
  <c r="U1012" i="26"/>
  <c r="G1012" i="1" s="1"/>
  <c r="U946" i="26"/>
  <c r="G946" i="1" s="1"/>
  <c r="U927" i="26"/>
  <c r="G927" i="1" s="1"/>
  <c r="U896" i="26"/>
  <c r="G896" i="1" s="1"/>
  <c r="U861" i="26"/>
  <c r="G861" i="1" s="1"/>
  <c r="U826" i="26"/>
  <c r="G826" i="1" s="1"/>
  <c r="U807" i="26"/>
  <c r="G807" i="1" s="1"/>
  <c r="U773" i="26"/>
  <c r="G773" i="1" s="1"/>
  <c r="U737" i="26"/>
  <c r="G737" i="1" s="1"/>
  <c r="U701" i="26"/>
  <c r="G701" i="1" s="1"/>
  <c r="U651" i="26"/>
  <c r="G651" i="1" s="1"/>
  <c r="U274" i="26"/>
  <c r="G274" i="1" s="1"/>
  <c r="U238" i="26"/>
  <c r="G238" i="1" s="1"/>
  <c r="U219" i="26"/>
  <c r="G219" i="1" s="1"/>
  <c r="U187" i="26"/>
  <c r="G187" i="1" s="1"/>
  <c r="U149" i="26"/>
  <c r="G149" i="1" s="1"/>
  <c r="U1354" i="26"/>
  <c r="G1354" i="1" s="1"/>
  <c r="U1339" i="26"/>
  <c r="G1339" i="1" s="1"/>
  <c r="U1301" i="26"/>
  <c r="G1301" i="1" s="1"/>
  <c r="U1268" i="26"/>
  <c r="G1268" i="1" s="1"/>
  <c r="U978" i="26"/>
  <c r="G978" i="1" s="1"/>
  <c r="U635" i="26"/>
  <c r="G635" i="1" s="1"/>
  <c r="U600" i="26"/>
  <c r="G600" i="1" s="1"/>
  <c r="U565" i="26"/>
  <c r="G565" i="1" s="1"/>
  <c r="U530" i="26"/>
  <c r="G530" i="1" s="1"/>
  <c r="U511" i="26"/>
  <c r="G511" i="1" s="1"/>
  <c r="U476" i="26"/>
  <c r="G476" i="1" s="1"/>
  <c r="U442" i="26"/>
  <c r="G442" i="1" s="1"/>
  <c r="U406" i="26"/>
  <c r="G406" i="1" s="1"/>
  <c r="U356" i="26"/>
  <c r="G356" i="1" s="1"/>
  <c r="U321" i="26"/>
  <c r="G321" i="1" s="1"/>
  <c r="U117" i="26"/>
  <c r="G117" i="1" s="1"/>
  <c r="U82" i="26"/>
  <c r="G82" i="1" s="1"/>
  <c r="U46" i="26"/>
  <c r="G46" i="1" s="1"/>
  <c r="U27" i="26"/>
  <c r="G27" i="1" s="1"/>
  <c r="U1214" i="26"/>
  <c r="G1214" i="1" s="1"/>
  <c r="U1181" i="26"/>
  <c r="G1181" i="1" s="1"/>
  <c r="U1146" i="26"/>
  <c r="G1146" i="1" s="1"/>
  <c r="U1127" i="26"/>
  <c r="G1127" i="1" s="1"/>
  <c r="U1095" i="26"/>
  <c r="G1095" i="1" s="1"/>
  <c r="U1060" i="26"/>
  <c r="G1060" i="1" s="1"/>
  <c r="U1025" i="26"/>
  <c r="G1025" i="1" s="1"/>
  <c r="U990" i="26"/>
  <c r="G990" i="1" s="1"/>
  <c r="U959" i="26"/>
  <c r="G959" i="1" s="1"/>
  <c r="U925" i="26"/>
  <c r="G925" i="1" s="1"/>
  <c r="U890" i="26"/>
  <c r="G890" i="1" s="1"/>
  <c r="U871" i="26"/>
  <c r="G871" i="1" s="1"/>
  <c r="U839" i="26"/>
  <c r="G839" i="1" s="1"/>
  <c r="U804" i="26"/>
  <c r="G804" i="1" s="1"/>
  <c r="U769" i="26"/>
  <c r="G769" i="1" s="1"/>
  <c r="U734" i="26"/>
  <c r="G734" i="1" s="1"/>
  <c r="U715" i="26"/>
  <c r="G715" i="1" s="1"/>
  <c r="U679" i="26"/>
  <c r="G679" i="1" s="1"/>
  <c r="U645" i="26"/>
  <c r="G645" i="1" s="1"/>
  <c r="U284" i="26"/>
  <c r="G284" i="1" s="1"/>
  <c r="U249" i="26"/>
  <c r="G249" i="1" s="1"/>
  <c r="U214" i="26"/>
  <c r="G214" i="1" s="1"/>
  <c r="U199" i="26"/>
  <c r="G199" i="1" s="1"/>
  <c r="U164" i="26"/>
  <c r="G164" i="1" s="1"/>
  <c r="U129" i="26"/>
  <c r="G129" i="1" s="1"/>
  <c r="T14" i="26"/>
  <c r="D11" i="32"/>
  <c r="E11" i="32" s="1"/>
  <c r="F11" i="32" s="1"/>
  <c r="U364" i="26"/>
  <c r="G364" i="1" s="1"/>
  <c r="AD263" i="25"/>
  <c r="AD110" i="25"/>
  <c r="AE110" i="25" s="1"/>
  <c r="U970" i="26"/>
  <c r="G970" i="1" s="1"/>
  <c r="U593" i="26"/>
  <c r="G593" i="1" s="1"/>
  <c r="U506" i="26"/>
  <c r="G506" i="1" s="1"/>
  <c r="U470" i="26"/>
  <c r="G470" i="1" s="1"/>
  <c r="U57" i="26"/>
  <c r="G57" i="1" s="1"/>
  <c r="U1161" i="26"/>
  <c r="G1161" i="1" s="1"/>
  <c r="U1090" i="26"/>
  <c r="G1090" i="1" s="1"/>
  <c r="U1054" i="26"/>
  <c r="G1054" i="1" s="1"/>
  <c r="U1018" i="26"/>
  <c r="G1018" i="1" s="1"/>
  <c r="U849" i="26"/>
  <c r="G849" i="1" s="1"/>
  <c r="U814" i="26"/>
  <c r="G814" i="1" s="1"/>
  <c r="U782" i="26"/>
  <c r="G782" i="1" s="1"/>
  <c r="U746" i="26"/>
  <c r="G746" i="1" s="1"/>
  <c r="U658" i="26"/>
  <c r="G658" i="1" s="1"/>
  <c r="U193" i="26"/>
  <c r="G193" i="1" s="1"/>
  <c r="U158" i="26"/>
  <c r="G158" i="1" s="1"/>
  <c r="U1344" i="26"/>
  <c r="G1344" i="1" s="1"/>
  <c r="U969" i="26"/>
  <c r="G969" i="1" s="1"/>
  <c r="U553" i="26"/>
  <c r="G553" i="1" s="1"/>
  <c r="U521" i="26"/>
  <c r="G521" i="1" s="1"/>
  <c r="U485" i="26"/>
  <c r="G485" i="1" s="1"/>
  <c r="U397" i="26"/>
  <c r="G397" i="1" s="1"/>
  <c r="U383" i="26"/>
  <c r="G383" i="1" s="1"/>
  <c r="U309" i="26"/>
  <c r="G309" i="1" s="1"/>
  <c r="U105" i="26"/>
  <c r="G105" i="1" s="1"/>
  <c r="U74" i="26"/>
  <c r="G74" i="1" s="1"/>
  <c r="U55" i="26"/>
  <c r="G55" i="1" s="1"/>
  <c r="U18" i="26"/>
  <c r="G18" i="1" s="1"/>
  <c r="U1225" i="26"/>
  <c r="G1225" i="1" s="1"/>
  <c r="U1190" i="26"/>
  <c r="G1190" i="1" s="1"/>
  <c r="U1139" i="26"/>
  <c r="G1139" i="1" s="1"/>
  <c r="U1101" i="26"/>
  <c r="G1101" i="1" s="1"/>
  <c r="U1070" i="26"/>
  <c r="G1070" i="1" s="1"/>
  <c r="U1051" i="26"/>
  <c r="G1051" i="1" s="1"/>
  <c r="U1016" i="26"/>
  <c r="G1016" i="1" s="1"/>
  <c r="U949" i="26"/>
  <c r="G949" i="1" s="1"/>
  <c r="U914" i="26"/>
  <c r="G914" i="1" s="1"/>
  <c r="U882" i="26"/>
  <c r="G882" i="1" s="1"/>
  <c r="U796" i="26"/>
  <c r="G796" i="1" s="1"/>
  <c r="U757" i="26"/>
  <c r="G757" i="1" s="1"/>
  <c r="U708" i="26"/>
  <c r="G708" i="1" s="1"/>
  <c r="U670" i="26"/>
  <c r="G670" i="1" s="1"/>
  <c r="U636" i="26"/>
  <c r="G636" i="1" s="1"/>
  <c r="U295" i="26"/>
  <c r="G295" i="1" s="1"/>
  <c r="U260" i="26"/>
  <c r="G260" i="1" s="1"/>
  <c r="U225" i="26"/>
  <c r="G225" i="1" s="1"/>
  <c r="U189" i="26"/>
  <c r="G189" i="1" s="1"/>
  <c r="U154" i="26"/>
  <c r="G154" i="1" s="1"/>
  <c r="U52" i="26"/>
  <c r="G52" i="1" s="1"/>
  <c r="U1360" i="26"/>
  <c r="G1360" i="1" s="1"/>
  <c r="U1326" i="26"/>
  <c r="G1326" i="1" s="1"/>
  <c r="U1309" i="26"/>
  <c r="G1309" i="1" s="1"/>
  <c r="U1273" i="26"/>
  <c r="G1273" i="1" s="1"/>
  <c r="U981" i="26"/>
  <c r="G981" i="1" s="1"/>
  <c r="U618" i="26"/>
  <c r="G618" i="1" s="1"/>
  <c r="U603" i="26"/>
  <c r="G603" i="1" s="1"/>
  <c r="U500" i="26"/>
  <c r="G500" i="1" s="1"/>
  <c r="U464" i="26"/>
  <c r="G464" i="1" s="1"/>
  <c r="U393" i="26"/>
  <c r="G393" i="1" s="1"/>
  <c r="U357" i="26"/>
  <c r="G357" i="1" s="1"/>
  <c r="U326" i="26"/>
  <c r="G326" i="1" s="1"/>
  <c r="U122" i="26"/>
  <c r="G122" i="1" s="1"/>
  <c r="U103" i="26"/>
  <c r="G103" i="1" s="1"/>
  <c r="U68" i="26"/>
  <c r="G68" i="1" s="1"/>
  <c r="U1222" i="26"/>
  <c r="G1222" i="1" s="1"/>
  <c r="U1186" i="26"/>
  <c r="G1186" i="1" s="1"/>
  <c r="U1135" i="26"/>
  <c r="G1135" i="1" s="1"/>
  <c r="U1097" i="26"/>
  <c r="G1097" i="1" s="1"/>
  <c r="U1062" i="26"/>
  <c r="G1062" i="1" s="1"/>
  <c r="U1047" i="26"/>
  <c r="G1047" i="1" s="1"/>
  <c r="U945" i="26"/>
  <c r="G945" i="1" s="1"/>
  <c r="U910" i="26"/>
  <c r="G910" i="1" s="1"/>
  <c r="U895" i="26"/>
  <c r="G895" i="1" s="1"/>
  <c r="U857" i="26"/>
  <c r="G857" i="1" s="1"/>
  <c r="U825" i="26"/>
  <c r="G825" i="1" s="1"/>
  <c r="U790" i="26"/>
  <c r="G790" i="1" s="1"/>
  <c r="U704" i="26"/>
  <c r="G704" i="1" s="1"/>
  <c r="U668" i="26"/>
  <c r="G668" i="1" s="1"/>
  <c r="U273" i="26"/>
  <c r="G273" i="1" s="1"/>
  <c r="U237" i="26"/>
  <c r="G237" i="1" s="1"/>
  <c r="U202" i="26"/>
  <c r="G202" i="1" s="1"/>
  <c r="U168" i="26"/>
  <c r="G168" i="1" s="1"/>
  <c r="U151" i="26"/>
  <c r="G151" i="1" s="1"/>
  <c r="U1355" i="26"/>
  <c r="G1355" i="1" s="1"/>
  <c r="U1320" i="26"/>
  <c r="G1320" i="1" s="1"/>
  <c r="U1304" i="26"/>
  <c r="G1304" i="1" s="1"/>
  <c r="U1270" i="26"/>
  <c r="G1270" i="1" s="1"/>
  <c r="U977" i="26"/>
  <c r="G977" i="1" s="1"/>
  <c r="U599" i="26"/>
  <c r="G599" i="1" s="1"/>
  <c r="U564" i="26"/>
  <c r="G564" i="1" s="1"/>
  <c r="U529" i="26"/>
  <c r="G529" i="1" s="1"/>
  <c r="U494" i="26"/>
  <c r="G494" i="1" s="1"/>
  <c r="U441" i="26"/>
  <c r="G441" i="1" s="1"/>
  <c r="U374" i="26"/>
  <c r="G374" i="1" s="1"/>
  <c r="U355" i="26"/>
  <c r="G355" i="1" s="1"/>
  <c r="U116" i="26"/>
  <c r="G116" i="1" s="1"/>
  <c r="U81" i="26"/>
  <c r="G81" i="1" s="1"/>
  <c r="U45" i="26"/>
  <c r="G45" i="1" s="1"/>
  <c r="U1217" i="26"/>
  <c r="G1217" i="1" s="1"/>
  <c r="U1145" i="26"/>
  <c r="G1145" i="1" s="1"/>
  <c r="U1110" i="26"/>
  <c r="G1110" i="1" s="1"/>
  <c r="U1078" i="26"/>
  <c r="G1078" i="1" s="1"/>
  <c r="U1059" i="26"/>
  <c r="G1059" i="1" s="1"/>
  <c r="U1024" i="26"/>
  <c r="G1024" i="1" s="1"/>
  <c r="U942" i="26"/>
  <c r="G942" i="1" s="1"/>
  <c r="U854" i="26"/>
  <c r="G854" i="1" s="1"/>
  <c r="U822" i="26"/>
  <c r="G822" i="1" s="1"/>
  <c r="U803" i="26"/>
  <c r="G803" i="1" s="1"/>
  <c r="U768" i="26"/>
  <c r="G768" i="1" s="1"/>
  <c r="U698" i="26"/>
  <c r="G698" i="1" s="1"/>
  <c r="U662" i="26"/>
  <c r="G662" i="1" s="1"/>
  <c r="U647" i="26"/>
  <c r="G647" i="1" s="1"/>
  <c r="U287" i="26"/>
  <c r="G287" i="1" s="1"/>
  <c r="U252" i="26"/>
  <c r="G252" i="1" s="1"/>
  <c r="U217" i="26"/>
  <c r="G217" i="1" s="1"/>
  <c r="U182" i="26"/>
  <c r="G182" i="1" s="1"/>
  <c r="U165" i="26"/>
  <c r="G165" i="1" s="1"/>
  <c r="U17" i="26"/>
  <c r="G17" i="1" s="1"/>
  <c r="H17" i="1" s="1"/>
  <c r="U1350" i="26"/>
  <c r="G1350" i="1" s="1"/>
  <c r="U543" i="26"/>
  <c r="G543" i="1" s="1"/>
  <c r="U505" i="26"/>
  <c r="G505" i="1" s="1"/>
  <c r="U95" i="26"/>
  <c r="G95" i="1" s="1"/>
  <c r="U60" i="26"/>
  <c r="G60" i="1" s="1"/>
  <c r="U1210" i="26"/>
  <c r="G1210" i="1" s="1"/>
  <c r="U1195" i="26"/>
  <c r="G1195" i="1" s="1"/>
  <c r="U1160" i="26"/>
  <c r="G1160" i="1" s="1"/>
  <c r="U1089" i="26"/>
  <c r="G1089" i="1" s="1"/>
  <c r="U1053" i="26"/>
  <c r="G1053" i="1" s="1"/>
  <c r="U902" i="26"/>
  <c r="G902" i="1" s="1"/>
  <c r="U660" i="26"/>
  <c r="G660" i="1" s="1"/>
  <c r="U246" i="26"/>
  <c r="G246" i="1" s="1"/>
  <c r="U160" i="26"/>
  <c r="G160" i="1" s="1"/>
  <c r="U1311" i="26"/>
  <c r="G1311" i="1" s="1"/>
  <c r="U1275" i="26"/>
  <c r="G1275" i="1" s="1"/>
  <c r="U968" i="26"/>
  <c r="G968" i="1" s="1"/>
  <c r="U591" i="26"/>
  <c r="G591" i="1" s="1"/>
  <c r="U556" i="26"/>
  <c r="G556" i="1" s="1"/>
  <c r="U520" i="26"/>
  <c r="G520" i="1" s="1"/>
  <c r="U450" i="26"/>
  <c r="G450" i="1" s="1"/>
  <c r="U435" i="26"/>
  <c r="G435" i="1" s="1"/>
  <c r="U400" i="26"/>
  <c r="G400" i="1" s="1"/>
  <c r="U362" i="26"/>
  <c r="G362" i="1" s="1"/>
  <c r="U108" i="26"/>
  <c r="G108" i="1" s="1"/>
  <c r="U70" i="26"/>
  <c r="G70" i="1" s="1"/>
  <c r="U34" i="26"/>
  <c r="G34" i="1" s="1"/>
  <c r="U1189" i="26"/>
  <c r="G1189" i="1" s="1"/>
  <c r="U1154" i="26"/>
  <c r="G1154" i="1" s="1"/>
  <c r="U1104" i="26"/>
  <c r="G1104" i="1" s="1"/>
  <c r="U1066" i="26"/>
  <c r="G1066" i="1" s="1"/>
  <c r="U952" i="26"/>
  <c r="G952" i="1" s="1"/>
  <c r="U917" i="26"/>
  <c r="G917" i="1" s="1"/>
  <c r="U881" i="26"/>
  <c r="G881" i="1" s="1"/>
  <c r="U726" i="26"/>
  <c r="G726" i="1" s="1"/>
  <c r="U707" i="26"/>
  <c r="G707" i="1" s="1"/>
  <c r="U638" i="26"/>
  <c r="G638" i="1" s="1"/>
  <c r="U278" i="26"/>
  <c r="G278" i="1" s="1"/>
  <c r="U156" i="26"/>
  <c r="G156" i="1" s="1"/>
  <c r="U1361" i="26"/>
  <c r="G1361" i="1" s="1"/>
  <c r="U1324" i="26"/>
  <c r="G1324" i="1" s="1"/>
  <c r="U1291" i="26"/>
  <c r="G1291" i="1" s="1"/>
  <c r="U622" i="26"/>
  <c r="G622" i="1" s="1"/>
  <c r="U586" i="26"/>
  <c r="G586" i="1" s="1"/>
  <c r="U550" i="26"/>
  <c r="G550" i="1" s="1"/>
  <c r="U535" i="26"/>
  <c r="G535" i="1" s="1"/>
  <c r="U361" i="26"/>
  <c r="G361" i="1" s="1"/>
  <c r="U325" i="26"/>
  <c r="G325" i="1" s="1"/>
  <c r="U118" i="26"/>
  <c r="G118" i="1" s="1"/>
  <c r="U86" i="26"/>
  <c r="G86" i="1" s="1"/>
  <c r="U1218" i="26"/>
  <c r="G1218" i="1" s="1"/>
  <c r="U1150" i="26"/>
  <c r="G1150" i="1" s="1"/>
  <c r="U1065" i="26"/>
  <c r="G1065" i="1" s="1"/>
  <c r="U1030" i="26"/>
  <c r="G1030" i="1" s="1"/>
  <c r="U948" i="26"/>
  <c r="G948" i="1" s="1"/>
  <c r="U913" i="26"/>
  <c r="G913" i="1" s="1"/>
  <c r="U860" i="26"/>
  <c r="G860" i="1" s="1"/>
  <c r="U789" i="26"/>
  <c r="G789" i="1" s="1"/>
  <c r="U739" i="26"/>
  <c r="G739" i="1" s="1"/>
  <c r="U703" i="26"/>
  <c r="G703" i="1" s="1"/>
  <c r="U666" i="26"/>
  <c r="G666" i="1" s="1"/>
  <c r="U201" i="26"/>
  <c r="G201" i="1" s="1"/>
  <c r="U167" i="26"/>
  <c r="G167" i="1" s="1"/>
  <c r="U134" i="26"/>
  <c r="G134" i="1" s="1"/>
  <c r="AD3" i="25"/>
  <c r="U1287" i="26"/>
  <c r="G1287" i="1" s="1"/>
  <c r="U614" i="26"/>
  <c r="G614" i="1" s="1"/>
  <c r="U582" i="26"/>
  <c r="G582" i="1" s="1"/>
  <c r="U408" i="26"/>
  <c r="G408" i="1" s="1"/>
  <c r="U370" i="26"/>
  <c r="G370" i="1" s="1"/>
  <c r="U338" i="26"/>
  <c r="G338" i="1" s="1"/>
  <c r="U48" i="26"/>
  <c r="G48" i="1" s="1"/>
  <c r="U1235" i="26"/>
  <c r="G1235" i="1" s="1"/>
  <c r="U1216" i="26"/>
  <c r="G1216" i="1" s="1"/>
  <c r="U1148" i="26"/>
  <c r="G1148" i="1" s="1"/>
  <c r="U1113" i="26"/>
  <c r="G1113" i="1" s="1"/>
  <c r="U1077" i="26"/>
  <c r="G1077" i="1" s="1"/>
  <c r="U1042" i="26"/>
  <c r="G1042" i="1" s="1"/>
  <c r="U941" i="26"/>
  <c r="G941" i="1" s="1"/>
  <c r="U853" i="26"/>
  <c r="G853" i="1" s="1"/>
  <c r="U818" i="26"/>
  <c r="G818" i="1" s="1"/>
  <c r="U786" i="26"/>
  <c r="G786" i="1" s="1"/>
  <c r="U697" i="26"/>
  <c r="G697" i="1" s="1"/>
  <c r="U664" i="26"/>
  <c r="G664" i="1" s="1"/>
  <c r="U251" i="26"/>
  <c r="G251" i="1" s="1"/>
  <c r="U216" i="26"/>
  <c r="G216" i="1" s="1"/>
  <c r="U148" i="26"/>
  <c r="G148" i="1" s="1"/>
  <c r="U16" i="26"/>
  <c r="G16" i="1" s="1"/>
  <c r="H16" i="1" s="1"/>
  <c r="U1278" i="26"/>
  <c r="G1278" i="1" s="1"/>
  <c r="U555" i="26"/>
  <c r="G555" i="1" s="1"/>
  <c r="U365" i="26"/>
  <c r="G365" i="1" s="1"/>
  <c r="U107" i="26"/>
  <c r="G107" i="1" s="1"/>
  <c r="U1122" i="26"/>
  <c r="G1122" i="1" s="1"/>
  <c r="U637" i="26"/>
  <c r="G637" i="1" s="1"/>
  <c r="U191" i="26"/>
  <c r="G191" i="1" s="1"/>
  <c r="U155" i="26"/>
  <c r="G155" i="1" s="1"/>
  <c r="U1323" i="26"/>
  <c r="G1323" i="1" s="1"/>
  <c r="U1288" i="26"/>
  <c r="G1288" i="1" s="1"/>
  <c r="U1255" i="26"/>
  <c r="G1255" i="1" s="1"/>
  <c r="U621" i="26"/>
  <c r="G621" i="1" s="1"/>
  <c r="U482" i="26"/>
  <c r="G482" i="1" s="1"/>
  <c r="U395" i="26"/>
  <c r="G395" i="1" s="1"/>
  <c r="U360" i="26"/>
  <c r="G360" i="1" s="1"/>
  <c r="U121" i="26"/>
  <c r="G121" i="1" s="1"/>
  <c r="U1100" i="26"/>
  <c r="G1100" i="1" s="1"/>
  <c r="U1064" i="26"/>
  <c r="G1064" i="1" s="1"/>
  <c r="U912" i="26"/>
  <c r="G912" i="1" s="1"/>
  <c r="U878" i="26"/>
  <c r="G878" i="1" s="1"/>
  <c r="U684" i="26"/>
  <c r="G684" i="1" s="1"/>
  <c r="U669" i="26"/>
  <c r="G669" i="1" s="1"/>
  <c r="U290" i="26"/>
  <c r="G290" i="1" s="1"/>
  <c r="U239" i="26"/>
  <c r="G239" i="1" s="1"/>
  <c r="U204" i="26"/>
  <c r="G204" i="1" s="1"/>
  <c r="U133" i="26"/>
  <c r="G133" i="1" s="1"/>
  <c r="U1370" i="26"/>
  <c r="G1370" i="1" s="1"/>
  <c r="U1356" i="26"/>
  <c r="G1356" i="1" s="1"/>
  <c r="U1322" i="26"/>
  <c r="G1322" i="1" s="1"/>
  <c r="U1269" i="26"/>
  <c r="G1269" i="1" s="1"/>
  <c r="U617" i="26"/>
  <c r="G617" i="1" s="1"/>
  <c r="U443" i="26"/>
  <c r="G443" i="1" s="1"/>
  <c r="U407" i="26"/>
  <c r="G407" i="1" s="1"/>
  <c r="U373" i="26"/>
  <c r="G373" i="1" s="1"/>
  <c r="U337" i="26"/>
  <c r="G337" i="1" s="1"/>
  <c r="U302" i="26"/>
  <c r="G302" i="1" s="1"/>
  <c r="U98" i="26"/>
  <c r="G98" i="1" s="1"/>
  <c r="U79" i="26"/>
  <c r="G79" i="1" s="1"/>
  <c r="U44" i="26"/>
  <c r="G44" i="1" s="1"/>
  <c r="U1231" i="26"/>
  <c r="G1231" i="1" s="1"/>
  <c r="U1198" i="26"/>
  <c r="G1198" i="1" s="1"/>
  <c r="U1144" i="26"/>
  <c r="G1144" i="1" s="1"/>
  <c r="U1112" i="26"/>
  <c r="G1112" i="1" s="1"/>
  <c r="U1076" i="26"/>
  <c r="G1076" i="1" s="1"/>
  <c r="U1041" i="26"/>
  <c r="G1041" i="1" s="1"/>
  <c r="U1006" i="26"/>
  <c r="G1006" i="1" s="1"/>
  <c r="U991" i="26"/>
  <c r="G991" i="1" s="1"/>
  <c r="U940" i="26"/>
  <c r="G940" i="1" s="1"/>
  <c r="U906" i="26"/>
  <c r="G906" i="1" s="1"/>
  <c r="U891" i="26"/>
  <c r="G891" i="1" s="1"/>
  <c r="U856" i="26"/>
  <c r="G856" i="1" s="1"/>
  <c r="U821" i="26"/>
  <c r="G821" i="1" s="1"/>
  <c r="U785" i="26"/>
  <c r="G785" i="1" s="1"/>
  <c r="U750" i="26"/>
  <c r="G750" i="1" s="1"/>
  <c r="U735" i="26"/>
  <c r="G735" i="1" s="1"/>
  <c r="U700" i="26"/>
  <c r="G700" i="1" s="1"/>
  <c r="U665" i="26"/>
  <c r="G665" i="1" s="1"/>
  <c r="U234" i="26"/>
  <c r="G234" i="1" s="1"/>
  <c r="U215" i="26"/>
  <c r="G215" i="1" s="1"/>
  <c r="U179" i="26"/>
  <c r="G179" i="1" s="1"/>
  <c r="U144" i="26"/>
  <c r="G144" i="1" s="1"/>
  <c r="U42" i="26"/>
  <c r="G42" i="1" s="1"/>
  <c r="U15" i="26"/>
  <c r="G15" i="1" s="1"/>
  <c r="H15" i="1" s="1"/>
  <c r="AD189" i="25"/>
  <c r="AE189" i="25" s="1"/>
  <c r="AD123" i="25"/>
  <c r="AD54" i="25"/>
  <c r="AD66" i="25"/>
  <c r="AE66" i="25" s="1"/>
  <c r="AD84" i="25"/>
  <c r="AE84" i="25" s="1"/>
  <c r="AD30" i="25"/>
  <c r="AD28" i="25"/>
  <c r="AD88" i="25"/>
  <c r="AE88" i="25" s="1"/>
  <c r="AD121" i="25"/>
  <c r="AD71" i="25"/>
  <c r="AE71" i="25" s="1"/>
  <c r="AD160" i="25"/>
  <c r="AD158" i="25"/>
  <c r="AF158" i="25" s="1"/>
  <c r="AD90" i="25"/>
  <c r="AD107" i="25"/>
  <c r="AE107" i="25" s="1"/>
  <c r="AD59" i="25"/>
  <c r="AD5" i="25"/>
  <c r="AD214" i="25"/>
  <c r="AE214" i="25" s="1"/>
  <c r="AD74" i="25"/>
  <c r="AE74" i="25" s="1"/>
  <c r="AD162" i="25"/>
  <c r="AD114" i="25"/>
  <c r="AE114" i="25" s="1"/>
  <c r="AD26" i="25"/>
  <c r="AE26" i="25" s="1"/>
  <c r="AD58" i="25"/>
  <c r="AD116" i="25"/>
  <c r="AD285" i="25"/>
  <c r="AD142" i="25"/>
  <c r="AD72" i="25"/>
  <c r="AE72" i="25" s="1"/>
  <c r="AD11" i="25"/>
  <c r="AD288" i="25"/>
  <c r="AE288" i="25" s="1"/>
  <c r="AD99" i="25"/>
  <c r="AD63" i="25"/>
  <c r="AD7" i="25"/>
  <c r="AD286" i="25"/>
  <c r="AE286" i="25" s="1"/>
  <c r="AD239" i="25"/>
  <c r="AE239" i="25" s="1"/>
  <c r="AD157" i="25"/>
  <c r="AE157" i="25" s="1"/>
  <c r="AD159" i="25"/>
  <c r="AD92" i="25"/>
  <c r="AE92" i="25" s="1"/>
  <c r="AD122" i="25"/>
  <c r="AE122" i="25" s="1"/>
  <c r="AD302" i="25"/>
  <c r="AE302" i="25" s="1"/>
  <c r="AD155" i="25"/>
  <c r="AF155" i="25" s="1"/>
  <c r="AD23" i="25"/>
  <c r="AE23" i="25" s="1"/>
  <c r="AD104" i="25"/>
  <c r="AE104" i="25" s="1"/>
  <c r="AD65" i="25"/>
  <c r="AD119" i="25"/>
  <c r="AE119" i="25" s="1"/>
  <c r="AD178" i="25"/>
  <c r="AD129" i="25"/>
  <c r="AD271" i="25"/>
  <c r="AD80" i="25"/>
  <c r="AD41" i="25"/>
  <c r="AD282" i="25"/>
  <c r="AE282" i="25" s="1"/>
  <c r="AD152" i="25"/>
  <c r="AD87" i="25"/>
  <c r="AD308" i="25"/>
  <c r="AE308" i="25" s="1"/>
  <c r="AD304" i="25"/>
  <c r="AE304" i="25" s="1"/>
  <c r="AD314" i="25"/>
  <c r="AD300" i="25"/>
  <c r="AE300" i="25" s="1"/>
  <c r="AD234" i="25"/>
  <c r="AE234" i="25" s="1"/>
  <c r="AD203" i="25"/>
  <c r="AE203" i="25" s="1"/>
  <c r="AD181" i="25"/>
  <c r="AD148" i="25"/>
  <c r="AD55" i="25"/>
  <c r="AE55" i="25" s="1"/>
  <c r="AD287" i="25"/>
  <c r="AE287" i="25" s="1"/>
  <c r="AD9" i="25"/>
  <c r="AD24" i="25"/>
  <c r="AD82" i="25"/>
  <c r="AE82" i="25" s="1"/>
  <c r="AD269" i="25"/>
  <c r="AE269" i="25" s="1"/>
  <c r="AD196" i="25"/>
  <c r="AD149" i="25"/>
  <c r="AD126" i="25"/>
  <c r="AE126" i="25" s="1"/>
  <c r="AD127" i="25"/>
  <c r="AD56" i="25"/>
  <c r="AE56" i="25" s="1"/>
  <c r="AD79" i="25"/>
  <c r="AE79" i="25" s="1"/>
  <c r="AD81" i="25"/>
  <c r="AE81" i="25" s="1"/>
  <c r="AD201" i="25"/>
  <c r="AF201" i="25" s="1"/>
  <c r="AD195" i="25"/>
  <c r="AE195" i="25" s="1"/>
  <c r="AD186" i="25"/>
  <c r="AD171" i="25"/>
  <c r="AE171" i="25" s="1"/>
  <c r="AD141" i="25"/>
  <c r="AE141" i="25" s="1"/>
  <c r="AD8" i="25"/>
  <c r="AD182" i="25"/>
  <c r="AD97" i="25"/>
  <c r="AD227" i="25"/>
  <c r="AD167" i="25"/>
  <c r="AD202" i="25"/>
  <c r="AD124" i="25"/>
  <c r="AD91" i="25"/>
  <c r="AE91" i="25" s="1"/>
  <c r="AD70" i="25"/>
  <c r="AD243" i="25"/>
  <c r="AD206" i="25"/>
  <c r="AE206" i="25" s="1"/>
  <c r="AD154" i="25"/>
  <c r="AD146" i="25"/>
  <c r="AE146" i="25" s="1"/>
  <c r="AD250" i="25"/>
  <c r="AE250" i="25" s="1"/>
  <c r="AD183" i="25"/>
  <c r="AE183" i="25" s="1"/>
  <c r="AD204" i="25"/>
  <c r="AE204" i="25" s="1"/>
  <c r="AD230" i="25"/>
  <c r="AE230" i="25" s="1"/>
  <c r="AD210" i="25"/>
  <c r="AD251" i="25"/>
  <c r="AD177" i="25"/>
  <c r="AE177" i="25" s="1"/>
  <c r="AD31" i="25"/>
  <c r="AD40" i="25"/>
  <c r="AE40" i="25" s="1"/>
  <c r="AD283" i="25"/>
  <c r="AE283" i="25" s="1"/>
  <c r="AD297" i="25"/>
  <c r="AE297" i="25" s="1"/>
  <c r="AD225" i="25"/>
  <c r="AE225" i="25" s="1"/>
  <c r="AD224" i="25"/>
  <c r="AD115" i="25"/>
  <c r="AD120" i="25"/>
  <c r="AE120" i="25" s="1"/>
  <c r="AD69" i="25"/>
  <c r="AF69" i="25" s="1"/>
  <c r="AD27" i="25"/>
  <c r="AE27" i="25" s="1"/>
  <c r="AD229" i="25"/>
  <c r="AE229" i="25" s="1"/>
  <c r="AD179" i="25"/>
  <c r="AE179" i="25" s="1"/>
  <c r="AD131" i="25"/>
  <c r="AE131" i="25" s="1"/>
  <c r="AD117" i="25"/>
  <c r="AD17" i="25"/>
  <c r="AD113" i="25"/>
  <c r="AD83" i="25"/>
  <c r="AD64" i="25"/>
  <c r="AD316" i="25"/>
  <c r="AE316" i="25" s="1"/>
  <c r="AD284" i="25"/>
  <c r="AE284" i="25" s="1"/>
  <c r="AD258" i="25"/>
  <c r="AD296" i="25"/>
  <c r="AD256" i="25"/>
  <c r="AD223" i="25"/>
  <c r="AD188" i="25"/>
  <c r="AE188" i="25" s="1"/>
  <c r="AD145" i="25"/>
  <c r="AD163" i="25"/>
  <c r="AE163" i="25" s="1"/>
  <c r="AD147" i="25"/>
  <c r="AD118" i="25"/>
  <c r="AD112" i="25"/>
  <c r="AD12" i="25"/>
  <c r="AD305" i="25"/>
  <c r="AE305" i="25" s="1"/>
  <c r="AD259" i="25"/>
  <c r="AD156" i="25"/>
  <c r="AD39" i="25"/>
  <c r="AE39" i="25" s="1"/>
  <c r="AD20" i="25"/>
  <c r="AD172" i="25"/>
  <c r="AE172" i="25" s="1"/>
  <c r="AD242" i="25"/>
  <c r="AD51" i="25"/>
  <c r="AE51" i="25" s="1"/>
  <c r="AD161" i="25"/>
  <c r="AF159" i="25" s="1"/>
  <c r="AD247" i="25"/>
  <c r="AE87" i="25"/>
  <c r="AD292" i="25"/>
  <c r="AE292" i="25" s="1"/>
  <c r="AD275" i="25"/>
  <c r="AE275" i="25" s="1"/>
  <c r="AD257" i="25"/>
  <c r="AE257" i="25" s="1"/>
  <c r="AD245" i="25"/>
  <c r="AD222" i="25"/>
  <c r="AD205" i="25"/>
  <c r="AD217" i="25"/>
  <c r="AD134" i="25"/>
  <c r="AD98" i="25"/>
  <c r="AE98" i="25" s="1"/>
  <c r="AD168" i="25"/>
  <c r="AD75" i="25"/>
  <c r="AD109" i="25"/>
  <c r="AD53" i="25"/>
  <c r="AD48" i="25"/>
  <c r="AE48" i="25" s="1"/>
  <c r="AD44" i="25"/>
  <c r="AE44" i="25" s="1"/>
  <c r="AD21" i="25"/>
  <c r="AD36" i="25"/>
  <c r="AD15" i="25"/>
  <c r="AD307" i="25"/>
  <c r="AE307" i="25" s="1"/>
  <c r="AD276" i="25"/>
  <c r="AE276" i="25" s="1"/>
  <c r="AD260" i="25"/>
  <c r="AD303" i="25"/>
  <c r="AE303" i="25" s="1"/>
  <c r="AD272" i="25"/>
  <c r="AE272" i="25" s="1"/>
  <c r="AD277" i="25"/>
  <c r="AD221" i="25"/>
  <c r="AE221" i="25" s="1"/>
  <c r="AD237" i="25"/>
  <c r="AE237" i="25" s="1"/>
  <c r="AD191" i="25"/>
  <c r="AE191" i="25" s="1"/>
  <c r="AD199" i="25"/>
  <c r="AE199" i="25" s="1"/>
  <c r="AD169" i="25"/>
  <c r="AE169" i="25" s="1"/>
  <c r="AD170" i="25"/>
  <c r="AD135" i="25"/>
  <c r="AE135" i="25" s="1"/>
  <c r="AD18" i="25"/>
  <c r="AD38" i="25"/>
  <c r="AF38" i="25" s="1"/>
  <c r="AD294" i="25"/>
  <c r="AE294" i="25" s="1"/>
  <c r="AD295" i="25"/>
  <c r="AD291" i="25"/>
  <c r="AE291" i="25" s="1"/>
  <c r="AD270" i="25"/>
  <c r="AD281" i="25"/>
  <c r="AD244" i="25"/>
  <c r="AE244" i="25" s="1"/>
  <c r="AD218" i="25"/>
  <c r="AE218" i="25" s="1"/>
  <c r="AD212" i="25"/>
  <c r="AE212" i="25" s="1"/>
  <c r="AD200" i="25"/>
  <c r="AE200" i="25" s="1"/>
  <c r="AD241" i="25"/>
  <c r="AD209" i="25"/>
  <c r="AD213" i="25"/>
  <c r="AD184" i="25"/>
  <c r="AF184" i="25" s="1"/>
  <c r="AD232" i="25"/>
  <c r="AE232" i="25" s="1"/>
  <c r="AD176" i="25"/>
  <c r="AD164" i="25"/>
  <c r="AD136" i="25"/>
  <c r="AE136" i="25" s="1"/>
  <c r="AD130" i="25"/>
  <c r="AD139" i="25"/>
  <c r="AD166" i="25"/>
  <c r="AD111" i="25"/>
  <c r="AD150" i="25"/>
  <c r="AF150" i="25" s="1"/>
  <c r="AD67" i="25"/>
  <c r="AD95" i="25"/>
  <c r="AE95" i="25" s="1"/>
  <c r="AD68" i="25"/>
  <c r="AD61" i="25"/>
  <c r="AD50" i="25"/>
  <c r="AD29" i="25"/>
  <c r="AD6" i="25"/>
  <c r="AF6" i="25" s="1"/>
  <c r="AD32" i="25"/>
  <c r="AD37" i="25"/>
  <c r="AE37" i="25" s="1"/>
  <c r="AD13" i="25"/>
  <c r="AD89" i="25"/>
  <c r="AD301" i="25"/>
  <c r="AE301" i="25" s="1"/>
  <c r="AD311" i="25"/>
  <c r="AE311" i="25" s="1"/>
  <c r="AD267" i="25"/>
  <c r="AE267" i="25" s="1"/>
  <c r="AD289" i="25"/>
  <c r="AD255" i="25"/>
  <c r="AE255" i="25" s="1"/>
  <c r="AD254" i="25"/>
  <c r="AE254" i="25" s="1"/>
  <c r="AD236" i="25"/>
  <c r="AE236" i="25" s="1"/>
  <c r="AD215" i="25"/>
  <c r="AE215" i="25" s="1"/>
  <c r="AD207" i="25"/>
  <c r="AE207" i="25" s="1"/>
  <c r="AD175" i="25"/>
  <c r="AE175" i="25" s="1"/>
  <c r="AD140" i="25"/>
  <c r="AE140" i="25" s="1"/>
  <c r="AD144" i="25"/>
  <c r="AD93" i="25"/>
  <c r="AE93" i="25" s="1"/>
  <c r="AD143" i="25"/>
  <c r="AD128" i="25"/>
  <c r="AE128" i="25" s="1"/>
  <c r="AD34" i="25"/>
  <c r="AE34" i="25" s="1"/>
  <c r="AD45" i="25"/>
  <c r="AE45" i="25" s="1"/>
  <c r="AD86" i="25"/>
  <c r="AD310" i="25"/>
  <c r="AD312" i="25"/>
  <c r="AD306" i="25"/>
  <c r="AE306" i="25" s="1"/>
  <c r="AD248" i="25"/>
  <c r="AD238" i="25"/>
  <c r="AE238" i="25" s="1"/>
  <c r="AD216" i="25"/>
  <c r="AE216" i="25" s="1"/>
  <c r="AD211" i="25"/>
  <c r="AD198" i="25"/>
  <c r="AE198" i="25" s="1"/>
  <c r="AD208" i="25"/>
  <c r="AE208" i="25" s="1"/>
  <c r="AD197" i="25"/>
  <c r="AF195" i="25" s="1"/>
  <c r="AD194" i="25"/>
  <c r="AE194" i="25" s="1"/>
  <c r="AD190" i="25"/>
  <c r="AE190" i="25" s="1"/>
  <c r="AD235" i="25"/>
  <c r="AE235" i="25" s="1"/>
  <c r="AD153" i="25"/>
  <c r="AD133" i="25"/>
  <c r="AD103" i="25"/>
  <c r="AE103" i="25" s="1"/>
  <c r="AD105" i="25"/>
  <c r="AD102" i="25"/>
  <c r="AD85" i="25"/>
  <c r="AE85" i="25" s="1"/>
  <c r="AD33" i="25"/>
  <c r="AE33" i="25" s="1"/>
  <c r="AD43" i="25"/>
  <c r="AE43" i="25" s="1"/>
  <c r="AD35" i="25"/>
  <c r="AD22" i="25"/>
  <c r="AD278" i="25"/>
  <c r="AD228" i="25"/>
  <c r="AE228" i="25" s="1"/>
  <c r="AD309" i="25"/>
  <c r="AE309" i="25" s="1"/>
  <c r="AD268" i="25"/>
  <c r="AD274" i="25"/>
  <c r="AE274" i="25" s="1"/>
  <c r="AD249" i="25"/>
  <c r="AE249" i="25" s="1"/>
  <c r="AD261" i="25"/>
  <c r="AE261" i="25" s="1"/>
  <c r="AD280" i="25"/>
  <c r="AD233" i="25"/>
  <c r="AD219" i="25"/>
  <c r="AD193" i="25"/>
  <c r="AE193" i="25" s="1"/>
  <c r="AD180" i="25"/>
  <c r="AE180" i="25" s="1"/>
  <c r="AD101" i="25"/>
  <c r="AD108" i="25"/>
  <c r="AE108" i="25" s="1"/>
  <c r="AD132" i="25"/>
  <c r="AD77" i="25"/>
  <c r="AD60" i="25"/>
  <c r="AD52" i="25"/>
  <c r="AE52" i="25" s="1"/>
  <c r="AD25" i="25"/>
  <c r="AD10" i="25"/>
  <c r="AF8" i="25" s="1"/>
  <c r="AD313" i="25"/>
  <c r="AE313" i="25" s="1"/>
  <c r="AD299" i="25"/>
  <c r="AE299" i="25" s="1"/>
  <c r="AD293" i="25"/>
  <c r="AE293" i="25" s="1"/>
  <c r="AD273" i="25"/>
  <c r="AE273" i="25" s="1"/>
  <c r="AD279" i="25"/>
  <c r="AE279" i="25" s="1"/>
  <c r="AD298" i="25"/>
  <c r="AD264" i="25"/>
  <c r="AE264" i="25" s="1"/>
  <c r="AD266" i="25"/>
  <c r="AE266" i="25" s="1"/>
  <c r="AD220" i="25"/>
  <c r="AE220" i="25" s="1"/>
  <c r="AD226" i="25"/>
  <c r="AE226" i="25" s="1"/>
  <c r="AD187" i="25"/>
  <c r="AE187" i="25" s="1"/>
  <c r="AD185" i="25"/>
  <c r="AE185" i="25" s="1"/>
  <c r="AD165" i="25"/>
  <c r="AE165" i="25" s="1"/>
  <c r="AD246" i="25"/>
  <c r="AD125" i="25"/>
  <c r="AE125" i="25" s="1"/>
  <c r="AD138" i="25"/>
  <c r="AE138" i="25" s="1"/>
  <c r="AD151" i="25"/>
  <c r="AD106" i="25"/>
  <c r="AF106" i="25" s="1"/>
  <c r="AD100" i="25"/>
  <c r="AD49" i="25"/>
  <c r="AE49" i="25" s="1"/>
  <c r="AD46" i="25"/>
  <c r="AE46" i="25" s="1"/>
  <c r="AD16" i="25"/>
  <c r="AE263" i="25"/>
  <c r="AE217" i="25"/>
  <c r="AE21" i="25"/>
  <c r="AE36" i="25"/>
  <c r="AE196" i="25"/>
  <c r="AF306" i="25"/>
  <c r="AE248" i="25"/>
  <c r="AE160" i="25"/>
  <c r="AE102" i="25"/>
  <c r="AF85" i="25"/>
  <c r="AE24" i="25"/>
  <c r="AF257" i="25"/>
  <c r="AE210" i="25"/>
  <c r="AE186" i="25"/>
  <c r="AE149" i="25"/>
  <c r="AE116" i="25"/>
  <c r="AF116" i="25"/>
  <c r="AE59" i="25"/>
  <c r="AE152" i="25"/>
  <c r="AE134" i="25"/>
  <c r="AE280" i="25"/>
  <c r="AF299" i="25"/>
  <c r="AE271" i="25"/>
  <c r="AE137" i="25"/>
  <c r="AF300" i="25"/>
  <c r="AE259" i="25"/>
  <c r="AE258" i="25"/>
  <c r="AE296" i="25"/>
  <c r="AE243" i="25"/>
  <c r="AE148" i="25"/>
  <c r="AE118" i="25"/>
  <c r="AE63" i="25"/>
  <c r="AF42" i="25"/>
  <c r="AE42" i="25"/>
  <c r="AE295" i="25"/>
  <c r="AE164" i="25"/>
  <c r="AE67" i="25"/>
  <c r="AE61" i="25"/>
  <c r="AE50" i="25"/>
  <c r="AD252" i="25"/>
  <c r="AE178" i="25"/>
  <c r="AF202" i="25"/>
  <c r="AE202" i="25"/>
  <c r="AE181" i="25"/>
  <c r="AE162" i="25"/>
  <c r="AE182" i="25"/>
  <c r="AE159" i="25"/>
  <c r="AE124" i="25"/>
  <c r="AE117" i="25"/>
  <c r="AE20" i="25"/>
  <c r="AF7" i="25"/>
  <c r="H318" i="25"/>
  <c r="H319" i="25" s="1"/>
  <c r="H320" i="25" s="1"/>
  <c r="H321" i="25" s="1"/>
  <c r="H322" i="25" s="1"/>
  <c r="H323" i="25" s="1"/>
  <c r="H324" i="25" s="1"/>
  <c r="H325" i="25" s="1"/>
  <c r="AD317" i="25"/>
  <c r="AE112" i="25"/>
  <c r="AD94" i="25"/>
  <c r="AD96" i="25"/>
  <c r="AE80" i="25"/>
  <c r="AD73" i="25"/>
  <c r="AF83" i="25"/>
  <c r="AE83" i="25"/>
  <c r="AD14" i="25"/>
  <c r="AE90" i="25"/>
  <c r="AD57" i="25"/>
  <c r="AE314" i="25"/>
  <c r="AD231" i="25"/>
  <c r="AE167" i="25"/>
  <c r="AD174" i="25"/>
  <c r="AE155" i="25"/>
  <c r="AE123" i="25"/>
  <c r="D319" i="25"/>
  <c r="AD262" i="25"/>
  <c r="AE224" i="25"/>
  <c r="AD240" i="25"/>
  <c r="AE99" i="25"/>
  <c r="AE97" i="25"/>
  <c r="AE65" i="25"/>
  <c r="AE64" i="25"/>
  <c r="AF78" i="25"/>
  <c r="AE78" i="25"/>
  <c r="AE54" i="25"/>
  <c r="AD315" i="25"/>
  <c r="AD192" i="25"/>
  <c r="AD47" i="25"/>
  <c r="AD290" i="25"/>
  <c r="AD265" i="25"/>
  <c r="AF264" i="25" s="1"/>
  <c r="AD76" i="25"/>
  <c r="AE32" i="25"/>
  <c r="AD173" i="25"/>
  <c r="AE75" i="25"/>
  <c r="AD253" i="25"/>
  <c r="AE241" i="25"/>
  <c r="AE28" i="25"/>
  <c r="AE58" i="25"/>
  <c r="AF30" i="25"/>
  <c r="AE30" i="25"/>
  <c r="AF148" i="25" l="1"/>
  <c r="AF248" i="25"/>
  <c r="AF276" i="25"/>
  <c r="AF156" i="25"/>
  <c r="AF145" i="25"/>
  <c r="AF162" i="25"/>
  <c r="AF54" i="25"/>
  <c r="AF157" i="25"/>
  <c r="AF237" i="25"/>
  <c r="AF34" i="25"/>
  <c r="AF268" i="25"/>
  <c r="AF247" i="25"/>
  <c r="AF31" i="25"/>
  <c r="AF181" i="25"/>
  <c r="AF65" i="25"/>
  <c r="AF123" i="25"/>
  <c r="AF238" i="25"/>
  <c r="AE106" i="25"/>
  <c r="AF25" i="25"/>
  <c r="AF223" i="25"/>
  <c r="AF112" i="25"/>
  <c r="AF154" i="25"/>
  <c r="AF225" i="25"/>
  <c r="AF142" i="25"/>
  <c r="AF121" i="25"/>
  <c r="AF53" i="25"/>
  <c r="AF114" i="25"/>
  <c r="AE38" i="25"/>
  <c r="AF37" i="25"/>
  <c r="AF62" i="25"/>
  <c r="AF64" i="25"/>
  <c r="AE158" i="25"/>
  <c r="AF77" i="25"/>
  <c r="AF210" i="25"/>
  <c r="AF61" i="25"/>
  <c r="AF117" i="25"/>
  <c r="AF70" i="25"/>
  <c r="AF9" i="25"/>
  <c r="AF63" i="25"/>
  <c r="AF28" i="25"/>
  <c r="AF98" i="25"/>
  <c r="AF292" i="25"/>
  <c r="AF302" i="25"/>
  <c r="AE69" i="25"/>
  <c r="AF307" i="25"/>
  <c r="AE223" i="25"/>
  <c r="AF24" i="25"/>
  <c r="AF217" i="25"/>
  <c r="AF308" i="25"/>
  <c r="AF27" i="25"/>
  <c r="K107" i="1" s="1"/>
  <c r="AF166" i="25"/>
  <c r="AF212" i="25"/>
  <c r="AF269" i="25"/>
  <c r="AF258" i="25"/>
  <c r="AF222" i="25"/>
  <c r="AF3" i="25"/>
  <c r="K3" i="1" s="1"/>
  <c r="Y3" i="1" s="1"/>
  <c r="AE121" i="25"/>
  <c r="AE31" i="25"/>
  <c r="AE247" i="25"/>
  <c r="AE70" i="25"/>
  <c r="AE154" i="25"/>
  <c r="AF124" i="25"/>
  <c r="AF189" i="25"/>
  <c r="AF193" i="25"/>
  <c r="AE113" i="25"/>
  <c r="AF68" i="25"/>
  <c r="K285" i="1" s="1"/>
  <c r="AE277" i="25"/>
  <c r="AF118" i="25"/>
  <c r="AF122" i="25"/>
  <c r="AF160" i="25"/>
  <c r="AF60" i="25"/>
  <c r="D26" i="32"/>
  <c r="E26" i="32" s="1"/>
  <c r="F26" i="32" s="1"/>
  <c r="AF119" i="25"/>
  <c r="AF194" i="25"/>
  <c r="K831" i="1" s="1"/>
  <c r="AF120" i="25"/>
  <c r="AF43" i="25"/>
  <c r="AE142" i="25"/>
  <c r="AE145" i="25"/>
  <c r="AF224" i="25"/>
  <c r="AF55" i="25"/>
  <c r="AF93" i="25"/>
  <c r="AF26" i="25"/>
  <c r="K101" i="1" s="1"/>
  <c r="AE150" i="25"/>
  <c r="AE156" i="25"/>
  <c r="AE25" i="25"/>
  <c r="AF304" i="25"/>
  <c r="AF131" i="25"/>
  <c r="AF35" i="25"/>
  <c r="AF153" i="25"/>
  <c r="AF87" i="25"/>
  <c r="K366" i="1" s="1"/>
  <c r="AF66" i="25"/>
  <c r="AF167" i="25"/>
  <c r="AF20" i="25"/>
  <c r="AF146" i="25"/>
  <c r="AF126" i="25"/>
  <c r="AF129" i="25"/>
  <c r="U12" i="26"/>
  <c r="U13" i="26"/>
  <c r="G13" i="1" s="1"/>
  <c r="H13" i="1" s="1"/>
  <c r="U14" i="26"/>
  <c r="G14" i="1" s="1"/>
  <c r="H14" i="1" s="1"/>
  <c r="AF4" i="25"/>
  <c r="AE227" i="25"/>
  <c r="AF271" i="25"/>
  <c r="AF305" i="25"/>
  <c r="AE268" i="25"/>
  <c r="AF180" i="25"/>
  <c r="AE161" i="25"/>
  <c r="AE201" i="25"/>
  <c r="AF176" i="25"/>
  <c r="AF161" i="25"/>
  <c r="AF314" i="25"/>
  <c r="AE147" i="25"/>
  <c r="AE127" i="25"/>
  <c r="AE168" i="25"/>
  <c r="AF186" i="25"/>
  <c r="K799" i="1" s="1"/>
  <c r="AF235" i="25"/>
  <c r="AE270" i="25"/>
  <c r="AF285" i="25"/>
  <c r="K1227" i="1" s="1"/>
  <c r="AF147" i="25"/>
  <c r="AF282" i="25"/>
  <c r="AF92" i="25"/>
  <c r="AF67" i="25"/>
  <c r="AF127" i="25"/>
  <c r="K542" i="1" s="1"/>
  <c r="AF134" i="25"/>
  <c r="AF19" i="25"/>
  <c r="AE132" i="25"/>
  <c r="AF33" i="25"/>
  <c r="AF177" i="25"/>
  <c r="AF90" i="25"/>
  <c r="AF178" i="25"/>
  <c r="AF125" i="25"/>
  <c r="K532" i="1" s="1"/>
  <c r="AF100" i="25"/>
  <c r="AF215" i="25"/>
  <c r="AF283" i="25"/>
  <c r="K1221" i="1" s="1"/>
  <c r="AF216" i="25"/>
  <c r="AF151" i="25"/>
  <c r="AF141" i="25"/>
  <c r="AF18" i="25"/>
  <c r="AE129" i="25"/>
  <c r="AE285" i="25"/>
  <c r="AF179" i="25"/>
  <c r="AF135" i="25"/>
  <c r="K575" i="1" s="1"/>
  <c r="AF294" i="25"/>
  <c r="AF152" i="25"/>
  <c r="AE143" i="25"/>
  <c r="AF23" i="25"/>
  <c r="AF293" i="25"/>
  <c r="K1265" i="1" s="1"/>
  <c r="AF32" i="25"/>
  <c r="AE68" i="25"/>
  <c r="AF295" i="25"/>
  <c r="K1273" i="1" s="1"/>
  <c r="AF200" i="25"/>
  <c r="AF266" i="25"/>
  <c r="AF52" i="25"/>
  <c r="AE100" i="25"/>
  <c r="AE166" i="25"/>
  <c r="AF144" i="25"/>
  <c r="AE29" i="25"/>
  <c r="AE53" i="25"/>
  <c r="AF284" i="25"/>
  <c r="AF187" i="25"/>
  <c r="AE151" i="25"/>
  <c r="AF149" i="25"/>
  <c r="AE35" i="25"/>
  <c r="AE153" i="25"/>
  <c r="AF198" i="25"/>
  <c r="AE310" i="25"/>
  <c r="AF143" i="25"/>
  <c r="AE176" i="25"/>
  <c r="AF270" i="25"/>
  <c r="AF233" i="25"/>
  <c r="AF29" i="25"/>
  <c r="K115" i="1" s="1"/>
  <c r="AF221" i="25"/>
  <c r="AF214" i="25"/>
  <c r="AF286" i="25"/>
  <c r="K1233" i="1" s="1"/>
  <c r="AE213" i="25"/>
  <c r="AF21" i="25"/>
  <c r="AF259" i="25"/>
  <c r="AF213" i="25"/>
  <c r="AE260" i="25"/>
  <c r="AF99" i="25"/>
  <c r="AF188" i="25"/>
  <c r="AF226" i="25"/>
  <c r="K970" i="1" s="1"/>
  <c r="AE222" i="25"/>
  <c r="AF220" i="25"/>
  <c r="AF236" i="25"/>
  <c r="K1016" i="1" s="1"/>
  <c r="AF260" i="25"/>
  <c r="AF138" i="25"/>
  <c r="K591" i="1" s="1"/>
  <c r="AF136" i="25"/>
  <c r="AF91" i="25"/>
  <c r="K15" i="1"/>
  <c r="K14" i="1"/>
  <c r="AF277" i="25"/>
  <c r="AF84" i="25"/>
  <c r="AF49" i="25"/>
  <c r="AF137" i="25"/>
  <c r="K586" i="1" s="1"/>
  <c r="AF208" i="25"/>
  <c r="AF107" i="25"/>
  <c r="AF243" i="25"/>
  <c r="K1048" i="1" s="1"/>
  <c r="AF241" i="25"/>
  <c r="AF132" i="25"/>
  <c r="AF128" i="25"/>
  <c r="AF11" i="25"/>
  <c r="AF254" i="25"/>
  <c r="K1092" i="1" s="1"/>
  <c r="AF16" i="25"/>
  <c r="AF113" i="25"/>
  <c r="AF249" i="25"/>
  <c r="K1072" i="1" s="1"/>
  <c r="AF206" i="25"/>
  <c r="AF97" i="25"/>
  <c r="AF234" i="25"/>
  <c r="AF41" i="25"/>
  <c r="AF5" i="25"/>
  <c r="K10" i="1" s="1"/>
  <c r="AF80" i="25"/>
  <c r="AF82" i="25"/>
  <c r="AF59" i="25"/>
  <c r="K244" i="1" s="1"/>
  <c r="AF175" i="25"/>
  <c r="AF255" i="25"/>
  <c r="AF199" i="25"/>
  <c r="AF139" i="25"/>
  <c r="K595" i="1" s="1"/>
  <c r="AF275" i="25"/>
  <c r="K1183" i="1" s="1"/>
  <c r="AF278" i="25"/>
  <c r="AF273" i="25"/>
  <c r="AF10" i="25"/>
  <c r="K31" i="1" s="1"/>
  <c r="AE22" i="25"/>
  <c r="AE211" i="25"/>
  <c r="AE130" i="25"/>
  <c r="AF291" i="25"/>
  <c r="K1253" i="1" s="1"/>
  <c r="AF130" i="25"/>
  <c r="K556" i="1" s="1"/>
  <c r="AE139" i="25"/>
  <c r="AE278" i="25"/>
  <c r="AF58" i="25"/>
  <c r="K243" i="1" s="1"/>
  <c r="AF232" i="25"/>
  <c r="AE256" i="25"/>
  <c r="AF163" i="25"/>
  <c r="AF108" i="25"/>
  <c r="K461" i="1" s="1"/>
  <c r="AF22" i="25"/>
  <c r="K83" i="1" s="1"/>
  <c r="AF211" i="25"/>
  <c r="AF81" i="25"/>
  <c r="AF12" i="25"/>
  <c r="K41" i="1" s="1"/>
  <c r="AF164" i="25"/>
  <c r="AF256" i="25"/>
  <c r="AE245" i="25"/>
  <c r="AF165" i="25"/>
  <c r="K705" i="1" s="1"/>
  <c r="AF274" i="25"/>
  <c r="K1182" i="1" s="1"/>
  <c r="AE109" i="25"/>
  <c r="AF311" i="25"/>
  <c r="AF101" i="25"/>
  <c r="K427" i="1" s="1"/>
  <c r="AE242" i="25"/>
  <c r="AF115" i="25"/>
  <c r="AF40" i="25"/>
  <c r="AE209" i="25"/>
  <c r="AF17" i="25"/>
  <c r="K63" i="1" s="1"/>
  <c r="AE133" i="25"/>
  <c r="AF242" i="25"/>
  <c r="AE115" i="25"/>
  <c r="AF207" i="25"/>
  <c r="AF250" i="25"/>
  <c r="AE41" i="25"/>
  <c r="AF209" i="25"/>
  <c r="K900" i="1" s="1"/>
  <c r="AE251" i="25"/>
  <c r="AF309" i="25"/>
  <c r="AE77" i="25"/>
  <c r="AE233" i="25"/>
  <c r="AF133" i="25"/>
  <c r="AF110" i="25"/>
  <c r="AF182" i="25"/>
  <c r="AF204" i="25"/>
  <c r="K877" i="1" s="1"/>
  <c r="AF39" i="25"/>
  <c r="K161" i="1" s="1"/>
  <c r="AF44" i="25"/>
  <c r="AF245" i="25"/>
  <c r="K16" i="1"/>
  <c r="K17" i="1"/>
  <c r="AF79" i="25"/>
  <c r="AF297" i="25"/>
  <c r="AF102" i="25"/>
  <c r="K431" i="1" s="1"/>
  <c r="AF36" i="25"/>
  <c r="K145" i="1" s="1"/>
  <c r="AF13" i="25"/>
  <c r="K1015" i="1"/>
  <c r="K644" i="1"/>
  <c r="K645" i="1"/>
  <c r="K646" i="1"/>
  <c r="K647" i="1"/>
  <c r="K648" i="1"/>
  <c r="K1340" i="1"/>
  <c r="K1343" i="1"/>
  <c r="K1341" i="1"/>
  <c r="K1342" i="1"/>
  <c r="K387" i="1"/>
  <c r="K384" i="1"/>
  <c r="K385" i="1"/>
  <c r="K386" i="1"/>
  <c r="K251" i="1"/>
  <c r="K252" i="1"/>
  <c r="K249" i="1"/>
  <c r="K250" i="1"/>
  <c r="K1356" i="1"/>
  <c r="K1353" i="1"/>
  <c r="K1354" i="1"/>
  <c r="K1355" i="1"/>
  <c r="K969" i="1"/>
  <c r="K966" i="1"/>
  <c r="K967" i="1"/>
  <c r="K968" i="1"/>
  <c r="K523" i="1"/>
  <c r="K524" i="1"/>
  <c r="K525" i="1"/>
  <c r="K526" i="1"/>
  <c r="K522" i="1"/>
  <c r="K866" i="1"/>
  <c r="K867" i="1"/>
  <c r="K868" i="1"/>
  <c r="K869" i="1"/>
  <c r="K44" i="1"/>
  <c r="K45" i="1"/>
  <c r="K46" i="1"/>
  <c r="K47" i="1"/>
  <c r="K48" i="1"/>
  <c r="K279" i="1"/>
  <c r="K280" i="1"/>
  <c r="K281" i="1"/>
  <c r="K282" i="1"/>
  <c r="K898" i="1"/>
  <c r="K219" i="1"/>
  <c r="K220" i="1"/>
  <c r="K221" i="1"/>
  <c r="K222" i="1"/>
  <c r="K218" i="1"/>
  <c r="K23" i="1"/>
  <c r="K24" i="1"/>
  <c r="K25" i="1"/>
  <c r="K26" i="1"/>
  <c r="K1113" i="1"/>
  <c r="K1110" i="1"/>
  <c r="K1111" i="1"/>
  <c r="K1112" i="1"/>
  <c r="K1292" i="1"/>
  <c r="K1293" i="1"/>
  <c r="K1294" i="1"/>
  <c r="K1295" i="1"/>
  <c r="K801" i="1"/>
  <c r="K802" i="1"/>
  <c r="K803" i="1"/>
  <c r="K804" i="1"/>
  <c r="K1169" i="1"/>
  <c r="K1166" i="1"/>
  <c r="K1167" i="1"/>
  <c r="K1168" i="1"/>
  <c r="K59" i="1"/>
  <c r="K60" i="1"/>
  <c r="K61" i="1"/>
  <c r="K57" i="1"/>
  <c r="K58" i="1"/>
  <c r="K1181" i="1"/>
  <c r="K99" i="1"/>
  <c r="K100" i="1"/>
  <c r="K96" i="1"/>
  <c r="K97" i="1"/>
  <c r="K98" i="1"/>
  <c r="K798" i="1"/>
  <c r="K566" i="1"/>
  <c r="K567" i="1"/>
  <c r="K568" i="1"/>
  <c r="K569" i="1"/>
  <c r="K929" i="1"/>
  <c r="K930" i="1"/>
  <c r="K927" i="1"/>
  <c r="K928" i="1"/>
  <c r="K1097" i="1"/>
  <c r="K1098" i="1"/>
  <c r="K1099" i="1"/>
  <c r="K1100" i="1"/>
  <c r="K1096" i="1"/>
  <c r="K713" i="1"/>
  <c r="K709" i="1"/>
  <c r="K710" i="1"/>
  <c r="K711" i="1"/>
  <c r="K712" i="1"/>
  <c r="K857" i="1"/>
  <c r="K858" i="1"/>
  <c r="K859" i="1"/>
  <c r="K860" i="1"/>
  <c r="K861" i="1"/>
  <c r="K1188" i="1"/>
  <c r="K1189" i="1"/>
  <c r="K1190" i="1"/>
  <c r="K1191" i="1"/>
  <c r="K1053" i="1"/>
  <c r="K1054" i="1"/>
  <c r="K1055" i="1"/>
  <c r="K1056" i="1"/>
  <c r="K1281" i="1"/>
  <c r="K1282" i="1"/>
  <c r="K1279" i="1"/>
  <c r="K1280" i="1"/>
  <c r="K931" i="1"/>
  <c r="K932" i="1"/>
  <c r="K933" i="1"/>
  <c r="K934" i="1"/>
  <c r="K935" i="1"/>
  <c r="AF103" i="25"/>
  <c r="K836" i="1"/>
  <c r="K837" i="1"/>
  <c r="K838" i="1"/>
  <c r="K839" i="1"/>
  <c r="AF310" i="25"/>
  <c r="K614" i="1"/>
  <c r="K615" i="1"/>
  <c r="K616" i="1"/>
  <c r="K617" i="1"/>
  <c r="AF288" i="25"/>
  <c r="K467" i="1"/>
  <c r="K468" i="1"/>
  <c r="K469" i="1"/>
  <c r="K466" i="1"/>
  <c r="K779" i="1"/>
  <c r="K780" i="1"/>
  <c r="K781" i="1"/>
  <c r="K782" i="1"/>
  <c r="AF280" i="25"/>
  <c r="AF169" i="25"/>
  <c r="AF48" i="25"/>
  <c r="K875" i="1"/>
  <c r="K627" i="1"/>
  <c r="K628" i="1"/>
  <c r="K629" i="1"/>
  <c r="K630" i="1"/>
  <c r="K327" i="1"/>
  <c r="K328" i="1"/>
  <c r="K329" i="1"/>
  <c r="K330" i="1"/>
  <c r="K118" i="1"/>
  <c r="K119" i="1"/>
  <c r="K120" i="1"/>
  <c r="K121" i="1"/>
  <c r="K122" i="1"/>
  <c r="K227" i="1"/>
  <c r="K228" i="1"/>
  <c r="K229" i="1"/>
  <c r="K230" i="1"/>
  <c r="K1075" i="1"/>
  <c r="K1076" i="1"/>
  <c r="K1077" i="1"/>
  <c r="K1078" i="1"/>
  <c r="K762" i="1"/>
  <c r="K763" i="1"/>
  <c r="K764" i="1"/>
  <c r="K765" i="1"/>
  <c r="K166" i="1"/>
  <c r="K167" i="1"/>
  <c r="K168" i="1"/>
  <c r="K169" i="1"/>
  <c r="K171" i="1"/>
  <c r="K172" i="1"/>
  <c r="K173" i="1"/>
  <c r="K174" i="1"/>
  <c r="K170" i="1"/>
  <c r="K603" i="1"/>
  <c r="K604" i="1"/>
  <c r="K601" i="1"/>
  <c r="K602" i="1"/>
  <c r="K179" i="1"/>
  <c r="K180" i="1"/>
  <c r="K181" i="1"/>
  <c r="K182" i="1"/>
  <c r="K183" i="1"/>
  <c r="K259" i="1"/>
  <c r="K260" i="1"/>
  <c r="K261" i="1"/>
  <c r="K257" i="1"/>
  <c r="K258" i="1"/>
  <c r="K667" i="1"/>
  <c r="K666" i="1"/>
  <c r="K668" i="1"/>
  <c r="K669" i="1"/>
  <c r="K585" i="1"/>
  <c r="K651" i="1"/>
  <c r="K652" i="1"/>
  <c r="K649" i="1"/>
  <c r="K650" i="1"/>
  <c r="K214" i="1"/>
  <c r="K215" i="1"/>
  <c r="K216" i="1"/>
  <c r="K217" i="1"/>
  <c r="K275" i="1"/>
  <c r="K276" i="1"/>
  <c r="K277" i="1"/>
  <c r="K278" i="1"/>
  <c r="K459" i="1"/>
  <c r="K1009" i="1"/>
  <c r="K1005" i="1"/>
  <c r="K1006" i="1"/>
  <c r="K1007" i="1"/>
  <c r="K1008" i="1"/>
  <c r="K1105" i="1"/>
  <c r="K1106" i="1"/>
  <c r="K1107" i="1"/>
  <c r="K1108" i="1"/>
  <c r="K1109" i="1"/>
  <c r="K175" i="1"/>
  <c r="K176" i="1"/>
  <c r="K177" i="1"/>
  <c r="K178" i="1"/>
  <c r="K357" i="1"/>
  <c r="K358" i="1"/>
  <c r="K359" i="1"/>
  <c r="K360" i="1"/>
  <c r="K361" i="1"/>
  <c r="K892" i="1"/>
  <c r="K893" i="1"/>
  <c r="K894" i="1"/>
  <c r="K895" i="1"/>
  <c r="K896" i="1"/>
  <c r="K35" i="1"/>
  <c r="K36" i="1"/>
  <c r="K37" i="1"/>
  <c r="K38" i="1"/>
  <c r="K39" i="1"/>
  <c r="K611" i="1"/>
  <c r="K612" i="1"/>
  <c r="K613" i="1"/>
  <c r="K609" i="1"/>
  <c r="K610" i="1"/>
  <c r="K1137" i="1"/>
  <c r="K1138" i="1"/>
  <c r="K1139" i="1"/>
  <c r="K1136" i="1"/>
  <c r="K1121" i="1"/>
  <c r="K1122" i="1"/>
  <c r="K1118" i="1"/>
  <c r="K1119" i="1"/>
  <c r="K1120" i="1"/>
  <c r="K339" i="1"/>
  <c r="K336" i="1"/>
  <c r="K337" i="1"/>
  <c r="K338" i="1"/>
  <c r="K810" i="1"/>
  <c r="K811" i="1"/>
  <c r="K812" i="1"/>
  <c r="K813" i="1"/>
  <c r="K1018" i="1"/>
  <c r="K1019" i="1"/>
  <c r="K1020" i="1"/>
  <c r="K1021" i="1"/>
  <c r="K515" i="1"/>
  <c r="K516" i="1"/>
  <c r="K517" i="1"/>
  <c r="K514" i="1"/>
  <c r="K1065" i="1"/>
  <c r="K1062" i="1"/>
  <c r="K1063" i="1"/>
  <c r="K1064" i="1"/>
  <c r="K1217" i="1"/>
  <c r="K1214" i="1"/>
  <c r="K1215" i="1"/>
  <c r="K1216" i="1"/>
  <c r="K267" i="1"/>
  <c r="K268" i="1"/>
  <c r="K269" i="1"/>
  <c r="K266" i="1"/>
  <c r="K619" i="1"/>
  <c r="K620" i="1"/>
  <c r="K621" i="1"/>
  <c r="K622" i="1"/>
  <c r="K618" i="1"/>
  <c r="K662" i="1"/>
  <c r="K663" i="1"/>
  <c r="K664" i="1"/>
  <c r="K665" i="1"/>
  <c r="K527" i="1"/>
  <c r="K528" i="1"/>
  <c r="K529" i="1"/>
  <c r="K530" i="1"/>
  <c r="K557" i="1"/>
  <c r="K558" i="1"/>
  <c r="K559" i="1"/>
  <c r="K560" i="1"/>
  <c r="K561" i="1"/>
  <c r="K694" i="1"/>
  <c r="K695" i="1"/>
  <c r="K696" i="1"/>
  <c r="K692" i="1"/>
  <c r="K693" i="1"/>
  <c r="K104" i="1"/>
  <c r="K643" i="1"/>
  <c r="K640" i="1"/>
  <c r="K641" i="1"/>
  <c r="K642" i="1"/>
  <c r="K913" i="1"/>
  <c r="K910" i="1"/>
  <c r="K911" i="1"/>
  <c r="K912" i="1"/>
  <c r="K483" i="1"/>
  <c r="K484" i="1"/>
  <c r="K485" i="1"/>
  <c r="K486" i="1"/>
  <c r="K487" i="1"/>
  <c r="K590" i="1"/>
  <c r="K1289" i="1"/>
  <c r="K1290" i="1"/>
  <c r="K1291" i="1"/>
  <c r="K1288" i="1"/>
  <c r="K1153" i="1"/>
  <c r="K1154" i="1"/>
  <c r="K1155" i="1"/>
  <c r="K1156" i="1"/>
  <c r="K1332" i="1"/>
  <c r="K1331" i="1"/>
  <c r="K1333" i="1"/>
  <c r="K1334" i="1"/>
  <c r="AE60" i="25"/>
  <c r="K492" i="1"/>
  <c r="K493" i="1"/>
  <c r="K494" i="1"/>
  <c r="K495" i="1"/>
  <c r="K496" i="1"/>
  <c r="AE101" i="25"/>
  <c r="K827" i="1"/>
  <c r="K828" i="1"/>
  <c r="K829" i="1"/>
  <c r="K830" i="1"/>
  <c r="K27" i="1"/>
  <c r="K28" i="1"/>
  <c r="K29" i="1"/>
  <c r="K30" i="1"/>
  <c r="K653" i="1"/>
  <c r="K654" i="1"/>
  <c r="K655" i="1"/>
  <c r="K656" i="1"/>
  <c r="AF140" i="25"/>
  <c r="K922" i="1"/>
  <c r="K923" i="1"/>
  <c r="K924" i="1"/>
  <c r="K925" i="1"/>
  <c r="K926" i="1"/>
  <c r="AF185" i="25"/>
  <c r="AF272" i="25"/>
  <c r="K123" i="1"/>
  <c r="K124" i="1"/>
  <c r="K125" i="1"/>
  <c r="K126" i="1"/>
  <c r="K411" i="1"/>
  <c r="K412" i="1"/>
  <c r="K413" i="1"/>
  <c r="K409" i="1"/>
  <c r="K410" i="1"/>
  <c r="K883" i="1"/>
  <c r="K884" i="1"/>
  <c r="K885" i="1"/>
  <c r="K886" i="1"/>
  <c r="K887" i="1"/>
  <c r="K678" i="1"/>
  <c r="K675" i="1"/>
  <c r="K676" i="1"/>
  <c r="K677" i="1"/>
  <c r="K507" i="1"/>
  <c r="K508" i="1"/>
  <c r="K505" i="1"/>
  <c r="K506" i="1"/>
  <c r="K1219" i="1"/>
  <c r="K605" i="1"/>
  <c r="K606" i="1"/>
  <c r="K607" i="1"/>
  <c r="K608" i="1"/>
  <c r="K1301" i="1"/>
  <c r="K1302" i="1"/>
  <c r="K1303" i="1"/>
  <c r="K1304" i="1"/>
  <c r="K388" i="1"/>
  <c r="K389" i="1"/>
  <c r="K390" i="1"/>
  <c r="K391" i="1"/>
  <c r="K379" i="1"/>
  <c r="K380" i="1"/>
  <c r="K381" i="1"/>
  <c r="K382" i="1"/>
  <c r="K383" i="1"/>
  <c r="K395" i="1"/>
  <c r="K392" i="1"/>
  <c r="K393" i="1"/>
  <c r="K394" i="1"/>
  <c r="K19" i="1"/>
  <c r="K20" i="1"/>
  <c r="K21" i="1"/>
  <c r="K22" i="1"/>
  <c r="K18" i="1"/>
  <c r="K769" i="1"/>
  <c r="K766" i="1"/>
  <c r="K767" i="1"/>
  <c r="K768" i="1"/>
  <c r="K865" i="1"/>
  <c r="K862" i="1"/>
  <c r="K863" i="1"/>
  <c r="K864" i="1"/>
  <c r="K1271" i="1"/>
  <c r="K291" i="1"/>
  <c r="K288" i="1"/>
  <c r="K289" i="1"/>
  <c r="K290" i="1"/>
  <c r="K853" i="1"/>
  <c r="K854" i="1"/>
  <c r="K855" i="1"/>
  <c r="K856" i="1"/>
  <c r="K949" i="1"/>
  <c r="K950" i="1"/>
  <c r="K951" i="1"/>
  <c r="K952" i="1"/>
  <c r="K262" i="1"/>
  <c r="K263" i="1"/>
  <c r="K264" i="1"/>
  <c r="K265" i="1"/>
  <c r="K635" i="1"/>
  <c r="K631" i="1"/>
  <c r="K632" i="1"/>
  <c r="K633" i="1"/>
  <c r="K634" i="1"/>
  <c r="K1225" i="1"/>
  <c r="K1226" i="1"/>
  <c r="K1223" i="1"/>
  <c r="K1224" i="1"/>
  <c r="K347" i="1"/>
  <c r="K348" i="1"/>
  <c r="K344" i="1"/>
  <c r="K345" i="1"/>
  <c r="K346" i="1"/>
  <c r="K203" i="1"/>
  <c r="K204" i="1"/>
  <c r="K201" i="1"/>
  <c r="K202" i="1"/>
  <c r="K849" i="1"/>
  <c r="K850" i="1"/>
  <c r="K851" i="1"/>
  <c r="K852" i="1"/>
  <c r="K1066" i="1"/>
  <c r="K1067" i="1"/>
  <c r="K1068" i="1"/>
  <c r="K1069" i="1"/>
  <c r="K1070" i="1"/>
  <c r="K1255" i="1"/>
  <c r="K555" i="1"/>
  <c r="K340" i="1"/>
  <c r="K341" i="1"/>
  <c r="K342" i="1"/>
  <c r="K343" i="1"/>
  <c r="K109" i="1"/>
  <c r="K110" i="1"/>
  <c r="K111" i="1"/>
  <c r="K112" i="1"/>
  <c r="K113" i="1"/>
  <c r="K1329" i="1"/>
  <c r="K1327" i="1"/>
  <c r="K1328" i="1"/>
  <c r="K1330" i="1"/>
  <c r="K292" i="1"/>
  <c r="K293" i="1"/>
  <c r="K294" i="1"/>
  <c r="K295" i="1"/>
  <c r="K690" i="1"/>
  <c r="K688" i="1"/>
  <c r="K689" i="1"/>
  <c r="K691" i="1"/>
  <c r="K962" i="1"/>
  <c r="K963" i="1"/>
  <c r="K964" i="1"/>
  <c r="K965" i="1"/>
  <c r="K91" i="1"/>
  <c r="K88" i="1"/>
  <c r="K89" i="1"/>
  <c r="K90" i="1"/>
  <c r="K714" i="1"/>
  <c r="K715" i="1"/>
  <c r="K716" i="1"/>
  <c r="K717" i="1"/>
  <c r="K43" i="1"/>
  <c r="K682" i="1"/>
  <c r="K679" i="1"/>
  <c r="K680" i="1"/>
  <c r="K681" i="1"/>
  <c r="K997" i="1"/>
  <c r="K998" i="1"/>
  <c r="K999" i="1"/>
  <c r="K1000" i="1"/>
  <c r="K149" i="1"/>
  <c r="K150" i="1"/>
  <c r="K151" i="1"/>
  <c r="K152" i="1"/>
  <c r="K253" i="1"/>
  <c r="K254" i="1"/>
  <c r="K255" i="1"/>
  <c r="K256" i="1"/>
  <c r="K1187" i="1"/>
  <c r="K509" i="1"/>
  <c r="K510" i="1"/>
  <c r="K511" i="1"/>
  <c r="K512" i="1"/>
  <c r="K513" i="1"/>
  <c r="K501" i="1"/>
  <c r="K502" i="1"/>
  <c r="K503" i="1"/>
  <c r="K504" i="1"/>
  <c r="K1197" i="1"/>
  <c r="K1198" i="1"/>
  <c r="K1199" i="1"/>
  <c r="K1200" i="1"/>
  <c r="K1145" i="1"/>
  <c r="K1146" i="1"/>
  <c r="K1147" i="1"/>
  <c r="K1148" i="1"/>
  <c r="K1144" i="1"/>
  <c r="K571" i="1"/>
  <c r="K572" i="1"/>
  <c r="K573" i="1"/>
  <c r="K574" i="1"/>
  <c r="K570" i="1"/>
  <c r="K945" i="1"/>
  <c r="K946" i="1"/>
  <c r="K947" i="1"/>
  <c r="K948" i="1"/>
  <c r="K944" i="1"/>
  <c r="K770" i="1"/>
  <c r="K771" i="1"/>
  <c r="K772" i="1"/>
  <c r="K773" i="1"/>
  <c r="K774" i="1"/>
  <c r="K1313" i="1"/>
  <c r="K1310" i="1"/>
  <c r="K1311" i="1"/>
  <c r="K1312" i="1"/>
  <c r="K131" i="1"/>
  <c r="K132" i="1"/>
  <c r="K133" i="1"/>
  <c r="K134" i="1"/>
  <c r="K1010" i="1"/>
  <c r="K1011" i="1"/>
  <c r="K1012" i="1"/>
  <c r="K1013" i="1"/>
  <c r="K1321" i="1"/>
  <c r="K1318" i="1"/>
  <c r="K1319" i="1"/>
  <c r="K1320" i="1"/>
  <c r="K1322" i="1"/>
  <c r="K139" i="1"/>
  <c r="K135" i="1"/>
  <c r="K136" i="1"/>
  <c r="K137" i="1"/>
  <c r="K138" i="1"/>
  <c r="K539" i="1"/>
  <c r="K536" i="1"/>
  <c r="K537" i="1"/>
  <c r="K538" i="1"/>
  <c r="K1162" i="1"/>
  <c r="K1163" i="1"/>
  <c r="K1164" i="1"/>
  <c r="K1165" i="1"/>
  <c r="K79" i="1"/>
  <c r="K80" i="1"/>
  <c r="K81" i="1"/>
  <c r="K82" i="1"/>
  <c r="K549" i="1"/>
  <c r="K550" i="1"/>
  <c r="K551" i="1"/>
  <c r="K552" i="1"/>
  <c r="K475" i="1"/>
  <c r="K476" i="1"/>
  <c r="K477" i="1"/>
  <c r="K478" i="1"/>
  <c r="K75" i="1"/>
  <c r="K76" i="1"/>
  <c r="K77" i="1"/>
  <c r="K78" i="1"/>
  <c r="K623" i="1"/>
  <c r="K624" i="1"/>
  <c r="K625" i="1"/>
  <c r="K626" i="1"/>
  <c r="K777" i="1"/>
  <c r="K778" i="1"/>
  <c r="K775" i="1"/>
  <c r="K776" i="1"/>
  <c r="K788" i="1"/>
  <c r="K789" i="1"/>
  <c r="K790" i="1"/>
  <c r="K791" i="1"/>
  <c r="K809" i="1"/>
  <c r="K805" i="1"/>
  <c r="K806" i="1"/>
  <c r="K807" i="1"/>
  <c r="K808" i="1"/>
  <c r="K1193" i="1"/>
  <c r="K1194" i="1"/>
  <c r="K1195" i="1"/>
  <c r="K1196" i="1"/>
  <c r="K1192" i="1"/>
  <c r="K921" i="1"/>
  <c r="K918" i="1"/>
  <c r="K919" i="1"/>
  <c r="K920" i="1"/>
  <c r="K698" i="1"/>
  <c r="K697" i="1"/>
  <c r="K699" i="1"/>
  <c r="K700" i="1"/>
  <c r="K1114" i="1"/>
  <c r="K1115" i="1"/>
  <c r="K1116" i="1"/>
  <c r="K1117" i="1"/>
  <c r="K355" i="1"/>
  <c r="K356" i="1"/>
  <c r="K353" i="1"/>
  <c r="K354" i="1"/>
  <c r="K531" i="1"/>
  <c r="K961" i="1"/>
  <c r="K957" i="1"/>
  <c r="K958" i="1"/>
  <c r="K959" i="1"/>
  <c r="K960" i="1"/>
  <c r="K423" i="1"/>
  <c r="K424" i="1"/>
  <c r="K425" i="1"/>
  <c r="K426" i="1"/>
  <c r="K70" i="1"/>
  <c r="K71" i="1"/>
  <c r="K72" i="1"/>
  <c r="K73" i="1"/>
  <c r="K74" i="1"/>
  <c r="K323" i="1"/>
  <c r="K324" i="1"/>
  <c r="K325" i="1"/>
  <c r="K326" i="1"/>
  <c r="K563" i="1"/>
  <c r="K564" i="1"/>
  <c r="K565" i="1"/>
  <c r="K562" i="1"/>
  <c r="K901" i="1"/>
  <c r="K902" i="1"/>
  <c r="K903" i="1"/>
  <c r="K904" i="1"/>
  <c r="K140" i="1"/>
  <c r="K141" i="1"/>
  <c r="K142" i="1"/>
  <c r="K143" i="1"/>
  <c r="K419" i="1"/>
  <c r="K420" i="1"/>
  <c r="K421" i="1"/>
  <c r="K422" i="1"/>
  <c r="K418" i="1"/>
  <c r="K453" i="1"/>
  <c r="K454" i="1"/>
  <c r="K455" i="1"/>
  <c r="K456" i="1"/>
  <c r="K270" i="1"/>
  <c r="K271" i="1"/>
  <c r="K272" i="1"/>
  <c r="K273" i="1"/>
  <c r="K274" i="1"/>
  <c r="K761" i="1"/>
  <c r="K757" i="1"/>
  <c r="K758" i="1"/>
  <c r="K759" i="1"/>
  <c r="K760" i="1"/>
  <c r="K1041" i="1"/>
  <c r="K1042" i="1"/>
  <c r="K1043" i="1"/>
  <c r="K1040" i="1"/>
  <c r="K349" i="1"/>
  <c r="K350" i="1"/>
  <c r="K351" i="1"/>
  <c r="K352" i="1"/>
  <c r="K499" i="1"/>
  <c r="K500" i="1"/>
  <c r="K497" i="1"/>
  <c r="K498" i="1"/>
  <c r="K491" i="1"/>
  <c r="K488" i="1"/>
  <c r="K489" i="1"/>
  <c r="K490" i="1"/>
  <c r="K1161" i="1"/>
  <c r="K1157" i="1"/>
  <c r="K1158" i="1"/>
  <c r="K1159" i="1"/>
  <c r="K1160" i="1"/>
  <c r="K284" i="1"/>
  <c r="K702" i="1"/>
  <c r="K701" i="1"/>
  <c r="K703" i="1"/>
  <c r="K704" i="1"/>
  <c r="K1101" i="1"/>
  <c r="K1102" i="1"/>
  <c r="K1103" i="1"/>
  <c r="K1104" i="1"/>
  <c r="K1266" i="1"/>
  <c r="K1267" i="1"/>
  <c r="K1268" i="1"/>
  <c r="K1269" i="1"/>
  <c r="K1270" i="1"/>
  <c r="K1314" i="1"/>
  <c r="K1315" i="1"/>
  <c r="K1316" i="1"/>
  <c r="K1317" i="1"/>
  <c r="K1324" i="1"/>
  <c r="K1323" i="1"/>
  <c r="K1325" i="1"/>
  <c r="K1326" i="1"/>
  <c r="K1177" i="1"/>
  <c r="K1178" i="1"/>
  <c r="K1175" i="1"/>
  <c r="K1176" i="1"/>
  <c r="K518" i="1"/>
  <c r="K519" i="1"/>
  <c r="K520" i="1"/>
  <c r="K521" i="1"/>
  <c r="K636" i="1"/>
  <c r="K637" i="1"/>
  <c r="K638" i="1"/>
  <c r="K639" i="1"/>
  <c r="K106" i="1"/>
  <c r="K686" i="1"/>
  <c r="K684" i="1"/>
  <c r="K685" i="1"/>
  <c r="K687" i="1"/>
  <c r="K683" i="1"/>
  <c r="K835" i="1"/>
  <c r="K905" i="1"/>
  <c r="K906" i="1"/>
  <c r="K907" i="1"/>
  <c r="K908" i="1"/>
  <c r="K909" i="1"/>
  <c r="K547" i="1"/>
  <c r="K548" i="1"/>
  <c r="K544" i="1"/>
  <c r="K545" i="1"/>
  <c r="K546" i="1"/>
  <c r="K749" i="1"/>
  <c r="K750" i="1"/>
  <c r="K751" i="1"/>
  <c r="K752" i="1"/>
  <c r="K914" i="1"/>
  <c r="K915" i="1"/>
  <c r="K916" i="1"/>
  <c r="K917" i="1"/>
  <c r="K579" i="1"/>
  <c r="K580" i="1"/>
  <c r="K581" i="1"/>
  <c r="K582" i="1"/>
  <c r="K583" i="1"/>
  <c r="AF267" i="25"/>
  <c r="K753" i="1"/>
  <c r="K754" i="1"/>
  <c r="K755" i="1"/>
  <c r="K756" i="1"/>
  <c r="AF218" i="25"/>
  <c r="K67" i="1"/>
  <c r="K68" i="1"/>
  <c r="K69" i="1"/>
  <c r="K66" i="1"/>
  <c r="K1025" i="1"/>
  <c r="K1026" i="1"/>
  <c r="K1022" i="1"/>
  <c r="K1023" i="1"/>
  <c r="K1024" i="1"/>
  <c r="K160" i="1"/>
  <c r="K127" i="1"/>
  <c r="K128" i="1"/>
  <c r="K129" i="1"/>
  <c r="K130" i="1"/>
  <c r="K223" i="1"/>
  <c r="K224" i="1"/>
  <c r="K225" i="1"/>
  <c r="K226" i="1"/>
  <c r="K1036" i="1"/>
  <c r="K1037" i="1"/>
  <c r="K1038" i="1"/>
  <c r="K1039" i="1"/>
  <c r="K670" i="1"/>
  <c r="K674" i="1"/>
  <c r="K673" i="1"/>
  <c r="K671" i="1"/>
  <c r="K672" i="1"/>
  <c r="K659" i="1"/>
  <c r="K657" i="1"/>
  <c r="K658" i="1"/>
  <c r="K660" i="1"/>
  <c r="K661" i="1"/>
  <c r="K479" i="1"/>
  <c r="K480" i="1"/>
  <c r="K481" i="1"/>
  <c r="K482" i="1"/>
  <c r="K889" i="1"/>
  <c r="K890" i="1"/>
  <c r="K891" i="1"/>
  <c r="K888" i="1"/>
  <c r="K163" i="1"/>
  <c r="K164" i="1"/>
  <c r="K165" i="1"/>
  <c r="K162" i="1"/>
  <c r="K155" i="1"/>
  <c r="K156" i="1"/>
  <c r="K153" i="1"/>
  <c r="K154" i="1"/>
  <c r="K62" i="1"/>
  <c r="K451" i="1"/>
  <c r="K452" i="1"/>
  <c r="K448" i="1"/>
  <c r="K449" i="1"/>
  <c r="K450" i="1"/>
  <c r="K953" i="1"/>
  <c r="K954" i="1"/>
  <c r="K955" i="1"/>
  <c r="K956" i="1"/>
  <c r="K1001" i="1"/>
  <c r="K1002" i="1"/>
  <c r="K1003" i="1"/>
  <c r="K1004" i="1"/>
  <c r="K414" i="1"/>
  <c r="K415" i="1"/>
  <c r="K416" i="1"/>
  <c r="K417" i="1"/>
  <c r="K92" i="1"/>
  <c r="K93" i="1"/>
  <c r="K94" i="1"/>
  <c r="K95" i="1"/>
  <c r="K1257" i="1"/>
  <c r="K1258" i="1"/>
  <c r="K1259" i="1"/>
  <c r="K1260" i="1"/>
  <c r="K1261" i="1"/>
  <c r="AF203" i="25"/>
  <c r="AF239" i="25"/>
  <c r="AE184" i="25"/>
  <c r="AF50" i="25"/>
  <c r="AF296" i="25"/>
  <c r="AF298" i="25"/>
  <c r="AF197" i="25"/>
  <c r="AE144" i="25"/>
  <c r="AF196" i="25"/>
  <c r="AF104" i="25"/>
  <c r="AE111" i="25"/>
  <c r="AF168" i="25"/>
  <c r="AE298" i="25"/>
  <c r="AE105" i="25"/>
  <c r="AE197" i="25"/>
  <c r="AF312" i="25"/>
  <c r="AF86" i="25"/>
  <c r="AE86" i="25"/>
  <c r="AF46" i="25"/>
  <c r="AF111" i="25"/>
  <c r="AE246" i="25"/>
  <c r="AE205" i="25"/>
  <c r="AF105" i="25"/>
  <c r="AE312" i="25"/>
  <c r="AE289" i="25"/>
  <c r="AF287" i="25"/>
  <c r="AF14" i="25"/>
  <c r="AE281" i="25"/>
  <c r="AF303" i="25"/>
  <c r="AF227" i="25"/>
  <c r="AF246" i="25"/>
  <c r="AE219" i="25"/>
  <c r="AF205" i="25"/>
  <c r="AF301" i="25"/>
  <c r="AF109" i="25"/>
  <c r="AF89" i="25"/>
  <c r="AF88" i="25"/>
  <c r="AE89" i="25"/>
  <c r="AF15" i="25"/>
  <c r="AF281" i="25"/>
  <c r="AF170" i="25"/>
  <c r="AF228" i="25"/>
  <c r="AF279" i="25"/>
  <c r="AF219" i="25"/>
  <c r="AF51" i="25"/>
  <c r="AF183" i="25"/>
  <c r="AE170" i="25"/>
  <c r="AF244" i="25"/>
  <c r="AF96" i="25"/>
  <c r="AE96" i="25"/>
  <c r="AE290" i="25"/>
  <c r="AF290" i="25"/>
  <c r="AF231" i="25"/>
  <c r="AE231" i="25"/>
  <c r="AD318" i="25"/>
  <c r="AF316" i="25" s="1"/>
  <c r="AF230" i="25"/>
  <c r="AE173" i="25"/>
  <c r="AF173" i="25"/>
  <c r="AF253" i="25"/>
  <c r="AE253" i="25"/>
  <c r="AF289" i="25"/>
  <c r="AF76" i="25"/>
  <c r="AE76" i="25"/>
  <c r="AF262" i="25"/>
  <c r="AE262" i="25"/>
  <c r="AD319" i="25"/>
  <c r="D320" i="25"/>
  <c r="D321" i="25" s="1"/>
  <c r="D322" i="25" s="1"/>
  <c r="D323" i="25" s="1"/>
  <c r="D324" i="25" s="1"/>
  <c r="D325" i="25" s="1"/>
  <c r="AE317" i="25"/>
  <c r="AF251" i="25"/>
  <c r="AF313" i="25"/>
  <c r="AF74" i="25"/>
  <c r="AF47" i="25"/>
  <c r="AE47" i="25"/>
  <c r="AF73" i="25"/>
  <c r="AE73" i="25"/>
  <c r="AF75" i="25"/>
  <c r="AE192" i="25"/>
  <c r="AF192" i="25"/>
  <c r="AF240" i="25"/>
  <c r="AE240" i="25"/>
  <c r="AE252" i="25"/>
  <c r="AF252" i="25"/>
  <c r="AF229" i="25"/>
  <c r="AF265" i="25"/>
  <c r="AE265" i="25"/>
  <c r="AF315" i="25"/>
  <c r="AE315" i="25"/>
  <c r="AF72" i="25"/>
  <c r="AE174" i="25"/>
  <c r="AF174" i="25"/>
  <c r="AF57" i="25"/>
  <c r="AE57" i="25"/>
  <c r="AF56" i="25"/>
  <c r="AF191" i="25"/>
  <c r="AF261" i="25"/>
  <c r="AF45" i="25"/>
  <c r="AF95" i="25"/>
  <c r="AF71" i="25"/>
  <c r="AF172" i="25"/>
  <c r="AF171" i="25"/>
  <c r="AF263" i="25"/>
  <c r="AF94" i="25"/>
  <c r="AE94" i="25"/>
  <c r="AF190" i="25"/>
  <c r="L3" i="1" l="1"/>
  <c r="U3" i="1" s="1"/>
  <c r="V3" i="1"/>
  <c r="C32" i="32"/>
  <c r="K4" i="1"/>
  <c r="K1017" i="1"/>
  <c r="L10" i="1"/>
  <c r="K543" i="1"/>
  <c r="K159" i="1"/>
  <c r="K834" i="1"/>
  <c r="K105" i="1"/>
  <c r="K283" i="1"/>
  <c r="K1186" i="1"/>
  <c r="K589" i="1"/>
  <c r="K103" i="1"/>
  <c r="K584" i="1"/>
  <c r="K797" i="1"/>
  <c r="K1180" i="1"/>
  <c r="K1014" i="1"/>
  <c r="G12" i="1"/>
  <c r="H12" i="1" s="1"/>
  <c r="D13" i="32"/>
  <c r="E13" i="32" s="1"/>
  <c r="F13" i="32" s="1"/>
  <c r="K158" i="1"/>
  <c r="K833" i="1"/>
  <c r="K108" i="1"/>
  <c r="K114" i="1"/>
  <c r="K1185" i="1"/>
  <c r="K1264" i="1"/>
  <c r="K588" i="1"/>
  <c r="K102" i="1"/>
  <c r="K587" i="1"/>
  <c r="K1179" i="1"/>
  <c r="K541" i="1"/>
  <c r="K157" i="1"/>
  <c r="K117" i="1"/>
  <c r="K87" i="1"/>
  <c r="K1263" i="1"/>
  <c r="K369" i="1"/>
  <c r="K540" i="1"/>
  <c r="K1095" i="1"/>
  <c r="K116" i="1"/>
  <c r="K535" i="1"/>
  <c r="K86" i="1"/>
  <c r="K1262" i="1"/>
  <c r="K368" i="1"/>
  <c r="K65" i="1"/>
  <c r="K1094" i="1"/>
  <c r="K287" i="1"/>
  <c r="K534" i="1"/>
  <c r="K554" i="1"/>
  <c r="K85" i="1"/>
  <c r="K144" i="1"/>
  <c r="K367" i="1"/>
  <c r="K64" i="1"/>
  <c r="K1093" i="1"/>
  <c r="K832" i="1"/>
  <c r="K286" i="1"/>
  <c r="K533" i="1"/>
  <c r="K1184" i="1"/>
  <c r="K553" i="1"/>
  <c r="K84" i="1"/>
  <c r="K800" i="1"/>
  <c r="K148" i="1"/>
  <c r="K9" i="1"/>
  <c r="K5" i="1"/>
  <c r="K6" i="1"/>
  <c r="K7" i="1"/>
  <c r="K8" i="1"/>
  <c r="K248" i="1"/>
  <c r="K1272" i="1"/>
  <c r="K1220" i="1"/>
  <c r="K1231" i="1"/>
  <c r="K1046" i="1"/>
  <c r="K1274" i="1"/>
  <c r="K1218" i="1"/>
  <c r="K1230" i="1"/>
  <c r="K578" i="1"/>
  <c r="K241" i="1"/>
  <c r="K1229" i="1"/>
  <c r="K1074" i="1"/>
  <c r="K577" i="1"/>
  <c r="K1228" i="1"/>
  <c r="K576" i="1"/>
  <c r="K1222" i="1"/>
  <c r="K1047" i="1"/>
  <c r="K40" i="1"/>
  <c r="K242" i="1"/>
  <c r="K1232" i="1"/>
  <c r="K1071" i="1"/>
  <c r="K247" i="1"/>
  <c r="K1045" i="1"/>
  <c r="K974" i="1"/>
  <c r="K240" i="1"/>
  <c r="K1235" i="1"/>
  <c r="K1073" i="1"/>
  <c r="K246" i="1"/>
  <c r="K1044" i="1"/>
  <c r="K34" i="1"/>
  <c r="K973" i="1"/>
  <c r="K1234" i="1"/>
  <c r="K245" i="1"/>
  <c r="K33" i="1"/>
  <c r="K972" i="1"/>
  <c r="K32" i="1"/>
  <c r="K971" i="1"/>
  <c r="K42" i="1"/>
  <c r="K429" i="1"/>
  <c r="K11" i="1"/>
  <c r="K12" i="1"/>
  <c r="K13" i="1"/>
  <c r="L15" i="1"/>
  <c r="L14" i="1"/>
  <c r="K1256" i="1"/>
  <c r="K460" i="1"/>
  <c r="K876" i="1"/>
  <c r="K899" i="1"/>
  <c r="K430" i="1"/>
  <c r="K594" i="1"/>
  <c r="K1254" i="1"/>
  <c r="K897" i="1"/>
  <c r="K428" i="1"/>
  <c r="K708" i="1"/>
  <c r="K593" i="1"/>
  <c r="K707" i="1"/>
  <c r="K592" i="1"/>
  <c r="K706" i="1"/>
  <c r="K596" i="1"/>
  <c r="K458" i="1"/>
  <c r="K434" i="1"/>
  <c r="K457" i="1"/>
  <c r="K878" i="1"/>
  <c r="K433" i="1"/>
  <c r="K435" i="1"/>
  <c r="L145" i="1"/>
  <c r="L431" i="1"/>
  <c r="L1259" i="1"/>
  <c r="L890" i="1"/>
  <c r="L1258" i="1"/>
  <c r="L415" i="1"/>
  <c r="L449" i="1"/>
  <c r="L62" i="1"/>
  <c r="L155" i="1"/>
  <c r="L889" i="1"/>
  <c r="L657" i="1"/>
  <c r="L1038" i="1"/>
  <c r="L129" i="1"/>
  <c r="L1024" i="1"/>
  <c r="L67" i="1"/>
  <c r="L582" i="1"/>
  <c r="L546" i="1"/>
  <c r="L906" i="1"/>
  <c r="L687" i="1"/>
  <c r="L639" i="1"/>
  <c r="L1317" i="1"/>
  <c r="L1266" i="1"/>
  <c r="L702" i="1"/>
  <c r="L489" i="1"/>
  <c r="L351" i="1"/>
  <c r="L759" i="1"/>
  <c r="L270" i="1"/>
  <c r="L420" i="1"/>
  <c r="L902" i="1"/>
  <c r="L324" i="1"/>
  <c r="L425" i="1"/>
  <c r="L535" i="1"/>
  <c r="L355" i="1"/>
  <c r="L698" i="1"/>
  <c r="L1194" i="1"/>
  <c r="L790" i="1"/>
  <c r="L625" i="1"/>
  <c r="L477" i="1"/>
  <c r="L81" i="1"/>
  <c r="L537" i="1"/>
  <c r="L1322" i="1"/>
  <c r="L1010" i="1"/>
  <c r="L1313" i="1"/>
  <c r="L947" i="1"/>
  <c r="L1144" i="1"/>
  <c r="L1197" i="1"/>
  <c r="L510" i="1"/>
  <c r="L152" i="1"/>
  <c r="L681" i="1"/>
  <c r="L717" i="1"/>
  <c r="L965" i="1"/>
  <c r="L295" i="1"/>
  <c r="L113" i="1"/>
  <c r="L340" i="1"/>
  <c r="L1253" i="1"/>
  <c r="L850" i="1"/>
  <c r="L201" i="1"/>
  <c r="L346" i="1"/>
  <c r="L1225" i="1"/>
  <c r="L263" i="1"/>
  <c r="L854" i="1"/>
  <c r="L766" i="1"/>
  <c r="L393" i="1"/>
  <c r="L391" i="1"/>
  <c r="L608" i="1"/>
  <c r="L1265" i="1"/>
  <c r="L678" i="1"/>
  <c r="L413" i="1"/>
  <c r="L924" i="1"/>
  <c r="L30" i="1"/>
  <c r="L1333" i="1"/>
  <c r="L1291" i="1"/>
  <c r="L486" i="1"/>
  <c r="L642" i="1"/>
  <c r="L693" i="1"/>
  <c r="L558" i="1"/>
  <c r="L663" i="1"/>
  <c r="L269" i="1"/>
  <c r="L1063" i="1"/>
  <c r="L812" i="1"/>
  <c r="L1119" i="1"/>
  <c r="L610" i="1"/>
  <c r="L36" i="1"/>
  <c r="L360" i="1"/>
  <c r="L1109" i="1"/>
  <c r="L1005" i="1"/>
  <c r="L277" i="1"/>
  <c r="L649" i="1"/>
  <c r="L668" i="1"/>
  <c r="L183" i="1"/>
  <c r="L603" i="1"/>
  <c r="L167" i="1"/>
  <c r="L1076" i="1"/>
  <c r="L120" i="1"/>
  <c r="L629" i="1"/>
  <c r="L468" i="1"/>
  <c r="L839" i="1"/>
  <c r="L932" i="1"/>
  <c r="L1054" i="1"/>
  <c r="L859" i="1"/>
  <c r="L1096" i="1"/>
  <c r="L929" i="1"/>
  <c r="L803" i="1"/>
  <c r="L1111" i="1"/>
  <c r="L222" i="1"/>
  <c r="L282" i="1"/>
  <c r="L44" i="1"/>
  <c r="L524" i="1"/>
  <c r="L1353" i="1"/>
  <c r="L249" i="1"/>
  <c r="L647" i="1"/>
  <c r="K147" i="1"/>
  <c r="L366" i="1"/>
  <c r="L1260" i="1"/>
  <c r="L416" i="1"/>
  <c r="L450" i="1"/>
  <c r="L156" i="1"/>
  <c r="L1257" i="1"/>
  <c r="L414" i="1"/>
  <c r="L448" i="1"/>
  <c r="L162" i="1"/>
  <c r="L482" i="1"/>
  <c r="L659" i="1"/>
  <c r="L1037" i="1"/>
  <c r="L128" i="1"/>
  <c r="L1023" i="1"/>
  <c r="L581" i="1"/>
  <c r="L545" i="1"/>
  <c r="L905" i="1"/>
  <c r="L685" i="1"/>
  <c r="L638" i="1"/>
  <c r="L1316" i="1"/>
  <c r="L1104" i="1"/>
  <c r="L115" i="1"/>
  <c r="L488" i="1"/>
  <c r="L350" i="1"/>
  <c r="L758" i="1"/>
  <c r="L456" i="1"/>
  <c r="L419" i="1"/>
  <c r="L901" i="1"/>
  <c r="L323" i="1"/>
  <c r="L424" i="1"/>
  <c r="L1117" i="1"/>
  <c r="L920" i="1"/>
  <c r="L1193" i="1"/>
  <c r="L789" i="1"/>
  <c r="L624" i="1"/>
  <c r="L476" i="1"/>
  <c r="L80" i="1"/>
  <c r="L536" i="1"/>
  <c r="L1320" i="1"/>
  <c r="L134" i="1"/>
  <c r="L774" i="1"/>
  <c r="L946" i="1"/>
  <c r="L1148" i="1"/>
  <c r="L504" i="1"/>
  <c r="L509" i="1"/>
  <c r="L151" i="1"/>
  <c r="L680" i="1"/>
  <c r="L716" i="1"/>
  <c r="L964" i="1"/>
  <c r="L294" i="1"/>
  <c r="L112" i="1"/>
  <c r="L1070" i="1"/>
  <c r="L849" i="1"/>
  <c r="L204" i="1"/>
  <c r="L345" i="1"/>
  <c r="L634" i="1"/>
  <c r="L262" i="1"/>
  <c r="L853" i="1"/>
  <c r="L1273" i="1"/>
  <c r="L769" i="1"/>
  <c r="L392" i="1"/>
  <c r="L390" i="1"/>
  <c r="L607" i="1"/>
  <c r="L506" i="1"/>
  <c r="L887" i="1"/>
  <c r="L412" i="1"/>
  <c r="L923" i="1"/>
  <c r="L29" i="1"/>
  <c r="L496" i="1"/>
  <c r="L1331" i="1"/>
  <c r="L1290" i="1"/>
  <c r="L485" i="1"/>
  <c r="L641" i="1"/>
  <c r="L692" i="1"/>
  <c r="L557" i="1"/>
  <c r="L662" i="1"/>
  <c r="L268" i="1"/>
  <c r="L1062" i="1"/>
  <c r="L811" i="1"/>
  <c r="L1118" i="1"/>
  <c r="L609" i="1"/>
  <c r="L35" i="1"/>
  <c r="L359" i="1"/>
  <c r="L1108" i="1"/>
  <c r="L1009" i="1"/>
  <c r="L276" i="1"/>
  <c r="L652" i="1"/>
  <c r="L666" i="1"/>
  <c r="L182" i="1"/>
  <c r="L170" i="1"/>
  <c r="L166" i="1"/>
  <c r="L1075" i="1"/>
  <c r="L119" i="1"/>
  <c r="L628" i="1"/>
  <c r="L467" i="1"/>
  <c r="L838" i="1"/>
  <c r="L931" i="1"/>
  <c r="L1053" i="1"/>
  <c r="L858" i="1"/>
  <c r="L1100" i="1"/>
  <c r="L569" i="1"/>
  <c r="L98" i="1"/>
  <c r="L802" i="1"/>
  <c r="L1110" i="1"/>
  <c r="L221" i="1"/>
  <c r="L281" i="1"/>
  <c r="L869" i="1"/>
  <c r="L523" i="1"/>
  <c r="L1356" i="1"/>
  <c r="L252" i="1"/>
  <c r="L646" i="1"/>
  <c r="L1016" i="1"/>
  <c r="L95" i="1"/>
  <c r="L1004" i="1"/>
  <c r="L244" i="1"/>
  <c r="L452" i="1"/>
  <c r="L542" i="1"/>
  <c r="L165" i="1"/>
  <c r="L481" i="1"/>
  <c r="L672" i="1"/>
  <c r="L1036" i="1"/>
  <c r="L127" i="1"/>
  <c r="L1022" i="1"/>
  <c r="L756" i="1"/>
  <c r="L580" i="1"/>
  <c r="L544" i="1"/>
  <c r="L684" i="1"/>
  <c r="L637" i="1"/>
  <c r="L1315" i="1"/>
  <c r="L1103" i="1"/>
  <c r="L1160" i="1"/>
  <c r="L491" i="1"/>
  <c r="L349" i="1"/>
  <c r="L757" i="1"/>
  <c r="L455" i="1"/>
  <c r="L143" i="1"/>
  <c r="L562" i="1"/>
  <c r="L74" i="1"/>
  <c r="L423" i="1"/>
  <c r="L1116" i="1"/>
  <c r="L919" i="1"/>
  <c r="L808" i="1"/>
  <c r="L788" i="1"/>
  <c r="L623" i="1"/>
  <c r="L475" i="1"/>
  <c r="L79" i="1"/>
  <c r="L539" i="1"/>
  <c r="L1319" i="1"/>
  <c r="L133" i="1"/>
  <c r="L773" i="1"/>
  <c r="L945" i="1"/>
  <c r="L1147" i="1"/>
  <c r="L503" i="1"/>
  <c r="L150" i="1"/>
  <c r="L679" i="1"/>
  <c r="L715" i="1"/>
  <c r="L963" i="1"/>
  <c r="L293" i="1"/>
  <c r="L111" i="1"/>
  <c r="L553" i="1"/>
  <c r="L1069" i="1"/>
  <c r="L87" i="1"/>
  <c r="L203" i="1"/>
  <c r="L344" i="1"/>
  <c r="L633" i="1"/>
  <c r="L952" i="1"/>
  <c r="L290" i="1"/>
  <c r="L864" i="1"/>
  <c r="L18" i="1"/>
  <c r="L395" i="1"/>
  <c r="L389" i="1"/>
  <c r="L606" i="1"/>
  <c r="L505" i="1"/>
  <c r="L886" i="1"/>
  <c r="L411" i="1"/>
  <c r="L922" i="1"/>
  <c r="L28" i="1"/>
  <c r="L495" i="1"/>
  <c r="L1332" i="1"/>
  <c r="L1289" i="1"/>
  <c r="L484" i="1"/>
  <c r="L640" i="1"/>
  <c r="L696" i="1"/>
  <c r="L530" i="1"/>
  <c r="L618" i="1"/>
  <c r="L267" i="1"/>
  <c r="L1065" i="1"/>
  <c r="L1227" i="1"/>
  <c r="L810" i="1"/>
  <c r="L1122" i="1"/>
  <c r="L613" i="1"/>
  <c r="L896" i="1"/>
  <c r="L358" i="1"/>
  <c r="L1107" i="1"/>
  <c r="L275" i="1"/>
  <c r="L651" i="1"/>
  <c r="L667" i="1"/>
  <c r="L181" i="1"/>
  <c r="L174" i="1"/>
  <c r="L765" i="1"/>
  <c r="L230" i="1"/>
  <c r="L118" i="1"/>
  <c r="L627" i="1"/>
  <c r="L782" i="1"/>
  <c r="L837" i="1"/>
  <c r="L1280" i="1"/>
  <c r="L1191" i="1"/>
  <c r="L857" i="1"/>
  <c r="L1099" i="1"/>
  <c r="L568" i="1"/>
  <c r="L97" i="1"/>
  <c r="L58" i="1"/>
  <c r="L801" i="1"/>
  <c r="L1113" i="1"/>
  <c r="L220" i="1"/>
  <c r="L280" i="1"/>
  <c r="L868" i="1"/>
  <c r="L968" i="1"/>
  <c r="L251" i="1"/>
  <c r="L427" i="1"/>
  <c r="L645" i="1"/>
  <c r="L1015" i="1"/>
  <c r="L94" i="1"/>
  <c r="L956" i="1"/>
  <c r="L164" i="1"/>
  <c r="L480" i="1"/>
  <c r="L671" i="1"/>
  <c r="L226" i="1"/>
  <c r="L161" i="1"/>
  <c r="L1026" i="1"/>
  <c r="L755" i="1"/>
  <c r="L579" i="1"/>
  <c r="L1092" i="1"/>
  <c r="L548" i="1"/>
  <c r="L831" i="1"/>
  <c r="L686" i="1"/>
  <c r="L636" i="1"/>
  <c r="L31" i="1"/>
  <c r="L705" i="1"/>
  <c r="L1314" i="1"/>
  <c r="L1102" i="1"/>
  <c r="L285" i="1"/>
  <c r="L1159" i="1"/>
  <c r="L498" i="1"/>
  <c r="L1040" i="1"/>
  <c r="L761" i="1"/>
  <c r="L454" i="1"/>
  <c r="L142" i="1"/>
  <c r="L565" i="1"/>
  <c r="L73" i="1"/>
  <c r="L960" i="1"/>
  <c r="L532" i="1"/>
  <c r="L1115" i="1"/>
  <c r="L918" i="1"/>
  <c r="L807" i="1"/>
  <c r="L776" i="1"/>
  <c r="L78" i="1"/>
  <c r="L552" i="1"/>
  <c r="L1165" i="1"/>
  <c r="L138" i="1"/>
  <c r="L1318" i="1"/>
  <c r="L132" i="1"/>
  <c r="L772" i="1"/>
  <c r="L570" i="1"/>
  <c r="L1146" i="1"/>
  <c r="L502" i="1"/>
  <c r="L1183" i="1"/>
  <c r="L595" i="1"/>
  <c r="L149" i="1"/>
  <c r="L682" i="1"/>
  <c r="L714" i="1"/>
  <c r="L962" i="1"/>
  <c r="L292" i="1"/>
  <c r="L110" i="1"/>
  <c r="L556" i="1"/>
  <c r="L1068" i="1"/>
  <c r="L348" i="1"/>
  <c r="L632" i="1"/>
  <c r="L951" i="1"/>
  <c r="L289" i="1"/>
  <c r="L863" i="1"/>
  <c r="L22" i="1"/>
  <c r="L383" i="1"/>
  <c r="L388" i="1"/>
  <c r="L605" i="1"/>
  <c r="L508" i="1"/>
  <c r="L885" i="1"/>
  <c r="L126" i="1"/>
  <c r="L27" i="1"/>
  <c r="L494" i="1"/>
  <c r="L1156" i="1"/>
  <c r="L591" i="1"/>
  <c r="L483" i="1"/>
  <c r="L643" i="1"/>
  <c r="L695" i="1"/>
  <c r="L529" i="1"/>
  <c r="L622" i="1"/>
  <c r="L1216" i="1"/>
  <c r="L514" i="1"/>
  <c r="L1021" i="1"/>
  <c r="L338" i="1"/>
  <c r="L1121" i="1"/>
  <c r="L612" i="1"/>
  <c r="L895" i="1"/>
  <c r="L357" i="1"/>
  <c r="L1106" i="1"/>
  <c r="L217" i="1"/>
  <c r="L586" i="1"/>
  <c r="L258" i="1"/>
  <c r="L180" i="1"/>
  <c r="L173" i="1"/>
  <c r="L764" i="1"/>
  <c r="L229" i="1"/>
  <c r="L330" i="1"/>
  <c r="L781" i="1"/>
  <c r="L617" i="1"/>
  <c r="L836" i="1"/>
  <c r="L1279" i="1"/>
  <c r="L1190" i="1"/>
  <c r="L712" i="1"/>
  <c r="L1098" i="1"/>
  <c r="L567" i="1"/>
  <c r="L96" i="1"/>
  <c r="L57" i="1"/>
  <c r="L1168" i="1"/>
  <c r="L1295" i="1"/>
  <c r="L26" i="1"/>
  <c r="L219" i="1"/>
  <c r="L279" i="1"/>
  <c r="L867" i="1"/>
  <c r="L967" i="1"/>
  <c r="L386" i="1"/>
  <c r="L1342" i="1"/>
  <c r="L644" i="1"/>
  <c r="L1014" i="1"/>
  <c r="L1003" i="1"/>
  <c r="L451" i="1"/>
  <c r="L93" i="1"/>
  <c r="L1002" i="1"/>
  <c r="L955" i="1"/>
  <c r="L1048" i="1"/>
  <c r="L575" i="1"/>
  <c r="L163" i="1"/>
  <c r="L479" i="1"/>
  <c r="L673" i="1"/>
  <c r="L225" i="1"/>
  <c r="L160" i="1"/>
  <c r="L1025" i="1"/>
  <c r="L754" i="1"/>
  <c r="L917" i="1"/>
  <c r="L752" i="1"/>
  <c r="L547" i="1"/>
  <c r="L835" i="1"/>
  <c r="L106" i="1"/>
  <c r="L521" i="1"/>
  <c r="L1176" i="1"/>
  <c r="L1326" i="1"/>
  <c r="L1270" i="1"/>
  <c r="L1101" i="1"/>
  <c r="L284" i="1"/>
  <c r="L1158" i="1"/>
  <c r="L497" i="1"/>
  <c r="L1043" i="1"/>
  <c r="L274" i="1"/>
  <c r="L453" i="1"/>
  <c r="L141" i="1"/>
  <c r="L564" i="1"/>
  <c r="L72" i="1"/>
  <c r="L959" i="1"/>
  <c r="L531" i="1"/>
  <c r="L1114" i="1"/>
  <c r="L921" i="1"/>
  <c r="L806" i="1"/>
  <c r="L775" i="1"/>
  <c r="L77" i="1"/>
  <c r="L551" i="1"/>
  <c r="L1164" i="1"/>
  <c r="L137" i="1"/>
  <c r="L1321" i="1"/>
  <c r="L131" i="1"/>
  <c r="L771" i="1"/>
  <c r="L574" i="1"/>
  <c r="L1145" i="1"/>
  <c r="L501" i="1"/>
  <c r="L1187" i="1"/>
  <c r="L256" i="1"/>
  <c r="L1000" i="1"/>
  <c r="L90" i="1"/>
  <c r="L691" i="1"/>
  <c r="L1330" i="1"/>
  <c r="L109" i="1"/>
  <c r="L555" i="1"/>
  <c r="L1067" i="1"/>
  <c r="L347" i="1"/>
  <c r="L631" i="1"/>
  <c r="L950" i="1"/>
  <c r="L288" i="1"/>
  <c r="L862" i="1"/>
  <c r="L21" i="1"/>
  <c r="L382" i="1"/>
  <c r="L1304" i="1"/>
  <c r="L507" i="1"/>
  <c r="L243" i="1"/>
  <c r="L884" i="1"/>
  <c r="L125" i="1"/>
  <c r="L656" i="1"/>
  <c r="L830" i="1"/>
  <c r="L493" i="1"/>
  <c r="L1155" i="1"/>
  <c r="L590" i="1"/>
  <c r="L912" i="1"/>
  <c r="L104" i="1"/>
  <c r="L694" i="1"/>
  <c r="L528" i="1"/>
  <c r="L621" i="1"/>
  <c r="L1215" i="1"/>
  <c r="L517" i="1"/>
  <c r="L1020" i="1"/>
  <c r="L337" i="1"/>
  <c r="L1136" i="1"/>
  <c r="L611" i="1"/>
  <c r="L894" i="1"/>
  <c r="L178" i="1"/>
  <c r="L1105" i="1"/>
  <c r="L461" i="1"/>
  <c r="L216" i="1"/>
  <c r="L585" i="1"/>
  <c r="L257" i="1"/>
  <c r="L179" i="1"/>
  <c r="L172" i="1"/>
  <c r="L763" i="1"/>
  <c r="L228" i="1"/>
  <c r="L329" i="1"/>
  <c r="L877" i="1"/>
  <c r="L780" i="1"/>
  <c r="L616" i="1"/>
  <c r="L1282" i="1"/>
  <c r="L1189" i="1"/>
  <c r="L711" i="1"/>
  <c r="L1097" i="1"/>
  <c r="L566" i="1"/>
  <c r="L100" i="1"/>
  <c r="L61" i="1"/>
  <c r="L1167" i="1"/>
  <c r="L1294" i="1"/>
  <c r="L25" i="1"/>
  <c r="L900" i="1"/>
  <c r="L48" i="1"/>
  <c r="L866" i="1"/>
  <c r="L966" i="1"/>
  <c r="K432" i="1"/>
  <c r="L385" i="1"/>
  <c r="L1341" i="1"/>
  <c r="K146" i="1"/>
  <c r="L1261" i="1"/>
  <c r="L92" i="1"/>
  <c r="L1001" i="1"/>
  <c r="L954" i="1"/>
  <c r="L154" i="1"/>
  <c r="L888" i="1"/>
  <c r="L661" i="1"/>
  <c r="L674" i="1"/>
  <c r="L224" i="1"/>
  <c r="L66" i="1"/>
  <c r="L753" i="1"/>
  <c r="L916" i="1"/>
  <c r="L751" i="1"/>
  <c r="L909" i="1"/>
  <c r="L105" i="1"/>
  <c r="L520" i="1"/>
  <c r="L1175" i="1"/>
  <c r="L1325" i="1"/>
  <c r="L1269" i="1"/>
  <c r="L704" i="1"/>
  <c r="L1157" i="1"/>
  <c r="L500" i="1"/>
  <c r="L1042" i="1"/>
  <c r="L273" i="1"/>
  <c r="L418" i="1"/>
  <c r="L140" i="1"/>
  <c r="L563" i="1"/>
  <c r="L71" i="1"/>
  <c r="L958" i="1"/>
  <c r="L354" i="1"/>
  <c r="L700" i="1"/>
  <c r="L1192" i="1"/>
  <c r="L805" i="1"/>
  <c r="L778" i="1"/>
  <c r="L76" i="1"/>
  <c r="L550" i="1"/>
  <c r="L1163" i="1"/>
  <c r="L136" i="1"/>
  <c r="L1013" i="1"/>
  <c r="L1312" i="1"/>
  <c r="L770" i="1"/>
  <c r="L573" i="1"/>
  <c r="L1200" i="1"/>
  <c r="L513" i="1"/>
  <c r="L255" i="1"/>
  <c r="L999" i="1"/>
  <c r="L41" i="1"/>
  <c r="L89" i="1"/>
  <c r="L689" i="1"/>
  <c r="L1328" i="1"/>
  <c r="L343" i="1"/>
  <c r="L1066" i="1"/>
  <c r="L1224" i="1"/>
  <c r="L635" i="1"/>
  <c r="L949" i="1"/>
  <c r="L291" i="1"/>
  <c r="L865" i="1"/>
  <c r="L20" i="1"/>
  <c r="L381" i="1"/>
  <c r="L1303" i="1"/>
  <c r="L1221" i="1"/>
  <c r="L1264" i="1"/>
  <c r="L677" i="1"/>
  <c r="L883" i="1"/>
  <c r="L124" i="1"/>
  <c r="L1233" i="1"/>
  <c r="L655" i="1"/>
  <c r="L829" i="1"/>
  <c r="L492" i="1"/>
  <c r="L1154" i="1"/>
  <c r="L911" i="1"/>
  <c r="L561" i="1"/>
  <c r="L527" i="1"/>
  <c r="L620" i="1"/>
  <c r="L1214" i="1"/>
  <c r="L516" i="1"/>
  <c r="L1019" i="1"/>
  <c r="L336" i="1"/>
  <c r="L1139" i="1"/>
  <c r="L39" i="1"/>
  <c r="L893" i="1"/>
  <c r="L177" i="1"/>
  <c r="L1008" i="1"/>
  <c r="L215" i="1"/>
  <c r="L261" i="1"/>
  <c r="L602" i="1"/>
  <c r="L171" i="1"/>
  <c r="L762" i="1"/>
  <c r="L227" i="1"/>
  <c r="L328" i="1"/>
  <c r="L779" i="1"/>
  <c r="L615" i="1"/>
  <c r="L935" i="1"/>
  <c r="L1281" i="1"/>
  <c r="L1188" i="1"/>
  <c r="L710" i="1"/>
  <c r="L928" i="1"/>
  <c r="L99" i="1"/>
  <c r="L60" i="1"/>
  <c r="L1166" i="1"/>
  <c r="L1293" i="1"/>
  <c r="L24" i="1"/>
  <c r="L47" i="1"/>
  <c r="L522" i="1"/>
  <c r="L969" i="1"/>
  <c r="L384" i="1"/>
  <c r="L1343" i="1"/>
  <c r="K331" i="1"/>
  <c r="K332" i="1"/>
  <c r="K333" i="1"/>
  <c r="K334" i="1"/>
  <c r="K335" i="1"/>
  <c r="L953" i="1"/>
  <c r="L153" i="1"/>
  <c r="L891" i="1"/>
  <c r="L660" i="1"/>
  <c r="L670" i="1"/>
  <c r="L223" i="1"/>
  <c r="L69" i="1"/>
  <c r="L915" i="1"/>
  <c r="L750" i="1"/>
  <c r="L908" i="1"/>
  <c r="L519" i="1"/>
  <c r="L1178" i="1"/>
  <c r="L1323" i="1"/>
  <c r="L1268" i="1"/>
  <c r="L703" i="1"/>
  <c r="L114" i="1"/>
  <c r="L1161" i="1"/>
  <c r="L499" i="1"/>
  <c r="L1041" i="1"/>
  <c r="L272" i="1"/>
  <c r="L422" i="1"/>
  <c r="L904" i="1"/>
  <c r="L326" i="1"/>
  <c r="L70" i="1"/>
  <c r="L957" i="1"/>
  <c r="L353" i="1"/>
  <c r="L699" i="1"/>
  <c r="L1196" i="1"/>
  <c r="L809" i="1"/>
  <c r="L777" i="1"/>
  <c r="L75" i="1"/>
  <c r="L549" i="1"/>
  <c r="L1162" i="1"/>
  <c r="L135" i="1"/>
  <c r="L1012" i="1"/>
  <c r="L1311" i="1"/>
  <c r="L944" i="1"/>
  <c r="L572" i="1"/>
  <c r="L1199" i="1"/>
  <c r="L512" i="1"/>
  <c r="L254" i="1"/>
  <c r="L998" i="1"/>
  <c r="L88" i="1"/>
  <c r="L688" i="1"/>
  <c r="L1327" i="1"/>
  <c r="L342" i="1"/>
  <c r="L1255" i="1"/>
  <c r="L852" i="1"/>
  <c r="L83" i="1"/>
  <c r="L1223" i="1"/>
  <c r="L265" i="1"/>
  <c r="L856" i="1"/>
  <c r="L768" i="1"/>
  <c r="L19" i="1"/>
  <c r="L380" i="1"/>
  <c r="L1302" i="1"/>
  <c r="L676" i="1"/>
  <c r="L410" i="1"/>
  <c r="L123" i="1"/>
  <c r="L926" i="1"/>
  <c r="L654" i="1"/>
  <c r="L828" i="1"/>
  <c r="L1153" i="1"/>
  <c r="L910" i="1"/>
  <c r="L560" i="1"/>
  <c r="L665" i="1"/>
  <c r="L619" i="1"/>
  <c r="L1217" i="1"/>
  <c r="L515" i="1"/>
  <c r="L1018" i="1"/>
  <c r="L339" i="1"/>
  <c r="L1138" i="1"/>
  <c r="L38" i="1"/>
  <c r="L892" i="1"/>
  <c r="L176" i="1"/>
  <c r="L1007" i="1"/>
  <c r="L459" i="1"/>
  <c r="L214" i="1"/>
  <c r="L260" i="1"/>
  <c r="L601" i="1"/>
  <c r="L169" i="1"/>
  <c r="L1078" i="1"/>
  <c r="L122" i="1"/>
  <c r="L327" i="1"/>
  <c r="L875" i="1"/>
  <c r="L466" i="1"/>
  <c r="L614" i="1"/>
  <c r="L934" i="1"/>
  <c r="L1056" i="1"/>
  <c r="L861" i="1"/>
  <c r="L709" i="1"/>
  <c r="L927" i="1"/>
  <c r="L799" i="1"/>
  <c r="L1182" i="1"/>
  <c r="L59" i="1"/>
  <c r="L1169" i="1"/>
  <c r="L1292" i="1"/>
  <c r="L23" i="1"/>
  <c r="L898" i="1"/>
  <c r="L46" i="1"/>
  <c r="L526" i="1"/>
  <c r="L1355" i="1"/>
  <c r="L387" i="1"/>
  <c r="L1340" i="1"/>
  <c r="L144" i="1"/>
  <c r="L17" i="1"/>
  <c r="L417" i="1"/>
  <c r="L63" i="1"/>
  <c r="L658" i="1"/>
  <c r="L1039" i="1"/>
  <c r="L130" i="1"/>
  <c r="L68" i="1"/>
  <c r="L583" i="1"/>
  <c r="L914" i="1"/>
  <c r="L749" i="1"/>
  <c r="L907" i="1"/>
  <c r="L683" i="1"/>
  <c r="L107" i="1"/>
  <c r="L518" i="1"/>
  <c r="L1177" i="1"/>
  <c r="L1324" i="1"/>
  <c r="L1267" i="1"/>
  <c r="L701" i="1"/>
  <c r="L490" i="1"/>
  <c r="L352" i="1"/>
  <c r="L760" i="1"/>
  <c r="L271" i="1"/>
  <c r="L421" i="1"/>
  <c r="L903" i="1"/>
  <c r="L325" i="1"/>
  <c r="L426" i="1"/>
  <c r="L961" i="1"/>
  <c r="L356" i="1"/>
  <c r="L697" i="1"/>
  <c r="L1195" i="1"/>
  <c r="L791" i="1"/>
  <c r="L626" i="1"/>
  <c r="L478" i="1"/>
  <c r="L82" i="1"/>
  <c r="L538" i="1"/>
  <c r="L139" i="1"/>
  <c r="L1011" i="1"/>
  <c r="L1310" i="1"/>
  <c r="L948" i="1"/>
  <c r="L571" i="1"/>
  <c r="L1198" i="1"/>
  <c r="L511" i="1"/>
  <c r="L253" i="1"/>
  <c r="L997" i="1"/>
  <c r="L43" i="1"/>
  <c r="L91" i="1"/>
  <c r="L690" i="1"/>
  <c r="L1329" i="1"/>
  <c r="L341" i="1"/>
  <c r="L851" i="1"/>
  <c r="L202" i="1"/>
  <c r="L970" i="1"/>
  <c r="L1226" i="1"/>
  <c r="L264" i="1"/>
  <c r="L855" i="1"/>
  <c r="L1271" i="1"/>
  <c r="L767" i="1"/>
  <c r="L394" i="1"/>
  <c r="L379" i="1"/>
  <c r="L1301" i="1"/>
  <c r="L1219" i="1"/>
  <c r="L1262" i="1"/>
  <c r="L675" i="1"/>
  <c r="L409" i="1"/>
  <c r="L925" i="1"/>
  <c r="L653" i="1"/>
  <c r="L827" i="1"/>
  <c r="L1334" i="1"/>
  <c r="L1288" i="1"/>
  <c r="L487" i="1"/>
  <c r="L913" i="1"/>
  <c r="L101" i="1"/>
  <c r="L559" i="1"/>
  <c r="L664" i="1"/>
  <c r="L266" i="1"/>
  <c r="L1064" i="1"/>
  <c r="L813" i="1"/>
  <c r="L1120" i="1"/>
  <c r="L1137" i="1"/>
  <c r="L37" i="1"/>
  <c r="L361" i="1"/>
  <c r="L175" i="1"/>
  <c r="L1006" i="1"/>
  <c r="L278" i="1"/>
  <c r="L650" i="1"/>
  <c r="L669" i="1"/>
  <c r="L259" i="1"/>
  <c r="L604" i="1"/>
  <c r="L168" i="1"/>
  <c r="L1077" i="1"/>
  <c r="L121" i="1"/>
  <c r="L630" i="1"/>
  <c r="L469" i="1"/>
  <c r="L933" i="1"/>
  <c r="L1055" i="1"/>
  <c r="L860" i="1"/>
  <c r="L713" i="1"/>
  <c r="L930" i="1"/>
  <c r="L798" i="1"/>
  <c r="L1181" i="1"/>
  <c r="L1072" i="1"/>
  <c r="L804" i="1"/>
  <c r="L1112" i="1"/>
  <c r="L218" i="1"/>
  <c r="L45" i="1"/>
  <c r="L525" i="1"/>
  <c r="L1354" i="1"/>
  <c r="L250" i="1"/>
  <c r="L648" i="1"/>
  <c r="L16" i="1"/>
  <c r="K1364" i="1"/>
  <c r="K1363" i="1"/>
  <c r="K1365" i="1"/>
  <c r="K1362" i="1"/>
  <c r="K1209" i="1"/>
  <c r="K1205" i="1"/>
  <c r="K1206" i="1"/>
  <c r="K1207" i="1"/>
  <c r="K1208" i="1"/>
  <c r="K375" i="1"/>
  <c r="K376" i="1"/>
  <c r="K377" i="1"/>
  <c r="K378" i="1"/>
  <c r="K1083" i="1"/>
  <c r="K1084" i="1"/>
  <c r="K1085" i="1"/>
  <c r="K1086" i="1"/>
  <c r="K1087" i="1"/>
  <c r="K51" i="1"/>
  <c r="K52" i="1"/>
  <c r="K49" i="1"/>
  <c r="K50" i="1"/>
  <c r="K1241" i="1"/>
  <c r="K1242" i="1"/>
  <c r="K1243" i="1"/>
  <c r="K1240" i="1"/>
  <c r="K1249" i="1"/>
  <c r="K1250" i="1"/>
  <c r="K1251" i="1"/>
  <c r="K1252" i="1"/>
  <c r="K745" i="1"/>
  <c r="K746" i="1"/>
  <c r="K747" i="1"/>
  <c r="K748" i="1"/>
  <c r="K744" i="1"/>
  <c r="K1089" i="1"/>
  <c r="K1090" i="1"/>
  <c r="K1091" i="1"/>
  <c r="K1088" i="1"/>
  <c r="K462" i="1"/>
  <c r="K463" i="1"/>
  <c r="K464" i="1"/>
  <c r="K465" i="1"/>
  <c r="K188" i="1"/>
  <c r="K189" i="1"/>
  <c r="K190" i="1"/>
  <c r="K191" i="1"/>
  <c r="K403" i="1"/>
  <c r="K404" i="1"/>
  <c r="K401" i="1"/>
  <c r="K402" i="1"/>
  <c r="K1236" i="1"/>
  <c r="K1237" i="1"/>
  <c r="K1238" i="1"/>
  <c r="K1239" i="1"/>
  <c r="K1027" i="1"/>
  <c r="K1028" i="1"/>
  <c r="K1029" i="1"/>
  <c r="K1030" i="1"/>
  <c r="K597" i="1"/>
  <c r="K598" i="1"/>
  <c r="K599" i="1"/>
  <c r="K600" i="1"/>
  <c r="K236" i="1"/>
  <c r="K237" i="1"/>
  <c r="K238" i="1"/>
  <c r="K239" i="1"/>
  <c r="K299" i="1"/>
  <c r="K300" i="1"/>
  <c r="K296" i="1"/>
  <c r="K297" i="1"/>
  <c r="K298" i="1"/>
  <c r="K307" i="1"/>
  <c r="K308" i="1"/>
  <c r="K305" i="1"/>
  <c r="K306" i="1"/>
  <c r="K1201" i="1"/>
  <c r="K1202" i="1"/>
  <c r="K1203" i="1"/>
  <c r="K1204" i="1"/>
  <c r="K740" i="1"/>
  <c r="K741" i="1"/>
  <c r="K742" i="1"/>
  <c r="K743" i="1"/>
  <c r="K1297" i="1"/>
  <c r="K1298" i="1"/>
  <c r="K1299" i="1"/>
  <c r="K1300" i="1"/>
  <c r="K1296" i="1"/>
  <c r="K187" i="1"/>
  <c r="K184" i="1"/>
  <c r="K185" i="1"/>
  <c r="K186" i="1"/>
  <c r="K195" i="1"/>
  <c r="K192" i="1"/>
  <c r="K193" i="1"/>
  <c r="K194" i="1"/>
  <c r="K729" i="1"/>
  <c r="K730" i="1"/>
  <c r="K727" i="1"/>
  <c r="K728" i="1"/>
  <c r="K841" i="1"/>
  <c r="K842" i="1"/>
  <c r="K843" i="1"/>
  <c r="K840" i="1"/>
  <c r="K436" i="1"/>
  <c r="K437" i="1"/>
  <c r="K438" i="1"/>
  <c r="K439" i="1"/>
  <c r="K985" i="1"/>
  <c r="K986" i="1"/>
  <c r="K987" i="1"/>
  <c r="K983" i="1"/>
  <c r="K984" i="1"/>
  <c r="K470" i="1"/>
  <c r="K471" i="1"/>
  <c r="K472" i="1"/>
  <c r="K473" i="1"/>
  <c r="K474" i="1"/>
  <c r="K205" i="1"/>
  <c r="K206" i="1"/>
  <c r="K207" i="1"/>
  <c r="K208" i="1"/>
  <c r="AF317" i="25"/>
  <c r="K979" i="1"/>
  <c r="K980" i="1"/>
  <c r="K981" i="1"/>
  <c r="K982" i="1"/>
  <c r="K443" i="1"/>
  <c r="K440" i="1"/>
  <c r="K441" i="1"/>
  <c r="K442" i="1"/>
  <c r="K817" i="1"/>
  <c r="K814" i="1"/>
  <c r="K815" i="1"/>
  <c r="K816" i="1"/>
  <c r="K301" i="1"/>
  <c r="K302" i="1"/>
  <c r="K303" i="1"/>
  <c r="K304" i="1"/>
  <c r="K405" i="1"/>
  <c r="K406" i="1"/>
  <c r="K407" i="1"/>
  <c r="K408" i="1"/>
  <c r="K881" i="1"/>
  <c r="K882" i="1"/>
  <c r="K879" i="1"/>
  <c r="K880" i="1"/>
  <c r="K363" i="1"/>
  <c r="K364" i="1"/>
  <c r="K365" i="1"/>
  <c r="K362" i="1"/>
  <c r="K873" i="1"/>
  <c r="K874" i="1"/>
  <c r="K870" i="1"/>
  <c r="K871" i="1"/>
  <c r="K872" i="1"/>
  <c r="K1123" i="1"/>
  <c r="K1124" i="1"/>
  <c r="K1125" i="1"/>
  <c r="K1126" i="1"/>
  <c r="K1033" i="1"/>
  <c r="K1034" i="1"/>
  <c r="K1035" i="1"/>
  <c r="K1031" i="1"/>
  <c r="K1032" i="1"/>
  <c r="K309" i="1"/>
  <c r="K310" i="1"/>
  <c r="K311" i="1"/>
  <c r="K312" i="1"/>
  <c r="K313" i="1"/>
  <c r="K1129" i="1"/>
  <c r="K1130" i="1"/>
  <c r="K1127" i="1"/>
  <c r="K1128" i="1"/>
  <c r="K988" i="1"/>
  <c r="K989" i="1"/>
  <c r="K990" i="1"/>
  <c r="K991" i="1"/>
  <c r="K1049" i="1"/>
  <c r="K1050" i="1"/>
  <c r="K1051" i="1"/>
  <c r="K1052" i="1"/>
  <c r="K1210" i="1"/>
  <c r="K1211" i="1"/>
  <c r="K1212" i="1"/>
  <c r="K1213" i="1"/>
  <c r="K1345" i="1"/>
  <c r="K1348" i="1"/>
  <c r="K1344" i="1"/>
  <c r="K1346" i="1"/>
  <c r="K1347" i="1"/>
  <c r="K721" i="1"/>
  <c r="K718" i="1"/>
  <c r="K719" i="1"/>
  <c r="K720" i="1"/>
  <c r="K937" i="1"/>
  <c r="K938" i="1"/>
  <c r="K939" i="1"/>
  <c r="K936" i="1"/>
  <c r="K396" i="1"/>
  <c r="K397" i="1"/>
  <c r="K398" i="1"/>
  <c r="K399" i="1"/>
  <c r="K400" i="1"/>
  <c r="K825" i="1"/>
  <c r="K826" i="1"/>
  <c r="K823" i="1"/>
  <c r="K824" i="1"/>
  <c r="K53" i="1"/>
  <c r="K54" i="1"/>
  <c r="K55" i="1"/>
  <c r="K56" i="1"/>
  <c r="K844" i="1"/>
  <c r="K845" i="1"/>
  <c r="K846" i="1"/>
  <c r="K847" i="1"/>
  <c r="K848" i="1"/>
  <c r="K1149" i="1"/>
  <c r="K1150" i="1"/>
  <c r="K1151" i="1"/>
  <c r="K1152" i="1"/>
  <c r="K1360" i="1"/>
  <c r="K1357" i="1"/>
  <c r="K1358" i="1"/>
  <c r="K1359" i="1"/>
  <c r="K1361" i="1"/>
  <c r="K1351" i="1"/>
  <c r="K1352" i="1"/>
  <c r="K1349" i="1"/>
  <c r="K1350" i="1"/>
  <c r="K444" i="1"/>
  <c r="K445" i="1"/>
  <c r="K446" i="1"/>
  <c r="K447" i="1"/>
  <c r="K1131" i="1"/>
  <c r="K1132" i="1"/>
  <c r="K1133" i="1"/>
  <c r="K1134" i="1"/>
  <c r="K1135" i="1"/>
  <c r="K318" i="1"/>
  <c r="K319" i="1"/>
  <c r="K320" i="1"/>
  <c r="K321" i="1"/>
  <c r="K322" i="1"/>
  <c r="K977" i="1"/>
  <c r="K978" i="1"/>
  <c r="K975" i="1"/>
  <c r="K976" i="1"/>
  <c r="K1283" i="1"/>
  <c r="K1284" i="1"/>
  <c r="K1285" i="1"/>
  <c r="K1286" i="1"/>
  <c r="K1287" i="1"/>
  <c r="K1170" i="1"/>
  <c r="K1171" i="1"/>
  <c r="K1172" i="1"/>
  <c r="K1173" i="1"/>
  <c r="K1174" i="1"/>
  <c r="K196" i="1"/>
  <c r="K197" i="1"/>
  <c r="K198" i="1"/>
  <c r="K199" i="1"/>
  <c r="K200" i="1"/>
  <c r="K1337" i="1"/>
  <c r="K1335" i="1"/>
  <c r="K1336" i="1"/>
  <c r="K1338" i="1"/>
  <c r="K1339" i="1"/>
  <c r="K737" i="1"/>
  <c r="K738" i="1"/>
  <c r="K739" i="1"/>
  <c r="K736" i="1"/>
  <c r="K940" i="1"/>
  <c r="K941" i="1"/>
  <c r="K942" i="1"/>
  <c r="K943" i="1"/>
  <c r="K818" i="1"/>
  <c r="K819" i="1"/>
  <c r="K820" i="1"/>
  <c r="K821" i="1"/>
  <c r="K822" i="1"/>
  <c r="K1057" i="1"/>
  <c r="K1058" i="1"/>
  <c r="K1059" i="1"/>
  <c r="K1060" i="1"/>
  <c r="K1061" i="1"/>
  <c r="K235" i="1"/>
  <c r="K231" i="1"/>
  <c r="K232" i="1"/>
  <c r="K233" i="1"/>
  <c r="K234" i="1"/>
  <c r="K1081" i="1"/>
  <c r="K1082" i="1"/>
  <c r="K1079" i="1"/>
  <c r="K1080" i="1"/>
  <c r="K785" i="1"/>
  <c r="K786" i="1"/>
  <c r="K787" i="1"/>
  <c r="K783" i="1"/>
  <c r="K784" i="1"/>
  <c r="K731" i="1"/>
  <c r="K732" i="1"/>
  <c r="K733" i="1"/>
  <c r="K734" i="1"/>
  <c r="K735" i="1"/>
  <c r="K1140" i="1"/>
  <c r="K1141" i="1"/>
  <c r="K1142" i="1"/>
  <c r="K1143" i="1"/>
  <c r="K315" i="1"/>
  <c r="K316" i="1"/>
  <c r="K317" i="1"/>
  <c r="K314" i="1"/>
  <c r="K1244" i="1"/>
  <c r="K1245" i="1"/>
  <c r="K1246" i="1"/>
  <c r="K1247" i="1"/>
  <c r="K1248" i="1"/>
  <c r="K993" i="1"/>
  <c r="K994" i="1"/>
  <c r="K995" i="1"/>
  <c r="K996" i="1"/>
  <c r="K992" i="1"/>
  <c r="K211" i="1"/>
  <c r="K212" i="1"/>
  <c r="K213" i="1"/>
  <c r="K209" i="1"/>
  <c r="K210" i="1"/>
  <c r="K371" i="1"/>
  <c r="K372" i="1"/>
  <c r="K373" i="1"/>
  <c r="K374" i="1"/>
  <c r="K370" i="1"/>
  <c r="K1305" i="1"/>
  <c r="K1306" i="1"/>
  <c r="K1307" i="1"/>
  <c r="K1308" i="1"/>
  <c r="K1309" i="1"/>
  <c r="K1275" i="1"/>
  <c r="K1276" i="1"/>
  <c r="K1277" i="1"/>
  <c r="K1278" i="1"/>
  <c r="K793" i="1"/>
  <c r="K794" i="1"/>
  <c r="K795" i="1"/>
  <c r="K796" i="1"/>
  <c r="K792" i="1"/>
  <c r="K722" i="1"/>
  <c r="K723" i="1"/>
  <c r="K724" i="1"/>
  <c r="K725" i="1"/>
  <c r="K726" i="1"/>
  <c r="AF318" i="25"/>
  <c r="AE318" i="25"/>
  <c r="AE319" i="25"/>
  <c r="AF319" i="25"/>
  <c r="L1184" i="1" l="1"/>
  <c r="L85" i="1"/>
  <c r="L86" i="1"/>
  <c r="L117" i="1"/>
  <c r="L1185" i="1"/>
  <c r="L1180" i="1"/>
  <c r="L834" i="1"/>
  <c r="L533" i="1"/>
  <c r="L554" i="1"/>
  <c r="L157" i="1"/>
  <c r="L797" i="1"/>
  <c r="L159" i="1"/>
  <c r="L286" i="1"/>
  <c r="L534" i="1"/>
  <c r="L116" i="1"/>
  <c r="L541" i="1"/>
  <c r="L108" i="1"/>
  <c r="L584" i="1"/>
  <c r="L543" i="1"/>
  <c r="L1017" i="1"/>
  <c r="L1186" i="1"/>
  <c r="L240" i="1"/>
  <c r="L1047" i="1"/>
  <c r="L84" i="1"/>
  <c r="L367" i="1"/>
  <c r="L368" i="1"/>
  <c r="L1263" i="1"/>
  <c r="L588" i="1"/>
  <c r="L283" i="1"/>
  <c r="L4" i="1"/>
  <c r="L1073" i="1"/>
  <c r="L242" i="1"/>
  <c r="L1229" i="1"/>
  <c r="L1220" i="1"/>
  <c r="L1093" i="1"/>
  <c r="L1094" i="1"/>
  <c r="L540" i="1"/>
  <c r="L587" i="1"/>
  <c r="L158" i="1"/>
  <c r="L589" i="1"/>
  <c r="L972" i="1"/>
  <c r="L148" i="1"/>
  <c r="L33" i="1"/>
  <c r="L1235" i="1"/>
  <c r="L40" i="1"/>
  <c r="L241" i="1"/>
  <c r="L1272" i="1"/>
  <c r="L800" i="1"/>
  <c r="L64" i="1"/>
  <c r="L65" i="1"/>
  <c r="L369" i="1"/>
  <c r="L102" i="1"/>
  <c r="L245" i="1"/>
  <c r="L578" i="1"/>
  <c r="L248" i="1"/>
  <c r="L1234" i="1"/>
  <c r="L974" i="1"/>
  <c r="L1222" i="1"/>
  <c r="L1230" i="1"/>
  <c r="L8" i="1"/>
  <c r="L429" i="1"/>
  <c r="L973" i="1"/>
  <c r="L1045" i="1"/>
  <c r="L576" i="1"/>
  <c r="L1218" i="1"/>
  <c r="L7" i="1"/>
  <c r="L42" i="1"/>
  <c r="L34" i="1"/>
  <c r="L247" i="1"/>
  <c r="L1228" i="1"/>
  <c r="L1274" i="1"/>
  <c r="L6" i="1"/>
  <c r="L971" i="1"/>
  <c r="L1044" i="1"/>
  <c r="L1071" i="1"/>
  <c r="L577" i="1"/>
  <c r="L1046" i="1"/>
  <c r="L5" i="1"/>
  <c r="L32" i="1"/>
  <c r="L246" i="1"/>
  <c r="L1232" i="1"/>
  <c r="L1074" i="1"/>
  <c r="L1231" i="1"/>
  <c r="L9" i="1"/>
  <c r="L832" i="1"/>
  <c r="L287" i="1"/>
  <c r="L1095" i="1"/>
  <c r="L1179" i="1"/>
  <c r="L833" i="1"/>
  <c r="L103" i="1"/>
  <c r="D32" i="32"/>
  <c r="E32" i="32" s="1"/>
  <c r="F32" i="32" s="1"/>
  <c r="L13" i="1"/>
  <c r="L12" i="1"/>
  <c r="L11" i="1"/>
  <c r="L706" i="1"/>
  <c r="L460" i="1"/>
  <c r="L594" i="1"/>
  <c r="L433" i="1"/>
  <c r="L707" i="1"/>
  <c r="L899" i="1"/>
  <c r="L457" i="1"/>
  <c r="L708" i="1"/>
  <c r="L435" i="1"/>
  <c r="L434" i="1"/>
  <c r="L428" i="1"/>
  <c r="L430" i="1"/>
  <c r="L592" i="1"/>
  <c r="L1256" i="1"/>
  <c r="L878" i="1"/>
  <c r="L596" i="1"/>
  <c r="L593" i="1"/>
  <c r="L1254" i="1"/>
  <c r="L876" i="1"/>
  <c r="L458" i="1"/>
  <c r="L897" i="1"/>
  <c r="L374" i="1"/>
  <c r="L1339" i="1"/>
  <c r="L1151" i="1"/>
  <c r="L937" i="1"/>
  <c r="L372" i="1"/>
  <c r="L1336" i="1"/>
  <c r="L320" i="1"/>
  <c r="L719" i="1"/>
  <c r="L795" i="1"/>
  <c r="L735" i="1"/>
  <c r="L940" i="1"/>
  <c r="L1359" i="1"/>
  <c r="L725" i="1"/>
  <c r="L793" i="1"/>
  <c r="L209" i="1"/>
  <c r="L316" i="1"/>
  <c r="L733" i="1"/>
  <c r="L235" i="1"/>
  <c r="L739" i="1"/>
  <c r="L975" i="1"/>
  <c r="L147" i="1"/>
  <c r="L722" i="1"/>
  <c r="L1059" i="1"/>
  <c r="L1352" i="1"/>
  <c r="L1130" i="1"/>
  <c r="L796" i="1"/>
  <c r="L1140" i="1"/>
  <c r="L941" i="1"/>
  <c r="L1149" i="1"/>
  <c r="L398" i="1"/>
  <c r="L995" i="1"/>
  <c r="L822" i="1"/>
  <c r="L1283" i="1"/>
  <c r="L319" i="1"/>
  <c r="L53" i="1"/>
  <c r="L1306" i="1"/>
  <c r="L993" i="1"/>
  <c r="L1080" i="1"/>
  <c r="L820" i="1"/>
  <c r="L200" i="1"/>
  <c r="L1171" i="1"/>
  <c r="L724" i="1"/>
  <c r="L1278" i="1"/>
  <c r="L1305" i="1"/>
  <c r="L213" i="1"/>
  <c r="L1248" i="1"/>
  <c r="L211" i="1"/>
  <c r="L943" i="1"/>
  <c r="L723" i="1"/>
  <c r="L1277" i="1"/>
  <c r="L370" i="1"/>
  <c r="L212" i="1"/>
  <c r="L1247" i="1"/>
  <c r="L1143" i="1"/>
  <c r="L731" i="1"/>
  <c r="L1082" i="1"/>
  <c r="L1060" i="1"/>
  <c r="L818" i="1"/>
  <c r="L737" i="1"/>
  <c r="L198" i="1"/>
  <c r="L1287" i="1"/>
  <c r="L977" i="1"/>
  <c r="L1276" i="1"/>
  <c r="L784" i="1"/>
  <c r="L197" i="1"/>
  <c r="L322" i="1"/>
  <c r="L400" i="1"/>
  <c r="L1031" i="1"/>
  <c r="L792" i="1"/>
  <c r="L1275" i="1"/>
  <c r="L373" i="1"/>
  <c r="L992" i="1"/>
  <c r="L1245" i="1"/>
  <c r="L1141" i="1"/>
  <c r="L783" i="1"/>
  <c r="L234" i="1"/>
  <c r="L1058" i="1"/>
  <c r="L942" i="1"/>
  <c r="L1338" i="1"/>
  <c r="L196" i="1"/>
  <c r="L332" i="1"/>
  <c r="L1081" i="1"/>
  <c r="L1132" i="1"/>
  <c r="L56" i="1"/>
  <c r="L1244" i="1"/>
  <c r="L233" i="1"/>
  <c r="L1284" i="1"/>
  <c r="L1213" i="1"/>
  <c r="L313" i="1"/>
  <c r="L1034" i="1"/>
  <c r="L870" i="1"/>
  <c r="L879" i="1"/>
  <c r="L303" i="1"/>
  <c r="L441" i="1"/>
  <c r="L208" i="1"/>
  <c r="L470" i="1"/>
  <c r="L437" i="1"/>
  <c r="L730" i="1"/>
  <c r="L184" i="1"/>
  <c r="L742" i="1"/>
  <c r="L305" i="1"/>
  <c r="L239" i="1"/>
  <c r="L1030" i="1"/>
  <c r="L402" i="1"/>
  <c r="L465" i="1"/>
  <c r="L744" i="1"/>
  <c r="L1249" i="1"/>
  <c r="L51" i="1"/>
  <c r="L376" i="1"/>
  <c r="L1365" i="1"/>
  <c r="L1246" i="1"/>
  <c r="L1286" i="1"/>
  <c r="L1050" i="1"/>
  <c r="L1309" i="1"/>
  <c r="L787" i="1"/>
  <c r="L1174" i="1"/>
  <c r="L447" i="1"/>
  <c r="L991" i="1"/>
  <c r="L371" i="1"/>
  <c r="L314" i="1"/>
  <c r="L232" i="1"/>
  <c r="L1173" i="1"/>
  <c r="L446" i="1"/>
  <c r="L397" i="1"/>
  <c r="L718" i="1"/>
  <c r="L1212" i="1"/>
  <c r="L1142" i="1"/>
  <c r="L1348" i="1"/>
  <c r="L996" i="1"/>
  <c r="L1057" i="1"/>
  <c r="L1361" i="1"/>
  <c r="L54" i="1"/>
  <c r="L1308" i="1"/>
  <c r="L786" i="1"/>
  <c r="L1335" i="1"/>
  <c r="L848" i="1"/>
  <c r="L726" i="1"/>
  <c r="L794" i="1"/>
  <c r="L1307" i="1"/>
  <c r="L210" i="1"/>
  <c r="L994" i="1"/>
  <c r="L317" i="1"/>
  <c r="L1285" i="1"/>
  <c r="L321" i="1"/>
  <c r="L1131" i="1"/>
  <c r="L1351" i="1"/>
  <c r="L1150" i="1"/>
  <c r="L55" i="1"/>
  <c r="L399" i="1"/>
  <c r="L720" i="1"/>
  <c r="L1345" i="1"/>
  <c r="L1049" i="1"/>
  <c r="L1129" i="1"/>
  <c r="L1035" i="1"/>
  <c r="L871" i="1"/>
  <c r="L880" i="1"/>
  <c r="L304" i="1"/>
  <c r="L442" i="1"/>
  <c r="L471" i="1"/>
  <c r="L438" i="1"/>
  <c r="L727" i="1"/>
  <c r="L185" i="1"/>
  <c r="L743" i="1"/>
  <c r="L306" i="1"/>
  <c r="L299" i="1"/>
  <c r="L597" i="1"/>
  <c r="L1236" i="1"/>
  <c r="L188" i="1"/>
  <c r="L1089" i="1"/>
  <c r="L1250" i="1"/>
  <c r="L52" i="1"/>
  <c r="L377" i="1"/>
  <c r="L1362" i="1"/>
  <c r="L333" i="1"/>
  <c r="L990" i="1"/>
  <c r="L312" i="1"/>
  <c r="L1033" i="1"/>
  <c r="L874" i="1"/>
  <c r="L882" i="1"/>
  <c r="L302" i="1"/>
  <c r="L440" i="1"/>
  <c r="L207" i="1"/>
  <c r="L984" i="1"/>
  <c r="L436" i="1"/>
  <c r="L729" i="1"/>
  <c r="L187" i="1"/>
  <c r="L741" i="1"/>
  <c r="L308" i="1"/>
  <c r="L238" i="1"/>
  <c r="L1029" i="1"/>
  <c r="L401" i="1"/>
  <c r="L464" i="1"/>
  <c r="L748" i="1"/>
  <c r="L1240" i="1"/>
  <c r="L1087" i="1"/>
  <c r="L375" i="1"/>
  <c r="L1363" i="1"/>
  <c r="L331" i="1"/>
  <c r="L432" i="1"/>
  <c r="L734" i="1"/>
  <c r="L785" i="1"/>
  <c r="L231" i="1"/>
  <c r="L821" i="1"/>
  <c r="L736" i="1"/>
  <c r="L1337" i="1"/>
  <c r="L1172" i="1"/>
  <c r="L976" i="1"/>
  <c r="L318" i="1"/>
  <c r="L445" i="1"/>
  <c r="L1358" i="1"/>
  <c r="L847" i="1"/>
  <c r="L824" i="1"/>
  <c r="L396" i="1"/>
  <c r="L721" i="1"/>
  <c r="L1211" i="1"/>
  <c r="L989" i="1"/>
  <c r="L311" i="1"/>
  <c r="L1126" i="1"/>
  <c r="L873" i="1"/>
  <c r="L881" i="1"/>
  <c r="L301" i="1"/>
  <c r="L443" i="1"/>
  <c r="L206" i="1"/>
  <c r="L983" i="1"/>
  <c r="L840" i="1"/>
  <c r="L194" i="1"/>
  <c r="L1296" i="1"/>
  <c r="L740" i="1"/>
  <c r="L307" i="1"/>
  <c r="L237" i="1"/>
  <c r="L1028" i="1"/>
  <c r="L404" i="1"/>
  <c r="L463" i="1"/>
  <c r="L747" i="1"/>
  <c r="L1243" i="1"/>
  <c r="L1086" i="1"/>
  <c r="L1208" i="1"/>
  <c r="L1364" i="1"/>
  <c r="L1135" i="1"/>
  <c r="L444" i="1"/>
  <c r="L1357" i="1"/>
  <c r="L846" i="1"/>
  <c r="L823" i="1"/>
  <c r="L936" i="1"/>
  <c r="L1347" i="1"/>
  <c r="L1210" i="1"/>
  <c r="L988" i="1"/>
  <c r="L310" i="1"/>
  <c r="L1125" i="1"/>
  <c r="L362" i="1"/>
  <c r="L408" i="1"/>
  <c r="L816" i="1"/>
  <c r="L982" i="1"/>
  <c r="L205" i="1"/>
  <c r="L987" i="1"/>
  <c r="L843" i="1"/>
  <c r="L193" i="1"/>
  <c r="L1300" i="1"/>
  <c r="L1204" i="1"/>
  <c r="L298" i="1"/>
  <c r="L236" i="1"/>
  <c r="L1027" i="1"/>
  <c r="L403" i="1"/>
  <c r="L462" i="1"/>
  <c r="L746" i="1"/>
  <c r="L1242" i="1"/>
  <c r="L1085" i="1"/>
  <c r="L1207" i="1"/>
  <c r="L315" i="1"/>
  <c r="L732" i="1"/>
  <c r="L1079" i="1"/>
  <c r="L1061" i="1"/>
  <c r="L819" i="1"/>
  <c r="L738" i="1"/>
  <c r="L199" i="1"/>
  <c r="L1170" i="1"/>
  <c r="L978" i="1"/>
  <c r="L1134" i="1"/>
  <c r="L1350" i="1"/>
  <c r="L1360" i="1"/>
  <c r="L845" i="1"/>
  <c r="L826" i="1"/>
  <c r="L939" i="1"/>
  <c r="L1346" i="1"/>
  <c r="L1052" i="1"/>
  <c r="L1128" i="1"/>
  <c r="L309" i="1"/>
  <c r="L1124" i="1"/>
  <c r="L365" i="1"/>
  <c r="L407" i="1"/>
  <c r="L815" i="1"/>
  <c r="L981" i="1"/>
  <c r="L474" i="1"/>
  <c r="L986" i="1"/>
  <c r="L842" i="1"/>
  <c r="L192" i="1"/>
  <c r="L1299" i="1"/>
  <c r="L1203" i="1"/>
  <c r="L297" i="1"/>
  <c r="L600" i="1"/>
  <c r="L1239" i="1"/>
  <c r="L191" i="1"/>
  <c r="L1088" i="1"/>
  <c r="L745" i="1"/>
  <c r="L1241" i="1"/>
  <c r="L1084" i="1"/>
  <c r="L1206" i="1"/>
  <c r="L146" i="1"/>
  <c r="L1133" i="1"/>
  <c r="L1349" i="1"/>
  <c r="L1152" i="1"/>
  <c r="L844" i="1"/>
  <c r="L825" i="1"/>
  <c r="L938" i="1"/>
  <c r="L1344" i="1"/>
  <c r="L1051" i="1"/>
  <c r="L1127" i="1"/>
  <c r="L1032" i="1"/>
  <c r="L1123" i="1"/>
  <c r="L364" i="1"/>
  <c r="L406" i="1"/>
  <c r="L814" i="1"/>
  <c r="L980" i="1"/>
  <c r="L473" i="1"/>
  <c r="L985" i="1"/>
  <c r="L841" i="1"/>
  <c r="L195" i="1"/>
  <c r="L1298" i="1"/>
  <c r="L1202" i="1"/>
  <c r="L296" i="1"/>
  <c r="L599" i="1"/>
  <c r="L1238" i="1"/>
  <c r="L190" i="1"/>
  <c r="L1091" i="1"/>
  <c r="L1252" i="1"/>
  <c r="L50" i="1"/>
  <c r="L1083" i="1"/>
  <c r="L1205" i="1"/>
  <c r="L335" i="1"/>
  <c r="L872" i="1"/>
  <c r="L363" i="1"/>
  <c r="L405" i="1"/>
  <c r="L817" i="1"/>
  <c r="L979" i="1"/>
  <c r="L472" i="1"/>
  <c r="L439" i="1"/>
  <c r="L728" i="1"/>
  <c r="L186" i="1"/>
  <c r="L1297" i="1"/>
  <c r="L1201" i="1"/>
  <c r="L300" i="1"/>
  <c r="L598" i="1"/>
  <c r="L1237" i="1"/>
  <c r="L189" i="1"/>
  <c r="L1090" i="1"/>
  <c r="L1251" i="1"/>
  <c r="L49" i="1"/>
  <c r="L378" i="1"/>
  <c r="L1209" i="1"/>
  <c r="L334" i="1"/>
  <c r="K1375" i="1"/>
  <c r="K1376" i="1"/>
  <c r="K1377" i="1"/>
  <c r="K1378" i="1"/>
  <c r="K1368" i="1"/>
  <c r="K1366" i="1"/>
  <c r="K1367" i="1"/>
  <c r="K1369" i="1"/>
  <c r="K1373" i="1"/>
  <c r="K1374" i="1"/>
  <c r="K1370" i="1"/>
  <c r="K1371" i="1"/>
  <c r="K1372" i="1"/>
  <c r="AI321" i="24"/>
  <c r="U321" i="24"/>
  <c r="H321" i="24"/>
  <c r="D321" i="24"/>
  <c r="AC320" i="24"/>
  <c r="AD320" i="24" s="1"/>
  <c r="AB320" i="24"/>
  <c r="Y320" i="24"/>
  <c r="AA320" i="24" s="1"/>
  <c r="X320" i="24"/>
  <c r="S320" i="24"/>
  <c r="T320" i="24" s="1"/>
  <c r="Q320" i="24"/>
  <c r="O320" i="24"/>
  <c r="M320" i="24"/>
  <c r="J320" i="24"/>
  <c r="H320" i="24"/>
  <c r="F320" i="24"/>
  <c r="D320" i="24"/>
  <c r="B320" i="24"/>
  <c r="AC319" i="24"/>
  <c r="AB319" i="24"/>
  <c r="Y319" i="24"/>
  <c r="AA319" i="24" s="1"/>
  <c r="X319" i="24"/>
  <c r="Q319" i="24"/>
  <c r="O319" i="24"/>
  <c r="M319" i="24"/>
  <c r="J319" i="24"/>
  <c r="H319" i="24"/>
  <c r="F319" i="24"/>
  <c r="D319" i="24"/>
  <c r="B319" i="24"/>
  <c r="AC318" i="24"/>
  <c r="AB318" i="24"/>
  <c r="Y318" i="24"/>
  <c r="AA318" i="24" s="1"/>
  <c r="X318" i="24"/>
  <c r="Q318" i="24"/>
  <c r="O318" i="24"/>
  <c r="M318" i="24"/>
  <c r="J318" i="24"/>
  <c r="H318" i="24"/>
  <c r="F318" i="24"/>
  <c r="D318" i="24"/>
  <c r="B318" i="24"/>
  <c r="AC317" i="24"/>
  <c r="AB317" i="24"/>
  <c r="Y317" i="24"/>
  <c r="AA317" i="24" s="1"/>
  <c r="X317" i="24"/>
  <c r="Q317" i="24"/>
  <c r="O317" i="24"/>
  <c r="M317" i="24"/>
  <c r="J317" i="24"/>
  <c r="H317" i="24"/>
  <c r="F317" i="24"/>
  <c r="D317" i="24"/>
  <c r="B317" i="24"/>
  <c r="AC316" i="24"/>
  <c r="AB316" i="24"/>
  <c r="Y316" i="24"/>
  <c r="AA316" i="24" s="1"/>
  <c r="X316" i="24"/>
  <c r="Q316" i="24"/>
  <c r="O316" i="24"/>
  <c r="M316" i="24"/>
  <c r="J316" i="24"/>
  <c r="H316" i="24"/>
  <c r="F316" i="24"/>
  <c r="D316" i="24"/>
  <c r="E316" i="24" s="1"/>
  <c r="B316" i="24"/>
  <c r="AC315" i="24"/>
  <c r="AB315" i="24"/>
  <c r="Y315" i="24"/>
  <c r="AA315" i="24" s="1"/>
  <c r="X315" i="24"/>
  <c r="Q315" i="24"/>
  <c r="O315" i="24"/>
  <c r="M315" i="24"/>
  <c r="J315" i="24"/>
  <c r="H315" i="24"/>
  <c r="F315" i="24"/>
  <c r="D315" i="24"/>
  <c r="B315" i="24"/>
  <c r="AC314" i="24"/>
  <c r="AB314" i="24"/>
  <c r="Y314" i="24"/>
  <c r="AA314" i="24" s="1"/>
  <c r="X314" i="24"/>
  <c r="Q314" i="24"/>
  <c r="O314" i="24"/>
  <c r="M314" i="24"/>
  <c r="J314" i="24"/>
  <c r="H314" i="24"/>
  <c r="F314" i="24"/>
  <c r="D314" i="24"/>
  <c r="B314" i="24"/>
  <c r="AC313" i="24"/>
  <c r="AB313" i="24"/>
  <c r="Y313" i="24"/>
  <c r="AA313" i="24" s="1"/>
  <c r="X313" i="24"/>
  <c r="Q313" i="24"/>
  <c r="O313" i="24"/>
  <c r="M313" i="24"/>
  <c r="J313" i="24"/>
  <c r="H313" i="24"/>
  <c r="F313" i="24"/>
  <c r="D313" i="24"/>
  <c r="B313" i="24"/>
  <c r="AC312" i="24"/>
  <c r="AB312" i="24"/>
  <c r="Y312" i="24"/>
  <c r="AA312" i="24" s="1"/>
  <c r="X312" i="24"/>
  <c r="Q312" i="24"/>
  <c r="O312" i="24"/>
  <c r="M312" i="24"/>
  <c r="J312" i="24"/>
  <c r="H312" i="24"/>
  <c r="F312" i="24"/>
  <c r="D312" i="24"/>
  <c r="E312" i="24" s="1"/>
  <c r="B312" i="24"/>
  <c r="AC311" i="24"/>
  <c r="AB311" i="24"/>
  <c r="Y311" i="24"/>
  <c r="AA311" i="24" s="1"/>
  <c r="X311" i="24"/>
  <c r="Q311" i="24"/>
  <c r="O311" i="24"/>
  <c r="M311" i="24"/>
  <c r="J311" i="24"/>
  <c r="H311" i="24"/>
  <c r="F311" i="24"/>
  <c r="D311" i="24"/>
  <c r="B311" i="24"/>
  <c r="AC310" i="24"/>
  <c r="AB310" i="24"/>
  <c r="Y310" i="24"/>
  <c r="AA310" i="24" s="1"/>
  <c r="X310" i="24"/>
  <c r="Q310" i="24"/>
  <c r="O310" i="24"/>
  <c r="M310" i="24"/>
  <c r="J310" i="24"/>
  <c r="H310" i="24"/>
  <c r="F310" i="24"/>
  <c r="D310" i="24"/>
  <c r="B310" i="24"/>
  <c r="AC309" i="24"/>
  <c r="AB309" i="24"/>
  <c r="Y309" i="24"/>
  <c r="AA309" i="24" s="1"/>
  <c r="X309" i="24"/>
  <c r="Q309" i="24"/>
  <c r="O309" i="24"/>
  <c r="M309" i="24"/>
  <c r="J309" i="24"/>
  <c r="H309" i="24"/>
  <c r="F309" i="24"/>
  <c r="D309" i="24"/>
  <c r="B309" i="24"/>
  <c r="AC308" i="24"/>
  <c r="AB308" i="24"/>
  <c r="Y308" i="24"/>
  <c r="AA308" i="24" s="1"/>
  <c r="X308" i="24"/>
  <c r="Q308" i="24"/>
  <c r="O308" i="24"/>
  <c r="M308" i="24"/>
  <c r="J308" i="24"/>
  <c r="H308" i="24"/>
  <c r="F308" i="24"/>
  <c r="D308" i="24"/>
  <c r="B308" i="24"/>
  <c r="AC307" i="24"/>
  <c r="AB307" i="24"/>
  <c r="Y307" i="24"/>
  <c r="AA307" i="24" s="1"/>
  <c r="X307" i="24"/>
  <c r="Q307" i="24"/>
  <c r="O307" i="24"/>
  <c r="M307" i="24"/>
  <c r="J307" i="24"/>
  <c r="H307" i="24"/>
  <c r="F307" i="24"/>
  <c r="D307" i="24"/>
  <c r="B307" i="24"/>
  <c r="AC306" i="24"/>
  <c r="AB306" i="24"/>
  <c r="Y306" i="24"/>
  <c r="AA306" i="24" s="1"/>
  <c r="X306" i="24"/>
  <c r="Q306" i="24"/>
  <c r="O306" i="24"/>
  <c r="M306" i="24"/>
  <c r="J306" i="24"/>
  <c r="H306" i="24"/>
  <c r="F306" i="24"/>
  <c r="D306" i="24"/>
  <c r="B306" i="24"/>
  <c r="AC305" i="24"/>
  <c r="AB305" i="24"/>
  <c r="Y305" i="24"/>
  <c r="AA305" i="24" s="1"/>
  <c r="X305" i="24"/>
  <c r="Q305" i="24"/>
  <c r="O305" i="24"/>
  <c r="M305" i="24"/>
  <c r="J305" i="24"/>
  <c r="H305" i="24"/>
  <c r="F305" i="24"/>
  <c r="D305" i="24"/>
  <c r="B305" i="24"/>
  <c r="AC304" i="24"/>
  <c r="AB304" i="24"/>
  <c r="Y304" i="24"/>
  <c r="AA304" i="24" s="1"/>
  <c r="X304" i="24"/>
  <c r="Q304" i="24"/>
  <c r="O304" i="24"/>
  <c r="M304" i="24"/>
  <c r="J304" i="24"/>
  <c r="H304" i="24"/>
  <c r="F304" i="24"/>
  <c r="D304" i="24"/>
  <c r="B304" i="24"/>
  <c r="AC303" i="24"/>
  <c r="AB303" i="24"/>
  <c r="Y303" i="24"/>
  <c r="AA303" i="24" s="1"/>
  <c r="X303" i="24"/>
  <c r="Q303" i="24"/>
  <c r="O303" i="24"/>
  <c r="M303" i="24"/>
  <c r="J303" i="24"/>
  <c r="H303" i="24"/>
  <c r="F303" i="24"/>
  <c r="D303" i="24"/>
  <c r="E303" i="24" s="1"/>
  <c r="B303" i="24"/>
  <c r="AC302" i="24"/>
  <c r="AB302" i="24"/>
  <c r="Y302" i="24"/>
  <c r="AA302" i="24" s="1"/>
  <c r="X302" i="24"/>
  <c r="Q302" i="24"/>
  <c r="O302" i="24"/>
  <c r="M302" i="24"/>
  <c r="J302" i="24"/>
  <c r="H302" i="24"/>
  <c r="F302" i="24"/>
  <c r="D302" i="24"/>
  <c r="B302" i="24"/>
  <c r="AC301" i="24"/>
  <c r="AB301" i="24"/>
  <c r="Y301" i="24"/>
  <c r="AA301" i="24" s="1"/>
  <c r="X301" i="24"/>
  <c r="Q301" i="24"/>
  <c r="O301" i="24"/>
  <c r="M301" i="24"/>
  <c r="J301" i="24"/>
  <c r="H301" i="24"/>
  <c r="F301" i="24"/>
  <c r="D301" i="24"/>
  <c r="B301" i="24"/>
  <c r="AC300" i="24"/>
  <c r="AB300" i="24"/>
  <c r="Y300" i="24"/>
  <c r="AA300" i="24" s="1"/>
  <c r="X300" i="24"/>
  <c r="Q300" i="24"/>
  <c r="O300" i="24"/>
  <c r="M300" i="24"/>
  <c r="J300" i="24"/>
  <c r="H300" i="24"/>
  <c r="F300" i="24"/>
  <c r="D300" i="24"/>
  <c r="B300" i="24"/>
  <c r="AC299" i="24"/>
  <c r="AB299" i="24"/>
  <c r="Y299" i="24"/>
  <c r="AA299" i="24" s="1"/>
  <c r="X299" i="24"/>
  <c r="Q299" i="24"/>
  <c r="O299" i="24"/>
  <c r="M299" i="24"/>
  <c r="J299" i="24"/>
  <c r="H299" i="24"/>
  <c r="I299" i="24" s="1"/>
  <c r="F299" i="24"/>
  <c r="D299" i="24"/>
  <c r="B299" i="24"/>
  <c r="AC298" i="24"/>
  <c r="AB298" i="24"/>
  <c r="Y298" i="24"/>
  <c r="AA298" i="24" s="1"/>
  <c r="X298" i="24"/>
  <c r="Q298" i="24"/>
  <c r="O298" i="24"/>
  <c r="M298" i="24"/>
  <c r="J298" i="24"/>
  <c r="H298" i="24"/>
  <c r="F298" i="24"/>
  <c r="D298" i="24"/>
  <c r="B298" i="24"/>
  <c r="AC297" i="24"/>
  <c r="AB297" i="24"/>
  <c r="Y297" i="24"/>
  <c r="AA297" i="24" s="1"/>
  <c r="X297" i="24"/>
  <c r="Q297" i="24"/>
  <c r="O297" i="24"/>
  <c r="M297" i="24"/>
  <c r="J297" i="24"/>
  <c r="H297" i="24"/>
  <c r="I297" i="24" s="1"/>
  <c r="F297" i="24"/>
  <c r="D297" i="24"/>
  <c r="B297" i="24"/>
  <c r="AC296" i="24"/>
  <c r="AB296" i="24"/>
  <c r="Y296" i="24"/>
  <c r="AA296" i="24" s="1"/>
  <c r="X296" i="24"/>
  <c r="Q296" i="24"/>
  <c r="O296" i="24"/>
  <c r="M296" i="24"/>
  <c r="J296" i="24"/>
  <c r="H296" i="24"/>
  <c r="F296" i="24"/>
  <c r="D296" i="24"/>
  <c r="B296" i="24"/>
  <c r="AC295" i="24"/>
  <c r="AB295" i="24"/>
  <c r="Y295" i="24"/>
  <c r="AA295" i="24" s="1"/>
  <c r="X295" i="24"/>
  <c r="Q295" i="24"/>
  <c r="O295" i="24"/>
  <c r="M295" i="24"/>
  <c r="J295" i="24"/>
  <c r="H295" i="24"/>
  <c r="F295" i="24"/>
  <c r="D295" i="24"/>
  <c r="B295" i="24"/>
  <c r="AC294" i="24"/>
  <c r="AB294" i="24"/>
  <c r="Y294" i="24"/>
  <c r="AA294" i="24" s="1"/>
  <c r="X294" i="24"/>
  <c r="Q294" i="24"/>
  <c r="O294" i="24"/>
  <c r="M294" i="24"/>
  <c r="J294" i="24"/>
  <c r="H294" i="24"/>
  <c r="F294" i="24"/>
  <c r="D294" i="24"/>
  <c r="B294" i="24"/>
  <c r="AC293" i="24"/>
  <c r="AB293" i="24"/>
  <c r="Y293" i="24"/>
  <c r="AA293" i="24" s="1"/>
  <c r="X293" i="24"/>
  <c r="Q293" i="24"/>
  <c r="O293" i="24"/>
  <c r="M293" i="24"/>
  <c r="J293" i="24"/>
  <c r="H293" i="24"/>
  <c r="F293" i="24"/>
  <c r="D293" i="24"/>
  <c r="B293" i="24"/>
  <c r="AC292" i="24"/>
  <c r="AB292" i="24"/>
  <c r="Y292" i="24"/>
  <c r="AA292" i="24" s="1"/>
  <c r="X292" i="24"/>
  <c r="Q292" i="24"/>
  <c r="O292" i="24"/>
  <c r="M292" i="24"/>
  <c r="J292" i="24"/>
  <c r="H292" i="24"/>
  <c r="F292" i="24"/>
  <c r="D292" i="24"/>
  <c r="B292" i="24"/>
  <c r="AC291" i="24"/>
  <c r="AB291" i="24"/>
  <c r="Y291" i="24"/>
  <c r="AA291" i="24" s="1"/>
  <c r="X291" i="24"/>
  <c r="Q291" i="24"/>
  <c r="O291" i="24"/>
  <c r="M291" i="24"/>
  <c r="J291" i="24"/>
  <c r="H291" i="24"/>
  <c r="F291" i="24"/>
  <c r="D291" i="24"/>
  <c r="B291" i="24"/>
  <c r="AC290" i="24"/>
  <c r="AB290" i="24"/>
  <c r="Y290" i="24"/>
  <c r="AA290" i="24" s="1"/>
  <c r="X290" i="24"/>
  <c r="Q290" i="24"/>
  <c r="O290" i="24"/>
  <c r="M290" i="24"/>
  <c r="J290" i="24"/>
  <c r="H290" i="24"/>
  <c r="F290" i="24"/>
  <c r="D290" i="24"/>
  <c r="B290" i="24"/>
  <c r="AC289" i="24"/>
  <c r="AB289" i="24"/>
  <c r="Y289" i="24"/>
  <c r="AA289" i="24" s="1"/>
  <c r="X289" i="24"/>
  <c r="Q289" i="24"/>
  <c r="O289" i="24"/>
  <c r="M289" i="24"/>
  <c r="J289" i="24"/>
  <c r="H289" i="24"/>
  <c r="F289" i="24"/>
  <c r="D289" i="24"/>
  <c r="E289" i="24" s="1"/>
  <c r="B289" i="24"/>
  <c r="AC288" i="24"/>
  <c r="AB288" i="24"/>
  <c r="Y288" i="24"/>
  <c r="AA288" i="24" s="1"/>
  <c r="X288" i="24"/>
  <c r="Q288" i="24"/>
  <c r="O288" i="24"/>
  <c r="M288" i="24"/>
  <c r="J288" i="24"/>
  <c r="H288" i="24"/>
  <c r="F288" i="24"/>
  <c r="D288" i="24"/>
  <c r="B288" i="24"/>
  <c r="AC287" i="24"/>
  <c r="AB287" i="24"/>
  <c r="Y287" i="24"/>
  <c r="AA287" i="24" s="1"/>
  <c r="X287" i="24"/>
  <c r="Q287" i="24"/>
  <c r="O287" i="24"/>
  <c r="M287" i="24"/>
  <c r="J287" i="24"/>
  <c r="H287" i="24"/>
  <c r="I287" i="24" s="1"/>
  <c r="F287" i="24"/>
  <c r="D287" i="24"/>
  <c r="E287" i="24" s="1"/>
  <c r="B287" i="24"/>
  <c r="AC286" i="24"/>
  <c r="AB286" i="24"/>
  <c r="Y286" i="24"/>
  <c r="AA286" i="24" s="1"/>
  <c r="X286" i="24"/>
  <c r="Q286" i="24"/>
  <c r="O286" i="24"/>
  <c r="M286" i="24"/>
  <c r="J286" i="24"/>
  <c r="H286" i="24"/>
  <c r="F286" i="24"/>
  <c r="D286" i="24"/>
  <c r="B286" i="24"/>
  <c r="AC285" i="24"/>
  <c r="AB285" i="24"/>
  <c r="Y285" i="24"/>
  <c r="AA285" i="24" s="1"/>
  <c r="X285" i="24"/>
  <c r="Q285" i="24"/>
  <c r="O285" i="24"/>
  <c r="M285" i="24"/>
  <c r="J285" i="24"/>
  <c r="H285" i="24"/>
  <c r="F285" i="24"/>
  <c r="D285" i="24"/>
  <c r="B285" i="24"/>
  <c r="AC284" i="24"/>
  <c r="AB284" i="24"/>
  <c r="Y284" i="24"/>
  <c r="AA284" i="24" s="1"/>
  <c r="X284" i="24"/>
  <c r="Q284" i="24"/>
  <c r="O284" i="24"/>
  <c r="M284" i="24"/>
  <c r="J284" i="24"/>
  <c r="H284" i="24"/>
  <c r="F284" i="24"/>
  <c r="D284" i="24"/>
  <c r="B284" i="24"/>
  <c r="AC283" i="24"/>
  <c r="AB283" i="24"/>
  <c r="Y283" i="24"/>
  <c r="AA283" i="24" s="1"/>
  <c r="X283" i="24"/>
  <c r="Q283" i="24"/>
  <c r="O283" i="24"/>
  <c r="M283" i="24"/>
  <c r="J283" i="24"/>
  <c r="H283" i="24"/>
  <c r="F283" i="24"/>
  <c r="D283" i="24"/>
  <c r="B283" i="24"/>
  <c r="AC282" i="24"/>
  <c r="AB282" i="24"/>
  <c r="Y282" i="24"/>
  <c r="AA282" i="24" s="1"/>
  <c r="X282" i="24"/>
  <c r="Q282" i="24"/>
  <c r="O282" i="24"/>
  <c r="M282" i="24"/>
  <c r="J282" i="24"/>
  <c r="H282" i="24"/>
  <c r="F282" i="24"/>
  <c r="D282" i="24"/>
  <c r="B282" i="24"/>
  <c r="AC281" i="24"/>
  <c r="AB281" i="24"/>
  <c r="Y281" i="24"/>
  <c r="AA281" i="24" s="1"/>
  <c r="X281" i="24"/>
  <c r="Q281" i="24"/>
  <c r="O281" i="24"/>
  <c r="M281" i="24"/>
  <c r="J281" i="24"/>
  <c r="H281" i="24"/>
  <c r="I281" i="24" s="1"/>
  <c r="F281" i="24"/>
  <c r="D281" i="24"/>
  <c r="E281" i="24" s="1"/>
  <c r="B281" i="24"/>
  <c r="AC280" i="24"/>
  <c r="AB280" i="24"/>
  <c r="Y280" i="24"/>
  <c r="AA280" i="24" s="1"/>
  <c r="X280" i="24"/>
  <c r="Q280" i="24"/>
  <c r="O280" i="24"/>
  <c r="M280" i="24"/>
  <c r="J280" i="24"/>
  <c r="H280" i="24"/>
  <c r="F280" i="24"/>
  <c r="D280" i="24"/>
  <c r="B280" i="24"/>
  <c r="AC279" i="24"/>
  <c r="AB279" i="24"/>
  <c r="Y279" i="24"/>
  <c r="AA279" i="24" s="1"/>
  <c r="X279" i="24"/>
  <c r="Q279" i="24"/>
  <c r="O279" i="24"/>
  <c r="M279" i="24"/>
  <c r="J279" i="24"/>
  <c r="H279" i="24"/>
  <c r="F279" i="24"/>
  <c r="D279" i="24"/>
  <c r="B279" i="24"/>
  <c r="AC278" i="24"/>
  <c r="AB278" i="24"/>
  <c r="Y278" i="24"/>
  <c r="AA278" i="24" s="1"/>
  <c r="X278" i="24"/>
  <c r="Q278" i="24"/>
  <c r="O278" i="24"/>
  <c r="M278" i="24"/>
  <c r="J278" i="24"/>
  <c r="H278" i="24"/>
  <c r="F278" i="24"/>
  <c r="D278" i="24"/>
  <c r="B278" i="24"/>
  <c r="AC277" i="24"/>
  <c r="AB277" i="24"/>
  <c r="Y277" i="24"/>
  <c r="AA277" i="24" s="1"/>
  <c r="X277" i="24"/>
  <c r="Q277" i="24"/>
  <c r="O277" i="24"/>
  <c r="M277" i="24"/>
  <c r="J277" i="24"/>
  <c r="H277" i="24"/>
  <c r="I277" i="24" s="1"/>
  <c r="F277" i="24"/>
  <c r="D277" i="24"/>
  <c r="E277" i="24" s="1"/>
  <c r="B277" i="24"/>
  <c r="AC276" i="24"/>
  <c r="AB276" i="24"/>
  <c r="Y276" i="24"/>
  <c r="AA276" i="24" s="1"/>
  <c r="X276" i="24"/>
  <c r="Q276" i="24"/>
  <c r="O276" i="24"/>
  <c r="M276" i="24"/>
  <c r="J276" i="24"/>
  <c r="H276" i="24"/>
  <c r="F276" i="24"/>
  <c r="D276" i="24"/>
  <c r="B276" i="24"/>
  <c r="AC275" i="24"/>
  <c r="AB275" i="24"/>
  <c r="Y275" i="24"/>
  <c r="AA275" i="24" s="1"/>
  <c r="X275" i="24"/>
  <c r="Q275" i="24"/>
  <c r="O275" i="24"/>
  <c r="M275" i="24"/>
  <c r="J275" i="24"/>
  <c r="H275" i="24"/>
  <c r="F275" i="24"/>
  <c r="D275" i="24"/>
  <c r="B275" i="24"/>
  <c r="AC274" i="24"/>
  <c r="AB274" i="24"/>
  <c r="Y274" i="24"/>
  <c r="AA274" i="24" s="1"/>
  <c r="X274" i="24"/>
  <c r="Q274" i="24"/>
  <c r="O274" i="24"/>
  <c r="M274" i="24"/>
  <c r="J274" i="24"/>
  <c r="H274" i="24"/>
  <c r="F274" i="24"/>
  <c r="D274" i="24"/>
  <c r="B274" i="24"/>
  <c r="AC273" i="24"/>
  <c r="AB273" i="24"/>
  <c r="Y273" i="24"/>
  <c r="AA273" i="24" s="1"/>
  <c r="X273" i="24"/>
  <c r="Q273" i="24"/>
  <c r="O273" i="24"/>
  <c r="M273" i="24"/>
  <c r="J273" i="24"/>
  <c r="H273" i="24"/>
  <c r="I273" i="24" s="1"/>
  <c r="F273" i="24"/>
  <c r="D273" i="24"/>
  <c r="B273" i="24"/>
  <c r="AC272" i="24"/>
  <c r="AB272" i="24"/>
  <c r="Y272" i="24"/>
  <c r="AA272" i="24" s="1"/>
  <c r="X272" i="24"/>
  <c r="Q272" i="24"/>
  <c r="O272" i="24"/>
  <c r="M272" i="24"/>
  <c r="J272" i="24"/>
  <c r="H272" i="24"/>
  <c r="F272" i="24"/>
  <c r="D272" i="24"/>
  <c r="B272" i="24"/>
  <c r="AC271" i="24"/>
  <c r="AB271" i="24"/>
  <c r="Y271" i="24"/>
  <c r="AA271" i="24" s="1"/>
  <c r="X271" i="24"/>
  <c r="Q271" i="24"/>
  <c r="O271" i="24"/>
  <c r="M271" i="24"/>
  <c r="J271" i="24"/>
  <c r="H271" i="24"/>
  <c r="I271" i="24" s="1"/>
  <c r="F271" i="24"/>
  <c r="D271" i="24"/>
  <c r="B271" i="24"/>
  <c r="AC270" i="24"/>
  <c r="AB270" i="24"/>
  <c r="Y270" i="24"/>
  <c r="AA270" i="24" s="1"/>
  <c r="X270" i="24"/>
  <c r="Q270" i="24"/>
  <c r="O270" i="24"/>
  <c r="M270" i="24"/>
  <c r="J270" i="24"/>
  <c r="H270" i="24"/>
  <c r="F270" i="24"/>
  <c r="D270" i="24"/>
  <c r="B270" i="24"/>
  <c r="AC269" i="24"/>
  <c r="AB269" i="24"/>
  <c r="Y269" i="24"/>
  <c r="AA269" i="24" s="1"/>
  <c r="X269" i="24"/>
  <c r="Q269" i="24"/>
  <c r="O269" i="24"/>
  <c r="M269" i="24"/>
  <c r="J269" i="24"/>
  <c r="H269" i="24"/>
  <c r="F269" i="24"/>
  <c r="D269" i="24"/>
  <c r="E269" i="24" s="1"/>
  <c r="B269" i="24"/>
  <c r="AC268" i="24"/>
  <c r="AB268" i="24"/>
  <c r="Y268" i="24"/>
  <c r="AA268" i="24" s="1"/>
  <c r="X268" i="24"/>
  <c r="Q268" i="24"/>
  <c r="O268" i="24"/>
  <c r="M268" i="24"/>
  <c r="J268" i="24"/>
  <c r="H268" i="24"/>
  <c r="F268" i="24"/>
  <c r="D268" i="24"/>
  <c r="B268" i="24"/>
  <c r="AC267" i="24"/>
  <c r="AB267" i="24"/>
  <c r="Y267" i="24"/>
  <c r="AA267" i="24" s="1"/>
  <c r="X267" i="24"/>
  <c r="Q267" i="24"/>
  <c r="O267" i="24"/>
  <c r="M267" i="24"/>
  <c r="J267" i="24"/>
  <c r="H267" i="24"/>
  <c r="F267" i="24"/>
  <c r="D267" i="24"/>
  <c r="B267" i="24"/>
  <c r="AC266" i="24"/>
  <c r="AB266" i="24"/>
  <c r="Y266" i="24"/>
  <c r="AA266" i="24" s="1"/>
  <c r="X266" i="24"/>
  <c r="Q266" i="24"/>
  <c r="O266" i="24"/>
  <c r="M266" i="24"/>
  <c r="J266" i="24"/>
  <c r="H266" i="24"/>
  <c r="F266" i="24"/>
  <c r="D266" i="24"/>
  <c r="B266" i="24"/>
  <c r="AC265" i="24"/>
  <c r="AB265" i="24"/>
  <c r="Y265" i="24"/>
  <c r="AA265" i="24" s="1"/>
  <c r="X265" i="24"/>
  <c r="Q265" i="24"/>
  <c r="O265" i="24"/>
  <c r="M265" i="24"/>
  <c r="J265" i="24"/>
  <c r="H265" i="24"/>
  <c r="F265" i="24"/>
  <c r="D265" i="24"/>
  <c r="B265" i="24"/>
  <c r="AC264" i="24"/>
  <c r="AB264" i="24"/>
  <c r="Y264" i="24"/>
  <c r="AA264" i="24" s="1"/>
  <c r="X264" i="24"/>
  <c r="Q264" i="24"/>
  <c r="O264" i="24"/>
  <c r="M264" i="24"/>
  <c r="J264" i="24"/>
  <c r="H264" i="24"/>
  <c r="F264" i="24"/>
  <c r="D264" i="24"/>
  <c r="B264" i="24"/>
  <c r="AC263" i="24"/>
  <c r="AB263" i="24"/>
  <c r="Y263" i="24"/>
  <c r="AA263" i="24" s="1"/>
  <c r="X263" i="24"/>
  <c r="Q263" i="24"/>
  <c r="O263" i="24"/>
  <c r="M263" i="24"/>
  <c r="J263" i="24"/>
  <c r="H263" i="24"/>
  <c r="F263" i="24"/>
  <c r="D263" i="24"/>
  <c r="B263" i="24"/>
  <c r="AC262" i="24"/>
  <c r="AB262" i="24"/>
  <c r="Y262" i="24"/>
  <c r="AA262" i="24" s="1"/>
  <c r="X262" i="24"/>
  <c r="Q262" i="24"/>
  <c r="O262" i="24"/>
  <c r="M262" i="24"/>
  <c r="J262" i="24"/>
  <c r="H262" i="24"/>
  <c r="F262" i="24"/>
  <c r="D262" i="24"/>
  <c r="B262" i="24"/>
  <c r="AC261" i="24"/>
  <c r="AB261" i="24"/>
  <c r="Y261" i="24"/>
  <c r="AA261" i="24" s="1"/>
  <c r="X261" i="24"/>
  <c r="Q261" i="24"/>
  <c r="O261" i="24"/>
  <c r="M261" i="24"/>
  <c r="J261" i="24"/>
  <c r="H261" i="24"/>
  <c r="F261" i="24"/>
  <c r="D261" i="24"/>
  <c r="B261" i="24"/>
  <c r="AC260" i="24"/>
  <c r="AB260" i="24"/>
  <c r="Y260" i="24"/>
  <c r="AA260" i="24" s="1"/>
  <c r="X260" i="24"/>
  <c r="Q260" i="24"/>
  <c r="O260" i="24"/>
  <c r="M260" i="24"/>
  <c r="J260" i="24"/>
  <c r="H260" i="24"/>
  <c r="F260" i="24"/>
  <c r="D260" i="24"/>
  <c r="B260" i="24"/>
  <c r="AC259" i="24"/>
  <c r="AB259" i="24"/>
  <c r="Y259" i="24"/>
  <c r="AA259" i="24" s="1"/>
  <c r="X259" i="24"/>
  <c r="Q259" i="24"/>
  <c r="O259" i="24"/>
  <c r="M259" i="24"/>
  <c r="J259" i="24"/>
  <c r="H259" i="24"/>
  <c r="F259" i="24"/>
  <c r="D259" i="24"/>
  <c r="B259" i="24"/>
  <c r="AC258" i="24"/>
  <c r="AB258" i="24"/>
  <c r="Y258" i="24"/>
  <c r="AA258" i="24" s="1"/>
  <c r="X258" i="24"/>
  <c r="Q258" i="24"/>
  <c r="O258" i="24"/>
  <c r="M258" i="24"/>
  <c r="J258" i="24"/>
  <c r="H258" i="24"/>
  <c r="F258" i="24"/>
  <c r="D258" i="24"/>
  <c r="B258" i="24"/>
  <c r="AC257" i="24"/>
  <c r="AB257" i="24"/>
  <c r="Y257" i="24"/>
  <c r="AA257" i="24" s="1"/>
  <c r="X257" i="24"/>
  <c r="Q257" i="24"/>
  <c r="O257" i="24"/>
  <c r="M257" i="24"/>
  <c r="J257" i="24"/>
  <c r="H257" i="24"/>
  <c r="F257" i="24"/>
  <c r="D257" i="24"/>
  <c r="B257" i="24"/>
  <c r="AC256" i="24"/>
  <c r="AB256" i="24"/>
  <c r="Y256" i="24"/>
  <c r="AA256" i="24" s="1"/>
  <c r="X256" i="24"/>
  <c r="Q256" i="24"/>
  <c r="O256" i="24"/>
  <c r="M256" i="24"/>
  <c r="J256" i="24"/>
  <c r="H256" i="24"/>
  <c r="F256" i="24"/>
  <c r="D256" i="24"/>
  <c r="B256" i="24"/>
  <c r="AC255" i="24"/>
  <c r="AB255" i="24"/>
  <c r="Y255" i="24"/>
  <c r="AA255" i="24" s="1"/>
  <c r="X255" i="24"/>
  <c r="Q255" i="24"/>
  <c r="O255" i="24"/>
  <c r="M255" i="24"/>
  <c r="J255" i="24"/>
  <c r="H255" i="24"/>
  <c r="F255" i="24"/>
  <c r="D255" i="24"/>
  <c r="B255" i="24"/>
  <c r="AC254" i="24"/>
  <c r="AB254" i="24"/>
  <c r="Y254" i="24"/>
  <c r="AA254" i="24" s="1"/>
  <c r="X254" i="24"/>
  <c r="Q254" i="24"/>
  <c r="O254" i="24"/>
  <c r="M254" i="24"/>
  <c r="J254" i="24"/>
  <c r="H254" i="24"/>
  <c r="F254" i="24"/>
  <c r="D254" i="24"/>
  <c r="B254" i="24"/>
  <c r="AC253" i="24"/>
  <c r="AB253" i="24"/>
  <c r="Y253" i="24"/>
  <c r="AA253" i="24" s="1"/>
  <c r="X253" i="24"/>
  <c r="Q253" i="24"/>
  <c r="O253" i="24"/>
  <c r="M253" i="24"/>
  <c r="J253" i="24"/>
  <c r="H253" i="24"/>
  <c r="F253" i="24"/>
  <c r="D253" i="24"/>
  <c r="B253" i="24"/>
  <c r="AC252" i="24"/>
  <c r="AB252" i="24"/>
  <c r="Y252" i="24"/>
  <c r="AA252" i="24" s="1"/>
  <c r="X252" i="24"/>
  <c r="Q252" i="24"/>
  <c r="O252" i="24"/>
  <c r="M252" i="24"/>
  <c r="J252" i="24"/>
  <c r="H252" i="24"/>
  <c r="F252" i="24"/>
  <c r="D252" i="24"/>
  <c r="B252" i="24"/>
  <c r="AC251" i="24"/>
  <c r="AB251" i="24"/>
  <c r="Y251" i="24"/>
  <c r="AA251" i="24" s="1"/>
  <c r="X251" i="24"/>
  <c r="Q251" i="24"/>
  <c r="O251" i="24"/>
  <c r="M251" i="24"/>
  <c r="J251" i="24"/>
  <c r="H251" i="24"/>
  <c r="F251" i="24"/>
  <c r="D251" i="24"/>
  <c r="E251" i="24" s="1"/>
  <c r="B251" i="24"/>
  <c r="AC250" i="24"/>
  <c r="AB250" i="24"/>
  <c r="Y250" i="24"/>
  <c r="AA250" i="24" s="1"/>
  <c r="X250" i="24"/>
  <c r="Q250" i="24"/>
  <c r="O250" i="24"/>
  <c r="M250" i="24"/>
  <c r="J250" i="24"/>
  <c r="H250" i="24"/>
  <c r="F250" i="24"/>
  <c r="D250" i="24"/>
  <c r="B250" i="24"/>
  <c r="AC249" i="24"/>
  <c r="AB249" i="24"/>
  <c r="Y249" i="24"/>
  <c r="AA249" i="24" s="1"/>
  <c r="X249" i="24"/>
  <c r="Q249" i="24"/>
  <c r="O249" i="24"/>
  <c r="M249" i="24"/>
  <c r="J249" i="24"/>
  <c r="H249" i="24"/>
  <c r="F249" i="24"/>
  <c r="D249" i="24"/>
  <c r="E249" i="24" s="1"/>
  <c r="B249" i="24"/>
  <c r="AC248" i="24"/>
  <c r="AB248" i="24"/>
  <c r="Y248" i="24"/>
  <c r="AA248" i="24" s="1"/>
  <c r="X248" i="24"/>
  <c r="Q248" i="24"/>
  <c r="O248" i="24"/>
  <c r="M248" i="24"/>
  <c r="J248" i="24"/>
  <c r="H248" i="24"/>
  <c r="F248" i="24"/>
  <c r="D248" i="24"/>
  <c r="B248" i="24"/>
  <c r="AC247" i="24"/>
  <c r="AB247" i="24"/>
  <c r="Y247" i="24"/>
  <c r="AA247" i="24" s="1"/>
  <c r="X247" i="24"/>
  <c r="Q247" i="24"/>
  <c r="O247" i="24"/>
  <c r="M247" i="24"/>
  <c r="J247" i="24"/>
  <c r="H247" i="24"/>
  <c r="F247" i="24"/>
  <c r="D247" i="24"/>
  <c r="B247" i="24"/>
  <c r="AC246" i="24"/>
  <c r="AB246" i="24"/>
  <c r="Y246" i="24"/>
  <c r="AA246" i="24" s="1"/>
  <c r="X246" i="24"/>
  <c r="Q246" i="24"/>
  <c r="O246" i="24"/>
  <c r="M246" i="24"/>
  <c r="J246" i="24"/>
  <c r="H246" i="24"/>
  <c r="F246" i="24"/>
  <c r="D246" i="24"/>
  <c r="B246" i="24"/>
  <c r="AC245" i="24"/>
  <c r="AB245" i="24"/>
  <c r="Y245" i="24"/>
  <c r="AA245" i="24" s="1"/>
  <c r="X245" i="24"/>
  <c r="Q245" i="24"/>
  <c r="O245" i="24"/>
  <c r="M245" i="24"/>
  <c r="J245" i="24"/>
  <c r="H245" i="24"/>
  <c r="F245" i="24"/>
  <c r="D245" i="24"/>
  <c r="B245" i="24"/>
  <c r="AC244" i="24"/>
  <c r="AB244" i="24"/>
  <c r="Y244" i="24"/>
  <c r="AA244" i="24" s="1"/>
  <c r="X244" i="24"/>
  <c r="Q244" i="24"/>
  <c r="O244" i="24"/>
  <c r="M244" i="24"/>
  <c r="J244" i="24"/>
  <c r="H244" i="24"/>
  <c r="F244" i="24"/>
  <c r="D244" i="24"/>
  <c r="B244" i="24"/>
  <c r="AC243" i="24"/>
  <c r="AB243" i="24"/>
  <c r="Y243" i="24"/>
  <c r="AA243" i="24" s="1"/>
  <c r="X243" i="24"/>
  <c r="Q243" i="24"/>
  <c r="O243" i="24"/>
  <c r="M243" i="24"/>
  <c r="J243" i="24"/>
  <c r="H243" i="24"/>
  <c r="F243" i="24"/>
  <c r="D243" i="24"/>
  <c r="E243" i="24" s="1"/>
  <c r="B243" i="24"/>
  <c r="AC242" i="24"/>
  <c r="AB242" i="24"/>
  <c r="Y242" i="24"/>
  <c r="AA242" i="24" s="1"/>
  <c r="X242" i="24"/>
  <c r="Q242" i="24"/>
  <c r="O242" i="24"/>
  <c r="M242" i="24"/>
  <c r="J242" i="24"/>
  <c r="H242" i="24"/>
  <c r="F242" i="24"/>
  <c r="D242" i="24"/>
  <c r="B242" i="24"/>
  <c r="AC241" i="24"/>
  <c r="AB241" i="24"/>
  <c r="Y241" i="24"/>
  <c r="AA241" i="24" s="1"/>
  <c r="X241" i="24"/>
  <c r="Q241" i="24"/>
  <c r="O241" i="24"/>
  <c r="M241" i="24"/>
  <c r="J241" i="24"/>
  <c r="H241" i="24"/>
  <c r="F241" i="24"/>
  <c r="D241" i="24"/>
  <c r="B241" i="24"/>
  <c r="AC240" i="24"/>
  <c r="AB240" i="24"/>
  <c r="Y240" i="24"/>
  <c r="AA240" i="24" s="1"/>
  <c r="X240" i="24"/>
  <c r="Q240" i="24"/>
  <c r="O240" i="24"/>
  <c r="M240" i="24"/>
  <c r="J240" i="24"/>
  <c r="H240" i="24"/>
  <c r="F240" i="24"/>
  <c r="D240" i="24"/>
  <c r="B240" i="24"/>
  <c r="AC239" i="24"/>
  <c r="AB239" i="24"/>
  <c r="Y239" i="24"/>
  <c r="AA239" i="24" s="1"/>
  <c r="X239" i="24"/>
  <c r="Q239" i="24"/>
  <c r="O239" i="24"/>
  <c r="M239" i="24"/>
  <c r="J239" i="24"/>
  <c r="H239" i="24"/>
  <c r="F239" i="24"/>
  <c r="D239" i="24"/>
  <c r="B239" i="24"/>
  <c r="AC238" i="24"/>
  <c r="AB238" i="24"/>
  <c r="Y238" i="24"/>
  <c r="AA238" i="24" s="1"/>
  <c r="X238" i="24"/>
  <c r="Q238" i="24"/>
  <c r="O238" i="24"/>
  <c r="M238" i="24"/>
  <c r="J238" i="24"/>
  <c r="H238" i="24"/>
  <c r="F238" i="24"/>
  <c r="D238" i="24"/>
  <c r="B238" i="24"/>
  <c r="AC237" i="24"/>
  <c r="AD237" i="24" s="1"/>
  <c r="AB237" i="24"/>
  <c r="Y237" i="24"/>
  <c r="AA237" i="24" s="1"/>
  <c r="X237" i="24"/>
  <c r="Q237" i="24"/>
  <c r="O237" i="24"/>
  <c r="M237" i="24"/>
  <c r="J237" i="24"/>
  <c r="H237" i="24"/>
  <c r="F237" i="24"/>
  <c r="D237" i="24"/>
  <c r="B237" i="24"/>
  <c r="AC236" i="24"/>
  <c r="AB236" i="24"/>
  <c r="Y236" i="24"/>
  <c r="AA236" i="24" s="1"/>
  <c r="X236" i="24"/>
  <c r="Q236" i="24"/>
  <c r="O236" i="24"/>
  <c r="M236" i="24"/>
  <c r="J236" i="24"/>
  <c r="H236" i="24"/>
  <c r="F236" i="24"/>
  <c r="D236" i="24"/>
  <c r="B236" i="24"/>
  <c r="AC235" i="24"/>
  <c r="AB235" i="24"/>
  <c r="Y235" i="24"/>
  <c r="AA235" i="24" s="1"/>
  <c r="X235" i="24"/>
  <c r="Q235" i="24"/>
  <c r="O235" i="24"/>
  <c r="M235" i="24"/>
  <c r="J235" i="24"/>
  <c r="H235" i="24"/>
  <c r="I235" i="24" s="1"/>
  <c r="F235" i="24"/>
  <c r="D235" i="24"/>
  <c r="B235" i="24"/>
  <c r="AC234" i="24"/>
  <c r="AB234" i="24"/>
  <c r="Y234" i="24"/>
  <c r="AA234" i="24" s="1"/>
  <c r="X234" i="24"/>
  <c r="Q234" i="24"/>
  <c r="O234" i="24"/>
  <c r="M234" i="24"/>
  <c r="J234" i="24"/>
  <c r="H234" i="24"/>
  <c r="F234" i="24"/>
  <c r="D234" i="24"/>
  <c r="B234" i="24"/>
  <c r="AC233" i="24"/>
  <c r="AB233" i="24"/>
  <c r="Y233" i="24"/>
  <c r="AA233" i="24" s="1"/>
  <c r="X233" i="24"/>
  <c r="Q233" i="24"/>
  <c r="O233" i="24"/>
  <c r="M233" i="24"/>
  <c r="J233" i="24"/>
  <c r="H233" i="24"/>
  <c r="F233" i="24"/>
  <c r="D233" i="24"/>
  <c r="B233" i="24"/>
  <c r="AC232" i="24"/>
  <c r="AB232" i="24"/>
  <c r="Y232" i="24"/>
  <c r="AA232" i="24" s="1"/>
  <c r="X232" i="24"/>
  <c r="Q232" i="24"/>
  <c r="O232" i="24"/>
  <c r="M232" i="24"/>
  <c r="J232" i="24"/>
  <c r="H232" i="24"/>
  <c r="F232" i="24"/>
  <c r="D232" i="24"/>
  <c r="B232" i="24"/>
  <c r="AC231" i="24"/>
  <c r="AB231" i="24"/>
  <c r="Y231" i="24"/>
  <c r="AA231" i="24" s="1"/>
  <c r="X231" i="24"/>
  <c r="Q231" i="24"/>
  <c r="O231" i="24"/>
  <c r="M231" i="24"/>
  <c r="J231" i="24"/>
  <c r="H231" i="24"/>
  <c r="I231" i="24" s="1"/>
  <c r="F231" i="24"/>
  <c r="D231" i="24"/>
  <c r="B231" i="24"/>
  <c r="AC230" i="24"/>
  <c r="AB230" i="24"/>
  <c r="Y230" i="24"/>
  <c r="AA230" i="24" s="1"/>
  <c r="X230" i="24"/>
  <c r="Q230" i="24"/>
  <c r="O230" i="24"/>
  <c r="M230" i="24"/>
  <c r="J230" i="24"/>
  <c r="H230" i="24"/>
  <c r="F230" i="24"/>
  <c r="D230" i="24"/>
  <c r="B230" i="24"/>
  <c r="AC229" i="24"/>
  <c r="AB229" i="24"/>
  <c r="Y229" i="24"/>
  <c r="AA229" i="24" s="1"/>
  <c r="X229" i="24"/>
  <c r="Q229" i="24"/>
  <c r="O229" i="24"/>
  <c r="M229" i="24"/>
  <c r="J229" i="24"/>
  <c r="H229" i="24"/>
  <c r="F229" i="24"/>
  <c r="D229" i="24"/>
  <c r="B229" i="24"/>
  <c r="AC228" i="24"/>
  <c r="AB228" i="24"/>
  <c r="Y228" i="24"/>
  <c r="AA228" i="24" s="1"/>
  <c r="X228" i="24"/>
  <c r="Q228" i="24"/>
  <c r="O228" i="24"/>
  <c r="M228" i="24"/>
  <c r="J228" i="24"/>
  <c r="H228" i="24"/>
  <c r="F228" i="24"/>
  <c r="D228" i="24"/>
  <c r="B228" i="24"/>
  <c r="AC227" i="24"/>
  <c r="AB227" i="24"/>
  <c r="Y227" i="24"/>
  <c r="AA227" i="24" s="1"/>
  <c r="X227" i="24"/>
  <c r="Q227" i="24"/>
  <c r="O227" i="24"/>
  <c r="M227" i="24"/>
  <c r="J227" i="24"/>
  <c r="H227" i="24"/>
  <c r="F227" i="24"/>
  <c r="D227" i="24"/>
  <c r="B227" i="24"/>
  <c r="AC226" i="24"/>
  <c r="AB226" i="24"/>
  <c r="Y226" i="24"/>
  <c r="AA226" i="24" s="1"/>
  <c r="X226" i="24"/>
  <c r="Q226" i="24"/>
  <c r="O226" i="24"/>
  <c r="M226" i="24"/>
  <c r="J226" i="24"/>
  <c r="H226" i="24"/>
  <c r="F226" i="24"/>
  <c r="D226" i="24"/>
  <c r="B226" i="24"/>
  <c r="AC225" i="24"/>
  <c r="AD225" i="24" s="1"/>
  <c r="AB225" i="24"/>
  <c r="Y225" i="24"/>
  <c r="AA225" i="24" s="1"/>
  <c r="X225" i="24"/>
  <c r="Q225" i="24"/>
  <c r="O225" i="24"/>
  <c r="M225" i="24"/>
  <c r="J225" i="24"/>
  <c r="H225" i="24"/>
  <c r="F225" i="24"/>
  <c r="D225" i="24"/>
  <c r="B225" i="24"/>
  <c r="AC224" i="24"/>
  <c r="AB224" i="24"/>
  <c r="Y224" i="24"/>
  <c r="AA224" i="24" s="1"/>
  <c r="X224" i="24"/>
  <c r="Q224" i="24"/>
  <c r="O224" i="24"/>
  <c r="M224" i="24"/>
  <c r="J224" i="24"/>
  <c r="H224" i="24"/>
  <c r="F224" i="24"/>
  <c r="D224" i="24"/>
  <c r="B224" i="24"/>
  <c r="AC223" i="24"/>
  <c r="AB223" i="24"/>
  <c r="Y223" i="24"/>
  <c r="AA223" i="24" s="1"/>
  <c r="X223" i="24"/>
  <c r="Q223" i="24"/>
  <c r="O223" i="24"/>
  <c r="M223" i="24"/>
  <c r="J223" i="24"/>
  <c r="H223" i="24"/>
  <c r="I223" i="24" s="1"/>
  <c r="F223" i="24"/>
  <c r="D223" i="24"/>
  <c r="B223" i="24"/>
  <c r="AC222" i="24"/>
  <c r="AB222" i="24"/>
  <c r="Y222" i="24"/>
  <c r="AA222" i="24" s="1"/>
  <c r="X222" i="24"/>
  <c r="Q222" i="24"/>
  <c r="O222" i="24"/>
  <c r="M222" i="24"/>
  <c r="J222" i="24"/>
  <c r="H222" i="24"/>
  <c r="F222" i="24"/>
  <c r="D222" i="24"/>
  <c r="B222" i="24"/>
  <c r="AC221" i="24"/>
  <c r="AB221" i="24"/>
  <c r="Y221" i="24"/>
  <c r="AA221" i="24" s="1"/>
  <c r="X221" i="24"/>
  <c r="Q221" i="24"/>
  <c r="O221" i="24"/>
  <c r="M221" i="24"/>
  <c r="J221" i="24"/>
  <c r="H221" i="24"/>
  <c r="F221" i="24"/>
  <c r="D221" i="24"/>
  <c r="B221" i="24"/>
  <c r="AC220" i="24"/>
  <c r="AB220" i="24"/>
  <c r="Y220" i="24"/>
  <c r="AA220" i="24" s="1"/>
  <c r="X220" i="24"/>
  <c r="Q220" i="24"/>
  <c r="O220" i="24"/>
  <c r="M220" i="24"/>
  <c r="J220" i="24"/>
  <c r="H220" i="24"/>
  <c r="F220" i="24"/>
  <c r="D220" i="24"/>
  <c r="B220" i="24"/>
  <c r="AC219" i="24"/>
  <c r="AB219" i="24"/>
  <c r="Y219" i="24"/>
  <c r="AA219" i="24" s="1"/>
  <c r="X219" i="24"/>
  <c r="Q219" i="24"/>
  <c r="O219" i="24"/>
  <c r="M219" i="24"/>
  <c r="J219" i="24"/>
  <c r="H219" i="24"/>
  <c r="F219" i="24"/>
  <c r="D219" i="24"/>
  <c r="B219" i="24"/>
  <c r="AC218" i="24"/>
  <c r="AB218" i="24"/>
  <c r="Y218" i="24"/>
  <c r="AA218" i="24" s="1"/>
  <c r="X218" i="24"/>
  <c r="Q218" i="24"/>
  <c r="O218" i="24"/>
  <c r="M218" i="24"/>
  <c r="J218" i="24"/>
  <c r="H218" i="24"/>
  <c r="F218" i="24"/>
  <c r="D218" i="24"/>
  <c r="B218" i="24"/>
  <c r="AC217" i="24"/>
  <c r="AB217" i="24"/>
  <c r="Y217" i="24"/>
  <c r="AA217" i="24" s="1"/>
  <c r="X217" i="24"/>
  <c r="Q217" i="24"/>
  <c r="O217" i="24"/>
  <c r="M217" i="24"/>
  <c r="J217" i="24"/>
  <c r="H217" i="24"/>
  <c r="F217" i="24"/>
  <c r="D217" i="24"/>
  <c r="B217" i="24"/>
  <c r="AC216" i="24"/>
  <c r="AB216" i="24"/>
  <c r="Y216" i="24"/>
  <c r="AA216" i="24" s="1"/>
  <c r="X216" i="24"/>
  <c r="Q216" i="24"/>
  <c r="O216" i="24"/>
  <c r="M216" i="24"/>
  <c r="J216" i="24"/>
  <c r="H216" i="24"/>
  <c r="F216" i="24"/>
  <c r="D216" i="24"/>
  <c r="B216" i="24"/>
  <c r="AC215" i="24"/>
  <c r="AB215" i="24"/>
  <c r="Y215" i="24"/>
  <c r="AA215" i="24" s="1"/>
  <c r="X215" i="24"/>
  <c r="Q215" i="24"/>
  <c r="O215" i="24"/>
  <c r="M215" i="24"/>
  <c r="J215" i="24"/>
  <c r="H215" i="24"/>
  <c r="F215" i="24"/>
  <c r="D215" i="24"/>
  <c r="B215" i="24"/>
  <c r="AC214" i="24"/>
  <c r="AB214" i="24"/>
  <c r="Y214" i="24"/>
  <c r="AA214" i="24" s="1"/>
  <c r="X214" i="24"/>
  <c r="Q214" i="24"/>
  <c r="O214" i="24"/>
  <c r="M214" i="24"/>
  <c r="J214" i="24"/>
  <c r="H214" i="24"/>
  <c r="F214" i="24"/>
  <c r="D214" i="24"/>
  <c r="B214" i="24"/>
  <c r="AC213" i="24"/>
  <c r="AB213" i="24"/>
  <c r="Y213" i="24"/>
  <c r="AA213" i="24" s="1"/>
  <c r="X213" i="24"/>
  <c r="Q213" i="24"/>
  <c r="O213" i="24"/>
  <c r="M213" i="24"/>
  <c r="J213" i="24"/>
  <c r="H213" i="24"/>
  <c r="F213" i="24"/>
  <c r="D213" i="24"/>
  <c r="B213" i="24"/>
  <c r="AC212" i="24"/>
  <c r="AB212" i="24"/>
  <c r="Y212" i="24"/>
  <c r="AA212" i="24" s="1"/>
  <c r="X212" i="24"/>
  <c r="Q212" i="24"/>
  <c r="O212" i="24"/>
  <c r="M212" i="24"/>
  <c r="J212" i="24"/>
  <c r="H212" i="24"/>
  <c r="F212" i="24"/>
  <c r="D212" i="24"/>
  <c r="B212" i="24"/>
  <c r="AC211" i="24"/>
  <c r="AB211" i="24"/>
  <c r="Y211" i="24"/>
  <c r="AA211" i="24" s="1"/>
  <c r="X211" i="24"/>
  <c r="Q211" i="24"/>
  <c r="O211" i="24"/>
  <c r="M211" i="24"/>
  <c r="J211" i="24"/>
  <c r="H211" i="24"/>
  <c r="F211" i="24"/>
  <c r="D211" i="24"/>
  <c r="B211" i="24"/>
  <c r="AC210" i="24"/>
  <c r="AB210" i="24"/>
  <c r="Y210" i="24"/>
  <c r="AA210" i="24" s="1"/>
  <c r="X210" i="24"/>
  <c r="Q210" i="24"/>
  <c r="O210" i="24"/>
  <c r="M210" i="24"/>
  <c r="J210" i="24"/>
  <c r="H210" i="24"/>
  <c r="F210" i="24"/>
  <c r="D210" i="24"/>
  <c r="B210" i="24"/>
  <c r="AC209" i="24"/>
  <c r="AB209" i="24"/>
  <c r="Y209" i="24"/>
  <c r="AA209" i="24" s="1"/>
  <c r="X209" i="24"/>
  <c r="Q209" i="24"/>
  <c r="O209" i="24"/>
  <c r="M209" i="24"/>
  <c r="J209" i="24"/>
  <c r="H209" i="24"/>
  <c r="F209" i="24"/>
  <c r="D209" i="24"/>
  <c r="B209" i="24"/>
  <c r="AC208" i="24"/>
  <c r="AB208" i="24"/>
  <c r="Y208" i="24"/>
  <c r="AA208" i="24" s="1"/>
  <c r="X208" i="24"/>
  <c r="Q208" i="24"/>
  <c r="O208" i="24"/>
  <c r="M208" i="24"/>
  <c r="J208" i="24"/>
  <c r="H208" i="24"/>
  <c r="F208" i="24"/>
  <c r="D208" i="24"/>
  <c r="B208" i="24"/>
  <c r="AC207" i="24"/>
  <c r="AB207" i="24"/>
  <c r="Y207" i="24"/>
  <c r="AA207" i="24" s="1"/>
  <c r="X207" i="24"/>
  <c r="Q207" i="24"/>
  <c r="O207" i="24"/>
  <c r="M207" i="24"/>
  <c r="J207" i="24"/>
  <c r="H207" i="24"/>
  <c r="F207" i="24"/>
  <c r="D207" i="24"/>
  <c r="B207" i="24"/>
  <c r="AC206" i="24"/>
  <c r="AB206" i="24"/>
  <c r="Y206" i="24"/>
  <c r="AA206" i="24" s="1"/>
  <c r="X206" i="24"/>
  <c r="Q206" i="24"/>
  <c r="O206" i="24"/>
  <c r="M206" i="24"/>
  <c r="J206" i="24"/>
  <c r="H206" i="24"/>
  <c r="F206" i="24"/>
  <c r="D206" i="24"/>
  <c r="B206" i="24"/>
  <c r="AC205" i="24"/>
  <c r="AB205" i="24"/>
  <c r="Y205" i="24"/>
  <c r="AA205" i="24" s="1"/>
  <c r="X205" i="24"/>
  <c r="Q205" i="24"/>
  <c r="O205" i="24"/>
  <c r="M205" i="24"/>
  <c r="J205" i="24"/>
  <c r="H205" i="24"/>
  <c r="F205" i="24"/>
  <c r="D205" i="24"/>
  <c r="E205" i="24" s="1"/>
  <c r="B205" i="24"/>
  <c r="AC204" i="24"/>
  <c r="AB204" i="24"/>
  <c r="Y204" i="24"/>
  <c r="AA204" i="24" s="1"/>
  <c r="X204" i="24"/>
  <c r="Q204" i="24"/>
  <c r="O204" i="24"/>
  <c r="M204" i="24"/>
  <c r="J204" i="24"/>
  <c r="H204" i="24"/>
  <c r="F204" i="24"/>
  <c r="D204" i="24"/>
  <c r="B204" i="24"/>
  <c r="AC203" i="24"/>
  <c r="AB203" i="24"/>
  <c r="Y203" i="24"/>
  <c r="AA203" i="24" s="1"/>
  <c r="X203" i="24"/>
  <c r="Q203" i="24"/>
  <c r="O203" i="24"/>
  <c r="M203" i="24"/>
  <c r="J203" i="24"/>
  <c r="H203" i="24"/>
  <c r="F203" i="24"/>
  <c r="D203" i="24"/>
  <c r="B203" i="24"/>
  <c r="AC202" i="24"/>
  <c r="AB202" i="24"/>
  <c r="Y202" i="24"/>
  <c r="AA202" i="24" s="1"/>
  <c r="X202" i="24"/>
  <c r="Q202" i="24"/>
  <c r="O202" i="24"/>
  <c r="M202" i="24"/>
  <c r="J202" i="24"/>
  <c r="H202" i="24"/>
  <c r="F202" i="24"/>
  <c r="D202" i="24"/>
  <c r="B202" i="24"/>
  <c r="AC201" i="24"/>
  <c r="AB201" i="24"/>
  <c r="Y201" i="24"/>
  <c r="AA201" i="24" s="1"/>
  <c r="X201" i="24"/>
  <c r="Q201" i="24"/>
  <c r="O201" i="24"/>
  <c r="M201" i="24"/>
  <c r="J201" i="24"/>
  <c r="H201" i="24"/>
  <c r="I201" i="24" s="1"/>
  <c r="F201" i="24"/>
  <c r="D201" i="24"/>
  <c r="E201" i="24" s="1"/>
  <c r="B201" i="24"/>
  <c r="AC200" i="24"/>
  <c r="AB200" i="24"/>
  <c r="Y200" i="24"/>
  <c r="AA200" i="24" s="1"/>
  <c r="X200" i="24"/>
  <c r="Q200" i="24"/>
  <c r="O200" i="24"/>
  <c r="M200" i="24"/>
  <c r="J200" i="24"/>
  <c r="H200" i="24"/>
  <c r="F200" i="24"/>
  <c r="D200" i="24"/>
  <c r="B200" i="24"/>
  <c r="AC199" i="24"/>
  <c r="AB199" i="24"/>
  <c r="Y199" i="24"/>
  <c r="AA199" i="24" s="1"/>
  <c r="X199" i="24"/>
  <c r="Q199" i="24"/>
  <c r="O199" i="24"/>
  <c r="M199" i="24"/>
  <c r="J199" i="24"/>
  <c r="H199" i="24"/>
  <c r="I199" i="24" s="1"/>
  <c r="F199" i="24"/>
  <c r="D199" i="24"/>
  <c r="B199" i="24"/>
  <c r="AC198" i="24"/>
  <c r="AB198" i="24"/>
  <c r="Y198" i="24"/>
  <c r="AA198" i="24" s="1"/>
  <c r="X198" i="24"/>
  <c r="Q198" i="24"/>
  <c r="O198" i="24"/>
  <c r="M198" i="24"/>
  <c r="J198" i="24"/>
  <c r="H198" i="24"/>
  <c r="F198" i="24"/>
  <c r="D198" i="24"/>
  <c r="B198" i="24"/>
  <c r="AC197" i="24"/>
  <c r="AB197" i="24"/>
  <c r="Y197" i="24"/>
  <c r="AA197" i="24" s="1"/>
  <c r="X197" i="24"/>
  <c r="Q197" i="24"/>
  <c r="O197" i="24"/>
  <c r="M197" i="24"/>
  <c r="J197" i="24"/>
  <c r="H197" i="24"/>
  <c r="F197" i="24"/>
  <c r="D197" i="24"/>
  <c r="B197" i="24"/>
  <c r="AC196" i="24"/>
  <c r="AB196" i="24"/>
  <c r="Y196" i="24"/>
  <c r="AA196" i="24" s="1"/>
  <c r="X196" i="24"/>
  <c r="Q196" i="24"/>
  <c r="O196" i="24"/>
  <c r="M196" i="24"/>
  <c r="J196" i="24"/>
  <c r="H196" i="24"/>
  <c r="F196" i="24"/>
  <c r="D196" i="24"/>
  <c r="B196" i="24"/>
  <c r="AC195" i="24"/>
  <c r="AD195" i="24" s="1"/>
  <c r="AB195" i="24"/>
  <c r="Y195" i="24"/>
  <c r="AA195" i="24" s="1"/>
  <c r="X195" i="24"/>
  <c r="Q195" i="24"/>
  <c r="O195" i="24"/>
  <c r="M195" i="24"/>
  <c r="J195" i="24"/>
  <c r="H195" i="24"/>
  <c r="F195" i="24"/>
  <c r="D195" i="24"/>
  <c r="B195" i="24"/>
  <c r="AC194" i="24"/>
  <c r="AB194" i="24"/>
  <c r="Y194" i="24"/>
  <c r="AA194" i="24" s="1"/>
  <c r="X194" i="24"/>
  <c r="Q194" i="24"/>
  <c r="O194" i="24"/>
  <c r="M194" i="24"/>
  <c r="J194" i="24"/>
  <c r="H194" i="24"/>
  <c r="F194" i="24"/>
  <c r="D194" i="24"/>
  <c r="B194" i="24"/>
  <c r="AC193" i="24"/>
  <c r="AB193" i="24"/>
  <c r="Y193" i="24"/>
  <c r="AA193" i="24" s="1"/>
  <c r="X193" i="24"/>
  <c r="Q193" i="24"/>
  <c r="O193" i="24"/>
  <c r="M193" i="24"/>
  <c r="J193" i="24"/>
  <c r="H193" i="24"/>
  <c r="F193" i="24"/>
  <c r="D193" i="24"/>
  <c r="B193" i="24"/>
  <c r="AC192" i="24"/>
  <c r="AB192" i="24"/>
  <c r="Y192" i="24"/>
  <c r="AA192" i="24" s="1"/>
  <c r="X192" i="24"/>
  <c r="Q192" i="24"/>
  <c r="O192" i="24"/>
  <c r="M192" i="24"/>
  <c r="J192" i="24"/>
  <c r="H192" i="24"/>
  <c r="F192" i="24"/>
  <c r="D192" i="24"/>
  <c r="B192" i="24"/>
  <c r="AC191" i="24"/>
  <c r="AB191" i="24"/>
  <c r="Y191" i="24"/>
  <c r="AA191" i="24" s="1"/>
  <c r="X191" i="24"/>
  <c r="Q191" i="24"/>
  <c r="O191" i="24"/>
  <c r="M191" i="24"/>
  <c r="J191" i="24"/>
  <c r="H191" i="24"/>
  <c r="F191" i="24"/>
  <c r="D191" i="24"/>
  <c r="B191" i="24"/>
  <c r="AC190" i="24"/>
  <c r="AB190" i="24"/>
  <c r="Y190" i="24"/>
  <c r="AA190" i="24" s="1"/>
  <c r="X190" i="24"/>
  <c r="Q190" i="24"/>
  <c r="O190" i="24"/>
  <c r="M190" i="24"/>
  <c r="J190" i="24"/>
  <c r="H190" i="24"/>
  <c r="F190" i="24"/>
  <c r="D190" i="24"/>
  <c r="B190" i="24"/>
  <c r="AC189" i="24"/>
  <c r="AB189" i="24"/>
  <c r="Y189" i="24"/>
  <c r="AA189" i="24" s="1"/>
  <c r="X189" i="24"/>
  <c r="Q189" i="24"/>
  <c r="O189" i="24"/>
  <c r="M189" i="24"/>
  <c r="J189" i="24"/>
  <c r="H189" i="24"/>
  <c r="F189" i="24"/>
  <c r="D189" i="24"/>
  <c r="B189" i="24"/>
  <c r="AC188" i="24"/>
  <c r="AB188" i="24"/>
  <c r="Y188" i="24"/>
  <c r="AA188" i="24" s="1"/>
  <c r="X188" i="24"/>
  <c r="Q188" i="24"/>
  <c r="O188" i="24"/>
  <c r="M188" i="24"/>
  <c r="J188" i="24"/>
  <c r="H188" i="24"/>
  <c r="F188" i="24"/>
  <c r="D188" i="24"/>
  <c r="B188" i="24"/>
  <c r="AC187" i="24"/>
  <c r="AB187" i="24"/>
  <c r="Y187" i="24"/>
  <c r="AA187" i="24" s="1"/>
  <c r="X187" i="24"/>
  <c r="Q187" i="24"/>
  <c r="O187" i="24"/>
  <c r="M187" i="24"/>
  <c r="J187" i="24"/>
  <c r="H187" i="24"/>
  <c r="F187" i="24"/>
  <c r="D187" i="24"/>
  <c r="E187" i="24" s="1"/>
  <c r="B187" i="24"/>
  <c r="AC186" i="24"/>
  <c r="AB186" i="24"/>
  <c r="Y186" i="24"/>
  <c r="AA186" i="24" s="1"/>
  <c r="X186" i="24"/>
  <c r="Q186" i="24"/>
  <c r="O186" i="24"/>
  <c r="M186" i="24"/>
  <c r="J186" i="24"/>
  <c r="H186" i="24"/>
  <c r="F186" i="24"/>
  <c r="D186" i="24"/>
  <c r="B186" i="24"/>
  <c r="AC185" i="24"/>
  <c r="AB185" i="24"/>
  <c r="Y185" i="24"/>
  <c r="AA185" i="24" s="1"/>
  <c r="X185" i="24"/>
  <c r="Q185" i="24"/>
  <c r="O185" i="24"/>
  <c r="M185" i="24"/>
  <c r="J185" i="24"/>
  <c r="H185" i="24"/>
  <c r="F185" i="24"/>
  <c r="D185" i="24"/>
  <c r="B185" i="24"/>
  <c r="AC184" i="24"/>
  <c r="AB184" i="24"/>
  <c r="Y184" i="24"/>
  <c r="AA184" i="24" s="1"/>
  <c r="X184" i="24"/>
  <c r="Q184" i="24"/>
  <c r="O184" i="24"/>
  <c r="M184" i="24"/>
  <c r="J184" i="24"/>
  <c r="H184" i="24"/>
  <c r="F184" i="24"/>
  <c r="D184" i="24"/>
  <c r="B184" i="24"/>
  <c r="AC183" i="24"/>
  <c r="AB183" i="24"/>
  <c r="Y183" i="24"/>
  <c r="AA183" i="24" s="1"/>
  <c r="X183" i="24"/>
  <c r="Q183" i="24"/>
  <c r="O183" i="24"/>
  <c r="M183" i="24"/>
  <c r="J183" i="24"/>
  <c r="H183" i="24"/>
  <c r="F183" i="24"/>
  <c r="D183" i="24"/>
  <c r="B183" i="24"/>
  <c r="AC182" i="24"/>
  <c r="AB182" i="24"/>
  <c r="Y182" i="24"/>
  <c r="AA182" i="24" s="1"/>
  <c r="X182" i="24"/>
  <c r="Q182" i="24"/>
  <c r="O182" i="24"/>
  <c r="M182" i="24"/>
  <c r="J182" i="24"/>
  <c r="H182" i="24"/>
  <c r="F182" i="24"/>
  <c r="D182" i="24"/>
  <c r="B182" i="24"/>
  <c r="AC181" i="24"/>
  <c r="AB181" i="24"/>
  <c r="Y181" i="24"/>
  <c r="AA181" i="24" s="1"/>
  <c r="X181" i="24"/>
  <c r="Q181" i="24"/>
  <c r="O181" i="24"/>
  <c r="M181" i="24"/>
  <c r="J181" i="24"/>
  <c r="H181" i="24"/>
  <c r="F181" i="24"/>
  <c r="D181" i="24"/>
  <c r="B181" i="24"/>
  <c r="AC180" i="24"/>
  <c r="AB180" i="24"/>
  <c r="Y180" i="24"/>
  <c r="AA180" i="24" s="1"/>
  <c r="X180" i="24"/>
  <c r="Q180" i="24"/>
  <c r="O180" i="24"/>
  <c r="M180" i="24"/>
  <c r="J180" i="24"/>
  <c r="H180" i="24"/>
  <c r="F180" i="24"/>
  <c r="D180" i="24"/>
  <c r="B180" i="24"/>
  <c r="AC179" i="24"/>
  <c r="AB179" i="24"/>
  <c r="Y179" i="24"/>
  <c r="AA179" i="24" s="1"/>
  <c r="X179" i="24"/>
  <c r="Q179" i="24"/>
  <c r="O179" i="24"/>
  <c r="M179" i="24"/>
  <c r="J179" i="24"/>
  <c r="H179" i="24"/>
  <c r="F179" i="24"/>
  <c r="D179" i="24"/>
  <c r="B179" i="24"/>
  <c r="AC178" i="24"/>
  <c r="AB178" i="24"/>
  <c r="Y178" i="24"/>
  <c r="AA178" i="24" s="1"/>
  <c r="X178" i="24"/>
  <c r="Q178" i="24"/>
  <c r="O178" i="24"/>
  <c r="M178" i="24"/>
  <c r="J178" i="24"/>
  <c r="H178" i="24"/>
  <c r="F178" i="24"/>
  <c r="D178" i="24"/>
  <c r="B178" i="24"/>
  <c r="AC177" i="24"/>
  <c r="AB177" i="24"/>
  <c r="Y177" i="24"/>
  <c r="AA177" i="24" s="1"/>
  <c r="X177" i="24"/>
  <c r="Q177" i="24"/>
  <c r="O177" i="24"/>
  <c r="M177" i="24"/>
  <c r="J177" i="24"/>
  <c r="H177" i="24"/>
  <c r="F177" i="24"/>
  <c r="D177" i="24"/>
  <c r="B177" i="24"/>
  <c r="AC176" i="24"/>
  <c r="AB176" i="24"/>
  <c r="Y176" i="24"/>
  <c r="AA176" i="24" s="1"/>
  <c r="X176" i="24"/>
  <c r="Q176" i="24"/>
  <c r="O176" i="24"/>
  <c r="M176" i="24"/>
  <c r="J176" i="24"/>
  <c r="H176" i="24"/>
  <c r="F176" i="24"/>
  <c r="D176" i="24"/>
  <c r="B176" i="24"/>
  <c r="AC175" i="24"/>
  <c r="AD175" i="24" s="1"/>
  <c r="AB175" i="24"/>
  <c r="Y175" i="24"/>
  <c r="AA175" i="24" s="1"/>
  <c r="X175" i="24"/>
  <c r="Q175" i="24"/>
  <c r="O175" i="24"/>
  <c r="M175" i="24"/>
  <c r="J175" i="24"/>
  <c r="H175" i="24"/>
  <c r="F175" i="24"/>
  <c r="D175" i="24"/>
  <c r="B175" i="24"/>
  <c r="AC174" i="24"/>
  <c r="AB174" i="24"/>
  <c r="Y174" i="24"/>
  <c r="AA174" i="24" s="1"/>
  <c r="X174" i="24"/>
  <c r="Q174" i="24"/>
  <c r="O174" i="24"/>
  <c r="M174" i="24"/>
  <c r="J174" i="24"/>
  <c r="H174" i="24"/>
  <c r="F174" i="24"/>
  <c r="D174" i="24"/>
  <c r="B174" i="24"/>
  <c r="AC173" i="24"/>
  <c r="AB173" i="24"/>
  <c r="Y173" i="24"/>
  <c r="AA173" i="24" s="1"/>
  <c r="X173" i="24"/>
  <c r="Q173" i="24"/>
  <c r="O173" i="24"/>
  <c r="M173" i="24"/>
  <c r="J173" i="24"/>
  <c r="H173" i="24"/>
  <c r="F173" i="24"/>
  <c r="D173" i="24"/>
  <c r="B173" i="24"/>
  <c r="AC172" i="24"/>
  <c r="AB172" i="24"/>
  <c r="Y172" i="24"/>
  <c r="AA172" i="24" s="1"/>
  <c r="X172" i="24"/>
  <c r="Q172" i="24"/>
  <c r="O172" i="24"/>
  <c r="M172" i="24"/>
  <c r="J172" i="24"/>
  <c r="H172" i="24"/>
  <c r="F172" i="24"/>
  <c r="D172" i="24"/>
  <c r="B172" i="24"/>
  <c r="AC171" i="24"/>
  <c r="AB171" i="24"/>
  <c r="Y171" i="24"/>
  <c r="AA171" i="24" s="1"/>
  <c r="X171" i="24"/>
  <c r="Q171" i="24"/>
  <c r="O171" i="24"/>
  <c r="M171" i="24"/>
  <c r="J171" i="24"/>
  <c r="H171" i="24"/>
  <c r="F171" i="24"/>
  <c r="D171" i="24"/>
  <c r="B171" i="24"/>
  <c r="AC170" i="24"/>
  <c r="AB170" i="24"/>
  <c r="Y170" i="24"/>
  <c r="AA170" i="24" s="1"/>
  <c r="X170" i="24"/>
  <c r="Q170" i="24"/>
  <c r="O170" i="24"/>
  <c r="M170" i="24"/>
  <c r="J170" i="24"/>
  <c r="H170" i="24"/>
  <c r="F170" i="24"/>
  <c r="D170" i="24"/>
  <c r="B170" i="24"/>
  <c r="AC169" i="24"/>
  <c r="AB169" i="24"/>
  <c r="Y169" i="24"/>
  <c r="AA169" i="24" s="1"/>
  <c r="X169" i="24"/>
  <c r="Q169" i="24"/>
  <c r="O169" i="24"/>
  <c r="M169" i="24"/>
  <c r="J169" i="24"/>
  <c r="H169" i="24"/>
  <c r="F169" i="24"/>
  <c r="D169" i="24"/>
  <c r="B169" i="24"/>
  <c r="AC168" i="24"/>
  <c r="AB168" i="24"/>
  <c r="Y168" i="24"/>
  <c r="AA168" i="24" s="1"/>
  <c r="X168" i="24"/>
  <c r="Q168" i="24"/>
  <c r="O168" i="24"/>
  <c r="M168" i="24"/>
  <c r="J168" i="24"/>
  <c r="H168" i="24"/>
  <c r="F168" i="24"/>
  <c r="D168" i="24"/>
  <c r="B168" i="24"/>
  <c r="AC167" i="24"/>
  <c r="AB167" i="24"/>
  <c r="Y167" i="24"/>
  <c r="AA167" i="24" s="1"/>
  <c r="X167" i="24"/>
  <c r="Q167" i="24"/>
  <c r="O167" i="24"/>
  <c r="M167" i="24"/>
  <c r="J167" i="24"/>
  <c r="H167" i="24"/>
  <c r="F167" i="24"/>
  <c r="D167" i="24"/>
  <c r="B167" i="24"/>
  <c r="AC166" i="24"/>
  <c r="AB166" i="24"/>
  <c r="Y166" i="24"/>
  <c r="AA166" i="24" s="1"/>
  <c r="X166" i="24"/>
  <c r="Q166" i="24"/>
  <c r="O166" i="24"/>
  <c r="M166" i="24"/>
  <c r="J166" i="24"/>
  <c r="H166" i="24"/>
  <c r="F166" i="24"/>
  <c r="D166" i="24"/>
  <c r="B166" i="24"/>
  <c r="AC165" i="24"/>
  <c r="AD165" i="24" s="1"/>
  <c r="AB165" i="24"/>
  <c r="Y165" i="24"/>
  <c r="AA165" i="24" s="1"/>
  <c r="X165" i="24"/>
  <c r="Q165" i="24"/>
  <c r="O165" i="24"/>
  <c r="M165" i="24"/>
  <c r="J165" i="24"/>
  <c r="H165" i="24"/>
  <c r="I165" i="24" s="1"/>
  <c r="F165" i="24"/>
  <c r="D165" i="24"/>
  <c r="B165" i="24"/>
  <c r="AC164" i="24"/>
  <c r="AB164" i="24"/>
  <c r="Y164" i="24"/>
  <c r="AA164" i="24" s="1"/>
  <c r="X164" i="24"/>
  <c r="Q164" i="24"/>
  <c r="O164" i="24"/>
  <c r="M164" i="24"/>
  <c r="J164" i="24"/>
  <c r="H164" i="24"/>
  <c r="F164" i="24"/>
  <c r="D164" i="24"/>
  <c r="B164" i="24"/>
  <c r="AC163" i="24"/>
  <c r="AB163" i="24"/>
  <c r="Y163" i="24"/>
  <c r="AA163" i="24" s="1"/>
  <c r="X163" i="24"/>
  <c r="Q163" i="24"/>
  <c r="O163" i="24"/>
  <c r="M163" i="24"/>
  <c r="J163" i="24"/>
  <c r="H163" i="24"/>
  <c r="F163" i="24"/>
  <c r="D163" i="24"/>
  <c r="B163" i="24"/>
  <c r="AC162" i="24"/>
  <c r="AB162" i="24"/>
  <c r="Y162" i="24"/>
  <c r="AA162" i="24" s="1"/>
  <c r="X162" i="24"/>
  <c r="Q162" i="24"/>
  <c r="O162" i="24"/>
  <c r="M162" i="24"/>
  <c r="J162" i="24"/>
  <c r="H162" i="24"/>
  <c r="F162" i="24"/>
  <c r="D162" i="24"/>
  <c r="B162" i="24"/>
  <c r="AC161" i="24"/>
  <c r="AB161" i="24"/>
  <c r="Y161" i="24"/>
  <c r="AA161" i="24" s="1"/>
  <c r="X161" i="24"/>
  <c r="Q161" i="24"/>
  <c r="O161" i="24"/>
  <c r="M161" i="24"/>
  <c r="J161" i="24"/>
  <c r="H161" i="24"/>
  <c r="I161" i="24" s="1"/>
  <c r="F161" i="24"/>
  <c r="D161" i="24"/>
  <c r="B161" i="24"/>
  <c r="AC160" i="24"/>
  <c r="AB160" i="24"/>
  <c r="Y160" i="24"/>
  <c r="AA160" i="24" s="1"/>
  <c r="X160" i="24"/>
  <c r="Q160" i="24"/>
  <c r="O160" i="24"/>
  <c r="M160" i="24"/>
  <c r="J160" i="24"/>
  <c r="H160" i="24"/>
  <c r="F160" i="24"/>
  <c r="D160" i="24"/>
  <c r="B160" i="24"/>
  <c r="AC159" i="24"/>
  <c r="AB159" i="24"/>
  <c r="Y159" i="24"/>
  <c r="AA159" i="24" s="1"/>
  <c r="X159" i="24"/>
  <c r="Q159" i="24"/>
  <c r="O159" i="24"/>
  <c r="M159" i="24"/>
  <c r="J159" i="24"/>
  <c r="H159" i="24"/>
  <c r="F159" i="24"/>
  <c r="D159" i="24"/>
  <c r="B159" i="24"/>
  <c r="AC158" i="24"/>
  <c r="AB158" i="24"/>
  <c r="Y158" i="24"/>
  <c r="AA158" i="24" s="1"/>
  <c r="X158" i="24"/>
  <c r="Q158" i="24"/>
  <c r="O158" i="24"/>
  <c r="M158" i="24"/>
  <c r="J158" i="24"/>
  <c r="H158" i="24"/>
  <c r="F158" i="24"/>
  <c r="D158" i="24"/>
  <c r="B158" i="24"/>
  <c r="AC157" i="24"/>
  <c r="AB157" i="24"/>
  <c r="Y157" i="24"/>
  <c r="AA157" i="24" s="1"/>
  <c r="X157" i="24"/>
  <c r="Q157" i="24"/>
  <c r="O157" i="24"/>
  <c r="M157" i="24"/>
  <c r="J157" i="24"/>
  <c r="H157" i="24"/>
  <c r="F157" i="24"/>
  <c r="D157" i="24"/>
  <c r="B157" i="24"/>
  <c r="AC156" i="24"/>
  <c r="AB156" i="24"/>
  <c r="Y156" i="24"/>
  <c r="AA156" i="24" s="1"/>
  <c r="X156" i="24"/>
  <c r="Q156" i="24"/>
  <c r="O156" i="24"/>
  <c r="M156" i="24"/>
  <c r="J156" i="24"/>
  <c r="H156" i="24"/>
  <c r="F156" i="24"/>
  <c r="D156" i="24"/>
  <c r="B156" i="24"/>
  <c r="AC155" i="24"/>
  <c r="AB155" i="24"/>
  <c r="Y155" i="24"/>
  <c r="AA155" i="24" s="1"/>
  <c r="X155" i="24"/>
  <c r="Q155" i="24"/>
  <c r="O155" i="24"/>
  <c r="M155" i="24"/>
  <c r="J155" i="24"/>
  <c r="H155" i="24"/>
  <c r="F155" i="24"/>
  <c r="D155" i="24"/>
  <c r="B155" i="24"/>
  <c r="AC154" i="24"/>
  <c r="AB154" i="24"/>
  <c r="Y154" i="24"/>
  <c r="AA154" i="24" s="1"/>
  <c r="X154" i="24"/>
  <c r="Q154" i="24"/>
  <c r="O154" i="24"/>
  <c r="M154" i="24"/>
  <c r="J154" i="24"/>
  <c r="H154" i="24"/>
  <c r="F154" i="24"/>
  <c r="D154" i="24"/>
  <c r="B154" i="24"/>
  <c r="AC153" i="24"/>
  <c r="AB153" i="24"/>
  <c r="Y153" i="24"/>
  <c r="AA153" i="24" s="1"/>
  <c r="X153" i="24"/>
  <c r="Q153" i="24"/>
  <c r="O153" i="24"/>
  <c r="M153" i="24"/>
  <c r="J153" i="24"/>
  <c r="H153" i="24"/>
  <c r="F153" i="24"/>
  <c r="D153" i="24"/>
  <c r="B153" i="24"/>
  <c r="AC152" i="24"/>
  <c r="AB152" i="24"/>
  <c r="Y152" i="24"/>
  <c r="AA152" i="24" s="1"/>
  <c r="X152" i="24"/>
  <c r="Q152" i="24"/>
  <c r="O152" i="24"/>
  <c r="M152" i="24"/>
  <c r="J152" i="24"/>
  <c r="H152" i="24"/>
  <c r="F152" i="24"/>
  <c r="D152" i="24"/>
  <c r="B152" i="24"/>
  <c r="AC151" i="24"/>
  <c r="AB151" i="24"/>
  <c r="Y151" i="24"/>
  <c r="AA151" i="24" s="1"/>
  <c r="X151" i="24"/>
  <c r="Q151" i="24"/>
  <c r="O151" i="24"/>
  <c r="M151" i="24"/>
  <c r="J151" i="24"/>
  <c r="H151" i="24"/>
  <c r="F151" i="24"/>
  <c r="D151" i="24"/>
  <c r="B151" i="24"/>
  <c r="AC150" i="24"/>
  <c r="AB150" i="24"/>
  <c r="Y150" i="24"/>
  <c r="AA150" i="24" s="1"/>
  <c r="X150" i="24"/>
  <c r="Q150" i="24"/>
  <c r="O150" i="24"/>
  <c r="M150" i="24"/>
  <c r="J150" i="24"/>
  <c r="H150" i="24"/>
  <c r="F150" i="24"/>
  <c r="D150" i="24"/>
  <c r="B150" i="24"/>
  <c r="AC149" i="24"/>
  <c r="AB149" i="24"/>
  <c r="Y149" i="24"/>
  <c r="AA149" i="24" s="1"/>
  <c r="X149" i="24"/>
  <c r="Q149" i="24"/>
  <c r="O149" i="24"/>
  <c r="M149" i="24"/>
  <c r="J149" i="24"/>
  <c r="H149" i="24"/>
  <c r="F149" i="24"/>
  <c r="D149" i="24"/>
  <c r="B149" i="24"/>
  <c r="AC148" i="24"/>
  <c r="AB148" i="24"/>
  <c r="Y148" i="24"/>
  <c r="AA148" i="24" s="1"/>
  <c r="X148" i="24"/>
  <c r="Q148" i="24"/>
  <c r="O148" i="24"/>
  <c r="M148" i="24"/>
  <c r="J148" i="24"/>
  <c r="H148" i="24"/>
  <c r="F148" i="24"/>
  <c r="D148" i="24"/>
  <c r="B148" i="24"/>
  <c r="AC147" i="24"/>
  <c r="AB147" i="24"/>
  <c r="Y147" i="24"/>
  <c r="AA147" i="24" s="1"/>
  <c r="X147" i="24"/>
  <c r="Q147" i="24"/>
  <c r="O147" i="24"/>
  <c r="M147" i="24"/>
  <c r="J147" i="24"/>
  <c r="H147" i="24"/>
  <c r="F147" i="24"/>
  <c r="D147" i="24"/>
  <c r="B147" i="24"/>
  <c r="AC146" i="24"/>
  <c r="AB146" i="24"/>
  <c r="Y146" i="24"/>
  <c r="AA146" i="24" s="1"/>
  <c r="X146" i="24"/>
  <c r="Q146" i="24"/>
  <c r="O146" i="24"/>
  <c r="M146" i="24"/>
  <c r="J146" i="24"/>
  <c r="H146" i="24"/>
  <c r="F146" i="24"/>
  <c r="D146" i="24"/>
  <c r="B146" i="24"/>
  <c r="AC145" i="24"/>
  <c r="AB145" i="24"/>
  <c r="Y145" i="24"/>
  <c r="AA145" i="24" s="1"/>
  <c r="X145" i="24"/>
  <c r="Q145" i="24"/>
  <c r="O145" i="24"/>
  <c r="M145" i="24"/>
  <c r="J145" i="24"/>
  <c r="H145" i="24"/>
  <c r="F145" i="24"/>
  <c r="D145" i="24"/>
  <c r="B145" i="24"/>
  <c r="AC144" i="24"/>
  <c r="AB144" i="24"/>
  <c r="Y144" i="24"/>
  <c r="AA144" i="24" s="1"/>
  <c r="X144" i="24"/>
  <c r="Q144" i="24"/>
  <c r="O144" i="24"/>
  <c r="M144" i="24"/>
  <c r="J144" i="24"/>
  <c r="H144" i="24"/>
  <c r="F144" i="24"/>
  <c r="D144" i="24"/>
  <c r="B144" i="24"/>
  <c r="AC143" i="24"/>
  <c r="AB143" i="24"/>
  <c r="Y143" i="24"/>
  <c r="AA143" i="24" s="1"/>
  <c r="X143" i="24"/>
  <c r="Q143" i="24"/>
  <c r="O143" i="24"/>
  <c r="M143" i="24"/>
  <c r="J143" i="24"/>
  <c r="H143" i="24"/>
  <c r="F143" i="24"/>
  <c r="D143" i="24"/>
  <c r="B143" i="24"/>
  <c r="AC142" i="24"/>
  <c r="AB142" i="24"/>
  <c r="Y142" i="24"/>
  <c r="AA142" i="24" s="1"/>
  <c r="X142" i="24"/>
  <c r="Q142" i="24"/>
  <c r="O142" i="24"/>
  <c r="M142" i="24"/>
  <c r="J142" i="24"/>
  <c r="H142" i="24"/>
  <c r="F142" i="24"/>
  <c r="D142" i="24"/>
  <c r="B142" i="24"/>
  <c r="AC141" i="24"/>
  <c r="AB141" i="24"/>
  <c r="Y141" i="24"/>
  <c r="AA141" i="24" s="1"/>
  <c r="X141" i="24"/>
  <c r="Q141" i="24"/>
  <c r="O141" i="24"/>
  <c r="M141" i="24"/>
  <c r="J141" i="24"/>
  <c r="H141" i="24"/>
  <c r="F141" i="24"/>
  <c r="D141" i="24"/>
  <c r="B141" i="24"/>
  <c r="AC140" i="24"/>
  <c r="AB140" i="24"/>
  <c r="Y140" i="24"/>
  <c r="AA140" i="24" s="1"/>
  <c r="X140" i="24"/>
  <c r="Q140" i="24"/>
  <c r="O140" i="24"/>
  <c r="M140" i="24"/>
  <c r="J140" i="24"/>
  <c r="H140" i="24"/>
  <c r="F140" i="24"/>
  <c r="D140" i="24"/>
  <c r="B140" i="24"/>
  <c r="AC139" i="24"/>
  <c r="AB139" i="24"/>
  <c r="Y139" i="24"/>
  <c r="AA139" i="24" s="1"/>
  <c r="X139" i="24"/>
  <c r="Q139" i="24"/>
  <c r="O139" i="24"/>
  <c r="M139" i="24"/>
  <c r="J139" i="24"/>
  <c r="H139" i="24"/>
  <c r="F139" i="24"/>
  <c r="D139" i="24"/>
  <c r="B139" i="24"/>
  <c r="AC138" i="24"/>
  <c r="AB138" i="24"/>
  <c r="Y138" i="24"/>
  <c r="AA138" i="24" s="1"/>
  <c r="X138" i="24"/>
  <c r="Q138" i="24"/>
  <c r="O138" i="24"/>
  <c r="M138" i="24"/>
  <c r="J138" i="24"/>
  <c r="H138" i="24"/>
  <c r="F138" i="24"/>
  <c r="D138" i="24"/>
  <c r="B138" i="24"/>
  <c r="AC137" i="24"/>
  <c r="AB137" i="24"/>
  <c r="Y137" i="24"/>
  <c r="AA137" i="24" s="1"/>
  <c r="X137" i="24"/>
  <c r="Q137" i="24"/>
  <c r="O137" i="24"/>
  <c r="M137" i="24"/>
  <c r="J137" i="24"/>
  <c r="H137" i="24"/>
  <c r="F137" i="24"/>
  <c r="D137" i="24"/>
  <c r="B137" i="24"/>
  <c r="AC136" i="24"/>
  <c r="AB136" i="24"/>
  <c r="Y136" i="24"/>
  <c r="AA136" i="24" s="1"/>
  <c r="X136" i="24"/>
  <c r="Q136" i="24"/>
  <c r="O136" i="24"/>
  <c r="M136" i="24"/>
  <c r="J136" i="24"/>
  <c r="H136" i="24"/>
  <c r="F136" i="24"/>
  <c r="D136" i="24"/>
  <c r="B136" i="24"/>
  <c r="AC135" i="24"/>
  <c r="AB135" i="24"/>
  <c r="Y135" i="24"/>
  <c r="AA135" i="24" s="1"/>
  <c r="X135" i="24"/>
  <c r="Q135" i="24"/>
  <c r="O135" i="24"/>
  <c r="M135" i="24"/>
  <c r="J135" i="24"/>
  <c r="H135" i="24"/>
  <c r="I135" i="24" s="1"/>
  <c r="F135" i="24"/>
  <c r="D135" i="24"/>
  <c r="B135" i="24"/>
  <c r="AC134" i="24"/>
  <c r="AB134" i="24"/>
  <c r="Y134" i="24"/>
  <c r="AA134" i="24" s="1"/>
  <c r="X134" i="24"/>
  <c r="Q134" i="24"/>
  <c r="O134" i="24"/>
  <c r="M134" i="24"/>
  <c r="J134" i="24"/>
  <c r="H134" i="24"/>
  <c r="F134" i="24"/>
  <c r="D134" i="24"/>
  <c r="B134" i="24"/>
  <c r="AC133" i="24"/>
  <c r="AB133" i="24"/>
  <c r="Y133" i="24"/>
  <c r="AA133" i="24" s="1"/>
  <c r="X133" i="24"/>
  <c r="Q133" i="24"/>
  <c r="O133" i="24"/>
  <c r="M133" i="24"/>
  <c r="J133" i="24"/>
  <c r="H133" i="24"/>
  <c r="F133" i="24"/>
  <c r="D133" i="24"/>
  <c r="B133" i="24"/>
  <c r="AC132" i="24"/>
  <c r="AB132" i="24"/>
  <c r="Y132" i="24"/>
  <c r="AA132" i="24" s="1"/>
  <c r="X132" i="24"/>
  <c r="Q132" i="24"/>
  <c r="O132" i="24"/>
  <c r="M132" i="24"/>
  <c r="J132" i="24"/>
  <c r="H132" i="24"/>
  <c r="F132" i="24"/>
  <c r="D132" i="24"/>
  <c r="B132" i="24"/>
  <c r="AC131" i="24"/>
  <c r="AB131" i="24"/>
  <c r="Y131" i="24"/>
  <c r="AA131" i="24" s="1"/>
  <c r="X131" i="24"/>
  <c r="Q131" i="24"/>
  <c r="O131" i="24"/>
  <c r="M131" i="24"/>
  <c r="J131" i="24"/>
  <c r="H131" i="24"/>
  <c r="I131" i="24" s="1"/>
  <c r="F131" i="24"/>
  <c r="D131" i="24"/>
  <c r="B131" i="24"/>
  <c r="AC130" i="24"/>
  <c r="AB130" i="24"/>
  <c r="Y130" i="24"/>
  <c r="AA130" i="24" s="1"/>
  <c r="X130" i="24"/>
  <c r="Q130" i="24"/>
  <c r="O130" i="24"/>
  <c r="M130" i="24"/>
  <c r="J130" i="24"/>
  <c r="H130" i="24"/>
  <c r="F130" i="24"/>
  <c r="D130" i="24"/>
  <c r="E130" i="24" s="1"/>
  <c r="B130" i="24"/>
  <c r="AC129" i="24"/>
  <c r="AB129" i="24"/>
  <c r="Y129" i="24"/>
  <c r="AA129" i="24" s="1"/>
  <c r="X129" i="24"/>
  <c r="Q129" i="24"/>
  <c r="O129" i="24"/>
  <c r="M129" i="24"/>
  <c r="J129" i="24"/>
  <c r="H129" i="24"/>
  <c r="F129" i="24"/>
  <c r="D129" i="24"/>
  <c r="B129" i="24"/>
  <c r="AC128" i="24"/>
  <c r="AB128" i="24"/>
  <c r="Y128" i="24"/>
  <c r="AA128" i="24" s="1"/>
  <c r="X128" i="24"/>
  <c r="Q128" i="24"/>
  <c r="O128" i="24"/>
  <c r="M128" i="24"/>
  <c r="J128" i="24"/>
  <c r="H128" i="24"/>
  <c r="F128" i="24"/>
  <c r="D128" i="24"/>
  <c r="E128" i="24" s="1"/>
  <c r="B128" i="24"/>
  <c r="AC127" i="24"/>
  <c r="AB127" i="24"/>
  <c r="Y127" i="24"/>
  <c r="AA127" i="24" s="1"/>
  <c r="X127" i="24"/>
  <c r="Q127" i="24"/>
  <c r="O127" i="24"/>
  <c r="M127" i="24"/>
  <c r="J127" i="24"/>
  <c r="H127" i="24"/>
  <c r="F127" i="24"/>
  <c r="D127" i="24"/>
  <c r="B127" i="24"/>
  <c r="AC126" i="24"/>
  <c r="AB126" i="24"/>
  <c r="Y126" i="24"/>
  <c r="AA126" i="24" s="1"/>
  <c r="X126" i="24"/>
  <c r="Q126" i="24"/>
  <c r="O126" i="24"/>
  <c r="M126" i="24"/>
  <c r="J126" i="24"/>
  <c r="H126" i="24"/>
  <c r="F126" i="24"/>
  <c r="D126" i="24"/>
  <c r="B126" i="24"/>
  <c r="AC125" i="24"/>
  <c r="AB125" i="24"/>
  <c r="Y125" i="24"/>
  <c r="AA125" i="24" s="1"/>
  <c r="X125" i="24"/>
  <c r="Q125" i="24"/>
  <c r="O125" i="24"/>
  <c r="M125" i="24"/>
  <c r="J125" i="24"/>
  <c r="H125" i="24"/>
  <c r="I125" i="24" s="1"/>
  <c r="F125" i="24"/>
  <c r="D125" i="24"/>
  <c r="B125" i="24"/>
  <c r="AC124" i="24"/>
  <c r="AB124" i="24"/>
  <c r="Y124" i="24"/>
  <c r="AA124" i="24" s="1"/>
  <c r="X124" i="24"/>
  <c r="Q124" i="24"/>
  <c r="O124" i="24"/>
  <c r="M124" i="24"/>
  <c r="J124" i="24"/>
  <c r="H124" i="24"/>
  <c r="F124" i="24"/>
  <c r="D124" i="24"/>
  <c r="E124" i="24" s="1"/>
  <c r="B124" i="24"/>
  <c r="AC123" i="24"/>
  <c r="AB123" i="24"/>
  <c r="Y123" i="24"/>
  <c r="AA123" i="24" s="1"/>
  <c r="X123" i="24"/>
  <c r="Q123" i="24"/>
  <c r="O123" i="24"/>
  <c r="M123" i="24"/>
  <c r="J123" i="24"/>
  <c r="H123" i="24"/>
  <c r="F123" i="24"/>
  <c r="D123" i="24"/>
  <c r="B123" i="24"/>
  <c r="AC122" i="24"/>
  <c r="AB122" i="24"/>
  <c r="Y122" i="24"/>
  <c r="AA122" i="24" s="1"/>
  <c r="X122" i="24"/>
  <c r="Q122" i="24"/>
  <c r="O122" i="24"/>
  <c r="M122" i="24"/>
  <c r="J122" i="24"/>
  <c r="H122" i="24"/>
  <c r="F122" i="24"/>
  <c r="D122" i="24"/>
  <c r="B122" i="24"/>
  <c r="AC121" i="24"/>
  <c r="AB121" i="24"/>
  <c r="Y121" i="24"/>
  <c r="AA121" i="24" s="1"/>
  <c r="X121" i="24"/>
  <c r="Q121" i="24"/>
  <c r="O121" i="24"/>
  <c r="M121" i="24"/>
  <c r="J121" i="24"/>
  <c r="H121" i="24"/>
  <c r="F121" i="24"/>
  <c r="D121" i="24"/>
  <c r="B121" i="24"/>
  <c r="AC120" i="24"/>
  <c r="AB120" i="24"/>
  <c r="Y120" i="24"/>
  <c r="AA120" i="24" s="1"/>
  <c r="X120" i="24"/>
  <c r="Q120" i="24"/>
  <c r="O120" i="24"/>
  <c r="M120" i="24"/>
  <c r="J120" i="24"/>
  <c r="H120" i="24"/>
  <c r="F120" i="24"/>
  <c r="D120" i="24"/>
  <c r="B120" i="24"/>
  <c r="AC119" i="24"/>
  <c r="AB119" i="24"/>
  <c r="Y119" i="24"/>
  <c r="AA119" i="24" s="1"/>
  <c r="X119" i="24"/>
  <c r="Q119" i="24"/>
  <c r="O119" i="24"/>
  <c r="M119" i="24"/>
  <c r="J119" i="24"/>
  <c r="H119" i="24"/>
  <c r="F119" i="24"/>
  <c r="D119" i="24"/>
  <c r="B119" i="24"/>
  <c r="AC118" i="24"/>
  <c r="AB118" i="24"/>
  <c r="Y118" i="24"/>
  <c r="AA118" i="24" s="1"/>
  <c r="X118" i="24"/>
  <c r="Q118" i="24"/>
  <c r="O118" i="24"/>
  <c r="M118" i="24"/>
  <c r="J118" i="24"/>
  <c r="H118" i="24"/>
  <c r="F118" i="24"/>
  <c r="D118" i="24"/>
  <c r="B118" i="24"/>
  <c r="AC117" i="24"/>
  <c r="AB117" i="24"/>
  <c r="Y117" i="24"/>
  <c r="AA117" i="24" s="1"/>
  <c r="X117" i="24"/>
  <c r="Q117" i="24"/>
  <c r="O117" i="24"/>
  <c r="M117" i="24"/>
  <c r="J117" i="24"/>
  <c r="H117" i="24"/>
  <c r="F117" i="24"/>
  <c r="D117" i="24"/>
  <c r="B117" i="24"/>
  <c r="AC116" i="24"/>
  <c r="AB116" i="24"/>
  <c r="Y116" i="24"/>
  <c r="AA116" i="24" s="1"/>
  <c r="X116" i="24"/>
  <c r="Q116" i="24"/>
  <c r="O116" i="24"/>
  <c r="M116" i="24"/>
  <c r="J116" i="24"/>
  <c r="H116" i="24"/>
  <c r="F116" i="24"/>
  <c r="D116" i="24"/>
  <c r="B116" i="24"/>
  <c r="AC115" i="24"/>
  <c r="AB115" i="24"/>
  <c r="Y115" i="24"/>
  <c r="AA115" i="24" s="1"/>
  <c r="X115" i="24"/>
  <c r="Q115" i="24"/>
  <c r="O115" i="24"/>
  <c r="M115" i="24"/>
  <c r="J115" i="24"/>
  <c r="H115" i="24"/>
  <c r="F115" i="24"/>
  <c r="D115" i="24"/>
  <c r="B115" i="24"/>
  <c r="AC114" i="24"/>
  <c r="AB114" i="24"/>
  <c r="Y114" i="24"/>
  <c r="AA114" i="24" s="1"/>
  <c r="X114" i="24"/>
  <c r="Q114" i="24"/>
  <c r="O114" i="24"/>
  <c r="M114" i="24"/>
  <c r="J114" i="24"/>
  <c r="H114" i="24"/>
  <c r="F114" i="24"/>
  <c r="D114" i="24"/>
  <c r="B114" i="24"/>
  <c r="AC113" i="24"/>
  <c r="AB113" i="24"/>
  <c r="Y113" i="24"/>
  <c r="AA113" i="24" s="1"/>
  <c r="X113" i="24"/>
  <c r="Q113" i="24"/>
  <c r="O113" i="24"/>
  <c r="M113" i="24"/>
  <c r="J113" i="24"/>
  <c r="H113" i="24"/>
  <c r="F113" i="24"/>
  <c r="D113" i="24"/>
  <c r="B113" i="24"/>
  <c r="AC112" i="24"/>
  <c r="AB112" i="24"/>
  <c r="Y112" i="24"/>
  <c r="AA112" i="24" s="1"/>
  <c r="X112" i="24"/>
  <c r="Q112" i="24"/>
  <c r="O112" i="24"/>
  <c r="M112" i="24"/>
  <c r="J112" i="24"/>
  <c r="H112" i="24"/>
  <c r="F112" i="24"/>
  <c r="D112" i="24"/>
  <c r="B112" i="24"/>
  <c r="AC111" i="24"/>
  <c r="AB111" i="24"/>
  <c r="Y111" i="24"/>
  <c r="AA111" i="24" s="1"/>
  <c r="X111" i="24"/>
  <c r="Q111" i="24"/>
  <c r="O111" i="24"/>
  <c r="M111" i="24"/>
  <c r="J111" i="24"/>
  <c r="H111" i="24"/>
  <c r="F111" i="24"/>
  <c r="D111" i="24"/>
  <c r="B111" i="24"/>
  <c r="AC110" i="24"/>
  <c r="AB110" i="24"/>
  <c r="Y110" i="24"/>
  <c r="AA110" i="24" s="1"/>
  <c r="X110" i="24"/>
  <c r="Q110" i="24"/>
  <c r="O110" i="24"/>
  <c r="M110" i="24"/>
  <c r="J110" i="24"/>
  <c r="H110" i="24"/>
  <c r="F110" i="24"/>
  <c r="D110" i="24"/>
  <c r="E110" i="24" s="1"/>
  <c r="B110" i="24"/>
  <c r="AC109" i="24"/>
  <c r="AB109" i="24"/>
  <c r="Y109" i="24"/>
  <c r="AA109" i="24" s="1"/>
  <c r="X109" i="24"/>
  <c r="Q109" i="24"/>
  <c r="O109" i="24"/>
  <c r="M109" i="24"/>
  <c r="J109" i="24"/>
  <c r="H109" i="24"/>
  <c r="F109" i="24"/>
  <c r="D109" i="24"/>
  <c r="B109" i="24"/>
  <c r="AC108" i="24"/>
  <c r="AB108" i="24"/>
  <c r="Y108" i="24"/>
  <c r="AA108" i="24" s="1"/>
  <c r="X108" i="24"/>
  <c r="Q108" i="24"/>
  <c r="O108" i="24"/>
  <c r="M108" i="24"/>
  <c r="J108" i="24"/>
  <c r="H108" i="24"/>
  <c r="F108" i="24"/>
  <c r="D108" i="24"/>
  <c r="B108" i="24"/>
  <c r="AC107" i="24"/>
  <c r="AB107" i="24"/>
  <c r="Y107" i="24"/>
  <c r="AA107" i="24" s="1"/>
  <c r="X107" i="24"/>
  <c r="Q107" i="24"/>
  <c r="O107" i="24"/>
  <c r="M107" i="24"/>
  <c r="J107" i="24"/>
  <c r="H107" i="24"/>
  <c r="F107" i="24"/>
  <c r="D107" i="24"/>
  <c r="B107" i="24"/>
  <c r="AC106" i="24"/>
  <c r="AB106" i="24"/>
  <c r="Y106" i="24"/>
  <c r="AA106" i="24" s="1"/>
  <c r="X106" i="24"/>
  <c r="Q106" i="24"/>
  <c r="O106" i="24"/>
  <c r="M106" i="24"/>
  <c r="J106" i="24"/>
  <c r="H106" i="24"/>
  <c r="F106" i="24"/>
  <c r="D106" i="24"/>
  <c r="B106" i="24"/>
  <c r="AC105" i="24"/>
  <c r="AB105" i="24"/>
  <c r="Y105" i="24"/>
  <c r="AA105" i="24" s="1"/>
  <c r="X105" i="24"/>
  <c r="Q105" i="24"/>
  <c r="O105" i="24"/>
  <c r="M105" i="24"/>
  <c r="J105" i="24"/>
  <c r="H105" i="24"/>
  <c r="F105" i="24"/>
  <c r="D105" i="24"/>
  <c r="B105" i="24"/>
  <c r="AC104" i="24"/>
  <c r="AB104" i="24"/>
  <c r="Y104" i="24"/>
  <c r="AA104" i="24" s="1"/>
  <c r="X104" i="24"/>
  <c r="Q104" i="24"/>
  <c r="O104" i="24"/>
  <c r="M104" i="24"/>
  <c r="J104" i="24"/>
  <c r="H104" i="24"/>
  <c r="F104" i="24"/>
  <c r="D104" i="24"/>
  <c r="B104" i="24"/>
  <c r="AC103" i="24"/>
  <c r="AB103" i="24"/>
  <c r="Y103" i="24"/>
  <c r="AA103" i="24" s="1"/>
  <c r="X103" i="24"/>
  <c r="Q103" i="24"/>
  <c r="O103" i="24"/>
  <c r="M103" i="24"/>
  <c r="J103" i="24"/>
  <c r="H103" i="24"/>
  <c r="F103" i="24"/>
  <c r="D103" i="24"/>
  <c r="B103" i="24"/>
  <c r="AC102" i="24"/>
  <c r="AB102" i="24"/>
  <c r="Y102" i="24"/>
  <c r="AA102" i="24" s="1"/>
  <c r="X102" i="24"/>
  <c r="Q102" i="24"/>
  <c r="O102" i="24"/>
  <c r="M102" i="24"/>
  <c r="J102" i="24"/>
  <c r="H102" i="24"/>
  <c r="F102" i="24"/>
  <c r="D102" i="24"/>
  <c r="B102" i="24"/>
  <c r="AC101" i="24"/>
  <c r="AB101" i="24"/>
  <c r="Y101" i="24"/>
  <c r="AA101" i="24" s="1"/>
  <c r="X101" i="24"/>
  <c r="Q101" i="24"/>
  <c r="O101" i="24"/>
  <c r="M101" i="24"/>
  <c r="J101" i="24"/>
  <c r="H101" i="24"/>
  <c r="I101" i="24" s="1"/>
  <c r="F101" i="24"/>
  <c r="D101" i="24"/>
  <c r="B101" i="24"/>
  <c r="AC100" i="24"/>
  <c r="AB100" i="24"/>
  <c r="Y100" i="24"/>
  <c r="AA100" i="24" s="1"/>
  <c r="X100" i="24"/>
  <c r="Q100" i="24"/>
  <c r="O100" i="24"/>
  <c r="M100" i="24"/>
  <c r="J100" i="24"/>
  <c r="H100" i="24"/>
  <c r="F100" i="24"/>
  <c r="D100" i="24"/>
  <c r="B100" i="24"/>
  <c r="AC99" i="24"/>
  <c r="AB99" i="24"/>
  <c r="Y99" i="24"/>
  <c r="AA99" i="24" s="1"/>
  <c r="X99" i="24"/>
  <c r="Q99" i="24"/>
  <c r="O99" i="24"/>
  <c r="M99" i="24"/>
  <c r="J99" i="24"/>
  <c r="H99" i="24"/>
  <c r="F99" i="24"/>
  <c r="D99" i="24"/>
  <c r="B99" i="24"/>
  <c r="AC98" i="24"/>
  <c r="AB98" i="24"/>
  <c r="Y98" i="24"/>
  <c r="AA98" i="24" s="1"/>
  <c r="X98" i="24"/>
  <c r="Q98" i="24"/>
  <c r="O98" i="24"/>
  <c r="M98" i="24"/>
  <c r="J98" i="24"/>
  <c r="H98" i="24"/>
  <c r="F98" i="24"/>
  <c r="D98" i="24"/>
  <c r="B98" i="24"/>
  <c r="AC97" i="24"/>
  <c r="AB97" i="24"/>
  <c r="Y97" i="24"/>
  <c r="AA97" i="24" s="1"/>
  <c r="X97" i="24"/>
  <c r="Q97" i="24"/>
  <c r="O97" i="24"/>
  <c r="M97" i="24"/>
  <c r="J97" i="24"/>
  <c r="H97" i="24"/>
  <c r="F97" i="24"/>
  <c r="D97" i="24"/>
  <c r="B97" i="24"/>
  <c r="AC96" i="24"/>
  <c r="AB96" i="24"/>
  <c r="Y96" i="24"/>
  <c r="AA96" i="24" s="1"/>
  <c r="X96" i="24"/>
  <c r="Q96" i="24"/>
  <c r="O96" i="24"/>
  <c r="M96" i="24"/>
  <c r="J96" i="24"/>
  <c r="H96" i="24"/>
  <c r="F96" i="24"/>
  <c r="D96" i="24"/>
  <c r="B96" i="24"/>
  <c r="AC95" i="24"/>
  <c r="AB95" i="24"/>
  <c r="Y95" i="24"/>
  <c r="AA95" i="24" s="1"/>
  <c r="X95" i="24"/>
  <c r="Q95" i="24"/>
  <c r="O95" i="24"/>
  <c r="M95" i="24"/>
  <c r="J95" i="24"/>
  <c r="H95" i="24"/>
  <c r="F95" i="24"/>
  <c r="D95" i="24"/>
  <c r="B95" i="24"/>
  <c r="AC94" i="24"/>
  <c r="AB94" i="24"/>
  <c r="Y94" i="24"/>
  <c r="AA94" i="24" s="1"/>
  <c r="X94" i="24"/>
  <c r="Q94" i="24"/>
  <c r="O94" i="24"/>
  <c r="M94" i="24"/>
  <c r="J94" i="24"/>
  <c r="H94" i="24"/>
  <c r="F94" i="24"/>
  <c r="D94" i="24"/>
  <c r="B94" i="24"/>
  <c r="AC93" i="24"/>
  <c r="AB93" i="24"/>
  <c r="Y93" i="24"/>
  <c r="AA93" i="24" s="1"/>
  <c r="X93" i="24"/>
  <c r="Q93" i="24"/>
  <c r="O93" i="24"/>
  <c r="M93" i="24"/>
  <c r="J93" i="24"/>
  <c r="H93" i="24"/>
  <c r="F93" i="24"/>
  <c r="D93" i="24"/>
  <c r="B93" i="24"/>
  <c r="AC92" i="24"/>
  <c r="AB92" i="24"/>
  <c r="Y92" i="24"/>
  <c r="AA92" i="24" s="1"/>
  <c r="X92" i="24"/>
  <c r="Q92" i="24"/>
  <c r="O92" i="24"/>
  <c r="M92" i="24"/>
  <c r="J92" i="24"/>
  <c r="H92" i="24"/>
  <c r="F92" i="24"/>
  <c r="D92" i="24"/>
  <c r="B92" i="24"/>
  <c r="AC91" i="24"/>
  <c r="AB91" i="24"/>
  <c r="Y91" i="24"/>
  <c r="AA91" i="24" s="1"/>
  <c r="X91" i="24"/>
  <c r="Q91" i="24"/>
  <c r="O91" i="24"/>
  <c r="M91" i="24"/>
  <c r="J91" i="24"/>
  <c r="H91" i="24"/>
  <c r="F91" i="24"/>
  <c r="D91" i="24"/>
  <c r="B91" i="24"/>
  <c r="AC90" i="24"/>
  <c r="AB90" i="24"/>
  <c r="Y90" i="24"/>
  <c r="AA90" i="24" s="1"/>
  <c r="X90" i="24"/>
  <c r="Q90" i="24"/>
  <c r="O90" i="24"/>
  <c r="M90" i="24"/>
  <c r="J90" i="24"/>
  <c r="H90" i="24"/>
  <c r="F90" i="24"/>
  <c r="D90" i="24"/>
  <c r="B90" i="24"/>
  <c r="AC89" i="24"/>
  <c r="AB89" i="24"/>
  <c r="Y89" i="24"/>
  <c r="AA89" i="24" s="1"/>
  <c r="X89" i="24"/>
  <c r="Q89" i="24"/>
  <c r="O89" i="24"/>
  <c r="M89" i="24"/>
  <c r="J89" i="24"/>
  <c r="H89" i="24"/>
  <c r="F89" i="24"/>
  <c r="D89" i="24"/>
  <c r="B89" i="24"/>
  <c r="AC88" i="24"/>
  <c r="AB88" i="24"/>
  <c r="Y88" i="24"/>
  <c r="AA88" i="24" s="1"/>
  <c r="X88" i="24"/>
  <c r="Q88" i="24"/>
  <c r="O88" i="24"/>
  <c r="M88" i="24"/>
  <c r="J88" i="24"/>
  <c r="H88" i="24"/>
  <c r="F88" i="24"/>
  <c r="D88" i="24"/>
  <c r="B88" i="24"/>
  <c r="AC87" i="24"/>
  <c r="AB87" i="24"/>
  <c r="Y87" i="24"/>
  <c r="AA87" i="24" s="1"/>
  <c r="X87" i="24"/>
  <c r="Q87" i="24"/>
  <c r="O87" i="24"/>
  <c r="M87" i="24"/>
  <c r="J87" i="24"/>
  <c r="H87" i="24"/>
  <c r="F87" i="24"/>
  <c r="D87" i="24"/>
  <c r="B87" i="24"/>
  <c r="AC86" i="24"/>
  <c r="AB86" i="24"/>
  <c r="Y86" i="24"/>
  <c r="AA86" i="24" s="1"/>
  <c r="X86" i="24"/>
  <c r="Q86" i="24"/>
  <c r="O86" i="24"/>
  <c r="M86" i="24"/>
  <c r="J86" i="24"/>
  <c r="H86" i="24"/>
  <c r="F86" i="24"/>
  <c r="D86" i="24"/>
  <c r="B86" i="24"/>
  <c r="AC85" i="24"/>
  <c r="AB85" i="24"/>
  <c r="Y85" i="24"/>
  <c r="AA85" i="24" s="1"/>
  <c r="X85" i="24"/>
  <c r="Q85" i="24"/>
  <c r="O85" i="24"/>
  <c r="M85" i="24"/>
  <c r="J85" i="24"/>
  <c r="H85" i="24"/>
  <c r="F85" i="24"/>
  <c r="D85" i="24"/>
  <c r="B85" i="24"/>
  <c r="AC84" i="24"/>
  <c r="AB84" i="24"/>
  <c r="Y84" i="24"/>
  <c r="AA84" i="24" s="1"/>
  <c r="X84" i="24"/>
  <c r="Q84" i="24"/>
  <c r="O84" i="24"/>
  <c r="M84" i="24"/>
  <c r="J84" i="24"/>
  <c r="H84" i="24"/>
  <c r="F84" i="24"/>
  <c r="D84" i="24"/>
  <c r="E84" i="24" s="1"/>
  <c r="B84" i="24"/>
  <c r="AC83" i="24"/>
  <c r="AB83" i="24"/>
  <c r="Y83" i="24"/>
  <c r="AA83" i="24" s="1"/>
  <c r="X83" i="24"/>
  <c r="Q83" i="24"/>
  <c r="O83" i="24"/>
  <c r="M83" i="24"/>
  <c r="J83" i="24"/>
  <c r="H83" i="24"/>
  <c r="F83" i="24"/>
  <c r="D83" i="24"/>
  <c r="B83" i="24"/>
  <c r="AC82" i="24"/>
  <c r="AB82" i="24"/>
  <c r="Y82" i="24"/>
  <c r="AA82" i="24" s="1"/>
  <c r="X82" i="24"/>
  <c r="Q82" i="24"/>
  <c r="O82" i="24"/>
  <c r="M82" i="24"/>
  <c r="J82" i="24"/>
  <c r="H82" i="24"/>
  <c r="F82" i="24"/>
  <c r="D82" i="24"/>
  <c r="B82" i="24"/>
  <c r="AC81" i="24"/>
  <c r="AB81" i="24"/>
  <c r="Y81" i="24"/>
  <c r="AA81" i="24" s="1"/>
  <c r="X81" i="24"/>
  <c r="Q81" i="24"/>
  <c r="O81" i="24"/>
  <c r="M81" i="24"/>
  <c r="J81" i="24"/>
  <c r="H81" i="24"/>
  <c r="F81" i="24"/>
  <c r="D81" i="24"/>
  <c r="B81" i="24"/>
  <c r="AC80" i="24"/>
  <c r="AB80" i="24"/>
  <c r="Y80" i="24"/>
  <c r="AA80" i="24" s="1"/>
  <c r="X80" i="24"/>
  <c r="Q80" i="24"/>
  <c r="O80" i="24"/>
  <c r="M80" i="24"/>
  <c r="J80" i="24"/>
  <c r="H80" i="24"/>
  <c r="F80" i="24"/>
  <c r="D80" i="24"/>
  <c r="E80" i="24" s="1"/>
  <c r="B80" i="24"/>
  <c r="AC79" i="24"/>
  <c r="AB79" i="24"/>
  <c r="Y79" i="24"/>
  <c r="AA79" i="24" s="1"/>
  <c r="X79" i="24"/>
  <c r="Q79" i="24"/>
  <c r="O79" i="24"/>
  <c r="M79" i="24"/>
  <c r="J79" i="24"/>
  <c r="H79" i="24"/>
  <c r="F79" i="24"/>
  <c r="D79" i="24"/>
  <c r="B79" i="24"/>
  <c r="AC78" i="24"/>
  <c r="AB78" i="24"/>
  <c r="Y78" i="24"/>
  <c r="AA78" i="24" s="1"/>
  <c r="X78" i="24"/>
  <c r="Q78" i="24"/>
  <c r="O78" i="24"/>
  <c r="M78" i="24"/>
  <c r="J78" i="24"/>
  <c r="H78" i="24"/>
  <c r="F78" i="24"/>
  <c r="D78" i="24"/>
  <c r="B78" i="24"/>
  <c r="AC77" i="24"/>
  <c r="AB77" i="24"/>
  <c r="Y77" i="24"/>
  <c r="AA77" i="24" s="1"/>
  <c r="X77" i="24"/>
  <c r="Q77" i="24"/>
  <c r="O77" i="24"/>
  <c r="M77" i="24"/>
  <c r="J77" i="24"/>
  <c r="H77" i="24"/>
  <c r="F77" i="24"/>
  <c r="D77" i="24"/>
  <c r="B77" i="24"/>
  <c r="AC76" i="24"/>
  <c r="AB76" i="24"/>
  <c r="Y76" i="24"/>
  <c r="AA76" i="24" s="1"/>
  <c r="X76" i="24"/>
  <c r="Q76" i="24"/>
  <c r="O76" i="24"/>
  <c r="M76" i="24"/>
  <c r="J76" i="24"/>
  <c r="H76" i="24"/>
  <c r="F76" i="24"/>
  <c r="D76" i="24"/>
  <c r="B76" i="24"/>
  <c r="AC75" i="24"/>
  <c r="AB75" i="24"/>
  <c r="Y75" i="24"/>
  <c r="AA75" i="24" s="1"/>
  <c r="X75" i="24"/>
  <c r="Q75" i="24"/>
  <c r="O75" i="24"/>
  <c r="M75" i="24"/>
  <c r="J75" i="24"/>
  <c r="H75" i="24"/>
  <c r="F75" i="24"/>
  <c r="D75" i="24"/>
  <c r="B75" i="24"/>
  <c r="AC74" i="24"/>
  <c r="AB74" i="24"/>
  <c r="Y74" i="24"/>
  <c r="AA74" i="24" s="1"/>
  <c r="X74" i="24"/>
  <c r="Q74" i="24"/>
  <c r="O74" i="24"/>
  <c r="M74" i="24"/>
  <c r="J74" i="24"/>
  <c r="H74" i="24"/>
  <c r="F74" i="24"/>
  <c r="D74" i="24"/>
  <c r="B74" i="24"/>
  <c r="AC73" i="24"/>
  <c r="AB73" i="24"/>
  <c r="Y73" i="24"/>
  <c r="AA73" i="24" s="1"/>
  <c r="X73" i="24"/>
  <c r="Q73" i="24"/>
  <c r="O73" i="24"/>
  <c r="M73" i="24"/>
  <c r="J73" i="24"/>
  <c r="H73" i="24"/>
  <c r="F73" i="24"/>
  <c r="D73" i="24"/>
  <c r="B73" i="24"/>
  <c r="AC72" i="24"/>
  <c r="AB72" i="24"/>
  <c r="Y72" i="24"/>
  <c r="AA72" i="24" s="1"/>
  <c r="X72" i="24"/>
  <c r="Q72" i="24"/>
  <c r="O72" i="24"/>
  <c r="M72" i="24"/>
  <c r="J72" i="24"/>
  <c r="H72" i="24"/>
  <c r="F72" i="24"/>
  <c r="D72" i="24"/>
  <c r="E72" i="24" s="1"/>
  <c r="B72" i="24"/>
  <c r="AC71" i="24"/>
  <c r="AB71" i="24"/>
  <c r="Y71" i="24"/>
  <c r="AA71" i="24" s="1"/>
  <c r="X71" i="24"/>
  <c r="Q71" i="24"/>
  <c r="O71" i="24"/>
  <c r="M71" i="24"/>
  <c r="J71" i="24"/>
  <c r="H71" i="24"/>
  <c r="F71" i="24"/>
  <c r="D71" i="24"/>
  <c r="B71" i="24"/>
  <c r="AC70" i="24"/>
  <c r="AB70" i="24"/>
  <c r="Y70" i="24"/>
  <c r="AA70" i="24" s="1"/>
  <c r="X70" i="24"/>
  <c r="Q70" i="24"/>
  <c r="O70" i="24"/>
  <c r="M70" i="24"/>
  <c r="J70" i="24"/>
  <c r="H70" i="24"/>
  <c r="F70" i="24"/>
  <c r="D70" i="24"/>
  <c r="B70" i="24"/>
  <c r="AC69" i="24"/>
  <c r="AB69" i="24"/>
  <c r="Y69" i="24"/>
  <c r="AA69" i="24" s="1"/>
  <c r="X69" i="24"/>
  <c r="Q69" i="24"/>
  <c r="O69" i="24"/>
  <c r="M69" i="24"/>
  <c r="J69" i="24"/>
  <c r="H69" i="24"/>
  <c r="F69" i="24"/>
  <c r="D69" i="24"/>
  <c r="B69" i="24"/>
  <c r="AC68" i="24"/>
  <c r="AB68" i="24"/>
  <c r="Y68" i="24"/>
  <c r="AA68" i="24" s="1"/>
  <c r="X68" i="24"/>
  <c r="Q68" i="24"/>
  <c r="O68" i="24"/>
  <c r="M68" i="24"/>
  <c r="J68" i="24"/>
  <c r="H68" i="24"/>
  <c r="F68" i="24"/>
  <c r="D68" i="24"/>
  <c r="B68" i="24"/>
  <c r="AC67" i="24"/>
  <c r="AB67" i="24"/>
  <c r="Y67" i="24"/>
  <c r="AA67" i="24" s="1"/>
  <c r="X67" i="24"/>
  <c r="Q67" i="24"/>
  <c r="O67" i="24"/>
  <c r="M67" i="24"/>
  <c r="J67" i="24"/>
  <c r="H67" i="24"/>
  <c r="I67" i="24" s="1"/>
  <c r="F67" i="24"/>
  <c r="D67" i="24"/>
  <c r="B67" i="24"/>
  <c r="AC66" i="24"/>
  <c r="AB66" i="24"/>
  <c r="Y66" i="24"/>
  <c r="AA66" i="24" s="1"/>
  <c r="X66" i="24"/>
  <c r="Q66" i="24"/>
  <c r="O66" i="24"/>
  <c r="M66" i="24"/>
  <c r="J66" i="24"/>
  <c r="H66" i="24"/>
  <c r="F66" i="24"/>
  <c r="D66" i="24"/>
  <c r="B66" i="24"/>
  <c r="AC65" i="24"/>
  <c r="AB65" i="24"/>
  <c r="Y65" i="24"/>
  <c r="AA65" i="24" s="1"/>
  <c r="X65" i="24"/>
  <c r="Q65" i="24"/>
  <c r="O65" i="24"/>
  <c r="M65" i="24"/>
  <c r="J65" i="24"/>
  <c r="H65" i="24"/>
  <c r="F65" i="24"/>
  <c r="D65" i="24"/>
  <c r="B65" i="24"/>
  <c r="AC64" i="24"/>
  <c r="AB64" i="24"/>
  <c r="Y64" i="24"/>
  <c r="AA64" i="24" s="1"/>
  <c r="X64" i="24"/>
  <c r="Q64" i="24"/>
  <c r="O64" i="24"/>
  <c r="M64" i="24"/>
  <c r="J64" i="24"/>
  <c r="H64" i="24"/>
  <c r="F64" i="24"/>
  <c r="D64" i="24"/>
  <c r="B64" i="24"/>
  <c r="AC63" i="24"/>
  <c r="AB63" i="24"/>
  <c r="Y63" i="24"/>
  <c r="AA63" i="24" s="1"/>
  <c r="X63" i="24"/>
  <c r="Q63" i="24"/>
  <c r="O63" i="24"/>
  <c r="M63" i="24"/>
  <c r="J63" i="24"/>
  <c r="H63" i="24"/>
  <c r="F63" i="24"/>
  <c r="D63" i="24"/>
  <c r="B63" i="24"/>
  <c r="AC62" i="24"/>
  <c r="AB62" i="24"/>
  <c r="Y62" i="24"/>
  <c r="AA62" i="24" s="1"/>
  <c r="X62" i="24"/>
  <c r="Q62" i="24"/>
  <c r="O62" i="24"/>
  <c r="M62" i="24"/>
  <c r="J62" i="24"/>
  <c r="H62" i="24"/>
  <c r="F62" i="24"/>
  <c r="D62" i="24"/>
  <c r="E62" i="24" s="1"/>
  <c r="B62" i="24"/>
  <c r="AC61" i="24"/>
  <c r="AB61" i="24"/>
  <c r="Y61" i="24"/>
  <c r="AA61" i="24" s="1"/>
  <c r="X61" i="24"/>
  <c r="Q61" i="24"/>
  <c r="O61" i="24"/>
  <c r="M61" i="24"/>
  <c r="J61" i="24"/>
  <c r="H61" i="24"/>
  <c r="F61" i="24"/>
  <c r="D61" i="24"/>
  <c r="B61" i="24"/>
  <c r="AC60" i="24"/>
  <c r="AB60" i="24"/>
  <c r="Y60" i="24"/>
  <c r="AA60" i="24" s="1"/>
  <c r="X60" i="24"/>
  <c r="Q60" i="24"/>
  <c r="O60" i="24"/>
  <c r="M60" i="24"/>
  <c r="J60" i="24"/>
  <c r="H60" i="24"/>
  <c r="F60" i="24"/>
  <c r="D60" i="24"/>
  <c r="E60" i="24" s="1"/>
  <c r="B60" i="24"/>
  <c r="AC59" i="24"/>
  <c r="AB59" i="24"/>
  <c r="Y59" i="24"/>
  <c r="AA59" i="24" s="1"/>
  <c r="X59" i="24"/>
  <c r="Q59" i="24"/>
  <c r="O59" i="24"/>
  <c r="M59" i="24"/>
  <c r="J59" i="24"/>
  <c r="H59" i="24"/>
  <c r="F59" i="24"/>
  <c r="D59" i="24"/>
  <c r="B59" i="24"/>
  <c r="AC58" i="24"/>
  <c r="AB58" i="24"/>
  <c r="Y58" i="24"/>
  <c r="AA58" i="24" s="1"/>
  <c r="X58" i="24"/>
  <c r="Q58" i="24"/>
  <c r="O58" i="24"/>
  <c r="M58" i="24"/>
  <c r="J58" i="24"/>
  <c r="H58" i="24"/>
  <c r="F58" i="24"/>
  <c r="D58" i="24"/>
  <c r="B58" i="24"/>
  <c r="AC57" i="24"/>
  <c r="AB57" i="24"/>
  <c r="Y57" i="24"/>
  <c r="AA57" i="24" s="1"/>
  <c r="X57" i="24"/>
  <c r="Q57" i="24"/>
  <c r="O57" i="24"/>
  <c r="M57" i="24"/>
  <c r="J57" i="24"/>
  <c r="H57" i="24"/>
  <c r="I57" i="24" s="1"/>
  <c r="F57" i="24"/>
  <c r="D57" i="24"/>
  <c r="B57" i="24"/>
  <c r="AC56" i="24"/>
  <c r="AB56" i="24"/>
  <c r="Y56" i="24"/>
  <c r="AA56" i="24" s="1"/>
  <c r="X56" i="24"/>
  <c r="Q56" i="24"/>
  <c r="O56" i="24"/>
  <c r="M56" i="24"/>
  <c r="J56" i="24"/>
  <c r="H56" i="24"/>
  <c r="F56" i="24"/>
  <c r="D56" i="24"/>
  <c r="B56" i="24"/>
  <c r="AC55" i="24"/>
  <c r="AB55" i="24"/>
  <c r="Y55" i="24"/>
  <c r="AA55" i="24" s="1"/>
  <c r="X55" i="24"/>
  <c r="Q55" i="24"/>
  <c r="O55" i="24"/>
  <c r="M55" i="24"/>
  <c r="J55" i="24"/>
  <c r="H55" i="24"/>
  <c r="I55" i="24" s="1"/>
  <c r="F55" i="24"/>
  <c r="D55" i="24"/>
  <c r="B55" i="24"/>
  <c r="AC54" i="24"/>
  <c r="AB54" i="24"/>
  <c r="Y54" i="24"/>
  <c r="AA54" i="24" s="1"/>
  <c r="X54" i="24"/>
  <c r="Q54" i="24"/>
  <c r="O54" i="24"/>
  <c r="M54" i="24"/>
  <c r="J54" i="24"/>
  <c r="H54" i="24"/>
  <c r="F54" i="24"/>
  <c r="D54" i="24"/>
  <c r="B54" i="24"/>
  <c r="AC53" i="24"/>
  <c r="AD51" i="24" s="1"/>
  <c r="AB53" i="24"/>
  <c r="Y53" i="24"/>
  <c r="AA53" i="24" s="1"/>
  <c r="X53" i="24"/>
  <c r="Q53" i="24"/>
  <c r="O53" i="24"/>
  <c r="M53" i="24"/>
  <c r="J53" i="24"/>
  <c r="H53" i="24"/>
  <c r="F53" i="24"/>
  <c r="D53" i="24"/>
  <c r="B53" i="24"/>
  <c r="AC52" i="24"/>
  <c r="AB52" i="24"/>
  <c r="Y52" i="24"/>
  <c r="AA52" i="24" s="1"/>
  <c r="X52" i="24"/>
  <c r="Q52" i="24"/>
  <c r="O52" i="24"/>
  <c r="M52" i="24"/>
  <c r="J52" i="24"/>
  <c r="H52" i="24"/>
  <c r="F52" i="24"/>
  <c r="D52" i="24"/>
  <c r="B52" i="24"/>
  <c r="AC51" i="24"/>
  <c r="AB51" i="24"/>
  <c r="Y51" i="24"/>
  <c r="AA51" i="24" s="1"/>
  <c r="X51" i="24"/>
  <c r="Q51" i="24"/>
  <c r="O51" i="24"/>
  <c r="M51" i="24"/>
  <c r="J51" i="24"/>
  <c r="H51" i="24"/>
  <c r="F51" i="24"/>
  <c r="D51" i="24"/>
  <c r="B51" i="24"/>
  <c r="AC50" i="24"/>
  <c r="AB50" i="24"/>
  <c r="Y50" i="24"/>
  <c r="AA50" i="24" s="1"/>
  <c r="X50" i="24"/>
  <c r="Q50" i="24"/>
  <c r="O50" i="24"/>
  <c r="M50" i="24"/>
  <c r="J50" i="24"/>
  <c r="H50" i="24"/>
  <c r="F50" i="24"/>
  <c r="D50" i="24"/>
  <c r="B50" i="24"/>
  <c r="AC49" i="24"/>
  <c r="AB49" i="24"/>
  <c r="Y49" i="24"/>
  <c r="AA49" i="24" s="1"/>
  <c r="X49" i="24"/>
  <c r="Q49" i="24"/>
  <c r="O49" i="24"/>
  <c r="M49" i="24"/>
  <c r="J49" i="24"/>
  <c r="H49" i="24"/>
  <c r="F49" i="24"/>
  <c r="D49" i="24"/>
  <c r="B49" i="24"/>
  <c r="AC48" i="24"/>
  <c r="AB48" i="24"/>
  <c r="Y48" i="24"/>
  <c r="AA48" i="24" s="1"/>
  <c r="X48" i="24"/>
  <c r="Q48" i="24"/>
  <c r="O48" i="24"/>
  <c r="M48" i="24"/>
  <c r="J48" i="24"/>
  <c r="H48" i="24"/>
  <c r="F48" i="24"/>
  <c r="D48" i="24"/>
  <c r="B48" i="24"/>
  <c r="AC47" i="24"/>
  <c r="AB47" i="24"/>
  <c r="Y47" i="24"/>
  <c r="AA47" i="24" s="1"/>
  <c r="X47" i="24"/>
  <c r="Q47" i="24"/>
  <c r="O47" i="24"/>
  <c r="M47" i="24"/>
  <c r="J47" i="24"/>
  <c r="H47" i="24"/>
  <c r="F47" i="24"/>
  <c r="D47" i="24"/>
  <c r="B47" i="24"/>
  <c r="AC46" i="24"/>
  <c r="AB46" i="24"/>
  <c r="Y46" i="24"/>
  <c r="AA46" i="24" s="1"/>
  <c r="X46" i="24"/>
  <c r="Q46" i="24"/>
  <c r="O46" i="24"/>
  <c r="M46" i="24"/>
  <c r="J46" i="24"/>
  <c r="H46" i="24"/>
  <c r="F46" i="24"/>
  <c r="D46" i="24"/>
  <c r="B46" i="24"/>
  <c r="AC45" i="24"/>
  <c r="AB45" i="24"/>
  <c r="Y45" i="24"/>
  <c r="AA45" i="24" s="1"/>
  <c r="X45" i="24"/>
  <c r="Q45" i="24"/>
  <c r="O45" i="24"/>
  <c r="M45" i="24"/>
  <c r="J45" i="24"/>
  <c r="H45" i="24"/>
  <c r="F45" i="24"/>
  <c r="D45" i="24"/>
  <c r="B45" i="24"/>
  <c r="AC44" i="24"/>
  <c r="AD44" i="24" s="1"/>
  <c r="AB44" i="24"/>
  <c r="Y44" i="24"/>
  <c r="AA44" i="24" s="1"/>
  <c r="X44" i="24"/>
  <c r="Q44" i="24"/>
  <c r="O44" i="24"/>
  <c r="M44" i="24"/>
  <c r="J44" i="24"/>
  <c r="H44" i="24"/>
  <c r="I44" i="24" s="1"/>
  <c r="F44" i="24"/>
  <c r="D44" i="24"/>
  <c r="B44" i="24"/>
  <c r="AC43" i="24"/>
  <c r="AB43" i="24"/>
  <c r="Y43" i="24"/>
  <c r="AA43" i="24" s="1"/>
  <c r="X43" i="24"/>
  <c r="Q43" i="24"/>
  <c r="O43" i="24"/>
  <c r="M43" i="24"/>
  <c r="J43" i="24"/>
  <c r="H43" i="24"/>
  <c r="F43" i="24"/>
  <c r="D43" i="24"/>
  <c r="B43" i="24"/>
  <c r="AC42" i="24"/>
  <c r="AB42" i="24"/>
  <c r="Y42" i="24"/>
  <c r="AA42" i="24" s="1"/>
  <c r="X42" i="24"/>
  <c r="Q42" i="24"/>
  <c r="O42" i="24"/>
  <c r="M42" i="24"/>
  <c r="J42" i="24"/>
  <c r="H42" i="24"/>
  <c r="I42" i="24" s="1"/>
  <c r="F42" i="24"/>
  <c r="D42" i="24"/>
  <c r="B42" i="24"/>
  <c r="AC41" i="24"/>
  <c r="AB41" i="24"/>
  <c r="Y41" i="24"/>
  <c r="AA41" i="24" s="1"/>
  <c r="X41" i="24"/>
  <c r="Q41" i="24"/>
  <c r="O41" i="24"/>
  <c r="M41" i="24"/>
  <c r="J41" i="24"/>
  <c r="H41" i="24"/>
  <c r="F41" i="24"/>
  <c r="D41" i="24"/>
  <c r="B41" i="24"/>
  <c r="AC40" i="24"/>
  <c r="AB40" i="24"/>
  <c r="Y40" i="24"/>
  <c r="AA40" i="24" s="1"/>
  <c r="X40" i="24"/>
  <c r="Q40" i="24"/>
  <c r="O40" i="24"/>
  <c r="M40" i="24"/>
  <c r="J40" i="24"/>
  <c r="H40" i="24"/>
  <c r="I40" i="24" s="1"/>
  <c r="F40" i="24"/>
  <c r="D40" i="24"/>
  <c r="B40" i="24"/>
  <c r="AC39" i="24"/>
  <c r="AB39" i="24"/>
  <c r="Y39" i="24"/>
  <c r="AA39" i="24" s="1"/>
  <c r="X39" i="24"/>
  <c r="Q39" i="24"/>
  <c r="O39" i="24"/>
  <c r="M39" i="24"/>
  <c r="J39" i="24"/>
  <c r="H39" i="24"/>
  <c r="F39" i="24"/>
  <c r="D39" i="24"/>
  <c r="B39" i="24"/>
  <c r="AC38" i="24"/>
  <c r="AB38" i="24"/>
  <c r="Y38" i="24"/>
  <c r="AA38" i="24" s="1"/>
  <c r="X38" i="24"/>
  <c r="Q38" i="24"/>
  <c r="O38" i="24"/>
  <c r="M38" i="24"/>
  <c r="J38" i="24"/>
  <c r="H38" i="24"/>
  <c r="I38" i="24" s="1"/>
  <c r="F38" i="24"/>
  <c r="D38" i="24"/>
  <c r="B38" i="24"/>
  <c r="AC37" i="24"/>
  <c r="AB37" i="24"/>
  <c r="Y37" i="24"/>
  <c r="AA37" i="24" s="1"/>
  <c r="X37" i="24"/>
  <c r="Q37" i="24"/>
  <c r="O37" i="24"/>
  <c r="M37" i="24"/>
  <c r="J37" i="24"/>
  <c r="H37" i="24"/>
  <c r="F37" i="24"/>
  <c r="D37" i="24"/>
  <c r="E37" i="24" s="1"/>
  <c r="B37" i="24"/>
  <c r="AC36" i="24"/>
  <c r="AB36" i="24"/>
  <c r="Y36" i="24"/>
  <c r="AA36" i="24" s="1"/>
  <c r="X36" i="24"/>
  <c r="Q36" i="24"/>
  <c r="O36" i="24"/>
  <c r="M36" i="24"/>
  <c r="J36" i="24"/>
  <c r="H36" i="24"/>
  <c r="F36" i="24"/>
  <c r="D36" i="24"/>
  <c r="E36" i="24" s="1"/>
  <c r="B36" i="24"/>
  <c r="AC35" i="24"/>
  <c r="AB35" i="24"/>
  <c r="Y35" i="24"/>
  <c r="AA35" i="24" s="1"/>
  <c r="X35" i="24"/>
  <c r="Q35" i="24"/>
  <c r="O35" i="24"/>
  <c r="M35" i="24"/>
  <c r="J35" i="24"/>
  <c r="H35" i="24"/>
  <c r="F35" i="24"/>
  <c r="D35" i="24"/>
  <c r="B35" i="24"/>
  <c r="AC34" i="24"/>
  <c r="AB34" i="24"/>
  <c r="Y34" i="24"/>
  <c r="AA34" i="24" s="1"/>
  <c r="X34" i="24"/>
  <c r="Q34" i="24"/>
  <c r="O34" i="24"/>
  <c r="M34" i="24"/>
  <c r="J34" i="24"/>
  <c r="H34" i="24"/>
  <c r="F34" i="24"/>
  <c r="D34" i="24"/>
  <c r="E34" i="24" s="1"/>
  <c r="B34" i="24"/>
  <c r="AC33" i="24"/>
  <c r="AB33" i="24"/>
  <c r="Y33" i="24"/>
  <c r="AA33" i="24" s="1"/>
  <c r="X33" i="24"/>
  <c r="Q33" i="24"/>
  <c r="O33" i="24"/>
  <c r="M33" i="24"/>
  <c r="J33" i="24"/>
  <c r="H33" i="24"/>
  <c r="F33" i="24"/>
  <c r="D33" i="24"/>
  <c r="B33" i="24"/>
  <c r="AC32" i="24"/>
  <c r="AB32" i="24"/>
  <c r="Y32" i="24"/>
  <c r="AA32" i="24" s="1"/>
  <c r="X32" i="24"/>
  <c r="Q32" i="24"/>
  <c r="O32" i="24"/>
  <c r="M32" i="24"/>
  <c r="J32" i="24"/>
  <c r="H32" i="24"/>
  <c r="F32" i="24"/>
  <c r="D32" i="24"/>
  <c r="B32" i="24"/>
  <c r="AC31" i="24"/>
  <c r="AB31" i="24"/>
  <c r="Y31" i="24"/>
  <c r="AA31" i="24" s="1"/>
  <c r="X31" i="24"/>
  <c r="Q31" i="24"/>
  <c r="O31" i="24"/>
  <c r="M31" i="24"/>
  <c r="J31" i="24"/>
  <c r="H31" i="24"/>
  <c r="F31" i="24"/>
  <c r="D31" i="24"/>
  <c r="E31" i="24" s="1"/>
  <c r="B31" i="24"/>
  <c r="AC30" i="24"/>
  <c r="AB30" i="24"/>
  <c r="Y30" i="24"/>
  <c r="AA30" i="24" s="1"/>
  <c r="X30" i="24"/>
  <c r="Q30" i="24"/>
  <c r="O30" i="24"/>
  <c r="M30" i="24"/>
  <c r="J30" i="24"/>
  <c r="H30" i="24"/>
  <c r="F30" i="24"/>
  <c r="D30" i="24"/>
  <c r="B30" i="24"/>
  <c r="AC29" i="24"/>
  <c r="AB29" i="24"/>
  <c r="Y29" i="24"/>
  <c r="AA29" i="24" s="1"/>
  <c r="X29" i="24"/>
  <c r="Q29" i="24"/>
  <c r="O29" i="24"/>
  <c r="M29" i="24"/>
  <c r="J29" i="24"/>
  <c r="H29" i="24"/>
  <c r="F29" i="24"/>
  <c r="D29" i="24"/>
  <c r="B29" i="24"/>
  <c r="AC28" i="24"/>
  <c r="AB28" i="24"/>
  <c r="Y28" i="24"/>
  <c r="AA28" i="24" s="1"/>
  <c r="X28" i="24"/>
  <c r="Q28" i="24"/>
  <c r="O28" i="24"/>
  <c r="M28" i="24"/>
  <c r="J28" i="24"/>
  <c r="H28" i="24"/>
  <c r="F28" i="24"/>
  <c r="D28" i="24"/>
  <c r="B28" i="24"/>
  <c r="AC27" i="24"/>
  <c r="AB27" i="24"/>
  <c r="Y27" i="24"/>
  <c r="AA27" i="24" s="1"/>
  <c r="X27" i="24"/>
  <c r="Q27" i="24"/>
  <c r="O27" i="24"/>
  <c r="M27" i="24"/>
  <c r="J27" i="24"/>
  <c r="H27" i="24"/>
  <c r="I27" i="24" s="1"/>
  <c r="F27" i="24"/>
  <c r="D27" i="24"/>
  <c r="B27" i="24"/>
  <c r="AC26" i="24"/>
  <c r="AB26" i="24"/>
  <c r="Y26" i="24"/>
  <c r="AA26" i="24" s="1"/>
  <c r="X26" i="24"/>
  <c r="Q26" i="24"/>
  <c r="O26" i="24"/>
  <c r="M26" i="24"/>
  <c r="J26" i="24"/>
  <c r="H26" i="24"/>
  <c r="F26" i="24"/>
  <c r="D26" i="24"/>
  <c r="B26" i="24"/>
  <c r="AC25" i="24"/>
  <c r="AB25" i="24"/>
  <c r="Y25" i="24"/>
  <c r="AA25" i="24" s="1"/>
  <c r="X25" i="24"/>
  <c r="Q25" i="24"/>
  <c r="O25" i="24"/>
  <c r="M25" i="24"/>
  <c r="J25" i="24"/>
  <c r="H25" i="24"/>
  <c r="F25" i="24"/>
  <c r="D25" i="24"/>
  <c r="B25" i="24"/>
  <c r="AC24" i="24"/>
  <c r="AB24" i="24"/>
  <c r="Y24" i="24"/>
  <c r="AA24" i="24" s="1"/>
  <c r="X24" i="24"/>
  <c r="Q24" i="24"/>
  <c r="O24" i="24"/>
  <c r="M24" i="24"/>
  <c r="J24" i="24"/>
  <c r="H24" i="24"/>
  <c r="F24" i="24"/>
  <c r="D24" i="24"/>
  <c r="B24" i="24"/>
  <c r="AC23" i="24"/>
  <c r="AB23" i="24"/>
  <c r="Y23" i="24"/>
  <c r="AA23" i="24" s="1"/>
  <c r="X23" i="24"/>
  <c r="Q23" i="24"/>
  <c r="O23" i="24"/>
  <c r="M23" i="24"/>
  <c r="J23" i="24"/>
  <c r="H23" i="24"/>
  <c r="F23" i="24"/>
  <c r="D23" i="24"/>
  <c r="B23" i="24"/>
  <c r="AC22" i="24"/>
  <c r="AB22" i="24"/>
  <c r="Y22" i="24"/>
  <c r="AA22" i="24" s="1"/>
  <c r="X22" i="24"/>
  <c r="Q22" i="24"/>
  <c r="O22" i="24"/>
  <c r="M22" i="24"/>
  <c r="J22" i="24"/>
  <c r="H22" i="24"/>
  <c r="F22" i="24"/>
  <c r="D22" i="24"/>
  <c r="B22" i="24"/>
  <c r="AC21" i="24"/>
  <c r="AB21" i="24"/>
  <c r="Y21" i="24"/>
  <c r="AA21" i="24" s="1"/>
  <c r="X21" i="24"/>
  <c r="Q21" i="24"/>
  <c r="O21" i="24"/>
  <c r="M21" i="24"/>
  <c r="J21" i="24"/>
  <c r="H21" i="24"/>
  <c r="F21" i="24"/>
  <c r="D21" i="24"/>
  <c r="B21" i="24"/>
  <c r="AC20" i="24"/>
  <c r="AB20" i="24"/>
  <c r="Y20" i="24"/>
  <c r="AA20" i="24" s="1"/>
  <c r="X20" i="24"/>
  <c r="Q20" i="24"/>
  <c r="O20" i="24"/>
  <c r="M20" i="24"/>
  <c r="J20" i="24"/>
  <c r="H20" i="24"/>
  <c r="I20" i="24" s="1"/>
  <c r="F20" i="24"/>
  <c r="D20" i="24"/>
  <c r="B20" i="24"/>
  <c r="AC19" i="24"/>
  <c r="AB19" i="24"/>
  <c r="Y19" i="24"/>
  <c r="AA19" i="24" s="1"/>
  <c r="X19" i="24"/>
  <c r="Q19" i="24"/>
  <c r="O19" i="24"/>
  <c r="M19" i="24"/>
  <c r="J19" i="24"/>
  <c r="H19" i="24"/>
  <c r="F19" i="24"/>
  <c r="D19" i="24"/>
  <c r="B19" i="24"/>
  <c r="AC18" i="24"/>
  <c r="AB18" i="24"/>
  <c r="Y18" i="24"/>
  <c r="AA18" i="24" s="1"/>
  <c r="X18" i="24"/>
  <c r="Q18" i="24"/>
  <c r="O18" i="24"/>
  <c r="M18" i="24"/>
  <c r="J18" i="24"/>
  <c r="H18" i="24"/>
  <c r="F18" i="24"/>
  <c r="D18" i="24"/>
  <c r="B18" i="24"/>
  <c r="AC17" i="24"/>
  <c r="AB17" i="24"/>
  <c r="Y17" i="24"/>
  <c r="AA17" i="24" s="1"/>
  <c r="X17" i="24"/>
  <c r="Q17" i="24"/>
  <c r="O17" i="24"/>
  <c r="M17" i="24"/>
  <c r="J17" i="24"/>
  <c r="H17" i="24"/>
  <c r="F17" i="24"/>
  <c r="D17" i="24"/>
  <c r="B17" i="24"/>
  <c r="AC16" i="24"/>
  <c r="AB16" i="24"/>
  <c r="Y16" i="24"/>
  <c r="AA16" i="24" s="1"/>
  <c r="X16" i="24"/>
  <c r="Q16" i="24"/>
  <c r="O16" i="24"/>
  <c r="M16" i="24"/>
  <c r="J16" i="24"/>
  <c r="H16" i="24"/>
  <c r="F16" i="24"/>
  <c r="D16" i="24"/>
  <c r="B16" i="24"/>
  <c r="AC15" i="24"/>
  <c r="AB15" i="24"/>
  <c r="Y15" i="24"/>
  <c r="AA15" i="24" s="1"/>
  <c r="X15" i="24"/>
  <c r="Q15" i="24"/>
  <c r="O15" i="24"/>
  <c r="M15" i="24"/>
  <c r="J15" i="24"/>
  <c r="H15" i="24"/>
  <c r="F15" i="24"/>
  <c r="D15" i="24"/>
  <c r="B15" i="24"/>
  <c r="AC14" i="24"/>
  <c r="AB14" i="24"/>
  <c r="Y14" i="24"/>
  <c r="AA14" i="24" s="1"/>
  <c r="X14" i="24"/>
  <c r="Q14" i="24"/>
  <c r="O14" i="24"/>
  <c r="M14" i="24"/>
  <c r="J14" i="24"/>
  <c r="H14" i="24"/>
  <c r="F14" i="24"/>
  <c r="D14" i="24"/>
  <c r="B14" i="24"/>
  <c r="AC13" i="24"/>
  <c r="AB13" i="24"/>
  <c r="Y13" i="24"/>
  <c r="AA13" i="24" s="1"/>
  <c r="X13" i="24"/>
  <c r="Q13" i="24"/>
  <c r="O13" i="24"/>
  <c r="M13" i="24"/>
  <c r="J13" i="24"/>
  <c r="H13" i="24"/>
  <c r="F13" i="24"/>
  <c r="D13" i="24"/>
  <c r="B13" i="24"/>
  <c r="AC12" i="24"/>
  <c r="AB12" i="24"/>
  <c r="Y12" i="24"/>
  <c r="AA12" i="24" s="1"/>
  <c r="X12" i="24"/>
  <c r="Q12" i="24"/>
  <c r="O12" i="24"/>
  <c r="M12" i="24"/>
  <c r="J12" i="24"/>
  <c r="H12" i="24"/>
  <c r="F12" i="24"/>
  <c r="D12" i="24"/>
  <c r="B12" i="24"/>
  <c r="AC11" i="24"/>
  <c r="AB11" i="24"/>
  <c r="Y11" i="24"/>
  <c r="AA11" i="24" s="1"/>
  <c r="X11" i="24"/>
  <c r="Q11" i="24"/>
  <c r="O11" i="24"/>
  <c r="M11" i="24"/>
  <c r="J11" i="24"/>
  <c r="H11" i="24"/>
  <c r="F11" i="24"/>
  <c r="D11" i="24"/>
  <c r="B11" i="24"/>
  <c r="AC10" i="24"/>
  <c r="AB10" i="24"/>
  <c r="Y10" i="24"/>
  <c r="AA10" i="24" s="1"/>
  <c r="X10" i="24"/>
  <c r="Q10" i="24"/>
  <c r="O10" i="24"/>
  <c r="M10" i="24"/>
  <c r="J10" i="24"/>
  <c r="H10" i="24"/>
  <c r="F10" i="24"/>
  <c r="D10" i="24"/>
  <c r="B10" i="24"/>
  <c r="AC9" i="24"/>
  <c r="AB9" i="24"/>
  <c r="Y9" i="24"/>
  <c r="AA9" i="24" s="1"/>
  <c r="X9" i="24"/>
  <c r="Q9" i="24"/>
  <c r="O9" i="24"/>
  <c r="M9" i="24"/>
  <c r="J9" i="24"/>
  <c r="H9" i="24"/>
  <c r="F9" i="24"/>
  <c r="D9" i="24"/>
  <c r="B9" i="24"/>
  <c r="AC8" i="24"/>
  <c r="AB8" i="24"/>
  <c r="Y8" i="24"/>
  <c r="AA8" i="24" s="1"/>
  <c r="X8" i="24"/>
  <c r="Q8" i="24"/>
  <c r="O8" i="24"/>
  <c r="M8" i="24"/>
  <c r="J8" i="24"/>
  <c r="H8" i="24"/>
  <c r="I5" i="24" s="1"/>
  <c r="F8" i="24"/>
  <c r="D8" i="24"/>
  <c r="B8" i="24"/>
  <c r="AC7" i="24"/>
  <c r="AB7" i="24"/>
  <c r="Y7" i="24"/>
  <c r="AA7" i="24" s="1"/>
  <c r="X7" i="24"/>
  <c r="Q7" i="24"/>
  <c r="O7" i="24"/>
  <c r="M7" i="24"/>
  <c r="J7" i="24"/>
  <c r="H7" i="24"/>
  <c r="I4" i="24" s="1"/>
  <c r="F7" i="24"/>
  <c r="D7" i="24"/>
  <c r="E4" i="24" s="1"/>
  <c r="B7" i="24"/>
  <c r="AC6" i="24"/>
  <c r="AB6" i="24"/>
  <c r="Y6" i="24"/>
  <c r="X6" i="24"/>
  <c r="Q6" i="24"/>
  <c r="O6" i="24"/>
  <c r="M6" i="24"/>
  <c r="J6" i="24"/>
  <c r="H6" i="24"/>
  <c r="I3" i="24" s="1"/>
  <c r="F6" i="24"/>
  <c r="D6" i="24"/>
  <c r="B6" i="24"/>
  <c r="AF320" i="24" l="1"/>
  <c r="E134" i="24"/>
  <c r="E164" i="24"/>
  <c r="I10" i="24"/>
  <c r="AD159" i="24"/>
  <c r="Z9" i="24"/>
  <c r="Z13" i="24"/>
  <c r="Z17" i="24"/>
  <c r="Z180" i="24"/>
  <c r="Z184" i="24"/>
  <c r="Z206" i="24"/>
  <c r="Z244" i="24"/>
  <c r="Z258" i="24"/>
  <c r="Z262" i="24"/>
  <c r="Z314" i="24"/>
  <c r="Z23" i="24"/>
  <c r="Z25" i="24"/>
  <c r="Z27" i="24"/>
  <c r="Z29" i="24"/>
  <c r="Z31" i="24"/>
  <c r="Z33" i="24"/>
  <c r="Z35" i="24"/>
  <c r="Z37" i="24"/>
  <c r="Z41" i="24"/>
  <c r="Z43" i="24"/>
  <c r="Z45" i="24"/>
  <c r="Z49" i="24"/>
  <c r="AF51" i="24"/>
  <c r="Z172" i="24"/>
  <c r="Z210" i="24"/>
  <c r="Z214" i="24"/>
  <c r="Z218" i="24"/>
  <c r="Z220" i="24"/>
  <c r="Z224" i="24"/>
  <c r="Z232" i="24"/>
  <c r="Z246" i="24"/>
  <c r="Z282" i="24"/>
  <c r="Z286" i="24"/>
  <c r="AF306" i="24"/>
  <c r="E11" i="24"/>
  <c r="AF63" i="24"/>
  <c r="Z65" i="24"/>
  <c r="Z69" i="24"/>
  <c r="Z73" i="24"/>
  <c r="I74" i="24"/>
  <c r="Z75" i="24"/>
  <c r="Z77" i="24"/>
  <c r="Z79" i="24"/>
  <c r="E172" i="24"/>
  <c r="E174" i="24"/>
  <c r="E180" i="24"/>
  <c r="E184" i="24"/>
  <c r="E192" i="24"/>
  <c r="E238" i="24"/>
  <c r="E260" i="24"/>
  <c r="D71" i="32"/>
  <c r="E71" i="32" s="1"/>
  <c r="F71" i="32" s="1"/>
  <c r="Z190" i="24"/>
  <c r="Z204" i="24"/>
  <c r="Z234" i="24"/>
  <c r="Z260" i="24"/>
  <c r="Z298" i="24"/>
  <c r="Z83" i="24"/>
  <c r="Z85" i="24"/>
  <c r="Z87" i="24"/>
  <c r="Z89" i="24"/>
  <c r="Z91" i="24"/>
  <c r="I96" i="24"/>
  <c r="Z97" i="24"/>
  <c r="I98" i="24"/>
  <c r="AD98" i="24"/>
  <c r="AF98" i="24" s="1"/>
  <c r="Z99" i="24"/>
  <c r="Z101" i="24"/>
  <c r="I102" i="24"/>
  <c r="Z105" i="24"/>
  <c r="Z107" i="24"/>
  <c r="I112" i="24"/>
  <c r="Z113" i="24"/>
  <c r="Z115" i="24"/>
  <c r="AD118" i="24"/>
  <c r="AF118" i="24" s="1"/>
  <c r="I120" i="24"/>
  <c r="Z121" i="24"/>
  <c r="Z123" i="24"/>
  <c r="Z125" i="24"/>
  <c r="Z127" i="24"/>
  <c r="Z129" i="24"/>
  <c r="Z131" i="24"/>
  <c r="Z133" i="24"/>
  <c r="Z135" i="24"/>
  <c r="Z137" i="24"/>
  <c r="Z139" i="24"/>
  <c r="Z141" i="24"/>
  <c r="Z143" i="24"/>
  <c r="Z145" i="24"/>
  <c r="Z147" i="24"/>
  <c r="Z149" i="24"/>
  <c r="Z151" i="24"/>
  <c r="Z153" i="24"/>
  <c r="Z155" i="24"/>
  <c r="Z157" i="24"/>
  <c r="Z159" i="24"/>
  <c r="AF159" i="24"/>
  <c r="Z161" i="24"/>
  <c r="Z163" i="24"/>
  <c r="Z165" i="24"/>
  <c r="AF165" i="24"/>
  <c r="Z167" i="24"/>
  <c r="Z169" i="24"/>
  <c r="Z176" i="24"/>
  <c r="Z186" i="24"/>
  <c r="Z216" i="24"/>
  <c r="Z222" i="24"/>
  <c r="Z252" i="24"/>
  <c r="Z266" i="24"/>
  <c r="Z270" i="24"/>
  <c r="E21" i="24"/>
  <c r="E27" i="24"/>
  <c r="Z6" i="24"/>
  <c r="Z10" i="24"/>
  <c r="Z14" i="24"/>
  <c r="I15" i="24"/>
  <c r="AD15" i="24"/>
  <c r="AF15" i="24" s="1"/>
  <c r="Z16" i="24"/>
  <c r="I17" i="24"/>
  <c r="Z18" i="24"/>
  <c r="E67" i="24"/>
  <c r="E77" i="24"/>
  <c r="AD170" i="24"/>
  <c r="AF170" i="24" s="1"/>
  <c r="Z171" i="24"/>
  <c r="Z173" i="24"/>
  <c r="Z175" i="24"/>
  <c r="AF175" i="24"/>
  <c r="Z177" i="24"/>
  <c r="AF177" i="24"/>
  <c r="Z179" i="24"/>
  <c r="Z181" i="24"/>
  <c r="Z183" i="24"/>
  <c r="Z185" i="24"/>
  <c r="Z187" i="24"/>
  <c r="I188" i="24"/>
  <c r="Z189" i="24"/>
  <c r="I190" i="24"/>
  <c r="Z191" i="24"/>
  <c r="Z193" i="24"/>
  <c r="Z195" i="24"/>
  <c r="AF195" i="24"/>
  <c r="Z197" i="24"/>
  <c r="Z199" i="24"/>
  <c r="AF199" i="24"/>
  <c r="Z201" i="24"/>
  <c r="Z203" i="24"/>
  <c r="Z205" i="24"/>
  <c r="I206" i="24"/>
  <c r="AD206" i="24"/>
  <c r="AF206" i="24" s="1"/>
  <c r="I208" i="24"/>
  <c r="I210" i="24"/>
  <c r="Z213" i="24"/>
  <c r="Z215" i="24"/>
  <c r="Z223" i="24"/>
  <c r="AF225" i="24"/>
  <c r="I226" i="24"/>
  <c r="Z227" i="24"/>
  <c r="Z229" i="24"/>
  <c r="Z231" i="24"/>
  <c r="Z233" i="24"/>
  <c r="I234" i="24"/>
  <c r="Z235" i="24"/>
  <c r="I236" i="24"/>
  <c r="AD236" i="24"/>
  <c r="Z237" i="24"/>
  <c r="AF237" i="24"/>
  <c r="Z241" i="24"/>
  <c r="Z243" i="24"/>
  <c r="I246" i="24"/>
  <c r="I248" i="24"/>
  <c r="Z249" i="24"/>
  <c r="I250" i="24"/>
  <c r="Z251" i="24"/>
  <c r="Z253" i="24"/>
  <c r="Z255" i="24"/>
  <c r="Z257" i="24"/>
  <c r="Z259" i="24"/>
  <c r="Z261" i="24"/>
  <c r="Z263" i="24"/>
  <c r="Z265" i="24"/>
  <c r="Z267" i="24"/>
  <c r="Z269" i="24"/>
  <c r="Z273" i="24"/>
  <c r="Z275" i="24"/>
  <c r="Z277" i="24"/>
  <c r="Z279" i="24"/>
  <c r="Z281" i="24"/>
  <c r="Z283" i="24"/>
  <c r="Z285" i="24"/>
  <c r="Z287" i="24"/>
  <c r="Z291" i="24"/>
  <c r="Z293" i="24"/>
  <c r="I294" i="24"/>
  <c r="Z295" i="24"/>
  <c r="I296" i="24"/>
  <c r="Z297" i="24"/>
  <c r="Z299" i="24"/>
  <c r="Z301" i="24"/>
  <c r="Z303" i="24"/>
  <c r="Z305" i="24"/>
  <c r="AD306" i="24"/>
  <c r="Z307" i="24"/>
  <c r="Z309" i="24"/>
  <c r="AF309" i="24"/>
  <c r="Z311" i="24"/>
  <c r="Z313" i="24"/>
  <c r="Z315" i="24"/>
  <c r="AD316" i="24"/>
  <c r="AF316" i="24" s="1"/>
  <c r="Z317" i="24"/>
  <c r="D75" i="32"/>
  <c r="E75" i="32" s="1"/>
  <c r="F75" i="32" s="1"/>
  <c r="Z7" i="24"/>
  <c r="Z11" i="24"/>
  <c r="Z15" i="24"/>
  <c r="Z188" i="24"/>
  <c r="Z192" i="24"/>
  <c r="Z198" i="24"/>
  <c r="Z202" i="24"/>
  <c r="Z212" i="24"/>
  <c r="Z236" i="24"/>
  <c r="AF236" i="24"/>
  <c r="Z240" i="24"/>
  <c r="Z248" i="24"/>
  <c r="Z268" i="24"/>
  <c r="Z292" i="24"/>
  <c r="Z310" i="24"/>
  <c r="Z312" i="24"/>
  <c r="Z316" i="24"/>
  <c r="Z8" i="24"/>
  <c r="Z12" i="24"/>
  <c r="Z22" i="24"/>
  <c r="Z24" i="24"/>
  <c r="Z26" i="24"/>
  <c r="Z28" i="24"/>
  <c r="Z30" i="24"/>
  <c r="Z32" i="24"/>
  <c r="Z34" i="24"/>
  <c r="AD35" i="24"/>
  <c r="AF35" i="24" s="1"/>
  <c r="Z38" i="24"/>
  <c r="Z40" i="24"/>
  <c r="Z44" i="24"/>
  <c r="AF44" i="24"/>
  <c r="Z48" i="24"/>
  <c r="Z50" i="24"/>
  <c r="Z174" i="24"/>
  <c r="Z194" i="24"/>
  <c r="Z226" i="24"/>
  <c r="Z230" i="24"/>
  <c r="Z238" i="24"/>
  <c r="Z242" i="24"/>
  <c r="Z254" i="24"/>
  <c r="Z264" i="24"/>
  <c r="Z284" i="24"/>
  <c r="Z288" i="24"/>
  <c r="AA6" i="24"/>
  <c r="D74" i="32" s="1"/>
  <c r="E74" i="32" s="1"/>
  <c r="F74" i="32" s="1"/>
  <c r="D72" i="32"/>
  <c r="E72" i="32" s="1"/>
  <c r="F72" i="32" s="1"/>
  <c r="Z52" i="24"/>
  <c r="Z54" i="24"/>
  <c r="Z56" i="24"/>
  <c r="Z58" i="24"/>
  <c r="Z60" i="24"/>
  <c r="Z62" i="24"/>
  <c r="Z64" i="24"/>
  <c r="Z66" i="24"/>
  <c r="Z68" i="24"/>
  <c r="Z70" i="24"/>
  <c r="Z72" i="24"/>
  <c r="Z74" i="24"/>
  <c r="Z76" i="24"/>
  <c r="Z78" i="24"/>
  <c r="D67" i="32"/>
  <c r="E67" i="32" s="1"/>
  <c r="F67" i="32" s="1"/>
  <c r="Z196" i="24"/>
  <c r="Z200" i="24"/>
  <c r="Z228" i="24"/>
  <c r="Z250" i="24"/>
  <c r="Z256" i="24"/>
  <c r="AF256" i="24"/>
  <c r="Z276" i="24"/>
  <c r="Z80" i="24"/>
  <c r="Z82" i="24"/>
  <c r="Z84" i="24"/>
  <c r="Z86" i="24"/>
  <c r="Z88" i="24"/>
  <c r="Z92" i="24"/>
  <c r="Z96" i="24"/>
  <c r="Z102" i="24"/>
  <c r="Z104" i="24"/>
  <c r="Z112" i="24"/>
  <c r="Z114" i="24"/>
  <c r="Z116" i="24"/>
  <c r="AF116" i="24"/>
  <c r="Z120" i="24"/>
  <c r="Z122" i="24"/>
  <c r="Z124" i="24"/>
  <c r="Z126" i="24"/>
  <c r="Z128" i="24"/>
  <c r="Z130" i="24"/>
  <c r="Z132" i="24"/>
  <c r="Z134" i="24"/>
  <c r="Z136" i="24"/>
  <c r="Z138" i="24"/>
  <c r="Z140" i="24"/>
  <c r="Z142" i="24"/>
  <c r="Z144" i="24"/>
  <c r="Z146" i="24"/>
  <c r="Z148" i="24"/>
  <c r="Z150" i="24"/>
  <c r="Z152" i="24"/>
  <c r="Z154" i="24"/>
  <c r="Z156" i="24"/>
  <c r="Z160" i="24"/>
  <c r="Z162" i="24"/>
  <c r="AF162" i="24"/>
  <c r="Z164" i="24"/>
  <c r="Z168" i="24"/>
  <c r="Z158" i="24"/>
  <c r="C64" i="32"/>
  <c r="AD5" i="24"/>
  <c r="AD4" i="24"/>
  <c r="AF4" i="24" s="1"/>
  <c r="AH190" i="24"/>
  <c r="E18" i="24"/>
  <c r="I49" i="24"/>
  <c r="I209" i="24"/>
  <c r="I229" i="24"/>
  <c r="I204" i="24"/>
  <c r="E6" i="24"/>
  <c r="E3" i="24"/>
  <c r="E8" i="24"/>
  <c r="E5" i="24"/>
  <c r="E14" i="24"/>
  <c r="E15" i="24"/>
  <c r="E49" i="24"/>
  <c r="E50" i="24"/>
  <c r="E96" i="24"/>
  <c r="E100" i="24"/>
  <c r="E203" i="24"/>
  <c r="E19" i="24"/>
  <c r="E79" i="24"/>
  <c r="E142" i="24"/>
  <c r="E22" i="24"/>
  <c r="E24" i="24"/>
  <c r="E26" i="24"/>
  <c r="E28" i="24"/>
  <c r="E30" i="24"/>
  <c r="E32" i="24"/>
  <c r="AD37" i="24"/>
  <c r="AF37" i="24" s="1"/>
  <c r="E45" i="24"/>
  <c r="I68" i="24"/>
  <c r="E78" i="24"/>
  <c r="I89" i="24"/>
  <c r="I93" i="24"/>
  <c r="AD93" i="24"/>
  <c r="I97" i="24"/>
  <c r="E109" i="24"/>
  <c r="E112" i="24"/>
  <c r="E116" i="24"/>
  <c r="E121" i="24"/>
  <c r="E136" i="24"/>
  <c r="E148" i="24"/>
  <c r="E198" i="24"/>
  <c r="E202" i="24"/>
  <c r="AD205" i="24"/>
  <c r="AF205" i="24" s="1"/>
  <c r="AD229" i="24"/>
  <c r="AF229" i="24" s="1"/>
  <c r="I232" i="24"/>
  <c r="AD231" i="24"/>
  <c r="AF231" i="24" s="1"/>
  <c r="I239" i="24"/>
  <c r="I243" i="24"/>
  <c r="AD243" i="24"/>
  <c r="AF243" i="24" s="1"/>
  <c r="I282" i="24"/>
  <c r="E296" i="24"/>
  <c r="E152" i="24"/>
  <c r="I194" i="24"/>
  <c r="I22" i="24"/>
  <c r="I45" i="24"/>
  <c r="E53" i="24"/>
  <c r="E55" i="24"/>
  <c r="E57" i="24"/>
  <c r="E59" i="24"/>
  <c r="E88" i="24"/>
  <c r="E87" i="24"/>
  <c r="I107" i="24"/>
  <c r="AD107" i="24"/>
  <c r="AF107" i="24" s="1"/>
  <c r="E154" i="24"/>
  <c r="E17" i="24"/>
  <c r="I9" i="24"/>
  <c r="E71" i="24"/>
  <c r="I80" i="24"/>
  <c r="E102" i="24"/>
  <c r="E186" i="24"/>
  <c r="E190" i="24"/>
  <c r="AD271" i="24"/>
  <c r="AF271" i="24" s="1"/>
  <c r="AD131" i="24"/>
  <c r="AF131" i="24" s="1"/>
  <c r="I181" i="24"/>
  <c r="I183" i="24"/>
  <c r="I185" i="24"/>
  <c r="I187" i="24"/>
  <c r="AD189" i="24"/>
  <c r="AF189" i="24" s="1"/>
  <c r="I214" i="24"/>
  <c r="AD220" i="24"/>
  <c r="AE220" i="24" s="1"/>
  <c r="AD222" i="24"/>
  <c r="AF222" i="24" s="1"/>
  <c r="I252" i="24"/>
  <c r="I256" i="24"/>
  <c r="AD256" i="24"/>
  <c r="E268" i="24"/>
  <c r="E270" i="24"/>
  <c r="E307" i="24"/>
  <c r="E315" i="24"/>
  <c r="E317" i="24"/>
  <c r="E39" i="24"/>
  <c r="AD200" i="24"/>
  <c r="AE195" i="24" s="1"/>
  <c r="E204" i="24"/>
  <c r="I260" i="24"/>
  <c r="AD299" i="24"/>
  <c r="AF299" i="24" s="1"/>
  <c r="I37" i="24"/>
  <c r="E41" i="24"/>
  <c r="I85" i="24"/>
  <c r="I124" i="24"/>
  <c r="E132" i="24"/>
  <c r="E194" i="24"/>
  <c r="E215" i="24"/>
  <c r="E219" i="24"/>
  <c r="E253" i="24"/>
  <c r="E259" i="24"/>
  <c r="I266" i="24"/>
  <c r="I272" i="24"/>
  <c r="I303" i="24"/>
  <c r="I305" i="24"/>
  <c r="I307" i="24"/>
  <c r="AD309" i="24"/>
  <c r="I313" i="24"/>
  <c r="I315" i="24"/>
  <c r="AH315" i="24" s="1"/>
  <c r="I12" i="24"/>
  <c r="AD12" i="24"/>
  <c r="AF12" i="24" s="1"/>
  <c r="E23" i="24"/>
  <c r="I30" i="24"/>
  <c r="I56" i="24"/>
  <c r="I58" i="24"/>
  <c r="I62" i="24"/>
  <c r="AD75" i="24"/>
  <c r="AF75" i="24" s="1"/>
  <c r="E81" i="24"/>
  <c r="I86" i="24"/>
  <c r="E92" i="24"/>
  <c r="E101" i="24"/>
  <c r="AD102" i="24"/>
  <c r="Z110" i="24"/>
  <c r="I115" i="24"/>
  <c r="E138" i="24"/>
  <c r="I143" i="24"/>
  <c r="AD158" i="24"/>
  <c r="AF158" i="24" s="1"/>
  <c r="E166" i="24"/>
  <c r="E173" i="24"/>
  <c r="I180" i="24"/>
  <c r="I198" i="24"/>
  <c r="AD197" i="24"/>
  <c r="AF197" i="24" s="1"/>
  <c r="I224" i="24"/>
  <c r="AD264" i="24"/>
  <c r="AF264" i="24" s="1"/>
  <c r="E272" i="24"/>
  <c r="E283" i="24"/>
  <c r="E306" i="24"/>
  <c r="E308" i="24"/>
  <c r="AD315" i="24"/>
  <c r="AE315" i="24" s="1"/>
  <c r="I317" i="24"/>
  <c r="AD317" i="24"/>
  <c r="AF317" i="24" s="1"/>
  <c r="E7" i="24"/>
  <c r="I34" i="24"/>
  <c r="E83" i="24"/>
  <c r="I90" i="24"/>
  <c r="AD97" i="24"/>
  <c r="AF97" i="24" s="1"/>
  <c r="AD106" i="24"/>
  <c r="AF106" i="24" s="1"/>
  <c r="I119" i="24"/>
  <c r="E125" i="24"/>
  <c r="E153" i="24"/>
  <c r="I159" i="24"/>
  <c r="I164" i="24"/>
  <c r="E188" i="24"/>
  <c r="I228" i="24"/>
  <c r="I233" i="24"/>
  <c r="AD238" i="24"/>
  <c r="E241" i="24"/>
  <c r="E261" i="24"/>
  <c r="E263" i="24"/>
  <c r="I268" i="24"/>
  <c r="Z272" i="24"/>
  <c r="I279" i="24"/>
  <c r="AD294" i="24"/>
  <c r="AF294" i="24" s="1"/>
  <c r="AD298" i="24"/>
  <c r="AD46" i="24"/>
  <c r="AE46" i="24" s="1"/>
  <c r="I72" i="24"/>
  <c r="E76" i="24"/>
  <c r="E85" i="24"/>
  <c r="AD89" i="24"/>
  <c r="AF89" i="24" s="1"/>
  <c r="I123" i="24"/>
  <c r="E129" i="24"/>
  <c r="I138" i="24"/>
  <c r="I151" i="24"/>
  <c r="E159" i="24"/>
  <c r="E176" i="24"/>
  <c r="E181" i="24"/>
  <c r="AD211" i="24"/>
  <c r="AF211" i="24" s="1"/>
  <c r="I227" i="24"/>
  <c r="I259" i="24"/>
  <c r="E265" i="24"/>
  <c r="E267" i="24"/>
  <c r="I270" i="24"/>
  <c r="AD270" i="24"/>
  <c r="AF270" i="24" s="1"/>
  <c r="E293" i="24"/>
  <c r="AD99" i="24"/>
  <c r="AF99" i="24" s="1"/>
  <c r="E104" i="24"/>
  <c r="AD110" i="24"/>
  <c r="AF110" i="24" s="1"/>
  <c r="E118" i="24"/>
  <c r="AD125" i="24"/>
  <c r="AF125" i="24" s="1"/>
  <c r="I155" i="24"/>
  <c r="I215" i="24"/>
  <c r="AD219" i="24"/>
  <c r="AF219" i="24" s="1"/>
  <c r="I218" i="24"/>
  <c r="E252" i="24"/>
  <c r="AD259" i="24"/>
  <c r="E278" i="24"/>
  <c r="AD289" i="24"/>
  <c r="AF289" i="24" s="1"/>
  <c r="E295" i="24"/>
  <c r="I312" i="24"/>
  <c r="AD311" i="24"/>
  <c r="AE311" i="24" s="1"/>
  <c r="E43" i="24"/>
  <c r="E236" i="24"/>
  <c r="E279" i="24"/>
  <c r="AD109" i="24"/>
  <c r="AF109" i="24" s="1"/>
  <c r="AE206" i="24"/>
  <c r="AH206" i="24" s="1"/>
  <c r="AD111" i="24"/>
  <c r="AF111" i="24" s="1"/>
  <c r="AD122" i="24"/>
  <c r="AF122" i="24" s="1"/>
  <c r="AD203" i="24"/>
  <c r="AF203" i="24" s="1"/>
  <c r="AD234" i="24"/>
  <c r="AF234" i="24" s="1"/>
  <c r="I14" i="24"/>
  <c r="AD8" i="24"/>
  <c r="AE3" i="24" s="1"/>
  <c r="AH3" i="24" s="1"/>
  <c r="E10" i="24"/>
  <c r="E20" i="24"/>
  <c r="E38" i="24"/>
  <c r="I50" i="24"/>
  <c r="I19" i="24"/>
  <c r="I32" i="24"/>
  <c r="I46" i="24"/>
  <c r="AD13" i="24"/>
  <c r="AF13" i="24" s="1"/>
  <c r="AD16" i="24"/>
  <c r="AF16" i="24" s="1"/>
  <c r="I43" i="24"/>
  <c r="AD52" i="24"/>
  <c r="AF52" i="24" s="1"/>
  <c r="E9" i="24"/>
  <c r="AD43" i="24"/>
  <c r="AF43" i="24" s="1"/>
  <c r="I7" i="24"/>
  <c r="Z46" i="24"/>
  <c r="AD14" i="24"/>
  <c r="AF14" i="24" s="1"/>
  <c r="Z20" i="24"/>
  <c r="Z81" i="24"/>
  <c r="I16" i="24"/>
  <c r="I29" i="24"/>
  <c r="E33" i="24"/>
  <c r="AD36" i="24"/>
  <c r="AF36" i="24" s="1"/>
  <c r="I39" i="24"/>
  <c r="AD41" i="24"/>
  <c r="AF41" i="24" s="1"/>
  <c r="AD48" i="24"/>
  <c r="AF48" i="24" s="1"/>
  <c r="E64" i="24"/>
  <c r="I66" i="24"/>
  <c r="AD74" i="24"/>
  <c r="AF74" i="24" s="1"/>
  <c r="E89" i="24"/>
  <c r="E97" i="24"/>
  <c r="I108" i="24"/>
  <c r="AD112" i="24"/>
  <c r="AF112" i="24" s="1"/>
  <c r="I117" i="24"/>
  <c r="AD117" i="24"/>
  <c r="AF117" i="24" s="1"/>
  <c r="E126" i="24"/>
  <c r="I140" i="24"/>
  <c r="I157" i="24"/>
  <c r="AD157" i="24"/>
  <c r="AF157" i="24" s="1"/>
  <c r="AD162" i="24"/>
  <c r="I189" i="24"/>
  <c r="E197" i="24"/>
  <c r="E209" i="24"/>
  <c r="I230" i="24"/>
  <c r="I237" i="24"/>
  <c r="I245" i="24"/>
  <c r="I254" i="24"/>
  <c r="E258" i="24"/>
  <c r="AD261" i="24"/>
  <c r="AF261" i="24" s="1"/>
  <c r="E280" i="24"/>
  <c r="E291" i="24"/>
  <c r="E302" i="24"/>
  <c r="AD305" i="24"/>
  <c r="AF305" i="24" s="1"/>
  <c r="E309" i="24"/>
  <c r="AD310" i="24"/>
  <c r="AF310" i="24" s="1"/>
  <c r="E314" i="24"/>
  <c r="I316" i="24"/>
  <c r="L1369" i="1"/>
  <c r="AD108" i="24"/>
  <c r="AF108" i="24" s="1"/>
  <c r="E144" i="24"/>
  <c r="E151" i="24"/>
  <c r="E156" i="24"/>
  <c r="AD177" i="24"/>
  <c r="E211" i="24"/>
  <c r="L1367" i="1"/>
  <c r="I24" i="24"/>
  <c r="I33" i="24"/>
  <c r="I47" i="24"/>
  <c r="E51" i="24"/>
  <c r="AD60" i="24"/>
  <c r="I64" i="24"/>
  <c r="I70" i="24"/>
  <c r="E75" i="24"/>
  <c r="E86" i="24"/>
  <c r="AD103" i="24"/>
  <c r="AF103" i="24" s="1"/>
  <c r="AD105" i="24"/>
  <c r="AF105" i="24" s="1"/>
  <c r="E113" i="24"/>
  <c r="E139" i="24"/>
  <c r="E146" i="24"/>
  <c r="I149" i="24"/>
  <c r="E158" i="24"/>
  <c r="I166" i="24"/>
  <c r="E170" i="24"/>
  <c r="AD194" i="24"/>
  <c r="AF194" i="24" s="1"/>
  <c r="I197" i="24"/>
  <c r="E206" i="24"/>
  <c r="I216" i="24"/>
  <c r="AD224" i="24"/>
  <c r="AF224" i="24" s="1"/>
  <c r="AD233" i="24"/>
  <c r="AF233" i="24" s="1"/>
  <c r="I242" i="24"/>
  <c r="E255" i="24"/>
  <c r="I258" i="24"/>
  <c r="AD258" i="24"/>
  <c r="AF258" i="24" s="1"/>
  <c r="E262" i="24"/>
  <c r="I267" i="24"/>
  <c r="I280" i="24"/>
  <c r="E286" i="24"/>
  <c r="AD291" i="24"/>
  <c r="AF291" i="24" s="1"/>
  <c r="I295" i="24"/>
  <c r="I300" i="24"/>
  <c r="I302" i="24"/>
  <c r="I309" i="24"/>
  <c r="E311" i="24"/>
  <c r="I314" i="24"/>
  <c r="AD314" i="24"/>
  <c r="AF314" i="24" s="1"/>
  <c r="L1366" i="1"/>
  <c r="AD76" i="24"/>
  <c r="AF76" i="24" s="1"/>
  <c r="AD91" i="24"/>
  <c r="AF91" i="24" s="1"/>
  <c r="I116" i="24"/>
  <c r="E120" i="24"/>
  <c r="AD151" i="24"/>
  <c r="AF151" i="24" s="1"/>
  <c r="I156" i="24"/>
  <c r="E185" i="24"/>
  <c r="E196" i="24"/>
  <c r="I244" i="24"/>
  <c r="AD251" i="24"/>
  <c r="AF251" i="24" s="1"/>
  <c r="E257" i="24"/>
  <c r="AD267" i="24"/>
  <c r="AF267" i="24" s="1"/>
  <c r="E274" i="24"/>
  <c r="I304" i="24"/>
  <c r="AD304" i="24"/>
  <c r="AE304" i="24" s="1"/>
  <c r="E313" i="24"/>
  <c r="L1372" i="1"/>
  <c r="L1368" i="1"/>
  <c r="AD11" i="24"/>
  <c r="AF11" i="24" s="1"/>
  <c r="E25" i="24"/>
  <c r="I51" i="24"/>
  <c r="E63" i="24"/>
  <c r="AD66" i="24"/>
  <c r="AF66" i="24" s="1"/>
  <c r="I75" i="24"/>
  <c r="AD86" i="24"/>
  <c r="AF86" i="24" s="1"/>
  <c r="I113" i="24"/>
  <c r="AD116" i="24"/>
  <c r="E122" i="24"/>
  <c r="I137" i="24"/>
  <c r="I139" i="24"/>
  <c r="E150" i="24"/>
  <c r="E175" i="24"/>
  <c r="E182" i="24"/>
  <c r="I193" i="24"/>
  <c r="AD193" i="24"/>
  <c r="AF193" i="24" s="1"/>
  <c r="E195" i="24"/>
  <c r="Z208" i="24"/>
  <c r="E217" i="24"/>
  <c r="AD223" i="24"/>
  <c r="E228" i="24"/>
  <c r="AD235" i="24"/>
  <c r="AF235" i="24" s="1"/>
  <c r="E250" i="24"/>
  <c r="I262" i="24"/>
  <c r="E266" i="24"/>
  <c r="Z274" i="24"/>
  <c r="I284" i="24"/>
  <c r="E290" i="24"/>
  <c r="I293" i="24"/>
  <c r="I318" i="24"/>
  <c r="AD318" i="24"/>
  <c r="AF318" i="24" s="1"/>
  <c r="L1371" i="1"/>
  <c r="L1378" i="1"/>
  <c r="AD69" i="24"/>
  <c r="AF69" i="24" s="1"/>
  <c r="I109" i="24"/>
  <c r="AD134" i="24"/>
  <c r="AF134" i="24" s="1"/>
  <c r="AD199" i="24"/>
  <c r="I222" i="24"/>
  <c r="L1370" i="1"/>
  <c r="L1377" i="1"/>
  <c r="E13" i="24"/>
  <c r="AD25" i="24"/>
  <c r="AF25" i="24" s="1"/>
  <c r="E29" i="24"/>
  <c r="AD45" i="24"/>
  <c r="AF45" i="24" s="1"/>
  <c r="I63" i="24"/>
  <c r="I65" i="24"/>
  <c r="AD71" i="24"/>
  <c r="AF71" i="24" s="1"/>
  <c r="E82" i="24"/>
  <c r="I88" i="24"/>
  <c r="Z90" i="24"/>
  <c r="Z98" i="24"/>
  <c r="I106" i="24"/>
  <c r="E108" i="24"/>
  <c r="E133" i="24"/>
  <c r="E140" i="24"/>
  <c r="E157" i="24"/>
  <c r="I182" i="24"/>
  <c r="E189" i="24"/>
  <c r="I195" i="24"/>
  <c r="AD196" i="24"/>
  <c r="AF196" i="24" s="1"/>
  <c r="AD214" i="24"/>
  <c r="AF214" i="24" s="1"/>
  <c r="AD227" i="24"/>
  <c r="AF227" i="24" s="1"/>
  <c r="E245" i="24"/>
  <c r="E285" i="24"/>
  <c r="I292" i="24"/>
  <c r="I308" i="24"/>
  <c r="E310" i="24"/>
  <c r="L1374" i="1"/>
  <c r="L1376" i="1"/>
  <c r="AE219" i="24"/>
  <c r="L1373" i="1"/>
  <c r="L1375" i="1"/>
  <c r="I13" i="24"/>
  <c r="E16" i="24"/>
  <c r="I35" i="24"/>
  <c r="I8" i="24"/>
  <c r="AD9" i="24"/>
  <c r="AF9" i="24" s="1"/>
  <c r="Z19" i="24"/>
  <c r="I18" i="24"/>
  <c r="AD20" i="24"/>
  <c r="I28" i="24"/>
  <c r="Z39" i="24"/>
  <c r="I41" i="24"/>
  <c r="AD47" i="24"/>
  <c r="AF47" i="24" s="1"/>
  <c r="I53" i="24"/>
  <c r="Z55" i="24"/>
  <c r="I60" i="24"/>
  <c r="AD65" i="24"/>
  <c r="AF65" i="24" s="1"/>
  <c r="I69" i="24"/>
  <c r="I79" i="24"/>
  <c r="AD79" i="24"/>
  <c r="I83" i="24"/>
  <c r="I92" i="24"/>
  <c r="E105" i="24"/>
  <c r="Z106" i="24"/>
  <c r="Z108" i="24"/>
  <c r="I114" i="24"/>
  <c r="E127" i="24"/>
  <c r="I133" i="24"/>
  <c r="E135" i="24"/>
  <c r="AD136" i="24"/>
  <c r="E141" i="24"/>
  <c r="I162" i="24"/>
  <c r="Z170" i="24"/>
  <c r="I171" i="24"/>
  <c r="I175" i="24"/>
  <c r="E178" i="24"/>
  <c r="I184" i="24"/>
  <c r="AD190" i="24"/>
  <c r="AE190" i="24" s="1"/>
  <c r="AD198" i="24"/>
  <c r="AE198" i="24" s="1"/>
  <c r="E207" i="24"/>
  <c r="AD208" i="24"/>
  <c r="AE203" i="24" s="1"/>
  <c r="Z211" i="24"/>
  <c r="AD230" i="24"/>
  <c r="AF230" i="24" s="1"/>
  <c r="AD242" i="24"/>
  <c r="AF242" i="24" s="1"/>
  <c r="E247" i="24"/>
  <c r="I253" i="24"/>
  <c r="I261" i="24"/>
  <c r="I269" i="24"/>
  <c r="I275" i="24"/>
  <c r="Z300" i="24"/>
  <c r="AD308" i="24"/>
  <c r="AD319" i="24"/>
  <c r="AF319" i="24" s="1"/>
  <c r="AE8" i="24"/>
  <c r="AH8" i="24" s="1"/>
  <c r="AD240" i="24"/>
  <c r="AF240" i="24" s="1"/>
  <c r="Z247" i="24"/>
  <c r="AD266" i="24"/>
  <c r="AF266" i="24" s="1"/>
  <c r="AD269" i="24"/>
  <c r="E271" i="24"/>
  <c r="E282" i="24"/>
  <c r="I291" i="24"/>
  <c r="AD292" i="24"/>
  <c r="AF292" i="24" s="1"/>
  <c r="AD293" i="24"/>
  <c r="AF293" i="24" s="1"/>
  <c r="AD297" i="24"/>
  <c r="AF297" i="24" s="1"/>
  <c r="E305" i="24"/>
  <c r="Z306" i="24"/>
  <c r="AD312" i="24"/>
  <c r="AF312" i="24" s="1"/>
  <c r="AD313" i="24"/>
  <c r="AF313" i="24" s="1"/>
  <c r="E318" i="24"/>
  <c r="I6" i="24"/>
  <c r="AD7" i="24"/>
  <c r="AF7" i="24" s="1"/>
  <c r="E12" i="24"/>
  <c r="AD19" i="24"/>
  <c r="AF19" i="24" s="1"/>
  <c r="AD40" i="24"/>
  <c r="AE35" i="24" s="1"/>
  <c r="AD42" i="24"/>
  <c r="AF42" i="24" s="1"/>
  <c r="E48" i="24"/>
  <c r="E54" i="24"/>
  <c r="Z59" i="24"/>
  <c r="AD62" i="24"/>
  <c r="AF62" i="24" s="1"/>
  <c r="E66" i="24"/>
  <c r="Z67" i="24"/>
  <c r="AD68" i="24"/>
  <c r="AF68" i="24" s="1"/>
  <c r="E70" i="24"/>
  <c r="Z71" i="24"/>
  <c r="AD72" i="24"/>
  <c r="AF72" i="24" s="1"/>
  <c r="E74" i="24"/>
  <c r="AD78" i="24"/>
  <c r="AF78" i="24" s="1"/>
  <c r="I82" i="24"/>
  <c r="AD92" i="24"/>
  <c r="AE92" i="24" s="1"/>
  <c r="E94" i="24"/>
  <c r="Z100" i="24"/>
  <c r="AD101" i="24"/>
  <c r="AE101" i="24" s="1"/>
  <c r="AH101" i="24" s="1"/>
  <c r="AD115" i="24"/>
  <c r="AF115" i="24" s="1"/>
  <c r="I127" i="24"/>
  <c r="AD127" i="24"/>
  <c r="AF127" i="24" s="1"/>
  <c r="I141" i="24"/>
  <c r="E143" i="24"/>
  <c r="E149" i="24"/>
  <c r="I153" i="24"/>
  <c r="AD153" i="24"/>
  <c r="E169" i="24"/>
  <c r="E191" i="24"/>
  <c r="I192" i="24"/>
  <c r="I207" i="24"/>
  <c r="AD207" i="24"/>
  <c r="AF207" i="24" s="1"/>
  <c r="I221" i="24"/>
  <c r="AD221" i="24"/>
  <c r="AD228" i="24"/>
  <c r="AF228" i="24" s="1"/>
  <c r="E230" i="24"/>
  <c r="E232" i="24"/>
  <c r="E234" i="24"/>
  <c r="I240" i="24"/>
  <c r="AD241" i="24"/>
  <c r="AE236" i="24" s="1"/>
  <c r="I263" i="24"/>
  <c r="Z271" i="24"/>
  <c r="AD279" i="24"/>
  <c r="AF279" i="24" s="1"/>
  <c r="E284" i="24"/>
  <c r="Z290" i="24"/>
  <c r="AD303" i="24"/>
  <c r="AF303" i="24" s="1"/>
  <c r="I306" i="24"/>
  <c r="AD6" i="24"/>
  <c r="AF6" i="24" s="1"/>
  <c r="AD27" i="24"/>
  <c r="AF27" i="24" s="1"/>
  <c r="AD38" i="24"/>
  <c r="AF38" i="24" s="1"/>
  <c r="AD39" i="24"/>
  <c r="AE39" i="24" s="1"/>
  <c r="AD49" i="24"/>
  <c r="AF49" i="24" s="1"/>
  <c r="I52" i="24"/>
  <c r="I59" i="24"/>
  <c r="E61" i="24"/>
  <c r="AD95" i="24"/>
  <c r="I100" i="24"/>
  <c r="I105" i="24"/>
  <c r="AD113" i="24"/>
  <c r="AE113" i="24" s="1"/>
  <c r="AD114" i="24"/>
  <c r="AF114" i="24" s="1"/>
  <c r="E137" i="24"/>
  <c r="AD174" i="24"/>
  <c r="AF174" i="24" s="1"/>
  <c r="AD180" i="24"/>
  <c r="AE175" i="24" s="1"/>
  <c r="I186" i="24"/>
  <c r="AD186" i="24"/>
  <c r="AF186" i="24" s="1"/>
  <c r="AD192" i="24"/>
  <c r="I200" i="24"/>
  <c r="I202" i="24"/>
  <c r="I220" i="24"/>
  <c r="I225" i="24"/>
  <c r="AD226" i="24"/>
  <c r="AF226" i="24" s="1"/>
  <c r="E246" i="24"/>
  <c r="AD252" i="24"/>
  <c r="AF252" i="24" s="1"/>
  <c r="E254" i="24"/>
  <c r="AD260" i="24"/>
  <c r="AF260" i="24" s="1"/>
  <c r="AD263" i="24"/>
  <c r="AF263" i="24" s="1"/>
  <c r="AD268" i="24"/>
  <c r="AF268" i="24" s="1"/>
  <c r="AD273" i="24"/>
  <c r="AF273" i="24" s="1"/>
  <c r="AD277" i="24"/>
  <c r="AF277" i="24" s="1"/>
  <c r="I290" i="24"/>
  <c r="AD296" i="24"/>
  <c r="AF296" i="24" s="1"/>
  <c r="I311" i="24"/>
  <c r="AD24" i="24"/>
  <c r="AF24" i="24" s="1"/>
  <c r="I36" i="24"/>
  <c r="E44" i="24"/>
  <c r="I48" i="24"/>
  <c r="I54" i="24"/>
  <c r="E56" i="24"/>
  <c r="AD67" i="24"/>
  <c r="AF67" i="24" s="1"/>
  <c r="I71" i="24"/>
  <c r="I77" i="24"/>
  <c r="I81" i="24"/>
  <c r="I99" i="24"/>
  <c r="AD100" i="24"/>
  <c r="AF100" i="24" s="1"/>
  <c r="E117" i="24"/>
  <c r="Z118" i="24"/>
  <c r="I122" i="24"/>
  <c r="I129" i="24"/>
  <c r="AD129" i="24"/>
  <c r="AF129" i="24" s="1"/>
  <c r="E131" i="24"/>
  <c r="AD149" i="24"/>
  <c r="AF149" i="24" s="1"/>
  <c r="E155" i="24"/>
  <c r="E160" i="24"/>
  <c r="E168" i="24"/>
  <c r="I169" i="24"/>
  <c r="AD169" i="24"/>
  <c r="AF169" i="24" s="1"/>
  <c r="E179" i="24"/>
  <c r="Z182" i="24"/>
  <c r="I191" i="24"/>
  <c r="AD191" i="24"/>
  <c r="AE186" i="24" s="1"/>
  <c r="I196" i="24"/>
  <c r="E199" i="24"/>
  <c r="I203" i="24"/>
  <c r="I205" i="24"/>
  <c r="E208" i="24"/>
  <c r="Z209" i="24"/>
  <c r="AD213" i="24"/>
  <c r="AF213" i="24" s="1"/>
  <c r="I217" i="24"/>
  <c r="Z219" i="24"/>
  <c r="E242" i="24"/>
  <c r="I257" i="24"/>
  <c r="I265" i="24"/>
  <c r="I276" i="24"/>
  <c r="AD276" i="24"/>
  <c r="AF276" i="24" s="1"/>
  <c r="AD290" i="24"/>
  <c r="AF290" i="24" s="1"/>
  <c r="E292" i="24"/>
  <c r="E294" i="24"/>
  <c r="E298" i="24"/>
  <c r="E304" i="24"/>
  <c r="AD307" i="24"/>
  <c r="AF307" i="24" s="1"/>
  <c r="S319" i="24"/>
  <c r="T319" i="24" s="1"/>
  <c r="U319" i="24" s="1"/>
  <c r="I11" i="24"/>
  <c r="I23" i="24"/>
  <c r="E35" i="24"/>
  <c r="AE36" i="24"/>
  <c r="E47" i="24"/>
  <c r="AD50" i="24"/>
  <c r="AF50" i="24" s="1"/>
  <c r="AD54" i="24"/>
  <c r="AF54" i="24" s="1"/>
  <c r="AD61" i="24"/>
  <c r="AE61" i="24" s="1"/>
  <c r="E65" i="24"/>
  <c r="E69" i="24"/>
  <c r="AE69" i="24"/>
  <c r="E73" i="24"/>
  <c r="AD90" i="24"/>
  <c r="AF90" i="24" s="1"/>
  <c r="I104" i="24"/>
  <c r="I118" i="24"/>
  <c r="AD119" i="24"/>
  <c r="AF119" i="24" s="1"/>
  <c r="AD123" i="24"/>
  <c r="AE118" i="24" s="1"/>
  <c r="AD126" i="24"/>
  <c r="AD140" i="24"/>
  <c r="AF140" i="24" s="1"/>
  <c r="E145" i="24"/>
  <c r="I173" i="24"/>
  <c r="I177" i="24"/>
  <c r="AD188" i="24"/>
  <c r="AF188" i="24" s="1"/>
  <c r="E193" i="24"/>
  <c r="E200" i="24"/>
  <c r="AD202" i="24"/>
  <c r="AF202" i="24" s="1"/>
  <c r="AD204" i="24"/>
  <c r="AF204" i="24" s="1"/>
  <c r="E212" i="24"/>
  <c r="E216" i="24"/>
  <c r="I219" i="24"/>
  <c r="E226" i="24"/>
  <c r="E248" i="24"/>
  <c r="AD249" i="24"/>
  <c r="AF249" i="24" s="1"/>
  <c r="E256" i="24"/>
  <c r="AD257" i="24"/>
  <c r="AF257" i="24" s="1"/>
  <c r="AD262" i="24"/>
  <c r="AE262" i="24" s="1"/>
  <c r="E264" i="24"/>
  <c r="AD265" i="24"/>
  <c r="AE265" i="24" s="1"/>
  <c r="AD272" i="24"/>
  <c r="AF272" i="24" s="1"/>
  <c r="E275" i="24"/>
  <c r="E288" i="24"/>
  <c r="I289" i="24"/>
  <c r="I310" i="24"/>
  <c r="AE310" i="24"/>
  <c r="E68" i="24"/>
  <c r="AD70" i="24"/>
  <c r="AF70" i="24" s="1"/>
  <c r="AD94" i="24"/>
  <c r="AF94" i="24" s="1"/>
  <c r="I103" i="24"/>
  <c r="I110" i="24"/>
  <c r="AD155" i="24"/>
  <c r="AF155" i="24" s="1"/>
  <c r="AE231" i="24"/>
  <c r="AH231" i="24" s="1"/>
  <c r="AD10" i="24"/>
  <c r="AE44" i="24"/>
  <c r="AD56" i="24"/>
  <c r="AF56" i="24" s="1"/>
  <c r="I87" i="24"/>
  <c r="AD88" i="24"/>
  <c r="AD121" i="24"/>
  <c r="E147" i="24"/>
  <c r="I176" i="24"/>
  <c r="AD179" i="24"/>
  <c r="AF179" i="24" s="1"/>
  <c r="AD201" i="24"/>
  <c r="AF201" i="24" s="1"/>
  <c r="AE229" i="24"/>
  <c r="AD232" i="24"/>
  <c r="AF232" i="24" s="1"/>
  <c r="I264" i="24"/>
  <c r="I301" i="24"/>
  <c r="AD22" i="24"/>
  <c r="AF22" i="24" s="1"/>
  <c r="AD23" i="24"/>
  <c r="AF23" i="24" s="1"/>
  <c r="AD18" i="24"/>
  <c r="AF18" i="24" s="1"/>
  <c r="AD26" i="24"/>
  <c r="AF26" i="24" s="1"/>
  <c r="AD29" i="24"/>
  <c r="AF29" i="24" s="1"/>
  <c r="AD31" i="24"/>
  <c r="AF31" i="24" s="1"/>
  <c r="Z21" i="24"/>
  <c r="I26" i="24"/>
  <c r="AD28" i="24"/>
  <c r="AF28" i="24" s="1"/>
  <c r="AD32" i="24"/>
  <c r="AF32" i="24" s="1"/>
  <c r="AD17" i="24"/>
  <c r="AF17" i="24" s="1"/>
  <c r="AD21" i="24"/>
  <c r="AF21" i="24" s="1"/>
  <c r="I25" i="24"/>
  <c r="AD30" i="24"/>
  <c r="AF30" i="24" s="1"/>
  <c r="I31" i="24"/>
  <c r="AD34" i="24"/>
  <c r="AF34" i="24" s="1"/>
  <c r="I21" i="24"/>
  <c r="AD33" i="24"/>
  <c r="Z36" i="24"/>
  <c r="E40" i="24"/>
  <c r="Z42" i="24"/>
  <c r="Z53" i="24"/>
  <c r="Z57" i="24"/>
  <c r="Z63" i="24"/>
  <c r="E42" i="24"/>
  <c r="Z47" i="24"/>
  <c r="Z51" i="24"/>
  <c r="E52" i="24"/>
  <c r="AD53" i="24"/>
  <c r="AF53" i="24" s="1"/>
  <c r="AD57" i="24"/>
  <c r="AF57" i="24" s="1"/>
  <c r="AD63" i="24"/>
  <c r="AD84" i="24"/>
  <c r="AF84" i="24" s="1"/>
  <c r="AD58" i="24"/>
  <c r="AF58" i="24" s="1"/>
  <c r="AD64" i="24"/>
  <c r="AF64" i="24" s="1"/>
  <c r="Z93" i="24"/>
  <c r="AD55" i="24"/>
  <c r="AE55" i="24" s="1"/>
  <c r="AD59" i="24"/>
  <c r="AF59" i="24" s="1"/>
  <c r="I61" i="24"/>
  <c r="Z61" i="24"/>
  <c r="I94" i="24"/>
  <c r="I91" i="24"/>
  <c r="E46" i="24"/>
  <c r="E58" i="24"/>
  <c r="I73" i="24"/>
  <c r="I76" i="24"/>
  <c r="I78" i="24"/>
  <c r="AD83" i="24"/>
  <c r="AF83" i="24" s="1"/>
  <c r="E93" i="24"/>
  <c r="E90" i="24"/>
  <c r="I95" i="24"/>
  <c r="Z95" i="24"/>
  <c r="Z103" i="24"/>
  <c r="AD73" i="24"/>
  <c r="AF73" i="24" s="1"/>
  <c r="AD82" i="24"/>
  <c r="AF82" i="24" s="1"/>
  <c r="AD81" i="24"/>
  <c r="AF81" i="24" s="1"/>
  <c r="I84" i="24"/>
  <c r="AD87" i="24"/>
  <c r="AF87" i="24" s="1"/>
  <c r="Z117" i="24"/>
  <c r="I121" i="24"/>
  <c r="AD80" i="24"/>
  <c r="AF80" i="24" s="1"/>
  <c r="Z109" i="24"/>
  <c r="AE97" i="24"/>
  <c r="AD77" i="24"/>
  <c r="AF77" i="24" s="1"/>
  <c r="AD85" i="24"/>
  <c r="Z94" i="24"/>
  <c r="I111" i="24"/>
  <c r="AD143" i="24"/>
  <c r="AF143" i="24" s="1"/>
  <c r="AD142" i="24"/>
  <c r="AF142" i="24" s="1"/>
  <c r="I147" i="24"/>
  <c r="I144" i="24"/>
  <c r="Z166" i="24"/>
  <c r="Z111" i="24"/>
  <c r="Z119" i="24"/>
  <c r="AD128" i="24"/>
  <c r="AF128" i="24" s="1"/>
  <c r="AD130" i="24"/>
  <c r="AD132" i="24"/>
  <c r="AF132" i="24" s="1"/>
  <c r="AD145" i="24"/>
  <c r="AF145" i="24" s="1"/>
  <c r="AD144" i="24"/>
  <c r="AF144" i="24" s="1"/>
  <c r="I160" i="24"/>
  <c r="I163" i="24"/>
  <c r="AD164" i="24"/>
  <c r="AF164" i="24" s="1"/>
  <c r="AD168" i="24"/>
  <c r="AF168" i="24" s="1"/>
  <c r="AD166" i="24"/>
  <c r="AF166" i="24" s="1"/>
  <c r="AD181" i="24"/>
  <c r="AF181" i="24" s="1"/>
  <c r="AD183" i="24"/>
  <c r="AE183" i="24" s="1"/>
  <c r="AD137" i="24"/>
  <c r="AF137" i="24" s="1"/>
  <c r="AD147" i="24"/>
  <c r="AF147" i="24" s="1"/>
  <c r="AD146" i="24"/>
  <c r="AF146" i="24" s="1"/>
  <c r="AD163" i="24"/>
  <c r="AE158" i="24" s="1"/>
  <c r="AD173" i="24"/>
  <c r="AF173" i="24" s="1"/>
  <c r="E95" i="24"/>
  <c r="E103" i="24"/>
  <c r="E111" i="24"/>
  <c r="E119" i="24"/>
  <c r="I134" i="24"/>
  <c r="AD138" i="24"/>
  <c r="AF138" i="24" s="1"/>
  <c r="E165" i="24"/>
  <c r="E162" i="24"/>
  <c r="AD133" i="24"/>
  <c r="AF133" i="24" s="1"/>
  <c r="I170" i="24"/>
  <c r="I167" i="24"/>
  <c r="AD171" i="24"/>
  <c r="AF171" i="24" s="1"/>
  <c r="AD124" i="24"/>
  <c r="AF124" i="24" s="1"/>
  <c r="I126" i="24"/>
  <c r="I128" i="24"/>
  <c r="I130" i="24"/>
  <c r="I132" i="24"/>
  <c r="AD139" i="24"/>
  <c r="AE139" i="24" s="1"/>
  <c r="AD185" i="24"/>
  <c r="AE185" i="24" s="1"/>
  <c r="AD96" i="24"/>
  <c r="E98" i="24"/>
  <c r="AD104" i="24"/>
  <c r="AF104" i="24" s="1"/>
  <c r="E106" i="24"/>
  <c r="E114" i="24"/>
  <c r="AD120" i="24"/>
  <c r="I136" i="24"/>
  <c r="Z178" i="24"/>
  <c r="E91" i="24"/>
  <c r="E99" i="24"/>
  <c r="E107" i="24"/>
  <c r="E115" i="24"/>
  <c r="E123" i="24"/>
  <c r="AD135" i="24"/>
  <c r="AE135" i="24" s="1"/>
  <c r="AH135" i="24" s="1"/>
  <c r="AD141" i="24"/>
  <c r="AF141" i="24" s="1"/>
  <c r="I145" i="24"/>
  <c r="I142" i="24"/>
  <c r="AD178" i="24"/>
  <c r="AF178" i="24" s="1"/>
  <c r="E167" i="24"/>
  <c r="AD167" i="24"/>
  <c r="AF167" i="24" s="1"/>
  <c r="AD172" i="24"/>
  <c r="AE172" i="24" s="1"/>
  <c r="I174" i="24"/>
  <c r="E183" i="24"/>
  <c r="AE237" i="24"/>
  <c r="I146" i="24"/>
  <c r="I148" i="24"/>
  <c r="AD148" i="24"/>
  <c r="AF148" i="24" s="1"/>
  <c r="I150" i="24"/>
  <c r="AD150" i="24"/>
  <c r="AF150" i="24" s="1"/>
  <c r="I152" i="24"/>
  <c r="AD152" i="24"/>
  <c r="AE152" i="24" s="1"/>
  <c r="I154" i="24"/>
  <c r="AD154" i="24"/>
  <c r="AF154" i="24" s="1"/>
  <c r="AD156" i="24"/>
  <c r="AF156" i="24" s="1"/>
  <c r="I158" i="24"/>
  <c r="I168" i="24"/>
  <c r="E177" i="24"/>
  <c r="I179" i="24"/>
  <c r="AD182" i="24"/>
  <c r="E213" i="24"/>
  <c r="E210" i="24"/>
  <c r="E161" i="24"/>
  <c r="E171" i="24"/>
  <c r="AD176" i="24"/>
  <c r="AF176" i="24" s="1"/>
  <c r="I178" i="24"/>
  <c r="AD184" i="24"/>
  <c r="AE184" i="24" s="1"/>
  <c r="AD187" i="24"/>
  <c r="AF187" i="24" s="1"/>
  <c r="Z207" i="24"/>
  <c r="AD160" i="24"/>
  <c r="AE160" i="24" s="1"/>
  <c r="AD161" i="24"/>
  <c r="AF161" i="24" s="1"/>
  <c r="AE170" i="24"/>
  <c r="I172" i="24"/>
  <c r="E163" i="24"/>
  <c r="AD218" i="24"/>
  <c r="AF218" i="24" s="1"/>
  <c r="E218" i="24"/>
  <c r="E221" i="24"/>
  <c r="E222" i="24"/>
  <c r="E225" i="24"/>
  <c r="AD285" i="24"/>
  <c r="AD286" i="24"/>
  <c r="AF286" i="24" s="1"/>
  <c r="AD212" i="24"/>
  <c r="AF212" i="24" s="1"/>
  <c r="I213" i="24"/>
  <c r="AD216" i="24"/>
  <c r="AF216" i="24" s="1"/>
  <c r="Z217" i="24"/>
  <c r="AD215" i="24"/>
  <c r="AF215" i="24" s="1"/>
  <c r="Z221" i="24"/>
  <c r="Z225" i="24"/>
  <c r="AD209" i="24"/>
  <c r="AF209" i="24" s="1"/>
  <c r="I212" i="24"/>
  <c r="AD217" i="24"/>
  <c r="AF217" i="24" s="1"/>
  <c r="E224" i="24"/>
  <c r="E227" i="24"/>
  <c r="AD248" i="24"/>
  <c r="AD255" i="24"/>
  <c r="AD210" i="24"/>
  <c r="AF210" i="24" s="1"/>
  <c r="I211" i="24"/>
  <c r="E220" i="24"/>
  <c r="E223" i="24"/>
  <c r="E214" i="24"/>
  <c r="I238" i="24"/>
  <c r="I241" i="24"/>
  <c r="Z245" i="24"/>
  <c r="I251" i="24"/>
  <c r="Z239" i="24"/>
  <c r="AD250" i="24"/>
  <c r="AF250" i="24" s="1"/>
  <c r="E229" i="24"/>
  <c r="E231" i="24"/>
  <c r="E233" i="24"/>
  <c r="E235" i="24"/>
  <c r="E237" i="24"/>
  <c r="E239" i="24"/>
  <c r="AD246" i="24"/>
  <c r="I247" i="24"/>
  <c r="AD245" i="24"/>
  <c r="AF245" i="24" s="1"/>
  <c r="E240" i="24"/>
  <c r="I255" i="24"/>
  <c r="AD239" i="24"/>
  <c r="AF239" i="24" s="1"/>
  <c r="E244" i="24"/>
  <c r="AD244" i="24"/>
  <c r="AF244" i="24" s="1"/>
  <c r="AD253" i="24"/>
  <c r="AE253" i="24" s="1"/>
  <c r="AD254" i="24"/>
  <c r="AF254" i="24" s="1"/>
  <c r="AE263" i="24"/>
  <c r="E276" i="24"/>
  <c r="E273" i="24"/>
  <c r="Z280" i="24"/>
  <c r="AD282" i="24"/>
  <c r="AF282" i="24" s="1"/>
  <c r="AD247" i="24"/>
  <c r="AE247" i="24" s="1"/>
  <c r="I249" i="24"/>
  <c r="AD274" i="24"/>
  <c r="AF274" i="24" s="1"/>
  <c r="Z278" i="24"/>
  <c r="AD283" i="24"/>
  <c r="AF283" i="24" s="1"/>
  <c r="AD284" i="24"/>
  <c r="AF284" i="24" s="1"/>
  <c r="AD275" i="24"/>
  <c r="AF275" i="24" s="1"/>
  <c r="AD278" i="24"/>
  <c r="AF278" i="24" s="1"/>
  <c r="I285" i="24"/>
  <c r="I288" i="24"/>
  <c r="AD287" i="24"/>
  <c r="AF287" i="24" s="1"/>
  <c r="AD288" i="24"/>
  <c r="AE288" i="24" s="1"/>
  <c r="Z294" i="24"/>
  <c r="E300" i="24"/>
  <c r="E297" i="24"/>
  <c r="I274" i="24"/>
  <c r="I278" i="24"/>
  <c r="AD280" i="24"/>
  <c r="AF280" i="24" s="1"/>
  <c r="AD281" i="24"/>
  <c r="AF281" i="24" s="1"/>
  <c r="I283" i="24"/>
  <c r="I286" i="24"/>
  <c r="Z289" i="24"/>
  <c r="Z296" i="24"/>
  <c r="E299" i="24"/>
  <c r="AD302" i="24"/>
  <c r="AF302" i="24" s="1"/>
  <c r="Z304" i="24"/>
  <c r="AH304" i="24" s="1"/>
  <c r="AD295" i="24"/>
  <c r="AE290" i="24" s="1"/>
  <c r="I298" i="24"/>
  <c r="W320" i="24"/>
  <c r="AG320" i="24" s="1"/>
  <c r="U320" i="24"/>
  <c r="AD300" i="24"/>
  <c r="AE300" i="24" s="1"/>
  <c r="E301" i="24"/>
  <c r="AD301" i="24"/>
  <c r="AE301" i="24" s="1"/>
  <c r="Z302" i="24"/>
  <c r="Z308" i="24"/>
  <c r="Z318" i="24"/>
  <c r="Z319" i="24"/>
  <c r="AH319" i="24" s="1"/>
  <c r="Z320" i="24"/>
  <c r="AH320" i="24" s="1"/>
  <c r="AE251" i="24" l="1"/>
  <c r="AH139" i="24"/>
  <c r="AH236" i="24"/>
  <c r="AE111" i="24"/>
  <c r="AH111" i="24" s="1"/>
  <c r="AF163" i="24"/>
  <c r="AF139" i="24"/>
  <c r="AE131" i="24"/>
  <c r="AH131" i="24" s="1"/>
  <c r="AE106" i="24"/>
  <c r="AH106" i="24" s="1"/>
  <c r="AF123" i="24"/>
  <c r="D64" i="32"/>
  <c r="E64" i="32" s="1"/>
  <c r="F64" i="32" s="1"/>
  <c r="AE298" i="24"/>
  <c r="AE238" i="24"/>
  <c r="AF295" i="24"/>
  <c r="AE85" i="24"/>
  <c r="AE116" i="24"/>
  <c r="AE74" i="24"/>
  <c r="AH74" i="24" s="1"/>
  <c r="AH316" i="24"/>
  <c r="AE259" i="24"/>
  <c r="AH259" i="24" s="1"/>
  <c r="AE246" i="24"/>
  <c r="AE199" i="24"/>
  <c r="AH199" i="24" s="1"/>
  <c r="AE88" i="24"/>
  <c r="AH113" i="24"/>
  <c r="AE153" i="24"/>
  <c r="AE303" i="24"/>
  <c r="AH303" i="24" s="1"/>
  <c r="AH175" i="24"/>
  <c r="AF180" i="24"/>
  <c r="AE126" i="24"/>
  <c r="AE285" i="24"/>
  <c r="AH285" i="24" s="1"/>
  <c r="AE243" i="24"/>
  <c r="AH265" i="24"/>
  <c r="AE192" i="24"/>
  <c r="AE221" i="24"/>
  <c r="AH221" i="24" s="1"/>
  <c r="AE264" i="24"/>
  <c r="AF191" i="24"/>
  <c r="AE120" i="24"/>
  <c r="AH120" i="24" s="1"/>
  <c r="AH44" i="24"/>
  <c r="AH317" i="24"/>
  <c r="AF8" i="24"/>
  <c r="AF304" i="24"/>
  <c r="AF198" i="24"/>
  <c r="AF301" i="24"/>
  <c r="AF269" i="24"/>
  <c r="AF253" i="24"/>
  <c r="AF247" i="24"/>
  <c r="AF79" i="24"/>
  <c r="AF61" i="24"/>
  <c r="AF39" i="24"/>
  <c r="AF185" i="24"/>
  <c r="AE15" i="24"/>
  <c r="AH15" i="24" s="1"/>
  <c r="AE98" i="24"/>
  <c r="AH98" i="24" s="1"/>
  <c r="AE223" i="24"/>
  <c r="AH223" i="24" s="1"/>
  <c r="AE233" i="24"/>
  <c r="AH233" i="24" s="1"/>
  <c r="AE107" i="24"/>
  <c r="AH107" i="24" s="1"/>
  <c r="AE5" i="24"/>
  <c r="AH5" i="24" s="1"/>
  <c r="AF5" i="24"/>
  <c r="AF92" i="24"/>
  <c r="AF40" i="24"/>
  <c r="AF315" i="24"/>
  <c r="AF285" i="24"/>
  <c r="AF223" i="24"/>
  <c r="AF183" i="24"/>
  <c r="AF153" i="24"/>
  <c r="AF121" i="24"/>
  <c r="AF113" i="24"/>
  <c r="W319" i="24"/>
  <c r="AG319" i="24" s="1"/>
  <c r="AI319" i="24" s="1"/>
  <c r="AE125" i="24"/>
  <c r="AH125" i="24" s="1"/>
  <c r="AE10" i="24"/>
  <c r="AH10" i="24" s="1"/>
  <c r="AE235" i="24"/>
  <c r="AH235" i="24" s="1"/>
  <c r="AE112" i="24"/>
  <c r="AH112" i="24" s="1"/>
  <c r="AE33" i="24"/>
  <c r="AE289" i="24"/>
  <c r="AH289" i="24" s="1"/>
  <c r="AH118" i="24"/>
  <c r="AH186" i="24"/>
  <c r="AE95" i="24"/>
  <c r="AE157" i="24"/>
  <c r="AH157" i="24" s="1"/>
  <c r="AE102" i="24"/>
  <c r="AH102" i="24" s="1"/>
  <c r="AF130" i="24"/>
  <c r="AF102" i="24"/>
  <c r="AF192" i="24"/>
  <c r="AF259" i="24"/>
  <c r="AF308" i="24"/>
  <c r="AE164" i="24"/>
  <c r="AE165" i="24"/>
  <c r="AH165" i="24" s="1"/>
  <c r="AF288" i="24"/>
  <c r="AF208" i="24"/>
  <c r="AF221" i="24"/>
  <c r="AF10" i="24"/>
  <c r="AF135" i="24"/>
  <c r="AF55" i="24"/>
  <c r="D63" i="32"/>
  <c r="C63" i="32"/>
  <c r="AE255" i="24"/>
  <c r="AH310" i="24"/>
  <c r="AE60" i="24"/>
  <c r="AH60" i="24" s="1"/>
  <c r="AF152" i="24"/>
  <c r="AF136" i="24"/>
  <c r="AF120" i="24"/>
  <c r="AF88" i="24"/>
  <c r="AF265" i="24"/>
  <c r="AF101" i="24"/>
  <c r="AF298" i="24"/>
  <c r="AF220" i="24"/>
  <c r="AF172" i="24"/>
  <c r="AF300" i="24"/>
  <c r="AE216" i="24"/>
  <c r="AH216" i="24" s="1"/>
  <c r="S318" i="24"/>
  <c r="S317" i="24" s="1"/>
  <c r="AE34" i="24"/>
  <c r="AH69" i="24"/>
  <c r="AE81" i="24"/>
  <c r="AH81" i="24" s="1"/>
  <c r="AH264" i="24"/>
  <c r="AE117" i="24"/>
  <c r="AH117" i="24" s="1"/>
  <c r="D73" i="32"/>
  <c r="E73" i="32" s="1"/>
  <c r="F73" i="32" s="1"/>
  <c r="AF238" i="24"/>
  <c r="AF46" i="24"/>
  <c r="AF20" i="24"/>
  <c r="AF311" i="24"/>
  <c r="AF241" i="24"/>
  <c r="AF95" i="24"/>
  <c r="AF85" i="24"/>
  <c r="AF33" i="24"/>
  <c r="AF262" i="24"/>
  <c r="AF184" i="24"/>
  <c r="AE274" i="24"/>
  <c r="AH274" i="24" s="1"/>
  <c r="AE302" i="24"/>
  <c r="AH302" i="24" s="1"/>
  <c r="AH246" i="24"/>
  <c r="AE277" i="24"/>
  <c r="AH277" i="24" s="1"/>
  <c r="AE286" i="24"/>
  <c r="AH286" i="24" s="1"/>
  <c r="AE177" i="24"/>
  <c r="AH177" i="24" s="1"/>
  <c r="AE96" i="24"/>
  <c r="AH96" i="24" s="1"/>
  <c r="AE57" i="24"/>
  <c r="AE110" i="24"/>
  <c r="AE214" i="24"/>
  <c r="AH214" i="24" s="1"/>
  <c r="AE306" i="24"/>
  <c r="AE105" i="24"/>
  <c r="AH105" i="24" s="1"/>
  <c r="AE93" i="24"/>
  <c r="AH93" i="24" s="1"/>
  <c r="AF160" i="24"/>
  <c r="AF126" i="24"/>
  <c r="AF96" i="24"/>
  <c r="AF200" i="24"/>
  <c r="AF60" i="24"/>
  <c r="AF248" i="24"/>
  <c r="AF255" i="24"/>
  <c r="AF182" i="24"/>
  <c r="AF93" i="24"/>
  <c r="AF190" i="24"/>
  <c r="AF246" i="24"/>
  <c r="C78" i="32"/>
  <c r="AH251" i="24"/>
  <c r="AH238" i="24"/>
  <c r="AE71" i="24"/>
  <c r="AH71" i="24" s="1"/>
  <c r="AH298" i="24"/>
  <c r="AH288" i="24"/>
  <c r="AE284" i="24"/>
  <c r="AH284" i="24" s="1"/>
  <c r="AE244" i="24"/>
  <c r="AH244" i="24" s="1"/>
  <c r="AE150" i="24"/>
  <c r="AH150" i="24" s="1"/>
  <c r="AH126" i="24"/>
  <c r="AE73" i="24"/>
  <c r="AH73" i="24" s="1"/>
  <c r="AE83" i="24"/>
  <c r="AH83" i="24" s="1"/>
  <c r="AH57" i="24"/>
  <c r="AH203" i="24"/>
  <c r="AE191" i="24"/>
  <c r="AH220" i="24"/>
  <c r="AH192" i="24"/>
  <c r="AH127" i="24"/>
  <c r="AE7" i="24"/>
  <c r="AH7" i="24" s="1"/>
  <c r="AE293" i="24"/>
  <c r="AH293" i="24" s="1"/>
  <c r="AH262" i="24"/>
  <c r="AE309" i="24"/>
  <c r="AH309" i="24" s="1"/>
  <c r="AE200" i="24"/>
  <c r="AH198" i="24"/>
  <c r="AH185" i="24"/>
  <c r="AH229" i="24"/>
  <c r="AE4" i="24"/>
  <c r="AH4" i="24" s="1"/>
  <c r="AH191" i="24"/>
  <c r="AH290" i="24"/>
  <c r="AH263" i="24"/>
  <c r="AH55" i="24"/>
  <c r="AE280" i="24"/>
  <c r="AH280" i="24" s="1"/>
  <c r="AE215" i="24"/>
  <c r="AH215" i="24" s="1"/>
  <c r="AE187" i="24"/>
  <c r="AH187" i="24" s="1"/>
  <c r="AE127" i="24"/>
  <c r="AE64" i="24"/>
  <c r="AH64" i="24" s="1"/>
  <c r="AE174" i="24"/>
  <c r="AH174" i="24" s="1"/>
  <c r="AE70" i="24"/>
  <c r="AH70" i="24" s="1"/>
  <c r="AE169" i="24"/>
  <c r="AH169" i="24" s="1"/>
  <c r="AH200" i="24"/>
  <c r="AE299" i="24"/>
  <c r="AH299" i="24" s="1"/>
  <c r="AH195" i="24"/>
  <c r="AE224" i="24"/>
  <c r="AH224" i="24" s="1"/>
  <c r="AH33" i="24"/>
  <c r="AH34" i="24"/>
  <c r="AH85" i="24"/>
  <c r="AH97" i="24"/>
  <c r="AH318" i="24"/>
  <c r="AH301" i="24"/>
  <c r="AH219" i="24"/>
  <c r="AH306" i="24"/>
  <c r="AH253" i="24"/>
  <c r="AH170" i="24"/>
  <c r="AH183" i="24"/>
  <c r="AH172" i="24"/>
  <c r="AH158" i="24"/>
  <c r="AH116" i="24"/>
  <c r="AH88" i="24"/>
  <c r="AE197" i="24"/>
  <c r="AH197" i="24" s="1"/>
  <c r="AE202" i="24"/>
  <c r="AH202" i="24" s="1"/>
  <c r="AH255" i="24"/>
  <c r="AE209" i="24"/>
  <c r="AH209" i="24" s="1"/>
  <c r="AH95" i="24"/>
  <c r="AE178" i="24"/>
  <c r="AH178" i="24" s="1"/>
  <c r="AH110" i="24"/>
  <c r="AE287" i="24"/>
  <c r="AH287" i="24" s="1"/>
  <c r="AE217" i="24"/>
  <c r="AH217" i="24" s="1"/>
  <c r="AH152" i="24"/>
  <c r="AE140" i="24"/>
  <c r="AH140" i="24" s="1"/>
  <c r="AH311" i="24"/>
  <c r="AH46" i="24"/>
  <c r="AH164" i="24"/>
  <c r="AH266" i="24"/>
  <c r="AE148" i="24"/>
  <c r="AH148" i="24" s="1"/>
  <c r="AH153" i="24"/>
  <c r="AH92" i="24"/>
  <c r="AE273" i="24"/>
  <c r="AH273" i="24" s="1"/>
  <c r="AE180" i="24"/>
  <c r="AH180" i="24" s="1"/>
  <c r="AE159" i="24"/>
  <c r="AH159" i="24" s="1"/>
  <c r="AH160" i="24"/>
  <c r="AE87" i="24"/>
  <c r="AH87" i="24" s="1"/>
  <c r="AE41" i="24"/>
  <c r="AH41" i="24" s="1"/>
  <c r="AE312" i="24"/>
  <c r="AH312" i="24" s="1"/>
  <c r="AH300" i="24"/>
  <c r="AH184" i="24"/>
  <c r="AH35" i="24"/>
  <c r="AE222" i="24"/>
  <c r="AH222" i="24" s="1"/>
  <c r="AH237" i="24"/>
  <c r="AH243" i="24"/>
  <c r="AH61" i="24"/>
  <c r="AE32" i="24"/>
  <c r="AH32" i="24" s="1"/>
  <c r="AE31" i="24"/>
  <c r="AH31" i="24" s="1"/>
  <c r="AE45" i="24"/>
  <c r="AH45" i="24" s="1"/>
  <c r="AE307" i="24"/>
  <c r="AH307" i="24" s="1"/>
  <c r="AE271" i="24"/>
  <c r="AH271" i="24" s="1"/>
  <c r="AE129" i="24"/>
  <c r="AH129" i="24" s="1"/>
  <c r="AE226" i="24"/>
  <c r="AH226" i="24" s="1"/>
  <c r="AE266" i="24"/>
  <c r="AH39" i="24"/>
  <c r="AE9" i="24"/>
  <c r="AH9" i="24" s="1"/>
  <c r="AE86" i="24"/>
  <c r="AH86" i="24" s="1"/>
  <c r="AE256" i="24"/>
  <c r="AH256" i="24" s="1"/>
  <c r="AH36" i="24"/>
  <c r="AE272" i="24"/>
  <c r="AH272" i="24" s="1"/>
  <c r="AE90" i="24"/>
  <c r="AH90" i="24" s="1"/>
  <c r="AE100" i="24"/>
  <c r="AE38" i="24"/>
  <c r="AH38" i="24" s="1"/>
  <c r="AE228" i="24"/>
  <c r="AH228" i="24" s="1"/>
  <c r="AE122" i="24"/>
  <c r="AH122" i="24" s="1"/>
  <c r="AH100" i="24"/>
  <c r="AH247" i="24"/>
  <c r="AE230" i="24"/>
  <c r="AH230" i="24" s="1"/>
  <c r="AE47" i="24"/>
  <c r="AH47" i="24" s="1"/>
  <c r="AE6" i="24"/>
  <c r="AH6" i="24" s="1"/>
  <c r="AE124" i="24"/>
  <c r="AH124" i="24" s="1"/>
  <c r="AE11" i="24"/>
  <c r="AH11" i="24" s="1"/>
  <c r="AE225" i="24"/>
  <c r="AH225" i="24" s="1"/>
  <c r="AE212" i="24"/>
  <c r="AH212" i="24" s="1"/>
  <c r="AE63" i="24"/>
  <c r="AH63" i="24" s="1"/>
  <c r="AE291" i="24"/>
  <c r="AH291" i="24" s="1"/>
  <c r="AE181" i="24"/>
  <c r="AH181" i="24" s="1"/>
  <c r="AE133" i="24"/>
  <c r="AH133" i="24" s="1"/>
  <c r="AE267" i="24"/>
  <c r="AH267" i="24" s="1"/>
  <c r="AE294" i="24"/>
  <c r="AH294" i="24" s="1"/>
  <c r="AE42" i="24"/>
  <c r="AH42" i="24" s="1"/>
  <c r="AE254" i="24"/>
  <c r="AH254" i="24" s="1"/>
  <c r="AE59" i="24"/>
  <c r="AH59" i="24" s="1"/>
  <c r="AE313" i="24"/>
  <c r="AH313" i="24" s="1"/>
  <c r="AE314" i="24"/>
  <c r="AH314" i="24" s="1"/>
  <c r="AE281" i="24"/>
  <c r="AH281" i="24" s="1"/>
  <c r="AE151" i="24"/>
  <c r="AH151" i="24" s="1"/>
  <c r="AE67" i="24"/>
  <c r="AH67" i="24" s="1"/>
  <c r="AE103" i="24"/>
  <c r="AH103" i="24" s="1"/>
  <c r="AE146" i="24"/>
  <c r="AH146" i="24" s="1"/>
  <c r="AE166" i="24"/>
  <c r="AH166" i="24" s="1"/>
  <c r="AE20" i="24"/>
  <c r="AH20" i="24" s="1"/>
  <c r="AE53" i="24"/>
  <c r="AH53" i="24" s="1"/>
  <c r="AE188" i="24"/>
  <c r="AH188" i="24" s="1"/>
  <c r="AI320" i="24"/>
  <c r="AJ320" i="24" s="1"/>
  <c r="AE245" i="24"/>
  <c r="AH245" i="24" s="1"/>
  <c r="AE161" i="24"/>
  <c r="AH161" i="24" s="1"/>
  <c r="AE167" i="24"/>
  <c r="AH167" i="24" s="1"/>
  <c r="AE144" i="24"/>
  <c r="AH144" i="24" s="1"/>
  <c r="AE58" i="24"/>
  <c r="AH58" i="24" s="1"/>
  <c r="AE257" i="24"/>
  <c r="AH257" i="24" s="1"/>
  <c r="AE141" i="24"/>
  <c r="AH141" i="24" s="1"/>
  <c r="AE121" i="24"/>
  <c r="AH121" i="24" s="1"/>
  <c r="AE62" i="24"/>
  <c r="AH62" i="24" s="1"/>
  <c r="AE194" i="24"/>
  <c r="AH194" i="24" s="1"/>
  <c r="AE37" i="24"/>
  <c r="AH37" i="24" s="1"/>
  <c r="AE43" i="24"/>
  <c r="AH43" i="24" s="1"/>
  <c r="AE239" i="24"/>
  <c r="AH239" i="24" s="1"/>
  <c r="AE261" i="24"/>
  <c r="AH261" i="24" s="1"/>
  <c r="AE66" i="24"/>
  <c r="AH66" i="24" s="1"/>
  <c r="AE297" i="24"/>
  <c r="AH297" i="24" s="1"/>
  <c r="AE137" i="24"/>
  <c r="AH137" i="24" s="1"/>
  <c r="AE28" i="24"/>
  <c r="AH28" i="24" s="1"/>
  <c r="AE29" i="24"/>
  <c r="AH29" i="24" s="1"/>
  <c r="AE22" i="24"/>
  <c r="AH22" i="24" s="1"/>
  <c r="AE77" i="24"/>
  <c r="AH77" i="24" s="1"/>
  <c r="AE258" i="24"/>
  <c r="AH258" i="24" s="1"/>
  <c r="AE108" i="24"/>
  <c r="AH108" i="24" s="1"/>
  <c r="AE40" i="24"/>
  <c r="AH40" i="24" s="1"/>
  <c r="AE305" i="24"/>
  <c r="AH305" i="24" s="1"/>
  <c r="AE189" i="24"/>
  <c r="AH189" i="24" s="1"/>
  <c r="AE176" i="24"/>
  <c r="AH176" i="24" s="1"/>
  <c r="AE168" i="24"/>
  <c r="AH168" i="24" s="1"/>
  <c r="AE278" i="24"/>
  <c r="AH278" i="24" s="1"/>
  <c r="AE52" i="24"/>
  <c r="AH52" i="24" s="1"/>
  <c r="AE201" i="24"/>
  <c r="AH201" i="24" s="1"/>
  <c r="AE196" i="24"/>
  <c r="AH196" i="24" s="1"/>
  <c r="AE94" i="24"/>
  <c r="AH94" i="24" s="1"/>
  <c r="AE89" i="24"/>
  <c r="AH89" i="24" s="1"/>
  <c r="AE283" i="24"/>
  <c r="AH283" i="24" s="1"/>
  <c r="AE162" i="24"/>
  <c r="AH162" i="24" s="1"/>
  <c r="AE138" i="24"/>
  <c r="AH138" i="24" s="1"/>
  <c r="AE48" i="24"/>
  <c r="AH48" i="24" s="1"/>
  <c r="AE232" i="24"/>
  <c r="AH232" i="24" s="1"/>
  <c r="AE227" i="24"/>
  <c r="AH227" i="24" s="1"/>
  <c r="AE56" i="24"/>
  <c r="AH56" i="24" s="1"/>
  <c r="AE51" i="24"/>
  <c r="AH51" i="24" s="1"/>
  <c r="AE114" i="24"/>
  <c r="AH114" i="24" s="1"/>
  <c r="AE49" i="24"/>
  <c r="AH49" i="24" s="1"/>
  <c r="AE19" i="24"/>
  <c r="AH19" i="24" s="1"/>
  <c r="AE109" i="24"/>
  <c r="AH109" i="24" s="1"/>
  <c r="AE308" i="24"/>
  <c r="AH308" i="24" s="1"/>
  <c r="AE268" i="24"/>
  <c r="AH268" i="24" s="1"/>
  <c r="AE292" i="24"/>
  <c r="AH292" i="24" s="1"/>
  <c r="AE14" i="24"/>
  <c r="AH14" i="24" s="1"/>
  <c r="AE260" i="24"/>
  <c r="AH260" i="24" s="1"/>
  <c r="AE208" i="24"/>
  <c r="AH208" i="24" s="1"/>
  <c r="AE193" i="24"/>
  <c r="AH193" i="24" s="1"/>
  <c r="AE65" i="24"/>
  <c r="AH65" i="24" s="1"/>
  <c r="AE252" i="24"/>
  <c r="AH252" i="24" s="1"/>
  <c r="AE282" i="24"/>
  <c r="AH282" i="24" s="1"/>
  <c r="AE134" i="24"/>
  <c r="AH134" i="24" s="1"/>
  <c r="AE163" i="24"/>
  <c r="AH163" i="24" s="1"/>
  <c r="AE179" i="24"/>
  <c r="AH179" i="24" s="1"/>
  <c r="AE143" i="24"/>
  <c r="AH143" i="24" s="1"/>
  <c r="AE68" i="24"/>
  <c r="AH68" i="24" s="1"/>
  <c r="AE84" i="24"/>
  <c r="AH84" i="24" s="1"/>
  <c r="AE79" i="24"/>
  <c r="AH79" i="24" s="1"/>
  <c r="AE21" i="24"/>
  <c r="AH21" i="24" s="1"/>
  <c r="AE16" i="24"/>
  <c r="AH16" i="24" s="1"/>
  <c r="AE50" i="24"/>
  <c r="AH50" i="24" s="1"/>
  <c r="AE23" i="24"/>
  <c r="AH23" i="24" s="1"/>
  <c r="AE156" i="24"/>
  <c r="AH156" i="24" s="1"/>
  <c r="AE171" i="24"/>
  <c r="AH171" i="24" s="1"/>
  <c r="AE130" i="24"/>
  <c r="AH130" i="24" s="1"/>
  <c r="AE136" i="24"/>
  <c r="AH136" i="24" s="1"/>
  <c r="AE17" i="24"/>
  <c r="AH17" i="24" s="1"/>
  <c r="AE12" i="24"/>
  <c r="AH12" i="24" s="1"/>
  <c r="AE218" i="24"/>
  <c r="AH218" i="24" s="1"/>
  <c r="AE213" i="24"/>
  <c r="AH213" i="24" s="1"/>
  <c r="AE241" i="24"/>
  <c r="AH241" i="24" s="1"/>
  <c r="AE154" i="24"/>
  <c r="AH154" i="24" s="1"/>
  <c r="AE149" i="24"/>
  <c r="AH149" i="24" s="1"/>
  <c r="AE155" i="24"/>
  <c r="AH155" i="24" s="1"/>
  <c r="AE115" i="24"/>
  <c r="AH115" i="24" s="1"/>
  <c r="AE78" i="24"/>
  <c r="AH78" i="24" s="1"/>
  <c r="AE13" i="24"/>
  <c r="AH13" i="24" s="1"/>
  <c r="AE18" i="24"/>
  <c r="AH18" i="24" s="1"/>
  <c r="AE27" i="24"/>
  <c r="AH27" i="24" s="1"/>
  <c r="AE250" i="24"/>
  <c r="AH250" i="24" s="1"/>
  <c r="AE240" i="24"/>
  <c r="AH240" i="24" s="1"/>
  <c r="AE182" i="24"/>
  <c r="AH182" i="24" s="1"/>
  <c r="AE242" i="24"/>
  <c r="AH242" i="24" s="1"/>
  <c r="AE104" i="24"/>
  <c r="AH104" i="24" s="1"/>
  <c r="AE99" i="24"/>
  <c r="AH99" i="24" s="1"/>
  <c r="AE147" i="24"/>
  <c r="AH147" i="24" s="1"/>
  <c r="AE128" i="24"/>
  <c r="AH128" i="24" s="1"/>
  <c r="AE123" i="24"/>
  <c r="AH123" i="24" s="1"/>
  <c r="AE54" i="24"/>
  <c r="AH54" i="24" s="1"/>
  <c r="AE76" i="24"/>
  <c r="AH76" i="24" s="1"/>
  <c r="AE249" i="24"/>
  <c r="AH249" i="24" s="1"/>
  <c r="AE234" i="24"/>
  <c r="AH234" i="24" s="1"/>
  <c r="AE248" i="24"/>
  <c r="AH248" i="24" s="1"/>
  <c r="AE269" i="24"/>
  <c r="AH269" i="24" s="1"/>
  <c r="AE173" i="24"/>
  <c r="AH173" i="24" s="1"/>
  <c r="AE145" i="24"/>
  <c r="AH145" i="24" s="1"/>
  <c r="AE30" i="24"/>
  <c r="AH30" i="24" s="1"/>
  <c r="AE25" i="24"/>
  <c r="AH25" i="24" s="1"/>
  <c r="AE82" i="24"/>
  <c r="AH82" i="24" s="1"/>
  <c r="AE204" i="24"/>
  <c r="AH204" i="24" s="1"/>
  <c r="AE207" i="24"/>
  <c r="AH207" i="24" s="1"/>
  <c r="AE91" i="24"/>
  <c r="AH91" i="24" s="1"/>
  <c r="AE24" i="24"/>
  <c r="AH24" i="24" s="1"/>
  <c r="AE295" i="24"/>
  <c r="AH295" i="24" s="1"/>
  <c r="AE296" i="24"/>
  <c r="AH296" i="24" s="1"/>
  <c r="AE275" i="24"/>
  <c r="AH275" i="24" s="1"/>
  <c r="AE270" i="24"/>
  <c r="AH270" i="24" s="1"/>
  <c r="AE279" i="24"/>
  <c r="AH279" i="24" s="1"/>
  <c r="AE276" i="24"/>
  <c r="AH276" i="24" s="1"/>
  <c r="AE210" i="24"/>
  <c r="AH210" i="24" s="1"/>
  <c r="AE205" i="24"/>
  <c r="AH205" i="24" s="1"/>
  <c r="AE211" i="24"/>
  <c r="AH211" i="24" s="1"/>
  <c r="AE132" i="24"/>
  <c r="AH132" i="24" s="1"/>
  <c r="AE142" i="24"/>
  <c r="AH142" i="24" s="1"/>
  <c r="AE119" i="24"/>
  <c r="AH119" i="24" s="1"/>
  <c r="AE80" i="24"/>
  <c r="AH80" i="24" s="1"/>
  <c r="AE75" i="24"/>
  <c r="AH75" i="24" s="1"/>
  <c r="AE72" i="24"/>
  <c r="AH72" i="24" s="1"/>
  <c r="AE26" i="24"/>
  <c r="AH26" i="24" s="1"/>
  <c r="D76" i="32" l="1"/>
  <c r="E76" i="32" s="1"/>
  <c r="F76" i="32" s="1"/>
  <c r="T318" i="24"/>
  <c r="D78" i="32"/>
  <c r="E78" i="32" s="1"/>
  <c r="F78" i="32" s="1"/>
  <c r="E63" i="32"/>
  <c r="F63" i="32" s="1"/>
  <c r="AJ319" i="24"/>
  <c r="Q1375" i="1" s="1"/>
  <c r="W318" i="24"/>
  <c r="U318" i="24"/>
  <c r="V318" i="24" s="1"/>
  <c r="S316" i="24"/>
  <c r="T317" i="24"/>
  <c r="Q1376" i="1" l="1"/>
  <c r="Q1377" i="1"/>
  <c r="Q1378" i="1"/>
  <c r="R1375" i="1"/>
  <c r="AG318" i="24"/>
  <c r="AI318" i="24" s="1"/>
  <c r="AJ318" i="24" s="1"/>
  <c r="W317" i="24"/>
  <c r="U317" i="24"/>
  <c r="V317" i="24" s="1"/>
  <c r="T316" i="24"/>
  <c r="S315" i="24"/>
  <c r="R1376" i="1" l="1"/>
  <c r="R1378" i="1"/>
  <c r="R1377" i="1"/>
  <c r="Q1373" i="1"/>
  <c r="Q1370" i="1"/>
  <c r="Q1371" i="1"/>
  <c r="Q1374" i="1"/>
  <c r="Q1372" i="1"/>
  <c r="S314" i="24"/>
  <c r="T315" i="24"/>
  <c r="U316" i="24"/>
  <c r="V316" i="24" s="1"/>
  <c r="W316" i="24"/>
  <c r="AG317" i="24"/>
  <c r="AI317" i="24" s="1"/>
  <c r="AJ317" i="24" s="1"/>
  <c r="AG316" i="24" l="1"/>
  <c r="AI316" i="24" s="1"/>
  <c r="R1374" i="1"/>
  <c r="R1371" i="1"/>
  <c r="R1372" i="1"/>
  <c r="R1370" i="1"/>
  <c r="R1373" i="1"/>
  <c r="Q1368" i="1"/>
  <c r="Q1367" i="1"/>
  <c r="Q1369" i="1"/>
  <c r="Q1366" i="1"/>
  <c r="AJ316" i="24"/>
  <c r="W315" i="24"/>
  <c r="U315" i="24"/>
  <c r="V315" i="24" s="1"/>
  <c r="T314" i="24"/>
  <c r="S313" i="24"/>
  <c r="R1369" i="1" l="1"/>
  <c r="AG315" i="24"/>
  <c r="AI315" i="24" s="1"/>
  <c r="AJ315" i="24" s="1"/>
  <c r="Q1357" i="1" s="1"/>
  <c r="R1366" i="1"/>
  <c r="R1367" i="1"/>
  <c r="R1368" i="1"/>
  <c r="Q1358" i="1"/>
  <c r="Q1362" i="1"/>
  <c r="Q1363" i="1"/>
  <c r="Q1364" i="1"/>
  <c r="Q1365" i="1"/>
  <c r="S312" i="24"/>
  <c r="T313" i="24"/>
  <c r="U314" i="24"/>
  <c r="V314" i="24" s="1"/>
  <c r="W314" i="24"/>
  <c r="AG314" i="24" l="1"/>
  <c r="AI314" i="24" s="1"/>
  <c r="AJ314" i="24" s="1"/>
  <c r="Q1359" i="1"/>
  <c r="Q1360" i="1"/>
  <c r="Q1361" i="1"/>
  <c r="R1358" i="1"/>
  <c r="R1363" i="1"/>
  <c r="R1365" i="1"/>
  <c r="R1364" i="1"/>
  <c r="R1362" i="1"/>
  <c r="R1357" i="1"/>
  <c r="W313" i="24"/>
  <c r="U313" i="24"/>
  <c r="V313" i="24" s="1"/>
  <c r="T312" i="24"/>
  <c r="S311" i="24"/>
  <c r="R1360" i="1" l="1"/>
  <c r="R1359" i="1"/>
  <c r="R1361" i="1"/>
  <c r="Q1355" i="1"/>
  <c r="Q1356" i="1"/>
  <c r="Q1354" i="1"/>
  <c r="Q1353" i="1"/>
  <c r="U312" i="24"/>
  <c r="V312" i="24" s="1"/>
  <c r="W312" i="24"/>
  <c r="S310" i="24"/>
  <c r="T311" i="24"/>
  <c r="AG313" i="24"/>
  <c r="AI313" i="24" s="1"/>
  <c r="AJ313" i="24" s="1"/>
  <c r="R1355" i="1" l="1"/>
  <c r="R1356" i="1"/>
  <c r="R1353" i="1"/>
  <c r="R1354" i="1"/>
  <c r="Q1349" i="1"/>
  <c r="Q1352" i="1"/>
  <c r="Q1351" i="1"/>
  <c r="Q1350" i="1"/>
  <c r="W311" i="24"/>
  <c r="U311" i="24"/>
  <c r="V311" i="24" s="1"/>
  <c r="T310" i="24"/>
  <c r="S309" i="24"/>
  <c r="AG312" i="24"/>
  <c r="AI312" i="24" s="1"/>
  <c r="AJ312" i="24" s="1"/>
  <c r="R1351" i="1" l="1"/>
  <c r="R1352" i="1"/>
  <c r="R1350" i="1"/>
  <c r="R1349" i="1"/>
  <c r="Q1345" i="1"/>
  <c r="Q1347" i="1"/>
  <c r="Q1348" i="1"/>
  <c r="Q1346" i="1"/>
  <c r="Q1344" i="1"/>
  <c r="AG311" i="24"/>
  <c r="AI311" i="24" s="1"/>
  <c r="AJ311" i="24" s="1"/>
  <c r="U310" i="24"/>
  <c r="V310" i="24" s="1"/>
  <c r="W310" i="24"/>
  <c r="S308" i="24"/>
  <c r="T309" i="24"/>
  <c r="R1347" i="1" l="1"/>
  <c r="R1344" i="1"/>
  <c r="R1346" i="1"/>
  <c r="R1348" i="1"/>
  <c r="R1345" i="1"/>
  <c r="Q1342" i="1"/>
  <c r="Q1340" i="1"/>
  <c r="Q1343" i="1"/>
  <c r="Q1341" i="1"/>
  <c r="W309" i="24"/>
  <c r="U309" i="24"/>
  <c r="V309" i="24" s="1"/>
  <c r="T308" i="24"/>
  <c r="S307" i="24"/>
  <c r="AG310" i="24"/>
  <c r="AI310" i="24" s="1"/>
  <c r="AJ310" i="24" s="1"/>
  <c r="R1341" i="1" l="1"/>
  <c r="AG309" i="24"/>
  <c r="AI309" i="24" s="1"/>
  <c r="AJ309" i="24" s="1"/>
  <c r="Q1331" i="1" s="1"/>
  <c r="R1343" i="1"/>
  <c r="R1340" i="1"/>
  <c r="R1342" i="1"/>
  <c r="Q1335" i="1"/>
  <c r="Q1337" i="1"/>
  <c r="Q1339" i="1"/>
  <c r="Q1336" i="1"/>
  <c r="Q1338" i="1"/>
  <c r="S306" i="24"/>
  <c r="T307" i="24"/>
  <c r="U308" i="24"/>
  <c r="V308" i="24" s="1"/>
  <c r="W308" i="24"/>
  <c r="Q1334" i="1" l="1"/>
  <c r="Q1332" i="1"/>
  <c r="Q1333" i="1"/>
  <c r="AG308" i="24"/>
  <c r="AI308" i="24" s="1"/>
  <c r="AJ308" i="24" s="1"/>
  <c r="Q1327" i="1" s="1"/>
  <c r="R1338" i="1"/>
  <c r="R1336" i="1"/>
  <c r="R1339" i="1"/>
  <c r="R1337" i="1"/>
  <c r="R1335" i="1"/>
  <c r="R1331" i="1"/>
  <c r="Q1329" i="1"/>
  <c r="T306" i="24"/>
  <c r="S305" i="24"/>
  <c r="W307" i="24"/>
  <c r="U307" i="24"/>
  <c r="V307" i="24" s="1"/>
  <c r="R1332" i="1" l="1"/>
  <c r="R1334" i="1"/>
  <c r="R1333" i="1"/>
  <c r="Q1328" i="1"/>
  <c r="Q1330" i="1"/>
  <c r="R1327" i="1"/>
  <c r="R1329" i="1"/>
  <c r="AG307" i="24"/>
  <c r="AI307" i="24" s="1"/>
  <c r="AJ307" i="24" s="1"/>
  <c r="S304" i="24"/>
  <c r="T305" i="24"/>
  <c r="U306" i="24"/>
  <c r="V306" i="24" s="1"/>
  <c r="W306" i="24"/>
  <c r="R1330" i="1" l="1"/>
  <c r="R1328" i="1"/>
  <c r="Q1324" i="1"/>
  <c r="Q1325" i="1"/>
  <c r="Q1323" i="1"/>
  <c r="Q1326" i="1"/>
  <c r="AG306" i="24"/>
  <c r="AI306" i="24" s="1"/>
  <c r="AJ306" i="24" s="1"/>
  <c r="W305" i="24"/>
  <c r="U305" i="24"/>
  <c r="V305" i="24" s="1"/>
  <c r="T304" i="24"/>
  <c r="S303" i="24"/>
  <c r="R1326" i="1" l="1"/>
  <c r="R1323" i="1"/>
  <c r="R1325" i="1"/>
  <c r="R1324" i="1"/>
  <c r="Q1319" i="1"/>
  <c r="Q1322" i="1"/>
  <c r="Q1318" i="1"/>
  <c r="Q1320" i="1"/>
  <c r="Q1321" i="1"/>
  <c r="S302" i="24"/>
  <c r="T303" i="24"/>
  <c r="W304" i="24"/>
  <c r="U304" i="24"/>
  <c r="V304" i="24" s="1"/>
  <c r="AG305" i="24"/>
  <c r="AI305" i="24" s="1"/>
  <c r="AJ305" i="24" s="1"/>
  <c r="R1321" i="1" l="1"/>
  <c r="R1320" i="1"/>
  <c r="R1318" i="1"/>
  <c r="R1322" i="1"/>
  <c r="R1319" i="1"/>
  <c r="Q1314" i="1"/>
  <c r="Q1315" i="1"/>
  <c r="Q1316" i="1"/>
  <c r="Q1317" i="1"/>
  <c r="AG304" i="24"/>
  <c r="AI304" i="24" s="1"/>
  <c r="AJ304" i="24" s="1"/>
  <c r="W303" i="24"/>
  <c r="U303" i="24"/>
  <c r="V303" i="24" s="1"/>
  <c r="S301" i="24"/>
  <c r="T302" i="24"/>
  <c r="R1315" i="1" l="1"/>
  <c r="R1314" i="1"/>
  <c r="R1317" i="1"/>
  <c r="R1316" i="1"/>
  <c r="Q1311" i="1"/>
  <c r="Q1310" i="1"/>
  <c r="Q1312" i="1"/>
  <c r="Q1313" i="1"/>
  <c r="W302" i="24"/>
  <c r="U302" i="24"/>
  <c r="V302" i="24" s="1"/>
  <c r="S300" i="24"/>
  <c r="T301" i="24"/>
  <c r="AG303" i="24"/>
  <c r="AI303" i="24" s="1"/>
  <c r="AJ303" i="24" s="1"/>
  <c r="R1313" i="1" l="1"/>
  <c r="R1312" i="1"/>
  <c r="R1310" i="1"/>
  <c r="R1311" i="1"/>
  <c r="Q1306" i="1"/>
  <c r="Q1305" i="1"/>
  <c r="Q1307" i="1"/>
  <c r="Q1309" i="1"/>
  <c r="Q1308" i="1"/>
  <c r="W301" i="24"/>
  <c r="U301" i="24"/>
  <c r="V301" i="24" s="1"/>
  <c r="T300" i="24"/>
  <c r="S299" i="24"/>
  <c r="AG302" i="24"/>
  <c r="AI302" i="24" s="1"/>
  <c r="AJ302" i="24" s="1"/>
  <c r="AG301" i="24" l="1"/>
  <c r="AI301" i="24" s="1"/>
  <c r="AJ301" i="24" s="1"/>
  <c r="R1308" i="1"/>
  <c r="R1309" i="1"/>
  <c r="R1307" i="1"/>
  <c r="R1305" i="1"/>
  <c r="R1306" i="1"/>
  <c r="Q1302" i="1"/>
  <c r="Q1304" i="1"/>
  <c r="Q1301" i="1"/>
  <c r="Q1303" i="1"/>
  <c r="S298" i="24"/>
  <c r="T299" i="24"/>
  <c r="W300" i="24"/>
  <c r="U300" i="24"/>
  <c r="V300" i="24" s="1"/>
  <c r="R1301" i="1" l="1"/>
  <c r="R1304" i="1"/>
  <c r="R1303" i="1"/>
  <c r="R1302" i="1"/>
  <c r="Q1298" i="1"/>
  <c r="Q1296" i="1"/>
  <c r="Q1297" i="1"/>
  <c r="Q1299" i="1"/>
  <c r="Q1300" i="1"/>
  <c r="AG300" i="24"/>
  <c r="AI300" i="24" s="1"/>
  <c r="AJ300" i="24" s="1"/>
  <c r="W299" i="24"/>
  <c r="U299" i="24"/>
  <c r="V299" i="24" s="1"/>
  <c r="S297" i="24"/>
  <c r="T298" i="24"/>
  <c r="C1378" i="23"/>
  <c r="X1378" i="23" s="1"/>
  <c r="Y1378" i="23" s="1"/>
  <c r="C1377" i="23"/>
  <c r="X1377" i="23" s="1"/>
  <c r="Y1377" i="23" s="1"/>
  <c r="C1376" i="23"/>
  <c r="X1376" i="23" s="1"/>
  <c r="C1375" i="23"/>
  <c r="X1375" i="23" s="1"/>
  <c r="C1374" i="23"/>
  <c r="X1374" i="23" s="1"/>
  <c r="C1373" i="23"/>
  <c r="X1373" i="23" s="1"/>
  <c r="C1372" i="23"/>
  <c r="X1372" i="23" s="1"/>
  <c r="C1371" i="23"/>
  <c r="X1371" i="23" s="1"/>
  <c r="C1370" i="23"/>
  <c r="X1370" i="23" s="1"/>
  <c r="C1369" i="23"/>
  <c r="X1369" i="23" s="1"/>
  <c r="C1368" i="23"/>
  <c r="X1368" i="23" s="1"/>
  <c r="C1367" i="23"/>
  <c r="X1367" i="23" s="1"/>
  <c r="C1366" i="23"/>
  <c r="X1366" i="23" s="1"/>
  <c r="C1365" i="23"/>
  <c r="X1365" i="23" s="1"/>
  <c r="C1364" i="23"/>
  <c r="X1364" i="23" s="1"/>
  <c r="C1363" i="23"/>
  <c r="X1363" i="23" s="1"/>
  <c r="C1362" i="23"/>
  <c r="X1362" i="23" s="1"/>
  <c r="C1361" i="23"/>
  <c r="X1361" i="23" s="1"/>
  <c r="C1360" i="23"/>
  <c r="X1360" i="23" s="1"/>
  <c r="C1359" i="23"/>
  <c r="X1359" i="23" s="1"/>
  <c r="C1358" i="23"/>
  <c r="X1358" i="23" s="1"/>
  <c r="C1357" i="23"/>
  <c r="X1357" i="23" s="1"/>
  <c r="C1356" i="23"/>
  <c r="X1356" i="23" s="1"/>
  <c r="C1355" i="23"/>
  <c r="X1355" i="23" s="1"/>
  <c r="C1354" i="23"/>
  <c r="X1354" i="23" s="1"/>
  <c r="C1353" i="23"/>
  <c r="X1353" i="23" s="1"/>
  <c r="C1352" i="23"/>
  <c r="X1352" i="23" s="1"/>
  <c r="C1351" i="23"/>
  <c r="X1351" i="23" s="1"/>
  <c r="C1350" i="23"/>
  <c r="X1350" i="23" s="1"/>
  <c r="C1349" i="23"/>
  <c r="X1349" i="23" s="1"/>
  <c r="C1348" i="23"/>
  <c r="X1348" i="23" s="1"/>
  <c r="C1347" i="23"/>
  <c r="X1347" i="23" s="1"/>
  <c r="C1346" i="23"/>
  <c r="X1346" i="23" s="1"/>
  <c r="C1345" i="23"/>
  <c r="X1345" i="23" s="1"/>
  <c r="C1344" i="23"/>
  <c r="X1344" i="23" s="1"/>
  <c r="C1343" i="23"/>
  <c r="X1343" i="23" s="1"/>
  <c r="C1342" i="23"/>
  <c r="X1342" i="23" s="1"/>
  <c r="C1341" i="23"/>
  <c r="X1341" i="23" s="1"/>
  <c r="C1340" i="23"/>
  <c r="X1340" i="23" s="1"/>
  <c r="C1339" i="23"/>
  <c r="X1339" i="23" s="1"/>
  <c r="C1338" i="23"/>
  <c r="X1338" i="23" s="1"/>
  <c r="C1337" i="23"/>
  <c r="X1337" i="23" s="1"/>
  <c r="C1336" i="23"/>
  <c r="X1336" i="23" s="1"/>
  <c r="C1335" i="23"/>
  <c r="X1335" i="23" s="1"/>
  <c r="C1334" i="23"/>
  <c r="X1334" i="23" s="1"/>
  <c r="C1333" i="23"/>
  <c r="X1333" i="23" s="1"/>
  <c r="C1332" i="23"/>
  <c r="X1332" i="23" s="1"/>
  <c r="C1331" i="23"/>
  <c r="X1331" i="23" s="1"/>
  <c r="C1330" i="23"/>
  <c r="X1330" i="23" s="1"/>
  <c r="C1329" i="23"/>
  <c r="X1329" i="23" s="1"/>
  <c r="C1328" i="23"/>
  <c r="X1328" i="23" s="1"/>
  <c r="C1327" i="23"/>
  <c r="X1327" i="23" s="1"/>
  <c r="C1326" i="23"/>
  <c r="X1326" i="23" s="1"/>
  <c r="C1325" i="23"/>
  <c r="X1325" i="23" s="1"/>
  <c r="C1324" i="23"/>
  <c r="X1324" i="23" s="1"/>
  <c r="C1323" i="23"/>
  <c r="X1323" i="23" s="1"/>
  <c r="C1322" i="23"/>
  <c r="X1322" i="23" s="1"/>
  <c r="C1321" i="23"/>
  <c r="X1321" i="23" s="1"/>
  <c r="C1320" i="23"/>
  <c r="X1320" i="23" s="1"/>
  <c r="C1319" i="23"/>
  <c r="X1319" i="23" s="1"/>
  <c r="C1318" i="23"/>
  <c r="X1318" i="23" s="1"/>
  <c r="C1317" i="23"/>
  <c r="X1317" i="23" s="1"/>
  <c r="C1316" i="23"/>
  <c r="X1316" i="23" s="1"/>
  <c r="C1315" i="23"/>
  <c r="X1315" i="23" s="1"/>
  <c r="C1314" i="23"/>
  <c r="X1314" i="23" s="1"/>
  <c r="C1313" i="23"/>
  <c r="X1313" i="23" s="1"/>
  <c r="C1312" i="23"/>
  <c r="X1312" i="23" s="1"/>
  <c r="C1311" i="23"/>
  <c r="X1311" i="23" s="1"/>
  <c r="C1310" i="23"/>
  <c r="X1310" i="23" s="1"/>
  <c r="C1309" i="23"/>
  <c r="X1309" i="23" s="1"/>
  <c r="C1308" i="23"/>
  <c r="X1308" i="23" s="1"/>
  <c r="C1307" i="23"/>
  <c r="X1307" i="23" s="1"/>
  <c r="C1306" i="23"/>
  <c r="X1306" i="23" s="1"/>
  <c r="C1305" i="23"/>
  <c r="X1305" i="23" s="1"/>
  <c r="C1304" i="23"/>
  <c r="X1304" i="23" s="1"/>
  <c r="C1303" i="23"/>
  <c r="X1303" i="23" s="1"/>
  <c r="C1302" i="23"/>
  <c r="X1302" i="23" s="1"/>
  <c r="C1301" i="23"/>
  <c r="X1301" i="23" s="1"/>
  <c r="C1300" i="23"/>
  <c r="X1300" i="23" s="1"/>
  <c r="C1299" i="23"/>
  <c r="X1299" i="23" s="1"/>
  <c r="C1298" i="23"/>
  <c r="X1298" i="23" s="1"/>
  <c r="C1297" i="23"/>
  <c r="X1297" i="23" s="1"/>
  <c r="C1296" i="23"/>
  <c r="X1296" i="23" s="1"/>
  <c r="C1295" i="23"/>
  <c r="X1295" i="23" s="1"/>
  <c r="C1294" i="23"/>
  <c r="X1294" i="23" s="1"/>
  <c r="C1293" i="23"/>
  <c r="X1293" i="23" s="1"/>
  <c r="C1292" i="23"/>
  <c r="X1292" i="23" s="1"/>
  <c r="C1291" i="23"/>
  <c r="X1291" i="23" s="1"/>
  <c r="C1290" i="23"/>
  <c r="X1290" i="23" s="1"/>
  <c r="C1289" i="23"/>
  <c r="X1289" i="23" s="1"/>
  <c r="C1288" i="23"/>
  <c r="X1288" i="23" s="1"/>
  <c r="C1287" i="23"/>
  <c r="X1287" i="23" s="1"/>
  <c r="C1286" i="23"/>
  <c r="X1286" i="23" s="1"/>
  <c r="C1285" i="23"/>
  <c r="X1285" i="23" s="1"/>
  <c r="C1284" i="23"/>
  <c r="X1284" i="23" s="1"/>
  <c r="C1283" i="23"/>
  <c r="X1283" i="23" s="1"/>
  <c r="C1282" i="23"/>
  <c r="X1282" i="23" s="1"/>
  <c r="C1281" i="23"/>
  <c r="X1281" i="23" s="1"/>
  <c r="C1280" i="23"/>
  <c r="X1280" i="23" s="1"/>
  <c r="C1279" i="23"/>
  <c r="X1279" i="23" s="1"/>
  <c r="C1278" i="23"/>
  <c r="X1278" i="23" s="1"/>
  <c r="C1277" i="23"/>
  <c r="X1277" i="23" s="1"/>
  <c r="C1276" i="23"/>
  <c r="X1276" i="23" s="1"/>
  <c r="C1275" i="23"/>
  <c r="X1275" i="23" s="1"/>
  <c r="C1274" i="23"/>
  <c r="X1274" i="23" s="1"/>
  <c r="C1273" i="23"/>
  <c r="X1273" i="23" s="1"/>
  <c r="C1272" i="23"/>
  <c r="X1272" i="23" s="1"/>
  <c r="C1271" i="23"/>
  <c r="X1271" i="23" s="1"/>
  <c r="C1270" i="23"/>
  <c r="X1270" i="23" s="1"/>
  <c r="C1269" i="23"/>
  <c r="X1269" i="23" s="1"/>
  <c r="C1268" i="23"/>
  <c r="X1268" i="23" s="1"/>
  <c r="C1267" i="23"/>
  <c r="X1267" i="23" s="1"/>
  <c r="C1266" i="23"/>
  <c r="X1266" i="23" s="1"/>
  <c r="C1265" i="23"/>
  <c r="X1265" i="23" s="1"/>
  <c r="C1264" i="23"/>
  <c r="X1264" i="23" s="1"/>
  <c r="C1263" i="23"/>
  <c r="X1263" i="23" s="1"/>
  <c r="C1262" i="23"/>
  <c r="X1262" i="23" s="1"/>
  <c r="C1261" i="23"/>
  <c r="X1261" i="23" s="1"/>
  <c r="C1260" i="23"/>
  <c r="X1260" i="23" s="1"/>
  <c r="C1259" i="23"/>
  <c r="X1259" i="23" s="1"/>
  <c r="C1258" i="23"/>
  <c r="X1258" i="23" s="1"/>
  <c r="C1257" i="23"/>
  <c r="X1257" i="23" s="1"/>
  <c r="C1256" i="23"/>
  <c r="X1256" i="23" s="1"/>
  <c r="C1255" i="23"/>
  <c r="X1255" i="23" s="1"/>
  <c r="C1254" i="23"/>
  <c r="X1254" i="23" s="1"/>
  <c r="C1253" i="23"/>
  <c r="X1253" i="23" s="1"/>
  <c r="C1252" i="23"/>
  <c r="X1252" i="23" s="1"/>
  <c r="C1251" i="23"/>
  <c r="X1251" i="23" s="1"/>
  <c r="C1250" i="23"/>
  <c r="X1250" i="23" s="1"/>
  <c r="C1249" i="23"/>
  <c r="X1249" i="23" s="1"/>
  <c r="C1248" i="23"/>
  <c r="X1248" i="23" s="1"/>
  <c r="C1247" i="23"/>
  <c r="X1247" i="23" s="1"/>
  <c r="C1246" i="23"/>
  <c r="X1246" i="23" s="1"/>
  <c r="C1245" i="23"/>
  <c r="X1245" i="23" s="1"/>
  <c r="C1244" i="23"/>
  <c r="X1244" i="23" s="1"/>
  <c r="C1243" i="23"/>
  <c r="X1243" i="23" s="1"/>
  <c r="C1242" i="23"/>
  <c r="X1242" i="23" s="1"/>
  <c r="C1241" i="23"/>
  <c r="X1241" i="23" s="1"/>
  <c r="C1240" i="23"/>
  <c r="X1240" i="23" s="1"/>
  <c r="C1239" i="23"/>
  <c r="X1239" i="23" s="1"/>
  <c r="C1238" i="23"/>
  <c r="X1238" i="23" s="1"/>
  <c r="C1237" i="23"/>
  <c r="X1237" i="23" s="1"/>
  <c r="C1236" i="23"/>
  <c r="X1236" i="23" s="1"/>
  <c r="C1235" i="23"/>
  <c r="X1235" i="23" s="1"/>
  <c r="C1234" i="23"/>
  <c r="X1234" i="23" s="1"/>
  <c r="C1233" i="23"/>
  <c r="X1233" i="23" s="1"/>
  <c r="C1232" i="23"/>
  <c r="X1232" i="23" s="1"/>
  <c r="C1231" i="23"/>
  <c r="X1231" i="23" s="1"/>
  <c r="C1230" i="23"/>
  <c r="X1230" i="23" s="1"/>
  <c r="C1229" i="23"/>
  <c r="X1229" i="23" s="1"/>
  <c r="C1228" i="23"/>
  <c r="X1228" i="23" s="1"/>
  <c r="C1227" i="23"/>
  <c r="X1227" i="23" s="1"/>
  <c r="C1226" i="23"/>
  <c r="X1226" i="23" s="1"/>
  <c r="C1225" i="23"/>
  <c r="X1225" i="23" s="1"/>
  <c r="C1224" i="23"/>
  <c r="X1224" i="23" s="1"/>
  <c r="C1223" i="23"/>
  <c r="X1223" i="23" s="1"/>
  <c r="C1222" i="23"/>
  <c r="X1222" i="23" s="1"/>
  <c r="C1221" i="23"/>
  <c r="X1221" i="23" s="1"/>
  <c r="C1220" i="23"/>
  <c r="X1220" i="23" s="1"/>
  <c r="C1219" i="23"/>
  <c r="X1219" i="23" s="1"/>
  <c r="C1218" i="23"/>
  <c r="X1218" i="23" s="1"/>
  <c r="C1217" i="23"/>
  <c r="X1217" i="23" s="1"/>
  <c r="C1216" i="23"/>
  <c r="X1216" i="23" s="1"/>
  <c r="C1215" i="23"/>
  <c r="X1215" i="23" s="1"/>
  <c r="C1214" i="23"/>
  <c r="X1214" i="23" s="1"/>
  <c r="C1213" i="23"/>
  <c r="X1213" i="23" s="1"/>
  <c r="C1212" i="23"/>
  <c r="X1212" i="23" s="1"/>
  <c r="C1211" i="23"/>
  <c r="X1211" i="23" s="1"/>
  <c r="C1210" i="23"/>
  <c r="X1210" i="23" s="1"/>
  <c r="C1209" i="23"/>
  <c r="X1209" i="23" s="1"/>
  <c r="C1208" i="23"/>
  <c r="X1208" i="23" s="1"/>
  <c r="C1207" i="23"/>
  <c r="X1207" i="23" s="1"/>
  <c r="C1206" i="23"/>
  <c r="X1206" i="23" s="1"/>
  <c r="C1205" i="23"/>
  <c r="X1205" i="23" s="1"/>
  <c r="C1204" i="23"/>
  <c r="X1204" i="23" s="1"/>
  <c r="C1203" i="23"/>
  <c r="X1203" i="23" s="1"/>
  <c r="C1202" i="23"/>
  <c r="X1202" i="23" s="1"/>
  <c r="C1201" i="23"/>
  <c r="X1201" i="23" s="1"/>
  <c r="C1200" i="23"/>
  <c r="X1200" i="23" s="1"/>
  <c r="C1199" i="23"/>
  <c r="X1199" i="23" s="1"/>
  <c r="C1198" i="23"/>
  <c r="X1198" i="23" s="1"/>
  <c r="C1197" i="23"/>
  <c r="X1197" i="23" s="1"/>
  <c r="C1196" i="23"/>
  <c r="X1196" i="23" s="1"/>
  <c r="C1195" i="23"/>
  <c r="X1195" i="23" s="1"/>
  <c r="C1194" i="23"/>
  <c r="X1194" i="23" s="1"/>
  <c r="C1193" i="23"/>
  <c r="X1193" i="23" s="1"/>
  <c r="C1192" i="23"/>
  <c r="X1192" i="23" s="1"/>
  <c r="C1191" i="23"/>
  <c r="X1191" i="23" s="1"/>
  <c r="C1190" i="23"/>
  <c r="X1190" i="23" s="1"/>
  <c r="C1189" i="23"/>
  <c r="X1189" i="23" s="1"/>
  <c r="C1188" i="23"/>
  <c r="X1188" i="23" s="1"/>
  <c r="C1187" i="23"/>
  <c r="X1187" i="23" s="1"/>
  <c r="C1186" i="23"/>
  <c r="X1186" i="23" s="1"/>
  <c r="C1185" i="23"/>
  <c r="X1185" i="23" s="1"/>
  <c r="C1184" i="23"/>
  <c r="X1184" i="23" s="1"/>
  <c r="C1183" i="23"/>
  <c r="X1183" i="23" s="1"/>
  <c r="C1182" i="23"/>
  <c r="X1182" i="23" s="1"/>
  <c r="C1181" i="23"/>
  <c r="X1181" i="23" s="1"/>
  <c r="C1180" i="23"/>
  <c r="X1180" i="23" s="1"/>
  <c r="C1179" i="23"/>
  <c r="X1179" i="23" s="1"/>
  <c r="C1178" i="23"/>
  <c r="X1178" i="23" s="1"/>
  <c r="C1177" i="23"/>
  <c r="X1177" i="23" s="1"/>
  <c r="C1176" i="23"/>
  <c r="X1176" i="23" s="1"/>
  <c r="C1175" i="23"/>
  <c r="X1175" i="23" s="1"/>
  <c r="C1174" i="23"/>
  <c r="X1174" i="23" s="1"/>
  <c r="C1173" i="23"/>
  <c r="X1173" i="23" s="1"/>
  <c r="C1172" i="23"/>
  <c r="X1172" i="23" s="1"/>
  <c r="C1171" i="23"/>
  <c r="X1171" i="23" s="1"/>
  <c r="C1170" i="23"/>
  <c r="X1170" i="23" s="1"/>
  <c r="C1169" i="23"/>
  <c r="X1169" i="23" s="1"/>
  <c r="C1168" i="23"/>
  <c r="X1168" i="23" s="1"/>
  <c r="C1167" i="23"/>
  <c r="X1167" i="23" s="1"/>
  <c r="C1166" i="23"/>
  <c r="X1166" i="23" s="1"/>
  <c r="C1165" i="23"/>
  <c r="X1165" i="23" s="1"/>
  <c r="C1164" i="23"/>
  <c r="X1164" i="23" s="1"/>
  <c r="C1163" i="23"/>
  <c r="X1163" i="23" s="1"/>
  <c r="C1162" i="23"/>
  <c r="X1162" i="23" s="1"/>
  <c r="C1161" i="23"/>
  <c r="X1161" i="23" s="1"/>
  <c r="C1160" i="23"/>
  <c r="X1160" i="23" s="1"/>
  <c r="C1159" i="23"/>
  <c r="X1159" i="23" s="1"/>
  <c r="C1158" i="23"/>
  <c r="X1158" i="23" s="1"/>
  <c r="C1157" i="23"/>
  <c r="X1157" i="23" s="1"/>
  <c r="C1156" i="23"/>
  <c r="X1156" i="23" s="1"/>
  <c r="C1155" i="23"/>
  <c r="X1155" i="23" s="1"/>
  <c r="C1154" i="23"/>
  <c r="X1154" i="23" s="1"/>
  <c r="C1153" i="23"/>
  <c r="X1153" i="23" s="1"/>
  <c r="C1152" i="23"/>
  <c r="X1152" i="23" s="1"/>
  <c r="C1151" i="23"/>
  <c r="X1151" i="23" s="1"/>
  <c r="C1150" i="23"/>
  <c r="X1150" i="23" s="1"/>
  <c r="C1149" i="23"/>
  <c r="X1149" i="23" s="1"/>
  <c r="C1148" i="23"/>
  <c r="X1148" i="23" s="1"/>
  <c r="C1147" i="23"/>
  <c r="X1147" i="23" s="1"/>
  <c r="C1146" i="23"/>
  <c r="X1146" i="23" s="1"/>
  <c r="C1145" i="23"/>
  <c r="X1145" i="23" s="1"/>
  <c r="C1144" i="23"/>
  <c r="X1144" i="23" s="1"/>
  <c r="C1143" i="23"/>
  <c r="X1143" i="23" s="1"/>
  <c r="C1142" i="23"/>
  <c r="X1142" i="23" s="1"/>
  <c r="C1141" i="23"/>
  <c r="X1141" i="23" s="1"/>
  <c r="C1140" i="23"/>
  <c r="X1140" i="23" s="1"/>
  <c r="C1139" i="23"/>
  <c r="X1139" i="23" s="1"/>
  <c r="C1138" i="23"/>
  <c r="X1138" i="23" s="1"/>
  <c r="C1137" i="23"/>
  <c r="X1137" i="23" s="1"/>
  <c r="C1136" i="23"/>
  <c r="X1136" i="23" s="1"/>
  <c r="C1135" i="23"/>
  <c r="X1135" i="23" s="1"/>
  <c r="C1134" i="23"/>
  <c r="X1134" i="23" s="1"/>
  <c r="C1133" i="23"/>
  <c r="X1133" i="23" s="1"/>
  <c r="C1132" i="23"/>
  <c r="X1132" i="23" s="1"/>
  <c r="C1131" i="23"/>
  <c r="X1131" i="23" s="1"/>
  <c r="C1130" i="23"/>
  <c r="X1130" i="23" s="1"/>
  <c r="C1129" i="23"/>
  <c r="X1129" i="23" s="1"/>
  <c r="C1128" i="23"/>
  <c r="X1128" i="23" s="1"/>
  <c r="C1127" i="23"/>
  <c r="X1127" i="23" s="1"/>
  <c r="C1126" i="23"/>
  <c r="X1126" i="23" s="1"/>
  <c r="C1125" i="23"/>
  <c r="X1125" i="23" s="1"/>
  <c r="C1124" i="23"/>
  <c r="X1124" i="23" s="1"/>
  <c r="C1123" i="23"/>
  <c r="X1123" i="23" s="1"/>
  <c r="C1122" i="23"/>
  <c r="X1122" i="23" s="1"/>
  <c r="C1121" i="23"/>
  <c r="X1121" i="23" s="1"/>
  <c r="C1120" i="23"/>
  <c r="X1120" i="23" s="1"/>
  <c r="C1119" i="23"/>
  <c r="X1119" i="23" s="1"/>
  <c r="C1118" i="23"/>
  <c r="X1118" i="23" s="1"/>
  <c r="C1117" i="23"/>
  <c r="X1117" i="23" s="1"/>
  <c r="C1116" i="23"/>
  <c r="X1116" i="23" s="1"/>
  <c r="C1115" i="23"/>
  <c r="X1115" i="23" s="1"/>
  <c r="C1114" i="23"/>
  <c r="X1114" i="23" s="1"/>
  <c r="C1113" i="23"/>
  <c r="X1113" i="23" s="1"/>
  <c r="C1112" i="23"/>
  <c r="X1112" i="23" s="1"/>
  <c r="C1111" i="23"/>
  <c r="X1111" i="23" s="1"/>
  <c r="C1110" i="23"/>
  <c r="X1110" i="23" s="1"/>
  <c r="C1109" i="23"/>
  <c r="X1109" i="23" s="1"/>
  <c r="C1108" i="23"/>
  <c r="X1108" i="23" s="1"/>
  <c r="C1107" i="23"/>
  <c r="X1107" i="23" s="1"/>
  <c r="C1106" i="23"/>
  <c r="X1106" i="23" s="1"/>
  <c r="C1105" i="23"/>
  <c r="X1105" i="23" s="1"/>
  <c r="C1104" i="23"/>
  <c r="X1104" i="23" s="1"/>
  <c r="C1103" i="23"/>
  <c r="X1103" i="23" s="1"/>
  <c r="C1102" i="23"/>
  <c r="X1102" i="23" s="1"/>
  <c r="C1101" i="23"/>
  <c r="X1101" i="23" s="1"/>
  <c r="C1100" i="23"/>
  <c r="X1100" i="23" s="1"/>
  <c r="C1099" i="23"/>
  <c r="X1099" i="23" s="1"/>
  <c r="C1098" i="23"/>
  <c r="X1098" i="23" s="1"/>
  <c r="C1097" i="23"/>
  <c r="X1097" i="23" s="1"/>
  <c r="C1096" i="23"/>
  <c r="X1096" i="23" s="1"/>
  <c r="C1095" i="23"/>
  <c r="X1095" i="23" s="1"/>
  <c r="C1094" i="23"/>
  <c r="X1094" i="23" s="1"/>
  <c r="C1093" i="23"/>
  <c r="X1093" i="23" s="1"/>
  <c r="C1092" i="23"/>
  <c r="X1092" i="23" s="1"/>
  <c r="C1091" i="23"/>
  <c r="X1091" i="23" s="1"/>
  <c r="C1090" i="23"/>
  <c r="X1090" i="23" s="1"/>
  <c r="C1089" i="23"/>
  <c r="X1089" i="23" s="1"/>
  <c r="C1088" i="23"/>
  <c r="X1088" i="23" s="1"/>
  <c r="C1087" i="23"/>
  <c r="X1087" i="23" s="1"/>
  <c r="C1086" i="23"/>
  <c r="X1086" i="23" s="1"/>
  <c r="C1085" i="23"/>
  <c r="X1085" i="23" s="1"/>
  <c r="C1084" i="23"/>
  <c r="X1084" i="23" s="1"/>
  <c r="C1083" i="23"/>
  <c r="X1083" i="23" s="1"/>
  <c r="C1082" i="23"/>
  <c r="X1082" i="23" s="1"/>
  <c r="C1081" i="23"/>
  <c r="X1081" i="23" s="1"/>
  <c r="C1080" i="23"/>
  <c r="X1080" i="23" s="1"/>
  <c r="C1079" i="23"/>
  <c r="X1079" i="23" s="1"/>
  <c r="C1078" i="23"/>
  <c r="X1078" i="23" s="1"/>
  <c r="C1077" i="23"/>
  <c r="X1077" i="23" s="1"/>
  <c r="C1076" i="23"/>
  <c r="X1076" i="23" s="1"/>
  <c r="C1075" i="23"/>
  <c r="X1075" i="23" s="1"/>
  <c r="C1074" i="23"/>
  <c r="X1074" i="23" s="1"/>
  <c r="C1073" i="23"/>
  <c r="X1073" i="23" s="1"/>
  <c r="C1072" i="23"/>
  <c r="X1072" i="23" s="1"/>
  <c r="C1071" i="23"/>
  <c r="X1071" i="23" s="1"/>
  <c r="C1070" i="23"/>
  <c r="X1070" i="23" s="1"/>
  <c r="C1069" i="23"/>
  <c r="X1069" i="23" s="1"/>
  <c r="C1068" i="23"/>
  <c r="X1068" i="23" s="1"/>
  <c r="C1067" i="23"/>
  <c r="X1067" i="23" s="1"/>
  <c r="C1066" i="23"/>
  <c r="X1066" i="23" s="1"/>
  <c r="C1065" i="23"/>
  <c r="X1065" i="23" s="1"/>
  <c r="C1064" i="23"/>
  <c r="X1064" i="23" s="1"/>
  <c r="C1063" i="23"/>
  <c r="X1063" i="23" s="1"/>
  <c r="C1062" i="23"/>
  <c r="X1062" i="23" s="1"/>
  <c r="C1061" i="23"/>
  <c r="X1061" i="23" s="1"/>
  <c r="C1060" i="23"/>
  <c r="X1060" i="23" s="1"/>
  <c r="C1059" i="23"/>
  <c r="X1059" i="23" s="1"/>
  <c r="C1058" i="23"/>
  <c r="X1058" i="23" s="1"/>
  <c r="C1057" i="23"/>
  <c r="X1057" i="23" s="1"/>
  <c r="C1056" i="23"/>
  <c r="X1056" i="23" s="1"/>
  <c r="C1055" i="23"/>
  <c r="X1055" i="23" s="1"/>
  <c r="C1054" i="23"/>
  <c r="X1054" i="23" s="1"/>
  <c r="C1053" i="23"/>
  <c r="X1053" i="23" s="1"/>
  <c r="C1052" i="23"/>
  <c r="X1052" i="23" s="1"/>
  <c r="C1051" i="23"/>
  <c r="X1051" i="23" s="1"/>
  <c r="C1050" i="23"/>
  <c r="X1050" i="23" s="1"/>
  <c r="C1049" i="23"/>
  <c r="X1049" i="23" s="1"/>
  <c r="C1048" i="23"/>
  <c r="X1048" i="23" s="1"/>
  <c r="C1047" i="23"/>
  <c r="X1047" i="23" s="1"/>
  <c r="C1046" i="23"/>
  <c r="X1046" i="23" s="1"/>
  <c r="C1045" i="23"/>
  <c r="X1045" i="23" s="1"/>
  <c r="C1044" i="23"/>
  <c r="X1044" i="23" s="1"/>
  <c r="C1043" i="23"/>
  <c r="X1043" i="23" s="1"/>
  <c r="C1042" i="23"/>
  <c r="X1042" i="23" s="1"/>
  <c r="C1041" i="23"/>
  <c r="X1041" i="23" s="1"/>
  <c r="C1040" i="23"/>
  <c r="X1040" i="23" s="1"/>
  <c r="C1039" i="23"/>
  <c r="X1039" i="23" s="1"/>
  <c r="C1038" i="23"/>
  <c r="X1038" i="23" s="1"/>
  <c r="C1037" i="23"/>
  <c r="X1037" i="23" s="1"/>
  <c r="C1036" i="23"/>
  <c r="X1036" i="23" s="1"/>
  <c r="C1035" i="23"/>
  <c r="X1035" i="23" s="1"/>
  <c r="C1034" i="23"/>
  <c r="X1034" i="23" s="1"/>
  <c r="C1033" i="23"/>
  <c r="X1033" i="23" s="1"/>
  <c r="C1032" i="23"/>
  <c r="X1032" i="23" s="1"/>
  <c r="C1031" i="23"/>
  <c r="X1031" i="23" s="1"/>
  <c r="C1030" i="23"/>
  <c r="X1030" i="23" s="1"/>
  <c r="C1029" i="23"/>
  <c r="X1029" i="23" s="1"/>
  <c r="C1028" i="23"/>
  <c r="X1028" i="23" s="1"/>
  <c r="C1027" i="23"/>
  <c r="X1027" i="23" s="1"/>
  <c r="C1026" i="23"/>
  <c r="X1026" i="23" s="1"/>
  <c r="C1025" i="23"/>
  <c r="X1025" i="23" s="1"/>
  <c r="C1024" i="23"/>
  <c r="X1024" i="23" s="1"/>
  <c r="C1023" i="23"/>
  <c r="X1023" i="23" s="1"/>
  <c r="C1022" i="23"/>
  <c r="X1022" i="23" s="1"/>
  <c r="C1021" i="23"/>
  <c r="X1021" i="23" s="1"/>
  <c r="C1020" i="23"/>
  <c r="X1020" i="23" s="1"/>
  <c r="C1019" i="23"/>
  <c r="X1019" i="23" s="1"/>
  <c r="C1018" i="23"/>
  <c r="X1018" i="23" s="1"/>
  <c r="C1017" i="23"/>
  <c r="X1017" i="23" s="1"/>
  <c r="C1016" i="23"/>
  <c r="X1016" i="23" s="1"/>
  <c r="C1015" i="23"/>
  <c r="X1015" i="23" s="1"/>
  <c r="C1014" i="23"/>
  <c r="X1014" i="23" s="1"/>
  <c r="C1013" i="23"/>
  <c r="X1013" i="23" s="1"/>
  <c r="C1012" i="23"/>
  <c r="X1012" i="23" s="1"/>
  <c r="C1011" i="23"/>
  <c r="X1011" i="23" s="1"/>
  <c r="C1010" i="23"/>
  <c r="X1010" i="23" s="1"/>
  <c r="C1009" i="23"/>
  <c r="X1009" i="23" s="1"/>
  <c r="C1008" i="23"/>
  <c r="X1008" i="23" s="1"/>
  <c r="C1007" i="23"/>
  <c r="X1007" i="23" s="1"/>
  <c r="C1006" i="23"/>
  <c r="X1006" i="23" s="1"/>
  <c r="C1005" i="23"/>
  <c r="X1005" i="23" s="1"/>
  <c r="C1004" i="23"/>
  <c r="X1004" i="23" s="1"/>
  <c r="C1003" i="23"/>
  <c r="X1003" i="23" s="1"/>
  <c r="C1002" i="23"/>
  <c r="X1002" i="23" s="1"/>
  <c r="C1001" i="23"/>
  <c r="X1001" i="23" s="1"/>
  <c r="C1000" i="23"/>
  <c r="X1000" i="23" s="1"/>
  <c r="C999" i="23"/>
  <c r="X999" i="23" s="1"/>
  <c r="C998" i="23"/>
  <c r="X998" i="23" s="1"/>
  <c r="C997" i="23"/>
  <c r="X997" i="23" s="1"/>
  <c r="C996" i="23"/>
  <c r="X996" i="23" s="1"/>
  <c r="C995" i="23"/>
  <c r="X995" i="23" s="1"/>
  <c r="C994" i="23"/>
  <c r="X994" i="23" s="1"/>
  <c r="C993" i="23"/>
  <c r="X993" i="23" s="1"/>
  <c r="C992" i="23"/>
  <c r="X992" i="23" s="1"/>
  <c r="C991" i="23"/>
  <c r="X991" i="23" s="1"/>
  <c r="C990" i="23"/>
  <c r="X990" i="23" s="1"/>
  <c r="C989" i="23"/>
  <c r="X989" i="23" s="1"/>
  <c r="C988" i="23"/>
  <c r="X988" i="23" s="1"/>
  <c r="C987" i="23"/>
  <c r="X987" i="23" s="1"/>
  <c r="C986" i="23"/>
  <c r="X986" i="23" s="1"/>
  <c r="C985" i="23"/>
  <c r="X985" i="23" s="1"/>
  <c r="C984" i="23"/>
  <c r="X984" i="23" s="1"/>
  <c r="C983" i="23"/>
  <c r="X983" i="23" s="1"/>
  <c r="C982" i="23"/>
  <c r="X982" i="23" s="1"/>
  <c r="C981" i="23"/>
  <c r="X981" i="23" s="1"/>
  <c r="C980" i="23"/>
  <c r="X980" i="23" s="1"/>
  <c r="C979" i="23"/>
  <c r="X979" i="23" s="1"/>
  <c r="C978" i="23"/>
  <c r="X978" i="23" s="1"/>
  <c r="C977" i="23"/>
  <c r="X977" i="23" s="1"/>
  <c r="C976" i="23"/>
  <c r="X976" i="23" s="1"/>
  <c r="C975" i="23"/>
  <c r="X975" i="23" s="1"/>
  <c r="C974" i="23"/>
  <c r="X974" i="23" s="1"/>
  <c r="C973" i="23"/>
  <c r="X973" i="23" s="1"/>
  <c r="C972" i="23"/>
  <c r="X972" i="23" s="1"/>
  <c r="C971" i="23"/>
  <c r="X971" i="23" s="1"/>
  <c r="C970" i="23"/>
  <c r="X970" i="23" s="1"/>
  <c r="C969" i="23"/>
  <c r="X969" i="23" s="1"/>
  <c r="C968" i="23"/>
  <c r="X968" i="23" s="1"/>
  <c r="C967" i="23"/>
  <c r="X967" i="23" s="1"/>
  <c r="C966" i="23"/>
  <c r="X966" i="23" s="1"/>
  <c r="C965" i="23"/>
  <c r="X965" i="23" s="1"/>
  <c r="C964" i="23"/>
  <c r="X964" i="23" s="1"/>
  <c r="C963" i="23"/>
  <c r="X963" i="23" s="1"/>
  <c r="C962" i="23"/>
  <c r="X962" i="23" s="1"/>
  <c r="C961" i="23"/>
  <c r="X961" i="23" s="1"/>
  <c r="C960" i="23"/>
  <c r="X960" i="23" s="1"/>
  <c r="C959" i="23"/>
  <c r="X959" i="23" s="1"/>
  <c r="C958" i="23"/>
  <c r="X958" i="23" s="1"/>
  <c r="C957" i="23"/>
  <c r="X957" i="23" s="1"/>
  <c r="C956" i="23"/>
  <c r="X956" i="23" s="1"/>
  <c r="C955" i="23"/>
  <c r="X955" i="23" s="1"/>
  <c r="C954" i="23"/>
  <c r="X954" i="23" s="1"/>
  <c r="C953" i="23"/>
  <c r="X953" i="23" s="1"/>
  <c r="C952" i="23"/>
  <c r="X952" i="23" s="1"/>
  <c r="C951" i="23"/>
  <c r="X951" i="23" s="1"/>
  <c r="C950" i="23"/>
  <c r="X950" i="23" s="1"/>
  <c r="C949" i="23"/>
  <c r="X949" i="23" s="1"/>
  <c r="C948" i="23"/>
  <c r="X948" i="23" s="1"/>
  <c r="C947" i="23"/>
  <c r="X947" i="23" s="1"/>
  <c r="C946" i="23"/>
  <c r="X946" i="23" s="1"/>
  <c r="C945" i="23"/>
  <c r="X945" i="23" s="1"/>
  <c r="C944" i="23"/>
  <c r="X944" i="23" s="1"/>
  <c r="C943" i="23"/>
  <c r="X943" i="23" s="1"/>
  <c r="C942" i="23"/>
  <c r="X942" i="23" s="1"/>
  <c r="C941" i="23"/>
  <c r="X941" i="23" s="1"/>
  <c r="C940" i="23"/>
  <c r="X940" i="23" s="1"/>
  <c r="C939" i="23"/>
  <c r="X939" i="23" s="1"/>
  <c r="C938" i="23"/>
  <c r="X938" i="23" s="1"/>
  <c r="C937" i="23"/>
  <c r="X937" i="23" s="1"/>
  <c r="C936" i="23"/>
  <c r="X936" i="23" s="1"/>
  <c r="C935" i="23"/>
  <c r="X935" i="23" s="1"/>
  <c r="C934" i="23"/>
  <c r="X934" i="23" s="1"/>
  <c r="C933" i="23"/>
  <c r="X933" i="23" s="1"/>
  <c r="C932" i="23"/>
  <c r="X932" i="23" s="1"/>
  <c r="C931" i="23"/>
  <c r="X931" i="23" s="1"/>
  <c r="C930" i="23"/>
  <c r="X930" i="23" s="1"/>
  <c r="C929" i="23"/>
  <c r="X929" i="23" s="1"/>
  <c r="C928" i="23"/>
  <c r="X928" i="23" s="1"/>
  <c r="C927" i="23"/>
  <c r="X927" i="23" s="1"/>
  <c r="C926" i="23"/>
  <c r="X926" i="23" s="1"/>
  <c r="C925" i="23"/>
  <c r="X925" i="23" s="1"/>
  <c r="C924" i="23"/>
  <c r="X924" i="23" s="1"/>
  <c r="C923" i="23"/>
  <c r="X923" i="23" s="1"/>
  <c r="C922" i="23"/>
  <c r="X922" i="23" s="1"/>
  <c r="C921" i="23"/>
  <c r="X921" i="23" s="1"/>
  <c r="C920" i="23"/>
  <c r="X920" i="23" s="1"/>
  <c r="C919" i="23"/>
  <c r="X919" i="23" s="1"/>
  <c r="C918" i="23"/>
  <c r="X918" i="23" s="1"/>
  <c r="C917" i="23"/>
  <c r="X917" i="23" s="1"/>
  <c r="C916" i="23"/>
  <c r="X916" i="23" s="1"/>
  <c r="C915" i="23"/>
  <c r="X915" i="23" s="1"/>
  <c r="C914" i="23"/>
  <c r="X914" i="23" s="1"/>
  <c r="C913" i="23"/>
  <c r="X913" i="23" s="1"/>
  <c r="C912" i="23"/>
  <c r="X912" i="23" s="1"/>
  <c r="C911" i="23"/>
  <c r="X911" i="23" s="1"/>
  <c r="C910" i="23"/>
  <c r="X910" i="23" s="1"/>
  <c r="C909" i="23"/>
  <c r="X909" i="23" s="1"/>
  <c r="C908" i="23"/>
  <c r="X908" i="23" s="1"/>
  <c r="C907" i="23"/>
  <c r="X907" i="23" s="1"/>
  <c r="C906" i="23"/>
  <c r="X906" i="23" s="1"/>
  <c r="C905" i="23"/>
  <c r="X905" i="23" s="1"/>
  <c r="C904" i="23"/>
  <c r="X904" i="23" s="1"/>
  <c r="C903" i="23"/>
  <c r="X903" i="23" s="1"/>
  <c r="C902" i="23"/>
  <c r="X902" i="23" s="1"/>
  <c r="C901" i="23"/>
  <c r="X901" i="23" s="1"/>
  <c r="C900" i="23"/>
  <c r="X900" i="23" s="1"/>
  <c r="C899" i="23"/>
  <c r="X899" i="23" s="1"/>
  <c r="C898" i="23"/>
  <c r="X898" i="23" s="1"/>
  <c r="C897" i="23"/>
  <c r="X897" i="23" s="1"/>
  <c r="C896" i="23"/>
  <c r="X896" i="23" s="1"/>
  <c r="C895" i="23"/>
  <c r="X895" i="23" s="1"/>
  <c r="C894" i="23"/>
  <c r="X894" i="23" s="1"/>
  <c r="C893" i="23"/>
  <c r="X893" i="23" s="1"/>
  <c r="C892" i="23"/>
  <c r="X892" i="23" s="1"/>
  <c r="C891" i="23"/>
  <c r="X891" i="23" s="1"/>
  <c r="C890" i="23"/>
  <c r="X890" i="23" s="1"/>
  <c r="C889" i="23"/>
  <c r="X889" i="23" s="1"/>
  <c r="C888" i="23"/>
  <c r="X888" i="23" s="1"/>
  <c r="C887" i="23"/>
  <c r="X887" i="23" s="1"/>
  <c r="C886" i="23"/>
  <c r="X886" i="23" s="1"/>
  <c r="C885" i="23"/>
  <c r="X885" i="23" s="1"/>
  <c r="C884" i="23"/>
  <c r="X884" i="23" s="1"/>
  <c r="C883" i="23"/>
  <c r="X883" i="23" s="1"/>
  <c r="C882" i="23"/>
  <c r="X882" i="23" s="1"/>
  <c r="C881" i="23"/>
  <c r="X881" i="23" s="1"/>
  <c r="C880" i="23"/>
  <c r="X880" i="23" s="1"/>
  <c r="C879" i="23"/>
  <c r="X879" i="23" s="1"/>
  <c r="C878" i="23"/>
  <c r="X878" i="23" s="1"/>
  <c r="C877" i="23"/>
  <c r="X877" i="23" s="1"/>
  <c r="C876" i="23"/>
  <c r="X876" i="23" s="1"/>
  <c r="C875" i="23"/>
  <c r="X875" i="23" s="1"/>
  <c r="C874" i="23"/>
  <c r="X874" i="23" s="1"/>
  <c r="C873" i="23"/>
  <c r="X873" i="23" s="1"/>
  <c r="C872" i="23"/>
  <c r="X872" i="23" s="1"/>
  <c r="C871" i="23"/>
  <c r="X871" i="23" s="1"/>
  <c r="C870" i="23"/>
  <c r="X870" i="23" s="1"/>
  <c r="C869" i="23"/>
  <c r="X869" i="23" s="1"/>
  <c r="C868" i="23"/>
  <c r="X868" i="23" s="1"/>
  <c r="C867" i="23"/>
  <c r="X867" i="23" s="1"/>
  <c r="C866" i="23"/>
  <c r="X866" i="23" s="1"/>
  <c r="C865" i="23"/>
  <c r="X865" i="23" s="1"/>
  <c r="C864" i="23"/>
  <c r="X864" i="23" s="1"/>
  <c r="C863" i="23"/>
  <c r="X863" i="23" s="1"/>
  <c r="C862" i="23"/>
  <c r="X862" i="23" s="1"/>
  <c r="C861" i="23"/>
  <c r="X861" i="23" s="1"/>
  <c r="C860" i="23"/>
  <c r="X860" i="23" s="1"/>
  <c r="C859" i="23"/>
  <c r="X859" i="23" s="1"/>
  <c r="C858" i="23"/>
  <c r="X858" i="23" s="1"/>
  <c r="C857" i="23"/>
  <c r="X857" i="23" s="1"/>
  <c r="C856" i="23"/>
  <c r="X856" i="23" s="1"/>
  <c r="C855" i="23"/>
  <c r="X855" i="23" s="1"/>
  <c r="C854" i="23"/>
  <c r="X854" i="23" s="1"/>
  <c r="C853" i="23"/>
  <c r="X853" i="23" s="1"/>
  <c r="C852" i="23"/>
  <c r="X852" i="23" s="1"/>
  <c r="C851" i="23"/>
  <c r="X851" i="23" s="1"/>
  <c r="C850" i="23"/>
  <c r="X850" i="23" s="1"/>
  <c r="C849" i="23"/>
  <c r="X849" i="23" s="1"/>
  <c r="C848" i="23"/>
  <c r="X848" i="23" s="1"/>
  <c r="C847" i="23"/>
  <c r="X847" i="23" s="1"/>
  <c r="C846" i="23"/>
  <c r="X846" i="23" s="1"/>
  <c r="C845" i="23"/>
  <c r="X845" i="23" s="1"/>
  <c r="C844" i="23"/>
  <c r="X844" i="23" s="1"/>
  <c r="C843" i="23"/>
  <c r="X843" i="23" s="1"/>
  <c r="C842" i="23"/>
  <c r="X842" i="23" s="1"/>
  <c r="C841" i="23"/>
  <c r="X841" i="23" s="1"/>
  <c r="C840" i="23"/>
  <c r="X840" i="23" s="1"/>
  <c r="C839" i="23"/>
  <c r="X839" i="23" s="1"/>
  <c r="C838" i="23"/>
  <c r="X838" i="23" s="1"/>
  <c r="C837" i="23"/>
  <c r="X837" i="23" s="1"/>
  <c r="C836" i="23"/>
  <c r="X836" i="23" s="1"/>
  <c r="C835" i="23"/>
  <c r="X835" i="23" s="1"/>
  <c r="C834" i="23"/>
  <c r="X834" i="23" s="1"/>
  <c r="C833" i="23"/>
  <c r="X833" i="23" s="1"/>
  <c r="C832" i="23"/>
  <c r="X832" i="23" s="1"/>
  <c r="C831" i="23"/>
  <c r="X831" i="23" s="1"/>
  <c r="C830" i="23"/>
  <c r="X830" i="23" s="1"/>
  <c r="C829" i="23"/>
  <c r="X829" i="23" s="1"/>
  <c r="C828" i="23"/>
  <c r="X828" i="23" s="1"/>
  <c r="C827" i="23"/>
  <c r="X827" i="23" s="1"/>
  <c r="C826" i="23"/>
  <c r="X826" i="23" s="1"/>
  <c r="C825" i="23"/>
  <c r="X825" i="23" s="1"/>
  <c r="C824" i="23"/>
  <c r="X824" i="23" s="1"/>
  <c r="C823" i="23"/>
  <c r="X823" i="23" s="1"/>
  <c r="C822" i="23"/>
  <c r="X822" i="23" s="1"/>
  <c r="C821" i="23"/>
  <c r="X821" i="23" s="1"/>
  <c r="C820" i="23"/>
  <c r="X820" i="23" s="1"/>
  <c r="C819" i="23"/>
  <c r="X819" i="23" s="1"/>
  <c r="C818" i="23"/>
  <c r="X818" i="23" s="1"/>
  <c r="C817" i="23"/>
  <c r="X817" i="23" s="1"/>
  <c r="C816" i="23"/>
  <c r="X816" i="23" s="1"/>
  <c r="C815" i="23"/>
  <c r="X815" i="23" s="1"/>
  <c r="C814" i="23"/>
  <c r="X814" i="23" s="1"/>
  <c r="C813" i="23"/>
  <c r="X813" i="23" s="1"/>
  <c r="C812" i="23"/>
  <c r="X812" i="23" s="1"/>
  <c r="C811" i="23"/>
  <c r="X811" i="23" s="1"/>
  <c r="C810" i="23"/>
  <c r="X810" i="23" s="1"/>
  <c r="C809" i="23"/>
  <c r="X809" i="23" s="1"/>
  <c r="C808" i="23"/>
  <c r="X808" i="23" s="1"/>
  <c r="C807" i="23"/>
  <c r="X807" i="23" s="1"/>
  <c r="C806" i="23"/>
  <c r="X806" i="23" s="1"/>
  <c r="C805" i="23"/>
  <c r="X805" i="23" s="1"/>
  <c r="C804" i="23"/>
  <c r="X804" i="23" s="1"/>
  <c r="C803" i="23"/>
  <c r="X803" i="23" s="1"/>
  <c r="C802" i="23"/>
  <c r="X802" i="23" s="1"/>
  <c r="C801" i="23"/>
  <c r="X801" i="23" s="1"/>
  <c r="C800" i="23"/>
  <c r="X800" i="23" s="1"/>
  <c r="C799" i="23"/>
  <c r="X799" i="23" s="1"/>
  <c r="C798" i="23"/>
  <c r="X798" i="23" s="1"/>
  <c r="C797" i="23"/>
  <c r="X797" i="23" s="1"/>
  <c r="C796" i="23"/>
  <c r="X796" i="23" s="1"/>
  <c r="C795" i="23"/>
  <c r="X795" i="23" s="1"/>
  <c r="C794" i="23"/>
  <c r="X794" i="23" s="1"/>
  <c r="C793" i="23"/>
  <c r="X793" i="23" s="1"/>
  <c r="C792" i="23"/>
  <c r="X792" i="23" s="1"/>
  <c r="C791" i="23"/>
  <c r="X791" i="23" s="1"/>
  <c r="C790" i="23"/>
  <c r="X790" i="23" s="1"/>
  <c r="C789" i="23"/>
  <c r="X789" i="23" s="1"/>
  <c r="C788" i="23"/>
  <c r="X788" i="23" s="1"/>
  <c r="C787" i="23"/>
  <c r="X787" i="23" s="1"/>
  <c r="C786" i="23"/>
  <c r="X786" i="23" s="1"/>
  <c r="C785" i="23"/>
  <c r="X785" i="23" s="1"/>
  <c r="C784" i="23"/>
  <c r="X784" i="23" s="1"/>
  <c r="C783" i="23"/>
  <c r="X783" i="23" s="1"/>
  <c r="C782" i="23"/>
  <c r="X782" i="23" s="1"/>
  <c r="C781" i="23"/>
  <c r="X781" i="23" s="1"/>
  <c r="C780" i="23"/>
  <c r="X780" i="23" s="1"/>
  <c r="C779" i="23"/>
  <c r="X779" i="23" s="1"/>
  <c r="C778" i="23"/>
  <c r="X778" i="23" s="1"/>
  <c r="C777" i="23"/>
  <c r="X777" i="23" s="1"/>
  <c r="C776" i="23"/>
  <c r="X776" i="23" s="1"/>
  <c r="C775" i="23"/>
  <c r="X775" i="23" s="1"/>
  <c r="C774" i="23"/>
  <c r="X774" i="23" s="1"/>
  <c r="C773" i="23"/>
  <c r="X773" i="23" s="1"/>
  <c r="C772" i="23"/>
  <c r="X772" i="23" s="1"/>
  <c r="C771" i="23"/>
  <c r="X771" i="23" s="1"/>
  <c r="C770" i="23"/>
  <c r="X770" i="23" s="1"/>
  <c r="C769" i="23"/>
  <c r="X769" i="23" s="1"/>
  <c r="C768" i="23"/>
  <c r="X768" i="23" s="1"/>
  <c r="C767" i="23"/>
  <c r="X767" i="23" s="1"/>
  <c r="C766" i="23"/>
  <c r="X766" i="23" s="1"/>
  <c r="C765" i="23"/>
  <c r="X765" i="23" s="1"/>
  <c r="C764" i="23"/>
  <c r="X764" i="23" s="1"/>
  <c r="C763" i="23"/>
  <c r="X763" i="23" s="1"/>
  <c r="C762" i="23"/>
  <c r="X762" i="23" s="1"/>
  <c r="C761" i="23"/>
  <c r="X761" i="23" s="1"/>
  <c r="C760" i="23"/>
  <c r="X760" i="23" s="1"/>
  <c r="C759" i="23"/>
  <c r="X759" i="23" s="1"/>
  <c r="C758" i="23"/>
  <c r="X758" i="23" s="1"/>
  <c r="C757" i="23"/>
  <c r="X757" i="23" s="1"/>
  <c r="C756" i="23"/>
  <c r="X756" i="23" s="1"/>
  <c r="C755" i="23"/>
  <c r="X755" i="23" s="1"/>
  <c r="C754" i="23"/>
  <c r="X754" i="23" s="1"/>
  <c r="C753" i="23"/>
  <c r="X753" i="23" s="1"/>
  <c r="C752" i="23"/>
  <c r="X752" i="23" s="1"/>
  <c r="C751" i="23"/>
  <c r="X751" i="23" s="1"/>
  <c r="C750" i="23"/>
  <c r="X750" i="23" s="1"/>
  <c r="C749" i="23"/>
  <c r="X749" i="23" s="1"/>
  <c r="C748" i="23"/>
  <c r="X748" i="23" s="1"/>
  <c r="C747" i="23"/>
  <c r="X747" i="23" s="1"/>
  <c r="C746" i="23"/>
  <c r="X746" i="23" s="1"/>
  <c r="C745" i="23"/>
  <c r="X745" i="23" s="1"/>
  <c r="C744" i="23"/>
  <c r="X744" i="23" s="1"/>
  <c r="C743" i="23"/>
  <c r="X743" i="23" s="1"/>
  <c r="C742" i="23"/>
  <c r="X742" i="23" s="1"/>
  <c r="C741" i="23"/>
  <c r="X741" i="23" s="1"/>
  <c r="C740" i="23"/>
  <c r="X740" i="23" s="1"/>
  <c r="C739" i="23"/>
  <c r="X739" i="23" s="1"/>
  <c r="C738" i="23"/>
  <c r="X738" i="23" s="1"/>
  <c r="C737" i="23"/>
  <c r="X737" i="23" s="1"/>
  <c r="C736" i="23"/>
  <c r="X736" i="23" s="1"/>
  <c r="C735" i="23"/>
  <c r="X735" i="23" s="1"/>
  <c r="C734" i="23"/>
  <c r="X734" i="23" s="1"/>
  <c r="C733" i="23"/>
  <c r="X733" i="23" s="1"/>
  <c r="C732" i="23"/>
  <c r="X732" i="23" s="1"/>
  <c r="C731" i="23"/>
  <c r="X731" i="23" s="1"/>
  <c r="C730" i="23"/>
  <c r="X730" i="23" s="1"/>
  <c r="C729" i="23"/>
  <c r="X729" i="23" s="1"/>
  <c r="C728" i="23"/>
  <c r="X728" i="23" s="1"/>
  <c r="C727" i="23"/>
  <c r="X727" i="23" s="1"/>
  <c r="C726" i="23"/>
  <c r="X726" i="23" s="1"/>
  <c r="C725" i="23"/>
  <c r="X725" i="23" s="1"/>
  <c r="C724" i="23"/>
  <c r="X724" i="23" s="1"/>
  <c r="C723" i="23"/>
  <c r="X723" i="23" s="1"/>
  <c r="C722" i="23"/>
  <c r="X722" i="23" s="1"/>
  <c r="C721" i="23"/>
  <c r="X721" i="23" s="1"/>
  <c r="C720" i="23"/>
  <c r="X720" i="23" s="1"/>
  <c r="C719" i="23"/>
  <c r="X719" i="23" s="1"/>
  <c r="C718" i="23"/>
  <c r="X718" i="23" s="1"/>
  <c r="C717" i="23"/>
  <c r="X717" i="23" s="1"/>
  <c r="C716" i="23"/>
  <c r="X716" i="23" s="1"/>
  <c r="C715" i="23"/>
  <c r="X715" i="23" s="1"/>
  <c r="C714" i="23"/>
  <c r="X714" i="23" s="1"/>
  <c r="C713" i="23"/>
  <c r="X713" i="23" s="1"/>
  <c r="C712" i="23"/>
  <c r="X712" i="23" s="1"/>
  <c r="C711" i="23"/>
  <c r="X711" i="23" s="1"/>
  <c r="C710" i="23"/>
  <c r="X710" i="23" s="1"/>
  <c r="C709" i="23"/>
  <c r="X709" i="23" s="1"/>
  <c r="C708" i="23"/>
  <c r="X708" i="23" s="1"/>
  <c r="C707" i="23"/>
  <c r="X707" i="23" s="1"/>
  <c r="C706" i="23"/>
  <c r="X706" i="23" s="1"/>
  <c r="C705" i="23"/>
  <c r="X705" i="23" s="1"/>
  <c r="C704" i="23"/>
  <c r="X704" i="23" s="1"/>
  <c r="C703" i="23"/>
  <c r="X703" i="23" s="1"/>
  <c r="C702" i="23"/>
  <c r="X702" i="23" s="1"/>
  <c r="C701" i="23"/>
  <c r="X701" i="23" s="1"/>
  <c r="C700" i="23"/>
  <c r="X700" i="23" s="1"/>
  <c r="C699" i="23"/>
  <c r="X699" i="23" s="1"/>
  <c r="C698" i="23"/>
  <c r="X698" i="23" s="1"/>
  <c r="C697" i="23"/>
  <c r="X697" i="23" s="1"/>
  <c r="C696" i="23"/>
  <c r="X696" i="23" s="1"/>
  <c r="C695" i="23"/>
  <c r="X695" i="23" s="1"/>
  <c r="C694" i="23"/>
  <c r="X694" i="23" s="1"/>
  <c r="C693" i="23"/>
  <c r="X693" i="23" s="1"/>
  <c r="C692" i="23"/>
  <c r="X692" i="23" s="1"/>
  <c r="C691" i="23"/>
  <c r="X691" i="23" s="1"/>
  <c r="C690" i="23"/>
  <c r="X690" i="23" s="1"/>
  <c r="C689" i="23"/>
  <c r="X689" i="23" s="1"/>
  <c r="C688" i="23"/>
  <c r="X688" i="23" s="1"/>
  <c r="C687" i="23"/>
  <c r="X687" i="23" s="1"/>
  <c r="C686" i="23"/>
  <c r="X686" i="23" s="1"/>
  <c r="C685" i="23"/>
  <c r="X685" i="23" s="1"/>
  <c r="C684" i="23"/>
  <c r="X684" i="23" s="1"/>
  <c r="C683" i="23"/>
  <c r="X683" i="23" s="1"/>
  <c r="C682" i="23"/>
  <c r="X682" i="23" s="1"/>
  <c r="C681" i="23"/>
  <c r="X681" i="23" s="1"/>
  <c r="C680" i="23"/>
  <c r="X680" i="23" s="1"/>
  <c r="C679" i="23"/>
  <c r="X679" i="23" s="1"/>
  <c r="C678" i="23"/>
  <c r="X678" i="23" s="1"/>
  <c r="C677" i="23"/>
  <c r="X677" i="23" s="1"/>
  <c r="C676" i="23"/>
  <c r="X676" i="23" s="1"/>
  <c r="C675" i="23"/>
  <c r="X675" i="23" s="1"/>
  <c r="C674" i="23"/>
  <c r="X674" i="23" s="1"/>
  <c r="C673" i="23"/>
  <c r="X673" i="23" s="1"/>
  <c r="C672" i="23"/>
  <c r="X672" i="23" s="1"/>
  <c r="C671" i="23"/>
  <c r="X671" i="23" s="1"/>
  <c r="C670" i="23"/>
  <c r="X670" i="23" s="1"/>
  <c r="C669" i="23"/>
  <c r="X669" i="23" s="1"/>
  <c r="C668" i="23"/>
  <c r="X668" i="23" s="1"/>
  <c r="C667" i="23"/>
  <c r="X667" i="23" s="1"/>
  <c r="C666" i="23"/>
  <c r="X666" i="23" s="1"/>
  <c r="C665" i="23"/>
  <c r="X665" i="23" s="1"/>
  <c r="C664" i="23"/>
  <c r="X664" i="23" s="1"/>
  <c r="C663" i="23"/>
  <c r="X663" i="23" s="1"/>
  <c r="C662" i="23"/>
  <c r="X662" i="23" s="1"/>
  <c r="C661" i="23"/>
  <c r="X661" i="23" s="1"/>
  <c r="C660" i="23"/>
  <c r="X660" i="23" s="1"/>
  <c r="C659" i="23"/>
  <c r="X659" i="23" s="1"/>
  <c r="C658" i="23"/>
  <c r="X658" i="23" s="1"/>
  <c r="C657" i="23"/>
  <c r="X657" i="23" s="1"/>
  <c r="C656" i="23"/>
  <c r="X656" i="23" s="1"/>
  <c r="C655" i="23"/>
  <c r="X655" i="23" s="1"/>
  <c r="C654" i="23"/>
  <c r="X654" i="23" s="1"/>
  <c r="C653" i="23"/>
  <c r="X653" i="23" s="1"/>
  <c r="C652" i="23"/>
  <c r="X652" i="23" s="1"/>
  <c r="C651" i="23"/>
  <c r="X651" i="23" s="1"/>
  <c r="C650" i="23"/>
  <c r="X650" i="23" s="1"/>
  <c r="C649" i="23"/>
  <c r="X649" i="23" s="1"/>
  <c r="C648" i="23"/>
  <c r="X648" i="23" s="1"/>
  <c r="C647" i="23"/>
  <c r="X647" i="23" s="1"/>
  <c r="C646" i="23"/>
  <c r="X646" i="23" s="1"/>
  <c r="C645" i="23"/>
  <c r="X645" i="23" s="1"/>
  <c r="C644" i="23"/>
  <c r="X644" i="23" s="1"/>
  <c r="C643" i="23"/>
  <c r="X643" i="23" s="1"/>
  <c r="C642" i="23"/>
  <c r="X642" i="23" s="1"/>
  <c r="C641" i="23"/>
  <c r="X641" i="23" s="1"/>
  <c r="C640" i="23"/>
  <c r="X640" i="23" s="1"/>
  <c r="C639" i="23"/>
  <c r="X639" i="23" s="1"/>
  <c r="C638" i="23"/>
  <c r="X638" i="23" s="1"/>
  <c r="C637" i="23"/>
  <c r="X637" i="23" s="1"/>
  <c r="C636" i="23"/>
  <c r="X636" i="23" s="1"/>
  <c r="C635" i="23"/>
  <c r="X635" i="23" s="1"/>
  <c r="C634" i="23"/>
  <c r="X634" i="23" s="1"/>
  <c r="C633" i="23"/>
  <c r="X633" i="23" s="1"/>
  <c r="C632" i="23"/>
  <c r="X632" i="23" s="1"/>
  <c r="C631" i="23"/>
  <c r="X631" i="23" s="1"/>
  <c r="C630" i="23"/>
  <c r="X630" i="23" s="1"/>
  <c r="C629" i="23"/>
  <c r="X629" i="23" s="1"/>
  <c r="C628" i="23"/>
  <c r="X628" i="23" s="1"/>
  <c r="C627" i="23"/>
  <c r="X627" i="23" s="1"/>
  <c r="C626" i="23"/>
  <c r="X626" i="23" s="1"/>
  <c r="C625" i="23"/>
  <c r="X625" i="23" s="1"/>
  <c r="C624" i="23"/>
  <c r="X624" i="23" s="1"/>
  <c r="C623" i="23"/>
  <c r="X623" i="23" s="1"/>
  <c r="C622" i="23"/>
  <c r="X622" i="23" s="1"/>
  <c r="C621" i="23"/>
  <c r="X621" i="23" s="1"/>
  <c r="C620" i="23"/>
  <c r="X620" i="23" s="1"/>
  <c r="C619" i="23"/>
  <c r="X619" i="23" s="1"/>
  <c r="C618" i="23"/>
  <c r="X618" i="23" s="1"/>
  <c r="C617" i="23"/>
  <c r="X617" i="23" s="1"/>
  <c r="C616" i="23"/>
  <c r="X616" i="23" s="1"/>
  <c r="C615" i="23"/>
  <c r="X615" i="23" s="1"/>
  <c r="C614" i="23"/>
  <c r="X614" i="23" s="1"/>
  <c r="C613" i="23"/>
  <c r="X613" i="23" s="1"/>
  <c r="C612" i="23"/>
  <c r="X612" i="23" s="1"/>
  <c r="C611" i="23"/>
  <c r="X611" i="23" s="1"/>
  <c r="C610" i="23"/>
  <c r="X610" i="23" s="1"/>
  <c r="C609" i="23"/>
  <c r="X609" i="23" s="1"/>
  <c r="C608" i="23"/>
  <c r="X608" i="23" s="1"/>
  <c r="C607" i="23"/>
  <c r="X607" i="23" s="1"/>
  <c r="C606" i="23"/>
  <c r="X606" i="23" s="1"/>
  <c r="C605" i="23"/>
  <c r="X605" i="23" s="1"/>
  <c r="C604" i="23"/>
  <c r="X604" i="23" s="1"/>
  <c r="C603" i="23"/>
  <c r="X603" i="23" s="1"/>
  <c r="C602" i="23"/>
  <c r="X602" i="23" s="1"/>
  <c r="C601" i="23"/>
  <c r="X601" i="23" s="1"/>
  <c r="C600" i="23"/>
  <c r="X600" i="23" s="1"/>
  <c r="C599" i="23"/>
  <c r="X599" i="23" s="1"/>
  <c r="C598" i="23"/>
  <c r="X598" i="23" s="1"/>
  <c r="C597" i="23"/>
  <c r="X597" i="23" s="1"/>
  <c r="C596" i="23"/>
  <c r="X596" i="23" s="1"/>
  <c r="C595" i="23"/>
  <c r="X595" i="23" s="1"/>
  <c r="C594" i="23"/>
  <c r="X594" i="23" s="1"/>
  <c r="C593" i="23"/>
  <c r="X593" i="23" s="1"/>
  <c r="C592" i="23"/>
  <c r="X592" i="23" s="1"/>
  <c r="C591" i="23"/>
  <c r="X591" i="23" s="1"/>
  <c r="C590" i="23"/>
  <c r="X590" i="23" s="1"/>
  <c r="C589" i="23"/>
  <c r="X589" i="23" s="1"/>
  <c r="C588" i="23"/>
  <c r="X588" i="23" s="1"/>
  <c r="C587" i="23"/>
  <c r="X587" i="23" s="1"/>
  <c r="C586" i="23"/>
  <c r="X586" i="23" s="1"/>
  <c r="C585" i="23"/>
  <c r="X585" i="23" s="1"/>
  <c r="C584" i="23"/>
  <c r="X584" i="23" s="1"/>
  <c r="C583" i="23"/>
  <c r="X583" i="23" s="1"/>
  <c r="C582" i="23"/>
  <c r="X582" i="23" s="1"/>
  <c r="C581" i="23"/>
  <c r="X581" i="23" s="1"/>
  <c r="C580" i="23"/>
  <c r="X580" i="23" s="1"/>
  <c r="C579" i="23"/>
  <c r="X579" i="23" s="1"/>
  <c r="C578" i="23"/>
  <c r="X578" i="23" s="1"/>
  <c r="C577" i="23"/>
  <c r="X577" i="23" s="1"/>
  <c r="C576" i="23"/>
  <c r="X576" i="23" s="1"/>
  <c r="C575" i="23"/>
  <c r="X575" i="23" s="1"/>
  <c r="C574" i="23"/>
  <c r="X574" i="23" s="1"/>
  <c r="C573" i="23"/>
  <c r="X573" i="23" s="1"/>
  <c r="C572" i="23"/>
  <c r="X572" i="23" s="1"/>
  <c r="C571" i="23"/>
  <c r="X571" i="23" s="1"/>
  <c r="C570" i="23"/>
  <c r="X570" i="23" s="1"/>
  <c r="C569" i="23"/>
  <c r="X569" i="23" s="1"/>
  <c r="C568" i="23"/>
  <c r="X568" i="23" s="1"/>
  <c r="C567" i="23"/>
  <c r="X567" i="23" s="1"/>
  <c r="C566" i="23"/>
  <c r="X566" i="23" s="1"/>
  <c r="C565" i="23"/>
  <c r="X565" i="23" s="1"/>
  <c r="C564" i="23"/>
  <c r="X564" i="23" s="1"/>
  <c r="C563" i="23"/>
  <c r="X563" i="23" s="1"/>
  <c r="C562" i="23"/>
  <c r="X562" i="23" s="1"/>
  <c r="C561" i="23"/>
  <c r="X561" i="23" s="1"/>
  <c r="C560" i="23"/>
  <c r="X560" i="23" s="1"/>
  <c r="C559" i="23"/>
  <c r="X559" i="23" s="1"/>
  <c r="C558" i="23"/>
  <c r="X558" i="23" s="1"/>
  <c r="C557" i="23"/>
  <c r="X557" i="23" s="1"/>
  <c r="C556" i="23"/>
  <c r="X556" i="23" s="1"/>
  <c r="C555" i="23"/>
  <c r="X555" i="23" s="1"/>
  <c r="C554" i="23"/>
  <c r="X554" i="23" s="1"/>
  <c r="C553" i="23"/>
  <c r="X553" i="23" s="1"/>
  <c r="C552" i="23"/>
  <c r="X552" i="23" s="1"/>
  <c r="C551" i="23"/>
  <c r="X551" i="23" s="1"/>
  <c r="C550" i="23"/>
  <c r="X550" i="23" s="1"/>
  <c r="C549" i="23"/>
  <c r="X549" i="23" s="1"/>
  <c r="C548" i="23"/>
  <c r="X548" i="23" s="1"/>
  <c r="C547" i="23"/>
  <c r="X547" i="23" s="1"/>
  <c r="C546" i="23"/>
  <c r="X546" i="23" s="1"/>
  <c r="C545" i="23"/>
  <c r="X545" i="23" s="1"/>
  <c r="C544" i="23"/>
  <c r="X544" i="23" s="1"/>
  <c r="C543" i="23"/>
  <c r="X543" i="23" s="1"/>
  <c r="C542" i="23"/>
  <c r="X542" i="23" s="1"/>
  <c r="C541" i="23"/>
  <c r="X541" i="23" s="1"/>
  <c r="C540" i="23"/>
  <c r="X540" i="23" s="1"/>
  <c r="C539" i="23"/>
  <c r="X539" i="23" s="1"/>
  <c r="C538" i="23"/>
  <c r="X538" i="23" s="1"/>
  <c r="C537" i="23"/>
  <c r="X537" i="23" s="1"/>
  <c r="C536" i="23"/>
  <c r="X536" i="23" s="1"/>
  <c r="C535" i="23"/>
  <c r="X535" i="23" s="1"/>
  <c r="C534" i="23"/>
  <c r="X534" i="23" s="1"/>
  <c r="C533" i="23"/>
  <c r="X533" i="23" s="1"/>
  <c r="C532" i="23"/>
  <c r="X532" i="23" s="1"/>
  <c r="C531" i="23"/>
  <c r="X531" i="23" s="1"/>
  <c r="C530" i="23"/>
  <c r="X530" i="23" s="1"/>
  <c r="C529" i="23"/>
  <c r="X529" i="23" s="1"/>
  <c r="C528" i="23"/>
  <c r="X528" i="23" s="1"/>
  <c r="C527" i="23"/>
  <c r="X527" i="23" s="1"/>
  <c r="C526" i="23"/>
  <c r="X526" i="23" s="1"/>
  <c r="C525" i="23"/>
  <c r="X525" i="23" s="1"/>
  <c r="C524" i="23"/>
  <c r="X524" i="23" s="1"/>
  <c r="C523" i="23"/>
  <c r="X523" i="23" s="1"/>
  <c r="C522" i="23"/>
  <c r="X522" i="23" s="1"/>
  <c r="C521" i="23"/>
  <c r="X521" i="23" s="1"/>
  <c r="C520" i="23"/>
  <c r="X520" i="23" s="1"/>
  <c r="C519" i="23"/>
  <c r="X519" i="23" s="1"/>
  <c r="C518" i="23"/>
  <c r="X518" i="23" s="1"/>
  <c r="C517" i="23"/>
  <c r="X517" i="23" s="1"/>
  <c r="C516" i="23"/>
  <c r="X516" i="23" s="1"/>
  <c r="C515" i="23"/>
  <c r="X515" i="23" s="1"/>
  <c r="C514" i="23"/>
  <c r="X514" i="23" s="1"/>
  <c r="C513" i="23"/>
  <c r="X513" i="23" s="1"/>
  <c r="C512" i="23"/>
  <c r="X512" i="23" s="1"/>
  <c r="C511" i="23"/>
  <c r="X511" i="23" s="1"/>
  <c r="C510" i="23"/>
  <c r="X510" i="23" s="1"/>
  <c r="C509" i="23"/>
  <c r="X509" i="23" s="1"/>
  <c r="C508" i="23"/>
  <c r="X508" i="23" s="1"/>
  <c r="C507" i="23"/>
  <c r="X507" i="23" s="1"/>
  <c r="C506" i="23"/>
  <c r="X506" i="23" s="1"/>
  <c r="C505" i="23"/>
  <c r="X505" i="23" s="1"/>
  <c r="C504" i="23"/>
  <c r="X504" i="23" s="1"/>
  <c r="C503" i="23"/>
  <c r="X503" i="23" s="1"/>
  <c r="C502" i="23"/>
  <c r="X502" i="23" s="1"/>
  <c r="C501" i="23"/>
  <c r="X501" i="23" s="1"/>
  <c r="C500" i="23"/>
  <c r="X500" i="23" s="1"/>
  <c r="C499" i="23"/>
  <c r="X499" i="23" s="1"/>
  <c r="C498" i="23"/>
  <c r="X498" i="23" s="1"/>
  <c r="C497" i="23"/>
  <c r="X497" i="23" s="1"/>
  <c r="C496" i="23"/>
  <c r="X496" i="23" s="1"/>
  <c r="C495" i="23"/>
  <c r="X495" i="23" s="1"/>
  <c r="C494" i="23"/>
  <c r="X494" i="23" s="1"/>
  <c r="C493" i="23"/>
  <c r="X493" i="23" s="1"/>
  <c r="C492" i="23"/>
  <c r="X492" i="23" s="1"/>
  <c r="C491" i="23"/>
  <c r="X491" i="23" s="1"/>
  <c r="C490" i="23"/>
  <c r="X490" i="23" s="1"/>
  <c r="C489" i="23"/>
  <c r="X489" i="23" s="1"/>
  <c r="C488" i="23"/>
  <c r="X488" i="23" s="1"/>
  <c r="C487" i="23"/>
  <c r="X487" i="23" s="1"/>
  <c r="C486" i="23"/>
  <c r="X486" i="23" s="1"/>
  <c r="C485" i="23"/>
  <c r="X485" i="23" s="1"/>
  <c r="C484" i="23"/>
  <c r="X484" i="23" s="1"/>
  <c r="C483" i="23"/>
  <c r="X483" i="23" s="1"/>
  <c r="C482" i="23"/>
  <c r="X482" i="23" s="1"/>
  <c r="C481" i="23"/>
  <c r="X481" i="23" s="1"/>
  <c r="C480" i="23"/>
  <c r="X480" i="23" s="1"/>
  <c r="C479" i="23"/>
  <c r="X479" i="23" s="1"/>
  <c r="C478" i="23"/>
  <c r="X478" i="23" s="1"/>
  <c r="C477" i="23"/>
  <c r="X477" i="23" s="1"/>
  <c r="C476" i="23"/>
  <c r="X476" i="23" s="1"/>
  <c r="C475" i="23"/>
  <c r="X475" i="23" s="1"/>
  <c r="C474" i="23"/>
  <c r="X474" i="23" s="1"/>
  <c r="C473" i="23"/>
  <c r="X473" i="23" s="1"/>
  <c r="C472" i="23"/>
  <c r="X472" i="23" s="1"/>
  <c r="C471" i="23"/>
  <c r="X471" i="23" s="1"/>
  <c r="C470" i="23"/>
  <c r="X470" i="23" s="1"/>
  <c r="C469" i="23"/>
  <c r="X469" i="23" s="1"/>
  <c r="C468" i="23"/>
  <c r="X468" i="23" s="1"/>
  <c r="C467" i="23"/>
  <c r="X467" i="23" s="1"/>
  <c r="C466" i="23"/>
  <c r="X466" i="23" s="1"/>
  <c r="C465" i="23"/>
  <c r="X465" i="23" s="1"/>
  <c r="C464" i="23"/>
  <c r="X464" i="23" s="1"/>
  <c r="C463" i="23"/>
  <c r="X463" i="23" s="1"/>
  <c r="C462" i="23"/>
  <c r="X462" i="23" s="1"/>
  <c r="C461" i="23"/>
  <c r="X461" i="23" s="1"/>
  <c r="C460" i="23"/>
  <c r="X460" i="23" s="1"/>
  <c r="C459" i="23"/>
  <c r="X459" i="23" s="1"/>
  <c r="C458" i="23"/>
  <c r="X458" i="23" s="1"/>
  <c r="C457" i="23"/>
  <c r="X457" i="23" s="1"/>
  <c r="C456" i="23"/>
  <c r="X456" i="23" s="1"/>
  <c r="C455" i="23"/>
  <c r="X455" i="23" s="1"/>
  <c r="C454" i="23"/>
  <c r="X454" i="23" s="1"/>
  <c r="C453" i="23"/>
  <c r="X453" i="23" s="1"/>
  <c r="C452" i="23"/>
  <c r="X452" i="23" s="1"/>
  <c r="C451" i="23"/>
  <c r="X451" i="23" s="1"/>
  <c r="C450" i="23"/>
  <c r="X450" i="23" s="1"/>
  <c r="C449" i="23"/>
  <c r="X449" i="23" s="1"/>
  <c r="C448" i="23"/>
  <c r="X448" i="23" s="1"/>
  <c r="C447" i="23"/>
  <c r="X447" i="23" s="1"/>
  <c r="C446" i="23"/>
  <c r="X446" i="23" s="1"/>
  <c r="C445" i="23"/>
  <c r="X445" i="23" s="1"/>
  <c r="C444" i="23"/>
  <c r="X444" i="23" s="1"/>
  <c r="C443" i="23"/>
  <c r="X443" i="23" s="1"/>
  <c r="C442" i="23"/>
  <c r="X442" i="23" s="1"/>
  <c r="C441" i="23"/>
  <c r="X441" i="23" s="1"/>
  <c r="C440" i="23"/>
  <c r="X440" i="23" s="1"/>
  <c r="C439" i="23"/>
  <c r="X439" i="23" s="1"/>
  <c r="C438" i="23"/>
  <c r="X438" i="23" s="1"/>
  <c r="C437" i="23"/>
  <c r="X437" i="23" s="1"/>
  <c r="C436" i="23"/>
  <c r="X436" i="23" s="1"/>
  <c r="C435" i="23"/>
  <c r="X435" i="23" s="1"/>
  <c r="C434" i="23"/>
  <c r="X434" i="23" s="1"/>
  <c r="C433" i="23"/>
  <c r="X433" i="23" s="1"/>
  <c r="C432" i="23"/>
  <c r="X432" i="23" s="1"/>
  <c r="C431" i="23"/>
  <c r="X431" i="23" s="1"/>
  <c r="C430" i="23"/>
  <c r="X430" i="23" s="1"/>
  <c r="C429" i="23"/>
  <c r="X429" i="23" s="1"/>
  <c r="C428" i="23"/>
  <c r="X428" i="23" s="1"/>
  <c r="C427" i="23"/>
  <c r="X427" i="23" s="1"/>
  <c r="C426" i="23"/>
  <c r="X426" i="23" s="1"/>
  <c r="C425" i="23"/>
  <c r="X425" i="23" s="1"/>
  <c r="C424" i="23"/>
  <c r="X424" i="23" s="1"/>
  <c r="C423" i="23"/>
  <c r="X423" i="23" s="1"/>
  <c r="C422" i="23"/>
  <c r="X422" i="23" s="1"/>
  <c r="C421" i="23"/>
  <c r="X421" i="23" s="1"/>
  <c r="C420" i="23"/>
  <c r="X420" i="23" s="1"/>
  <c r="C419" i="23"/>
  <c r="X419" i="23" s="1"/>
  <c r="C418" i="23"/>
  <c r="X418" i="23" s="1"/>
  <c r="C417" i="23"/>
  <c r="X417" i="23" s="1"/>
  <c r="C416" i="23"/>
  <c r="X416" i="23" s="1"/>
  <c r="C415" i="23"/>
  <c r="X415" i="23" s="1"/>
  <c r="C414" i="23"/>
  <c r="X414" i="23" s="1"/>
  <c r="C413" i="23"/>
  <c r="X413" i="23" s="1"/>
  <c r="C412" i="23"/>
  <c r="X412" i="23" s="1"/>
  <c r="C411" i="23"/>
  <c r="X411" i="23" s="1"/>
  <c r="C410" i="23"/>
  <c r="X410" i="23" s="1"/>
  <c r="C409" i="23"/>
  <c r="X409" i="23" s="1"/>
  <c r="C408" i="23"/>
  <c r="X408" i="23" s="1"/>
  <c r="C407" i="23"/>
  <c r="X407" i="23" s="1"/>
  <c r="C406" i="23"/>
  <c r="X406" i="23" s="1"/>
  <c r="C405" i="23"/>
  <c r="X405" i="23" s="1"/>
  <c r="C404" i="23"/>
  <c r="X404" i="23" s="1"/>
  <c r="C403" i="23"/>
  <c r="X403" i="23" s="1"/>
  <c r="C402" i="23"/>
  <c r="X402" i="23" s="1"/>
  <c r="C401" i="23"/>
  <c r="X401" i="23" s="1"/>
  <c r="C400" i="23"/>
  <c r="X400" i="23" s="1"/>
  <c r="C399" i="23"/>
  <c r="X399" i="23" s="1"/>
  <c r="C398" i="23"/>
  <c r="X398" i="23" s="1"/>
  <c r="C397" i="23"/>
  <c r="X397" i="23" s="1"/>
  <c r="C396" i="23"/>
  <c r="X396" i="23" s="1"/>
  <c r="C395" i="23"/>
  <c r="X395" i="23" s="1"/>
  <c r="C394" i="23"/>
  <c r="X394" i="23" s="1"/>
  <c r="C393" i="23"/>
  <c r="X393" i="23" s="1"/>
  <c r="C392" i="23"/>
  <c r="X392" i="23" s="1"/>
  <c r="C391" i="23"/>
  <c r="X391" i="23" s="1"/>
  <c r="C390" i="23"/>
  <c r="X390" i="23" s="1"/>
  <c r="C389" i="23"/>
  <c r="X389" i="23" s="1"/>
  <c r="C388" i="23"/>
  <c r="X388" i="23" s="1"/>
  <c r="C387" i="23"/>
  <c r="X387" i="23" s="1"/>
  <c r="C386" i="23"/>
  <c r="X386" i="23" s="1"/>
  <c r="C385" i="23"/>
  <c r="X385" i="23" s="1"/>
  <c r="C384" i="23"/>
  <c r="X384" i="23" s="1"/>
  <c r="C383" i="23"/>
  <c r="X383" i="23" s="1"/>
  <c r="C382" i="23"/>
  <c r="X382" i="23" s="1"/>
  <c r="C381" i="23"/>
  <c r="X381" i="23" s="1"/>
  <c r="C380" i="23"/>
  <c r="X380" i="23" s="1"/>
  <c r="C379" i="23"/>
  <c r="X379" i="23" s="1"/>
  <c r="C378" i="23"/>
  <c r="X378" i="23" s="1"/>
  <c r="C377" i="23"/>
  <c r="X377" i="23" s="1"/>
  <c r="C376" i="23"/>
  <c r="X376" i="23" s="1"/>
  <c r="C375" i="23"/>
  <c r="X375" i="23" s="1"/>
  <c r="C374" i="23"/>
  <c r="X374" i="23" s="1"/>
  <c r="C373" i="23"/>
  <c r="X373" i="23" s="1"/>
  <c r="C372" i="23"/>
  <c r="X372" i="23" s="1"/>
  <c r="C371" i="23"/>
  <c r="X371" i="23" s="1"/>
  <c r="C370" i="23"/>
  <c r="X370" i="23" s="1"/>
  <c r="C369" i="23"/>
  <c r="X369" i="23" s="1"/>
  <c r="C368" i="23"/>
  <c r="X368" i="23" s="1"/>
  <c r="C367" i="23"/>
  <c r="X367" i="23" s="1"/>
  <c r="C366" i="23"/>
  <c r="X366" i="23" s="1"/>
  <c r="C365" i="23"/>
  <c r="X365" i="23" s="1"/>
  <c r="C364" i="23"/>
  <c r="X364" i="23" s="1"/>
  <c r="C363" i="23"/>
  <c r="X363" i="23" s="1"/>
  <c r="C362" i="23"/>
  <c r="X362" i="23" s="1"/>
  <c r="C361" i="23"/>
  <c r="X361" i="23" s="1"/>
  <c r="C360" i="23"/>
  <c r="X360" i="23" s="1"/>
  <c r="C359" i="23"/>
  <c r="X359" i="23" s="1"/>
  <c r="C358" i="23"/>
  <c r="X358" i="23" s="1"/>
  <c r="C357" i="23"/>
  <c r="X357" i="23" s="1"/>
  <c r="C356" i="23"/>
  <c r="X356" i="23" s="1"/>
  <c r="C355" i="23"/>
  <c r="X355" i="23" s="1"/>
  <c r="C354" i="23"/>
  <c r="X354" i="23" s="1"/>
  <c r="C353" i="23"/>
  <c r="X353" i="23" s="1"/>
  <c r="C352" i="23"/>
  <c r="X352" i="23" s="1"/>
  <c r="C351" i="23"/>
  <c r="X351" i="23" s="1"/>
  <c r="C350" i="23"/>
  <c r="X350" i="23" s="1"/>
  <c r="C349" i="23"/>
  <c r="X349" i="23" s="1"/>
  <c r="C348" i="23"/>
  <c r="X348" i="23" s="1"/>
  <c r="C347" i="23"/>
  <c r="X347" i="23" s="1"/>
  <c r="C346" i="23"/>
  <c r="X346" i="23" s="1"/>
  <c r="C345" i="23"/>
  <c r="X345" i="23" s="1"/>
  <c r="C344" i="23"/>
  <c r="X344" i="23" s="1"/>
  <c r="C343" i="23"/>
  <c r="X343" i="23" s="1"/>
  <c r="C342" i="23"/>
  <c r="X342" i="23" s="1"/>
  <c r="C341" i="23"/>
  <c r="X341" i="23" s="1"/>
  <c r="C340" i="23"/>
  <c r="X340" i="23" s="1"/>
  <c r="C339" i="23"/>
  <c r="X339" i="23" s="1"/>
  <c r="C338" i="23"/>
  <c r="X338" i="23" s="1"/>
  <c r="C337" i="23"/>
  <c r="X337" i="23" s="1"/>
  <c r="C336" i="23"/>
  <c r="X336" i="23" s="1"/>
  <c r="C335" i="23"/>
  <c r="X335" i="23" s="1"/>
  <c r="C334" i="23"/>
  <c r="X334" i="23" s="1"/>
  <c r="C333" i="23"/>
  <c r="X333" i="23" s="1"/>
  <c r="C332" i="23"/>
  <c r="X332" i="23" s="1"/>
  <c r="C331" i="23"/>
  <c r="X331" i="23" s="1"/>
  <c r="C330" i="23"/>
  <c r="X330" i="23" s="1"/>
  <c r="C329" i="23"/>
  <c r="X329" i="23" s="1"/>
  <c r="C328" i="23"/>
  <c r="X328" i="23" s="1"/>
  <c r="C327" i="23"/>
  <c r="X327" i="23" s="1"/>
  <c r="C326" i="23"/>
  <c r="X326" i="23" s="1"/>
  <c r="C325" i="23"/>
  <c r="X325" i="23" s="1"/>
  <c r="C324" i="23"/>
  <c r="X324" i="23" s="1"/>
  <c r="C323" i="23"/>
  <c r="X323" i="23" s="1"/>
  <c r="C322" i="23"/>
  <c r="X322" i="23" s="1"/>
  <c r="C321" i="23"/>
  <c r="X321" i="23" s="1"/>
  <c r="C320" i="23"/>
  <c r="X320" i="23" s="1"/>
  <c r="C319" i="23"/>
  <c r="X319" i="23" s="1"/>
  <c r="C318" i="23"/>
  <c r="X318" i="23" s="1"/>
  <c r="C317" i="23"/>
  <c r="X317" i="23" s="1"/>
  <c r="C316" i="23"/>
  <c r="X316" i="23" s="1"/>
  <c r="C315" i="23"/>
  <c r="X315" i="23" s="1"/>
  <c r="C314" i="23"/>
  <c r="X314" i="23" s="1"/>
  <c r="C313" i="23"/>
  <c r="X313" i="23" s="1"/>
  <c r="C312" i="23"/>
  <c r="X312" i="23" s="1"/>
  <c r="C311" i="23"/>
  <c r="X311" i="23" s="1"/>
  <c r="C310" i="23"/>
  <c r="X310" i="23" s="1"/>
  <c r="C309" i="23"/>
  <c r="X309" i="23" s="1"/>
  <c r="C308" i="23"/>
  <c r="X308" i="23" s="1"/>
  <c r="C307" i="23"/>
  <c r="X307" i="23" s="1"/>
  <c r="C306" i="23"/>
  <c r="X306" i="23" s="1"/>
  <c r="C305" i="23"/>
  <c r="X305" i="23" s="1"/>
  <c r="C304" i="23"/>
  <c r="X304" i="23" s="1"/>
  <c r="C303" i="23"/>
  <c r="X303" i="23" s="1"/>
  <c r="C302" i="23"/>
  <c r="X302" i="23" s="1"/>
  <c r="C301" i="23"/>
  <c r="X301" i="23" s="1"/>
  <c r="C300" i="23"/>
  <c r="X300" i="23" s="1"/>
  <c r="C299" i="23"/>
  <c r="X299" i="23" s="1"/>
  <c r="C298" i="23"/>
  <c r="X298" i="23" s="1"/>
  <c r="C297" i="23"/>
  <c r="X297" i="23" s="1"/>
  <c r="C296" i="23"/>
  <c r="X296" i="23" s="1"/>
  <c r="C295" i="23"/>
  <c r="X295" i="23" s="1"/>
  <c r="C294" i="23"/>
  <c r="X294" i="23" s="1"/>
  <c r="C293" i="23"/>
  <c r="X293" i="23" s="1"/>
  <c r="C292" i="23"/>
  <c r="X292" i="23" s="1"/>
  <c r="C291" i="23"/>
  <c r="X291" i="23" s="1"/>
  <c r="C290" i="23"/>
  <c r="X290" i="23" s="1"/>
  <c r="C289" i="23"/>
  <c r="X289" i="23" s="1"/>
  <c r="C288" i="23"/>
  <c r="X288" i="23" s="1"/>
  <c r="C287" i="23"/>
  <c r="X287" i="23" s="1"/>
  <c r="C286" i="23"/>
  <c r="X286" i="23" s="1"/>
  <c r="C285" i="23"/>
  <c r="X285" i="23" s="1"/>
  <c r="C284" i="23"/>
  <c r="X284" i="23" s="1"/>
  <c r="C283" i="23"/>
  <c r="X283" i="23" s="1"/>
  <c r="C282" i="23"/>
  <c r="X282" i="23" s="1"/>
  <c r="C281" i="23"/>
  <c r="X281" i="23" s="1"/>
  <c r="C280" i="23"/>
  <c r="X280" i="23" s="1"/>
  <c r="C279" i="23"/>
  <c r="X279" i="23" s="1"/>
  <c r="C278" i="23"/>
  <c r="X278" i="23" s="1"/>
  <c r="C277" i="23"/>
  <c r="X277" i="23" s="1"/>
  <c r="C276" i="23"/>
  <c r="X276" i="23" s="1"/>
  <c r="C275" i="23"/>
  <c r="X275" i="23" s="1"/>
  <c r="C274" i="23"/>
  <c r="X274" i="23" s="1"/>
  <c r="C273" i="23"/>
  <c r="X273" i="23" s="1"/>
  <c r="C272" i="23"/>
  <c r="X272" i="23" s="1"/>
  <c r="C271" i="23"/>
  <c r="X271" i="23" s="1"/>
  <c r="C270" i="23"/>
  <c r="X270" i="23" s="1"/>
  <c r="C269" i="23"/>
  <c r="X269" i="23" s="1"/>
  <c r="C268" i="23"/>
  <c r="X268" i="23" s="1"/>
  <c r="C267" i="23"/>
  <c r="X267" i="23" s="1"/>
  <c r="C266" i="23"/>
  <c r="X266" i="23" s="1"/>
  <c r="C265" i="23"/>
  <c r="X265" i="23" s="1"/>
  <c r="C264" i="23"/>
  <c r="X264" i="23" s="1"/>
  <c r="C263" i="23"/>
  <c r="X263" i="23" s="1"/>
  <c r="C262" i="23"/>
  <c r="X262" i="23" s="1"/>
  <c r="C261" i="23"/>
  <c r="X261" i="23" s="1"/>
  <c r="C260" i="23"/>
  <c r="X260" i="23" s="1"/>
  <c r="C259" i="23"/>
  <c r="X259" i="23" s="1"/>
  <c r="C258" i="23"/>
  <c r="X258" i="23" s="1"/>
  <c r="C257" i="23"/>
  <c r="X257" i="23" s="1"/>
  <c r="C256" i="23"/>
  <c r="X256" i="23" s="1"/>
  <c r="C255" i="23"/>
  <c r="X255" i="23" s="1"/>
  <c r="C254" i="23"/>
  <c r="X254" i="23" s="1"/>
  <c r="C253" i="23"/>
  <c r="X253" i="23" s="1"/>
  <c r="C252" i="23"/>
  <c r="X252" i="23" s="1"/>
  <c r="C251" i="23"/>
  <c r="X251" i="23" s="1"/>
  <c r="C250" i="23"/>
  <c r="X250" i="23" s="1"/>
  <c r="C249" i="23"/>
  <c r="X249" i="23" s="1"/>
  <c r="C248" i="23"/>
  <c r="X248" i="23" s="1"/>
  <c r="C247" i="23"/>
  <c r="X247" i="23" s="1"/>
  <c r="C246" i="23"/>
  <c r="X246" i="23" s="1"/>
  <c r="C245" i="23"/>
  <c r="X245" i="23" s="1"/>
  <c r="C244" i="23"/>
  <c r="X244" i="23" s="1"/>
  <c r="C243" i="23"/>
  <c r="X243" i="23" s="1"/>
  <c r="C242" i="23"/>
  <c r="X242" i="23" s="1"/>
  <c r="C241" i="23"/>
  <c r="X241" i="23" s="1"/>
  <c r="C240" i="23"/>
  <c r="X240" i="23" s="1"/>
  <c r="C239" i="23"/>
  <c r="X239" i="23" s="1"/>
  <c r="C238" i="23"/>
  <c r="X238" i="23" s="1"/>
  <c r="C237" i="23"/>
  <c r="X237" i="23" s="1"/>
  <c r="C236" i="23"/>
  <c r="X236" i="23" s="1"/>
  <c r="C235" i="23"/>
  <c r="X235" i="23" s="1"/>
  <c r="C234" i="23"/>
  <c r="X234" i="23" s="1"/>
  <c r="C233" i="23"/>
  <c r="X233" i="23" s="1"/>
  <c r="C232" i="23"/>
  <c r="X232" i="23" s="1"/>
  <c r="C231" i="23"/>
  <c r="X231" i="23" s="1"/>
  <c r="C230" i="23"/>
  <c r="X230" i="23" s="1"/>
  <c r="C229" i="23"/>
  <c r="X229" i="23" s="1"/>
  <c r="C228" i="23"/>
  <c r="X228" i="23" s="1"/>
  <c r="C227" i="23"/>
  <c r="X227" i="23" s="1"/>
  <c r="C226" i="23"/>
  <c r="X226" i="23" s="1"/>
  <c r="C225" i="23"/>
  <c r="X225" i="23" s="1"/>
  <c r="C224" i="23"/>
  <c r="X224" i="23" s="1"/>
  <c r="C223" i="23"/>
  <c r="X223" i="23" s="1"/>
  <c r="C222" i="23"/>
  <c r="X222" i="23" s="1"/>
  <c r="C221" i="23"/>
  <c r="X221" i="23" s="1"/>
  <c r="C220" i="23"/>
  <c r="X220" i="23" s="1"/>
  <c r="C219" i="23"/>
  <c r="X219" i="23" s="1"/>
  <c r="C218" i="23"/>
  <c r="X218" i="23" s="1"/>
  <c r="C217" i="23"/>
  <c r="X217" i="23" s="1"/>
  <c r="C216" i="23"/>
  <c r="X216" i="23" s="1"/>
  <c r="C215" i="23"/>
  <c r="X215" i="23" s="1"/>
  <c r="C214" i="23"/>
  <c r="X214" i="23" s="1"/>
  <c r="C213" i="23"/>
  <c r="X213" i="23" s="1"/>
  <c r="C212" i="23"/>
  <c r="X212" i="23" s="1"/>
  <c r="C211" i="23"/>
  <c r="X211" i="23" s="1"/>
  <c r="C210" i="23"/>
  <c r="X210" i="23" s="1"/>
  <c r="C209" i="23"/>
  <c r="X209" i="23" s="1"/>
  <c r="C208" i="23"/>
  <c r="X208" i="23" s="1"/>
  <c r="C207" i="23"/>
  <c r="X207" i="23" s="1"/>
  <c r="C206" i="23"/>
  <c r="X206" i="23" s="1"/>
  <c r="C205" i="23"/>
  <c r="X205" i="23" s="1"/>
  <c r="C204" i="23"/>
  <c r="X204" i="23" s="1"/>
  <c r="C203" i="23"/>
  <c r="X203" i="23" s="1"/>
  <c r="C202" i="23"/>
  <c r="X202" i="23" s="1"/>
  <c r="C201" i="23"/>
  <c r="X201" i="23" s="1"/>
  <c r="C200" i="23"/>
  <c r="X200" i="23" s="1"/>
  <c r="C199" i="23"/>
  <c r="X199" i="23" s="1"/>
  <c r="C198" i="23"/>
  <c r="X198" i="23" s="1"/>
  <c r="C197" i="23"/>
  <c r="X197" i="23" s="1"/>
  <c r="C196" i="23"/>
  <c r="X196" i="23" s="1"/>
  <c r="C195" i="23"/>
  <c r="X195" i="23" s="1"/>
  <c r="C194" i="23"/>
  <c r="X194" i="23" s="1"/>
  <c r="C193" i="23"/>
  <c r="X193" i="23" s="1"/>
  <c r="C192" i="23"/>
  <c r="X192" i="23" s="1"/>
  <c r="C191" i="23"/>
  <c r="X191" i="23" s="1"/>
  <c r="C190" i="23"/>
  <c r="X190" i="23" s="1"/>
  <c r="C189" i="23"/>
  <c r="X189" i="23" s="1"/>
  <c r="C188" i="23"/>
  <c r="X188" i="23" s="1"/>
  <c r="C187" i="23"/>
  <c r="X187" i="23" s="1"/>
  <c r="C186" i="23"/>
  <c r="X186" i="23" s="1"/>
  <c r="C185" i="23"/>
  <c r="X185" i="23" s="1"/>
  <c r="C184" i="23"/>
  <c r="X184" i="23" s="1"/>
  <c r="C183" i="23"/>
  <c r="X183" i="23" s="1"/>
  <c r="C182" i="23"/>
  <c r="X182" i="23" s="1"/>
  <c r="C181" i="23"/>
  <c r="X181" i="23" s="1"/>
  <c r="C180" i="23"/>
  <c r="X180" i="23" s="1"/>
  <c r="C179" i="23"/>
  <c r="X179" i="23" s="1"/>
  <c r="C178" i="23"/>
  <c r="X178" i="23" s="1"/>
  <c r="C177" i="23"/>
  <c r="X177" i="23" s="1"/>
  <c r="C176" i="23"/>
  <c r="X176" i="23" s="1"/>
  <c r="C175" i="23"/>
  <c r="X175" i="23" s="1"/>
  <c r="C174" i="23"/>
  <c r="X174" i="23" s="1"/>
  <c r="C173" i="23"/>
  <c r="X173" i="23" s="1"/>
  <c r="C172" i="23"/>
  <c r="X172" i="23" s="1"/>
  <c r="C171" i="23"/>
  <c r="X171" i="23" s="1"/>
  <c r="C170" i="23"/>
  <c r="X170" i="23" s="1"/>
  <c r="C169" i="23"/>
  <c r="X169" i="23" s="1"/>
  <c r="C168" i="23"/>
  <c r="X168" i="23" s="1"/>
  <c r="C167" i="23"/>
  <c r="X167" i="23" s="1"/>
  <c r="C166" i="23"/>
  <c r="X166" i="23" s="1"/>
  <c r="C165" i="23"/>
  <c r="X165" i="23" s="1"/>
  <c r="C164" i="23"/>
  <c r="X164" i="23" s="1"/>
  <c r="C163" i="23"/>
  <c r="X163" i="23" s="1"/>
  <c r="C162" i="23"/>
  <c r="X162" i="23" s="1"/>
  <c r="C161" i="23"/>
  <c r="X161" i="23" s="1"/>
  <c r="C160" i="23"/>
  <c r="X160" i="23" s="1"/>
  <c r="C159" i="23"/>
  <c r="X159" i="23" s="1"/>
  <c r="C158" i="23"/>
  <c r="X158" i="23" s="1"/>
  <c r="C157" i="23"/>
  <c r="X157" i="23" s="1"/>
  <c r="C156" i="23"/>
  <c r="X156" i="23" s="1"/>
  <c r="C155" i="23"/>
  <c r="X155" i="23" s="1"/>
  <c r="C154" i="23"/>
  <c r="X154" i="23" s="1"/>
  <c r="C153" i="23"/>
  <c r="X153" i="23" s="1"/>
  <c r="C152" i="23"/>
  <c r="X152" i="23" s="1"/>
  <c r="C151" i="23"/>
  <c r="X151" i="23" s="1"/>
  <c r="C150" i="23"/>
  <c r="X150" i="23" s="1"/>
  <c r="C149" i="23"/>
  <c r="X149" i="23" s="1"/>
  <c r="C148" i="23"/>
  <c r="X148" i="23" s="1"/>
  <c r="C147" i="23"/>
  <c r="X147" i="23" s="1"/>
  <c r="C146" i="23"/>
  <c r="X146" i="23" s="1"/>
  <c r="C145" i="23"/>
  <c r="X145" i="23" s="1"/>
  <c r="C144" i="23"/>
  <c r="X144" i="23" s="1"/>
  <c r="C143" i="23"/>
  <c r="X143" i="23" s="1"/>
  <c r="C142" i="23"/>
  <c r="X142" i="23" s="1"/>
  <c r="C141" i="23"/>
  <c r="X141" i="23" s="1"/>
  <c r="C140" i="23"/>
  <c r="X140" i="23" s="1"/>
  <c r="C139" i="23"/>
  <c r="X139" i="23" s="1"/>
  <c r="C138" i="23"/>
  <c r="X138" i="23" s="1"/>
  <c r="C137" i="23"/>
  <c r="X137" i="23" s="1"/>
  <c r="C136" i="23"/>
  <c r="X136" i="23" s="1"/>
  <c r="C135" i="23"/>
  <c r="X135" i="23" s="1"/>
  <c r="C134" i="23"/>
  <c r="X134" i="23" s="1"/>
  <c r="C133" i="23"/>
  <c r="X133" i="23" s="1"/>
  <c r="C132" i="23"/>
  <c r="X132" i="23" s="1"/>
  <c r="C131" i="23"/>
  <c r="X131" i="23" s="1"/>
  <c r="C130" i="23"/>
  <c r="X130" i="23" s="1"/>
  <c r="C129" i="23"/>
  <c r="X129" i="23" s="1"/>
  <c r="C128" i="23"/>
  <c r="X128" i="23" s="1"/>
  <c r="C127" i="23"/>
  <c r="X127" i="23" s="1"/>
  <c r="C126" i="23"/>
  <c r="X126" i="23" s="1"/>
  <c r="C125" i="23"/>
  <c r="X125" i="23" s="1"/>
  <c r="C124" i="23"/>
  <c r="X124" i="23" s="1"/>
  <c r="C123" i="23"/>
  <c r="X123" i="23" s="1"/>
  <c r="C122" i="23"/>
  <c r="X122" i="23" s="1"/>
  <c r="C121" i="23"/>
  <c r="X121" i="23" s="1"/>
  <c r="C120" i="23"/>
  <c r="X120" i="23" s="1"/>
  <c r="C119" i="23"/>
  <c r="X119" i="23" s="1"/>
  <c r="C118" i="23"/>
  <c r="X118" i="23" s="1"/>
  <c r="C117" i="23"/>
  <c r="X117" i="23" s="1"/>
  <c r="C116" i="23"/>
  <c r="X116" i="23" s="1"/>
  <c r="C115" i="23"/>
  <c r="X115" i="23" s="1"/>
  <c r="C114" i="23"/>
  <c r="X114" i="23" s="1"/>
  <c r="C113" i="23"/>
  <c r="X113" i="23" s="1"/>
  <c r="C112" i="23"/>
  <c r="X112" i="23" s="1"/>
  <c r="C111" i="23"/>
  <c r="X111" i="23" s="1"/>
  <c r="C110" i="23"/>
  <c r="X110" i="23" s="1"/>
  <c r="C109" i="23"/>
  <c r="X109" i="23" s="1"/>
  <c r="C108" i="23"/>
  <c r="X108" i="23" s="1"/>
  <c r="C107" i="23"/>
  <c r="X107" i="23" s="1"/>
  <c r="C106" i="23"/>
  <c r="X106" i="23" s="1"/>
  <c r="C105" i="23"/>
  <c r="X105" i="23" s="1"/>
  <c r="C104" i="23"/>
  <c r="X104" i="23" s="1"/>
  <c r="C103" i="23"/>
  <c r="X103" i="23" s="1"/>
  <c r="C102" i="23"/>
  <c r="X102" i="23" s="1"/>
  <c r="C101" i="23"/>
  <c r="X101" i="23" s="1"/>
  <c r="C100" i="23"/>
  <c r="X100" i="23" s="1"/>
  <c r="C99" i="23"/>
  <c r="X99" i="23" s="1"/>
  <c r="C98" i="23"/>
  <c r="X98" i="23" s="1"/>
  <c r="C97" i="23"/>
  <c r="X97" i="23" s="1"/>
  <c r="C96" i="23"/>
  <c r="X96" i="23" s="1"/>
  <c r="C95" i="23"/>
  <c r="X95" i="23" s="1"/>
  <c r="C94" i="23"/>
  <c r="X94" i="23" s="1"/>
  <c r="C93" i="23"/>
  <c r="X93" i="23" s="1"/>
  <c r="C92" i="23"/>
  <c r="X92" i="23" s="1"/>
  <c r="C91" i="23"/>
  <c r="X91" i="23" s="1"/>
  <c r="C90" i="23"/>
  <c r="X90" i="23" s="1"/>
  <c r="C89" i="23"/>
  <c r="X89" i="23" s="1"/>
  <c r="C88" i="23"/>
  <c r="X88" i="23" s="1"/>
  <c r="C87" i="23"/>
  <c r="X87" i="23" s="1"/>
  <c r="C86" i="23"/>
  <c r="X86" i="23" s="1"/>
  <c r="C85" i="23"/>
  <c r="X85" i="23" s="1"/>
  <c r="C84" i="23"/>
  <c r="X84" i="23" s="1"/>
  <c r="C83" i="23"/>
  <c r="X83" i="23" s="1"/>
  <c r="C82" i="23"/>
  <c r="X82" i="23" s="1"/>
  <c r="C81" i="23"/>
  <c r="X81" i="23" s="1"/>
  <c r="C80" i="23"/>
  <c r="X80" i="23" s="1"/>
  <c r="C79" i="23"/>
  <c r="X79" i="23" s="1"/>
  <c r="C78" i="23"/>
  <c r="X78" i="23" s="1"/>
  <c r="C77" i="23"/>
  <c r="X77" i="23" s="1"/>
  <c r="C76" i="23"/>
  <c r="X76" i="23" s="1"/>
  <c r="C75" i="23"/>
  <c r="X75" i="23" s="1"/>
  <c r="C74" i="23"/>
  <c r="X74" i="23" s="1"/>
  <c r="C73" i="23"/>
  <c r="X73" i="23" s="1"/>
  <c r="C72" i="23"/>
  <c r="X72" i="23" s="1"/>
  <c r="C71" i="23"/>
  <c r="X71" i="23" s="1"/>
  <c r="C70" i="23"/>
  <c r="X70" i="23" s="1"/>
  <c r="C69" i="23"/>
  <c r="X69" i="23" s="1"/>
  <c r="C68" i="23"/>
  <c r="X68" i="23" s="1"/>
  <c r="C67" i="23"/>
  <c r="X67" i="23" s="1"/>
  <c r="C66" i="23"/>
  <c r="X66" i="23" s="1"/>
  <c r="C65" i="23"/>
  <c r="X65" i="23" s="1"/>
  <c r="C64" i="23"/>
  <c r="X64" i="23" s="1"/>
  <c r="C63" i="23"/>
  <c r="X63" i="23" s="1"/>
  <c r="C62" i="23"/>
  <c r="X62" i="23" s="1"/>
  <c r="C61" i="23"/>
  <c r="X61" i="23" s="1"/>
  <c r="C60" i="23"/>
  <c r="X60" i="23" s="1"/>
  <c r="C59" i="23"/>
  <c r="X59" i="23" s="1"/>
  <c r="C58" i="23"/>
  <c r="X58" i="23" s="1"/>
  <c r="C57" i="23"/>
  <c r="X57" i="23" s="1"/>
  <c r="C56" i="23"/>
  <c r="X56" i="23" s="1"/>
  <c r="C55" i="23"/>
  <c r="X55" i="23" s="1"/>
  <c r="C54" i="23"/>
  <c r="X54" i="23" s="1"/>
  <c r="C53" i="23"/>
  <c r="X53" i="23" s="1"/>
  <c r="C52" i="23"/>
  <c r="X52" i="23" s="1"/>
  <c r="C51" i="23"/>
  <c r="X51" i="23" s="1"/>
  <c r="C50" i="23"/>
  <c r="X50" i="23" s="1"/>
  <c r="C49" i="23"/>
  <c r="X49" i="23" s="1"/>
  <c r="C48" i="23"/>
  <c r="X48" i="23" s="1"/>
  <c r="C47" i="23"/>
  <c r="X47" i="23" s="1"/>
  <c r="C46" i="23"/>
  <c r="X46" i="23" s="1"/>
  <c r="C45" i="23"/>
  <c r="X45" i="23" s="1"/>
  <c r="C44" i="23"/>
  <c r="X44" i="23" s="1"/>
  <c r="C43" i="23"/>
  <c r="X43" i="23" s="1"/>
  <c r="C42" i="23"/>
  <c r="X42" i="23" s="1"/>
  <c r="C41" i="23"/>
  <c r="X41" i="23" s="1"/>
  <c r="C40" i="23"/>
  <c r="X40" i="23" s="1"/>
  <c r="C39" i="23"/>
  <c r="X39" i="23" s="1"/>
  <c r="C38" i="23"/>
  <c r="X38" i="23" s="1"/>
  <c r="C37" i="23"/>
  <c r="X37" i="23" s="1"/>
  <c r="C36" i="23"/>
  <c r="X36" i="23" s="1"/>
  <c r="C35" i="23"/>
  <c r="X35" i="23" s="1"/>
  <c r="C34" i="23"/>
  <c r="X34" i="23" s="1"/>
  <c r="C33" i="23"/>
  <c r="X33" i="23" s="1"/>
  <c r="C32" i="23"/>
  <c r="X32" i="23" s="1"/>
  <c r="C31" i="23"/>
  <c r="X31" i="23" s="1"/>
  <c r="C30" i="23"/>
  <c r="X30" i="23" s="1"/>
  <c r="C29" i="23"/>
  <c r="X29" i="23" s="1"/>
  <c r="C28" i="23"/>
  <c r="X28" i="23" s="1"/>
  <c r="C27" i="23"/>
  <c r="X27" i="23" s="1"/>
  <c r="C26" i="23"/>
  <c r="X26" i="23" s="1"/>
  <c r="C25" i="23"/>
  <c r="X25" i="23" s="1"/>
  <c r="C24" i="23"/>
  <c r="X24" i="23" s="1"/>
  <c r="C23" i="23"/>
  <c r="X23" i="23" s="1"/>
  <c r="C22" i="23"/>
  <c r="X22" i="23" s="1"/>
  <c r="C21" i="23"/>
  <c r="X21" i="23" s="1"/>
  <c r="C20" i="23"/>
  <c r="X20" i="23" s="1"/>
  <c r="C19" i="23"/>
  <c r="X19" i="23" s="1"/>
  <c r="C18" i="23"/>
  <c r="X18" i="23" s="1"/>
  <c r="Y1376" i="23" l="1"/>
  <c r="Y22" i="23"/>
  <c r="Y30" i="23"/>
  <c r="Y38" i="23"/>
  <c r="Y46" i="23"/>
  <c r="Y54" i="23"/>
  <c r="Y62" i="23"/>
  <c r="Y70" i="23"/>
  <c r="Y78" i="23"/>
  <c r="Y86" i="23"/>
  <c r="Y94" i="23"/>
  <c r="Y102" i="23"/>
  <c r="Y110" i="23"/>
  <c r="Y118" i="23"/>
  <c r="Y126" i="23"/>
  <c r="Y134" i="23"/>
  <c r="Y142" i="23"/>
  <c r="Y150" i="23"/>
  <c r="Y158" i="23"/>
  <c r="Y166" i="23"/>
  <c r="Y174" i="23"/>
  <c r="Y182" i="23"/>
  <c r="Y190" i="23"/>
  <c r="Y198" i="23"/>
  <c r="Y206" i="23"/>
  <c r="Y214" i="23"/>
  <c r="Y222" i="23"/>
  <c r="Y278" i="23"/>
  <c r="Y230" i="23"/>
  <c r="Y238" i="23"/>
  <c r="Y246" i="23"/>
  <c r="Y254" i="23"/>
  <c r="Y262" i="23"/>
  <c r="Y270" i="23"/>
  <c r="Y286" i="23"/>
  <c r="Y294" i="23"/>
  <c r="Y302" i="23"/>
  <c r="Y310" i="23"/>
  <c r="Y318" i="23"/>
  <c r="Y326" i="23"/>
  <c r="Y334" i="23"/>
  <c r="Y342" i="23"/>
  <c r="Y350" i="23"/>
  <c r="Y358" i="23"/>
  <c r="Y366" i="23"/>
  <c r="Y374" i="23"/>
  <c r="Y382" i="23"/>
  <c r="Y390" i="23"/>
  <c r="Y398" i="23"/>
  <c r="Y406" i="23"/>
  <c r="Y414" i="23"/>
  <c r="Y422" i="23"/>
  <c r="Y430" i="23"/>
  <c r="Y438" i="23"/>
  <c r="Y446" i="23"/>
  <c r="Y454" i="23"/>
  <c r="Y462" i="23"/>
  <c r="Y470" i="23"/>
  <c r="Y478" i="23"/>
  <c r="Y486" i="23"/>
  <c r="Y494" i="23"/>
  <c r="Y502" i="23"/>
  <c r="Y510" i="23"/>
  <c r="Y518" i="23"/>
  <c r="Y526" i="23"/>
  <c r="Y534" i="23"/>
  <c r="Y542" i="23"/>
  <c r="Y550" i="23"/>
  <c r="Y558" i="23"/>
  <c r="Y566" i="23"/>
  <c r="Y574" i="23"/>
  <c r="Y582" i="23"/>
  <c r="Y590" i="23"/>
  <c r="Y598" i="23"/>
  <c r="Y606" i="23"/>
  <c r="Y614" i="23"/>
  <c r="Y622" i="23"/>
  <c r="Y630" i="23"/>
  <c r="Y638" i="23"/>
  <c r="Y646" i="23"/>
  <c r="Y654" i="23"/>
  <c r="Y662" i="23"/>
  <c r="Y670" i="23"/>
  <c r="Y678" i="23"/>
  <c r="Y686" i="23"/>
  <c r="Y694" i="23"/>
  <c r="Y702" i="23"/>
  <c r="Y710" i="23"/>
  <c r="Y718" i="23"/>
  <c r="Y726" i="23"/>
  <c r="Y734" i="23"/>
  <c r="Y742" i="23"/>
  <c r="Y750" i="23"/>
  <c r="Y758" i="23"/>
  <c r="Y766" i="23"/>
  <c r="Y774" i="23"/>
  <c r="Y782" i="23"/>
  <c r="Y790" i="23"/>
  <c r="Y798" i="23"/>
  <c r="Y806" i="23"/>
  <c r="Y814" i="23"/>
  <c r="Y822" i="23"/>
  <c r="Y830" i="23"/>
  <c r="Y838" i="23"/>
  <c r="Y846" i="23"/>
  <c r="Y854" i="23"/>
  <c r="Y862" i="23"/>
  <c r="Y870" i="23"/>
  <c r="Y878" i="23"/>
  <c r="Y1339" i="23"/>
  <c r="Y1347" i="23"/>
  <c r="Y1355" i="23"/>
  <c r="Y1363" i="23"/>
  <c r="Y1371" i="23"/>
  <c r="Y26" i="23"/>
  <c r="Y34" i="23"/>
  <c r="Y1307" i="23"/>
  <c r="Y1315" i="23"/>
  <c r="Y1323" i="23"/>
  <c r="Y1331" i="23"/>
  <c r="Y21" i="23"/>
  <c r="Y29" i="23"/>
  <c r="Y37" i="23"/>
  <c r="Y45" i="23"/>
  <c r="Y53" i="23"/>
  <c r="Y61" i="23"/>
  <c r="Y69" i="23"/>
  <c r="Y77" i="23"/>
  <c r="Y85" i="23"/>
  <c r="Y93" i="23"/>
  <c r="Y101" i="23"/>
  <c r="Y109" i="23"/>
  <c r="Y117" i="23"/>
  <c r="Y125" i="23"/>
  <c r="Y133" i="23"/>
  <c r="Y141" i="23"/>
  <c r="Y149" i="23"/>
  <c r="Y157" i="23"/>
  <c r="Y165" i="23"/>
  <c r="Y173" i="23"/>
  <c r="Y181" i="23"/>
  <c r="Y189" i="23"/>
  <c r="Y197" i="23"/>
  <c r="Y205" i="23"/>
  <c r="Y213" i="23"/>
  <c r="Y221" i="23"/>
  <c r="Y229" i="23"/>
  <c r="Y237" i="23"/>
  <c r="Y245" i="23"/>
  <c r="Y253" i="23"/>
  <c r="Y261" i="23"/>
  <c r="Y269" i="23"/>
  <c r="Y277" i="23"/>
  <c r="Y285" i="23"/>
  <c r="Y293" i="23"/>
  <c r="Y301" i="23"/>
  <c r="Y309" i="23"/>
  <c r="Y317" i="23"/>
  <c r="Y325" i="23"/>
  <c r="Y333" i="23"/>
  <c r="Y341" i="23"/>
  <c r="Y349" i="23"/>
  <c r="Y357" i="23"/>
  <c r="Y365" i="23"/>
  <c r="Y373" i="23"/>
  <c r="Y381" i="23"/>
  <c r="Y389" i="23"/>
  <c r="Y397" i="23"/>
  <c r="Y405" i="23"/>
  <c r="Y413" i="23"/>
  <c r="Y421" i="23"/>
  <c r="Y429" i="23"/>
  <c r="Y437" i="23"/>
  <c r="Y445" i="23"/>
  <c r="Y453" i="23"/>
  <c r="Y461" i="23"/>
  <c r="Y469" i="23"/>
  <c r="Y477" i="23"/>
  <c r="Y485" i="23"/>
  <c r="Y493" i="23"/>
  <c r="Y501" i="23"/>
  <c r="Y509" i="23"/>
  <c r="Y517" i="23"/>
  <c r="Y525" i="23"/>
  <c r="Y533" i="23"/>
  <c r="Y541" i="23"/>
  <c r="Y549" i="23"/>
  <c r="Y557" i="23"/>
  <c r="Y565" i="23"/>
  <c r="Y573" i="23"/>
  <c r="Y581" i="23"/>
  <c r="Y589" i="23"/>
  <c r="Y597" i="23"/>
  <c r="Y605" i="23"/>
  <c r="Y613" i="23"/>
  <c r="Y621" i="23"/>
  <c r="Y629" i="23"/>
  <c r="Y637" i="23"/>
  <c r="Y645" i="23"/>
  <c r="Y653" i="23"/>
  <c r="Y661" i="23"/>
  <c r="Y669" i="23"/>
  <c r="Y677" i="23"/>
  <c r="Y685" i="23"/>
  <c r="Y693" i="23"/>
  <c r="Y701" i="23"/>
  <c r="Y709" i="23"/>
  <c r="Y717" i="23"/>
  <c r="Y725" i="23"/>
  <c r="Y733" i="23"/>
  <c r="Y741" i="23"/>
  <c r="Y749" i="23"/>
  <c r="Y757" i="23"/>
  <c r="Y765" i="23"/>
  <c r="Y773" i="23"/>
  <c r="Y781" i="23"/>
  <c r="Y789" i="23"/>
  <c r="Y797" i="23"/>
  <c r="Y805" i="23"/>
  <c r="Y813" i="23"/>
  <c r="Y821" i="23"/>
  <c r="Y829" i="23"/>
  <c r="Y837" i="23"/>
  <c r="Y845" i="23"/>
  <c r="Y853" i="23"/>
  <c r="Y861" i="23"/>
  <c r="Y869" i="23"/>
  <c r="Y877" i="23"/>
  <c r="Y885" i="23"/>
  <c r="Y893" i="23"/>
  <c r="Y901" i="23"/>
  <c r="Y909" i="23"/>
  <c r="Y917" i="23"/>
  <c r="Y925" i="23"/>
  <c r="Y933" i="23"/>
  <c r="Y941" i="23"/>
  <c r="Y949" i="23"/>
  <c r="Y957" i="23"/>
  <c r="Y965" i="23"/>
  <c r="Y973" i="23"/>
  <c r="Y981" i="23"/>
  <c r="Y989" i="23"/>
  <c r="Y997" i="23"/>
  <c r="Y1005" i="23"/>
  <c r="Y1013" i="23"/>
  <c r="Y1021" i="23"/>
  <c r="Y1029" i="23"/>
  <c r="Y1037" i="23"/>
  <c r="Y1045" i="23"/>
  <c r="Y1053" i="23"/>
  <c r="Y1061" i="23"/>
  <c r="Y1069" i="23"/>
  <c r="Y1077" i="23"/>
  <c r="Y1085" i="23"/>
  <c r="Y1093" i="23"/>
  <c r="Y1101" i="23"/>
  <c r="Y1109" i="23"/>
  <c r="Y1117" i="23"/>
  <c r="Y1125" i="23"/>
  <c r="Y1133" i="23"/>
  <c r="Y1141" i="23"/>
  <c r="Y1149" i="23"/>
  <c r="Y1157" i="23"/>
  <c r="Y1165" i="23"/>
  <c r="Y1173" i="23"/>
  <c r="Y1181" i="23"/>
  <c r="Y1189" i="23"/>
  <c r="Y1197" i="23"/>
  <c r="Y1205" i="23"/>
  <c r="Y1213" i="23"/>
  <c r="Y1221" i="23"/>
  <c r="Y1229" i="23"/>
  <c r="Y1237" i="23"/>
  <c r="Y1245" i="23"/>
  <c r="Y1253" i="23"/>
  <c r="Y1261" i="23"/>
  <c r="Y1269" i="23"/>
  <c r="Y1277" i="23"/>
  <c r="Y1285" i="23"/>
  <c r="Y1293" i="23"/>
  <c r="Y1301" i="23"/>
  <c r="Y1309" i="23"/>
  <c r="Y1317" i="23"/>
  <c r="Y1325" i="23"/>
  <c r="Y1333" i="23"/>
  <c r="Y1341" i="23"/>
  <c r="Y1349" i="23"/>
  <c r="Y1357" i="23"/>
  <c r="Y1365" i="23"/>
  <c r="Y657" i="23"/>
  <c r="Y665" i="23"/>
  <c r="Y673" i="23"/>
  <c r="Y681" i="23"/>
  <c r="Y689" i="23"/>
  <c r="Y697" i="23"/>
  <c r="Y705" i="23"/>
  <c r="Y713" i="23"/>
  <c r="Y721" i="23"/>
  <c r="Y729" i="23"/>
  <c r="Y737" i="23"/>
  <c r="Y745" i="23"/>
  <c r="Y753" i="23"/>
  <c r="Y761" i="23"/>
  <c r="Y769" i="23"/>
  <c r="Y777" i="23"/>
  <c r="Y785" i="23"/>
  <c r="Y793" i="23"/>
  <c r="Y801" i="23"/>
  <c r="Y809" i="23"/>
  <c r="Y817" i="23"/>
  <c r="Y825" i="23"/>
  <c r="Y833" i="23"/>
  <c r="Y841" i="23"/>
  <c r="Y849" i="23"/>
  <c r="Y857" i="23"/>
  <c r="Y865" i="23"/>
  <c r="Y873" i="23"/>
  <c r="Y881" i="23"/>
  <c r="Y889" i="23"/>
  <c r="Y897" i="23"/>
  <c r="Y905" i="23"/>
  <c r="Y913" i="23"/>
  <c r="Y921" i="23"/>
  <c r="Y929" i="23"/>
  <c r="Y937" i="23"/>
  <c r="Y945" i="23"/>
  <c r="Y953" i="23"/>
  <c r="Y961" i="23"/>
  <c r="Y969" i="23"/>
  <c r="Y977" i="23"/>
  <c r="Y985" i="23"/>
  <c r="Y993" i="23"/>
  <c r="Y1001" i="23"/>
  <c r="Y1009" i="23"/>
  <c r="Y1017" i="23"/>
  <c r="Y1025" i="23"/>
  <c r="Y1033" i="23"/>
  <c r="Y1041" i="23"/>
  <c r="Y1049" i="23"/>
  <c r="Y1057" i="23"/>
  <c r="Y1065" i="23"/>
  <c r="Y1073" i="23"/>
  <c r="Y1081" i="23"/>
  <c r="Y1089" i="23"/>
  <c r="Y1097" i="23"/>
  <c r="Y1105" i="23"/>
  <c r="Y1113" i="23"/>
  <c r="Y1121" i="23"/>
  <c r="Y1129" i="23"/>
  <c r="Y1137" i="23"/>
  <c r="Y1145" i="23"/>
  <c r="Y1153" i="23"/>
  <c r="Y1161" i="23"/>
  <c r="Y1169" i="23"/>
  <c r="Y1177" i="23"/>
  <c r="Y1185" i="23"/>
  <c r="Y1193" i="23"/>
  <c r="Y1201" i="23"/>
  <c r="Y1209" i="23"/>
  <c r="Y1217" i="23"/>
  <c r="Y1225" i="23"/>
  <c r="Y1233" i="23"/>
  <c r="Y1241" i="23"/>
  <c r="Y1249" i="23"/>
  <c r="Y1257" i="23"/>
  <c r="Y1265" i="23"/>
  <c r="Y1273" i="23"/>
  <c r="Y1281" i="23"/>
  <c r="Y1289" i="23"/>
  <c r="Y1297" i="23"/>
  <c r="Y1305" i="23"/>
  <c r="Y1313" i="23"/>
  <c r="Y1321" i="23"/>
  <c r="Y1329" i="23"/>
  <c r="Y1337" i="23"/>
  <c r="Y1345" i="23"/>
  <c r="Y1353" i="23"/>
  <c r="Y1361" i="23"/>
  <c r="Y1369" i="23"/>
  <c r="Y1322" i="23"/>
  <c r="Y1330" i="23"/>
  <c r="Y1338" i="23"/>
  <c r="Y1346" i="23"/>
  <c r="Y1354" i="23"/>
  <c r="Y1362" i="23"/>
  <c r="Y1370" i="23"/>
  <c r="Y42" i="23"/>
  <c r="Y50" i="23"/>
  <c r="Y58" i="23"/>
  <c r="Y66" i="23"/>
  <c r="Y74" i="23"/>
  <c r="Y82" i="23"/>
  <c r="Y90" i="23"/>
  <c r="Y98" i="23"/>
  <c r="Y106" i="23"/>
  <c r="Y114" i="23"/>
  <c r="Y122" i="23"/>
  <c r="Y130" i="23"/>
  <c r="Y138" i="23"/>
  <c r="Y146" i="23"/>
  <c r="Y154" i="23"/>
  <c r="Y162" i="23"/>
  <c r="Y170" i="23"/>
  <c r="Y178" i="23"/>
  <c r="Y186" i="23"/>
  <c r="Y194" i="23"/>
  <c r="Y202" i="23"/>
  <c r="Y210" i="23"/>
  <c r="Y218" i="23"/>
  <c r="Y226" i="23"/>
  <c r="Y234" i="23"/>
  <c r="Y242" i="23"/>
  <c r="Y250" i="23"/>
  <c r="Y258" i="23"/>
  <c r="Y266" i="23"/>
  <c r="Y274" i="23"/>
  <c r="Y282" i="23"/>
  <c r="Y290" i="23"/>
  <c r="Y298" i="23"/>
  <c r="Y306" i="23"/>
  <c r="Y314" i="23"/>
  <c r="Y322" i="23"/>
  <c r="Y330" i="23"/>
  <c r="Y338" i="23"/>
  <c r="Y346" i="23"/>
  <c r="Y354" i="23"/>
  <c r="Y362" i="23"/>
  <c r="Y370" i="23"/>
  <c r="Y378" i="23"/>
  <c r="Y386" i="23"/>
  <c r="Y394" i="23"/>
  <c r="Y402" i="23"/>
  <c r="Y410" i="23"/>
  <c r="Y418" i="23"/>
  <c r="Y426" i="23"/>
  <c r="Y434" i="23"/>
  <c r="Y442" i="23"/>
  <c r="Y450" i="23"/>
  <c r="Y458" i="23"/>
  <c r="Y466" i="23"/>
  <c r="Y474" i="23"/>
  <c r="Y482" i="23"/>
  <c r="Y490" i="23"/>
  <c r="Y498" i="23"/>
  <c r="Y506" i="23"/>
  <c r="Y514" i="23"/>
  <c r="Y522" i="23"/>
  <c r="Y530" i="23"/>
  <c r="Y538" i="23"/>
  <c r="Y546" i="23"/>
  <c r="Y554" i="23"/>
  <c r="Y562" i="23"/>
  <c r="Y570" i="23"/>
  <c r="Y578" i="23"/>
  <c r="Y586" i="23"/>
  <c r="Y594" i="23"/>
  <c r="Y602" i="23"/>
  <c r="Y610" i="23"/>
  <c r="Y618" i="23"/>
  <c r="Y626" i="23"/>
  <c r="Y634" i="23"/>
  <c r="Y19" i="23"/>
  <c r="Y35" i="23"/>
  <c r="Y51" i="23"/>
  <c r="Y67" i="23"/>
  <c r="Y83" i="23"/>
  <c r="Y99" i="23"/>
  <c r="Y115" i="23"/>
  <c r="Y123" i="23"/>
  <c r="Y131" i="23"/>
  <c r="Y139" i="23"/>
  <c r="Y147" i="23"/>
  <c r="Y155" i="23"/>
  <c r="Y163" i="23"/>
  <c r="Y171" i="23"/>
  <c r="Y179" i="23"/>
  <c r="Y187" i="23"/>
  <c r="Y195" i="23"/>
  <c r="Y203" i="23"/>
  <c r="Y211" i="23"/>
  <c r="Y219" i="23"/>
  <c r="Y227" i="23"/>
  <c r="Y235" i="23"/>
  <c r="Y243" i="23"/>
  <c r="Y251" i="23"/>
  <c r="Y259" i="23"/>
  <c r="Y267" i="23"/>
  <c r="Y275" i="23"/>
  <c r="Y283" i="23"/>
  <c r="Y291" i="23"/>
  <c r="Y299" i="23"/>
  <c r="Y307" i="23"/>
  <c r="Y315" i="23"/>
  <c r="Y323" i="23"/>
  <c r="Y331" i="23"/>
  <c r="Y339" i="23"/>
  <c r="Y347" i="23"/>
  <c r="Y355" i="23"/>
  <c r="Y363" i="23"/>
  <c r="Y371" i="23"/>
  <c r="Y379" i="23"/>
  <c r="Y387" i="23"/>
  <c r="Y395" i="23"/>
  <c r="Y403" i="23"/>
  <c r="Y411" i="23"/>
  <c r="Y419" i="23"/>
  <c r="Y427" i="23"/>
  <c r="Y435" i="23"/>
  <c r="Y443" i="23"/>
  <c r="Y451" i="23"/>
  <c r="Y459" i="23"/>
  <c r="Y467" i="23"/>
  <c r="Y475" i="23"/>
  <c r="Y483" i="23"/>
  <c r="Y491" i="23"/>
  <c r="Y499" i="23"/>
  <c r="Y507" i="23"/>
  <c r="Y515" i="23"/>
  <c r="Y523" i="23"/>
  <c r="Y531" i="23"/>
  <c r="Y539" i="23"/>
  <c r="Y547" i="23"/>
  <c r="Y555" i="23"/>
  <c r="Y563" i="23"/>
  <c r="Y571" i="23"/>
  <c r="Y579" i="23"/>
  <c r="Y587" i="23"/>
  <c r="Y595" i="23"/>
  <c r="Y603" i="23"/>
  <c r="Y611" i="23"/>
  <c r="Y619" i="23"/>
  <c r="Y627" i="23"/>
  <c r="Y635" i="23"/>
  <c r="Y643" i="23"/>
  <c r="Y651" i="23"/>
  <c r="Y659" i="23"/>
  <c r="Y667" i="23"/>
  <c r="Y27" i="23"/>
  <c r="Y43" i="23"/>
  <c r="Y59" i="23"/>
  <c r="Y75" i="23"/>
  <c r="Y91" i="23"/>
  <c r="Y107" i="23"/>
  <c r="Y642" i="23"/>
  <c r="Y650" i="23"/>
  <c r="Y658" i="23"/>
  <c r="Y666" i="23"/>
  <c r="Y674" i="23"/>
  <c r="Y682" i="23"/>
  <c r="Y690" i="23"/>
  <c r="Y698" i="23"/>
  <c r="Y706" i="23"/>
  <c r="Y714" i="23"/>
  <c r="Y722" i="23"/>
  <c r="Y730" i="23"/>
  <c r="Y738" i="23"/>
  <c r="Y746" i="23"/>
  <c r="Y754" i="23"/>
  <c r="Y762" i="23"/>
  <c r="Y770" i="23"/>
  <c r="Y778" i="23"/>
  <c r="Y786" i="23"/>
  <c r="Y794" i="23"/>
  <c r="Y802" i="23"/>
  <c r="Y810" i="23"/>
  <c r="Y818" i="23"/>
  <c r="Y826" i="23"/>
  <c r="Y834" i="23"/>
  <c r="Y842" i="23"/>
  <c r="Y850" i="23"/>
  <c r="Y858" i="23"/>
  <c r="Y866" i="23"/>
  <c r="Y874" i="23"/>
  <c r="Y882" i="23"/>
  <c r="Y890" i="23"/>
  <c r="Y898" i="23"/>
  <c r="Y906" i="23"/>
  <c r="Y914" i="23"/>
  <c r="Y922" i="23"/>
  <c r="Y930" i="23"/>
  <c r="Y938" i="23"/>
  <c r="Y946" i="23"/>
  <c r="Y954" i="23"/>
  <c r="Y962" i="23"/>
  <c r="Y970" i="23"/>
  <c r="Y978" i="23"/>
  <c r="Y986" i="23"/>
  <c r="Y994" i="23"/>
  <c r="Y1002" i="23"/>
  <c r="Y1010" i="23"/>
  <c r="Y1018" i="23"/>
  <c r="Y1026" i="23"/>
  <c r="Y1034" i="23"/>
  <c r="Y1042" i="23"/>
  <c r="Y1050" i="23"/>
  <c r="Y1058" i="23"/>
  <c r="Y1066" i="23"/>
  <c r="Y1074" i="23"/>
  <c r="Y1082" i="23"/>
  <c r="Y1090" i="23"/>
  <c r="Y1098" i="23"/>
  <c r="Y1106" i="23"/>
  <c r="Y1114" i="23"/>
  <c r="Y1122" i="23"/>
  <c r="Y1130" i="23"/>
  <c r="Y1138" i="23"/>
  <c r="Y1146" i="23"/>
  <c r="Y1154" i="23"/>
  <c r="Y1162" i="23"/>
  <c r="Y1170" i="23"/>
  <c r="Y1178" i="23"/>
  <c r="Y1186" i="23"/>
  <c r="Y1194" i="23"/>
  <c r="Y1202" i="23"/>
  <c r="Y1210" i="23"/>
  <c r="Y1218" i="23"/>
  <c r="Y1226" i="23"/>
  <c r="Y1234" i="23"/>
  <c r="Y1242" i="23"/>
  <c r="Y1250" i="23"/>
  <c r="Y1258" i="23"/>
  <c r="Y1266" i="23"/>
  <c r="Y1274" i="23"/>
  <c r="Y1282" i="23"/>
  <c r="Y1290" i="23"/>
  <c r="Y1298" i="23"/>
  <c r="Y1306" i="23"/>
  <c r="Y1314" i="23"/>
  <c r="Y675" i="23"/>
  <c r="Y683" i="23"/>
  <c r="Y691" i="23"/>
  <c r="Y699" i="23"/>
  <c r="Y707" i="23"/>
  <c r="Y715" i="23"/>
  <c r="Y723" i="23"/>
  <c r="Y731" i="23"/>
  <c r="Y739" i="23"/>
  <c r="Y747" i="23"/>
  <c r="Y755" i="23"/>
  <c r="Y763" i="23"/>
  <c r="Y771" i="23"/>
  <c r="Y779" i="23"/>
  <c r="Y787" i="23"/>
  <c r="Y795" i="23"/>
  <c r="Y803" i="23"/>
  <c r="Y811" i="23"/>
  <c r="Y819" i="23"/>
  <c r="Y827" i="23"/>
  <c r="Y835" i="23"/>
  <c r="Y843" i="23"/>
  <c r="Y851" i="23"/>
  <c r="Y859" i="23"/>
  <c r="Y867" i="23"/>
  <c r="Y875" i="23"/>
  <c r="Y883" i="23"/>
  <c r="Y891" i="23"/>
  <c r="Y899" i="23"/>
  <c r="Y907" i="23"/>
  <c r="Y915" i="23"/>
  <c r="Y923" i="23"/>
  <c r="Y931" i="23"/>
  <c r="Y939" i="23"/>
  <c r="Y947" i="23"/>
  <c r="Y955" i="23"/>
  <c r="Y963" i="23"/>
  <c r="Y971" i="23"/>
  <c r="Y979" i="23"/>
  <c r="Y987" i="23"/>
  <c r="Y995" i="23"/>
  <c r="Y1003" i="23"/>
  <c r="Y1011" i="23"/>
  <c r="Y1019" i="23"/>
  <c r="Y1027" i="23"/>
  <c r="Y1035" i="23"/>
  <c r="Y1043" i="23"/>
  <c r="Y1051" i="23"/>
  <c r="Y1059" i="23"/>
  <c r="Y1067" i="23"/>
  <c r="Y1075" i="23"/>
  <c r="Y1083" i="23"/>
  <c r="Y1091" i="23"/>
  <c r="Y1099" i="23"/>
  <c r="Y1107" i="23"/>
  <c r="Y1115" i="23"/>
  <c r="Y1123" i="23"/>
  <c r="Y1131" i="23"/>
  <c r="Y1139" i="23"/>
  <c r="Y1147" i="23"/>
  <c r="Y1155" i="23"/>
  <c r="Y1163" i="23"/>
  <c r="Y1171" i="23"/>
  <c r="Y1179" i="23"/>
  <c r="Y1187" i="23"/>
  <c r="Y1195" i="23"/>
  <c r="Y1203" i="23"/>
  <c r="Y1211" i="23"/>
  <c r="Y1219" i="23"/>
  <c r="Y1227" i="23"/>
  <c r="Y1235" i="23"/>
  <c r="Y1243" i="23"/>
  <c r="Y1251" i="23"/>
  <c r="Y1259" i="23"/>
  <c r="Y1267" i="23"/>
  <c r="Y1275" i="23"/>
  <c r="Y1283" i="23"/>
  <c r="Y1291" i="23"/>
  <c r="Y1299" i="23"/>
  <c r="Y1340" i="23"/>
  <c r="Y1348" i="23"/>
  <c r="Y1356" i="23"/>
  <c r="Y1364" i="23"/>
  <c r="Y1372" i="23"/>
  <c r="Y1232" i="23"/>
  <c r="Y1240" i="23"/>
  <c r="Y1248" i="23"/>
  <c r="Y1256" i="23"/>
  <c r="Y1264" i="23"/>
  <c r="Y1272" i="23"/>
  <c r="Y1280" i="23"/>
  <c r="Y1288" i="23"/>
  <c r="Y1296" i="23"/>
  <c r="Y1304" i="23"/>
  <c r="Y1312" i="23"/>
  <c r="Y1320" i="23"/>
  <c r="Y1328" i="23"/>
  <c r="Y1336" i="23"/>
  <c r="Y1344" i="23"/>
  <c r="Y1352" i="23"/>
  <c r="Y1360" i="23"/>
  <c r="Y1368" i="23"/>
  <c r="Y1373" i="23"/>
  <c r="Y886" i="23"/>
  <c r="Y894" i="23"/>
  <c r="Y902" i="23"/>
  <c r="Y910" i="23"/>
  <c r="Y918" i="23"/>
  <c r="Y926" i="23"/>
  <c r="Y934" i="23"/>
  <c r="Y942" i="23"/>
  <c r="Y950" i="23"/>
  <c r="Y958" i="23"/>
  <c r="Y966" i="23"/>
  <c r="Y974" i="23"/>
  <c r="Y982" i="23"/>
  <c r="Y990" i="23"/>
  <c r="Y998" i="23"/>
  <c r="Y1006" i="23"/>
  <c r="Y1014" i="23"/>
  <c r="Y1022" i="23"/>
  <c r="Y1030" i="23"/>
  <c r="Y1038" i="23"/>
  <c r="Y1046" i="23"/>
  <c r="Y1054" i="23"/>
  <c r="Y1062" i="23"/>
  <c r="Y1070" i="23"/>
  <c r="Y1078" i="23"/>
  <c r="Y1086" i="23"/>
  <c r="Y1094" i="23"/>
  <c r="Y1102" i="23"/>
  <c r="Y1110" i="23"/>
  <c r="Y1118" i="23"/>
  <c r="Y1126" i="23"/>
  <c r="Y1134" i="23"/>
  <c r="Y1142" i="23"/>
  <c r="Y1150" i="23"/>
  <c r="Y1158" i="23"/>
  <c r="Y1166" i="23"/>
  <c r="Y1174" i="23"/>
  <c r="Y1182" i="23"/>
  <c r="Y1190" i="23"/>
  <c r="Y1198" i="23"/>
  <c r="Y1206" i="23"/>
  <c r="Y1214" i="23"/>
  <c r="Y1222" i="23"/>
  <c r="Y1230" i="23"/>
  <c r="Y1238" i="23"/>
  <c r="Y1246" i="23"/>
  <c r="Y1254" i="23"/>
  <c r="Y1262" i="23"/>
  <c r="Y1270" i="23"/>
  <c r="Y1278" i="23"/>
  <c r="Y1286" i="23"/>
  <c r="Y1294" i="23"/>
  <c r="Y1302" i="23"/>
  <c r="Y1310" i="23"/>
  <c r="Y1318" i="23"/>
  <c r="Y1326" i="23"/>
  <c r="Y1334" i="23"/>
  <c r="Y1342" i="23"/>
  <c r="Y1350" i="23"/>
  <c r="Y1358" i="23"/>
  <c r="Y1366" i="23"/>
  <c r="Y1374" i="23"/>
  <c r="Y23" i="23"/>
  <c r="Y31" i="23"/>
  <c r="Y39" i="23"/>
  <c r="Y47" i="23"/>
  <c r="Y55" i="23"/>
  <c r="Y63" i="23"/>
  <c r="Y71" i="23"/>
  <c r="Y79" i="23"/>
  <c r="Y87" i="23"/>
  <c r="Y95" i="23"/>
  <c r="Y103" i="23"/>
  <c r="Y111" i="23"/>
  <c r="Y119" i="23"/>
  <c r="Y127" i="23"/>
  <c r="Y135" i="23"/>
  <c r="Y143" i="23"/>
  <c r="Y151" i="23"/>
  <c r="Y159" i="23"/>
  <c r="Y167" i="23"/>
  <c r="Y175" i="23"/>
  <c r="Y183" i="23"/>
  <c r="Y191" i="23"/>
  <c r="Y199" i="23"/>
  <c r="Y207" i="23"/>
  <c r="Y215" i="23"/>
  <c r="Y223" i="23"/>
  <c r="Y231" i="23"/>
  <c r="Y239" i="23"/>
  <c r="Y247" i="23"/>
  <c r="Y255" i="23"/>
  <c r="Y263" i="23"/>
  <c r="Y271" i="23"/>
  <c r="Y279" i="23"/>
  <c r="Y287" i="23"/>
  <c r="Y295" i="23"/>
  <c r="Y303" i="23"/>
  <c r="Y311" i="23"/>
  <c r="Y319" i="23"/>
  <c r="Y327" i="23"/>
  <c r="Y335" i="23"/>
  <c r="Y343" i="23"/>
  <c r="Y351" i="23"/>
  <c r="Y359" i="23"/>
  <c r="Y367" i="23"/>
  <c r="Y375" i="23"/>
  <c r="Y383" i="23"/>
  <c r="Y391" i="23"/>
  <c r="Y399" i="23"/>
  <c r="Y407" i="23"/>
  <c r="Y415" i="23"/>
  <c r="Y423" i="23"/>
  <c r="Y431" i="23"/>
  <c r="Y439" i="23"/>
  <c r="Y447" i="23"/>
  <c r="Y455" i="23"/>
  <c r="Y463" i="23"/>
  <c r="Y471" i="23"/>
  <c r="Y479" i="23"/>
  <c r="Y487" i="23"/>
  <c r="Y495" i="23"/>
  <c r="Y503" i="23"/>
  <c r="Y511" i="23"/>
  <c r="Y519" i="23"/>
  <c r="Y527" i="23"/>
  <c r="Y535" i="23"/>
  <c r="Y543" i="23"/>
  <c r="Y551" i="23"/>
  <c r="Y559" i="23"/>
  <c r="Y567" i="23"/>
  <c r="Y575" i="23"/>
  <c r="Y583" i="23"/>
  <c r="Y591" i="23"/>
  <c r="Y599" i="23"/>
  <c r="Y607" i="23"/>
  <c r="Y615" i="23"/>
  <c r="Y623" i="23"/>
  <c r="Y631" i="23"/>
  <c r="Y639" i="23"/>
  <c r="Y647" i="23"/>
  <c r="Y655" i="23"/>
  <c r="Y663" i="23"/>
  <c r="Y671" i="23"/>
  <c r="Y679" i="23"/>
  <c r="Y687" i="23"/>
  <c r="Y695" i="23"/>
  <c r="Y703" i="23"/>
  <c r="Y711" i="23"/>
  <c r="Y719" i="23"/>
  <c r="Y727" i="23"/>
  <c r="Y735" i="23"/>
  <c r="Y743" i="23"/>
  <c r="Y751" i="23"/>
  <c r="Y759" i="23"/>
  <c r="Y767" i="23"/>
  <c r="Y775" i="23"/>
  <c r="Y783" i="23"/>
  <c r="Y791" i="23"/>
  <c r="Y799" i="23"/>
  <c r="Y807" i="23"/>
  <c r="Y815" i="23"/>
  <c r="Y823" i="23"/>
  <c r="Y831" i="23"/>
  <c r="Y839" i="23"/>
  <c r="Y847" i="23"/>
  <c r="Y855" i="23"/>
  <c r="Y863" i="23"/>
  <c r="Y871" i="23"/>
  <c r="Y879" i="23"/>
  <c r="Y887" i="23"/>
  <c r="Y895" i="23"/>
  <c r="Y903" i="23"/>
  <c r="Y911" i="23"/>
  <c r="Y919" i="23"/>
  <c r="Y927" i="23"/>
  <c r="Y935" i="23"/>
  <c r="Y943" i="23"/>
  <c r="Y951" i="23"/>
  <c r="Y959" i="23"/>
  <c r="Y967" i="23"/>
  <c r="Y975" i="23"/>
  <c r="Y983" i="23"/>
  <c r="Y991" i="23"/>
  <c r="Y999" i="23"/>
  <c r="Y1007" i="23"/>
  <c r="Y1015" i="23"/>
  <c r="Y1023" i="23"/>
  <c r="Y1031" i="23"/>
  <c r="Y1039" i="23"/>
  <c r="Y1047" i="23"/>
  <c r="Y1055" i="23"/>
  <c r="Y1063" i="23"/>
  <c r="Y1071" i="23"/>
  <c r="Y1079" i="23"/>
  <c r="Y1087" i="23"/>
  <c r="Y1095" i="23"/>
  <c r="Y1103" i="23"/>
  <c r="Y1111" i="23"/>
  <c r="Y1119" i="23"/>
  <c r="Y1127" i="23"/>
  <c r="Y1135" i="23"/>
  <c r="Y1143" i="23"/>
  <c r="Y1151" i="23"/>
  <c r="Y1159" i="23"/>
  <c r="Y1167" i="23"/>
  <c r="Y1175" i="23"/>
  <c r="Y1183" i="23"/>
  <c r="Y1191" i="23"/>
  <c r="Y1199" i="23"/>
  <c r="Y1207" i="23"/>
  <c r="Y1215" i="23"/>
  <c r="Y1223" i="23"/>
  <c r="Y1231" i="23"/>
  <c r="Y1239" i="23"/>
  <c r="Y1247" i="23"/>
  <c r="Y1255" i="23"/>
  <c r="Y1263" i="23"/>
  <c r="Y1271" i="23"/>
  <c r="Y1279" i="23"/>
  <c r="Y1287" i="23"/>
  <c r="Y1295" i="23"/>
  <c r="Y1303" i="23"/>
  <c r="Y1311" i="23"/>
  <c r="Y1319" i="23"/>
  <c r="Y1327" i="23"/>
  <c r="Y1335" i="23"/>
  <c r="Y1343" i="23"/>
  <c r="Y1351" i="23"/>
  <c r="Y1359" i="23"/>
  <c r="Y1367" i="23"/>
  <c r="Y1375" i="23"/>
  <c r="Y18" i="23"/>
  <c r="Y17" i="23"/>
  <c r="Y16" i="23"/>
  <c r="Y24" i="23"/>
  <c r="Y32" i="23"/>
  <c r="Y40" i="23"/>
  <c r="Y48" i="23"/>
  <c r="Y56" i="23"/>
  <c r="Y64" i="23"/>
  <c r="Y72" i="23"/>
  <c r="Y80" i="23"/>
  <c r="Y88" i="23"/>
  <c r="Y96" i="23"/>
  <c r="Y104" i="23"/>
  <c r="Y112" i="23"/>
  <c r="Y120" i="23"/>
  <c r="Y128" i="23"/>
  <c r="Y136" i="23"/>
  <c r="Y144" i="23"/>
  <c r="Y152" i="23"/>
  <c r="Y160" i="23"/>
  <c r="Y168" i="23"/>
  <c r="Y176" i="23"/>
  <c r="Y184" i="23"/>
  <c r="Y192" i="23"/>
  <c r="Y200" i="23"/>
  <c r="Y208" i="23"/>
  <c r="Y216" i="23"/>
  <c r="Y224" i="23"/>
  <c r="Y232" i="23"/>
  <c r="Y240" i="23"/>
  <c r="Y248" i="23"/>
  <c r="Y256" i="23"/>
  <c r="Y264" i="23"/>
  <c r="Y272" i="23"/>
  <c r="Y280" i="23"/>
  <c r="Y288" i="23"/>
  <c r="Y296" i="23"/>
  <c r="Y304" i="23"/>
  <c r="Y312" i="23"/>
  <c r="Y320" i="23"/>
  <c r="Y328" i="23"/>
  <c r="Y336" i="23"/>
  <c r="Y344" i="23"/>
  <c r="Y352" i="23"/>
  <c r="Y360" i="23"/>
  <c r="Y368" i="23"/>
  <c r="Y376" i="23"/>
  <c r="Y384" i="23"/>
  <c r="Y392" i="23"/>
  <c r="Y400" i="23"/>
  <c r="Y408" i="23"/>
  <c r="Y416" i="23"/>
  <c r="Y424" i="23"/>
  <c r="Y432" i="23"/>
  <c r="Y440" i="23"/>
  <c r="Y448" i="23"/>
  <c r="Y456" i="23"/>
  <c r="Y464" i="23"/>
  <c r="Y472" i="23"/>
  <c r="Y480" i="23"/>
  <c r="Y488" i="23"/>
  <c r="Y496" i="23"/>
  <c r="Y504" i="23"/>
  <c r="Y512" i="23"/>
  <c r="Y520" i="23"/>
  <c r="Y528" i="23"/>
  <c r="Y536" i="23"/>
  <c r="Y544" i="23"/>
  <c r="Y552" i="23"/>
  <c r="Y560" i="23"/>
  <c r="Y568" i="23"/>
  <c r="Y576" i="23"/>
  <c r="Y584" i="23"/>
  <c r="Y592" i="23"/>
  <c r="Y600" i="23"/>
  <c r="Y608" i="23"/>
  <c r="Y616" i="23"/>
  <c r="Y624" i="23"/>
  <c r="Y632" i="23"/>
  <c r="Y640" i="23"/>
  <c r="Y648" i="23"/>
  <c r="Y656" i="23"/>
  <c r="Y664" i="23"/>
  <c r="Y672" i="23"/>
  <c r="Y680" i="23"/>
  <c r="Y688" i="23"/>
  <c r="Y696" i="23"/>
  <c r="Y704" i="23"/>
  <c r="Y712" i="23"/>
  <c r="Y720" i="23"/>
  <c r="Y728" i="23"/>
  <c r="Y736" i="23"/>
  <c r="Y744" i="23"/>
  <c r="Y752" i="23"/>
  <c r="Y760" i="23"/>
  <c r="Y768" i="23"/>
  <c r="Y776" i="23"/>
  <c r="Y784" i="23"/>
  <c r="Y792" i="23"/>
  <c r="Y800" i="23"/>
  <c r="Y808" i="23"/>
  <c r="Y816" i="23"/>
  <c r="Y824" i="23"/>
  <c r="Y832" i="23"/>
  <c r="Y840" i="23"/>
  <c r="Y848" i="23"/>
  <c r="Y856" i="23"/>
  <c r="Y864" i="23"/>
  <c r="Y872" i="23"/>
  <c r="Y880" i="23"/>
  <c r="Y888" i="23"/>
  <c r="Y896" i="23"/>
  <c r="Y904" i="23"/>
  <c r="Y912" i="23"/>
  <c r="Y920" i="23"/>
  <c r="Y928" i="23"/>
  <c r="Y936" i="23"/>
  <c r="Y944" i="23"/>
  <c r="Y952" i="23"/>
  <c r="Y960" i="23"/>
  <c r="Y968" i="23"/>
  <c r="Y976" i="23"/>
  <c r="Y984" i="23"/>
  <c r="Y992" i="23"/>
  <c r="Y1000" i="23"/>
  <c r="Y1008" i="23"/>
  <c r="Y1016" i="23"/>
  <c r="Y1024" i="23"/>
  <c r="Y1032" i="23"/>
  <c r="Y1040" i="23"/>
  <c r="Y1048" i="23"/>
  <c r="Y1056" i="23"/>
  <c r="Y1064" i="23"/>
  <c r="Y1072" i="23"/>
  <c r="Y1080" i="23"/>
  <c r="Y1088" i="23"/>
  <c r="Y1096" i="23"/>
  <c r="Y1104" i="23"/>
  <c r="Y1112" i="23"/>
  <c r="Y1120" i="23"/>
  <c r="Y1128" i="23"/>
  <c r="Y1136" i="23"/>
  <c r="Y1144" i="23"/>
  <c r="Y1152" i="23"/>
  <c r="Y1160" i="23"/>
  <c r="Y1168" i="23"/>
  <c r="Y1176" i="23"/>
  <c r="Y1184" i="23"/>
  <c r="Y1192" i="23"/>
  <c r="Y1200" i="23"/>
  <c r="Y1208" i="23"/>
  <c r="Y1216" i="23"/>
  <c r="Y1224" i="23"/>
  <c r="Y25" i="23"/>
  <c r="Y33" i="23"/>
  <c r="Y41" i="23"/>
  <c r="Y49" i="23"/>
  <c r="Y57" i="23"/>
  <c r="Y65" i="23"/>
  <c r="Y73" i="23"/>
  <c r="Y81" i="23"/>
  <c r="Y89" i="23"/>
  <c r="Y97" i="23"/>
  <c r="Y105" i="23"/>
  <c r="Y113" i="23"/>
  <c r="Y121" i="23"/>
  <c r="Y129" i="23"/>
  <c r="Y137" i="23"/>
  <c r="Y145" i="23"/>
  <c r="Y153" i="23"/>
  <c r="Y161" i="23"/>
  <c r="Y169" i="23"/>
  <c r="Y177" i="23"/>
  <c r="Y185" i="23"/>
  <c r="Y193" i="23"/>
  <c r="Y201" i="23"/>
  <c r="Y209" i="23"/>
  <c r="Y217" i="23"/>
  <c r="Y225" i="23"/>
  <c r="Y233" i="23"/>
  <c r="Y241" i="23"/>
  <c r="Y249" i="23"/>
  <c r="Y257" i="23"/>
  <c r="Y265" i="23"/>
  <c r="Y273" i="23"/>
  <c r="Y281" i="23"/>
  <c r="Y289" i="23"/>
  <c r="Y297" i="23"/>
  <c r="Y305" i="23"/>
  <c r="Y313" i="23"/>
  <c r="Y321" i="23"/>
  <c r="Y329" i="23"/>
  <c r="Y337" i="23"/>
  <c r="Y345" i="23"/>
  <c r="Y353" i="23"/>
  <c r="Y361" i="23"/>
  <c r="Y369" i="23"/>
  <c r="Y377" i="23"/>
  <c r="Y385" i="23"/>
  <c r="Y393" i="23"/>
  <c r="Y401" i="23"/>
  <c r="Y409" i="23"/>
  <c r="Y417" i="23"/>
  <c r="Y425" i="23"/>
  <c r="Y433" i="23"/>
  <c r="Y441" i="23"/>
  <c r="Y449" i="23"/>
  <c r="Y457" i="23"/>
  <c r="Y465" i="23"/>
  <c r="Y473" i="23"/>
  <c r="Y481" i="23"/>
  <c r="Y489" i="23"/>
  <c r="Y497" i="23"/>
  <c r="Y505" i="23"/>
  <c r="Y513" i="23"/>
  <c r="Y521" i="23"/>
  <c r="Y529" i="23"/>
  <c r="Y537" i="23"/>
  <c r="Y545" i="23"/>
  <c r="Y553" i="23"/>
  <c r="Y561" i="23"/>
  <c r="Y569" i="23"/>
  <c r="Y577" i="23"/>
  <c r="Y585" i="23"/>
  <c r="Y593" i="23"/>
  <c r="Y601" i="23"/>
  <c r="Y609" i="23"/>
  <c r="Y617" i="23"/>
  <c r="Y625" i="23"/>
  <c r="Y633" i="23"/>
  <c r="Y641" i="23"/>
  <c r="Y649" i="23"/>
  <c r="Y20" i="23"/>
  <c r="Y28" i="23"/>
  <c r="Y36" i="23"/>
  <c r="Y44" i="23"/>
  <c r="Y52" i="23"/>
  <c r="Y60" i="23"/>
  <c r="Y68" i="23"/>
  <c r="Y76" i="23"/>
  <c r="Y84" i="23"/>
  <c r="Y92" i="23"/>
  <c r="Y100" i="23"/>
  <c r="Y108" i="23"/>
  <c r="Y116" i="23"/>
  <c r="Y124" i="23"/>
  <c r="Y132" i="23"/>
  <c r="Y140" i="23"/>
  <c r="Y148" i="23"/>
  <c r="Y156" i="23"/>
  <c r="Y164" i="23"/>
  <c r="Y172" i="23"/>
  <c r="Y180" i="23"/>
  <c r="Y188" i="23"/>
  <c r="Y196" i="23"/>
  <c r="Y204" i="23"/>
  <c r="Y212" i="23"/>
  <c r="Y220" i="23"/>
  <c r="Y228" i="23"/>
  <c r="Y236" i="23"/>
  <c r="Y244" i="23"/>
  <c r="Y252" i="23"/>
  <c r="Y260" i="23"/>
  <c r="Y268" i="23"/>
  <c r="Y276" i="23"/>
  <c r="Y284" i="23"/>
  <c r="Y292" i="23"/>
  <c r="Y300" i="23"/>
  <c r="Y308" i="23"/>
  <c r="Y316" i="23"/>
  <c r="Y324" i="23"/>
  <c r="Y332" i="23"/>
  <c r="Y340" i="23"/>
  <c r="Y348" i="23"/>
  <c r="Y356" i="23"/>
  <c r="Y364" i="23"/>
  <c r="Y372" i="23"/>
  <c r="Y380" i="23"/>
  <c r="Y388" i="23"/>
  <c r="Y396" i="23"/>
  <c r="Y404" i="23"/>
  <c r="Y412" i="23"/>
  <c r="Y420" i="23"/>
  <c r="Y428" i="23"/>
  <c r="Y436" i="23"/>
  <c r="Y444" i="23"/>
  <c r="Y452" i="23"/>
  <c r="Y460" i="23"/>
  <c r="Y468" i="23"/>
  <c r="Y476" i="23"/>
  <c r="Y484" i="23"/>
  <c r="Y492" i="23"/>
  <c r="Y500" i="23"/>
  <c r="Y508" i="23"/>
  <c r="Y516" i="23"/>
  <c r="Y524" i="23"/>
  <c r="Y532" i="23"/>
  <c r="Y540" i="23"/>
  <c r="Y548" i="23"/>
  <c r="Y556" i="23"/>
  <c r="Y564" i="23"/>
  <c r="Y572" i="23"/>
  <c r="Y580" i="23"/>
  <c r="Y588" i="23"/>
  <c r="Y596" i="23"/>
  <c r="Y604" i="23"/>
  <c r="Y612" i="23"/>
  <c r="Y620" i="23"/>
  <c r="Y628" i="23"/>
  <c r="Y636" i="23"/>
  <c r="Y644" i="23"/>
  <c r="Y652" i="23"/>
  <c r="Y660" i="23"/>
  <c r="Y668" i="23"/>
  <c r="Y676" i="23"/>
  <c r="Y684" i="23"/>
  <c r="Y692" i="23"/>
  <c r="Y700" i="23"/>
  <c r="Y708" i="23"/>
  <c r="Y716" i="23"/>
  <c r="Y724" i="23"/>
  <c r="Y732" i="23"/>
  <c r="Y740" i="23"/>
  <c r="Y748" i="23"/>
  <c r="Y756" i="23"/>
  <c r="Y764" i="23"/>
  <c r="Y772" i="23"/>
  <c r="Y780" i="23"/>
  <c r="Y788" i="23"/>
  <c r="Y796" i="23"/>
  <c r="Y804" i="23"/>
  <c r="Y812" i="23"/>
  <c r="Y820" i="23"/>
  <c r="Y828" i="23"/>
  <c r="Y836" i="23"/>
  <c r="Y844" i="23"/>
  <c r="Y852" i="23"/>
  <c r="Y860" i="23"/>
  <c r="Y868" i="23"/>
  <c r="Y876" i="23"/>
  <c r="Y884" i="23"/>
  <c r="Y892" i="23"/>
  <c r="Y900" i="23"/>
  <c r="Y908" i="23"/>
  <c r="Y916" i="23"/>
  <c r="Y924" i="23"/>
  <c r="Y932" i="23"/>
  <c r="Y940" i="23"/>
  <c r="Y948" i="23"/>
  <c r="Y956" i="23"/>
  <c r="Y964" i="23"/>
  <c r="Y972" i="23"/>
  <c r="Y980" i="23"/>
  <c r="Y988" i="23"/>
  <c r="Y996" i="23"/>
  <c r="Y1004" i="23"/>
  <c r="Y1012" i="23"/>
  <c r="Y1020" i="23"/>
  <c r="Y1028" i="23"/>
  <c r="Y1036" i="23"/>
  <c r="Y1044" i="23"/>
  <c r="Y1052" i="23"/>
  <c r="Y1060" i="23"/>
  <c r="Y1068" i="23"/>
  <c r="Y1076" i="23"/>
  <c r="Y1084" i="23"/>
  <c r="Y1092" i="23"/>
  <c r="Y1100" i="23"/>
  <c r="Y1108" i="23"/>
  <c r="Y1116" i="23"/>
  <c r="Y1124" i="23"/>
  <c r="Y1132" i="23"/>
  <c r="Y1140" i="23"/>
  <c r="Y1148" i="23"/>
  <c r="Y1156" i="23"/>
  <c r="Y1164" i="23"/>
  <c r="Y1172" i="23"/>
  <c r="Y1180" i="23"/>
  <c r="Y1188" i="23"/>
  <c r="Y1196" i="23"/>
  <c r="Y1204" i="23"/>
  <c r="Y1212" i="23"/>
  <c r="Y1220" i="23"/>
  <c r="Y1228" i="23"/>
  <c r="Y1236" i="23"/>
  <c r="Y1244" i="23"/>
  <c r="Y1252" i="23"/>
  <c r="Y1260" i="23"/>
  <c r="Y1268" i="23"/>
  <c r="Y1276" i="23"/>
  <c r="Y1284" i="23"/>
  <c r="Y1292" i="23"/>
  <c r="Y1300" i="23"/>
  <c r="Y1308" i="23"/>
  <c r="Y1316" i="23"/>
  <c r="Y1324" i="23"/>
  <c r="Y1332" i="23"/>
  <c r="R1300" i="1"/>
  <c r="R1299" i="1"/>
  <c r="R1297" i="1"/>
  <c r="R1296" i="1"/>
  <c r="R1298" i="1"/>
  <c r="Q1294" i="1"/>
  <c r="Q1292" i="1"/>
  <c r="Q1295" i="1"/>
  <c r="Q1293" i="1"/>
  <c r="W298" i="24"/>
  <c r="U298" i="24"/>
  <c r="V298" i="24" s="1"/>
  <c r="S296" i="24"/>
  <c r="T297" i="24"/>
  <c r="AG299" i="24"/>
  <c r="AI299" i="24" s="1"/>
  <c r="AJ299" i="24" s="1"/>
  <c r="D24" i="32" l="1"/>
  <c r="E24" i="32" s="1"/>
  <c r="F24" i="32" s="1"/>
  <c r="I288" i="1"/>
  <c r="J288" i="1" s="1"/>
  <c r="I15" i="1"/>
  <c r="J15" i="1" s="1"/>
  <c r="I942" i="1"/>
  <c r="J942" i="1" s="1"/>
  <c r="I935" i="1"/>
  <c r="J935" i="1" s="1"/>
  <c r="I16" i="1"/>
  <c r="J16" i="1" s="1"/>
  <c r="I17" i="1"/>
  <c r="J17" i="1" s="1"/>
  <c r="R1293" i="1"/>
  <c r="R1295" i="1"/>
  <c r="R1292" i="1"/>
  <c r="R1294" i="1"/>
  <c r="I174" i="1"/>
  <c r="J174" i="1" s="1"/>
  <c r="Q1290" i="1"/>
  <c r="Q1288" i="1"/>
  <c r="Q1289" i="1"/>
  <c r="Q1291" i="1"/>
  <c r="I997" i="1"/>
  <c r="J997" i="1" s="1"/>
  <c r="I419" i="1"/>
  <c r="J419" i="1" s="1"/>
  <c r="W297" i="24"/>
  <c r="U297" i="24"/>
  <c r="V297" i="24" s="1"/>
  <c r="T296" i="24"/>
  <c r="S295" i="24"/>
  <c r="AG298" i="24"/>
  <c r="AI298" i="24" s="1"/>
  <c r="AJ298" i="24" s="1"/>
  <c r="I493" i="1"/>
  <c r="J493" i="1" s="1"/>
  <c r="I1358" i="1"/>
  <c r="Y1358" i="1" s="1"/>
  <c r="I845" i="1"/>
  <c r="J845" i="1" s="1"/>
  <c r="I1371" i="1"/>
  <c r="Y1371" i="1" s="1"/>
  <c r="I721" i="1"/>
  <c r="J721" i="1" s="1"/>
  <c r="I619" i="1"/>
  <c r="J619" i="1" s="1"/>
  <c r="I1005" i="1"/>
  <c r="J1005" i="1" s="1"/>
  <c r="I466" i="1"/>
  <c r="J466" i="1" s="1"/>
  <c r="I1307" i="1"/>
  <c r="Y1307" i="1" s="1"/>
  <c r="I786" i="1"/>
  <c r="J786" i="1" s="1"/>
  <c r="I626" i="1"/>
  <c r="J626" i="1" s="1"/>
  <c r="I1113" i="1"/>
  <c r="J1113" i="1" s="1"/>
  <c r="I1116" i="1"/>
  <c r="J1116" i="1" s="1"/>
  <c r="I1073" i="1"/>
  <c r="J1073" i="1" s="1"/>
  <c r="I991" i="1"/>
  <c r="J991" i="1" s="1"/>
  <c r="I618" i="1"/>
  <c r="J618" i="1" s="1"/>
  <c r="I649" i="1"/>
  <c r="J649" i="1" s="1"/>
  <c r="I868" i="1"/>
  <c r="J868" i="1" s="1"/>
  <c r="I477" i="1"/>
  <c r="J477" i="1" s="1"/>
  <c r="I550" i="1"/>
  <c r="J550" i="1" s="1"/>
  <c r="I222" i="1"/>
  <c r="J222" i="1" s="1"/>
  <c r="I958" i="1"/>
  <c r="J958" i="1" s="1"/>
  <c r="I592" i="1"/>
  <c r="J592" i="1" s="1"/>
  <c r="I144" i="1"/>
  <c r="J144" i="1" s="1"/>
  <c r="I1289" i="1"/>
  <c r="J1289" i="1" s="1"/>
  <c r="I360" i="1"/>
  <c r="J360" i="1" s="1"/>
  <c r="I576" i="1"/>
  <c r="J576" i="1" s="1"/>
  <c r="I1299" i="1"/>
  <c r="Y1299" i="1" s="1"/>
  <c r="I1309" i="1"/>
  <c r="Y1309" i="1" s="1"/>
  <c r="I1268" i="1"/>
  <c r="J1268" i="1" s="1"/>
  <c r="I571" i="1"/>
  <c r="J571" i="1" s="1"/>
  <c r="I96" i="1"/>
  <c r="J96" i="1" s="1"/>
  <c r="I990" i="1"/>
  <c r="J990" i="1" s="1"/>
  <c r="I811" i="1"/>
  <c r="J811" i="1" s="1"/>
  <c r="I611" i="1"/>
  <c r="J611" i="1" s="1"/>
  <c r="I427" i="1"/>
  <c r="J427" i="1" s="1"/>
  <c r="I379" i="1"/>
  <c r="J379" i="1" s="1"/>
  <c r="I172" i="1"/>
  <c r="J172" i="1" s="1"/>
  <c r="I259" i="1"/>
  <c r="J259" i="1" s="1"/>
  <c r="I1271" i="1"/>
  <c r="J1271" i="1" s="1"/>
  <c r="I1181" i="1"/>
  <c r="J1181" i="1" s="1"/>
  <c r="I542" i="1"/>
  <c r="J542" i="1" s="1"/>
  <c r="I564" i="1"/>
  <c r="J564" i="1" s="1"/>
  <c r="I195" i="1"/>
  <c r="J195" i="1" s="1"/>
  <c r="I80" i="1"/>
  <c r="J80" i="1" s="1"/>
  <c r="I1321" i="1"/>
  <c r="Y1321" i="1" s="1"/>
  <c r="I907" i="1"/>
  <c r="J907" i="1" s="1"/>
  <c r="I909" i="1"/>
  <c r="J909" i="1" s="1"/>
  <c r="I540" i="1"/>
  <c r="J540" i="1" s="1"/>
  <c r="I442" i="1"/>
  <c r="J442" i="1" s="1"/>
  <c r="I512" i="1"/>
  <c r="J512" i="1" s="1"/>
  <c r="I843" i="1"/>
  <c r="J843" i="1" s="1"/>
  <c r="I515" i="1"/>
  <c r="J515" i="1" s="1"/>
  <c r="I403" i="1"/>
  <c r="J403" i="1" s="1"/>
  <c r="I1105" i="1"/>
  <c r="J1105" i="1" s="1"/>
  <c r="I677" i="1"/>
  <c r="J677" i="1" s="1"/>
  <c r="I395" i="1"/>
  <c r="J395" i="1" s="1"/>
  <c r="I1283" i="1"/>
  <c r="J1283" i="1" s="1"/>
  <c r="I1282" i="1"/>
  <c r="J1282" i="1" s="1"/>
  <c r="I1108" i="1"/>
  <c r="J1108" i="1" s="1"/>
  <c r="I109" i="1"/>
  <c r="J109" i="1" s="1"/>
  <c r="I1261" i="1"/>
  <c r="J1261" i="1" s="1"/>
  <c r="I979" i="1"/>
  <c r="J979" i="1" s="1"/>
  <c r="I957" i="1"/>
  <c r="J957" i="1" s="1"/>
  <c r="I1356" i="1"/>
  <c r="Y1356" i="1" s="1"/>
  <c r="I1165" i="1"/>
  <c r="J1165" i="1" s="1"/>
  <c r="I1075" i="1"/>
  <c r="J1075" i="1" s="1"/>
  <c r="I1264" i="1"/>
  <c r="J1264" i="1" s="1"/>
  <c r="I1140" i="1"/>
  <c r="J1140" i="1" s="1"/>
  <c r="I1152" i="1"/>
  <c r="J1152" i="1" s="1"/>
  <c r="I1159" i="1"/>
  <c r="J1159" i="1" s="1"/>
  <c r="I1158" i="1"/>
  <c r="J1158" i="1" s="1"/>
  <c r="I1098" i="1"/>
  <c r="J1098" i="1" s="1"/>
  <c r="I1013" i="1"/>
  <c r="J1013" i="1" s="1"/>
  <c r="I816" i="1"/>
  <c r="J816" i="1" s="1"/>
  <c r="I1220" i="1"/>
  <c r="J1220" i="1" s="1"/>
  <c r="I1144" i="1"/>
  <c r="J1144" i="1" s="1"/>
  <c r="I1141" i="1"/>
  <c r="J1141" i="1" s="1"/>
  <c r="I1157" i="1"/>
  <c r="J1157" i="1" s="1"/>
  <c r="I1331" i="1"/>
  <c r="Y1331" i="1" s="1"/>
  <c r="I1043" i="1"/>
  <c r="J1043" i="1" s="1"/>
  <c r="I1012" i="1"/>
  <c r="J1012" i="1" s="1"/>
  <c r="I681" i="1"/>
  <c r="J681" i="1" s="1"/>
  <c r="I679" i="1"/>
  <c r="J679" i="1" s="1"/>
  <c r="I1260" i="1"/>
  <c r="J1260" i="1" s="1"/>
  <c r="I1206" i="1"/>
  <c r="J1206" i="1" s="1"/>
  <c r="I1125" i="1"/>
  <c r="J1125" i="1" s="1"/>
  <c r="I1180" i="1"/>
  <c r="J1180" i="1" s="1"/>
  <c r="I1369" i="1"/>
  <c r="Y1369" i="1" s="1"/>
  <c r="I1207" i="1"/>
  <c r="J1207" i="1" s="1"/>
  <c r="I1037" i="1"/>
  <c r="J1037" i="1" s="1"/>
  <c r="I1263" i="1"/>
  <c r="J1263" i="1" s="1"/>
  <c r="I1279" i="1"/>
  <c r="J1279" i="1" s="1"/>
  <c r="I1205" i="1"/>
  <c r="J1205" i="1" s="1"/>
  <c r="I1150" i="1"/>
  <c r="J1150" i="1" s="1"/>
  <c r="I1339" i="1"/>
  <c r="Y1339" i="1" s="1"/>
  <c r="I1375" i="1"/>
  <c r="Y1375" i="1" s="1"/>
  <c r="I1325" i="1"/>
  <c r="Y1325" i="1" s="1"/>
  <c r="I1175" i="1"/>
  <c r="J1175" i="1" s="1"/>
  <c r="I1191" i="1"/>
  <c r="J1191" i="1" s="1"/>
  <c r="I1142" i="1"/>
  <c r="J1142" i="1" s="1"/>
  <c r="I1145" i="1"/>
  <c r="J1145" i="1" s="1"/>
  <c r="I1117" i="1"/>
  <c r="J1117" i="1" s="1"/>
  <c r="I1119" i="1"/>
  <c r="J1119" i="1" s="1"/>
  <c r="I949" i="1"/>
  <c r="J949" i="1" s="1"/>
  <c r="I917" i="1"/>
  <c r="J917" i="1" s="1"/>
  <c r="I1038" i="1"/>
  <c r="J1038" i="1" s="1"/>
  <c r="I897" i="1"/>
  <c r="J897" i="1" s="1"/>
  <c r="I821" i="1"/>
  <c r="J821" i="1" s="1"/>
  <c r="I874" i="1"/>
  <c r="J874" i="1" s="1"/>
  <c r="I713" i="1"/>
  <c r="J713" i="1" s="1"/>
  <c r="I858" i="1"/>
  <c r="J858" i="1" s="1"/>
  <c r="I625" i="1"/>
  <c r="J625" i="1" s="1"/>
  <c r="I586" i="1"/>
  <c r="J586" i="1" s="1"/>
  <c r="I567" i="1"/>
  <c r="J567" i="1" s="1"/>
  <c r="I529" i="1"/>
  <c r="J529" i="1" s="1"/>
  <c r="I543" i="1"/>
  <c r="J543" i="1" s="1"/>
  <c r="I454" i="1"/>
  <c r="J454" i="1" s="1"/>
  <c r="I420" i="1"/>
  <c r="J420" i="1" s="1"/>
  <c r="I382" i="1"/>
  <c r="J382" i="1" s="1"/>
  <c r="I421" i="1"/>
  <c r="J421" i="1" s="1"/>
  <c r="I368" i="1"/>
  <c r="J368" i="1" s="1"/>
  <c r="I263" i="1"/>
  <c r="J263" i="1" s="1"/>
  <c r="I199" i="1"/>
  <c r="J199" i="1" s="1"/>
  <c r="I375" i="1"/>
  <c r="J375" i="1" s="1"/>
  <c r="I423" i="1"/>
  <c r="J423" i="1" s="1"/>
  <c r="I258" i="1"/>
  <c r="J258" i="1" s="1"/>
  <c r="I255" i="1"/>
  <c r="J255" i="1" s="1"/>
  <c r="I41" i="1"/>
  <c r="J41" i="1" s="1"/>
  <c r="I185" i="1"/>
  <c r="J185" i="1" s="1"/>
  <c r="I113" i="1"/>
  <c r="J113" i="1" s="1"/>
  <c r="I49" i="1"/>
  <c r="J49" i="1" s="1"/>
  <c r="I175" i="1"/>
  <c r="J175" i="1" s="1"/>
  <c r="I209" i="1"/>
  <c r="J209" i="1" s="1"/>
  <c r="I127" i="1"/>
  <c r="J127" i="1" s="1"/>
  <c r="I90" i="1"/>
  <c r="J90" i="1" s="1"/>
  <c r="I1354" i="1"/>
  <c r="Y1354" i="1" s="1"/>
  <c r="I1346" i="1"/>
  <c r="Y1346" i="1" s="1"/>
  <c r="I1280" i="1"/>
  <c r="J1280" i="1" s="1"/>
  <c r="I1239" i="1"/>
  <c r="J1239" i="1" s="1"/>
  <c r="I1189" i="1"/>
  <c r="J1189" i="1" s="1"/>
  <c r="I1360" i="1"/>
  <c r="Y1360" i="1" s="1"/>
  <c r="I1355" i="1"/>
  <c r="Y1355" i="1" s="1"/>
  <c r="I1248" i="1"/>
  <c r="J1248" i="1" s="1"/>
  <c r="I1276" i="1"/>
  <c r="J1276" i="1" s="1"/>
  <c r="I1224" i="1"/>
  <c r="J1224" i="1" s="1"/>
  <c r="I1133" i="1"/>
  <c r="J1133" i="1" s="1"/>
  <c r="I1162" i="1"/>
  <c r="J1162" i="1" s="1"/>
  <c r="I1160" i="1"/>
  <c r="J1160" i="1" s="1"/>
  <c r="I1183" i="1"/>
  <c r="J1183" i="1" s="1"/>
  <c r="I1148" i="1"/>
  <c r="J1148" i="1" s="1"/>
  <c r="I1004" i="1"/>
  <c r="J1004" i="1" s="1"/>
  <c r="I1020" i="1"/>
  <c r="J1020" i="1" s="1"/>
  <c r="I952" i="1"/>
  <c r="J952" i="1" s="1"/>
  <c r="I951" i="1"/>
  <c r="J951" i="1" s="1"/>
  <c r="I916" i="1"/>
  <c r="J916" i="1" s="1"/>
  <c r="I1029" i="1"/>
  <c r="J1029" i="1" s="1"/>
  <c r="I959" i="1"/>
  <c r="J959" i="1" s="1"/>
  <c r="I895" i="1"/>
  <c r="J895" i="1" s="1"/>
  <c r="I849" i="1"/>
  <c r="J849" i="1" s="1"/>
  <c r="I800" i="1"/>
  <c r="J800" i="1" s="1"/>
  <c r="I896" i="1"/>
  <c r="J896" i="1" s="1"/>
  <c r="I792" i="1"/>
  <c r="J792" i="1" s="1"/>
  <c r="I703" i="1"/>
  <c r="J703" i="1" s="1"/>
  <c r="I704" i="1"/>
  <c r="J704" i="1" s="1"/>
  <c r="I819" i="1"/>
  <c r="J819" i="1" s="1"/>
  <c r="I818" i="1"/>
  <c r="J818" i="1" s="1"/>
  <c r="I689" i="1"/>
  <c r="J689" i="1" s="1"/>
  <c r="I793" i="1"/>
  <c r="J793" i="1" s="1"/>
  <c r="I561" i="1"/>
  <c r="J561" i="1" s="1"/>
  <c r="I521" i="1"/>
  <c r="J521" i="1" s="1"/>
  <c r="I495" i="1"/>
  <c r="J495" i="1" s="1"/>
  <c r="I535" i="1"/>
  <c r="J535" i="1" s="1"/>
  <c r="I380" i="1"/>
  <c r="J380" i="1" s="1"/>
  <c r="I359" i="1"/>
  <c r="J359" i="1" s="1"/>
  <c r="I407" i="1"/>
  <c r="J407" i="1" s="1"/>
  <c r="I294" i="1"/>
  <c r="J294" i="1" s="1"/>
  <c r="I201" i="1"/>
  <c r="J201" i="1" s="1"/>
  <c r="I169" i="1"/>
  <c r="J169" i="1" s="1"/>
  <c r="I25" i="1"/>
  <c r="J25" i="1" s="1"/>
  <c r="I249" i="1"/>
  <c r="J249" i="1" s="1"/>
  <c r="I105" i="1"/>
  <c r="J105" i="1" s="1"/>
  <c r="I33" i="1"/>
  <c r="J33" i="1" s="1"/>
  <c r="I161" i="1"/>
  <c r="J161" i="1" s="1"/>
  <c r="I91" i="1"/>
  <c r="J91" i="1" s="1"/>
  <c r="I99" i="1"/>
  <c r="J99" i="1" s="1"/>
  <c r="I1370" i="1"/>
  <c r="Y1370" i="1" s="1"/>
  <c r="I1361" i="1"/>
  <c r="Y1361" i="1" s="1"/>
  <c r="I1324" i="1"/>
  <c r="Y1324" i="1" s="1"/>
  <c r="I1291" i="1"/>
  <c r="J1291" i="1" s="1"/>
  <c r="I1265" i="1"/>
  <c r="J1265" i="1" s="1"/>
  <c r="I1168" i="1"/>
  <c r="J1168" i="1" s="1"/>
  <c r="I1204" i="1"/>
  <c r="J1204" i="1" s="1"/>
  <c r="I1166" i="1"/>
  <c r="J1166" i="1" s="1"/>
  <c r="I1136" i="1"/>
  <c r="J1136" i="1" s="1"/>
  <c r="I1164" i="1"/>
  <c r="J1164" i="1" s="1"/>
  <c r="I1081" i="1"/>
  <c r="J1081" i="1" s="1"/>
  <c r="I1156" i="1"/>
  <c r="J1156" i="1" s="1"/>
  <c r="I1154" i="1"/>
  <c r="J1154" i="1" s="1"/>
  <c r="I996" i="1"/>
  <c r="J996" i="1" s="1"/>
  <c r="I1032" i="1"/>
  <c r="J1032" i="1" s="1"/>
  <c r="I978" i="1"/>
  <c r="J978" i="1" s="1"/>
  <c r="I888" i="1"/>
  <c r="J888" i="1" s="1"/>
  <c r="I820" i="1"/>
  <c r="J820" i="1" s="1"/>
  <c r="I798" i="1"/>
  <c r="J798" i="1" s="1"/>
  <c r="I678" i="1"/>
  <c r="J678" i="1" s="1"/>
  <c r="I636" i="1"/>
  <c r="J636" i="1" s="1"/>
  <c r="I634" i="1"/>
  <c r="J634" i="1" s="1"/>
  <c r="I635" i="1"/>
  <c r="J635" i="1" s="1"/>
  <c r="I594" i="1"/>
  <c r="J594" i="1" s="1"/>
  <c r="I601" i="1"/>
  <c r="J601" i="1" s="1"/>
  <c r="I587" i="1"/>
  <c r="J587" i="1" s="1"/>
  <c r="I411" i="1"/>
  <c r="J411" i="1" s="1"/>
  <c r="I486" i="1"/>
  <c r="J486" i="1" s="1"/>
  <c r="I485" i="1"/>
  <c r="J485" i="1" s="1"/>
  <c r="I447" i="1"/>
  <c r="J447" i="1" s="1"/>
  <c r="I374" i="1"/>
  <c r="J374" i="1" s="1"/>
  <c r="I311" i="1"/>
  <c r="J311" i="1" s="1"/>
  <c r="I247" i="1"/>
  <c r="J247" i="1" s="1"/>
  <c r="I183" i="1"/>
  <c r="J183" i="1" s="1"/>
  <c r="I412" i="1"/>
  <c r="J412" i="1" s="1"/>
  <c r="I338" i="1"/>
  <c r="J338" i="1" s="1"/>
  <c r="I337" i="1"/>
  <c r="J337" i="1" s="1"/>
  <c r="I279" i="1"/>
  <c r="J279" i="1" s="1"/>
  <c r="I319" i="1"/>
  <c r="J319" i="1" s="1"/>
  <c r="I166" i="1"/>
  <c r="J166" i="1" s="1"/>
  <c r="I193" i="1"/>
  <c r="J193" i="1" s="1"/>
  <c r="I143" i="1"/>
  <c r="J143" i="1" s="1"/>
  <c r="I273" i="1"/>
  <c r="J273" i="1" s="1"/>
  <c r="I98" i="1"/>
  <c r="J98" i="1" s="1"/>
  <c r="I92" i="1"/>
  <c r="J92" i="1" s="1"/>
  <c r="I1322" i="1"/>
  <c r="Y1322" i="1" s="1"/>
  <c r="I1284" i="1"/>
  <c r="J1284" i="1" s="1"/>
  <c r="I1267" i="1"/>
  <c r="J1267" i="1" s="1"/>
  <c r="I1240" i="1"/>
  <c r="J1240" i="1" s="1"/>
  <c r="I1112" i="1"/>
  <c r="J1112" i="1" s="1"/>
  <c r="I1134" i="1"/>
  <c r="J1134" i="1" s="1"/>
  <c r="I1089" i="1"/>
  <c r="J1089" i="1" s="1"/>
  <c r="I1151" i="1"/>
  <c r="J1151" i="1" s="1"/>
  <c r="I1063" i="1"/>
  <c r="J1063" i="1" s="1"/>
  <c r="I1167" i="1"/>
  <c r="J1167" i="1" s="1"/>
  <c r="I988" i="1"/>
  <c r="J988" i="1" s="1"/>
  <c r="I925" i="1"/>
  <c r="J925" i="1" s="1"/>
  <c r="I866" i="1"/>
  <c r="J866" i="1" s="1"/>
  <c r="I881" i="1"/>
  <c r="J881" i="1" s="1"/>
  <c r="I806" i="1"/>
  <c r="J806" i="1" s="1"/>
  <c r="I805" i="1"/>
  <c r="J805" i="1" s="1"/>
  <c r="I817" i="1"/>
  <c r="J817" i="1" s="1"/>
  <c r="I604" i="1"/>
  <c r="J604" i="1" s="1"/>
  <c r="I602" i="1"/>
  <c r="J602" i="1" s="1"/>
  <c r="I603" i="1"/>
  <c r="J603" i="1" s="1"/>
  <c r="I630" i="1"/>
  <c r="J630" i="1" s="1"/>
  <c r="I686" i="1"/>
  <c r="J686" i="1" s="1"/>
  <c r="I585" i="1"/>
  <c r="J585" i="1" s="1"/>
  <c r="I553" i="1"/>
  <c r="J553" i="1" s="1"/>
  <c r="I537" i="1"/>
  <c r="J537" i="1" s="1"/>
  <c r="I473" i="1"/>
  <c r="J473" i="1" s="1"/>
  <c r="I465" i="1"/>
  <c r="J465" i="1" s="1"/>
  <c r="I441" i="1"/>
  <c r="J441" i="1" s="1"/>
  <c r="I406" i="1"/>
  <c r="J406" i="1" s="1"/>
  <c r="I303" i="1"/>
  <c r="J303" i="1" s="1"/>
  <c r="I239" i="1"/>
  <c r="J239" i="1" s="1"/>
  <c r="I372" i="1"/>
  <c r="J372" i="1" s="1"/>
  <c r="I313" i="1"/>
  <c r="J313" i="1" s="1"/>
  <c r="I89" i="1"/>
  <c r="J89" i="1" s="1"/>
  <c r="I257" i="1"/>
  <c r="J257" i="1" s="1"/>
  <c r="I256" i="1"/>
  <c r="J256" i="1" s="1"/>
  <c r="I186" i="1"/>
  <c r="J186" i="1" s="1"/>
  <c r="I1275" i="1"/>
  <c r="J1275" i="1" s="1"/>
  <c r="I1323" i="1"/>
  <c r="Y1323" i="1" s="1"/>
  <c r="I1348" i="1"/>
  <c r="Y1348" i="1" s="1"/>
  <c r="I1223" i="1"/>
  <c r="J1223" i="1" s="1"/>
  <c r="I1057" i="1"/>
  <c r="J1057" i="1" s="1"/>
  <c r="I1100" i="1"/>
  <c r="J1100" i="1" s="1"/>
  <c r="I977" i="1"/>
  <c r="J977" i="1" s="1"/>
  <c r="I936" i="1"/>
  <c r="J936" i="1" s="1"/>
  <c r="I873" i="1"/>
  <c r="J873" i="1" s="1"/>
  <c r="I694" i="1"/>
  <c r="J694" i="1" s="1"/>
  <c r="I830" i="1"/>
  <c r="J830" i="1" s="1"/>
  <c r="I685" i="1"/>
  <c r="J685" i="1" s="1"/>
  <c r="I583" i="1"/>
  <c r="J583" i="1" s="1"/>
  <c r="I551" i="1"/>
  <c r="J551" i="1" s="1"/>
  <c r="I471" i="1"/>
  <c r="J471" i="1" s="1"/>
  <c r="I527" i="1"/>
  <c r="J527" i="1" s="1"/>
  <c r="I528" i="1"/>
  <c r="J528" i="1" s="1"/>
  <c r="I438" i="1"/>
  <c r="J438" i="1" s="1"/>
  <c r="I404" i="1"/>
  <c r="J404" i="1" s="1"/>
  <c r="I389" i="1"/>
  <c r="J389" i="1" s="1"/>
  <c r="I388" i="1"/>
  <c r="J388" i="1" s="1"/>
  <c r="I348" i="1"/>
  <c r="J348" i="1" s="1"/>
  <c r="I295" i="1"/>
  <c r="J295" i="1" s="1"/>
  <c r="I231" i="1"/>
  <c r="J231" i="1" s="1"/>
  <c r="I171" i="1"/>
  <c r="J171" i="1" s="1"/>
  <c r="I158" i="1"/>
  <c r="J158" i="1" s="1"/>
  <c r="I159" i="1"/>
  <c r="J159" i="1" s="1"/>
  <c r="I314" i="1"/>
  <c r="J314" i="1" s="1"/>
  <c r="I250" i="1"/>
  <c r="J250" i="1" s="1"/>
  <c r="I106" i="1"/>
  <c r="J106" i="1" s="1"/>
  <c r="I59" i="1"/>
  <c r="J59" i="1" s="1"/>
  <c r="I97" i="1"/>
  <c r="J97" i="1" s="1"/>
  <c r="I1332" i="1"/>
  <c r="Y1332" i="1" s="1"/>
  <c r="I1274" i="1"/>
  <c r="J1274" i="1" s="1"/>
  <c r="I1357" i="1"/>
  <c r="Y1357" i="1" s="1"/>
  <c r="I1347" i="1"/>
  <c r="Y1347" i="1" s="1"/>
  <c r="I1290" i="1"/>
  <c r="J1290" i="1" s="1"/>
  <c r="I1221" i="1"/>
  <c r="J1221" i="1" s="1"/>
  <c r="I1179" i="1"/>
  <c r="J1179" i="1" s="1"/>
  <c r="I1051" i="1"/>
  <c r="J1051" i="1" s="1"/>
  <c r="I1030" i="1"/>
  <c r="J1030" i="1" s="1"/>
  <c r="I1074" i="1"/>
  <c r="J1074" i="1" s="1"/>
  <c r="I859" i="1"/>
  <c r="J859" i="1" s="1"/>
  <c r="I889" i="1"/>
  <c r="J889" i="1" s="1"/>
  <c r="I701" i="1"/>
  <c r="J701" i="1" s="1"/>
  <c r="I883" i="1"/>
  <c r="J883" i="1" s="1"/>
  <c r="I668" i="1"/>
  <c r="J668" i="1" s="1"/>
  <c r="I666" i="1"/>
  <c r="J666" i="1" s="1"/>
  <c r="I667" i="1"/>
  <c r="J667" i="1" s="1"/>
  <c r="I624" i="1"/>
  <c r="J624" i="1" s="1"/>
  <c r="I460" i="1"/>
  <c r="J460" i="1" s="1"/>
  <c r="I387" i="1"/>
  <c r="J387" i="1" s="1"/>
  <c r="I522" i="1"/>
  <c r="J522" i="1" s="1"/>
  <c r="I436" i="1"/>
  <c r="J436" i="1" s="1"/>
  <c r="I390" i="1"/>
  <c r="J390" i="1" s="1"/>
  <c r="I470" i="1"/>
  <c r="J470" i="1" s="1"/>
  <c r="I469" i="1"/>
  <c r="J469" i="1" s="1"/>
  <c r="I287" i="1"/>
  <c r="J287" i="1" s="1"/>
  <c r="I223" i="1"/>
  <c r="J223" i="1" s="1"/>
  <c r="I335" i="1"/>
  <c r="J335" i="1" s="1"/>
  <c r="I215" i="1"/>
  <c r="J215" i="1" s="1"/>
  <c r="I305" i="1"/>
  <c r="J305" i="1" s="1"/>
  <c r="I241" i="1"/>
  <c r="J241" i="1" s="1"/>
  <c r="I151" i="1"/>
  <c r="J151" i="1" s="1"/>
  <c r="I217" i="1"/>
  <c r="J217" i="1" s="1"/>
  <c r="I152" i="1"/>
  <c r="J152" i="1" s="1"/>
  <c r="I73" i="1"/>
  <c r="J73" i="1" s="1"/>
  <c r="I234" i="1"/>
  <c r="J234" i="1" s="1"/>
  <c r="I50" i="1"/>
  <c r="J50" i="1" s="1"/>
  <c r="I107" i="1"/>
  <c r="J107" i="1" s="1"/>
  <c r="I58" i="1"/>
  <c r="J58" i="1" s="1"/>
  <c r="I1359" i="1"/>
  <c r="Y1359" i="1" s="1"/>
  <c r="I1273" i="1"/>
  <c r="J1273" i="1" s="1"/>
  <c r="I1308" i="1"/>
  <c r="Y1308" i="1" s="1"/>
  <c r="I1330" i="1"/>
  <c r="Y1330" i="1" s="1"/>
  <c r="I1281" i="1"/>
  <c r="J1281" i="1" s="1"/>
  <c r="I1064" i="1"/>
  <c r="J1064" i="1" s="1"/>
  <c r="I1127" i="1"/>
  <c r="J1127" i="1" s="1"/>
  <c r="I1126" i="1"/>
  <c r="J1126" i="1" s="1"/>
  <c r="I1109" i="1"/>
  <c r="J1109" i="1" s="1"/>
  <c r="I1044" i="1"/>
  <c r="J1044" i="1" s="1"/>
  <c r="I1099" i="1"/>
  <c r="J1099" i="1" s="1"/>
  <c r="I1161" i="1"/>
  <c r="J1161" i="1" s="1"/>
  <c r="I1028" i="1"/>
  <c r="J1028" i="1" s="1"/>
  <c r="I1135" i="1"/>
  <c r="J1135" i="1" s="1"/>
  <c r="I1083" i="1"/>
  <c r="J1083" i="1" s="1"/>
  <c r="I1031" i="1"/>
  <c r="J1031" i="1" s="1"/>
  <c r="I1082" i="1"/>
  <c r="J1082" i="1" s="1"/>
  <c r="I1015" i="1"/>
  <c r="J1015" i="1" s="1"/>
  <c r="I831" i="1"/>
  <c r="J831" i="1" s="1"/>
  <c r="I857" i="1"/>
  <c r="J857" i="1" s="1"/>
  <c r="I927" i="1"/>
  <c r="J927" i="1" s="1"/>
  <c r="I926" i="1"/>
  <c r="J926" i="1" s="1"/>
  <c r="I729" i="1"/>
  <c r="J729" i="1" s="1"/>
  <c r="I851" i="1"/>
  <c r="J851" i="1" s="1"/>
  <c r="I702" i="1"/>
  <c r="J702" i="1" s="1"/>
  <c r="I662" i="1"/>
  <c r="J662" i="1" s="1"/>
  <c r="I575" i="1"/>
  <c r="J575" i="1" s="1"/>
  <c r="I539" i="1"/>
  <c r="J539" i="1" s="1"/>
  <c r="I446" i="1"/>
  <c r="J446" i="1" s="1"/>
  <c r="I506" i="1"/>
  <c r="J506" i="1" s="1"/>
  <c r="I519" i="1"/>
  <c r="J519" i="1" s="1"/>
  <c r="I514" i="1"/>
  <c r="J514" i="1" s="1"/>
  <c r="I616" i="1"/>
  <c r="J616" i="1" s="1"/>
  <c r="I437" i="1"/>
  <c r="J437" i="1" s="1"/>
  <c r="I381" i="1"/>
  <c r="J381" i="1" s="1"/>
  <c r="I439" i="1"/>
  <c r="J439" i="1" s="1"/>
  <c r="I265" i="1"/>
  <c r="J265" i="1" s="1"/>
  <c r="I264" i="1"/>
  <c r="J264" i="1" s="1"/>
  <c r="I178" i="1"/>
  <c r="J178" i="1" s="1"/>
  <c r="I65" i="1"/>
  <c r="J65" i="1" s="1"/>
  <c r="I225" i="1"/>
  <c r="J225" i="1" s="1"/>
  <c r="I224" i="1"/>
  <c r="J224" i="1" s="1"/>
  <c r="I210" i="1"/>
  <c r="J210" i="1" s="1"/>
  <c r="I81" i="1"/>
  <c r="J81" i="1" s="1"/>
  <c r="I1292" i="1"/>
  <c r="Y1292" i="1" s="1"/>
  <c r="I1262" i="1"/>
  <c r="J1262" i="1" s="1"/>
  <c r="I1247" i="1"/>
  <c r="J1247" i="1" s="1"/>
  <c r="I1272" i="1"/>
  <c r="J1272" i="1" s="1"/>
  <c r="I1256" i="1"/>
  <c r="J1256" i="1" s="1"/>
  <c r="I1222" i="1"/>
  <c r="J1222" i="1" s="1"/>
  <c r="I1149" i="1"/>
  <c r="J1149" i="1" s="1"/>
  <c r="I1056" i="1"/>
  <c r="J1056" i="1" s="1"/>
  <c r="I1147" i="1"/>
  <c r="J1147" i="1" s="1"/>
  <c r="I1039" i="1"/>
  <c r="J1039" i="1" s="1"/>
  <c r="I1023" i="1"/>
  <c r="J1023" i="1" s="1"/>
  <c r="I980" i="1"/>
  <c r="J980" i="1" s="1"/>
  <c r="I1021" i="1"/>
  <c r="J1021" i="1" s="1"/>
  <c r="I928" i="1"/>
  <c r="J928" i="1" s="1"/>
  <c r="I903" i="1"/>
  <c r="J903" i="1" s="1"/>
  <c r="I844" i="1"/>
  <c r="J844" i="1" s="1"/>
  <c r="I745" i="1"/>
  <c r="J745" i="1" s="1"/>
  <c r="I644" i="1"/>
  <c r="J644" i="1" s="1"/>
  <c r="I724" i="1"/>
  <c r="J724" i="1" s="1"/>
  <c r="I656" i="1"/>
  <c r="J656" i="1" s="1"/>
  <c r="I665" i="1"/>
  <c r="J665" i="1" s="1"/>
  <c r="I520" i="1"/>
  <c r="J520" i="1" s="1"/>
  <c r="I545" i="1"/>
  <c r="J545" i="1" s="1"/>
  <c r="I496" i="1"/>
  <c r="J496" i="1" s="1"/>
  <c r="I513" i="1"/>
  <c r="J513" i="1" s="1"/>
  <c r="I494" i="1"/>
  <c r="J494" i="1" s="1"/>
  <c r="I271" i="1"/>
  <c r="J271" i="1" s="1"/>
  <c r="I207" i="1"/>
  <c r="J207" i="1" s="1"/>
  <c r="I430" i="1"/>
  <c r="J430" i="1" s="1"/>
  <c r="I428" i="1"/>
  <c r="J428" i="1" s="1"/>
  <c r="I440" i="1"/>
  <c r="J440" i="1" s="1"/>
  <c r="I191" i="1"/>
  <c r="J191" i="1" s="1"/>
  <c r="I130" i="1"/>
  <c r="J130" i="1" s="1"/>
  <c r="I334" i="1"/>
  <c r="J334" i="1" s="1"/>
  <c r="I121" i="1"/>
  <c r="J121" i="1" s="1"/>
  <c r="I57" i="1"/>
  <c r="J57" i="1" s="1"/>
  <c r="I167" i="1"/>
  <c r="J167" i="1" s="1"/>
  <c r="I298" i="1"/>
  <c r="J298" i="1" s="1"/>
  <c r="I128" i="1"/>
  <c r="J128" i="1" s="1"/>
  <c r="I122" i="1"/>
  <c r="J122" i="1" s="1"/>
  <c r="I1278" i="1"/>
  <c r="J1278" i="1" s="1"/>
  <c r="I1178" i="1"/>
  <c r="J1178" i="1" s="1"/>
  <c r="I1155" i="1"/>
  <c r="J1155" i="1" s="1"/>
  <c r="I1177" i="1"/>
  <c r="J1177" i="1" s="1"/>
  <c r="I1097" i="1"/>
  <c r="J1097" i="1" s="1"/>
  <c r="I1202" i="1"/>
  <c r="J1202" i="1" s="1"/>
  <c r="I1143" i="1"/>
  <c r="J1143" i="1" s="1"/>
  <c r="I1118" i="1"/>
  <c r="J1118" i="1" s="1"/>
  <c r="I1014" i="1"/>
  <c r="J1014" i="1" s="1"/>
  <c r="I937" i="1"/>
  <c r="J937" i="1" s="1"/>
  <c r="I965" i="1"/>
  <c r="J965" i="1" s="1"/>
  <c r="I919" i="1"/>
  <c r="J919" i="1" s="1"/>
  <c r="I860" i="1"/>
  <c r="J860" i="1" s="1"/>
  <c r="I799" i="1"/>
  <c r="J799" i="1" s="1"/>
  <c r="I709" i="1"/>
  <c r="J709" i="1" s="1"/>
  <c r="I826" i="1"/>
  <c r="J826" i="1" s="1"/>
  <c r="I915" i="1"/>
  <c r="J915" i="1" s="1"/>
  <c r="I875" i="1"/>
  <c r="J875" i="1" s="1"/>
  <c r="I950" i="1"/>
  <c r="J950" i="1" s="1"/>
  <c r="I890" i="1"/>
  <c r="J890" i="1" s="1"/>
  <c r="I838" i="1"/>
  <c r="J838" i="1" s="1"/>
  <c r="I664" i="1"/>
  <c r="J664" i="1" s="1"/>
  <c r="I850" i="1"/>
  <c r="J850" i="1" s="1"/>
  <c r="I680" i="1"/>
  <c r="J680" i="1" s="1"/>
  <c r="I547" i="1"/>
  <c r="J547" i="1" s="1"/>
  <c r="I487" i="1"/>
  <c r="J487" i="1" s="1"/>
  <c r="I461" i="1"/>
  <c r="J461" i="1" s="1"/>
  <c r="I373" i="1"/>
  <c r="J373" i="1" s="1"/>
  <c r="I208" i="1"/>
  <c r="J208" i="1" s="1"/>
  <c r="I339" i="1"/>
  <c r="J339" i="1" s="1"/>
  <c r="I349" i="1"/>
  <c r="J349" i="1" s="1"/>
  <c r="I304" i="1"/>
  <c r="J304" i="1" s="1"/>
  <c r="I240" i="1"/>
  <c r="J240" i="1" s="1"/>
  <c r="I1377" i="1"/>
  <c r="Y1377" i="1" s="1"/>
  <c r="I1266" i="1"/>
  <c r="J1266" i="1" s="1"/>
  <c r="I1277" i="1"/>
  <c r="J1277" i="1" s="1"/>
  <c r="I1255" i="1"/>
  <c r="J1255" i="1" s="1"/>
  <c r="I1176" i="1"/>
  <c r="J1176" i="1" s="1"/>
  <c r="I1153" i="1"/>
  <c r="J1153" i="1" s="1"/>
  <c r="I1071" i="1"/>
  <c r="J1071" i="1" s="1"/>
  <c r="I920" i="1"/>
  <c r="J920" i="1" s="1"/>
  <c r="I1016" i="1"/>
  <c r="J1016" i="1" s="1"/>
  <c r="I1062" i="1"/>
  <c r="J1062" i="1" s="1"/>
  <c r="I714" i="1"/>
  <c r="J714" i="1" s="1"/>
  <c r="I658" i="1"/>
  <c r="J658" i="1" s="1"/>
  <c r="I697" i="1"/>
  <c r="J697" i="1" s="1"/>
  <c r="I695" i="1"/>
  <c r="J695" i="1" s="1"/>
  <c r="I546" i="1"/>
  <c r="J546" i="1" s="1"/>
  <c r="I554" i="1"/>
  <c r="J554" i="1" s="1"/>
  <c r="I593" i="1"/>
  <c r="J593" i="1" s="1"/>
  <c r="I370" i="1"/>
  <c r="J370" i="1" s="1"/>
  <c r="I162" i="1"/>
  <c r="J162" i="1" s="1"/>
  <c r="I306" i="1"/>
  <c r="J306" i="1" s="1"/>
  <c r="I160" i="1"/>
  <c r="J160" i="1" s="1"/>
  <c r="I212" i="1"/>
  <c r="J212" i="1" s="1"/>
  <c r="I177" i="1"/>
  <c r="J177" i="1" s="1"/>
  <c r="I242" i="1"/>
  <c r="J242" i="1" s="1"/>
  <c r="I274" i="1"/>
  <c r="J274" i="1" s="1"/>
  <c r="I163" i="1"/>
  <c r="J163" i="1" s="1"/>
  <c r="I1111" i="1"/>
  <c r="J1111" i="1" s="1"/>
  <c r="I1076" i="1"/>
  <c r="J1076" i="1" s="1"/>
  <c r="I1190" i="1"/>
  <c r="J1190" i="1" s="1"/>
  <c r="I1163" i="1"/>
  <c r="J1163" i="1" s="1"/>
  <c r="I1241" i="1"/>
  <c r="J1241" i="1" s="1"/>
  <c r="I1022" i="1"/>
  <c r="J1022" i="1" s="1"/>
  <c r="I906" i="1"/>
  <c r="J906" i="1" s="1"/>
  <c r="I891" i="1"/>
  <c r="J891" i="1" s="1"/>
  <c r="I898" i="1"/>
  <c r="J898" i="1" s="1"/>
  <c r="I869" i="1"/>
  <c r="J869" i="1" s="1"/>
  <c r="I687" i="1"/>
  <c r="J687" i="1" s="1"/>
  <c r="I705" i="1"/>
  <c r="J705" i="1" s="1"/>
  <c r="I688" i="1"/>
  <c r="J688" i="1" s="1"/>
  <c r="I657" i="1"/>
  <c r="J657" i="1" s="1"/>
  <c r="I544" i="1"/>
  <c r="J544" i="1" s="1"/>
  <c r="I578" i="1"/>
  <c r="J578" i="1" s="1"/>
  <c r="I507" i="1"/>
  <c r="J507" i="1" s="1"/>
  <c r="I362" i="1"/>
  <c r="J362" i="1" s="1"/>
  <c r="I498" i="1"/>
  <c r="J498" i="1" s="1"/>
  <c r="I369" i="1"/>
  <c r="J369" i="1" s="1"/>
  <c r="I155" i="1"/>
  <c r="J155" i="1" s="1"/>
  <c r="I266" i="1"/>
  <c r="J266" i="1" s="1"/>
  <c r="I336" i="1"/>
  <c r="J336" i="1" s="1"/>
  <c r="I136" i="1"/>
  <c r="J136" i="1" s="1"/>
  <c r="I110" i="1"/>
  <c r="J110" i="1" s="1"/>
  <c r="I1049" i="1"/>
  <c r="J1049" i="1" s="1"/>
  <c r="I944" i="1"/>
  <c r="J944" i="1" s="1"/>
  <c r="I918" i="1"/>
  <c r="J918" i="1" s="1"/>
  <c r="I905" i="1"/>
  <c r="J905" i="1" s="1"/>
  <c r="I839" i="1"/>
  <c r="J839" i="1" s="1"/>
  <c r="I696" i="1"/>
  <c r="J696" i="1" s="1"/>
  <c r="I499" i="1"/>
  <c r="J499" i="1" s="1"/>
  <c r="I599" i="1"/>
  <c r="J599" i="1" s="1"/>
  <c r="I552" i="1"/>
  <c r="J552" i="1" s="1"/>
  <c r="I584" i="1"/>
  <c r="J584" i="1" s="1"/>
  <c r="I429" i="1"/>
  <c r="J429" i="1" s="1"/>
  <c r="I324" i="1"/>
  <c r="J324" i="1" s="1"/>
  <c r="I281" i="1"/>
  <c r="J281" i="1" s="1"/>
  <c r="I176" i="1"/>
  <c r="J176" i="1" s="1"/>
  <c r="I333" i="1"/>
  <c r="J333" i="1" s="1"/>
  <c r="I361" i="1"/>
  <c r="J361" i="1" s="1"/>
  <c r="I200" i="1"/>
  <c r="J200" i="1" s="1"/>
  <c r="I108" i="1"/>
  <c r="J108" i="1" s="1"/>
  <c r="I1146" i="1"/>
  <c r="J1146" i="1" s="1"/>
  <c r="I1050" i="1"/>
  <c r="J1050" i="1" s="1"/>
  <c r="I989" i="1"/>
  <c r="J989" i="1" s="1"/>
  <c r="I941" i="1"/>
  <c r="J941" i="1" s="1"/>
  <c r="I861" i="1"/>
  <c r="J861" i="1" s="1"/>
  <c r="I911" i="1"/>
  <c r="J911" i="1" s="1"/>
  <c r="I600" i="1"/>
  <c r="J600" i="1" s="1"/>
  <c r="I837" i="1"/>
  <c r="J837" i="1" s="1"/>
  <c r="I497" i="1"/>
  <c r="J497" i="1" s="1"/>
  <c r="I467" i="1"/>
  <c r="J467" i="1" s="1"/>
  <c r="I631" i="1"/>
  <c r="J631" i="1" s="1"/>
  <c r="I541" i="1"/>
  <c r="J541" i="1" s="1"/>
  <c r="I431" i="1"/>
  <c r="J431" i="1" s="1"/>
  <c r="I415" i="1"/>
  <c r="J415" i="1" s="1"/>
  <c r="I296" i="1"/>
  <c r="J296" i="1" s="1"/>
  <c r="I192" i="1"/>
  <c r="J192" i="1" s="1"/>
  <c r="I299" i="1"/>
  <c r="J299" i="1" s="1"/>
  <c r="I235" i="1"/>
  <c r="J235" i="1" s="1"/>
  <c r="I569" i="1"/>
  <c r="J569" i="1" s="1"/>
  <c r="I472" i="1"/>
  <c r="J472" i="1" s="1"/>
  <c r="I663" i="1"/>
  <c r="J663" i="1" s="1"/>
  <c r="I617" i="1"/>
  <c r="J617" i="1" s="1"/>
  <c r="I538" i="1"/>
  <c r="J538" i="1" s="1"/>
  <c r="I577" i="1"/>
  <c r="J577" i="1" s="1"/>
  <c r="I413" i="1"/>
  <c r="J413" i="1" s="1"/>
  <c r="I396" i="1"/>
  <c r="J396" i="1" s="1"/>
  <c r="I414" i="1"/>
  <c r="J414" i="1" s="1"/>
  <c r="I398" i="1"/>
  <c r="J398" i="1" s="1"/>
  <c r="I405" i="1"/>
  <c r="J405" i="1" s="1"/>
  <c r="I371" i="1"/>
  <c r="J371" i="1" s="1"/>
  <c r="I232" i="1"/>
  <c r="J232" i="1" s="1"/>
  <c r="I297" i="1"/>
  <c r="J297" i="1" s="1"/>
  <c r="I233" i="1"/>
  <c r="J233" i="1" s="1"/>
  <c r="I194" i="1"/>
  <c r="J194" i="1" s="1"/>
  <c r="I307" i="1"/>
  <c r="J307" i="1" s="1"/>
  <c r="I26" i="1"/>
  <c r="J26" i="1" s="1"/>
  <c r="I833" i="1"/>
  <c r="J833" i="1" s="1"/>
  <c r="I892" i="1"/>
  <c r="J892" i="1" s="1"/>
  <c r="I632" i="1"/>
  <c r="J632" i="1" s="1"/>
  <c r="I633" i="1"/>
  <c r="J633" i="1" s="1"/>
  <c r="I612" i="1"/>
  <c r="J612" i="1" s="1"/>
  <c r="I458" i="1"/>
  <c r="J458" i="1" s="1"/>
  <c r="I456" i="1"/>
  <c r="J456" i="1" s="1"/>
  <c r="I562" i="1"/>
  <c r="J562" i="1" s="1"/>
  <c r="I536" i="1"/>
  <c r="J536" i="1" s="1"/>
  <c r="I563" i="1"/>
  <c r="J563" i="1" s="1"/>
  <c r="I570" i="1"/>
  <c r="J570" i="1" s="1"/>
  <c r="I500" i="1"/>
  <c r="J500" i="1" s="1"/>
  <c r="I453" i="1"/>
  <c r="J453" i="1" s="1"/>
  <c r="I168" i="1"/>
  <c r="J168" i="1" s="1"/>
  <c r="I170" i="1"/>
  <c r="J170" i="1" s="1"/>
  <c r="I227" i="1"/>
  <c r="J227" i="1" s="1"/>
  <c r="I251" i="1"/>
  <c r="J251" i="1" s="1"/>
  <c r="I289" i="1"/>
  <c r="J289" i="1" s="1"/>
  <c r="I154" i="1"/>
  <c r="J154" i="1" s="1"/>
  <c r="I129" i="1"/>
  <c r="J129" i="1" s="1"/>
  <c r="I1101" i="1"/>
  <c r="J1101" i="1" s="1"/>
  <c r="I1110" i="1"/>
  <c r="J1110" i="1" s="1"/>
  <c r="I943" i="1"/>
  <c r="J943" i="1" s="1"/>
  <c r="I882" i="1"/>
  <c r="J882" i="1" s="1"/>
  <c r="I904" i="1"/>
  <c r="J904" i="1" s="1"/>
  <c r="I852" i="1"/>
  <c r="J852" i="1" s="1"/>
  <c r="I580" i="1"/>
  <c r="J580" i="1" s="1"/>
  <c r="I475" i="1"/>
  <c r="J475" i="1" s="1"/>
  <c r="I560" i="1"/>
  <c r="J560" i="1" s="1"/>
  <c r="I568" i="1"/>
  <c r="J568" i="1" s="1"/>
  <c r="I530" i="1"/>
  <c r="J530" i="1" s="1"/>
  <c r="I468" i="1"/>
  <c r="J468" i="1" s="1"/>
  <c r="I422" i="1"/>
  <c r="J422" i="1" s="1"/>
  <c r="I397" i="1"/>
  <c r="J397" i="1" s="1"/>
  <c r="I424" i="1"/>
  <c r="J424" i="1" s="1"/>
  <c r="I408" i="1"/>
  <c r="J408" i="1" s="1"/>
  <c r="I202" i="1"/>
  <c r="J202" i="1" s="1"/>
  <c r="I272" i="1"/>
  <c r="J272" i="1" s="1"/>
  <c r="I312" i="1"/>
  <c r="J312" i="1" s="1"/>
  <c r="I248" i="1"/>
  <c r="J248" i="1" s="1"/>
  <c r="I184" i="1"/>
  <c r="J184" i="1" s="1"/>
  <c r="I280" i="1"/>
  <c r="J280" i="1" s="1"/>
  <c r="I216" i="1"/>
  <c r="J216" i="1" s="1"/>
  <c r="I153" i="1"/>
  <c r="J153" i="1" s="1"/>
  <c r="I123" i="1"/>
  <c r="J123" i="1" s="1"/>
  <c r="I42" i="1"/>
  <c r="J42" i="1" s="1"/>
  <c r="Y1291" i="1" l="1"/>
  <c r="Y1289" i="1"/>
  <c r="Y1290" i="1"/>
  <c r="V1324" i="1"/>
  <c r="V1309" i="1"/>
  <c r="V1359" i="1"/>
  <c r="V1361" i="1"/>
  <c r="V1299" i="1"/>
  <c r="V1371" i="1"/>
  <c r="V1370" i="1"/>
  <c r="V1346" i="1"/>
  <c r="V1325" i="1"/>
  <c r="V1358" i="1"/>
  <c r="V1377" i="1"/>
  <c r="V1354" i="1"/>
  <c r="V1375" i="1"/>
  <c r="V1369" i="1"/>
  <c r="V1356" i="1"/>
  <c r="V1307" i="1"/>
  <c r="V1291" i="1"/>
  <c r="V1339" i="1"/>
  <c r="V1331" i="1"/>
  <c r="V1289" i="1"/>
  <c r="V1292" i="1"/>
  <c r="V1332" i="1"/>
  <c r="V1322" i="1"/>
  <c r="V1330" i="1"/>
  <c r="V1357" i="1"/>
  <c r="V1348" i="1"/>
  <c r="V1355" i="1"/>
  <c r="V1347" i="1"/>
  <c r="V1308" i="1"/>
  <c r="V1323" i="1"/>
  <c r="V1360" i="1"/>
  <c r="V1321" i="1"/>
  <c r="V1290" i="1"/>
  <c r="J1377" i="1"/>
  <c r="J1354" i="1"/>
  <c r="J1375" i="1"/>
  <c r="J1369" i="1"/>
  <c r="J1356" i="1"/>
  <c r="J1307" i="1"/>
  <c r="J1325" i="1"/>
  <c r="J1292" i="1"/>
  <c r="J1347" i="1"/>
  <c r="J1322" i="1"/>
  <c r="J1339" i="1"/>
  <c r="J1331" i="1"/>
  <c r="J1330" i="1"/>
  <c r="J1357" i="1"/>
  <c r="J1348" i="1"/>
  <c r="J1355" i="1"/>
  <c r="J1308" i="1"/>
  <c r="J1323" i="1"/>
  <c r="J1360" i="1"/>
  <c r="J1321" i="1"/>
  <c r="J1332" i="1"/>
  <c r="J1324" i="1"/>
  <c r="J1309" i="1"/>
  <c r="J1358" i="1"/>
  <c r="J1359" i="1"/>
  <c r="J1361" i="1"/>
  <c r="J1299" i="1"/>
  <c r="J1371" i="1"/>
  <c r="J1346" i="1"/>
  <c r="J1370" i="1"/>
  <c r="I204" i="1"/>
  <c r="J204" i="1" s="1"/>
  <c r="I532" i="1"/>
  <c r="J532" i="1" s="1"/>
  <c r="I706" i="1"/>
  <c r="J706" i="1" s="1"/>
  <c r="I573" i="1"/>
  <c r="J573" i="1" s="1"/>
  <c r="I733" i="1"/>
  <c r="J733" i="1" s="1"/>
  <c r="I1000" i="1"/>
  <c r="J1000" i="1" s="1"/>
  <c r="I1310" i="1"/>
  <c r="Y1310" i="1" s="1"/>
  <c r="I476" i="1"/>
  <c r="J476" i="1" s="1"/>
  <c r="I723" i="1"/>
  <c r="J723" i="1" s="1"/>
  <c r="I910" i="1"/>
  <c r="J910" i="1" s="1"/>
  <c r="I900" i="1"/>
  <c r="J900" i="1" s="1"/>
  <c r="I867" i="1"/>
  <c r="J867" i="1" s="1"/>
  <c r="I1304" i="1"/>
  <c r="Y1304" i="1" s="1"/>
  <c r="I1313" i="1"/>
  <c r="Y1313" i="1" s="1"/>
  <c r="I1270" i="1"/>
  <c r="J1270" i="1" s="1"/>
  <c r="I1344" i="1"/>
  <c r="Y1344" i="1" s="1"/>
  <c r="I615" i="1"/>
  <c r="J615" i="1" s="1"/>
  <c r="I1114" i="1"/>
  <c r="J1114" i="1" s="1"/>
  <c r="I1327" i="1"/>
  <c r="Y1327" i="1" s="1"/>
  <c r="I998" i="1"/>
  <c r="J998" i="1" s="1"/>
  <c r="I173" i="1"/>
  <c r="J173" i="1" s="1"/>
  <c r="I785" i="1"/>
  <c r="J785" i="1" s="1"/>
  <c r="I474" i="1"/>
  <c r="J474" i="1" s="1"/>
  <c r="I565" i="1"/>
  <c r="J565" i="1" s="1"/>
  <c r="I52" i="1"/>
  <c r="J52" i="1" s="1"/>
  <c r="I1052" i="1"/>
  <c r="J1052" i="1" s="1"/>
  <c r="I39" i="1"/>
  <c r="J39" i="1" s="1"/>
  <c r="I1209" i="1"/>
  <c r="J1209" i="1" s="1"/>
  <c r="I1115" i="1"/>
  <c r="J1115" i="1" s="1"/>
  <c r="I934" i="1"/>
  <c r="J934" i="1" s="1"/>
  <c r="I548" i="1"/>
  <c r="J548" i="1" s="1"/>
  <c r="I377" i="1"/>
  <c r="J377" i="1" s="1"/>
  <c r="I1070" i="1"/>
  <c r="J1070" i="1" s="1"/>
  <c r="I1025" i="1"/>
  <c r="J1025" i="1" s="1"/>
  <c r="I31" i="1"/>
  <c r="J31" i="1" s="1"/>
  <c r="I285" i="1"/>
  <c r="J285" i="1" s="1"/>
  <c r="I620" i="1"/>
  <c r="J620" i="1" s="1"/>
  <c r="I1225" i="1"/>
  <c r="J1225" i="1" s="1"/>
  <c r="I1129" i="1"/>
  <c r="J1129" i="1" s="1"/>
  <c r="I556" i="1"/>
  <c r="J556" i="1" s="1"/>
  <c r="I595" i="1"/>
  <c r="J595" i="1" s="1"/>
  <c r="I572" i="1"/>
  <c r="J572" i="1" s="1"/>
  <c r="I722" i="1"/>
  <c r="J722" i="1" s="1"/>
  <c r="I196" i="1"/>
  <c r="J196" i="1" s="1"/>
  <c r="I1006" i="1"/>
  <c r="J1006" i="1" s="1"/>
  <c r="I1128" i="1"/>
  <c r="J1128" i="1" s="1"/>
  <c r="I787" i="1"/>
  <c r="J787" i="1" s="1"/>
  <c r="I933" i="1"/>
  <c r="J933" i="1" s="1"/>
  <c r="I479" i="1"/>
  <c r="J479" i="1" s="1"/>
  <c r="I1218" i="1"/>
  <c r="J1218" i="1" s="1"/>
  <c r="I1345" i="1"/>
  <c r="Y1345" i="1" s="1"/>
  <c r="I614" i="1"/>
  <c r="J614" i="1" s="1"/>
  <c r="I1329" i="1"/>
  <c r="Y1329" i="1" s="1"/>
  <c r="I492" i="1"/>
  <c r="J492" i="1" s="1"/>
  <c r="I478" i="1"/>
  <c r="J478" i="1" s="1"/>
  <c r="I1007" i="1"/>
  <c r="J1007" i="1" s="1"/>
  <c r="I1326" i="1"/>
  <c r="Y1326" i="1" s="1"/>
  <c r="I613" i="1"/>
  <c r="J613" i="1" s="1"/>
  <c r="I260" i="1"/>
  <c r="J260" i="1" s="1"/>
  <c r="I908" i="1"/>
  <c r="J908" i="1" s="1"/>
  <c r="I566" i="1"/>
  <c r="J566" i="1" s="1"/>
  <c r="I101" i="1"/>
  <c r="J101" i="1" s="1"/>
  <c r="I654" i="1"/>
  <c r="J654" i="1" s="1"/>
  <c r="I29" i="1"/>
  <c r="J29" i="1" s="1"/>
  <c r="I847" i="1"/>
  <c r="J847" i="1" s="1"/>
  <c r="I516" i="1"/>
  <c r="J516" i="1" s="1"/>
  <c r="I1372" i="1"/>
  <c r="Y1372" i="1" s="1"/>
  <c r="I1328" i="1"/>
  <c r="Y1328" i="1" s="1"/>
  <c r="I308" i="1"/>
  <c r="J308" i="1" s="1"/>
  <c r="I884" i="1"/>
  <c r="J884" i="1" s="1"/>
  <c r="R1288" i="1"/>
  <c r="R1290" i="1"/>
  <c r="R1291" i="1"/>
  <c r="R1289" i="1"/>
  <c r="I1199" i="1"/>
  <c r="J1199" i="1" s="1"/>
  <c r="Q1287" i="1"/>
  <c r="Q1283" i="1"/>
  <c r="Y1283" i="1" s="1"/>
  <c r="Q1284" i="1"/>
  <c r="Y1284" i="1" s="1"/>
  <c r="Q1285" i="1"/>
  <c r="Q1286" i="1"/>
  <c r="I781" i="1"/>
  <c r="J781" i="1" s="1"/>
  <c r="I770" i="1"/>
  <c r="J770" i="1" s="1"/>
  <c r="I321" i="1"/>
  <c r="J321" i="1" s="1"/>
  <c r="I261" i="1"/>
  <c r="J261" i="1" s="1"/>
  <c r="AG297" i="24"/>
  <c r="AI297" i="24" s="1"/>
  <c r="AJ297" i="24" s="1"/>
  <c r="I1333" i="1"/>
  <c r="Y1333" i="1" s="1"/>
  <c r="I588" i="1"/>
  <c r="J588" i="1" s="1"/>
  <c r="I1269" i="1"/>
  <c r="J1269" i="1" s="1"/>
  <c r="S294" i="24"/>
  <c r="T295" i="24"/>
  <c r="W296" i="24"/>
  <c r="U296" i="24"/>
  <c r="V296" i="24" s="1"/>
  <c r="I83" i="1"/>
  <c r="J83" i="1" s="1"/>
  <c r="I801" i="1"/>
  <c r="J801" i="1" s="1"/>
  <c r="I267" i="1"/>
  <c r="J267" i="1" s="1"/>
  <c r="I832" i="1"/>
  <c r="J832" i="1" s="1"/>
  <c r="I300" i="1"/>
  <c r="J300" i="1" s="1"/>
  <c r="I715" i="1"/>
  <c r="J715" i="1" s="1"/>
  <c r="I61" i="1"/>
  <c r="J61" i="1" s="1"/>
  <c r="I449" i="1"/>
  <c r="J449" i="1" s="1"/>
  <c r="I690" i="1"/>
  <c r="J690" i="1" s="1"/>
  <c r="I1314" i="1"/>
  <c r="Y1314" i="1" s="1"/>
  <c r="I1366" i="1"/>
  <c r="Y1366" i="1" s="1"/>
  <c r="I1235" i="1"/>
  <c r="J1235" i="1" s="1"/>
  <c r="I1193" i="1"/>
  <c r="J1193" i="1" s="1"/>
  <c r="I444" i="1"/>
  <c r="J444" i="1" s="1"/>
  <c r="I425" i="1"/>
  <c r="J425" i="1" s="1"/>
  <c r="I675" i="1"/>
  <c r="J675" i="1" s="1"/>
  <c r="I432" i="1"/>
  <c r="J432" i="1" s="1"/>
  <c r="I808" i="1"/>
  <c r="J808" i="1" s="1"/>
  <c r="I766" i="1"/>
  <c r="J766" i="1" s="1"/>
  <c r="I670" i="1"/>
  <c r="J670" i="1" s="1"/>
  <c r="I827" i="1"/>
  <c r="J827" i="1" s="1"/>
  <c r="I1137" i="1"/>
  <c r="J1137" i="1" s="1"/>
  <c r="I762" i="1"/>
  <c r="J762" i="1" s="1"/>
  <c r="I252" i="1"/>
  <c r="J252" i="1" s="1"/>
  <c r="I60" i="1"/>
  <c r="J60" i="1" s="1"/>
  <c r="I384" i="1"/>
  <c r="J384" i="1" s="1"/>
  <c r="I276" i="1"/>
  <c r="J276" i="1" s="1"/>
  <c r="I1232" i="1"/>
  <c r="J1232" i="1" s="1"/>
  <c r="I1171" i="1"/>
  <c r="J1171" i="1" s="1"/>
  <c r="I517" i="1"/>
  <c r="J517" i="1" s="1"/>
  <c r="I344" i="1"/>
  <c r="J344" i="1" s="1"/>
  <c r="I961" i="1"/>
  <c r="J961" i="1" s="1"/>
  <c r="I188" i="1"/>
  <c r="J188" i="1" s="1"/>
  <c r="I738" i="1"/>
  <c r="J738" i="1" s="1"/>
  <c r="I1121" i="1"/>
  <c r="J1121" i="1" s="1"/>
  <c r="I316" i="1"/>
  <c r="J316" i="1" s="1"/>
  <c r="I676" i="1"/>
  <c r="J676" i="1" s="1"/>
  <c r="I1106" i="1"/>
  <c r="J1106" i="1" s="1"/>
  <c r="I78" i="1"/>
  <c r="J78" i="1" s="1"/>
  <c r="I999" i="1"/>
  <c r="J999" i="1" s="1"/>
  <c r="I197" i="1"/>
  <c r="J197" i="1" s="1"/>
  <c r="I54" i="1"/>
  <c r="J54" i="1" s="1"/>
  <c r="I383" i="1"/>
  <c r="J383" i="1" s="1"/>
  <c r="I973" i="1"/>
  <c r="J973" i="1" s="1"/>
  <c r="I969" i="1"/>
  <c r="J969" i="1" s="1"/>
  <c r="I1107" i="1"/>
  <c r="J1107" i="1" s="1"/>
  <c r="I100" i="1"/>
  <c r="J100" i="1" s="1"/>
  <c r="I945" i="1"/>
  <c r="J945" i="1" s="1"/>
  <c r="I35" i="1"/>
  <c r="J35" i="1" s="1"/>
  <c r="I156" i="1"/>
  <c r="J156" i="1" s="1"/>
  <c r="I164" i="1"/>
  <c r="J164" i="1" s="1"/>
  <c r="I67" i="1"/>
  <c r="J67" i="1" s="1"/>
  <c r="I75" i="1"/>
  <c r="J75" i="1" s="1"/>
  <c r="I1120" i="1"/>
  <c r="J1120" i="1" s="1"/>
  <c r="I445" i="1"/>
  <c r="J445" i="1" s="1"/>
  <c r="I70" i="1"/>
  <c r="J70" i="1" s="1"/>
  <c r="I669" i="1"/>
  <c r="J669" i="1" s="1"/>
  <c r="I488" i="1"/>
  <c r="J488" i="1" s="1"/>
  <c r="I392" i="1"/>
  <c r="J392" i="1" s="1"/>
  <c r="I742" i="1"/>
  <c r="J742" i="1" s="1"/>
  <c r="I1317" i="1"/>
  <c r="Y1317" i="1" s="1"/>
  <c r="I938" i="1"/>
  <c r="J938" i="1" s="1"/>
  <c r="I443" i="1"/>
  <c r="J443" i="1" s="1"/>
  <c r="I524" i="1"/>
  <c r="J524" i="1" s="1"/>
  <c r="I1008" i="1"/>
  <c r="J1008" i="1" s="1"/>
  <c r="I778" i="1"/>
  <c r="J778" i="1" s="1"/>
  <c r="I621" i="1"/>
  <c r="J621" i="1" s="1"/>
  <c r="I364" i="1"/>
  <c r="J364" i="1" s="1"/>
  <c r="I230" i="1"/>
  <c r="J230" i="1" s="1"/>
  <c r="I117" i="1"/>
  <c r="J117" i="1" s="1"/>
  <c r="I744" i="1"/>
  <c r="J744" i="1" s="1"/>
  <c r="I328" i="1"/>
  <c r="J328" i="1" s="1"/>
  <c r="I147" i="1"/>
  <c r="J147" i="1" s="1"/>
  <c r="I878" i="1"/>
  <c r="J878" i="1" s="1"/>
  <c r="I116" i="1"/>
  <c r="J116" i="1" s="1"/>
  <c r="I95" i="1"/>
  <c r="J95" i="1" s="1"/>
  <c r="I378" i="1"/>
  <c r="J378" i="1" s="1"/>
  <c r="I756" i="1"/>
  <c r="J756" i="1" s="1"/>
  <c r="I719" i="1"/>
  <c r="J719" i="1" s="1"/>
  <c r="I36" i="1"/>
  <c r="J36" i="1" s="1"/>
  <c r="I629" i="1"/>
  <c r="J629" i="1" s="1"/>
  <c r="I684" i="1"/>
  <c r="J684" i="1" s="1"/>
  <c r="I683" i="1"/>
  <c r="J683" i="1" s="1"/>
  <c r="I720" i="1"/>
  <c r="J720" i="1" s="1"/>
  <c r="I963" i="1"/>
  <c r="J963" i="1" s="1"/>
  <c r="I253" i="1"/>
  <c r="J253" i="1" s="1"/>
  <c r="I292" i="1"/>
  <c r="J292" i="1" s="1"/>
  <c r="I628" i="1"/>
  <c r="J628" i="1" s="1"/>
  <c r="I761" i="1"/>
  <c r="J761" i="1" s="1"/>
  <c r="I68" i="1"/>
  <c r="J68" i="1" s="1"/>
  <c r="I24" i="1"/>
  <c r="J24" i="1" s="1"/>
  <c r="I150" i="1"/>
  <c r="J150" i="1" s="1"/>
  <c r="I269" i="1"/>
  <c r="J269" i="1" s="1"/>
  <c r="I401" i="1"/>
  <c r="J401" i="1" s="1"/>
  <c r="I653" i="1"/>
  <c r="J653" i="1" s="1"/>
  <c r="I1086" i="1"/>
  <c r="J1086" i="1" s="1"/>
  <c r="I119" i="1"/>
  <c r="J119" i="1" s="1"/>
  <c r="I254" i="1"/>
  <c r="J254" i="1" s="1"/>
  <c r="I772" i="1"/>
  <c r="J772" i="1" s="1"/>
  <c r="I751" i="1"/>
  <c r="J751" i="1" s="1"/>
  <c r="I139" i="1"/>
  <c r="J139" i="1" s="1"/>
  <c r="I221" i="1"/>
  <c r="J221" i="1" s="1"/>
  <c r="I434" i="1"/>
  <c r="J434" i="1" s="1"/>
  <c r="I652" i="1"/>
  <c r="J652" i="1" s="1"/>
  <c r="I650" i="1"/>
  <c r="J650" i="1" s="1"/>
  <c r="I651" i="1"/>
  <c r="J651" i="1" s="1"/>
  <c r="I698" i="1"/>
  <c r="J698" i="1" s="1"/>
  <c r="I1079" i="1"/>
  <c r="J1079" i="1" s="1"/>
  <c r="I45" i="1"/>
  <c r="J45" i="1" s="1"/>
  <c r="I400" i="1"/>
  <c r="J400" i="1" s="1"/>
  <c r="I502" i="1"/>
  <c r="J502" i="1" s="1"/>
  <c r="I482" i="1"/>
  <c r="J482" i="1" s="1"/>
  <c r="I607" i="1"/>
  <c r="J607" i="1" s="1"/>
  <c r="I902" i="1"/>
  <c r="J902" i="1" s="1"/>
  <c r="I975" i="1"/>
  <c r="J975" i="1" s="1"/>
  <c r="I149" i="1"/>
  <c r="J149" i="1" s="1"/>
  <c r="I246" i="1"/>
  <c r="J246" i="1" s="1"/>
  <c r="I491" i="1"/>
  <c r="J491" i="1" s="1"/>
  <c r="I779" i="1"/>
  <c r="J779" i="1" s="1"/>
  <c r="I673" i="1"/>
  <c r="J673" i="1" s="1"/>
  <c r="I755" i="1"/>
  <c r="J755" i="1" s="1"/>
  <c r="I877" i="1"/>
  <c r="J877" i="1" s="1"/>
  <c r="I1237" i="1"/>
  <c r="J1237" i="1" s="1"/>
  <c r="I114" i="1"/>
  <c r="J114" i="1" s="1"/>
  <c r="I1042" i="1"/>
  <c r="J1042" i="1" s="1"/>
  <c r="I315" i="1"/>
  <c r="J315" i="1" s="1"/>
  <c r="I886" i="1"/>
  <c r="J886" i="1" s="1"/>
  <c r="I986" i="1"/>
  <c r="J986" i="1" s="1"/>
  <c r="I1054" i="1"/>
  <c r="J1054" i="1" s="1"/>
  <c r="I1067" i="1"/>
  <c r="J1067" i="1" s="1"/>
  <c r="I1065" i="1"/>
  <c r="J1065" i="1" s="1"/>
  <c r="I1066" i="1"/>
  <c r="J1066" i="1" s="1"/>
  <c r="I1298" i="1"/>
  <c r="Y1298" i="1" s="1"/>
  <c r="I1336" i="1"/>
  <c r="Y1336" i="1" s="1"/>
  <c r="I1077" i="1"/>
  <c r="J1077" i="1" s="1"/>
  <c r="I1132" i="1"/>
  <c r="J1132" i="1" s="1"/>
  <c r="I876" i="1"/>
  <c r="J876" i="1" s="1"/>
  <c r="I1093" i="1"/>
  <c r="J1093" i="1" s="1"/>
  <c r="I557" i="1"/>
  <c r="J557" i="1" s="1"/>
  <c r="I555" i="1"/>
  <c r="J555" i="1" s="1"/>
  <c r="I1024" i="1"/>
  <c r="J1024" i="1" s="1"/>
  <c r="I693" i="1"/>
  <c r="J693" i="1" s="1"/>
  <c r="I736" i="1"/>
  <c r="J736" i="1" s="1"/>
  <c r="I1009" i="1"/>
  <c r="J1009" i="1" s="1"/>
  <c r="I1227" i="1"/>
  <c r="J1227" i="1" s="1"/>
  <c r="I846" i="1"/>
  <c r="J846" i="1" s="1"/>
  <c r="I1373" i="1"/>
  <c r="Y1373" i="1" s="1"/>
  <c r="I865" i="1"/>
  <c r="J865" i="1" s="1"/>
  <c r="I648" i="1"/>
  <c r="J648" i="1" s="1"/>
  <c r="I790" i="1"/>
  <c r="J790" i="1" s="1"/>
  <c r="I505" i="1"/>
  <c r="J505" i="1" s="1"/>
  <c r="I774" i="1"/>
  <c r="J774" i="1" s="1"/>
  <c r="I1080" i="1"/>
  <c r="J1080" i="1" s="1"/>
  <c r="I302" i="1"/>
  <c r="J302" i="1" s="1"/>
  <c r="I418" i="1"/>
  <c r="J418" i="1" s="1"/>
  <c r="I483" i="1"/>
  <c r="J483" i="1" s="1"/>
  <c r="I608" i="1"/>
  <c r="J608" i="1" s="1"/>
  <c r="I700" i="1"/>
  <c r="J700" i="1" s="1"/>
  <c r="I995" i="1"/>
  <c r="J995" i="1" s="1"/>
  <c r="I63" i="1"/>
  <c r="J63" i="1" s="1"/>
  <c r="I310" i="1"/>
  <c r="J310" i="1" s="1"/>
  <c r="I582" i="1"/>
  <c r="J582" i="1" s="1"/>
  <c r="I581" i="1"/>
  <c r="J581" i="1" s="1"/>
  <c r="I814" i="1"/>
  <c r="J814" i="1" s="1"/>
  <c r="I829" i="1"/>
  <c r="J829" i="1" s="1"/>
  <c r="I1238" i="1"/>
  <c r="J1238" i="1" s="1"/>
  <c r="I747" i="1"/>
  <c r="J747" i="1" s="1"/>
  <c r="I983" i="1"/>
  <c r="J983" i="1" s="1"/>
  <c r="I1342" i="1"/>
  <c r="Y1342" i="1" s="1"/>
  <c r="I1341" i="1"/>
  <c r="Y1341" i="1" s="1"/>
  <c r="I148" i="1"/>
  <c r="J148" i="1" s="1"/>
  <c r="I1035" i="1"/>
  <c r="J1035" i="1" s="1"/>
  <c r="I1034" i="1"/>
  <c r="J1034" i="1" s="1"/>
  <c r="I627" i="1"/>
  <c r="J627" i="1" s="1"/>
  <c r="I887" i="1"/>
  <c r="J887" i="1" s="1"/>
  <c r="I1053" i="1"/>
  <c r="J1053" i="1" s="1"/>
  <c r="I1069" i="1"/>
  <c r="J1069" i="1" s="1"/>
  <c r="I1251" i="1"/>
  <c r="J1251" i="1" s="1"/>
  <c r="I1139" i="1"/>
  <c r="J1139" i="1" s="1"/>
  <c r="I66" i="1"/>
  <c r="J66" i="1" s="1"/>
  <c r="I777" i="1"/>
  <c r="J777" i="1" s="1"/>
  <c r="I1092" i="1"/>
  <c r="J1092" i="1" s="1"/>
  <c r="I558" i="1"/>
  <c r="J558" i="1" s="1"/>
  <c r="I1102" i="1"/>
  <c r="J1102" i="1" s="1"/>
  <c r="I1302" i="1"/>
  <c r="Y1302" i="1" s="1"/>
  <c r="I803" i="1"/>
  <c r="J803" i="1" s="1"/>
  <c r="I1226" i="1"/>
  <c r="J1226" i="1" s="1"/>
  <c r="I1305" i="1"/>
  <c r="Y1305" i="1" s="1"/>
  <c r="I203" i="1"/>
  <c r="J203" i="1" s="1"/>
  <c r="I1040" i="1"/>
  <c r="J1040" i="1" s="1"/>
  <c r="I1349" i="1"/>
  <c r="Y1349" i="1" s="1"/>
  <c r="I284" i="1"/>
  <c r="J284" i="1" s="1"/>
  <c r="I732" i="1"/>
  <c r="J732" i="1" s="1"/>
  <c r="I783" i="1"/>
  <c r="J783" i="1" s="1"/>
  <c r="I20" i="1"/>
  <c r="J20" i="1" s="1"/>
  <c r="I872" i="1"/>
  <c r="J872" i="1" s="1"/>
  <c r="I1088" i="1"/>
  <c r="J1088" i="1" s="1"/>
  <c r="I752" i="1"/>
  <c r="J752" i="1" s="1"/>
  <c r="I125" i="1"/>
  <c r="J125" i="1" s="1"/>
  <c r="I357" i="1"/>
  <c r="J357" i="1" s="1"/>
  <c r="I784" i="1"/>
  <c r="J784" i="1" s="1"/>
  <c r="I964" i="1"/>
  <c r="J964" i="1" s="1"/>
  <c r="I1103" i="1"/>
  <c r="J1103" i="1" s="1"/>
  <c r="I115" i="1"/>
  <c r="J115" i="1" s="1"/>
  <c r="I346" i="1"/>
  <c r="J346" i="1" s="1"/>
  <c r="I533" i="1"/>
  <c r="J533" i="1" s="1"/>
  <c r="I708" i="1"/>
  <c r="J708" i="1" s="1"/>
  <c r="I727" i="1"/>
  <c r="J727" i="1" s="1"/>
  <c r="I329" i="1"/>
  <c r="J329" i="1" s="1"/>
  <c r="I327" i="1"/>
  <c r="J327" i="1" s="1"/>
  <c r="I141" i="1"/>
  <c r="J141" i="1" s="1"/>
  <c r="I140" i="1"/>
  <c r="J140" i="1" s="1"/>
  <c r="I286" i="1"/>
  <c r="J286" i="1" s="1"/>
  <c r="I236" i="1"/>
  <c r="J236" i="1" s="1"/>
  <c r="I433" i="1"/>
  <c r="J433" i="1" s="1"/>
  <c r="I642" i="1"/>
  <c r="J642" i="1" s="1"/>
  <c r="I880" i="1"/>
  <c r="J880" i="1" s="1"/>
  <c r="I796" i="1"/>
  <c r="J796" i="1" s="1"/>
  <c r="I879" i="1"/>
  <c r="J879" i="1" s="1"/>
  <c r="I245" i="1"/>
  <c r="J245" i="1" s="1"/>
  <c r="I356" i="1"/>
  <c r="J356" i="1" s="1"/>
  <c r="I655" i="1"/>
  <c r="J655" i="1" s="1"/>
  <c r="I85" i="1"/>
  <c r="J85" i="1" s="1"/>
  <c r="I331" i="1"/>
  <c r="J331" i="1" s="1"/>
  <c r="I504" i="1"/>
  <c r="J504" i="1" s="1"/>
  <c r="I797" i="1"/>
  <c r="J797" i="1" s="1"/>
  <c r="I894" i="1"/>
  <c r="J894" i="1" s="1"/>
  <c r="I244" i="1"/>
  <c r="J244" i="1" s="1"/>
  <c r="I318" i="1"/>
  <c r="J318" i="1" s="1"/>
  <c r="I484" i="1"/>
  <c r="J484" i="1" s="1"/>
  <c r="I609" i="1"/>
  <c r="J609" i="1" s="1"/>
  <c r="I815" i="1"/>
  <c r="J815" i="1" s="1"/>
  <c r="I994" i="1"/>
  <c r="J994" i="1" s="1"/>
  <c r="I464" i="1"/>
  <c r="J464" i="1" s="1"/>
  <c r="I189" i="1"/>
  <c r="J189" i="1" s="1"/>
  <c r="I462" i="1"/>
  <c r="J462" i="1" s="1"/>
  <c r="I463" i="1"/>
  <c r="J463" i="1" s="1"/>
  <c r="I511" i="1"/>
  <c r="J511" i="1" s="1"/>
  <c r="I639" i="1"/>
  <c r="J639" i="1" s="1"/>
  <c r="I717" i="1"/>
  <c r="J717" i="1" s="1"/>
  <c r="I748" i="1"/>
  <c r="J748" i="1" s="1"/>
  <c r="I985" i="1"/>
  <c r="J985" i="1" s="1"/>
  <c r="I1195" i="1"/>
  <c r="J1195" i="1" s="1"/>
  <c r="I789" i="1"/>
  <c r="J789" i="1" s="1"/>
  <c r="I993" i="1"/>
  <c r="J993" i="1" s="1"/>
  <c r="I1055" i="1"/>
  <c r="J1055" i="1" s="1"/>
  <c r="I1210" i="1"/>
  <c r="J1210" i="1" s="1"/>
  <c r="I1315" i="1"/>
  <c r="Y1315" i="1" s="1"/>
  <c r="I243" i="1"/>
  <c r="J243" i="1" s="1"/>
  <c r="I523" i="1"/>
  <c r="J523" i="1" s="1"/>
  <c r="I710" i="1"/>
  <c r="J710" i="1" s="1"/>
  <c r="I982" i="1"/>
  <c r="J982" i="1" s="1"/>
  <c r="I1059" i="1"/>
  <c r="J1059" i="1" s="1"/>
  <c r="I1058" i="1"/>
  <c r="J1058" i="1" s="1"/>
  <c r="I753" i="1"/>
  <c r="J753" i="1" s="1"/>
  <c r="I1211" i="1"/>
  <c r="J1211" i="1" s="1"/>
  <c r="I1353" i="1"/>
  <c r="Y1353" i="1" s="1"/>
  <c r="I559" i="1"/>
  <c r="J559" i="1" s="1"/>
  <c r="I893" i="1"/>
  <c r="J893" i="1" s="1"/>
  <c r="I1351" i="1"/>
  <c r="Y1351" i="1" s="1"/>
  <c r="I773" i="1"/>
  <c r="J773" i="1" s="1"/>
  <c r="I802" i="1"/>
  <c r="J802" i="1" s="1"/>
  <c r="I1036" i="1"/>
  <c r="J1036" i="1" s="1"/>
  <c r="I1228" i="1"/>
  <c r="J1228" i="1" s="1"/>
  <c r="I921" i="1"/>
  <c r="J921" i="1" s="1"/>
  <c r="I1300" i="1"/>
  <c r="Y1300" i="1" s="1"/>
  <c r="I410" i="1"/>
  <c r="J410" i="1" s="1"/>
  <c r="I77" i="1"/>
  <c r="J77" i="1" s="1"/>
  <c r="I450" i="1"/>
  <c r="J450" i="1" s="1"/>
  <c r="I962" i="1"/>
  <c r="J962" i="1" s="1"/>
  <c r="I88" i="1"/>
  <c r="J88" i="1" s="1"/>
  <c r="I198" i="1"/>
  <c r="J198" i="1" s="1"/>
  <c r="I21" i="1"/>
  <c r="J21" i="1" s="1"/>
  <c r="I37" i="1"/>
  <c r="J37" i="1" s="1"/>
  <c r="I345" i="1"/>
  <c r="J345" i="1" s="1"/>
  <c r="I358" i="1"/>
  <c r="J358" i="1" s="1"/>
  <c r="I1001" i="1"/>
  <c r="J1001" i="1" s="1"/>
  <c r="I347" i="1"/>
  <c r="J347" i="1" s="1"/>
  <c r="I728" i="1"/>
  <c r="J728" i="1" s="1"/>
  <c r="I28" i="1"/>
  <c r="J28" i="1" s="1"/>
  <c r="I27" i="1"/>
  <c r="J27" i="1" s="1"/>
  <c r="I181" i="1"/>
  <c r="J181" i="1" s="1"/>
  <c r="I409" i="1"/>
  <c r="J409" i="1" s="1"/>
  <c r="I53" i="1"/>
  <c r="J53" i="1" s="1"/>
  <c r="I237" i="1"/>
  <c r="J237" i="1" s="1"/>
  <c r="I354" i="1"/>
  <c r="J354" i="1" s="1"/>
  <c r="I901" i="1"/>
  <c r="J901" i="1" s="1"/>
  <c r="I899" i="1"/>
  <c r="J899" i="1" s="1"/>
  <c r="I931" i="1"/>
  <c r="J931" i="1" s="1"/>
  <c r="I955" i="1"/>
  <c r="J955" i="1" s="1"/>
  <c r="I146" i="1"/>
  <c r="J146" i="1" s="1"/>
  <c r="I807" i="1"/>
  <c r="J807" i="1" s="1"/>
  <c r="I352" i="1"/>
  <c r="J352" i="1" s="1"/>
  <c r="I262" i="1"/>
  <c r="J262" i="1" s="1"/>
  <c r="I332" i="1"/>
  <c r="J332" i="1" s="1"/>
  <c r="I610" i="1"/>
  <c r="J610" i="1" s="1"/>
  <c r="I190" i="1"/>
  <c r="J190" i="1" s="1"/>
  <c r="I38" i="1"/>
  <c r="J38" i="1" s="1"/>
  <c r="I206" i="1"/>
  <c r="J206" i="1" s="1"/>
  <c r="I579" i="1"/>
  <c r="J579" i="1" s="1"/>
  <c r="I574" i="1"/>
  <c r="J574" i="1" s="1"/>
  <c r="I660" i="1"/>
  <c r="J660" i="1" s="1"/>
  <c r="I767" i="1"/>
  <c r="J767" i="1" s="1"/>
  <c r="I1018" i="1"/>
  <c r="J1018" i="1" s="1"/>
  <c r="I1011" i="1"/>
  <c r="J1011" i="1" s="1"/>
  <c r="I64" i="1"/>
  <c r="J64" i="1" s="1"/>
  <c r="I277" i="1"/>
  <c r="J277" i="1" s="1"/>
  <c r="I549" i="1"/>
  <c r="J549" i="1" s="1"/>
  <c r="I828" i="1"/>
  <c r="J828" i="1" s="1"/>
  <c r="I939" i="1"/>
  <c r="J939" i="1" s="1"/>
  <c r="I1216" i="1"/>
  <c r="J1216" i="1" s="1"/>
  <c r="I283" i="1"/>
  <c r="J283" i="1" s="1"/>
  <c r="I640" i="1"/>
  <c r="J640" i="1" s="1"/>
  <c r="I749" i="1"/>
  <c r="J749" i="1" s="1"/>
  <c r="I1003" i="1"/>
  <c r="J1003" i="1" s="1"/>
  <c r="I1194" i="1"/>
  <c r="J1194" i="1" s="1"/>
  <c r="I18" i="1"/>
  <c r="J18" i="1" s="1"/>
  <c r="I376" i="1"/>
  <c r="J376" i="1" s="1"/>
  <c r="I1017" i="1"/>
  <c r="J1017" i="1" s="1"/>
  <c r="I1364" i="1"/>
  <c r="Y1364" i="1" s="1"/>
  <c r="I23" i="1"/>
  <c r="J23" i="1" s="1"/>
  <c r="I179" i="1"/>
  <c r="J179" i="1" s="1"/>
  <c r="I605" i="1"/>
  <c r="J605" i="1" s="1"/>
  <c r="I1316" i="1"/>
  <c r="Y1316" i="1" s="1"/>
  <c r="I501" i="1"/>
  <c r="J501" i="1" s="1"/>
  <c r="I913" i="1"/>
  <c r="J913" i="1" s="1"/>
  <c r="I1060" i="1"/>
  <c r="J1060" i="1" s="1"/>
  <c r="I1208" i="1"/>
  <c r="J1208" i="1" s="1"/>
  <c r="I1254" i="1"/>
  <c r="J1254" i="1" s="1"/>
  <c r="I94" i="1"/>
  <c r="J94" i="1" s="1"/>
  <c r="I275" i="1"/>
  <c r="J275" i="1" s="1"/>
  <c r="I1200" i="1"/>
  <c r="J1200" i="1" s="1"/>
  <c r="I1212" i="1"/>
  <c r="J1212" i="1" s="1"/>
  <c r="I1287" i="1"/>
  <c r="J1287" i="1" s="1"/>
  <c r="I590" i="1"/>
  <c r="J590" i="1" s="1"/>
  <c r="I1352" i="1"/>
  <c r="Y1352" i="1" s="1"/>
  <c r="I118" i="1"/>
  <c r="J118" i="1" s="1"/>
  <c r="I290" i="1"/>
  <c r="J290" i="1" s="1"/>
  <c r="I448" i="1"/>
  <c r="J448" i="1" s="1"/>
  <c r="I804" i="1"/>
  <c r="J804" i="1" s="1"/>
  <c r="I1174" i="1"/>
  <c r="J1174" i="1" s="1"/>
  <c r="I1259" i="1"/>
  <c r="J1259" i="1" s="1"/>
  <c r="I1173" i="1"/>
  <c r="J1173" i="1" s="1"/>
  <c r="I455" i="1"/>
  <c r="J455" i="1" s="1"/>
  <c r="I725" i="1"/>
  <c r="J725" i="1" s="1"/>
  <c r="I912" i="1"/>
  <c r="J912" i="1" s="1"/>
  <c r="I1045" i="1"/>
  <c r="J1045" i="1" s="1"/>
  <c r="I1301" i="1"/>
  <c r="Y1301" i="1" s="1"/>
  <c r="I984" i="1"/>
  <c r="J984" i="1" s="1"/>
  <c r="I323" i="1"/>
  <c r="J323" i="1" s="1"/>
  <c r="I836" i="1"/>
  <c r="J836" i="1" s="1"/>
  <c r="I647" i="1"/>
  <c r="J647" i="1" s="1"/>
  <c r="I417" i="1"/>
  <c r="J417" i="1" s="1"/>
  <c r="I355" i="1"/>
  <c r="J355" i="1" s="1"/>
  <c r="I451" i="1"/>
  <c r="J451" i="1" s="1"/>
  <c r="I72" i="1"/>
  <c r="J72" i="1" s="1"/>
  <c r="I386" i="1"/>
  <c r="J386" i="1" s="1"/>
  <c r="I452" i="1"/>
  <c r="J452" i="1" s="1"/>
  <c r="I1104" i="1"/>
  <c r="J1104" i="1" s="1"/>
  <c r="I47" i="1"/>
  <c r="J47" i="1" s="1"/>
  <c r="I43" i="1"/>
  <c r="J43" i="1" s="1"/>
  <c r="I126" i="1"/>
  <c r="J126" i="1" s="1"/>
  <c r="I220" i="1"/>
  <c r="J220" i="1" s="1"/>
  <c r="I394" i="1"/>
  <c r="J394" i="1" s="1"/>
  <c r="I1026" i="1"/>
  <c r="J1026" i="1" s="1"/>
  <c r="I19" i="1"/>
  <c r="J19" i="1" s="1"/>
  <c r="I322" i="1"/>
  <c r="J322" i="1" s="1"/>
  <c r="I731" i="1"/>
  <c r="J731" i="1" s="1"/>
  <c r="I834" i="1"/>
  <c r="J834" i="1" s="1"/>
  <c r="I293" i="1"/>
  <c r="J293" i="1" s="1"/>
  <c r="I102" i="1"/>
  <c r="J102" i="1" s="1"/>
  <c r="I301" i="1"/>
  <c r="J301" i="1" s="1"/>
  <c r="I393" i="1"/>
  <c r="J393" i="1" s="1"/>
  <c r="I682" i="1"/>
  <c r="J682" i="1" s="1"/>
  <c r="I743" i="1"/>
  <c r="J743" i="1" s="1"/>
  <c r="I932" i="1"/>
  <c r="J932" i="1" s="1"/>
  <c r="I956" i="1"/>
  <c r="J956" i="1" s="1"/>
  <c r="I84" i="1"/>
  <c r="J84" i="1" s="1"/>
  <c r="I326" i="1"/>
  <c r="J326" i="1" s="1"/>
  <c r="I325" i="1"/>
  <c r="J325" i="1" s="1"/>
  <c r="I740" i="1"/>
  <c r="J740" i="1" s="1"/>
  <c r="I947" i="1"/>
  <c r="J947" i="1" s="1"/>
  <c r="I353" i="1"/>
  <c r="J353" i="1" s="1"/>
  <c r="I30" i="1"/>
  <c r="J30" i="1" s="1"/>
  <c r="I759" i="1"/>
  <c r="J759" i="1" s="1"/>
  <c r="I165" i="1"/>
  <c r="J165" i="1" s="1"/>
  <c r="I56" i="1"/>
  <c r="J56" i="1" s="1"/>
  <c r="I739" i="1"/>
  <c r="J739" i="1" s="1"/>
  <c r="I716" i="1"/>
  <c r="J716" i="1" s="1"/>
  <c r="I768" i="1"/>
  <c r="J768" i="1" s="1"/>
  <c r="I1019" i="1"/>
  <c r="J1019" i="1" s="1"/>
  <c r="I1010" i="1"/>
  <c r="J1010" i="1" s="1"/>
  <c r="I1186" i="1"/>
  <c r="J1186" i="1" s="1"/>
  <c r="I1378" i="1"/>
  <c r="Y1378" i="1" s="1"/>
  <c r="I214" i="1"/>
  <c r="J214" i="1" s="1"/>
  <c r="I270" i="1"/>
  <c r="J270" i="1" s="1"/>
  <c r="I402" i="1"/>
  <c r="J402" i="1" s="1"/>
  <c r="I754" i="1"/>
  <c r="J754" i="1" s="1"/>
  <c r="I711" i="1"/>
  <c r="J711" i="1" s="1"/>
  <c r="I940" i="1"/>
  <c r="J940" i="1" s="1"/>
  <c r="I1244" i="1"/>
  <c r="J1244" i="1" s="1"/>
  <c r="I34" i="1"/>
  <c r="J34" i="1" s="1"/>
  <c r="I641" i="1"/>
  <c r="J641" i="1" s="1"/>
  <c r="I638" i="1"/>
  <c r="J638" i="1" s="1"/>
  <c r="I971" i="1"/>
  <c r="J971" i="1" s="1"/>
  <c r="I1002" i="1"/>
  <c r="J1002" i="1" s="1"/>
  <c r="I1196" i="1"/>
  <c r="J1196" i="1" s="1"/>
  <c r="I1295" i="1"/>
  <c r="Y1295" i="1" s="1"/>
  <c r="I211" i="1"/>
  <c r="J211" i="1" s="1"/>
  <c r="I145" i="1"/>
  <c r="J145" i="1" s="1"/>
  <c r="I1242" i="1"/>
  <c r="J1242" i="1" s="1"/>
  <c r="I510" i="1"/>
  <c r="J510" i="1" s="1"/>
  <c r="I1095" i="1"/>
  <c r="J1095" i="1" s="1"/>
  <c r="I1123" i="1"/>
  <c r="J1123" i="1" s="1"/>
  <c r="I93" i="1"/>
  <c r="J93" i="1" s="1"/>
  <c r="I180" i="1"/>
  <c r="J180" i="1" s="1"/>
  <c r="I914" i="1"/>
  <c r="J914" i="1" s="1"/>
  <c r="I1090" i="1"/>
  <c r="J1090" i="1" s="1"/>
  <c r="I1061" i="1"/>
  <c r="J1061" i="1" s="1"/>
  <c r="I1253" i="1"/>
  <c r="J1253" i="1" s="1"/>
  <c r="I1340" i="1"/>
  <c r="Y1340" i="1" s="1"/>
  <c r="I46" i="1"/>
  <c r="J46" i="1" s="1"/>
  <c r="I480" i="1"/>
  <c r="J480" i="1" s="1"/>
  <c r="I1201" i="1"/>
  <c r="J1201" i="1" s="1"/>
  <c r="I1213" i="1"/>
  <c r="J1213" i="1" s="1"/>
  <c r="I138" i="1"/>
  <c r="J138" i="1" s="1"/>
  <c r="I86" i="1"/>
  <c r="J86" i="1" s="1"/>
  <c r="I187" i="1"/>
  <c r="J187" i="1" s="1"/>
  <c r="I589" i="1"/>
  <c r="J589" i="1" s="1"/>
  <c r="I596" i="1"/>
  <c r="J596" i="1" s="1"/>
  <c r="I606" i="1"/>
  <c r="J606" i="1" s="1"/>
  <c r="I726" i="1"/>
  <c r="J726" i="1" s="1"/>
  <c r="I812" i="1"/>
  <c r="J812" i="1" s="1"/>
  <c r="I1138" i="1"/>
  <c r="J1138" i="1" s="1"/>
  <c r="I1170" i="1"/>
  <c r="J1170" i="1" s="1"/>
  <c r="I1169" i="1"/>
  <c r="J1169" i="1" s="1"/>
  <c r="I1319" i="1"/>
  <c r="Y1319" i="1" s="1"/>
  <c r="I960" i="1"/>
  <c r="J960" i="1" s="1"/>
  <c r="I1243" i="1"/>
  <c r="J1243" i="1" s="1"/>
  <c r="I954" i="1"/>
  <c r="J954" i="1" s="1"/>
  <c r="I823" i="1"/>
  <c r="J823" i="1" s="1"/>
  <c r="I822" i="1"/>
  <c r="J822" i="1" s="1"/>
  <c r="I1230" i="1"/>
  <c r="J1230" i="1" s="1"/>
  <c r="I1297" i="1"/>
  <c r="Y1297" i="1" s="1"/>
  <c r="I69" i="1"/>
  <c r="J69" i="1" s="1"/>
  <c r="I764" i="1"/>
  <c r="J764" i="1" s="1"/>
  <c r="I750" i="1"/>
  <c r="J750" i="1" s="1"/>
  <c r="I55" i="1"/>
  <c r="J55" i="1" s="1"/>
  <c r="I855" i="1"/>
  <c r="J855" i="1" s="1"/>
  <c r="I854" i="1"/>
  <c r="J854" i="1" s="1"/>
  <c r="I922" i="1"/>
  <c r="J922" i="1" s="1"/>
  <c r="I1072" i="1"/>
  <c r="J1072" i="1" s="1"/>
  <c r="I1188" i="1"/>
  <c r="J1188" i="1" s="1"/>
  <c r="I278" i="1"/>
  <c r="J278" i="1" s="1"/>
  <c r="I341" i="1"/>
  <c r="J341" i="1" s="1"/>
  <c r="I518" i="1"/>
  <c r="J518" i="1" s="1"/>
  <c r="I853" i="1"/>
  <c r="J853" i="1" s="1"/>
  <c r="I622" i="1"/>
  <c r="J622" i="1" s="1"/>
  <c r="I712" i="1"/>
  <c r="J712" i="1" s="1"/>
  <c r="I974" i="1"/>
  <c r="J974" i="1" s="1"/>
  <c r="I1374" i="1"/>
  <c r="Y1374" i="1" s="1"/>
  <c r="I218" i="1"/>
  <c r="J218" i="1" s="1"/>
  <c r="I340" i="1"/>
  <c r="J340" i="1" s="1"/>
  <c r="I813" i="1"/>
  <c r="J813" i="1" s="1"/>
  <c r="I970" i="1"/>
  <c r="J970" i="1" s="1"/>
  <c r="I1294" i="1"/>
  <c r="Y1294" i="1" s="1"/>
  <c r="I1293" i="1"/>
  <c r="Y1293" i="1" s="1"/>
  <c r="I343" i="1"/>
  <c r="J343" i="1" s="1"/>
  <c r="I1046" i="1"/>
  <c r="J1046" i="1" s="1"/>
  <c r="I87" i="1"/>
  <c r="J87" i="1" s="1"/>
  <c r="I1131" i="1"/>
  <c r="J1131" i="1" s="1"/>
  <c r="I1122" i="1"/>
  <c r="J1122" i="1" s="1"/>
  <c r="I1197" i="1"/>
  <c r="J1197" i="1" s="1"/>
  <c r="I1312" i="1"/>
  <c r="Y1312" i="1" s="1"/>
  <c r="I229" i="1"/>
  <c r="J229" i="1" s="1"/>
  <c r="I659" i="1"/>
  <c r="J659" i="1" s="1"/>
  <c r="I835" i="1"/>
  <c r="J835" i="1" s="1"/>
  <c r="I1214" i="1"/>
  <c r="J1214" i="1" s="1"/>
  <c r="I481" i="1"/>
  <c r="J481" i="1" s="1"/>
  <c r="I591" i="1"/>
  <c r="J591" i="1" s="1"/>
  <c r="I597" i="1"/>
  <c r="J597" i="1" s="1"/>
  <c r="I1172" i="1"/>
  <c r="J1172" i="1" s="1"/>
  <c r="I1318" i="1"/>
  <c r="Y1318" i="1" s="1"/>
  <c r="I291" i="1"/>
  <c r="J291" i="1" s="1"/>
  <c r="I794" i="1"/>
  <c r="J794" i="1" s="1"/>
  <c r="I1343" i="1"/>
  <c r="Y1343" i="1" s="1"/>
  <c r="I82" i="1"/>
  <c r="J82" i="1" s="1"/>
  <c r="I825" i="1"/>
  <c r="J825" i="1" s="1"/>
  <c r="I1182" i="1"/>
  <c r="J1182" i="1" s="1"/>
  <c r="I1229" i="1"/>
  <c r="J1229" i="1" s="1"/>
  <c r="I1376" i="1"/>
  <c r="Y1376" i="1" s="1"/>
  <c r="I228" i="1"/>
  <c r="J228" i="1" s="1"/>
  <c r="I365" i="1"/>
  <c r="J365" i="1" s="1"/>
  <c r="I946" i="1"/>
  <c r="J946" i="1" s="1"/>
  <c r="I509" i="1"/>
  <c r="J509" i="1" s="1"/>
  <c r="I810" i="1"/>
  <c r="J810" i="1" s="1"/>
  <c r="I44" i="1"/>
  <c r="J44" i="1" s="1"/>
  <c r="I426" i="1"/>
  <c r="J426" i="1" s="1"/>
  <c r="I763" i="1"/>
  <c r="J763" i="1" s="1"/>
  <c r="I782" i="1"/>
  <c r="J782" i="1" s="1"/>
  <c r="I864" i="1"/>
  <c r="J864" i="1" s="1"/>
  <c r="I79" i="1"/>
  <c r="J79" i="1" s="1"/>
  <c r="I457" i="1"/>
  <c r="J457" i="1" s="1"/>
  <c r="I526" i="1"/>
  <c r="J526" i="1" s="1"/>
  <c r="I76" i="1"/>
  <c r="J76" i="1" s="1"/>
  <c r="I366" i="1"/>
  <c r="J366" i="1" s="1"/>
  <c r="I32" i="1"/>
  <c r="J32" i="1" s="1"/>
  <c r="I771" i="1"/>
  <c r="J771" i="1" s="1"/>
  <c r="I40" i="1"/>
  <c r="J40" i="1" s="1"/>
  <c r="I133" i="1"/>
  <c r="J133" i="1" s="1"/>
  <c r="I132" i="1"/>
  <c r="J132" i="1" s="1"/>
  <c r="I131" i="1"/>
  <c r="J131" i="1" s="1"/>
  <c r="I948" i="1"/>
  <c r="J948" i="1" s="1"/>
  <c r="I112" i="1"/>
  <c r="J112" i="1" s="1"/>
  <c r="I268" i="1"/>
  <c r="J268" i="1" s="1"/>
  <c r="I399" i="1"/>
  <c r="J399" i="1" s="1"/>
  <c r="I623" i="1"/>
  <c r="J623" i="1" s="1"/>
  <c r="I707" i="1"/>
  <c r="J707" i="1" s="1"/>
  <c r="I791" i="1"/>
  <c r="J791" i="1" s="1"/>
  <c r="I238" i="1"/>
  <c r="J238" i="1" s="1"/>
  <c r="I213" i="1"/>
  <c r="J213" i="1" s="1"/>
  <c r="I534" i="1"/>
  <c r="J534" i="1" s="1"/>
  <c r="I848" i="1"/>
  <c r="J848" i="1" s="1"/>
  <c r="I923" i="1"/>
  <c r="J923" i="1" s="1"/>
  <c r="I1236" i="1"/>
  <c r="J1236" i="1" s="1"/>
  <c r="I342" i="1"/>
  <c r="J342" i="1" s="1"/>
  <c r="I350" i="1"/>
  <c r="J350" i="1" s="1"/>
  <c r="I661" i="1"/>
  <c r="J661" i="1" s="1"/>
  <c r="I671" i="1"/>
  <c r="J671" i="1" s="1"/>
  <c r="I780" i="1"/>
  <c r="J780" i="1" s="1"/>
  <c r="I775" i="1"/>
  <c r="J775" i="1" s="1"/>
  <c r="I967" i="1"/>
  <c r="J967" i="1" s="1"/>
  <c r="I976" i="1"/>
  <c r="J976" i="1" s="1"/>
  <c r="I1203" i="1"/>
  <c r="J1203" i="1" s="1"/>
  <c r="I1306" i="1"/>
  <c r="Y1306" i="1" s="1"/>
  <c r="I71" i="1"/>
  <c r="J71" i="1" s="1"/>
  <c r="I972" i="1"/>
  <c r="J972" i="1" s="1"/>
  <c r="I1258" i="1"/>
  <c r="J1258" i="1" s="1"/>
  <c r="I1257" i="1"/>
  <c r="J1257" i="1" s="1"/>
  <c r="I1296" i="1"/>
  <c r="Y1296" i="1" s="1"/>
  <c r="I769" i="1"/>
  <c r="J769" i="1" s="1"/>
  <c r="I746" i="1"/>
  <c r="J746" i="1" s="1"/>
  <c r="I757" i="1"/>
  <c r="J757" i="1" s="1"/>
  <c r="I862" i="1"/>
  <c r="J862" i="1" s="1"/>
  <c r="I1047" i="1"/>
  <c r="J1047" i="1" s="1"/>
  <c r="I1192" i="1"/>
  <c r="J1192" i="1" s="1"/>
  <c r="I1368" i="1"/>
  <c r="Y1368" i="1" s="1"/>
  <c r="I22" i="1"/>
  <c r="J22" i="1" s="1"/>
  <c r="I330" i="1"/>
  <c r="J330" i="1" s="1"/>
  <c r="I824" i="1"/>
  <c r="J824" i="1" s="1"/>
  <c r="I737" i="1"/>
  <c r="J737" i="1" s="1"/>
  <c r="I929" i="1"/>
  <c r="J929" i="1" s="1"/>
  <c r="I1094" i="1"/>
  <c r="J1094" i="1" s="1"/>
  <c r="I1124" i="1"/>
  <c r="J1124" i="1" s="1"/>
  <c r="I1198" i="1"/>
  <c r="J1198" i="1" s="1"/>
  <c r="I1367" i="1"/>
  <c r="Y1367" i="1" s="1"/>
  <c r="I1335" i="1"/>
  <c r="Y1335" i="1" s="1"/>
  <c r="I51" i="1"/>
  <c r="J51" i="1" s="1"/>
  <c r="I74" i="1"/>
  <c r="J74" i="1" s="1"/>
  <c r="I219" i="1"/>
  <c r="J219" i="1" s="1"/>
  <c r="I531" i="1"/>
  <c r="J531" i="1" s="1"/>
  <c r="I758" i="1"/>
  <c r="J758" i="1" s="1"/>
  <c r="I1217" i="1"/>
  <c r="J1217" i="1" s="1"/>
  <c r="I1234" i="1"/>
  <c r="J1234" i="1" s="1"/>
  <c r="I1350" i="1"/>
  <c r="Y1350" i="1" s="1"/>
  <c r="I1337" i="1"/>
  <c r="Y1337" i="1" s="1"/>
  <c r="I645" i="1"/>
  <c r="J645" i="1" s="1"/>
  <c r="I718" i="1"/>
  <c r="J718" i="1" s="1"/>
  <c r="I966" i="1"/>
  <c r="J966" i="1" s="1"/>
  <c r="I1085" i="1"/>
  <c r="J1085" i="1" s="1"/>
  <c r="I1249" i="1"/>
  <c r="J1249" i="1" s="1"/>
  <c r="I1286" i="1"/>
  <c r="J1286" i="1" s="1"/>
  <c r="I1285" i="1"/>
  <c r="J1285" i="1" s="1"/>
  <c r="I111" i="1"/>
  <c r="J111" i="1" s="1"/>
  <c r="I598" i="1"/>
  <c r="J598" i="1" s="1"/>
  <c r="I930" i="1"/>
  <c r="J930" i="1" s="1"/>
  <c r="I1320" i="1"/>
  <c r="Y1320" i="1" s="1"/>
  <c r="I1363" i="1"/>
  <c r="Y1363" i="1" s="1"/>
  <c r="I363" i="1"/>
  <c r="J363" i="1" s="1"/>
  <c r="I692" i="1"/>
  <c r="J692" i="1" s="1"/>
  <c r="I734" i="1"/>
  <c r="J734" i="1" s="1"/>
  <c r="I1246" i="1"/>
  <c r="J1246" i="1" s="1"/>
  <c r="I1250" i="1"/>
  <c r="J1250" i="1" s="1"/>
  <c r="I992" i="1"/>
  <c r="J992" i="1" s="1"/>
  <c r="I1311" i="1"/>
  <c r="Y1311" i="1" s="1"/>
  <c r="I1027" i="1"/>
  <c r="J1027" i="1" s="1"/>
  <c r="I643" i="1"/>
  <c r="J643" i="1" s="1"/>
  <c r="I134" i="1"/>
  <c r="J134" i="1" s="1"/>
  <c r="I841" i="1"/>
  <c r="J841" i="1" s="1"/>
  <c r="I48" i="1"/>
  <c r="J48" i="1" s="1"/>
  <c r="I760" i="1"/>
  <c r="J760" i="1" s="1"/>
  <c r="I120" i="1"/>
  <c r="J120" i="1" s="1"/>
  <c r="I842" i="1"/>
  <c r="J842" i="1" s="1"/>
  <c r="I142" i="1"/>
  <c r="J142" i="1" s="1"/>
  <c r="I809" i="1"/>
  <c r="J809" i="1" s="1"/>
  <c r="I968" i="1"/>
  <c r="J968" i="1" s="1"/>
  <c r="I490" i="1"/>
  <c r="J490" i="1" s="1"/>
  <c r="I459" i="1"/>
  <c r="J459" i="1" s="1"/>
  <c r="I674" i="1"/>
  <c r="J674" i="1" s="1"/>
  <c r="I309" i="1"/>
  <c r="J309" i="1" s="1"/>
  <c r="I367" i="1"/>
  <c r="J367" i="1" s="1"/>
  <c r="I205" i="1"/>
  <c r="J205" i="1" s="1"/>
  <c r="I385" i="1"/>
  <c r="J385" i="1" s="1"/>
  <c r="I503" i="1"/>
  <c r="J503" i="1" s="1"/>
  <c r="I788" i="1"/>
  <c r="J788" i="1" s="1"/>
  <c r="I1087" i="1"/>
  <c r="J1087" i="1" s="1"/>
  <c r="I104" i="1"/>
  <c r="J104" i="1" s="1"/>
  <c r="I135" i="1"/>
  <c r="J135" i="1" s="1"/>
  <c r="I525" i="1"/>
  <c r="J525" i="1" s="1"/>
  <c r="I137" i="1"/>
  <c r="J137" i="1" s="1"/>
  <c r="I157" i="1"/>
  <c r="J157" i="1" s="1"/>
  <c r="I871" i="1"/>
  <c r="J871" i="1" s="1"/>
  <c r="I1078" i="1"/>
  <c r="J1078" i="1" s="1"/>
  <c r="I124" i="1"/>
  <c r="J124" i="1" s="1"/>
  <c r="I435" i="1"/>
  <c r="J435" i="1" s="1"/>
  <c r="I699" i="1"/>
  <c r="J699" i="1" s="1"/>
  <c r="I795" i="1"/>
  <c r="J795" i="1" s="1"/>
  <c r="I924" i="1"/>
  <c r="J924" i="1" s="1"/>
  <c r="I62" i="1"/>
  <c r="J62" i="1" s="1"/>
  <c r="I182" i="1"/>
  <c r="J182" i="1" s="1"/>
  <c r="I317" i="1"/>
  <c r="J317" i="1" s="1"/>
  <c r="I489" i="1"/>
  <c r="J489" i="1" s="1"/>
  <c r="I672" i="1"/>
  <c r="J672" i="1" s="1"/>
  <c r="I856" i="1"/>
  <c r="J856" i="1" s="1"/>
  <c r="I776" i="1"/>
  <c r="J776" i="1" s="1"/>
  <c r="I416" i="1"/>
  <c r="J416" i="1" s="1"/>
  <c r="I870" i="1"/>
  <c r="J870" i="1" s="1"/>
  <c r="I1041" i="1"/>
  <c r="J1041" i="1" s="1"/>
  <c r="I1233" i="1"/>
  <c r="J1233" i="1" s="1"/>
  <c r="I320" i="1"/>
  <c r="J320" i="1" s="1"/>
  <c r="I863" i="1"/>
  <c r="J863" i="1" s="1"/>
  <c r="I1048" i="1"/>
  <c r="J1048" i="1" s="1"/>
  <c r="I1231" i="1"/>
  <c r="J1231" i="1" s="1"/>
  <c r="I885" i="1"/>
  <c r="J885" i="1" s="1"/>
  <c r="I987" i="1"/>
  <c r="J987" i="1" s="1"/>
  <c r="I1096" i="1"/>
  <c r="J1096" i="1" s="1"/>
  <c r="I1334" i="1"/>
  <c r="Y1334" i="1" s="1"/>
  <c r="I226" i="1"/>
  <c r="J226" i="1" s="1"/>
  <c r="I282" i="1"/>
  <c r="J282" i="1" s="1"/>
  <c r="I637" i="1"/>
  <c r="J637" i="1" s="1"/>
  <c r="I1084" i="1"/>
  <c r="J1084" i="1" s="1"/>
  <c r="I1219" i="1"/>
  <c r="J1219" i="1" s="1"/>
  <c r="I1130" i="1"/>
  <c r="J1130" i="1" s="1"/>
  <c r="I1303" i="1"/>
  <c r="Y1303" i="1" s="1"/>
  <c r="I1338" i="1"/>
  <c r="Y1338" i="1" s="1"/>
  <c r="I103" i="1"/>
  <c r="J103" i="1" s="1"/>
  <c r="I391" i="1"/>
  <c r="J391" i="1" s="1"/>
  <c r="I351" i="1"/>
  <c r="J351" i="1" s="1"/>
  <c r="I508" i="1"/>
  <c r="J508" i="1" s="1"/>
  <c r="I840" i="1"/>
  <c r="J840" i="1" s="1"/>
  <c r="I1091" i="1"/>
  <c r="J1091" i="1" s="1"/>
  <c r="I1288" i="1"/>
  <c r="Y1288" i="1" s="1"/>
  <c r="I646" i="1"/>
  <c r="J646" i="1" s="1"/>
  <c r="I765" i="1"/>
  <c r="J765" i="1" s="1"/>
  <c r="I1033" i="1"/>
  <c r="J1033" i="1" s="1"/>
  <c r="I1365" i="1"/>
  <c r="Y1365" i="1" s="1"/>
  <c r="I691" i="1"/>
  <c r="J691" i="1" s="1"/>
  <c r="I735" i="1"/>
  <c r="J735" i="1" s="1"/>
  <c r="I953" i="1"/>
  <c r="J953" i="1" s="1"/>
  <c r="I1184" i="1"/>
  <c r="J1184" i="1" s="1"/>
  <c r="I1245" i="1"/>
  <c r="J1245" i="1" s="1"/>
  <c r="I1252" i="1"/>
  <c r="J1252" i="1" s="1"/>
  <c r="I730" i="1"/>
  <c r="J730" i="1" s="1"/>
  <c r="I741" i="1"/>
  <c r="J741" i="1" s="1"/>
  <c r="I1187" i="1"/>
  <c r="J1187" i="1" s="1"/>
  <c r="I1362" i="1"/>
  <c r="Y1362" i="1" s="1"/>
  <c r="I1068" i="1"/>
  <c r="J1068" i="1" s="1"/>
  <c r="I1215" i="1"/>
  <c r="J1215" i="1" s="1"/>
  <c r="I981" i="1"/>
  <c r="J981" i="1" s="1"/>
  <c r="I1185" i="1"/>
  <c r="J1185" i="1" s="1"/>
  <c r="Y1287" i="1" l="1"/>
  <c r="Y1286" i="1"/>
  <c r="Y1285" i="1"/>
  <c r="W1321" i="1"/>
  <c r="W1354" i="1"/>
  <c r="W1355" i="1"/>
  <c r="W1357" i="1"/>
  <c r="W1322" i="1"/>
  <c r="W1358" i="1"/>
  <c r="W1289" i="1"/>
  <c r="W1356" i="1"/>
  <c r="V1285" i="1"/>
  <c r="V1305" i="1"/>
  <c r="V1373" i="1"/>
  <c r="V1366" i="1"/>
  <c r="V1310" i="1"/>
  <c r="W1307" i="1" s="1"/>
  <c r="V1296" i="1"/>
  <c r="V1363" i="1"/>
  <c r="V1312" i="1"/>
  <c r="V1294" i="1"/>
  <c r="V1378" i="1"/>
  <c r="X1378" i="1" s="1"/>
  <c r="V1300" i="1"/>
  <c r="V1341" i="1"/>
  <c r="V1314" i="1"/>
  <c r="V1333" i="1"/>
  <c r="W1330" i="1" s="1"/>
  <c r="V1284" i="1"/>
  <c r="V1313" i="1"/>
  <c r="V1303" i="1"/>
  <c r="V1297" i="1"/>
  <c r="V1344" i="1"/>
  <c r="V1318" i="1"/>
  <c r="V1362" i="1"/>
  <c r="V1311" i="1"/>
  <c r="V1320" i="1"/>
  <c r="W1320" i="1" s="1"/>
  <c r="V1353" i="1"/>
  <c r="W1353" i="1" s="1"/>
  <c r="V1302" i="1"/>
  <c r="V1342" i="1"/>
  <c r="V1283" i="1"/>
  <c r="V1329" i="1"/>
  <c r="W1329" i="1" s="1"/>
  <c r="V1304" i="1"/>
  <c r="V1295" i="1"/>
  <c r="V1352" i="1"/>
  <c r="V1364" i="1"/>
  <c r="V1315" i="1"/>
  <c r="V1287" i="1"/>
  <c r="V1328" i="1"/>
  <c r="V1288" i="1"/>
  <c r="W1288" i="1" s="1"/>
  <c r="V1367" i="1"/>
  <c r="V1376" i="1"/>
  <c r="V1365" i="1"/>
  <c r="V1306" i="1"/>
  <c r="W1306" i="1" s="1"/>
  <c r="V1349" i="1"/>
  <c r="V1372" i="1"/>
  <c r="W1369" i="1" s="1"/>
  <c r="V1345" i="1"/>
  <c r="W1345" i="1" s="1"/>
  <c r="V1327" i="1"/>
  <c r="V1301" i="1"/>
  <c r="V1351" i="1"/>
  <c r="V1337" i="1"/>
  <c r="V1343" i="1"/>
  <c r="V1336" i="1"/>
  <c r="V1316" i="1"/>
  <c r="V1286" i="1"/>
  <c r="V1368" i="1"/>
  <c r="W1368" i="1" s="1"/>
  <c r="V1293" i="1"/>
  <c r="V1338" i="1"/>
  <c r="V1334" i="1"/>
  <c r="V1350" i="1"/>
  <c r="V1335" i="1"/>
  <c r="V1374" i="1"/>
  <c r="V1319" i="1"/>
  <c r="V1340" i="1"/>
  <c r="V1298" i="1"/>
  <c r="V1317" i="1"/>
  <c r="V1326" i="1"/>
  <c r="J1317" i="1"/>
  <c r="J1328" i="1"/>
  <c r="J1288" i="1"/>
  <c r="J1303" i="1"/>
  <c r="J1367" i="1"/>
  <c r="J1296" i="1"/>
  <c r="J1297" i="1"/>
  <c r="J1301" i="1"/>
  <c r="J1316" i="1"/>
  <c r="J1351" i="1"/>
  <c r="J1305" i="1"/>
  <c r="J1372" i="1"/>
  <c r="J1345" i="1"/>
  <c r="J1327" i="1"/>
  <c r="J1368" i="1"/>
  <c r="J1376" i="1"/>
  <c r="J1318" i="1"/>
  <c r="J1293" i="1"/>
  <c r="J1373" i="1"/>
  <c r="J1366" i="1"/>
  <c r="J1340" i="1"/>
  <c r="J1362" i="1"/>
  <c r="J1363" i="1"/>
  <c r="J1312" i="1"/>
  <c r="J1294" i="1"/>
  <c r="J1378" i="1"/>
  <c r="J1300" i="1"/>
  <c r="J1341" i="1"/>
  <c r="J1314" i="1"/>
  <c r="J1333" i="1"/>
  <c r="J1326" i="1"/>
  <c r="J1335" i="1"/>
  <c r="J1298" i="1"/>
  <c r="J1311" i="1"/>
  <c r="J1320" i="1"/>
  <c r="J1353" i="1"/>
  <c r="J1302" i="1"/>
  <c r="J1342" i="1"/>
  <c r="J1344" i="1"/>
  <c r="J1338" i="1"/>
  <c r="J1319" i="1"/>
  <c r="J1295" i="1"/>
  <c r="J1352" i="1"/>
  <c r="J1364" i="1"/>
  <c r="J1315" i="1"/>
  <c r="J1310" i="1"/>
  <c r="J1365" i="1"/>
  <c r="J1306" i="1"/>
  <c r="J1349" i="1"/>
  <c r="J1313" i="1"/>
  <c r="J1334" i="1"/>
  <c r="J1350" i="1"/>
  <c r="J1374" i="1"/>
  <c r="J1337" i="1"/>
  <c r="J1343" i="1"/>
  <c r="J1336" i="1"/>
  <c r="J1329" i="1"/>
  <c r="J1304" i="1"/>
  <c r="R1284" i="1"/>
  <c r="R1283" i="1"/>
  <c r="R1287" i="1"/>
  <c r="R1286" i="1"/>
  <c r="R1285" i="1"/>
  <c r="Q1279" i="1"/>
  <c r="Y1279" i="1" s="1"/>
  <c r="Q1281" i="1"/>
  <c r="Y1281" i="1" s="1"/>
  <c r="Q1282" i="1"/>
  <c r="Y1282" i="1" s="1"/>
  <c r="Q1280" i="1"/>
  <c r="Y1280" i="1" s="1"/>
  <c r="AG296" i="24"/>
  <c r="AI296" i="24" s="1"/>
  <c r="AJ296" i="24" s="1"/>
  <c r="W295" i="24"/>
  <c r="U295" i="24"/>
  <c r="V295" i="24" s="1"/>
  <c r="T294" i="24"/>
  <c r="S293" i="24"/>
  <c r="W1374" i="1" l="1"/>
  <c r="W1301" i="1"/>
  <c r="W1339" i="1"/>
  <c r="W1311" i="1"/>
  <c r="X1354" i="1"/>
  <c r="W1337" i="1"/>
  <c r="W1365" i="1"/>
  <c r="W1295" i="1"/>
  <c r="W1297" i="1"/>
  <c r="W1305" i="1"/>
  <c r="W1319" i="1"/>
  <c r="X1319" i="1" s="1"/>
  <c r="W1286" i="1"/>
  <c r="W1287" i="1"/>
  <c r="W1371" i="1"/>
  <c r="W1336" i="1"/>
  <c r="W1349" i="1"/>
  <c r="W1367" i="1"/>
  <c r="X1353" i="1"/>
  <c r="W1318" i="1"/>
  <c r="X1318" i="1" s="1"/>
  <c r="W1313" i="1"/>
  <c r="W1364" i="1"/>
  <c r="W1341" i="1"/>
  <c r="W1326" i="1"/>
  <c r="W1298" i="1"/>
  <c r="W1335" i="1"/>
  <c r="W1334" i="1"/>
  <c r="W1293" i="1"/>
  <c r="W1332" i="1"/>
  <c r="W1323" i="1"/>
  <c r="X1320" i="1" s="1"/>
  <c r="W1370" i="1"/>
  <c r="X1368" i="1" s="1"/>
  <c r="X1355" i="1"/>
  <c r="W1312" i="1"/>
  <c r="W1296" i="1"/>
  <c r="W1366" i="1"/>
  <c r="W1331" i="1"/>
  <c r="W1347" i="1"/>
  <c r="W1299" i="1"/>
  <c r="W1375" i="1"/>
  <c r="W1309" i="1"/>
  <c r="W1316" i="1"/>
  <c r="W1343" i="1"/>
  <c r="W1351" i="1"/>
  <c r="W1327" i="1"/>
  <c r="W1372" i="1"/>
  <c r="W1376" i="1"/>
  <c r="W1315" i="1"/>
  <c r="W1352" i="1"/>
  <c r="X1352" i="1" s="1"/>
  <c r="W1304" i="1"/>
  <c r="W1283" i="1"/>
  <c r="W1302" i="1"/>
  <c r="W1362" i="1"/>
  <c r="W1344" i="1"/>
  <c r="W1303" i="1"/>
  <c r="W1284" i="1"/>
  <c r="W1314" i="1"/>
  <c r="W1300" i="1"/>
  <c r="W1294" i="1"/>
  <c r="W1363" i="1"/>
  <c r="W1310" i="1"/>
  <c r="W1373" i="1"/>
  <c r="W1285" i="1"/>
  <c r="W1324" i="1"/>
  <c r="W1325" i="1"/>
  <c r="W1346" i="1"/>
  <c r="W1292" i="1"/>
  <c r="W1308" i="1"/>
  <c r="W1342" i="1"/>
  <c r="W1333" i="1"/>
  <c r="W1317" i="1"/>
  <c r="W1340" i="1"/>
  <c r="W1350" i="1"/>
  <c r="W1338" i="1"/>
  <c r="W1328" i="1"/>
  <c r="W1291" i="1"/>
  <c r="W1348" i="1"/>
  <c r="W1361" i="1"/>
  <c r="W1359" i="1"/>
  <c r="W1377" i="1"/>
  <c r="X1377" i="1" s="1"/>
  <c r="W1290" i="1"/>
  <c r="W1360" i="1"/>
  <c r="V1282" i="1"/>
  <c r="W1282" i="1" s="1"/>
  <c r="V1279" i="1"/>
  <c r="V1281" i="1"/>
  <c r="V1280" i="1"/>
  <c r="R1280" i="1"/>
  <c r="R1282" i="1"/>
  <c r="R1281" i="1"/>
  <c r="R1279" i="1"/>
  <c r="Q1275" i="1"/>
  <c r="Y1275" i="1" s="1"/>
  <c r="Q1276" i="1"/>
  <c r="Y1276" i="1" s="1"/>
  <c r="Q1278" i="1"/>
  <c r="Y1278" i="1" s="1"/>
  <c r="Q1277" i="1"/>
  <c r="Y1277" i="1" s="1"/>
  <c r="S292" i="24"/>
  <c r="T293" i="24"/>
  <c r="W294" i="24"/>
  <c r="U294" i="24"/>
  <c r="V294" i="24" s="1"/>
  <c r="AG295" i="24"/>
  <c r="AI295" i="24" s="1"/>
  <c r="AJ295" i="24" s="1"/>
  <c r="AJ1378" i="1"/>
  <c r="AI1378" i="1"/>
  <c r="AJ1377" i="1"/>
  <c r="AI1377" i="1"/>
  <c r="AJ1376" i="1"/>
  <c r="AI1376" i="1"/>
  <c r="AJ1375" i="1"/>
  <c r="AI1375" i="1"/>
  <c r="AJ1374" i="1"/>
  <c r="AI1374" i="1"/>
  <c r="AJ1373" i="1"/>
  <c r="AI1373" i="1"/>
  <c r="AJ1372" i="1"/>
  <c r="AI1372" i="1"/>
  <c r="AJ1371" i="1"/>
  <c r="AI1371" i="1"/>
  <c r="AJ1370" i="1"/>
  <c r="AI1370" i="1"/>
  <c r="AJ1369" i="1"/>
  <c r="AI1369" i="1"/>
  <c r="AJ1368" i="1"/>
  <c r="AI1368" i="1"/>
  <c r="AJ1367" i="1"/>
  <c r="AI1367" i="1"/>
  <c r="AJ1366" i="1"/>
  <c r="AI1366" i="1"/>
  <c r="AJ1365" i="1"/>
  <c r="AI1365" i="1"/>
  <c r="AJ1364" i="1"/>
  <c r="AI1364" i="1"/>
  <c r="AJ1363" i="1"/>
  <c r="AI1363" i="1"/>
  <c r="AJ1362" i="1"/>
  <c r="AI1362" i="1"/>
  <c r="AJ1361" i="1"/>
  <c r="AI1361" i="1"/>
  <c r="AJ1360" i="1"/>
  <c r="AI1360" i="1"/>
  <c r="AJ1359" i="1"/>
  <c r="AI1359" i="1"/>
  <c r="AJ1358" i="1"/>
  <c r="AI1358" i="1"/>
  <c r="AJ1357" i="1"/>
  <c r="AI1357" i="1"/>
  <c r="AJ1356" i="1"/>
  <c r="AI1356" i="1"/>
  <c r="AJ1355" i="1"/>
  <c r="AI1355" i="1"/>
  <c r="AJ1354" i="1"/>
  <c r="AI1354" i="1"/>
  <c r="AJ1353" i="1"/>
  <c r="AI1353" i="1"/>
  <c r="AJ1352" i="1"/>
  <c r="AI1352" i="1"/>
  <c r="AJ1351" i="1"/>
  <c r="AI1351" i="1"/>
  <c r="AJ1350" i="1"/>
  <c r="AI1350" i="1"/>
  <c r="AJ1349" i="1"/>
  <c r="AI1349" i="1"/>
  <c r="AJ1348" i="1"/>
  <c r="AI1348" i="1"/>
  <c r="AJ1347" i="1"/>
  <c r="AI1347" i="1"/>
  <c r="AJ1346" i="1"/>
  <c r="AI1346" i="1"/>
  <c r="AJ1345" i="1"/>
  <c r="AI1345" i="1"/>
  <c r="AJ1344" i="1"/>
  <c r="AI1344" i="1"/>
  <c r="AJ1343" i="1"/>
  <c r="AI1343" i="1"/>
  <c r="AJ1342" i="1"/>
  <c r="AI1342" i="1"/>
  <c r="AJ1341" i="1"/>
  <c r="AI1341" i="1"/>
  <c r="AJ1340" i="1"/>
  <c r="AI1340" i="1"/>
  <c r="AJ1339" i="1"/>
  <c r="AI1339" i="1"/>
  <c r="AJ1338" i="1"/>
  <c r="AI1338" i="1"/>
  <c r="AJ1337" i="1"/>
  <c r="AI1337" i="1"/>
  <c r="AJ1336" i="1"/>
  <c r="AI1336" i="1"/>
  <c r="AJ1335" i="1"/>
  <c r="AI1335" i="1"/>
  <c r="AJ1334" i="1"/>
  <c r="AI1334" i="1"/>
  <c r="AJ1333" i="1"/>
  <c r="AI1333" i="1"/>
  <c r="AJ1332" i="1"/>
  <c r="AI1332" i="1"/>
  <c r="AJ1331" i="1"/>
  <c r="AI1331" i="1"/>
  <c r="AJ1330" i="1"/>
  <c r="AI1330" i="1"/>
  <c r="AJ1329" i="1"/>
  <c r="AI1329" i="1"/>
  <c r="AJ1328" i="1"/>
  <c r="AI1328" i="1"/>
  <c r="AJ1327" i="1"/>
  <c r="AI1327" i="1"/>
  <c r="AJ1326" i="1"/>
  <c r="AI1326" i="1"/>
  <c r="AJ1325" i="1"/>
  <c r="AI1325" i="1"/>
  <c r="AJ1324" i="1"/>
  <c r="AI1324" i="1"/>
  <c r="AJ1323" i="1"/>
  <c r="AI1323" i="1"/>
  <c r="AJ1322" i="1"/>
  <c r="AI1322" i="1"/>
  <c r="AJ1321" i="1"/>
  <c r="AI1321" i="1"/>
  <c r="AJ1320" i="1"/>
  <c r="AI1320" i="1"/>
  <c r="AJ1319" i="1"/>
  <c r="AI1319" i="1"/>
  <c r="AJ1318" i="1"/>
  <c r="AI1318" i="1"/>
  <c r="AJ1317" i="1"/>
  <c r="AI1317" i="1"/>
  <c r="AJ1316" i="1"/>
  <c r="AI1316" i="1"/>
  <c r="AJ1315" i="1"/>
  <c r="AI1315" i="1"/>
  <c r="AJ1314" i="1"/>
  <c r="AI1314" i="1"/>
  <c r="AJ1313" i="1"/>
  <c r="AI1313" i="1"/>
  <c r="AJ1312" i="1"/>
  <c r="AI1312" i="1"/>
  <c r="AJ1311" i="1"/>
  <c r="AI1311" i="1"/>
  <c r="AJ1310" i="1"/>
  <c r="AI1310" i="1"/>
  <c r="AJ1309" i="1"/>
  <c r="AI1309" i="1"/>
  <c r="AJ1308" i="1"/>
  <c r="AI1308" i="1"/>
  <c r="AJ1307" i="1"/>
  <c r="AI1307" i="1"/>
  <c r="AJ1306" i="1"/>
  <c r="AI1306" i="1"/>
  <c r="AJ1305" i="1"/>
  <c r="AI1305" i="1"/>
  <c r="AJ1304" i="1"/>
  <c r="AI1304" i="1"/>
  <c r="AJ1303" i="1"/>
  <c r="AI1303" i="1"/>
  <c r="AJ1302" i="1"/>
  <c r="AI1302" i="1"/>
  <c r="AJ1301" i="1"/>
  <c r="AI1301" i="1"/>
  <c r="AJ1300" i="1"/>
  <c r="AI1300" i="1"/>
  <c r="AJ1299" i="1"/>
  <c r="AI1299" i="1"/>
  <c r="AJ1298" i="1"/>
  <c r="AI1298" i="1"/>
  <c r="AJ1297" i="1"/>
  <c r="AI1297" i="1"/>
  <c r="AJ1296" i="1"/>
  <c r="AI1296" i="1"/>
  <c r="AJ1295" i="1"/>
  <c r="AI1295" i="1"/>
  <c r="AJ1294" i="1"/>
  <c r="AI1294" i="1"/>
  <c r="AJ1293" i="1"/>
  <c r="AI1293" i="1"/>
  <c r="AJ1292" i="1"/>
  <c r="AI1292" i="1"/>
  <c r="AJ1291" i="1"/>
  <c r="AI1291" i="1"/>
  <c r="AJ1290" i="1"/>
  <c r="AI1290" i="1"/>
  <c r="AJ1289" i="1"/>
  <c r="AI1289" i="1"/>
  <c r="AJ1288" i="1"/>
  <c r="AI1288" i="1"/>
  <c r="AJ1287" i="1"/>
  <c r="AI1287" i="1"/>
  <c r="AJ1286" i="1"/>
  <c r="AI1286" i="1"/>
  <c r="AJ1285" i="1"/>
  <c r="AI1285" i="1"/>
  <c r="AJ1284" i="1"/>
  <c r="AI1284" i="1"/>
  <c r="AJ1283" i="1"/>
  <c r="AI1283" i="1"/>
  <c r="AJ1282" i="1"/>
  <c r="AI1282" i="1"/>
  <c r="AJ1281" i="1"/>
  <c r="AI1281" i="1"/>
  <c r="AJ1280" i="1"/>
  <c r="AI1280" i="1"/>
  <c r="AJ1279" i="1"/>
  <c r="AI1279" i="1"/>
  <c r="AJ1278" i="1"/>
  <c r="AI1278" i="1"/>
  <c r="AJ1277" i="1"/>
  <c r="AI1277" i="1"/>
  <c r="AJ1276" i="1"/>
  <c r="AI1276" i="1"/>
  <c r="AJ1275" i="1"/>
  <c r="AI1275" i="1"/>
  <c r="AJ1274" i="1"/>
  <c r="AI1274" i="1"/>
  <c r="AJ1273" i="1"/>
  <c r="AI1273" i="1"/>
  <c r="AJ1272" i="1"/>
  <c r="AI1272" i="1"/>
  <c r="AJ1271" i="1"/>
  <c r="AI1271" i="1"/>
  <c r="AJ1270" i="1"/>
  <c r="AI1270" i="1"/>
  <c r="AJ1269" i="1"/>
  <c r="AI1269" i="1"/>
  <c r="AJ1268" i="1"/>
  <c r="AI1268" i="1"/>
  <c r="AJ1267" i="1"/>
  <c r="AI1267" i="1"/>
  <c r="AJ1266" i="1"/>
  <c r="AI1266" i="1"/>
  <c r="AJ1265" i="1"/>
  <c r="AI1265" i="1"/>
  <c r="AJ1264" i="1"/>
  <c r="AI1264" i="1"/>
  <c r="AJ1263" i="1"/>
  <c r="AI1263" i="1"/>
  <c r="AJ1262" i="1"/>
  <c r="AI1262" i="1"/>
  <c r="AJ1261" i="1"/>
  <c r="AI1261" i="1"/>
  <c r="AJ1260" i="1"/>
  <c r="AI1260" i="1"/>
  <c r="AJ1259" i="1"/>
  <c r="AI1259" i="1"/>
  <c r="AJ1258" i="1"/>
  <c r="AI1258" i="1"/>
  <c r="AJ1257" i="1"/>
  <c r="AI1257" i="1"/>
  <c r="AJ1256" i="1"/>
  <c r="AI1256" i="1"/>
  <c r="AJ1255" i="1"/>
  <c r="AI1255" i="1"/>
  <c r="AJ1254" i="1"/>
  <c r="AI1254" i="1"/>
  <c r="AJ1253" i="1"/>
  <c r="AI1253" i="1"/>
  <c r="AJ1252" i="1"/>
  <c r="AI1252" i="1"/>
  <c r="AJ1251" i="1"/>
  <c r="AI1251" i="1"/>
  <c r="AJ1250" i="1"/>
  <c r="AI1250" i="1"/>
  <c r="AJ1249" i="1"/>
  <c r="AI1249" i="1"/>
  <c r="AJ1248" i="1"/>
  <c r="AI1248" i="1"/>
  <c r="AJ1247" i="1"/>
  <c r="AI1247" i="1"/>
  <c r="AJ1246" i="1"/>
  <c r="AI1246" i="1"/>
  <c r="AJ1245" i="1"/>
  <c r="AI1245" i="1"/>
  <c r="AJ1244" i="1"/>
  <c r="AI1244" i="1"/>
  <c r="AJ1243" i="1"/>
  <c r="AI1243" i="1"/>
  <c r="AJ1242" i="1"/>
  <c r="AI1242" i="1"/>
  <c r="AJ1241" i="1"/>
  <c r="AI1241" i="1"/>
  <c r="AJ1240" i="1"/>
  <c r="AI1240" i="1"/>
  <c r="AJ1239" i="1"/>
  <c r="AI1239" i="1"/>
  <c r="AJ1238" i="1"/>
  <c r="AI1238" i="1"/>
  <c r="AJ1237" i="1"/>
  <c r="AI1237" i="1"/>
  <c r="AJ1236" i="1"/>
  <c r="AI1236" i="1"/>
  <c r="AJ1235" i="1"/>
  <c r="AI1235" i="1"/>
  <c r="AJ1234" i="1"/>
  <c r="AI1234" i="1"/>
  <c r="AJ1233" i="1"/>
  <c r="AI1233" i="1"/>
  <c r="AJ1232" i="1"/>
  <c r="AI1232" i="1"/>
  <c r="AJ1231" i="1"/>
  <c r="AI1231" i="1"/>
  <c r="AJ1230" i="1"/>
  <c r="AI1230" i="1"/>
  <c r="AJ1229" i="1"/>
  <c r="AI1229" i="1"/>
  <c r="AJ1228" i="1"/>
  <c r="AI1228" i="1"/>
  <c r="AJ1227" i="1"/>
  <c r="AI1227" i="1"/>
  <c r="AJ1226" i="1"/>
  <c r="AI1226" i="1"/>
  <c r="AJ1225" i="1"/>
  <c r="AI1225" i="1"/>
  <c r="AJ1224" i="1"/>
  <c r="AI1224" i="1"/>
  <c r="AJ1223" i="1"/>
  <c r="AI1223" i="1"/>
  <c r="AJ1222" i="1"/>
  <c r="AI1222" i="1"/>
  <c r="AJ1221" i="1"/>
  <c r="AI1221" i="1"/>
  <c r="AJ1220" i="1"/>
  <c r="AI1220" i="1"/>
  <c r="AJ1219" i="1"/>
  <c r="AI1219" i="1"/>
  <c r="AJ1218" i="1"/>
  <c r="AI1218" i="1"/>
  <c r="AJ1217" i="1"/>
  <c r="AI1217" i="1"/>
  <c r="AJ1216" i="1"/>
  <c r="AI1216" i="1"/>
  <c r="AJ1215" i="1"/>
  <c r="AI1215" i="1"/>
  <c r="AJ1214" i="1"/>
  <c r="AI1214" i="1"/>
  <c r="AJ1213" i="1"/>
  <c r="AI1213" i="1"/>
  <c r="AJ1212" i="1"/>
  <c r="AI1212" i="1"/>
  <c r="AJ1211" i="1"/>
  <c r="AI1211" i="1"/>
  <c r="AJ1210" i="1"/>
  <c r="AI1210" i="1"/>
  <c r="AJ1209" i="1"/>
  <c r="AI1209" i="1"/>
  <c r="AJ1208" i="1"/>
  <c r="AI1208" i="1"/>
  <c r="AJ1207" i="1"/>
  <c r="AI1207" i="1"/>
  <c r="AJ1206" i="1"/>
  <c r="AI1206" i="1"/>
  <c r="AJ1205" i="1"/>
  <c r="AI1205" i="1"/>
  <c r="AJ1204" i="1"/>
  <c r="AI1204" i="1"/>
  <c r="AJ1203" i="1"/>
  <c r="AI1203" i="1"/>
  <c r="AJ1202" i="1"/>
  <c r="AI1202" i="1"/>
  <c r="AJ1201" i="1"/>
  <c r="AI1201" i="1"/>
  <c r="AJ1200" i="1"/>
  <c r="AI1200" i="1"/>
  <c r="AJ1199" i="1"/>
  <c r="AI1199" i="1"/>
  <c r="AJ1198" i="1"/>
  <c r="AI1198" i="1"/>
  <c r="AJ1197" i="1"/>
  <c r="AI1197" i="1"/>
  <c r="AJ1196" i="1"/>
  <c r="AI1196" i="1"/>
  <c r="AJ1195" i="1"/>
  <c r="AI1195" i="1"/>
  <c r="AJ1194" i="1"/>
  <c r="AI1194" i="1"/>
  <c r="AJ1193" i="1"/>
  <c r="AI1193" i="1"/>
  <c r="AJ1192" i="1"/>
  <c r="AI1192" i="1"/>
  <c r="AJ1191" i="1"/>
  <c r="AI1191" i="1"/>
  <c r="AJ1190" i="1"/>
  <c r="AI1190" i="1"/>
  <c r="AJ1189" i="1"/>
  <c r="AI1189" i="1"/>
  <c r="AJ1188" i="1"/>
  <c r="AI1188" i="1"/>
  <c r="AJ1187" i="1"/>
  <c r="AI1187" i="1"/>
  <c r="AJ1186" i="1"/>
  <c r="AI1186" i="1"/>
  <c r="AJ1185" i="1"/>
  <c r="AI1185" i="1"/>
  <c r="AJ1184" i="1"/>
  <c r="AI1184" i="1"/>
  <c r="AJ1183" i="1"/>
  <c r="AI1183" i="1"/>
  <c r="AJ1182" i="1"/>
  <c r="AI1182" i="1"/>
  <c r="AJ1181" i="1"/>
  <c r="AI1181" i="1"/>
  <c r="AJ1180" i="1"/>
  <c r="AI1180" i="1"/>
  <c r="AJ1179" i="1"/>
  <c r="AI1179" i="1"/>
  <c r="AJ1178" i="1"/>
  <c r="AI1178" i="1"/>
  <c r="AJ1177" i="1"/>
  <c r="AI1177" i="1"/>
  <c r="AJ1176" i="1"/>
  <c r="AI1176" i="1"/>
  <c r="AJ1175" i="1"/>
  <c r="AI1175" i="1"/>
  <c r="AJ1174" i="1"/>
  <c r="AI1174" i="1"/>
  <c r="AJ1173" i="1"/>
  <c r="AI1173" i="1"/>
  <c r="AJ1172" i="1"/>
  <c r="AI1172" i="1"/>
  <c r="AJ1171" i="1"/>
  <c r="AI1171" i="1"/>
  <c r="AJ1170" i="1"/>
  <c r="AI1170" i="1"/>
  <c r="AJ1169" i="1"/>
  <c r="AI1169" i="1"/>
  <c r="AJ1168" i="1"/>
  <c r="AI1168" i="1"/>
  <c r="AJ1167" i="1"/>
  <c r="AI1167" i="1"/>
  <c r="AJ1166" i="1"/>
  <c r="AI1166" i="1"/>
  <c r="AJ1165" i="1"/>
  <c r="AI1165" i="1"/>
  <c r="AJ1164" i="1"/>
  <c r="AI1164" i="1"/>
  <c r="AJ1163" i="1"/>
  <c r="AI1163" i="1"/>
  <c r="AJ1162" i="1"/>
  <c r="AI1162" i="1"/>
  <c r="AJ1161" i="1"/>
  <c r="AI1161" i="1"/>
  <c r="AJ1160" i="1"/>
  <c r="AI1160" i="1"/>
  <c r="AJ1159" i="1"/>
  <c r="AI1159" i="1"/>
  <c r="AJ1158" i="1"/>
  <c r="AI1158" i="1"/>
  <c r="AJ1157" i="1"/>
  <c r="AI1157" i="1"/>
  <c r="AJ1156" i="1"/>
  <c r="AI1156" i="1"/>
  <c r="AJ1155" i="1"/>
  <c r="AI1155" i="1"/>
  <c r="AJ1154" i="1"/>
  <c r="AI1154" i="1"/>
  <c r="AJ1153" i="1"/>
  <c r="AI1153" i="1"/>
  <c r="AJ1152" i="1"/>
  <c r="AI1152" i="1"/>
  <c r="AJ1151" i="1"/>
  <c r="AI1151" i="1"/>
  <c r="AJ1150" i="1"/>
  <c r="AI1150" i="1"/>
  <c r="AJ1149" i="1"/>
  <c r="AI1149" i="1"/>
  <c r="AJ1148" i="1"/>
  <c r="AI1148" i="1"/>
  <c r="AJ1147" i="1"/>
  <c r="AI1147" i="1"/>
  <c r="AJ1146" i="1"/>
  <c r="AI1146" i="1"/>
  <c r="AJ1145" i="1"/>
  <c r="AI1145" i="1"/>
  <c r="AJ1144" i="1"/>
  <c r="AI1144" i="1"/>
  <c r="AJ1143" i="1"/>
  <c r="AI1143" i="1"/>
  <c r="AJ1142" i="1"/>
  <c r="AI1142" i="1"/>
  <c r="AJ1141" i="1"/>
  <c r="AI1141" i="1"/>
  <c r="AJ1140" i="1"/>
  <c r="AI1140" i="1"/>
  <c r="AJ1139" i="1"/>
  <c r="AI1139" i="1"/>
  <c r="AJ1138" i="1"/>
  <c r="AI1138" i="1"/>
  <c r="AJ1137" i="1"/>
  <c r="AI1137" i="1"/>
  <c r="AJ1136" i="1"/>
  <c r="AI1136" i="1"/>
  <c r="AJ1135" i="1"/>
  <c r="AI1135" i="1"/>
  <c r="AJ1134" i="1"/>
  <c r="AI1134" i="1"/>
  <c r="AJ1133" i="1"/>
  <c r="AI1133" i="1"/>
  <c r="AJ1132" i="1"/>
  <c r="AI1132" i="1"/>
  <c r="AJ1131" i="1"/>
  <c r="AI1131" i="1"/>
  <c r="AJ1130" i="1"/>
  <c r="AI1130" i="1"/>
  <c r="AJ1129" i="1"/>
  <c r="AI1129" i="1"/>
  <c r="AJ1128" i="1"/>
  <c r="AI1128" i="1"/>
  <c r="AJ1127" i="1"/>
  <c r="AI1127" i="1"/>
  <c r="AJ1126" i="1"/>
  <c r="AI1126" i="1"/>
  <c r="AJ1125" i="1"/>
  <c r="AI1125" i="1"/>
  <c r="AJ1124" i="1"/>
  <c r="AI1124" i="1"/>
  <c r="AJ1123" i="1"/>
  <c r="AI1123" i="1"/>
  <c r="AJ1122" i="1"/>
  <c r="AI1122" i="1"/>
  <c r="AJ1121" i="1"/>
  <c r="AI1121" i="1"/>
  <c r="AJ1120" i="1"/>
  <c r="AI1120" i="1"/>
  <c r="AJ1119" i="1"/>
  <c r="AI1119" i="1"/>
  <c r="AJ1118" i="1"/>
  <c r="AI1118" i="1"/>
  <c r="AJ1117" i="1"/>
  <c r="AI1117" i="1"/>
  <c r="AJ1116" i="1"/>
  <c r="AI1116" i="1"/>
  <c r="AJ1115" i="1"/>
  <c r="AI1115" i="1"/>
  <c r="AJ1114" i="1"/>
  <c r="AI1114" i="1"/>
  <c r="AJ1113" i="1"/>
  <c r="AI1113" i="1"/>
  <c r="AJ1112" i="1"/>
  <c r="AI1112" i="1"/>
  <c r="AJ1111" i="1"/>
  <c r="AI1111" i="1"/>
  <c r="AJ1110" i="1"/>
  <c r="AI1110" i="1"/>
  <c r="AJ1109" i="1"/>
  <c r="AI1109" i="1"/>
  <c r="AJ1108" i="1"/>
  <c r="AI1108" i="1"/>
  <c r="AJ1107" i="1"/>
  <c r="AI1107" i="1"/>
  <c r="AJ1106" i="1"/>
  <c r="AI1106" i="1"/>
  <c r="AJ1105" i="1"/>
  <c r="AI1105" i="1"/>
  <c r="AJ1104" i="1"/>
  <c r="AI1104" i="1"/>
  <c r="AJ1103" i="1"/>
  <c r="AI1103" i="1"/>
  <c r="AJ1102" i="1"/>
  <c r="AI1102" i="1"/>
  <c r="AJ1101" i="1"/>
  <c r="AI1101" i="1"/>
  <c r="AJ1100" i="1"/>
  <c r="AI1100" i="1"/>
  <c r="AJ1099" i="1"/>
  <c r="AI1099" i="1"/>
  <c r="AJ1098" i="1"/>
  <c r="AI1098" i="1"/>
  <c r="AJ1097" i="1"/>
  <c r="AI1097" i="1"/>
  <c r="AJ1096" i="1"/>
  <c r="AI1096" i="1"/>
  <c r="AJ1095" i="1"/>
  <c r="AI1095" i="1"/>
  <c r="AJ1094" i="1"/>
  <c r="AI1094" i="1"/>
  <c r="AJ1093" i="1"/>
  <c r="AI1093" i="1"/>
  <c r="AJ1092" i="1"/>
  <c r="AI1092" i="1"/>
  <c r="AJ1091" i="1"/>
  <c r="AI1091" i="1"/>
  <c r="AJ1090" i="1"/>
  <c r="AI1090" i="1"/>
  <c r="AJ1089" i="1"/>
  <c r="AI1089" i="1"/>
  <c r="AJ1088" i="1"/>
  <c r="AI1088" i="1"/>
  <c r="AJ1087" i="1"/>
  <c r="AI1087" i="1"/>
  <c r="AJ1086" i="1"/>
  <c r="AI1086" i="1"/>
  <c r="AJ1085" i="1"/>
  <c r="AI1085" i="1"/>
  <c r="AJ1084" i="1"/>
  <c r="AI1084" i="1"/>
  <c r="AJ1083" i="1"/>
  <c r="AI1083" i="1"/>
  <c r="AJ1082" i="1"/>
  <c r="AI1082" i="1"/>
  <c r="AJ1081" i="1"/>
  <c r="AI1081" i="1"/>
  <c r="AJ1080" i="1"/>
  <c r="AI1080" i="1"/>
  <c r="AJ1079" i="1"/>
  <c r="AI1079" i="1"/>
  <c r="AJ1078" i="1"/>
  <c r="AI1078" i="1"/>
  <c r="AJ1077" i="1"/>
  <c r="AI1077" i="1"/>
  <c r="AJ1076" i="1"/>
  <c r="AI1076" i="1"/>
  <c r="AJ1075" i="1"/>
  <c r="AI1075" i="1"/>
  <c r="AJ1074" i="1"/>
  <c r="AI1074" i="1"/>
  <c r="AJ1073" i="1"/>
  <c r="AI1073" i="1"/>
  <c r="AJ1072" i="1"/>
  <c r="AI1072" i="1"/>
  <c r="AJ1071" i="1"/>
  <c r="AI1071" i="1"/>
  <c r="AJ1070" i="1"/>
  <c r="AI1070" i="1"/>
  <c r="AJ1069" i="1"/>
  <c r="AI1069" i="1"/>
  <c r="AJ1068" i="1"/>
  <c r="AI1068" i="1"/>
  <c r="AJ1067" i="1"/>
  <c r="AI1067" i="1"/>
  <c r="AJ1066" i="1"/>
  <c r="AI1066" i="1"/>
  <c r="AJ1065" i="1"/>
  <c r="AI1065" i="1"/>
  <c r="AJ1064" i="1"/>
  <c r="AI1064" i="1"/>
  <c r="AJ1063" i="1"/>
  <c r="AI1063" i="1"/>
  <c r="AJ1062" i="1"/>
  <c r="AI1062" i="1"/>
  <c r="AJ1061" i="1"/>
  <c r="AI1061" i="1"/>
  <c r="AJ1060" i="1"/>
  <c r="AI1060" i="1"/>
  <c r="AJ1059" i="1"/>
  <c r="AI1059" i="1"/>
  <c r="AJ1058" i="1"/>
  <c r="AI1058" i="1"/>
  <c r="AJ1057" i="1"/>
  <c r="AI1057" i="1"/>
  <c r="AJ1056" i="1"/>
  <c r="AI1056" i="1"/>
  <c r="AJ1055" i="1"/>
  <c r="AI1055" i="1"/>
  <c r="AJ1054" i="1"/>
  <c r="AI1054" i="1"/>
  <c r="AJ1053" i="1"/>
  <c r="AI1053" i="1"/>
  <c r="AJ1052" i="1"/>
  <c r="AI1052" i="1"/>
  <c r="AJ1051" i="1"/>
  <c r="AI1051" i="1"/>
  <c r="AJ1050" i="1"/>
  <c r="AI1050" i="1"/>
  <c r="AJ1049" i="1"/>
  <c r="AI1049" i="1"/>
  <c r="AJ1048" i="1"/>
  <c r="AI1048" i="1"/>
  <c r="AJ1047" i="1"/>
  <c r="AI1047" i="1"/>
  <c r="AJ1046" i="1"/>
  <c r="AI1046" i="1"/>
  <c r="AJ1045" i="1"/>
  <c r="AI1045" i="1"/>
  <c r="AJ1044" i="1"/>
  <c r="AI1044" i="1"/>
  <c r="AJ1043" i="1"/>
  <c r="AI1043" i="1"/>
  <c r="AJ1042" i="1"/>
  <c r="AI1042" i="1"/>
  <c r="AJ1041" i="1"/>
  <c r="AI1041" i="1"/>
  <c r="AJ1040" i="1"/>
  <c r="AI1040" i="1"/>
  <c r="AJ1039" i="1"/>
  <c r="AI1039" i="1"/>
  <c r="AJ1038" i="1"/>
  <c r="AI1038" i="1"/>
  <c r="AJ1037" i="1"/>
  <c r="AI1037" i="1"/>
  <c r="AJ1036" i="1"/>
  <c r="AI1036" i="1"/>
  <c r="AJ1035" i="1"/>
  <c r="AI1035" i="1"/>
  <c r="AJ1034" i="1"/>
  <c r="AI1034" i="1"/>
  <c r="AJ1033" i="1"/>
  <c r="AI1033" i="1"/>
  <c r="AJ1032" i="1"/>
  <c r="AI1032" i="1"/>
  <c r="AJ1031" i="1"/>
  <c r="AI1031" i="1"/>
  <c r="AJ1030" i="1"/>
  <c r="AI1030" i="1"/>
  <c r="AJ1029" i="1"/>
  <c r="AI1029" i="1"/>
  <c r="AJ1028" i="1"/>
  <c r="AI1028" i="1"/>
  <c r="AJ1027" i="1"/>
  <c r="AI1027" i="1"/>
  <c r="AJ1026" i="1"/>
  <c r="AI1026" i="1"/>
  <c r="AJ1025" i="1"/>
  <c r="AI1025" i="1"/>
  <c r="AJ1024" i="1"/>
  <c r="AI1024" i="1"/>
  <c r="AJ1023" i="1"/>
  <c r="AI1023" i="1"/>
  <c r="AJ1022" i="1"/>
  <c r="AI1022" i="1"/>
  <c r="AJ1021" i="1"/>
  <c r="AI1021" i="1"/>
  <c r="AJ1020" i="1"/>
  <c r="AI1020" i="1"/>
  <c r="AJ1019" i="1"/>
  <c r="AI1019" i="1"/>
  <c r="AJ1018" i="1"/>
  <c r="AI1018" i="1"/>
  <c r="AJ1017" i="1"/>
  <c r="AI1017" i="1"/>
  <c r="AJ1016" i="1"/>
  <c r="AI1016" i="1"/>
  <c r="AJ1015" i="1"/>
  <c r="AI1015" i="1"/>
  <c r="AJ1014" i="1"/>
  <c r="AI1014" i="1"/>
  <c r="AJ1013" i="1"/>
  <c r="AI1013" i="1"/>
  <c r="AJ1012" i="1"/>
  <c r="AI1012" i="1"/>
  <c r="AJ1011" i="1"/>
  <c r="AI1011" i="1"/>
  <c r="AJ1010" i="1"/>
  <c r="AI1010" i="1"/>
  <c r="AJ1009" i="1"/>
  <c r="AI1009" i="1"/>
  <c r="AJ1008" i="1"/>
  <c r="AI1008" i="1"/>
  <c r="AJ1007" i="1"/>
  <c r="AI1007" i="1"/>
  <c r="AJ1006" i="1"/>
  <c r="AI1006" i="1"/>
  <c r="AJ1005" i="1"/>
  <c r="AI1005" i="1"/>
  <c r="AJ1004" i="1"/>
  <c r="AI1004" i="1"/>
  <c r="AJ1003" i="1"/>
  <c r="AI1003" i="1"/>
  <c r="AJ1002" i="1"/>
  <c r="AI1002" i="1"/>
  <c r="AJ1001" i="1"/>
  <c r="AI1001" i="1"/>
  <c r="AJ1000" i="1"/>
  <c r="AI1000" i="1"/>
  <c r="AJ999" i="1"/>
  <c r="AI999" i="1"/>
  <c r="AJ998" i="1"/>
  <c r="AI998" i="1"/>
  <c r="AJ997" i="1"/>
  <c r="AI997" i="1"/>
  <c r="AJ996" i="1"/>
  <c r="AI996" i="1"/>
  <c r="AJ995" i="1"/>
  <c r="AI995" i="1"/>
  <c r="AJ994" i="1"/>
  <c r="AI994" i="1"/>
  <c r="AJ993" i="1"/>
  <c r="AI993" i="1"/>
  <c r="AJ992" i="1"/>
  <c r="AI992" i="1"/>
  <c r="AJ991" i="1"/>
  <c r="AI991" i="1"/>
  <c r="AJ990" i="1"/>
  <c r="AI990" i="1"/>
  <c r="AJ989" i="1"/>
  <c r="AI989" i="1"/>
  <c r="AJ988" i="1"/>
  <c r="AI988" i="1"/>
  <c r="AJ987" i="1"/>
  <c r="AI987" i="1"/>
  <c r="AJ986" i="1"/>
  <c r="AI986" i="1"/>
  <c r="AJ985" i="1"/>
  <c r="AI985" i="1"/>
  <c r="AJ984" i="1"/>
  <c r="AI984" i="1"/>
  <c r="AJ983" i="1"/>
  <c r="AI983" i="1"/>
  <c r="AJ982" i="1"/>
  <c r="AI982" i="1"/>
  <c r="AJ981" i="1"/>
  <c r="AI981" i="1"/>
  <c r="AJ980" i="1"/>
  <c r="AI980" i="1"/>
  <c r="AJ979" i="1"/>
  <c r="AI979" i="1"/>
  <c r="AJ978" i="1"/>
  <c r="AI978" i="1"/>
  <c r="AJ977" i="1"/>
  <c r="AI977" i="1"/>
  <c r="AJ976" i="1"/>
  <c r="AI976" i="1"/>
  <c r="AJ975" i="1"/>
  <c r="AI975" i="1"/>
  <c r="AJ974" i="1"/>
  <c r="AI974" i="1"/>
  <c r="AJ973" i="1"/>
  <c r="AI973" i="1"/>
  <c r="AJ972" i="1"/>
  <c r="AI972" i="1"/>
  <c r="AJ971" i="1"/>
  <c r="AI971" i="1"/>
  <c r="AJ970" i="1"/>
  <c r="AI970" i="1"/>
  <c r="AJ969" i="1"/>
  <c r="AI969" i="1"/>
  <c r="AJ968" i="1"/>
  <c r="AI968" i="1"/>
  <c r="AJ967" i="1"/>
  <c r="AI967" i="1"/>
  <c r="AJ966" i="1"/>
  <c r="AI966" i="1"/>
  <c r="AJ965" i="1"/>
  <c r="AI965" i="1"/>
  <c r="AJ964" i="1"/>
  <c r="AI964" i="1"/>
  <c r="AJ963" i="1"/>
  <c r="AI963" i="1"/>
  <c r="AJ962" i="1"/>
  <c r="AI962" i="1"/>
  <c r="AJ961" i="1"/>
  <c r="AI961" i="1"/>
  <c r="AJ960" i="1"/>
  <c r="AI960" i="1"/>
  <c r="AJ959" i="1"/>
  <c r="AI959" i="1"/>
  <c r="AJ958" i="1"/>
  <c r="AI958" i="1"/>
  <c r="AJ957" i="1"/>
  <c r="AI957" i="1"/>
  <c r="AJ956" i="1"/>
  <c r="AI956" i="1"/>
  <c r="AJ955" i="1"/>
  <c r="AI955" i="1"/>
  <c r="AJ954" i="1"/>
  <c r="AI954" i="1"/>
  <c r="AJ953" i="1"/>
  <c r="AI953" i="1"/>
  <c r="AJ952" i="1"/>
  <c r="AI952" i="1"/>
  <c r="AJ951" i="1"/>
  <c r="AI951" i="1"/>
  <c r="AJ950" i="1"/>
  <c r="AI950" i="1"/>
  <c r="AJ949" i="1"/>
  <c r="AI949" i="1"/>
  <c r="AJ948" i="1"/>
  <c r="AI948" i="1"/>
  <c r="AJ947" i="1"/>
  <c r="AI947" i="1"/>
  <c r="AJ946" i="1"/>
  <c r="AI946" i="1"/>
  <c r="AJ945" i="1"/>
  <c r="AI945" i="1"/>
  <c r="AJ944" i="1"/>
  <c r="AI944" i="1"/>
  <c r="AJ943" i="1"/>
  <c r="AI943" i="1"/>
  <c r="AJ942" i="1"/>
  <c r="AI942" i="1"/>
  <c r="AJ941" i="1"/>
  <c r="AI941" i="1"/>
  <c r="AJ940" i="1"/>
  <c r="AI940" i="1"/>
  <c r="AJ939" i="1"/>
  <c r="AI939" i="1"/>
  <c r="AJ938" i="1"/>
  <c r="AI938" i="1"/>
  <c r="AJ937" i="1"/>
  <c r="AI937" i="1"/>
  <c r="AJ936" i="1"/>
  <c r="AI936" i="1"/>
  <c r="AJ935" i="1"/>
  <c r="AI935" i="1"/>
  <c r="AJ934" i="1"/>
  <c r="AI934" i="1"/>
  <c r="AJ933" i="1"/>
  <c r="AI933" i="1"/>
  <c r="AJ932" i="1"/>
  <c r="AI932" i="1"/>
  <c r="AJ931" i="1"/>
  <c r="AI931" i="1"/>
  <c r="AJ930" i="1"/>
  <c r="AI930" i="1"/>
  <c r="AJ929" i="1"/>
  <c r="AI929" i="1"/>
  <c r="AJ928" i="1"/>
  <c r="AI928" i="1"/>
  <c r="AJ927" i="1"/>
  <c r="AI927" i="1"/>
  <c r="AJ926" i="1"/>
  <c r="AI926" i="1"/>
  <c r="AJ925" i="1"/>
  <c r="AI925" i="1"/>
  <c r="AJ924" i="1"/>
  <c r="AI924" i="1"/>
  <c r="AJ923" i="1"/>
  <c r="AI923" i="1"/>
  <c r="AJ922" i="1"/>
  <c r="AI922" i="1"/>
  <c r="AJ921" i="1"/>
  <c r="AI921" i="1"/>
  <c r="AJ920" i="1"/>
  <c r="AI920" i="1"/>
  <c r="AJ919" i="1"/>
  <c r="AI919" i="1"/>
  <c r="AJ918" i="1"/>
  <c r="AI918" i="1"/>
  <c r="AJ917" i="1"/>
  <c r="AI917" i="1"/>
  <c r="AJ916" i="1"/>
  <c r="AI916" i="1"/>
  <c r="AJ915" i="1"/>
  <c r="AI915" i="1"/>
  <c r="AJ914" i="1"/>
  <c r="AI914" i="1"/>
  <c r="AJ913" i="1"/>
  <c r="AI913" i="1"/>
  <c r="AJ912" i="1"/>
  <c r="AI912" i="1"/>
  <c r="AJ911" i="1"/>
  <c r="AI911" i="1"/>
  <c r="AJ910" i="1"/>
  <c r="AI910" i="1"/>
  <c r="AJ909" i="1"/>
  <c r="AI909" i="1"/>
  <c r="AJ908" i="1"/>
  <c r="AI908" i="1"/>
  <c r="AJ907" i="1"/>
  <c r="AI907" i="1"/>
  <c r="AJ906" i="1"/>
  <c r="AI906" i="1"/>
  <c r="AJ905" i="1"/>
  <c r="AI905" i="1"/>
  <c r="AJ904" i="1"/>
  <c r="AI904" i="1"/>
  <c r="AJ903" i="1"/>
  <c r="AI903" i="1"/>
  <c r="AJ902" i="1"/>
  <c r="AI902" i="1"/>
  <c r="AJ901" i="1"/>
  <c r="AI901" i="1"/>
  <c r="AJ900" i="1"/>
  <c r="AI900" i="1"/>
  <c r="AJ899" i="1"/>
  <c r="AI899" i="1"/>
  <c r="AJ898" i="1"/>
  <c r="AI898" i="1"/>
  <c r="AJ897" i="1"/>
  <c r="AI897" i="1"/>
  <c r="AJ896" i="1"/>
  <c r="AI896" i="1"/>
  <c r="AJ895" i="1"/>
  <c r="AI895" i="1"/>
  <c r="AJ894" i="1"/>
  <c r="AI894" i="1"/>
  <c r="AJ893" i="1"/>
  <c r="AI893" i="1"/>
  <c r="AJ892" i="1"/>
  <c r="AI892" i="1"/>
  <c r="AJ891" i="1"/>
  <c r="AI891" i="1"/>
  <c r="AJ890" i="1"/>
  <c r="AI890" i="1"/>
  <c r="AJ889" i="1"/>
  <c r="AI889" i="1"/>
  <c r="AJ888" i="1"/>
  <c r="AI888" i="1"/>
  <c r="AJ887" i="1"/>
  <c r="AI887" i="1"/>
  <c r="AJ886" i="1"/>
  <c r="AI886" i="1"/>
  <c r="AJ885" i="1"/>
  <c r="AI885" i="1"/>
  <c r="AJ884" i="1"/>
  <c r="AI884" i="1"/>
  <c r="AJ883" i="1"/>
  <c r="AI883" i="1"/>
  <c r="AJ882" i="1"/>
  <c r="AI882" i="1"/>
  <c r="AJ881" i="1"/>
  <c r="AI881" i="1"/>
  <c r="AJ880" i="1"/>
  <c r="AI880" i="1"/>
  <c r="AJ879" i="1"/>
  <c r="AI879" i="1"/>
  <c r="AJ878" i="1"/>
  <c r="AI878" i="1"/>
  <c r="AJ877" i="1"/>
  <c r="AI877" i="1"/>
  <c r="AJ876" i="1"/>
  <c r="AI876" i="1"/>
  <c r="AJ875" i="1"/>
  <c r="AI875" i="1"/>
  <c r="AJ874" i="1"/>
  <c r="AI874" i="1"/>
  <c r="AJ873" i="1"/>
  <c r="AI873" i="1"/>
  <c r="AJ872" i="1"/>
  <c r="AI872" i="1"/>
  <c r="AJ871" i="1"/>
  <c r="AI871" i="1"/>
  <c r="AJ870" i="1"/>
  <c r="AI870" i="1"/>
  <c r="AJ869" i="1"/>
  <c r="AI869" i="1"/>
  <c r="AJ868" i="1"/>
  <c r="AI868" i="1"/>
  <c r="AJ867" i="1"/>
  <c r="AI867" i="1"/>
  <c r="AJ866" i="1"/>
  <c r="AI866" i="1"/>
  <c r="AJ865" i="1"/>
  <c r="AI865" i="1"/>
  <c r="AJ864" i="1"/>
  <c r="AI864" i="1"/>
  <c r="AJ863" i="1"/>
  <c r="AI863" i="1"/>
  <c r="AJ862" i="1"/>
  <c r="AI862" i="1"/>
  <c r="AJ861" i="1"/>
  <c r="AI861" i="1"/>
  <c r="AJ860" i="1"/>
  <c r="AI860" i="1"/>
  <c r="AJ859" i="1"/>
  <c r="AI859" i="1"/>
  <c r="AJ858" i="1"/>
  <c r="AI858" i="1"/>
  <c r="AJ857" i="1"/>
  <c r="AI857" i="1"/>
  <c r="AJ856" i="1"/>
  <c r="AI856" i="1"/>
  <c r="AJ855" i="1"/>
  <c r="AI855" i="1"/>
  <c r="AJ854" i="1"/>
  <c r="AI854" i="1"/>
  <c r="AJ853" i="1"/>
  <c r="AI853" i="1"/>
  <c r="AJ852" i="1"/>
  <c r="AI852" i="1"/>
  <c r="AJ851" i="1"/>
  <c r="AI851" i="1"/>
  <c r="AJ850" i="1"/>
  <c r="AI850" i="1"/>
  <c r="AJ849" i="1"/>
  <c r="AI849" i="1"/>
  <c r="AJ848" i="1"/>
  <c r="AI848" i="1"/>
  <c r="AJ847" i="1"/>
  <c r="AI847" i="1"/>
  <c r="AJ846" i="1"/>
  <c r="AI846" i="1"/>
  <c r="AJ845" i="1"/>
  <c r="AI845" i="1"/>
  <c r="AJ844" i="1"/>
  <c r="AI844" i="1"/>
  <c r="AJ843" i="1"/>
  <c r="AI843" i="1"/>
  <c r="AJ842" i="1"/>
  <c r="AI842" i="1"/>
  <c r="AJ841" i="1"/>
  <c r="AI841" i="1"/>
  <c r="AJ840" i="1"/>
  <c r="AI840" i="1"/>
  <c r="AJ839" i="1"/>
  <c r="AI839" i="1"/>
  <c r="AJ838" i="1"/>
  <c r="AI838" i="1"/>
  <c r="AJ837" i="1"/>
  <c r="AI837" i="1"/>
  <c r="AJ836" i="1"/>
  <c r="AI836" i="1"/>
  <c r="AJ835" i="1"/>
  <c r="AI835" i="1"/>
  <c r="AJ834" i="1"/>
  <c r="AI834" i="1"/>
  <c r="AJ833" i="1"/>
  <c r="AI833" i="1"/>
  <c r="AJ832" i="1"/>
  <c r="AI832" i="1"/>
  <c r="AJ831" i="1"/>
  <c r="AI831" i="1"/>
  <c r="AJ830" i="1"/>
  <c r="AI830" i="1"/>
  <c r="AJ829" i="1"/>
  <c r="AI829" i="1"/>
  <c r="AJ828" i="1"/>
  <c r="AI828" i="1"/>
  <c r="AJ827" i="1"/>
  <c r="AI827" i="1"/>
  <c r="AJ826" i="1"/>
  <c r="AI826" i="1"/>
  <c r="AJ825" i="1"/>
  <c r="AI825" i="1"/>
  <c r="AJ824" i="1"/>
  <c r="AI824" i="1"/>
  <c r="AJ823" i="1"/>
  <c r="AI823" i="1"/>
  <c r="AJ822" i="1"/>
  <c r="AI822" i="1"/>
  <c r="AJ821" i="1"/>
  <c r="AI821" i="1"/>
  <c r="AJ820" i="1"/>
  <c r="AI820" i="1"/>
  <c r="AJ819" i="1"/>
  <c r="AI819" i="1"/>
  <c r="AJ818" i="1"/>
  <c r="AI818" i="1"/>
  <c r="AJ817" i="1"/>
  <c r="AI817" i="1"/>
  <c r="AJ816" i="1"/>
  <c r="AI816" i="1"/>
  <c r="AJ815" i="1"/>
  <c r="AI815" i="1"/>
  <c r="AJ814" i="1"/>
  <c r="AI814" i="1"/>
  <c r="AJ813" i="1"/>
  <c r="AI813" i="1"/>
  <c r="AJ812" i="1"/>
  <c r="AI812" i="1"/>
  <c r="AJ811" i="1"/>
  <c r="AI811" i="1"/>
  <c r="AJ810" i="1"/>
  <c r="AI810" i="1"/>
  <c r="AJ809" i="1"/>
  <c r="AI809" i="1"/>
  <c r="AJ808" i="1"/>
  <c r="AI808" i="1"/>
  <c r="AJ807" i="1"/>
  <c r="AI807" i="1"/>
  <c r="AJ806" i="1"/>
  <c r="AI806" i="1"/>
  <c r="AJ805" i="1"/>
  <c r="AI805" i="1"/>
  <c r="AJ804" i="1"/>
  <c r="AI804" i="1"/>
  <c r="AJ803" i="1"/>
  <c r="AI803" i="1"/>
  <c r="AJ802" i="1"/>
  <c r="AI802" i="1"/>
  <c r="AJ801" i="1"/>
  <c r="AI801" i="1"/>
  <c r="AJ800" i="1"/>
  <c r="AI800" i="1"/>
  <c r="AJ799" i="1"/>
  <c r="AI799" i="1"/>
  <c r="AJ798" i="1"/>
  <c r="AI798" i="1"/>
  <c r="AJ797" i="1"/>
  <c r="AI797" i="1"/>
  <c r="AJ796" i="1"/>
  <c r="AI796" i="1"/>
  <c r="AJ795" i="1"/>
  <c r="AI795" i="1"/>
  <c r="AJ794" i="1"/>
  <c r="AI794" i="1"/>
  <c r="AJ793" i="1"/>
  <c r="AI793" i="1"/>
  <c r="AJ792" i="1"/>
  <c r="AI792" i="1"/>
  <c r="AJ791" i="1"/>
  <c r="AI791" i="1"/>
  <c r="AJ790" i="1"/>
  <c r="AI790" i="1"/>
  <c r="AJ789" i="1"/>
  <c r="AI789" i="1"/>
  <c r="AJ788" i="1"/>
  <c r="AI788" i="1"/>
  <c r="AJ787" i="1"/>
  <c r="AI787" i="1"/>
  <c r="AJ786" i="1"/>
  <c r="AI786" i="1"/>
  <c r="AJ785" i="1"/>
  <c r="AI785" i="1"/>
  <c r="AJ784" i="1"/>
  <c r="AI784" i="1"/>
  <c r="AJ783" i="1"/>
  <c r="AI783" i="1"/>
  <c r="AJ782" i="1"/>
  <c r="AI782" i="1"/>
  <c r="AJ781" i="1"/>
  <c r="AI781" i="1"/>
  <c r="AJ780" i="1"/>
  <c r="AI780" i="1"/>
  <c r="AJ779" i="1"/>
  <c r="AI779" i="1"/>
  <c r="AJ778" i="1"/>
  <c r="AI778" i="1"/>
  <c r="AJ777" i="1"/>
  <c r="AI777" i="1"/>
  <c r="AJ776" i="1"/>
  <c r="AI776" i="1"/>
  <c r="AJ775" i="1"/>
  <c r="AI775" i="1"/>
  <c r="AJ774" i="1"/>
  <c r="AI774" i="1"/>
  <c r="AJ773" i="1"/>
  <c r="AI773" i="1"/>
  <c r="AJ772" i="1"/>
  <c r="AI772" i="1"/>
  <c r="AJ771" i="1"/>
  <c r="AI771" i="1"/>
  <c r="AJ770" i="1"/>
  <c r="AI770" i="1"/>
  <c r="AJ769" i="1"/>
  <c r="AI769" i="1"/>
  <c r="AJ768" i="1"/>
  <c r="AI768" i="1"/>
  <c r="AJ767" i="1"/>
  <c r="AI767" i="1"/>
  <c r="AJ766" i="1"/>
  <c r="AI766" i="1"/>
  <c r="AJ765" i="1"/>
  <c r="AI765" i="1"/>
  <c r="AJ764" i="1"/>
  <c r="AI764" i="1"/>
  <c r="AJ763" i="1"/>
  <c r="AI763" i="1"/>
  <c r="AJ762" i="1"/>
  <c r="AI762" i="1"/>
  <c r="AJ761" i="1"/>
  <c r="AI761" i="1"/>
  <c r="AJ760" i="1"/>
  <c r="AI760" i="1"/>
  <c r="AJ759" i="1"/>
  <c r="AI759" i="1"/>
  <c r="AJ758" i="1"/>
  <c r="AI758" i="1"/>
  <c r="AJ757" i="1"/>
  <c r="AI757" i="1"/>
  <c r="AJ756" i="1"/>
  <c r="AI756" i="1"/>
  <c r="AJ755" i="1"/>
  <c r="AI755" i="1"/>
  <c r="AJ754" i="1"/>
  <c r="AI754" i="1"/>
  <c r="AJ753" i="1"/>
  <c r="AI753" i="1"/>
  <c r="AJ752" i="1"/>
  <c r="AI752" i="1"/>
  <c r="AJ751" i="1"/>
  <c r="AI751" i="1"/>
  <c r="AJ750" i="1"/>
  <c r="AI750" i="1"/>
  <c r="AJ749" i="1"/>
  <c r="AI749" i="1"/>
  <c r="AJ748" i="1"/>
  <c r="AI748" i="1"/>
  <c r="AJ747" i="1"/>
  <c r="AI747" i="1"/>
  <c r="AJ746" i="1"/>
  <c r="AI746" i="1"/>
  <c r="AJ745" i="1"/>
  <c r="AI745" i="1"/>
  <c r="AJ744" i="1"/>
  <c r="AI744" i="1"/>
  <c r="AJ743" i="1"/>
  <c r="AI743" i="1"/>
  <c r="AJ742" i="1"/>
  <c r="AI742" i="1"/>
  <c r="AJ741" i="1"/>
  <c r="AI741" i="1"/>
  <c r="AJ740" i="1"/>
  <c r="AI740" i="1"/>
  <c r="AJ739" i="1"/>
  <c r="AI739" i="1"/>
  <c r="AJ738" i="1"/>
  <c r="AI738" i="1"/>
  <c r="AJ737" i="1"/>
  <c r="AI737" i="1"/>
  <c r="AJ736" i="1"/>
  <c r="AI736" i="1"/>
  <c r="AJ735" i="1"/>
  <c r="AI735" i="1"/>
  <c r="AJ734" i="1"/>
  <c r="AI734" i="1"/>
  <c r="AJ733" i="1"/>
  <c r="AI733" i="1"/>
  <c r="AJ732" i="1"/>
  <c r="AI732" i="1"/>
  <c r="AJ731" i="1"/>
  <c r="AI731" i="1"/>
  <c r="AJ730" i="1"/>
  <c r="AI730" i="1"/>
  <c r="AJ729" i="1"/>
  <c r="AI729" i="1"/>
  <c r="AJ728" i="1"/>
  <c r="AI728" i="1"/>
  <c r="AJ727" i="1"/>
  <c r="AI727" i="1"/>
  <c r="AJ726" i="1"/>
  <c r="AI726" i="1"/>
  <c r="AJ725" i="1"/>
  <c r="AI725" i="1"/>
  <c r="AJ724" i="1"/>
  <c r="AI724" i="1"/>
  <c r="AJ723" i="1"/>
  <c r="AI723" i="1"/>
  <c r="AJ722" i="1"/>
  <c r="AI722" i="1"/>
  <c r="AJ721" i="1"/>
  <c r="AI721" i="1"/>
  <c r="AJ720" i="1"/>
  <c r="AI720" i="1"/>
  <c r="AJ719" i="1"/>
  <c r="AI719" i="1"/>
  <c r="AJ718" i="1"/>
  <c r="AI718" i="1"/>
  <c r="AJ717" i="1"/>
  <c r="AI717" i="1"/>
  <c r="AJ716" i="1"/>
  <c r="AI716" i="1"/>
  <c r="AJ715" i="1"/>
  <c r="AI715" i="1"/>
  <c r="AJ714" i="1"/>
  <c r="AI714" i="1"/>
  <c r="AJ713" i="1"/>
  <c r="AI713" i="1"/>
  <c r="AJ712" i="1"/>
  <c r="AI712" i="1"/>
  <c r="AJ711" i="1"/>
  <c r="AI711" i="1"/>
  <c r="AJ710" i="1"/>
  <c r="AI710" i="1"/>
  <c r="AJ709" i="1"/>
  <c r="AI709" i="1"/>
  <c r="AJ708" i="1"/>
  <c r="AI708" i="1"/>
  <c r="AJ707" i="1"/>
  <c r="AI707" i="1"/>
  <c r="AJ706" i="1"/>
  <c r="AI706" i="1"/>
  <c r="AJ705" i="1"/>
  <c r="AI705" i="1"/>
  <c r="AJ704" i="1"/>
  <c r="AI704" i="1"/>
  <c r="AJ703" i="1"/>
  <c r="AI703" i="1"/>
  <c r="AJ702" i="1"/>
  <c r="AI702" i="1"/>
  <c r="AJ701" i="1"/>
  <c r="AI701" i="1"/>
  <c r="AJ700" i="1"/>
  <c r="AI700" i="1"/>
  <c r="AJ699" i="1"/>
  <c r="AI699" i="1"/>
  <c r="AJ698" i="1"/>
  <c r="AI698" i="1"/>
  <c r="AJ697" i="1"/>
  <c r="AI697" i="1"/>
  <c r="AJ696" i="1"/>
  <c r="AI696" i="1"/>
  <c r="AJ695" i="1"/>
  <c r="AI695" i="1"/>
  <c r="AJ694" i="1"/>
  <c r="AI694" i="1"/>
  <c r="AJ693" i="1"/>
  <c r="AI693" i="1"/>
  <c r="AJ692" i="1"/>
  <c r="AI692" i="1"/>
  <c r="AJ691" i="1"/>
  <c r="AI691" i="1"/>
  <c r="AJ690" i="1"/>
  <c r="AI690" i="1"/>
  <c r="AJ689" i="1"/>
  <c r="AI689" i="1"/>
  <c r="AJ688" i="1"/>
  <c r="AI688" i="1"/>
  <c r="AJ687" i="1"/>
  <c r="AI687" i="1"/>
  <c r="AJ686" i="1"/>
  <c r="AI686" i="1"/>
  <c r="AJ685" i="1"/>
  <c r="AI685" i="1"/>
  <c r="AJ684" i="1"/>
  <c r="AI684" i="1"/>
  <c r="AJ683" i="1"/>
  <c r="AI683" i="1"/>
  <c r="AJ682" i="1"/>
  <c r="AI682" i="1"/>
  <c r="AJ681" i="1"/>
  <c r="AI681" i="1"/>
  <c r="AJ680" i="1"/>
  <c r="AI680" i="1"/>
  <c r="AJ679" i="1"/>
  <c r="AI679" i="1"/>
  <c r="AJ678" i="1"/>
  <c r="AI678" i="1"/>
  <c r="AJ677" i="1"/>
  <c r="AI677" i="1"/>
  <c r="AJ676" i="1"/>
  <c r="AI676" i="1"/>
  <c r="AJ675" i="1"/>
  <c r="AI675" i="1"/>
  <c r="AJ674" i="1"/>
  <c r="AI674" i="1"/>
  <c r="AJ673" i="1"/>
  <c r="AI673" i="1"/>
  <c r="AJ672" i="1"/>
  <c r="AI672" i="1"/>
  <c r="AJ671" i="1"/>
  <c r="AI671" i="1"/>
  <c r="AJ670" i="1"/>
  <c r="AI670" i="1"/>
  <c r="AJ669" i="1"/>
  <c r="AI669" i="1"/>
  <c r="AJ668" i="1"/>
  <c r="AI668" i="1"/>
  <c r="AJ667" i="1"/>
  <c r="AI667" i="1"/>
  <c r="AJ666" i="1"/>
  <c r="AI666" i="1"/>
  <c r="AJ665" i="1"/>
  <c r="AI665" i="1"/>
  <c r="AJ664" i="1"/>
  <c r="AI664" i="1"/>
  <c r="AJ663" i="1"/>
  <c r="AI663" i="1"/>
  <c r="AJ662" i="1"/>
  <c r="AI662" i="1"/>
  <c r="AJ661" i="1"/>
  <c r="AI661" i="1"/>
  <c r="AJ660" i="1"/>
  <c r="AI660" i="1"/>
  <c r="AJ659" i="1"/>
  <c r="AI659" i="1"/>
  <c r="AJ658" i="1"/>
  <c r="AI658" i="1"/>
  <c r="AJ657" i="1"/>
  <c r="AI657" i="1"/>
  <c r="AJ656" i="1"/>
  <c r="AI656" i="1"/>
  <c r="AJ655" i="1"/>
  <c r="AI655" i="1"/>
  <c r="AJ654" i="1"/>
  <c r="AI654" i="1"/>
  <c r="AJ653" i="1"/>
  <c r="AI653" i="1"/>
  <c r="AJ652" i="1"/>
  <c r="AI652" i="1"/>
  <c r="AJ651" i="1"/>
  <c r="AI651" i="1"/>
  <c r="AJ650" i="1"/>
  <c r="AI650" i="1"/>
  <c r="AJ649" i="1"/>
  <c r="AI649" i="1"/>
  <c r="AJ648" i="1"/>
  <c r="AI648" i="1"/>
  <c r="AJ647" i="1"/>
  <c r="AI647" i="1"/>
  <c r="AJ646" i="1"/>
  <c r="AI646" i="1"/>
  <c r="AJ645" i="1"/>
  <c r="AI645" i="1"/>
  <c r="AJ644" i="1"/>
  <c r="AI644" i="1"/>
  <c r="AJ643" i="1"/>
  <c r="AI643" i="1"/>
  <c r="AJ642" i="1"/>
  <c r="AI642" i="1"/>
  <c r="AJ641" i="1"/>
  <c r="AI641" i="1"/>
  <c r="AJ640" i="1"/>
  <c r="AI640" i="1"/>
  <c r="AJ639" i="1"/>
  <c r="AI639" i="1"/>
  <c r="AJ638" i="1"/>
  <c r="AI638" i="1"/>
  <c r="AJ637" i="1"/>
  <c r="AI637" i="1"/>
  <c r="AJ636" i="1"/>
  <c r="AI636" i="1"/>
  <c r="AJ635" i="1"/>
  <c r="AI635" i="1"/>
  <c r="AJ634" i="1"/>
  <c r="AI634" i="1"/>
  <c r="AJ633" i="1"/>
  <c r="AI633" i="1"/>
  <c r="AJ632" i="1"/>
  <c r="AI632" i="1"/>
  <c r="AJ631" i="1"/>
  <c r="AI631" i="1"/>
  <c r="AJ630" i="1"/>
  <c r="AI630" i="1"/>
  <c r="AJ629" i="1"/>
  <c r="AI629" i="1"/>
  <c r="AJ628" i="1"/>
  <c r="AI628" i="1"/>
  <c r="AJ627" i="1"/>
  <c r="AI627" i="1"/>
  <c r="AJ626" i="1"/>
  <c r="AI626" i="1"/>
  <c r="AJ625" i="1"/>
  <c r="AI625" i="1"/>
  <c r="AJ624" i="1"/>
  <c r="AI624" i="1"/>
  <c r="AJ623" i="1"/>
  <c r="AI623" i="1"/>
  <c r="AJ622" i="1"/>
  <c r="AI622" i="1"/>
  <c r="AJ621" i="1"/>
  <c r="AI621" i="1"/>
  <c r="AJ620" i="1"/>
  <c r="AI620" i="1"/>
  <c r="AJ619" i="1"/>
  <c r="AI619" i="1"/>
  <c r="AJ618" i="1"/>
  <c r="AI618" i="1"/>
  <c r="AJ617" i="1"/>
  <c r="AI617" i="1"/>
  <c r="AJ616" i="1"/>
  <c r="AI616" i="1"/>
  <c r="AJ615" i="1"/>
  <c r="AI615" i="1"/>
  <c r="AJ614" i="1"/>
  <c r="AI614" i="1"/>
  <c r="AJ613" i="1"/>
  <c r="AI613" i="1"/>
  <c r="AJ612" i="1"/>
  <c r="AI612" i="1"/>
  <c r="AJ611" i="1"/>
  <c r="AI611" i="1"/>
  <c r="AJ610" i="1"/>
  <c r="AI610" i="1"/>
  <c r="AJ609" i="1"/>
  <c r="AI609" i="1"/>
  <c r="AJ608" i="1"/>
  <c r="AI608" i="1"/>
  <c r="AJ607" i="1"/>
  <c r="AI607" i="1"/>
  <c r="AJ606" i="1"/>
  <c r="AI606" i="1"/>
  <c r="AJ605" i="1"/>
  <c r="AI605" i="1"/>
  <c r="AJ604" i="1"/>
  <c r="AI604" i="1"/>
  <c r="AJ603" i="1"/>
  <c r="AI603" i="1"/>
  <c r="AJ602" i="1"/>
  <c r="AI602" i="1"/>
  <c r="AJ601" i="1"/>
  <c r="AI601" i="1"/>
  <c r="AJ600" i="1"/>
  <c r="AI600" i="1"/>
  <c r="AJ599" i="1"/>
  <c r="AI599" i="1"/>
  <c r="AJ598" i="1"/>
  <c r="AI598" i="1"/>
  <c r="AJ597" i="1"/>
  <c r="AI597" i="1"/>
  <c r="AJ596" i="1"/>
  <c r="AI596" i="1"/>
  <c r="AJ595" i="1"/>
  <c r="AI595" i="1"/>
  <c r="AJ594" i="1"/>
  <c r="AI594" i="1"/>
  <c r="AJ593" i="1"/>
  <c r="AI593" i="1"/>
  <c r="AJ592" i="1"/>
  <c r="AI592" i="1"/>
  <c r="AJ591" i="1"/>
  <c r="AI591" i="1"/>
  <c r="AJ590" i="1"/>
  <c r="AI590" i="1"/>
  <c r="AJ589" i="1"/>
  <c r="AI589" i="1"/>
  <c r="AJ588" i="1"/>
  <c r="AI588" i="1"/>
  <c r="AJ587" i="1"/>
  <c r="AI587" i="1"/>
  <c r="AJ586" i="1"/>
  <c r="AI586" i="1"/>
  <c r="AJ585" i="1"/>
  <c r="AI585" i="1"/>
  <c r="AJ584" i="1"/>
  <c r="AI584" i="1"/>
  <c r="AJ583" i="1"/>
  <c r="AI583" i="1"/>
  <c r="AJ582" i="1"/>
  <c r="AI582" i="1"/>
  <c r="AJ581" i="1"/>
  <c r="AI581" i="1"/>
  <c r="AJ580" i="1"/>
  <c r="AI580" i="1"/>
  <c r="AJ579" i="1"/>
  <c r="AI579" i="1"/>
  <c r="AJ578" i="1"/>
  <c r="AI578" i="1"/>
  <c r="AJ577" i="1"/>
  <c r="AI577" i="1"/>
  <c r="AJ576" i="1"/>
  <c r="AI576" i="1"/>
  <c r="AJ575" i="1"/>
  <c r="AI575" i="1"/>
  <c r="AJ574" i="1"/>
  <c r="AI574" i="1"/>
  <c r="AJ573" i="1"/>
  <c r="AI573" i="1"/>
  <c r="AJ572" i="1"/>
  <c r="AI572" i="1"/>
  <c r="AJ571" i="1"/>
  <c r="AI571" i="1"/>
  <c r="AJ570" i="1"/>
  <c r="AI570" i="1"/>
  <c r="AJ569" i="1"/>
  <c r="AI569" i="1"/>
  <c r="AJ568" i="1"/>
  <c r="AI568" i="1"/>
  <c r="AJ567" i="1"/>
  <c r="AI567" i="1"/>
  <c r="AJ566" i="1"/>
  <c r="AI566" i="1"/>
  <c r="AJ565" i="1"/>
  <c r="AI565" i="1"/>
  <c r="AJ564" i="1"/>
  <c r="AI564" i="1"/>
  <c r="AJ563" i="1"/>
  <c r="AI563" i="1"/>
  <c r="AJ562" i="1"/>
  <c r="AI562" i="1"/>
  <c r="AJ561" i="1"/>
  <c r="AI561" i="1"/>
  <c r="AJ560" i="1"/>
  <c r="AI560" i="1"/>
  <c r="AJ559" i="1"/>
  <c r="AI559" i="1"/>
  <c r="AJ558" i="1"/>
  <c r="AI558" i="1"/>
  <c r="AJ557" i="1"/>
  <c r="AI557" i="1"/>
  <c r="AJ556" i="1"/>
  <c r="AI556" i="1"/>
  <c r="AJ555" i="1"/>
  <c r="AI555" i="1"/>
  <c r="AJ554" i="1"/>
  <c r="AI554" i="1"/>
  <c r="AJ553" i="1"/>
  <c r="AI553" i="1"/>
  <c r="AJ552" i="1"/>
  <c r="AI552" i="1"/>
  <c r="AJ551" i="1"/>
  <c r="AI551" i="1"/>
  <c r="AJ550" i="1"/>
  <c r="AI550" i="1"/>
  <c r="AJ549" i="1"/>
  <c r="AI549" i="1"/>
  <c r="AJ548" i="1"/>
  <c r="AI548" i="1"/>
  <c r="AJ547" i="1"/>
  <c r="AI547" i="1"/>
  <c r="AJ546" i="1"/>
  <c r="AI546" i="1"/>
  <c r="AJ545" i="1"/>
  <c r="AI545" i="1"/>
  <c r="AJ544" i="1"/>
  <c r="AI544" i="1"/>
  <c r="AJ543" i="1"/>
  <c r="AI543" i="1"/>
  <c r="AJ542" i="1"/>
  <c r="AI542" i="1"/>
  <c r="AJ541" i="1"/>
  <c r="AI541" i="1"/>
  <c r="AJ540" i="1"/>
  <c r="AI540" i="1"/>
  <c r="AJ539" i="1"/>
  <c r="AI539" i="1"/>
  <c r="AJ538" i="1"/>
  <c r="AI538" i="1"/>
  <c r="AJ537" i="1"/>
  <c r="AI537" i="1"/>
  <c r="AJ536" i="1"/>
  <c r="AI536" i="1"/>
  <c r="AJ535" i="1"/>
  <c r="AI535" i="1"/>
  <c r="AJ534" i="1"/>
  <c r="AI534" i="1"/>
  <c r="AJ533" i="1"/>
  <c r="AI533" i="1"/>
  <c r="AJ532" i="1"/>
  <c r="AI532" i="1"/>
  <c r="AJ531" i="1"/>
  <c r="AI531" i="1"/>
  <c r="AJ530" i="1"/>
  <c r="AI530" i="1"/>
  <c r="AJ529" i="1"/>
  <c r="AI529" i="1"/>
  <c r="AJ528" i="1"/>
  <c r="AI528" i="1"/>
  <c r="AJ527" i="1"/>
  <c r="AI527" i="1"/>
  <c r="AJ526" i="1"/>
  <c r="AI526" i="1"/>
  <c r="AJ525" i="1"/>
  <c r="AI525" i="1"/>
  <c r="AJ524" i="1"/>
  <c r="AI524" i="1"/>
  <c r="AJ523" i="1"/>
  <c r="AI523" i="1"/>
  <c r="AJ522" i="1"/>
  <c r="AI522" i="1"/>
  <c r="AJ521" i="1"/>
  <c r="AI521" i="1"/>
  <c r="AJ520" i="1"/>
  <c r="AI520" i="1"/>
  <c r="AJ519" i="1"/>
  <c r="AI519" i="1"/>
  <c r="AJ518" i="1"/>
  <c r="AI518" i="1"/>
  <c r="AJ517" i="1"/>
  <c r="AI517" i="1"/>
  <c r="AJ516" i="1"/>
  <c r="AI516" i="1"/>
  <c r="AJ515" i="1"/>
  <c r="AI515" i="1"/>
  <c r="AJ514" i="1"/>
  <c r="AI514" i="1"/>
  <c r="AJ513" i="1"/>
  <c r="AI513" i="1"/>
  <c r="AJ512" i="1"/>
  <c r="AI512" i="1"/>
  <c r="AJ511" i="1"/>
  <c r="AI511" i="1"/>
  <c r="AJ510" i="1"/>
  <c r="AI510" i="1"/>
  <c r="AJ509" i="1"/>
  <c r="AI509" i="1"/>
  <c r="AJ508" i="1"/>
  <c r="AI508" i="1"/>
  <c r="AJ507" i="1"/>
  <c r="AI507" i="1"/>
  <c r="AJ506" i="1"/>
  <c r="AI506" i="1"/>
  <c r="AJ505" i="1"/>
  <c r="AI505" i="1"/>
  <c r="AJ504" i="1"/>
  <c r="AI504" i="1"/>
  <c r="AJ503" i="1"/>
  <c r="AI503" i="1"/>
  <c r="AJ502" i="1"/>
  <c r="AI502" i="1"/>
  <c r="AJ501" i="1"/>
  <c r="AI501" i="1"/>
  <c r="AJ500" i="1"/>
  <c r="AI500" i="1"/>
  <c r="AJ499" i="1"/>
  <c r="AI499" i="1"/>
  <c r="AJ498" i="1"/>
  <c r="AI498" i="1"/>
  <c r="AJ497" i="1"/>
  <c r="AI497" i="1"/>
  <c r="AJ496" i="1"/>
  <c r="AI496" i="1"/>
  <c r="AJ495" i="1"/>
  <c r="AI495" i="1"/>
  <c r="AJ494" i="1"/>
  <c r="AI494" i="1"/>
  <c r="AJ493" i="1"/>
  <c r="AI493" i="1"/>
  <c r="AJ492" i="1"/>
  <c r="AI492" i="1"/>
  <c r="AJ491" i="1"/>
  <c r="AI491" i="1"/>
  <c r="AJ490" i="1"/>
  <c r="AI490" i="1"/>
  <c r="AJ489" i="1"/>
  <c r="AI489" i="1"/>
  <c r="AJ488" i="1"/>
  <c r="AI488" i="1"/>
  <c r="AJ487" i="1"/>
  <c r="AI487" i="1"/>
  <c r="AJ486" i="1"/>
  <c r="AI486" i="1"/>
  <c r="AJ485" i="1"/>
  <c r="AI485" i="1"/>
  <c r="AJ484" i="1"/>
  <c r="AI484" i="1"/>
  <c r="AJ483" i="1"/>
  <c r="AI483" i="1"/>
  <c r="AJ482" i="1"/>
  <c r="AI482" i="1"/>
  <c r="AJ481" i="1"/>
  <c r="AI481" i="1"/>
  <c r="AJ480" i="1"/>
  <c r="AI480" i="1"/>
  <c r="AJ479" i="1"/>
  <c r="AI479" i="1"/>
  <c r="AJ478" i="1"/>
  <c r="AI478" i="1"/>
  <c r="AJ477" i="1"/>
  <c r="AI477" i="1"/>
  <c r="AJ476" i="1"/>
  <c r="AI476" i="1"/>
  <c r="AJ475" i="1"/>
  <c r="AI475" i="1"/>
  <c r="AJ474" i="1"/>
  <c r="AI474" i="1"/>
  <c r="AJ473" i="1"/>
  <c r="AI473" i="1"/>
  <c r="AJ472" i="1"/>
  <c r="AI472" i="1"/>
  <c r="AJ471" i="1"/>
  <c r="AI471" i="1"/>
  <c r="AJ470" i="1"/>
  <c r="AI470" i="1"/>
  <c r="AJ469" i="1"/>
  <c r="AI469" i="1"/>
  <c r="AJ468" i="1"/>
  <c r="AI468" i="1"/>
  <c r="AJ467" i="1"/>
  <c r="AI467" i="1"/>
  <c r="AJ466" i="1"/>
  <c r="AI466" i="1"/>
  <c r="AJ465" i="1"/>
  <c r="AI465" i="1"/>
  <c r="AJ464" i="1"/>
  <c r="AI464" i="1"/>
  <c r="AJ463" i="1"/>
  <c r="AI463" i="1"/>
  <c r="AJ462" i="1"/>
  <c r="AI462" i="1"/>
  <c r="AJ461" i="1"/>
  <c r="AI461" i="1"/>
  <c r="AJ460" i="1"/>
  <c r="AI460" i="1"/>
  <c r="AJ459" i="1"/>
  <c r="AI459" i="1"/>
  <c r="AJ458" i="1"/>
  <c r="AI458" i="1"/>
  <c r="AJ457" i="1"/>
  <c r="AI457" i="1"/>
  <c r="AJ456" i="1"/>
  <c r="AI456" i="1"/>
  <c r="AJ455" i="1"/>
  <c r="AI455" i="1"/>
  <c r="AJ454" i="1"/>
  <c r="AI454" i="1"/>
  <c r="AJ453" i="1"/>
  <c r="AI453" i="1"/>
  <c r="AJ452" i="1"/>
  <c r="AI452" i="1"/>
  <c r="AJ451" i="1"/>
  <c r="AI451" i="1"/>
  <c r="AJ450" i="1"/>
  <c r="AI450" i="1"/>
  <c r="AJ449" i="1"/>
  <c r="AI449" i="1"/>
  <c r="AJ448" i="1"/>
  <c r="AI448" i="1"/>
  <c r="AJ447" i="1"/>
  <c r="AI447" i="1"/>
  <c r="AJ446" i="1"/>
  <c r="AI446" i="1"/>
  <c r="AJ445" i="1"/>
  <c r="AI445" i="1"/>
  <c r="AJ444" i="1"/>
  <c r="AI444" i="1"/>
  <c r="AJ443" i="1"/>
  <c r="AI443" i="1"/>
  <c r="AJ442" i="1"/>
  <c r="AI442" i="1"/>
  <c r="AJ441" i="1"/>
  <c r="AI441" i="1"/>
  <c r="AJ440" i="1"/>
  <c r="AI440" i="1"/>
  <c r="AJ439" i="1"/>
  <c r="AI439" i="1"/>
  <c r="AJ438" i="1"/>
  <c r="AI438" i="1"/>
  <c r="AJ437" i="1"/>
  <c r="AI437" i="1"/>
  <c r="AJ436" i="1"/>
  <c r="AI436" i="1"/>
  <c r="AJ435" i="1"/>
  <c r="AI435" i="1"/>
  <c r="AJ434" i="1"/>
  <c r="AI434" i="1"/>
  <c r="AJ433" i="1"/>
  <c r="AI433" i="1"/>
  <c r="AJ432" i="1"/>
  <c r="AI432" i="1"/>
  <c r="AJ431" i="1"/>
  <c r="AI431" i="1"/>
  <c r="AJ430" i="1"/>
  <c r="AI430" i="1"/>
  <c r="AJ429" i="1"/>
  <c r="AI429" i="1"/>
  <c r="AJ428" i="1"/>
  <c r="AI428" i="1"/>
  <c r="AJ427" i="1"/>
  <c r="AI427" i="1"/>
  <c r="AJ426" i="1"/>
  <c r="AI426" i="1"/>
  <c r="AJ425" i="1"/>
  <c r="AI425" i="1"/>
  <c r="AJ424" i="1"/>
  <c r="AI424" i="1"/>
  <c r="AJ423" i="1"/>
  <c r="AI423" i="1"/>
  <c r="AJ422" i="1"/>
  <c r="AI422" i="1"/>
  <c r="AJ421" i="1"/>
  <c r="AI421" i="1"/>
  <c r="AJ420" i="1"/>
  <c r="AI420" i="1"/>
  <c r="AJ419" i="1"/>
  <c r="AI419" i="1"/>
  <c r="AJ418" i="1"/>
  <c r="AI418" i="1"/>
  <c r="AJ417" i="1"/>
  <c r="AI417" i="1"/>
  <c r="AJ416" i="1"/>
  <c r="AI416" i="1"/>
  <c r="AJ415" i="1"/>
  <c r="AI415" i="1"/>
  <c r="AJ414" i="1"/>
  <c r="AI414" i="1"/>
  <c r="AJ413" i="1"/>
  <c r="AI413" i="1"/>
  <c r="AJ412" i="1"/>
  <c r="AI412" i="1"/>
  <c r="AJ411" i="1"/>
  <c r="AI411" i="1"/>
  <c r="AJ410" i="1"/>
  <c r="AI410" i="1"/>
  <c r="AJ409" i="1"/>
  <c r="AI409" i="1"/>
  <c r="AJ408" i="1"/>
  <c r="AI408" i="1"/>
  <c r="AJ407" i="1"/>
  <c r="AI407" i="1"/>
  <c r="AJ406" i="1"/>
  <c r="AI406" i="1"/>
  <c r="AJ405" i="1"/>
  <c r="AI405" i="1"/>
  <c r="AJ404" i="1"/>
  <c r="AI404" i="1"/>
  <c r="AJ403" i="1"/>
  <c r="AI403" i="1"/>
  <c r="AJ402" i="1"/>
  <c r="AI402" i="1"/>
  <c r="AJ401" i="1"/>
  <c r="AI401" i="1"/>
  <c r="AJ400" i="1"/>
  <c r="AI400" i="1"/>
  <c r="AJ399" i="1"/>
  <c r="AI399" i="1"/>
  <c r="AJ398" i="1"/>
  <c r="AI398" i="1"/>
  <c r="AJ397" i="1"/>
  <c r="AI397" i="1"/>
  <c r="AJ396" i="1"/>
  <c r="AI396" i="1"/>
  <c r="AJ395" i="1"/>
  <c r="AI395" i="1"/>
  <c r="AJ394" i="1"/>
  <c r="AI394" i="1"/>
  <c r="AJ393" i="1"/>
  <c r="AI393" i="1"/>
  <c r="AJ392" i="1"/>
  <c r="AI392" i="1"/>
  <c r="AJ391" i="1"/>
  <c r="AI391" i="1"/>
  <c r="AJ390" i="1"/>
  <c r="AI390" i="1"/>
  <c r="AJ389" i="1"/>
  <c r="AI389" i="1"/>
  <c r="AJ388" i="1"/>
  <c r="AI388" i="1"/>
  <c r="AJ387" i="1"/>
  <c r="AI387" i="1"/>
  <c r="AJ386" i="1"/>
  <c r="AI386" i="1"/>
  <c r="AJ385" i="1"/>
  <c r="AI385" i="1"/>
  <c r="AJ384" i="1"/>
  <c r="AI384" i="1"/>
  <c r="AJ383" i="1"/>
  <c r="AI383" i="1"/>
  <c r="AJ382" i="1"/>
  <c r="AI382" i="1"/>
  <c r="AJ381" i="1"/>
  <c r="AI381" i="1"/>
  <c r="AJ380" i="1"/>
  <c r="AI380" i="1"/>
  <c r="AJ379" i="1"/>
  <c r="AI379" i="1"/>
  <c r="AJ378" i="1"/>
  <c r="AI378" i="1"/>
  <c r="AJ377" i="1"/>
  <c r="AI377" i="1"/>
  <c r="AJ376" i="1"/>
  <c r="AI376" i="1"/>
  <c r="AJ375" i="1"/>
  <c r="AI375" i="1"/>
  <c r="AJ374" i="1"/>
  <c r="AI374" i="1"/>
  <c r="AJ373" i="1"/>
  <c r="AI373" i="1"/>
  <c r="AJ372" i="1"/>
  <c r="AI372" i="1"/>
  <c r="AJ371" i="1"/>
  <c r="AI371" i="1"/>
  <c r="AJ370" i="1"/>
  <c r="AI370" i="1"/>
  <c r="AJ369" i="1"/>
  <c r="AI369" i="1"/>
  <c r="AJ368" i="1"/>
  <c r="AI368" i="1"/>
  <c r="AJ367" i="1"/>
  <c r="AI367" i="1"/>
  <c r="AJ366" i="1"/>
  <c r="AI366" i="1"/>
  <c r="AJ365" i="1"/>
  <c r="AI365" i="1"/>
  <c r="AJ364" i="1"/>
  <c r="AI364" i="1"/>
  <c r="AJ363" i="1"/>
  <c r="AI363" i="1"/>
  <c r="AJ362" i="1"/>
  <c r="AI362" i="1"/>
  <c r="AJ361" i="1"/>
  <c r="AI361" i="1"/>
  <c r="AJ360" i="1"/>
  <c r="AI360" i="1"/>
  <c r="AJ359" i="1"/>
  <c r="AI359" i="1"/>
  <c r="AJ358" i="1"/>
  <c r="AI358" i="1"/>
  <c r="AJ357" i="1"/>
  <c r="AI357" i="1"/>
  <c r="AJ356" i="1"/>
  <c r="AI356" i="1"/>
  <c r="AJ355" i="1"/>
  <c r="AI355" i="1"/>
  <c r="AJ354" i="1"/>
  <c r="AI354" i="1"/>
  <c r="AJ353" i="1"/>
  <c r="AI353" i="1"/>
  <c r="AJ352" i="1"/>
  <c r="AI352" i="1"/>
  <c r="AJ351" i="1"/>
  <c r="AI351" i="1"/>
  <c r="AJ350" i="1"/>
  <c r="AI350" i="1"/>
  <c r="AJ349" i="1"/>
  <c r="AI349" i="1"/>
  <c r="AJ348" i="1"/>
  <c r="AI348" i="1"/>
  <c r="AJ347" i="1"/>
  <c r="AI347" i="1"/>
  <c r="AJ346" i="1"/>
  <c r="AI346" i="1"/>
  <c r="AJ345" i="1"/>
  <c r="AI345" i="1"/>
  <c r="AJ344" i="1"/>
  <c r="AI344" i="1"/>
  <c r="AJ343" i="1"/>
  <c r="AI343" i="1"/>
  <c r="AJ342" i="1"/>
  <c r="AI342" i="1"/>
  <c r="AJ341" i="1"/>
  <c r="AI341" i="1"/>
  <c r="AJ340" i="1"/>
  <c r="AI340" i="1"/>
  <c r="AJ339" i="1"/>
  <c r="AI339" i="1"/>
  <c r="AJ338" i="1"/>
  <c r="AI338" i="1"/>
  <c r="AJ337" i="1"/>
  <c r="AI337" i="1"/>
  <c r="AJ336" i="1"/>
  <c r="AI336" i="1"/>
  <c r="AJ335" i="1"/>
  <c r="AI335" i="1"/>
  <c r="AJ334" i="1"/>
  <c r="AI334" i="1"/>
  <c r="AJ333" i="1"/>
  <c r="AI333" i="1"/>
  <c r="AJ332" i="1"/>
  <c r="AI332" i="1"/>
  <c r="AJ331" i="1"/>
  <c r="AI331" i="1"/>
  <c r="AJ330" i="1"/>
  <c r="AI330" i="1"/>
  <c r="AJ329" i="1"/>
  <c r="AI329" i="1"/>
  <c r="AJ328" i="1"/>
  <c r="AI328" i="1"/>
  <c r="AJ327" i="1"/>
  <c r="AI327" i="1"/>
  <c r="AJ326" i="1"/>
  <c r="AI326" i="1"/>
  <c r="AJ325" i="1"/>
  <c r="AI325" i="1"/>
  <c r="AJ324" i="1"/>
  <c r="AI324" i="1"/>
  <c r="AJ323" i="1"/>
  <c r="AI323" i="1"/>
  <c r="AJ322" i="1"/>
  <c r="AI322" i="1"/>
  <c r="AJ321" i="1"/>
  <c r="AI321" i="1"/>
  <c r="AJ320" i="1"/>
  <c r="AI320" i="1"/>
  <c r="AJ319" i="1"/>
  <c r="AI319" i="1"/>
  <c r="AJ318" i="1"/>
  <c r="AI318" i="1"/>
  <c r="AJ317" i="1"/>
  <c r="AI317" i="1"/>
  <c r="AJ316" i="1"/>
  <c r="AI316" i="1"/>
  <c r="AJ315" i="1"/>
  <c r="AI315" i="1"/>
  <c r="AJ314" i="1"/>
  <c r="AI314" i="1"/>
  <c r="AJ313" i="1"/>
  <c r="AI313" i="1"/>
  <c r="AJ312" i="1"/>
  <c r="AI312" i="1"/>
  <c r="AJ311" i="1"/>
  <c r="AI311" i="1"/>
  <c r="AJ310" i="1"/>
  <c r="AI310" i="1"/>
  <c r="AJ309" i="1"/>
  <c r="AI309" i="1"/>
  <c r="AJ308" i="1"/>
  <c r="AI308" i="1"/>
  <c r="AJ307" i="1"/>
  <c r="AI307" i="1"/>
  <c r="AJ306" i="1"/>
  <c r="AI306" i="1"/>
  <c r="AJ305" i="1"/>
  <c r="AI305" i="1"/>
  <c r="AJ304" i="1"/>
  <c r="AI304" i="1"/>
  <c r="AJ303" i="1"/>
  <c r="AI303" i="1"/>
  <c r="AJ302" i="1"/>
  <c r="AI302" i="1"/>
  <c r="AJ301" i="1"/>
  <c r="AI301" i="1"/>
  <c r="AJ300" i="1"/>
  <c r="AI300" i="1"/>
  <c r="AJ299" i="1"/>
  <c r="AI299" i="1"/>
  <c r="AJ298" i="1"/>
  <c r="AI298" i="1"/>
  <c r="AJ297" i="1"/>
  <c r="AI297" i="1"/>
  <c r="AJ296" i="1"/>
  <c r="AI296" i="1"/>
  <c r="AJ295" i="1"/>
  <c r="AI295" i="1"/>
  <c r="AJ294" i="1"/>
  <c r="AI294" i="1"/>
  <c r="AJ293" i="1"/>
  <c r="AI293" i="1"/>
  <c r="AJ292" i="1"/>
  <c r="AI292" i="1"/>
  <c r="AJ291" i="1"/>
  <c r="AI291" i="1"/>
  <c r="AJ290" i="1"/>
  <c r="AI290" i="1"/>
  <c r="AJ289" i="1"/>
  <c r="AI289" i="1"/>
  <c r="AJ288" i="1"/>
  <c r="AI288" i="1"/>
  <c r="AJ287" i="1"/>
  <c r="AI287" i="1"/>
  <c r="AJ286" i="1"/>
  <c r="AI286" i="1"/>
  <c r="AJ285" i="1"/>
  <c r="AI285" i="1"/>
  <c r="AJ284" i="1"/>
  <c r="AI284" i="1"/>
  <c r="AJ283" i="1"/>
  <c r="AI283" i="1"/>
  <c r="AJ282" i="1"/>
  <c r="AI282" i="1"/>
  <c r="AJ281" i="1"/>
  <c r="AI281" i="1"/>
  <c r="AJ280" i="1"/>
  <c r="AI280" i="1"/>
  <c r="AJ279" i="1"/>
  <c r="AI279" i="1"/>
  <c r="AJ278" i="1"/>
  <c r="AI278" i="1"/>
  <c r="AJ277" i="1"/>
  <c r="AI277" i="1"/>
  <c r="AJ276" i="1"/>
  <c r="AI276" i="1"/>
  <c r="AJ275" i="1"/>
  <c r="AI275" i="1"/>
  <c r="AJ274" i="1"/>
  <c r="AI274" i="1"/>
  <c r="AJ273" i="1"/>
  <c r="AI273" i="1"/>
  <c r="AJ272" i="1"/>
  <c r="AI272" i="1"/>
  <c r="AJ271" i="1"/>
  <c r="AI271" i="1"/>
  <c r="AJ270" i="1"/>
  <c r="AI270" i="1"/>
  <c r="AJ269" i="1"/>
  <c r="AI269" i="1"/>
  <c r="AJ268" i="1"/>
  <c r="AI268" i="1"/>
  <c r="AJ267" i="1"/>
  <c r="AI267" i="1"/>
  <c r="AJ266" i="1"/>
  <c r="AI266" i="1"/>
  <c r="AJ265" i="1"/>
  <c r="AI265" i="1"/>
  <c r="AJ264" i="1"/>
  <c r="AI264" i="1"/>
  <c r="AJ263" i="1"/>
  <c r="AI263" i="1"/>
  <c r="AJ262" i="1"/>
  <c r="AI262" i="1"/>
  <c r="AJ261" i="1"/>
  <c r="AI261" i="1"/>
  <c r="AJ260" i="1"/>
  <c r="AI260" i="1"/>
  <c r="AJ259" i="1"/>
  <c r="AI259" i="1"/>
  <c r="AJ258" i="1"/>
  <c r="AI258" i="1"/>
  <c r="AJ257" i="1"/>
  <c r="AI257" i="1"/>
  <c r="AJ256" i="1"/>
  <c r="AI256" i="1"/>
  <c r="AJ255" i="1"/>
  <c r="AI255" i="1"/>
  <c r="AJ254" i="1"/>
  <c r="AI254" i="1"/>
  <c r="AJ253" i="1"/>
  <c r="AI253" i="1"/>
  <c r="AJ252" i="1"/>
  <c r="AI252" i="1"/>
  <c r="AJ251" i="1"/>
  <c r="AI251" i="1"/>
  <c r="AJ250" i="1"/>
  <c r="AI250" i="1"/>
  <c r="AJ249" i="1"/>
  <c r="AI249" i="1"/>
  <c r="AJ248" i="1"/>
  <c r="AI248" i="1"/>
  <c r="AJ247" i="1"/>
  <c r="AI247" i="1"/>
  <c r="AJ246" i="1"/>
  <c r="AI246" i="1"/>
  <c r="AJ245" i="1"/>
  <c r="AI245" i="1"/>
  <c r="AJ244" i="1"/>
  <c r="AI244" i="1"/>
  <c r="AJ243" i="1"/>
  <c r="AI243" i="1"/>
  <c r="AJ242" i="1"/>
  <c r="AI242" i="1"/>
  <c r="AJ241" i="1"/>
  <c r="AI241" i="1"/>
  <c r="AJ240" i="1"/>
  <c r="AI240" i="1"/>
  <c r="AJ239" i="1"/>
  <c r="AI239" i="1"/>
  <c r="AJ238" i="1"/>
  <c r="AI238" i="1"/>
  <c r="AJ237" i="1"/>
  <c r="AI237" i="1"/>
  <c r="AJ236" i="1"/>
  <c r="AI236" i="1"/>
  <c r="AJ235" i="1"/>
  <c r="AI235" i="1"/>
  <c r="AJ234" i="1"/>
  <c r="AI234" i="1"/>
  <c r="AJ233" i="1"/>
  <c r="AI233" i="1"/>
  <c r="AJ232" i="1"/>
  <c r="AI232" i="1"/>
  <c r="AJ231" i="1"/>
  <c r="AI231" i="1"/>
  <c r="AJ230" i="1"/>
  <c r="AI230" i="1"/>
  <c r="AJ229" i="1"/>
  <c r="AI229" i="1"/>
  <c r="AJ228" i="1"/>
  <c r="AI228" i="1"/>
  <c r="AJ227" i="1"/>
  <c r="AI227" i="1"/>
  <c r="AJ226" i="1"/>
  <c r="AI226" i="1"/>
  <c r="AJ225" i="1"/>
  <c r="AI225" i="1"/>
  <c r="AJ224" i="1"/>
  <c r="AI224" i="1"/>
  <c r="AJ223" i="1"/>
  <c r="AI223" i="1"/>
  <c r="AJ222" i="1"/>
  <c r="AI222" i="1"/>
  <c r="AJ221" i="1"/>
  <c r="AI221" i="1"/>
  <c r="AJ220" i="1"/>
  <c r="AI220" i="1"/>
  <c r="AJ219" i="1"/>
  <c r="AI219" i="1"/>
  <c r="AJ218" i="1"/>
  <c r="AI218" i="1"/>
  <c r="AJ217" i="1"/>
  <c r="AI217" i="1"/>
  <c r="AJ216" i="1"/>
  <c r="AI216" i="1"/>
  <c r="AJ215" i="1"/>
  <c r="AI215" i="1"/>
  <c r="AJ214" i="1"/>
  <c r="AI214" i="1"/>
  <c r="AJ213" i="1"/>
  <c r="AI213" i="1"/>
  <c r="AJ212" i="1"/>
  <c r="AI212" i="1"/>
  <c r="AJ211" i="1"/>
  <c r="AI211" i="1"/>
  <c r="AJ210" i="1"/>
  <c r="AI210" i="1"/>
  <c r="AJ209" i="1"/>
  <c r="AI209" i="1"/>
  <c r="AJ208" i="1"/>
  <c r="AI208" i="1"/>
  <c r="AJ207" i="1"/>
  <c r="AI207" i="1"/>
  <c r="AJ206" i="1"/>
  <c r="AI206" i="1"/>
  <c r="AJ205" i="1"/>
  <c r="AI205" i="1"/>
  <c r="AJ204" i="1"/>
  <c r="AI204" i="1"/>
  <c r="AJ203" i="1"/>
  <c r="AI203" i="1"/>
  <c r="AJ202" i="1"/>
  <c r="AI202" i="1"/>
  <c r="AJ201" i="1"/>
  <c r="AI201" i="1"/>
  <c r="AJ200" i="1"/>
  <c r="AI200" i="1"/>
  <c r="AJ199" i="1"/>
  <c r="AI199" i="1"/>
  <c r="AJ198" i="1"/>
  <c r="AI198" i="1"/>
  <c r="AJ197" i="1"/>
  <c r="AI197" i="1"/>
  <c r="AJ196" i="1"/>
  <c r="AI196" i="1"/>
  <c r="AJ195" i="1"/>
  <c r="AI195" i="1"/>
  <c r="AJ194" i="1"/>
  <c r="AI194" i="1"/>
  <c r="AJ193" i="1"/>
  <c r="AI193" i="1"/>
  <c r="AJ192" i="1"/>
  <c r="AI192" i="1"/>
  <c r="AJ191" i="1"/>
  <c r="AI191" i="1"/>
  <c r="AJ190" i="1"/>
  <c r="AI190" i="1"/>
  <c r="AJ189" i="1"/>
  <c r="AI189" i="1"/>
  <c r="AJ188" i="1"/>
  <c r="AI188" i="1"/>
  <c r="AJ187" i="1"/>
  <c r="AI187" i="1"/>
  <c r="AJ186" i="1"/>
  <c r="AI186" i="1"/>
  <c r="AJ185" i="1"/>
  <c r="AI185" i="1"/>
  <c r="AJ184" i="1"/>
  <c r="AI184" i="1"/>
  <c r="AJ183" i="1"/>
  <c r="AI183" i="1"/>
  <c r="AJ182" i="1"/>
  <c r="AI182" i="1"/>
  <c r="AJ181" i="1"/>
  <c r="AI181" i="1"/>
  <c r="AJ180" i="1"/>
  <c r="AI180" i="1"/>
  <c r="AJ179" i="1"/>
  <c r="AI179" i="1"/>
  <c r="AJ178" i="1"/>
  <c r="AI178" i="1"/>
  <c r="AJ177" i="1"/>
  <c r="AI177" i="1"/>
  <c r="AJ176" i="1"/>
  <c r="AI176" i="1"/>
  <c r="AJ175" i="1"/>
  <c r="AI175" i="1"/>
  <c r="AJ174" i="1"/>
  <c r="AI174" i="1"/>
  <c r="AJ173" i="1"/>
  <c r="AI173" i="1"/>
  <c r="AJ172" i="1"/>
  <c r="AI172" i="1"/>
  <c r="AJ171" i="1"/>
  <c r="AI171" i="1"/>
  <c r="AJ170" i="1"/>
  <c r="AI170" i="1"/>
  <c r="AJ169" i="1"/>
  <c r="AI169" i="1"/>
  <c r="AJ168" i="1"/>
  <c r="AI168" i="1"/>
  <c r="AJ167" i="1"/>
  <c r="AI167" i="1"/>
  <c r="AJ166" i="1"/>
  <c r="AI166" i="1"/>
  <c r="AJ165" i="1"/>
  <c r="AI165" i="1"/>
  <c r="AJ164" i="1"/>
  <c r="AI164" i="1"/>
  <c r="AJ163" i="1"/>
  <c r="AI163" i="1"/>
  <c r="AJ162" i="1"/>
  <c r="AI162" i="1"/>
  <c r="AJ161" i="1"/>
  <c r="AI161" i="1"/>
  <c r="AJ160" i="1"/>
  <c r="AI160" i="1"/>
  <c r="AJ159" i="1"/>
  <c r="AI159" i="1"/>
  <c r="AJ158" i="1"/>
  <c r="AI158" i="1"/>
  <c r="AJ157" i="1"/>
  <c r="AI157" i="1"/>
  <c r="AJ156" i="1"/>
  <c r="AI156" i="1"/>
  <c r="AJ155" i="1"/>
  <c r="AI155" i="1"/>
  <c r="AJ154" i="1"/>
  <c r="AI154" i="1"/>
  <c r="AJ153" i="1"/>
  <c r="AI153" i="1"/>
  <c r="AJ152" i="1"/>
  <c r="AI152" i="1"/>
  <c r="AJ151" i="1"/>
  <c r="AI151" i="1"/>
  <c r="AJ150" i="1"/>
  <c r="AI150" i="1"/>
  <c r="AJ149" i="1"/>
  <c r="AI149" i="1"/>
  <c r="AJ148" i="1"/>
  <c r="AI148" i="1"/>
  <c r="AJ147" i="1"/>
  <c r="AI147" i="1"/>
  <c r="AJ146" i="1"/>
  <c r="AI146" i="1"/>
  <c r="AJ145" i="1"/>
  <c r="AI145" i="1"/>
  <c r="AJ144" i="1"/>
  <c r="AI144" i="1"/>
  <c r="AJ143" i="1"/>
  <c r="AI143" i="1"/>
  <c r="AJ142" i="1"/>
  <c r="AI142" i="1"/>
  <c r="AJ141" i="1"/>
  <c r="AI141" i="1"/>
  <c r="AJ140" i="1"/>
  <c r="AI140" i="1"/>
  <c r="AJ139" i="1"/>
  <c r="AI139" i="1"/>
  <c r="AJ138" i="1"/>
  <c r="AI138" i="1"/>
  <c r="AJ137" i="1"/>
  <c r="AI137" i="1"/>
  <c r="AJ136" i="1"/>
  <c r="AI136" i="1"/>
  <c r="AJ135" i="1"/>
  <c r="AI135" i="1"/>
  <c r="AJ134" i="1"/>
  <c r="AI134" i="1"/>
  <c r="AJ133" i="1"/>
  <c r="AI133" i="1"/>
  <c r="AJ132" i="1"/>
  <c r="AI132" i="1"/>
  <c r="AJ131" i="1"/>
  <c r="AI131" i="1"/>
  <c r="AJ130" i="1"/>
  <c r="AI130" i="1"/>
  <c r="AJ129" i="1"/>
  <c r="AI129" i="1"/>
  <c r="AJ128" i="1"/>
  <c r="AI128" i="1"/>
  <c r="AJ127" i="1"/>
  <c r="AI127" i="1"/>
  <c r="AJ126" i="1"/>
  <c r="AI126" i="1"/>
  <c r="AJ125" i="1"/>
  <c r="AI125" i="1"/>
  <c r="AJ124" i="1"/>
  <c r="AI124" i="1"/>
  <c r="AJ123" i="1"/>
  <c r="AI123" i="1"/>
  <c r="AJ122" i="1"/>
  <c r="AI122" i="1"/>
  <c r="AJ121" i="1"/>
  <c r="AI121" i="1"/>
  <c r="AJ120" i="1"/>
  <c r="AI120" i="1"/>
  <c r="AJ119" i="1"/>
  <c r="AI119" i="1"/>
  <c r="AJ118" i="1"/>
  <c r="AI118" i="1"/>
  <c r="AJ117" i="1"/>
  <c r="AI117" i="1"/>
  <c r="AJ116" i="1"/>
  <c r="AI116" i="1"/>
  <c r="AJ115" i="1"/>
  <c r="AI115" i="1"/>
  <c r="AJ114" i="1"/>
  <c r="AI114" i="1"/>
  <c r="AJ113" i="1"/>
  <c r="AI113" i="1"/>
  <c r="AJ112" i="1"/>
  <c r="AI112" i="1"/>
  <c r="AJ111" i="1"/>
  <c r="AI111" i="1"/>
  <c r="AJ110" i="1"/>
  <c r="AI110" i="1"/>
  <c r="AJ109" i="1"/>
  <c r="AI109" i="1"/>
  <c r="AJ108" i="1"/>
  <c r="AI108" i="1"/>
  <c r="AJ107" i="1"/>
  <c r="AI107" i="1"/>
  <c r="AJ106" i="1"/>
  <c r="AI106" i="1"/>
  <c r="AJ105" i="1"/>
  <c r="AI105" i="1"/>
  <c r="AJ104" i="1"/>
  <c r="AI104" i="1"/>
  <c r="AJ103" i="1"/>
  <c r="AI103" i="1"/>
  <c r="AJ102" i="1"/>
  <c r="AI102" i="1"/>
  <c r="AJ101" i="1"/>
  <c r="AI101" i="1"/>
  <c r="AJ100" i="1"/>
  <c r="AI100" i="1"/>
  <c r="AJ99" i="1"/>
  <c r="AI99" i="1"/>
  <c r="AJ98" i="1"/>
  <c r="AI98" i="1"/>
  <c r="AJ97" i="1"/>
  <c r="AI97" i="1"/>
  <c r="AJ96" i="1"/>
  <c r="AI96" i="1"/>
  <c r="AJ95" i="1"/>
  <c r="AI95" i="1"/>
  <c r="AJ94" i="1"/>
  <c r="AI94" i="1"/>
  <c r="AJ93" i="1"/>
  <c r="AI93" i="1"/>
  <c r="AJ92" i="1"/>
  <c r="AI92" i="1"/>
  <c r="AJ91" i="1"/>
  <c r="AI91" i="1"/>
  <c r="AJ90" i="1"/>
  <c r="AI90" i="1"/>
  <c r="AJ89" i="1"/>
  <c r="AI89" i="1"/>
  <c r="AJ88" i="1"/>
  <c r="AI88" i="1"/>
  <c r="AJ87" i="1"/>
  <c r="AI87" i="1"/>
  <c r="AJ86" i="1"/>
  <c r="AI86" i="1"/>
  <c r="AJ85" i="1"/>
  <c r="AI85" i="1"/>
  <c r="AJ84" i="1"/>
  <c r="AI84" i="1"/>
  <c r="AJ83" i="1"/>
  <c r="AI83" i="1"/>
  <c r="AJ82" i="1"/>
  <c r="AI82" i="1"/>
  <c r="AJ81" i="1"/>
  <c r="AI81" i="1"/>
  <c r="AJ80" i="1"/>
  <c r="AI80" i="1"/>
  <c r="AJ79" i="1"/>
  <c r="AI79" i="1"/>
  <c r="AJ78" i="1"/>
  <c r="AI78" i="1"/>
  <c r="AJ77" i="1"/>
  <c r="AI77" i="1"/>
  <c r="AJ76" i="1"/>
  <c r="AI76" i="1"/>
  <c r="AJ75" i="1"/>
  <c r="AI75" i="1"/>
  <c r="AJ74" i="1"/>
  <c r="AI74" i="1"/>
  <c r="AJ73" i="1"/>
  <c r="AI73" i="1"/>
  <c r="AJ72" i="1"/>
  <c r="AI72" i="1"/>
  <c r="AJ71" i="1"/>
  <c r="AI71" i="1"/>
  <c r="AJ70" i="1"/>
  <c r="AI70" i="1"/>
  <c r="AJ69" i="1"/>
  <c r="AI69" i="1"/>
  <c r="AJ68" i="1"/>
  <c r="AI68" i="1"/>
  <c r="AJ67" i="1"/>
  <c r="AI67" i="1"/>
  <c r="AJ66" i="1"/>
  <c r="AI66" i="1"/>
  <c r="AJ65" i="1"/>
  <c r="AI65" i="1"/>
  <c r="AJ64" i="1"/>
  <c r="AI64" i="1"/>
  <c r="AJ63" i="1"/>
  <c r="AI63" i="1"/>
  <c r="AJ62" i="1"/>
  <c r="AI62" i="1"/>
  <c r="AJ61" i="1"/>
  <c r="AI61" i="1"/>
  <c r="AJ60" i="1"/>
  <c r="AI60" i="1"/>
  <c r="AJ59" i="1"/>
  <c r="AI59" i="1"/>
  <c r="AJ58" i="1"/>
  <c r="AI58" i="1"/>
  <c r="AJ57" i="1"/>
  <c r="AI57" i="1"/>
  <c r="AJ56" i="1"/>
  <c r="AI56" i="1"/>
  <c r="AJ55" i="1"/>
  <c r="AI55" i="1"/>
  <c r="AJ54" i="1"/>
  <c r="AI54" i="1"/>
  <c r="AJ53" i="1"/>
  <c r="AI53" i="1"/>
  <c r="AJ52" i="1"/>
  <c r="AI52" i="1"/>
  <c r="AJ51" i="1"/>
  <c r="AI51" i="1"/>
  <c r="AJ50" i="1"/>
  <c r="AI50" i="1"/>
  <c r="AJ49" i="1"/>
  <c r="AI49" i="1"/>
  <c r="AJ48" i="1"/>
  <c r="AI48" i="1"/>
  <c r="AJ47" i="1"/>
  <c r="AI47" i="1"/>
  <c r="AJ46" i="1"/>
  <c r="AI46" i="1"/>
  <c r="AJ45" i="1"/>
  <c r="AI45" i="1"/>
  <c r="AJ44" i="1"/>
  <c r="AI44" i="1"/>
  <c r="AJ43" i="1"/>
  <c r="AI43" i="1"/>
  <c r="AJ42" i="1"/>
  <c r="AI42" i="1"/>
  <c r="AJ41" i="1"/>
  <c r="AI41" i="1"/>
  <c r="AJ40" i="1"/>
  <c r="AI40" i="1"/>
  <c r="AJ39" i="1"/>
  <c r="AI39" i="1"/>
  <c r="AJ38" i="1"/>
  <c r="AI38" i="1"/>
  <c r="AJ37" i="1"/>
  <c r="AI37" i="1"/>
  <c r="AJ36" i="1"/>
  <c r="AI36" i="1"/>
  <c r="AJ35" i="1"/>
  <c r="AI35" i="1"/>
  <c r="AJ34" i="1"/>
  <c r="AI34" i="1"/>
  <c r="AJ33" i="1"/>
  <c r="AI33" i="1"/>
  <c r="AJ32" i="1"/>
  <c r="AI32" i="1"/>
  <c r="AJ31" i="1"/>
  <c r="AI31" i="1"/>
  <c r="AJ30" i="1"/>
  <c r="AI30" i="1"/>
  <c r="AJ29" i="1"/>
  <c r="AI29" i="1"/>
  <c r="AJ28" i="1"/>
  <c r="AI28" i="1"/>
  <c r="AJ27" i="1"/>
  <c r="AI27" i="1"/>
  <c r="AJ26" i="1"/>
  <c r="AI26" i="1"/>
  <c r="AJ25" i="1"/>
  <c r="AI25" i="1"/>
  <c r="AJ24" i="1"/>
  <c r="AI24" i="1"/>
  <c r="AJ23" i="1"/>
  <c r="AI23" i="1"/>
  <c r="AJ22" i="1"/>
  <c r="AI22" i="1"/>
  <c r="AJ21" i="1"/>
  <c r="AI21" i="1"/>
  <c r="AJ20" i="1"/>
  <c r="AI20" i="1"/>
  <c r="AJ19" i="1"/>
  <c r="AI19" i="1"/>
  <c r="AJ18" i="1"/>
  <c r="AI18" i="1"/>
  <c r="AK19" i="1" l="1"/>
  <c r="AK23" i="1"/>
  <c r="AK27" i="1"/>
  <c r="AK31" i="1"/>
  <c r="AK35" i="1"/>
  <c r="AK39" i="1"/>
  <c r="AK43" i="1"/>
  <c r="AK47" i="1"/>
  <c r="AK51" i="1"/>
  <c r="AK55" i="1"/>
  <c r="AK59" i="1"/>
  <c r="AK63" i="1"/>
  <c r="AK67" i="1"/>
  <c r="AK71" i="1"/>
  <c r="AK75" i="1"/>
  <c r="AK79" i="1"/>
  <c r="AK83" i="1"/>
  <c r="AK87" i="1"/>
  <c r="AK91" i="1"/>
  <c r="AK95" i="1"/>
  <c r="AK99" i="1"/>
  <c r="AK103" i="1"/>
  <c r="AK107" i="1"/>
  <c r="AK111" i="1"/>
  <c r="AK115" i="1"/>
  <c r="AK119" i="1"/>
  <c r="AK123" i="1"/>
  <c r="AK127" i="1"/>
  <c r="AK131" i="1"/>
  <c r="AK135" i="1"/>
  <c r="AK139" i="1"/>
  <c r="AK143" i="1"/>
  <c r="AK147" i="1"/>
  <c r="AK151" i="1"/>
  <c r="AK155" i="1"/>
  <c r="AK159" i="1"/>
  <c r="AK163" i="1"/>
  <c r="AK167" i="1"/>
  <c r="AK171" i="1"/>
  <c r="AK175" i="1"/>
  <c r="AK179" i="1"/>
  <c r="AK183" i="1"/>
  <c r="AK187" i="1"/>
  <c r="AK191" i="1"/>
  <c r="AK195" i="1"/>
  <c r="AK199" i="1"/>
  <c r="AK203" i="1"/>
  <c r="AK207" i="1"/>
  <c r="AK211" i="1"/>
  <c r="AK215" i="1"/>
  <c r="AK219" i="1"/>
  <c r="AK223" i="1"/>
  <c r="AK227" i="1"/>
  <c r="AK231" i="1"/>
  <c r="AK235" i="1"/>
  <c r="AK239" i="1"/>
  <c r="AK243" i="1"/>
  <c r="AK247" i="1"/>
  <c r="AK251" i="1"/>
  <c r="AK255" i="1"/>
  <c r="AK259" i="1"/>
  <c r="AK263" i="1"/>
  <c r="AK267" i="1"/>
  <c r="AK271" i="1"/>
  <c r="AK275" i="1"/>
  <c r="AK279" i="1"/>
  <c r="AK283" i="1"/>
  <c r="AK287" i="1"/>
  <c r="AK291" i="1"/>
  <c r="AK295" i="1"/>
  <c r="AK299" i="1"/>
  <c r="AK303" i="1"/>
  <c r="AK307" i="1"/>
  <c r="AK311" i="1"/>
  <c r="AK315" i="1"/>
  <c r="AK319" i="1"/>
  <c r="AK323" i="1"/>
  <c r="AK327" i="1"/>
  <c r="AK331" i="1"/>
  <c r="AK335" i="1"/>
  <c r="AK339" i="1"/>
  <c r="AK343" i="1"/>
  <c r="AK347" i="1"/>
  <c r="AK351" i="1"/>
  <c r="AK355" i="1"/>
  <c r="AK359" i="1"/>
  <c r="AK363" i="1"/>
  <c r="AK367" i="1"/>
  <c r="AK371" i="1"/>
  <c r="AK375" i="1"/>
  <c r="AK379" i="1"/>
  <c r="AK383" i="1"/>
  <c r="AK387" i="1"/>
  <c r="AK391" i="1"/>
  <c r="AK395" i="1"/>
  <c r="AK399" i="1"/>
  <c r="AK403" i="1"/>
  <c r="AK407" i="1"/>
  <c r="AK411" i="1"/>
  <c r="AK415" i="1"/>
  <c r="AK419" i="1"/>
  <c r="AK423" i="1"/>
  <c r="AK427" i="1"/>
  <c r="AK431" i="1"/>
  <c r="AK435" i="1"/>
  <c r="AK439" i="1"/>
  <c r="AK443" i="1"/>
  <c r="AK447" i="1"/>
  <c r="AK451" i="1"/>
  <c r="AK455" i="1"/>
  <c r="AK459" i="1"/>
  <c r="AK463" i="1"/>
  <c r="AK467" i="1"/>
  <c r="AK471" i="1"/>
  <c r="AK475" i="1"/>
  <c r="AK479" i="1"/>
  <c r="AK483" i="1"/>
  <c r="AK487" i="1"/>
  <c r="AK491" i="1"/>
  <c r="AK495" i="1"/>
  <c r="AK499" i="1"/>
  <c r="AK503" i="1"/>
  <c r="AK507" i="1"/>
  <c r="AK511" i="1"/>
  <c r="AK515" i="1"/>
  <c r="AK519" i="1"/>
  <c r="AK523" i="1"/>
  <c r="AK527" i="1"/>
  <c r="AK531" i="1"/>
  <c r="AK535" i="1"/>
  <c r="AK539" i="1"/>
  <c r="AK543" i="1"/>
  <c r="AK547" i="1"/>
  <c r="AK551" i="1"/>
  <c r="AK555" i="1"/>
  <c r="AK559" i="1"/>
  <c r="AK563" i="1"/>
  <c r="AK567" i="1"/>
  <c r="AK571" i="1"/>
  <c r="AK575" i="1"/>
  <c r="AK579" i="1"/>
  <c r="AK583" i="1"/>
  <c r="AK587" i="1"/>
  <c r="AK591" i="1"/>
  <c r="AK595" i="1"/>
  <c r="AK599" i="1"/>
  <c r="AK603" i="1"/>
  <c r="AK607" i="1"/>
  <c r="AK611" i="1"/>
  <c r="AK615" i="1"/>
  <c r="AK619" i="1"/>
  <c r="AK623" i="1"/>
  <c r="AK627" i="1"/>
  <c r="AK631" i="1"/>
  <c r="AK635" i="1"/>
  <c r="AK639" i="1"/>
  <c r="AK643" i="1"/>
  <c r="AK647" i="1"/>
  <c r="AK651" i="1"/>
  <c r="AK655" i="1"/>
  <c r="AK659" i="1"/>
  <c r="AK663" i="1"/>
  <c r="AK667" i="1"/>
  <c r="AK671" i="1"/>
  <c r="AK675" i="1"/>
  <c r="AK679" i="1"/>
  <c r="AK683" i="1"/>
  <c r="AK687" i="1"/>
  <c r="AK691" i="1"/>
  <c r="AK695" i="1"/>
  <c r="AK21" i="1"/>
  <c r="AK25" i="1"/>
  <c r="AK29" i="1"/>
  <c r="AK33" i="1"/>
  <c r="AK37" i="1"/>
  <c r="AK41" i="1"/>
  <c r="AK45" i="1"/>
  <c r="AK49" i="1"/>
  <c r="AK53" i="1"/>
  <c r="AK57" i="1"/>
  <c r="AK61" i="1"/>
  <c r="AK65" i="1"/>
  <c r="AK69" i="1"/>
  <c r="AK73" i="1"/>
  <c r="AK77" i="1"/>
  <c r="AK81" i="1"/>
  <c r="AK85" i="1"/>
  <c r="AK89" i="1"/>
  <c r="AK93" i="1"/>
  <c r="AK101" i="1"/>
  <c r="AK105" i="1"/>
  <c r="AK699" i="1"/>
  <c r="AK703" i="1"/>
  <c r="AK707" i="1"/>
  <c r="AK711" i="1"/>
  <c r="AK715" i="1"/>
  <c r="AK719" i="1"/>
  <c r="AK723" i="1"/>
  <c r="AK727" i="1"/>
  <c r="AK731" i="1"/>
  <c r="AK735" i="1"/>
  <c r="AK739" i="1"/>
  <c r="AK743" i="1"/>
  <c r="AK747" i="1"/>
  <c r="AK751" i="1"/>
  <c r="AK755" i="1"/>
  <c r="AK759" i="1"/>
  <c r="AK763" i="1"/>
  <c r="AK767" i="1"/>
  <c r="AK771" i="1"/>
  <c r="AK775" i="1"/>
  <c r="AK779" i="1"/>
  <c r="AK783" i="1"/>
  <c r="AK787" i="1"/>
  <c r="AK791" i="1"/>
  <c r="AK795" i="1"/>
  <c r="AK799" i="1"/>
  <c r="AK803" i="1"/>
  <c r="AK807" i="1"/>
  <c r="AK811" i="1"/>
  <c r="AK815" i="1"/>
  <c r="AK819" i="1"/>
  <c r="AK823" i="1"/>
  <c r="AK827" i="1"/>
  <c r="AK831" i="1"/>
  <c r="AK835" i="1"/>
  <c r="AK839" i="1"/>
  <c r="AK843" i="1"/>
  <c r="AK847" i="1"/>
  <c r="AK851" i="1"/>
  <c r="AK855" i="1"/>
  <c r="AK859" i="1"/>
  <c r="AK863" i="1"/>
  <c r="AK867" i="1"/>
  <c r="AK871" i="1"/>
  <c r="AK875" i="1"/>
  <c r="AK879" i="1"/>
  <c r="AK883" i="1"/>
  <c r="AK887" i="1"/>
  <c r="AK891" i="1"/>
  <c r="AK895" i="1"/>
  <c r="AK899" i="1"/>
  <c r="AK903" i="1"/>
  <c r="AK907" i="1"/>
  <c r="AK911" i="1"/>
  <c r="AK915" i="1"/>
  <c r="AK919" i="1"/>
  <c r="AK923" i="1"/>
  <c r="AK927" i="1"/>
  <c r="AK931" i="1"/>
  <c r="AK935" i="1"/>
  <c r="AK939" i="1"/>
  <c r="AK943" i="1"/>
  <c r="AK947" i="1"/>
  <c r="AK951" i="1"/>
  <c r="AK955" i="1"/>
  <c r="AK959" i="1"/>
  <c r="AK963" i="1"/>
  <c r="AK967" i="1"/>
  <c r="AK971" i="1"/>
  <c r="AK975" i="1"/>
  <c r="AK979" i="1"/>
  <c r="AK983" i="1"/>
  <c r="AK987" i="1"/>
  <c r="AK991" i="1"/>
  <c r="AK995" i="1"/>
  <c r="AK999" i="1"/>
  <c r="AK1003" i="1"/>
  <c r="AK1007" i="1"/>
  <c r="AK1011" i="1"/>
  <c r="AK1015" i="1"/>
  <c r="AK1019" i="1"/>
  <c r="AK1023" i="1"/>
  <c r="AK1027" i="1"/>
  <c r="AK1031" i="1"/>
  <c r="AK1035" i="1"/>
  <c r="AK1039" i="1"/>
  <c r="AK1043" i="1"/>
  <c r="AK1047" i="1"/>
  <c r="AK1051" i="1"/>
  <c r="AK1055" i="1"/>
  <c r="AK1059" i="1"/>
  <c r="AK1063" i="1"/>
  <c r="AK1067" i="1"/>
  <c r="AK1071" i="1"/>
  <c r="AK1075" i="1"/>
  <c r="AK1079" i="1"/>
  <c r="AK1083" i="1"/>
  <c r="AK1087" i="1"/>
  <c r="AK1091" i="1"/>
  <c r="AK1095" i="1"/>
  <c r="AK1099" i="1"/>
  <c r="AK1103" i="1"/>
  <c r="AK1107" i="1"/>
  <c r="AK1111" i="1"/>
  <c r="AK1115" i="1"/>
  <c r="AK1119" i="1"/>
  <c r="AK1123" i="1"/>
  <c r="AK1127" i="1"/>
  <c r="AK1131" i="1"/>
  <c r="AK1135" i="1"/>
  <c r="AK1139" i="1"/>
  <c r="AK1143" i="1"/>
  <c r="AK1147" i="1"/>
  <c r="AK1151" i="1"/>
  <c r="AK1155" i="1"/>
  <c r="AK1159" i="1"/>
  <c r="AK1163" i="1"/>
  <c r="AK1167" i="1"/>
  <c r="AK1171" i="1"/>
  <c r="AK1175" i="1"/>
  <c r="AK1179" i="1"/>
  <c r="AK1183" i="1"/>
  <c r="AK1187" i="1"/>
  <c r="AK1191" i="1"/>
  <c r="AK1195" i="1"/>
  <c r="AK1199" i="1"/>
  <c r="AK1203" i="1"/>
  <c r="AK1207" i="1"/>
  <c r="AK1211" i="1"/>
  <c r="AK1215" i="1"/>
  <c r="AK1219" i="1"/>
  <c r="AK1223" i="1"/>
  <c r="AK1227" i="1"/>
  <c r="AK1231" i="1"/>
  <c r="AK1235" i="1"/>
  <c r="AK1239" i="1"/>
  <c r="AK1243" i="1"/>
  <c r="AK1247" i="1"/>
  <c r="AK1251" i="1"/>
  <c r="AK1255" i="1"/>
  <c r="AK1259" i="1"/>
  <c r="AK1263" i="1"/>
  <c r="AK1267" i="1"/>
  <c r="AK1271" i="1"/>
  <c r="AK1275" i="1"/>
  <c r="AK1279" i="1"/>
  <c r="AK1283" i="1"/>
  <c r="AK1287" i="1"/>
  <c r="AK1291" i="1"/>
  <c r="AK1295" i="1"/>
  <c r="AK1299" i="1"/>
  <c r="AK1303" i="1"/>
  <c r="AK1307" i="1"/>
  <c r="AK1311" i="1"/>
  <c r="AK1315" i="1"/>
  <c r="AK1319" i="1"/>
  <c r="AK1323" i="1"/>
  <c r="AK1327" i="1"/>
  <c r="AK1331" i="1"/>
  <c r="AK1335" i="1"/>
  <c r="AK1339" i="1"/>
  <c r="AK1343" i="1"/>
  <c r="AK1347" i="1"/>
  <c r="AK1351" i="1"/>
  <c r="AK1355" i="1"/>
  <c r="AK1359" i="1"/>
  <c r="AK1363" i="1"/>
  <c r="AK1367" i="1"/>
  <c r="AK1371" i="1"/>
  <c r="AK1375" i="1"/>
  <c r="X1373" i="1"/>
  <c r="AK97" i="1"/>
  <c r="AK109" i="1"/>
  <c r="AK113" i="1"/>
  <c r="AK117" i="1"/>
  <c r="AK121" i="1"/>
  <c r="AK125" i="1"/>
  <c r="AK129" i="1"/>
  <c r="AK133" i="1"/>
  <c r="AK137" i="1"/>
  <c r="AK141" i="1"/>
  <c r="AK145" i="1"/>
  <c r="AK149" i="1"/>
  <c r="AK153" i="1"/>
  <c r="AK157" i="1"/>
  <c r="AK161" i="1"/>
  <c r="AK165" i="1"/>
  <c r="AK169" i="1"/>
  <c r="AK173" i="1"/>
  <c r="AK177" i="1"/>
  <c r="AK181" i="1"/>
  <c r="AK185" i="1"/>
  <c r="AK189" i="1"/>
  <c r="AK193" i="1"/>
  <c r="AK197" i="1"/>
  <c r="AK201" i="1"/>
  <c r="AK205" i="1"/>
  <c r="AK209" i="1"/>
  <c r="AK213" i="1"/>
  <c r="AK217" i="1"/>
  <c r="AK221" i="1"/>
  <c r="AK225" i="1"/>
  <c r="AK229" i="1"/>
  <c r="AK233" i="1"/>
  <c r="AK237" i="1"/>
  <c r="AK241" i="1"/>
  <c r="AK245" i="1"/>
  <c r="AK249" i="1"/>
  <c r="AK253" i="1"/>
  <c r="AK257" i="1"/>
  <c r="AK261" i="1"/>
  <c r="AK265" i="1"/>
  <c r="AK269" i="1"/>
  <c r="AK273" i="1"/>
  <c r="AK277" i="1"/>
  <c r="AK281" i="1"/>
  <c r="AK285" i="1"/>
  <c r="AK289" i="1"/>
  <c r="AK293" i="1"/>
  <c r="AK297" i="1"/>
  <c r="AK301" i="1"/>
  <c r="AK305" i="1"/>
  <c r="AK309" i="1"/>
  <c r="AK313" i="1"/>
  <c r="AK317" i="1"/>
  <c r="AK321" i="1"/>
  <c r="AK325" i="1"/>
  <c r="AK329" i="1"/>
  <c r="AK333" i="1"/>
  <c r="AK337" i="1"/>
  <c r="AK341" i="1"/>
  <c r="AK345" i="1"/>
  <c r="AK349" i="1"/>
  <c r="AK353" i="1"/>
  <c r="AK357" i="1"/>
  <c r="AK361" i="1"/>
  <c r="AK365" i="1"/>
  <c r="AK369" i="1"/>
  <c r="AK373" i="1"/>
  <c r="AK377" i="1"/>
  <c r="AK381" i="1"/>
  <c r="AK385" i="1"/>
  <c r="AK389" i="1"/>
  <c r="AK393" i="1"/>
  <c r="AK397" i="1"/>
  <c r="AK401" i="1"/>
  <c r="AK405" i="1"/>
  <c r="AK409" i="1"/>
  <c r="AK413" i="1"/>
  <c r="AK417" i="1"/>
  <c r="AK421" i="1"/>
  <c r="AK425" i="1"/>
  <c r="AK429" i="1"/>
  <c r="AK433" i="1"/>
  <c r="AK437" i="1"/>
  <c r="AK441" i="1"/>
  <c r="AK445" i="1"/>
  <c r="AK449" i="1"/>
  <c r="AK453" i="1"/>
  <c r="AK457" i="1"/>
  <c r="AK461" i="1"/>
  <c r="AK465" i="1"/>
  <c r="AK469" i="1"/>
  <c r="AK473" i="1"/>
  <c r="AK477" i="1"/>
  <c r="AK481" i="1"/>
  <c r="AK485" i="1"/>
  <c r="AK489" i="1"/>
  <c r="AK493" i="1"/>
  <c r="AK497" i="1"/>
  <c r="AK501" i="1"/>
  <c r="AK505" i="1"/>
  <c r="AK509" i="1"/>
  <c r="AK513" i="1"/>
  <c r="AK517" i="1"/>
  <c r="AK521" i="1"/>
  <c r="AK525" i="1"/>
  <c r="AK529" i="1"/>
  <c r="AK533" i="1"/>
  <c r="AK537" i="1"/>
  <c r="AK541" i="1"/>
  <c r="AK545" i="1"/>
  <c r="AK549" i="1"/>
  <c r="AK553" i="1"/>
  <c r="AK557" i="1"/>
  <c r="AK561" i="1"/>
  <c r="AK565" i="1"/>
  <c r="AK569" i="1"/>
  <c r="AK573" i="1"/>
  <c r="AK577" i="1"/>
  <c r="AK581" i="1"/>
  <c r="AK585" i="1"/>
  <c r="AK589" i="1"/>
  <c r="AK593" i="1"/>
  <c r="AK597" i="1"/>
  <c r="AK601" i="1"/>
  <c r="AK605" i="1"/>
  <c r="AK609" i="1"/>
  <c r="AK613" i="1"/>
  <c r="AK617" i="1"/>
  <c r="AK621" i="1"/>
  <c r="AK625" i="1"/>
  <c r="AK629" i="1"/>
  <c r="AK633" i="1"/>
  <c r="AK637" i="1"/>
  <c r="AK641" i="1"/>
  <c r="AK645" i="1"/>
  <c r="AK649" i="1"/>
  <c r="AK653" i="1"/>
  <c r="AK657" i="1"/>
  <c r="AK661" i="1"/>
  <c r="AK665" i="1"/>
  <c r="AK669" i="1"/>
  <c r="AK673" i="1"/>
  <c r="AK677" i="1"/>
  <c r="AK681" i="1"/>
  <c r="AK685" i="1"/>
  <c r="AK689" i="1"/>
  <c r="AK693" i="1"/>
  <c r="AK697" i="1"/>
  <c r="AK701" i="1"/>
  <c r="AK705" i="1"/>
  <c r="AK709" i="1"/>
  <c r="AK713" i="1"/>
  <c r="AK717" i="1"/>
  <c r="AK721" i="1"/>
  <c r="AK725" i="1"/>
  <c r="AK729" i="1"/>
  <c r="AK733" i="1"/>
  <c r="AK737" i="1"/>
  <c r="AK741" i="1"/>
  <c r="AK745" i="1"/>
  <c r="AK749" i="1"/>
  <c r="AK753" i="1"/>
  <c r="AK757" i="1"/>
  <c r="AK761" i="1"/>
  <c r="AK765" i="1"/>
  <c r="AK769" i="1"/>
  <c r="AK773" i="1"/>
  <c r="AK777" i="1"/>
  <c r="AK781" i="1"/>
  <c r="AK785" i="1"/>
  <c r="AK789" i="1"/>
  <c r="AK793" i="1"/>
  <c r="AK797" i="1"/>
  <c r="AK801" i="1"/>
  <c r="AK805" i="1"/>
  <c r="AK809" i="1"/>
  <c r="AK813" i="1"/>
  <c r="AK817" i="1"/>
  <c r="AK821" i="1"/>
  <c r="AK825" i="1"/>
  <c r="AK829" i="1"/>
  <c r="AK833" i="1"/>
  <c r="AK837" i="1"/>
  <c r="AK841" i="1"/>
  <c r="AK845" i="1"/>
  <c r="AK849" i="1"/>
  <c r="AK853" i="1"/>
  <c r="AK857" i="1"/>
  <c r="AK861" i="1"/>
  <c r="AK865" i="1"/>
  <c r="AK869" i="1"/>
  <c r="AK873" i="1"/>
  <c r="AK877" i="1"/>
  <c r="AK881" i="1"/>
  <c r="AK885" i="1"/>
  <c r="AK889" i="1"/>
  <c r="AK893" i="1"/>
  <c r="AK897" i="1"/>
  <c r="AK901" i="1"/>
  <c r="AK905" i="1"/>
  <c r="AK909" i="1"/>
  <c r="AK913" i="1"/>
  <c r="AK917" i="1"/>
  <c r="AK921" i="1"/>
  <c r="AK925" i="1"/>
  <c r="AK929" i="1"/>
  <c r="AK933" i="1"/>
  <c r="AK937" i="1"/>
  <c r="AK941" i="1"/>
  <c r="AK945" i="1"/>
  <c r="AK949" i="1"/>
  <c r="AK953" i="1"/>
  <c r="AK957" i="1"/>
  <c r="AK961" i="1"/>
  <c r="AK965" i="1"/>
  <c r="AK969" i="1"/>
  <c r="AK973" i="1"/>
  <c r="AK977" i="1"/>
  <c r="AK981" i="1"/>
  <c r="AK985" i="1"/>
  <c r="AK989" i="1"/>
  <c r="AK993" i="1"/>
  <c r="AK997" i="1"/>
  <c r="AK1001" i="1"/>
  <c r="AK1005" i="1"/>
  <c r="AK1009" i="1"/>
  <c r="AK1013" i="1"/>
  <c r="AK1017" i="1"/>
  <c r="AK1021" i="1"/>
  <c r="AK1025" i="1"/>
  <c r="AK1029" i="1"/>
  <c r="AK1033" i="1"/>
  <c r="AK1037" i="1"/>
  <c r="AK1041" i="1"/>
  <c r="AK1045" i="1"/>
  <c r="AK1049" i="1"/>
  <c r="AK1053" i="1"/>
  <c r="AK1057" i="1"/>
  <c r="AK1061" i="1"/>
  <c r="AK1065" i="1"/>
  <c r="AK1069" i="1"/>
  <c r="AK1073" i="1"/>
  <c r="AK1077" i="1"/>
  <c r="AK1081" i="1"/>
  <c r="AK1085" i="1"/>
  <c r="AK1089" i="1"/>
  <c r="AK1093" i="1"/>
  <c r="AK1097" i="1"/>
  <c r="AK1101" i="1"/>
  <c r="AK1105" i="1"/>
  <c r="AK1109" i="1"/>
  <c r="AK1113" i="1"/>
  <c r="AK1117" i="1"/>
  <c r="AK1121" i="1"/>
  <c r="AK1125" i="1"/>
  <c r="AK1040" i="1"/>
  <c r="AK1044" i="1"/>
  <c r="AK1048" i="1"/>
  <c r="AK1052" i="1"/>
  <c r="AK1056" i="1"/>
  <c r="AK1060" i="1"/>
  <c r="AK1064" i="1"/>
  <c r="AK1068" i="1"/>
  <c r="AK1072" i="1"/>
  <c r="AK1076" i="1"/>
  <c r="AK1080" i="1"/>
  <c r="AK1084" i="1"/>
  <c r="AK1088" i="1"/>
  <c r="AK1092" i="1"/>
  <c r="AK1096" i="1"/>
  <c r="AK1100" i="1"/>
  <c r="AK1104" i="1"/>
  <c r="AK1108" i="1"/>
  <c r="AK1112" i="1"/>
  <c r="AK1116" i="1"/>
  <c r="AK1120" i="1"/>
  <c r="AK1124" i="1"/>
  <c r="AK1128" i="1"/>
  <c r="AK1132" i="1"/>
  <c r="AK1136" i="1"/>
  <c r="AK1140" i="1"/>
  <c r="AK1144" i="1"/>
  <c r="AK1148" i="1"/>
  <c r="AK1152" i="1"/>
  <c r="AK1156" i="1"/>
  <c r="AK1160" i="1"/>
  <c r="AK1164" i="1"/>
  <c r="AK1168" i="1"/>
  <c r="AK1172" i="1"/>
  <c r="AK1176" i="1"/>
  <c r="AK1180" i="1"/>
  <c r="AK1184" i="1"/>
  <c r="AK1188" i="1"/>
  <c r="AK1192" i="1"/>
  <c r="AK1196" i="1"/>
  <c r="AK1200" i="1"/>
  <c r="AK1204" i="1"/>
  <c r="AK1208" i="1"/>
  <c r="AK1212" i="1"/>
  <c r="AK1216" i="1"/>
  <c r="AK1220" i="1"/>
  <c r="AK1224" i="1"/>
  <c r="AK1228" i="1"/>
  <c r="AK1232" i="1"/>
  <c r="AK1236" i="1"/>
  <c r="AK1240" i="1"/>
  <c r="AK1244" i="1"/>
  <c r="AK1248" i="1"/>
  <c r="AK1252" i="1"/>
  <c r="AK1256" i="1"/>
  <c r="AK1260" i="1"/>
  <c r="AK1264" i="1"/>
  <c r="AK1268" i="1"/>
  <c r="AK1272" i="1"/>
  <c r="AK1276" i="1"/>
  <c r="AK1280" i="1"/>
  <c r="AK1284" i="1"/>
  <c r="AK1288" i="1"/>
  <c r="AK1292" i="1"/>
  <c r="AK1296" i="1"/>
  <c r="AK1300" i="1"/>
  <c r="AK1304" i="1"/>
  <c r="AK1308" i="1"/>
  <c r="AK1312" i="1"/>
  <c r="AK1316" i="1"/>
  <c r="AK1320" i="1"/>
  <c r="AK1324" i="1"/>
  <c r="AK1328" i="1"/>
  <c r="AK1332" i="1"/>
  <c r="AK1336" i="1"/>
  <c r="AK1340" i="1"/>
  <c r="AK1344" i="1"/>
  <c r="AK1348" i="1"/>
  <c r="AK1352" i="1"/>
  <c r="AK1356" i="1"/>
  <c r="AK1360" i="1"/>
  <c r="AK1364" i="1"/>
  <c r="AK1368" i="1"/>
  <c r="AK1372" i="1"/>
  <c r="AK1376" i="1"/>
  <c r="AK1129" i="1"/>
  <c r="AK1133" i="1"/>
  <c r="AK1137" i="1"/>
  <c r="AK1141" i="1"/>
  <c r="AK1145" i="1"/>
  <c r="AK1149" i="1"/>
  <c r="AK1153" i="1"/>
  <c r="AK1157" i="1"/>
  <c r="AK1161" i="1"/>
  <c r="AK1165" i="1"/>
  <c r="AK1169" i="1"/>
  <c r="AK1173" i="1"/>
  <c r="AK1177" i="1"/>
  <c r="AK1181" i="1"/>
  <c r="AK1185" i="1"/>
  <c r="AK1189" i="1"/>
  <c r="AK1193" i="1"/>
  <c r="AK1197" i="1"/>
  <c r="AK1201" i="1"/>
  <c r="AK1205" i="1"/>
  <c r="AK1209" i="1"/>
  <c r="AK1213" i="1"/>
  <c r="AK1217" i="1"/>
  <c r="AK1221" i="1"/>
  <c r="AK1225" i="1"/>
  <c r="AK1229" i="1"/>
  <c r="AK1233" i="1"/>
  <c r="AK1237" i="1"/>
  <c r="AK1241" i="1"/>
  <c r="AK1245" i="1"/>
  <c r="AK1249" i="1"/>
  <c r="AK1253" i="1"/>
  <c r="AK1257" i="1"/>
  <c r="AK1261" i="1"/>
  <c r="AK1265" i="1"/>
  <c r="AK1269" i="1"/>
  <c r="AK1273" i="1"/>
  <c r="AK1277" i="1"/>
  <c r="AK1281" i="1"/>
  <c r="AK1285" i="1"/>
  <c r="AK1289" i="1"/>
  <c r="AK1293" i="1"/>
  <c r="AK1297" i="1"/>
  <c r="AK1301" i="1"/>
  <c r="AK1305" i="1"/>
  <c r="AK1309" i="1"/>
  <c r="AK1313" i="1"/>
  <c r="AK1317" i="1"/>
  <c r="AK1321" i="1"/>
  <c r="AK1325" i="1"/>
  <c r="AK1329" i="1"/>
  <c r="AK1333" i="1"/>
  <c r="AK1337" i="1"/>
  <c r="AK1341" i="1"/>
  <c r="AK1345" i="1"/>
  <c r="AK1349" i="1"/>
  <c r="AK1353" i="1"/>
  <c r="AK1357" i="1"/>
  <c r="AK1361" i="1"/>
  <c r="AK20" i="1"/>
  <c r="AK24" i="1"/>
  <c r="AK28" i="1"/>
  <c r="AK32" i="1"/>
  <c r="AK36" i="1"/>
  <c r="AK40" i="1"/>
  <c r="AK44" i="1"/>
  <c r="AK48" i="1"/>
  <c r="AK52" i="1"/>
  <c r="AK56" i="1"/>
  <c r="AK60" i="1"/>
  <c r="AK64" i="1"/>
  <c r="AK68" i="1"/>
  <c r="AK72" i="1"/>
  <c r="AK76" i="1"/>
  <c r="AK80" i="1"/>
  <c r="AK84" i="1"/>
  <c r="AK88" i="1"/>
  <c r="AK92" i="1"/>
  <c r="AK96" i="1"/>
  <c r="AK100" i="1"/>
  <c r="AK104" i="1"/>
  <c r="AK108" i="1"/>
  <c r="AK112" i="1"/>
  <c r="AK116" i="1"/>
  <c r="AK120" i="1"/>
  <c r="AK124" i="1"/>
  <c r="AK128" i="1"/>
  <c r="AK132" i="1"/>
  <c r="AK136" i="1"/>
  <c r="AK140" i="1"/>
  <c r="AK144" i="1"/>
  <c r="AK148" i="1"/>
  <c r="AK152" i="1"/>
  <c r="AK156" i="1"/>
  <c r="AK160" i="1"/>
  <c r="AK164" i="1"/>
  <c r="AK168" i="1"/>
  <c r="AK172" i="1"/>
  <c r="AK176" i="1"/>
  <c r="AK180" i="1"/>
  <c r="AK184" i="1"/>
  <c r="AK188" i="1"/>
  <c r="AK192" i="1"/>
  <c r="AK196" i="1"/>
  <c r="AK200" i="1"/>
  <c r="AK204" i="1"/>
  <c r="AK208" i="1"/>
  <c r="AK212" i="1"/>
  <c r="AK216" i="1"/>
  <c r="AK220" i="1"/>
  <c r="AK224" i="1"/>
  <c r="AK228" i="1"/>
  <c r="AK232" i="1"/>
  <c r="AK236" i="1"/>
  <c r="AK240" i="1"/>
  <c r="AK244" i="1"/>
  <c r="AK248" i="1"/>
  <c r="AK252" i="1"/>
  <c r="AK256" i="1"/>
  <c r="AK260" i="1"/>
  <c r="AK264" i="1"/>
  <c r="AK268" i="1"/>
  <c r="AK272" i="1"/>
  <c r="AK276" i="1"/>
  <c r="AK280" i="1"/>
  <c r="AK284" i="1"/>
  <c r="AK288" i="1"/>
  <c r="AK292" i="1"/>
  <c r="AK296" i="1"/>
  <c r="AK300" i="1"/>
  <c r="AK304" i="1"/>
  <c r="AK308" i="1"/>
  <c r="AK312" i="1"/>
  <c r="AK316" i="1"/>
  <c r="AK320" i="1"/>
  <c r="AK324" i="1"/>
  <c r="AK328" i="1"/>
  <c r="AK332" i="1"/>
  <c r="AK336" i="1"/>
  <c r="AK340" i="1"/>
  <c r="AK344" i="1"/>
  <c r="AK348" i="1"/>
  <c r="AK352" i="1"/>
  <c r="AK356" i="1"/>
  <c r="AK360" i="1"/>
  <c r="AK364" i="1"/>
  <c r="AK368" i="1"/>
  <c r="AK372" i="1"/>
  <c r="AK376" i="1"/>
  <c r="AK380" i="1"/>
  <c r="AK384" i="1"/>
  <c r="AK388" i="1"/>
  <c r="AK392" i="1"/>
  <c r="AK396" i="1"/>
  <c r="AK400" i="1"/>
  <c r="AK404" i="1"/>
  <c r="AK408" i="1"/>
  <c r="AK412" i="1"/>
  <c r="AK416" i="1"/>
  <c r="AK420" i="1"/>
  <c r="AK424" i="1"/>
  <c r="AK428" i="1"/>
  <c r="AK432" i="1"/>
  <c r="AK436" i="1"/>
  <c r="AK440" i="1"/>
  <c r="AK444" i="1"/>
  <c r="AK448" i="1"/>
  <c r="AK452" i="1"/>
  <c r="AK456" i="1"/>
  <c r="AK460" i="1"/>
  <c r="AK464" i="1"/>
  <c r="AK468" i="1"/>
  <c r="AK472" i="1"/>
  <c r="AK476" i="1"/>
  <c r="AK480" i="1"/>
  <c r="AK484" i="1"/>
  <c r="AK488" i="1"/>
  <c r="AK492" i="1"/>
  <c r="AK496" i="1"/>
  <c r="AK500" i="1"/>
  <c r="AK504" i="1"/>
  <c r="AK508" i="1"/>
  <c r="AK512" i="1"/>
  <c r="AK516" i="1"/>
  <c r="AK520" i="1"/>
  <c r="AK524" i="1"/>
  <c r="AK528" i="1"/>
  <c r="AK532" i="1"/>
  <c r="AK536" i="1"/>
  <c r="AK540" i="1"/>
  <c r="AK544" i="1"/>
  <c r="AK548" i="1"/>
  <c r="AK552" i="1"/>
  <c r="AK556" i="1"/>
  <c r="AK560" i="1"/>
  <c r="AK564" i="1"/>
  <c r="AK568" i="1"/>
  <c r="AK572" i="1"/>
  <c r="AK576" i="1"/>
  <c r="AK580" i="1"/>
  <c r="AK584" i="1"/>
  <c r="AK588" i="1"/>
  <c r="AK592" i="1"/>
  <c r="AK596" i="1"/>
  <c r="AK600" i="1"/>
  <c r="AK604" i="1"/>
  <c r="AK608" i="1"/>
  <c r="AK612" i="1"/>
  <c r="AK616" i="1"/>
  <c r="AK620" i="1"/>
  <c r="AK624" i="1"/>
  <c r="AK628" i="1"/>
  <c r="AK632" i="1"/>
  <c r="AK636" i="1"/>
  <c r="AK640" i="1"/>
  <c r="AK644" i="1"/>
  <c r="AK648" i="1"/>
  <c r="AK652" i="1"/>
  <c r="AK656" i="1"/>
  <c r="AK660" i="1"/>
  <c r="AK664" i="1"/>
  <c r="AK668" i="1"/>
  <c r="AK672" i="1"/>
  <c r="AK676" i="1"/>
  <c r="AK680" i="1"/>
  <c r="AK684" i="1"/>
  <c r="AK688" i="1"/>
  <c r="AK692" i="1"/>
  <c r="AK696" i="1"/>
  <c r="AK18" i="1"/>
  <c r="AK22" i="1"/>
  <c r="AK26" i="1"/>
  <c r="AK30" i="1"/>
  <c r="AK34" i="1"/>
  <c r="AK38" i="1"/>
  <c r="AK42" i="1"/>
  <c r="AK46" i="1"/>
  <c r="AK50" i="1"/>
  <c r="AK54" i="1"/>
  <c r="AK58" i="1"/>
  <c r="AK62" i="1"/>
  <c r="AK66" i="1"/>
  <c r="AK70" i="1"/>
  <c r="AK74" i="1"/>
  <c r="AK78" i="1"/>
  <c r="AK82" i="1"/>
  <c r="AK86" i="1"/>
  <c r="AK90" i="1"/>
  <c r="AK94" i="1"/>
  <c r="AK98" i="1"/>
  <c r="AK102" i="1"/>
  <c r="AK106" i="1"/>
  <c r="AK110" i="1"/>
  <c r="AK114" i="1"/>
  <c r="AK118" i="1"/>
  <c r="AK122" i="1"/>
  <c r="AK126" i="1"/>
  <c r="AK130" i="1"/>
  <c r="AK134" i="1"/>
  <c r="AK138" i="1"/>
  <c r="AK142" i="1"/>
  <c r="AK146" i="1"/>
  <c r="AK150" i="1"/>
  <c r="AK154" i="1"/>
  <c r="AK158" i="1"/>
  <c r="AK162" i="1"/>
  <c r="AK166" i="1"/>
  <c r="AK170" i="1"/>
  <c r="AK174" i="1"/>
  <c r="AK178" i="1"/>
  <c r="AK182" i="1"/>
  <c r="AK186" i="1"/>
  <c r="AK190" i="1"/>
  <c r="AK194" i="1"/>
  <c r="AK198" i="1"/>
  <c r="AK202" i="1"/>
  <c r="AK206" i="1"/>
  <c r="AK210" i="1"/>
  <c r="AK214" i="1"/>
  <c r="AK218" i="1"/>
  <c r="AK222" i="1"/>
  <c r="AK226" i="1"/>
  <c r="AK230" i="1"/>
  <c r="AK234" i="1"/>
  <c r="AK238" i="1"/>
  <c r="AK242" i="1"/>
  <c r="AK246" i="1"/>
  <c r="AK250" i="1"/>
  <c r="AK254" i="1"/>
  <c r="AK258" i="1"/>
  <c r="AK262" i="1"/>
  <c r="AK266" i="1"/>
  <c r="AK270" i="1"/>
  <c r="AK274" i="1"/>
  <c r="AK278" i="1"/>
  <c r="AK282" i="1"/>
  <c r="AK286" i="1"/>
  <c r="AK290" i="1"/>
  <c r="AK294" i="1"/>
  <c r="AK298" i="1"/>
  <c r="AK302" i="1"/>
  <c r="AK306" i="1"/>
  <c r="AK310" i="1"/>
  <c r="AK314" i="1"/>
  <c r="AK318" i="1"/>
  <c r="AK322" i="1"/>
  <c r="AK326" i="1"/>
  <c r="AK330" i="1"/>
  <c r="AK334" i="1"/>
  <c r="AK338" i="1"/>
  <c r="AK342" i="1"/>
  <c r="AK346" i="1"/>
  <c r="AK350" i="1"/>
  <c r="AK354" i="1"/>
  <c r="AK358" i="1"/>
  <c r="AK362" i="1"/>
  <c r="AK366" i="1"/>
  <c r="AK370" i="1"/>
  <c r="AK374" i="1"/>
  <c r="AK378" i="1"/>
  <c r="AK382" i="1"/>
  <c r="AK386" i="1"/>
  <c r="AK390" i="1"/>
  <c r="AK394" i="1"/>
  <c r="AK398" i="1"/>
  <c r="AK402" i="1"/>
  <c r="AK406" i="1"/>
  <c r="AK410" i="1"/>
  <c r="AK414" i="1"/>
  <c r="AK418" i="1"/>
  <c r="AK422" i="1"/>
  <c r="AK426" i="1"/>
  <c r="AK430" i="1"/>
  <c r="AK434" i="1"/>
  <c r="AK438" i="1"/>
  <c r="AK442" i="1"/>
  <c r="AK446" i="1"/>
  <c r="AK450" i="1"/>
  <c r="AK454" i="1"/>
  <c r="AK458" i="1"/>
  <c r="AK462" i="1"/>
  <c r="AK466" i="1"/>
  <c r="AK470" i="1"/>
  <c r="AK474" i="1"/>
  <c r="AK478" i="1"/>
  <c r="AK482" i="1"/>
  <c r="AK486" i="1"/>
  <c r="AK490" i="1"/>
  <c r="AK494" i="1"/>
  <c r="AK498" i="1"/>
  <c r="AK502" i="1"/>
  <c r="AK506" i="1"/>
  <c r="AK510" i="1"/>
  <c r="AK514" i="1"/>
  <c r="AK518" i="1"/>
  <c r="AK522" i="1"/>
  <c r="AK526" i="1"/>
  <c r="AK530" i="1"/>
  <c r="AK534" i="1"/>
  <c r="AK538" i="1"/>
  <c r="AK542" i="1"/>
  <c r="AK700" i="1"/>
  <c r="AK704" i="1"/>
  <c r="AK708" i="1"/>
  <c r="AK712" i="1"/>
  <c r="AK716" i="1"/>
  <c r="AK720" i="1"/>
  <c r="AK724" i="1"/>
  <c r="AK728" i="1"/>
  <c r="AK732" i="1"/>
  <c r="AK736" i="1"/>
  <c r="AK740" i="1"/>
  <c r="AK744" i="1"/>
  <c r="AK748" i="1"/>
  <c r="AK752" i="1"/>
  <c r="AK756" i="1"/>
  <c r="AK760" i="1"/>
  <c r="AK764" i="1"/>
  <c r="AK768" i="1"/>
  <c r="AK772" i="1"/>
  <c r="AK776" i="1"/>
  <c r="AK780" i="1"/>
  <c r="AK784" i="1"/>
  <c r="AK788" i="1"/>
  <c r="AK792" i="1"/>
  <c r="AK796" i="1"/>
  <c r="AK800" i="1"/>
  <c r="AK804" i="1"/>
  <c r="AK808" i="1"/>
  <c r="AK812" i="1"/>
  <c r="AK816" i="1"/>
  <c r="AK820" i="1"/>
  <c r="AK824" i="1"/>
  <c r="AK828" i="1"/>
  <c r="AK832" i="1"/>
  <c r="AK836" i="1"/>
  <c r="AK840" i="1"/>
  <c r="AK844" i="1"/>
  <c r="AK848" i="1"/>
  <c r="AK852" i="1"/>
  <c r="AK856" i="1"/>
  <c r="AK860" i="1"/>
  <c r="AK864" i="1"/>
  <c r="AK868" i="1"/>
  <c r="AK872" i="1"/>
  <c r="AK876" i="1"/>
  <c r="AK880" i="1"/>
  <c r="AK884" i="1"/>
  <c r="AK888" i="1"/>
  <c r="AK892" i="1"/>
  <c r="AK896" i="1"/>
  <c r="AK900" i="1"/>
  <c r="AK904" i="1"/>
  <c r="AK908" i="1"/>
  <c r="AK912" i="1"/>
  <c r="AK916" i="1"/>
  <c r="AK920" i="1"/>
  <c r="AK924" i="1"/>
  <c r="AK928" i="1"/>
  <c r="AK932" i="1"/>
  <c r="AK936" i="1"/>
  <c r="AK940" i="1"/>
  <c r="AK944" i="1"/>
  <c r="AK948" i="1"/>
  <c r="AK952" i="1"/>
  <c r="AK956" i="1"/>
  <c r="AK960" i="1"/>
  <c r="AK964" i="1"/>
  <c r="AK968" i="1"/>
  <c r="AK972" i="1"/>
  <c r="AK976" i="1"/>
  <c r="AK980" i="1"/>
  <c r="AK984" i="1"/>
  <c r="AK988" i="1"/>
  <c r="AK992" i="1"/>
  <c r="AK996" i="1"/>
  <c r="AK1000" i="1"/>
  <c r="AK1004" i="1"/>
  <c r="AK1008" i="1"/>
  <c r="AK1012" i="1"/>
  <c r="AK1016" i="1"/>
  <c r="AK1020" i="1"/>
  <c r="AK1024" i="1"/>
  <c r="AK1028" i="1"/>
  <c r="AK1032" i="1"/>
  <c r="AK1036" i="1"/>
  <c r="AK546" i="1"/>
  <c r="AK550" i="1"/>
  <c r="AK554" i="1"/>
  <c r="AK558" i="1"/>
  <c r="AK562" i="1"/>
  <c r="AK566" i="1"/>
  <c r="AK570" i="1"/>
  <c r="AK574" i="1"/>
  <c r="AK578" i="1"/>
  <c r="AK582" i="1"/>
  <c r="AK586" i="1"/>
  <c r="AK590" i="1"/>
  <c r="AK594" i="1"/>
  <c r="AK598" i="1"/>
  <c r="AK602" i="1"/>
  <c r="AK606" i="1"/>
  <c r="AK610" i="1"/>
  <c r="AK614" i="1"/>
  <c r="AK618" i="1"/>
  <c r="AK622" i="1"/>
  <c r="AK626" i="1"/>
  <c r="AK630" i="1"/>
  <c r="AK634" i="1"/>
  <c r="AK638" i="1"/>
  <c r="AK642" i="1"/>
  <c r="AK646" i="1"/>
  <c r="AK650" i="1"/>
  <c r="AK654" i="1"/>
  <c r="AK658" i="1"/>
  <c r="AK662" i="1"/>
  <c r="AK666" i="1"/>
  <c r="AK670" i="1"/>
  <c r="AK674" i="1"/>
  <c r="AK678" i="1"/>
  <c r="AK682" i="1"/>
  <c r="AK686" i="1"/>
  <c r="AK690" i="1"/>
  <c r="AK694" i="1"/>
  <c r="AK698" i="1"/>
  <c r="AK702" i="1"/>
  <c r="AK706" i="1"/>
  <c r="AK710" i="1"/>
  <c r="AK714" i="1"/>
  <c r="AK718" i="1"/>
  <c r="AK722" i="1"/>
  <c r="AK726" i="1"/>
  <c r="AK730" i="1"/>
  <c r="AK734" i="1"/>
  <c r="AK738" i="1"/>
  <c r="AK742" i="1"/>
  <c r="AK746" i="1"/>
  <c r="AK750" i="1"/>
  <c r="AK754" i="1"/>
  <c r="AK758" i="1"/>
  <c r="AK762" i="1"/>
  <c r="AK766" i="1"/>
  <c r="AK770" i="1"/>
  <c r="AK774" i="1"/>
  <c r="AK778" i="1"/>
  <c r="AK782" i="1"/>
  <c r="AK786" i="1"/>
  <c r="AK790" i="1"/>
  <c r="AK794" i="1"/>
  <c r="AK798" i="1"/>
  <c r="AK802" i="1"/>
  <c r="AK806" i="1"/>
  <c r="AK810" i="1"/>
  <c r="AK814" i="1"/>
  <c r="AK818" i="1"/>
  <c r="AK822" i="1"/>
  <c r="AK826" i="1"/>
  <c r="AK830" i="1"/>
  <c r="AK834" i="1"/>
  <c r="AK838" i="1"/>
  <c r="AK842" i="1"/>
  <c r="AK846" i="1"/>
  <c r="AK850" i="1"/>
  <c r="AK854" i="1"/>
  <c r="AK858" i="1"/>
  <c r="AK862" i="1"/>
  <c r="AK866" i="1"/>
  <c r="AK870" i="1"/>
  <c r="AK874" i="1"/>
  <c r="AK878" i="1"/>
  <c r="AK882" i="1"/>
  <c r="AK886" i="1"/>
  <c r="AK890" i="1"/>
  <c r="AK894" i="1"/>
  <c r="AK898" i="1"/>
  <c r="AK902" i="1"/>
  <c r="AK906" i="1"/>
  <c r="AK910" i="1"/>
  <c r="AK914" i="1"/>
  <c r="AK918" i="1"/>
  <c r="AK922" i="1"/>
  <c r="AK926" i="1"/>
  <c r="AK930" i="1"/>
  <c r="AK934" i="1"/>
  <c r="AK938" i="1"/>
  <c r="AK942" i="1"/>
  <c r="AK946" i="1"/>
  <c r="AK950" i="1"/>
  <c r="AK954" i="1"/>
  <c r="AK958" i="1"/>
  <c r="AK962" i="1"/>
  <c r="AK966" i="1"/>
  <c r="AK970" i="1"/>
  <c r="AK974" i="1"/>
  <c r="AK978" i="1"/>
  <c r="AK982" i="1"/>
  <c r="AK986" i="1"/>
  <c r="AK990" i="1"/>
  <c r="AK994" i="1"/>
  <c r="AK998" i="1"/>
  <c r="AK1002" i="1"/>
  <c r="AK1006" i="1"/>
  <c r="AK1010" i="1"/>
  <c r="AK1014" i="1"/>
  <c r="AK1018" i="1"/>
  <c r="AK1022" i="1"/>
  <c r="AK1026" i="1"/>
  <c r="AK1030" i="1"/>
  <c r="AK1034" i="1"/>
  <c r="AK1038" i="1"/>
  <c r="AK1365" i="1"/>
  <c r="AK1369" i="1"/>
  <c r="AK1373" i="1"/>
  <c r="AK1377" i="1"/>
  <c r="AK1042" i="1"/>
  <c r="AK1046" i="1"/>
  <c r="AK1050" i="1"/>
  <c r="AK1054" i="1"/>
  <c r="AK1058" i="1"/>
  <c r="AK1062" i="1"/>
  <c r="AK1066" i="1"/>
  <c r="AK1070" i="1"/>
  <c r="AK1074" i="1"/>
  <c r="AK1078" i="1"/>
  <c r="AK1082" i="1"/>
  <c r="AK1086" i="1"/>
  <c r="AK1090" i="1"/>
  <c r="AK1094" i="1"/>
  <c r="AK1098" i="1"/>
  <c r="AK1102" i="1"/>
  <c r="AK1106" i="1"/>
  <c r="AK1110" i="1"/>
  <c r="AK1114" i="1"/>
  <c r="AK1118" i="1"/>
  <c r="AK1122" i="1"/>
  <c r="AK1126" i="1"/>
  <c r="AK1130" i="1"/>
  <c r="AK1134" i="1"/>
  <c r="AK1138" i="1"/>
  <c r="AK1142" i="1"/>
  <c r="AK1146" i="1"/>
  <c r="AK1150" i="1"/>
  <c r="AK1154" i="1"/>
  <c r="AK1158" i="1"/>
  <c r="AK1162" i="1"/>
  <c r="AK1166" i="1"/>
  <c r="AK1170" i="1"/>
  <c r="AK1174" i="1"/>
  <c r="AK1178" i="1"/>
  <c r="AK1182" i="1"/>
  <c r="AK1186" i="1"/>
  <c r="AK1190" i="1"/>
  <c r="AK1194" i="1"/>
  <c r="AK1198" i="1"/>
  <c r="AK1202" i="1"/>
  <c r="AK1206" i="1"/>
  <c r="AK1210" i="1"/>
  <c r="AK1214" i="1"/>
  <c r="AK1218" i="1"/>
  <c r="AK1222" i="1"/>
  <c r="AK1226" i="1"/>
  <c r="AK1230" i="1"/>
  <c r="AK1234" i="1"/>
  <c r="AK1238" i="1"/>
  <c r="AK1242" i="1"/>
  <c r="AK1246" i="1"/>
  <c r="AK1250" i="1"/>
  <c r="AK1254" i="1"/>
  <c r="AK1258" i="1"/>
  <c r="AK1262" i="1"/>
  <c r="AK1266" i="1"/>
  <c r="AK1270" i="1"/>
  <c r="AK1274" i="1"/>
  <c r="AK1278" i="1"/>
  <c r="AK1282" i="1"/>
  <c r="AK1286" i="1"/>
  <c r="AK1290" i="1"/>
  <c r="AK1294" i="1"/>
  <c r="AK1298" i="1"/>
  <c r="AK1302" i="1"/>
  <c r="AK1306" i="1"/>
  <c r="AK1310" i="1"/>
  <c r="AK1314" i="1"/>
  <c r="AK1318" i="1"/>
  <c r="AK1322" i="1"/>
  <c r="AK1326" i="1"/>
  <c r="AK1330" i="1"/>
  <c r="AK1334" i="1"/>
  <c r="AK1338" i="1"/>
  <c r="AK1342" i="1"/>
  <c r="AK1346" i="1"/>
  <c r="AK1350" i="1"/>
  <c r="AK1354" i="1"/>
  <c r="AK1358" i="1"/>
  <c r="AK1362" i="1"/>
  <c r="AK1366" i="1"/>
  <c r="AK1370" i="1"/>
  <c r="AK1374" i="1"/>
  <c r="AK1378" i="1"/>
  <c r="X1295" i="1"/>
  <c r="X1286" i="1"/>
  <c r="X1322" i="1"/>
  <c r="X1308" i="1"/>
  <c r="X1301" i="1"/>
  <c r="X1300" i="1"/>
  <c r="X1317" i="1"/>
  <c r="X1304" i="1"/>
  <c r="X1294" i="1"/>
  <c r="X1366" i="1"/>
  <c r="X1283" i="1"/>
  <c r="X1296" i="1"/>
  <c r="X1361" i="1"/>
  <c r="X1313" i="1"/>
  <c r="X1284" i="1"/>
  <c r="X1289" i="1"/>
  <c r="X1285" i="1"/>
  <c r="X1310" i="1"/>
  <c r="X1371" i="1"/>
  <c r="X1307" i="1"/>
  <c r="X1348" i="1"/>
  <c r="X1345" i="1"/>
  <c r="X1332" i="1"/>
  <c r="X1328" i="1"/>
  <c r="X1297" i="1"/>
  <c r="X1335" i="1"/>
  <c r="W1281" i="1"/>
  <c r="X1281" i="1" s="1"/>
  <c r="X1290" i="1"/>
  <c r="X1350" i="1"/>
  <c r="X1344" i="1"/>
  <c r="X1288" i="1"/>
  <c r="X1359" i="1"/>
  <c r="X1374" i="1"/>
  <c r="X1367" i="1"/>
  <c r="X1340" i="1"/>
  <c r="X1292" i="1"/>
  <c r="X1369" i="1"/>
  <c r="X1327" i="1"/>
  <c r="X1357" i="1"/>
  <c r="X1329" i="1"/>
  <c r="X1282" i="1"/>
  <c r="X1358" i="1"/>
  <c r="X1342" i="1"/>
  <c r="X1325" i="1"/>
  <c r="X1314" i="1"/>
  <c r="X1362" i="1"/>
  <c r="X1376" i="1"/>
  <c r="X1351" i="1"/>
  <c r="X1309" i="1"/>
  <c r="X1347" i="1"/>
  <c r="X1356" i="1"/>
  <c r="X1287" i="1"/>
  <c r="X1298" i="1"/>
  <c r="X1364" i="1"/>
  <c r="X1338" i="1"/>
  <c r="X1324" i="1"/>
  <c r="X1363" i="1"/>
  <c r="X1306" i="1"/>
  <c r="X1343" i="1"/>
  <c r="X1375" i="1"/>
  <c r="X1331" i="1"/>
  <c r="X1312" i="1"/>
  <c r="X1370" i="1"/>
  <c r="X1293" i="1"/>
  <c r="X1326" i="1"/>
  <c r="X1365" i="1"/>
  <c r="X1330" i="1"/>
  <c r="W1280" i="1"/>
  <c r="W1279" i="1"/>
  <c r="X1360" i="1"/>
  <c r="X1291" i="1"/>
  <c r="X1333" i="1"/>
  <c r="X1349" i="1"/>
  <c r="X1346" i="1"/>
  <c r="X1303" i="1"/>
  <c r="X1302" i="1"/>
  <c r="X1315" i="1"/>
  <c r="X1372" i="1"/>
  <c r="X1316" i="1"/>
  <c r="X1299" i="1"/>
  <c r="X1305" i="1"/>
  <c r="X1311" i="1"/>
  <c r="X1336" i="1"/>
  <c r="X1323" i="1"/>
  <c r="X1321" i="1"/>
  <c r="X1334" i="1"/>
  <c r="X1341" i="1"/>
  <c r="X1337" i="1"/>
  <c r="X1339" i="1"/>
  <c r="V1277" i="1"/>
  <c r="V1278" i="1"/>
  <c r="W1278" i="1" s="1"/>
  <c r="V1276" i="1"/>
  <c r="V1275" i="1"/>
  <c r="R1277" i="1"/>
  <c r="R1278" i="1"/>
  <c r="R1276" i="1"/>
  <c r="R1275" i="1"/>
  <c r="Q1273" i="1"/>
  <c r="Y1273" i="1" s="1"/>
  <c r="Q1271" i="1"/>
  <c r="Y1271" i="1" s="1"/>
  <c r="Q1274" i="1"/>
  <c r="Y1274" i="1" s="1"/>
  <c r="Q1272" i="1"/>
  <c r="Y1272" i="1" s="1"/>
  <c r="AG294" i="24"/>
  <c r="AI294" i="24" s="1"/>
  <c r="AJ294" i="24" s="1"/>
  <c r="W293" i="24"/>
  <c r="U293" i="24"/>
  <c r="V293" i="24" s="1"/>
  <c r="T292" i="24"/>
  <c r="S291" i="24"/>
  <c r="X1280" i="1" l="1"/>
  <c r="W1275" i="1"/>
  <c r="W1276" i="1"/>
  <c r="W1277" i="1"/>
  <c r="X1277" i="1" s="1"/>
  <c r="X1278" i="1"/>
  <c r="X1279" i="1"/>
  <c r="V1272" i="1"/>
  <c r="V1274" i="1"/>
  <c r="W1274" i="1" s="1"/>
  <c r="V1273" i="1"/>
  <c r="V1271" i="1"/>
  <c r="B6" i="15"/>
  <c r="R1274" i="1"/>
  <c r="R1273" i="1"/>
  <c r="R1271" i="1"/>
  <c r="R1272" i="1"/>
  <c r="Q1268" i="1"/>
  <c r="Y1268" i="1" s="1"/>
  <c r="Q1270" i="1"/>
  <c r="Y1270" i="1" s="1"/>
  <c r="Q1266" i="1"/>
  <c r="Y1266" i="1" s="1"/>
  <c r="Q1267" i="1"/>
  <c r="Y1267" i="1" s="1"/>
  <c r="Q1269" i="1"/>
  <c r="Y1269" i="1" s="1"/>
  <c r="S290" i="24"/>
  <c r="T291" i="24"/>
  <c r="W292" i="24"/>
  <c r="U292" i="24"/>
  <c r="V292" i="24" s="1"/>
  <c r="AG293" i="24"/>
  <c r="AI293" i="24" s="1"/>
  <c r="AJ293" i="24" s="1"/>
  <c r="H18" i="1"/>
  <c r="X1276" i="1" l="1"/>
  <c r="W1271" i="1"/>
  <c r="X1274" i="1"/>
  <c r="W1273" i="1"/>
  <c r="X1273" i="1" s="1"/>
  <c r="W1272" i="1"/>
  <c r="X1275" i="1"/>
  <c r="V1269" i="1"/>
  <c r="V1267" i="1"/>
  <c r="V1268" i="1"/>
  <c r="V1266" i="1"/>
  <c r="V1270" i="1"/>
  <c r="W1270" i="1" s="1"/>
  <c r="R1267" i="1"/>
  <c r="R1270" i="1"/>
  <c r="R1266" i="1"/>
  <c r="R1268" i="1"/>
  <c r="R1269" i="1"/>
  <c r="Q1264" i="1"/>
  <c r="Y1264" i="1" s="1"/>
  <c r="Q1265" i="1"/>
  <c r="Y1265" i="1" s="1"/>
  <c r="Q1262" i="1"/>
  <c r="Y1262" i="1" s="1"/>
  <c r="Q1263" i="1"/>
  <c r="Y1263" i="1" s="1"/>
  <c r="W291" i="24"/>
  <c r="U291" i="24"/>
  <c r="V291" i="24" s="1"/>
  <c r="T290" i="24"/>
  <c r="S289" i="24"/>
  <c r="AG292" i="24"/>
  <c r="AI292" i="24" s="1"/>
  <c r="AJ292" i="24" s="1"/>
  <c r="X1270" i="1" l="1"/>
  <c r="W1268" i="1"/>
  <c r="W1269" i="1"/>
  <c r="X1269" i="1" s="1"/>
  <c r="X1271" i="1"/>
  <c r="W1266" i="1"/>
  <c r="W1267" i="1"/>
  <c r="X1272" i="1"/>
  <c r="V1263" i="1"/>
  <c r="V1264" i="1"/>
  <c r="V1262" i="1"/>
  <c r="V1265" i="1"/>
  <c r="W1265" i="1" s="1"/>
  <c r="R1263" i="1"/>
  <c r="R1265" i="1"/>
  <c r="R1264" i="1"/>
  <c r="R1262" i="1"/>
  <c r="Q1260" i="1"/>
  <c r="Y1260" i="1" s="1"/>
  <c r="Q1261" i="1"/>
  <c r="Y1261" i="1" s="1"/>
  <c r="Q1258" i="1"/>
  <c r="Y1258" i="1" s="1"/>
  <c r="Q1257" i="1"/>
  <c r="Y1257" i="1" s="1"/>
  <c r="Q1259" i="1"/>
  <c r="Y1259" i="1" s="1"/>
  <c r="S288" i="24"/>
  <c r="T289" i="24"/>
  <c r="U290" i="24"/>
  <c r="V290" i="24" s="1"/>
  <c r="W290" i="24"/>
  <c r="AG291" i="24"/>
  <c r="AI291" i="24" s="1"/>
  <c r="AJ291" i="24" s="1"/>
  <c r="W1263" i="1" l="1"/>
  <c r="W1262" i="1"/>
  <c r="X1266" i="1"/>
  <c r="X1267" i="1"/>
  <c r="X1265" i="1"/>
  <c r="W1264" i="1"/>
  <c r="X1264" i="1" s="1"/>
  <c r="X1268" i="1"/>
  <c r="V1259" i="1"/>
  <c r="V1257" i="1"/>
  <c r="V1258" i="1"/>
  <c r="V1261" i="1"/>
  <c r="W1261" i="1" s="1"/>
  <c r="V1260" i="1"/>
  <c r="AG290" i="24"/>
  <c r="AI290" i="24" s="1"/>
  <c r="AJ290" i="24" s="1"/>
  <c r="R1261" i="1"/>
  <c r="R1259" i="1"/>
  <c r="R1257" i="1"/>
  <c r="R1258" i="1"/>
  <c r="R1260" i="1"/>
  <c r="Q1254" i="1"/>
  <c r="Y1254" i="1" s="1"/>
  <c r="Q1256" i="1"/>
  <c r="Y1256" i="1" s="1"/>
  <c r="Q1255" i="1"/>
  <c r="Y1255" i="1" s="1"/>
  <c r="Q1253" i="1"/>
  <c r="Y1253" i="1" s="1"/>
  <c r="W289" i="24"/>
  <c r="U289" i="24"/>
  <c r="V289" i="24" s="1"/>
  <c r="T288" i="24"/>
  <c r="S287" i="24"/>
  <c r="H19" i="1"/>
  <c r="W1260" i="1" l="1"/>
  <c r="X1260" i="1" s="1"/>
  <c r="X1261" i="1"/>
  <c r="W1257" i="1"/>
  <c r="X1263" i="1"/>
  <c r="X1262" i="1"/>
  <c r="W1258" i="1"/>
  <c r="W1259" i="1"/>
  <c r="V1255" i="1"/>
  <c r="V1254" i="1"/>
  <c r="V1253" i="1"/>
  <c r="V1256" i="1"/>
  <c r="W1256" i="1" s="1"/>
  <c r="Q1249" i="1"/>
  <c r="Y1249" i="1" s="1"/>
  <c r="Q1251" i="1"/>
  <c r="Y1251" i="1" s="1"/>
  <c r="Q1252" i="1"/>
  <c r="Y1252" i="1" s="1"/>
  <c r="Q1250" i="1"/>
  <c r="Y1250" i="1" s="1"/>
  <c r="R1256" i="1"/>
  <c r="R1254" i="1"/>
  <c r="R1255" i="1"/>
  <c r="R1253" i="1"/>
  <c r="AG289" i="24"/>
  <c r="AI289" i="24" s="1"/>
  <c r="AJ289" i="24" s="1"/>
  <c r="S286" i="24"/>
  <c r="T287" i="24"/>
  <c r="W288" i="24"/>
  <c r="U288" i="24"/>
  <c r="V288" i="24" s="1"/>
  <c r="X1259" i="1" l="1"/>
  <c r="X1256" i="1"/>
  <c r="W1254" i="1"/>
  <c r="X1257" i="1"/>
  <c r="X1258" i="1"/>
  <c r="W1253" i="1"/>
  <c r="W1255" i="1"/>
  <c r="X1255" i="1" s="1"/>
  <c r="V1251" i="1"/>
  <c r="V1249" i="1"/>
  <c r="V1252" i="1"/>
  <c r="W1252" i="1" s="1"/>
  <c r="V1250" i="1"/>
  <c r="R1249" i="1"/>
  <c r="R1251" i="1"/>
  <c r="R1252" i="1"/>
  <c r="R1250" i="1"/>
  <c r="AG288" i="24"/>
  <c r="AI288" i="24" s="1"/>
  <c r="AJ288" i="24" s="1"/>
  <c r="Q1242" i="1" s="1"/>
  <c r="Y1242" i="1" s="1"/>
  <c r="Q1247" i="1"/>
  <c r="Y1247" i="1" s="1"/>
  <c r="Q1246" i="1"/>
  <c r="Y1246" i="1" s="1"/>
  <c r="Q1248" i="1"/>
  <c r="Y1248" i="1" s="1"/>
  <c r="Q1245" i="1"/>
  <c r="Y1245" i="1" s="1"/>
  <c r="Q1244" i="1"/>
  <c r="Y1244" i="1" s="1"/>
  <c r="W287" i="24"/>
  <c r="U287" i="24"/>
  <c r="V287" i="24" s="1"/>
  <c r="T286" i="24"/>
  <c r="S285" i="24"/>
  <c r="H20" i="1"/>
  <c r="W1250" i="1" l="1"/>
  <c r="X1253" i="1"/>
  <c r="X1252" i="1"/>
  <c r="W1251" i="1"/>
  <c r="X1251" i="1" s="1"/>
  <c r="W1249" i="1"/>
  <c r="X1254" i="1"/>
  <c r="V1245" i="1"/>
  <c r="V1242" i="1"/>
  <c r="V1244" i="1"/>
  <c r="V1248" i="1"/>
  <c r="W1248" i="1" s="1"/>
  <c r="V1246" i="1"/>
  <c r="V1247" i="1"/>
  <c r="Q1240" i="1"/>
  <c r="Y1240" i="1" s="1"/>
  <c r="Q1243" i="1"/>
  <c r="Y1243" i="1" s="1"/>
  <c r="Q1241" i="1"/>
  <c r="Y1241" i="1" s="1"/>
  <c r="R1245" i="1"/>
  <c r="R1244" i="1"/>
  <c r="R1248" i="1"/>
  <c r="R1246" i="1"/>
  <c r="R1247" i="1"/>
  <c r="R1242" i="1"/>
  <c r="S284" i="24"/>
  <c r="T285" i="24"/>
  <c r="W286" i="24"/>
  <c r="U286" i="24"/>
  <c r="V286" i="24" s="1"/>
  <c r="AG287" i="24"/>
  <c r="AI287" i="24" s="1"/>
  <c r="AJ287" i="24" s="1"/>
  <c r="W1247" i="1" l="1"/>
  <c r="X1247" i="1" s="1"/>
  <c r="X1248" i="1"/>
  <c r="X1249" i="1"/>
  <c r="W1246" i="1"/>
  <c r="W1244" i="1"/>
  <c r="W1245" i="1"/>
  <c r="X1250" i="1"/>
  <c r="V1241" i="1"/>
  <c r="V1243" i="1"/>
  <c r="W1243" i="1" s="1"/>
  <c r="V1240" i="1"/>
  <c r="R1240" i="1"/>
  <c r="R1243" i="1"/>
  <c r="R1241" i="1"/>
  <c r="Q1238" i="1"/>
  <c r="Y1238" i="1" s="1"/>
  <c r="Q1236" i="1"/>
  <c r="Y1236" i="1" s="1"/>
  <c r="Q1237" i="1"/>
  <c r="Y1237" i="1" s="1"/>
  <c r="Q1239" i="1"/>
  <c r="Y1239" i="1" s="1"/>
  <c r="W285" i="24"/>
  <c r="U285" i="24"/>
  <c r="V285" i="24" s="1"/>
  <c r="T284" i="24"/>
  <c r="S283" i="24"/>
  <c r="AG286" i="24"/>
  <c r="AI286" i="24" s="1"/>
  <c r="AJ286" i="24" s="1"/>
  <c r="H21" i="1"/>
  <c r="X1246" i="1" l="1"/>
  <c r="W1240" i="1"/>
  <c r="W1242" i="1"/>
  <c r="X1242" i="1" s="1"/>
  <c r="W1241" i="1"/>
  <c r="X1243" i="1"/>
  <c r="X1245" i="1"/>
  <c r="X1244" i="1"/>
  <c r="V1238" i="1"/>
  <c r="V1239" i="1"/>
  <c r="W1239" i="1" s="1"/>
  <c r="V1237" i="1"/>
  <c r="V1236" i="1"/>
  <c r="R1236" i="1"/>
  <c r="Q1231" i="1"/>
  <c r="Y1231" i="1" s="1"/>
  <c r="Q1234" i="1"/>
  <c r="Y1234" i="1" s="1"/>
  <c r="Q1233" i="1"/>
  <c r="Y1233" i="1" s="1"/>
  <c r="Q1235" i="1"/>
  <c r="Y1235" i="1" s="1"/>
  <c r="Q1232" i="1"/>
  <c r="Y1232" i="1" s="1"/>
  <c r="R1238" i="1"/>
  <c r="R1239" i="1"/>
  <c r="R1237" i="1"/>
  <c r="AG285" i="24"/>
  <c r="AI285" i="24" s="1"/>
  <c r="AJ285" i="24" s="1"/>
  <c r="S282" i="24"/>
  <c r="T283" i="24"/>
  <c r="W284" i="24"/>
  <c r="U284" i="24"/>
  <c r="V284" i="24" s="1"/>
  <c r="X1239" i="1" l="1"/>
  <c r="X1240" i="1"/>
  <c r="X1241" i="1"/>
  <c r="W1236" i="1"/>
  <c r="W1237" i="1"/>
  <c r="W1238" i="1"/>
  <c r="X1238" i="1" s="1"/>
  <c r="V1232" i="1"/>
  <c r="V1235" i="1"/>
  <c r="W1235" i="1" s="1"/>
  <c r="V1233" i="1"/>
  <c r="V1234" i="1"/>
  <c r="V1231" i="1"/>
  <c r="R1233" i="1"/>
  <c r="R1232" i="1"/>
  <c r="R1235" i="1"/>
  <c r="R1234" i="1"/>
  <c r="Q1227" i="1"/>
  <c r="Y1227" i="1" s="1"/>
  <c r="Q1228" i="1"/>
  <c r="Y1228" i="1" s="1"/>
  <c r="Q1230" i="1"/>
  <c r="Y1230" i="1" s="1"/>
  <c r="Q1229" i="1"/>
  <c r="Y1229" i="1" s="1"/>
  <c r="R1231" i="1"/>
  <c r="AG284" i="24"/>
  <c r="AI284" i="24" s="1"/>
  <c r="AJ284" i="24" s="1"/>
  <c r="W283" i="24"/>
  <c r="U283" i="24"/>
  <c r="V283" i="24" s="1"/>
  <c r="T282" i="24"/>
  <c r="S281" i="24"/>
  <c r="H22" i="1"/>
  <c r="W1231" i="1" l="1"/>
  <c r="W1233" i="1"/>
  <c r="W1234" i="1"/>
  <c r="X1234" i="1" s="1"/>
  <c r="X1237" i="1"/>
  <c r="X1235" i="1"/>
  <c r="X1236" i="1"/>
  <c r="W1232" i="1"/>
  <c r="V1229" i="1"/>
  <c r="V1230" i="1"/>
  <c r="W1230" i="1" s="1"/>
  <c r="V1228" i="1"/>
  <c r="V1227" i="1"/>
  <c r="R1227" i="1"/>
  <c r="R1228" i="1"/>
  <c r="Q1226" i="1"/>
  <c r="Y1226" i="1" s="1"/>
  <c r="Q1225" i="1"/>
  <c r="Y1225" i="1" s="1"/>
  <c r="Q1223" i="1"/>
  <c r="Y1223" i="1" s="1"/>
  <c r="Q1224" i="1"/>
  <c r="Y1224" i="1" s="1"/>
  <c r="R1229" i="1"/>
  <c r="R1230" i="1"/>
  <c r="S280" i="24"/>
  <c r="T281" i="24"/>
  <c r="W282" i="24"/>
  <c r="U282" i="24"/>
  <c r="V282" i="24" s="1"/>
  <c r="AG283" i="24"/>
  <c r="AI283" i="24" s="1"/>
  <c r="AJ283" i="24" s="1"/>
  <c r="H23" i="1"/>
  <c r="X1233" i="1" l="1"/>
  <c r="X1230" i="1"/>
  <c r="X1232" i="1"/>
  <c r="W1229" i="1"/>
  <c r="X1229" i="1" s="1"/>
  <c r="W1228" i="1"/>
  <c r="W1227" i="1"/>
  <c r="X1231" i="1"/>
  <c r="V1224" i="1"/>
  <c r="V1226" i="1"/>
  <c r="W1226" i="1" s="1"/>
  <c r="V1225" i="1"/>
  <c r="V1223" i="1"/>
  <c r="R1224" i="1"/>
  <c r="R1223" i="1"/>
  <c r="Q1219" i="1"/>
  <c r="Y1219" i="1" s="1"/>
  <c r="Q1220" i="1"/>
  <c r="Y1220" i="1" s="1"/>
  <c r="Q1222" i="1"/>
  <c r="Y1222" i="1" s="1"/>
  <c r="Q1221" i="1"/>
  <c r="Y1221" i="1" s="1"/>
  <c r="Q1218" i="1"/>
  <c r="Y1218" i="1" s="1"/>
  <c r="R1225" i="1"/>
  <c r="R1226" i="1"/>
  <c r="AG282" i="24"/>
  <c r="AI282" i="24" s="1"/>
  <c r="AJ282" i="24" s="1"/>
  <c r="W281" i="24"/>
  <c r="U281" i="24"/>
  <c r="V281" i="24" s="1"/>
  <c r="T280" i="24"/>
  <c r="S279" i="24"/>
  <c r="H24" i="1"/>
  <c r="X1228" i="1" l="1"/>
  <c r="X1226" i="1"/>
  <c r="W1223" i="1"/>
  <c r="X1227" i="1"/>
  <c r="W1225" i="1"/>
  <c r="X1225" i="1" s="1"/>
  <c r="W1224" i="1"/>
  <c r="V1219" i="1"/>
  <c r="V1220" i="1"/>
  <c r="V1218" i="1"/>
  <c r="V1221" i="1"/>
  <c r="V1222" i="1"/>
  <c r="W1222" i="1" s="1"/>
  <c r="R1221" i="1"/>
  <c r="R1222" i="1"/>
  <c r="R1220" i="1"/>
  <c r="Q1217" i="1"/>
  <c r="Y1217" i="1" s="1"/>
  <c r="Q1215" i="1"/>
  <c r="Y1215" i="1" s="1"/>
  <c r="Q1214" i="1"/>
  <c r="Y1214" i="1" s="1"/>
  <c r="Q1216" i="1"/>
  <c r="Y1216" i="1" s="1"/>
  <c r="R1218" i="1"/>
  <c r="R1219" i="1"/>
  <c r="AG281" i="24"/>
  <c r="AI281" i="24" s="1"/>
  <c r="AJ281" i="24" s="1"/>
  <c r="S278" i="24"/>
  <c r="T279" i="24"/>
  <c r="W280" i="24"/>
  <c r="U280" i="24"/>
  <c r="V280" i="24" s="1"/>
  <c r="H25" i="1"/>
  <c r="W1218" i="1" l="1"/>
  <c r="X1222" i="1"/>
  <c r="X1223" i="1"/>
  <c r="W1219" i="1"/>
  <c r="W1221" i="1"/>
  <c r="X1221" i="1" s="1"/>
  <c r="W1220" i="1"/>
  <c r="X1224" i="1"/>
  <c r="V1216" i="1"/>
  <c r="V1215" i="1"/>
  <c r="V1217" i="1"/>
  <c r="W1217" i="1" s="1"/>
  <c r="V1214" i="1"/>
  <c r="R1215" i="1"/>
  <c r="R1217" i="1"/>
  <c r="Q1211" i="1"/>
  <c r="Y1211" i="1" s="1"/>
  <c r="Q1212" i="1"/>
  <c r="Y1212" i="1" s="1"/>
  <c r="Q1213" i="1"/>
  <c r="Y1213" i="1" s="1"/>
  <c r="Q1210" i="1"/>
  <c r="Y1210" i="1" s="1"/>
  <c r="R1214" i="1"/>
  <c r="R1216" i="1"/>
  <c r="W279" i="24"/>
  <c r="U279" i="24"/>
  <c r="V279" i="24" s="1"/>
  <c r="S277" i="24"/>
  <c r="T278" i="24"/>
  <c r="AG280" i="24"/>
  <c r="AI280" i="24" s="1"/>
  <c r="AJ280" i="24" s="1"/>
  <c r="H26" i="1"/>
  <c r="W1214" i="1" l="1"/>
  <c r="X1220" i="1"/>
  <c r="W1215" i="1"/>
  <c r="X1217" i="1"/>
  <c r="W1216" i="1"/>
  <c r="X1216" i="1" s="1"/>
  <c r="X1219" i="1"/>
  <c r="X1218" i="1"/>
  <c r="V1212" i="1"/>
  <c r="V1211" i="1"/>
  <c r="V1210" i="1"/>
  <c r="V1213" i="1"/>
  <c r="W1213" i="1" s="1"/>
  <c r="R1210" i="1"/>
  <c r="R1213" i="1"/>
  <c r="R1212" i="1"/>
  <c r="Q1209" i="1"/>
  <c r="Y1209" i="1" s="1"/>
  <c r="Q1207" i="1"/>
  <c r="Y1207" i="1" s="1"/>
  <c r="Q1206" i="1"/>
  <c r="Y1206" i="1" s="1"/>
  <c r="Q1208" i="1"/>
  <c r="Y1208" i="1" s="1"/>
  <c r="Q1205" i="1"/>
  <c r="Y1205" i="1" s="1"/>
  <c r="R1211" i="1"/>
  <c r="AG279" i="24"/>
  <c r="AI279" i="24" s="1"/>
  <c r="AJ279" i="24" s="1"/>
  <c r="W278" i="24"/>
  <c r="U278" i="24"/>
  <c r="V278" i="24" s="1"/>
  <c r="S276" i="24"/>
  <c r="T277" i="24"/>
  <c r="X1213" i="1" l="1"/>
  <c r="W1211" i="1"/>
  <c r="X1215" i="1"/>
  <c r="W1210" i="1"/>
  <c r="W1212" i="1"/>
  <c r="X1212" i="1" s="1"/>
  <c r="X1214" i="1"/>
  <c r="V1209" i="1"/>
  <c r="W1209" i="1" s="1"/>
  <c r="V1207" i="1"/>
  <c r="V1205" i="1"/>
  <c r="V1208" i="1"/>
  <c r="V1206" i="1"/>
  <c r="R1207" i="1"/>
  <c r="R1209" i="1"/>
  <c r="Q1204" i="1"/>
  <c r="Y1204" i="1" s="1"/>
  <c r="Q1202" i="1"/>
  <c r="Y1202" i="1" s="1"/>
  <c r="Q1201" i="1"/>
  <c r="Y1201" i="1" s="1"/>
  <c r="Q1203" i="1"/>
  <c r="Y1203" i="1" s="1"/>
  <c r="AG278" i="24"/>
  <c r="AI278" i="24" s="1"/>
  <c r="AJ278" i="24" s="1"/>
  <c r="R1205" i="1"/>
  <c r="R1208" i="1"/>
  <c r="R1206" i="1"/>
  <c r="T276" i="24"/>
  <c r="S275" i="24"/>
  <c r="W277" i="24"/>
  <c r="U277" i="24"/>
  <c r="V277" i="24" s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27" i="1"/>
  <c r="W1208" i="1" l="1"/>
  <c r="X1208" i="1" s="1"/>
  <c r="W1206" i="1"/>
  <c r="W1205" i="1"/>
  <c r="X1209" i="1"/>
  <c r="X1210" i="1"/>
  <c r="W1207" i="1"/>
  <c r="X1211" i="1"/>
  <c r="V1203" i="1"/>
  <c r="V1201" i="1"/>
  <c r="V1202" i="1"/>
  <c r="V1204" i="1"/>
  <c r="W1204" i="1" s="1"/>
  <c r="R1203" i="1"/>
  <c r="R1201" i="1"/>
  <c r="R1202" i="1"/>
  <c r="R1204" i="1"/>
  <c r="Q1199" i="1"/>
  <c r="Y1199" i="1" s="1"/>
  <c r="Q1198" i="1"/>
  <c r="Y1198" i="1" s="1"/>
  <c r="Q1197" i="1"/>
  <c r="Y1197" i="1" s="1"/>
  <c r="Q1200" i="1"/>
  <c r="Y1200" i="1" s="1"/>
  <c r="AG277" i="24"/>
  <c r="AI277" i="24" s="1"/>
  <c r="AJ277" i="24" s="1"/>
  <c r="S274" i="24"/>
  <c r="T275" i="24"/>
  <c r="W276" i="24"/>
  <c r="U276" i="24"/>
  <c r="V276" i="24" s="1"/>
  <c r="X1207" i="1" l="1"/>
  <c r="X1204" i="1"/>
  <c r="X1205" i="1"/>
  <c r="W1201" i="1"/>
  <c r="X1206" i="1"/>
  <c r="W1202" i="1"/>
  <c r="W1203" i="1"/>
  <c r="X1203" i="1" s="1"/>
  <c r="V1198" i="1"/>
  <c r="V1199" i="1"/>
  <c r="V1200" i="1"/>
  <c r="W1200" i="1" s="1"/>
  <c r="V1197" i="1"/>
  <c r="Q1196" i="1"/>
  <c r="Y1196" i="1" s="1"/>
  <c r="Q1192" i="1"/>
  <c r="Y1192" i="1" s="1"/>
  <c r="Q1194" i="1"/>
  <c r="Y1194" i="1" s="1"/>
  <c r="Q1193" i="1"/>
  <c r="Y1193" i="1" s="1"/>
  <c r="Q1195" i="1"/>
  <c r="Y1195" i="1" s="1"/>
  <c r="R1200" i="1"/>
  <c r="R1197" i="1"/>
  <c r="R1198" i="1"/>
  <c r="R1199" i="1"/>
  <c r="AG276" i="24"/>
  <c r="AI276" i="24" s="1"/>
  <c r="AJ276" i="24" s="1"/>
  <c r="W275" i="24"/>
  <c r="U275" i="24"/>
  <c r="V275" i="24" s="1"/>
  <c r="S273" i="24"/>
  <c r="T274" i="24"/>
  <c r="W1197" i="1" l="1"/>
  <c r="X1200" i="1"/>
  <c r="X1201" i="1"/>
  <c r="W1199" i="1"/>
  <c r="X1199" i="1" s="1"/>
  <c r="W1198" i="1"/>
  <c r="X1202" i="1"/>
  <c r="V1194" i="1"/>
  <c r="V1196" i="1"/>
  <c r="W1196" i="1" s="1"/>
  <c r="V1193" i="1"/>
  <c r="V1192" i="1"/>
  <c r="V1195" i="1"/>
  <c r="AG275" i="24"/>
  <c r="AI275" i="24" s="1"/>
  <c r="AJ275" i="24" s="1"/>
  <c r="Q1190" i="1"/>
  <c r="Y1190" i="1" s="1"/>
  <c r="Q1191" i="1"/>
  <c r="Y1191" i="1" s="1"/>
  <c r="Q1188" i="1"/>
  <c r="Y1188" i="1" s="1"/>
  <c r="Q1189" i="1"/>
  <c r="Y1189" i="1" s="1"/>
  <c r="R1195" i="1"/>
  <c r="R1193" i="1"/>
  <c r="R1194" i="1"/>
  <c r="R1192" i="1"/>
  <c r="R1196" i="1"/>
  <c r="W274" i="24"/>
  <c r="U274" i="24"/>
  <c r="V274" i="24" s="1"/>
  <c r="S272" i="24"/>
  <c r="T273" i="24"/>
  <c r="W1195" i="1" l="1"/>
  <c r="X1195" i="1" s="1"/>
  <c r="X1198" i="1"/>
  <c r="W1193" i="1"/>
  <c r="W1194" i="1"/>
  <c r="X1197" i="1"/>
  <c r="W1192" i="1"/>
  <c r="X1196" i="1"/>
  <c r="V1190" i="1"/>
  <c r="V1189" i="1"/>
  <c r="V1188" i="1"/>
  <c r="V1191" i="1"/>
  <c r="W1191" i="1" s="1"/>
  <c r="R1189" i="1"/>
  <c r="R1188" i="1"/>
  <c r="R1191" i="1"/>
  <c r="R1190" i="1"/>
  <c r="Q1186" i="1"/>
  <c r="Y1186" i="1" s="1"/>
  <c r="Q1185" i="1"/>
  <c r="Y1185" i="1" s="1"/>
  <c r="Q1187" i="1"/>
  <c r="Y1187" i="1" s="1"/>
  <c r="Q1184" i="1"/>
  <c r="Y1184" i="1" s="1"/>
  <c r="Q1183" i="1"/>
  <c r="Y1183" i="1" s="1"/>
  <c r="AG274" i="24"/>
  <c r="AI274" i="24" s="1"/>
  <c r="AJ274" i="24" s="1"/>
  <c r="W273" i="24"/>
  <c r="U273" i="24"/>
  <c r="V273" i="24" s="1"/>
  <c r="T272" i="24"/>
  <c r="S271" i="24"/>
  <c r="X1191" i="1" l="1"/>
  <c r="X1194" i="1"/>
  <c r="W1190" i="1"/>
  <c r="X1190" i="1" s="1"/>
  <c r="X1192" i="1"/>
  <c r="W1188" i="1"/>
  <c r="W1189" i="1"/>
  <c r="X1193" i="1"/>
  <c r="V1183" i="1"/>
  <c r="V1184" i="1"/>
  <c r="V1187" i="1"/>
  <c r="W1187" i="1" s="1"/>
  <c r="V1186" i="1"/>
  <c r="V1185" i="1"/>
  <c r="AG273" i="24"/>
  <c r="AI273" i="24" s="1"/>
  <c r="AJ273" i="24" s="1"/>
  <c r="Q1179" i="1"/>
  <c r="Y1179" i="1" s="1"/>
  <c r="Q1182" i="1"/>
  <c r="Y1182" i="1" s="1"/>
  <c r="Q1180" i="1"/>
  <c r="Y1180" i="1" s="1"/>
  <c r="Q1181" i="1"/>
  <c r="Y1181" i="1" s="1"/>
  <c r="R1183" i="1"/>
  <c r="R1184" i="1"/>
  <c r="R1187" i="1"/>
  <c r="R1185" i="1"/>
  <c r="R1186" i="1"/>
  <c r="W272" i="24"/>
  <c r="U272" i="24"/>
  <c r="V272" i="24" s="1"/>
  <c r="S270" i="24"/>
  <c r="T271" i="24"/>
  <c r="W1185" i="1" l="1"/>
  <c r="X1189" i="1"/>
  <c r="X1187" i="1"/>
  <c r="W1186" i="1"/>
  <c r="X1186" i="1" s="1"/>
  <c r="W1184" i="1"/>
  <c r="X1188" i="1"/>
  <c r="W1183" i="1"/>
  <c r="V1179" i="1"/>
  <c r="V1182" i="1"/>
  <c r="W1182" i="1" s="1"/>
  <c r="V1181" i="1"/>
  <c r="V1180" i="1"/>
  <c r="AG272" i="24"/>
  <c r="AI272" i="24" s="1"/>
  <c r="AJ272" i="24" s="1"/>
  <c r="Q1171" i="1" s="1"/>
  <c r="Y1171" i="1" s="1"/>
  <c r="Q1174" i="1"/>
  <c r="Y1174" i="1" s="1"/>
  <c r="R1181" i="1"/>
  <c r="R1180" i="1"/>
  <c r="R1182" i="1"/>
  <c r="R1179" i="1"/>
  <c r="Q1176" i="1"/>
  <c r="Y1176" i="1" s="1"/>
  <c r="Q1178" i="1"/>
  <c r="Y1178" i="1" s="1"/>
  <c r="Q1177" i="1"/>
  <c r="Y1177" i="1" s="1"/>
  <c r="Q1175" i="1"/>
  <c r="Y1175" i="1" s="1"/>
  <c r="W271" i="24"/>
  <c r="U271" i="24"/>
  <c r="V271" i="24" s="1"/>
  <c r="T270" i="24"/>
  <c r="S269" i="24"/>
  <c r="W1180" i="1" l="1"/>
  <c r="X1183" i="1"/>
  <c r="X1182" i="1"/>
  <c r="X1185" i="1"/>
  <c r="X1184" i="1"/>
  <c r="W1181" i="1"/>
  <c r="X1181" i="1" s="1"/>
  <c r="W1179" i="1"/>
  <c r="V1174" i="1"/>
  <c r="V1171" i="1"/>
  <c r="V1178" i="1"/>
  <c r="W1178" i="1" s="1"/>
  <c r="V1176" i="1"/>
  <c r="V1175" i="1"/>
  <c r="V1177" i="1"/>
  <c r="Q1173" i="1"/>
  <c r="Y1173" i="1" s="1"/>
  <c r="Q1170" i="1"/>
  <c r="Y1170" i="1" s="1"/>
  <c r="Q1172" i="1"/>
  <c r="Y1172" i="1" s="1"/>
  <c r="R1177" i="1"/>
  <c r="R1178" i="1"/>
  <c r="AG271" i="24"/>
  <c r="AI271" i="24" s="1"/>
  <c r="AJ271" i="24" s="1"/>
  <c r="R1176" i="1"/>
  <c r="R1174" i="1"/>
  <c r="R1171" i="1"/>
  <c r="R1175" i="1"/>
  <c r="S268" i="24"/>
  <c r="T269" i="24"/>
  <c r="W270" i="24"/>
  <c r="U270" i="24"/>
  <c r="V270" i="24" s="1"/>
  <c r="W1175" i="1" l="1"/>
  <c r="X1178" i="1"/>
  <c r="W1177" i="1"/>
  <c r="X1177" i="1" s="1"/>
  <c r="W1176" i="1"/>
  <c r="X1180" i="1"/>
  <c r="X1179" i="1"/>
  <c r="W1174" i="1"/>
  <c r="V1172" i="1"/>
  <c r="V1170" i="1"/>
  <c r="V1173" i="1"/>
  <c r="W1173" i="1" s="1"/>
  <c r="R1173" i="1"/>
  <c r="R1170" i="1"/>
  <c r="R1172" i="1"/>
  <c r="Q1169" i="1"/>
  <c r="Y1169" i="1" s="1"/>
  <c r="Q1167" i="1"/>
  <c r="Y1167" i="1" s="1"/>
  <c r="Q1166" i="1"/>
  <c r="Y1166" i="1" s="1"/>
  <c r="Q1168" i="1"/>
  <c r="Y1168" i="1" s="1"/>
  <c r="AG270" i="24"/>
  <c r="AI270" i="24" s="1"/>
  <c r="AJ270" i="24" s="1"/>
  <c r="W269" i="24"/>
  <c r="U269" i="24"/>
  <c r="V269" i="24" s="1"/>
  <c r="T268" i="24"/>
  <c r="S267" i="24"/>
  <c r="X1176" i="1" l="1"/>
  <c r="X1173" i="1"/>
  <c r="X1175" i="1"/>
  <c r="W1171" i="1"/>
  <c r="W1170" i="1"/>
  <c r="X1174" i="1"/>
  <c r="W1172" i="1"/>
  <c r="X1172" i="1" s="1"/>
  <c r="V1169" i="1"/>
  <c r="W1169" i="1" s="1"/>
  <c r="V1168" i="1"/>
  <c r="V1166" i="1"/>
  <c r="V1167" i="1"/>
  <c r="R1168" i="1"/>
  <c r="R1167" i="1"/>
  <c r="Q1162" i="1"/>
  <c r="Y1162" i="1" s="1"/>
  <c r="Q1163" i="1"/>
  <c r="Y1163" i="1" s="1"/>
  <c r="Q1164" i="1"/>
  <c r="Y1164" i="1" s="1"/>
  <c r="Q1165" i="1"/>
  <c r="Y1165" i="1" s="1"/>
  <c r="R1166" i="1"/>
  <c r="R1169" i="1"/>
  <c r="S266" i="24"/>
  <c r="T267" i="24"/>
  <c r="AG269" i="24"/>
  <c r="AI269" i="24" s="1"/>
  <c r="AJ269" i="24" s="1"/>
  <c r="U268" i="24"/>
  <c r="V268" i="24" s="1"/>
  <c r="W268" i="24"/>
  <c r="W1168" i="1" l="1"/>
  <c r="X1168" i="1" s="1"/>
  <c r="W1167" i="1"/>
  <c r="W1166" i="1"/>
  <c r="X1169" i="1"/>
  <c r="X1170" i="1"/>
  <c r="X1171" i="1"/>
  <c r="V1163" i="1"/>
  <c r="V1162" i="1"/>
  <c r="V1164" i="1"/>
  <c r="V1165" i="1"/>
  <c r="W1165" i="1" s="1"/>
  <c r="R1165" i="1"/>
  <c r="R1164" i="1"/>
  <c r="R1163" i="1"/>
  <c r="R1162" i="1"/>
  <c r="Q1161" i="1"/>
  <c r="Y1161" i="1" s="1"/>
  <c r="Q1159" i="1"/>
  <c r="Y1159" i="1" s="1"/>
  <c r="Q1158" i="1"/>
  <c r="Y1158" i="1" s="1"/>
  <c r="Q1160" i="1"/>
  <c r="Y1160" i="1" s="1"/>
  <c r="Q1157" i="1"/>
  <c r="Y1157" i="1" s="1"/>
  <c r="AG268" i="24"/>
  <c r="AI268" i="24" s="1"/>
  <c r="AJ268" i="24" s="1"/>
  <c r="W267" i="24"/>
  <c r="U267" i="24"/>
  <c r="V267" i="24" s="1"/>
  <c r="T266" i="24"/>
  <c r="S265" i="24"/>
  <c r="X1167" i="1" l="1"/>
  <c r="X1165" i="1"/>
  <c r="X1166" i="1"/>
  <c r="W1162" i="1"/>
  <c r="W1164" i="1"/>
  <c r="X1164" i="1" s="1"/>
  <c r="W1163" i="1"/>
  <c r="V1157" i="1"/>
  <c r="V1160" i="1"/>
  <c r="V1158" i="1"/>
  <c r="V1159" i="1"/>
  <c r="V1161" i="1"/>
  <c r="W1161" i="1" s="1"/>
  <c r="Q1153" i="1"/>
  <c r="Y1153" i="1" s="1"/>
  <c r="Q1155" i="1"/>
  <c r="Y1155" i="1" s="1"/>
  <c r="Q1156" i="1"/>
  <c r="Y1156" i="1" s="1"/>
  <c r="Q1154" i="1"/>
  <c r="Y1154" i="1" s="1"/>
  <c r="R1157" i="1"/>
  <c r="R1160" i="1"/>
  <c r="R1158" i="1"/>
  <c r="R1159" i="1"/>
  <c r="R1161" i="1"/>
  <c r="S264" i="24"/>
  <c r="T265" i="24"/>
  <c r="U266" i="24"/>
  <c r="V266" i="24" s="1"/>
  <c r="W266" i="24"/>
  <c r="AG267" i="24"/>
  <c r="AI267" i="24" s="1"/>
  <c r="AJ267" i="24" s="1"/>
  <c r="X1161" i="1" l="1"/>
  <c r="X1163" i="1"/>
  <c r="X1162" i="1"/>
  <c r="W1159" i="1"/>
  <c r="W1160" i="1"/>
  <c r="X1160" i="1" s="1"/>
  <c r="W1158" i="1"/>
  <c r="W1157" i="1"/>
  <c r="V1155" i="1"/>
  <c r="V1153" i="1"/>
  <c r="V1154" i="1"/>
  <c r="V1156" i="1"/>
  <c r="W1156" i="1" s="1"/>
  <c r="Q1151" i="1"/>
  <c r="Y1151" i="1" s="1"/>
  <c r="Q1150" i="1"/>
  <c r="Y1150" i="1" s="1"/>
  <c r="Q1149" i="1"/>
  <c r="Y1149" i="1" s="1"/>
  <c r="Q1152" i="1"/>
  <c r="Y1152" i="1" s="1"/>
  <c r="R1154" i="1"/>
  <c r="R1156" i="1"/>
  <c r="R1155" i="1"/>
  <c r="R1153" i="1"/>
  <c r="W265" i="24"/>
  <c r="U265" i="24"/>
  <c r="V265" i="24" s="1"/>
  <c r="T264" i="24"/>
  <c r="S263" i="24"/>
  <c r="AG266" i="24"/>
  <c r="AI266" i="24" s="1"/>
  <c r="AJ266" i="24" s="1"/>
  <c r="W1155" i="1" l="1"/>
  <c r="X1155" i="1" s="1"/>
  <c r="W1154" i="1"/>
  <c r="X1159" i="1"/>
  <c r="X1156" i="1"/>
  <c r="W1153" i="1"/>
  <c r="X1157" i="1"/>
  <c r="X1158" i="1"/>
  <c r="V1151" i="1"/>
  <c r="V1150" i="1"/>
  <c r="V1149" i="1"/>
  <c r="V1152" i="1"/>
  <c r="W1152" i="1" s="1"/>
  <c r="Q1145" i="1"/>
  <c r="Y1145" i="1" s="1"/>
  <c r="Q1147" i="1"/>
  <c r="Y1147" i="1" s="1"/>
  <c r="Q1148" i="1"/>
  <c r="Y1148" i="1" s="1"/>
  <c r="Q1146" i="1"/>
  <c r="Y1146" i="1" s="1"/>
  <c r="Q1144" i="1"/>
  <c r="Y1144" i="1" s="1"/>
  <c r="AG265" i="24"/>
  <c r="AI265" i="24" s="1"/>
  <c r="AJ265" i="24" s="1"/>
  <c r="R1152" i="1"/>
  <c r="R1149" i="1"/>
  <c r="R1150" i="1"/>
  <c r="R1151" i="1"/>
  <c r="S262" i="24"/>
  <c r="T263" i="24"/>
  <c r="U264" i="24"/>
  <c r="V264" i="24" s="1"/>
  <c r="W264" i="24"/>
  <c r="X1152" i="1" l="1"/>
  <c r="X1154" i="1"/>
  <c r="X1153" i="1"/>
  <c r="W1149" i="1"/>
  <c r="W1151" i="1"/>
  <c r="X1151" i="1" s="1"/>
  <c r="W1150" i="1"/>
  <c r="V1148" i="1"/>
  <c r="W1148" i="1" s="1"/>
  <c r="V1146" i="1"/>
  <c r="V1147" i="1"/>
  <c r="V1145" i="1"/>
  <c r="V1144" i="1"/>
  <c r="AG264" i="24"/>
  <c r="AI264" i="24" s="1"/>
  <c r="AJ264" i="24" s="1"/>
  <c r="Q1137" i="1" s="1"/>
  <c r="Y1137" i="1" s="1"/>
  <c r="Q1143" i="1"/>
  <c r="Y1143" i="1" s="1"/>
  <c r="Q1140" i="1"/>
  <c r="Y1140" i="1" s="1"/>
  <c r="Q1142" i="1"/>
  <c r="Y1142" i="1" s="1"/>
  <c r="Q1141" i="1"/>
  <c r="Y1141" i="1" s="1"/>
  <c r="R1144" i="1"/>
  <c r="R1146" i="1"/>
  <c r="R1148" i="1"/>
  <c r="Q1138" i="1"/>
  <c r="Y1138" i="1" s="1"/>
  <c r="Q1136" i="1"/>
  <c r="Y1136" i="1" s="1"/>
  <c r="R1147" i="1"/>
  <c r="R1145" i="1"/>
  <c r="W263" i="24"/>
  <c r="U263" i="24"/>
  <c r="V263" i="24" s="1"/>
  <c r="T262" i="24"/>
  <c r="S261" i="24"/>
  <c r="W1147" i="1" l="1"/>
  <c r="X1147" i="1" s="1"/>
  <c r="W1144" i="1"/>
  <c r="X1148" i="1"/>
  <c r="X1150" i="1"/>
  <c r="X1149" i="1"/>
  <c r="W1145" i="1"/>
  <c r="W1146" i="1"/>
  <c r="V1136" i="1"/>
  <c r="V1143" i="1"/>
  <c r="W1143" i="1" s="1"/>
  <c r="V1137" i="1"/>
  <c r="V1138" i="1"/>
  <c r="V1141" i="1"/>
  <c r="V1142" i="1"/>
  <c r="W1142" i="1" s="1"/>
  <c r="V1140" i="1"/>
  <c r="Q1139" i="1"/>
  <c r="Y1139" i="1" s="1"/>
  <c r="R1137" i="1"/>
  <c r="R1136" i="1"/>
  <c r="R1141" i="1"/>
  <c r="R1142" i="1"/>
  <c r="R1140" i="1"/>
  <c r="R1138" i="1"/>
  <c r="R1143" i="1"/>
  <c r="AG263" i="24"/>
  <c r="AI263" i="24" s="1"/>
  <c r="AJ263" i="24" s="1"/>
  <c r="S260" i="24"/>
  <c r="T261" i="24"/>
  <c r="U262" i="24"/>
  <c r="V262" i="24" s="1"/>
  <c r="W262" i="24"/>
  <c r="X1146" i="1" l="1"/>
  <c r="W1140" i="1"/>
  <c r="W1141" i="1"/>
  <c r="X1141" i="1" s="1"/>
  <c r="X1145" i="1"/>
  <c r="X1142" i="1"/>
  <c r="X1143" i="1"/>
  <c r="X1144" i="1"/>
  <c r="V1139" i="1"/>
  <c r="W1139" i="1" s="1"/>
  <c r="R1139" i="1"/>
  <c r="AG262" i="24"/>
  <c r="AI262" i="24" s="1"/>
  <c r="AJ262" i="24" s="1"/>
  <c r="Q1135" i="1"/>
  <c r="Y1135" i="1" s="1"/>
  <c r="Q1132" i="1"/>
  <c r="Y1132" i="1" s="1"/>
  <c r="Q1134" i="1"/>
  <c r="Y1134" i="1" s="1"/>
  <c r="Q1133" i="1"/>
  <c r="Y1133" i="1" s="1"/>
  <c r="Q1131" i="1"/>
  <c r="Y1131" i="1" s="1"/>
  <c r="T260" i="24"/>
  <c r="S259" i="24"/>
  <c r="W261" i="24"/>
  <c r="U261" i="24"/>
  <c r="V261" i="24" s="1"/>
  <c r="X1139" i="1" l="1"/>
  <c r="X1140" i="1"/>
  <c r="W1136" i="1"/>
  <c r="W1138" i="1"/>
  <c r="X1138" i="1" s="1"/>
  <c r="W1137" i="1"/>
  <c r="V1134" i="1"/>
  <c r="V1132" i="1"/>
  <c r="V1135" i="1"/>
  <c r="W1135" i="1" s="1"/>
  <c r="V1133" i="1"/>
  <c r="V1131" i="1"/>
  <c r="R1131" i="1"/>
  <c r="R1133" i="1"/>
  <c r="R1134" i="1"/>
  <c r="R1132" i="1"/>
  <c r="R1135" i="1"/>
  <c r="Q1128" i="1"/>
  <c r="Y1128" i="1" s="1"/>
  <c r="Q1130" i="1"/>
  <c r="Y1130" i="1" s="1"/>
  <c r="Q1129" i="1"/>
  <c r="Y1129" i="1" s="1"/>
  <c r="Q1127" i="1"/>
  <c r="Y1127" i="1" s="1"/>
  <c r="S258" i="24"/>
  <c r="T259" i="24"/>
  <c r="U260" i="24"/>
  <c r="V260" i="24" s="1"/>
  <c r="W260" i="24"/>
  <c r="AG261" i="24"/>
  <c r="AI261" i="24" s="1"/>
  <c r="AJ261" i="24" s="1"/>
  <c r="W1131" i="1" l="1"/>
  <c r="X1137" i="1"/>
  <c r="W1133" i="1"/>
  <c r="X1135" i="1"/>
  <c r="W1132" i="1"/>
  <c r="W1134" i="1"/>
  <c r="X1134" i="1" s="1"/>
  <c r="X1136" i="1"/>
  <c r="V1127" i="1"/>
  <c r="V1129" i="1"/>
  <c r="V1130" i="1"/>
  <c r="W1130" i="1" s="1"/>
  <c r="V1128" i="1"/>
  <c r="AG260" i="24"/>
  <c r="AI260" i="24" s="1"/>
  <c r="AJ260" i="24" s="1"/>
  <c r="R1127" i="1"/>
  <c r="R1129" i="1"/>
  <c r="R1130" i="1"/>
  <c r="R1128" i="1"/>
  <c r="Q1126" i="1"/>
  <c r="Y1126" i="1" s="1"/>
  <c r="Q1123" i="1"/>
  <c r="Y1123" i="1" s="1"/>
  <c r="Q1124" i="1"/>
  <c r="Y1124" i="1" s="1"/>
  <c r="Q1125" i="1"/>
  <c r="Y1125" i="1" s="1"/>
  <c r="W259" i="24"/>
  <c r="U259" i="24"/>
  <c r="V259" i="24" s="1"/>
  <c r="T258" i="24"/>
  <c r="S257" i="24"/>
  <c r="X1130" i="1" l="1"/>
  <c r="W1129" i="1"/>
  <c r="X1129" i="1" s="1"/>
  <c r="W1128" i="1"/>
  <c r="X1131" i="1"/>
  <c r="W1127" i="1"/>
  <c r="X1132" i="1"/>
  <c r="X1133" i="1"/>
  <c r="V1125" i="1"/>
  <c r="V1123" i="1"/>
  <c r="V1124" i="1"/>
  <c r="V1126" i="1"/>
  <c r="W1126" i="1" s="1"/>
  <c r="Q1122" i="1"/>
  <c r="Y1122" i="1" s="1"/>
  <c r="Q1121" i="1"/>
  <c r="Y1121" i="1" s="1"/>
  <c r="Q1119" i="1"/>
  <c r="Y1119" i="1" s="1"/>
  <c r="Q1120" i="1"/>
  <c r="Y1120" i="1" s="1"/>
  <c r="Q1118" i="1"/>
  <c r="Y1118" i="1" s="1"/>
  <c r="R1125" i="1"/>
  <c r="R1124" i="1"/>
  <c r="R1123" i="1"/>
  <c r="R1126" i="1"/>
  <c r="AG259" i="24"/>
  <c r="AI259" i="24" s="1"/>
  <c r="AJ259" i="24" s="1"/>
  <c r="S256" i="24"/>
  <c r="T257" i="24"/>
  <c r="W258" i="24"/>
  <c r="U258" i="24"/>
  <c r="V258" i="24" s="1"/>
  <c r="X1128" i="1" l="1"/>
  <c r="X1126" i="1"/>
  <c r="X1127" i="1"/>
  <c r="W1123" i="1"/>
  <c r="W1124" i="1"/>
  <c r="W1125" i="1"/>
  <c r="X1125" i="1" s="1"/>
  <c r="V1119" i="1"/>
  <c r="V1121" i="1"/>
  <c r="V1120" i="1"/>
  <c r="V1122" i="1"/>
  <c r="W1122" i="1" s="1"/>
  <c r="V1118" i="1"/>
  <c r="AG258" i="24"/>
  <c r="AI258" i="24" s="1"/>
  <c r="AJ258" i="24" s="1"/>
  <c r="Q1114" i="1"/>
  <c r="Y1114" i="1" s="1"/>
  <c r="Q1115" i="1"/>
  <c r="Y1115" i="1" s="1"/>
  <c r="Q1117" i="1"/>
  <c r="Y1117" i="1" s="1"/>
  <c r="Q1116" i="1"/>
  <c r="Y1116" i="1" s="1"/>
  <c r="R1118" i="1"/>
  <c r="R1120" i="1"/>
  <c r="R1119" i="1"/>
  <c r="R1121" i="1"/>
  <c r="R1122" i="1"/>
  <c r="T256" i="24"/>
  <c r="S255" i="24"/>
  <c r="W257" i="24"/>
  <c r="U257" i="24"/>
  <c r="V257" i="24" s="1"/>
  <c r="X1122" i="1" l="1"/>
  <c r="W1118" i="1"/>
  <c r="W1121" i="1"/>
  <c r="X1121" i="1" s="1"/>
  <c r="X1124" i="1"/>
  <c r="W1120" i="1"/>
  <c r="W1119" i="1"/>
  <c r="X1123" i="1"/>
  <c r="V1114" i="1"/>
  <c r="V1116" i="1"/>
  <c r="V1117" i="1"/>
  <c r="W1117" i="1" s="1"/>
  <c r="V1115" i="1"/>
  <c r="R1116" i="1"/>
  <c r="R1117" i="1"/>
  <c r="R1115" i="1"/>
  <c r="R1114" i="1"/>
  <c r="Q1112" i="1"/>
  <c r="Y1112" i="1" s="1"/>
  <c r="Q1113" i="1"/>
  <c r="Y1113" i="1" s="1"/>
  <c r="Q1111" i="1"/>
  <c r="Y1111" i="1" s="1"/>
  <c r="Q1110" i="1"/>
  <c r="Y1110" i="1" s="1"/>
  <c r="S254" i="24"/>
  <c r="T255" i="24"/>
  <c r="W256" i="24"/>
  <c r="U256" i="24"/>
  <c r="V256" i="24" s="1"/>
  <c r="AG257" i="24"/>
  <c r="AI257" i="24" s="1"/>
  <c r="AJ257" i="24" s="1"/>
  <c r="X1120" i="1" l="1"/>
  <c r="X1118" i="1"/>
  <c r="X1117" i="1"/>
  <c r="W1114" i="1"/>
  <c r="W1115" i="1"/>
  <c r="W1116" i="1"/>
  <c r="X1116" i="1" s="1"/>
  <c r="X1119" i="1"/>
  <c r="V1110" i="1"/>
  <c r="V1111" i="1"/>
  <c r="V1112" i="1"/>
  <c r="V1113" i="1"/>
  <c r="W1113" i="1" s="1"/>
  <c r="Q1106" i="1"/>
  <c r="Y1106" i="1" s="1"/>
  <c r="Q1105" i="1"/>
  <c r="Y1105" i="1" s="1"/>
  <c r="Q1107" i="1"/>
  <c r="Y1107" i="1" s="1"/>
  <c r="Q1108" i="1"/>
  <c r="Y1108" i="1" s="1"/>
  <c r="Q1109" i="1"/>
  <c r="Y1109" i="1" s="1"/>
  <c r="R1110" i="1"/>
  <c r="R1111" i="1"/>
  <c r="R1113" i="1"/>
  <c r="R1112" i="1"/>
  <c r="AG256" i="24"/>
  <c r="AI256" i="24" s="1"/>
  <c r="AJ256" i="24" s="1"/>
  <c r="W255" i="24"/>
  <c r="U255" i="24"/>
  <c r="V255" i="24" s="1"/>
  <c r="T254" i="24"/>
  <c r="S253" i="24"/>
  <c r="X1113" i="1" l="1"/>
  <c r="W1111" i="1"/>
  <c r="W1112" i="1"/>
  <c r="X1112" i="1" s="1"/>
  <c r="W1110" i="1"/>
  <c r="X1115" i="1"/>
  <c r="X1114" i="1"/>
  <c r="V1107" i="1"/>
  <c r="V1105" i="1"/>
  <c r="V1106" i="1"/>
  <c r="V1108" i="1"/>
  <c r="V1109" i="1"/>
  <c r="W1109" i="1" s="1"/>
  <c r="AG255" i="24"/>
  <c r="AI255" i="24" s="1"/>
  <c r="AJ255" i="24" s="1"/>
  <c r="Q1098" i="1" s="1"/>
  <c r="Y1098" i="1" s="1"/>
  <c r="Q1096" i="1"/>
  <c r="Y1096" i="1" s="1"/>
  <c r="Q1103" i="1"/>
  <c r="Y1103" i="1" s="1"/>
  <c r="Q1102" i="1"/>
  <c r="Y1102" i="1" s="1"/>
  <c r="Q1104" i="1"/>
  <c r="Y1104" i="1" s="1"/>
  <c r="Q1101" i="1"/>
  <c r="Y1101" i="1" s="1"/>
  <c r="R1109" i="1"/>
  <c r="R1108" i="1"/>
  <c r="R1107" i="1"/>
  <c r="R1105" i="1"/>
  <c r="R1106" i="1"/>
  <c r="S252" i="24"/>
  <c r="T253" i="24"/>
  <c r="W254" i="24"/>
  <c r="U254" i="24"/>
  <c r="V254" i="24" s="1"/>
  <c r="W1108" i="1" l="1"/>
  <c r="X1108" i="1" s="1"/>
  <c r="X1111" i="1"/>
  <c r="X1109" i="1"/>
  <c r="X1110" i="1"/>
  <c r="W1106" i="1"/>
  <c r="W1107" i="1"/>
  <c r="W1105" i="1"/>
  <c r="V1098" i="1"/>
  <c r="V1096" i="1"/>
  <c r="V1101" i="1"/>
  <c r="V1104" i="1"/>
  <c r="W1104" i="1" s="1"/>
  <c r="V1102" i="1"/>
  <c r="V1103" i="1"/>
  <c r="Q1100" i="1"/>
  <c r="Y1100" i="1" s="1"/>
  <c r="Q1099" i="1"/>
  <c r="Y1099" i="1" s="1"/>
  <c r="Q1097" i="1"/>
  <c r="Y1097" i="1" s="1"/>
  <c r="R1104" i="1"/>
  <c r="R1102" i="1"/>
  <c r="R1103" i="1"/>
  <c r="R1096" i="1"/>
  <c r="R1101" i="1"/>
  <c r="R1098" i="1"/>
  <c r="T252" i="24"/>
  <c r="S251" i="24"/>
  <c r="W253" i="24"/>
  <c r="U253" i="24"/>
  <c r="V253" i="24" s="1"/>
  <c r="AG254" i="24"/>
  <c r="AI254" i="24" s="1"/>
  <c r="AJ254" i="24" s="1"/>
  <c r="X1104" i="1" l="1"/>
  <c r="X1105" i="1"/>
  <c r="X1107" i="1"/>
  <c r="W1103" i="1"/>
  <c r="X1103" i="1" s="1"/>
  <c r="W1102" i="1"/>
  <c r="W1101" i="1"/>
  <c r="X1106" i="1"/>
  <c r="V1097" i="1"/>
  <c r="V1099" i="1"/>
  <c r="V1100" i="1"/>
  <c r="W1100" i="1" s="1"/>
  <c r="R1100" i="1"/>
  <c r="R1097" i="1"/>
  <c r="R1099" i="1"/>
  <c r="Q1095" i="1"/>
  <c r="Y1095" i="1" s="1"/>
  <c r="Q1092" i="1"/>
  <c r="Y1092" i="1" s="1"/>
  <c r="Q1094" i="1"/>
  <c r="Y1094" i="1" s="1"/>
  <c r="Q1093" i="1"/>
  <c r="Y1093" i="1" s="1"/>
  <c r="AG253" i="24"/>
  <c r="AI253" i="24" s="1"/>
  <c r="AJ253" i="24" s="1"/>
  <c r="S250" i="24"/>
  <c r="T251" i="24"/>
  <c r="U252" i="24"/>
  <c r="V252" i="24" s="1"/>
  <c r="W252" i="24"/>
  <c r="X1102" i="1" l="1"/>
  <c r="X1101" i="1"/>
  <c r="X1100" i="1"/>
  <c r="W1098" i="1"/>
  <c r="W1097" i="1"/>
  <c r="W1099" i="1"/>
  <c r="X1099" i="1" s="1"/>
  <c r="W1096" i="1"/>
  <c r="V1095" i="1"/>
  <c r="W1095" i="1" s="1"/>
  <c r="V1093" i="1"/>
  <c r="V1094" i="1"/>
  <c r="V1092" i="1"/>
  <c r="AG252" i="24"/>
  <c r="AI252" i="24" s="1"/>
  <c r="AJ252" i="24" s="1"/>
  <c r="Q1083" i="1"/>
  <c r="Y1083" i="1" s="1"/>
  <c r="Q1087" i="1"/>
  <c r="Y1087" i="1" s="1"/>
  <c r="Q1084" i="1"/>
  <c r="Y1084" i="1" s="1"/>
  <c r="Q1086" i="1"/>
  <c r="Y1086" i="1" s="1"/>
  <c r="Q1085" i="1"/>
  <c r="Y1085" i="1" s="1"/>
  <c r="Q1089" i="1"/>
  <c r="Y1089" i="1" s="1"/>
  <c r="Q1091" i="1"/>
  <c r="Y1091" i="1" s="1"/>
  <c r="Q1088" i="1"/>
  <c r="Y1088" i="1" s="1"/>
  <c r="Q1090" i="1"/>
  <c r="Y1090" i="1" s="1"/>
  <c r="R1093" i="1"/>
  <c r="R1094" i="1"/>
  <c r="R1092" i="1"/>
  <c r="R1095" i="1"/>
  <c r="W251" i="24"/>
  <c r="U251" i="24"/>
  <c r="V251" i="24" s="1"/>
  <c r="T250" i="24"/>
  <c r="S249" i="24"/>
  <c r="W1094" i="1" l="1"/>
  <c r="X1094" i="1" s="1"/>
  <c r="W1093" i="1"/>
  <c r="W1092" i="1"/>
  <c r="X1096" i="1"/>
  <c r="X1095" i="1"/>
  <c r="X1097" i="1"/>
  <c r="X1098" i="1"/>
  <c r="V1084" i="1"/>
  <c r="V1090" i="1"/>
  <c r="V1083" i="1"/>
  <c r="V1086" i="1"/>
  <c r="V1088" i="1"/>
  <c r="V1091" i="1"/>
  <c r="W1091" i="1" s="1"/>
  <c r="V1087" i="1"/>
  <c r="V1089" i="1"/>
  <c r="V1085" i="1"/>
  <c r="R1091" i="1"/>
  <c r="R1089" i="1"/>
  <c r="R1088" i="1"/>
  <c r="R1085" i="1"/>
  <c r="R1086" i="1"/>
  <c r="R1084" i="1"/>
  <c r="R1087" i="1"/>
  <c r="R1090" i="1"/>
  <c r="R1083" i="1"/>
  <c r="S248" i="24"/>
  <c r="T249" i="24"/>
  <c r="AG251" i="24"/>
  <c r="AI251" i="24" s="1"/>
  <c r="AJ251" i="24" s="1"/>
  <c r="W250" i="24"/>
  <c r="U250" i="24"/>
  <c r="V250" i="24" s="1"/>
  <c r="X1091" i="1" l="1"/>
  <c r="X1092" i="1"/>
  <c r="X1093" i="1"/>
  <c r="W1089" i="1"/>
  <c r="W1090" i="1"/>
  <c r="X1090" i="1" s="1"/>
  <c r="W1085" i="1"/>
  <c r="W1087" i="1"/>
  <c r="W1088" i="1"/>
  <c r="W1083" i="1"/>
  <c r="W1084" i="1"/>
  <c r="W1086" i="1"/>
  <c r="AG250" i="24"/>
  <c r="AI250" i="24" s="1"/>
  <c r="AJ250" i="24" s="1"/>
  <c r="Q1081" i="1"/>
  <c r="Y1081" i="1" s="1"/>
  <c r="Q1079" i="1"/>
  <c r="Y1079" i="1" s="1"/>
  <c r="Q1082" i="1"/>
  <c r="Y1082" i="1" s="1"/>
  <c r="Q1080" i="1"/>
  <c r="Y1080" i="1" s="1"/>
  <c r="W249" i="24"/>
  <c r="U249" i="24"/>
  <c r="V249" i="24" s="1"/>
  <c r="T248" i="24"/>
  <c r="S247" i="24"/>
  <c r="X1086" i="1" l="1"/>
  <c r="X1087" i="1"/>
  <c r="X1084" i="1"/>
  <c r="X1085" i="1"/>
  <c r="X1083" i="1"/>
  <c r="X1088" i="1"/>
  <c r="X1089" i="1"/>
  <c r="V1082" i="1"/>
  <c r="W1082" i="1" s="1"/>
  <c r="X1082" i="1" s="1"/>
  <c r="V1080" i="1"/>
  <c r="V1079" i="1"/>
  <c r="V1081" i="1"/>
  <c r="AG249" i="24"/>
  <c r="AI249" i="24" s="1"/>
  <c r="AJ249" i="24" s="1"/>
  <c r="R1080" i="1"/>
  <c r="R1082" i="1"/>
  <c r="R1079" i="1"/>
  <c r="R1081" i="1"/>
  <c r="Q1076" i="1"/>
  <c r="Y1076" i="1" s="1"/>
  <c r="Q1078" i="1"/>
  <c r="Y1078" i="1" s="1"/>
  <c r="Q1075" i="1"/>
  <c r="Y1075" i="1" s="1"/>
  <c r="Q1077" i="1"/>
  <c r="Y1077" i="1" s="1"/>
  <c r="S246" i="24"/>
  <c r="T247" i="24"/>
  <c r="W248" i="24"/>
  <c r="U248" i="24"/>
  <c r="V248" i="24" s="1"/>
  <c r="W1081" i="1" l="1"/>
  <c r="X1081" i="1" s="1"/>
  <c r="W1079" i="1"/>
  <c r="W1080" i="1"/>
  <c r="V1076" i="1"/>
  <c r="V1075" i="1"/>
  <c r="V1078" i="1"/>
  <c r="W1078" i="1" s="1"/>
  <c r="V1077" i="1"/>
  <c r="R1077" i="1"/>
  <c r="R1075" i="1"/>
  <c r="R1078" i="1"/>
  <c r="R1076" i="1"/>
  <c r="Q1071" i="1"/>
  <c r="Y1071" i="1" s="1"/>
  <c r="Q1074" i="1"/>
  <c r="Y1074" i="1" s="1"/>
  <c r="Q1073" i="1"/>
  <c r="Y1073" i="1" s="1"/>
  <c r="Q1072" i="1"/>
  <c r="Y1072" i="1" s="1"/>
  <c r="W247" i="24"/>
  <c r="U247" i="24"/>
  <c r="V247" i="24" s="1"/>
  <c r="S245" i="24"/>
  <c r="T246" i="24"/>
  <c r="AG248" i="24"/>
  <c r="AI248" i="24" s="1"/>
  <c r="AJ248" i="24" s="1"/>
  <c r="X1078" i="1" l="1"/>
  <c r="X1080" i="1"/>
  <c r="W1076" i="1"/>
  <c r="X1079" i="1"/>
  <c r="W1077" i="1"/>
  <c r="X1077" i="1" s="1"/>
  <c r="W1075" i="1"/>
  <c r="V1072" i="1"/>
  <c r="V1073" i="1"/>
  <c r="V1074" i="1"/>
  <c r="W1074" i="1" s="1"/>
  <c r="V1071" i="1"/>
  <c r="Q1068" i="1"/>
  <c r="Y1068" i="1" s="1"/>
  <c r="Q1070" i="1"/>
  <c r="Y1070" i="1" s="1"/>
  <c r="Q1069" i="1"/>
  <c r="Y1069" i="1" s="1"/>
  <c r="Q1066" i="1"/>
  <c r="Y1066" i="1" s="1"/>
  <c r="Q1067" i="1"/>
  <c r="Y1067" i="1" s="1"/>
  <c r="R1072" i="1"/>
  <c r="R1073" i="1"/>
  <c r="R1074" i="1"/>
  <c r="R1071" i="1"/>
  <c r="AG247" i="24"/>
  <c r="AI247" i="24" s="1"/>
  <c r="AJ247" i="24" s="1"/>
  <c r="W246" i="24"/>
  <c r="U246" i="24"/>
  <c r="V246" i="24" s="1"/>
  <c r="S244" i="24"/>
  <c r="T245" i="24"/>
  <c r="X1074" i="1" l="1"/>
  <c r="X1076" i="1"/>
  <c r="X1075" i="1"/>
  <c r="W1071" i="1"/>
  <c r="W1073" i="1"/>
  <c r="X1073" i="1" s="1"/>
  <c r="W1072" i="1"/>
  <c r="V1066" i="1"/>
  <c r="V1069" i="1"/>
  <c r="V1068" i="1"/>
  <c r="V1070" i="1"/>
  <c r="W1070" i="1" s="1"/>
  <c r="V1067" i="1"/>
  <c r="Q1062" i="1"/>
  <c r="Y1062" i="1" s="1"/>
  <c r="Q1064" i="1"/>
  <c r="Y1064" i="1" s="1"/>
  <c r="Q1065" i="1"/>
  <c r="Y1065" i="1" s="1"/>
  <c r="Q1063" i="1"/>
  <c r="Y1063" i="1" s="1"/>
  <c r="R1067" i="1"/>
  <c r="R1066" i="1"/>
  <c r="R1069" i="1"/>
  <c r="R1070" i="1"/>
  <c r="R1068" i="1"/>
  <c r="S243" i="24"/>
  <c r="T244" i="24"/>
  <c r="W245" i="24"/>
  <c r="U245" i="24"/>
  <c r="V245" i="24" s="1"/>
  <c r="AG246" i="24"/>
  <c r="AI246" i="24" s="1"/>
  <c r="AJ246" i="24" s="1"/>
  <c r="X1070" i="1" l="1"/>
  <c r="X1072" i="1"/>
  <c r="W1069" i="1"/>
  <c r="X1069" i="1" s="1"/>
  <c r="W1067" i="1"/>
  <c r="W1068" i="1"/>
  <c r="W1066" i="1"/>
  <c r="X1071" i="1"/>
  <c r="V1064" i="1"/>
  <c r="V1062" i="1"/>
  <c r="V1063" i="1"/>
  <c r="V1065" i="1"/>
  <c r="W1065" i="1" s="1"/>
  <c r="Q1058" i="1"/>
  <c r="Y1058" i="1" s="1"/>
  <c r="Q1057" i="1"/>
  <c r="Y1057" i="1" s="1"/>
  <c r="Q1059" i="1"/>
  <c r="Y1059" i="1" s="1"/>
  <c r="Q1060" i="1"/>
  <c r="Y1060" i="1" s="1"/>
  <c r="Q1061" i="1"/>
  <c r="Y1061" i="1" s="1"/>
  <c r="R1063" i="1"/>
  <c r="R1065" i="1"/>
  <c r="R1064" i="1"/>
  <c r="R1062" i="1"/>
  <c r="AG245" i="24"/>
  <c r="AI245" i="24" s="1"/>
  <c r="AJ245" i="24" s="1"/>
  <c r="U244" i="24"/>
  <c r="V244" i="24" s="1"/>
  <c r="W244" i="24"/>
  <c r="S242" i="24"/>
  <c r="T243" i="24"/>
  <c r="W1063" i="1" l="1"/>
  <c r="X1068" i="1"/>
  <c r="X1066" i="1"/>
  <c r="W1064" i="1"/>
  <c r="X1064" i="1" s="1"/>
  <c r="X1067" i="1"/>
  <c r="X1065" i="1"/>
  <c r="W1062" i="1"/>
  <c r="V1057" i="1"/>
  <c r="V1058" i="1"/>
  <c r="V1059" i="1"/>
  <c r="V1061" i="1"/>
  <c r="W1061" i="1" s="1"/>
  <c r="V1060" i="1"/>
  <c r="AG244" i="24"/>
  <c r="AI244" i="24" s="1"/>
  <c r="Q1056" i="1"/>
  <c r="Y1056" i="1" s="1"/>
  <c r="Q1055" i="1"/>
  <c r="Y1055" i="1" s="1"/>
  <c r="Q1054" i="1"/>
  <c r="Y1054" i="1" s="1"/>
  <c r="Q1053" i="1"/>
  <c r="Y1053" i="1" s="1"/>
  <c r="R1061" i="1"/>
  <c r="R1060" i="1"/>
  <c r="R1059" i="1"/>
  <c r="R1057" i="1"/>
  <c r="R1058" i="1"/>
  <c r="T242" i="24"/>
  <c r="S241" i="24"/>
  <c r="AJ244" i="24"/>
  <c r="W243" i="24"/>
  <c r="U243" i="24"/>
  <c r="V243" i="24" s="1"/>
  <c r="X1061" i="1" l="1"/>
  <c r="X1062" i="1"/>
  <c r="X1063" i="1"/>
  <c r="W1060" i="1"/>
  <c r="X1060" i="1" s="1"/>
  <c r="W1059" i="1"/>
  <c r="W1057" i="1"/>
  <c r="W1058" i="1"/>
  <c r="V1056" i="1"/>
  <c r="W1056" i="1" s="1"/>
  <c r="V1053" i="1"/>
  <c r="V1054" i="1"/>
  <c r="V1055" i="1"/>
  <c r="R1053" i="1"/>
  <c r="R1054" i="1"/>
  <c r="R1055" i="1"/>
  <c r="R1056" i="1"/>
  <c r="Q1050" i="1"/>
  <c r="Y1050" i="1" s="1"/>
  <c r="Q1049" i="1"/>
  <c r="Y1049" i="1" s="1"/>
  <c r="Q1051" i="1"/>
  <c r="Y1051" i="1" s="1"/>
  <c r="Q1052" i="1"/>
  <c r="Y1052" i="1" s="1"/>
  <c r="AG243" i="24"/>
  <c r="AI243" i="24" s="1"/>
  <c r="AJ243" i="24" s="1"/>
  <c r="S240" i="24"/>
  <c r="T241" i="24"/>
  <c r="W242" i="24"/>
  <c r="U242" i="24"/>
  <c r="V242" i="24" s="1"/>
  <c r="X1059" i="1" l="1"/>
  <c r="W1055" i="1"/>
  <c r="X1055" i="1" s="1"/>
  <c r="X1058" i="1"/>
  <c r="X1057" i="1"/>
  <c r="W1053" i="1"/>
  <c r="W1054" i="1"/>
  <c r="X1056" i="1"/>
  <c r="V1052" i="1"/>
  <c r="W1052" i="1" s="1"/>
  <c r="V1051" i="1"/>
  <c r="V1049" i="1"/>
  <c r="V1050" i="1"/>
  <c r="AG242" i="24"/>
  <c r="AI242" i="24" s="1"/>
  <c r="AJ242" i="24" s="1"/>
  <c r="Q1048" i="1"/>
  <c r="Y1048" i="1" s="1"/>
  <c r="Q1047" i="1"/>
  <c r="Y1047" i="1" s="1"/>
  <c r="Q1044" i="1"/>
  <c r="Y1044" i="1" s="1"/>
  <c r="Q1046" i="1"/>
  <c r="Y1046" i="1" s="1"/>
  <c r="Q1045" i="1"/>
  <c r="Y1045" i="1" s="1"/>
  <c r="R1052" i="1"/>
  <c r="R1051" i="1"/>
  <c r="R1049" i="1"/>
  <c r="R1050" i="1"/>
  <c r="W241" i="24"/>
  <c r="U241" i="24"/>
  <c r="V241" i="24" s="1"/>
  <c r="T240" i="24"/>
  <c r="S239" i="24"/>
  <c r="X1052" i="1" l="1"/>
  <c r="X1054" i="1"/>
  <c r="W1051" i="1"/>
  <c r="X1051" i="1" s="1"/>
  <c r="W1050" i="1"/>
  <c r="W1049" i="1"/>
  <c r="X1053" i="1"/>
  <c r="V1047" i="1"/>
  <c r="V1048" i="1"/>
  <c r="W1048" i="1" s="1"/>
  <c r="V1044" i="1"/>
  <c r="V1045" i="1"/>
  <c r="V1046" i="1"/>
  <c r="R1045" i="1"/>
  <c r="R1046" i="1"/>
  <c r="R1044" i="1"/>
  <c r="R1047" i="1"/>
  <c r="R1048" i="1"/>
  <c r="Q1040" i="1"/>
  <c r="Y1040" i="1" s="1"/>
  <c r="Q1042" i="1"/>
  <c r="Y1042" i="1" s="1"/>
  <c r="Q1041" i="1"/>
  <c r="Y1041" i="1" s="1"/>
  <c r="Q1043" i="1"/>
  <c r="Y1043" i="1" s="1"/>
  <c r="AG241" i="24"/>
  <c r="AI241" i="24" s="1"/>
  <c r="AJ241" i="24" s="1"/>
  <c r="S238" i="24"/>
  <c r="T239" i="24"/>
  <c r="U240" i="24"/>
  <c r="V240" i="24" s="1"/>
  <c r="W240" i="24"/>
  <c r="X1049" i="1" l="1"/>
  <c r="X1050" i="1"/>
  <c r="W1047" i="1"/>
  <c r="X1047" i="1" s="1"/>
  <c r="W1046" i="1"/>
  <c r="X1048" i="1"/>
  <c r="W1045" i="1"/>
  <c r="W1044" i="1"/>
  <c r="V1043" i="1"/>
  <c r="W1043" i="1" s="1"/>
  <c r="V1041" i="1"/>
  <c r="V1042" i="1"/>
  <c r="V1040" i="1"/>
  <c r="AG240" i="24"/>
  <c r="AI240" i="24" s="1"/>
  <c r="Q1039" i="1"/>
  <c r="Y1039" i="1" s="1"/>
  <c r="Q1036" i="1"/>
  <c r="Y1036" i="1" s="1"/>
  <c r="Q1038" i="1"/>
  <c r="Y1038" i="1" s="1"/>
  <c r="Q1037" i="1"/>
  <c r="Y1037" i="1" s="1"/>
  <c r="R1043" i="1"/>
  <c r="R1041" i="1"/>
  <c r="R1042" i="1"/>
  <c r="R1040" i="1"/>
  <c r="AJ240" i="24"/>
  <c r="S237" i="24"/>
  <c r="T238" i="24"/>
  <c r="W239" i="24"/>
  <c r="U239" i="24"/>
  <c r="V239" i="24" s="1"/>
  <c r="X1046" i="1" l="1"/>
  <c r="X1044" i="1"/>
  <c r="X1045" i="1"/>
  <c r="X1043" i="1"/>
  <c r="W1042" i="1"/>
  <c r="X1042" i="1" s="1"/>
  <c r="W1040" i="1"/>
  <c r="W1041" i="1"/>
  <c r="V1036" i="1"/>
  <c r="V1039" i="1"/>
  <c r="W1039" i="1" s="1"/>
  <c r="V1037" i="1"/>
  <c r="V1038" i="1"/>
  <c r="AG239" i="24"/>
  <c r="AI239" i="24" s="1"/>
  <c r="AJ239" i="24" s="1"/>
  <c r="Q1034" i="1"/>
  <c r="Y1034" i="1" s="1"/>
  <c r="Q1033" i="1"/>
  <c r="Y1033" i="1" s="1"/>
  <c r="Q1035" i="1"/>
  <c r="Y1035" i="1" s="1"/>
  <c r="Q1031" i="1"/>
  <c r="Y1031" i="1" s="1"/>
  <c r="Q1032" i="1"/>
  <c r="Y1032" i="1" s="1"/>
  <c r="R1037" i="1"/>
  <c r="R1038" i="1"/>
  <c r="R1036" i="1"/>
  <c r="R1039" i="1"/>
  <c r="S236" i="24"/>
  <c r="T237" i="24"/>
  <c r="W238" i="24"/>
  <c r="U238" i="24"/>
  <c r="V238" i="24" s="1"/>
  <c r="W1038" i="1" l="1"/>
  <c r="X1038" i="1" s="1"/>
  <c r="W1037" i="1"/>
  <c r="X1039" i="1"/>
  <c r="X1041" i="1"/>
  <c r="W1036" i="1"/>
  <c r="X1040" i="1"/>
  <c r="V1034" i="1"/>
  <c r="V1033" i="1"/>
  <c r="V1035" i="1"/>
  <c r="W1035" i="1" s="1"/>
  <c r="V1032" i="1"/>
  <c r="V1031" i="1"/>
  <c r="R1032" i="1"/>
  <c r="R1031" i="1"/>
  <c r="R1035" i="1"/>
  <c r="R1033" i="1"/>
  <c r="R1034" i="1"/>
  <c r="Q1027" i="1"/>
  <c r="Y1027" i="1" s="1"/>
  <c r="Q1028" i="1"/>
  <c r="Y1028" i="1" s="1"/>
  <c r="Q1030" i="1"/>
  <c r="Y1030" i="1" s="1"/>
  <c r="Q1029" i="1"/>
  <c r="Y1029" i="1" s="1"/>
  <c r="S235" i="24"/>
  <c r="T236" i="24"/>
  <c r="AG238" i="24"/>
  <c r="AI238" i="24" s="1"/>
  <c r="AJ238" i="24" s="1"/>
  <c r="W237" i="24"/>
  <c r="U237" i="24"/>
  <c r="V237" i="24" s="1"/>
  <c r="X1037" i="1" l="1"/>
  <c r="X1035" i="1"/>
  <c r="W1031" i="1"/>
  <c r="X1036" i="1"/>
  <c r="W1034" i="1"/>
  <c r="X1034" i="1" s="1"/>
  <c r="W1032" i="1"/>
  <c r="W1033" i="1"/>
  <c r="V1029" i="1"/>
  <c r="V1027" i="1"/>
  <c r="V1028" i="1"/>
  <c r="V1030" i="1"/>
  <c r="W1030" i="1" s="1"/>
  <c r="R1029" i="1"/>
  <c r="R1030" i="1"/>
  <c r="R1028" i="1"/>
  <c r="R1027" i="1"/>
  <c r="AG237" i="24"/>
  <c r="AI237" i="24" s="1"/>
  <c r="AJ237" i="24" s="1"/>
  <c r="Q1025" i="1"/>
  <c r="Y1025" i="1" s="1"/>
  <c r="Q1023" i="1"/>
  <c r="Y1023" i="1" s="1"/>
  <c r="Q1022" i="1"/>
  <c r="Y1022" i="1" s="1"/>
  <c r="Q1024" i="1"/>
  <c r="Y1024" i="1" s="1"/>
  <c r="Q1026" i="1"/>
  <c r="Y1026" i="1" s="1"/>
  <c r="S234" i="24"/>
  <c r="T235" i="24"/>
  <c r="W236" i="24"/>
  <c r="U236" i="24"/>
  <c r="V236" i="24" s="1"/>
  <c r="X1030" i="1" l="1"/>
  <c r="X1031" i="1"/>
  <c r="W1027" i="1"/>
  <c r="X1033" i="1"/>
  <c r="W1028" i="1"/>
  <c r="W1029" i="1"/>
  <c r="X1029" i="1" s="1"/>
  <c r="X1032" i="1"/>
  <c r="V1026" i="1"/>
  <c r="W1026" i="1" s="1"/>
  <c r="V1024" i="1"/>
  <c r="V1025" i="1"/>
  <c r="V1023" i="1"/>
  <c r="V1022" i="1"/>
  <c r="R1026" i="1"/>
  <c r="R1024" i="1"/>
  <c r="R1022" i="1"/>
  <c r="R1023" i="1"/>
  <c r="R1025" i="1"/>
  <c r="Q1019" i="1"/>
  <c r="Y1019" i="1" s="1"/>
  <c r="Q1020" i="1"/>
  <c r="Y1020" i="1" s="1"/>
  <c r="Q1021" i="1"/>
  <c r="Y1021" i="1" s="1"/>
  <c r="Q1018" i="1"/>
  <c r="Y1018" i="1" s="1"/>
  <c r="AG236" i="24"/>
  <c r="AI236" i="24" s="1"/>
  <c r="AJ236" i="24" s="1"/>
  <c r="W235" i="24"/>
  <c r="U235" i="24"/>
  <c r="V235" i="24" s="1"/>
  <c r="S233" i="24"/>
  <c r="T234" i="24"/>
  <c r="W1022" i="1" l="1"/>
  <c r="W1025" i="1"/>
  <c r="X1025" i="1" s="1"/>
  <c r="X1026" i="1"/>
  <c r="X1028" i="1"/>
  <c r="W1023" i="1"/>
  <c r="W1024" i="1"/>
  <c r="X1024" i="1" s="1"/>
  <c r="X1027" i="1"/>
  <c r="V1021" i="1"/>
  <c r="W1021" i="1" s="1"/>
  <c r="V1020" i="1"/>
  <c r="V1019" i="1"/>
  <c r="V1018" i="1"/>
  <c r="AG235" i="24"/>
  <c r="AI235" i="24" s="1"/>
  <c r="AJ235" i="24" s="1"/>
  <c r="Q1017" i="1"/>
  <c r="Y1017" i="1" s="1"/>
  <c r="Q1015" i="1"/>
  <c r="Y1015" i="1" s="1"/>
  <c r="Q1014" i="1"/>
  <c r="Y1014" i="1" s="1"/>
  <c r="Q1016" i="1"/>
  <c r="Y1016" i="1" s="1"/>
  <c r="R1021" i="1"/>
  <c r="R1020" i="1"/>
  <c r="R1019" i="1"/>
  <c r="R1018" i="1"/>
  <c r="W234" i="24"/>
  <c r="U234" i="24"/>
  <c r="V234" i="24" s="1"/>
  <c r="S232" i="24"/>
  <c r="T233" i="24"/>
  <c r="X1021" i="1" l="1"/>
  <c r="W1019" i="1"/>
  <c r="X1023" i="1"/>
  <c r="W1018" i="1"/>
  <c r="W1020" i="1"/>
  <c r="X1020" i="1" s="1"/>
  <c r="X1022" i="1"/>
  <c r="V1017" i="1"/>
  <c r="W1017" i="1" s="1"/>
  <c r="X1017" i="1" s="1"/>
  <c r="V1015" i="1"/>
  <c r="V1016" i="1"/>
  <c r="V1014" i="1"/>
  <c r="Q1012" i="1"/>
  <c r="Y1012" i="1" s="1"/>
  <c r="Q1013" i="1"/>
  <c r="Y1013" i="1" s="1"/>
  <c r="Q1010" i="1"/>
  <c r="Y1010" i="1" s="1"/>
  <c r="Q1011" i="1"/>
  <c r="Y1011" i="1" s="1"/>
  <c r="R1016" i="1"/>
  <c r="R1014" i="1"/>
  <c r="R1015" i="1"/>
  <c r="R1017" i="1"/>
  <c r="W233" i="24"/>
  <c r="U233" i="24"/>
  <c r="V233" i="24" s="1"/>
  <c r="S231" i="24"/>
  <c r="T232" i="24"/>
  <c r="AG234" i="24"/>
  <c r="AI234" i="24" s="1"/>
  <c r="AJ234" i="24" s="1"/>
  <c r="W1014" i="1" l="1"/>
  <c r="X1019" i="1"/>
  <c r="W1016" i="1"/>
  <c r="X1016" i="1" s="1"/>
  <c r="W1015" i="1"/>
  <c r="X1018" i="1"/>
  <c r="V1012" i="1"/>
  <c r="V1011" i="1"/>
  <c r="V1010" i="1"/>
  <c r="V1013" i="1"/>
  <c r="W1013" i="1" s="1"/>
  <c r="Q1007" i="1"/>
  <c r="Y1007" i="1" s="1"/>
  <c r="Q1006" i="1"/>
  <c r="Y1006" i="1" s="1"/>
  <c r="Q1005" i="1"/>
  <c r="Y1005" i="1" s="1"/>
  <c r="Q1009" i="1"/>
  <c r="Y1009" i="1" s="1"/>
  <c r="Q1008" i="1"/>
  <c r="Y1008" i="1" s="1"/>
  <c r="R1011" i="1"/>
  <c r="R1010" i="1"/>
  <c r="R1013" i="1"/>
  <c r="R1012" i="1"/>
  <c r="W232" i="24"/>
  <c r="U232" i="24"/>
  <c r="V232" i="24" s="1"/>
  <c r="S230" i="24"/>
  <c r="T231" i="24"/>
  <c r="AG233" i="24"/>
  <c r="AI233" i="24" s="1"/>
  <c r="AJ233" i="24" s="1"/>
  <c r="W1012" i="1" l="1"/>
  <c r="X1012" i="1" s="1"/>
  <c r="X1013" i="1"/>
  <c r="X1014" i="1"/>
  <c r="W1010" i="1"/>
  <c r="X1015" i="1"/>
  <c r="W1011" i="1"/>
  <c r="X1011" i="1" s="1"/>
  <c r="V1009" i="1"/>
  <c r="W1009" i="1" s="1"/>
  <c r="V1007" i="1"/>
  <c r="V1005" i="1"/>
  <c r="V1006" i="1"/>
  <c r="V1008" i="1"/>
  <c r="Q1004" i="1"/>
  <c r="Y1004" i="1" s="1"/>
  <c r="Q1002" i="1"/>
  <c r="Y1002" i="1" s="1"/>
  <c r="Q1001" i="1"/>
  <c r="Y1001" i="1" s="1"/>
  <c r="Q1003" i="1"/>
  <c r="Y1003" i="1" s="1"/>
  <c r="R1008" i="1"/>
  <c r="R1009" i="1"/>
  <c r="R1005" i="1"/>
  <c r="R1006" i="1"/>
  <c r="R1007" i="1"/>
  <c r="W231" i="24"/>
  <c r="U231" i="24"/>
  <c r="V231" i="24" s="1"/>
  <c r="S229" i="24"/>
  <c r="T230" i="24"/>
  <c r="AG232" i="24"/>
  <c r="AI232" i="24" s="1"/>
  <c r="AJ232" i="24" s="1"/>
  <c r="AA1378" i="1"/>
  <c r="AB1378" i="1" s="1"/>
  <c r="W1008" i="1" l="1"/>
  <c r="X1010" i="1"/>
  <c r="X1008" i="1"/>
  <c r="X1009" i="1"/>
  <c r="W1006" i="1"/>
  <c r="W1007" i="1"/>
  <c r="X1007" i="1" s="1"/>
  <c r="W1005" i="1"/>
  <c r="V1004" i="1"/>
  <c r="W1004" i="1" s="1"/>
  <c r="V1002" i="1"/>
  <c r="V1003" i="1"/>
  <c r="V1001" i="1"/>
  <c r="R1003" i="1"/>
  <c r="R1001" i="1"/>
  <c r="R1002" i="1"/>
  <c r="Q998" i="1"/>
  <c r="Y998" i="1" s="1"/>
  <c r="Q1000" i="1"/>
  <c r="Y1000" i="1" s="1"/>
  <c r="Q999" i="1"/>
  <c r="Y999" i="1" s="1"/>
  <c r="Q997" i="1"/>
  <c r="Y997" i="1" s="1"/>
  <c r="R1004" i="1"/>
  <c r="W230" i="24"/>
  <c r="U230" i="24"/>
  <c r="V230" i="24" s="1"/>
  <c r="S228" i="24"/>
  <c r="T229" i="24"/>
  <c r="AG231" i="24"/>
  <c r="AI231" i="24" s="1"/>
  <c r="AJ231" i="24" s="1"/>
  <c r="X1005" i="1" l="1"/>
  <c r="W1001" i="1"/>
  <c r="W1003" i="1"/>
  <c r="X1003" i="1" s="1"/>
  <c r="W1002" i="1"/>
  <c r="X1004" i="1"/>
  <c r="X1006" i="1"/>
  <c r="V997" i="1"/>
  <c r="V999" i="1"/>
  <c r="V1000" i="1"/>
  <c r="W1000" i="1" s="1"/>
  <c r="V998" i="1"/>
  <c r="R1000" i="1"/>
  <c r="R998" i="1"/>
  <c r="Q992" i="1"/>
  <c r="Y992" i="1" s="1"/>
  <c r="Q994" i="1"/>
  <c r="Y994" i="1" s="1"/>
  <c r="Q993" i="1"/>
  <c r="Y993" i="1" s="1"/>
  <c r="Q995" i="1"/>
  <c r="Y995" i="1" s="1"/>
  <c r="Q996" i="1"/>
  <c r="Y996" i="1" s="1"/>
  <c r="R997" i="1"/>
  <c r="R999" i="1"/>
  <c r="W229" i="24"/>
  <c r="U229" i="24"/>
  <c r="V229" i="24" s="1"/>
  <c r="S227" i="24"/>
  <c r="T228" i="24"/>
  <c r="AG230" i="24"/>
  <c r="AI230" i="24" s="1"/>
  <c r="AJ230" i="24" s="1"/>
  <c r="X1002" i="1" l="1"/>
  <c r="X1001" i="1"/>
  <c r="X1000" i="1"/>
  <c r="W998" i="1"/>
  <c r="W999" i="1"/>
  <c r="X999" i="1" s="1"/>
  <c r="W997" i="1"/>
  <c r="V992" i="1"/>
  <c r="V994" i="1"/>
  <c r="V996" i="1"/>
  <c r="W996" i="1" s="1"/>
  <c r="V995" i="1"/>
  <c r="W995" i="1" s="1"/>
  <c r="V993" i="1"/>
  <c r="R995" i="1"/>
  <c r="R993" i="1"/>
  <c r="R994" i="1"/>
  <c r="R992" i="1"/>
  <c r="Q991" i="1"/>
  <c r="Y991" i="1" s="1"/>
  <c r="Q990" i="1"/>
  <c r="Y990" i="1" s="1"/>
  <c r="Q988" i="1"/>
  <c r="Y988" i="1" s="1"/>
  <c r="Q989" i="1"/>
  <c r="Y989" i="1" s="1"/>
  <c r="R996" i="1"/>
  <c r="W228" i="24"/>
  <c r="U228" i="24"/>
  <c r="V228" i="24" s="1"/>
  <c r="S226" i="24"/>
  <c r="T227" i="24"/>
  <c r="AG229" i="24"/>
  <c r="AI229" i="24" s="1"/>
  <c r="AJ229" i="24" s="1"/>
  <c r="X995" i="1" l="1"/>
  <c r="W993" i="1"/>
  <c r="X997" i="1"/>
  <c r="X996" i="1"/>
  <c r="W994" i="1"/>
  <c r="X994" i="1" s="1"/>
  <c r="W992" i="1"/>
  <c r="X998" i="1"/>
  <c r="V989" i="1"/>
  <c r="V988" i="1"/>
  <c r="V990" i="1"/>
  <c r="V991" i="1"/>
  <c r="W991" i="1" s="1"/>
  <c r="Q986" i="1"/>
  <c r="Y986" i="1" s="1"/>
  <c r="Q985" i="1"/>
  <c r="Y985" i="1" s="1"/>
  <c r="Q987" i="1"/>
  <c r="Y987" i="1" s="1"/>
  <c r="Q984" i="1"/>
  <c r="Y984" i="1" s="1"/>
  <c r="Q983" i="1"/>
  <c r="Y983" i="1" s="1"/>
  <c r="R989" i="1"/>
  <c r="R988" i="1"/>
  <c r="R990" i="1"/>
  <c r="R991" i="1"/>
  <c r="W227" i="24"/>
  <c r="U227" i="24"/>
  <c r="V227" i="24" s="1"/>
  <c r="S225" i="24"/>
  <c r="T226" i="24"/>
  <c r="AG228" i="24"/>
  <c r="AI228" i="24" s="1"/>
  <c r="AJ228" i="24" s="1"/>
  <c r="X991" i="1" l="1"/>
  <c r="X992" i="1"/>
  <c r="W988" i="1"/>
  <c r="W990" i="1"/>
  <c r="X990" i="1" s="1"/>
  <c r="W989" i="1"/>
  <c r="X993" i="1"/>
  <c r="V985" i="1"/>
  <c r="V986" i="1"/>
  <c r="V987" i="1"/>
  <c r="W987" i="1" s="1"/>
  <c r="V983" i="1"/>
  <c r="V984" i="1"/>
  <c r="Q979" i="1"/>
  <c r="Y979" i="1" s="1"/>
  <c r="Q980" i="1"/>
  <c r="Y980" i="1" s="1"/>
  <c r="Q982" i="1"/>
  <c r="Y982" i="1" s="1"/>
  <c r="Q981" i="1"/>
  <c r="Y981" i="1" s="1"/>
  <c r="R983" i="1"/>
  <c r="R984" i="1"/>
  <c r="R987" i="1"/>
  <c r="R985" i="1"/>
  <c r="R986" i="1"/>
  <c r="S224" i="24"/>
  <c r="T225" i="24"/>
  <c r="W226" i="24"/>
  <c r="U226" i="24"/>
  <c r="V226" i="24" s="1"/>
  <c r="AG227" i="24"/>
  <c r="AI227" i="24" s="1"/>
  <c r="AJ227" i="24" s="1"/>
  <c r="X989" i="1" l="1"/>
  <c r="W984" i="1"/>
  <c r="X987" i="1"/>
  <c r="W985" i="1"/>
  <c r="X988" i="1"/>
  <c r="W983" i="1"/>
  <c r="W986" i="1"/>
  <c r="X986" i="1" s="1"/>
  <c r="V979" i="1"/>
  <c r="V980" i="1"/>
  <c r="V981" i="1"/>
  <c r="V982" i="1"/>
  <c r="W982" i="1" s="1"/>
  <c r="Q976" i="1"/>
  <c r="Y976" i="1" s="1"/>
  <c r="Q978" i="1"/>
  <c r="Y978" i="1" s="1"/>
  <c r="Q977" i="1"/>
  <c r="Y977" i="1" s="1"/>
  <c r="Q975" i="1"/>
  <c r="Y975" i="1" s="1"/>
  <c r="R981" i="1"/>
  <c r="R982" i="1"/>
  <c r="R980" i="1"/>
  <c r="R979" i="1"/>
  <c r="AG226" i="24"/>
  <c r="AI226" i="24" s="1"/>
  <c r="AJ226" i="24" s="1"/>
  <c r="W225" i="24"/>
  <c r="U225" i="24"/>
  <c r="V225" i="24" s="1"/>
  <c r="S223" i="24"/>
  <c r="T224" i="24"/>
  <c r="X982" i="1" l="1"/>
  <c r="X984" i="1"/>
  <c r="X983" i="1"/>
  <c r="W981" i="1"/>
  <c r="X981" i="1" s="1"/>
  <c r="X985" i="1"/>
  <c r="W979" i="1"/>
  <c r="W980" i="1"/>
  <c r="V978" i="1"/>
  <c r="W978" i="1" s="1"/>
  <c r="X978" i="1" s="1"/>
  <c r="V976" i="1"/>
  <c r="V977" i="1"/>
  <c r="V975" i="1"/>
  <c r="Q970" i="1"/>
  <c r="Y970" i="1" s="1"/>
  <c r="Q971" i="1"/>
  <c r="Y971" i="1" s="1"/>
  <c r="Q972" i="1"/>
  <c r="Y972" i="1" s="1"/>
  <c r="Q974" i="1"/>
  <c r="Y974" i="1" s="1"/>
  <c r="Q973" i="1"/>
  <c r="Y973" i="1" s="1"/>
  <c r="R975" i="1"/>
  <c r="R977" i="1"/>
  <c r="R978" i="1"/>
  <c r="R976" i="1"/>
  <c r="W224" i="24"/>
  <c r="U224" i="24"/>
  <c r="V224" i="24" s="1"/>
  <c r="S222" i="24"/>
  <c r="T223" i="24"/>
  <c r="AG225" i="24"/>
  <c r="AI225" i="24" s="1"/>
  <c r="AJ225" i="24" s="1"/>
  <c r="X980" i="1" l="1"/>
  <c r="W977" i="1"/>
  <c r="X977" i="1" s="1"/>
  <c r="W975" i="1"/>
  <c r="W976" i="1"/>
  <c r="X979" i="1"/>
  <c r="V974" i="1"/>
  <c r="W974" i="1" s="1"/>
  <c r="V970" i="1"/>
  <c r="V971" i="1"/>
  <c r="V972" i="1"/>
  <c r="V973" i="1"/>
  <c r="Q968" i="1"/>
  <c r="Y968" i="1" s="1"/>
  <c r="Q969" i="1"/>
  <c r="Y969" i="1" s="1"/>
  <c r="Q967" i="1"/>
  <c r="Y967" i="1" s="1"/>
  <c r="Q966" i="1"/>
  <c r="Y966" i="1" s="1"/>
  <c r="R973" i="1"/>
  <c r="R974" i="1"/>
  <c r="R972" i="1"/>
  <c r="R971" i="1"/>
  <c r="R970" i="1"/>
  <c r="W223" i="24"/>
  <c r="U223" i="24"/>
  <c r="V223" i="24" s="1"/>
  <c r="S221" i="24"/>
  <c r="T222" i="24"/>
  <c r="AG224" i="24"/>
  <c r="AI224" i="24" s="1"/>
  <c r="AJ224" i="24" s="1"/>
  <c r="W973" i="1" l="1"/>
  <c r="X973" i="1" s="1"/>
  <c r="X974" i="1"/>
  <c r="X976" i="1"/>
  <c r="W972" i="1"/>
  <c r="W970" i="1"/>
  <c r="W971" i="1"/>
  <c r="X975" i="1"/>
  <c r="V968" i="1"/>
  <c r="V969" i="1"/>
  <c r="W969" i="1" s="1"/>
  <c r="V966" i="1"/>
  <c r="V967" i="1"/>
  <c r="Q963" i="1"/>
  <c r="Y963" i="1" s="1"/>
  <c r="Q964" i="1"/>
  <c r="Y964" i="1" s="1"/>
  <c r="Q965" i="1"/>
  <c r="Y965" i="1" s="1"/>
  <c r="Q962" i="1"/>
  <c r="Y962" i="1" s="1"/>
  <c r="R966" i="1"/>
  <c r="R967" i="1"/>
  <c r="R969" i="1"/>
  <c r="R968" i="1"/>
  <c r="W222" i="24"/>
  <c r="U222" i="24"/>
  <c r="V222" i="24" s="1"/>
  <c r="S220" i="24"/>
  <c r="T221" i="24"/>
  <c r="AG223" i="24"/>
  <c r="AI223" i="24" s="1"/>
  <c r="AJ223" i="24" s="1"/>
  <c r="X972" i="1" l="1"/>
  <c r="W967" i="1"/>
  <c r="X969" i="1"/>
  <c r="X971" i="1"/>
  <c r="W966" i="1"/>
  <c r="W968" i="1"/>
  <c r="X968" i="1" s="1"/>
  <c r="X970" i="1"/>
  <c r="V964" i="1"/>
  <c r="V963" i="1"/>
  <c r="V965" i="1"/>
  <c r="W965" i="1" s="1"/>
  <c r="V962" i="1"/>
  <c r="Q960" i="1"/>
  <c r="Y960" i="1" s="1"/>
  <c r="Q961" i="1"/>
  <c r="Y961" i="1" s="1"/>
  <c r="Q959" i="1"/>
  <c r="Y959" i="1" s="1"/>
  <c r="Q958" i="1"/>
  <c r="Y958" i="1" s="1"/>
  <c r="Q957" i="1"/>
  <c r="Y957" i="1" s="1"/>
  <c r="R962" i="1"/>
  <c r="R965" i="1"/>
  <c r="R964" i="1"/>
  <c r="R963" i="1"/>
  <c r="S219" i="24"/>
  <c r="T220" i="24"/>
  <c r="W221" i="24"/>
  <c r="U221" i="24"/>
  <c r="V221" i="24" s="1"/>
  <c r="AG222" i="24"/>
  <c r="AI222" i="24" s="1"/>
  <c r="AJ222" i="24" s="1"/>
  <c r="W962" i="1" l="1"/>
  <c r="W963" i="1"/>
  <c r="X965" i="1"/>
  <c r="W964" i="1"/>
  <c r="X964" i="1" s="1"/>
  <c r="X966" i="1"/>
  <c r="X967" i="1"/>
  <c r="V958" i="1"/>
  <c r="V960" i="1"/>
  <c r="V959" i="1"/>
  <c r="V961" i="1"/>
  <c r="W961" i="1" s="1"/>
  <c r="V957" i="1"/>
  <c r="AG221" i="24"/>
  <c r="AI221" i="24" s="1"/>
  <c r="AJ221" i="24" s="1"/>
  <c r="R957" i="1"/>
  <c r="R958" i="1"/>
  <c r="R959" i="1"/>
  <c r="R961" i="1"/>
  <c r="Q953" i="1"/>
  <c r="Y953" i="1" s="1"/>
  <c r="Q955" i="1"/>
  <c r="Y955" i="1" s="1"/>
  <c r="Q956" i="1"/>
  <c r="Y956" i="1" s="1"/>
  <c r="Q954" i="1"/>
  <c r="Y954" i="1" s="1"/>
  <c r="R960" i="1"/>
  <c r="W220" i="24"/>
  <c r="U220" i="24"/>
  <c r="V220" i="24" s="1"/>
  <c r="S218" i="24"/>
  <c r="T219" i="24"/>
  <c r="W957" i="1" l="1"/>
  <c r="X963" i="1"/>
  <c r="X961" i="1"/>
  <c r="W959" i="1"/>
  <c r="W958" i="1"/>
  <c r="W960" i="1"/>
  <c r="X960" i="1" s="1"/>
  <c r="X962" i="1"/>
  <c r="V954" i="1"/>
  <c r="V955" i="1"/>
  <c r="V953" i="1"/>
  <c r="V956" i="1"/>
  <c r="W956" i="1" s="1"/>
  <c r="R954" i="1"/>
  <c r="R956" i="1"/>
  <c r="R955" i="1"/>
  <c r="R953" i="1"/>
  <c r="Q951" i="1"/>
  <c r="Y951" i="1" s="1"/>
  <c r="Q950" i="1"/>
  <c r="Y950" i="1" s="1"/>
  <c r="Q949" i="1"/>
  <c r="Y949" i="1" s="1"/>
  <c r="Q952" i="1"/>
  <c r="Y952" i="1" s="1"/>
  <c r="W219" i="24"/>
  <c r="U219" i="24"/>
  <c r="V219" i="24" s="1"/>
  <c r="S217" i="24"/>
  <c r="T218" i="24"/>
  <c r="AG220" i="24"/>
  <c r="AI220" i="24" s="1"/>
  <c r="AJ220" i="24" s="1"/>
  <c r="X956" i="1" l="1"/>
  <c r="X959" i="1"/>
  <c r="X958" i="1"/>
  <c r="W953" i="1"/>
  <c r="W954" i="1"/>
  <c r="X957" i="1"/>
  <c r="W955" i="1"/>
  <c r="X955" i="1" s="1"/>
  <c r="V952" i="1"/>
  <c r="W952" i="1" s="1"/>
  <c r="V949" i="1"/>
  <c r="V951" i="1"/>
  <c r="V950" i="1"/>
  <c r="Q948" i="1"/>
  <c r="Y948" i="1" s="1"/>
  <c r="Q946" i="1"/>
  <c r="Y946" i="1" s="1"/>
  <c r="Q945" i="1"/>
  <c r="Y945" i="1" s="1"/>
  <c r="Q947" i="1"/>
  <c r="Y947" i="1" s="1"/>
  <c r="Q944" i="1"/>
  <c r="Y944" i="1" s="1"/>
  <c r="AG219" i="24"/>
  <c r="AI219" i="24" s="1"/>
  <c r="AJ219" i="24" s="1"/>
  <c r="R952" i="1"/>
  <c r="R949" i="1"/>
  <c r="R950" i="1"/>
  <c r="R951" i="1"/>
  <c r="S216" i="24"/>
  <c r="T217" i="24"/>
  <c r="W218" i="24"/>
  <c r="U218" i="24"/>
  <c r="V218" i="24" s="1"/>
  <c r="W951" i="1" l="1"/>
  <c r="X951" i="1" s="1"/>
  <c r="W950" i="1"/>
  <c r="W949" i="1"/>
  <c r="X952" i="1"/>
  <c r="X954" i="1"/>
  <c r="X953" i="1"/>
  <c r="V945" i="1"/>
  <c r="V946" i="1"/>
  <c r="V948" i="1"/>
  <c r="W948" i="1" s="1"/>
  <c r="V947" i="1"/>
  <c r="V944" i="1"/>
  <c r="Q943" i="1"/>
  <c r="Y943" i="1" s="1"/>
  <c r="Q940" i="1"/>
  <c r="Y940" i="1" s="1"/>
  <c r="Q942" i="1"/>
  <c r="Y942" i="1" s="1"/>
  <c r="Q941" i="1"/>
  <c r="Y941" i="1" s="1"/>
  <c r="R944" i="1"/>
  <c r="R947" i="1"/>
  <c r="R945" i="1"/>
  <c r="R946" i="1"/>
  <c r="R948" i="1"/>
  <c r="S215" i="24"/>
  <c r="T216" i="24"/>
  <c r="W217" i="24"/>
  <c r="U217" i="24"/>
  <c r="V217" i="24" s="1"/>
  <c r="AG218" i="24"/>
  <c r="AI218" i="24" s="1"/>
  <c r="AJ218" i="24" s="1"/>
  <c r="X949" i="1" l="1"/>
  <c r="X950" i="1"/>
  <c r="X948" i="1"/>
  <c r="W947" i="1"/>
  <c r="X947" i="1" s="1"/>
  <c r="W946" i="1"/>
  <c r="W944" i="1"/>
  <c r="W945" i="1"/>
  <c r="V943" i="1"/>
  <c r="W943" i="1" s="1"/>
  <c r="V942" i="1"/>
  <c r="V940" i="1"/>
  <c r="V941" i="1"/>
  <c r="R941" i="1"/>
  <c r="R942" i="1"/>
  <c r="R940" i="1"/>
  <c r="Q938" i="1"/>
  <c r="Y938" i="1" s="1"/>
  <c r="Q937" i="1"/>
  <c r="Y937" i="1" s="1"/>
  <c r="Q939" i="1"/>
  <c r="Y939" i="1" s="1"/>
  <c r="Q936" i="1"/>
  <c r="Y936" i="1" s="1"/>
  <c r="R943" i="1"/>
  <c r="AG217" i="24"/>
  <c r="AI217" i="24" s="1"/>
  <c r="AJ217" i="24" s="1"/>
  <c r="W216" i="24"/>
  <c r="U216" i="24"/>
  <c r="V216" i="24" s="1"/>
  <c r="S214" i="24"/>
  <c r="T215" i="24"/>
  <c r="X945" i="1" l="1"/>
  <c r="X943" i="1"/>
  <c r="W941" i="1"/>
  <c r="X946" i="1"/>
  <c r="W942" i="1"/>
  <c r="X942" i="1" s="1"/>
  <c r="X944" i="1"/>
  <c r="W940" i="1"/>
  <c r="V937" i="1"/>
  <c r="V936" i="1"/>
  <c r="V939" i="1"/>
  <c r="W939" i="1" s="1"/>
  <c r="V938" i="1"/>
  <c r="R937" i="1"/>
  <c r="R938" i="1"/>
  <c r="Q934" i="1"/>
  <c r="Y934" i="1" s="1"/>
  <c r="Q931" i="1"/>
  <c r="Y931" i="1" s="1"/>
  <c r="Q935" i="1"/>
  <c r="Y935" i="1" s="1"/>
  <c r="Q932" i="1"/>
  <c r="Y932" i="1" s="1"/>
  <c r="Q933" i="1"/>
  <c r="Y933" i="1" s="1"/>
  <c r="R936" i="1"/>
  <c r="R939" i="1"/>
  <c r="W215" i="24"/>
  <c r="U215" i="24"/>
  <c r="V215" i="24" s="1"/>
  <c r="S213" i="24"/>
  <c r="T214" i="24"/>
  <c r="AG216" i="24"/>
  <c r="AI216" i="24" s="1"/>
  <c r="AJ216" i="24" s="1"/>
  <c r="W937" i="1" l="1"/>
  <c r="X941" i="1"/>
  <c r="X940" i="1"/>
  <c r="X939" i="1"/>
  <c r="W938" i="1"/>
  <c r="X938" i="1" s="1"/>
  <c r="W936" i="1"/>
  <c r="V931" i="1"/>
  <c r="V934" i="1"/>
  <c r="V933" i="1"/>
  <c r="V932" i="1"/>
  <c r="V935" i="1"/>
  <c r="W935" i="1" s="1"/>
  <c r="R932" i="1"/>
  <c r="R935" i="1"/>
  <c r="R931" i="1"/>
  <c r="R934" i="1"/>
  <c r="AG215" i="24"/>
  <c r="AI215" i="24" s="1"/>
  <c r="AJ215" i="24" s="1"/>
  <c r="Q928" i="1"/>
  <c r="Y928" i="1" s="1"/>
  <c r="Q930" i="1"/>
  <c r="Y930" i="1" s="1"/>
  <c r="Q929" i="1"/>
  <c r="Y929" i="1" s="1"/>
  <c r="Q927" i="1"/>
  <c r="Y927" i="1" s="1"/>
  <c r="R933" i="1"/>
  <c r="W214" i="24"/>
  <c r="U214" i="24"/>
  <c r="V214" i="24" s="1"/>
  <c r="T213" i="24"/>
  <c r="S212" i="24"/>
  <c r="X935" i="1" l="1"/>
  <c r="X936" i="1"/>
  <c r="W932" i="1"/>
  <c r="W934" i="1"/>
  <c r="X934" i="1" s="1"/>
  <c r="W933" i="1"/>
  <c r="X933" i="1" s="1"/>
  <c r="W931" i="1"/>
  <c r="X937" i="1"/>
  <c r="V930" i="1"/>
  <c r="W930" i="1" s="1"/>
  <c r="V928" i="1"/>
  <c r="V927" i="1"/>
  <c r="V929" i="1"/>
  <c r="R927" i="1"/>
  <c r="R929" i="1"/>
  <c r="R930" i="1"/>
  <c r="R928" i="1"/>
  <c r="Q922" i="1"/>
  <c r="Y922" i="1" s="1"/>
  <c r="Q923" i="1"/>
  <c r="Y923" i="1" s="1"/>
  <c r="Q926" i="1"/>
  <c r="Y926" i="1" s="1"/>
  <c r="Q924" i="1"/>
  <c r="Y924" i="1" s="1"/>
  <c r="Q925" i="1"/>
  <c r="Y925" i="1" s="1"/>
  <c r="AG214" i="24"/>
  <c r="AI214" i="24" s="1"/>
  <c r="AJ214" i="24" s="1"/>
  <c r="S211" i="24"/>
  <c r="T212" i="24"/>
  <c r="W213" i="24"/>
  <c r="U213" i="24"/>
  <c r="V213" i="24" s="1"/>
  <c r="W929" i="1" l="1"/>
  <c r="X929" i="1" s="1"/>
  <c r="X931" i="1"/>
  <c r="W928" i="1"/>
  <c r="W927" i="1"/>
  <c r="X930" i="1"/>
  <c r="X932" i="1"/>
  <c r="V925" i="1"/>
  <c r="V926" i="1"/>
  <c r="W926" i="1" s="1"/>
  <c r="V924" i="1"/>
  <c r="V923" i="1"/>
  <c r="V922" i="1"/>
  <c r="Q921" i="1"/>
  <c r="Y921" i="1" s="1"/>
  <c r="Q919" i="1"/>
  <c r="Y919" i="1" s="1"/>
  <c r="Q920" i="1"/>
  <c r="Y920" i="1" s="1"/>
  <c r="Q918" i="1"/>
  <c r="Y918" i="1" s="1"/>
  <c r="R925" i="1"/>
  <c r="R924" i="1"/>
  <c r="R926" i="1"/>
  <c r="R923" i="1"/>
  <c r="R922" i="1"/>
  <c r="S210" i="24"/>
  <c r="T211" i="24"/>
  <c r="AG213" i="24"/>
  <c r="AI213" i="24" s="1"/>
  <c r="AJ213" i="24" s="1"/>
  <c r="W212" i="24"/>
  <c r="U212" i="24"/>
  <c r="V212" i="24" s="1"/>
  <c r="X927" i="1" l="1"/>
  <c r="W923" i="1"/>
  <c r="X926" i="1"/>
  <c r="X928" i="1"/>
  <c r="W922" i="1"/>
  <c r="W924" i="1"/>
  <c r="W925" i="1"/>
  <c r="X925" i="1" s="1"/>
  <c r="V921" i="1"/>
  <c r="W921" i="1" s="1"/>
  <c r="V919" i="1"/>
  <c r="V918" i="1"/>
  <c r="V920" i="1"/>
  <c r="Q914" i="1"/>
  <c r="Y914" i="1" s="1"/>
  <c r="Q915" i="1"/>
  <c r="Y915" i="1" s="1"/>
  <c r="Q916" i="1"/>
  <c r="Y916" i="1" s="1"/>
  <c r="Q917" i="1"/>
  <c r="Y917" i="1" s="1"/>
  <c r="R918" i="1"/>
  <c r="R920" i="1"/>
  <c r="R919" i="1"/>
  <c r="R921" i="1"/>
  <c r="W211" i="24"/>
  <c r="U211" i="24"/>
  <c r="V211" i="24" s="1"/>
  <c r="S209" i="24"/>
  <c r="T210" i="24"/>
  <c r="AG212" i="24"/>
  <c r="AI212" i="24" s="1"/>
  <c r="AJ212" i="24" s="1"/>
  <c r="X921" i="1" l="1"/>
  <c r="X923" i="1"/>
  <c r="W920" i="1"/>
  <c r="X920" i="1" s="1"/>
  <c r="W919" i="1"/>
  <c r="X919" i="1" s="1"/>
  <c r="W918" i="1"/>
  <c r="X924" i="1"/>
  <c r="X922" i="1"/>
  <c r="V916" i="1"/>
  <c r="V914" i="1"/>
  <c r="V915" i="1"/>
  <c r="V917" i="1"/>
  <c r="W917" i="1" s="1"/>
  <c r="Q912" i="1"/>
  <c r="Y912" i="1" s="1"/>
  <c r="Q913" i="1"/>
  <c r="Y913" i="1" s="1"/>
  <c r="Q911" i="1"/>
  <c r="Y911" i="1" s="1"/>
  <c r="Q910" i="1"/>
  <c r="Y910" i="1" s="1"/>
  <c r="R917" i="1"/>
  <c r="R916" i="1"/>
  <c r="R915" i="1"/>
  <c r="R914" i="1"/>
  <c r="AG211" i="24"/>
  <c r="AI211" i="24" s="1"/>
  <c r="AJ211" i="24" s="1"/>
  <c r="W210" i="24"/>
  <c r="U210" i="24"/>
  <c r="V210" i="24" s="1"/>
  <c r="T209" i="24"/>
  <c r="S208" i="24"/>
  <c r="X917" i="1" l="1"/>
  <c r="X918" i="1"/>
  <c r="W914" i="1"/>
  <c r="W915" i="1"/>
  <c r="W916" i="1"/>
  <c r="X916" i="1" s="1"/>
  <c r="V910" i="1"/>
  <c r="V913" i="1"/>
  <c r="W913" i="1" s="1"/>
  <c r="V912" i="1"/>
  <c r="V911" i="1"/>
  <c r="AG210" i="24"/>
  <c r="AI210" i="24" s="1"/>
  <c r="AJ210" i="24" s="1"/>
  <c r="Q906" i="1"/>
  <c r="Y906" i="1" s="1"/>
  <c r="Q905" i="1"/>
  <c r="Y905" i="1" s="1"/>
  <c r="Q907" i="1"/>
  <c r="Y907" i="1" s="1"/>
  <c r="Q908" i="1"/>
  <c r="Y908" i="1" s="1"/>
  <c r="Q909" i="1"/>
  <c r="Y909" i="1" s="1"/>
  <c r="R910" i="1"/>
  <c r="R911" i="1"/>
  <c r="R913" i="1"/>
  <c r="R912" i="1"/>
  <c r="S207" i="24"/>
  <c r="T208" i="24"/>
  <c r="W209" i="24"/>
  <c r="U209" i="24"/>
  <c r="V209" i="24" s="1"/>
  <c r="X913" i="1" l="1"/>
  <c r="W911" i="1"/>
  <c r="W912" i="1"/>
  <c r="X912" i="1" s="1"/>
  <c r="X915" i="1"/>
  <c r="W910" i="1"/>
  <c r="X914" i="1"/>
  <c r="V906" i="1"/>
  <c r="V907" i="1"/>
  <c r="V905" i="1"/>
  <c r="V909" i="1"/>
  <c r="W909" i="1" s="1"/>
  <c r="V908" i="1"/>
  <c r="W908" i="1" s="1"/>
  <c r="R909" i="1"/>
  <c r="R908" i="1"/>
  <c r="R907" i="1"/>
  <c r="R905" i="1"/>
  <c r="R906" i="1"/>
  <c r="Q904" i="1"/>
  <c r="Y904" i="1" s="1"/>
  <c r="Q903" i="1"/>
  <c r="Y903" i="1" s="1"/>
  <c r="Q902" i="1"/>
  <c r="Y902" i="1" s="1"/>
  <c r="Q901" i="1"/>
  <c r="Y901" i="1" s="1"/>
  <c r="W208" i="24"/>
  <c r="U208" i="24"/>
  <c r="V208" i="24" s="1"/>
  <c r="T207" i="24"/>
  <c r="S206" i="24"/>
  <c r="AG209" i="24"/>
  <c r="AI209" i="24" s="1"/>
  <c r="AJ209" i="24" s="1"/>
  <c r="X908" i="1" l="1"/>
  <c r="X911" i="1"/>
  <c r="X909" i="1"/>
  <c r="X910" i="1"/>
  <c r="W907" i="1"/>
  <c r="X907" i="1" s="1"/>
  <c r="W905" i="1"/>
  <c r="W906" i="1"/>
  <c r="V901" i="1"/>
  <c r="V902" i="1"/>
  <c r="V903" i="1"/>
  <c r="V904" i="1"/>
  <c r="W904" i="1" s="1"/>
  <c r="R901" i="1"/>
  <c r="R902" i="1"/>
  <c r="R903" i="1"/>
  <c r="R904" i="1"/>
  <c r="Q897" i="1"/>
  <c r="Y897" i="1" s="1"/>
  <c r="Q899" i="1"/>
  <c r="Y899" i="1" s="1"/>
  <c r="Q900" i="1"/>
  <c r="Y900" i="1" s="1"/>
  <c r="Q898" i="1"/>
  <c r="Y898" i="1" s="1"/>
  <c r="W207" i="24"/>
  <c r="U207" i="24"/>
  <c r="V207" i="24" s="1"/>
  <c r="S205" i="24"/>
  <c r="T206" i="24"/>
  <c r="AG208" i="24"/>
  <c r="AI208" i="24" s="1"/>
  <c r="AJ208" i="24" s="1"/>
  <c r="X904" i="1" l="1"/>
  <c r="X906" i="1"/>
  <c r="W902" i="1"/>
  <c r="X905" i="1"/>
  <c r="W903" i="1"/>
  <c r="X903" i="1" s="1"/>
  <c r="W901" i="1"/>
  <c r="V898" i="1"/>
  <c r="V900" i="1"/>
  <c r="W900" i="1" s="1"/>
  <c r="V899" i="1"/>
  <c r="V897" i="1"/>
  <c r="Q896" i="1"/>
  <c r="Y896" i="1" s="1"/>
  <c r="Q895" i="1"/>
  <c r="Y895" i="1" s="1"/>
  <c r="Q892" i="1"/>
  <c r="Y892" i="1" s="1"/>
  <c r="Q894" i="1"/>
  <c r="Y894" i="1" s="1"/>
  <c r="Q893" i="1"/>
  <c r="Y893" i="1" s="1"/>
  <c r="R898" i="1"/>
  <c r="R900" i="1"/>
  <c r="R899" i="1"/>
  <c r="R897" i="1"/>
  <c r="AG207" i="24"/>
  <c r="AI207" i="24" s="1"/>
  <c r="AJ207" i="24" s="1"/>
  <c r="W206" i="24"/>
  <c r="U206" i="24"/>
  <c r="V206" i="24" s="1"/>
  <c r="T205" i="24"/>
  <c r="S204" i="24"/>
  <c r="X901" i="1" l="1"/>
  <c r="X900" i="1"/>
  <c r="W897" i="1"/>
  <c r="W899" i="1"/>
  <c r="X899" i="1" s="1"/>
  <c r="W898" i="1"/>
  <c r="X902" i="1"/>
  <c r="V892" i="1"/>
  <c r="V896" i="1"/>
  <c r="W896" i="1" s="1"/>
  <c r="V894" i="1"/>
  <c r="V895" i="1"/>
  <c r="V893" i="1"/>
  <c r="Q889" i="1"/>
  <c r="Y889" i="1" s="1"/>
  <c r="Q891" i="1"/>
  <c r="Y891" i="1" s="1"/>
  <c r="Q890" i="1"/>
  <c r="Y890" i="1" s="1"/>
  <c r="Q888" i="1"/>
  <c r="Y888" i="1" s="1"/>
  <c r="R893" i="1"/>
  <c r="R894" i="1"/>
  <c r="R892" i="1"/>
  <c r="R895" i="1"/>
  <c r="R896" i="1"/>
  <c r="U205" i="24"/>
  <c r="V205" i="24" s="1"/>
  <c r="W205" i="24"/>
  <c r="S203" i="24"/>
  <c r="T204" i="24"/>
  <c r="AG206" i="24"/>
  <c r="AI206" i="24" s="1"/>
  <c r="AJ206" i="24" s="1"/>
  <c r="X896" i="1" l="1"/>
  <c r="W895" i="1"/>
  <c r="X895" i="1" s="1"/>
  <c r="X898" i="1"/>
  <c r="W893" i="1"/>
  <c r="W894" i="1"/>
  <c r="W892" i="1"/>
  <c r="X897" i="1"/>
  <c r="V891" i="1"/>
  <c r="W891" i="1" s="1"/>
  <c r="V889" i="1"/>
  <c r="V888" i="1"/>
  <c r="V890" i="1"/>
  <c r="Q887" i="1"/>
  <c r="Y887" i="1" s="1"/>
  <c r="Q884" i="1"/>
  <c r="Y884" i="1" s="1"/>
  <c r="Q886" i="1"/>
  <c r="Y886" i="1" s="1"/>
  <c r="Q885" i="1"/>
  <c r="Y885" i="1" s="1"/>
  <c r="Q883" i="1"/>
  <c r="Y883" i="1" s="1"/>
  <c r="R888" i="1"/>
  <c r="R890" i="1"/>
  <c r="R891" i="1"/>
  <c r="R889" i="1"/>
  <c r="W204" i="24"/>
  <c r="U204" i="24"/>
  <c r="V204" i="24" s="1"/>
  <c r="AG205" i="24"/>
  <c r="AI205" i="24" s="1"/>
  <c r="AJ205" i="24" s="1"/>
  <c r="T203" i="24"/>
  <c r="S202" i="24"/>
  <c r="X891" i="1" l="1"/>
  <c r="W890" i="1"/>
  <c r="X890" i="1" s="1"/>
  <c r="X892" i="1"/>
  <c r="X894" i="1"/>
  <c r="W889" i="1"/>
  <c r="W888" i="1"/>
  <c r="X893" i="1"/>
  <c r="V886" i="1"/>
  <c r="V884" i="1"/>
  <c r="V887" i="1"/>
  <c r="W887" i="1" s="1"/>
  <c r="V883" i="1"/>
  <c r="V885" i="1"/>
  <c r="Q879" i="1"/>
  <c r="Y879" i="1" s="1"/>
  <c r="Q882" i="1"/>
  <c r="Y882" i="1" s="1"/>
  <c r="Q881" i="1"/>
  <c r="Y881" i="1" s="1"/>
  <c r="Q880" i="1"/>
  <c r="Y880" i="1" s="1"/>
  <c r="R883" i="1"/>
  <c r="R885" i="1"/>
  <c r="R886" i="1"/>
  <c r="R884" i="1"/>
  <c r="R887" i="1"/>
  <c r="AG204" i="24"/>
  <c r="AI204" i="24" s="1"/>
  <c r="AJ204" i="24" s="1"/>
  <c r="S201" i="24"/>
  <c r="T202" i="24"/>
  <c r="U203" i="24"/>
  <c r="V203" i="24" s="1"/>
  <c r="W203" i="24"/>
  <c r="W885" i="1" l="1"/>
  <c r="X887" i="1"/>
  <c r="X888" i="1"/>
  <c r="X889" i="1"/>
  <c r="W883" i="1"/>
  <c r="W884" i="1"/>
  <c r="W886" i="1"/>
  <c r="X886" i="1" s="1"/>
  <c r="V879" i="1"/>
  <c r="V882" i="1"/>
  <c r="W882" i="1" s="1"/>
  <c r="V880" i="1"/>
  <c r="V881" i="1"/>
  <c r="AG203" i="24"/>
  <c r="AI203" i="24" s="1"/>
  <c r="AJ203" i="24" s="1"/>
  <c r="Q872" i="1" s="1"/>
  <c r="Y872" i="1" s="1"/>
  <c r="Q876" i="1"/>
  <c r="Y876" i="1" s="1"/>
  <c r="Q878" i="1"/>
  <c r="Y878" i="1" s="1"/>
  <c r="Q877" i="1"/>
  <c r="Y877" i="1" s="1"/>
  <c r="Q875" i="1"/>
  <c r="Y875" i="1" s="1"/>
  <c r="R880" i="1"/>
  <c r="R881" i="1"/>
  <c r="R882" i="1"/>
  <c r="R879" i="1"/>
  <c r="W202" i="24"/>
  <c r="U202" i="24"/>
  <c r="V202" i="24" s="1"/>
  <c r="T201" i="24"/>
  <c r="S200" i="24"/>
  <c r="W881" i="1" l="1"/>
  <c r="X881" i="1" s="1"/>
  <c r="X882" i="1"/>
  <c r="X885" i="1"/>
  <c r="W880" i="1"/>
  <c r="W879" i="1"/>
  <c r="X884" i="1"/>
  <c r="X883" i="1"/>
  <c r="V878" i="1"/>
  <c r="W878" i="1" s="1"/>
  <c r="V876" i="1"/>
  <c r="V872" i="1"/>
  <c r="V875" i="1"/>
  <c r="V877" i="1"/>
  <c r="Q871" i="1"/>
  <c r="Y871" i="1" s="1"/>
  <c r="Q873" i="1"/>
  <c r="Y873" i="1" s="1"/>
  <c r="Q870" i="1"/>
  <c r="Y870" i="1" s="1"/>
  <c r="Q874" i="1"/>
  <c r="Y874" i="1" s="1"/>
  <c r="R877" i="1"/>
  <c r="R878" i="1"/>
  <c r="R876" i="1"/>
  <c r="R875" i="1"/>
  <c r="R872" i="1"/>
  <c r="S199" i="24"/>
  <c r="T200" i="24"/>
  <c r="U201" i="24"/>
  <c r="V201" i="24" s="1"/>
  <c r="W201" i="24"/>
  <c r="AG202" i="24"/>
  <c r="AI202" i="24" s="1"/>
  <c r="AJ202" i="24" s="1"/>
  <c r="W877" i="1" l="1"/>
  <c r="X880" i="1"/>
  <c r="X877" i="1"/>
  <c r="X878" i="1"/>
  <c r="X879" i="1"/>
  <c r="W875" i="1"/>
  <c r="W876" i="1"/>
  <c r="X876" i="1" s="1"/>
  <c r="V871" i="1"/>
  <c r="V873" i="1"/>
  <c r="V874" i="1"/>
  <c r="W874" i="1" s="1"/>
  <c r="V870" i="1"/>
  <c r="R871" i="1"/>
  <c r="R870" i="1"/>
  <c r="R873" i="1"/>
  <c r="R874" i="1"/>
  <c r="Q869" i="1"/>
  <c r="Y869" i="1" s="1"/>
  <c r="Q866" i="1"/>
  <c r="Y866" i="1" s="1"/>
  <c r="Q867" i="1"/>
  <c r="Y867" i="1" s="1"/>
  <c r="Q868" i="1"/>
  <c r="Y868" i="1" s="1"/>
  <c r="AG201" i="24"/>
  <c r="AI201" i="24" s="1"/>
  <c r="AJ201" i="24" s="1"/>
  <c r="W200" i="24"/>
  <c r="U200" i="24"/>
  <c r="V200" i="24" s="1"/>
  <c r="T199" i="24"/>
  <c r="S198" i="24"/>
  <c r="W870" i="1" l="1"/>
  <c r="X874" i="1"/>
  <c r="W873" i="1"/>
  <c r="X873" i="1" s="1"/>
  <c r="X875" i="1"/>
  <c r="W871" i="1"/>
  <c r="W872" i="1"/>
  <c r="V868" i="1"/>
  <c r="V867" i="1"/>
  <c r="V866" i="1"/>
  <c r="V869" i="1"/>
  <c r="W869" i="1" s="1"/>
  <c r="AG200" i="24"/>
  <c r="AI200" i="24" s="1"/>
  <c r="AJ200" i="24" s="1"/>
  <c r="Q864" i="1"/>
  <c r="Y864" i="1" s="1"/>
  <c r="Q865" i="1"/>
  <c r="Y865" i="1" s="1"/>
  <c r="Q863" i="1"/>
  <c r="Y863" i="1" s="1"/>
  <c r="Q862" i="1"/>
  <c r="Y862" i="1" s="1"/>
  <c r="R868" i="1"/>
  <c r="R867" i="1"/>
  <c r="R866" i="1"/>
  <c r="R869" i="1"/>
  <c r="U199" i="24"/>
  <c r="V199" i="24" s="1"/>
  <c r="W199" i="24"/>
  <c r="S197" i="24"/>
  <c r="T198" i="24"/>
  <c r="X869" i="1" l="1"/>
  <c r="X872" i="1"/>
  <c r="X871" i="1"/>
  <c r="W866" i="1"/>
  <c r="W868" i="1"/>
  <c r="X868" i="1" s="1"/>
  <c r="W867" i="1"/>
  <c r="X870" i="1"/>
  <c r="V864" i="1"/>
  <c r="V865" i="1"/>
  <c r="W865" i="1" s="1"/>
  <c r="V863" i="1"/>
  <c r="V862" i="1"/>
  <c r="R862" i="1"/>
  <c r="R863" i="1"/>
  <c r="R865" i="1"/>
  <c r="R864" i="1"/>
  <c r="Q861" i="1"/>
  <c r="Y861" i="1" s="1"/>
  <c r="Q858" i="1"/>
  <c r="Y858" i="1" s="1"/>
  <c r="Q857" i="1"/>
  <c r="Y857" i="1" s="1"/>
  <c r="Q859" i="1"/>
  <c r="Y859" i="1" s="1"/>
  <c r="Q860" i="1"/>
  <c r="Y860" i="1" s="1"/>
  <c r="W198" i="24"/>
  <c r="U198" i="24"/>
  <c r="V198" i="24" s="1"/>
  <c r="T197" i="24"/>
  <c r="S196" i="24"/>
  <c r="AG199" i="24"/>
  <c r="AI199" i="24" s="1"/>
  <c r="AJ199" i="24" s="1"/>
  <c r="X867" i="1" l="1"/>
  <c r="W864" i="1"/>
  <c r="X864" i="1" s="1"/>
  <c r="W863" i="1"/>
  <c r="X866" i="1"/>
  <c r="W862" i="1"/>
  <c r="X865" i="1"/>
  <c r="V860" i="1"/>
  <c r="V859" i="1"/>
  <c r="V857" i="1"/>
  <c r="V858" i="1"/>
  <c r="V861" i="1"/>
  <c r="W861" i="1" s="1"/>
  <c r="Q855" i="1"/>
  <c r="Y855" i="1" s="1"/>
  <c r="Q854" i="1"/>
  <c r="Y854" i="1" s="1"/>
  <c r="Q856" i="1"/>
  <c r="Y856" i="1" s="1"/>
  <c r="Q853" i="1"/>
  <c r="Y853" i="1" s="1"/>
  <c r="AG198" i="24"/>
  <c r="AI198" i="24" s="1"/>
  <c r="AJ198" i="24" s="1"/>
  <c r="R860" i="1"/>
  <c r="R859" i="1"/>
  <c r="R857" i="1"/>
  <c r="R858" i="1"/>
  <c r="R861" i="1"/>
  <c r="U197" i="24"/>
  <c r="V197" i="24" s="1"/>
  <c r="W197" i="24"/>
  <c r="S195" i="24"/>
  <c r="T196" i="24"/>
  <c r="X862" i="1" l="1"/>
  <c r="X861" i="1"/>
  <c r="W858" i="1"/>
  <c r="W859" i="1"/>
  <c r="X863" i="1"/>
  <c r="W857" i="1"/>
  <c r="W860" i="1"/>
  <c r="X860" i="1" s="1"/>
  <c r="V854" i="1"/>
  <c r="V855" i="1"/>
  <c r="V853" i="1"/>
  <c r="V856" i="1"/>
  <c r="W856" i="1" s="1"/>
  <c r="AG197" i="24"/>
  <c r="AI197" i="24" s="1"/>
  <c r="AJ197" i="24" s="1"/>
  <c r="Q848" i="1" s="1"/>
  <c r="Y848" i="1" s="1"/>
  <c r="Q850" i="1"/>
  <c r="Y850" i="1" s="1"/>
  <c r="Q849" i="1"/>
  <c r="Y849" i="1" s="1"/>
  <c r="Q851" i="1"/>
  <c r="Y851" i="1" s="1"/>
  <c r="Q852" i="1"/>
  <c r="Y852" i="1" s="1"/>
  <c r="R853" i="1"/>
  <c r="R856" i="1"/>
  <c r="R854" i="1"/>
  <c r="R855" i="1"/>
  <c r="T195" i="24"/>
  <c r="S194" i="24"/>
  <c r="W196" i="24"/>
  <c r="U196" i="24"/>
  <c r="V196" i="24" s="1"/>
  <c r="X856" i="1" l="1"/>
  <c r="X858" i="1"/>
  <c r="Q844" i="1"/>
  <c r="W855" i="1"/>
  <c r="X855" i="1" s="1"/>
  <c r="W853" i="1"/>
  <c r="W854" i="1"/>
  <c r="X857" i="1"/>
  <c r="X859" i="1"/>
  <c r="V850" i="1"/>
  <c r="V848" i="1"/>
  <c r="V852" i="1"/>
  <c r="W852" i="1" s="1"/>
  <c r="V851" i="1"/>
  <c r="V849" i="1"/>
  <c r="Q845" i="1"/>
  <c r="Y845" i="1" s="1"/>
  <c r="Q846" i="1"/>
  <c r="Y846" i="1" s="1"/>
  <c r="Q847" i="1"/>
  <c r="Y847" i="1" s="1"/>
  <c r="R851" i="1"/>
  <c r="R849" i="1"/>
  <c r="R850" i="1"/>
  <c r="R852" i="1"/>
  <c r="R848" i="1"/>
  <c r="AG196" i="24"/>
  <c r="AI196" i="24" s="1"/>
  <c r="AJ196" i="24" s="1"/>
  <c r="S193" i="24"/>
  <c r="T194" i="24"/>
  <c r="U195" i="24"/>
  <c r="V195" i="24" s="1"/>
  <c r="W195" i="24"/>
  <c r="V844" i="1" l="1"/>
  <c r="Y844" i="1"/>
  <c r="W851" i="1"/>
  <c r="X851" i="1" s="1"/>
  <c r="X852" i="1"/>
  <c r="X854" i="1"/>
  <c r="R844" i="1"/>
  <c r="W849" i="1"/>
  <c r="W848" i="1"/>
  <c r="W850" i="1"/>
  <c r="X853" i="1"/>
  <c r="V847" i="1"/>
  <c r="W847" i="1" s="1"/>
  <c r="V846" i="1"/>
  <c r="V845" i="1"/>
  <c r="R845" i="1"/>
  <c r="R846" i="1"/>
  <c r="R847" i="1"/>
  <c r="Q842" i="1"/>
  <c r="Y842" i="1" s="1"/>
  <c r="Q840" i="1"/>
  <c r="Y840" i="1" s="1"/>
  <c r="Q841" i="1"/>
  <c r="Y841" i="1" s="1"/>
  <c r="Q843" i="1"/>
  <c r="Y843" i="1" s="1"/>
  <c r="W194" i="24"/>
  <c r="U194" i="24"/>
  <c r="V194" i="24" s="1"/>
  <c r="AG195" i="24"/>
  <c r="AI195" i="24" s="1"/>
  <c r="AJ195" i="24" s="1"/>
  <c r="T193" i="24"/>
  <c r="S192" i="24"/>
  <c r="X850" i="1" l="1"/>
  <c r="W846" i="1"/>
  <c r="X846" i="1" s="1"/>
  <c r="X849" i="1"/>
  <c r="X848" i="1"/>
  <c r="W845" i="1"/>
  <c r="X847" i="1"/>
  <c r="W844" i="1"/>
  <c r="V842" i="1"/>
  <c r="V843" i="1"/>
  <c r="W843" i="1" s="1"/>
  <c r="V841" i="1"/>
  <c r="V840" i="1"/>
  <c r="Q839" i="1"/>
  <c r="Y839" i="1" s="1"/>
  <c r="Q836" i="1"/>
  <c r="Y836" i="1" s="1"/>
  <c r="Q838" i="1"/>
  <c r="Y838" i="1" s="1"/>
  <c r="Q837" i="1"/>
  <c r="Y837" i="1" s="1"/>
  <c r="AG194" i="24"/>
  <c r="AI194" i="24" s="1"/>
  <c r="AJ194" i="24" s="1"/>
  <c r="R843" i="1"/>
  <c r="R841" i="1"/>
  <c r="R840" i="1"/>
  <c r="R842" i="1"/>
  <c r="S191" i="24"/>
  <c r="T192" i="24"/>
  <c r="U193" i="24"/>
  <c r="V193" i="24" s="1"/>
  <c r="W193" i="24"/>
  <c r="X844" i="1" l="1"/>
  <c r="X845" i="1"/>
  <c r="X843" i="1"/>
  <c r="W840" i="1"/>
  <c r="W841" i="1"/>
  <c r="W842" i="1"/>
  <c r="X842" i="1" s="1"/>
  <c r="V837" i="1"/>
  <c r="V839" i="1"/>
  <c r="W839" i="1" s="1"/>
  <c r="V838" i="1"/>
  <c r="V836" i="1"/>
  <c r="AG193" i="24"/>
  <c r="AI193" i="24" s="1"/>
  <c r="AJ193" i="24" s="1"/>
  <c r="Q828" i="1" s="1"/>
  <c r="Y828" i="1" s="1"/>
  <c r="Q829" i="1"/>
  <c r="Y829" i="1" s="1"/>
  <c r="Q833" i="1"/>
  <c r="Y833" i="1" s="1"/>
  <c r="Q835" i="1"/>
  <c r="Y835" i="1" s="1"/>
  <c r="Q832" i="1"/>
  <c r="Y832" i="1" s="1"/>
  <c r="Q831" i="1"/>
  <c r="Y831" i="1" s="1"/>
  <c r="Q834" i="1"/>
  <c r="Y834" i="1" s="1"/>
  <c r="R837" i="1"/>
  <c r="R838" i="1"/>
  <c r="R836" i="1"/>
  <c r="R839" i="1"/>
  <c r="T191" i="24"/>
  <c r="S190" i="24"/>
  <c r="W192" i="24"/>
  <c r="U192" i="24"/>
  <c r="V192" i="24" s="1"/>
  <c r="X840" i="1" l="1"/>
  <c r="W838" i="1"/>
  <c r="X838" i="1" s="1"/>
  <c r="X839" i="1"/>
  <c r="W836" i="1"/>
  <c r="X841" i="1"/>
  <c r="W837" i="1"/>
  <c r="X837" i="1" s="1"/>
  <c r="V833" i="1"/>
  <c r="V829" i="1"/>
  <c r="V835" i="1"/>
  <c r="W835" i="1" s="1"/>
  <c r="V828" i="1"/>
  <c r="V834" i="1"/>
  <c r="V831" i="1"/>
  <c r="V832" i="1"/>
  <c r="Q827" i="1"/>
  <c r="Y827" i="1" s="1"/>
  <c r="Q830" i="1"/>
  <c r="Y830" i="1" s="1"/>
  <c r="R831" i="1"/>
  <c r="R832" i="1"/>
  <c r="R835" i="1"/>
  <c r="R833" i="1"/>
  <c r="R829" i="1"/>
  <c r="R828" i="1"/>
  <c r="R834" i="1"/>
  <c r="U191" i="24"/>
  <c r="V191" i="24" s="1"/>
  <c r="W191" i="24"/>
  <c r="AG192" i="24"/>
  <c r="AI192" i="24" s="1"/>
  <c r="AJ192" i="24" s="1"/>
  <c r="S189" i="24"/>
  <c r="T190" i="24"/>
  <c r="X835" i="1" l="1"/>
  <c r="X836" i="1"/>
  <c r="W832" i="1"/>
  <c r="W834" i="1"/>
  <c r="X834" i="1" s="1"/>
  <c r="W831" i="1"/>
  <c r="W833" i="1"/>
  <c r="V827" i="1"/>
  <c r="V830" i="1"/>
  <c r="W830" i="1" s="1"/>
  <c r="R827" i="1"/>
  <c r="R830" i="1"/>
  <c r="Q825" i="1"/>
  <c r="Y825" i="1" s="1"/>
  <c r="Q823" i="1"/>
  <c r="Y823" i="1" s="1"/>
  <c r="Q826" i="1"/>
  <c r="Y826" i="1" s="1"/>
  <c r="Q824" i="1"/>
  <c r="Y824" i="1" s="1"/>
  <c r="W190" i="24"/>
  <c r="U190" i="24"/>
  <c r="V190" i="24" s="1"/>
  <c r="T189" i="24"/>
  <c r="S188" i="24"/>
  <c r="AG191" i="24"/>
  <c r="AI191" i="24" s="1"/>
  <c r="AJ191" i="24" s="1"/>
  <c r="X833" i="1" l="1"/>
  <c r="X832" i="1"/>
  <c r="X830" i="1"/>
  <c r="W827" i="1"/>
  <c r="W829" i="1"/>
  <c r="X829" i="1" s="1"/>
  <c r="W828" i="1"/>
  <c r="X831" i="1"/>
  <c r="V823" i="1"/>
  <c r="V826" i="1"/>
  <c r="W826" i="1" s="1"/>
  <c r="V825" i="1"/>
  <c r="V824" i="1"/>
  <c r="Q820" i="1"/>
  <c r="Y820" i="1" s="1"/>
  <c r="Q822" i="1"/>
  <c r="Y822" i="1" s="1"/>
  <c r="Q821" i="1"/>
  <c r="Y821" i="1" s="1"/>
  <c r="Q818" i="1"/>
  <c r="Y818" i="1" s="1"/>
  <c r="Q819" i="1"/>
  <c r="Y819" i="1" s="1"/>
  <c r="AG190" i="24"/>
  <c r="AI190" i="24" s="1"/>
  <c r="AJ190" i="24" s="1"/>
  <c r="R824" i="1"/>
  <c r="R826" i="1"/>
  <c r="R823" i="1"/>
  <c r="R825" i="1"/>
  <c r="S187" i="24"/>
  <c r="T188" i="24"/>
  <c r="W189" i="24"/>
  <c r="U189" i="24"/>
  <c r="V189" i="24" s="1"/>
  <c r="X826" i="1" l="1"/>
  <c r="W824" i="1"/>
  <c r="X828" i="1"/>
  <c r="W825" i="1"/>
  <c r="X825" i="1" s="1"/>
  <c r="W823" i="1"/>
  <c r="X827" i="1"/>
  <c r="V819" i="1"/>
  <c r="V822" i="1"/>
  <c r="W822" i="1" s="1"/>
  <c r="V820" i="1"/>
  <c r="V818" i="1"/>
  <c r="V821" i="1"/>
  <c r="Q815" i="1"/>
  <c r="Y815" i="1" s="1"/>
  <c r="Q814" i="1"/>
  <c r="Y814" i="1" s="1"/>
  <c r="Q817" i="1"/>
  <c r="Y817" i="1" s="1"/>
  <c r="Q816" i="1"/>
  <c r="Y816" i="1" s="1"/>
  <c r="R819" i="1"/>
  <c r="R818" i="1"/>
  <c r="R821" i="1"/>
  <c r="R822" i="1"/>
  <c r="R820" i="1"/>
  <c r="AG189" i="24"/>
  <c r="AI189" i="24" s="1"/>
  <c r="AJ189" i="24" s="1"/>
  <c r="W188" i="24"/>
  <c r="U188" i="24"/>
  <c r="V188" i="24" s="1"/>
  <c r="T187" i="24"/>
  <c r="S186" i="24"/>
  <c r="W818" i="1" l="1"/>
  <c r="X823" i="1"/>
  <c r="X822" i="1"/>
  <c r="W821" i="1"/>
  <c r="X821" i="1" s="1"/>
  <c r="W820" i="1"/>
  <c r="W819" i="1"/>
  <c r="X824" i="1"/>
  <c r="V815" i="1"/>
  <c r="V814" i="1"/>
  <c r="V816" i="1"/>
  <c r="V817" i="1"/>
  <c r="W817" i="1" s="1"/>
  <c r="Q812" i="1"/>
  <c r="Y812" i="1" s="1"/>
  <c r="Q813" i="1"/>
  <c r="Y813" i="1" s="1"/>
  <c r="Q810" i="1"/>
  <c r="Y810" i="1" s="1"/>
  <c r="Q811" i="1"/>
  <c r="Y811" i="1" s="1"/>
  <c r="R816" i="1"/>
  <c r="R817" i="1"/>
  <c r="R814" i="1"/>
  <c r="R815" i="1"/>
  <c r="S185" i="24"/>
  <c r="T186" i="24"/>
  <c r="U187" i="24"/>
  <c r="V187" i="24" s="1"/>
  <c r="W187" i="24"/>
  <c r="AG188" i="24"/>
  <c r="AI188" i="24" s="1"/>
  <c r="AJ188" i="24" s="1"/>
  <c r="X817" i="1" l="1"/>
  <c r="X819" i="1"/>
  <c r="X818" i="1"/>
  <c r="W816" i="1"/>
  <c r="X816" i="1" s="1"/>
  <c r="X820" i="1"/>
  <c r="W815" i="1"/>
  <c r="W814" i="1"/>
  <c r="V813" i="1"/>
  <c r="W813" i="1" s="1"/>
  <c r="X813" i="1" s="1"/>
  <c r="V810" i="1"/>
  <c r="V812" i="1"/>
  <c r="V811" i="1"/>
  <c r="AG187" i="24"/>
  <c r="AI187" i="24" s="1"/>
  <c r="AJ187" i="24" s="1"/>
  <c r="Q806" i="1"/>
  <c r="Y806" i="1" s="1"/>
  <c r="Q808" i="1"/>
  <c r="Y808" i="1" s="1"/>
  <c r="Q805" i="1"/>
  <c r="Y805" i="1" s="1"/>
  <c r="Q809" i="1"/>
  <c r="Y809" i="1" s="1"/>
  <c r="Q807" i="1"/>
  <c r="Y807" i="1" s="1"/>
  <c r="R811" i="1"/>
  <c r="R810" i="1"/>
  <c r="Q802" i="1"/>
  <c r="Y802" i="1" s="1"/>
  <c r="Q801" i="1"/>
  <c r="Y801" i="1" s="1"/>
  <c r="Q803" i="1"/>
  <c r="Y803" i="1" s="1"/>
  <c r="Q804" i="1"/>
  <c r="Y804" i="1" s="1"/>
  <c r="R813" i="1"/>
  <c r="R812" i="1"/>
  <c r="T185" i="24"/>
  <c r="S184" i="24"/>
  <c r="W186" i="24"/>
  <c r="U186" i="24"/>
  <c r="V186" i="24" s="1"/>
  <c r="X814" i="1" l="1"/>
  <c r="X815" i="1"/>
  <c r="W812" i="1"/>
  <c r="X812" i="1" s="1"/>
  <c r="W811" i="1"/>
  <c r="W810" i="1"/>
  <c r="V808" i="1"/>
  <c r="V804" i="1"/>
  <c r="V806" i="1"/>
  <c r="V802" i="1"/>
  <c r="V803" i="1"/>
  <c r="V801" i="1"/>
  <c r="V807" i="1"/>
  <c r="V805" i="1"/>
  <c r="V809" i="1"/>
  <c r="W809" i="1" s="1"/>
  <c r="AG186" i="24"/>
  <c r="AI186" i="24" s="1"/>
  <c r="AJ186" i="24" s="1"/>
  <c r="Q799" i="1" s="1"/>
  <c r="Y799" i="1" s="1"/>
  <c r="R804" i="1"/>
  <c r="R807" i="1"/>
  <c r="Q797" i="1"/>
  <c r="Y797" i="1" s="1"/>
  <c r="Q800" i="1"/>
  <c r="Y800" i="1" s="1"/>
  <c r="Q798" i="1"/>
  <c r="Y798" i="1" s="1"/>
  <c r="R803" i="1"/>
  <c r="R809" i="1"/>
  <c r="R801" i="1"/>
  <c r="R805" i="1"/>
  <c r="R802" i="1"/>
  <c r="R808" i="1"/>
  <c r="R806" i="1"/>
  <c r="S183" i="24"/>
  <c r="T184" i="24"/>
  <c r="W185" i="24"/>
  <c r="U185" i="24"/>
  <c r="V185" i="24" s="1"/>
  <c r="X809" i="1" l="1"/>
  <c r="W803" i="1"/>
  <c r="X810" i="1"/>
  <c r="X811" i="1"/>
  <c r="W807" i="1"/>
  <c r="W806" i="1"/>
  <c r="W808" i="1"/>
  <c r="X808" i="1" s="1"/>
  <c r="W805" i="1"/>
  <c r="W801" i="1"/>
  <c r="W802" i="1"/>
  <c r="W804" i="1"/>
  <c r="V799" i="1"/>
  <c r="V798" i="1"/>
  <c r="V800" i="1"/>
  <c r="W800" i="1" s="1"/>
  <c r="X800" i="1" s="1"/>
  <c r="V797" i="1"/>
  <c r="R798" i="1"/>
  <c r="R799" i="1"/>
  <c r="R800" i="1"/>
  <c r="R797" i="1"/>
  <c r="AG185" i="24"/>
  <c r="AI185" i="24" s="1"/>
  <c r="AJ185" i="24" s="1"/>
  <c r="W184" i="24"/>
  <c r="U184" i="24"/>
  <c r="V184" i="24" s="1"/>
  <c r="T183" i="24"/>
  <c r="S182" i="24"/>
  <c r="W797" i="1" l="1"/>
  <c r="X804" i="1"/>
  <c r="W798" i="1"/>
  <c r="X802" i="1"/>
  <c r="X806" i="1"/>
  <c r="W799" i="1"/>
  <c r="X799" i="1" s="1"/>
  <c r="X801" i="1"/>
  <c r="X803" i="1"/>
  <c r="X805" i="1"/>
  <c r="X807" i="1"/>
  <c r="Q792" i="1"/>
  <c r="Y792" i="1" s="1"/>
  <c r="Q794" i="1"/>
  <c r="Y794" i="1" s="1"/>
  <c r="Q793" i="1"/>
  <c r="Y793" i="1" s="1"/>
  <c r="Q795" i="1"/>
  <c r="Y795" i="1" s="1"/>
  <c r="Q796" i="1"/>
  <c r="Y796" i="1" s="1"/>
  <c r="S181" i="24"/>
  <c r="T182" i="24"/>
  <c r="W183" i="24"/>
  <c r="U183" i="24"/>
  <c r="V183" i="24" s="1"/>
  <c r="AG184" i="24"/>
  <c r="AI184" i="24" s="1"/>
  <c r="AJ184" i="24" s="1"/>
  <c r="X798" i="1" l="1"/>
  <c r="X797" i="1"/>
  <c r="V795" i="1"/>
  <c r="V793" i="1"/>
  <c r="V794" i="1"/>
  <c r="V792" i="1"/>
  <c r="V796" i="1"/>
  <c r="W796" i="1" s="1"/>
  <c r="X796" i="1" s="1"/>
  <c r="Q791" i="1"/>
  <c r="Y791" i="1" s="1"/>
  <c r="Q788" i="1"/>
  <c r="Y788" i="1" s="1"/>
  <c r="Q790" i="1"/>
  <c r="Y790" i="1" s="1"/>
  <c r="Q789" i="1"/>
  <c r="Y789" i="1" s="1"/>
  <c r="R796" i="1"/>
  <c r="R795" i="1"/>
  <c r="R793" i="1"/>
  <c r="R794" i="1"/>
  <c r="R792" i="1"/>
  <c r="AG183" i="24"/>
  <c r="AI183" i="24" s="1"/>
  <c r="AJ183" i="24" s="1"/>
  <c r="W182" i="24"/>
  <c r="U182" i="24"/>
  <c r="V182" i="24" s="1"/>
  <c r="S180" i="24"/>
  <c r="T181" i="24"/>
  <c r="W794" i="1" l="1"/>
  <c r="W795" i="1"/>
  <c r="X795" i="1" s="1"/>
  <c r="W792" i="1"/>
  <c r="W793" i="1"/>
  <c r="V790" i="1"/>
  <c r="V788" i="1"/>
  <c r="V791" i="1"/>
  <c r="W791" i="1" s="1"/>
  <c r="V789" i="1"/>
  <c r="Q786" i="1"/>
  <c r="Y786" i="1" s="1"/>
  <c r="Q785" i="1"/>
  <c r="Y785" i="1" s="1"/>
  <c r="Q787" i="1"/>
  <c r="Y787" i="1" s="1"/>
  <c r="Q784" i="1"/>
  <c r="Y784" i="1" s="1"/>
  <c r="Q783" i="1"/>
  <c r="Y783" i="1" s="1"/>
  <c r="R789" i="1"/>
  <c r="R790" i="1"/>
  <c r="R788" i="1"/>
  <c r="R791" i="1"/>
  <c r="U181" i="24"/>
  <c r="V181" i="24" s="1"/>
  <c r="W181" i="24"/>
  <c r="S179" i="24"/>
  <c r="T180" i="24"/>
  <c r="AG182" i="24"/>
  <c r="AI182" i="24" s="1"/>
  <c r="AJ182" i="24" s="1"/>
  <c r="W788" i="1" l="1"/>
  <c r="W789" i="1"/>
  <c r="X793" i="1"/>
  <c r="X792" i="1"/>
  <c r="X791" i="1"/>
  <c r="W790" i="1"/>
  <c r="X790" i="1" s="1"/>
  <c r="X794" i="1"/>
  <c r="V785" i="1"/>
  <c r="V786" i="1"/>
  <c r="V787" i="1"/>
  <c r="W787" i="1" s="1"/>
  <c r="V783" i="1"/>
  <c r="V784" i="1"/>
  <c r="R783" i="1"/>
  <c r="R784" i="1"/>
  <c r="R787" i="1"/>
  <c r="Q779" i="1"/>
  <c r="Y779" i="1" s="1"/>
  <c r="Q780" i="1"/>
  <c r="Y780" i="1" s="1"/>
  <c r="Q782" i="1"/>
  <c r="Y782" i="1" s="1"/>
  <c r="Q781" i="1"/>
  <c r="Y781" i="1" s="1"/>
  <c r="R785" i="1"/>
  <c r="R786" i="1"/>
  <c r="AG181" i="24"/>
  <c r="AI181" i="24" s="1"/>
  <c r="AJ181" i="24" s="1"/>
  <c r="W180" i="24"/>
  <c r="U180" i="24"/>
  <c r="V180" i="24" s="1"/>
  <c r="S178" i="24"/>
  <c r="T179" i="24"/>
  <c r="W784" i="1" l="1"/>
  <c r="X787" i="1"/>
  <c r="X788" i="1"/>
  <c r="W785" i="1"/>
  <c r="W783" i="1"/>
  <c r="W786" i="1"/>
  <c r="X786" i="1" s="1"/>
  <c r="X789" i="1"/>
  <c r="V781" i="1"/>
  <c r="V782" i="1"/>
  <c r="W782" i="1" s="1"/>
  <c r="V779" i="1"/>
  <c r="V780" i="1"/>
  <c r="R780" i="1"/>
  <c r="R779" i="1"/>
  <c r="Q778" i="1"/>
  <c r="Y778" i="1" s="1"/>
  <c r="Q777" i="1"/>
  <c r="Y777" i="1" s="1"/>
  <c r="Q776" i="1"/>
  <c r="Y776" i="1" s="1"/>
  <c r="Q775" i="1"/>
  <c r="Y775" i="1" s="1"/>
  <c r="AG180" i="24"/>
  <c r="AI180" i="24" s="1"/>
  <c r="AJ180" i="24" s="1"/>
  <c r="R781" i="1"/>
  <c r="R782" i="1"/>
  <c r="W179" i="24"/>
  <c r="U179" i="24"/>
  <c r="V179" i="24" s="1"/>
  <c r="S177" i="24"/>
  <c r="T178" i="24"/>
  <c r="W779" i="1" l="1"/>
  <c r="X783" i="1"/>
  <c r="W781" i="1"/>
  <c r="X781" i="1" s="1"/>
  <c r="X785" i="1"/>
  <c r="W780" i="1"/>
  <c r="X782" i="1"/>
  <c r="X784" i="1"/>
  <c r="V778" i="1"/>
  <c r="W778" i="1" s="1"/>
  <c r="V775" i="1"/>
  <c r="V776" i="1"/>
  <c r="V777" i="1"/>
  <c r="R775" i="1"/>
  <c r="R776" i="1"/>
  <c r="R777" i="1"/>
  <c r="R778" i="1"/>
  <c r="Q771" i="1"/>
  <c r="Y771" i="1" s="1"/>
  <c r="Q772" i="1"/>
  <c r="Y772" i="1" s="1"/>
  <c r="Q774" i="1"/>
  <c r="Y774" i="1" s="1"/>
  <c r="Q773" i="1"/>
  <c r="Y773" i="1" s="1"/>
  <c r="Q770" i="1"/>
  <c r="Y770" i="1" s="1"/>
  <c r="W178" i="24"/>
  <c r="U178" i="24"/>
  <c r="V178" i="24" s="1"/>
  <c r="S176" i="24"/>
  <c r="T177" i="24"/>
  <c r="AG179" i="24"/>
  <c r="AI179" i="24" s="1"/>
  <c r="AJ179" i="24" s="1"/>
  <c r="W777" i="1" l="1"/>
  <c r="X777" i="1" s="1"/>
  <c r="X780" i="1"/>
  <c r="X778" i="1"/>
  <c r="W776" i="1"/>
  <c r="X776" i="1" s="1"/>
  <c r="W775" i="1"/>
  <c r="X779" i="1"/>
  <c r="V773" i="1"/>
  <c r="Z774" i="1"/>
  <c r="V774" i="1"/>
  <c r="W774" i="1" s="1"/>
  <c r="V772" i="1"/>
  <c r="V770" i="1"/>
  <c r="V771" i="1"/>
  <c r="Q769" i="1"/>
  <c r="Y769" i="1" s="1"/>
  <c r="Q767" i="1"/>
  <c r="Y767" i="1" s="1"/>
  <c r="Q768" i="1"/>
  <c r="Y768" i="1" s="1"/>
  <c r="Q766" i="1"/>
  <c r="Y766" i="1" s="1"/>
  <c r="R770" i="1"/>
  <c r="R773" i="1"/>
  <c r="R774" i="1"/>
  <c r="R772" i="1"/>
  <c r="R771" i="1"/>
  <c r="AG178" i="24"/>
  <c r="AI178" i="24" s="1"/>
  <c r="AJ178" i="24" s="1"/>
  <c r="W177" i="24"/>
  <c r="U177" i="24"/>
  <c r="V177" i="24" s="1"/>
  <c r="S175" i="24"/>
  <c r="T176" i="24"/>
  <c r="Z1377" i="1"/>
  <c r="AA1377" i="1" s="1"/>
  <c r="AB1377" i="1" s="1"/>
  <c r="Z1373" i="1"/>
  <c r="Z1369" i="1"/>
  <c r="Z1365" i="1"/>
  <c r="Z1361" i="1"/>
  <c r="Z1357" i="1"/>
  <c r="Z1353" i="1"/>
  <c r="Z1349" i="1"/>
  <c r="Z1345" i="1"/>
  <c r="Z1341" i="1"/>
  <c r="Z1337" i="1"/>
  <c r="Z1333" i="1"/>
  <c r="Z1329" i="1"/>
  <c r="Z1325" i="1"/>
  <c r="Z1321" i="1"/>
  <c r="Z1317" i="1"/>
  <c r="Z1313" i="1"/>
  <c r="Z1309" i="1"/>
  <c r="Z1305" i="1"/>
  <c r="Z1301" i="1"/>
  <c r="Z1297" i="1"/>
  <c r="Z1293" i="1"/>
  <c r="Z1289" i="1"/>
  <c r="Z1285" i="1"/>
  <c r="Z1281" i="1"/>
  <c r="Z1277" i="1"/>
  <c r="Z1273" i="1"/>
  <c r="Z1269" i="1"/>
  <c r="Z1265" i="1"/>
  <c r="Z1261" i="1"/>
  <c r="Z1257" i="1"/>
  <c r="Z1253" i="1"/>
  <c r="Z1249" i="1"/>
  <c r="Z1245" i="1"/>
  <c r="Z1241" i="1"/>
  <c r="Z1237" i="1"/>
  <c r="Z1233" i="1"/>
  <c r="Z1229" i="1"/>
  <c r="Z1225" i="1"/>
  <c r="Z1221" i="1"/>
  <c r="Z1217" i="1"/>
  <c r="Z1213" i="1"/>
  <c r="Z1209" i="1"/>
  <c r="Z1205" i="1"/>
  <c r="Z1201" i="1"/>
  <c r="Z1197" i="1"/>
  <c r="Z1193" i="1"/>
  <c r="Z1189" i="1"/>
  <c r="Z1185" i="1"/>
  <c r="Z1181" i="1"/>
  <c r="Z1177" i="1"/>
  <c r="Z1173" i="1"/>
  <c r="Z1169" i="1"/>
  <c r="Z1165" i="1"/>
  <c r="Z1161" i="1"/>
  <c r="Z1157" i="1"/>
  <c r="Z1153" i="1"/>
  <c r="Z1149" i="1"/>
  <c r="Z1145" i="1"/>
  <c r="Z1141" i="1"/>
  <c r="Z1137" i="1"/>
  <c r="Z1133" i="1"/>
  <c r="Z1129" i="1"/>
  <c r="Z1125" i="1"/>
  <c r="Z1121" i="1"/>
  <c r="Z1117" i="1"/>
  <c r="Z1113" i="1"/>
  <c r="Z1109" i="1"/>
  <c r="Z1105" i="1"/>
  <c r="Z1101" i="1"/>
  <c r="Z1097" i="1"/>
  <c r="Z1093" i="1"/>
  <c r="Z1089" i="1"/>
  <c r="Z1085" i="1"/>
  <c r="Z1081" i="1"/>
  <c r="Z1077" i="1"/>
  <c r="Z1073" i="1"/>
  <c r="Z1069" i="1"/>
  <c r="Z1065" i="1"/>
  <c r="Z1061" i="1"/>
  <c r="Z1057" i="1"/>
  <c r="Z1053" i="1"/>
  <c r="Z1049" i="1"/>
  <c r="Z1045" i="1"/>
  <c r="Z1041" i="1"/>
  <c r="Z1037" i="1"/>
  <c r="Z1033" i="1"/>
  <c r="Z1029" i="1"/>
  <c r="Z1025" i="1"/>
  <c r="Z1021" i="1"/>
  <c r="Z1017" i="1"/>
  <c r="Z1013" i="1"/>
  <c r="Z1009" i="1"/>
  <c r="Z1005" i="1"/>
  <c r="Z1001" i="1"/>
  <c r="Z997" i="1"/>
  <c r="Z993" i="1"/>
  <c r="Z989" i="1"/>
  <c r="Z985" i="1"/>
  <c r="Z981" i="1"/>
  <c r="Z977" i="1"/>
  <c r="Z973" i="1"/>
  <c r="Z969" i="1"/>
  <c r="Z965" i="1"/>
  <c r="Z961" i="1"/>
  <c r="Z957" i="1"/>
  <c r="Z953" i="1"/>
  <c r="Z949" i="1"/>
  <c r="Z945" i="1"/>
  <c r="Z941" i="1"/>
  <c r="Z937" i="1"/>
  <c r="Z933" i="1"/>
  <c r="Z929" i="1"/>
  <c r="Z925" i="1"/>
  <c r="Z921" i="1"/>
  <c r="Z917" i="1"/>
  <c r="Z913" i="1"/>
  <c r="Z909" i="1"/>
  <c r="Z905" i="1"/>
  <c r="Z901" i="1"/>
  <c r="Z897" i="1"/>
  <c r="Z893" i="1"/>
  <c r="Z889" i="1"/>
  <c r="Z885" i="1"/>
  <c r="Z881" i="1"/>
  <c r="Z877" i="1"/>
  <c r="Z873" i="1"/>
  <c r="Z869" i="1"/>
  <c r="Z865" i="1"/>
  <c r="Z861" i="1"/>
  <c r="Z857" i="1"/>
  <c r="Z853" i="1"/>
  <c r="Z849" i="1"/>
  <c r="Z845" i="1"/>
  <c r="Z841" i="1"/>
  <c r="Z837" i="1"/>
  <c r="Z833" i="1"/>
  <c r="Z829" i="1"/>
  <c r="Z825" i="1"/>
  <c r="Z821" i="1"/>
  <c r="Z817" i="1"/>
  <c r="Z813" i="1"/>
  <c r="Z809" i="1"/>
  <c r="Z805" i="1"/>
  <c r="Z801" i="1"/>
  <c r="Z797" i="1"/>
  <c r="Z793" i="1"/>
  <c r="Z789" i="1"/>
  <c r="Z785" i="1"/>
  <c r="Z781" i="1"/>
  <c r="Z777" i="1"/>
  <c r="Z1376" i="1"/>
  <c r="Z1372" i="1"/>
  <c r="Z1368" i="1"/>
  <c r="Z1364" i="1"/>
  <c r="Z1360" i="1"/>
  <c r="Z1356" i="1"/>
  <c r="Z1352" i="1"/>
  <c r="Z1348" i="1"/>
  <c r="Z1344" i="1"/>
  <c r="Z1340" i="1"/>
  <c r="Z1336" i="1"/>
  <c r="Z1332" i="1"/>
  <c r="Z1328" i="1"/>
  <c r="Z1324" i="1"/>
  <c r="Z1320" i="1"/>
  <c r="Z1316" i="1"/>
  <c r="Z1312" i="1"/>
  <c r="Z1308" i="1"/>
  <c r="Z1304" i="1"/>
  <c r="Z1300" i="1"/>
  <c r="Z1296" i="1"/>
  <c r="Z1292" i="1"/>
  <c r="Z1288" i="1"/>
  <c r="Z1284" i="1"/>
  <c r="Z1280" i="1"/>
  <c r="Z1276" i="1"/>
  <c r="Z1272" i="1"/>
  <c r="Z1268" i="1"/>
  <c r="Z1264" i="1"/>
  <c r="Z1260" i="1"/>
  <c r="Z1256" i="1"/>
  <c r="Z1252" i="1"/>
  <c r="Z1248" i="1"/>
  <c r="Z1244" i="1"/>
  <c r="Z1240" i="1"/>
  <c r="Z1236" i="1"/>
  <c r="Z1232" i="1"/>
  <c r="Z1228" i="1"/>
  <c r="Z1224" i="1"/>
  <c r="Z1220" i="1"/>
  <c r="Z1216" i="1"/>
  <c r="Z1212" i="1"/>
  <c r="Z1208" i="1"/>
  <c r="Z1204" i="1"/>
  <c r="Z1200" i="1"/>
  <c r="Z1196" i="1"/>
  <c r="Z1192" i="1"/>
  <c r="Z1188" i="1"/>
  <c r="Z1184" i="1"/>
  <c r="Z1180" i="1"/>
  <c r="Z1176" i="1"/>
  <c r="Z1172" i="1"/>
  <c r="Z1168" i="1"/>
  <c r="Z1164" i="1"/>
  <c r="Z1160" i="1"/>
  <c r="Z1156" i="1"/>
  <c r="Z1152" i="1"/>
  <c r="Z1148" i="1"/>
  <c r="Z1144" i="1"/>
  <c r="Z1140" i="1"/>
  <c r="Z1136" i="1"/>
  <c r="Z1132" i="1"/>
  <c r="Z1128" i="1"/>
  <c r="Z1124" i="1"/>
  <c r="Z1120" i="1"/>
  <c r="Z1116" i="1"/>
  <c r="Z1112" i="1"/>
  <c r="Z1108" i="1"/>
  <c r="Z1104" i="1"/>
  <c r="Z1100" i="1"/>
  <c r="Z1096" i="1"/>
  <c r="Z1092" i="1"/>
  <c r="Z1088" i="1"/>
  <c r="Z1084" i="1"/>
  <c r="Z1080" i="1"/>
  <c r="Z1076" i="1"/>
  <c r="Z1072" i="1"/>
  <c r="Z1068" i="1"/>
  <c r="Z1064" i="1"/>
  <c r="Z1060" i="1"/>
  <c r="Z1056" i="1"/>
  <c r="Z1052" i="1"/>
  <c r="Z1048" i="1"/>
  <c r="Z1044" i="1"/>
  <c r="Z1040" i="1"/>
  <c r="Z1036" i="1"/>
  <c r="Z1032" i="1"/>
  <c r="Z1028" i="1"/>
  <c r="Z1024" i="1"/>
  <c r="Z1020" i="1"/>
  <c r="Z1016" i="1"/>
  <c r="Z1012" i="1"/>
  <c r="Z1008" i="1"/>
  <c r="Z1004" i="1"/>
  <c r="Z1000" i="1"/>
  <c r="Z996" i="1"/>
  <c r="Z992" i="1"/>
  <c r="Z988" i="1"/>
  <c r="Z984" i="1"/>
  <c r="Z980" i="1"/>
  <c r="Z976" i="1"/>
  <c r="Z972" i="1"/>
  <c r="Z968" i="1"/>
  <c r="Z964" i="1"/>
  <c r="Z960" i="1"/>
  <c r="Z956" i="1"/>
  <c r="Z952" i="1"/>
  <c r="Z948" i="1"/>
  <c r="Z944" i="1"/>
  <c r="Z940" i="1"/>
  <c r="Z936" i="1"/>
  <c r="Z932" i="1"/>
  <c r="Z928" i="1"/>
  <c r="Z924" i="1"/>
  <c r="Z920" i="1"/>
  <c r="Z916" i="1"/>
  <c r="Z912" i="1"/>
  <c r="Z908" i="1"/>
  <c r="Z904" i="1"/>
  <c r="Z900" i="1"/>
  <c r="Z896" i="1"/>
  <c r="Z892" i="1"/>
  <c r="Z888" i="1"/>
  <c r="Z884" i="1"/>
  <c r="Z880" i="1"/>
  <c r="Z876" i="1"/>
  <c r="Z872" i="1"/>
  <c r="Z868" i="1"/>
  <c r="Z864" i="1"/>
  <c r="Z860" i="1"/>
  <c r="Z856" i="1"/>
  <c r="Z852" i="1"/>
  <c r="Z848" i="1"/>
  <c r="Z844" i="1"/>
  <c r="Z840" i="1"/>
  <c r="Z836" i="1"/>
  <c r="Z832" i="1"/>
  <c r="Z828" i="1"/>
  <c r="Z824" i="1"/>
  <c r="Z820" i="1"/>
  <c r="Z816" i="1"/>
  <c r="Z812" i="1"/>
  <c r="Z808" i="1"/>
  <c r="Z804" i="1"/>
  <c r="Z800" i="1"/>
  <c r="Z796" i="1"/>
  <c r="Z792" i="1"/>
  <c r="Z788" i="1"/>
  <c r="Z784" i="1"/>
  <c r="Z780" i="1"/>
  <c r="Z776" i="1"/>
  <c r="Z1375" i="1"/>
  <c r="Z1371" i="1"/>
  <c r="Z1367" i="1"/>
  <c r="Z1363" i="1"/>
  <c r="Z1359" i="1"/>
  <c r="Z1355" i="1"/>
  <c r="Z1351" i="1"/>
  <c r="Z1347" i="1"/>
  <c r="Z1343" i="1"/>
  <c r="Z1339" i="1"/>
  <c r="Z1335" i="1"/>
  <c r="Z1331" i="1"/>
  <c r="Z1327" i="1"/>
  <c r="Z1323" i="1"/>
  <c r="Z1319" i="1"/>
  <c r="Z1315" i="1"/>
  <c r="Z1311" i="1"/>
  <c r="Z1307" i="1"/>
  <c r="Z1303" i="1"/>
  <c r="Z1299" i="1"/>
  <c r="Z1295" i="1"/>
  <c r="Z1291" i="1"/>
  <c r="Z1287" i="1"/>
  <c r="Z1283" i="1"/>
  <c r="Z1279" i="1"/>
  <c r="Z1275" i="1"/>
  <c r="Z1271" i="1"/>
  <c r="Z1267" i="1"/>
  <c r="Z1263" i="1"/>
  <c r="Z1259" i="1"/>
  <c r="Z1255" i="1"/>
  <c r="Z1251" i="1"/>
  <c r="Z1247" i="1"/>
  <c r="Z1243" i="1"/>
  <c r="Z1239" i="1"/>
  <c r="Z1235" i="1"/>
  <c r="Z1231" i="1"/>
  <c r="Z1227" i="1"/>
  <c r="Z1223" i="1"/>
  <c r="Z1219" i="1"/>
  <c r="Z1215" i="1"/>
  <c r="Z1211" i="1"/>
  <c r="Z1207" i="1"/>
  <c r="Z1203" i="1"/>
  <c r="Z1199" i="1"/>
  <c r="Z1195" i="1"/>
  <c r="Z1191" i="1"/>
  <c r="Z1187" i="1"/>
  <c r="Z1183" i="1"/>
  <c r="Z1179" i="1"/>
  <c r="Z1175" i="1"/>
  <c r="Z1171" i="1"/>
  <c r="Z1167" i="1"/>
  <c r="Z1163" i="1"/>
  <c r="Z1159" i="1"/>
  <c r="Z1155" i="1"/>
  <c r="Z1151" i="1"/>
  <c r="Z1147" i="1"/>
  <c r="Z1143" i="1"/>
  <c r="Z1139" i="1"/>
  <c r="Z1135" i="1"/>
  <c r="Z1131" i="1"/>
  <c r="Z1127" i="1"/>
  <c r="Z1123" i="1"/>
  <c r="Z1119" i="1"/>
  <c r="Z1115" i="1"/>
  <c r="Z1111" i="1"/>
  <c r="Z1107" i="1"/>
  <c r="Z1103" i="1"/>
  <c r="Z1099" i="1"/>
  <c r="Z1095" i="1"/>
  <c r="Z1091" i="1"/>
  <c r="Z1087" i="1"/>
  <c r="Z1083" i="1"/>
  <c r="Z1079" i="1"/>
  <c r="Z1075" i="1"/>
  <c r="Z1071" i="1"/>
  <c r="Z1067" i="1"/>
  <c r="Z1063" i="1"/>
  <c r="Z1059" i="1"/>
  <c r="Z1055" i="1"/>
  <c r="Z1051" i="1"/>
  <c r="Z1047" i="1"/>
  <c r="Z1043" i="1"/>
  <c r="Z1039" i="1"/>
  <c r="Z1035" i="1"/>
  <c r="Z1031" i="1"/>
  <c r="Z1027" i="1"/>
  <c r="Z1023" i="1"/>
  <c r="Z1019" i="1"/>
  <c r="Z1015" i="1"/>
  <c r="Z1011" i="1"/>
  <c r="Z1007" i="1"/>
  <c r="Z1003" i="1"/>
  <c r="Z999" i="1"/>
  <c r="Z995" i="1"/>
  <c r="Z991" i="1"/>
  <c r="Z987" i="1"/>
  <c r="Z983" i="1"/>
  <c r="Z979" i="1"/>
  <c r="Z975" i="1"/>
  <c r="Z971" i="1"/>
  <c r="Z967" i="1"/>
  <c r="Z963" i="1"/>
  <c r="Z959" i="1"/>
  <c r="Z955" i="1"/>
  <c r="Z951" i="1"/>
  <c r="Z947" i="1"/>
  <c r="Z943" i="1"/>
  <c r="Z939" i="1"/>
  <c r="Z935" i="1"/>
  <c r="Z931" i="1"/>
  <c r="Z927" i="1"/>
  <c r="Z923" i="1"/>
  <c r="Z919" i="1"/>
  <c r="Z915" i="1"/>
  <c r="Z911" i="1"/>
  <c r="Z907" i="1"/>
  <c r="Z903" i="1"/>
  <c r="Z899" i="1"/>
  <c r="Z895" i="1"/>
  <c r="Z891" i="1"/>
  <c r="Z887" i="1"/>
  <c r="Z883" i="1"/>
  <c r="Z879" i="1"/>
  <c r="Z875" i="1"/>
  <c r="Z871" i="1"/>
  <c r="Z867" i="1"/>
  <c r="Z863" i="1"/>
  <c r="Z859" i="1"/>
  <c r="Z855" i="1"/>
  <c r="Z851" i="1"/>
  <c r="Z847" i="1"/>
  <c r="Z843" i="1"/>
  <c r="Z839" i="1"/>
  <c r="Z835" i="1"/>
  <c r="Z831" i="1"/>
  <c r="Z827" i="1"/>
  <c r="Z823" i="1"/>
  <c r="Z819" i="1"/>
  <c r="Z815" i="1"/>
  <c r="Z811" i="1"/>
  <c r="Z807" i="1"/>
  <c r="Z803" i="1"/>
  <c r="Z799" i="1"/>
  <c r="Z795" i="1"/>
  <c r="Z791" i="1"/>
  <c r="Z787" i="1"/>
  <c r="Z783" i="1"/>
  <c r="Z779" i="1"/>
  <c r="Z775" i="1"/>
  <c r="Z1374" i="1"/>
  <c r="Z1370" i="1"/>
  <c r="Z1366" i="1"/>
  <c r="Z1362" i="1"/>
  <c r="Z1358" i="1"/>
  <c r="Z1354" i="1"/>
  <c r="Z1350" i="1"/>
  <c r="Z1346" i="1"/>
  <c r="Z1342" i="1"/>
  <c r="Z1338" i="1"/>
  <c r="Z1334" i="1"/>
  <c r="Z1330" i="1"/>
  <c r="Z1326" i="1"/>
  <c r="Z1322" i="1"/>
  <c r="Z1318" i="1"/>
  <c r="Z1314" i="1"/>
  <c r="Z1310" i="1"/>
  <c r="Z1306" i="1"/>
  <c r="Z1302" i="1"/>
  <c r="Z1298" i="1"/>
  <c r="Z1294" i="1"/>
  <c r="Z1290" i="1"/>
  <c r="Z1286" i="1"/>
  <c r="Z1282" i="1"/>
  <c r="Z1278" i="1"/>
  <c r="Z1274" i="1"/>
  <c r="Z1270" i="1"/>
  <c r="Z1266" i="1"/>
  <c r="Z1262" i="1"/>
  <c r="Z1258" i="1"/>
  <c r="Z1254" i="1"/>
  <c r="Z1250" i="1"/>
  <c r="Z1246" i="1"/>
  <c r="Z1242" i="1"/>
  <c r="Z1238" i="1"/>
  <c r="Z1234" i="1"/>
  <c r="Z1230" i="1"/>
  <c r="Z1226" i="1"/>
  <c r="Z1222" i="1"/>
  <c r="Z1218" i="1"/>
  <c r="Z1214" i="1"/>
  <c r="Z1210" i="1"/>
  <c r="Z1206" i="1"/>
  <c r="Z1202" i="1"/>
  <c r="Z1198" i="1"/>
  <c r="Z1194" i="1"/>
  <c r="Z1190" i="1"/>
  <c r="Z1186" i="1"/>
  <c r="Z1182" i="1"/>
  <c r="Z1178" i="1"/>
  <c r="Z1174" i="1"/>
  <c r="Z1170" i="1"/>
  <c r="Z1166" i="1"/>
  <c r="Z1162" i="1"/>
  <c r="Z1158" i="1"/>
  <c r="Z1154" i="1"/>
  <c r="Z1150" i="1"/>
  <c r="Z1146" i="1"/>
  <c r="Z1142" i="1"/>
  <c r="Z1138" i="1"/>
  <c r="Z1134" i="1"/>
  <c r="Z1130" i="1"/>
  <c r="Z1126" i="1"/>
  <c r="Z1122" i="1"/>
  <c r="Z1118" i="1"/>
  <c r="Z1114" i="1"/>
  <c r="Z1110" i="1"/>
  <c r="Z1106" i="1"/>
  <c r="Z1102" i="1"/>
  <c r="Z1098" i="1"/>
  <c r="Z1094" i="1"/>
  <c r="Z1090" i="1"/>
  <c r="Z1086" i="1"/>
  <c r="Z1082" i="1"/>
  <c r="Z1078" i="1"/>
  <c r="Z1074" i="1"/>
  <c r="Z1070" i="1"/>
  <c r="Z1066" i="1"/>
  <c r="Z1062" i="1"/>
  <c r="Z1058" i="1"/>
  <c r="Z1054" i="1"/>
  <c r="Z1050" i="1"/>
  <c r="Z1046" i="1"/>
  <c r="Z1042" i="1"/>
  <c r="Z1038" i="1"/>
  <c r="Z1034" i="1"/>
  <c r="Z1030" i="1"/>
  <c r="Z1026" i="1"/>
  <c r="Z1022" i="1"/>
  <c r="Z1018" i="1"/>
  <c r="Z1014" i="1"/>
  <c r="Z1010" i="1"/>
  <c r="Z1006" i="1"/>
  <c r="Z1002" i="1"/>
  <c r="Z998" i="1"/>
  <c r="Z994" i="1"/>
  <c r="Z990" i="1"/>
  <c r="Z986" i="1"/>
  <c r="Z982" i="1"/>
  <c r="Z978" i="1"/>
  <c r="Z974" i="1"/>
  <c r="Z970" i="1"/>
  <c r="Z966" i="1"/>
  <c r="Z962" i="1"/>
  <c r="Z958" i="1"/>
  <c r="Z954" i="1"/>
  <c r="Z950" i="1"/>
  <c r="Z946" i="1"/>
  <c r="Z942" i="1"/>
  <c r="Z938" i="1"/>
  <c r="Z934" i="1"/>
  <c r="Z930" i="1"/>
  <c r="Z926" i="1"/>
  <c r="Z922" i="1"/>
  <c r="Z918" i="1"/>
  <c r="Z914" i="1"/>
  <c r="Z910" i="1"/>
  <c r="Z906" i="1"/>
  <c r="Z902" i="1"/>
  <c r="Z898" i="1"/>
  <c r="Z894" i="1"/>
  <c r="Z890" i="1"/>
  <c r="Z886" i="1"/>
  <c r="Z882" i="1"/>
  <c r="Z878" i="1"/>
  <c r="Z874" i="1"/>
  <c r="Z870" i="1"/>
  <c r="Z866" i="1"/>
  <c r="Z862" i="1"/>
  <c r="Z858" i="1"/>
  <c r="Z854" i="1"/>
  <c r="Z850" i="1"/>
  <c r="Z846" i="1"/>
  <c r="Z842" i="1"/>
  <c r="Z838" i="1"/>
  <c r="Z834" i="1"/>
  <c r="Z830" i="1"/>
  <c r="Z826" i="1"/>
  <c r="Z822" i="1"/>
  <c r="Z818" i="1"/>
  <c r="Z814" i="1"/>
  <c r="Z810" i="1"/>
  <c r="Z806" i="1"/>
  <c r="Z802" i="1"/>
  <c r="Z798" i="1"/>
  <c r="Z794" i="1"/>
  <c r="Z790" i="1"/>
  <c r="Z786" i="1"/>
  <c r="Z782" i="1"/>
  <c r="Z778" i="1"/>
  <c r="W771" i="1" l="1"/>
  <c r="W773" i="1"/>
  <c r="X773" i="1" s="1"/>
  <c r="W772" i="1"/>
  <c r="W770" i="1"/>
  <c r="X774" i="1"/>
  <c r="X775" i="1"/>
  <c r="V767" i="1"/>
  <c r="V769" i="1"/>
  <c r="W769" i="1" s="1"/>
  <c r="V766" i="1"/>
  <c r="V768" i="1"/>
  <c r="Z773" i="1"/>
  <c r="AA773" i="1" s="1"/>
  <c r="AB773" i="1" s="1"/>
  <c r="Z770" i="1"/>
  <c r="Z771" i="1"/>
  <c r="Z772" i="1"/>
  <c r="AG177" i="24"/>
  <c r="AI177" i="24" s="1"/>
  <c r="AJ177" i="24" s="1"/>
  <c r="Q763" i="1"/>
  <c r="Y763" i="1" s="1"/>
  <c r="Q764" i="1"/>
  <c r="Y764" i="1" s="1"/>
  <c r="Q765" i="1"/>
  <c r="Y765" i="1" s="1"/>
  <c r="Q762" i="1"/>
  <c r="Y762" i="1" s="1"/>
  <c r="R766" i="1"/>
  <c r="R768" i="1"/>
  <c r="R767" i="1"/>
  <c r="R769" i="1"/>
  <c r="W176" i="24"/>
  <c r="U176" i="24"/>
  <c r="V176" i="24" s="1"/>
  <c r="S174" i="24"/>
  <c r="T175" i="24"/>
  <c r="AC1378" i="1"/>
  <c r="AD1378" i="1" s="1"/>
  <c r="AA1375" i="1"/>
  <c r="AB1375" i="1" s="1"/>
  <c r="AA786" i="1"/>
  <c r="AB786" i="1" s="1"/>
  <c r="AA818" i="1"/>
  <c r="AB818" i="1" s="1"/>
  <c r="AA850" i="1"/>
  <c r="AB850" i="1" s="1"/>
  <c r="AA882" i="1"/>
  <c r="AB882" i="1" s="1"/>
  <c r="AA914" i="1"/>
  <c r="AB914" i="1" s="1"/>
  <c r="AA946" i="1"/>
  <c r="AB946" i="1" s="1"/>
  <c r="AA978" i="1"/>
  <c r="AB978" i="1" s="1"/>
  <c r="AA1010" i="1"/>
  <c r="AB1010" i="1" s="1"/>
  <c r="AA1042" i="1"/>
  <c r="AB1042" i="1" s="1"/>
  <c r="AA1074" i="1"/>
  <c r="AB1074" i="1" s="1"/>
  <c r="AA1106" i="1"/>
  <c r="AB1106" i="1" s="1"/>
  <c r="AA1138" i="1"/>
  <c r="AB1138" i="1" s="1"/>
  <c r="AA1170" i="1"/>
  <c r="AB1170" i="1" s="1"/>
  <c r="AA1202" i="1"/>
  <c r="AB1202" i="1" s="1"/>
  <c r="AA1234" i="1"/>
  <c r="AB1234" i="1" s="1"/>
  <c r="AA1266" i="1"/>
  <c r="AB1266" i="1" s="1"/>
  <c r="AA1298" i="1"/>
  <c r="AB1298" i="1" s="1"/>
  <c r="AA1330" i="1"/>
  <c r="AB1330" i="1" s="1"/>
  <c r="AA1362" i="1"/>
  <c r="AB1362" i="1" s="1"/>
  <c r="AA1014" i="1"/>
  <c r="AB1014" i="1" s="1"/>
  <c r="AA802" i="1"/>
  <c r="AB802" i="1" s="1"/>
  <c r="AA834" i="1"/>
  <c r="AB834" i="1" s="1"/>
  <c r="AA866" i="1"/>
  <c r="AB866" i="1" s="1"/>
  <c r="AA898" i="1"/>
  <c r="AB898" i="1" s="1"/>
  <c r="AA930" i="1"/>
  <c r="AB930" i="1" s="1"/>
  <c r="AA962" i="1"/>
  <c r="AB962" i="1" s="1"/>
  <c r="AA994" i="1"/>
  <c r="AB994" i="1" s="1"/>
  <c r="AA1026" i="1"/>
  <c r="AB1026" i="1" s="1"/>
  <c r="AA1058" i="1"/>
  <c r="AB1058" i="1" s="1"/>
  <c r="AA1090" i="1"/>
  <c r="AB1090" i="1" s="1"/>
  <c r="AA1122" i="1"/>
  <c r="AB1122" i="1" s="1"/>
  <c r="AA1154" i="1"/>
  <c r="AB1154" i="1" s="1"/>
  <c r="AA1186" i="1"/>
  <c r="AB1186" i="1" s="1"/>
  <c r="AA1218" i="1"/>
  <c r="AB1218" i="1" s="1"/>
  <c r="AA1250" i="1"/>
  <c r="AB1250" i="1" s="1"/>
  <c r="AA1282" i="1"/>
  <c r="AB1282" i="1" s="1"/>
  <c r="AA1314" i="1"/>
  <c r="AB1314" i="1" s="1"/>
  <c r="AA1346" i="1"/>
  <c r="AB1346" i="1" s="1"/>
  <c r="AA774" i="1"/>
  <c r="AB774" i="1" s="1"/>
  <c r="AA790" i="1"/>
  <c r="AB790" i="1" s="1"/>
  <c r="AA806" i="1"/>
  <c r="AB806" i="1" s="1"/>
  <c r="AA822" i="1"/>
  <c r="AB822" i="1" s="1"/>
  <c r="AA838" i="1"/>
  <c r="AB838" i="1" s="1"/>
  <c r="AA854" i="1"/>
  <c r="AB854" i="1" s="1"/>
  <c r="AA870" i="1"/>
  <c r="AB870" i="1" s="1"/>
  <c r="AA886" i="1"/>
  <c r="AB886" i="1" s="1"/>
  <c r="AA902" i="1"/>
  <c r="AB902" i="1" s="1"/>
  <c r="AA918" i="1"/>
  <c r="AB918" i="1" s="1"/>
  <c r="AA934" i="1"/>
  <c r="AB934" i="1" s="1"/>
  <c r="AA950" i="1"/>
  <c r="AB950" i="1" s="1"/>
  <c r="AA966" i="1"/>
  <c r="AB966" i="1" s="1"/>
  <c r="AA982" i="1"/>
  <c r="AB982" i="1" s="1"/>
  <c r="AA998" i="1"/>
  <c r="AB998" i="1" s="1"/>
  <c r="AA1046" i="1"/>
  <c r="AB1046" i="1" s="1"/>
  <c r="AA1030" i="1"/>
  <c r="AB1030" i="1" s="1"/>
  <c r="AA1078" i="1"/>
  <c r="AB1078" i="1" s="1"/>
  <c r="AA1094" i="1"/>
  <c r="AB1094" i="1" s="1"/>
  <c r="AA1126" i="1"/>
  <c r="AB1126" i="1" s="1"/>
  <c r="AA1158" i="1"/>
  <c r="AB1158" i="1" s="1"/>
  <c r="AA1190" i="1"/>
  <c r="AB1190" i="1" s="1"/>
  <c r="AA1222" i="1"/>
  <c r="AB1222" i="1" s="1"/>
  <c r="AA1254" i="1"/>
  <c r="AB1254" i="1" s="1"/>
  <c r="AA1286" i="1"/>
  <c r="AB1286" i="1" s="1"/>
  <c r="AA1318" i="1"/>
  <c r="AB1318" i="1" s="1"/>
  <c r="AA1350" i="1"/>
  <c r="AB1350" i="1" s="1"/>
  <c r="AA782" i="1"/>
  <c r="AB782" i="1" s="1"/>
  <c r="AA798" i="1"/>
  <c r="AB798" i="1" s="1"/>
  <c r="AA814" i="1"/>
  <c r="AB814" i="1" s="1"/>
  <c r="AA830" i="1"/>
  <c r="AB830" i="1" s="1"/>
  <c r="AA846" i="1"/>
  <c r="AB846" i="1" s="1"/>
  <c r="AA862" i="1"/>
  <c r="AB862" i="1" s="1"/>
  <c r="AA878" i="1"/>
  <c r="AB878" i="1" s="1"/>
  <c r="AA894" i="1"/>
  <c r="AB894" i="1" s="1"/>
  <c r="AA910" i="1"/>
  <c r="AB910" i="1" s="1"/>
  <c r="AA926" i="1"/>
  <c r="AB926" i="1" s="1"/>
  <c r="AA942" i="1"/>
  <c r="AB942" i="1" s="1"/>
  <c r="AA958" i="1"/>
  <c r="AB958" i="1" s="1"/>
  <c r="AA974" i="1"/>
  <c r="AB974" i="1" s="1"/>
  <c r="AA990" i="1"/>
  <c r="AB990" i="1" s="1"/>
  <c r="AA1006" i="1"/>
  <c r="AB1006" i="1" s="1"/>
  <c r="AA1022" i="1"/>
  <c r="AB1022" i="1" s="1"/>
  <c r="AA1038" i="1"/>
  <c r="AB1038" i="1" s="1"/>
  <c r="AA1054" i="1"/>
  <c r="AB1054" i="1" s="1"/>
  <c r="AA1070" i="1"/>
  <c r="AB1070" i="1" s="1"/>
  <c r="AA1086" i="1"/>
  <c r="AB1086" i="1" s="1"/>
  <c r="AA1102" i="1"/>
  <c r="AB1102" i="1" s="1"/>
  <c r="AA1118" i="1"/>
  <c r="AB1118" i="1" s="1"/>
  <c r="AA1134" i="1"/>
  <c r="AB1134" i="1" s="1"/>
  <c r="AA1150" i="1"/>
  <c r="AB1150" i="1" s="1"/>
  <c r="AA1166" i="1"/>
  <c r="AB1166" i="1" s="1"/>
  <c r="AA1182" i="1"/>
  <c r="AB1182" i="1" s="1"/>
  <c r="AA1198" i="1"/>
  <c r="AB1198" i="1" s="1"/>
  <c r="AA1214" i="1"/>
  <c r="AB1214" i="1" s="1"/>
  <c r="AA1230" i="1"/>
  <c r="AB1230" i="1" s="1"/>
  <c r="AA1246" i="1"/>
  <c r="AB1246" i="1" s="1"/>
  <c r="AA1262" i="1"/>
  <c r="AB1262" i="1" s="1"/>
  <c r="AA1278" i="1"/>
  <c r="AB1278" i="1" s="1"/>
  <c r="AA1294" i="1"/>
  <c r="AB1294" i="1" s="1"/>
  <c r="AA1310" i="1"/>
  <c r="AB1310" i="1" s="1"/>
  <c r="AA1326" i="1"/>
  <c r="AB1326" i="1" s="1"/>
  <c r="AA1342" i="1"/>
  <c r="AB1342" i="1" s="1"/>
  <c r="AA1358" i="1"/>
  <c r="AB1358" i="1" s="1"/>
  <c r="AA1374" i="1"/>
  <c r="AB1374" i="1" s="1"/>
  <c r="AA1062" i="1"/>
  <c r="AB1062" i="1" s="1"/>
  <c r="AA1110" i="1"/>
  <c r="AB1110" i="1" s="1"/>
  <c r="AA1142" i="1"/>
  <c r="AB1142" i="1" s="1"/>
  <c r="AA1174" i="1"/>
  <c r="AB1174" i="1" s="1"/>
  <c r="AA1206" i="1"/>
  <c r="AB1206" i="1" s="1"/>
  <c r="AA1238" i="1"/>
  <c r="AB1238" i="1" s="1"/>
  <c r="AA1270" i="1"/>
  <c r="AB1270" i="1" s="1"/>
  <c r="AA1302" i="1"/>
  <c r="AB1302" i="1" s="1"/>
  <c r="AA1334" i="1"/>
  <c r="AB1334" i="1" s="1"/>
  <c r="AA1366" i="1"/>
  <c r="AB1366" i="1" s="1"/>
  <c r="AA778" i="1"/>
  <c r="AB778" i="1" s="1"/>
  <c r="AA794" i="1"/>
  <c r="AB794" i="1" s="1"/>
  <c r="AA810" i="1"/>
  <c r="AB810" i="1" s="1"/>
  <c r="AA826" i="1"/>
  <c r="AB826" i="1" s="1"/>
  <c r="AA842" i="1"/>
  <c r="AB842" i="1" s="1"/>
  <c r="AA858" i="1"/>
  <c r="AB858" i="1" s="1"/>
  <c r="AA874" i="1"/>
  <c r="AB874" i="1" s="1"/>
  <c r="AA890" i="1"/>
  <c r="AB890" i="1" s="1"/>
  <c r="AA906" i="1"/>
  <c r="AB906" i="1" s="1"/>
  <c r="AA922" i="1"/>
  <c r="AB922" i="1" s="1"/>
  <c r="AA938" i="1"/>
  <c r="AB938" i="1" s="1"/>
  <c r="AA954" i="1"/>
  <c r="AB954" i="1" s="1"/>
  <c r="AA970" i="1"/>
  <c r="AB970" i="1" s="1"/>
  <c r="AA986" i="1"/>
  <c r="AB986" i="1" s="1"/>
  <c r="AA1002" i="1"/>
  <c r="AB1002" i="1" s="1"/>
  <c r="AA1018" i="1"/>
  <c r="AB1018" i="1" s="1"/>
  <c r="AA1034" i="1"/>
  <c r="AB1034" i="1" s="1"/>
  <c r="AA1050" i="1"/>
  <c r="AB1050" i="1" s="1"/>
  <c r="AA1066" i="1"/>
  <c r="AB1066" i="1" s="1"/>
  <c r="AA1082" i="1"/>
  <c r="AB1082" i="1" s="1"/>
  <c r="AA1098" i="1"/>
  <c r="AB1098" i="1" s="1"/>
  <c r="AA1114" i="1"/>
  <c r="AB1114" i="1" s="1"/>
  <c r="AA1130" i="1"/>
  <c r="AB1130" i="1" s="1"/>
  <c r="AA1146" i="1"/>
  <c r="AB1146" i="1" s="1"/>
  <c r="AA1162" i="1"/>
  <c r="AB1162" i="1" s="1"/>
  <c r="AA1178" i="1"/>
  <c r="AB1178" i="1" s="1"/>
  <c r="AA1194" i="1"/>
  <c r="AB1194" i="1" s="1"/>
  <c r="AA1210" i="1"/>
  <c r="AB1210" i="1" s="1"/>
  <c r="AA1226" i="1"/>
  <c r="AB1226" i="1" s="1"/>
  <c r="AA1242" i="1"/>
  <c r="AB1242" i="1" s="1"/>
  <c r="AA1258" i="1"/>
  <c r="AB1258" i="1" s="1"/>
  <c r="AA1274" i="1"/>
  <c r="AB1274" i="1" s="1"/>
  <c r="AA1290" i="1"/>
  <c r="AB1290" i="1" s="1"/>
  <c r="AA1306" i="1"/>
  <c r="AB1306" i="1" s="1"/>
  <c r="AA1322" i="1"/>
  <c r="AB1322" i="1" s="1"/>
  <c r="AA1338" i="1"/>
  <c r="AB1338" i="1" s="1"/>
  <c r="AA1354" i="1"/>
  <c r="AB1354" i="1" s="1"/>
  <c r="AA1370" i="1"/>
  <c r="AB1370" i="1" s="1"/>
  <c r="AA1376" i="1"/>
  <c r="AB1376" i="1" s="1"/>
  <c r="AA779" i="1"/>
  <c r="AB779" i="1" s="1"/>
  <c r="AA795" i="1"/>
  <c r="AB795" i="1" s="1"/>
  <c r="AA811" i="1"/>
  <c r="AB811" i="1" s="1"/>
  <c r="AA827" i="1"/>
  <c r="AB827" i="1" s="1"/>
  <c r="AA843" i="1"/>
  <c r="AB843" i="1" s="1"/>
  <c r="AA859" i="1"/>
  <c r="AB859" i="1" s="1"/>
  <c r="AA875" i="1"/>
  <c r="AB875" i="1" s="1"/>
  <c r="AA891" i="1"/>
  <c r="AB891" i="1" s="1"/>
  <c r="AA907" i="1"/>
  <c r="AB907" i="1" s="1"/>
  <c r="AA923" i="1"/>
  <c r="AB923" i="1" s="1"/>
  <c r="AA939" i="1"/>
  <c r="AB939" i="1" s="1"/>
  <c r="AA955" i="1"/>
  <c r="AB955" i="1" s="1"/>
  <c r="AA971" i="1"/>
  <c r="AB971" i="1" s="1"/>
  <c r="AA987" i="1"/>
  <c r="AB987" i="1" s="1"/>
  <c r="AA1003" i="1"/>
  <c r="AB1003" i="1" s="1"/>
  <c r="AA1019" i="1"/>
  <c r="AB1019" i="1" s="1"/>
  <c r="AA1035" i="1"/>
  <c r="AB1035" i="1" s="1"/>
  <c r="AA1051" i="1"/>
  <c r="AB1051" i="1" s="1"/>
  <c r="AA1067" i="1"/>
  <c r="AB1067" i="1" s="1"/>
  <c r="AA1083" i="1"/>
  <c r="AB1083" i="1" s="1"/>
  <c r="AA1099" i="1"/>
  <c r="AB1099" i="1" s="1"/>
  <c r="AA1115" i="1"/>
  <c r="AB1115" i="1" s="1"/>
  <c r="AA1131" i="1"/>
  <c r="AB1131" i="1" s="1"/>
  <c r="AA1147" i="1"/>
  <c r="AB1147" i="1" s="1"/>
  <c r="AA1163" i="1"/>
  <c r="AB1163" i="1" s="1"/>
  <c r="AA1179" i="1"/>
  <c r="AB1179" i="1" s="1"/>
  <c r="AA1195" i="1"/>
  <c r="AB1195" i="1" s="1"/>
  <c r="AA1211" i="1"/>
  <c r="AB1211" i="1" s="1"/>
  <c r="AA1227" i="1"/>
  <c r="AB1227" i="1" s="1"/>
  <c r="AA1243" i="1"/>
  <c r="AB1243" i="1" s="1"/>
  <c r="AA1259" i="1"/>
  <c r="AB1259" i="1" s="1"/>
  <c r="AA1275" i="1"/>
  <c r="AB1275" i="1" s="1"/>
  <c r="AA1291" i="1"/>
  <c r="AB1291" i="1" s="1"/>
  <c r="AA1307" i="1"/>
  <c r="AB1307" i="1" s="1"/>
  <c r="AA1323" i="1"/>
  <c r="AB1323" i="1" s="1"/>
  <c r="AA1339" i="1"/>
  <c r="AB1339" i="1" s="1"/>
  <c r="AA1355" i="1"/>
  <c r="AB1355" i="1" s="1"/>
  <c r="AA1371" i="1"/>
  <c r="AB1371" i="1" s="1"/>
  <c r="AA776" i="1"/>
  <c r="AB776" i="1" s="1"/>
  <c r="AA792" i="1"/>
  <c r="AB792" i="1" s="1"/>
  <c r="AA808" i="1"/>
  <c r="AB808" i="1" s="1"/>
  <c r="AA824" i="1"/>
  <c r="AB824" i="1" s="1"/>
  <c r="AA840" i="1"/>
  <c r="AB840" i="1" s="1"/>
  <c r="AA856" i="1"/>
  <c r="AB856" i="1" s="1"/>
  <c r="AA872" i="1"/>
  <c r="AB872" i="1" s="1"/>
  <c r="AA888" i="1"/>
  <c r="AB888" i="1" s="1"/>
  <c r="AA904" i="1"/>
  <c r="AB904" i="1" s="1"/>
  <c r="AA920" i="1"/>
  <c r="AB920" i="1" s="1"/>
  <c r="AA936" i="1"/>
  <c r="AB936" i="1" s="1"/>
  <c r="AA952" i="1"/>
  <c r="AB952" i="1" s="1"/>
  <c r="AA968" i="1"/>
  <c r="AB968" i="1" s="1"/>
  <c r="AA984" i="1"/>
  <c r="AB984" i="1" s="1"/>
  <c r="AA1000" i="1"/>
  <c r="AB1000" i="1" s="1"/>
  <c r="AA1016" i="1"/>
  <c r="AB1016" i="1" s="1"/>
  <c r="AA1032" i="1"/>
  <c r="AB1032" i="1" s="1"/>
  <c r="AA1048" i="1"/>
  <c r="AB1048" i="1" s="1"/>
  <c r="AA1064" i="1"/>
  <c r="AB1064" i="1" s="1"/>
  <c r="AA1080" i="1"/>
  <c r="AB1080" i="1" s="1"/>
  <c r="AA1096" i="1"/>
  <c r="AB1096" i="1" s="1"/>
  <c r="AA1112" i="1"/>
  <c r="AB1112" i="1" s="1"/>
  <c r="AA1128" i="1"/>
  <c r="AB1128" i="1" s="1"/>
  <c r="AA1144" i="1"/>
  <c r="AB1144" i="1" s="1"/>
  <c r="AA1160" i="1"/>
  <c r="AB1160" i="1" s="1"/>
  <c r="AA1176" i="1"/>
  <c r="AB1176" i="1" s="1"/>
  <c r="AA1192" i="1"/>
  <c r="AB1192" i="1" s="1"/>
  <c r="AA1208" i="1"/>
  <c r="AB1208" i="1" s="1"/>
  <c r="AA1224" i="1"/>
  <c r="AB1224" i="1" s="1"/>
  <c r="AA1240" i="1"/>
  <c r="AB1240" i="1" s="1"/>
  <c r="AA1256" i="1"/>
  <c r="AB1256" i="1" s="1"/>
  <c r="AA1272" i="1"/>
  <c r="AB1272" i="1" s="1"/>
  <c r="AA1288" i="1"/>
  <c r="AB1288" i="1" s="1"/>
  <c r="AA1304" i="1"/>
  <c r="AB1304" i="1" s="1"/>
  <c r="AA1320" i="1"/>
  <c r="AB1320" i="1" s="1"/>
  <c r="AA1336" i="1"/>
  <c r="AB1336" i="1" s="1"/>
  <c r="AA1352" i="1"/>
  <c r="AB1352" i="1" s="1"/>
  <c r="AA1368" i="1"/>
  <c r="AB1368" i="1" s="1"/>
  <c r="AA781" i="1"/>
  <c r="AB781" i="1" s="1"/>
  <c r="AA797" i="1"/>
  <c r="AB797" i="1" s="1"/>
  <c r="AA813" i="1"/>
  <c r="AB813" i="1" s="1"/>
  <c r="AA829" i="1"/>
  <c r="AB829" i="1" s="1"/>
  <c r="AA845" i="1"/>
  <c r="AB845" i="1" s="1"/>
  <c r="AA861" i="1"/>
  <c r="AB861" i="1" s="1"/>
  <c r="AA877" i="1"/>
  <c r="AB877" i="1" s="1"/>
  <c r="AA893" i="1"/>
  <c r="AB893" i="1" s="1"/>
  <c r="AA909" i="1"/>
  <c r="AB909" i="1" s="1"/>
  <c r="AA925" i="1"/>
  <c r="AB925" i="1" s="1"/>
  <c r="AA941" i="1"/>
  <c r="AB941" i="1" s="1"/>
  <c r="AA957" i="1"/>
  <c r="AB957" i="1" s="1"/>
  <c r="AA973" i="1"/>
  <c r="AB973" i="1" s="1"/>
  <c r="AA989" i="1"/>
  <c r="AB989" i="1" s="1"/>
  <c r="AA1005" i="1"/>
  <c r="AB1005" i="1" s="1"/>
  <c r="AA1021" i="1"/>
  <c r="AB1021" i="1" s="1"/>
  <c r="AA1037" i="1"/>
  <c r="AB1037" i="1" s="1"/>
  <c r="AA1053" i="1"/>
  <c r="AB1053" i="1" s="1"/>
  <c r="AA1069" i="1"/>
  <c r="AB1069" i="1" s="1"/>
  <c r="AA1085" i="1"/>
  <c r="AB1085" i="1" s="1"/>
  <c r="AA1101" i="1"/>
  <c r="AB1101" i="1" s="1"/>
  <c r="AA1117" i="1"/>
  <c r="AB1117" i="1" s="1"/>
  <c r="AA1133" i="1"/>
  <c r="AB1133" i="1" s="1"/>
  <c r="AA1149" i="1"/>
  <c r="AB1149" i="1" s="1"/>
  <c r="AA1165" i="1"/>
  <c r="AB1165" i="1" s="1"/>
  <c r="AA1181" i="1"/>
  <c r="AB1181" i="1" s="1"/>
  <c r="AA1197" i="1"/>
  <c r="AB1197" i="1" s="1"/>
  <c r="AA1213" i="1"/>
  <c r="AB1213" i="1" s="1"/>
  <c r="AA1229" i="1"/>
  <c r="AB1229" i="1" s="1"/>
  <c r="AA1245" i="1"/>
  <c r="AB1245" i="1" s="1"/>
  <c r="AA1261" i="1"/>
  <c r="AB1261" i="1" s="1"/>
  <c r="AA1277" i="1"/>
  <c r="AB1277" i="1" s="1"/>
  <c r="AA1293" i="1"/>
  <c r="AB1293" i="1" s="1"/>
  <c r="AA1309" i="1"/>
  <c r="AB1309" i="1" s="1"/>
  <c r="AA1325" i="1"/>
  <c r="AB1325" i="1" s="1"/>
  <c r="AA1341" i="1"/>
  <c r="AB1341" i="1" s="1"/>
  <c r="AA1357" i="1"/>
  <c r="AB1357" i="1" s="1"/>
  <c r="AA1373" i="1"/>
  <c r="AB1373" i="1" s="1"/>
  <c r="AA783" i="1"/>
  <c r="AB783" i="1" s="1"/>
  <c r="AA799" i="1"/>
  <c r="AB799" i="1" s="1"/>
  <c r="AA815" i="1"/>
  <c r="AB815" i="1" s="1"/>
  <c r="AA831" i="1"/>
  <c r="AB831" i="1" s="1"/>
  <c r="AA847" i="1"/>
  <c r="AB847" i="1" s="1"/>
  <c r="AA863" i="1"/>
  <c r="AB863" i="1" s="1"/>
  <c r="AA879" i="1"/>
  <c r="AB879" i="1" s="1"/>
  <c r="AA895" i="1"/>
  <c r="AB895" i="1" s="1"/>
  <c r="AA911" i="1"/>
  <c r="AB911" i="1" s="1"/>
  <c r="AA927" i="1"/>
  <c r="AB927" i="1" s="1"/>
  <c r="AA943" i="1"/>
  <c r="AB943" i="1" s="1"/>
  <c r="AA959" i="1"/>
  <c r="AB959" i="1" s="1"/>
  <c r="AA975" i="1"/>
  <c r="AB975" i="1" s="1"/>
  <c r="AA991" i="1"/>
  <c r="AB991" i="1" s="1"/>
  <c r="AA1007" i="1"/>
  <c r="AB1007" i="1" s="1"/>
  <c r="AA1023" i="1"/>
  <c r="AB1023" i="1" s="1"/>
  <c r="AA1039" i="1"/>
  <c r="AB1039" i="1" s="1"/>
  <c r="AA1055" i="1"/>
  <c r="AB1055" i="1" s="1"/>
  <c r="AA1071" i="1"/>
  <c r="AB1071" i="1" s="1"/>
  <c r="AA1087" i="1"/>
  <c r="AB1087" i="1" s="1"/>
  <c r="AA1103" i="1"/>
  <c r="AB1103" i="1" s="1"/>
  <c r="AA1119" i="1"/>
  <c r="AB1119" i="1" s="1"/>
  <c r="AA1135" i="1"/>
  <c r="AB1135" i="1" s="1"/>
  <c r="AA1151" i="1"/>
  <c r="AB1151" i="1" s="1"/>
  <c r="AA1167" i="1"/>
  <c r="AB1167" i="1" s="1"/>
  <c r="AA1183" i="1"/>
  <c r="AB1183" i="1" s="1"/>
  <c r="AA1199" i="1"/>
  <c r="AB1199" i="1" s="1"/>
  <c r="AA1215" i="1"/>
  <c r="AB1215" i="1" s="1"/>
  <c r="AA1231" i="1"/>
  <c r="AB1231" i="1" s="1"/>
  <c r="AA1247" i="1"/>
  <c r="AB1247" i="1" s="1"/>
  <c r="AA1263" i="1"/>
  <c r="AB1263" i="1" s="1"/>
  <c r="AA1279" i="1"/>
  <c r="AB1279" i="1" s="1"/>
  <c r="AA1295" i="1"/>
  <c r="AB1295" i="1" s="1"/>
  <c r="AA1311" i="1"/>
  <c r="AB1311" i="1" s="1"/>
  <c r="AA1327" i="1"/>
  <c r="AB1327" i="1" s="1"/>
  <c r="AA1343" i="1"/>
  <c r="AB1343" i="1" s="1"/>
  <c r="AA1359" i="1"/>
  <c r="AB1359" i="1" s="1"/>
  <c r="AA780" i="1"/>
  <c r="AB780" i="1" s="1"/>
  <c r="AA796" i="1"/>
  <c r="AB796" i="1" s="1"/>
  <c r="AA812" i="1"/>
  <c r="AB812" i="1" s="1"/>
  <c r="AA828" i="1"/>
  <c r="AB828" i="1" s="1"/>
  <c r="AA844" i="1"/>
  <c r="AB844" i="1" s="1"/>
  <c r="AA860" i="1"/>
  <c r="AB860" i="1" s="1"/>
  <c r="AA876" i="1"/>
  <c r="AB876" i="1" s="1"/>
  <c r="AA892" i="1"/>
  <c r="AB892" i="1" s="1"/>
  <c r="AA908" i="1"/>
  <c r="AB908" i="1" s="1"/>
  <c r="AA924" i="1"/>
  <c r="AB924" i="1" s="1"/>
  <c r="AA940" i="1"/>
  <c r="AB940" i="1" s="1"/>
  <c r="AA956" i="1"/>
  <c r="AB956" i="1" s="1"/>
  <c r="AA972" i="1"/>
  <c r="AB972" i="1" s="1"/>
  <c r="AA988" i="1"/>
  <c r="AB988" i="1" s="1"/>
  <c r="AA1004" i="1"/>
  <c r="AB1004" i="1" s="1"/>
  <c r="AA1020" i="1"/>
  <c r="AB1020" i="1" s="1"/>
  <c r="AA1036" i="1"/>
  <c r="AB1036" i="1" s="1"/>
  <c r="AA1052" i="1"/>
  <c r="AB1052" i="1" s="1"/>
  <c r="AA1068" i="1"/>
  <c r="AB1068" i="1" s="1"/>
  <c r="AA1084" i="1"/>
  <c r="AB1084" i="1" s="1"/>
  <c r="AA1100" i="1"/>
  <c r="AB1100" i="1" s="1"/>
  <c r="AA1116" i="1"/>
  <c r="AB1116" i="1" s="1"/>
  <c r="AA1132" i="1"/>
  <c r="AB1132" i="1" s="1"/>
  <c r="AA1148" i="1"/>
  <c r="AB1148" i="1" s="1"/>
  <c r="AA1164" i="1"/>
  <c r="AB1164" i="1" s="1"/>
  <c r="AA1180" i="1"/>
  <c r="AB1180" i="1" s="1"/>
  <c r="AA1196" i="1"/>
  <c r="AB1196" i="1" s="1"/>
  <c r="AA1212" i="1"/>
  <c r="AB1212" i="1" s="1"/>
  <c r="AA1228" i="1"/>
  <c r="AB1228" i="1" s="1"/>
  <c r="AA1244" i="1"/>
  <c r="AB1244" i="1" s="1"/>
  <c r="AA1260" i="1"/>
  <c r="AB1260" i="1" s="1"/>
  <c r="AA1276" i="1"/>
  <c r="AB1276" i="1" s="1"/>
  <c r="AA1292" i="1"/>
  <c r="AB1292" i="1" s="1"/>
  <c r="AA1308" i="1"/>
  <c r="AB1308" i="1" s="1"/>
  <c r="AA1324" i="1"/>
  <c r="AB1324" i="1" s="1"/>
  <c r="AA1340" i="1"/>
  <c r="AB1340" i="1" s="1"/>
  <c r="AA1356" i="1"/>
  <c r="AB1356" i="1" s="1"/>
  <c r="AA1372" i="1"/>
  <c r="AB1372" i="1" s="1"/>
  <c r="AA785" i="1"/>
  <c r="AB785" i="1" s="1"/>
  <c r="AA801" i="1"/>
  <c r="AB801" i="1" s="1"/>
  <c r="AA817" i="1"/>
  <c r="AB817" i="1" s="1"/>
  <c r="AA833" i="1"/>
  <c r="AB833" i="1" s="1"/>
  <c r="AA849" i="1"/>
  <c r="AB849" i="1" s="1"/>
  <c r="AA865" i="1"/>
  <c r="AB865" i="1" s="1"/>
  <c r="AA881" i="1"/>
  <c r="AB881" i="1" s="1"/>
  <c r="AA897" i="1"/>
  <c r="AB897" i="1" s="1"/>
  <c r="AA913" i="1"/>
  <c r="AB913" i="1" s="1"/>
  <c r="AA929" i="1"/>
  <c r="AB929" i="1" s="1"/>
  <c r="AA945" i="1"/>
  <c r="AB945" i="1" s="1"/>
  <c r="AA961" i="1"/>
  <c r="AB961" i="1" s="1"/>
  <c r="AA977" i="1"/>
  <c r="AB977" i="1" s="1"/>
  <c r="AA993" i="1"/>
  <c r="AB993" i="1" s="1"/>
  <c r="AA1009" i="1"/>
  <c r="AB1009" i="1" s="1"/>
  <c r="AA1025" i="1"/>
  <c r="AB1025" i="1" s="1"/>
  <c r="AA1041" i="1"/>
  <c r="AB1041" i="1" s="1"/>
  <c r="AA1057" i="1"/>
  <c r="AB1057" i="1" s="1"/>
  <c r="AA1073" i="1"/>
  <c r="AB1073" i="1" s="1"/>
  <c r="AA1089" i="1"/>
  <c r="AB1089" i="1" s="1"/>
  <c r="AA1105" i="1"/>
  <c r="AB1105" i="1" s="1"/>
  <c r="AA1121" i="1"/>
  <c r="AB1121" i="1" s="1"/>
  <c r="AA1137" i="1"/>
  <c r="AB1137" i="1" s="1"/>
  <c r="AA1153" i="1"/>
  <c r="AB1153" i="1" s="1"/>
  <c r="AA1169" i="1"/>
  <c r="AB1169" i="1" s="1"/>
  <c r="AA1185" i="1"/>
  <c r="AB1185" i="1" s="1"/>
  <c r="AA1201" i="1"/>
  <c r="AB1201" i="1" s="1"/>
  <c r="AA1217" i="1"/>
  <c r="AB1217" i="1" s="1"/>
  <c r="AA1233" i="1"/>
  <c r="AB1233" i="1" s="1"/>
  <c r="AA1249" i="1"/>
  <c r="AB1249" i="1" s="1"/>
  <c r="AA1265" i="1"/>
  <c r="AB1265" i="1" s="1"/>
  <c r="AA1281" i="1"/>
  <c r="AB1281" i="1" s="1"/>
  <c r="AA1297" i="1"/>
  <c r="AB1297" i="1" s="1"/>
  <c r="AA1313" i="1"/>
  <c r="AB1313" i="1" s="1"/>
  <c r="AA1329" i="1"/>
  <c r="AB1329" i="1" s="1"/>
  <c r="AA1345" i="1"/>
  <c r="AB1345" i="1" s="1"/>
  <c r="AA1361" i="1"/>
  <c r="AB1361" i="1" s="1"/>
  <c r="AA787" i="1"/>
  <c r="AB787" i="1" s="1"/>
  <c r="AA803" i="1"/>
  <c r="AB803" i="1" s="1"/>
  <c r="AA819" i="1"/>
  <c r="AB819" i="1" s="1"/>
  <c r="AA835" i="1"/>
  <c r="AB835" i="1" s="1"/>
  <c r="AA851" i="1"/>
  <c r="AB851" i="1" s="1"/>
  <c r="AA867" i="1"/>
  <c r="AB867" i="1" s="1"/>
  <c r="AA883" i="1"/>
  <c r="AB883" i="1" s="1"/>
  <c r="AA899" i="1"/>
  <c r="AB899" i="1" s="1"/>
  <c r="AA915" i="1"/>
  <c r="AB915" i="1" s="1"/>
  <c r="AA931" i="1"/>
  <c r="AB931" i="1" s="1"/>
  <c r="AA947" i="1"/>
  <c r="AB947" i="1" s="1"/>
  <c r="AA963" i="1"/>
  <c r="AB963" i="1" s="1"/>
  <c r="AA979" i="1"/>
  <c r="AB979" i="1" s="1"/>
  <c r="AA995" i="1"/>
  <c r="AB995" i="1" s="1"/>
  <c r="AA1011" i="1"/>
  <c r="AB1011" i="1" s="1"/>
  <c r="AA1027" i="1"/>
  <c r="AB1027" i="1" s="1"/>
  <c r="AA1043" i="1"/>
  <c r="AB1043" i="1" s="1"/>
  <c r="AA1059" i="1"/>
  <c r="AB1059" i="1" s="1"/>
  <c r="AA1075" i="1"/>
  <c r="AB1075" i="1" s="1"/>
  <c r="AA1091" i="1"/>
  <c r="AB1091" i="1" s="1"/>
  <c r="AA1107" i="1"/>
  <c r="AB1107" i="1" s="1"/>
  <c r="AA1123" i="1"/>
  <c r="AB1123" i="1" s="1"/>
  <c r="AA1139" i="1"/>
  <c r="AB1139" i="1" s="1"/>
  <c r="AA1155" i="1"/>
  <c r="AB1155" i="1" s="1"/>
  <c r="AA1171" i="1"/>
  <c r="AB1171" i="1" s="1"/>
  <c r="AA1187" i="1"/>
  <c r="AB1187" i="1" s="1"/>
  <c r="AA1203" i="1"/>
  <c r="AB1203" i="1" s="1"/>
  <c r="AA1219" i="1"/>
  <c r="AB1219" i="1" s="1"/>
  <c r="AA1235" i="1"/>
  <c r="AB1235" i="1" s="1"/>
  <c r="AA1251" i="1"/>
  <c r="AB1251" i="1" s="1"/>
  <c r="AA1267" i="1"/>
  <c r="AB1267" i="1" s="1"/>
  <c r="AA1283" i="1"/>
  <c r="AB1283" i="1" s="1"/>
  <c r="AA1299" i="1"/>
  <c r="AB1299" i="1" s="1"/>
  <c r="AA1315" i="1"/>
  <c r="AB1315" i="1" s="1"/>
  <c r="AA1331" i="1"/>
  <c r="AB1331" i="1" s="1"/>
  <c r="AA1347" i="1"/>
  <c r="AB1347" i="1" s="1"/>
  <c r="AA1363" i="1"/>
  <c r="AB1363" i="1" s="1"/>
  <c r="AA784" i="1"/>
  <c r="AB784" i="1" s="1"/>
  <c r="AA800" i="1"/>
  <c r="AB800" i="1" s="1"/>
  <c r="AA816" i="1"/>
  <c r="AB816" i="1" s="1"/>
  <c r="AA832" i="1"/>
  <c r="AB832" i="1" s="1"/>
  <c r="AA848" i="1"/>
  <c r="AB848" i="1" s="1"/>
  <c r="AA864" i="1"/>
  <c r="AB864" i="1" s="1"/>
  <c r="AA880" i="1"/>
  <c r="AB880" i="1" s="1"/>
  <c r="AA896" i="1"/>
  <c r="AB896" i="1" s="1"/>
  <c r="AA912" i="1"/>
  <c r="AB912" i="1" s="1"/>
  <c r="AA928" i="1"/>
  <c r="AB928" i="1" s="1"/>
  <c r="AA944" i="1"/>
  <c r="AB944" i="1" s="1"/>
  <c r="AA960" i="1"/>
  <c r="AB960" i="1" s="1"/>
  <c r="AA976" i="1"/>
  <c r="AB976" i="1" s="1"/>
  <c r="AA992" i="1"/>
  <c r="AB992" i="1" s="1"/>
  <c r="AA1008" i="1"/>
  <c r="AB1008" i="1" s="1"/>
  <c r="AA1024" i="1"/>
  <c r="AB1024" i="1" s="1"/>
  <c r="AA1040" i="1"/>
  <c r="AB1040" i="1" s="1"/>
  <c r="AA1056" i="1"/>
  <c r="AB1056" i="1" s="1"/>
  <c r="AA1072" i="1"/>
  <c r="AB1072" i="1" s="1"/>
  <c r="AA1088" i="1"/>
  <c r="AB1088" i="1" s="1"/>
  <c r="AA1104" i="1"/>
  <c r="AB1104" i="1" s="1"/>
  <c r="AA1120" i="1"/>
  <c r="AB1120" i="1" s="1"/>
  <c r="AA1136" i="1"/>
  <c r="AB1136" i="1" s="1"/>
  <c r="AA1152" i="1"/>
  <c r="AB1152" i="1" s="1"/>
  <c r="AA1168" i="1"/>
  <c r="AB1168" i="1" s="1"/>
  <c r="AA1184" i="1"/>
  <c r="AB1184" i="1" s="1"/>
  <c r="AA1200" i="1"/>
  <c r="AB1200" i="1" s="1"/>
  <c r="AA1216" i="1"/>
  <c r="AB1216" i="1" s="1"/>
  <c r="AA1232" i="1"/>
  <c r="AB1232" i="1" s="1"/>
  <c r="AA1248" i="1"/>
  <c r="AB1248" i="1" s="1"/>
  <c r="AA1264" i="1"/>
  <c r="AB1264" i="1" s="1"/>
  <c r="AA1280" i="1"/>
  <c r="AB1280" i="1" s="1"/>
  <c r="AA1296" i="1"/>
  <c r="AB1296" i="1" s="1"/>
  <c r="AA1312" i="1"/>
  <c r="AB1312" i="1" s="1"/>
  <c r="AA1328" i="1"/>
  <c r="AB1328" i="1" s="1"/>
  <c r="AA1344" i="1"/>
  <c r="AB1344" i="1" s="1"/>
  <c r="AA1360" i="1"/>
  <c r="AB1360" i="1" s="1"/>
  <c r="AA789" i="1"/>
  <c r="AB789" i="1" s="1"/>
  <c r="AA805" i="1"/>
  <c r="AB805" i="1" s="1"/>
  <c r="AA821" i="1"/>
  <c r="AB821" i="1" s="1"/>
  <c r="AA837" i="1"/>
  <c r="AB837" i="1" s="1"/>
  <c r="AA853" i="1"/>
  <c r="AB853" i="1" s="1"/>
  <c r="AA869" i="1"/>
  <c r="AB869" i="1" s="1"/>
  <c r="AA885" i="1"/>
  <c r="AB885" i="1" s="1"/>
  <c r="AA901" i="1"/>
  <c r="AB901" i="1" s="1"/>
  <c r="AA917" i="1"/>
  <c r="AB917" i="1" s="1"/>
  <c r="AA933" i="1"/>
  <c r="AB933" i="1" s="1"/>
  <c r="AA949" i="1"/>
  <c r="AB949" i="1" s="1"/>
  <c r="AA965" i="1"/>
  <c r="AB965" i="1" s="1"/>
  <c r="AA981" i="1"/>
  <c r="AB981" i="1" s="1"/>
  <c r="AA997" i="1"/>
  <c r="AB997" i="1" s="1"/>
  <c r="AA1013" i="1"/>
  <c r="AB1013" i="1" s="1"/>
  <c r="AA1029" i="1"/>
  <c r="AB1029" i="1" s="1"/>
  <c r="AA1045" i="1"/>
  <c r="AB1045" i="1" s="1"/>
  <c r="AA1061" i="1"/>
  <c r="AB1061" i="1" s="1"/>
  <c r="AA1077" i="1"/>
  <c r="AB1077" i="1" s="1"/>
  <c r="AA1093" i="1"/>
  <c r="AB1093" i="1" s="1"/>
  <c r="AA1109" i="1"/>
  <c r="AB1109" i="1" s="1"/>
  <c r="AA1125" i="1"/>
  <c r="AB1125" i="1" s="1"/>
  <c r="AA1141" i="1"/>
  <c r="AB1141" i="1" s="1"/>
  <c r="AA1157" i="1"/>
  <c r="AB1157" i="1" s="1"/>
  <c r="AA1173" i="1"/>
  <c r="AB1173" i="1" s="1"/>
  <c r="AA1189" i="1"/>
  <c r="AB1189" i="1" s="1"/>
  <c r="AA1205" i="1"/>
  <c r="AB1205" i="1" s="1"/>
  <c r="AA1221" i="1"/>
  <c r="AB1221" i="1" s="1"/>
  <c r="AA1237" i="1"/>
  <c r="AB1237" i="1" s="1"/>
  <c r="AA1253" i="1"/>
  <c r="AB1253" i="1" s="1"/>
  <c r="AA1269" i="1"/>
  <c r="AB1269" i="1" s="1"/>
  <c r="AA1285" i="1"/>
  <c r="AB1285" i="1" s="1"/>
  <c r="AA1301" i="1"/>
  <c r="AB1301" i="1" s="1"/>
  <c r="AA1317" i="1"/>
  <c r="AB1317" i="1" s="1"/>
  <c r="AA1333" i="1"/>
  <c r="AB1333" i="1" s="1"/>
  <c r="AA1349" i="1"/>
  <c r="AB1349" i="1" s="1"/>
  <c r="AA1365" i="1"/>
  <c r="AB1365" i="1" s="1"/>
  <c r="AA775" i="1"/>
  <c r="AB775" i="1" s="1"/>
  <c r="AA791" i="1"/>
  <c r="AB791" i="1" s="1"/>
  <c r="AA807" i="1"/>
  <c r="AB807" i="1" s="1"/>
  <c r="AA823" i="1"/>
  <c r="AB823" i="1" s="1"/>
  <c r="AA839" i="1"/>
  <c r="AB839" i="1" s="1"/>
  <c r="AA855" i="1"/>
  <c r="AB855" i="1" s="1"/>
  <c r="AA871" i="1"/>
  <c r="AB871" i="1" s="1"/>
  <c r="AA887" i="1"/>
  <c r="AB887" i="1" s="1"/>
  <c r="AA903" i="1"/>
  <c r="AB903" i="1" s="1"/>
  <c r="AA919" i="1"/>
  <c r="AB919" i="1" s="1"/>
  <c r="AA935" i="1"/>
  <c r="AB935" i="1" s="1"/>
  <c r="AA951" i="1"/>
  <c r="AB951" i="1" s="1"/>
  <c r="AA967" i="1"/>
  <c r="AB967" i="1" s="1"/>
  <c r="AA983" i="1"/>
  <c r="AB983" i="1" s="1"/>
  <c r="AA999" i="1"/>
  <c r="AB999" i="1" s="1"/>
  <c r="AA1015" i="1"/>
  <c r="AB1015" i="1" s="1"/>
  <c r="AA1031" i="1"/>
  <c r="AB1031" i="1" s="1"/>
  <c r="AA1047" i="1"/>
  <c r="AB1047" i="1" s="1"/>
  <c r="AA1063" i="1"/>
  <c r="AB1063" i="1" s="1"/>
  <c r="AA1079" i="1"/>
  <c r="AB1079" i="1" s="1"/>
  <c r="AA1095" i="1"/>
  <c r="AB1095" i="1" s="1"/>
  <c r="AA1111" i="1"/>
  <c r="AB1111" i="1" s="1"/>
  <c r="AA1127" i="1"/>
  <c r="AB1127" i="1" s="1"/>
  <c r="AA1143" i="1"/>
  <c r="AB1143" i="1" s="1"/>
  <c r="AA1159" i="1"/>
  <c r="AB1159" i="1" s="1"/>
  <c r="AA1175" i="1"/>
  <c r="AB1175" i="1" s="1"/>
  <c r="AA1191" i="1"/>
  <c r="AB1191" i="1" s="1"/>
  <c r="AA1207" i="1"/>
  <c r="AB1207" i="1" s="1"/>
  <c r="AA1223" i="1"/>
  <c r="AB1223" i="1" s="1"/>
  <c r="AA1239" i="1"/>
  <c r="AB1239" i="1" s="1"/>
  <c r="AA1255" i="1"/>
  <c r="AB1255" i="1" s="1"/>
  <c r="AA1271" i="1"/>
  <c r="AB1271" i="1" s="1"/>
  <c r="AA1287" i="1"/>
  <c r="AB1287" i="1" s="1"/>
  <c r="AA1303" i="1"/>
  <c r="AB1303" i="1" s="1"/>
  <c r="AA1319" i="1"/>
  <c r="AB1319" i="1" s="1"/>
  <c r="AA1335" i="1"/>
  <c r="AB1335" i="1" s="1"/>
  <c r="AA1351" i="1"/>
  <c r="AB1351" i="1" s="1"/>
  <c r="AA1367" i="1"/>
  <c r="AB1367" i="1" s="1"/>
  <c r="AA788" i="1"/>
  <c r="AB788" i="1" s="1"/>
  <c r="AA804" i="1"/>
  <c r="AB804" i="1" s="1"/>
  <c r="AA820" i="1"/>
  <c r="AB820" i="1" s="1"/>
  <c r="AA836" i="1"/>
  <c r="AB836" i="1" s="1"/>
  <c r="AA852" i="1"/>
  <c r="AB852" i="1" s="1"/>
  <c r="AA868" i="1"/>
  <c r="AB868" i="1" s="1"/>
  <c r="AA884" i="1"/>
  <c r="AB884" i="1" s="1"/>
  <c r="AA900" i="1"/>
  <c r="AB900" i="1" s="1"/>
  <c r="AA916" i="1"/>
  <c r="AB916" i="1" s="1"/>
  <c r="AA932" i="1"/>
  <c r="AB932" i="1" s="1"/>
  <c r="AA948" i="1"/>
  <c r="AB948" i="1" s="1"/>
  <c r="AA964" i="1"/>
  <c r="AB964" i="1" s="1"/>
  <c r="AA980" i="1"/>
  <c r="AB980" i="1" s="1"/>
  <c r="AA996" i="1"/>
  <c r="AB996" i="1" s="1"/>
  <c r="AA1012" i="1"/>
  <c r="AB1012" i="1" s="1"/>
  <c r="AA1028" i="1"/>
  <c r="AB1028" i="1" s="1"/>
  <c r="AA1044" i="1"/>
  <c r="AB1044" i="1" s="1"/>
  <c r="AA1060" i="1"/>
  <c r="AB1060" i="1" s="1"/>
  <c r="AA1076" i="1"/>
  <c r="AB1076" i="1" s="1"/>
  <c r="AA1092" i="1"/>
  <c r="AB1092" i="1" s="1"/>
  <c r="AA1108" i="1"/>
  <c r="AB1108" i="1" s="1"/>
  <c r="AA1124" i="1"/>
  <c r="AB1124" i="1" s="1"/>
  <c r="AA1140" i="1"/>
  <c r="AB1140" i="1" s="1"/>
  <c r="AA1156" i="1"/>
  <c r="AB1156" i="1" s="1"/>
  <c r="AA1172" i="1"/>
  <c r="AB1172" i="1" s="1"/>
  <c r="AA1188" i="1"/>
  <c r="AB1188" i="1" s="1"/>
  <c r="AA1204" i="1"/>
  <c r="AB1204" i="1" s="1"/>
  <c r="AA1220" i="1"/>
  <c r="AB1220" i="1" s="1"/>
  <c r="AA1236" i="1"/>
  <c r="AB1236" i="1" s="1"/>
  <c r="AA1252" i="1"/>
  <c r="AB1252" i="1" s="1"/>
  <c r="AA1268" i="1"/>
  <c r="AB1268" i="1" s="1"/>
  <c r="AA1284" i="1"/>
  <c r="AB1284" i="1" s="1"/>
  <c r="AA1300" i="1"/>
  <c r="AB1300" i="1" s="1"/>
  <c r="AA1316" i="1"/>
  <c r="AB1316" i="1" s="1"/>
  <c r="AA1332" i="1"/>
  <c r="AB1332" i="1" s="1"/>
  <c r="AA1348" i="1"/>
  <c r="AB1348" i="1" s="1"/>
  <c r="AA1364" i="1"/>
  <c r="AB1364" i="1" s="1"/>
  <c r="AA777" i="1"/>
  <c r="AB777" i="1" s="1"/>
  <c r="AA793" i="1"/>
  <c r="AB793" i="1" s="1"/>
  <c r="AA809" i="1"/>
  <c r="AB809" i="1" s="1"/>
  <c r="AA825" i="1"/>
  <c r="AB825" i="1" s="1"/>
  <c r="AA841" i="1"/>
  <c r="AB841" i="1" s="1"/>
  <c r="AA857" i="1"/>
  <c r="AB857" i="1" s="1"/>
  <c r="AA873" i="1"/>
  <c r="AB873" i="1" s="1"/>
  <c r="AA889" i="1"/>
  <c r="AB889" i="1" s="1"/>
  <c r="AA905" i="1"/>
  <c r="AB905" i="1" s="1"/>
  <c r="AA921" i="1"/>
  <c r="AB921" i="1" s="1"/>
  <c r="AA937" i="1"/>
  <c r="AB937" i="1" s="1"/>
  <c r="AA953" i="1"/>
  <c r="AB953" i="1" s="1"/>
  <c r="AA969" i="1"/>
  <c r="AB969" i="1" s="1"/>
  <c r="AA985" i="1"/>
  <c r="AB985" i="1" s="1"/>
  <c r="AA1001" i="1"/>
  <c r="AB1001" i="1" s="1"/>
  <c r="AA1017" i="1"/>
  <c r="AB1017" i="1" s="1"/>
  <c r="AA1033" i="1"/>
  <c r="AB1033" i="1" s="1"/>
  <c r="AA1049" i="1"/>
  <c r="AB1049" i="1" s="1"/>
  <c r="AA1065" i="1"/>
  <c r="AB1065" i="1" s="1"/>
  <c r="AA1081" i="1"/>
  <c r="AB1081" i="1" s="1"/>
  <c r="AA1097" i="1"/>
  <c r="AB1097" i="1" s="1"/>
  <c r="AA1113" i="1"/>
  <c r="AB1113" i="1" s="1"/>
  <c r="AA1129" i="1"/>
  <c r="AB1129" i="1" s="1"/>
  <c r="AA1145" i="1"/>
  <c r="AB1145" i="1" s="1"/>
  <c r="AA1161" i="1"/>
  <c r="AB1161" i="1" s="1"/>
  <c r="AA1177" i="1"/>
  <c r="AB1177" i="1" s="1"/>
  <c r="AA1193" i="1"/>
  <c r="AB1193" i="1" s="1"/>
  <c r="AA1209" i="1"/>
  <c r="AB1209" i="1" s="1"/>
  <c r="AA1225" i="1"/>
  <c r="AB1225" i="1" s="1"/>
  <c r="AA1241" i="1"/>
  <c r="AB1241" i="1" s="1"/>
  <c r="AA1257" i="1"/>
  <c r="AB1257" i="1" s="1"/>
  <c r="AA1273" i="1"/>
  <c r="AB1273" i="1" s="1"/>
  <c r="AA1289" i="1"/>
  <c r="AB1289" i="1" s="1"/>
  <c r="AA1305" i="1"/>
  <c r="AB1305" i="1" s="1"/>
  <c r="AA1321" i="1"/>
  <c r="AB1321" i="1" s="1"/>
  <c r="AA1337" i="1"/>
  <c r="AB1337" i="1" s="1"/>
  <c r="AA1353" i="1"/>
  <c r="AB1353" i="1" s="1"/>
  <c r="AA1369" i="1"/>
  <c r="AB1369" i="1" s="1"/>
  <c r="AC1377" i="1"/>
  <c r="AD1377" i="1" s="1"/>
  <c r="U848" i="1"/>
  <c r="U846" i="1"/>
  <c r="U844" i="1"/>
  <c r="U847" i="1"/>
  <c r="U845" i="1"/>
  <c r="U900" i="1"/>
  <c r="U898" i="1"/>
  <c r="U899" i="1"/>
  <c r="U897" i="1"/>
  <c r="U882" i="1"/>
  <c r="U880" i="1"/>
  <c r="U881" i="1"/>
  <c r="U879" i="1"/>
  <c r="U934" i="1"/>
  <c r="U932" i="1"/>
  <c r="U935" i="1"/>
  <c r="U933" i="1"/>
  <c r="U931" i="1"/>
  <c r="U864" i="1"/>
  <c r="U862" i="1"/>
  <c r="U865" i="1"/>
  <c r="U863" i="1"/>
  <c r="U916" i="1"/>
  <c r="U914" i="1"/>
  <c r="U917" i="1"/>
  <c r="U915" i="1"/>
  <c r="U838" i="1"/>
  <c r="U836" i="1"/>
  <c r="U839" i="1"/>
  <c r="U837" i="1"/>
  <c r="U856" i="1"/>
  <c r="U854" i="1"/>
  <c r="U855" i="1"/>
  <c r="U853" i="1"/>
  <c r="U874" i="1"/>
  <c r="U872" i="1"/>
  <c r="U870" i="1"/>
  <c r="U873" i="1"/>
  <c r="U871" i="1"/>
  <c r="U890" i="1"/>
  <c r="U888" i="1"/>
  <c r="U891" i="1"/>
  <c r="U889" i="1"/>
  <c r="U908" i="1"/>
  <c r="U906" i="1"/>
  <c r="U909" i="1"/>
  <c r="U907" i="1"/>
  <c r="U905" i="1"/>
  <c r="U926" i="1"/>
  <c r="U924" i="1"/>
  <c r="U922" i="1"/>
  <c r="U925" i="1"/>
  <c r="U923" i="1"/>
  <c r="U942" i="1"/>
  <c r="U940" i="1"/>
  <c r="U943" i="1"/>
  <c r="U941" i="1"/>
  <c r="U842" i="1"/>
  <c r="U840" i="1"/>
  <c r="U843" i="1"/>
  <c r="U841" i="1"/>
  <c r="U860" i="1"/>
  <c r="U858" i="1"/>
  <c r="U861" i="1"/>
  <c r="U859" i="1"/>
  <c r="U857" i="1"/>
  <c r="U878" i="1"/>
  <c r="U876" i="1"/>
  <c r="U877" i="1"/>
  <c r="U875" i="1"/>
  <c r="U896" i="1"/>
  <c r="U894" i="1"/>
  <c r="U892" i="1"/>
  <c r="U895" i="1"/>
  <c r="U893" i="1"/>
  <c r="U912" i="1"/>
  <c r="U910" i="1"/>
  <c r="U913" i="1"/>
  <c r="U911" i="1"/>
  <c r="U930" i="1"/>
  <c r="U928" i="1"/>
  <c r="U929" i="1"/>
  <c r="U927" i="1"/>
  <c r="U947" i="1"/>
  <c r="U946" i="1"/>
  <c r="U944" i="1"/>
  <c r="U945" i="1"/>
  <c r="U834" i="1"/>
  <c r="U832" i="1"/>
  <c r="U835" i="1"/>
  <c r="U833" i="1"/>
  <c r="U831" i="1"/>
  <c r="U852" i="1"/>
  <c r="U850" i="1"/>
  <c r="U851" i="1"/>
  <c r="U849" i="1"/>
  <c r="U868" i="1"/>
  <c r="U866" i="1"/>
  <c r="U869" i="1"/>
  <c r="U867" i="1"/>
  <c r="U886" i="1"/>
  <c r="U884" i="1"/>
  <c r="U887" i="1"/>
  <c r="U885" i="1"/>
  <c r="U883" i="1"/>
  <c r="U904" i="1"/>
  <c r="U902" i="1"/>
  <c r="U903" i="1"/>
  <c r="U901" i="1"/>
  <c r="U920" i="1"/>
  <c r="U918" i="1"/>
  <c r="U921" i="1"/>
  <c r="U919" i="1"/>
  <c r="U938" i="1"/>
  <c r="U936" i="1"/>
  <c r="U939" i="1"/>
  <c r="U937" i="1"/>
  <c r="X769" i="1" l="1"/>
  <c r="X772" i="1"/>
  <c r="Z769" i="1"/>
  <c r="AA769" i="1" s="1"/>
  <c r="AB769" i="1" s="1"/>
  <c r="W768" i="1"/>
  <c r="X768" i="1" s="1"/>
  <c r="X770" i="1"/>
  <c r="X771" i="1"/>
  <c r="W766" i="1"/>
  <c r="W767" i="1"/>
  <c r="V762" i="1"/>
  <c r="V765" i="1"/>
  <c r="W765" i="1" s="1"/>
  <c r="V764" i="1"/>
  <c r="V763" i="1"/>
  <c r="AA771" i="1"/>
  <c r="AA772" i="1"/>
  <c r="AB772" i="1" s="1"/>
  <c r="AG176" i="24"/>
  <c r="AI176" i="24" s="1"/>
  <c r="AJ176" i="24" s="1"/>
  <c r="Q756" i="1" s="1"/>
  <c r="Y756" i="1" s="1"/>
  <c r="AA770" i="1"/>
  <c r="AB770" i="1" s="1"/>
  <c r="Z767" i="1"/>
  <c r="Z768" i="1"/>
  <c r="AA768" i="1" s="1"/>
  <c r="R762" i="1"/>
  <c r="R765" i="1"/>
  <c r="U765" i="1" s="1"/>
  <c r="R764" i="1"/>
  <c r="U764" i="1" s="1"/>
  <c r="R763" i="1"/>
  <c r="U763" i="1" s="1"/>
  <c r="Z766" i="1"/>
  <c r="Q761" i="1"/>
  <c r="Y761" i="1" s="1"/>
  <c r="Q759" i="1"/>
  <c r="Y759" i="1" s="1"/>
  <c r="Q758" i="1"/>
  <c r="Y758" i="1" s="1"/>
  <c r="Q757" i="1"/>
  <c r="Y757" i="1" s="1"/>
  <c r="Q760" i="1"/>
  <c r="Y760" i="1" s="1"/>
  <c r="U175" i="24"/>
  <c r="V175" i="24" s="1"/>
  <c r="W175" i="24"/>
  <c r="S173" i="24"/>
  <c r="T174" i="24"/>
  <c r="AC1369" i="1"/>
  <c r="AD1369" i="1" s="1"/>
  <c r="AC1337" i="1"/>
  <c r="AD1337" i="1" s="1"/>
  <c r="AC1305" i="1"/>
  <c r="AD1305" i="1" s="1"/>
  <c r="AC1273" i="1"/>
  <c r="AD1273" i="1" s="1"/>
  <c r="AC1241" i="1"/>
  <c r="AD1241" i="1" s="1"/>
  <c r="AC1209" i="1"/>
  <c r="AD1209" i="1" s="1"/>
  <c r="AC1177" i="1"/>
  <c r="AD1177" i="1" s="1"/>
  <c r="AC1145" i="1"/>
  <c r="AD1145" i="1" s="1"/>
  <c r="AC1113" i="1"/>
  <c r="AD1113" i="1" s="1"/>
  <c r="AC1081" i="1"/>
  <c r="AD1081" i="1" s="1"/>
  <c r="AC1349" i="1"/>
  <c r="AD1349" i="1" s="1"/>
  <c r="AC1317" i="1"/>
  <c r="AD1317" i="1" s="1"/>
  <c r="AC1285" i="1"/>
  <c r="AD1285" i="1" s="1"/>
  <c r="AC1253" i="1"/>
  <c r="AD1253" i="1" s="1"/>
  <c r="AC1221" i="1"/>
  <c r="AD1221" i="1" s="1"/>
  <c r="AC1189" i="1"/>
  <c r="AD1189" i="1" s="1"/>
  <c r="AC1157" i="1"/>
  <c r="AD1157" i="1" s="1"/>
  <c r="AC1125" i="1"/>
  <c r="AD1125" i="1" s="1"/>
  <c r="AC1093" i="1"/>
  <c r="AD1093" i="1" s="1"/>
  <c r="AC1061" i="1"/>
  <c r="AD1061" i="1" s="1"/>
  <c r="AC1009" i="1"/>
  <c r="AD1009" i="1" s="1"/>
  <c r="AC945" i="1"/>
  <c r="AD945" i="1" s="1"/>
  <c r="AC881" i="1"/>
  <c r="AC817" i="1"/>
  <c r="AD817" i="1" s="1"/>
  <c r="AC1352" i="1"/>
  <c r="AD1352" i="1" s="1"/>
  <c r="AC1343" i="1"/>
  <c r="AD1343" i="1" s="1"/>
  <c r="AC1005" i="1"/>
  <c r="AD1005" i="1" s="1"/>
  <c r="AC941" i="1"/>
  <c r="AD941" i="1" s="1"/>
  <c r="AC877" i="1"/>
  <c r="AD877" i="1" s="1"/>
  <c r="AC813" i="1"/>
  <c r="AD813" i="1" s="1"/>
  <c r="AC1372" i="1"/>
  <c r="AD1372" i="1" s="1"/>
  <c r="AC1320" i="1"/>
  <c r="AD1320" i="1" s="1"/>
  <c r="AC1288" i="1"/>
  <c r="AD1288" i="1" s="1"/>
  <c r="AC1256" i="1"/>
  <c r="AD1256" i="1" s="1"/>
  <c r="AC1224" i="1"/>
  <c r="AD1224" i="1" s="1"/>
  <c r="AC1192" i="1"/>
  <c r="AD1192" i="1" s="1"/>
  <c r="AC1160" i="1"/>
  <c r="AD1160" i="1" s="1"/>
  <c r="AC1128" i="1"/>
  <c r="AD1128" i="1" s="1"/>
  <c r="AC1096" i="1"/>
  <c r="AD1096" i="1" s="1"/>
  <c r="AC1064" i="1"/>
  <c r="AD1064" i="1" s="1"/>
  <c r="AC1032" i="1"/>
  <c r="AD1032" i="1" s="1"/>
  <c r="AC1000" i="1"/>
  <c r="AD1000" i="1" s="1"/>
  <c r="AC968" i="1"/>
  <c r="AD968" i="1" s="1"/>
  <c r="AC936" i="1"/>
  <c r="AD936" i="1" s="1"/>
  <c r="AC904" i="1"/>
  <c r="AD904" i="1" s="1"/>
  <c r="AC872" i="1"/>
  <c r="AD872" i="1" s="1"/>
  <c r="AC840" i="1"/>
  <c r="AD840" i="1" s="1"/>
  <c r="AC808" i="1"/>
  <c r="AD808" i="1" s="1"/>
  <c r="AC776" i="1"/>
  <c r="AD776" i="1" s="1"/>
  <c r="AC1033" i="1"/>
  <c r="AD1033" i="1" s="1"/>
  <c r="AC969" i="1"/>
  <c r="AD969" i="1" s="1"/>
  <c r="AC905" i="1"/>
  <c r="AD905" i="1" s="1"/>
  <c r="AC841" i="1"/>
  <c r="AD841" i="1" s="1"/>
  <c r="AC777" i="1"/>
  <c r="AD777" i="1" s="1"/>
  <c r="AC1336" i="1"/>
  <c r="AD1336" i="1" s="1"/>
  <c r="AC1307" i="1"/>
  <c r="AD1307" i="1" s="1"/>
  <c r="AC1275" i="1"/>
  <c r="AD1275" i="1" s="1"/>
  <c r="AC1243" i="1"/>
  <c r="AD1243" i="1" s="1"/>
  <c r="AC1211" i="1"/>
  <c r="AD1211" i="1" s="1"/>
  <c r="AC1179" i="1"/>
  <c r="AD1179" i="1" s="1"/>
  <c r="AC1147" i="1"/>
  <c r="AD1147" i="1" s="1"/>
  <c r="AC1115" i="1"/>
  <c r="AD1115" i="1" s="1"/>
  <c r="AC1083" i="1"/>
  <c r="AD1083" i="1" s="1"/>
  <c r="AC1051" i="1"/>
  <c r="AD1051" i="1" s="1"/>
  <c r="AC1019" i="1"/>
  <c r="AD1019" i="1" s="1"/>
  <c r="AC987" i="1"/>
  <c r="AD987" i="1" s="1"/>
  <c r="AC955" i="1"/>
  <c r="AD955" i="1" s="1"/>
  <c r="AC923" i="1"/>
  <c r="AD923" i="1" s="1"/>
  <c r="AC891" i="1"/>
  <c r="AD891" i="1" s="1"/>
  <c r="AC859" i="1"/>
  <c r="AD859" i="1" s="1"/>
  <c r="AC827" i="1"/>
  <c r="AD827" i="1" s="1"/>
  <c r="AC795" i="1"/>
  <c r="AD795" i="1" s="1"/>
  <c r="AC1013" i="1"/>
  <c r="AD1013" i="1" s="1"/>
  <c r="AC949" i="1"/>
  <c r="AD949" i="1" s="1"/>
  <c r="AC885" i="1"/>
  <c r="AD885" i="1" s="1"/>
  <c r="AC821" i="1"/>
  <c r="AD821" i="1" s="1"/>
  <c r="AC1300" i="1"/>
  <c r="AD1300" i="1" s="1"/>
  <c r="AC1236" i="1"/>
  <c r="AD1236" i="1" s="1"/>
  <c r="AC1172" i="1"/>
  <c r="AD1172" i="1" s="1"/>
  <c r="AC1108" i="1"/>
  <c r="AD1108" i="1" s="1"/>
  <c r="AC1044" i="1"/>
  <c r="AD1044" i="1" s="1"/>
  <c r="AC980" i="1"/>
  <c r="AD980" i="1" s="1"/>
  <c r="AC916" i="1"/>
  <c r="AD916" i="1" s="1"/>
  <c r="AC852" i="1"/>
  <c r="AD852" i="1" s="1"/>
  <c r="AC788" i="1"/>
  <c r="AD788" i="1" s="1"/>
  <c r="AC1324" i="1"/>
  <c r="AD1324" i="1" s="1"/>
  <c r="AC1260" i="1"/>
  <c r="AD1260" i="1" s="1"/>
  <c r="AC1196" i="1"/>
  <c r="AD1196" i="1" s="1"/>
  <c r="AC1132" i="1"/>
  <c r="AD1132" i="1" s="1"/>
  <c r="AC1068" i="1"/>
  <c r="AD1068" i="1" s="1"/>
  <c r="AC1004" i="1"/>
  <c r="AD1004" i="1" s="1"/>
  <c r="AC940" i="1"/>
  <c r="AD940" i="1" s="1"/>
  <c r="AC876" i="1"/>
  <c r="AD876" i="1" s="1"/>
  <c r="AC812" i="1"/>
  <c r="AD812" i="1" s="1"/>
  <c r="AC1367" i="1"/>
  <c r="AD1367" i="1" s="1"/>
  <c r="AC855" i="1"/>
  <c r="AD855" i="1" s="1"/>
  <c r="AC1318" i="1"/>
  <c r="AD1318" i="1" s="1"/>
  <c r="AC1062" i="1"/>
  <c r="AD1062" i="1" s="1"/>
  <c r="AC1303" i="1"/>
  <c r="AD1303" i="1" s="1"/>
  <c r="AC1079" i="1"/>
  <c r="AD1079" i="1" s="1"/>
  <c r="AC1015" i="1"/>
  <c r="AD1015" i="1" s="1"/>
  <c r="AC791" i="1"/>
  <c r="AD791" i="1" s="1"/>
  <c r="AC1286" i="1"/>
  <c r="AD1286" i="1" s="1"/>
  <c r="AC1014" i="1"/>
  <c r="AD1014" i="1" s="1"/>
  <c r="AC983" i="1"/>
  <c r="AD983" i="1" s="1"/>
  <c r="AC1326" i="1"/>
  <c r="AD1326" i="1" s="1"/>
  <c r="AC1190" i="1"/>
  <c r="AD1190" i="1" s="1"/>
  <c r="AC982" i="1"/>
  <c r="AD982" i="1" s="1"/>
  <c r="AC814" i="1"/>
  <c r="AD814" i="1" s="1"/>
  <c r="AC1371" i="1"/>
  <c r="AD1371" i="1" s="1"/>
  <c r="AC826" i="1"/>
  <c r="AD826" i="1" s="1"/>
  <c r="AC1376" i="1"/>
  <c r="AD1376" i="1" s="1"/>
  <c r="AC1374" i="1"/>
  <c r="AD1374" i="1" s="1"/>
  <c r="AC1278" i="1"/>
  <c r="AD1278" i="1" s="1"/>
  <c r="AC1134" i="1"/>
  <c r="AD1134" i="1" s="1"/>
  <c r="AC1038" i="1"/>
  <c r="AD1038" i="1" s="1"/>
  <c r="AC974" i="1"/>
  <c r="AD974" i="1" s="1"/>
  <c r="AC1311" i="1"/>
  <c r="AD1311" i="1" s="1"/>
  <c r="AC1247" i="1"/>
  <c r="AD1247" i="1" s="1"/>
  <c r="AC1183" i="1"/>
  <c r="AD1183" i="1" s="1"/>
  <c r="AC1119" i="1"/>
  <c r="AD1119" i="1" s="1"/>
  <c r="AC1055" i="1"/>
  <c r="AD1055" i="1" s="1"/>
  <c r="AC991" i="1"/>
  <c r="AD991" i="1" s="1"/>
  <c r="AC927" i="1"/>
  <c r="AD927" i="1" s="1"/>
  <c r="AE927" i="1" s="1"/>
  <c r="AF927" i="1" s="1"/>
  <c r="AC863" i="1"/>
  <c r="AD863" i="1" s="1"/>
  <c r="AE863" i="1" s="1"/>
  <c r="AF863" i="1" s="1"/>
  <c r="AC799" i="1"/>
  <c r="AD799" i="1" s="1"/>
  <c r="AC854" i="1"/>
  <c r="AD854" i="1" s="1"/>
  <c r="AC1159" i="1"/>
  <c r="AD1159" i="1" s="1"/>
  <c r="AC1330" i="1"/>
  <c r="AD1330" i="1" s="1"/>
  <c r="AC1266" i="1"/>
  <c r="AD1266" i="1" s="1"/>
  <c r="AC1202" i="1"/>
  <c r="AD1202" i="1" s="1"/>
  <c r="AC1138" i="1"/>
  <c r="AD1138" i="1" s="1"/>
  <c r="AC1074" i="1"/>
  <c r="AD1074" i="1" s="1"/>
  <c r="AC1010" i="1"/>
  <c r="AD1010" i="1" s="1"/>
  <c r="AC946" i="1"/>
  <c r="AD946" i="1" s="1"/>
  <c r="AC882" i="1"/>
  <c r="AD882" i="1" s="1"/>
  <c r="AC818" i="1"/>
  <c r="AD818" i="1" s="1"/>
  <c r="AC1194" i="1"/>
  <c r="AD1194" i="1" s="1"/>
  <c r="AC1130" i="1"/>
  <c r="AD1130" i="1" s="1"/>
  <c r="AC1066" i="1"/>
  <c r="AD1066" i="1" s="1"/>
  <c r="AC1002" i="1"/>
  <c r="AD1002" i="1" s="1"/>
  <c r="AC938" i="1"/>
  <c r="AD938" i="1" s="1"/>
  <c r="AC874" i="1"/>
  <c r="AD874" i="1" s="1"/>
  <c r="AC1322" i="1"/>
  <c r="AD1322" i="1" s="1"/>
  <c r="AC1258" i="1"/>
  <c r="AD1258" i="1" s="1"/>
  <c r="AC1361" i="1"/>
  <c r="AD1361" i="1" s="1"/>
  <c r="AC1329" i="1"/>
  <c r="AD1329" i="1" s="1"/>
  <c r="AC1297" i="1"/>
  <c r="AD1297" i="1" s="1"/>
  <c r="AC1265" i="1"/>
  <c r="AD1265" i="1" s="1"/>
  <c r="AC1233" i="1"/>
  <c r="AD1233" i="1" s="1"/>
  <c r="AC1201" i="1"/>
  <c r="AD1201" i="1" s="1"/>
  <c r="AC1169" i="1"/>
  <c r="AD1169" i="1" s="1"/>
  <c r="AC1137" i="1"/>
  <c r="AD1137" i="1" s="1"/>
  <c r="AC1105" i="1"/>
  <c r="AD1105" i="1" s="1"/>
  <c r="AC1073" i="1"/>
  <c r="AD1073" i="1" s="1"/>
  <c r="AC1373" i="1"/>
  <c r="AD1373" i="1" s="1"/>
  <c r="AC1341" i="1"/>
  <c r="AD1341" i="1" s="1"/>
  <c r="AC1309" i="1"/>
  <c r="AD1309" i="1" s="1"/>
  <c r="AC1277" i="1"/>
  <c r="AD1277" i="1" s="1"/>
  <c r="AC1245" i="1"/>
  <c r="AD1245" i="1" s="1"/>
  <c r="AC1213" i="1"/>
  <c r="AD1213" i="1" s="1"/>
  <c r="AC1181" i="1"/>
  <c r="AD1181" i="1" s="1"/>
  <c r="AC1149" i="1"/>
  <c r="AD1149" i="1" s="1"/>
  <c r="AC1117" i="1"/>
  <c r="AD1117" i="1" s="1"/>
  <c r="AC1085" i="1"/>
  <c r="AD1085" i="1" s="1"/>
  <c r="AC1057" i="1"/>
  <c r="AD1057" i="1" s="1"/>
  <c r="AC993" i="1"/>
  <c r="AD993" i="1" s="1"/>
  <c r="AC929" i="1"/>
  <c r="AD929" i="1" s="1"/>
  <c r="AE929" i="1" s="1"/>
  <c r="AF929" i="1" s="1"/>
  <c r="AC865" i="1"/>
  <c r="AD865" i="1" s="1"/>
  <c r="AE865" i="1" s="1"/>
  <c r="AF865" i="1" s="1"/>
  <c r="AC801" i="1"/>
  <c r="AD801" i="1" s="1"/>
  <c r="AC1332" i="1"/>
  <c r="AD1332" i="1" s="1"/>
  <c r="AC1053" i="1"/>
  <c r="AD1053" i="1" s="1"/>
  <c r="AC989" i="1"/>
  <c r="AD989" i="1" s="1"/>
  <c r="AC925" i="1"/>
  <c r="AD925" i="1" s="1"/>
  <c r="AE925" i="1" s="1"/>
  <c r="AF925" i="1" s="1"/>
  <c r="AC861" i="1"/>
  <c r="AD861" i="1" s="1"/>
  <c r="AE861" i="1" s="1"/>
  <c r="AF861" i="1" s="1"/>
  <c r="AC797" i="1"/>
  <c r="AD797" i="1" s="1"/>
  <c r="AC1360" i="1"/>
  <c r="AD1360" i="1" s="1"/>
  <c r="AC1312" i="1"/>
  <c r="AD1312" i="1" s="1"/>
  <c r="AC1280" i="1"/>
  <c r="AD1280" i="1" s="1"/>
  <c r="AC1248" i="1"/>
  <c r="AD1248" i="1" s="1"/>
  <c r="AC1216" i="1"/>
  <c r="AD1216" i="1" s="1"/>
  <c r="AC1184" i="1"/>
  <c r="AD1184" i="1" s="1"/>
  <c r="AC1152" i="1"/>
  <c r="AD1152" i="1" s="1"/>
  <c r="AC1120" i="1"/>
  <c r="AD1120" i="1" s="1"/>
  <c r="AC1088" i="1"/>
  <c r="AD1088" i="1" s="1"/>
  <c r="AC1056" i="1"/>
  <c r="AD1056" i="1" s="1"/>
  <c r="AC1024" i="1"/>
  <c r="AD1024" i="1" s="1"/>
  <c r="AC992" i="1"/>
  <c r="AD992" i="1" s="1"/>
  <c r="AC960" i="1"/>
  <c r="AD960" i="1" s="1"/>
  <c r="AC928" i="1"/>
  <c r="AD928" i="1" s="1"/>
  <c r="AE928" i="1" s="1"/>
  <c r="AF928" i="1" s="1"/>
  <c r="AC896" i="1"/>
  <c r="AD896" i="1" s="1"/>
  <c r="AE896" i="1" s="1"/>
  <c r="AF896" i="1" s="1"/>
  <c r="AC864" i="1"/>
  <c r="AC832" i="1"/>
  <c r="AD832" i="1" s="1"/>
  <c r="AE832" i="1" s="1"/>
  <c r="AF832" i="1" s="1"/>
  <c r="AC800" i="1"/>
  <c r="AD800" i="1" s="1"/>
  <c r="AC1017" i="1"/>
  <c r="AD1017" i="1" s="1"/>
  <c r="AC953" i="1"/>
  <c r="AD953" i="1" s="1"/>
  <c r="AC889" i="1"/>
  <c r="AD889" i="1" s="1"/>
  <c r="AE889" i="1" s="1"/>
  <c r="AF889" i="1" s="1"/>
  <c r="AC825" i="1"/>
  <c r="AD825" i="1" s="1"/>
  <c r="AC1355" i="1"/>
  <c r="AD1355" i="1" s="1"/>
  <c r="AC1299" i="1"/>
  <c r="AD1299" i="1" s="1"/>
  <c r="AC1267" i="1"/>
  <c r="AD1267" i="1" s="1"/>
  <c r="AC1235" i="1"/>
  <c r="AD1235" i="1" s="1"/>
  <c r="AC1203" i="1"/>
  <c r="AD1203" i="1" s="1"/>
  <c r="AC1171" i="1"/>
  <c r="AD1171" i="1" s="1"/>
  <c r="AC1139" i="1"/>
  <c r="AD1139" i="1" s="1"/>
  <c r="AC1107" i="1"/>
  <c r="AD1107" i="1" s="1"/>
  <c r="AC1075" i="1"/>
  <c r="AD1075" i="1" s="1"/>
  <c r="AC1043" i="1"/>
  <c r="AD1043" i="1" s="1"/>
  <c r="AC1011" i="1"/>
  <c r="AD1011" i="1" s="1"/>
  <c r="AC979" i="1"/>
  <c r="AD979" i="1" s="1"/>
  <c r="AC947" i="1"/>
  <c r="AD947" i="1" s="1"/>
  <c r="AE947" i="1" s="1"/>
  <c r="AF947" i="1" s="1"/>
  <c r="AC915" i="1"/>
  <c r="AD915" i="1" s="1"/>
  <c r="AE915" i="1" s="1"/>
  <c r="AF915" i="1" s="1"/>
  <c r="AC883" i="1"/>
  <c r="AD883" i="1" s="1"/>
  <c r="AE883" i="1" s="1"/>
  <c r="AF883" i="1" s="1"/>
  <c r="AC851" i="1"/>
  <c r="AD851" i="1" s="1"/>
  <c r="AE851" i="1" s="1"/>
  <c r="AF851" i="1" s="1"/>
  <c r="AC819" i="1"/>
  <c r="AD819" i="1" s="1"/>
  <c r="AC787" i="1"/>
  <c r="AD787" i="1" s="1"/>
  <c r="AC997" i="1"/>
  <c r="AD997" i="1" s="1"/>
  <c r="AC933" i="1"/>
  <c r="AD933" i="1" s="1"/>
  <c r="AE933" i="1" s="1"/>
  <c r="AF933" i="1" s="1"/>
  <c r="AC869" i="1"/>
  <c r="AD869" i="1" s="1"/>
  <c r="AE869" i="1" s="1"/>
  <c r="AF869" i="1" s="1"/>
  <c r="AC805" i="1"/>
  <c r="AD805" i="1" s="1"/>
  <c r="AC1284" i="1"/>
  <c r="AD1284" i="1" s="1"/>
  <c r="AC1220" i="1"/>
  <c r="AD1220" i="1" s="1"/>
  <c r="AC1156" i="1"/>
  <c r="AD1156" i="1" s="1"/>
  <c r="AC1092" i="1"/>
  <c r="AD1092" i="1" s="1"/>
  <c r="AC1028" i="1"/>
  <c r="AD1028" i="1" s="1"/>
  <c r="AC964" i="1"/>
  <c r="AD964" i="1" s="1"/>
  <c r="AC900" i="1"/>
  <c r="AD900" i="1" s="1"/>
  <c r="AE900" i="1" s="1"/>
  <c r="AF900" i="1" s="1"/>
  <c r="AC836" i="1"/>
  <c r="AD836" i="1" s="1"/>
  <c r="AE836" i="1" s="1"/>
  <c r="AF836" i="1" s="1"/>
  <c r="AC1308" i="1"/>
  <c r="AD1308" i="1" s="1"/>
  <c r="AC1244" i="1"/>
  <c r="AD1244" i="1" s="1"/>
  <c r="AC1180" i="1"/>
  <c r="AD1180" i="1" s="1"/>
  <c r="AC1116" i="1"/>
  <c r="AD1116" i="1" s="1"/>
  <c r="AC1052" i="1"/>
  <c r="AD1052" i="1" s="1"/>
  <c r="AC988" i="1"/>
  <c r="AD988" i="1" s="1"/>
  <c r="AC924" i="1"/>
  <c r="AD924" i="1" s="1"/>
  <c r="AE924" i="1" s="1"/>
  <c r="AF924" i="1" s="1"/>
  <c r="AC860" i="1"/>
  <c r="AD860" i="1" s="1"/>
  <c r="AE860" i="1" s="1"/>
  <c r="AF860" i="1" s="1"/>
  <c r="AC796" i="1"/>
  <c r="AD796" i="1" s="1"/>
  <c r="AC1339" i="1"/>
  <c r="AD1339" i="1" s="1"/>
  <c r="AC839" i="1"/>
  <c r="AD839" i="1" s="1"/>
  <c r="AE839" i="1" s="1"/>
  <c r="AF839" i="1" s="1"/>
  <c r="AC1366" i="1"/>
  <c r="AD1366" i="1" s="1"/>
  <c r="AC1246" i="1"/>
  <c r="AD1246" i="1" s="1"/>
  <c r="AC1046" i="1"/>
  <c r="AD1046" i="1" s="1"/>
  <c r="AC1351" i="1"/>
  <c r="AD1351" i="1" s="1"/>
  <c r="AC1287" i="1"/>
  <c r="AD1287" i="1" s="1"/>
  <c r="AC1063" i="1"/>
  <c r="AD1063" i="1" s="1"/>
  <c r="AC999" i="1"/>
  <c r="AD999" i="1" s="1"/>
  <c r="AC775" i="1"/>
  <c r="AD775" i="1" s="1"/>
  <c r="AC1270" i="1"/>
  <c r="AD1270" i="1" s="1"/>
  <c r="AC998" i="1"/>
  <c r="AD998" i="1" s="1"/>
  <c r="AC967" i="1"/>
  <c r="AD967" i="1" s="1"/>
  <c r="AC1238" i="1"/>
  <c r="AD1238" i="1" s="1"/>
  <c r="AC1174" i="1"/>
  <c r="AD1174" i="1" s="1"/>
  <c r="AC966" i="1"/>
  <c r="AD966" i="1" s="1"/>
  <c r="AC798" i="1"/>
  <c r="AD798" i="1" s="1"/>
  <c r="AC810" i="1"/>
  <c r="AD810" i="1" s="1"/>
  <c r="AC1358" i="1"/>
  <c r="AD1358" i="1" s="1"/>
  <c r="AC1262" i="1"/>
  <c r="AD1262" i="1" s="1"/>
  <c r="AC1182" i="1"/>
  <c r="AD1182" i="1" s="1"/>
  <c r="AC1118" i="1"/>
  <c r="AD1118" i="1" s="1"/>
  <c r="AC1022" i="1"/>
  <c r="AD1022" i="1" s="1"/>
  <c r="AC958" i="1"/>
  <c r="AD958" i="1" s="1"/>
  <c r="AC894" i="1"/>
  <c r="AD894" i="1" s="1"/>
  <c r="AE894" i="1" s="1"/>
  <c r="AF894" i="1" s="1"/>
  <c r="AC975" i="1"/>
  <c r="AC838" i="1"/>
  <c r="AC1207" i="1"/>
  <c r="AD1207" i="1" s="1"/>
  <c r="AC1143" i="1"/>
  <c r="AD1143" i="1" s="1"/>
  <c r="AC919" i="1"/>
  <c r="AD919" i="1" s="1"/>
  <c r="AC1314" i="1"/>
  <c r="AD1314" i="1" s="1"/>
  <c r="AC1250" i="1"/>
  <c r="AD1250" i="1" s="1"/>
  <c r="AC1186" i="1"/>
  <c r="AD1186" i="1" s="1"/>
  <c r="AC1122" i="1"/>
  <c r="AD1122" i="1" s="1"/>
  <c r="AC1058" i="1"/>
  <c r="AD1058" i="1" s="1"/>
  <c r="AC994" i="1"/>
  <c r="AD994" i="1" s="1"/>
  <c r="AC930" i="1"/>
  <c r="AD930" i="1" s="1"/>
  <c r="AC866" i="1"/>
  <c r="AD866" i="1" s="1"/>
  <c r="AC802" i="1"/>
  <c r="AD802" i="1" s="1"/>
  <c r="AC1178" i="1"/>
  <c r="AC1114" i="1"/>
  <c r="AC1050" i="1"/>
  <c r="AC986" i="1"/>
  <c r="AC922" i="1"/>
  <c r="AC858" i="1"/>
  <c r="AC1370" i="1"/>
  <c r="AC1306" i="1"/>
  <c r="AC1242" i="1"/>
  <c r="AD1242" i="1" s="1"/>
  <c r="AC1353" i="1"/>
  <c r="AD1353" i="1" s="1"/>
  <c r="AC1321" i="1"/>
  <c r="AD1321" i="1" s="1"/>
  <c r="AC1289" i="1"/>
  <c r="AD1289" i="1" s="1"/>
  <c r="AC1257" i="1"/>
  <c r="AD1257" i="1" s="1"/>
  <c r="AC1225" i="1"/>
  <c r="AD1225" i="1" s="1"/>
  <c r="AC1193" i="1"/>
  <c r="AD1193" i="1" s="1"/>
  <c r="AC1161" i="1"/>
  <c r="AD1161" i="1" s="1"/>
  <c r="AC1129" i="1"/>
  <c r="AD1129" i="1" s="1"/>
  <c r="AC1097" i="1"/>
  <c r="AD1097" i="1" s="1"/>
  <c r="AC1365" i="1"/>
  <c r="AD1365" i="1" s="1"/>
  <c r="AC1333" i="1"/>
  <c r="AD1333" i="1" s="1"/>
  <c r="AC1301" i="1"/>
  <c r="AD1301" i="1" s="1"/>
  <c r="AC1269" i="1"/>
  <c r="AD1269" i="1" s="1"/>
  <c r="AC1237" i="1"/>
  <c r="AC1205" i="1"/>
  <c r="AD1205" i="1" s="1"/>
  <c r="AC1173" i="1"/>
  <c r="AD1173" i="1" s="1"/>
  <c r="AC1141" i="1"/>
  <c r="AD1141" i="1" s="1"/>
  <c r="AC1109" i="1"/>
  <c r="AD1109" i="1" s="1"/>
  <c r="AC1077" i="1"/>
  <c r="AD1077" i="1" s="1"/>
  <c r="AC1041" i="1"/>
  <c r="AD1041" i="1" s="1"/>
  <c r="AC977" i="1"/>
  <c r="AD977" i="1" s="1"/>
  <c r="AC913" i="1"/>
  <c r="AD913" i="1" s="1"/>
  <c r="AE913" i="1" s="1"/>
  <c r="AF913" i="1" s="1"/>
  <c r="AC849" i="1"/>
  <c r="AD849" i="1" s="1"/>
  <c r="AC785" i="1"/>
  <c r="AD785" i="1" s="1"/>
  <c r="AC1037" i="1"/>
  <c r="AD1037" i="1" s="1"/>
  <c r="AC973" i="1"/>
  <c r="AD973" i="1" s="1"/>
  <c r="AC909" i="1"/>
  <c r="AD909" i="1" s="1"/>
  <c r="AC845" i="1"/>
  <c r="AD845" i="1" s="1"/>
  <c r="AE845" i="1" s="1"/>
  <c r="AF845" i="1" s="1"/>
  <c r="AC781" i="1"/>
  <c r="AD781" i="1" s="1"/>
  <c r="AC1340" i="1"/>
  <c r="AD1340" i="1" s="1"/>
  <c r="AC1304" i="1"/>
  <c r="AD1304" i="1" s="1"/>
  <c r="AC1272" i="1"/>
  <c r="AD1272" i="1" s="1"/>
  <c r="AC1240" i="1"/>
  <c r="AD1240" i="1" s="1"/>
  <c r="AC1208" i="1"/>
  <c r="AD1208" i="1" s="1"/>
  <c r="AC1176" i="1"/>
  <c r="AD1176" i="1" s="1"/>
  <c r="AC1144" i="1"/>
  <c r="AD1144" i="1" s="1"/>
  <c r="AC1112" i="1"/>
  <c r="AD1112" i="1" s="1"/>
  <c r="AC1080" i="1"/>
  <c r="AD1080" i="1" s="1"/>
  <c r="AC1048" i="1"/>
  <c r="AD1048" i="1" s="1"/>
  <c r="AC1016" i="1"/>
  <c r="AD1016" i="1" s="1"/>
  <c r="AC984" i="1"/>
  <c r="AD984" i="1" s="1"/>
  <c r="AC952" i="1"/>
  <c r="AD952" i="1" s="1"/>
  <c r="AC920" i="1"/>
  <c r="AD920" i="1" s="1"/>
  <c r="AC888" i="1"/>
  <c r="AD888" i="1" s="1"/>
  <c r="AE888" i="1" s="1"/>
  <c r="AF888" i="1" s="1"/>
  <c r="AC856" i="1"/>
  <c r="AD856" i="1" s="1"/>
  <c r="AC824" i="1"/>
  <c r="AD824" i="1" s="1"/>
  <c r="AC792" i="1"/>
  <c r="AD792" i="1" s="1"/>
  <c r="AC1065" i="1"/>
  <c r="AD1065" i="1" s="1"/>
  <c r="AC1001" i="1"/>
  <c r="AD1001" i="1" s="1"/>
  <c r="AC937" i="1"/>
  <c r="AD937" i="1" s="1"/>
  <c r="AC873" i="1"/>
  <c r="AC809" i="1"/>
  <c r="AD809" i="1" s="1"/>
  <c r="AC1368" i="1"/>
  <c r="AD1368" i="1" s="1"/>
  <c r="AC1323" i="1"/>
  <c r="AD1323" i="1" s="1"/>
  <c r="AC1291" i="1"/>
  <c r="AD1291" i="1" s="1"/>
  <c r="AC1259" i="1"/>
  <c r="AD1259" i="1" s="1"/>
  <c r="AC1227" i="1"/>
  <c r="AD1227" i="1" s="1"/>
  <c r="AC1195" i="1"/>
  <c r="AC1163" i="1"/>
  <c r="AD1163" i="1" s="1"/>
  <c r="AC1131" i="1"/>
  <c r="AD1131" i="1" s="1"/>
  <c r="AC1099" i="1"/>
  <c r="AD1099" i="1" s="1"/>
  <c r="AC1067" i="1"/>
  <c r="AD1067" i="1" s="1"/>
  <c r="AC1035" i="1"/>
  <c r="AD1035" i="1" s="1"/>
  <c r="AC1003" i="1"/>
  <c r="AD1003" i="1" s="1"/>
  <c r="AC971" i="1"/>
  <c r="AD971" i="1" s="1"/>
  <c r="AC939" i="1"/>
  <c r="AC907" i="1"/>
  <c r="AD907" i="1" s="1"/>
  <c r="AC875" i="1"/>
  <c r="AD875" i="1" s="1"/>
  <c r="AE875" i="1" s="1"/>
  <c r="AF875" i="1" s="1"/>
  <c r="AC843" i="1"/>
  <c r="AD843" i="1" s="1"/>
  <c r="AC811" i="1"/>
  <c r="AD811" i="1" s="1"/>
  <c r="AC779" i="1"/>
  <c r="AD779" i="1" s="1"/>
  <c r="AC1045" i="1"/>
  <c r="AC981" i="1"/>
  <c r="AD981" i="1" s="1"/>
  <c r="AC917" i="1"/>
  <c r="AD917" i="1" s="1"/>
  <c r="AE917" i="1" s="1"/>
  <c r="AF917" i="1" s="1"/>
  <c r="AC853" i="1"/>
  <c r="AD853" i="1" s="1"/>
  <c r="AC789" i="1"/>
  <c r="AC1344" i="1"/>
  <c r="AD1344" i="1" s="1"/>
  <c r="AC1268" i="1"/>
  <c r="AD1268" i="1" s="1"/>
  <c r="AC1204" i="1"/>
  <c r="AD1204" i="1" s="1"/>
  <c r="AC1140" i="1"/>
  <c r="AD1140" i="1" s="1"/>
  <c r="AC1076" i="1"/>
  <c r="AD1076" i="1" s="1"/>
  <c r="AC1012" i="1"/>
  <c r="AD1012" i="1" s="1"/>
  <c r="AC948" i="1"/>
  <c r="AD948" i="1" s="1"/>
  <c r="AC884" i="1"/>
  <c r="AD884" i="1" s="1"/>
  <c r="AC820" i="1"/>
  <c r="AD820" i="1" s="1"/>
  <c r="AC1292" i="1"/>
  <c r="AD1292" i="1" s="1"/>
  <c r="AC1228" i="1"/>
  <c r="AD1228" i="1" s="1"/>
  <c r="AC1164" i="1"/>
  <c r="AD1164" i="1" s="1"/>
  <c r="AC1100" i="1"/>
  <c r="AD1100" i="1" s="1"/>
  <c r="AC1036" i="1"/>
  <c r="AD1036" i="1" s="1"/>
  <c r="AC972" i="1"/>
  <c r="AD972" i="1" s="1"/>
  <c r="AC908" i="1"/>
  <c r="AD908" i="1" s="1"/>
  <c r="AC844" i="1"/>
  <c r="AD844" i="1" s="1"/>
  <c r="AC780" i="1"/>
  <c r="AD780" i="1" s="1"/>
  <c r="AC1111" i="1"/>
  <c r="AD1111" i="1" s="1"/>
  <c r="AC1350" i="1"/>
  <c r="AD1350" i="1" s="1"/>
  <c r="AC1094" i="1"/>
  <c r="AD1094" i="1" s="1"/>
  <c r="AC1335" i="1"/>
  <c r="AD1335" i="1" s="1"/>
  <c r="AC1271" i="1"/>
  <c r="AD1271" i="1" s="1"/>
  <c r="AC1047" i="1"/>
  <c r="AD1047" i="1" s="1"/>
  <c r="AC823" i="1"/>
  <c r="AD823" i="1" s="1"/>
  <c r="AC1254" i="1"/>
  <c r="AD1254" i="1" s="1"/>
  <c r="AC790" i="1"/>
  <c r="AD790" i="1" s="1"/>
  <c r="AC1239" i="1"/>
  <c r="AD1239" i="1" s="1"/>
  <c r="AC1222" i="1"/>
  <c r="AD1222" i="1" s="1"/>
  <c r="AC1070" i="1"/>
  <c r="AD1070" i="1" s="1"/>
  <c r="AC950" i="1"/>
  <c r="AD950" i="1" s="1"/>
  <c r="AC1310" i="1"/>
  <c r="AC1230" i="1"/>
  <c r="AD1230" i="1" s="1"/>
  <c r="AC1166" i="1"/>
  <c r="AD1166" i="1" s="1"/>
  <c r="AC1102" i="1"/>
  <c r="AD1102" i="1" s="1"/>
  <c r="AC1006" i="1"/>
  <c r="AD1006" i="1" s="1"/>
  <c r="AC942" i="1"/>
  <c r="AD942" i="1" s="1"/>
  <c r="AC878" i="1"/>
  <c r="AD878" i="1" s="1"/>
  <c r="AC1359" i="1"/>
  <c r="AD1359" i="1" s="1"/>
  <c r="AC1279" i="1"/>
  <c r="AD1279" i="1" s="1"/>
  <c r="AC1215" i="1"/>
  <c r="AD1215" i="1" s="1"/>
  <c r="AC1151" i="1"/>
  <c r="AD1151" i="1" s="1"/>
  <c r="AC1087" i="1"/>
  <c r="AD1087" i="1" s="1"/>
  <c r="AC1023" i="1"/>
  <c r="AC959" i="1"/>
  <c r="AD959" i="1" s="1"/>
  <c r="AC895" i="1"/>
  <c r="AD895" i="1" s="1"/>
  <c r="AC831" i="1"/>
  <c r="AC1126" i="1"/>
  <c r="AC886" i="1"/>
  <c r="AD886" i="1" s="1"/>
  <c r="AE886" i="1" s="1"/>
  <c r="AF886" i="1" s="1"/>
  <c r="AC822" i="1"/>
  <c r="AD822" i="1" s="1"/>
  <c r="AC1191" i="1"/>
  <c r="AD1191" i="1" s="1"/>
  <c r="AC1127" i="1"/>
  <c r="AC903" i="1"/>
  <c r="AC846" i="1"/>
  <c r="AC1362" i="1"/>
  <c r="AC1298" i="1"/>
  <c r="AD1298" i="1" s="1"/>
  <c r="AC1234" i="1"/>
  <c r="AC1170" i="1"/>
  <c r="AD1170" i="1" s="1"/>
  <c r="AC1106" i="1"/>
  <c r="AC1042" i="1"/>
  <c r="AD1042" i="1" s="1"/>
  <c r="AC978" i="1"/>
  <c r="AC914" i="1"/>
  <c r="AC850" i="1"/>
  <c r="AC786" i="1"/>
  <c r="AD786" i="1" s="1"/>
  <c r="AC1347" i="1"/>
  <c r="AD1347" i="1" s="1"/>
  <c r="AC1162" i="1"/>
  <c r="AC1098" i="1"/>
  <c r="AD1098" i="1" s="1"/>
  <c r="AC1034" i="1"/>
  <c r="AC970" i="1"/>
  <c r="AD970" i="1" s="1"/>
  <c r="AC906" i="1"/>
  <c r="AC1354" i="1"/>
  <c r="AC1290" i="1"/>
  <c r="AD1290" i="1" s="1"/>
  <c r="AC1226" i="1"/>
  <c r="AC1345" i="1"/>
  <c r="AD1345" i="1" s="1"/>
  <c r="AC1313" i="1"/>
  <c r="AD1313" i="1" s="1"/>
  <c r="AC1281" i="1"/>
  <c r="AD1281" i="1" s="1"/>
  <c r="AC1249" i="1"/>
  <c r="AD1249" i="1" s="1"/>
  <c r="AC1217" i="1"/>
  <c r="AD1217" i="1" s="1"/>
  <c r="AC1185" i="1"/>
  <c r="AD1185" i="1" s="1"/>
  <c r="AC1153" i="1"/>
  <c r="AD1153" i="1" s="1"/>
  <c r="AC1121" i="1"/>
  <c r="AD1121" i="1" s="1"/>
  <c r="AC1089" i="1"/>
  <c r="AD1089" i="1" s="1"/>
  <c r="AC1357" i="1"/>
  <c r="AD1357" i="1" s="1"/>
  <c r="AC1325" i="1"/>
  <c r="AD1325" i="1" s="1"/>
  <c r="AC1293" i="1"/>
  <c r="AD1293" i="1" s="1"/>
  <c r="AC1261" i="1"/>
  <c r="AD1261" i="1" s="1"/>
  <c r="AC1229" i="1"/>
  <c r="AD1229" i="1" s="1"/>
  <c r="AC1197" i="1"/>
  <c r="AD1197" i="1" s="1"/>
  <c r="AC1165" i="1"/>
  <c r="AD1165" i="1" s="1"/>
  <c r="AC1133" i="1"/>
  <c r="AD1133" i="1" s="1"/>
  <c r="AC1101" i="1"/>
  <c r="AD1101" i="1" s="1"/>
  <c r="AC1069" i="1"/>
  <c r="AD1069" i="1" s="1"/>
  <c r="AC1025" i="1"/>
  <c r="AD1025" i="1" s="1"/>
  <c r="AC961" i="1"/>
  <c r="AD961" i="1" s="1"/>
  <c r="AC897" i="1"/>
  <c r="AD897" i="1" s="1"/>
  <c r="AE897" i="1" s="1"/>
  <c r="AF897" i="1" s="1"/>
  <c r="AC833" i="1"/>
  <c r="AD833" i="1" s="1"/>
  <c r="AC1364" i="1"/>
  <c r="AD1364" i="1" s="1"/>
  <c r="AC1375" i="1"/>
  <c r="AD1375" i="1" s="1"/>
  <c r="AC1021" i="1"/>
  <c r="AD1021" i="1" s="1"/>
  <c r="AC957" i="1"/>
  <c r="AD957" i="1" s="1"/>
  <c r="AC893" i="1"/>
  <c r="AD893" i="1" s="1"/>
  <c r="AC829" i="1"/>
  <c r="AD829" i="1" s="1"/>
  <c r="AC1328" i="1"/>
  <c r="AD1328" i="1" s="1"/>
  <c r="AC1296" i="1"/>
  <c r="AD1296" i="1" s="1"/>
  <c r="AC1264" i="1"/>
  <c r="AD1264" i="1" s="1"/>
  <c r="AC1232" i="1"/>
  <c r="AD1232" i="1" s="1"/>
  <c r="AC1200" i="1"/>
  <c r="AD1200" i="1" s="1"/>
  <c r="AC1168" i="1"/>
  <c r="AD1168" i="1" s="1"/>
  <c r="AC1136" i="1"/>
  <c r="AD1136" i="1" s="1"/>
  <c r="AC1104" i="1"/>
  <c r="AD1104" i="1" s="1"/>
  <c r="AC1072" i="1"/>
  <c r="AD1072" i="1" s="1"/>
  <c r="AC1040" i="1"/>
  <c r="AD1040" i="1" s="1"/>
  <c r="AC1008" i="1"/>
  <c r="AD1008" i="1" s="1"/>
  <c r="AC976" i="1"/>
  <c r="AD976" i="1" s="1"/>
  <c r="AC944" i="1"/>
  <c r="AD944" i="1" s="1"/>
  <c r="AC912" i="1"/>
  <c r="AD912" i="1" s="1"/>
  <c r="AC880" i="1"/>
  <c r="AD880" i="1" s="1"/>
  <c r="AE880" i="1" s="1"/>
  <c r="AF880" i="1" s="1"/>
  <c r="AC848" i="1"/>
  <c r="AD848" i="1" s="1"/>
  <c r="AC816" i="1"/>
  <c r="AD816" i="1" s="1"/>
  <c r="AC784" i="1"/>
  <c r="AD784" i="1" s="1"/>
  <c r="AC1049" i="1"/>
  <c r="AD1049" i="1" s="1"/>
  <c r="AC985" i="1"/>
  <c r="AD985" i="1" s="1"/>
  <c r="AC921" i="1"/>
  <c r="AD921" i="1" s="1"/>
  <c r="AC857" i="1"/>
  <c r="AD857" i="1" s="1"/>
  <c r="AC793" i="1"/>
  <c r="AD793" i="1" s="1"/>
  <c r="AC1348" i="1"/>
  <c r="AD1348" i="1" s="1"/>
  <c r="AC1315" i="1"/>
  <c r="AD1315" i="1" s="1"/>
  <c r="AC1283" i="1"/>
  <c r="AD1283" i="1" s="1"/>
  <c r="AC1251" i="1"/>
  <c r="AD1251" i="1" s="1"/>
  <c r="AC1219" i="1"/>
  <c r="AD1219" i="1" s="1"/>
  <c r="AC1187" i="1"/>
  <c r="AD1187" i="1" s="1"/>
  <c r="AC1155" i="1"/>
  <c r="AD1155" i="1" s="1"/>
  <c r="AC1123" i="1"/>
  <c r="AD1123" i="1" s="1"/>
  <c r="AC1091" i="1"/>
  <c r="AD1091" i="1" s="1"/>
  <c r="AC1059" i="1"/>
  <c r="AD1059" i="1" s="1"/>
  <c r="AC1027" i="1"/>
  <c r="AD1027" i="1" s="1"/>
  <c r="AC995" i="1"/>
  <c r="AD995" i="1" s="1"/>
  <c r="AC963" i="1"/>
  <c r="AD963" i="1" s="1"/>
  <c r="AC931" i="1"/>
  <c r="AD931" i="1" s="1"/>
  <c r="AC899" i="1"/>
  <c r="AD899" i="1" s="1"/>
  <c r="AC867" i="1"/>
  <c r="AD867" i="1" s="1"/>
  <c r="AE867" i="1" s="1"/>
  <c r="AF867" i="1" s="1"/>
  <c r="AC835" i="1"/>
  <c r="AD835" i="1" s="1"/>
  <c r="AC803" i="1"/>
  <c r="AD803" i="1" s="1"/>
  <c r="AC1029" i="1"/>
  <c r="AD1029" i="1" s="1"/>
  <c r="AC965" i="1"/>
  <c r="AD965" i="1" s="1"/>
  <c r="AC901" i="1"/>
  <c r="AD901" i="1" s="1"/>
  <c r="AE901" i="1" s="1"/>
  <c r="AF901" i="1" s="1"/>
  <c r="AC837" i="1"/>
  <c r="AD837" i="1" s="1"/>
  <c r="AC773" i="1"/>
  <c r="AD773" i="1" s="1"/>
  <c r="AC1316" i="1"/>
  <c r="AD1316" i="1" s="1"/>
  <c r="AC1252" i="1"/>
  <c r="AD1252" i="1" s="1"/>
  <c r="AC1188" i="1"/>
  <c r="AD1188" i="1" s="1"/>
  <c r="AC1124" i="1"/>
  <c r="AD1124" i="1" s="1"/>
  <c r="AC1060" i="1"/>
  <c r="AD1060" i="1" s="1"/>
  <c r="AC996" i="1"/>
  <c r="AD996" i="1" s="1"/>
  <c r="AC932" i="1"/>
  <c r="AD932" i="1" s="1"/>
  <c r="AE932" i="1" s="1"/>
  <c r="AF932" i="1" s="1"/>
  <c r="AC868" i="1"/>
  <c r="AD868" i="1" s="1"/>
  <c r="AC804" i="1"/>
  <c r="AD804" i="1" s="1"/>
  <c r="AC1356" i="1"/>
  <c r="AD1356" i="1" s="1"/>
  <c r="AC1276" i="1"/>
  <c r="AD1276" i="1" s="1"/>
  <c r="AC1212" i="1"/>
  <c r="AC1148" i="1"/>
  <c r="AD1148" i="1" s="1"/>
  <c r="AC1084" i="1"/>
  <c r="AD1084" i="1" s="1"/>
  <c r="AC1020" i="1"/>
  <c r="AD1020" i="1" s="1"/>
  <c r="AC956" i="1"/>
  <c r="AD956" i="1" s="1"/>
  <c r="AC892" i="1"/>
  <c r="AD892" i="1" s="1"/>
  <c r="AC828" i="1"/>
  <c r="AD828" i="1" s="1"/>
  <c r="AC1095" i="1"/>
  <c r="AD1095" i="1" s="1"/>
  <c r="AC1334" i="1"/>
  <c r="AD1334" i="1" s="1"/>
  <c r="AC1078" i="1"/>
  <c r="AD1078" i="1" s="1"/>
  <c r="AC1319" i="1"/>
  <c r="AD1319" i="1" s="1"/>
  <c r="AC1255" i="1"/>
  <c r="AD1255" i="1" s="1"/>
  <c r="AC1031" i="1"/>
  <c r="AD1031" i="1" s="1"/>
  <c r="AC807" i="1"/>
  <c r="AD807" i="1" s="1"/>
  <c r="AC1302" i="1"/>
  <c r="AD1302" i="1" s="1"/>
  <c r="AC1030" i="1"/>
  <c r="AD1030" i="1" s="1"/>
  <c r="AC774" i="1"/>
  <c r="AD774" i="1" s="1"/>
  <c r="AC1223" i="1"/>
  <c r="AD1223" i="1" s="1"/>
  <c r="AC1342" i="1"/>
  <c r="AD1342" i="1" s="1"/>
  <c r="AC1206" i="1"/>
  <c r="AD1206" i="1" s="1"/>
  <c r="AC1054" i="1"/>
  <c r="AD1054" i="1" s="1"/>
  <c r="AC934" i="1"/>
  <c r="AD934" i="1" s="1"/>
  <c r="AE934" i="1" s="1"/>
  <c r="AF934" i="1" s="1"/>
  <c r="AC842" i="1"/>
  <c r="AD842" i="1" s="1"/>
  <c r="AC778" i="1"/>
  <c r="AD778" i="1" s="1"/>
  <c r="AC1294" i="1"/>
  <c r="AD1294" i="1" s="1"/>
  <c r="AC1214" i="1"/>
  <c r="AD1214" i="1" s="1"/>
  <c r="AC1150" i="1"/>
  <c r="AC1086" i="1"/>
  <c r="AD1086" i="1" s="1"/>
  <c r="AC990" i="1"/>
  <c r="AC926" i="1"/>
  <c r="AC862" i="1"/>
  <c r="AC1327" i="1"/>
  <c r="AD1327" i="1" s="1"/>
  <c r="AC1263" i="1"/>
  <c r="AD1263" i="1" s="1"/>
  <c r="AC1199" i="1"/>
  <c r="AD1199" i="1" s="1"/>
  <c r="AC1135" i="1"/>
  <c r="AC1071" i="1"/>
  <c r="AD1071" i="1" s="1"/>
  <c r="AC1007" i="1"/>
  <c r="AC943" i="1"/>
  <c r="AD943" i="1" s="1"/>
  <c r="AC879" i="1"/>
  <c r="AD879" i="1" s="1"/>
  <c r="AC815" i="1"/>
  <c r="AD815" i="1" s="1"/>
  <c r="AC1110" i="1"/>
  <c r="AD1110" i="1" s="1"/>
  <c r="AC870" i="1"/>
  <c r="AD870" i="1" s="1"/>
  <c r="AE870" i="1" s="1"/>
  <c r="AF870" i="1" s="1"/>
  <c r="AC806" i="1"/>
  <c r="AD806" i="1" s="1"/>
  <c r="AC1175" i="1"/>
  <c r="AD1175" i="1" s="1"/>
  <c r="AC951" i="1"/>
  <c r="AD951" i="1" s="1"/>
  <c r="AC887" i="1"/>
  <c r="AD887" i="1" s="1"/>
  <c r="AE887" i="1" s="1"/>
  <c r="AF887" i="1" s="1"/>
  <c r="AC1154" i="1"/>
  <c r="AC1146" i="1"/>
  <c r="AD1146" i="1" s="1"/>
  <c r="AC1082" i="1"/>
  <c r="AC1018" i="1"/>
  <c r="AD1018" i="1" s="1"/>
  <c r="AC954" i="1"/>
  <c r="AC890" i="1"/>
  <c r="AD890" i="1" s="1"/>
  <c r="AC1338" i="1"/>
  <c r="AD1338" i="1" s="1"/>
  <c r="AC1274" i="1"/>
  <c r="AC1210" i="1"/>
  <c r="AD1210" i="1" s="1"/>
  <c r="AC1198" i="1"/>
  <c r="AC910" i="1"/>
  <c r="AC1158" i="1"/>
  <c r="AC918" i="1"/>
  <c r="AC830" i="1"/>
  <c r="AC1346" i="1"/>
  <c r="AC1282" i="1"/>
  <c r="AC1218" i="1"/>
  <c r="AC1090" i="1"/>
  <c r="AC1026" i="1"/>
  <c r="AC962" i="1"/>
  <c r="AC898" i="1"/>
  <c r="AC834" i="1"/>
  <c r="AC1363" i="1"/>
  <c r="AC1295" i="1"/>
  <c r="AC1231" i="1"/>
  <c r="AC1167" i="1"/>
  <c r="AC1103" i="1"/>
  <c r="AC1039" i="1"/>
  <c r="AC911" i="1"/>
  <c r="AC847" i="1"/>
  <c r="AC783" i="1"/>
  <c r="AC1142" i="1"/>
  <c r="AC902" i="1"/>
  <c r="AC935" i="1"/>
  <c r="AC871" i="1"/>
  <c r="AC782" i="1"/>
  <c r="AC1331" i="1"/>
  <c r="AC794" i="1"/>
  <c r="U781" i="1"/>
  <c r="U793" i="1"/>
  <c r="U797" i="1"/>
  <c r="U809" i="1"/>
  <c r="U813" i="1"/>
  <c r="U817" i="1"/>
  <c r="U825" i="1"/>
  <c r="U829" i="1"/>
  <c r="U953" i="1"/>
  <c r="U957" i="1"/>
  <c r="U961" i="1"/>
  <c r="U969" i="1"/>
  <c r="U973" i="1"/>
  <c r="U977" i="1"/>
  <c r="U985" i="1"/>
  <c r="U989" i="1"/>
  <c r="U993" i="1"/>
  <c r="U1001" i="1"/>
  <c r="U1005" i="1"/>
  <c r="U1009" i="1"/>
  <c r="U1017" i="1"/>
  <c r="U1021" i="1"/>
  <c r="U1025" i="1"/>
  <c r="U1033" i="1"/>
  <c r="U1037" i="1"/>
  <c r="U1041" i="1"/>
  <c r="U1049" i="1"/>
  <c r="U1053" i="1"/>
  <c r="U1057" i="1"/>
  <c r="U1065" i="1"/>
  <c r="U1069" i="1"/>
  <c r="U1073" i="1"/>
  <c r="U1081" i="1"/>
  <c r="U1085" i="1"/>
  <c r="U1089" i="1"/>
  <c r="U1097" i="1"/>
  <c r="U1101" i="1"/>
  <c r="U1105" i="1"/>
  <c r="U1113" i="1"/>
  <c r="U1117" i="1"/>
  <c r="U1121" i="1"/>
  <c r="U1129" i="1"/>
  <c r="U1133" i="1"/>
  <c r="U1137" i="1"/>
  <c r="U1145" i="1"/>
  <c r="U1149" i="1"/>
  <c r="U1153" i="1"/>
  <c r="U1161" i="1"/>
  <c r="U1165" i="1"/>
  <c r="U1169" i="1"/>
  <c r="U1177" i="1"/>
  <c r="U1181" i="1"/>
  <c r="U1185" i="1"/>
  <c r="U1193" i="1"/>
  <c r="U1197" i="1"/>
  <c r="U1201" i="1"/>
  <c r="U1209" i="1"/>
  <c r="U1213" i="1"/>
  <c r="U1217" i="1"/>
  <c r="U1225" i="1"/>
  <c r="U1229" i="1"/>
  <c r="U1233" i="1"/>
  <c r="U1241" i="1"/>
  <c r="U1245" i="1"/>
  <c r="U1249" i="1"/>
  <c r="U1257" i="1"/>
  <c r="U1261" i="1"/>
  <c r="U1265" i="1"/>
  <c r="U1273" i="1"/>
  <c r="U1277" i="1"/>
  <c r="U1281" i="1"/>
  <c r="U1289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53" i="1"/>
  <c r="U1357" i="1"/>
  <c r="U1361" i="1"/>
  <c r="U1364" i="1"/>
  <c r="U1368" i="1"/>
  <c r="U1369" i="1"/>
  <c r="U1373" i="1"/>
  <c r="U1377" i="1"/>
  <c r="AE1377" i="1" s="1"/>
  <c r="AF1377" i="1" s="1"/>
  <c r="U1376" i="1"/>
  <c r="U1375" i="1"/>
  <c r="U1372" i="1"/>
  <c r="U1371" i="1"/>
  <c r="U1367" i="1"/>
  <c r="U1365" i="1"/>
  <c r="U1363" i="1"/>
  <c r="U1360" i="1"/>
  <c r="U1359" i="1"/>
  <c r="U1356" i="1"/>
  <c r="U1355" i="1"/>
  <c r="U1352" i="1"/>
  <c r="U1351" i="1"/>
  <c r="U1349" i="1"/>
  <c r="U1348" i="1"/>
  <c r="U1347" i="1"/>
  <c r="U1344" i="1"/>
  <c r="U1343" i="1"/>
  <c r="U1340" i="1"/>
  <c r="U1339" i="1"/>
  <c r="U1336" i="1"/>
  <c r="U1335" i="1"/>
  <c r="U1332" i="1"/>
  <c r="U1331" i="1"/>
  <c r="U1328" i="1"/>
  <c r="U1327" i="1"/>
  <c r="U1324" i="1"/>
  <c r="U1323" i="1"/>
  <c r="U1320" i="1"/>
  <c r="U1319" i="1"/>
  <c r="U1316" i="1"/>
  <c r="U1315" i="1"/>
  <c r="U1312" i="1"/>
  <c r="U1311" i="1"/>
  <c r="U1308" i="1"/>
  <c r="U1307" i="1"/>
  <c r="U1304" i="1"/>
  <c r="U1303" i="1"/>
  <c r="U1300" i="1"/>
  <c r="U1299" i="1"/>
  <c r="U1296" i="1"/>
  <c r="U1295" i="1"/>
  <c r="U1292" i="1"/>
  <c r="U1291" i="1"/>
  <c r="U1288" i="1"/>
  <c r="U1287" i="1"/>
  <c r="U1285" i="1"/>
  <c r="U1284" i="1"/>
  <c r="U1283" i="1"/>
  <c r="U1280" i="1"/>
  <c r="U1279" i="1"/>
  <c r="U1276" i="1"/>
  <c r="U1275" i="1"/>
  <c r="U1272" i="1"/>
  <c r="U1271" i="1"/>
  <c r="U1269" i="1"/>
  <c r="U1268" i="1"/>
  <c r="U1267" i="1"/>
  <c r="U1264" i="1"/>
  <c r="U1263" i="1"/>
  <c r="U1260" i="1"/>
  <c r="U1259" i="1"/>
  <c r="U1256" i="1"/>
  <c r="U1255" i="1"/>
  <c r="U1253" i="1"/>
  <c r="U1252" i="1"/>
  <c r="U1251" i="1"/>
  <c r="U1248" i="1"/>
  <c r="U1247" i="1"/>
  <c r="U1244" i="1"/>
  <c r="U1243" i="1"/>
  <c r="U1240" i="1"/>
  <c r="U1239" i="1"/>
  <c r="U1237" i="1"/>
  <c r="U1236" i="1"/>
  <c r="U1235" i="1"/>
  <c r="U1232" i="1"/>
  <c r="U1231" i="1"/>
  <c r="U1228" i="1"/>
  <c r="U1227" i="1"/>
  <c r="U1224" i="1"/>
  <c r="U1223" i="1"/>
  <c r="U1221" i="1"/>
  <c r="U1220" i="1"/>
  <c r="U1219" i="1"/>
  <c r="U1216" i="1"/>
  <c r="U1215" i="1"/>
  <c r="U1212" i="1"/>
  <c r="U1211" i="1"/>
  <c r="U1208" i="1"/>
  <c r="U1207" i="1"/>
  <c r="U1205" i="1"/>
  <c r="U1204" i="1"/>
  <c r="U1203" i="1"/>
  <c r="U1200" i="1"/>
  <c r="U1199" i="1"/>
  <c r="U1196" i="1"/>
  <c r="U1195" i="1"/>
  <c r="U1192" i="1"/>
  <c r="U1191" i="1"/>
  <c r="U1189" i="1"/>
  <c r="U1188" i="1"/>
  <c r="U1187" i="1"/>
  <c r="U1184" i="1"/>
  <c r="U1183" i="1"/>
  <c r="U1180" i="1"/>
  <c r="U1179" i="1"/>
  <c r="U1176" i="1"/>
  <c r="U1175" i="1"/>
  <c r="U1173" i="1"/>
  <c r="U1172" i="1"/>
  <c r="U1171" i="1"/>
  <c r="U1168" i="1"/>
  <c r="U1167" i="1"/>
  <c r="U1164" i="1"/>
  <c r="U1163" i="1"/>
  <c r="U1160" i="1"/>
  <c r="U1159" i="1"/>
  <c r="U1157" i="1"/>
  <c r="U1156" i="1"/>
  <c r="U1155" i="1"/>
  <c r="U1152" i="1"/>
  <c r="U1151" i="1"/>
  <c r="U1148" i="1"/>
  <c r="U1147" i="1"/>
  <c r="U1144" i="1"/>
  <c r="U1143" i="1"/>
  <c r="U1141" i="1"/>
  <c r="U1140" i="1"/>
  <c r="U1139" i="1"/>
  <c r="U1136" i="1"/>
  <c r="U1135" i="1"/>
  <c r="U1132" i="1"/>
  <c r="U1131" i="1"/>
  <c r="U1128" i="1"/>
  <c r="U1127" i="1"/>
  <c r="U1125" i="1"/>
  <c r="U1124" i="1"/>
  <c r="U1123" i="1"/>
  <c r="U1120" i="1"/>
  <c r="U1119" i="1"/>
  <c r="U1116" i="1"/>
  <c r="U1115" i="1"/>
  <c r="U1112" i="1"/>
  <c r="U1111" i="1"/>
  <c r="U1109" i="1"/>
  <c r="U1108" i="1"/>
  <c r="U1107" i="1"/>
  <c r="U1104" i="1"/>
  <c r="U1103" i="1"/>
  <c r="U1100" i="1"/>
  <c r="U1099" i="1"/>
  <c r="U1096" i="1"/>
  <c r="U1095" i="1"/>
  <c r="U1093" i="1"/>
  <c r="U1092" i="1"/>
  <c r="U1091" i="1"/>
  <c r="U1088" i="1"/>
  <c r="U1087" i="1"/>
  <c r="U1084" i="1"/>
  <c r="U1083" i="1"/>
  <c r="U1080" i="1"/>
  <c r="U1079" i="1"/>
  <c r="U1077" i="1"/>
  <c r="U1076" i="1"/>
  <c r="U1075" i="1"/>
  <c r="U1072" i="1"/>
  <c r="U1071" i="1"/>
  <c r="U1068" i="1"/>
  <c r="U1067" i="1"/>
  <c r="U1064" i="1"/>
  <c r="U1063" i="1"/>
  <c r="U1061" i="1"/>
  <c r="U1060" i="1"/>
  <c r="U1059" i="1"/>
  <c r="U1056" i="1"/>
  <c r="U1055" i="1"/>
  <c r="U1052" i="1"/>
  <c r="U1051" i="1"/>
  <c r="U1048" i="1"/>
  <c r="U1047" i="1"/>
  <c r="U1045" i="1"/>
  <c r="U1044" i="1"/>
  <c r="U1043" i="1"/>
  <c r="U1040" i="1"/>
  <c r="U1039" i="1"/>
  <c r="U1036" i="1"/>
  <c r="U1035" i="1"/>
  <c r="U1032" i="1"/>
  <c r="U1031" i="1"/>
  <c r="U1029" i="1"/>
  <c r="U1028" i="1"/>
  <c r="U1027" i="1"/>
  <c r="U1024" i="1"/>
  <c r="U1023" i="1"/>
  <c r="U1020" i="1"/>
  <c r="U1019" i="1"/>
  <c r="U1016" i="1"/>
  <c r="U1015" i="1"/>
  <c r="U1013" i="1"/>
  <c r="U1012" i="1"/>
  <c r="U1011" i="1"/>
  <c r="U1008" i="1"/>
  <c r="U1007" i="1"/>
  <c r="U1004" i="1"/>
  <c r="U1003" i="1"/>
  <c r="U1000" i="1"/>
  <c r="U999" i="1"/>
  <c r="U997" i="1"/>
  <c r="U996" i="1"/>
  <c r="U995" i="1"/>
  <c r="U992" i="1"/>
  <c r="U991" i="1"/>
  <c r="U988" i="1"/>
  <c r="U987" i="1"/>
  <c r="U984" i="1"/>
  <c r="U983" i="1"/>
  <c r="U981" i="1"/>
  <c r="U980" i="1"/>
  <c r="U979" i="1"/>
  <c r="U976" i="1"/>
  <c r="U975" i="1"/>
  <c r="U972" i="1"/>
  <c r="U971" i="1"/>
  <c r="U968" i="1"/>
  <c r="U967" i="1"/>
  <c r="U965" i="1"/>
  <c r="U964" i="1"/>
  <c r="U963" i="1"/>
  <c r="U960" i="1"/>
  <c r="U959" i="1"/>
  <c r="U956" i="1"/>
  <c r="U955" i="1"/>
  <c r="U952" i="1"/>
  <c r="U951" i="1"/>
  <c r="U949" i="1"/>
  <c r="U948" i="1"/>
  <c r="U828" i="1"/>
  <c r="U827" i="1"/>
  <c r="U824" i="1"/>
  <c r="U823" i="1"/>
  <c r="U821" i="1"/>
  <c r="U820" i="1"/>
  <c r="U819" i="1"/>
  <c r="U816" i="1"/>
  <c r="U815" i="1"/>
  <c r="U812" i="1"/>
  <c r="U811" i="1"/>
  <c r="U808" i="1"/>
  <c r="U807" i="1"/>
  <c r="U805" i="1"/>
  <c r="U804" i="1"/>
  <c r="U803" i="1"/>
  <c r="U801" i="1"/>
  <c r="U800" i="1"/>
  <c r="U799" i="1"/>
  <c r="U796" i="1"/>
  <c r="U795" i="1"/>
  <c r="U792" i="1"/>
  <c r="U791" i="1"/>
  <c r="U789" i="1"/>
  <c r="U788" i="1"/>
  <c r="U787" i="1"/>
  <c r="U785" i="1"/>
  <c r="U784" i="1"/>
  <c r="U783" i="1"/>
  <c r="U780" i="1"/>
  <c r="U779" i="1"/>
  <c r="U777" i="1"/>
  <c r="U776" i="1"/>
  <c r="U775" i="1"/>
  <c r="U773" i="1"/>
  <c r="U772" i="1"/>
  <c r="U771" i="1"/>
  <c r="U769" i="1"/>
  <c r="U768" i="1"/>
  <c r="U767" i="1"/>
  <c r="AB768" i="1" l="1"/>
  <c r="AB771" i="1"/>
  <c r="AC771" i="1" s="1"/>
  <c r="AD771" i="1" s="1"/>
  <c r="Z765" i="1"/>
  <c r="AA765" i="1" s="1"/>
  <c r="X767" i="1"/>
  <c r="W764" i="1"/>
  <c r="X764" i="1" s="1"/>
  <c r="AC770" i="1"/>
  <c r="AD770" i="1" s="1"/>
  <c r="W762" i="1"/>
  <c r="X766" i="1"/>
  <c r="W763" i="1"/>
  <c r="X765" i="1"/>
  <c r="V756" i="1"/>
  <c r="V760" i="1"/>
  <c r="V757" i="1"/>
  <c r="V758" i="1"/>
  <c r="V759" i="1"/>
  <c r="V761" i="1"/>
  <c r="W761" i="1" s="1"/>
  <c r="Q755" i="1"/>
  <c r="Y755" i="1" s="1"/>
  <c r="Q754" i="1"/>
  <c r="Y754" i="1" s="1"/>
  <c r="Q753" i="1"/>
  <c r="Y753" i="1" s="1"/>
  <c r="AL886" i="1"/>
  <c r="AM886" i="1" s="1"/>
  <c r="AR886" i="1" s="1"/>
  <c r="AC772" i="1"/>
  <c r="AD772" i="1" s="1"/>
  <c r="Z764" i="1"/>
  <c r="AA764" i="1" s="1"/>
  <c r="AB764" i="1" s="1"/>
  <c r="AA766" i="1"/>
  <c r="Z763" i="1"/>
  <c r="AA767" i="1"/>
  <c r="AB767" i="1" s="1"/>
  <c r="R761" i="1"/>
  <c r="U761" i="1" s="1"/>
  <c r="AG175" i="24"/>
  <c r="AI175" i="24" s="1"/>
  <c r="AJ175" i="24" s="1"/>
  <c r="R756" i="1"/>
  <c r="U756" i="1" s="1"/>
  <c r="R760" i="1"/>
  <c r="U760" i="1" s="1"/>
  <c r="Z762" i="1"/>
  <c r="R757" i="1"/>
  <c r="U757" i="1" s="1"/>
  <c r="R758" i="1"/>
  <c r="U758" i="1" s="1"/>
  <c r="R759" i="1"/>
  <c r="U759" i="1" s="1"/>
  <c r="W174" i="24"/>
  <c r="U174" i="24"/>
  <c r="V174" i="24" s="1"/>
  <c r="S172" i="24"/>
  <c r="T173" i="24"/>
  <c r="AE1159" i="1"/>
  <c r="AF1159" i="1" s="1"/>
  <c r="AE1191" i="1"/>
  <c r="AF1191" i="1" s="1"/>
  <c r="AE1263" i="1"/>
  <c r="AF1263" i="1" s="1"/>
  <c r="AE1297" i="1"/>
  <c r="AF1297" i="1" s="1"/>
  <c r="AE1213" i="1"/>
  <c r="AF1213" i="1" s="1"/>
  <c r="AE1169" i="1"/>
  <c r="AF1169" i="1" s="1"/>
  <c r="AE1131" i="1"/>
  <c r="AF1131" i="1" s="1"/>
  <c r="AE1311" i="1"/>
  <c r="AF1311" i="1" s="1"/>
  <c r="AE956" i="1"/>
  <c r="AF956" i="1" s="1"/>
  <c r="AE785" i="1"/>
  <c r="AF785" i="1" s="1"/>
  <c r="AE1228" i="1"/>
  <c r="AF1228" i="1" s="1"/>
  <c r="AE1016" i="1"/>
  <c r="AF1016" i="1" s="1"/>
  <c r="AE1208" i="1"/>
  <c r="AF1208" i="1" s="1"/>
  <c r="AE1097" i="1"/>
  <c r="AF1097" i="1" s="1"/>
  <c r="AE1368" i="1"/>
  <c r="AF1368" i="1" s="1"/>
  <c r="AE1301" i="1"/>
  <c r="AF1301" i="1" s="1"/>
  <c r="AE992" i="1"/>
  <c r="AF992" i="1" s="1"/>
  <c r="AE1107" i="1"/>
  <c r="AF1107" i="1" s="1"/>
  <c r="AE1141" i="1"/>
  <c r="AF1141" i="1" s="1"/>
  <c r="AE1220" i="1"/>
  <c r="AF1220" i="1" s="1"/>
  <c r="AE1360" i="1"/>
  <c r="AF1360" i="1" s="1"/>
  <c r="AE1233" i="1"/>
  <c r="AF1233" i="1" s="1"/>
  <c r="AE1149" i="1"/>
  <c r="AF1149" i="1" s="1"/>
  <c r="AE1129" i="1"/>
  <c r="AF1129" i="1" s="1"/>
  <c r="AE1071" i="1"/>
  <c r="AF1071" i="1" s="1"/>
  <c r="AE1152" i="1"/>
  <c r="AF1152" i="1" s="1"/>
  <c r="AE1267" i="1"/>
  <c r="AF1267" i="1" s="1"/>
  <c r="AE1327" i="1"/>
  <c r="AF1327" i="1" s="1"/>
  <c r="AE815" i="1"/>
  <c r="AF815" i="1" s="1"/>
  <c r="AE1073" i="1"/>
  <c r="AF1073" i="1" s="1"/>
  <c r="AE1247" i="1"/>
  <c r="AF1247" i="1" s="1"/>
  <c r="AE1351" i="1"/>
  <c r="AF1351" i="1" s="1"/>
  <c r="AE805" i="1"/>
  <c r="AF805" i="1" s="1"/>
  <c r="AE959" i="1"/>
  <c r="AF959" i="1" s="1"/>
  <c r="AE1348" i="1"/>
  <c r="AF1348" i="1" s="1"/>
  <c r="AE1309" i="1"/>
  <c r="AF1309" i="1" s="1"/>
  <c r="AE1121" i="1"/>
  <c r="AF1121" i="1" s="1"/>
  <c r="AE1085" i="1"/>
  <c r="AF1085" i="1" s="1"/>
  <c r="AE1057" i="1"/>
  <c r="AF1057" i="1" s="1"/>
  <c r="AE991" i="1"/>
  <c r="AF991" i="1" s="1"/>
  <c r="AE819" i="1"/>
  <c r="AF819" i="1" s="1"/>
  <c r="AE964" i="1"/>
  <c r="AF964" i="1" s="1"/>
  <c r="AE979" i="1"/>
  <c r="AF979" i="1" s="1"/>
  <c r="AE1284" i="1"/>
  <c r="AF1284" i="1" s="1"/>
  <c r="AE1105" i="1"/>
  <c r="AF1105" i="1" s="1"/>
  <c r="AE1341" i="1"/>
  <c r="AF1341" i="1" s="1"/>
  <c r="AE1119" i="1"/>
  <c r="AF1119" i="1" s="1"/>
  <c r="AE775" i="1"/>
  <c r="AF775" i="1" s="1"/>
  <c r="AE1355" i="1"/>
  <c r="AF1355" i="1" s="1"/>
  <c r="AE1373" i="1"/>
  <c r="AF1373" i="1" s="1"/>
  <c r="AE993" i="1"/>
  <c r="AF993" i="1" s="1"/>
  <c r="AE1024" i="1"/>
  <c r="AF1024" i="1" s="1"/>
  <c r="AE1031" i="1"/>
  <c r="AF1031" i="1" s="1"/>
  <c r="AE1080" i="1"/>
  <c r="AF1080" i="1" s="1"/>
  <c r="AE1139" i="1"/>
  <c r="AF1139" i="1" s="1"/>
  <c r="AE1216" i="1"/>
  <c r="AF1216" i="1" s="1"/>
  <c r="AE1259" i="1"/>
  <c r="AF1259" i="1" s="1"/>
  <c r="AE1365" i="1"/>
  <c r="AF1365" i="1" s="1"/>
  <c r="AE1321" i="1"/>
  <c r="AF1321" i="1" s="1"/>
  <c r="AE1265" i="1"/>
  <c r="AF1265" i="1" s="1"/>
  <c r="AE1181" i="1"/>
  <c r="AF1181" i="1" s="1"/>
  <c r="AE989" i="1"/>
  <c r="AF989" i="1" s="1"/>
  <c r="AE829" i="1"/>
  <c r="AF829" i="1" s="1"/>
  <c r="AE1011" i="1"/>
  <c r="AF1011" i="1" s="1"/>
  <c r="AE1088" i="1"/>
  <c r="AF1088" i="1" s="1"/>
  <c r="AE1173" i="1"/>
  <c r="AF1173" i="1" s="1"/>
  <c r="AE1180" i="1"/>
  <c r="AF1180" i="1" s="1"/>
  <c r="AE1203" i="1"/>
  <c r="AF1203" i="1" s="1"/>
  <c r="AE1245" i="1"/>
  <c r="AF1245" i="1" s="1"/>
  <c r="AE1137" i="1"/>
  <c r="AF1137" i="1" s="1"/>
  <c r="AE1053" i="1"/>
  <c r="AF1053" i="1" s="1"/>
  <c r="AE1025" i="1"/>
  <c r="AF1025" i="1" s="1"/>
  <c r="AE999" i="1"/>
  <c r="AF999" i="1" s="1"/>
  <c r="AE1028" i="1"/>
  <c r="AF1028" i="1" s="1"/>
  <c r="AE1248" i="1"/>
  <c r="AF1248" i="1" s="1"/>
  <c r="AE1329" i="1"/>
  <c r="AF1329" i="1" s="1"/>
  <c r="AE1193" i="1"/>
  <c r="AF1193" i="1" s="1"/>
  <c r="AE799" i="1"/>
  <c r="AF799" i="1" s="1"/>
  <c r="AE804" i="1"/>
  <c r="AF804" i="1" s="1"/>
  <c r="AE824" i="1"/>
  <c r="AF824" i="1" s="1"/>
  <c r="AE1043" i="1"/>
  <c r="AF1043" i="1" s="1"/>
  <c r="AE1056" i="1"/>
  <c r="AF1056" i="1" s="1"/>
  <c r="AE1063" i="1"/>
  <c r="AF1063" i="1" s="1"/>
  <c r="AE1084" i="1"/>
  <c r="AF1084" i="1" s="1"/>
  <c r="AE1092" i="1"/>
  <c r="AF1092" i="1" s="1"/>
  <c r="AE1120" i="1"/>
  <c r="AF1120" i="1" s="1"/>
  <c r="AE1156" i="1"/>
  <c r="AF1156" i="1" s="1"/>
  <c r="AE1171" i="1"/>
  <c r="AF1171" i="1" s="1"/>
  <c r="AE1184" i="1"/>
  <c r="AF1184" i="1" s="1"/>
  <c r="AE1199" i="1"/>
  <c r="AF1199" i="1" s="1"/>
  <c r="AE1235" i="1"/>
  <c r="AF1235" i="1" s="1"/>
  <c r="AE1269" i="1"/>
  <c r="AF1269" i="1" s="1"/>
  <c r="AE1315" i="1"/>
  <c r="AF1315" i="1" s="1"/>
  <c r="AE1347" i="1"/>
  <c r="AF1347" i="1" s="1"/>
  <c r="AE1313" i="1"/>
  <c r="AF1313" i="1" s="1"/>
  <c r="AE1277" i="1"/>
  <c r="AF1277" i="1" s="1"/>
  <c r="AE1215" i="1"/>
  <c r="AF1215" i="1" s="1"/>
  <c r="AE1175" i="1"/>
  <c r="AF1175" i="1" s="1"/>
  <c r="AE1257" i="1"/>
  <c r="AF1257" i="1" s="1"/>
  <c r="AE1041" i="1"/>
  <c r="AF1041" i="1" s="1"/>
  <c r="AE972" i="1"/>
  <c r="AF972" i="1" s="1"/>
  <c r="AE1100" i="1"/>
  <c r="AF1100" i="1" s="1"/>
  <c r="AE1136" i="1"/>
  <c r="AF1136" i="1" s="1"/>
  <c r="AE1340" i="1"/>
  <c r="AF1340" i="1" s="1"/>
  <c r="AE1293" i="1"/>
  <c r="AF1293" i="1" s="1"/>
  <c r="AE1017" i="1"/>
  <c r="AF1017" i="1" s="1"/>
  <c r="AE973" i="1"/>
  <c r="AF973" i="1" s="1"/>
  <c r="AE879" i="1"/>
  <c r="AF879" i="1" s="1"/>
  <c r="AE1205" i="1"/>
  <c r="AF1205" i="1" s="1"/>
  <c r="AE1361" i="1"/>
  <c r="AF1361" i="1" s="1"/>
  <c r="AE953" i="1"/>
  <c r="AF953" i="1" s="1"/>
  <c r="AE801" i="1"/>
  <c r="AF801" i="1" s="1"/>
  <c r="AE952" i="1"/>
  <c r="AF952" i="1" s="1"/>
  <c r="AE1003" i="1"/>
  <c r="AF1003" i="1" s="1"/>
  <c r="AE1075" i="1"/>
  <c r="AF1075" i="1" s="1"/>
  <c r="AE1109" i="1"/>
  <c r="AF1109" i="1" s="1"/>
  <c r="AE1116" i="1"/>
  <c r="AF1116" i="1" s="1"/>
  <c r="AE1272" i="1"/>
  <c r="AF1272" i="1" s="1"/>
  <c r="AE1280" i="1"/>
  <c r="AF1280" i="1" s="1"/>
  <c r="AE1225" i="1"/>
  <c r="AF1225" i="1" s="1"/>
  <c r="AE1055" i="1"/>
  <c r="AF1055" i="1" s="1"/>
  <c r="AE1204" i="1"/>
  <c r="AF1204" i="1" s="1"/>
  <c r="AE797" i="1"/>
  <c r="AF797" i="1" s="1"/>
  <c r="AE1299" i="1"/>
  <c r="AF1299" i="1" s="1"/>
  <c r="AE787" i="1"/>
  <c r="AF787" i="1" s="1"/>
  <c r="AE800" i="1"/>
  <c r="AF800" i="1" s="1"/>
  <c r="AE820" i="1"/>
  <c r="AF820" i="1" s="1"/>
  <c r="AE951" i="1"/>
  <c r="AF951" i="1" s="1"/>
  <c r="AE995" i="1"/>
  <c r="AF995" i="1" s="1"/>
  <c r="AE1029" i="1"/>
  <c r="AF1029" i="1" s="1"/>
  <c r="AE1059" i="1"/>
  <c r="AF1059" i="1" s="1"/>
  <c r="AE1072" i="1"/>
  <c r="AF1072" i="1" s="1"/>
  <c r="AE1087" i="1"/>
  <c r="AF1087" i="1" s="1"/>
  <c r="AE1123" i="1"/>
  <c r="AF1123" i="1" s="1"/>
  <c r="AE1251" i="1"/>
  <c r="AF1251" i="1" s="1"/>
  <c r="AE1308" i="1"/>
  <c r="AF1308" i="1" s="1"/>
  <c r="AE1316" i="1"/>
  <c r="AF1316" i="1" s="1"/>
  <c r="AE1332" i="1"/>
  <c r="AF1332" i="1" s="1"/>
  <c r="AE1229" i="1"/>
  <c r="AF1229" i="1" s="1"/>
  <c r="AD926" i="1"/>
  <c r="AE926" i="1" s="1"/>
  <c r="AF926" i="1" s="1"/>
  <c r="AE828" i="1"/>
  <c r="AF828" i="1" s="1"/>
  <c r="AE960" i="1"/>
  <c r="AF960" i="1" s="1"/>
  <c r="AE967" i="1"/>
  <c r="AF967" i="1" s="1"/>
  <c r="AE988" i="1"/>
  <c r="AF988" i="1" s="1"/>
  <c r="AE1052" i="1"/>
  <c r="AF1052" i="1" s="1"/>
  <c r="AE1060" i="1"/>
  <c r="AF1060" i="1" s="1"/>
  <c r="AE1144" i="1"/>
  <c r="AF1144" i="1" s="1"/>
  <c r="AE1223" i="1"/>
  <c r="AF1223" i="1" s="1"/>
  <c r="AE1244" i="1"/>
  <c r="AF1244" i="1" s="1"/>
  <c r="AE1287" i="1"/>
  <c r="AF1287" i="1" s="1"/>
  <c r="AE1319" i="1"/>
  <c r="AF1319" i="1" s="1"/>
  <c r="AE1356" i="1"/>
  <c r="AF1356" i="1" s="1"/>
  <c r="AE1289" i="1"/>
  <c r="AF1289" i="1" s="1"/>
  <c r="AE1201" i="1"/>
  <c r="AF1201" i="1" s="1"/>
  <c r="AE1161" i="1"/>
  <c r="AF1161" i="1" s="1"/>
  <c r="AE1117" i="1"/>
  <c r="AF1117" i="1" s="1"/>
  <c r="AE1339" i="1"/>
  <c r="AF1339" i="1" s="1"/>
  <c r="AE796" i="1"/>
  <c r="AF796" i="1" s="1"/>
  <c r="AE803" i="1"/>
  <c r="AF803" i="1" s="1"/>
  <c r="AE816" i="1"/>
  <c r="AF816" i="1" s="1"/>
  <c r="AE997" i="1"/>
  <c r="AF997" i="1" s="1"/>
  <c r="AE1047" i="1"/>
  <c r="AF1047" i="1" s="1"/>
  <c r="AE1076" i="1"/>
  <c r="AF1076" i="1" s="1"/>
  <c r="AE1183" i="1"/>
  <c r="AF1183" i="1" s="1"/>
  <c r="AE1312" i="1"/>
  <c r="AF1312" i="1" s="1"/>
  <c r="AE1328" i="1"/>
  <c r="AF1328" i="1" s="1"/>
  <c r="AE1344" i="1"/>
  <c r="AF1344" i="1" s="1"/>
  <c r="AE1353" i="1"/>
  <c r="AF1353" i="1" s="1"/>
  <c r="AE1333" i="1"/>
  <c r="AF1333" i="1" s="1"/>
  <c r="AE825" i="1"/>
  <c r="AF825" i="1" s="1"/>
  <c r="AE942" i="1"/>
  <c r="AF942" i="1" s="1"/>
  <c r="AE938" i="1"/>
  <c r="AF938" i="1" s="1"/>
  <c r="AE874" i="1"/>
  <c r="AF874" i="1" s="1"/>
  <c r="AE890" i="1"/>
  <c r="AF890" i="1" s="1"/>
  <c r="AE943" i="1"/>
  <c r="AF943" i="1" s="1"/>
  <c r="AD1274" i="1"/>
  <c r="AD1082" i="1"/>
  <c r="AE842" i="1"/>
  <c r="AF842" i="1" s="1"/>
  <c r="AE1255" i="1"/>
  <c r="AF1255" i="1" s="1"/>
  <c r="AE1095" i="1"/>
  <c r="AF1095" i="1" s="1"/>
  <c r="AE1020" i="1"/>
  <c r="AF1020" i="1" s="1"/>
  <c r="AE1276" i="1"/>
  <c r="AF1276" i="1" s="1"/>
  <c r="AE868" i="1"/>
  <c r="AF868" i="1" s="1"/>
  <c r="AE773" i="1"/>
  <c r="AF773" i="1" s="1"/>
  <c r="AE1049" i="1"/>
  <c r="AF1049" i="1" s="1"/>
  <c r="AE944" i="1"/>
  <c r="AF944" i="1" s="1"/>
  <c r="AE1296" i="1"/>
  <c r="AF1296" i="1" s="1"/>
  <c r="AE1375" i="1"/>
  <c r="AF1375" i="1" s="1"/>
  <c r="AE833" i="1"/>
  <c r="AF833" i="1" s="1"/>
  <c r="AE1165" i="1"/>
  <c r="AF1165" i="1" s="1"/>
  <c r="AE1185" i="1"/>
  <c r="AF1185" i="1" s="1"/>
  <c r="AD1226" i="1"/>
  <c r="AD1106" i="1"/>
  <c r="AD1023" i="1"/>
  <c r="AE1023" i="1" s="1"/>
  <c r="AF1023" i="1" s="1"/>
  <c r="AD1154" i="1"/>
  <c r="AD954" i="1"/>
  <c r="AE1027" i="1"/>
  <c r="AF1027" i="1" s="1"/>
  <c r="AE857" i="1"/>
  <c r="AF857" i="1" s="1"/>
  <c r="AE1200" i="1"/>
  <c r="AF1200" i="1" s="1"/>
  <c r="AE1197" i="1"/>
  <c r="AF1197" i="1" s="1"/>
  <c r="AD1034" i="1"/>
  <c r="AD914" i="1"/>
  <c r="AE914" i="1" s="1"/>
  <c r="AF914" i="1" s="1"/>
  <c r="AD831" i="1"/>
  <c r="AE831" i="1" s="1"/>
  <c r="AF831" i="1" s="1"/>
  <c r="AE807" i="1"/>
  <c r="AF807" i="1" s="1"/>
  <c r="AE892" i="1"/>
  <c r="AF892" i="1" s="1"/>
  <c r="AE1148" i="1"/>
  <c r="AF1148" i="1" s="1"/>
  <c r="AE1188" i="1"/>
  <c r="AF1188" i="1" s="1"/>
  <c r="AE931" i="1"/>
  <c r="AF931" i="1" s="1"/>
  <c r="AE1283" i="1"/>
  <c r="AF1283" i="1" s="1"/>
  <c r="AE784" i="1"/>
  <c r="AF784" i="1" s="1"/>
  <c r="AE1008" i="1"/>
  <c r="AF1008" i="1" s="1"/>
  <c r="AE1101" i="1"/>
  <c r="AF1101" i="1" s="1"/>
  <c r="AE1249" i="1"/>
  <c r="AF1249" i="1" s="1"/>
  <c r="AE1359" i="1"/>
  <c r="AF1359" i="1" s="1"/>
  <c r="AD1310" i="1"/>
  <c r="AE1001" i="1"/>
  <c r="AF1001" i="1" s="1"/>
  <c r="AE965" i="1"/>
  <c r="AF965" i="1" s="1"/>
  <c r="AE1187" i="1"/>
  <c r="AF1187" i="1" s="1"/>
  <c r="AE985" i="1"/>
  <c r="AF985" i="1" s="1"/>
  <c r="AE1040" i="1"/>
  <c r="AF1040" i="1" s="1"/>
  <c r="AE1264" i="1"/>
  <c r="AF1264" i="1" s="1"/>
  <c r="AE957" i="1"/>
  <c r="AF957" i="1" s="1"/>
  <c r="AE1357" i="1"/>
  <c r="AF1357" i="1" s="1"/>
  <c r="AE1281" i="1"/>
  <c r="AF1281" i="1" s="1"/>
  <c r="AD903" i="1"/>
  <c r="AE903" i="1" s="1"/>
  <c r="AF903" i="1" s="1"/>
  <c r="AD1126" i="1"/>
  <c r="AE1239" i="1"/>
  <c r="AF1239" i="1" s="1"/>
  <c r="AE1335" i="1"/>
  <c r="AF1335" i="1" s="1"/>
  <c r="AE844" i="1"/>
  <c r="AF844" i="1" s="1"/>
  <c r="AE948" i="1"/>
  <c r="AF948" i="1" s="1"/>
  <c r="AE811" i="1"/>
  <c r="AF811" i="1" s="1"/>
  <c r="AE1067" i="1"/>
  <c r="AF1067" i="1" s="1"/>
  <c r="AE1323" i="1"/>
  <c r="AF1323" i="1" s="1"/>
  <c r="AE1036" i="1"/>
  <c r="AF1036" i="1" s="1"/>
  <c r="AE1140" i="1"/>
  <c r="AF1140" i="1" s="1"/>
  <c r="AE907" i="1"/>
  <c r="AF907" i="1" s="1"/>
  <c r="AE1163" i="1"/>
  <c r="AF1163" i="1" s="1"/>
  <c r="AE809" i="1"/>
  <c r="AF809" i="1" s="1"/>
  <c r="AE920" i="1"/>
  <c r="AF920" i="1" s="1"/>
  <c r="AE1176" i="1"/>
  <c r="AF1176" i="1" s="1"/>
  <c r="AE909" i="1"/>
  <c r="AF909" i="1" s="1"/>
  <c r="AE1077" i="1"/>
  <c r="AF1077" i="1" s="1"/>
  <c r="AD986" i="1"/>
  <c r="AE866" i="1"/>
  <c r="AF866" i="1" s="1"/>
  <c r="AE854" i="1"/>
  <c r="AF854" i="1" s="1"/>
  <c r="AE1079" i="1"/>
  <c r="AF1079" i="1" s="1"/>
  <c r="AE855" i="1"/>
  <c r="AF855" i="1" s="1"/>
  <c r="AE1004" i="1"/>
  <c r="AF1004" i="1" s="1"/>
  <c r="AE1260" i="1"/>
  <c r="AF1260" i="1" s="1"/>
  <c r="AE852" i="1"/>
  <c r="AF852" i="1" s="1"/>
  <c r="AE1108" i="1"/>
  <c r="AF1108" i="1" s="1"/>
  <c r="AE949" i="1"/>
  <c r="AF949" i="1" s="1"/>
  <c r="AE891" i="1"/>
  <c r="AF891" i="1" s="1"/>
  <c r="AE1019" i="1"/>
  <c r="AF1019" i="1" s="1"/>
  <c r="AE1147" i="1"/>
  <c r="AF1147" i="1" s="1"/>
  <c r="AE1275" i="1"/>
  <c r="AF1275" i="1" s="1"/>
  <c r="AE777" i="1"/>
  <c r="AF777" i="1" s="1"/>
  <c r="AE1033" i="1"/>
  <c r="AF1033" i="1" s="1"/>
  <c r="AE776" i="1"/>
  <c r="AF776" i="1" s="1"/>
  <c r="AE904" i="1"/>
  <c r="AF904" i="1" s="1"/>
  <c r="AE1032" i="1"/>
  <c r="AF1032" i="1" s="1"/>
  <c r="AE1160" i="1"/>
  <c r="AF1160" i="1" s="1"/>
  <c r="AE1288" i="1"/>
  <c r="AF1288" i="1" s="1"/>
  <c r="AE877" i="1"/>
  <c r="AF877" i="1" s="1"/>
  <c r="AE817" i="1"/>
  <c r="AF817" i="1" s="1"/>
  <c r="AE1061" i="1"/>
  <c r="AF1061" i="1" s="1"/>
  <c r="AE1189" i="1"/>
  <c r="AF1189" i="1" s="1"/>
  <c r="AE1317" i="1"/>
  <c r="AF1317" i="1" s="1"/>
  <c r="AE1145" i="1"/>
  <c r="AF1145" i="1" s="1"/>
  <c r="AE1273" i="1"/>
  <c r="AF1273" i="1" s="1"/>
  <c r="AE1252" i="1"/>
  <c r="AF1252" i="1" s="1"/>
  <c r="AE837" i="1"/>
  <c r="AF837" i="1" s="1"/>
  <c r="AE963" i="1"/>
  <c r="AF963" i="1" s="1"/>
  <c r="AE1219" i="1"/>
  <c r="AF1219" i="1" s="1"/>
  <c r="AE921" i="1"/>
  <c r="AF921" i="1" s="1"/>
  <c r="AE976" i="1"/>
  <c r="AF976" i="1" s="1"/>
  <c r="AE1232" i="1"/>
  <c r="AF1232" i="1" s="1"/>
  <c r="AE1021" i="1"/>
  <c r="AF1021" i="1" s="1"/>
  <c r="AE1364" i="1"/>
  <c r="AF1364" i="1" s="1"/>
  <c r="AE1133" i="1"/>
  <c r="AF1133" i="1" s="1"/>
  <c r="AE1217" i="1"/>
  <c r="AF1217" i="1" s="1"/>
  <c r="AD906" i="1"/>
  <c r="AE906" i="1" s="1"/>
  <c r="AF906" i="1" s="1"/>
  <c r="AD978" i="1"/>
  <c r="AD1127" i="1"/>
  <c r="AE1127" i="1" s="1"/>
  <c r="AF1127" i="1" s="1"/>
  <c r="AE895" i="1"/>
  <c r="AF895" i="1" s="1"/>
  <c r="AE908" i="1"/>
  <c r="AF908" i="1" s="1"/>
  <c r="AE1012" i="1"/>
  <c r="AF1012" i="1" s="1"/>
  <c r="AE843" i="1"/>
  <c r="AF843" i="1" s="1"/>
  <c r="AE1099" i="1"/>
  <c r="AF1099" i="1" s="1"/>
  <c r="AE856" i="1"/>
  <c r="AF856" i="1" s="1"/>
  <c r="AE1112" i="1"/>
  <c r="AF1112" i="1" s="1"/>
  <c r="AE781" i="1"/>
  <c r="AF781" i="1" s="1"/>
  <c r="AE977" i="1"/>
  <c r="AF977" i="1" s="1"/>
  <c r="AE1124" i="1"/>
  <c r="AF1124" i="1" s="1"/>
  <c r="AE899" i="1"/>
  <c r="AF899" i="1" s="1"/>
  <c r="AE1155" i="1"/>
  <c r="AF1155" i="1" s="1"/>
  <c r="AE793" i="1"/>
  <c r="AF793" i="1" s="1"/>
  <c r="AE912" i="1"/>
  <c r="AF912" i="1" s="1"/>
  <c r="AE1168" i="1"/>
  <c r="AF1168" i="1" s="1"/>
  <c r="AE893" i="1"/>
  <c r="AF893" i="1" s="1"/>
  <c r="AE1069" i="1"/>
  <c r="AF1069" i="1" s="1"/>
  <c r="AE1325" i="1"/>
  <c r="AF1325" i="1" s="1"/>
  <c r="AE1153" i="1"/>
  <c r="AF1153" i="1" s="1"/>
  <c r="AD850" i="1"/>
  <c r="AE850" i="1" s="1"/>
  <c r="AF850" i="1" s="1"/>
  <c r="AD1362" i="1"/>
  <c r="AE1279" i="1"/>
  <c r="AF1279" i="1" s="1"/>
  <c r="AE1271" i="1"/>
  <c r="AF1271" i="1" s="1"/>
  <c r="AE1111" i="1"/>
  <c r="AF1111" i="1" s="1"/>
  <c r="AE780" i="1"/>
  <c r="AF780" i="1" s="1"/>
  <c r="AE1292" i="1"/>
  <c r="AF1292" i="1" s="1"/>
  <c r="AE884" i="1"/>
  <c r="AF884" i="1" s="1"/>
  <c r="AE981" i="1"/>
  <c r="AF981" i="1" s="1"/>
  <c r="AE779" i="1"/>
  <c r="AF779" i="1" s="1"/>
  <c r="AE1035" i="1"/>
  <c r="AF1035" i="1" s="1"/>
  <c r="AE1291" i="1"/>
  <c r="AF1291" i="1" s="1"/>
  <c r="AE1065" i="1"/>
  <c r="AF1065" i="1" s="1"/>
  <c r="AE792" i="1"/>
  <c r="AF792" i="1" s="1"/>
  <c r="AE1048" i="1"/>
  <c r="AF1048" i="1" s="1"/>
  <c r="AE1304" i="1"/>
  <c r="AF1304" i="1" s="1"/>
  <c r="AE849" i="1"/>
  <c r="AF849" i="1" s="1"/>
  <c r="AE996" i="1"/>
  <c r="AF996" i="1" s="1"/>
  <c r="AE835" i="1"/>
  <c r="AF835" i="1" s="1"/>
  <c r="AE1091" i="1"/>
  <c r="AF1091" i="1" s="1"/>
  <c r="AE848" i="1"/>
  <c r="AF848" i="1" s="1"/>
  <c r="AE1104" i="1"/>
  <c r="AF1104" i="1" s="1"/>
  <c r="AE961" i="1"/>
  <c r="AF961" i="1" s="1"/>
  <c r="AE1261" i="1"/>
  <c r="AF1261" i="1" s="1"/>
  <c r="AE1089" i="1"/>
  <c r="AF1089" i="1" s="1"/>
  <c r="AE1345" i="1"/>
  <c r="AF1345" i="1" s="1"/>
  <c r="AD1354" i="1"/>
  <c r="AD1162" i="1"/>
  <c r="AD1234" i="1"/>
  <c r="AD846" i="1"/>
  <c r="AE846" i="1" s="1"/>
  <c r="AF846" i="1" s="1"/>
  <c r="AE1151" i="1"/>
  <c r="AF1151" i="1" s="1"/>
  <c r="AE878" i="1"/>
  <c r="AF878" i="1" s="1"/>
  <c r="AE823" i="1"/>
  <c r="AF823" i="1" s="1"/>
  <c r="AE1164" i="1"/>
  <c r="AF1164" i="1" s="1"/>
  <c r="AE1268" i="1"/>
  <c r="AF1268" i="1" s="1"/>
  <c r="AE853" i="1"/>
  <c r="AF853" i="1" s="1"/>
  <c r="AE971" i="1"/>
  <c r="AF971" i="1" s="1"/>
  <c r="AE1227" i="1"/>
  <c r="AF1227" i="1" s="1"/>
  <c r="AE937" i="1"/>
  <c r="AF937" i="1" s="1"/>
  <c r="AE984" i="1"/>
  <c r="AF984" i="1" s="1"/>
  <c r="AE1240" i="1"/>
  <c r="AF1240" i="1" s="1"/>
  <c r="AE1037" i="1"/>
  <c r="AF1037" i="1" s="1"/>
  <c r="AD1050" i="1"/>
  <c r="AE930" i="1"/>
  <c r="AF930" i="1" s="1"/>
  <c r="AD975" i="1"/>
  <c r="AE975" i="1" s="1"/>
  <c r="AF975" i="1" s="1"/>
  <c r="AE983" i="1"/>
  <c r="AF983" i="1" s="1"/>
  <c r="AE1303" i="1"/>
  <c r="AF1303" i="1" s="1"/>
  <c r="AE1367" i="1"/>
  <c r="AF1367" i="1" s="1"/>
  <c r="AE812" i="1"/>
  <c r="AF812" i="1" s="1"/>
  <c r="AE1068" i="1"/>
  <c r="AF1068" i="1" s="1"/>
  <c r="AE1324" i="1"/>
  <c r="AF1324" i="1" s="1"/>
  <c r="AE916" i="1"/>
  <c r="AF916" i="1" s="1"/>
  <c r="AE1172" i="1"/>
  <c r="AF1172" i="1" s="1"/>
  <c r="AE1013" i="1"/>
  <c r="AF1013" i="1" s="1"/>
  <c r="AE795" i="1"/>
  <c r="AF795" i="1" s="1"/>
  <c r="AE923" i="1"/>
  <c r="AF923" i="1" s="1"/>
  <c r="AE1051" i="1"/>
  <c r="AF1051" i="1" s="1"/>
  <c r="AE1179" i="1"/>
  <c r="AF1179" i="1" s="1"/>
  <c r="AE1307" i="1"/>
  <c r="AF1307" i="1" s="1"/>
  <c r="AE841" i="1"/>
  <c r="AF841" i="1" s="1"/>
  <c r="AE808" i="1"/>
  <c r="AF808" i="1" s="1"/>
  <c r="AE936" i="1"/>
  <c r="AF936" i="1" s="1"/>
  <c r="AE1064" i="1"/>
  <c r="AF1064" i="1" s="1"/>
  <c r="AE1192" i="1"/>
  <c r="AF1192" i="1" s="1"/>
  <c r="AE1320" i="1"/>
  <c r="AF1320" i="1" s="1"/>
  <c r="AE941" i="1"/>
  <c r="AF941" i="1" s="1"/>
  <c r="AE1343" i="1"/>
  <c r="AF1343" i="1" s="1"/>
  <c r="AE1093" i="1"/>
  <c r="AF1093" i="1" s="1"/>
  <c r="AE1221" i="1"/>
  <c r="AF1221" i="1" s="1"/>
  <c r="AE1349" i="1"/>
  <c r="AF1349" i="1" s="1"/>
  <c r="AE1177" i="1"/>
  <c r="AF1177" i="1" s="1"/>
  <c r="AE1305" i="1"/>
  <c r="AF1305" i="1" s="1"/>
  <c r="AD1306" i="1"/>
  <c r="AD858" i="1"/>
  <c r="AE858" i="1" s="1"/>
  <c r="AF858" i="1" s="1"/>
  <c r="AD1114" i="1"/>
  <c r="AE1143" i="1"/>
  <c r="AF1143" i="1" s="1"/>
  <c r="AE791" i="1"/>
  <c r="AF791" i="1" s="1"/>
  <c r="AE876" i="1"/>
  <c r="AF876" i="1" s="1"/>
  <c r="AE1132" i="1"/>
  <c r="AF1132" i="1" s="1"/>
  <c r="AE980" i="1"/>
  <c r="AF980" i="1" s="1"/>
  <c r="AE1236" i="1"/>
  <c r="AF1236" i="1" s="1"/>
  <c r="AE821" i="1"/>
  <c r="AF821" i="1" s="1"/>
  <c r="AE827" i="1"/>
  <c r="AF827" i="1" s="1"/>
  <c r="AE955" i="1"/>
  <c r="AF955" i="1" s="1"/>
  <c r="AE1083" i="1"/>
  <c r="AF1083" i="1" s="1"/>
  <c r="AE1211" i="1"/>
  <c r="AF1211" i="1" s="1"/>
  <c r="AE905" i="1"/>
  <c r="AF905" i="1" s="1"/>
  <c r="AE840" i="1"/>
  <c r="AF840" i="1" s="1"/>
  <c r="AE968" i="1"/>
  <c r="AF968" i="1" s="1"/>
  <c r="AE1096" i="1"/>
  <c r="AF1096" i="1" s="1"/>
  <c r="AE1224" i="1"/>
  <c r="AF1224" i="1" s="1"/>
  <c r="AE1372" i="1"/>
  <c r="AF1372" i="1" s="1"/>
  <c r="AE1005" i="1"/>
  <c r="AF1005" i="1" s="1"/>
  <c r="AE1352" i="1"/>
  <c r="AF1352" i="1" s="1"/>
  <c r="AE945" i="1"/>
  <c r="AF945" i="1" s="1"/>
  <c r="AE1125" i="1"/>
  <c r="AF1125" i="1" s="1"/>
  <c r="AE1253" i="1"/>
  <c r="AF1253" i="1" s="1"/>
  <c r="AE1081" i="1"/>
  <c r="AF1081" i="1" s="1"/>
  <c r="AE1209" i="1"/>
  <c r="AF1209" i="1" s="1"/>
  <c r="AE1337" i="1"/>
  <c r="AF1337" i="1" s="1"/>
  <c r="AD1370" i="1"/>
  <c r="AD922" i="1"/>
  <c r="AE922" i="1" s="1"/>
  <c r="AF922" i="1" s="1"/>
  <c r="AD1178" i="1"/>
  <c r="AE1207" i="1"/>
  <c r="AF1207" i="1" s="1"/>
  <c r="AE1376" i="1"/>
  <c r="AF1376" i="1" s="1"/>
  <c r="AE1015" i="1"/>
  <c r="AF1015" i="1" s="1"/>
  <c r="AE940" i="1"/>
  <c r="AF940" i="1" s="1"/>
  <c r="AE1196" i="1"/>
  <c r="AF1196" i="1" s="1"/>
  <c r="AE788" i="1"/>
  <c r="AF788" i="1" s="1"/>
  <c r="AE1044" i="1"/>
  <c r="AF1044" i="1" s="1"/>
  <c r="AE1300" i="1"/>
  <c r="AF1300" i="1" s="1"/>
  <c r="AE885" i="1"/>
  <c r="AF885" i="1" s="1"/>
  <c r="AE859" i="1"/>
  <c r="AF859" i="1" s="1"/>
  <c r="AE987" i="1"/>
  <c r="AF987" i="1" s="1"/>
  <c r="AE1115" i="1"/>
  <c r="AF1115" i="1" s="1"/>
  <c r="AE1243" i="1"/>
  <c r="AF1243" i="1" s="1"/>
  <c r="AE1336" i="1"/>
  <c r="AF1336" i="1" s="1"/>
  <c r="AE969" i="1"/>
  <c r="AF969" i="1" s="1"/>
  <c r="AE872" i="1"/>
  <c r="AF872" i="1" s="1"/>
  <c r="AE1000" i="1"/>
  <c r="AF1000" i="1" s="1"/>
  <c r="AE1128" i="1"/>
  <c r="AF1128" i="1" s="1"/>
  <c r="AE1256" i="1"/>
  <c r="AF1256" i="1" s="1"/>
  <c r="AE813" i="1"/>
  <c r="AF813" i="1" s="1"/>
  <c r="AE1009" i="1"/>
  <c r="AF1009" i="1" s="1"/>
  <c r="AE1157" i="1"/>
  <c r="AF1157" i="1" s="1"/>
  <c r="AE1285" i="1"/>
  <c r="AF1285" i="1" s="1"/>
  <c r="AE1113" i="1"/>
  <c r="AF1113" i="1" s="1"/>
  <c r="AE1241" i="1"/>
  <c r="AF1241" i="1" s="1"/>
  <c r="AE1369" i="1"/>
  <c r="AF1369" i="1" s="1"/>
  <c r="AE919" i="1"/>
  <c r="AF919" i="1" s="1"/>
  <c r="AE882" i="1"/>
  <c r="AF882" i="1" s="1"/>
  <c r="AE1371" i="1"/>
  <c r="AF1371" i="1" s="1"/>
  <c r="AE946" i="1"/>
  <c r="AF946" i="1" s="1"/>
  <c r="AD862" i="1"/>
  <c r="AE862" i="1" s="1"/>
  <c r="AF862" i="1" s="1"/>
  <c r="AD990" i="1"/>
  <c r="AD838" i="1"/>
  <c r="AE838" i="1" s="1"/>
  <c r="AF838" i="1" s="1"/>
  <c r="AD1007" i="1"/>
  <c r="AE1007" i="1" s="1"/>
  <c r="AF1007" i="1" s="1"/>
  <c r="AD1150" i="1"/>
  <c r="AD1135" i="1"/>
  <c r="AE1135" i="1" s="1"/>
  <c r="AF1135" i="1" s="1"/>
  <c r="AD794" i="1"/>
  <c r="AD1158" i="1"/>
  <c r="AD1331" i="1"/>
  <c r="AE1331" i="1" s="1"/>
  <c r="AF1331" i="1" s="1"/>
  <c r="AD871" i="1"/>
  <c r="AE871" i="1" s="1"/>
  <c r="AF871" i="1" s="1"/>
  <c r="AD902" i="1"/>
  <c r="AE902" i="1" s="1"/>
  <c r="AF902" i="1" s="1"/>
  <c r="AD911" i="1"/>
  <c r="AE911" i="1" s="1"/>
  <c r="AF911" i="1" s="1"/>
  <c r="AD1231" i="1"/>
  <c r="AE1231" i="1" s="1"/>
  <c r="AF1231" i="1" s="1"/>
  <c r="AD1363" i="1"/>
  <c r="AE1363" i="1" s="1"/>
  <c r="AF1363" i="1" s="1"/>
  <c r="AD898" i="1"/>
  <c r="AE898" i="1" s="1"/>
  <c r="AF898" i="1" s="1"/>
  <c r="AD1218" i="1"/>
  <c r="AD782" i="1"/>
  <c r="AD783" i="1"/>
  <c r="AE783" i="1" s="1"/>
  <c r="AF783" i="1" s="1"/>
  <c r="AD1103" i="1"/>
  <c r="AE1103" i="1" s="1"/>
  <c r="AF1103" i="1" s="1"/>
  <c r="AD1026" i="1"/>
  <c r="AD1346" i="1"/>
  <c r="AD1198" i="1"/>
  <c r="AD847" i="1"/>
  <c r="AE847" i="1" s="1"/>
  <c r="AF847" i="1" s="1"/>
  <c r="AD1167" i="1"/>
  <c r="AE1167" i="1" s="1"/>
  <c r="AF1167" i="1" s="1"/>
  <c r="AD834" i="1"/>
  <c r="AE834" i="1" s="1"/>
  <c r="AF834" i="1" s="1"/>
  <c r="AD1090" i="1"/>
  <c r="AD935" i="1"/>
  <c r="AE935" i="1" s="1"/>
  <c r="AF935" i="1" s="1"/>
  <c r="AD1142" i="1"/>
  <c r="AD1039" i="1"/>
  <c r="AE1039" i="1" s="1"/>
  <c r="AF1039" i="1" s="1"/>
  <c r="AD1295" i="1"/>
  <c r="AE1295" i="1" s="1"/>
  <c r="AF1295" i="1" s="1"/>
  <c r="AD962" i="1"/>
  <c r="AD1282" i="1"/>
  <c r="AD830" i="1"/>
  <c r="AD918" i="1"/>
  <c r="AE918" i="1" s="1"/>
  <c r="AF918" i="1" s="1"/>
  <c r="AD910" i="1"/>
  <c r="AE910" i="1" s="1"/>
  <c r="AF910" i="1" s="1"/>
  <c r="AD789" i="1"/>
  <c r="AE789" i="1" s="1"/>
  <c r="AF789" i="1" s="1"/>
  <c r="AD1045" i="1"/>
  <c r="AE1045" i="1" s="1"/>
  <c r="AF1045" i="1" s="1"/>
  <c r="AD939" i="1"/>
  <c r="AE939" i="1" s="1"/>
  <c r="AF939" i="1" s="1"/>
  <c r="AD1195" i="1"/>
  <c r="AE1195" i="1" s="1"/>
  <c r="AF1195" i="1" s="1"/>
  <c r="AD873" i="1"/>
  <c r="AE873" i="1" s="1"/>
  <c r="AF873" i="1" s="1"/>
  <c r="AD1237" i="1"/>
  <c r="AE1237" i="1" s="1"/>
  <c r="AF1237" i="1" s="1"/>
  <c r="AD881" i="1"/>
  <c r="AE881" i="1" s="1"/>
  <c r="AF881" i="1" s="1"/>
  <c r="AD864" i="1"/>
  <c r="AE864" i="1" s="1"/>
  <c r="AF864" i="1" s="1"/>
  <c r="AD1212" i="1"/>
  <c r="AE1212" i="1" s="1"/>
  <c r="AF1212" i="1" s="1"/>
  <c r="U762" i="1"/>
  <c r="U766" i="1"/>
  <c r="U770" i="1"/>
  <c r="U774" i="1"/>
  <c r="AE774" i="1" s="1"/>
  <c r="AF774" i="1" s="1"/>
  <c r="U778" i="1"/>
  <c r="AE778" i="1" s="1"/>
  <c r="AF778" i="1" s="1"/>
  <c r="U782" i="1"/>
  <c r="U786" i="1"/>
  <c r="AE786" i="1" s="1"/>
  <c r="AF786" i="1" s="1"/>
  <c r="U790" i="1"/>
  <c r="AE790" i="1" s="1"/>
  <c r="AF790" i="1" s="1"/>
  <c r="U794" i="1"/>
  <c r="U798" i="1"/>
  <c r="AE798" i="1" s="1"/>
  <c r="AF798" i="1" s="1"/>
  <c r="U802" i="1"/>
  <c r="AE802" i="1" s="1"/>
  <c r="AF802" i="1" s="1"/>
  <c r="U806" i="1"/>
  <c r="AE806" i="1" s="1"/>
  <c r="AF806" i="1" s="1"/>
  <c r="U810" i="1"/>
  <c r="AE810" i="1" s="1"/>
  <c r="AF810" i="1" s="1"/>
  <c r="U814" i="1"/>
  <c r="AE814" i="1" s="1"/>
  <c r="AF814" i="1" s="1"/>
  <c r="U818" i="1"/>
  <c r="AE818" i="1" s="1"/>
  <c r="AF818" i="1" s="1"/>
  <c r="U822" i="1"/>
  <c r="AE822" i="1" s="1"/>
  <c r="AF822" i="1" s="1"/>
  <c r="U826" i="1"/>
  <c r="AE826" i="1" s="1"/>
  <c r="AF826" i="1" s="1"/>
  <c r="U830" i="1"/>
  <c r="U950" i="1"/>
  <c r="AE950" i="1" s="1"/>
  <c r="AF950" i="1" s="1"/>
  <c r="U954" i="1"/>
  <c r="U958" i="1"/>
  <c r="AE958" i="1" s="1"/>
  <c r="AF958" i="1" s="1"/>
  <c r="U962" i="1"/>
  <c r="U966" i="1"/>
  <c r="AE966" i="1" s="1"/>
  <c r="AF966" i="1" s="1"/>
  <c r="U970" i="1"/>
  <c r="AE970" i="1" s="1"/>
  <c r="AF970" i="1" s="1"/>
  <c r="U974" i="1"/>
  <c r="AE974" i="1" s="1"/>
  <c r="AF974" i="1" s="1"/>
  <c r="U978" i="1"/>
  <c r="U982" i="1"/>
  <c r="AE982" i="1" s="1"/>
  <c r="AF982" i="1" s="1"/>
  <c r="U986" i="1"/>
  <c r="U990" i="1"/>
  <c r="U994" i="1"/>
  <c r="AE994" i="1" s="1"/>
  <c r="AF994" i="1" s="1"/>
  <c r="U998" i="1"/>
  <c r="AE998" i="1" s="1"/>
  <c r="AF998" i="1" s="1"/>
  <c r="U1002" i="1"/>
  <c r="AE1002" i="1" s="1"/>
  <c r="AF1002" i="1" s="1"/>
  <c r="U1006" i="1"/>
  <c r="AE1006" i="1" s="1"/>
  <c r="AF1006" i="1" s="1"/>
  <c r="U1010" i="1"/>
  <c r="AE1010" i="1" s="1"/>
  <c r="AF1010" i="1" s="1"/>
  <c r="U1014" i="1"/>
  <c r="AE1014" i="1" s="1"/>
  <c r="AF1014" i="1" s="1"/>
  <c r="U1018" i="1"/>
  <c r="AE1018" i="1" s="1"/>
  <c r="AF1018" i="1" s="1"/>
  <c r="U1022" i="1"/>
  <c r="AE1022" i="1" s="1"/>
  <c r="AF1022" i="1" s="1"/>
  <c r="U1026" i="1"/>
  <c r="U1030" i="1"/>
  <c r="AE1030" i="1" s="1"/>
  <c r="AF1030" i="1" s="1"/>
  <c r="U1034" i="1"/>
  <c r="U1038" i="1"/>
  <c r="AE1038" i="1" s="1"/>
  <c r="AF1038" i="1" s="1"/>
  <c r="U1042" i="1"/>
  <c r="AE1042" i="1" s="1"/>
  <c r="AF1042" i="1" s="1"/>
  <c r="U1046" i="1"/>
  <c r="AE1046" i="1" s="1"/>
  <c r="AF1046" i="1" s="1"/>
  <c r="U1050" i="1"/>
  <c r="U1054" i="1"/>
  <c r="AE1054" i="1" s="1"/>
  <c r="AF1054" i="1" s="1"/>
  <c r="U1058" i="1"/>
  <c r="AE1058" i="1" s="1"/>
  <c r="AF1058" i="1" s="1"/>
  <c r="U1062" i="1"/>
  <c r="AE1062" i="1" s="1"/>
  <c r="AF1062" i="1" s="1"/>
  <c r="U1066" i="1"/>
  <c r="AE1066" i="1" s="1"/>
  <c r="AF1066" i="1" s="1"/>
  <c r="U1070" i="1"/>
  <c r="AE1070" i="1" s="1"/>
  <c r="AF1070" i="1" s="1"/>
  <c r="U1074" i="1"/>
  <c r="AE1074" i="1" s="1"/>
  <c r="AF1074" i="1" s="1"/>
  <c r="U1078" i="1"/>
  <c r="AE1078" i="1" s="1"/>
  <c r="AF1078" i="1" s="1"/>
  <c r="U1082" i="1"/>
  <c r="U1086" i="1"/>
  <c r="AE1086" i="1" s="1"/>
  <c r="AF1086" i="1" s="1"/>
  <c r="U1090" i="1"/>
  <c r="U1094" i="1"/>
  <c r="AE1094" i="1" s="1"/>
  <c r="AF1094" i="1" s="1"/>
  <c r="U1098" i="1"/>
  <c r="AE1098" i="1" s="1"/>
  <c r="AF1098" i="1" s="1"/>
  <c r="U1102" i="1"/>
  <c r="AE1102" i="1" s="1"/>
  <c r="AF1102" i="1" s="1"/>
  <c r="U1106" i="1"/>
  <c r="U1110" i="1"/>
  <c r="AE1110" i="1" s="1"/>
  <c r="AF1110" i="1" s="1"/>
  <c r="U1114" i="1"/>
  <c r="U1118" i="1"/>
  <c r="AE1118" i="1" s="1"/>
  <c r="AF1118" i="1" s="1"/>
  <c r="U1122" i="1"/>
  <c r="AE1122" i="1" s="1"/>
  <c r="AF1122" i="1" s="1"/>
  <c r="U1126" i="1"/>
  <c r="U1130" i="1"/>
  <c r="AE1130" i="1" s="1"/>
  <c r="AF1130" i="1" s="1"/>
  <c r="U1134" i="1"/>
  <c r="AE1134" i="1" s="1"/>
  <c r="AF1134" i="1" s="1"/>
  <c r="U1138" i="1"/>
  <c r="AE1138" i="1" s="1"/>
  <c r="AF1138" i="1" s="1"/>
  <c r="U1142" i="1"/>
  <c r="U1146" i="1"/>
  <c r="AE1146" i="1" s="1"/>
  <c r="AF1146" i="1" s="1"/>
  <c r="U1150" i="1"/>
  <c r="U1154" i="1"/>
  <c r="U1158" i="1"/>
  <c r="U1162" i="1"/>
  <c r="U1166" i="1"/>
  <c r="AE1166" i="1" s="1"/>
  <c r="AF1166" i="1" s="1"/>
  <c r="U1170" i="1"/>
  <c r="AE1170" i="1" s="1"/>
  <c r="AF1170" i="1" s="1"/>
  <c r="U1174" i="1"/>
  <c r="AE1174" i="1" s="1"/>
  <c r="AF1174" i="1" s="1"/>
  <c r="U1178" i="1"/>
  <c r="U1182" i="1"/>
  <c r="AE1182" i="1" s="1"/>
  <c r="AF1182" i="1" s="1"/>
  <c r="U1186" i="1"/>
  <c r="AE1186" i="1" s="1"/>
  <c r="AF1186" i="1" s="1"/>
  <c r="U1190" i="1"/>
  <c r="AE1190" i="1" s="1"/>
  <c r="AF1190" i="1" s="1"/>
  <c r="U1194" i="1"/>
  <c r="AE1194" i="1" s="1"/>
  <c r="AF1194" i="1" s="1"/>
  <c r="U1198" i="1"/>
  <c r="U1202" i="1"/>
  <c r="AE1202" i="1" s="1"/>
  <c r="AF1202" i="1" s="1"/>
  <c r="U1206" i="1"/>
  <c r="AE1206" i="1" s="1"/>
  <c r="AF1206" i="1" s="1"/>
  <c r="U1210" i="1"/>
  <c r="AE1210" i="1" s="1"/>
  <c r="AF1210" i="1" s="1"/>
  <c r="U1214" i="1"/>
  <c r="AE1214" i="1" s="1"/>
  <c r="AF1214" i="1" s="1"/>
  <c r="U1218" i="1"/>
  <c r="U1222" i="1"/>
  <c r="AE1222" i="1" s="1"/>
  <c r="AF1222" i="1" s="1"/>
  <c r="U1226" i="1"/>
  <c r="U1230" i="1"/>
  <c r="AE1230" i="1" s="1"/>
  <c r="AF1230" i="1" s="1"/>
  <c r="U1234" i="1"/>
  <c r="U1238" i="1"/>
  <c r="AE1238" i="1" s="1"/>
  <c r="AF1238" i="1" s="1"/>
  <c r="U1242" i="1"/>
  <c r="AE1242" i="1" s="1"/>
  <c r="AF1242" i="1" s="1"/>
  <c r="U1246" i="1"/>
  <c r="AE1246" i="1" s="1"/>
  <c r="AF1246" i="1" s="1"/>
  <c r="U1250" i="1"/>
  <c r="AE1250" i="1" s="1"/>
  <c r="AF1250" i="1" s="1"/>
  <c r="U1254" i="1"/>
  <c r="AE1254" i="1" s="1"/>
  <c r="AF1254" i="1" s="1"/>
  <c r="U1258" i="1"/>
  <c r="AE1258" i="1" s="1"/>
  <c r="AF1258" i="1" s="1"/>
  <c r="U1262" i="1"/>
  <c r="AE1262" i="1" s="1"/>
  <c r="AF1262" i="1" s="1"/>
  <c r="U1266" i="1"/>
  <c r="AE1266" i="1" s="1"/>
  <c r="AF1266" i="1" s="1"/>
  <c r="U1270" i="1"/>
  <c r="AE1270" i="1" s="1"/>
  <c r="AF1270" i="1" s="1"/>
  <c r="U1274" i="1"/>
  <c r="U1278" i="1"/>
  <c r="AE1278" i="1" s="1"/>
  <c r="AF1278" i="1" s="1"/>
  <c r="U1282" i="1"/>
  <c r="U1286" i="1"/>
  <c r="AE1286" i="1" s="1"/>
  <c r="AF1286" i="1" s="1"/>
  <c r="U1290" i="1"/>
  <c r="AE1290" i="1" s="1"/>
  <c r="AF1290" i="1" s="1"/>
  <c r="U1294" i="1"/>
  <c r="AE1294" i="1" s="1"/>
  <c r="AF1294" i="1" s="1"/>
  <c r="U1298" i="1"/>
  <c r="AE1298" i="1" s="1"/>
  <c r="AF1298" i="1" s="1"/>
  <c r="U1302" i="1"/>
  <c r="AE1302" i="1" s="1"/>
  <c r="AF1302" i="1" s="1"/>
  <c r="U1306" i="1"/>
  <c r="U1310" i="1"/>
  <c r="U1314" i="1"/>
  <c r="AE1314" i="1" s="1"/>
  <c r="AF1314" i="1" s="1"/>
  <c r="U1318" i="1"/>
  <c r="AE1318" i="1" s="1"/>
  <c r="AF1318" i="1" s="1"/>
  <c r="U1322" i="1"/>
  <c r="AE1322" i="1" s="1"/>
  <c r="AF1322" i="1" s="1"/>
  <c r="U1326" i="1"/>
  <c r="AE1326" i="1" s="1"/>
  <c r="AF1326" i="1" s="1"/>
  <c r="U1330" i="1"/>
  <c r="AE1330" i="1" s="1"/>
  <c r="AF1330" i="1" s="1"/>
  <c r="U1334" i="1"/>
  <c r="AE1334" i="1" s="1"/>
  <c r="AF1334" i="1" s="1"/>
  <c r="U1338" i="1"/>
  <c r="AE1338" i="1" s="1"/>
  <c r="AF1338" i="1" s="1"/>
  <c r="U1342" i="1"/>
  <c r="AE1342" i="1" s="1"/>
  <c r="AF1342" i="1" s="1"/>
  <c r="U1346" i="1"/>
  <c r="U1350" i="1"/>
  <c r="AE1350" i="1" s="1"/>
  <c r="AF1350" i="1" s="1"/>
  <c r="U1354" i="1"/>
  <c r="U1358" i="1"/>
  <c r="AE1358" i="1" s="1"/>
  <c r="AF1358" i="1" s="1"/>
  <c r="U1362" i="1"/>
  <c r="U1366" i="1"/>
  <c r="AE1366" i="1" s="1"/>
  <c r="AF1366" i="1" s="1"/>
  <c r="U1370" i="1"/>
  <c r="U1374" i="1"/>
  <c r="AE1374" i="1" s="1"/>
  <c r="AF1374" i="1" s="1"/>
  <c r="U1378" i="1"/>
  <c r="AE1378" i="1" s="1"/>
  <c r="AF1378" i="1" s="1"/>
  <c r="AB766" i="1" l="1"/>
  <c r="AB765" i="1"/>
  <c r="X761" i="1"/>
  <c r="W759" i="1"/>
  <c r="Z761" i="1"/>
  <c r="X763" i="1"/>
  <c r="AC767" i="1"/>
  <c r="AD767" i="1" s="1"/>
  <c r="AE767" i="1" s="1"/>
  <c r="AF767" i="1" s="1"/>
  <c r="AG886" i="1"/>
  <c r="W757" i="1"/>
  <c r="W756" i="1"/>
  <c r="X762" i="1"/>
  <c r="W758" i="1"/>
  <c r="W760" i="1"/>
  <c r="X760" i="1" s="1"/>
  <c r="V753" i="1"/>
  <c r="V754" i="1"/>
  <c r="V755" i="1"/>
  <c r="W755" i="1" s="1"/>
  <c r="R755" i="1"/>
  <c r="U755" i="1" s="1"/>
  <c r="R754" i="1"/>
  <c r="U754" i="1" s="1"/>
  <c r="R753" i="1"/>
  <c r="U753" i="1" s="1"/>
  <c r="AE771" i="1"/>
  <c r="AF771" i="1" s="1"/>
  <c r="AE772" i="1"/>
  <c r="AF772" i="1" s="1"/>
  <c r="AL867" i="1"/>
  <c r="AL863" i="1"/>
  <c r="AL933" i="1"/>
  <c r="AL901" i="1"/>
  <c r="AL894" i="1"/>
  <c r="AL887" i="1"/>
  <c r="AL927" i="1"/>
  <c r="AL924" i="1"/>
  <c r="AL897" i="1"/>
  <c r="AL839" i="1"/>
  <c r="AL947" i="1"/>
  <c r="AL875" i="1"/>
  <c r="AL845" i="1"/>
  <c r="AL832" i="1"/>
  <c r="AL915" i="1"/>
  <c r="AL1372" i="1"/>
  <c r="AM1372" i="1" s="1"/>
  <c r="AR1372" i="1" s="1"/>
  <c r="AL853" i="1"/>
  <c r="AM853" i="1" s="1"/>
  <c r="AR853" i="1" s="1"/>
  <c r="AL1168" i="1"/>
  <c r="AM1168" i="1" s="1"/>
  <c r="AR1168" i="1" s="1"/>
  <c r="AL1108" i="1"/>
  <c r="AM1108" i="1" s="1"/>
  <c r="AR1108" i="1" s="1"/>
  <c r="AL1008" i="1"/>
  <c r="AM1008" i="1" s="1"/>
  <c r="AR1008" i="1" s="1"/>
  <c r="AL1183" i="1"/>
  <c r="AM1183" i="1" s="1"/>
  <c r="AR1183" i="1" s="1"/>
  <c r="AL1299" i="1"/>
  <c r="AM1299" i="1" s="1"/>
  <c r="AR1299" i="1" s="1"/>
  <c r="AL1193" i="1"/>
  <c r="AM1193" i="1" s="1"/>
  <c r="AR1193" i="1" s="1"/>
  <c r="AL815" i="1"/>
  <c r="AM815" i="1" s="1"/>
  <c r="AR815" i="1" s="1"/>
  <c r="AL1213" i="1"/>
  <c r="AM1213" i="1" s="1"/>
  <c r="AR1213" i="1" s="1"/>
  <c r="AL1350" i="1"/>
  <c r="AM1350" i="1" s="1"/>
  <c r="AR1350" i="1" s="1"/>
  <c r="AL1318" i="1"/>
  <c r="AM1318" i="1" s="1"/>
  <c r="AR1318" i="1" s="1"/>
  <c r="AL1286" i="1"/>
  <c r="AM1286" i="1" s="1"/>
  <c r="AR1286" i="1" s="1"/>
  <c r="AL1254" i="1"/>
  <c r="AM1254" i="1" s="1"/>
  <c r="AR1254" i="1" s="1"/>
  <c r="AL1222" i="1"/>
  <c r="AM1222" i="1" s="1"/>
  <c r="AR1222" i="1" s="1"/>
  <c r="AL1190" i="1"/>
  <c r="AM1190" i="1" s="1"/>
  <c r="AR1190" i="1" s="1"/>
  <c r="AL1094" i="1"/>
  <c r="AM1094" i="1" s="1"/>
  <c r="AR1094" i="1" s="1"/>
  <c r="AL1062" i="1"/>
  <c r="AM1062" i="1" s="1"/>
  <c r="AR1062" i="1" s="1"/>
  <c r="AL1030" i="1"/>
  <c r="AM1030" i="1" s="1"/>
  <c r="AR1030" i="1" s="1"/>
  <c r="AL998" i="1"/>
  <c r="AM998" i="1" s="1"/>
  <c r="AR998" i="1" s="1"/>
  <c r="AL966" i="1"/>
  <c r="AM966" i="1" s="1"/>
  <c r="AR966" i="1" s="1"/>
  <c r="AL818" i="1"/>
  <c r="AM818" i="1" s="1"/>
  <c r="AR818" i="1" s="1"/>
  <c r="AL786" i="1"/>
  <c r="AM786" i="1" s="1"/>
  <c r="AR786" i="1" s="1"/>
  <c r="AL881" i="1"/>
  <c r="AM881" i="1" s="1"/>
  <c r="AR881" i="1" s="1"/>
  <c r="AL918" i="1"/>
  <c r="AM918" i="1" s="1"/>
  <c r="AR918" i="1" s="1"/>
  <c r="AL783" i="1"/>
  <c r="AM783" i="1" s="1"/>
  <c r="AR783" i="1" s="1"/>
  <c r="AL871" i="1"/>
  <c r="AM871" i="1" s="1"/>
  <c r="AR871" i="1" s="1"/>
  <c r="AL838" i="1"/>
  <c r="AM838" i="1" s="1"/>
  <c r="AR838" i="1" s="1"/>
  <c r="AL946" i="1"/>
  <c r="AM946" i="1" s="1"/>
  <c r="AR946" i="1" s="1"/>
  <c r="AL1336" i="1"/>
  <c r="AM1336" i="1" s="1"/>
  <c r="AR1336" i="1" s="1"/>
  <c r="AL788" i="1"/>
  <c r="AM788" i="1" s="1"/>
  <c r="AR788" i="1" s="1"/>
  <c r="AL1005" i="1"/>
  <c r="AM1005" i="1" s="1"/>
  <c r="AR1005" i="1" s="1"/>
  <c r="AL1083" i="1"/>
  <c r="AM1083" i="1" s="1"/>
  <c r="AR1083" i="1" s="1"/>
  <c r="AL1221" i="1"/>
  <c r="AM1221" i="1" s="1"/>
  <c r="AR1221" i="1" s="1"/>
  <c r="AL808" i="1"/>
  <c r="AM808" i="1" s="1"/>
  <c r="AR808" i="1" s="1"/>
  <c r="AL1172" i="1"/>
  <c r="AM1172" i="1" s="1"/>
  <c r="AR1172" i="1" s="1"/>
  <c r="AL971" i="1"/>
  <c r="AM971" i="1" s="1"/>
  <c r="AR971" i="1" s="1"/>
  <c r="AL848" i="1"/>
  <c r="AM848" i="1" s="1"/>
  <c r="AR848" i="1" s="1"/>
  <c r="AL1065" i="1"/>
  <c r="AM1065" i="1" s="1"/>
  <c r="AR1065" i="1" s="1"/>
  <c r="AL893" i="1"/>
  <c r="AM893" i="1" s="1"/>
  <c r="AR893" i="1" s="1"/>
  <c r="AL1127" i="1"/>
  <c r="AM1127" i="1" s="1"/>
  <c r="AR1127" i="1" s="1"/>
  <c r="AL1317" i="1"/>
  <c r="AM1317" i="1" s="1"/>
  <c r="AR1317" i="1" s="1"/>
  <c r="AL904" i="1"/>
  <c r="AM904" i="1" s="1"/>
  <c r="AR904" i="1" s="1"/>
  <c r="AL949" i="1"/>
  <c r="AM949" i="1" s="1"/>
  <c r="AR949" i="1" s="1"/>
  <c r="AL866" i="1"/>
  <c r="AM866" i="1" s="1"/>
  <c r="AR866" i="1" s="1"/>
  <c r="AL907" i="1"/>
  <c r="AM907" i="1" s="1"/>
  <c r="AR907" i="1" s="1"/>
  <c r="AL1335" i="1"/>
  <c r="AM1335" i="1" s="1"/>
  <c r="AR1335" i="1" s="1"/>
  <c r="AL1040" i="1"/>
  <c r="AM1040" i="1" s="1"/>
  <c r="AR1040" i="1" s="1"/>
  <c r="AL1101" i="1"/>
  <c r="AM1101" i="1" s="1"/>
  <c r="AR1101" i="1" s="1"/>
  <c r="AL807" i="1"/>
  <c r="AM807" i="1" s="1"/>
  <c r="AR807" i="1" s="1"/>
  <c r="AL1375" i="1"/>
  <c r="AM1375" i="1" s="1"/>
  <c r="AR1375" i="1" s="1"/>
  <c r="AL1020" i="1"/>
  <c r="AM1020" i="1" s="1"/>
  <c r="AR1020" i="1" s="1"/>
  <c r="AL874" i="1"/>
  <c r="AM874" i="1" s="1"/>
  <c r="AR874" i="1" s="1"/>
  <c r="AL1312" i="1"/>
  <c r="AM1312" i="1" s="1"/>
  <c r="AR1312" i="1" s="1"/>
  <c r="AL1339" i="1"/>
  <c r="AM1339" i="1" s="1"/>
  <c r="AR1339" i="1" s="1"/>
  <c r="AL1244" i="1"/>
  <c r="AM1244" i="1" s="1"/>
  <c r="AR1244" i="1" s="1"/>
  <c r="AL787" i="1"/>
  <c r="AM787" i="1" s="1"/>
  <c r="AR787" i="1" s="1"/>
  <c r="AL1100" i="1"/>
  <c r="AM1100" i="1" s="1"/>
  <c r="AR1100" i="1" s="1"/>
  <c r="AL1347" i="1"/>
  <c r="AM1347" i="1" s="1"/>
  <c r="AR1347" i="1" s="1"/>
  <c r="AL1120" i="1"/>
  <c r="AM1120" i="1" s="1"/>
  <c r="AR1120" i="1" s="1"/>
  <c r="AL799" i="1"/>
  <c r="AM799" i="1" s="1"/>
  <c r="AR799" i="1" s="1"/>
  <c r="AL1137" i="1"/>
  <c r="AM1137" i="1" s="1"/>
  <c r="AR1137" i="1" s="1"/>
  <c r="AL1341" i="1"/>
  <c r="AM1341" i="1" s="1"/>
  <c r="AR1341" i="1" s="1"/>
  <c r="AL1085" i="1"/>
  <c r="AM1085" i="1" s="1"/>
  <c r="AR1085" i="1" s="1"/>
  <c r="AL1073" i="1"/>
  <c r="AM1073" i="1" s="1"/>
  <c r="AR1073" i="1" s="1"/>
  <c r="AL1097" i="1"/>
  <c r="AM1097" i="1" s="1"/>
  <c r="AR1097" i="1" s="1"/>
  <c r="AL1169" i="1"/>
  <c r="AM1169" i="1" s="1"/>
  <c r="AR1169" i="1" s="1"/>
  <c r="AL896" i="1"/>
  <c r="AL929" i="1"/>
  <c r="AL900" i="1"/>
  <c r="AL932" i="1"/>
  <c r="AL925" i="1"/>
  <c r="AL880" i="1"/>
  <c r="AL1250" i="1"/>
  <c r="AM1250" i="1" s="1"/>
  <c r="AR1250" i="1" s="1"/>
  <c r="AL994" i="1"/>
  <c r="AM994" i="1" s="1"/>
  <c r="AR994" i="1" s="1"/>
  <c r="AL1237" i="1"/>
  <c r="AM1237" i="1" s="1"/>
  <c r="AR1237" i="1" s="1"/>
  <c r="AL930" i="1"/>
  <c r="AM930" i="1" s="1"/>
  <c r="AR930" i="1" s="1"/>
  <c r="AL1296" i="1"/>
  <c r="AM1296" i="1" s="1"/>
  <c r="AR1296" i="1" s="1"/>
  <c r="AL1072" i="1"/>
  <c r="AM1072" i="1" s="1"/>
  <c r="AR1072" i="1" s="1"/>
  <c r="AL1092" i="1"/>
  <c r="AM1092" i="1" s="1"/>
  <c r="AR1092" i="1" s="1"/>
  <c r="AL1208" i="1"/>
  <c r="AM1208" i="1" s="1"/>
  <c r="AR1208" i="1" s="1"/>
  <c r="AL1342" i="1"/>
  <c r="AM1342" i="1" s="1"/>
  <c r="AR1342" i="1" s="1"/>
  <c r="AL1278" i="1"/>
  <c r="AM1278" i="1" s="1"/>
  <c r="AR1278" i="1" s="1"/>
  <c r="AL1246" i="1"/>
  <c r="AM1246" i="1" s="1"/>
  <c r="AR1246" i="1" s="1"/>
  <c r="AL1214" i="1"/>
  <c r="AM1214" i="1" s="1"/>
  <c r="AR1214" i="1" s="1"/>
  <c r="AL1182" i="1"/>
  <c r="AM1182" i="1" s="1"/>
  <c r="AR1182" i="1" s="1"/>
  <c r="AL1118" i="1"/>
  <c r="AM1118" i="1" s="1"/>
  <c r="AR1118" i="1" s="1"/>
  <c r="AL1086" i="1"/>
  <c r="AM1086" i="1" s="1"/>
  <c r="AR1086" i="1" s="1"/>
  <c r="AL1054" i="1"/>
  <c r="AM1054" i="1" s="1"/>
  <c r="AR1054" i="1" s="1"/>
  <c r="AL1022" i="1"/>
  <c r="AM1022" i="1" s="1"/>
  <c r="AR1022" i="1" s="1"/>
  <c r="AL958" i="1"/>
  <c r="AM958" i="1" s="1"/>
  <c r="AR958" i="1" s="1"/>
  <c r="AL810" i="1"/>
  <c r="AM810" i="1" s="1"/>
  <c r="AR810" i="1" s="1"/>
  <c r="AL778" i="1"/>
  <c r="AM778" i="1" s="1"/>
  <c r="AR778" i="1" s="1"/>
  <c r="AL873" i="1"/>
  <c r="AM873" i="1" s="1"/>
  <c r="AR873" i="1" s="1"/>
  <c r="AL1167" i="1"/>
  <c r="AM1167" i="1" s="1"/>
  <c r="AR1167" i="1" s="1"/>
  <c r="AL882" i="1"/>
  <c r="AM882" i="1" s="1"/>
  <c r="AR882" i="1" s="1"/>
  <c r="AL813" i="1"/>
  <c r="AM813" i="1" s="1"/>
  <c r="AR813" i="1" s="1"/>
  <c r="AL1115" i="1"/>
  <c r="AM1115" i="1" s="1"/>
  <c r="AR1115" i="1" s="1"/>
  <c r="AL940" i="1"/>
  <c r="AM940" i="1" s="1"/>
  <c r="AR940" i="1" s="1"/>
  <c r="AL1209" i="1"/>
  <c r="AM1209" i="1" s="1"/>
  <c r="AR1209" i="1" s="1"/>
  <c r="AL1324" i="1"/>
  <c r="AM1324" i="1" s="1"/>
  <c r="AR1324" i="1" s="1"/>
  <c r="AL1268" i="1"/>
  <c r="AM1268" i="1" s="1"/>
  <c r="AR1268" i="1" s="1"/>
  <c r="AL835" i="1"/>
  <c r="AM835" i="1" s="1"/>
  <c r="AR835" i="1" s="1"/>
  <c r="AL1035" i="1"/>
  <c r="AM1035" i="1" s="1"/>
  <c r="AR1035" i="1" s="1"/>
  <c r="AL912" i="1"/>
  <c r="AM912" i="1" s="1"/>
  <c r="AR912" i="1" s="1"/>
  <c r="AL856" i="1"/>
  <c r="AM856" i="1" s="1"/>
  <c r="AR856" i="1" s="1"/>
  <c r="AL906" i="1"/>
  <c r="AM906" i="1" s="1"/>
  <c r="AR906" i="1" s="1"/>
  <c r="AL1219" i="1"/>
  <c r="AM1219" i="1" s="1"/>
  <c r="AR1219" i="1" s="1"/>
  <c r="AL1061" i="1"/>
  <c r="AM1061" i="1" s="1"/>
  <c r="AR1061" i="1" s="1"/>
  <c r="AL852" i="1"/>
  <c r="AM852" i="1" s="1"/>
  <c r="AR852" i="1" s="1"/>
  <c r="AL1077" i="1"/>
  <c r="AM1077" i="1" s="1"/>
  <c r="AR1077" i="1" s="1"/>
  <c r="AL1036" i="1"/>
  <c r="AM1036" i="1" s="1"/>
  <c r="AR1036" i="1" s="1"/>
  <c r="AL1187" i="1"/>
  <c r="AM1187" i="1" s="1"/>
  <c r="AR1187" i="1" s="1"/>
  <c r="AL784" i="1"/>
  <c r="AM784" i="1" s="1"/>
  <c r="AR784" i="1" s="1"/>
  <c r="AL914" i="1"/>
  <c r="AM914" i="1" s="1"/>
  <c r="AR914" i="1" s="1"/>
  <c r="AL944" i="1"/>
  <c r="AM944" i="1" s="1"/>
  <c r="AR944" i="1" s="1"/>
  <c r="AL1255" i="1"/>
  <c r="AM1255" i="1" s="1"/>
  <c r="AR1255" i="1" s="1"/>
  <c r="AL942" i="1"/>
  <c r="AM942" i="1" s="1"/>
  <c r="AR942" i="1" s="1"/>
  <c r="AL1076" i="1"/>
  <c r="AM1076" i="1" s="1"/>
  <c r="AR1076" i="1" s="1"/>
  <c r="AL1144" i="1"/>
  <c r="AM1144" i="1" s="1"/>
  <c r="AR1144" i="1" s="1"/>
  <c r="AL1229" i="1"/>
  <c r="AM1229" i="1" s="1"/>
  <c r="AR1229" i="1" s="1"/>
  <c r="AL1059" i="1"/>
  <c r="AM1059" i="1" s="1"/>
  <c r="AR1059" i="1" s="1"/>
  <c r="AL797" i="1"/>
  <c r="AM797" i="1" s="1"/>
  <c r="AR797" i="1" s="1"/>
  <c r="AL1109" i="1"/>
  <c r="AM1109" i="1" s="1"/>
  <c r="AR1109" i="1" s="1"/>
  <c r="AL879" i="1"/>
  <c r="AM879" i="1" s="1"/>
  <c r="AR879" i="1" s="1"/>
  <c r="AL1041" i="1"/>
  <c r="AM1041" i="1" s="1"/>
  <c r="AR1041" i="1" s="1"/>
  <c r="AL1269" i="1"/>
  <c r="AM1269" i="1" s="1"/>
  <c r="AR1269" i="1" s="1"/>
  <c r="AL1084" i="1"/>
  <c r="AM1084" i="1" s="1"/>
  <c r="AR1084" i="1" s="1"/>
  <c r="AL1329" i="1"/>
  <c r="AM1329" i="1" s="1"/>
  <c r="AR1329" i="1" s="1"/>
  <c r="AL1203" i="1"/>
  <c r="AM1203" i="1" s="1"/>
  <c r="AR1203" i="1" s="1"/>
  <c r="AL1265" i="1"/>
  <c r="AM1265" i="1" s="1"/>
  <c r="AR1265" i="1" s="1"/>
  <c r="AL1284" i="1"/>
  <c r="AM1284" i="1" s="1"/>
  <c r="AR1284" i="1" s="1"/>
  <c r="AL1327" i="1"/>
  <c r="AM1327" i="1" s="1"/>
  <c r="AR1327" i="1" s="1"/>
  <c r="AL1220" i="1"/>
  <c r="AM1220" i="1" s="1"/>
  <c r="AR1220" i="1" s="1"/>
  <c r="AL1016" i="1"/>
  <c r="AM1016" i="1" s="1"/>
  <c r="AR1016" i="1" s="1"/>
  <c r="AL1297" i="1"/>
  <c r="AM1297" i="1" s="1"/>
  <c r="AR1297" i="1" s="1"/>
  <c r="AL888" i="1"/>
  <c r="AL870" i="1"/>
  <c r="AL928" i="1"/>
  <c r="AL1186" i="1"/>
  <c r="AM1186" i="1" s="1"/>
  <c r="AR1186" i="1" s="1"/>
  <c r="AL814" i="1"/>
  <c r="AM814" i="1" s="1"/>
  <c r="AR814" i="1" s="1"/>
  <c r="AL1337" i="1"/>
  <c r="AM1337" i="1" s="1"/>
  <c r="AR1337" i="1" s="1"/>
  <c r="AL916" i="1"/>
  <c r="AM916" i="1" s="1"/>
  <c r="AR916" i="1" s="1"/>
  <c r="AL776" i="1"/>
  <c r="AM776" i="1" s="1"/>
  <c r="AR776" i="1" s="1"/>
  <c r="AL938" i="1"/>
  <c r="AM938" i="1" s="1"/>
  <c r="AR938" i="1" s="1"/>
  <c r="AL1116" i="1"/>
  <c r="AM1116" i="1" s="1"/>
  <c r="AR1116" i="1" s="1"/>
  <c r="AL1245" i="1"/>
  <c r="AM1245" i="1" s="1"/>
  <c r="AR1245" i="1" s="1"/>
  <c r="AL1374" i="1"/>
  <c r="AM1374" i="1" s="1"/>
  <c r="AR1374" i="1" s="1"/>
  <c r="AL1338" i="1"/>
  <c r="AM1338" i="1" s="1"/>
  <c r="AR1338" i="1" s="1"/>
  <c r="AL1242" i="1"/>
  <c r="AM1242" i="1" s="1"/>
  <c r="AR1242" i="1" s="1"/>
  <c r="AL1210" i="1"/>
  <c r="AM1210" i="1" s="1"/>
  <c r="AR1210" i="1" s="1"/>
  <c r="AL1146" i="1"/>
  <c r="AM1146" i="1" s="1"/>
  <c r="AR1146" i="1" s="1"/>
  <c r="AL1018" i="1"/>
  <c r="AM1018" i="1" s="1"/>
  <c r="AR1018" i="1" s="1"/>
  <c r="AL806" i="1"/>
  <c r="AM806" i="1" s="1"/>
  <c r="AR806" i="1" s="1"/>
  <c r="AL774" i="1"/>
  <c r="AM774" i="1" s="1"/>
  <c r="AR774" i="1" s="1"/>
  <c r="AL847" i="1"/>
  <c r="AM847" i="1" s="1"/>
  <c r="AR847" i="1" s="1"/>
  <c r="AL898" i="1"/>
  <c r="AM898" i="1" s="1"/>
  <c r="AR898" i="1" s="1"/>
  <c r="AL862" i="1"/>
  <c r="AM862" i="1" s="1"/>
  <c r="AR862" i="1" s="1"/>
  <c r="AL919" i="1"/>
  <c r="AM919" i="1" s="1"/>
  <c r="AR919" i="1" s="1"/>
  <c r="AL1256" i="1"/>
  <c r="AM1256" i="1" s="1"/>
  <c r="AR1256" i="1" s="1"/>
  <c r="AL1015" i="1"/>
  <c r="AM1015" i="1" s="1"/>
  <c r="AR1015" i="1" s="1"/>
  <c r="AL1096" i="1"/>
  <c r="AM1096" i="1" s="1"/>
  <c r="AR1096" i="1" s="1"/>
  <c r="AL821" i="1"/>
  <c r="AM821" i="1" s="1"/>
  <c r="AR821" i="1" s="1"/>
  <c r="AL858" i="1"/>
  <c r="AM858" i="1" s="1"/>
  <c r="AR858" i="1" s="1"/>
  <c r="AL941" i="1"/>
  <c r="AM941" i="1" s="1"/>
  <c r="AR941" i="1" s="1"/>
  <c r="AL1179" i="1"/>
  <c r="AM1179" i="1" s="1"/>
  <c r="AR1179" i="1" s="1"/>
  <c r="AL1068" i="1"/>
  <c r="AM1068" i="1" s="1"/>
  <c r="AR1068" i="1" s="1"/>
  <c r="AL1037" i="1"/>
  <c r="AM1037" i="1" s="1"/>
  <c r="AR1037" i="1" s="1"/>
  <c r="AL1164" i="1"/>
  <c r="AM1164" i="1" s="1"/>
  <c r="AR1164" i="1" s="1"/>
  <c r="AL996" i="1"/>
  <c r="AM996" i="1" s="1"/>
  <c r="AR996" i="1" s="1"/>
  <c r="AL1099" i="1"/>
  <c r="AM1099" i="1" s="1"/>
  <c r="AR1099" i="1" s="1"/>
  <c r="AL963" i="1"/>
  <c r="AM963" i="1" s="1"/>
  <c r="AR963" i="1" s="1"/>
  <c r="AL817" i="1"/>
  <c r="AM817" i="1" s="1"/>
  <c r="AR817" i="1" s="1"/>
  <c r="AL777" i="1"/>
  <c r="AM777" i="1" s="1"/>
  <c r="AR777" i="1" s="1"/>
  <c r="AL1260" i="1"/>
  <c r="AM1260" i="1" s="1"/>
  <c r="AR1260" i="1" s="1"/>
  <c r="AL909" i="1"/>
  <c r="AM909" i="1" s="1"/>
  <c r="AR909" i="1" s="1"/>
  <c r="AL1323" i="1"/>
  <c r="AM1323" i="1" s="1"/>
  <c r="AR1323" i="1" s="1"/>
  <c r="AL903" i="1"/>
  <c r="AM903" i="1" s="1"/>
  <c r="AR903" i="1" s="1"/>
  <c r="AL965" i="1"/>
  <c r="AM965" i="1" s="1"/>
  <c r="AR965" i="1" s="1"/>
  <c r="AL1283" i="1"/>
  <c r="AM1283" i="1" s="1"/>
  <c r="AR1283" i="1" s="1"/>
  <c r="AL842" i="1"/>
  <c r="AM842" i="1" s="1"/>
  <c r="AR842" i="1" s="1"/>
  <c r="AL825" i="1"/>
  <c r="AM825" i="1" s="1"/>
  <c r="AR825" i="1" s="1"/>
  <c r="AL1201" i="1"/>
  <c r="AM1201" i="1" s="1"/>
  <c r="AR1201" i="1" s="1"/>
  <c r="AL1060" i="1"/>
  <c r="AM1060" i="1" s="1"/>
  <c r="AR1060" i="1" s="1"/>
  <c r="AL1332" i="1"/>
  <c r="AM1332" i="1" s="1"/>
  <c r="AR1332" i="1" s="1"/>
  <c r="AL1029" i="1"/>
  <c r="AM1029" i="1" s="1"/>
  <c r="AR1029" i="1" s="1"/>
  <c r="AL1204" i="1"/>
  <c r="AM1204" i="1" s="1"/>
  <c r="AR1204" i="1" s="1"/>
  <c r="AL1075" i="1"/>
  <c r="AM1075" i="1" s="1"/>
  <c r="AR1075" i="1" s="1"/>
  <c r="AL973" i="1"/>
  <c r="AM973" i="1" s="1"/>
  <c r="AR973" i="1" s="1"/>
  <c r="AL1257" i="1"/>
  <c r="AM1257" i="1" s="1"/>
  <c r="AR1257" i="1" s="1"/>
  <c r="AL1235" i="1"/>
  <c r="AM1235" i="1" s="1"/>
  <c r="AR1235" i="1" s="1"/>
  <c r="AL1063" i="1"/>
  <c r="AM1063" i="1" s="1"/>
  <c r="AR1063" i="1" s="1"/>
  <c r="AL1248" i="1"/>
  <c r="AM1248" i="1" s="1"/>
  <c r="AR1248" i="1" s="1"/>
  <c r="AL1180" i="1"/>
  <c r="AM1180" i="1" s="1"/>
  <c r="AR1180" i="1" s="1"/>
  <c r="AL1321" i="1"/>
  <c r="AM1321" i="1" s="1"/>
  <c r="AR1321" i="1" s="1"/>
  <c r="AL993" i="1"/>
  <c r="AM993" i="1" s="1"/>
  <c r="AR993" i="1" s="1"/>
  <c r="AL979" i="1"/>
  <c r="AM979" i="1" s="1"/>
  <c r="AR979" i="1" s="1"/>
  <c r="AL1348" i="1"/>
  <c r="AM1348" i="1" s="1"/>
  <c r="AR1348" i="1" s="1"/>
  <c r="AL1267" i="1"/>
  <c r="AM1267" i="1" s="1"/>
  <c r="AR1267" i="1" s="1"/>
  <c r="AL1228" i="1"/>
  <c r="AM1228" i="1" s="1"/>
  <c r="AR1228" i="1" s="1"/>
  <c r="AL1263" i="1"/>
  <c r="AM1263" i="1" s="1"/>
  <c r="AR1263" i="1" s="1"/>
  <c r="AL1378" i="1"/>
  <c r="AM1378" i="1" s="1"/>
  <c r="AR1378" i="1" s="1"/>
  <c r="AV1377" i="1" s="1"/>
  <c r="AL1122" i="1"/>
  <c r="AM1122" i="1" s="1"/>
  <c r="AR1122" i="1" s="1"/>
  <c r="AL834" i="1"/>
  <c r="AM834" i="1" s="1"/>
  <c r="AR834" i="1" s="1"/>
  <c r="AL1243" i="1"/>
  <c r="AM1243" i="1" s="1"/>
  <c r="AR1243" i="1" s="1"/>
  <c r="AL841" i="1"/>
  <c r="AM841" i="1" s="1"/>
  <c r="AR841" i="1" s="1"/>
  <c r="AL1291" i="1"/>
  <c r="AM1291" i="1" s="1"/>
  <c r="AR1291" i="1" s="1"/>
  <c r="AL1189" i="1"/>
  <c r="AM1189" i="1" s="1"/>
  <c r="AR1189" i="1" s="1"/>
  <c r="AL1239" i="1"/>
  <c r="AM1239" i="1" s="1"/>
  <c r="AR1239" i="1" s="1"/>
  <c r="AL972" i="1"/>
  <c r="AM972" i="1" s="1"/>
  <c r="AR972" i="1" s="1"/>
  <c r="AL1181" i="1"/>
  <c r="AM1181" i="1" s="1"/>
  <c r="AR1181" i="1" s="1"/>
  <c r="AL1334" i="1"/>
  <c r="AM1334" i="1" s="1"/>
  <c r="AR1334" i="1" s="1"/>
  <c r="AL1302" i="1"/>
  <c r="AM1302" i="1" s="1"/>
  <c r="AR1302" i="1" s="1"/>
  <c r="AL1270" i="1"/>
  <c r="AM1270" i="1" s="1"/>
  <c r="AR1270" i="1" s="1"/>
  <c r="AL1238" i="1"/>
  <c r="AM1238" i="1" s="1"/>
  <c r="AR1238" i="1" s="1"/>
  <c r="AL1206" i="1"/>
  <c r="AM1206" i="1" s="1"/>
  <c r="AR1206" i="1" s="1"/>
  <c r="AL1174" i="1"/>
  <c r="AM1174" i="1" s="1"/>
  <c r="AR1174" i="1" s="1"/>
  <c r="AL1110" i="1"/>
  <c r="AM1110" i="1" s="1"/>
  <c r="AR1110" i="1" s="1"/>
  <c r="AL1078" i="1"/>
  <c r="AM1078" i="1" s="1"/>
  <c r="AR1078" i="1" s="1"/>
  <c r="AL1046" i="1"/>
  <c r="AM1046" i="1" s="1"/>
  <c r="AR1046" i="1" s="1"/>
  <c r="AL1014" i="1"/>
  <c r="AM1014" i="1" s="1"/>
  <c r="AR1014" i="1" s="1"/>
  <c r="AL982" i="1"/>
  <c r="AM982" i="1" s="1"/>
  <c r="AR982" i="1" s="1"/>
  <c r="AL950" i="1"/>
  <c r="AM950" i="1" s="1"/>
  <c r="AR950" i="1" s="1"/>
  <c r="AL802" i="1"/>
  <c r="AM802" i="1" s="1"/>
  <c r="AR802" i="1" s="1"/>
  <c r="AL939" i="1"/>
  <c r="AM939" i="1" s="1"/>
  <c r="AR939" i="1" s="1"/>
  <c r="AL1295" i="1"/>
  <c r="AM1295" i="1" s="1"/>
  <c r="AR1295" i="1" s="1"/>
  <c r="AL1363" i="1"/>
  <c r="AM1363" i="1" s="1"/>
  <c r="AR1363" i="1" s="1"/>
  <c r="AL1135" i="1"/>
  <c r="AM1135" i="1" s="1"/>
  <c r="AR1135" i="1" s="1"/>
  <c r="AL1128" i="1"/>
  <c r="AM1128" i="1" s="1"/>
  <c r="AR1128" i="1" s="1"/>
  <c r="AL859" i="1"/>
  <c r="AM859" i="1" s="1"/>
  <c r="AR859" i="1" s="1"/>
  <c r="AL1376" i="1"/>
  <c r="AM1376" i="1" s="1"/>
  <c r="AR1376" i="1" s="1"/>
  <c r="AL1253" i="1"/>
  <c r="AM1253" i="1" s="1"/>
  <c r="AR1253" i="1" s="1"/>
  <c r="AL968" i="1"/>
  <c r="AM968" i="1" s="1"/>
  <c r="AR968" i="1" s="1"/>
  <c r="AL1236" i="1"/>
  <c r="AM1236" i="1" s="1"/>
  <c r="AR1236" i="1" s="1"/>
  <c r="AL1320" i="1"/>
  <c r="AM1320" i="1" s="1"/>
  <c r="AR1320" i="1" s="1"/>
  <c r="AL1051" i="1"/>
  <c r="AM1051" i="1" s="1"/>
  <c r="AR1051" i="1" s="1"/>
  <c r="AL812" i="1"/>
  <c r="AM812" i="1" s="1"/>
  <c r="AR812" i="1" s="1"/>
  <c r="AL1240" i="1"/>
  <c r="AM1240" i="1" s="1"/>
  <c r="AR1240" i="1" s="1"/>
  <c r="AL823" i="1"/>
  <c r="AM823" i="1" s="1"/>
  <c r="AR823" i="1" s="1"/>
  <c r="AL849" i="1"/>
  <c r="AM849" i="1" s="1"/>
  <c r="AR849" i="1" s="1"/>
  <c r="AL981" i="1"/>
  <c r="AM981" i="1" s="1"/>
  <c r="AR981" i="1" s="1"/>
  <c r="AL850" i="1"/>
  <c r="AM850" i="1" s="1"/>
  <c r="AR850" i="1" s="1"/>
  <c r="AL843" i="1"/>
  <c r="AM843" i="1" s="1"/>
  <c r="AR843" i="1" s="1"/>
  <c r="AL1133" i="1"/>
  <c r="AM1133" i="1" s="1"/>
  <c r="AR1133" i="1" s="1"/>
  <c r="AL837" i="1"/>
  <c r="AM837" i="1" s="1"/>
  <c r="AR837" i="1" s="1"/>
  <c r="AL877" i="1"/>
  <c r="AM877" i="1" s="1"/>
  <c r="AR877" i="1" s="1"/>
  <c r="AL1275" i="1"/>
  <c r="AM1275" i="1" s="1"/>
  <c r="AR1275" i="1" s="1"/>
  <c r="AL1004" i="1"/>
  <c r="AM1004" i="1" s="1"/>
  <c r="AR1004" i="1" s="1"/>
  <c r="AL1067" i="1"/>
  <c r="AM1067" i="1" s="1"/>
  <c r="AR1067" i="1" s="1"/>
  <c r="AL1001" i="1"/>
  <c r="AM1001" i="1" s="1"/>
  <c r="AR1001" i="1" s="1"/>
  <c r="AL931" i="1"/>
  <c r="AM931" i="1" s="1"/>
  <c r="AR931" i="1" s="1"/>
  <c r="AL1333" i="1"/>
  <c r="AM1333" i="1" s="1"/>
  <c r="AR1333" i="1" s="1"/>
  <c r="AL997" i="1"/>
  <c r="AM997" i="1" s="1"/>
  <c r="AR997" i="1" s="1"/>
  <c r="AL1289" i="1"/>
  <c r="AM1289" i="1" s="1"/>
  <c r="AR1289" i="1" s="1"/>
  <c r="AL1052" i="1"/>
  <c r="AM1052" i="1" s="1"/>
  <c r="AR1052" i="1" s="1"/>
  <c r="AL1316" i="1"/>
  <c r="AM1316" i="1" s="1"/>
  <c r="AR1316" i="1" s="1"/>
  <c r="AL995" i="1"/>
  <c r="AM995" i="1" s="1"/>
  <c r="AR995" i="1" s="1"/>
  <c r="AL1055" i="1"/>
  <c r="AM1055" i="1" s="1"/>
  <c r="AR1055" i="1" s="1"/>
  <c r="AL1003" i="1"/>
  <c r="AM1003" i="1" s="1"/>
  <c r="AR1003" i="1" s="1"/>
  <c r="AL1017" i="1"/>
  <c r="AM1017" i="1" s="1"/>
  <c r="AR1017" i="1" s="1"/>
  <c r="AL1199" i="1"/>
  <c r="AM1199" i="1" s="1"/>
  <c r="AR1199" i="1" s="1"/>
  <c r="AL1056" i="1"/>
  <c r="AM1056" i="1" s="1"/>
  <c r="AR1056" i="1" s="1"/>
  <c r="AL1028" i="1"/>
  <c r="AM1028" i="1" s="1"/>
  <c r="AR1028" i="1" s="1"/>
  <c r="AL1173" i="1"/>
  <c r="AM1173" i="1" s="1"/>
  <c r="AR1173" i="1" s="1"/>
  <c r="AL1365" i="1"/>
  <c r="AM1365" i="1" s="1"/>
  <c r="AR1365" i="1" s="1"/>
  <c r="AL1373" i="1"/>
  <c r="AM1373" i="1" s="1"/>
  <c r="AR1373" i="1" s="1"/>
  <c r="AL964" i="1"/>
  <c r="AM964" i="1" s="1"/>
  <c r="AR964" i="1" s="1"/>
  <c r="AL1107" i="1"/>
  <c r="AM1107" i="1" s="1"/>
  <c r="AR1107" i="1" s="1"/>
  <c r="AL785" i="1"/>
  <c r="AM785" i="1" s="1"/>
  <c r="AR785" i="1" s="1"/>
  <c r="AL1191" i="1"/>
  <c r="AM1191" i="1" s="1"/>
  <c r="AR1191" i="1" s="1"/>
  <c r="AL917" i="1"/>
  <c r="AL865" i="1"/>
  <c r="AL913" i="1"/>
  <c r="AL836" i="1"/>
  <c r="AL889" i="1"/>
  <c r="AL851" i="1"/>
  <c r="AL934" i="1"/>
  <c r="AL1314" i="1"/>
  <c r="AM1314" i="1" s="1"/>
  <c r="AR1314" i="1" s="1"/>
  <c r="AL1371" i="1"/>
  <c r="AM1371" i="1" s="1"/>
  <c r="AR1371" i="1" s="1"/>
  <c r="AL1143" i="1"/>
  <c r="AM1143" i="1" s="1"/>
  <c r="AR1143" i="1" s="1"/>
  <c r="AL926" i="1"/>
  <c r="AM926" i="1" s="1"/>
  <c r="AR926" i="1" s="1"/>
  <c r="AL1315" i="1"/>
  <c r="AM1315" i="1" s="1"/>
  <c r="AR1315" i="1" s="1"/>
  <c r="AL1121" i="1"/>
  <c r="AM1121" i="1" s="1"/>
  <c r="AR1121" i="1" s="1"/>
  <c r="AL1366" i="1"/>
  <c r="AM1366" i="1" s="1"/>
  <c r="AR1366" i="1" s="1"/>
  <c r="AL1330" i="1"/>
  <c r="AM1330" i="1" s="1"/>
  <c r="AR1330" i="1" s="1"/>
  <c r="AL1298" i="1"/>
  <c r="AM1298" i="1" s="1"/>
  <c r="AR1298" i="1" s="1"/>
  <c r="AL1266" i="1"/>
  <c r="AM1266" i="1" s="1"/>
  <c r="AR1266" i="1" s="1"/>
  <c r="AL1202" i="1"/>
  <c r="AM1202" i="1" s="1"/>
  <c r="AR1202" i="1" s="1"/>
  <c r="AL1170" i="1"/>
  <c r="AM1170" i="1" s="1"/>
  <c r="AR1170" i="1" s="1"/>
  <c r="AL1138" i="1"/>
  <c r="AM1138" i="1" s="1"/>
  <c r="AR1138" i="1" s="1"/>
  <c r="AL1074" i="1"/>
  <c r="AM1074" i="1" s="1"/>
  <c r="AR1074" i="1" s="1"/>
  <c r="AL1042" i="1"/>
  <c r="AM1042" i="1" s="1"/>
  <c r="AR1042" i="1" s="1"/>
  <c r="AL1010" i="1"/>
  <c r="AM1010" i="1" s="1"/>
  <c r="AR1010" i="1" s="1"/>
  <c r="AL798" i="1"/>
  <c r="AM798" i="1" s="1"/>
  <c r="AR798" i="1" s="1"/>
  <c r="AL1045" i="1"/>
  <c r="AM1045" i="1" s="1"/>
  <c r="AR1045" i="1" s="1"/>
  <c r="AL1039" i="1"/>
  <c r="AM1039" i="1" s="1"/>
  <c r="AR1039" i="1" s="1"/>
  <c r="AL1241" i="1"/>
  <c r="AM1241" i="1" s="1"/>
  <c r="AR1241" i="1" s="1"/>
  <c r="AL1000" i="1"/>
  <c r="AM1000" i="1" s="1"/>
  <c r="AR1000" i="1" s="1"/>
  <c r="AL885" i="1"/>
  <c r="AM885" i="1" s="1"/>
  <c r="AR885" i="1" s="1"/>
  <c r="AL1207" i="1"/>
  <c r="AM1207" i="1" s="1"/>
  <c r="AR1207" i="1" s="1"/>
  <c r="AL840" i="1"/>
  <c r="AM840" i="1" s="1"/>
  <c r="AR840" i="1" s="1"/>
  <c r="AL980" i="1"/>
  <c r="AM980" i="1" s="1"/>
  <c r="AR980" i="1" s="1"/>
  <c r="AL1192" i="1"/>
  <c r="AM1192" i="1" s="1"/>
  <c r="AR1192" i="1" s="1"/>
  <c r="AL923" i="1"/>
  <c r="AM923" i="1" s="1"/>
  <c r="AR923" i="1" s="1"/>
  <c r="AL878" i="1"/>
  <c r="AM878" i="1" s="1"/>
  <c r="AR878" i="1" s="1"/>
  <c r="AL1261" i="1"/>
  <c r="AM1261" i="1" s="1"/>
  <c r="AR1261" i="1" s="1"/>
  <c r="AL884" i="1"/>
  <c r="AM884" i="1" s="1"/>
  <c r="AR884" i="1" s="1"/>
  <c r="AL899" i="1"/>
  <c r="AM899" i="1" s="1"/>
  <c r="AR899" i="1" s="1"/>
  <c r="AL1012" i="1"/>
  <c r="AM1012" i="1" s="1"/>
  <c r="AR1012" i="1" s="1"/>
  <c r="AL1364" i="1"/>
  <c r="AM1364" i="1" s="1"/>
  <c r="AR1364" i="1" s="1"/>
  <c r="AL1252" i="1"/>
  <c r="AM1252" i="1" s="1"/>
  <c r="AR1252" i="1" s="1"/>
  <c r="AL1288" i="1"/>
  <c r="AM1288" i="1" s="1"/>
  <c r="AR1288" i="1" s="1"/>
  <c r="AL855" i="1"/>
  <c r="AM855" i="1" s="1"/>
  <c r="AR855" i="1" s="1"/>
  <c r="AL920" i="1"/>
  <c r="AM920" i="1" s="1"/>
  <c r="AR920" i="1" s="1"/>
  <c r="AL811" i="1"/>
  <c r="AM811" i="1" s="1"/>
  <c r="AR811" i="1" s="1"/>
  <c r="AL1357" i="1"/>
  <c r="AM1357" i="1" s="1"/>
  <c r="AR1357" i="1" s="1"/>
  <c r="AL1188" i="1"/>
  <c r="AM1188" i="1" s="1"/>
  <c r="AR1188" i="1" s="1"/>
  <c r="AL1200" i="1"/>
  <c r="AM1200" i="1" s="1"/>
  <c r="AR1200" i="1" s="1"/>
  <c r="AL1185" i="1"/>
  <c r="AM1185" i="1" s="1"/>
  <c r="AR1185" i="1" s="1"/>
  <c r="AL773" i="1"/>
  <c r="AM773" i="1" s="1"/>
  <c r="AR773" i="1" s="1"/>
  <c r="AL816" i="1"/>
  <c r="AM816" i="1" s="1"/>
  <c r="AR816" i="1" s="1"/>
  <c r="AL1356" i="1"/>
  <c r="AM1356" i="1" s="1"/>
  <c r="AR1356" i="1" s="1"/>
  <c r="AL1293" i="1"/>
  <c r="AM1293" i="1" s="1"/>
  <c r="AR1293" i="1" s="1"/>
  <c r="AL1184" i="1"/>
  <c r="AM1184" i="1" s="1"/>
  <c r="AR1184" i="1" s="1"/>
  <c r="AL1043" i="1"/>
  <c r="AM1043" i="1" s="1"/>
  <c r="AR1043" i="1" s="1"/>
  <c r="AL999" i="1"/>
  <c r="AM999" i="1" s="1"/>
  <c r="AR999" i="1" s="1"/>
  <c r="AL1259" i="1"/>
  <c r="AM1259" i="1" s="1"/>
  <c r="AR1259" i="1" s="1"/>
  <c r="AL1355" i="1"/>
  <c r="AM1355" i="1" s="1"/>
  <c r="AR1355" i="1" s="1"/>
  <c r="AL819" i="1"/>
  <c r="AM819" i="1" s="1"/>
  <c r="AR819" i="1" s="1"/>
  <c r="AL805" i="1"/>
  <c r="AM805" i="1" s="1"/>
  <c r="AR805" i="1" s="1"/>
  <c r="AL1071" i="1"/>
  <c r="AM1071" i="1" s="1"/>
  <c r="AR1071" i="1" s="1"/>
  <c r="AL992" i="1"/>
  <c r="AM992" i="1" s="1"/>
  <c r="AR992" i="1" s="1"/>
  <c r="AL956" i="1"/>
  <c r="AM956" i="1" s="1"/>
  <c r="AR956" i="1" s="1"/>
  <c r="AL955" i="1"/>
  <c r="AM955" i="1" s="1"/>
  <c r="AR955" i="1" s="1"/>
  <c r="AL1095" i="1"/>
  <c r="AM1095" i="1" s="1"/>
  <c r="AR1095" i="1" s="1"/>
  <c r="AL1326" i="1"/>
  <c r="AM1326" i="1" s="1"/>
  <c r="AR1326" i="1" s="1"/>
  <c r="AL1294" i="1"/>
  <c r="AM1294" i="1" s="1"/>
  <c r="AR1294" i="1" s="1"/>
  <c r="AL1262" i="1"/>
  <c r="AM1262" i="1" s="1"/>
  <c r="AR1262" i="1" s="1"/>
  <c r="AL1230" i="1"/>
  <c r="AM1230" i="1" s="1"/>
  <c r="AR1230" i="1" s="1"/>
  <c r="AL1166" i="1"/>
  <c r="AM1166" i="1" s="1"/>
  <c r="AR1166" i="1" s="1"/>
  <c r="AL1134" i="1"/>
  <c r="AM1134" i="1" s="1"/>
  <c r="AR1134" i="1" s="1"/>
  <c r="AL1102" i="1"/>
  <c r="AM1102" i="1" s="1"/>
  <c r="AR1102" i="1" s="1"/>
  <c r="AL1070" i="1"/>
  <c r="AM1070" i="1" s="1"/>
  <c r="AR1070" i="1" s="1"/>
  <c r="AL1038" i="1"/>
  <c r="AM1038" i="1" s="1"/>
  <c r="AR1038" i="1" s="1"/>
  <c r="AL1006" i="1"/>
  <c r="AM1006" i="1" s="1"/>
  <c r="AR1006" i="1" s="1"/>
  <c r="AL974" i="1"/>
  <c r="AM974" i="1" s="1"/>
  <c r="AR974" i="1" s="1"/>
  <c r="AL826" i="1"/>
  <c r="AM826" i="1" s="1"/>
  <c r="AR826" i="1" s="1"/>
  <c r="AL1212" i="1"/>
  <c r="AM1212" i="1" s="1"/>
  <c r="AR1212" i="1" s="1"/>
  <c r="AL789" i="1"/>
  <c r="AM789" i="1" s="1"/>
  <c r="AR789" i="1" s="1"/>
  <c r="AL911" i="1"/>
  <c r="AM911" i="1" s="1"/>
  <c r="AR911" i="1" s="1"/>
  <c r="AL872" i="1"/>
  <c r="AM872" i="1" s="1"/>
  <c r="AR872" i="1" s="1"/>
  <c r="AL1300" i="1"/>
  <c r="AM1300" i="1" s="1"/>
  <c r="AR1300" i="1" s="1"/>
  <c r="AL945" i="1"/>
  <c r="AM945" i="1" s="1"/>
  <c r="AR945" i="1" s="1"/>
  <c r="AL905" i="1"/>
  <c r="AM905" i="1" s="1"/>
  <c r="AR905" i="1" s="1"/>
  <c r="AL1132" i="1"/>
  <c r="AM1132" i="1" s="1"/>
  <c r="AR1132" i="1" s="1"/>
  <c r="AL1064" i="1"/>
  <c r="AM1064" i="1" s="1"/>
  <c r="AR1064" i="1" s="1"/>
  <c r="AL795" i="1"/>
  <c r="AM795" i="1" s="1"/>
  <c r="AR795" i="1" s="1"/>
  <c r="AL937" i="1"/>
  <c r="AM937" i="1" s="1"/>
  <c r="AR937" i="1" s="1"/>
  <c r="AL1292" i="1"/>
  <c r="AM1292" i="1" s="1"/>
  <c r="AR1292" i="1" s="1"/>
  <c r="AL1325" i="1"/>
  <c r="AM1325" i="1" s="1"/>
  <c r="AR1325" i="1" s="1"/>
  <c r="AL908" i="1"/>
  <c r="AM908" i="1" s="1"/>
  <c r="AR908" i="1" s="1"/>
  <c r="AL1021" i="1"/>
  <c r="AM1021" i="1" s="1"/>
  <c r="AR1021" i="1" s="1"/>
  <c r="AL1019" i="1"/>
  <c r="AM1019" i="1" s="1"/>
  <c r="AR1019" i="1" s="1"/>
  <c r="AL809" i="1"/>
  <c r="AM809" i="1" s="1"/>
  <c r="AR809" i="1" s="1"/>
  <c r="AL948" i="1"/>
  <c r="AM948" i="1" s="1"/>
  <c r="AR948" i="1" s="1"/>
  <c r="AL957" i="1"/>
  <c r="AM957" i="1" s="1"/>
  <c r="AR957" i="1" s="1"/>
  <c r="AL857" i="1"/>
  <c r="AM857" i="1" s="1"/>
  <c r="AR857" i="1" s="1"/>
  <c r="AL1165" i="1"/>
  <c r="AM1165" i="1" s="1"/>
  <c r="AR1165" i="1" s="1"/>
  <c r="AL868" i="1"/>
  <c r="AM868" i="1" s="1"/>
  <c r="AR868" i="1" s="1"/>
  <c r="AL943" i="1"/>
  <c r="AM943" i="1" s="1"/>
  <c r="AR943" i="1" s="1"/>
  <c r="AL803" i="1"/>
  <c r="AM803" i="1" s="1"/>
  <c r="AR803" i="1" s="1"/>
  <c r="AL1319" i="1"/>
  <c r="AM1319" i="1" s="1"/>
  <c r="AR1319" i="1" s="1"/>
  <c r="AL967" i="1"/>
  <c r="AM967" i="1" s="1"/>
  <c r="AR967" i="1" s="1"/>
  <c r="AL1251" i="1"/>
  <c r="AM1251" i="1" s="1"/>
  <c r="AR1251" i="1" s="1"/>
  <c r="AL820" i="1"/>
  <c r="AM820" i="1" s="1"/>
  <c r="AR820" i="1" s="1"/>
  <c r="AL801" i="1"/>
  <c r="AM801" i="1" s="1"/>
  <c r="AR801" i="1" s="1"/>
  <c r="AL1340" i="1"/>
  <c r="AM1340" i="1" s="1"/>
  <c r="AR1340" i="1" s="1"/>
  <c r="AL1277" i="1"/>
  <c r="AM1277" i="1" s="1"/>
  <c r="AR1277" i="1" s="1"/>
  <c r="AL1171" i="1"/>
  <c r="AM1171" i="1" s="1"/>
  <c r="AR1171" i="1" s="1"/>
  <c r="AL824" i="1"/>
  <c r="AM824" i="1" s="1"/>
  <c r="AR824" i="1" s="1"/>
  <c r="AL1011" i="1"/>
  <c r="AM1011" i="1" s="1"/>
  <c r="AR1011" i="1" s="1"/>
  <c r="AL775" i="1"/>
  <c r="AM775" i="1" s="1"/>
  <c r="AR775" i="1" s="1"/>
  <c r="AL991" i="1"/>
  <c r="AM991" i="1" s="1"/>
  <c r="AR991" i="1" s="1"/>
  <c r="AL1129" i="1"/>
  <c r="AM1129" i="1" s="1"/>
  <c r="AR1129" i="1" s="1"/>
  <c r="AL1301" i="1"/>
  <c r="AM1301" i="1" s="1"/>
  <c r="AR1301" i="1" s="1"/>
  <c r="AL1311" i="1"/>
  <c r="AM1311" i="1" s="1"/>
  <c r="AR1311" i="1" s="1"/>
  <c r="AL861" i="1"/>
  <c r="AL1377" i="1"/>
  <c r="AL869" i="1"/>
  <c r="AL860" i="1"/>
  <c r="AL883" i="1"/>
  <c r="AL1058" i="1"/>
  <c r="AM1058" i="1" s="1"/>
  <c r="AR1058" i="1" s="1"/>
  <c r="AL1331" i="1"/>
  <c r="AM1331" i="1" s="1"/>
  <c r="AR1331" i="1" s="1"/>
  <c r="AL1009" i="1"/>
  <c r="AM1009" i="1" s="1"/>
  <c r="AR1009" i="1" s="1"/>
  <c r="AL1093" i="1"/>
  <c r="AM1093" i="1" s="1"/>
  <c r="AR1093" i="1" s="1"/>
  <c r="AL1091" i="1"/>
  <c r="AM1091" i="1" s="1"/>
  <c r="AR1091" i="1" s="1"/>
  <c r="AL921" i="1"/>
  <c r="AM921" i="1" s="1"/>
  <c r="AR921" i="1" s="1"/>
  <c r="AL831" i="1"/>
  <c r="AM831" i="1" s="1"/>
  <c r="AR831" i="1" s="1"/>
  <c r="AL1117" i="1"/>
  <c r="AM1117" i="1" s="1"/>
  <c r="AR1117" i="1" s="1"/>
  <c r="AL1205" i="1"/>
  <c r="AM1205" i="1" s="1"/>
  <c r="AR1205" i="1" s="1"/>
  <c r="AL1358" i="1"/>
  <c r="AM1358" i="1" s="1"/>
  <c r="AR1358" i="1" s="1"/>
  <c r="AL1322" i="1"/>
  <c r="AM1322" i="1" s="1"/>
  <c r="AR1322" i="1" s="1"/>
  <c r="AL1290" i="1"/>
  <c r="AM1290" i="1" s="1"/>
  <c r="AR1290" i="1" s="1"/>
  <c r="AL1258" i="1"/>
  <c r="AM1258" i="1" s="1"/>
  <c r="AR1258" i="1" s="1"/>
  <c r="AL1194" i="1"/>
  <c r="AM1194" i="1" s="1"/>
  <c r="AR1194" i="1" s="1"/>
  <c r="AL1130" i="1"/>
  <c r="AM1130" i="1" s="1"/>
  <c r="AR1130" i="1" s="1"/>
  <c r="AL1098" i="1"/>
  <c r="AM1098" i="1" s="1"/>
  <c r="AR1098" i="1" s="1"/>
  <c r="AL1066" i="1"/>
  <c r="AM1066" i="1" s="1"/>
  <c r="AR1066" i="1" s="1"/>
  <c r="AL1002" i="1"/>
  <c r="AM1002" i="1" s="1"/>
  <c r="AR1002" i="1" s="1"/>
  <c r="AL970" i="1"/>
  <c r="AM970" i="1" s="1"/>
  <c r="AR970" i="1" s="1"/>
  <c r="AL822" i="1"/>
  <c r="AM822" i="1" s="1"/>
  <c r="AR822" i="1" s="1"/>
  <c r="AL790" i="1"/>
  <c r="AM790" i="1" s="1"/>
  <c r="AR790" i="1" s="1"/>
  <c r="AL864" i="1"/>
  <c r="AM864" i="1" s="1"/>
  <c r="AR864" i="1" s="1"/>
  <c r="AL910" i="1"/>
  <c r="AM910" i="1" s="1"/>
  <c r="AR910" i="1" s="1"/>
  <c r="AL935" i="1"/>
  <c r="AM935" i="1" s="1"/>
  <c r="AR935" i="1" s="1"/>
  <c r="AL902" i="1"/>
  <c r="AM902" i="1" s="1"/>
  <c r="AR902" i="1" s="1"/>
  <c r="AL1007" i="1"/>
  <c r="AM1007" i="1" s="1"/>
  <c r="AR1007" i="1" s="1"/>
  <c r="AL1285" i="1"/>
  <c r="AM1285" i="1" s="1"/>
  <c r="AR1285" i="1" s="1"/>
  <c r="AL969" i="1"/>
  <c r="AM969" i="1" s="1"/>
  <c r="AR969" i="1" s="1"/>
  <c r="AL1044" i="1"/>
  <c r="AM1044" i="1" s="1"/>
  <c r="AR1044" i="1" s="1"/>
  <c r="AL922" i="1"/>
  <c r="AM922" i="1" s="1"/>
  <c r="AR922" i="1" s="1"/>
  <c r="AL1211" i="1"/>
  <c r="AM1211" i="1" s="1"/>
  <c r="AR1211" i="1" s="1"/>
  <c r="AL876" i="1"/>
  <c r="AM876" i="1" s="1"/>
  <c r="AR876" i="1" s="1"/>
  <c r="AL1349" i="1"/>
  <c r="AM1349" i="1" s="1"/>
  <c r="AR1349" i="1" s="1"/>
  <c r="AL936" i="1"/>
  <c r="AM936" i="1" s="1"/>
  <c r="AR936" i="1" s="1"/>
  <c r="AL1013" i="1"/>
  <c r="AM1013" i="1" s="1"/>
  <c r="AR1013" i="1" s="1"/>
  <c r="AL1227" i="1"/>
  <c r="AM1227" i="1" s="1"/>
  <c r="AR1227" i="1" s="1"/>
  <c r="AL846" i="1"/>
  <c r="AM846" i="1" s="1"/>
  <c r="AR846" i="1" s="1"/>
  <c r="AL1069" i="1"/>
  <c r="AM1069" i="1" s="1"/>
  <c r="AR1069" i="1" s="1"/>
  <c r="AL895" i="1"/>
  <c r="AM895" i="1" s="1"/>
  <c r="AR895" i="1" s="1"/>
  <c r="AL1145" i="1"/>
  <c r="AM1145" i="1" s="1"/>
  <c r="AR1145" i="1" s="1"/>
  <c r="AL891" i="1"/>
  <c r="AM891" i="1" s="1"/>
  <c r="AR891" i="1" s="1"/>
  <c r="AL854" i="1"/>
  <c r="AM854" i="1" s="1"/>
  <c r="AR854" i="1" s="1"/>
  <c r="AL1163" i="1"/>
  <c r="AM1163" i="1" s="1"/>
  <c r="AR1163" i="1" s="1"/>
  <c r="AL844" i="1"/>
  <c r="AM844" i="1" s="1"/>
  <c r="AR844" i="1" s="1"/>
  <c r="AL1264" i="1"/>
  <c r="AM1264" i="1" s="1"/>
  <c r="AR1264" i="1" s="1"/>
  <c r="AL1249" i="1"/>
  <c r="AM1249" i="1" s="1"/>
  <c r="AR1249" i="1" s="1"/>
  <c r="AL892" i="1"/>
  <c r="AM892" i="1" s="1"/>
  <c r="AR892" i="1" s="1"/>
  <c r="AL1027" i="1"/>
  <c r="AM1027" i="1" s="1"/>
  <c r="AR1027" i="1" s="1"/>
  <c r="AL833" i="1"/>
  <c r="AM833" i="1" s="1"/>
  <c r="AR833" i="1" s="1"/>
  <c r="AL1276" i="1"/>
  <c r="AM1276" i="1" s="1"/>
  <c r="AR1276" i="1" s="1"/>
  <c r="AL890" i="1"/>
  <c r="AM890" i="1" s="1"/>
  <c r="AR890" i="1" s="1"/>
  <c r="AL1328" i="1"/>
  <c r="AM1328" i="1" s="1"/>
  <c r="AR1328" i="1" s="1"/>
  <c r="AL796" i="1"/>
  <c r="AM796" i="1" s="1"/>
  <c r="AR796" i="1" s="1"/>
  <c r="AL1287" i="1"/>
  <c r="AM1287" i="1" s="1"/>
  <c r="AR1287" i="1" s="1"/>
  <c r="AL800" i="1"/>
  <c r="AM800" i="1" s="1"/>
  <c r="AR800" i="1" s="1"/>
  <c r="AL1136" i="1"/>
  <c r="AM1136" i="1" s="1"/>
  <c r="AR1136" i="1" s="1"/>
  <c r="AL1313" i="1"/>
  <c r="AM1313" i="1" s="1"/>
  <c r="AR1313" i="1" s="1"/>
  <c r="AL804" i="1"/>
  <c r="AM804" i="1" s="1"/>
  <c r="AR804" i="1" s="1"/>
  <c r="AL1053" i="1"/>
  <c r="AM1053" i="1" s="1"/>
  <c r="AR1053" i="1" s="1"/>
  <c r="AL1119" i="1"/>
  <c r="AM1119" i="1" s="1"/>
  <c r="AR1119" i="1" s="1"/>
  <c r="AL1057" i="1"/>
  <c r="AM1057" i="1" s="1"/>
  <c r="AR1057" i="1" s="1"/>
  <c r="AL1247" i="1"/>
  <c r="AM1247" i="1" s="1"/>
  <c r="AR1247" i="1" s="1"/>
  <c r="AL1131" i="1"/>
  <c r="AM1131" i="1" s="1"/>
  <c r="AR1131" i="1" s="1"/>
  <c r="AC769" i="1"/>
  <c r="AC768" i="1"/>
  <c r="AE1282" i="1"/>
  <c r="AF1282" i="1" s="1"/>
  <c r="AC766" i="1"/>
  <c r="AD766" i="1" s="1"/>
  <c r="AE1226" i="1"/>
  <c r="AF1226" i="1" s="1"/>
  <c r="AA763" i="1"/>
  <c r="AB763" i="1" s="1"/>
  <c r="AA762" i="1"/>
  <c r="AB762" i="1" s="1"/>
  <c r="AE1106" i="1"/>
  <c r="AF1106" i="1" s="1"/>
  <c r="Z759" i="1"/>
  <c r="Z760" i="1"/>
  <c r="AA760" i="1" s="1"/>
  <c r="AB760" i="1" s="1"/>
  <c r="AE1154" i="1"/>
  <c r="AF1154" i="1" s="1"/>
  <c r="AE1126" i="1"/>
  <c r="AF1126" i="1" s="1"/>
  <c r="Q751" i="1"/>
  <c r="Y751" i="1" s="1"/>
  <c r="Q750" i="1"/>
  <c r="Y750" i="1" s="1"/>
  <c r="Q749" i="1"/>
  <c r="Y749" i="1" s="1"/>
  <c r="Q752" i="1"/>
  <c r="Y752" i="1" s="1"/>
  <c r="Z755" i="1"/>
  <c r="AC765" i="1"/>
  <c r="AC764" i="1"/>
  <c r="AA761" i="1"/>
  <c r="AB761" i="1" s="1"/>
  <c r="Z758" i="1"/>
  <c r="Z756" i="1"/>
  <c r="Z757" i="1"/>
  <c r="W173" i="24"/>
  <c r="U173" i="24"/>
  <c r="V173" i="24" s="1"/>
  <c r="S171" i="24"/>
  <c r="T172" i="24"/>
  <c r="AG174" i="24"/>
  <c r="AI174" i="24" s="1"/>
  <c r="AJ174" i="24" s="1"/>
  <c r="AE1306" i="1"/>
  <c r="AF1306" i="1" s="1"/>
  <c r="AE1274" i="1"/>
  <c r="AF1274" i="1" s="1"/>
  <c r="AE1050" i="1"/>
  <c r="AF1050" i="1" s="1"/>
  <c r="AE986" i="1"/>
  <c r="AF986" i="1" s="1"/>
  <c r="AE1162" i="1"/>
  <c r="AF1162" i="1" s="1"/>
  <c r="AE794" i="1"/>
  <c r="AF794" i="1" s="1"/>
  <c r="AE1034" i="1"/>
  <c r="AF1034" i="1" s="1"/>
  <c r="AE1310" i="1"/>
  <c r="AF1310" i="1" s="1"/>
  <c r="AE1158" i="1"/>
  <c r="AF1158" i="1" s="1"/>
  <c r="AE1142" i="1"/>
  <c r="AF1142" i="1" s="1"/>
  <c r="AE1346" i="1"/>
  <c r="AF1346" i="1" s="1"/>
  <c r="AE782" i="1"/>
  <c r="AF782" i="1" s="1"/>
  <c r="AE1026" i="1"/>
  <c r="AF1026" i="1" s="1"/>
  <c r="AE1362" i="1"/>
  <c r="AF1362" i="1" s="1"/>
  <c r="AE1234" i="1"/>
  <c r="AF1234" i="1" s="1"/>
  <c r="AE978" i="1"/>
  <c r="AF978" i="1" s="1"/>
  <c r="AE830" i="1"/>
  <c r="AF830" i="1" s="1"/>
  <c r="AE1150" i="1"/>
  <c r="AF1150" i="1" s="1"/>
  <c r="AE990" i="1"/>
  <c r="AF990" i="1" s="1"/>
  <c r="AE1114" i="1"/>
  <c r="AF1114" i="1" s="1"/>
  <c r="AE954" i="1"/>
  <c r="AF954" i="1" s="1"/>
  <c r="AE1370" i="1"/>
  <c r="AF1370" i="1" s="1"/>
  <c r="AE1082" i="1"/>
  <c r="AF1082" i="1" s="1"/>
  <c r="AE1218" i="1"/>
  <c r="AF1218" i="1" s="1"/>
  <c r="AE1090" i="1"/>
  <c r="AF1090" i="1" s="1"/>
  <c r="AE962" i="1"/>
  <c r="AF962" i="1" s="1"/>
  <c r="AE1198" i="1"/>
  <c r="AF1198" i="1" s="1"/>
  <c r="AE1354" i="1"/>
  <c r="AF1354" i="1" s="1"/>
  <c r="AE1178" i="1"/>
  <c r="AF1178" i="1" s="1"/>
  <c r="AE770" i="1"/>
  <c r="AF770" i="1" s="1"/>
  <c r="AM861" i="1" l="1"/>
  <c r="AM836" i="1"/>
  <c r="AM880" i="1"/>
  <c r="AM924" i="1"/>
  <c r="AM913" i="1"/>
  <c r="AM925" i="1"/>
  <c r="AM915" i="1"/>
  <c r="AM927" i="1"/>
  <c r="AM865" i="1"/>
  <c r="AM928" i="1"/>
  <c r="AM932" i="1"/>
  <c r="AM832" i="1"/>
  <c r="AM887" i="1"/>
  <c r="AM917" i="1"/>
  <c r="AM870" i="1"/>
  <c r="AM900" i="1"/>
  <c r="AM845" i="1"/>
  <c r="AM894" i="1"/>
  <c r="AM883" i="1"/>
  <c r="AM888" i="1"/>
  <c r="AM929" i="1"/>
  <c r="AM875" i="1"/>
  <c r="AM901" i="1"/>
  <c r="AM860" i="1"/>
  <c r="AM934" i="1"/>
  <c r="AM896" i="1"/>
  <c r="AM947" i="1"/>
  <c r="AM933" i="1"/>
  <c r="AM869" i="1"/>
  <c r="AM851" i="1"/>
  <c r="AM839" i="1"/>
  <c r="AM863" i="1"/>
  <c r="AM1377" i="1"/>
  <c r="AM889" i="1"/>
  <c r="AM897" i="1"/>
  <c r="AM867" i="1"/>
  <c r="Z754" i="1"/>
  <c r="AG1131" i="1"/>
  <c r="AG1119" i="1"/>
  <c r="AG1145" i="1"/>
  <c r="AG1013" i="1"/>
  <c r="AG1211" i="1"/>
  <c r="AG935" i="1"/>
  <c r="AG822" i="1"/>
  <c r="AG1098" i="1"/>
  <c r="AG1290" i="1"/>
  <c r="AG1301" i="1"/>
  <c r="AG820" i="1"/>
  <c r="AG803" i="1"/>
  <c r="AG1021" i="1"/>
  <c r="AG945" i="1"/>
  <c r="AG955" i="1"/>
  <c r="AG1200" i="1"/>
  <c r="AG920" i="1"/>
  <c r="AG884" i="1"/>
  <c r="AG840" i="1"/>
  <c r="AG798" i="1"/>
  <c r="AG1138" i="1"/>
  <c r="AG1298" i="1"/>
  <c r="AG1315" i="1"/>
  <c r="AG1314" i="1"/>
  <c r="AG1017" i="1"/>
  <c r="AG1316" i="1"/>
  <c r="AG1333" i="1"/>
  <c r="AG877" i="1"/>
  <c r="AG823" i="1"/>
  <c r="AG1320" i="1"/>
  <c r="AG1376" i="1"/>
  <c r="AG979" i="1"/>
  <c r="AG1248" i="1"/>
  <c r="AG973" i="1"/>
  <c r="AG1332" i="1"/>
  <c r="AG903" i="1"/>
  <c r="AG777" i="1"/>
  <c r="AG1037" i="1"/>
  <c r="AG858" i="1"/>
  <c r="AG898" i="1"/>
  <c r="AG1327" i="1"/>
  <c r="AG1203" i="1"/>
  <c r="AG1041" i="1"/>
  <c r="AG1059" i="1"/>
  <c r="AG914" i="1"/>
  <c r="AG1077" i="1"/>
  <c r="AG1035" i="1"/>
  <c r="AG1115" i="1"/>
  <c r="AG873" i="1"/>
  <c r="AG1022" i="1"/>
  <c r="AG1182" i="1"/>
  <c r="AG1342" i="1"/>
  <c r="AG1073" i="1"/>
  <c r="AG1137" i="1"/>
  <c r="AG1100" i="1"/>
  <c r="AG1244" i="1"/>
  <c r="AG1020" i="1"/>
  <c r="AG1040" i="1"/>
  <c r="AG949" i="1"/>
  <c r="AG1221" i="1"/>
  <c r="AG871" i="1"/>
  <c r="AG786" i="1"/>
  <c r="AG1030" i="1"/>
  <c r="AG1222" i="1"/>
  <c r="X755" i="1"/>
  <c r="Z753" i="1"/>
  <c r="AA753" i="1" s="1"/>
  <c r="AC760" i="1"/>
  <c r="AD760" i="1" s="1"/>
  <c r="AE760" i="1" s="1"/>
  <c r="AF760" i="1" s="1"/>
  <c r="AG1350" i="1"/>
  <c r="AG1299" i="1"/>
  <c r="X756" i="1"/>
  <c r="AC762" i="1"/>
  <c r="AD762" i="1" s="1"/>
  <c r="AC763" i="1"/>
  <c r="AD763" i="1" s="1"/>
  <c r="AE763" i="1" s="1"/>
  <c r="AF763" i="1" s="1"/>
  <c r="AG1247" i="1"/>
  <c r="AG1053" i="1"/>
  <c r="AG1349" i="1"/>
  <c r="AG864" i="1"/>
  <c r="AG1002" i="1"/>
  <c r="AG1194" i="1"/>
  <c r="AG1358" i="1"/>
  <c r="AG967" i="1"/>
  <c r="AG1019" i="1"/>
  <c r="AG937" i="1"/>
  <c r="AG1132" i="1"/>
  <c r="AG872" i="1"/>
  <c r="AG1043" i="1"/>
  <c r="AG773" i="1"/>
  <c r="AG1357" i="1"/>
  <c r="AG1039" i="1"/>
  <c r="AG1042" i="1"/>
  <c r="AG1202" i="1"/>
  <c r="AG1366" i="1"/>
  <c r="AG1143" i="1"/>
  <c r="AG1055" i="1"/>
  <c r="AG1289" i="1"/>
  <c r="AG931" i="1"/>
  <c r="AG1004" i="1"/>
  <c r="AG1133" i="1"/>
  <c r="AG812" i="1"/>
  <c r="AG968" i="1"/>
  <c r="AG1128" i="1"/>
  <c r="AG972" i="1"/>
  <c r="AG1267" i="1"/>
  <c r="AG1321" i="1"/>
  <c r="AG1235" i="1"/>
  <c r="AG1204" i="1"/>
  <c r="AG1201" i="1"/>
  <c r="AG1283" i="1"/>
  <c r="AG909" i="1"/>
  <c r="AG963" i="1"/>
  <c r="AG1179" i="1"/>
  <c r="AG1096" i="1"/>
  <c r="AG919" i="1"/>
  <c r="AG776" i="1"/>
  <c r="AG1016" i="1"/>
  <c r="AG1084" i="1"/>
  <c r="AG1109" i="1"/>
  <c r="AG1144" i="1"/>
  <c r="AG1187" i="1"/>
  <c r="AG1268" i="1"/>
  <c r="AG1209" i="1"/>
  <c r="AG882" i="1"/>
  <c r="AG810" i="1"/>
  <c r="AG1086" i="1"/>
  <c r="AG1246" i="1"/>
  <c r="AG930" i="1"/>
  <c r="AG1341" i="1"/>
  <c r="AG1120" i="1"/>
  <c r="AG787" i="1"/>
  <c r="AG1312" i="1"/>
  <c r="AG807" i="1"/>
  <c r="AG907" i="1"/>
  <c r="AG1317" i="1"/>
  <c r="AG1172" i="1"/>
  <c r="AG946" i="1"/>
  <c r="AG918" i="1"/>
  <c r="AG966" i="1"/>
  <c r="AG1094" i="1"/>
  <c r="AG1286" i="1"/>
  <c r="AG815" i="1"/>
  <c r="AG1136" i="1"/>
  <c r="AG800" i="1"/>
  <c r="AG1287" i="1"/>
  <c r="AG1328" i="1"/>
  <c r="AG1276" i="1"/>
  <c r="AG1027" i="1"/>
  <c r="AG1249" i="1"/>
  <c r="AG844" i="1"/>
  <c r="AG854" i="1"/>
  <c r="AG895" i="1"/>
  <c r="AG846" i="1"/>
  <c r="AG922" i="1"/>
  <c r="AG969" i="1"/>
  <c r="AG1007" i="1"/>
  <c r="AG1205" i="1"/>
  <c r="AG831" i="1"/>
  <c r="AG1091" i="1"/>
  <c r="AG1009" i="1"/>
  <c r="AG1058" i="1"/>
  <c r="AG775" i="1"/>
  <c r="AG1171" i="1"/>
  <c r="AG1340" i="1"/>
  <c r="AG943" i="1"/>
  <c r="AG1165" i="1"/>
  <c r="AG948" i="1"/>
  <c r="AG1292" i="1"/>
  <c r="AG795" i="1"/>
  <c r="AG911" i="1"/>
  <c r="AG1212" i="1"/>
  <c r="AG974" i="1"/>
  <c r="AG1038" i="1"/>
  <c r="AG1102" i="1"/>
  <c r="AG1166" i="1"/>
  <c r="AG1262" i="1"/>
  <c r="AG1326" i="1"/>
  <c r="AG956" i="1"/>
  <c r="AG1071" i="1"/>
  <c r="AG819" i="1"/>
  <c r="AG1259" i="1"/>
  <c r="AG1356" i="1"/>
  <c r="AG1252" i="1"/>
  <c r="AG1012" i="1"/>
  <c r="AG1261" i="1"/>
  <c r="AG1192" i="1"/>
  <c r="AG1207" i="1"/>
  <c r="AG1000" i="1"/>
  <c r="AG785" i="1"/>
  <c r="AG1373" i="1"/>
  <c r="AG1173" i="1"/>
  <c r="AG1056" i="1"/>
  <c r="AG981" i="1"/>
  <c r="AG1135" i="1"/>
  <c r="AG1295" i="1"/>
  <c r="AG802" i="1"/>
  <c r="AG982" i="1"/>
  <c r="AG1046" i="1"/>
  <c r="AG1110" i="1"/>
  <c r="AG1206" i="1"/>
  <c r="AG1270" i="1"/>
  <c r="AG1334" i="1"/>
  <c r="AG1239" i="1"/>
  <c r="AG1291" i="1"/>
  <c r="AG1243" i="1"/>
  <c r="AG1122" i="1"/>
  <c r="AG1263" i="1"/>
  <c r="AG825" i="1"/>
  <c r="AG1099" i="1"/>
  <c r="AG996" i="1"/>
  <c r="AG1015" i="1"/>
  <c r="AG806" i="1"/>
  <c r="AG1146" i="1"/>
  <c r="AG1242" i="1"/>
  <c r="AG1374" i="1"/>
  <c r="AG1116" i="1"/>
  <c r="AG916" i="1"/>
  <c r="AG814" i="1"/>
  <c r="AG1284" i="1"/>
  <c r="AG1076" i="1"/>
  <c r="AG1255" i="1"/>
  <c r="AG942" i="1"/>
  <c r="AG906" i="1"/>
  <c r="AG1219" i="1"/>
  <c r="AG856" i="1"/>
  <c r="AG1072" i="1"/>
  <c r="AG1237" i="1"/>
  <c r="AG1250" i="1"/>
  <c r="AG1169" i="1"/>
  <c r="AG1127" i="1"/>
  <c r="AG848" i="1"/>
  <c r="AG1083" i="1"/>
  <c r="AG788" i="1"/>
  <c r="AG796" i="1"/>
  <c r="AG833" i="1"/>
  <c r="AG1264" i="1"/>
  <c r="AG891" i="1"/>
  <c r="AG1285" i="1"/>
  <c r="AG902" i="1"/>
  <c r="AG921" i="1"/>
  <c r="AG1277" i="1"/>
  <c r="AG857" i="1"/>
  <c r="AG809" i="1"/>
  <c r="AG826" i="1"/>
  <c r="AG1070" i="1"/>
  <c r="AG1230" i="1"/>
  <c r="AG1095" i="1"/>
  <c r="AG992" i="1"/>
  <c r="AG1355" i="1"/>
  <c r="AG1364" i="1"/>
  <c r="AG923" i="1"/>
  <c r="AG1241" i="1"/>
  <c r="AG1191" i="1"/>
  <c r="AG964" i="1"/>
  <c r="AG1028" i="1"/>
  <c r="AG1067" i="1"/>
  <c r="AG850" i="1"/>
  <c r="AG939" i="1"/>
  <c r="AG1014" i="1"/>
  <c r="AG1174" i="1"/>
  <c r="AG1302" i="1"/>
  <c r="AG1189" i="1"/>
  <c r="AG834" i="1"/>
  <c r="AG1228" i="1"/>
  <c r="AG774" i="1"/>
  <c r="AG1018" i="1"/>
  <c r="AG1210" i="1"/>
  <c r="AG1338" i="1"/>
  <c r="AG1245" i="1"/>
  <c r="AG938" i="1"/>
  <c r="AG1337" i="1"/>
  <c r="AG1186" i="1"/>
  <c r="AG1313" i="1"/>
  <c r="AG890" i="1"/>
  <c r="AG892" i="1"/>
  <c r="AG1163" i="1"/>
  <c r="AG1227" i="1"/>
  <c r="AG1044" i="1"/>
  <c r="AG1117" i="1"/>
  <c r="AG1093" i="1"/>
  <c r="AG1331" i="1"/>
  <c r="AG991" i="1"/>
  <c r="AG824" i="1"/>
  <c r="AG801" i="1"/>
  <c r="AG868" i="1"/>
  <c r="AG957" i="1"/>
  <c r="AG1325" i="1"/>
  <c r="AG1064" i="1"/>
  <c r="AG789" i="1"/>
  <c r="AG1006" i="1"/>
  <c r="AG1134" i="1"/>
  <c r="AG1294" i="1"/>
  <c r="AG805" i="1"/>
  <c r="AG1293" i="1"/>
  <c r="AG816" i="1"/>
  <c r="AG1288" i="1"/>
  <c r="AG899" i="1"/>
  <c r="AG878" i="1"/>
  <c r="AG885" i="1"/>
  <c r="AG1107" i="1"/>
  <c r="AG1365" i="1"/>
  <c r="AG1199" i="1"/>
  <c r="AG849" i="1"/>
  <c r="AG1363" i="1"/>
  <c r="AG950" i="1"/>
  <c r="AG1078" i="1"/>
  <c r="AG1238" i="1"/>
  <c r="AG841" i="1"/>
  <c r="AG1378" i="1"/>
  <c r="AG842" i="1"/>
  <c r="AG944" i="1"/>
  <c r="AG1061" i="1"/>
  <c r="AG912" i="1"/>
  <c r="AG1092" i="1"/>
  <c r="AG1296" i="1"/>
  <c r="AG994" i="1"/>
  <c r="AG1097" i="1"/>
  <c r="AG1065" i="1"/>
  <c r="AG971" i="1"/>
  <c r="AG1005" i="1"/>
  <c r="AG1336" i="1"/>
  <c r="W753" i="1"/>
  <c r="AG1057" i="1"/>
  <c r="AG804" i="1"/>
  <c r="AG1069" i="1"/>
  <c r="AG936" i="1"/>
  <c r="AG876" i="1"/>
  <c r="AG910" i="1"/>
  <c r="AG790" i="1"/>
  <c r="AG970" i="1"/>
  <c r="AG1066" i="1"/>
  <c r="AG1130" i="1"/>
  <c r="AG1258" i="1"/>
  <c r="AG1322" i="1"/>
  <c r="AG1311" i="1"/>
  <c r="AG1129" i="1"/>
  <c r="AG1011" i="1"/>
  <c r="AG1251" i="1"/>
  <c r="AG1319" i="1"/>
  <c r="AG908" i="1"/>
  <c r="AG905" i="1"/>
  <c r="AG1300" i="1"/>
  <c r="AG999" i="1"/>
  <c r="AG1184" i="1"/>
  <c r="AG1185" i="1"/>
  <c r="AG1188" i="1"/>
  <c r="AG811" i="1"/>
  <c r="AG855" i="1"/>
  <c r="AG980" i="1"/>
  <c r="AG1045" i="1"/>
  <c r="AG1010" i="1"/>
  <c r="AG1074" i="1"/>
  <c r="AG1170" i="1"/>
  <c r="AG1266" i="1"/>
  <c r="AG1330" i="1"/>
  <c r="AG1121" i="1"/>
  <c r="AG926" i="1"/>
  <c r="AG1371" i="1"/>
  <c r="AG1003" i="1"/>
  <c r="AG995" i="1"/>
  <c r="AG1052" i="1"/>
  <c r="AG997" i="1"/>
  <c r="AG1001" i="1"/>
  <c r="AG1275" i="1"/>
  <c r="AG837" i="1"/>
  <c r="AG843" i="1"/>
  <c r="AG1240" i="1"/>
  <c r="AG1051" i="1"/>
  <c r="AG1236" i="1"/>
  <c r="AG1253" i="1"/>
  <c r="AG859" i="1"/>
  <c r="AG1181" i="1"/>
  <c r="AG1348" i="1"/>
  <c r="AG993" i="1"/>
  <c r="AG1180" i="1"/>
  <c r="AG1063" i="1"/>
  <c r="AG1257" i="1"/>
  <c r="AG1075" i="1"/>
  <c r="AG1029" i="1"/>
  <c r="AG1060" i="1"/>
  <c r="AG965" i="1"/>
  <c r="AG1323" i="1"/>
  <c r="AG1260" i="1"/>
  <c r="AG817" i="1"/>
  <c r="AG1164" i="1"/>
  <c r="AG1068" i="1"/>
  <c r="AG941" i="1"/>
  <c r="AG821" i="1"/>
  <c r="AG1256" i="1"/>
  <c r="AG862" i="1"/>
  <c r="AG847" i="1"/>
  <c r="AG1297" i="1"/>
  <c r="AG1220" i="1"/>
  <c r="AG1265" i="1"/>
  <c r="AG1329" i="1"/>
  <c r="AG1269" i="1"/>
  <c r="AG879" i="1"/>
  <c r="AG797" i="1"/>
  <c r="AG1229" i="1"/>
  <c r="AG784" i="1"/>
  <c r="AG1036" i="1"/>
  <c r="AG852" i="1"/>
  <c r="AG835" i="1"/>
  <c r="AG1324" i="1"/>
  <c r="AG940" i="1"/>
  <c r="AG813" i="1"/>
  <c r="AG1167" i="1"/>
  <c r="AG778" i="1"/>
  <c r="AG958" i="1"/>
  <c r="AG1054" i="1"/>
  <c r="AG1118" i="1"/>
  <c r="AG1214" i="1"/>
  <c r="AG1278" i="1"/>
  <c r="AG1208" i="1"/>
  <c r="AG1085" i="1"/>
  <c r="AG799" i="1"/>
  <c r="AG1347" i="1"/>
  <c r="AG1339" i="1"/>
  <c r="AG874" i="1"/>
  <c r="AG1375" i="1"/>
  <c r="AG1101" i="1"/>
  <c r="AG1335" i="1"/>
  <c r="AG866" i="1"/>
  <c r="AG904" i="1"/>
  <c r="AG893" i="1"/>
  <c r="AG808" i="1"/>
  <c r="AG838" i="1"/>
  <c r="AG783" i="1"/>
  <c r="AG881" i="1"/>
  <c r="AG818" i="1"/>
  <c r="AG998" i="1"/>
  <c r="AG1062" i="1"/>
  <c r="AG1190" i="1"/>
  <c r="AG1254" i="1"/>
  <c r="AG1318" i="1"/>
  <c r="AG1213" i="1"/>
  <c r="AG1193" i="1"/>
  <c r="AG1183" i="1"/>
  <c r="AG1108" i="1"/>
  <c r="AG853" i="1"/>
  <c r="W754" i="1"/>
  <c r="X754" i="1" s="1"/>
  <c r="X757" i="1"/>
  <c r="AG1008" i="1"/>
  <c r="AG1168" i="1"/>
  <c r="AG1372" i="1"/>
  <c r="X758" i="1"/>
  <c r="X759" i="1"/>
  <c r="V752" i="1"/>
  <c r="W752" i="1" s="1"/>
  <c r="V750" i="1"/>
  <c r="V751" i="1"/>
  <c r="V749" i="1"/>
  <c r="AL771" i="1"/>
  <c r="AL772" i="1"/>
  <c r="AL985" i="1"/>
  <c r="AL1343" i="1"/>
  <c r="AL1153" i="1"/>
  <c r="AL779" i="1"/>
  <c r="AL989" i="1"/>
  <c r="AL1124" i="1"/>
  <c r="AL1217" i="1"/>
  <c r="AL975" i="1"/>
  <c r="AL1309" i="1"/>
  <c r="AL1281" i="1"/>
  <c r="AL952" i="1"/>
  <c r="AL1352" i="1"/>
  <c r="AL1147" i="1"/>
  <c r="AL1088" i="1"/>
  <c r="AL1305" i="1"/>
  <c r="AL1079" i="1"/>
  <c r="AL1232" i="1"/>
  <c r="AL1031" i="1"/>
  <c r="AL1161" i="1"/>
  <c r="AL1112" i="1"/>
  <c r="AL961" i="1"/>
  <c r="AL1271" i="1"/>
  <c r="AL828" i="1"/>
  <c r="AL1156" i="1"/>
  <c r="AL1368" i="1"/>
  <c r="AL1360" i="1"/>
  <c r="AL1087" i="1"/>
  <c r="AL953" i="1"/>
  <c r="AL1351" i="1"/>
  <c r="AL1151" i="1"/>
  <c r="AL780" i="1"/>
  <c r="AL983" i="1"/>
  <c r="AL1033" i="1"/>
  <c r="AL960" i="1"/>
  <c r="AL1159" i="1"/>
  <c r="AL1215" i="1"/>
  <c r="AL951" i="1"/>
  <c r="AL1304" i="1"/>
  <c r="AL1303" i="1"/>
  <c r="AL1280" i="1"/>
  <c r="AL1279" i="1"/>
  <c r="AL1157" i="1"/>
  <c r="AL1233" i="1"/>
  <c r="AL1080" i="1"/>
  <c r="AL1198" i="1"/>
  <c r="AM1198" i="1" s="1"/>
  <c r="AR1198" i="1" s="1"/>
  <c r="AL1050" i="1"/>
  <c r="AM1050" i="1" s="1"/>
  <c r="AR1050" i="1" s="1"/>
  <c r="AL1226" i="1"/>
  <c r="AM1226" i="1" s="1"/>
  <c r="AR1226" i="1" s="1"/>
  <c r="AL770" i="1"/>
  <c r="AM770" i="1" s="1"/>
  <c r="AR770" i="1" s="1"/>
  <c r="AL1370" i="1"/>
  <c r="AM1370" i="1" s="1"/>
  <c r="AR1370" i="1" s="1"/>
  <c r="AL1362" i="1"/>
  <c r="AM1362" i="1" s="1"/>
  <c r="AR1362" i="1" s="1"/>
  <c r="AL794" i="1"/>
  <c r="AM794" i="1" s="1"/>
  <c r="AR794" i="1" s="1"/>
  <c r="AL1106" i="1"/>
  <c r="AM1106" i="1" s="1"/>
  <c r="AR1106" i="1" s="1"/>
  <c r="AL1125" i="1"/>
  <c r="AL1178" i="1"/>
  <c r="AM1178" i="1" s="1"/>
  <c r="AR1178" i="1" s="1"/>
  <c r="AL954" i="1"/>
  <c r="AM954" i="1" s="1"/>
  <c r="AR954" i="1" s="1"/>
  <c r="AL1026" i="1"/>
  <c r="AM1026" i="1" s="1"/>
  <c r="AR1026" i="1" s="1"/>
  <c r="AL1162" i="1"/>
  <c r="AM1162" i="1" s="1"/>
  <c r="AR1162" i="1" s="1"/>
  <c r="AL1123" i="1"/>
  <c r="AL1032" i="1"/>
  <c r="AL977" i="1"/>
  <c r="AL1104" i="1"/>
  <c r="AL1103" i="1"/>
  <c r="AL959" i="1"/>
  <c r="AL1175" i="1"/>
  <c r="AL1176" i="1"/>
  <c r="AL1223" i="1"/>
  <c r="AL1049" i="1"/>
  <c r="AL793" i="1"/>
  <c r="AL1081" i="1"/>
  <c r="AL1195" i="1"/>
  <c r="AL1346" i="1"/>
  <c r="AM1346" i="1" s="1"/>
  <c r="AR1346" i="1" s="1"/>
  <c r="AL1048" i="1"/>
  <c r="AL1354" i="1"/>
  <c r="AM1354" i="1" s="1"/>
  <c r="AR1354" i="1" s="1"/>
  <c r="AL1114" i="1"/>
  <c r="AM1114" i="1" s="1"/>
  <c r="AR1114" i="1" s="1"/>
  <c r="AL782" i="1"/>
  <c r="AM782" i="1" s="1"/>
  <c r="AR782" i="1" s="1"/>
  <c r="AL986" i="1"/>
  <c r="AM986" i="1" s="1"/>
  <c r="AR986" i="1" s="1"/>
  <c r="AL1025" i="1"/>
  <c r="AL1344" i="1"/>
  <c r="AL1160" i="1"/>
  <c r="AL1113" i="1"/>
  <c r="AL1308" i="1"/>
  <c r="AL1353" i="1"/>
  <c r="AL984" i="1"/>
  <c r="AL1231" i="1"/>
  <c r="AL1023" i="1"/>
  <c r="AL827" i="1"/>
  <c r="AL1196" i="1"/>
  <c r="AL1361" i="1"/>
  <c r="AL976" i="1"/>
  <c r="AL1111" i="1"/>
  <c r="AL791" i="1"/>
  <c r="AL1142" i="1"/>
  <c r="AM1142" i="1" s="1"/>
  <c r="AR1142" i="1" s="1"/>
  <c r="AL1148" i="1"/>
  <c r="AL1224" i="1"/>
  <c r="AL1090" i="1"/>
  <c r="AM1090" i="1" s="1"/>
  <c r="AR1090" i="1" s="1"/>
  <c r="AL830" i="1"/>
  <c r="AM830" i="1" s="1"/>
  <c r="AR830" i="1" s="1"/>
  <c r="AL1306" i="1"/>
  <c r="AM1306" i="1" s="1"/>
  <c r="AR1306" i="1" s="1"/>
  <c r="AL1154" i="1"/>
  <c r="AM1154" i="1" s="1"/>
  <c r="AR1154" i="1" s="1"/>
  <c r="AL1149" i="1"/>
  <c r="AL1139" i="1"/>
  <c r="AL987" i="1"/>
  <c r="AL1047" i="1"/>
  <c r="AL962" i="1"/>
  <c r="AM962" i="1" s="1"/>
  <c r="AR962" i="1" s="1"/>
  <c r="AL1274" i="1"/>
  <c r="AM1274" i="1" s="1"/>
  <c r="AR1274" i="1" s="1"/>
  <c r="AL1126" i="1"/>
  <c r="AM1126" i="1" s="1"/>
  <c r="AR1126" i="1" s="1"/>
  <c r="AL1367" i="1"/>
  <c r="AL1158" i="1"/>
  <c r="AM1158" i="1" s="1"/>
  <c r="AR1158" i="1" s="1"/>
  <c r="AL1218" i="1"/>
  <c r="AM1218" i="1" s="1"/>
  <c r="AR1218" i="1" s="1"/>
  <c r="AL978" i="1"/>
  <c r="AM978" i="1" s="1"/>
  <c r="AR978" i="1" s="1"/>
  <c r="AL1310" i="1"/>
  <c r="AM1310" i="1" s="1"/>
  <c r="AR1310" i="1" s="1"/>
  <c r="AL1282" i="1"/>
  <c r="AM1282" i="1" s="1"/>
  <c r="AR1282" i="1" s="1"/>
  <c r="AL1216" i="1"/>
  <c r="AL1225" i="1"/>
  <c r="AL1359" i="1"/>
  <c r="AL1177" i="1"/>
  <c r="AL1024" i="1"/>
  <c r="AL1307" i="1"/>
  <c r="AL1105" i="1"/>
  <c r="AL1140" i="1"/>
  <c r="AL781" i="1"/>
  <c r="AL990" i="1"/>
  <c r="AM990" i="1" s="1"/>
  <c r="AR990" i="1" s="1"/>
  <c r="AL1150" i="1"/>
  <c r="AM1150" i="1" s="1"/>
  <c r="AR1150" i="1" s="1"/>
  <c r="AL1273" i="1"/>
  <c r="AL988" i="1"/>
  <c r="AL1272" i="1"/>
  <c r="AL1082" i="1"/>
  <c r="AM1082" i="1" s="1"/>
  <c r="AR1082" i="1" s="1"/>
  <c r="AL1234" i="1"/>
  <c r="AM1234" i="1" s="1"/>
  <c r="AR1234" i="1" s="1"/>
  <c r="AL1034" i="1"/>
  <c r="AM1034" i="1" s="1"/>
  <c r="AR1034" i="1" s="1"/>
  <c r="AL829" i="1"/>
  <c r="AL792" i="1"/>
  <c r="AL1152" i="1"/>
  <c r="AL1197" i="1"/>
  <c r="AL1155" i="1"/>
  <c r="AL1089" i="1"/>
  <c r="AL1369" i="1"/>
  <c r="AL1141" i="1"/>
  <c r="AL1345" i="1"/>
  <c r="AD768" i="1"/>
  <c r="AE768" i="1" s="1"/>
  <c r="AF768" i="1" s="1"/>
  <c r="AD769" i="1"/>
  <c r="AE769" i="1" s="1"/>
  <c r="AF769" i="1" s="1"/>
  <c r="AE766" i="1"/>
  <c r="AF766" i="1" s="1"/>
  <c r="AA758" i="1"/>
  <c r="AA757" i="1"/>
  <c r="AB757" i="1" s="1"/>
  <c r="AA759" i="1"/>
  <c r="AB759" i="1" s="1"/>
  <c r="AA754" i="1"/>
  <c r="AB754" i="1" s="1"/>
  <c r="Q748" i="1"/>
  <c r="Y748" i="1" s="1"/>
  <c r="Q744" i="1"/>
  <c r="Y744" i="1" s="1"/>
  <c r="Q746" i="1"/>
  <c r="Y746" i="1" s="1"/>
  <c r="Q745" i="1"/>
  <c r="Y745" i="1" s="1"/>
  <c r="Q747" i="1"/>
  <c r="Y747" i="1" s="1"/>
  <c r="AA756" i="1"/>
  <c r="AB756" i="1" s="1"/>
  <c r="AA755" i="1"/>
  <c r="AB755" i="1" s="1"/>
  <c r="R752" i="1"/>
  <c r="U752" i="1" s="1"/>
  <c r="Z752" i="1"/>
  <c r="AD765" i="1"/>
  <c r="AE765" i="1" s="1"/>
  <c r="AF765" i="1" s="1"/>
  <c r="AD764" i="1"/>
  <c r="AE764" i="1" s="1"/>
  <c r="AF764" i="1" s="1"/>
  <c r="R749" i="1"/>
  <c r="U749" i="1" s="1"/>
  <c r="R751" i="1"/>
  <c r="U751" i="1" s="1"/>
  <c r="R750" i="1"/>
  <c r="U750" i="1" s="1"/>
  <c r="W172" i="24"/>
  <c r="U172" i="24"/>
  <c r="V172" i="24" s="1"/>
  <c r="S170" i="24"/>
  <c r="T171" i="24"/>
  <c r="AG173" i="24"/>
  <c r="AI173" i="24" s="1"/>
  <c r="AJ173" i="24" s="1"/>
  <c r="AB758" i="1" l="1"/>
  <c r="AG915" i="1"/>
  <c r="AR915" i="1"/>
  <c r="AG851" i="1"/>
  <c r="AR851" i="1"/>
  <c r="AG875" i="1"/>
  <c r="AR875" i="1"/>
  <c r="AG917" i="1"/>
  <c r="AR917" i="1"/>
  <c r="AG925" i="1"/>
  <c r="AR925" i="1"/>
  <c r="AG870" i="1"/>
  <c r="AR870" i="1"/>
  <c r="AG869" i="1"/>
  <c r="AR869" i="1"/>
  <c r="AG929" i="1"/>
  <c r="AR929" i="1"/>
  <c r="AG887" i="1"/>
  <c r="AR887" i="1"/>
  <c r="AG913" i="1"/>
  <c r="AR913" i="1"/>
  <c r="AG901" i="1"/>
  <c r="AR901" i="1"/>
  <c r="AG867" i="1"/>
  <c r="AR867" i="1"/>
  <c r="AG933" i="1"/>
  <c r="AR933" i="1"/>
  <c r="AG888" i="1"/>
  <c r="AR888" i="1"/>
  <c r="AG832" i="1"/>
  <c r="AR832" i="1"/>
  <c r="AG924" i="1"/>
  <c r="AR924" i="1"/>
  <c r="AG839" i="1"/>
  <c r="AR839" i="1"/>
  <c r="AG897" i="1"/>
  <c r="AR897" i="1"/>
  <c r="AG947" i="1"/>
  <c r="AR947" i="1"/>
  <c r="AG883" i="1"/>
  <c r="AR883" i="1"/>
  <c r="AG932" i="1"/>
  <c r="AR932" i="1"/>
  <c r="AG880" i="1"/>
  <c r="AR880" i="1"/>
  <c r="AG889" i="1"/>
  <c r="AR889" i="1"/>
  <c r="AG896" i="1"/>
  <c r="AR896" i="1"/>
  <c r="AG894" i="1"/>
  <c r="AR894" i="1"/>
  <c r="AG928" i="1"/>
  <c r="AR928" i="1"/>
  <c r="AG836" i="1"/>
  <c r="AR836" i="1"/>
  <c r="AG1377" i="1"/>
  <c r="AR1377" i="1"/>
  <c r="AV1376" i="1" s="1"/>
  <c r="AV1375" i="1" s="1"/>
  <c r="AV1374" i="1" s="1"/>
  <c r="AV1373" i="1" s="1"/>
  <c r="AV1372" i="1" s="1"/>
  <c r="AV1371" i="1" s="1"/>
  <c r="AV1370" i="1" s="1"/>
  <c r="AV1369" i="1" s="1"/>
  <c r="AG934" i="1"/>
  <c r="AR934" i="1"/>
  <c r="AG845" i="1"/>
  <c r="AR845" i="1"/>
  <c r="AG865" i="1"/>
  <c r="AR865" i="1"/>
  <c r="AG861" i="1"/>
  <c r="AR861" i="1"/>
  <c r="AA752" i="1"/>
  <c r="AG863" i="1"/>
  <c r="AR863" i="1"/>
  <c r="AG860" i="1"/>
  <c r="AR860" i="1"/>
  <c r="AG900" i="1"/>
  <c r="AR900" i="1"/>
  <c r="AG927" i="1"/>
  <c r="AR927" i="1"/>
  <c r="AM1155" i="1"/>
  <c r="AM1359" i="1"/>
  <c r="AM1361" i="1"/>
  <c r="AM1113" i="1"/>
  <c r="AM1081" i="1"/>
  <c r="AM1104" i="1"/>
  <c r="AM1279" i="1"/>
  <c r="AM1033" i="1"/>
  <c r="AM1368" i="1"/>
  <c r="AM1232" i="1"/>
  <c r="AM1309" i="1"/>
  <c r="AM985" i="1"/>
  <c r="AM1197" i="1"/>
  <c r="AM1225" i="1"/>
  <c r="AM1224" i="1"/>
  <c r="AM1196" i="1"/>
  <c r="AM1160" i="1"/>
  <c r="AM793" i="1"/>
  <c r="AM977" i="1"/>
  <c r="AM1280" i="1"/>
  <c r="AM983" i="1"/>
  <c r="AM1156" i="1"/>
  <c r="AM1079" i="1"/>
  <c r="AM975" i="1"/>
  <c r="AM772" i="1"/>
  <c r="AM1152" i="1"/>
  <c r="AM781" i="1"/>
  <c r="AM1216" i="1"/>
  <c r="AM1148" i="1"/>
  <c r="AM827" i="1"/>
  <c r="AM1344" i="1"/>
  <c r="AM1049" i="1"/>
  <c r="AM1032" i="1"/>
  <c r="AM1303" i="1"/>
  <c r="AM780" i="1"/>
  <c r="AM828" i="1"/>
  <c r="AM1305" i="1"/>
  <c r="AM1217" i="1"/>
  <c r="AM771" i="1"/>
  <c r="AM792" i="1"/>
  <c r="AM1272" i="1"/>
  <c r="AM1140" i="1"/>
  <c r="AM1023" i="1"/>
  <c r="AM1025" i="1"/>
  <c r="AM1223" i="1"/>
  <c r="AM1123" i="1"/>
  <c r="AM1304" i="1"/>
  <c r="AM1151" i="1"/>
  <c r="AM1271" i="1"/>
  <c r="AM1088" i="1"/>
  <c r="AM1124" i="1"/>
  <c r="AM1345" i="1"/>
  <c r="AM829" i="1"/>
  <c r="AM988" i="1"/>
  <c r="AM1105" i="1"/>
  <c r="AM1047" i="1"/>
  <c r="AM1231" i="1"/>
  <c r="AM1048" i="1"/>
  <c r="AM1176" i="1"/>
  <c r="AM1125" i="1"/>
  <c r="AM951" i="1"/>
  <c r="AM1351" i="1"/>
  <c r="AM961" i="1"/>
  <c r="AM1147" i="1"/>
  <c r="AM989" i="1"/>
  <c r="AM1141" i="1"/>
  <c r="AM1273" i="1"/>
  <c r="AM1307" i="1"/>
  <c r="AM1367" i="1"/>
  <c r="AM987" i="1"/>
  <c r="AM791" i="1"/>
  <c r="AM984" i="1"/>
  <c r="AM1175" i="1"/>
  <c r="AM1080" i="1"/>
  <c r="AM1215" i="1"/>
  <c r="AM953" i="1"/>
  <c r="AM1112" i="1"/>
  <c r="AM1352" i="1"/>
  <c r="AM779" i="1"/>
  <c r="AM1369" i="1"/>
  <c r="AM1024" i="1"/>
  <c r="AM1139" i="1"/>
  <c r="AM1111" i="1"/>
  <c r="AM1353" i="1"/>
  <c r="AM959" i="1"/>
  <c r="AM1233" i="1"/>
  <c r="AM1159" i="1"/>
  <c r="AM1087" i="1"/>
  <c r="AM1161" i="1"/>
  <c r="AM952" i="1"/>
  <c r="AM1153" i="1"/>
  <c r="AM1089" i="1"/>
  <c r="AM1177" i="1"/>
  <c r="AM1149" i="1"/>
  <c r="AM976" i="1"/>
  <c r="AM1308" i="1"/>
  <c r="AM1195" i="1"/>
  <c r="AM1103" i="1"/>
  <c r="AM1157" i="1"/>
  <c r="AM960" i="1"/>
  <c r="AM1360" i="1"/>
  <c r="AM1031" i="1"/>
  <c r="AM1281" i="1"/>
  <c r="AM1343" i="1"/>
  <c r="X752" i="1"/>
  <c r="AC754" i="1"/>
  <c r="AD754" i="1" s="1"/>
  <c r="Z751" i="1"/>
  <c r="AA751" i="1" s="1"/>
  <c r="AC757" i="1"/>
  <c r="AG990" i="1"/>
  <c r="AG1274" i="1"/>
  <c r="AG1114" i="1"/>
  <c r="AG954" i="1"/>
  <c r="AC759" i="1"/>
  <c r="AD759" i="1" s="1"/>
  <c r="AE759" i="1" s="1"/>
  <c r="AF759" i="1" s="1"/>
  <c r="AC758" i="1"/>
  <c r="AG986" i="1"/>
  <c r="AG1162" i="1"/>
  <c r="W751" i="1"/>
  <c r="X751" i="1" s="1"/>
  <c r="AG1234" i="1"/>
  <c r="AG1282" i="1"/>
  <c r="AG978" i="1"/>
  <c r="AG1158" i="1"/>
  <c r="AG1306" i="1"/>
  <c r="AG1090" i="1"/>
  <c r="AG794" i="1"/>
  <c r="AG1370" i="1"/>
  <c r="AG1226" i="1"/>
  <c r="AG1198" i="1"/>
  <c r="AG1150" i="1"/>
  <c r="AG1126" i="1"/>
  <c r="AG962" i="1"/>
  <c r="AG782" i="1"/>
  <c r="AG1354" i="1"/>
  <c r="AG1026" i="1"/>
  <c r="AG1178" i="1"/>
  <c r="AG1034" i="1"/>
  <c r="AG1082" i="1"/>
  <c r="AG1310" i="1"/>
  <c r="AG1218" i="1"/>
  <c r="AG1154" i="1"/>
  <c r="AG830" i="1"/>
  <c r="AG1346" i="1"/>
  <c r="AG1106" i="1"/>
  <c r="AG1362" i="1"/>
  <c r="AG770" i="1"/>
  <c r="AG1050" i="1"/>
  <c r="X753" i="1"/>
  <c r="AB753" i="1" s="1"/>
  <c r="W749" i="1"/>
  <c r="W750" i="1"/>
  <c r="AG1142" i="1"/>
  <c r="V745" i="1"/>
  <c r="V747" i="1"/>
  <c r="V746" i="1"/>
  <c r="V744" i="1"/>
  <c r="Z748" i="1"/>
  <c r="V748" i="1"/>
  <c r="W748" i="1" s="1"/>
  <c r="AL767" i="1"/>
  <c r="AL766" i="1"/>
  <c r="AM766" i="1" s="1"/>
  <c r="AR766" i="1" s="1"/>
  <c r="AL764" i="1"/>
  <c r="AM764" i="1" s="1"/>
  <c r="AR764" i="1" s="1"/>
  <c r="AL769" i="1"/>
  <c r="AM769" i="1" s="1"/>
  <c r="AR769" i="1" s="1"/>
  <c r="AL763" i="1"/>
  <c r="AM763" i="1" s="1"/>
  <c r="AR763" i="1" s="1"/>
  <c r="AL768" i="1"/>
  <c r="AM768" i="1" s="1"/>
  <c r="AR768" i="1" s="1"/>
  <c r="AL765" i="1"/>
  <c r="AM765" i="1" s="1"/>
  <c r="AR765" i="1" s="1"/>
  <c r="AE762" i="1"/>
  <c r="AF762" i="1" s="1"/>
  <c r="Z750" i="1"/>
  <c r="Z749" i="1"/>
  <c r="AC761" i="1"/>
  <c r="R744" i="1"/>
  <c r="U744" i="1" s="1"/>
  <c r="R748" i="1"/>
  <c r="U748" i="1" s="1"/>
  <c r="Q742" i="1"/>
  <c r="Y742" i="1" s="1"/>
  <c r="Q741" i="1"/>
  <c r="Y741" i="1" s="1"/>
  <c r="Q743" i="1"/>
  <c r="Y743" i="1" s="1"/>
  <c r="Q740" i="1"/>
  <c r="Y740" i="1" s="1"/>
  <c r="R747" i="1"/>
  <c r="U747" i="1" s="1"/>
  <c r="R745" i="1"/>
  <c r="U745" i="1" s="1"/>
  <c r="R746" i="1"/>
  <c r="U746" i="1" s="1"/>
  <c r="W171" i="24"/>
  <c r="U171" i="24"/>
  <c r="V171" i="24" s="1"/>
  <c r="S169" i="24"/>
  <c r="T170" i="24"/>
  <c r="AG172" i="24"/>
  <c r="AI172" i="24" s="1"/>
  <c r="AJ172" i="24" s="1"/>
  <c r="AG1233" i="1" l="1"/>
  <c r="AR1233" i="1"/>
  <c r="AG988" i="1"/>
  <c r="AR988" i="1"/>
  <c r="AG1225" i="1"/>
  <c r="AR1225" i="1"/>
  <c r="AG1360" i="1"/>
  <c r="AR1360" i="1"/>
  <c r="AG1177" i="1"/>
  <c r="AR1177" i="1"/>
  <c r="AG959" i="1"/>
  <c r="AR959" i="1"/>
  <c r="AG1112" i="1"/>
  <c r="AR1112" i="1"/>
  <c r="AG1367" i="1"/>
  <c r="AR1367" i="1"/>
  <c r="AG951" i="1"/>
  <c r="AR951" i="1"/>
  <c r="AG829" i="1"/>
  <c r="AR829" i="1"/>
  <c r="AG1223" i="1"/>
  <c r="AR1223" i="1"/>
  <c r="AG1305" i="1"/>
  <c r="AR1305" i="1"/>
  <c r="AG1148" i="1"/>
  <c r="AR1148" i="1"/>
  <c r="AG983" i="1"/>
  <c r="AR983" i="1"/>
  <c r="AG1197" i="1"/>
  <c r="AR1197" i="1"/>
  <c r="AG1081" i="1"/>
  <c r="AR1081" i="1"/>
  <c r="AG1352" i="1"/>
  <c r="AR1352" i="1"/>
  <c r="AG1123" i="1"/>
  <c r="AR1123" i="1"/>
  <c r="AG1104" i="1"/>
  <c r="AR1104" i="1"/>
  <c r="AG960" i="1"/>
  <c r="AR960" i="1"/>
  <c r="AG1089" i="1"/>
  <c r="AR1089" i="1"/>
  <c r="AG1353" i="1"/>
  <c r="AR1353" i="1"/>
  <c r="AG953" i="1"/>
  <c r="AR953" i="1"/>
  <c r="AG1307" i="1"/>
  <c r="AR1307" i="1"/>
  <c r="AG1125" i="1"/>
  <c r="AR1125" i="1"/>
  <c r="AG1345" i="1"/>
  <c r="AR1345" i="1"/>
  <c r="AG1025" i="1"/>
  <c r="AR1025" i="1"/>
  <c r="AG828" i="1"/>
  <c r="AR828" i="1"/>
  <c r="AG1216" i="1"/>
  <c r="AR1216" i="1"/>
  <c r="AG1280" i="1"/>
  <c r="AR1280" i="1"/>
  <c r="AG985" i="1"/>
  <c r="AR985" i="1"/>
  <c r="AG1113" i="1"/>
  <c r="AR1113" i="1"/>
  <c r="AB751" i="1"/>
  <c r="AG1157" i="1"/>
  <c r="AR1157" i="1"/>
  <c r="AG1153" i="1"/>
  <c r="AR1153" i="1"/>
  <c r="AG1111" i="1"/>
  <c r="AR1111" i="1"/>
  <c r="AG1215" i="1"/>
  <c r="AR1215" i="1"/>
  <c r="AG1273" i="1"/>
  <c r="AR1273" i="1"/>
  <c r="AG1176" i="1"/>
  <c r="AR1176" i="1"/>
  <c r="AG1124" i="1"/>
  <c r="AR1124" i="1"/>
  <c r="AG1023" i="1"/>
  <c r="AR1023" i="1"/>
  <c r="AG780" i="1"/>
  <c r="AR780" i="1"/>
  <c r="AG781" i="1"/>
  <c r="AR781" i="1"/>
  <c r="AG977" i="1"/>
  <c r="AR977" i="1"/>
  <c r="AG1309" i="1"/>
  <c r="AR1309" i="1"/>
  <c r="AG1361" i="1"/>
  <c r="AR1361" i="1"/>
  <c r="AG1149" i="1"/>
  <c r="AR1149" i="1"/>
  <c r="AG827" i="1"/>
  <c r="AR827" i="1"/>
  <c r="AG1103" i="1"/>
  <c r="AR1103" i="1"/>
  <c r="AG952" i="1"/>
  <c r="AR952" i="1"/>
  <c r="AG1139" i="1"/>
  <c r="AR1139" i="1"/>
  <c r="AG1080" i="1"/>
  <c r="AR1080" i="1"/>
  <c r="AG1141" i="1"/>
  <c r="AR1141" i="1"/>
  <c r="AG1048" i="1"/>
  <c r="AR1048" i="1"/>
  <c r="AG1088" i="1"/>
  <c r="AR1088" i="1"/>
  <c r="AG1140" i="1"/>
  <c r="AR1140" i="1"/>
  <c r="AG1303" i="1"/>
  <c r="AR1303" i="1"/>
  <c r="AG1152" i="1"/>
  <c r="AR1152" i="1"/>
  <c r="AG793" i="1"/>
  <c r="AR793" i="1"/>
  <c r="AG1232" i="1"/>
  <c r="AR1232" i="1"/>
  <c r="AG1359" i="1"/>
  <c r="AR1359" i="1"/>
  <c r="AG1031" i="1"/>
  <c r="AR1031" i="1"/>
  <c r="AG1351" i="1"/>
  <c r="AR1351" i="1"/>
  <c r="AG1156" i="1"/>
  <c r="AR1156" i="1"/>
  <c r="AG1195" i="1"/>
  <c r="AR1195" i="1"/>
  <c r="AG1161" i="1"/>
  <c r="AR1161" i="1"/>
  <c r="AG1024" i="1"/>
  <c r="AR1024" i="1"/>
  <c r="AG1175" i="1"/>
  <c r="AR1175" i="1"/>
  <c r="AG989" i="1"/>
  <c r="AR989" i="1"/>
  <c r="AG1231" i="1"/>
  <c r="AR1231" i="1"/>
  <c r="AG1271" i="1"/>
  <c r="AR1271" i="1"/>
  <c r="AG1272" i="1"/>
  <c r="AR1272" i="1"/>
  <c r="AG1032" i="1"/>
  <c r="AR1032" i="1"/>
  <c r="AG772" i="1"/>
  <c r="AR772" i="1"/>
  <c r="AG1160" i="1"/>
  <c r="AR1160" i="1"/>
  <c r="AG1368" i="1"/>
  <c r="AR1368" i="1"/>
  <c r="AG1155" i="1"/>
  <c r="AR1155" i="1"/>
  <c r="AG987" i="1"/>
  <c r="AR987" i="1"/>
  <c r="AG1217" i="1"/>
  <c r="AR1217" i="1"/>
  <c r="AG1343" i="1"/>
  <c r="AR1343" i="1"/>
  <c r="AG1308" i="1"/>
  <c r="AR1308" i="1"/>
  <c r="AG1087" i="1"/>
  <c r="AR1087" i="1"/>
  <c r="AG1369" i="1"/>
  <c r="AR1369" i="1"/>
  <c r="AG984" i="1"/>
  <c r="AR984" i="1"/>
  <c r="AG1147" i="1"/>
  <c r="AR1147" i="1"/>
  <c r="AG1047" i="1"/>
  <c r="AR1047" i="1"/>
  <c r="AG1151" i="1"/>
  <c r="AR1151" i="1"/>
  <c r="AG792" i="1"/>
  <c r="AR792" i="1"/>
  <c r="AG1049" i="1"/>
  <c r="AR1049" i="1"/>
  <c r="AG975" i="1"/>
  <c r="AR975" i="1"/>
  <c r="AG1196" i="1"/>
  <c r="AR1196" i="1"/>
  <c r="AG1033" i="1"/>
  <c r="AR1033" i="1"/>
  <c r="AB752" i="1"/>
  <c r="AG1281" i="1"/>
  <c r="AR1281" i="1"/>
  <c r="AG976" i="1"/>
  <c r="AR976" i="1"/>
  <c r="AG1159" i="1"/>
  <c r="AR1159" i="1"/>
  <c r="AG779" i="1"/>
  <c r="AR779" i="1"/>
  <c r="AG791" i="1"/>
  <c r="AR791" i="1"/>
  <c r="AG961" i="1"/>
  <c r="AR961" i="1"/>
  <c r="AG1105" i="1"/>
  <c r="AR1105" i="1"/>
  <c r="AG1304" i="1"/>
  <c r="AR1304" i="1"/>
  <c r="AG771" i="1"/>
  <c r="AR771" i="1"/>
  <c r="AG1344" i="1"/>
  <c r="AR1344" i="1"/>
  <c r="AG1079" i="1"/>
  <c r="AR1079" i="1"/>
  <c r="AG1224" i="1"/>
  <c r="AR1224" i="1"/>
  <c r="AG1279" i="1"/>
  <c r="AR1279" i="1"/>
  <c r="AV1368" i="1"/>
  <c r="AV1367" i="1" s="1"/>
  <c r="AV1366" i="1" s="1"/>
  <c r="AV1365" i="1" s="1"/>
  <c r="AV1364" i="1" s="1"/>
  <c r="AV1363" i="1" s="1"/>
  <c r="AV1362" i="1" s="1"/>
  <c r="AV1361" i="1" s="1"/>
  <c r="AV1360" i="1" s="1"/>
  <c r="AV1359" i="1" s="1"/>
  <c r="AV1358" i="1" s="1"/>
  <c r="AV1357" i="1" s="1"/>
  <c r="AV1356" i="1" s="1"/>
  <c r="AV1355" i="1" s="1"/>
  <c r="AV1354" i="1" s="1"/>
  <c r="AV1353" i="1" s="1"/>
  <c r="AV1352" i="1" s="1"/>
  <c r="AV1351" i="1" s="1"/>
  <c r="AV1350" i="1" s="1"/>
  <c r="AV1349" i="1" s="1"/>
  <c r="AV1348" i="1" s="1"/>
  <c r="AV1347" i="1" s="1"/>
  <c r="AV1346" i="1" s="1"/>
  <c r="AV1345" i="1" s="1"/>
  <c r="AV1344" i="1" s="1"/>
  <c r="AA750" i="1"/>
  <c r="AM767" i="1"/>
  <c r="X750" i="1"/>
  <c r="W744" i="1"/>
  <c r="AG769" i="1"/>
  <c r="AC751" i="1"/>
  <c r="X749" i="1"/>
  <c r="AG766" i="1"/>
  <c r="W747" i="1"/>
  <c r="X747" i="1" s="1"/>
  <c r="X748" i="1"/>
  <c r="AG764" i="1"/>
  <c r="AG765" i="1"/>
  <c r="AG763" i="1"/>
  <c r="W746" i="1"/>
  <c r="W745" i="1"/>
  <c r="AG768" i="1"/>
  <c r="V742" i="1"/>
  <c r="V741" i="1"/>
  <c r="V740" i="1"/>
  <c r="V743" i="1"/>
  <c r="W743" i="1" s="1"/>
  <c r="AL762" i="1"/>
  <c r="AM762" i="1" s="1"/>
  <c r="AR762" i="1" s="1"/>
  <c r="AD758" i="1"/>
  <c r="AE758" i="1" s="1"/>
  <c r="AF758" i="1" s="1"/>
  <c r="AE754" i="1"/>
  <c r="AF754" i="1" s="1"/>
  <c r="AA748" i="1"/>
  <c r="AB748" i="1" s="1"/>
  <c r="AA749" i="1"/>
  <c r="AB749" i="1" s="1"/>
  <c r="Z746" i="1"/>
  <c r="Z747" i="1"/>
  <c r="AA747" i="1" s="1"/>
  <c r="AB747" i="1" s="1"/>
  <c r="Q738" i="1"/>
  <c r="Y738" i="1" s="1"/>
  <c r="Q736" i="1"/>
  <c r="Y736" i="1" s="1"/>
  <c r="Q737" i="1"/>
  <c r="Y737" i="1" s="1"/>
  <c r="Q739" i="1"/>
  <c r="Y739" i="1" s="1"/>
  <c r="AC753" i="1"/>
  <c r="AD761" i="1"/>
  <c r="AE761" i="1" s="1"/>
  <c r="AF761" i="1" s="1"/>
  <c r="AD757" i="1"/>
  <c r="AE757" i="1" s="1"/>
  <c r="AF757" i="1" s="1"/>
  <c r="R740" i="1"/>
  <c r="U740" i="1" s="1"/>
  <c r="Z745" i="1"/>
  <c r="R743" i="1"/>
  <c r="U743" i="1" s="1"/>
  <c r="AC752" i="1"/>
  <c r="AC755" i="1"/>
  <c r="AC756" i="1"/>
  <c r="R741" i="1"/>
  <c r="U741" i="1" s="1"/>
  <c r="Z744" i="1"/>
  <c r="R742" i="1"/>
  <c r="U742" i="1" s="1"/>
  <c r="T169" i="24"/>
  <c r="S168" i="24"/>
  <c r="AG171" i="24"/>
  <c r="AI171" i="24" s="1"/>
  <c r="AJ171" i="24" s="1"/>
  <c r="W170" i="24"/>
  <c r="U170" i="24"/>
  <c r="V170" i="24" s="1"/>
  <c r="AB750" i="1" l="1"/>
  <c r="AG767" i="1"/>
  <c r="AR767" i="1"/>
  <c r="AV1343" i="1"/>
  <c r="AV1342" i="1" s="1"/>
  <c r="AV1341" i="1" s="1"/>
  <c r="AV1340" i="1" s="1"/>
  <c r="AV1339" i="1" s="1"/>
  <c r="AV1338" i="1" s="1"/>
  <c r="AV1337" i="1" s="1"/>
  <c r="AV1336" i="1" s="1"/>
  <c r="AV1335" i="1" s="1"/>
  <c r="AV1334" i="1" s="1"/>
  <c r="AV1333" i="1" s="1"/>
  <c r="AV1332" i="1" s="1"/>
  <c r="AV1331" i="1" s="1"/>
  <c r="AV1330" i="1" s="1"/>
  <c r="AV1329" i="1" s="1"/>
  <c r="AV1328" i="1" s="1"/>
  <c r="AV1327" i="1" s="1"/>
  <c r="AV1326" i="1" s="1"/>
  <c r="AV1325" i="1" s="1"/>
  <c r="AV1324" i="1" s="1"/>
  <c r="AV1323" i="1" s="1"/>
  <c r="AV1322" i="1" s="1"/>
  <c r="AV1321" i="1" s="1"/>
  <c r="AV1320" i="1" s="1"/>
  <c r="AV1319" i="1" s="1"/>
  <c r="AV1318" i="1" s="1"/>
  <c r="AV1317" i="1" s="1"/>
  <c r="AV1316" i="1" s="1"/>
  <c r="AV1315" i="1" s="1"/>
  <c r="AV1314" i="1" s="1"/>
  <c r="AV1313" i="1" s="1"/>
  <c r="AV1312" i="1" s="1"/>
  <c r="AV1311" i="1" s="1"/>
  <c r="AV1310" i="1" s="1"/>
  <c r="AV1309" i="1" s="1"/>
  <c r="AV1308" i="1" s="1"/>
  <c r="AV1307" i="1" s="1"/>
  <c r="AV1306" i="1" s="1"/>
  <c r="AV1305" i="1" s="1"/>
  <c r="AV1304" i="1" s="1"/>
  <c r="AV1303" i="1" s="1"/>
  <c r="AV1302" i="1" s="1"/>
  <c r="AV1301" i="1" s="1"/>
  <c r="AV1300" i="1" s="1"/>
  <c r="AV1299" i="1" s="1"/>
  <c r="AV1298" i="1" s="1"/>
  <c r="AV1297" i="1" s="1"/>
  <c r="AV1296" i="1" s="1"/>
  <c r="AV1295" i="1" s="1"/>
  <c r="AV1294" i="1" s="1"/>
  <c r="AV1293" i="1" s="1"/>
  <c r="AV1292" i="1" s="1"/>
  <c r="AV1291" i="1" s="1"/>
  <c r="AV1290" i="1" s="1"/>
  <c r="AV1289" i="1" s="1"/>
  <c r="AV1288" i="1" s="1"/>
  <c r="AV1287" i="1" s="1"/>
  <c r="AV1286" i="1" s="1"/>
  <c r="AV1285" i="1" s="1"/>
  <c r="AV1284" i="1" s="1"/>
  <c r="AV1283" i="1" s="1"/>
  <c r="AV1282" i="1" s="1"/>
  <c r="AV1281" i="1" s="1"/>
  <c r="AV1280" i="1" s="1"/>
  <c r="AV1279" i="1" s="1"/>
  <c r="AV1278" i="1" s="1"/>
  <c r="AV1277" i="1" s="1"/>
  <c r="AV1276" i="1" s="1"/>
  <c r="AV1275" i="1" s="1"/>
  <c r="AV1274" i="1" s="1"/>
  <c r="AV1273" i="1" s="1"/>
  <c r="AV1272" i="1" s="1"/>
  <c r="AV1271" i="1" s="1"/>
  <c r="AV1270" i="1" s="1"/>
  <c r="AV1269" i="1" s="1"/>
  <c r="AV1268" i="1" s="1"/>
  <c r="AV1267" i="1" s="1"/>
  <c r="AV1266" i="1" s="1"/>
  <c r="AV1265" i="1" s="1"/>
  <c r="AV1264" i="1" s="1"/>
  <c r="AV1263" i="1" s="1"/>
  <c r="AV1262" i="1" s="1"/>
  <c r="AV1261" i="1" s="1"/>
  <c r="AV1260" i="1" s="1"/>
  <c r="AV1259" i="1" s="1"/>
  <c r="AV1258" i="1" s="1"/>
  <c r="AV1257" i="1" s="1"/>
  <c r="AV1256" i="1" s="1"/>
  <c r="AV1255" i="1" s="1"/>
  <c r="AV1254" i="1" s="1"/>
  <c r="AV1253" i="1" s="1"/>
  <c r="AV1252" i="1" s="1"/>
  <c r="AV1251" i="1" s="1"/>
  <c r="AV1250" i="1" s="1"/>
  <c r="AV1249" i="1" s="1"/>
  <c r="AV1248" i="1" s="1"/>
  <c r="AV1247" i="1" s="1"/>
  <c r="AV1246" i="1" s="1"/>
  <c r="AV1245" i="1" s="1"/>
  <c r="AV1244" i="1" s="1"/>
  <c r="AV1243" i="1" s="1"/>
  <c r="AV1242" i="1" s="1"/>
  <c r="AV1241" i="1" s="1"/>
  <c r="AV1240" i="1" s="1"/>
  <c r="AV1239" i="1" s="1"/>
  <c r="AV1238" i="1" s="1"/>
  <c r="AV1237" i="1" s="1"/>
  <c r="AV1236" i="1" s="1"/>
  <c r="AV1235" i="1" s="1"/>
  <c r="AV1234" i="1" s="1"/>
  <c r="AV1233" i="1" s="1"/>
  <c r="AV1232" i="1" s="1"/>
  <c r="AV1231" i="1" s="1"/>
  <c r="AV1230" i="1" s="1"/>
  <c r="AV1229" i="1" s="1"/>
  <c r="AV1228" i="1" s="1"/>
  <c r="AV1227" i="1" s="1"/>
  <c r="AV1226" i="1" s="1"/>
  <c r="AV1225" i="1" s="1"/>
  <c r="AV1224" i="1" s="1"/>
  <c r="AV1223" i="1" s="1"/>
  <c r="AV1222" i="1" s="1"/>
  <c r="AV1221" i="1" s="1"/>
  <c r="AV1220" i="1" s="1"/>
  <c r="AV1219" i="1" s="1"/>
  <c r="AV1218" i="1" s="1"/>
  <c r="AV1217" i="1" s="1"/>
  <c r="AV1216" i="1" s="1"/>
  <c r="AV1215" i="1" s="1"/>
  <c r="AV1214" i="1" s="1"/>
  <c r="AV1213" i="1" s="1"/>
  <c r="AV1212" i="1" s="1"/>
  <c r="AV1211" i="1" s="1"/>
  <c r="AV1210" i="1" s="1"/>
  <c r="AV1209" i="1" s="1"/>
  <c r="AV1208" i="1" s="1"/>
  <c r="AV1207" i="1" s="1"/>
  <c r="AV1206" i="1" s="1"/>
  <c r="AV1205" i="1" s="1"/>
  <c r="AV1204" i="1" s="1"/>
  <c r="AV1203" i="1" s="1"/>
  <c r="AV1202" i="1" s="1"/>
  <c r="AV1201" i="1" s="1"/>
  <c r="AV1200" i="1" s="1"/>
  <c r="AV1199" i="1" s="1"/>
  <c r="AV1198" i="1" s="1"/>
  <c r="AV1197" i="1" s="1"/>
  <c r="AV1196" i="1" s="1"/>
  <c r="AV1195" i="1" s="1"/>
  <c r="AV1194" i="1" s="1"/>
  <c r="AV1193" i="1" s="1"/>
  <c r="AV1192" i="1" s="1"/>
  <c r="AV1191" i="1" s="1"/>
  <c r="AV1190" i="1" s="1"/>
  <c r="AV1189" i="1" s="1"/>
  <c r="AV1188" i="1" s="1"/>
  <c r="AV1187" i="1" s="1"/>
  <c r="AV1186" i="1" s="1"/>
  <c r="AV1185" i="1" s="1"/>
  <c r="AV1184" i="1" s="1"/>
  <c r="AV1183" i="1" s="1"/>
  <c r="AV1182" i="1" s="1"/>
  <c r="AV1181" i="1" s="1"/>
  <c r="AV1180" i="1" s="1"/>
  <c r="AV1179" i="1" s="1"/>
  <c r="AV1178" i="1" s="1"/>
  <c r="AV1177" i="1" s="1"/>
  <c r="AV1176" i="1" s="1"/>
  <c r="AV1175" i="1" s="1"/>
  <c r="AV1174" i="1" s="1"/>
  <c r="AV1173" i="1" s="1"/>
  <c r="AV1172" i="1" s="1"/>
  <c r="AV1171" i="1" s="1"/>
  <c r="AV1170" i="1" s="1"/>
  <c r="AV1169" i="1" s="1"/>
  <c r="AV1168" i="1" s="1"/>
  <c r="AV1167" i="1" s="1"/>
  <c r="AV1166" i="1" s="1"/>
  <c r="AV1165" i="1" s="1"/>
  <c r="AV1164" i="1" s="1"/>
  <c r="AV1163" i="1" s="1"/>
  <c r="AV1162" i="1" s="1"/>
  <c r="AV1161" i="1" s="1"/>
  <c r="AV1160" i="1" s="1"/>
  <c r="AV1159" i="1" s="1"/>
  <c r="AV1158" i="1" s="1"/>
  <c r="AV1157" i="1" s="1"/>
  <c r="AV1156" i="1" s="1"/>
  <c r="AV1155" i="1" s="1"/>
  <c r="AV1154" i="1" s="1"/>
  <c r="AV1153" i="1" s="1"/>
  <c r="AV1152" i="1" s="1"/>
  <c r="AV1151" i="1" s="1"/>
  <c r="AV1150" i="1" s="1"/>
  <c r="AV1149" i="1" s="1"/>
  <c r="AV1148" i="1" s="1"/>
  <c r="AV1147" i="1" s="1"/>
  <c r="AV1146" i="1" s="1"/>
  <c r="AV1145" i="1" s="1"/>
  <c r="AV1144" i="1" s="1"/>
  <c r="AV1143" i="1" s="1"/>
  <c r="AV1142" i="1" s="1"/>
  <c r="AV1141" i="1" s="1"/>
  <c r="AV1140" i="1" s="1"/>
  <c r="AV1139" i="1" s="1"/>
  <c r="AV1138" i="1" s="1"/>
  <c r="AV1137" i="1" s="1"/>
  <c r="AV1136" i="1" s="1"/>
  <c r="AV1135" i="1" s="1"/>
  <c r="AV1134" i="1" s="1"/>
  <c r="AV1133" i="1" s="1"/>
  <c r="AV1132" i="1" s="1"/>
  <c r="AV1131" i="1" s="1"/>
  <c r="AV1130" i="1" s="1"/>
  <c r="AV1129" i="1" s="1"/>
  <c r="AV1128" i="1" s="1"/>
  <c r="AV1127" i="1" s="1"/>
  <c r="AV1126" i="1" s="1"/>
  <c r="AV1125" i="1" s="1"/>
  <c r="AV1124" i="1" s="1"/>
  <c r="AV1123" i="1" s="1"/>
  <c r="AV1122" i="1" s="1"/>
  <c r="AV1121" i="1" s="1"/>
  <c r="AV1120" i="1" s="1"/>
  <c r="AV1119" i="1" s="1"/>
  <c r="AV1118" i="1" s="1"/>
  <c r="AV1117" i="1" s="1"/>
  <c r="AV1116" i="1" s="1"/>
  <c r="AV1115" i="1" s="1"/>
  <c r="AV1114" i="1" s="1"/>
  <c r="AV1113" i="1" s="1"/>
  <c r="AV1112" i="1" s="1"/>
  <c r="AV1111" i="1" s="1"/>
  <c r="AV1110" i="1" s="1"/>
  <c r="AV1109" i="1" s="1"/>
  <c r="AV1108" i="1" s="1"/>
  <c r="AV1107" i="1" s="1"/>
  <c r="AV1106" i="1" s="1"/>
  <c r="AV1105" i="1" s="1"/>
  <c r="AV1104" i="1" s="1"/>
  <c r="AV1103" i="1" s="1"/>
  <c r="AV1102" i="1" s="1"/>
  <c r="AV1101" i="1" s="1"/>
  <c r="AV1100" i="1" s="1"/>
  <c r="AV1099" i="1" s="1"/>
  <c r="AV1098" i="1" s="1"/>
  <c r="AV1097" i="1" s="1"/>
  <c r="AV1096" i="1" s="1"/>
  <c r="AV1095" i="1" s="1"/>
  <c r="AV1094" i="1" s="1"/>
  <c r="AV1093" i="1" s="1"/>
  <c r="AV1092" i="1" s="1"/>
  <c r="AV1091" i="1" s="1"/>
  <c r="AV1090" i="1" s="1"/>
  <c r="AV1089" i="1" s="1"/>
  <c r="AV1088" i="1" s="1"/>
  <c r="AV1087" i="1" s="1"/>
  <c r="AV1086" i="1" s="1"/>
  <c r="AV1085" i="1" s="1"/>
  <c r="AV1084" i="1" s="1"/>
  <c r="AV1083" i="1" s="1"/>
  <c r="AV1082" i="1" s="1"/>
  <c r="AV1081" i="1" s="1"/>
  <c r="AV1080" i="1" s="1"/>
  <c r="AV1079" i="1" s="1"/>
  <c r="AV1078" i="1" s="1"/>
  <c r="AV1077" i="1" s="1"/>
  <c r="AV1076" i="1" s="1"/>
  <c r="AV1075" i="1" s="1"/>
  <c r="AV1074" i="1" s="1"/>
  <c r="AV1073" i="1" s="1"/>
  <c r="AV1072" i="1" s="1"/>
  <c r="AV1071" i="1" s="1"/>
  <c r="AV1070" i="1" s="1"/>
  <c r="AV1069" i="1" s="1"/>
  <c r="AV1068" i="1" s="1"/>
  <c r="AV1067" i="1" s="1"/>
  <c r="AV1066" i="1" s="1"/>
  <c r="AV1065" i="1" s="1"/>
  <c r="AV1064" i="1" s="1"/>
  <c r="AV1063" i="1" s="1"/>
  <c r="AV1062" i="1" s="1"/>
  <c r="AV1061" i="1" s="1"/>
  <c r="AV1060" i="1" s="1"/>
  <c r="AV1059" i="1" s="1"/>
  <c r="AV1058" i="1" s="1"/>
  <c r="AV1057" i="1" s="1"/>
  <c r="AV1056" i="1" s="1"/>
  <c r="AV1055" i="1" s="1"/>
  <c r="AV1054" i="1" s="1"/>
  <c r="AV1053" i="1" s="1"/>
  <c r="AV1052" i="1" s="1"/>
  <c r="AV1051" i="1" s="1"/>
  <c r="AV1050" i="1" s="1"/>
  <c r="AV1049" i="1" s="1"/>
  <c r="AV1048" i="1" s="1"/>
  <c r="AV1047" i="1" s="1"/>
  <c r="AV1046" i="1" s="1"/>
  <c r="AV1045" i="1" s="1"/>
  <c r="AV1044" i="1" s="1"/>
  <c r="AV1043" i="1" s="1"/>
  <c r="AV1042" i="1" s="1"/>
  <c r="AV1041" i="1" s="1"/>
  <c r="AV1040" i="1" s="1"/>
  <c r="AV1039" i="1" s="1"/>
  <c r="AV1038" i="1" s="1"/>
  <c r="AV1037" i="1" s="1"/>
  <c r="AV1036" i="1" s="1"/>
  <c r="AV1035" i="1" s="1"/>
  <c r="AV1034" i="1" s="1"/>
  <c r="AV1033" i="1" s="1"/>
  <c r="AV1032" i="1" s="1"/>
  <c r="AV1031" i="1" s="1"/>
  <c r="AV1030" i="1" s="1"/>
  <c r="AV1029" i="1" s="1"/>
  <c r="AV1028" i="1" s="1"/>
  <c r="AV1027" i="1" s="1"/>
  <c r="AV1026" i="1" s="1"/>
  <c r="AV1025" i="1" s="1"/>
  <c r="AV1024" i="1" s="1"/>
  <c r="AV1023" i="1" s="1"/>
  <c r="AV1022" i="1" s="1"/>
  <c r="AV1021" i="1" s="1"/>
  <c r="AV1020" i="1" s="1"/>
  <c r="AV1019" i="1" s="1"/>
  <c r="AV1018" i="1" s="1"/>
  <c r="AV1017" i="1" s="1"/>
  <c r="AV1016" i="1" s="1"/>
  <c r="AV1015" i="1" s="1"/>
  <c r="AV1014" i="1" s="1"/>
  <c r="AV1013" i="1" s="1"/>
  <c r="AV1012" i="1" s="1"/>
  <c r="AV1011" i="1" s="1"/>
  <c r="AV1010" i="1" s="1"/>
  <c r="AV1009" i="1" s="1"/>
  <c r="AV1008" i="1" s="1"/>
  <c r="AV1007" i="1" s="1"/>
  <c r="AV1006" i="1" s="1"/>
  <c r="AV1005" i="1" s="1"/>
  <c r="AV1004" i="1" s="1"/>
  <c r="AV1003" i="1" s="1"/>
  <c r="AV1002" i="1" s="1"/>
  <c r="AV1001" i="1" s="1"/>
  <c r="AV1000" i="1" s="1"/>
  <c r="AV999" i="1" s="1"/>
  <c r="AV998" i="1" s="1"/>
  <c r="AV997" i="1" s="1"/>
  <c r="AV996" i="1" s="1"/>
  <c r="AV995" i="1" s="1"/>
  <c r="AV994" i="1" s="1"/>
  <c r="AV993" i="1" s="1"/>
  <c r="AV992" i="1" s="1"/>
  <c r="AV991" i="1" s="1"/>
  <c r="AV990" i="1" s="1"/>
  <c r="AV989" i="1" s="1"/>
  <c r="AV988" i="1" s="1"/>
  <c r="AV987" i="1" s="1"/>
  <c r="AV986" i="1" s="1"/>
  <c r="AV985" i="1" s="1"/>
  <c r="AV984" i="1" s="1"/>
  <c r="AV983" i="1" s="1"/>
  <c r="AV982" i="1" s="1"/>
  <c r="AV981" i="1" s="1"/>
  <c r="AV980" i="1" s="1"/>
  <c r="AV979" i="1" s="1"/>
  <c r="AV978" i="1" s="1"/>
  <c r="AV977" i="1" s="1"/>
  <c r="AV976" i="1" s="1"/>
  <c r="AV975" i="1" s="1"/>
  <c r="AV974" i="1" s="1"/>
  <c r="AV973" i="1" s="1"/>
  <c r="AV972" i="1" s="1"/>
  <c r="AV971" i="1" s="1"/>
  <c r="AV970" i="1" s="1"/>
  <c r="AV969" i="1" s="1"/>
  <c r="AV968" i="1" s="1"/>
  <c r="AV967" i="1" s="1"/>
  <c r="AV966" i="1" s="1"/>
  <c r="AV965" i="1" s="1"/>
  <c r="AV964" i="1" s="1"/>
  <c r="AV963" i="1" s="1"/>
  <c r="AV962" i="1" s="1"/>
  <c r="AV961" i="1" s="1"/>
  <c r="AV960" i="1" s="1"/>
  <c r="AV959" i="1" s="1"/>
  <c r="AV958" i="1" s="1"/>
  <c r="AV957" i="1" s="1"/>
  <c r="AV956" i="1" s="1"/>
  <c r="AV955" i="1" s="1"/>
  <c r="AV954" i="1" s="1"/>
  <c r="AV953" i="1" s="1"/>
  <c r="AV952" i="1" s="1"/>
  <c r="AV951" i="1" s="1"/>
  <c r="AV950" i="1" s="1"/>
  <c r="AV949" i="1" s="1"/>
  <c r="AV948" i="1" s="1"/>
  <c r="AV947" i="1" s="1"/>
  <c r="AV946" i="1" s="1"/>
  <c r="AV945" i="1" s="1"/>
  <c r="AV944" i="1" s="1"/>
  <c r="AV943" i="1" s="1"/>
  <c r="AV942" i="1" s="1"/>
  <c r="AV941" i="1" s="1"/>
  <c r="AV940" i="1" s="1"/>
  <c r="AV939" i="1" s="1"/>
  <c r="AV938" i="1" s="1"/>
  <c r="AV937" i="1" s="1"/>
  <c r="AV936" i="1" s="1"/>
  <c r="AV935" i="1" s="1"/>
  <c r="AV934" i="1" s="1"/>
  <c r="AV933" i="1" s="1"/>
  <c r="AV932" i="1" s="1"/>
  <c r="AV931" i="1" s="1"/>
  <c r="AV930" i="1" s="1"/>
  <c r="AV929" i="1" s="1"/>
  <c r="AV928" i="1" s="1"/>
  <c r="AV927" i="1" s="1"/>
  <c r="AV926" i="1" s="1"/>
  <c r="AV925" i="1" s="1"/>
  <c r="AV924" i="1" s="1"/>
  <c r="AV923" i="1" s="1"/>
  <c r="AV922" i="1" s="1"/>
  <c r="AV921" i="1" s="1"/>
  <c r="AV920" i="1" s="1"/>
  <c r="AV919" i="1" s="1"/>
  <c r="AV918" i="1" s="1"/>
  <c r="AV917" i="1" s="1"/>
  <c r="AV916" i="1" s="1"/>
  <c r="AV915" i="1" s="1"/>
  <c r="AV914" i="1" s="1"/>
  <c r="AV913" i="1" s="1"/>
  <c r="AV912" i="1" s="1"/>
  <c r="AV911" i="1" s="1"/>
  <c r="AV910" i="1" s="1"/>
  <c r="AV909" i="1" s="1"/>
  <c r="AV908" i="1" s="1"/>
  <c r="AV907" i="1" s="1"/>
  <c r="AV906" i="1" s="1"/>
  <c r="AV905" i="1" s="1"/>
  <c r="AV904" i="1" s="1"/>
  <c r="AV903" i="1" s="1"/>
  <c r="AV902" i="1" s="1"/>
  <c r="AV901" i="1" s="1"/>
  <c r="AV900" i="1" s="1"/>
  <c r="AV899" i="1" s="1"/>
  <c r="AV898" i="1" s="1"/>
  <c r="AV897" i="1" s="1"/>
  <c r="AV896" i="1" s="1"/>
  <c r="AV895" i="1" s="1"/>
  <c r="AV894" i="1" s="1"/>
  <c r="AV893" i="1" s="1"/>
  <c r="AV892" i="1" s="1"/>
  <c r="AV891" i="1" s="1"/>
  <c r="AV890" i="1" s="1"/>
  <c r="AV889" i="1" s="1"/>
  <c r="AV888" i="1" s="1"/>
  <c r="AV887" i="1" s="1"/>
  <c r="AV886" i="1" s="1"/>
  <c r="AV885" i="1" s="1"/>
  <c r="AV884" i="1" s="1"/>
  <c r="AV883" i="1" s="1"/>
  <c r="AV882" i="1" s="1"/>
  <c r="AV881" i="1" s="1"/>
  <c r="AV880" i="1" s="1"/>
  <c r="AV879" i="1" s="1"/>
  <c r="AV878" i="1" s="1"/>
  <c r="AV877" i="1" s="1"/>
  <c r="AV876" i="1" s="1"/>
  <c r="AV875" i="1" s="1"/>
  <c r="AV874" i="1" s="1"/>
  <c r="AV873" i="1" s="1"/>
  <c r="AV872" i="1" s="1"/>
  <c r="AV871" i="1" s="1"/>
  <c r="AV870" i="1" s="1"/>
  <c r="AV869" i="1" s="1"/>
  <c r="AV868" i="1" s="1"/>
  <c r="AV867" i="1" s="1"/>
  <c r="AV866" i="1" s="1"/>
  <c r="AV865" i="1" s="1"/>
  <c r="AV864" i="1" s="1"/>
  <c r="AV863" i="1" s="1"/>
  <c r="AV862" i="1" s="1"/>
  <c r="AV861" i="1" s="1"/>
  <c r="AV860" i="1" s="1"/>
  <c r="AV859" i="1" s="1"/>
  <c r="AV858" i="1" s="1"/>
  <c r="AV857" i="1" s="1"/>
  <c r="AV856" i="1" s="1"/>
  <c r="AV855" i="1" s="1"/>
  <c r="AV854" i="1" s="1"/>
  <c r="AV853" i="1" s="1"/>
  <c r="AV852" i="1" s="1"/>
  <c r="AV851" i="1" s="1"/>
  <c r="AV850" i="1" s="1"/>
  <c r="AV849" i="1" s="1"/>
  <c r="AV848" i="1" s="1"/>
  <c r="AV847" i="1" s="1"/>
  <c r="AV846" i="1" s="1"/>
  <c r="AV845" i="1" s="1"/>
  <c r="AV844" i="1" s="1"/>
  <c r="AV843" i="1" s="1"/>
  <c r="AV842" i="1" s="1"/>
  <c r="AV841" i="1" s="1"/>
  <c r="AV840" i="1" s="1"/>
  <c r="AV839" i="1" s="1"/>
  <c r="AV838" i="1" s="1"/>
  <c r="AV837" i="1" s="1"/>
  <c r="AV836" i="1" s="1"/>
  <c r="AV835" i="1" s="1"/>
  <c r="AV834" i="1" s="1"/>
  <c r="AV833" i="1" s="1"/>
  <c r="AV832" i="1" s="1"/>
  <c r="AV831" i="1" s="1"/>
  <c r="AV830" i="1" s="1"/>
  <c r="AV829" i="1" s="1"/>
  <c r="AV828" i="1" s="1"/>
  <c r="AV827" i="1" s="1"/>
  <c r="AV826" i="1" s="1"/>
  <c r="AV825" i="1" s="1"/>
  <c r="AV824" i="1" s="1"/>
  <c r="AV823" i="1" s="1"/>
  <c r="AV822" i="1" s="1"/>
  <c r="AV821" i="1" s="1"/>
  <c r="AV820" i="1" s="1"/>
  <c r="AV819" i="1" s="1"/>
  <c r="AV818" i="1" s="1"/>
  <c r="AV817" i="1" s="1"/>
  <c r="AV816" i="1" s="1"/>
  <c r="AV815" i="1" s="1"/>
  <c r="AV814" i="1" s="1"/>
  <c r="AV813" i="1" s="1"/>
  <c r="AV812" i="1" s="1"/>
  <c r="AV811" i="1" s="1"/>
  <c r="AV810" i="1" s="1"/>
  <c r="AV809" i="1" s="1"/>
  <c r="AV808" i="1" s="1"/>
  <c r="AV807" i="1" s="1"/>
  <c r="AV806" i="1" s="1"/>
  <c r="AV805" i="1" s="1"/>
  <c r="AV804" i="1" s="1"/>
  <c r="AV803" i="1" s="1"/>
  <c r="AV802" i="1" s="1"/>
  <c r="AV801" i="1" s="1"/>
  <c r="AV800" i="1" s="1"/>
  <c r="AV799" i="1" s="1"/>
  <c r="AV798" i="1" s="1"/>
  <c r="AV797" i="1" s="1"/>
  <c r="AV796" i="1" s="1"/>
  <c r="AV795" i="1" s="1"/>
  <c r="AV794" i="1" s="1"/>
  <c r="AV793" i="1" s="1"/>
  <c r="AV792" i="1" s="1"/>
  <c r="AV791" i="1" s="1"/>
  <c r="AV790" i="1" s="1"/>
  <c r="AV789" i="1" s="1"/>
  <c r="AV788" i="1" s="1"/>
  <c r="AV787" i="1" s="1"/>
  <c r="AV786" i="1" s="1"/>
  <c r="AV785" i="1" s="1"/>
  <c r="AV784" i="1" s="1"/>
  <c r="AV783" i="1" s="1"/>
  <c r="AV782" i="1" s="1"/>
  <c r="AV781" i="1" s="1"/>
  <c r="AV780" i="1" s="1"/>
  <c r="AV779" i="1" s="1"/>
  <c r="AV778" i="1" s="1"/>
  <c r="AV777" i="1" s="1"/>
  <c r="AV776" i="1" s="1"/>
  <c r="AV775" i="1" s="1"/>
  <c r="AV774" i="1" s="1"/>
  <c r="AV773" i="1" s="1"/>
  <c r="AV772" i="1" s="1"/>
  <c r="AV771" i="1" s="1"/>
  <c r="AV770" i="1" s="1"/>
  <c r="AV769" i="1" s="1"/>
  <c r="AV768" i="1" s="1"/>
  <c r="AV767" i="1" s="1"/>
  <c r="AV766" i="1" s="1"/>
  <c r="AV765" i="1" s="1"/>
  <c r="AV764" i="1" s="1"/>
  <c r="AV763" i="1" s="1"/>
  <c r="AV762" i="1" s="1"/>
  <c r="AV761" i="1" s="1"/>
  <c r="AV760" i="1" s="1"/>
  <c r="AC750" i="1"/>
  <c r="AC748" i="1"/>
  <c r="X745" i="1"/>
  <c r="X746" i="1"/>
  <c r="AC749" i="1"/>
  <c r="Z743" i="1"/>
  <c r="AA743" i="1" s="1"/>
  <c r="AG762" i="1"/>
  <c r="W740" i="1"/>
  <c r="W742" i="1"/>
  <c r="X742" i="1" s="1"/>
  <c r="X743" i="1"/>
  <c r="W741" i="1"/>
  <c r="X744" i="1"/>
  <c r="V738" i="1"/>
  <c r="Z739" i="1"/>
  <c r="V739" i="1"/>
  <c r="W739" i="1" s="1"/>
  <c r="V737" i="1"/>
  <c r="V736" i="1"/>
  <c r="AL759" i="1"/>
  <c r="AL758" i="1"/>
  <c r="AM758" i="1" s="1"/>
  <c r="AR758" i="1" s="1"/>
  <c r="AL757" i="1"/>
  <c r="AM757" i="1" s="1"/>
  <c r="AR757" i="1" s="1"/>
  <c r="AL761" i="1"/>
  <c r="AM761" i="1" s="1"/>
  <c r="AR761" i="1" s="1"/>
  <c r="AL760" i="1"/>
  <c r="AA745" i="1"/>
  <c r="AB745" i="1" s="1"/>
  <c r="AA744" i="1"/>
  <c r="AB744" i="1" s="1"/>
  <c r="AA746" i="1"/>
  <c r="Z742" i="1"/>
  <c r="Z740" i="1"/>
  <c r="AC747" i="1"/>
  <c r="R738" i="1"/>
  <c r="U738" i="1" s="1"/>
  <c r="AD756" i="1"/>
  <c r="AE756" i="1" s="1"/>
  <c r="AF756" i="1" s="1"/>
  <c r="AD751" i="1"/>
  <c r="AE751" i="1" s="1"/>
  <c r="AF751" i="1" s="1"/>
  <c r="Z741" i="1"/>
  <c r="AD752" i="1"/>
  <c r="AE752" i="1" s="1"/>
  <c r="AF752" i="1" s="1"/>
  <c r="R739" i="1"/>
  <c r="U739" i="1" s="1"/>
  <c r="AD755" i="1"/>
  <c r="AE755" i="1" s="1"/>
  <c r="AF755" i="1" s="1"/>
  <c r="AD753" i="1"/>
  <c r="AE753" i="1" s="1"/>
  <c r="AF753" i="1" s="1"/>
  <c r="R737" i="1"/>
  <c r="U737" i="1" s="1"/>
  <c r="Q733" i="1"/>
  <c r="Y733" i="1" s="1"/>
  <c r="Q731" i="1"/>
  <c r="Y731" i="1" s="1"/>
  <c r="Q735" i="1"/>
  <c r="Y735" i="1" s="1"/>
  <c r="Q734" i="1"/>
  <c r="Y734" i="1" s="1"/>
  <c r="Q732" i="1"/>
  <c r="Y732" i="1" s="1"/>
  <c r="AD750" i="1"/>
  <c r="AE750" i="1" s="1"/>
  <c r="AF750" i="1" s="1"/>
  <c r="R736" i="1"/>
  <c r="U736" i="1" s="1"/>
  <c r="AG170" i="24"/>
  <c r="AI170" i="24" s="1"/>
  <c r="AJ170" i="24" s="1"/>
  <c r="W169" i="24"/>
  <c r="U169" i="24"/>
  <c r="V169" i="24" s="1"/>
  <c r="S167" i="24"/>
  <c r="T168" i="24"/>
  <c r="AB746" i="1" l="1"/>
  <c r="AB743" i="1"/>
  <c r="AC743" i="1" s="1"/>
  <c r="AM760" i="1"/>
  <c r="AM759" i="1"/>
  <c r="AA742" i="1"/>
  <c r="W738" i="1"/>
  <c r="X738" i="1" s="1"/>
  <c r="AC744" i="1"/>
  <c r="AD744" i="1" s="1"/>
  <c r="AE744" i="1" s="1"/>
  <c r="AF744" i="1" s="1"/>
  <c r="W737" i="1"/>
  <c r="AC746" i="1"/>
  <c r="AD746" i="1" s="1"/>
  <c r="AE746" i="1" s="1"/>
  <c r="AF746" i="1" s="1"/>
  <c r="AG757" i="1"/>
  <c r="X740" i="1"/>
  <c r="W736" i="1"/>
  <c r="X739" i="1"/>
  <c r="AG761" i="1"/>
  <c r="AG758" i="1"/>
  <c r="X741" i="1"/>
  <c r="V731" i="1"/>
  <c r="V735" i="1"/>
  <c r="W735" i="1" s="1"/>
  <c r="V733" i="1"/>
  <c r="V732" i="1"/>
  <c r="V734" i="1"/>
  <c r="AL756" i="1"/>
  <c r="AM756" i="1" s="1"/>
  <c r="AR756" i="1" s="1"/>
  <c r="AL751" i="1"/>
  <c r="AM751" i="1" s="1"/>
  <c r="AR751" i="1" s="1"/>
  <c r="AL750" i="1"/>
  <c r="AM750" i="1" s="1"/>
  <c r="AR750" i="1" s="1"/>
  <c r="AL753" i="1"/>
  <c r="AM753" i="1" s="1"/>
  <c r="AR753" i="1" s="1"/>
  <c r="AL755" i="1"/>
  <c r="AM755" i="1" s="1"/>
  <c r="AR755" i="1" s="1"/>
  <c r="AL752" i="1"/>
  <c r="AM752" i="1" s="1"/>
  <c r="AR752" i="1" s="1"/>
  <c r="AL754" i="1"/>
  <c r="AA741" i="1"/>
  <c r="Z736" i="1"/>
  <c r="Z737" i="1"/>
  <c r="AA739" i="1"/>
  <c r="AB739" i="1" s="1"/>
  <c r="R734" i="1"/>
  <c r="U734" i="1" s="1"/>
  <c r="R735" i="1"/>
  <c r="U735" i="1" s="1"/>
  <c r="R731" i="1"/>
  <c r="U731" i="1" s="1"/>
  <c r="Z738" i="1"/>
  <c r="AA738" i="1" s="1"/>
  <c r="AB738" i="1" s="1"/>
  <c r="R733" i="1"/>
  <c r="U733" i="1" s="1"/>
  <c r="AD748" i="1"/>
  <c r="AE748" i="1" s="1"/>
  <c r="AF748" i="1" s="1"/>
  <c r="AD747" i="1"/>
  <c r="AE747" i="1" s="1"/>
  <c r="AF747" i="1" s="1"/>
  <c r="Q728" i="1"/>
  <c r="Y728" i="1" s="1"/>
  <c r="Q730" i="1"/>
  <c r="Y730" i="1" s="1"/>
  <c r="Q729" i="1"/>
  <c r="Y729" i="1" s="1"/>
  <c r="Q727" i="1"/>
  <c r="Y727" i="1" s="1"/>
  <c r="AD749" i="1"/>
  <c r="AE749" i="1" s="1"/>
  <c r="AF749" i="1" s="1"/>
  <c r="AA740" i="1"/>
  <c r="AB740" i="1" s="1"/>
  <c r="R732" i="1"/>
  <c r="U732" i="1" s="1"/>
  <c r="AC745" i="1"/>
  <c r="T167" i="24"/>
  <c r="S166" i="24"/>
  <c r="W168" i="24"/>
  <c r="U168" i="24"/>
  <c r="V168" i="24" s="1"/>
  <c r="AG169" i="24"/>
  <c r="AI169" i="24" s="1"/>
  <c r="AJ169" i="24" s="1"/>
  <c r="AB741" i="1" l="1"/>
  <c r="AG759" i="1"/>
  <c r="AR759" i="1"/>
  <c r="AG760" i="1"/>
  <c r="AR760" i="1"/>
  <c r="AV759" i="1" s="1"/>
  <c r="AV758" i="1" s="1"/>
  <c r="AV757" i="1" s="1"/>
  <c r="AV756" i="1" s="1"/>
  <c r="AV755" i="1" s="1"/>
  <c r="AV754" i="1" s="1"/>
  <c r="AB742" i="1"/>
  <c r="AC742" i="1" s="1"/>
  <c r="AD742" i="1" s="1"/>
  <c r="AE742" i="1" s="1"/>
  <c r="AF742" i="1" s="1"/>
  <c r="AM754" i="1"/>
  <c r="X737" i="1"/>
  <c r="AC739" i="1"/>
  <c r="W734" i="1"/>
  <c r="X734" i="1" s="1"/>
  <c r="X735" i="1"/>
  <c r="X736" i="1"/>
  <c r="W732" i="1"/>
  <c r="AC741" i="1"/>
  <c r="Z735" i="1"/>
  <c r="AA735" i="1" s="1"/>
  <c r="AB735" i="1" s="1"/>
  <c r="AG755" i="1"/>
  <c r="AG750" i="1"/>
  <c r="AG756" i="1"/>
  <c r="W733" i="1"/>
  <c r="W731" i="1"/>
  <c r="AG752" i="1"/>
  <c r="AG753" i="1"/>
  <c r="AG751" i="1"/>
  <c r="V728" i="1"/>
  <c r="V729" i="1"/>
  <c r="V730" i="1"/>
  <c r="W730" i="1" s="1"/>
  <c r="V727" i="1"/>
  <c r="AL746" i="1"/>
  <c r="AM746" i="1" s="1"/>
  <c r="AR746" i="1" s="1"/>
  <c r="AL748" i="1"/>
  <c r="AM748" i="1" s="1"/>
  <c r="AR748" i="1" s="1"/>
  <c r="AL749" i="1"/>
  <c r="AM749" i="1" s="1"/>
  <c r="AR749" i="1" s="1"/>
  <c r="AL747" i="1"/>
  <c r="AM747" i="1" s="1"/>
  <c r="AR747" i="1" s="1"/>
  <c r="Z732" i="1"/>
  <c r="Z734" i="1"/>
  <c r="Z731" i="1"/>
  <c r="AA736" i="1"/>
  <c r="AB736" i="1" s="1"/>
  <c r="R727" i="1"/>
  <c r="U727" i="1" s="1"/>
  <c r="R729" i="1"/>
  <c r="U729" i="1" s="1"/>
  <c r="AA737" i="1"/>
  <c r="AB737" i="1" s="1"/>
  <c r="Q722" i="1"/>
  <c r="Y722" i="1" s="1"/>
  <c r="Q723" i="1"/>
  <c r="Y723" i="1" s="1"/>
  <c r="Q724" i="1"/>
  <c r="Y724" i="1" s="1"/>
  <c r="Q726" i="1"/>
  <c r="Y726" i="1" s="1"/>
  <c r="Q725" i="1"/>
  <c r="Y725" i="1" s="1"/>
  <c r="R730" i="1"/>
  <c r="U730" i="1" s="1"/>
  <c r="AD743" i="1"/>
  <c r="AE743" i="1" s="1"/>
  <c r="AF743" i="1" s="1"/>
  <c r="AD745" i="1"/>
  <c r="AE745" i="1" s="1"/>
  <c r="AF745" i="1" s="1"/>
  <c r="R728" i="1"/>
  <c r="U728" i="1" s="1"/>
  <c r="Z733" i="1"/>
  <c r="W167" i="24"/>
  <c r="U167" i="24"/>
  <c r="V167" i="24" s="1"/>
  <c r="AG168" i="24"/>
  <c r="AI168" i="24" s="1"/>
  <c r="AJ168" i="24" s="1"/>
  <c r="S165" i="24"/>
  <c r="T166" i="24"/>
  <c r="AG754" i="1" l="1"/>
  <c r="AR754" i="1"/>
  <c r="AV753" i="1" s="1"/>
  <c r="AV752" i="1" s="1"/>
  <c r="AV751" i="1" s="1"/>
  <c r="AV750" i="1" s="1"/>
  <c r="AV749" i="1" s="1"/>
  <c r="AV748" i="1" s="1"/>
  <c r="AV747" i="1" s="1"/>
  <c r="AV746" i="1" s="1"/>
  <c r="AV745" i="1" s="1"/>
  <c r="X733" i="1"/>
  <c r="AA734" i="1"/>
  <c r="X732" i="1"/>
  <c r="Z730" i="1"/>
  <c r="AA730" i="1" s="1"/>
  <c r="X731" i="1"/>
  <c r="AG749" i="1"/>
  <c r="AG746" i="1"/>
  <c r="W727" i="1"/>
  <c r="W729" i="1"/>
  <c r="X729" i="1" s="1"/>
  <c r="AG747" i="1"/>
  <c r="AG748" i="1"/>
  <c r="X730" i="1"/>
  <c r="W728" i="1"/>
  <c r="V725" i="1"/>
  <c r="Z726" i="1"/>
  <c r="V726" i="1"/>
  <c r="W726" i="1" s="1"/>
  <c r="V724" i="1"/>
  <c r="V723" i="1"/>
  <c r="V722" i="1"/>
  <c r="AL742" i="1"/>
  <c r="AM742" i="1" s="1"/>
  <c r="AR742" i="1" s="1"/>
  <c r="AL745" i="1"/>
  <c r="AM745" i="1" s="1"/>
  <c r="AR745" i="1" s="1"/>
  <c r="AL743" i="1"/>
  <c r="AM743" i="1" s="1"/>
  <c r="AR743" i="1" s="1"/>
  <c r="AL744" i="1"/>
  <c r="AA733" i="1"/>
  <c r="AB733" i="1" s="1"/>
  <c r="Z728" i="1"/>
  <c r="R726" i="1"/>
  <c r="U726" i="1" s="1"/>
  <c r="R724" i="1"/>
  <c r="U724" i="1" s="1"/>
  <c r="R723" i="1"/>
  <c r="U723" i="1" s="1"/>
  <c r="R722" i="1"/>
  <c r="U722" i="1" s="1"/>
  <c r="AD739" i="1"/>
  <c r="AE739" i="1" s="1"/>
  <c r="AF739" i="1" s="1"/>
  <c r="Z727" i="1"/>
  <c r="AC738" i="1"/>
  <c r="AD741" i="1"/>
  <c r="AE741" i="1" s="1"/>
  <c r="AF741" i="1" s="1"/>
  <c r="Q721" i="1"/>
  <c r="Y721" i="1" s="1"/>
  <c r="Q719" i="1"/>
  <c r="Y719" i="1" s="1"/>
  <c r="Q720" i="1"/>
  <c r="Y720" i="1" s="1"/>
  <c r="Q718" i="1"/>
  <c r="Y718" i="1" s="1"/>
  <c r="R725" i="1"/>
  <c r="U725" i="1" s="1"/>
  <c r="Z729" i="1"/>
  <c r="AA729" i="1" s="1"/>
  <c r="AB729" i="1" s="1"/>
  <c r="AC740" i="1"/>
  <c r="AA731" i="1"/>
  <c r="AA732" i="1"/>
  <c r="AG167" i="24"/>
  <c r="AI167" i="24" s="1"/>
  <c r="AJ167" i="24" s="1"/>
  <c r="S164" i="24"/>
  <c r="T165" i="24"/>
  <c r="W166" i="24"/>
  <c r="U166" i="24"/>
  <c r="V166" i="24" s="1"/>
  <c r="AB731" i="1" l="1"/>
  <c r="AV744" i="1"/>
  <c r="AB730" i="1"/>
  <c r="AC730" i="1" s="1"/>
  <c r="AD730" i="1" s="1"/>
  <c r="AE730" i="1" s="1"/>
  <c r="AF730" i="1" s="1"/>
  <c r="AB732" i="1"/>
  <c r="AB734" i="1"/>
  <c r="AC734" i="1" s="1"/>
  <c r="AD734" i="1" s="1"/>
  <c r="AE734" i="1" s="1"/>
  <c r="AF734" i="1" s="1"/>
  <c r="AM744" i="1"/>
  <c r="X726" i="1"/>
  <c r="X728" i="1"/>
  <c r="W724" i="1"/>
  <c r="W722" i="1"/>
  <c r="W725" i="1"/>
  <c r="X725" i="1" s="1"/>
  <c r="AG745" i="1"/>
  <c r="W723" i="1"/>
  <c r="AG743" i="1"/>
  <c r="AG742" i="1"/>
  <c r="X727" i="1"/>
  <c r="V720" i="1"/>
  <c r="V721" i="1"/>
  <c r="W721" i="1" s="1"/>
  <c r="V719" i="1"/>
  <c r="V718" i="1"/>
  <c r="AL741" i="1"/>
  <c r="AM741" i="1" s="1"/>
  <c r="AR741" i="1" s="1"/>
  <c r="Z725" i="1"/>
  <c r="AA725" i="1" s="1"/>
  <c r="AB725" i="1" s="1"/>
  <c r="R719" i="1"/>
  <c r="U719" i="1" s="1"/>
  <c r="R721" i="1"/>
  <c r="U721" i="1" s="1"/>
  <c r="AA727" i="1"/>
  <c r="Z723" i="1"/>
  <c r="AA726" i="1"/>
  <c r="AC733" i="1"/>
  <c r="Q714" i="1"/>
  <c r="Y714" i="1" s="1"/>
  <c r="Q715" i="1"/>
  <c r="Y715" i="1" s="1"/>
  <c r="Q716" i="1"/>
  <c r="Y716" i="1" s="1"/>
  <c r="Q717" i="1"/>
  <c r="Y717" i="1" s="1"/>
  <c r="AC735" i="1"/>
  <c r="AD740" i="1"/>
  <c r="AE740" i="1" s="1"/>
  <c r="AF740" i="1" s="1"/>
  <c r="AC737" i="1"/>
  <c r="AA728" i="1"/>
  <c r="AB728" i="1" s="1"/>
  <c r="R718" i="1"/>
  <c r="U718" i="1" s="1"/>
  <c r="AC736" i="1"/>
  <c r="R720" i="1"/>
  <c r="U720" i="1" s="1"/>
  <c r="AD738" i="1"/>
  <c r="AE738" i="1" s="1"/>
  <c r="AF738" i="1" s="1"/>
  <c r="Z722" i="1"/>
  <c r="Z724" i="1"/>
  <c r="AG166" i="24"/>
  <c r="AI166" i="24" s="1"/>
  <c r="AJ166" i="24" s="1"/>
  <c r="W165" i="24"/>
  <c r="U165" i="24"/>
  <c r="V165" i="24" s="1"/>
  <c r="S163" i="24"/>
  <c r="T164" i="24"/>
  <c r="AG744" i="1" l="1"/>
  <c r="AR744" i="1"/>
  <c r="AV743" i="1" s="1"/>
  <c r="AV742" i="1" s="1"/>
  <c r="AV741" i="1" s="1"/>
  <c r="AV740" i="1" s="1"/>
  <c r="AB726" i="1"/>
  <c r="AB727" i="1"/>
  <c r="X724" i="1"/>
  <c r="AC725" i="1"/>
  <c r="X722" i="1"/>
  <c r="X723" i="1"/>
  <c r="W719" i="1"/>
  <c r="X721" i="1"/>
  <c r="W720" i="1"/>
  <c r="X720" i="1" s="1"/>
  <c r="Z721" i="1"/>
  <c r="AA721" i="1" s="1"/>
  <c r="AB721" i="1" s="1"/>
  <c r="AG741" i="1"/>
  <c r="W718" i="1"/>
  <c r="Z717" i="1"/>
  <c r="V717" i="1"/>
  <c r="W717" i="1" s="1"/>
  <c r="V716" i="1"/>
  <c r="V715" i="1"/>
  <c r="V714" i="1"/>
  <c r="AL740" i="1"/>
  <c r="AM740" i="1" s="1"/>
  <c r="AR740" i="1" s="1"/>
  <c r="AL739" i="1"/>
  <c r="AL738" i="1"/>
  <c r="AM738" i="1" s="1"/>
  <c r="AR738" i="1" s="1"/>
  <c r="AG165" i="24"/>
  <c r="AI165" i="24" s="1"/>
  <c r="AJ165" i="24" s="1"/>
  <c r="Z720" i="1"/>
  <c r="AA724" i="1"/>
  <c r="AD733" i="1"/>
  <c r="AE733" i="1" s="1"/>
  <c r="AF733" i="1" s="1"/>
  <c r="Z718" i="1"/>
  <c r="AC731" i="1"/>
  <c r="AC732" i="1"/>
  <c r="AD735" i="1"/>
  <c r="AE735" i="1" s="1"/>
  <c r="AF735" i="1" s="1"/>
  <c r="Q713" i="1"/>
  <c r="Y713" i="1" s="1"/>
  <c r="Q711" i="1"/>
  <c r="Y711" i="1" s="1"/>
  <c r="Q712" i="1"/>
  <c r="Y712" i="1" s="1"/>
  <c r="Q710" i="1"/>
  <c r="Y710" i="1" s="1"/>
  <c r="Q709" i="1"/>
  <c r="Y709" i="1" s="1"/>
  <c r="AC729" i="1"/>
  <c r="AD737" i="1"/>
  <c r="AE737" i="1" s="1"/>
  <c r="AF737" i="1" s="1"/>
  <c r="R717" i="1"/>
  <c r="U717" i="1" s="1"/>
  <c r="AD736" i="1"/>
  <c r="AE736" i="1" s="1"/>
  <c r="AF736" i="1" s="1"/>
  <c r="R716" i="1"/>
  <c r="U716" i="1" s="1"/>
  <c r="Z719" i="1"/>
  <c r="AA722" i="1"/>
  <c r="AB722" i="1" s="1"/>
  <c r="R715" i="1"/>
  <c r="U715" i="1" s="1"/>
  <c r="R714" i="1"/>
  <c r="U714" i="1" s="1"/>
  <c r="AA723" i="1"/>
  <c r="W164" i="24"/>
  <c r="U164" i="24"/>
  <c r="V164" i="24" s="1"/>
  <c r="T163" i="24"/>
  <c r="S162" i="24"/>
  <c r="AB723" i="1" l="1"/>
  <c r="AB724" i="1"/>
  <c r="AV739" i="1"/>
  <c r="AM739" i="1"/>
  <c r="AC724" i="1"/>
  <c r="W716" i="1"/>
  <c r="X716" i="1" s="1"/>
  <c r="AA720" i="1"/>
  <c r="X717" i="1"/>
  <c r="X719" i="1"/>
  <c r="X718" i="1"/>
  <c r="W714" i="1"/>
  <c r="AG740" i="1"/>
  <c r="W715" i="1"/>
  <c r="AG738" i="1"/>
  <c r="Z713" i="1"/>
  <c r="V713" i="1"/>
  <c r="W713" i="1" s="1"/>
  <c r="V709" i="1"/>
  <c r="V711" i="1"/>
  <c r="V710" i="1"/>
  <c r="V712" i="1"/>
  <c r="AL733" i="1"/>
  <c r="AM733" i="1" s="1"/>
  <c r="AR733" i="1" s="1"/>
  <c r="AL736" i="1"/>
  <c r="AM736" i="1" s="1"/>
  <c r="AR736" i="1" s="1"/>
  <c r="AL737" i="1"/>
  <c r="AM737" i="1" s="1"/>
  <c r="AR737" i="1" s="1"/>
  <c r="AL735" i="1"/>
  <c r="AM735" i="1" s="1"/>
  <c r="AR735" i="1" s="1"/>
  <c r="AL734" i="1"/>
  <c r="AA719" i="1"/>
  <c r="AB719" i="1" s="1"/>
  <c r="Z714" i="1"/>
  <c r="Z716" i="1"/>
  <c r="AA716" i="1" s="1"/>
  <c r="Z715" i="1"/>
  <c r="R711" i="1"/>
  <c r="U711" i="1" s="1"/>
  <c r="AA718" i="1"/>
  <c r="AB718" i="1" s="1"/>
  <c r="AD729" i="1"/>
  <c r="AE729" i="1" s="1"/>
  <c r="AF729" i="1" s="1"/>
  <c r="R713" i="1"/>
  <c r="U713" i="1" s="1"/>
  <c r="AA717" i="1"/>
  <c r="AC722" i="1"/>
  <c r="AD722" i="1" s="1"/>
  <c r="AE722" i="1" s="1"/>
  <c r="AF722" i="1" s="1"/>
  <c r="AC727" i="1"/>
  <c r="AD725" i="1"/>
  <c r="AE725" i="1" s="1"/>
  <c r="AF725" i="1" s="1"/>
  <c r="AC728" i="1"/>
  <c r="AD732" i="1"/>
  <c r="AE732" i="1" s="1"/>
  <c r="AF732" i="1" s="1"/>
  <c r="AC726" i="1"/>
  <c r="R709" i="1"/>
  <c r="U709" i="1" s="1"/>
  <c r="R710" i="1"/>
  <c r="U710" i="1" s="1"/>
  <c r="AD731" i="1"/>
  <c r="AE731" i="1" s="1"/>
  <c r="AF731" i="1" s="1"/>
  <c r="Q705" i="1"/>
  <c r="Y705" i="1" s="1"/>
  <c r="Q707" i="1"/>
  <c r="Y707" i="1" s="1"/>
  <c r="Q708" i="1"/>
  <c r="Y708" i="1" s="1"/>
  <c r="Q706" i="1"/>
  <c r="Y706" i="1" s="1"/>
  <c r="R712" i="1"/>
  <c r="U712" i="1" s="1"/>
  <c r="AG164" i="24"/>
  <c r="AI164" i="24" s="1"/>
  <c r="AJ164" i="24" s="1"/>
  <c r="S161" i="24"/>
  <c r="T162" i="24"/>
  <c r="U163" i="24"/>
  <c r="V163" i="24" s="1"/>
  <c r="W163" i="24"/>
  <c r="AB716" i="1" l="1"/>
  <c r="AB717" i="1"/>
  <c r="W712" i="1"/>
  <c r="X712" i="1" s="1"/>
  <c r="AG739" i="1"/>
  <c r="AR739" i="1"/>
  <c r="AV738" i="1" s="1"/>
  <c r="AV737" i="1" s="1"/>
  <c r="AV736" i="1" s="1"/>
  <c r="AV735" i="1" s="1"/>
  <c r="AV734" i="1" s="1"/>
  <c r="AB720" i="1"/>
  <c r="AC720" i="1" s="1"/>
  <c r="AD720" i="1" s="1"/>
  <c r="AE720" i="1" s="1"/>
  <c r="AF720" i="1" s="1"/>
  <c r="X715" i="1"/>
  <c r="AM734" i="1"/>
  <c r="X713" i="1"/>
  <c r="AG733" i="1"/>
  <c r="AG737" i="1"/>
  <c r="AG735" i="1"/>
  <c r="AG736" i="1"/>
  <c r="W711" i="1"/>
  <c r="X711" i="1" s="1"/>
  <c r="W710" i="1"/>
  <c r="W709" i="1"/>
  <c r="X714" i="1"/>
  <c r="V705" i="1"/>
  <c r="V707" i="1"/>
  <c r="V706" i="1"/>
  <c r="V708" i="1"/>
  <c r="W708" i="1" s="1"/>
  <c r="AL732" i="1"/>
  <c r="AM732" i="1" s="1"/>
  <c r="AR732" i="1" s="1"/>
  <c r="AL729" i="1"/>
  <c r="AM729" i="1" s="1"/>
  <c r="AR729" i="1" s="1"/>
  <c r="AL731" i="1"/>
  <c r="AM731" i="1" s="1"/>
  <c r="AR731" i="1" s="1"/>
  <c r="AL730" i="1"/>
  <c r="AA713" i="1"/>
  <c r="AB713" i="1" s="1"/>
  <c r="AA715" i="1"/>
  <c r="AB715" i="1" s="1"/>
  <c r="Z712" i="1"/>
  <c r="AA712" i="1" s="1"/>
  <c r="Z710" i="1"/>
  <c r="AA714" i="1"/>
  <c r="AB714" i="1" s="1"/>
  <c r="R706" i="1"/>
  <c r="U706" i="1" s="1"/>
  <c r="R708" i="1"/>
  <c r="U708" i="1" s="1"/>
  <c r="AC723" i="1"/>
  <c r="AC721" i="1"/>
  <c r="R705" i="1"/>
  <c r="U705" i="1" s="1"/>
  <c r="AC716" i="1"/>
  <c r="R707" i="1"/>
  <c r="U707" i="1" s="1"/>
  <c r="Z709" i="1"/>
  <c r="Q703" i="1"/>
  <c r="Y703" i="1" s="1"/>
  <c r="Q702" i="1"/>
  <c r="Y702" i="1" s="1"/>
  <c r="Q704" i="1"/>
  <c r="Y704" i="1" s="1"/>
  <c r="Q701" i="1"/>
  <c r="Y701" i="1" s="1"/>
  <c r="AD726" i="1"/>
  <c r="AE726" i="1" s="1"/>
  <c r="AF726" i="1" s="1"/>
  <c r="AD728" i="1"/>
  <c r="AE728" i="1" s="1"/>
  <c r="AF728" i="1" s="1"/>
  <c r="AD724" i="1"/>
  <c r="AE724" i="1" s="1"/>
  <c r="AF724" i="1" s="1"/>
  <c r="AC718" i="1"/>
  <c r="AD718" i="1" s="1"/>
  <c r="AE718" i="1" s="1"/>
  <c r="AF718" i="1" s="1"/>
  <c r="AG163" i="24"/>
  <c r="AI163" i="24" s="1"/>
  <c r="AJ163" i="24" s="1"/>
  <c r="AD727" i="1"/>
  <c r="AE727" i="1" s="1"/>
  <c r="AF727" i="1" s="1"/>
  <c r="Z711" i="1"/>
  <c r="T161" i="24"/>
  <c r="S160" i="24"/>
  <c r="W162" i="24"/>
  <c r="U162" i="24"/>
  <c r="V162" i="24" s="1"/>
  <c r="AG734" i="1" l="1"/>
  <c r="AR734" i="1"/>
  <c r="AV733" i="1" s="1"/>
  <c r="AV732" i="1" s="1"/>
  <c r="AV731" i="1" s="1"/>
  <c r="AV730" i="1" s="1"/>
  <c r="AB712" i="1"/>
  <c r="AM730" i="1"/>
  <c r="AC713" i="1"/>
  <c r="X709" i="1"/>
  <c r="AC714" i="1"/>
  <c r="AD714" i="1" s="1"/>
  <c r="AE714" i="1" s="1"/>
  <c r="AF714" i="1" s="1"/>
  <c r="W706" i="1"/>
  <c r="Z708" i="1"/>
  <c r="AG731" i="1"/>
  <c r="AG732" i="1"/>
  <c r="X710" i="1"/>
  <c r="AG729" i="1"/>
  <c r="X708" i="1"/>
  <c r="W707" i="1"/>
  <c r="X707" i="1" s="1"/>
  <c r="W705" i="1"/>
  <c r="V701" i="1"/>
  <c r="V702" i="1"/>
  <c r="V703" i="1"/>
  <c r="V704" i="1"/>
  <c r="W704" i="1" s="1"/>
  <c r="AL725" i="1"/>
  <c r="AL724" i="1"/>
  <c r="AM724" i="1" s="1"/>
  <c r="AR724" i="1" s="1"/>
  <c r="AL728" i="1"/>
  <c r="AM728" i="1" s="1"/>
  <c r="AR728" i="1" s="1"/>
  <c r="AL726" i="1"/>
  <c r="AM726" i="1" s="1"/>
  <c r="AR726" i="1" s="1"/>
  <c r="AL727" i="1"/>
  <c r="AM727" i="1" s="1"/>
  <c r="AR727" i="1" s="1"/>
  <c r="AC719" i="1"/>
  <c r="AD719" i="1" s="1"/>
  <c r="AE719" i="1" s="1"/>
  <c r="AF719" i="1" s="1"/>
  <c r="AC715" i="1"/>
  <c r="AD715" i="1" s="1"/>
  <c r="AE715" i="1" s="1"/>
  <c r="AF715" i="1" s="1"/>
  <c r="AA711" i="1"/>
  <c r="AB711" i="1" s="1"/>
  <c r="Z707" i="1"/>
  <c r="R702" i="1"/>
  <c r="U702" i="1" s="1"/>
  <c r="R703" i="1"/>
  <c r="U703" i="1" s="1"/>
  <c r="AD721" i="1"/>
  <c r="AE721" i="1" s="1"/>
  <c r="AF721" i="1" s="1"/>
  <c r="AA710" i="1"/>
  <c r="AB710" i="1" s="1"/>
  <c r="Z706" i="1"/>
  <c r="AC712" i="1"/>
  <c r="AC717" i="1"/>
  <c r="AD716" i="1"/>
  <c r="AE716" i="1" s="1"/>
  <c r="AF716" i="1" s="1"/>
  <c r="AD723" i="1"/>
  <c r="AE723" i="1" s="1"/>
  <c r="AF723" i="1" s="1"/>
  <c r="Q697" i="1"/>
  <c r="Y697" i="1" s="1"/>
  <c r="Q699" i="1"/>
  <c r="Y699" i="1" s="1"/>
  <c r="Q700" i="1"/>
  <c r="Y700" i="1" s="1"/>
  <c r="Q698" i="1"/>
  <c r="Y698" i="1" s="1"/>
  <c r="R701" i="1"/>
  <c r="U701" i="1" s="1"/>
  <c r="R704" i="1"/>
  <c r="U704" i="1" s="1"/>
  <c r="AA709" i="1"/>
  <c r="Z705" i="1"/>
  <c r="AA708" i="1"/>
  <c r="AB708" i="1" s="1"/>
  <c r="W161" i="24"/>
  <c r="U161" i="24"/>
  <c r="V161" i="24" s="1"/>
  <c r="S159" i="24"/>
  <c r="T160" i="24"/>
  <c r="AG162" i="24"/>
  <c r="AI162" i="24" s="1"/>
  <c r="AJ162" i="24" s="1"/>
  <c r="AB709" i="1" l="1"/>
  <c r="AG730" i="1"/>
  <c r="AR730" i="1"/>
  <c r="AV729" i="1"/>
  <c r="AV728" i="1" s="1"/>
  <c r="AV727" i="1" s="1"/>
  <c r="AV726" i="1" s="1"/>
  <c r="AV725" i="1" s="1"/>
  <c r="AA707" i="1"/>
  <c r="AB707" i="1" s="1"/>
  <c r="AC707" i="1" s="1"/>
  <c r="AM725" i="1"/>
  <c r="X704" i="1"/>
  <c r="X705" i="1"/>
  <c r="Z704" i="1"/>
  <c r="AA704" i="1" s="1"/>
  <c r="W703" i="1"/>
  <c r="X703" i="1" s="1"/>
  <c r="AC710" i="1"/>
  <c r="AD710" i="1" s="1"/>
  <c r="AE710" i="1" s="1"/>
  <c r="AF710" i="1" s="1"/>
  <c r="AG724" i="1"/>
  <c r="AG726" i="1"/>
  <c r="AG727" i="1"/>
  <c r="W701" i="1"/>
  <c r="AG728" i="1"/>
  <c r="X706" i="1"/>
  <c r="W702" i="1"/>
  <c r="X702" i="1" s="1"/>
  <c r="V699" i="1"/>
  <c r="V700" i="1"/>
  <c r="W700" i="1" s="1"/>
  <c r="V697" i="1"/>
  <c r="V698" i="1"/>
  <c r="AL721" i="1"/>
  <c r="AM721" i="1" s="1"/>
  <c r="AR721" i="1" s="1"/>
  <c r="AL723" i="1"/>
  <c r="AM723" i="1" s="1"/>
  <c r="AR723" i="1" s="1"/>
  <c r="AL722" i="1"/>
  <c r="AL719" i="1"/>
  <c r="AM719" i="1" s="1"/>
  <c r="AR719" i="1" s="1"/>
  <c r="AL720" i="1"/>
  <c r="AL718" i="1"/>
  <c r="AA706" i="1"/>
  <c r="AB706" i="1" s="1"/>
  <c r="AA705" i="1"/>
  <c r="AB705" i="1" s="1"/>
  <c r="Q695" i="1"/>
  <c r="Y695" i="1" s="1"/>
  <c r="Q692" i="1"/>
  <c r="Y692" i="1" s="1"/>
  <c r="Q694" i="1"/>
  <c r="Y694" i="1" s="1"/>
  <c r="Q693" i="1"/>
  <c r="Y693" i="1" s="1"/>
  <c r="Q696" i="1"/>
  <c r="Y696" i="1" s="1"/>
  <c r="Z701" i="1"/>
  <c r="AD713" i="1"/>
  <c r="AE713" i="1" s="1"/>
  <c r="AF713" i="1" s="1"/>
  <c r="R698" i="1"/>
  <c r="U698" i="1" s="1"/>
  <c r="Z703" i="1"/>
  <c r="AA703" i="1" s="1"/>
  <c r="AB703" i="1" s="1"/>
  <c r="R700" i="1"/>
  <c r="U700" i="1" s="1"/>
  <c r="AD717" i="1"/>
  <c r="AE717" i="1" s="1"/>
  <c r="AF717" i="1" s="1"/>
  <c r="R699" i="1"/>
  <c r="U699" i="1" s="1"/>
  <c r="R697" i="1"/>
  <c r="U697" i="1" s="1"/>
  <c r="AD712" i="1"/>
  <c r="AE712" i="1" s="1"/>
  <c r="AF712" i="1" s="1"/>
  <c r="AC711" i="1"/>
  <c r="Z702" i="1"/>
  <c r="T159" i="24"/>
  <c r="S158" i="24"/>
  <c r="AG161" i="24"/>
  <c r="AI161" i="24" s="1"/>
  <c r="AJ161" i="24" s="1"/>
  <c r="W160" i="24"/>
  <c r="U160" i="24"/>
  <c r="V160" i="24" s="1"/>
  <c r="AB704" i="1" l="1"/>
  <c r="AG725" i="1"/>
  <c r="AR725" i="1"/>
  <c r="AV724" i="1" s="1"/>
  <c r="AV723" i="1" s="1"/>
  <c r="AV722" i="1" s="1"/>
  <c r="AM722" i="1"/>
  <c r="AM718" i="1"/>
  <c r="AM720" i="1"/>
  <c r="X700" i="1"/>
  <c r="W698" i="1"/>
  <c r="AC706" i="1"/>
  <c r="Z700" i="1"/>
  <c r="AG719" i="1"/>
  <c r="AG723" i="1"/>
  <c r="AG721" i="1"/>
  <c r="W697" i="1"/>
  <c r="W699" i="1"/>
  <c r="X699" i="1" s="1"/>
  <c r="X701" i="1"/>
  <c r="Z696" i="1"/>
  <c r="V696" i="1"/>
  <c r="W696" i="1" s="1"/>
  <c r="V693" i="1"/>
  <c r="V694" i="1"/>
  <c r="V692" i="1"/>
  <c r="V695" i="1"/>
  <c r="W695" i="1" s="1"/>
  <c r="AL717" i="1"/>
  <c r="AM717" i="1" s="1"/>
  <c r="AR717" i="1" s="1"/>
  <c r="AL714" i="1"/>
  <c r="AL716" i="1"/>
  <c r="AL715" i="1"/>
  <c r="AL712" i="1"/>
  <c r="AM712" i="1" s="1"/>
  <c r="AR712" i="1" s="1"/>
  <c r="AL713" i="1"/>
  <c r="AM713" i="1" s="1"/>
  <c r="AR713" i="1" s="1"/>
  <c r="AA702" i="1"/>
  <c r="AB702" i="1" s="1"/>
  <c r="Z699" i="1"/>
  <c r="AD711" i="1"/>
  <c r="AE711" i="1" s="1"/>
  <c r="AF711" i="1" s="1"/>
  <c r="AC708" i="1"/>
  <c r="Z697" i="1"/>
  <c r="AC705" i="1"/>
  <c r="AA700" i="1"/>
  <c r="AB700" i="1" s="1"/>
  <c r="AA701" i="1"/>
  <c r="AB701" i="1" s="1"/>
  <c r="R696" i="1"/>
  <c r="U696" i="1" s="1"/>
  <c r="R693" i="1"/>
  <c r="U693" i="1" s="1"/>
  <c r="AD707" i="1"/>
  <c r="AE707" i="1" s="1"/>
  <c r="AF707" i="1" s="1"/>
  <c r="Z698" i="1"/>
  <c r="R694" i="1"/>
  <c r="U694" i="1" s="1"/>
  <c r="AC709" i="1"/>
  <c r="R692" i="1"/>
  <c r="U692" i="1" s="1"/>
  <c r="Q690" i="1"/>
  <c r="Y690" i="1" s="1"/>
  <c r="Q689" i="1"/>
  <c r="Y689" i="1" s="1"/>
  <c r="Q691" i="1"/>
  <c r="Y691" i="1" s="1"/>
  <c r="Q688" i="1"/>
  <c r="Y688" i="1" s="1"/>
  <c r="R695" i="1"/>
  <c r="U695" i="1" s="1"/>
  <c r="AG160" i="24"/>
  <c r="AI160" i="24" s="1"/>
  <c r="AJ160" i="24" s="1"/>
  <c r="W159" i="24"/>
  <c r="U159" i="24"/>
  <c r="V159" i="24" s="1"/>
  <c r="S157" i="24"/>
  <c r="T158" i="24"/>
  <c r="AG720" i="1" l="1"/>
  <c r="AR720" i="1"/>
  <c r="AG718" i="1"/>
  <c r="AR718" i="1"/>
  <c r="AG722" i="1"/>
  <c r="AR722" i="1"/>
  <c r="AV721" i="1" s="1"/>
  <c r="AV720" i="1" s="1"/>
  <c r="AV719" i="1" s="1"/>
  <c r="AV718" i="1" s="1"/>
  <c r="AV717" i="1" s="1"/>
  <c r="AV716" i="1" s="1"/>
  <c r="AM714" i="1"/>
  <c r="AM715" i="1"/>
  <c r="AM716" i="1"/>
  <c r="X695" i="1"/>
  <c r="AA699" i="1"/>
  <c r="AB699" i="1" s="1"/>
  <c r="W693" i="1"/>
  <c r="X696" i="1"/>
  <c r="W692" i="1"/>
  <c r="AG713" i="1"/>
  <c r="AG717" i="1"/>
  <c r="W694" i="1"/>
  <c r="X694" i="1" s="1"/>
  <c r="X697" i="1"/>
  <c r="AG712" i="1"/>
  <c r="X698" i="1"/>
  <c r="V688" i="1"/>
  <c r="V691" i="1"/>
  <c r="W691" i="1" s="1"/>
  <c r="V689" i="1"/>
  <c r="V690" i="1"/>
  <c r="AL710" i="1"/>
  <c r="AL711" i="1"/>
  <c r="AM711" i="1" s="1"/>
  <c r="AR711" i="1" s="1"/>
  <c r="Z695" i="1"/>
  <c r="AA695" i="1" s="1"/>
  <c r="AB695" i="1" s="1"/>
  <c r="AA698" i="1"/>
  <c r="AB698" i="1" s="1"/>
  <c r="R691" i="1"/>
  <c r="U691" i="1" s="1"/>
  <c r="R688" i="1"/>
  <c r="U688" i="1" s="1"/>
  <c r="AD709" i="1"/>
  <c r="AE709" i="1" s="1"/>
  <c r="AF709" i="1" s="1"/>
  <c r="AC703" i="1"/>
  <c r="AA697" i="1"/>
  <c r="AB697" i="1" s="1"/>
  <c r="R689" i="1"/>
  <c r="U689" i="1" s="1"/>
  <c r="AD706" i="1"/>
  <c r="AE706" i="1" s="1"/>
  <c r="AF706" i="1" s="1"/>
  <c r="AC702" i="1"/>
  <c r="R690" i="1"/>
  <c r="U690" i="1" s="1"/>
  <c r="AC704" i="1"/>
  <c r="Q687" i="1"/>
  <c r="Y687" i="1" s="1"/>
  <c r="Q684" i="1"/>
  <c r="Y684" i="1" s="1"/>
  <c r="Q686" i="1"/>
  <c r="Y686" i="1" s="1"/>
  <c r="Q685" i="1"/>
  <c r="Y685" i="1" s="1"/>
  <c r="Q683" i="1"/>
  <c r="Y683" i="1" s="1"/>
  <c r="AD705" i="1"/>
  <c r="AE705" i="1" s="1"/>
  <c r="AF705" i="1" s="1"/>
  <c r="AD708" i="1"/>
  <c r="AE708" i="1" s="1"/>
  <c r="AF708" i="1" s="1"/>
  <c r="Z693" i="1"/>
  <c r="AA696" i="1"/>
  <c r="AB696" i="1" s="1"/>
  <c r="AG159" i="24"/>
  <c r="AI159" i="24" s="1"/>
  <c r="AJ159" i="24" s="1"/>
  <c r="Z692" i="1"/>
  <c r="Z694" i="1"/>
  <c r="T157" i="24"/>
  <c r="S156" i="24"/>
  <c r="W158" i="24"/>
  <c r="U158" i="24"/>
  <c r="V158" i="24" s="1"/>
  <c r="AG714" i="1" l="1"/>
  <c r="AR714" i="1"/>
  <c r="AG716" i="1"/>
  <c r="AR716" i="1"/>
  <c r="AV715" i="1" s="1"/>
  <c r="AV714" i="1" s="1"/>
  <c r="AV713" i="1" s="1"/>
  <c r="AV712" i="1" s="1"/>
  <c r="AV711" i="1" s="1"/>
  <c r="AV710" i="1" s="1"/>
  <c r="AG715" i="1"/>
  <c r="AR715" i="1"/>
  <c r="X691" i="1"/>
  <c r="AM710" i="1"/>
  <c r="W690" i="1"/>
  <c r="X690" i="1" s="1"/>
  <c r="Z691" i="1"/>
  <c r="AG711" i="1"/>
  <c r="W689" i="1"/>
  <c r="W688" i="1"/>
  <c r="X693" i="1"/>
  <c r="X692" i="1"/>
  <c r="V684" i="1"/>
  <c r="V687" i="1"/>
  <c r="W687" i="1" s="1"/>
  <c r="V686" i="1"/>
  <c r="V683" i="1"/>
  <c r="V685" i="1"/>
  <c r="AL706" i="1"/>
  <c r="AM706" i="1" s="1"/>
  <c r="AR706" i="1" s="1"/>
  <c r="AL709" i="1"/>
  <c r="AM709" i="1" s="1"/>
  <c r="AR709" i="1" s="1"/>
  <c r="AL708" i="1"/>
  <c r="AM708" i="1" s="1"/>
  <c r="AR708" i="1" s="1"/>
  <c r="AL707" i="1"/>
  <c r="AL705" i="1"/>
  <c r="AM705" i="1" s="1"/>
  <c r="AR705" i="1" s="1"/>
  <c r="AA694" i="1"/>
  <c r="AB694" i="1" s="1"/>
  <c r="AC695" i="1"/>
  <c r="AD695" i="1" s="1"/>
  <c r="AE695" i="1" s="1"/>
  <c r="AF695" i="1" s="1"/>
  <c r="Z689" i="1"/>
  <c r="Z690" i="1"/>
  <c r="AA690" i="1" s="1"/>
  <c r="AB690" i="1" s="1"/>
  <c r="AA692" i="1"/>
  <c r="R687" i="1"/>
  <c r="U687" i="1" s="1"/>
  <c r="Z688" i="1"/>
  <c r="Q680" i="1"/>
  <c r="Y680" i="1" s="1"/>
  <c r="Q682" i="1"/>
  <c r="Y682" i="1" s="1"/>
  <c r="Q681" i="1"/>
  <c r="Y681" i="1" s="1"/>
  <c r="Q679" i="1"/>
  <c r="Y679" i="1" s="1"/>
  <c r="AD703" i="1"/>
  <c r="AE703" i="1" s="1"/>
  <c r="AF703" i="1" s="1"/>
  <c r="AA693" i="1"/>
  <c r="AB693" i="1" s="1"/>
  <c r="AD704" i="1"/>
  <c r="AE704" i="1" s="1"/>
  <c r="AF704" i="1" s="1"/>
  <c r="R683" i="1"/>
  <c r="U683" i="1" s="1"/>
  <c r="AC701" i="1"/>
  <c r="AA691" i="1"/>
  <c r="R685" i="1"/>
  <c r="U685" i="1" s="1"/>
  <c r="AD702" i="1"/>
  <c r="AE702" i="1" s="1"/>
  <c r="AF702" i="1" s="1"/>
  <c r="R686" i="1"/>
  <c r="U686" i="1" s="1"/>
  <c r="AC700" i="1"/>
  <c r="R684" i="1"/>
  <c r="U684" i="1" s="1"/>
  <c r="AC699" i="1"/>
  <c r="U157" i="24"/>
  <c r="V157" i="24" s="1"/>
  <c r="W157" i="24"/>
  <c r="AG157" i="24" s="1"/>
  <c r="AI157" i="24" s="1"/>
  <c r="S155" i="24"/>
  <c r="T156" i="24"/>
  <c r="AG158" i="24"/>
  <c r="AI158" i="24" s="1"/>
  <c r="AJ158" i="24" s="1"/>
  <c r="AB691" i="1" l="1"/>
  <c r="AG710" i="1"/>
  <c r="AR710" i="1"/>
  <c r="AB692" i="1"/>
  <c r="AV709" i="1"/>
  <c r="AV708" i="1" s="1"/>
  <c r="AV707" i="1" s="1"/>
  <c r="AM707" i="1"/>
  <c r="X689" i="1"/>
  <c r="Z687" i="1"/>
  <c r="W683" i="1"/>
  <c r="X688" i="1"/>
  <c r="AG708" i="1"/>
  <c r="AG706" i="1"/>
  <c r="AG705" i="1"/>
  <c r="W685" i="1"/>
  <c r="W686" i="1"/>
  <c r="X686" i="1" s="1"/>
  <c r="W684" i="1"/>
  <c r="AG709" i="1"/>
  <c r="X687" i="1"/>
  <c r="V682" i="1"/>
  <c r="W682" i="1" s="1"/>
  <c r="V680" i="1"/>
  <c r="V681" i="1"/>
  <c r="V679" i="1"/>
  <c r="AL704" i="1"/>
  <c r="AM704" i="1" s="1"/>
  <c r="AR704" i="1" s="1"/>
  <c r="AL702" i="1"/>
  <c r="AM702" i="1" s="1"/>
  <c r="AR702" i="1" s="1"/>
  <c r="AL703" i="1"/>
  <c r="AM703" i="1" s="1"/>
  <c r="AR703" i="1" s="1"/>
  <c r="AC698" i="1"/>
  <c r="AD698" i="1" s="1"/>
  <c r="AE698" i="1" s="1"/>
  <c r="AF698" i="1" s="1"/>
  <c r="AA689" i="1"/>
  <c r="AA688" i="1"/>
  <c r="Z686" i="1"/>
  <c r="Z684" i="1"/>
  <c r="Q678" i="1"/>
  <c r="Y678" i="1" s="1"/>
  <c r="Q677" i="1"/>
  <c r="Y677" i="1" s="1"/>
  <c r="Q675" i="1"/>
  <c r="Y675" i="1" s="1"/>
  <c r="Q676" i="1"/>
  <c r="Y676" i="1" s="1"/>
  <c r="AC694" i="1"/>
  <c r="AD700" i="1"/>
  <c r="AE700" i="1" s="1"/>
  <c r="AF700" i="1" s="1"/>
  <c r="Z685" i="1"/>
  <c r="AD699" i="1"/>
  <c r="AE699" i="1" s="1"/>
  <c r="AF699" i="1" s="1"/>
  <c r="AC696" i="1"/>
  <c r="AC692" i="1"/>
  <c r="R679" i="1"/>
  <c r="U679" i="1" s="1"/>
  <c r="AD701" i="1"/>
  <c r="AE701" i="1" s="1"/>
  <c r="AF701" i="1" s="1"/>
  <c r="R681" i="1"/>
  <c r="U681" i="1" s="1"/>
  <c r="R682" i="1"/>
  <c r="U682" i="1" s="1"/>
  <c r="AC697" i="1"/>
  <c r="AJ157" i="24"/>
  <c r="Z683" i="1"/>
  <c r="R680" i="1"/>
  <c r="U680" i="1" s="1"/>
  <c r="AA687" i="1"/>
  <c r="W156" i="24"/>
  <c r="U156" i="24"/>
  <c r="V156" i="24" s="1"/>
  <c r="T155" i="24"/>
  <c r="S154" i="24"/>
  <c r="AA686" i="1" l="1"/>
  <c r="AB686" i="1" s="1"/>
  <c r="AB689" i="1"/>
  <c r="AB687" i="1"/>
  <c r="AG707" i="1"/>
  <c r="AR707" i="1"/>
  <c r="AV706" i="1"/>
  <c r="AV705" i="1" s="1"/>
  <c r="AV704" i="1" s="1"/>
  <c r="AV703" i="1" s="1"/>
  <c r="AV702" i="1" s="1"/>
  <c r="AV701" i="1" s="1"/>
  <c r="AB688" i="1"/>
  <c r="AC688" i="1" s="1"/>
  <c r="W680" i="1"/>
  <c r="Z682" i="1"/>
  <c r="AA682" i="1" s="1"/>
  <c r="W679" i="1"/>
  <c r="W681" i="1"/>
  <c r="X684" i="1"/>
  <c r="AG703" i="1"/>
  <c r="AG704" i="1"/>
  <c r="AG702" i="1"/>
  <c r="X683" i="1"/>
  <c r="X682" i="1"/>
  <c r="X685" i="1"/>
  <c r="V678" i="1"/>
  <c r="W678" i="1" s="1"/>
  <c r="V677" i="1"/>
  <c r="V676" i="1"/>
  <c r="V675" i="1"/>
  <c r="AL701" i="1"/>
  <c r="AM701" i="1" s="1"/>
  <c r="AR701" i="1" s="1"/>
  <c r="AL699" i="1"/>
  <c r="AM699" i="1" s="1"/>
  <c r="AR699" i="1" s="1"/>
  <c r="AL700" i="1"/>
  <c r="AM700" i="1" s="1"/>
  <c r="AR700" i="1" s="1"/>
  <c r="AL698" i="1"/>
  <c r="AM698" i="1" s="1"/>
  <c r="AR698" i="1" s="1"/>
  <c r="AA685" i="1"/>
  <c r="AB685" i="1" s="1"/>
  <c r="Z680" i="1"/>
  <c r="AA683" i="1"/>
  <c r="AA684" i="1"/>
  <c r="Z681" i="1"/>
  <c r="AA681" i="1" s="1"/>
  <c r="AD692" i="1"/>
  <c r="AE692" i="1" s="1"/>
  <c r="AF692" i="1" s="1"/>
  <c r="AD694" i="1"/>
  <c r="AE694" i="1" s="1"/>
  <c r="AF694" i="1" s="1"/>
  <c r="R676" i="1"/>
  <c r="U676" i="1" s="1"/>
  <c r="Z679" i="1"/>
  <c r="AD696" i="1"/>
  <c r="AE696" i="1" s="1"/>
  <c r="AF696" i="1" s="1"/>
  <c r="R675" i="1"/>
  <c r="U675" i="1" s="1"/>
  <c r="AC693" i="1"/>
  <c r="R677" i="1"/>
  <c r="U677" i="1" s="1"/>
  <c r="AC690" i="1"/>
  <c r="R678" i="1"/>
  <c r="U678" i="1" s="1"/>
  <c r="Z678" i="1"/>
  <c r="Q674" i="1"/>
  <c r="Y674" i="1" s="1"/>
  <c r="Q673" i="1"/>
  <c r="Y673" i="1" s="1"/>
  <c r="Q672" i="1"/>
  <c r="Y672" i="1" s="1"/>
  <c r="Q671" i="1"/>
  <c r="Y671" i="1" s="1"/>
  <c r="Q670" i="1"/>
  <c r="Y670" i="1" s="1"/>
  <c r="AC691" i="1"/>
  <c r="AD697" i="1"/>
  <c r="AE697" i="1" s="1"/>
  <c r="AF697" i="1" s="1"/>
  <c r="AC686" i="1"/>
  <c r="AC689" i="1"/>
  <c r="AG156" i="24"/>
  <c r="AI156" i="24" s="1"/>
  <c r="AJ156" i="24" s="1"/>
  <c r="S153" i="24"/>
  <c r="T154" i="24"/>
  <c r="U155" i="24"/>
  <c r="V155" i="24" s="1"/>
  <c r="W155" i="24"/>
  <c r="AB684" i="1" l="1"/>
  <c r="AB682" i="1"/>
  <c r="AB683" i="1"/>
  <c r="AC683" i="1" s="1"/>
  <c r="AV700" i="1"/>
  <c r="AV699" i="1" s="1"/>
  <c r="AV698" i="1" s="1"/>
  <c r="AV697" i="1" s="1"/>
  <c r="X680" i="1"/>
  <c r="W676" i="1"/>
  <c r="X681" i="1"/>
  <c r="AB681" i="1" s="1"/>
  <c r="X679" i="1"/>
  <c r="X678" i="1"/>
  <c r="AC684" i="1"/>
  <c r="AD684" i="1" s="1"/>
  <c r="AE684" i="1" s="1"/>
  <c r="AF684" i="1" s="1"/>
  <c r="AC685" i="1"/>
  <c r="AG699" i="1"/>
  <c r="AG698" i="1"/>
  <c r="AG700" i="1"/>
  <c r="AG701" i="1"/>
  <c r="W675" i="1"/>
  <c r="W677" i="1"/>
  <c r="X677" i="1" s="1"/>
  <c r="V673" i="1"/>
  <c r="V670" i="1"/>
  <c r="V674" i="1"/>
  <c r="W674" i="1" s="1"/>
  <c r="V671" i="1"/>
  <c r="V672" i="1"/>
  <c r="AL696" i="1"/>
  <c r="AM696" i="1" s="1"/>
  <c r="AR696" i="1" s="1"/>
  <c r="AL695" i="1"/>
  <c r="AL697" i="1"/>
  <c r="AM697" i="1" s="1"/>
  <c r="AR697" i="1" s="1"/>
  <c r="AL694" i="1"/>
  <c r="AM694" i="1" s="1"/>
  <c r="AR694" i="1" s="1"/>
  <c r="AG155" i="24"/>
  <c r="AI155" i="24" s="1"/>
  <c r="AJ155" i="24" s="1"/>
  <c r="AA678" i="1"/>
  <c r="AB678" i="1" s="1"/>
  <c r="AC682" i="1"/>
  <c r="Z676" i="1"/>
  <c r="AD693" i="1"/>
  <c r="AE693" i="1" s="1"/>
  <c r="AF693" i="1" s="1"/>
  <c r="AD686" i="1"/>
  <c r="AE686" i="1" s="1"/>
  <c r="AF686" i="1" s="1"/>
  <c r="R670" i="1"/>
  <c r="U670" i="1" s="1"/>
  <c r="R671" i="1"/>
  <c r="U671" i="1" s="1"/>
  <c r="AD690" i="1"/>
  <c r="AE690" i="1" s="1"/>
  <c r="AF690" i="1" s="1"/>
  <c r="Z675" i="1"/>
  <c r="R672" i="1"/>
  <c r="U672" i="1" s="1"/>
  <c r="AD688" i="1"/>
  <c r="AE688" i="1" s="1"/>
  <c r="AF688" i="1" s="1"/>
  <c r="R673" i="1"/>
  <c r="U673" i="1" s="1"/>
  <c r="AC687" i="1"/>
  <c r="Q669" i="1"/>
  <c r="Y669" i="1" s="1"/>
  <c r="Q666" i="1"/>
  <c r="Y666" i="1" s="1"/>
  <c r="Q667" i="1"/>
  <c r="Y667" i="1" s="1"/>
  <c r="Q668" i="1"/>
  <c r="Y668" i="1" s="1"/>
  <c r="R674" i="1"/>
  <c r="U674" i="1" s="1"/>
  <c r="Z674" i="1"/>
  <c r="AA680" i="1"/>
  <c r="AD691" i="1"/>
  <c r="AE691" i="1" s="1"/>
  <c r="AF691" i="1" s="1"/>
  <c r="AD689" i="1"/>
  <c r="AE689" i="1" s="1"/>
  <c r="AF689" i="1" s="1"/>
  <c r="Z677" i="1"/>
  <c r="AA677" i="1" s="1"/>
  <c r="AA679" i="1"/>
  <c r="AB679" i="1" s="1"/>
  <c r="W154" i="24"/>
  <c r="U154" i="24"/>
  <c r="V154" i="24" s="1"/>
  <c r="T153" i="24"/>
  <c r="S152" i="24"/>
  <c r="AB680" i="1" l="1"/>
  <c r="AV696" i="1"/>
  <c r="AV695" i="1" s="1"/>
  <c r="AB677" i="1"/>
  <c r="AM695" i="1"/>
  <c r="W672" i="1"/>
  <c r="W673" i="1"/>
  <c r="X673" i="1" s="1"/>
  <c r="X674" i="1"/>
  <c r="AG694" i="1"/>
  <c r="AG697" i="1"/>
  <c r="X676" i="1"/>
  <c r="W671" i="1"/>
  <c r="W670" i="1"/>
  <c r="AG696" i="1"/>
  <c r="X675" i="1"/>
  <c r="V666" i="1"/>
  <c r="V668" i="1"/>
  <c r="V669" i="1"/>
  <c r="W669" i="1" s="1"/>
  <c r="V667" i="1"/>
  <c r="AL690" i="1"/>
  <c r="AM690" i="1" s="1"/>
  <c r="AR690" i="1" s="1"/>
  <c r="AL689" i="1"/>
  <c r="AM689" i="1" s="1"/>
  <c r="AR689" i="1" s="1"/>
  <c r="AL691" i="1"/>
  <c r="AM691" i="1" s="1"/>
  <c r="AR691" i="1" s="1"/>
  <c r="AL693" i="1"/>
  <c r="AM693" i="1" s="1"/>
  <c r="AR693" i="1" s="1"/>
  <c r="AL688" i="1"/>
  <c r="AM688" i="1" s="1"/>
  <c r="AR688" i="1" s="1"/>
  <c r="AL692" i="1"/>
  <c r="Q663" i="1"/>
  <c r="Y663" i="1" s="1"/>
  <c r="Q662" i="1"/>
  <c r="Y662" i="1" s="1"/>
  <c r="Q664" i="1"/>
  <c r="Y664" i="1" s="1"/>
  <c r="Q665" i="1"/>
  <c r="Y665" i="1" s="1"/>
  <c r="AA674" i="1"/>
  <c r="AB674" i="1" s="1"/>
  <c r="AD685" i="1"/>
  <c r="AE685" i="1" s="1"/>
  <c r="AF685" i="1" s="1"/>
  <c r="AC681" i="1"/>
  <c r="Z673" i="1"/>
  <c r="AA673" i="1" s="1"/>
  <c r="AA675" i="1"/>
  <c r="AA676" i="1"/>
  <c r="AB676" i="1" s="1"/>
  <c r="AD682" i="1"/>
  <c r="AE682" i="1" s="1"/>
  <c r="AF682" i="1" s="1"/>
  <c r="R668" i="1"/>
  <c r="U668" i="1" s="1"/>
  <c r="AD687" i="1"/>
  <c r="AE687" i="1" s="1"/>
  <c r="AF687" i="1" s="1"/>
  <c r="R667" i="1"/>
  <c r="U667" i="1" s="1"/>
  <c r="Z671" i="1"/>
  <c r="AD683" i="1"/>
  <c r="AE683" i="1" s="1"/>
  <c r="AF683" i="1" s="1"/>
  <c r="R666" i="1"/>
  <c r="U666" i="1" s="1"/>
  <c r="Z672" i="1"/>
  <c r="AC680" i="1"/>
  <c r="AD680" i="1" s="1"/>
  <c r="AE680" i="1" s="1"/>
  <c r="AF680" i="1" s="1"/>
  <c r="R669" i="1"/>
  <c r="U669" i="1" s="1"/>
  <c r="Z670" i="1"/>
  <c r="AC678" i="1"/>
  <c r="U153" i="24"/>
  <c r="V153" i="24" s="1"/>
  <c r="W153" i="24"/>
  <c r="AG154" i="24"/>
  <c r="AI154" i="24" s="1"/>
  <c r="AJ154" i="24" s="1"/>
  <c r="S151" i="24"/>
  <c r="T152" i="24"/>
  <c r="AB673" i="1" l="1"/>
  <c r="AB675" i="1"/>
  <c r="AG695" i="1"/>
  <c r="AR695" i="1"/>
  <c r="AV694" i="1"/>
  <c r="AV693" i="1" s="1"/>
  <c r="AV692" i="1" s="1"/>
  <c r="AM692" i="1"/>
  <c r="X671" i="1"/>
  <c r="X672" i="1"/>
  <c r="X670" i="1"/>
  <c r="W667" i="1"/>
  <c r="Z669" i="1"/>
  <c r="AA669" i="1" s="1"/>
  <c r="W668" i="1"/>
  <c r="X668" i="1" s="1"/>
  <c r="AG693" i="1"/>
  <c r="AG690" i="1"/>
  <c r="AG688" i="1"/>
  <c r="AG689" i="1"/>
  <c r="AG691" i="1"/>
  <c r="X669" i="1"/>
  <c r="W666" i="1"/>
  <c r="V665" i="1"/>
  <c r="W665" i="1" s="1"/>
  <c r="V664" i="1"/>
  <c r="V662" i="1"/>
  <c r="V663" i="1"/>
  <c r="AL686" i="1"/>
  <c r="AL684" i="1"/>
  <c r="AL682" i="1"/>
  <c r="AM682" i="1" s="1"/>
  <c r="AR682" i="1" s="1"/>
  <c r="AL683" i="1"/>
  <c r="AM683" i="1" s="1"/>
  <c r="AR683" i="1" s="1"/>
  <c r="AL687" i="1"/>
  <c r="AM687" i="1" s="1"/>
  <c r="AR687" i="1" s="1"/>
  <c r="AL685" i="1"/>
  <c r="AM685" i="1" s="1"/>
  <c r="AR685" i="1" s="1"/>
  <c r="R664" i="1"/>
  <c r="U664" i="1" s="1"/>
  <c r="R663" i="1"/>
  <c r="U663" i="1" s="1"/>
  <c r="R662" i="1"/>
  <c r="U662" i="1" s="1"/>
  <c r="R665" i="1"/>
  <c r="U665" i="1" s="1"/>
  <c r="AA672" i="1"/>
  <c r="AA670" i="1"/>
  <c r="AA671" i="1"/>
  <c r="AB671" i="1" s="1"/>
  <c r="AC674" i="1"/>
  <c r="Z667" i="1"/>
  <c r="Z668" i="1"/>
  <c r="AD681" i="1"/>
  <c r="AE681" i="1" s="1"/>
  <c r="AF681" i="1" s="1"/>
  <c r="Q658" i="1"/>
  <c r="Y658" i="1" s="1"/>
  <c r="Q657" i="1"/>
  <c r="Y657" i="1" s="1"/>
  <c r="Q659" i="1"/>
  <c r="Y659" i="1" s="1"/>
  <c r="Q660" i="1"/>
  <c r="Y660" i="1" s="1"/>
  <c r="Q661" i="1"/>
  <c r="Y661" i="1" s="1"/>
  <c r="Z666" i="1"/>
  <c r="AC675" i="1"/>
  <c r="AD675" i="1" s="1"/>
  <c r="AE675" i="1" s="1"/>
  <c r="AF675" i="1" s="1"/>
  <c r="AC679" i="1"/>
  <c r="AC677" i="1"/>
  <c r="AD678" i="1"/>
  <c r="AE678" i="1" s="1"/>
  <c r="AF678" i="1" s="1"/>
  <c r="W152" i="24"/>
  <c r="U152" i="24"/>
  <c r="V152" i="24" s="1"/>
  <c r="T151" i="24"/>
  <c r="S150" i="24"/>
  <c r="AG153" i="24"/>
  <c r="AI153" i="24" s="1"/>
  <c r="AJ153" i="24" s="1"/>
  <c r="AB672" i="1" l="1"/>
  <c r="AG692" i="1"/>
  <c r="AR692" i="1"/>
  <c r="AV691" i="1" s="1"/>
  <c r="AV690" i="1" s="1"/>
  <c r="AV689" i="1" s="1"/>
  <c r="AV688" i="1" s="1"/>
  <c r="AV687" i="1" s="1"/>
  <c r="AV686" i="1" s="1"/>
  <c r="AB670" i="1"/>
  <c r="AB669" i="1"/>
  <c r="AC669" i="1" s="1"/>
  <c r="AA668" i="1"/>
  <c r="AB668" i="1" s="1"/>
  <c r="AM684" i="1"/>
  <c r="AM686" i="1"/>
  <c r="X666" i="1"/>
  <c r="X667" i="1"/>
  <c r="X665" i="1"/>
  <c r="W663" i="1"/>
  <c r="W662" i="1"/>
  <c r="AG682" i="1"/>
  <c r="AG685" i="1"/>
  <c r="AG683" i="1"/>
  <c r="AG687" i="1"/>
  <c r="W664" i="1"/>
  <c r="X664" i="1" s="1"/>
  <c r="Z663" i="1"/>
  <c r="Z662" i="1"/>
  <c r="Z664" i="1"/>
  <c r="Z665" i="1"/>
  <c r="AA665" i="1" s="1"/>
  <c r="AB665" i="1" s="1"/>
  <c r="V658" i="1"/>
  <c r="Z661" i="1"/>
  <c r="V661" i="1"/>
  <c r="W661" i="1" s="1"/>
  <c r="V657" i="1"/>
  <c r="V660" i="1"/>
  <c r="V659" i="1"/>
  <c r="AL680" i="1"/>
  <c r="AL681" i="1"/>
  <c r="AM681" i="1" s="1"/>
  <c r="AR681" i="1" s="1"/>
  <c r="AA666" i="1"/>
  <c r="AB666" i="1" s="1"/>
  <c r="AD679" i="1"/>
  <c r="AE679" i="1" s="1"/>
  <c r="AF679" i="1" s="1"/>
  <c r="Q655" i="1"/>
  <c r="Y655" i="1" s="1"/>
  <c r="Q654" i="1"/>
  <c r="Y654" i="1" s="1"/>
  <c r="Q656" i="1"/>
  <c r="Y656" i="1" s="1"/>
  <c r="Q653" i="1"/>
  <c r="Y653" i="1" s="1"/>
  <c r="AC676" i="1"/>
  <c r="AC668" i="1"/>
  <c r="AD668" i="1" s="1"/>
  <c r="AE668" i="1" s="1"/>
  <c r="AF668" i="1" s="1"/>
  <c r="AC671" i="1"/>
  <c r="AD671" i="1" s="1"/>
  <c r="AE671" i="1" s="1"/>
  <c r="AF671" i="1" s="1"/>
  <c r="R661" i="1"/>
  <c r="U661" i="1" s="1"/>
  <c r="AA667" i="1"/>
  <c r="AB667" i="1" s="1"/>
  <c r="AD677" i="1"/>
  <c r="AE677" i="1" s="1"/>
  <c r="AF677" i="1" s="1"/>
  <c r="R660" i="1"/>
  <c r="U660" i="1" s="1"/>
  <c r="AC672" i="1"/>
  <c r="R659" i="1"/>
  <c r="U659" i="1" s="1"/>
  <c r="AC670" i="1"/>
  <c r="R657" i="1"/>
  <c r="U657" i="1" s="1"/>
  <c r="AC673" i="1"/>
  <c r="R658" i="1"/>
  <c r="U658" i="1" s="1"/>
  <c r="AD674" i="1"/>
  <c r="AE674" i="1" s="1"/>
  <c r="AF674" i="1" s="1"/>
  <c r="AG152" i="24"/>
  <c r="AI152" i="24" s="1"/>
  <c r="AJ152" i="24" s="1"/>
  <c r="S149" i="24"/>
  <c r="T150" i="24"/>
  <c r="U151" i="24"/>
  <c r="V151" i="24" s="1"/>
  <c r="W151" i="24"/>
  <c r="AG684" i="1" l="1"/>
  <c r="AR684" i="1"/>
  <c r="AG686" i="1"/>
  <c r="AR686" i="1"/>
  <c r="AV685" i="1" s="1"/>
  <c r="AV684" i="1" s="1"/>
  <c r="AV683" i="1" s="1"/>
  <c r="AV682" i="1" s="1"/>
  <c r="AV681" i="1" s="1"/>
  <c r="AV680" i="1" s="1"/>
  <c r="W660" i="1"/>
  <c r="X660" i="1" s="1"/>
  <c r="AA663" i="1"/>
  <c r="AB663" i="1" s="1"/>
  <c r="AM680" i="1"/>
  <c r="AA664" i="1"/>
  <c r="X661" i="1"/>
  <c r="AG681" i="1"/>
  <c r="X663" i="1"/>
  <c r="W659" i="1"/>
  <c r="W657" i="1"/>
  <c r="W658" i="1"/>
  <c r="AA662" i="1"/>
  <c r="AB662" i="1" s="1"/>
  <c r="X662" i="1"/>
  <c r="AA661" i="1"/>
  <c r="AB661" i="1" s="1"/>
  <c r="V653" i="1"/>
  <c r="V656" i="1"/>
  <c r="W656" i="1" s="1"/>
  <c r="V654" i="1"/>
  <c r="V655" i="1"/>
  <c r="AL679" i="1"/>
  <c r="AM679" i="1" s="1"/>
  <c r="AR679" i="1" s="1"/>
  <c r="AL678" i="1"/>
  <c r="AL677" i="1"/>
  <c r="AM677" i="1" s="1"/>
  <c r="AR677" i="1" s="1"/>
  <c r="Z657" i="1"/>
  <c r="Z658" i="1"/>
  <c r="AD672" i="1"/>
  <c r="AE672" i="1" s="1"/>
  <c r="AF672" i="1" s="1"/>
  <c r="AC667" i="1"/>
  <c r="AD667" i="1" s="1"/>
  <c r="AE667" i="1" s="1"/>
  <c r="AF667" i="1" s="1"/>
  <c r="Z660" i="1"/>
  <c r="AA660" i="1" s="1"/>
  <c r="AB660" i="1" s="1"/>
  <c r="Q650" i="1"/>
  <c r="Y650" i="1" s="1"/>
  <c r="Q649" i="1"/>
  <c r="Y649" i="1" s="1"/>
  <c r="Q651" i="1"/>
  <c r="Y651" i="1" s="1"/>
  <c r="Q652" i="1"/>
  <c r="Y652" i="1" s="1"/>
  <c r="AC666" i="1"/>
  <c r="AD669" i="1"/>
  <c r="AE669" i="1" s="1"/>
  <c r="AF669" i="1" s="1"/>
  <c r="AD676" i="1"/>
  <c r="AE676" i="1" s="1"/>
  <c r="AF676" i="1" s="1"/>
  <c r="AD673" i="1"/>
  <c r="AE673" i="1" s="1"/>
  <c r="AF673" i="1" s="1"/>
  <c r="AD670" i="1"/>
  <c r="AE670" i="1" s="1"/>
  <c r="AF670" i="1" s="1"/>
  <c r="R653" i="1"/>
  <c r="U653" i="1" s="1"/>
  <c r="R656" i="1"/>
  <c r="U656" i="1" s="1"/>
  <c r="Z659" i="1"/>
  <c r="AC665" i="1"/>
  <c r="R654" i="1"/>
  <c r="U654" i="1" s="1"/>
  <c r="R655" i="1"/>
  <c r="U655" i="1" s="1"/>
  <c r="T149" i="24"/>
  <c r="S148" i="24"/>
  <c r="AG151" i="24"/>
  <c r="AI151" i="24" s="1"/>
  <c r="AJ151" i="24" s="1"/>
  <c r="W150" i="24"/>
  <c r="U150" i="24"/>
  <c r="V150" i="24" s="1"/>
  <c r="AG680" i="1" l="1"/>
  <c r="AR680" i="1"/>
  <c r="AV679" i="1" s="1"/>
  <c r="AV678" i="1" s="1"/>
  <c r="AC663" i="1"/>
  <c r="AB664" i="1"/>
  <c r="AC664" i="1" s="1"/>
  <c r="AD664" i="1" s="1"/>
  <c r="AE664" i="1" s="1"/>
  <c r="AF664" i="1" s="1"/>
  <c r="X659" i="1"/>
  <c r="AM678" i="1"/>
  <c r="W654" i="1"/>
  <c r="Z656" i="1"/>
  <c r="AA656" i="1" s="1"/>
  <c r="W655" i="1"/>
  <c r="X655" i="1" s="1"/>
  <c r="AG677" i="1"/>
  <c r="AG679" i="1"/>
  <c r="W653" i="1"/>
  <c r="X656" i="1"/>
  <c r="X658" i="1"/>
  <c r="X657" i="1"/>
  <c r="V650" i="1"/>
  <c r="Z652" i="1"/>
  <c r="V652" i="1"/>
  <c r="W652" i="1" s="1"/>
  <c r="V651" i="1"/>
  <c r="V649" i="1"/>
  <c r="AL668" i="1"/>
  <c r="AL671" i="1"/>
  <c r="AL673" i="1"/>
  <c r="AM673" i="1" s="1"/>
  <c r="AR673" i="1" s="1"/>
  <c r="AL670" i="1"/>
  <c r="AM670" i="1" s="1"/>
  <c r="AR670" i="1" s="1"/>
  <c r="AL676" i="1"/>
  <c r="AM676" i="1" s="1"/>
  <c r="AR676" i="1" s="1"/>
  <c r="AL675" i="1"/>
  <c r="AL667" i="1"/>
  <c r="AM667" i="1" s="1"/>
  <c r="AR667" i="1" s="1"/>
  <c r="AL669" i="1"/>
  <c r="AM669" i="1" s="1"/>
  <c r="AR669" i="1" s="1"/>
  <c r="AL672" i="1"/>
  <c r="AM672" i="1" s="1"/>
  <c r="AR672" i="1" s="1"/>
  <c r="AL674" i="1"/>
  <c r="AA659" i="1"/>
  <c r="Z655" i="1"/>
  <c r="AA655" i="1" s="1"/>
  <c r="AB655" i="1" s="1"/>
  <c r="R652" i="1"/>
  <c r="U652" i="1" s="1"/>
  <c r="AA658" i="1"/>
  <c r="AB658" i="1" s="1"/>
  <c r="R649" i="1"/>
  <c r="U649" i="1" s="1"/>
  <c r="R650" i="1"/>
  <c r="U650" i="1" s="1"/>
  <c r="R651" i="1"/>
  <c r="U651" i="1" s="1"/>
  <c r="Z654" i="1"/>
  <c r="AA657" i="1"/>
  <c r="AB657" i="1" s="1"/>
  <c r="Z653" i="1"/>
  <c r="Q647" i="1"/>
  <c r="Y647" i="1" s="1"/>
  <c r="Q644" i="1"/>
  <c r="Y644" i="1" s="1"/>
  <c r="Q646" i="1"/>
  <c r="Y646" i="1" s="1"/>
  <c r="Q648" i="1"/>
  <c r="Y648" i="1" s="1"/>
  <c r="Q645" i="1"/>
  <c r="Y645" i="1" s="1"/>
  <c r="AD666" i="1"/>
  <c r="AE666" i="1" s="1"/>
  <c r="AF666" i="1" s="1"/>
  <c r="AD665" i="1"/>
  <c r="AE665" i="1" s="1"/>
  <c r="AF665" i="1" s="1"/>
  <c r="AD663" i="1"/>
  <c r="AE663" i="1" s="1"/>
  <c r="AF663" i="1" s="1"/>
  <c r="AC661" i="1"/>
  <c r="AC662" i="1"/>
  <c r="U149" i="24"/>
  <c r="V149" i="24" s="1"/>
  <c r="W149" i="24"/>
  <c r="AG150" i="24"/>
  <c r="AI150" i="24" s="1"/>
  <c r="AJ150" i="24" s="1"/>
  <c r="S147" i="24"/>
  <c r="T148" i="24"/>
  <c r="AB659" i="1" l="1"/>
  <c r="AB656" i="1"/>
  <c r="AG678" i="1"/>
  <c r="AR678" i="1"/>
  <c r="AV677" i="1" s="1"/>
  <c r="AV676" i="1" s="1"/>
  <c r="AV675" i="1" s="1"/>
  <c r="AM671" i="1"/>
  <c r="AM674" i="1"/>
  <c r="AM675" i="1"/>
  <c r="AM668" i="1"/>
  <c r="X653" i="1"/>
  <c r="X652" i="1"/>
  <c r="AC655" i="1"/>
  <c r="X654" i="1"/>
  <c r="W651" i="1"/>
  <c r="X651" i="1" s="1"/>
  <c r="W650" i="1"/>
  <c r="AG669" i="1"/>
  <c r="AG670" i="1"/>
  <c r="W649" i="1"/>
  <c r="AG672" i="1"/>
  <c r="AG667" i="1"/>
  <c r="AG676" i="1"/>
  <c r="AG673" i="1"/>
  <c r="V647" i="1"/>
  <c r="V646" i="1"/>
  <c r="Z648" i="1"/>
  <c r="V648" i="1"/>
  <c r="W648" i="1" s="1"/>
  <c r="V644" i="1"/>
  <c r="V645" i="1"/>
  <c r="AL663" i="1"/>
  <c r="AM663" i="1" s="1"/>
  <c r="AR663" i="1" s="1"/>
  <c r="AL666" i="1"/>
  <c r="AM666" i="1" s="1"/>
  <c r="AR666" i="1" s="1"/>
  <c r="AL665" i="1"/>
  <c r="AM665" i="1" s="1"/>
  <c r="AR665" i="1" s="1"/>
  <c r="AL664" i="1"/>
  <c r="AC659" i="1"/>
  <c r="AD659" i="1" s="1"/>
  <c r="AE659" i="1" s="1"/>
  <c r="AF659" i="1" s="1"/>
  <c r="AA654" i="1"/>
  <c r="AB654" i="1" s="1"/>
  <c r="AA653" i="1"/>
  <c r="Z649" i="1"/>
  <c r="Z651" i="1"/>
  <c r="AA651" i="1" s="1"/>
  <c r="AB651" i="1" s="1"/>
  <c r="R645" i="1"/>
  <c r="U645" i="1" s="1"/>
  <c r="R648" i="1"/>
  <c r="U648" i="1" s="1"/>
  <c r="Q641" i="1"/>
  <c r="Y641" i="1" s="1"/>
  <c r="Q643" i="1"/>
  <c r="Y643" i="1" s="1"/>
  <c r="Q640" i="1"/>
  <c r="Y640" i="1" s="1"/>
  <c r="Q642" i="1"/>
  <c r="Y642" i="1" s="1"/>
  <c r="R646" i="1"/>
  <c r="U646" i="1" s="1"/>
  <c r="R644" i="1"/>
  <c r="U644" i="1" s="1"/>
  <c r="AA652" i="1"/>
  <c r="AB652" i="1" s="1"/>
  <c r="R647" i="1"/>
  <c r="U647" i="1" s="1"/>
  <c r="AC660" i="1"/>
  <c r="Z650" i="1"/>
  <c r="AD662" i="1"/>
  <c r="AE662" i="1" s="1"/>
  <c r="AF662" i="1" s="1"/>
  <c r="AD661" i="1"/>
  <c r="AE661" i="1" s="1"/>
  <c r="AF661" i="1" s="1"/>
  <c r="W148" i="24"/>
  <c r="U148" i="24"/>
  <c r="V148" i="24" s="1"/>
  <c r="T147" i="24"/>
  <c r="S146" i="24"/>
  <c r="AG149" i="24"/>
  <c r="AI149" i="24" s="1"/>
  <c r="AJ149" i="24" s="1"/>
  <c r="AG668" i="1" l="1"/>
  <c r="AR668" i="1"/>
  <c r="AG675" i="1"/>
  <c r="AR675" i="1"/>
  <c r="AV674" i="1" s="1"/>
  <c r="AG674" i="1"/>
  <c r="AR674" i="1"/>
  <c r="AG671" i="1"/>
  <c r="AR671" i="1"/>
  <c r="AB653" i="1"/>
  <c r="AC653" i="1" s="1"/>
  <c r="AM664" i="1"/>
  <c r="X648" i="1"/>
  <c r="X649" i="1"/>
  <c r="W645" i="1"/>
  <c r="X650" i="1"/>
  <c r="AG666" i="1"/>
  <c r="W644" i="1"/>
  <c r="W646" i="1"/>
  <c r="W647" i="1"/>
  <c r="X647" i="1" s="1"/>
  <c r="AG665" i="1"/>
  <c r="AG663" i="1"/>
  <c r="V643" i="1"/>
  <c r="W643" i="1" s="1"/>
  <c r="V641" i="1"/>
  <c r="V640" i="1"/>
  <c r="V642" i="1"/>
  <c r="AL661" i="1"/>
  <c r="AM661" i="1" s="1"/>
  <c r="AR661" i="1" s="1"/>
  <c r="AL662" i="1"/>
  <c r="AM662" i="1" s="1"/>
  <c r="AR662" i="1" s="1"/>
  <c r="AA650" i="1"/>
  <c r="Z647" i="1"/>
  <c r="AA647" i="1" s="1"/>
  <c r="AB647" i="1" s="1"/>
  <c r="AA649" i="1"/>
  <c r="AB649" i="1" s="1"/>
  <c r="AC657" i="1"/>
  <c r="R642" i="1"/>
  <c r="U642" i="1" s="1"/>
  <c r="AA648" i="1"/>
  <c r="AD655" i="1"/>
  <c r="AE655" i="1" s="1"/>
  <c r="AF655" i="1" s="1"/>
  <c r="R640" i="1"/>
  <c r="U640" i="1" s="1"/>
  <c r="AC658" i="1"/>
  <c r="R643" i="1"/>
  <c r="U643" i="1" s="1"/>
  <c r="Z643" i="1"/>
  <c r="Z645" i="1"/>
  <c r="AC654" i="1"/>
  <c r="R641" i="1"/>
  <c r="U641" i="1" s="1"/>
  <c r="Z644" i="1"/>
  <c r="Q639" i="1"/>
  <c r="Y639" i="1" s="1"/>
  <c r="Q636" i="1"/>
  <c r="Y636" i="1" s="1"/>
  <c r="Q638" i="1"/>
  <c r="Y638" i="1" s="1"/>
  <c r="Q637" i="1"/>
  <c r="Y637" i="1" s="1"/>
  <c r="AD660" i="1"/>
  <c r="AE660" i="1" s="1"/>
  <c r="AF660" i="1" s="1"/>
  <c r="AC656" i="1"/>
  <c r="Z646" i="1"/>
  <c r="S145" i="24"/>
  <c r="T146" i="24"/>
  <c r="W147" i="24"/>
  <c r="U147" i="24"/>
  <c r="V147" i="24" s="1"/>
  <c r="AG148" i="24"/>
  <c r="AI148" i="24" s="1"/>
  <c r="AJ148" i="24" s="1"/>
  <c r="AV673" i="1" l="1"/>
  <c r="AV672" i="1" s="1"/>
  <c r="AV671" i="1" s="1"/>
  <c r="AV670" i="1" s="1"/>
  <c r="AV669" i="1" s="1"/>
  <c r="AV668" i="1" s="1"/>
  <c r="AV667" i="1" s="1"/>
  <c r="AV666" i="1" s="1"/>
  <c r="AV665" i="1" s="1"/>
  <c r="AV664" i="1" s="1"/>
  <c r="AB650" i="1"/>
  <c r="AG664" i="1"/>
  <c r="AR664" i="1"/>
  <c r="AV663" i="1" s="1"/>
  <c r="AV662" i="1" s="1"/>
  <c r="AV661" i="1" s="1"/>
  <c r="AV660" i="1" s="1"/>
  <c r="AB648" i="1"/>
  <c r="X643" i="1"/>
  <c r="W640" i="1"/>
  <c r="AC649" i="1"/>
  <c r="AG661" i="1"/>
  <c r="AG662" i="1"/>
  <c r="W642" i="1"/>
  <c r="X642" i="1" s="1"/>
  <c r="W641" i="1"/>
  <c r="X646" i="1"/>
  <c r="X645" i="1"/>
  <c r="X644" i="1"/>
  <c r="V636" i="1"/>
  <c r="Z639" i="1"/>
  <c r="V639" i="1"/>
  <c r="W639" i="1" s="1"/>
  <c r="V637" i="1"/>
  <c r="V638" i="1"/>
  <c r="AL660" i="1"/>
  <c r="AM660" i="1" s="1"/>
  <c r="AR660" i="1" s="1"/>
  <c r="AL659" i="1"/>
  <c r="AA646" i="1"/>
  <c r="AA644" i="1"/>
  <c r="AB644" i="1" s="1"/>
  <c r="AC652" i="1"/>
  <c r="AD656" i="1"/>
  <c r="AE656" i="1" s="1"/>
  <c r="AF656" i="1" s="1"/>
  <c r="AC651" i="1"/>
  <c r="AC650" i="1"/>
  <c r="AD654" i="1"/>
  <c r="AE654" i="1" s="1"/>
  <c r="AF654" i="1" s="1"/>
  <c r="Q633" i="1"/>
  <c r="Y633" i="1" s="1"/>
  <c r="Q635" i="1"/>
  <c r="Y635" i="1" s="1"/>
  <c r="Q631" i="1"/>
  <c r="Y631" i="1" s="1"/>
  <c r="Q634" i="1"/>
  <c r="Y634" i="1" s="1"/>
  <c r="Q632" i="1"/>
  <c r="Y632" i="1" s="1"/>
  <c r="AD653" i="1"/>
  <c r="AE653" i="1" s="1"/>
  <c r="AF653" i="1" s="1"/>
  <c r="R637" i="1"/>
  <c r="U637" i="1" s="1"/>
  <c r="AA645" i="1"/>
  <c r="Z642" i="1"/>
  <c r="AA642" i="1" s="1"/>
  <c r="AB642" i="1" s="1"/>
  <c r="R638" i="1"/>
  <c r="U638" i="1" s="1"/>
  <c r="AA643" i="1"/>
  <c r="AB643" i="1" s="1"/>
  <c r="Z640" i="1"/>
  <c r="R636" i="1"/>
  <c r="U636" i="1" s="1"/>
  <c r="Z641" i="1"/>
  <c r="AD657" i="1"/>
  <c r="AE657" i="1" s="1"/>
  <c r="AF657" i="1" s="1"/>
  <c r="R639" i="1"/>
  <c r="U639" i="1" s="1"/>
  <c r="AD658" i="1"/>
  <c r="AE658" i="1" s="1"/>
  <c r="AF658" i="1" s="1"/>
  <c r="T145" i="24"/>
  <c r="S144" i="24"/>
  <c r="AG147" i="24"/>
  <c r="AI147" i="24" s="1"/>
  <c r="AJ147" i="24" s="1"/>
  <c r="W146" i="24"/>
  <c r="U146" i="24"/>
  <c r="V146" i="24" s="1"/>
  <c r="AB646" i="1" l="1"/>
  <c r="AV659" i="1"/>
  <c r="AB645" i="1"/>
  <c r="AM659" i="1"/>
  <c r="X640" i="1"/>
  <c r="X639" i="1"/>
  <c r="W638" i="1"/>
  <c r="X638" i="1" s="1"/>
  <c r="AG660" i="1"/>
  <c r="W637" i="1"/>
  <c r="W636" i="1"/>
  <c r="X641" i="1"/>
  <c r="V635" i="1"/>
  <c r="W635" i="1" s="1"/>
  <c r="V633" i="1"/>
  <c r="V631" i="1"/>
  <c r="V634" i="1"/>
  <c r="V632" i="1"/>
  <c r="AL657" i="1"/>
  <c r="AM657" i="1" s="1"/>
  <c r="AR657" i="1" s="1"/>
  <c r="AL654" i="1"/>
  <c r="AM654" i="1" s="1"/>
  <c r="AR654" i="1" s="1"/>
  <c r="AL653" i="1"/>
  <c r="AM653" i="1" s="1"/>
  <c r="AR653" i="1" s="1"/>
  <c r="AL656" i="1"/>
  <c r="AM656" i="1" s="1"/>
  <c r="AR656" i="1" s="1"/>
  <c r="AL655" i="1"/>
  <c r="AL658" i="1"/>
  <c r="AM658" i="1" s="1"/>
  <c r="AR658" i="1" s="1"/>
  <c r="AA641" i="1"/>
  <c r="AB641" i="1" s="1"/>
  <c r="Z638" i="1"/>
  <c r="AA638" i="1" s="1"/>
  <c r="AB638" i="1" s="1"/>
  <c r="Z637" i="1"/>
  <c r="AA640" i="1"/>
  <c r="AB640" i="1" s="1"/>
  <c r="Z636" i="1"/>
  <c r="AC642" i="1"/>
  <c r="AD642" i="1" s="1"/>
  <c r="AE642" i="1" s="1"/>
  <c r="AF642" i="1" s="1"/>
  <c r="AA639" i="1"/>
  <c r="AD650" i="1"/>
  <c r="AE650" i="1" s="1"/>
  <c r="AF650" i="1" s="1"/>
  <c r="AD652" i="1"/>
  <c r="AE652" i="1" s="1"/>
  <c r="AF652" i="1" s="1"/>
  <c r="R632" i="1"/>
  <c r="U632" i="1" s="1"/>
  <c r="R634" i="1"/>
  <c r="U634" i="1" s="1"/>
  <c r="AD651" i="1"/>
  <c r="AE651" i="1" s="1"/>
  <c r="AF651" i="1" s="1"/>
  <c r="Q628" i="1"/>
  <c r="Y628" i="1" s="1"/>
  <c r="Q630" i="1"/>
  <c r="Y630" i="1" s="1"/>
  <c r="Q629" i="1"/>
  <c r="Y629" i="1" s="1"/>
  <c r="Q627" i="1"/>
  <c r="Y627" i="1" s="1"/>
  <c r="AD649" i="1"/>
  <c r="AE649" i="1" s="1"/>
  <c r="AF649" i="1" s="1"/>
  <c r="R631" i="1"/>
  <c r="U631" i="1" s="1"/>
  <c r="AC648" i="1"/>
  <c r="R635" i="1"/>
  <c r="U635" i="1" s="1"/>
  <c r="R633" i="1"/>
  <c r="U633" i="1" s="1"/>
  <c r="AC647" i="1"/>
  <c r="W145" i="24"/>
  <c r="U145" i="24"/>
  <c r="V145" i="24" s="1"/>
  <c r="AG146" i="24"/>
  <c r="AI146" i="24" s="1"/>
  <c r="AJ146" i="24" s="1"/>
  <c r="S143" i="24"/>
  <c r="T144" i="24"/>
  <c r="AB639" i="1" l="1"/>
  <c r="AG659" i="1"/>
  <c r="AR659" i="1"/>
  <c r="AV658" i="1" s="1"/>
  <c r="AV657" i="1" s="1"/>
  <c r="AV656" i="1" s="1"/>
  <c r="AV655" i="1" s="1"/>
  <c r="AM655" i="1"/>
  <c r="W633" i="1"/>
  <c r="Z635" i="1"/>
  <c r="AA635" i="1" s="1"/>
  <c r="AB635" i="1" s="1"/>
  <c r="W634" i="1"/>
  <c r="X634" i="1" s="1"/>
  <c r="AC641" i="1"/>
  <c r="X636" i="1"/>
  <c r="AG658" i="1"/>
  <c r="AG656" i="1"/>
  <c r="AG654" i="1"/>
  <c r="AG653" i="1"/>
  <c r="AG657" i="1"/>
  <c r="X637" i="1"/>
  <c r="W632" i="1"/>
  <c r="W631" i="1"/>
  <c r="X635" i="1"/>
  <c r="V628" i="1"/>
  <c r="V627" i="1"/>
  <c r="V629" i="1"/>
  <c r="V630" i="1"/>
  <c r="W630" i="1" s="1"/>
  <c r="AL650" i="1"/>
  <c r="AM650" i="1" s="1"/>
  <c r="AR650" i="1" s="1"/>
  <c r="AL651" i="1"/>
  <c r="AM651" i="1" s="1"/>
  <c r="AR651" i="1" s="1"/>
  <c r="AL649" i="1"/>
  <c r="AM649" i="1" s="1"/>
  <c r="AR649" i="1" s="1"/>
  <c r="AL652" i="1"/>
  <c r="AM652" i="1" s="1"/>
  <c r="AR652" i="1" s="1"/>
  <c r="AC646" i="1"/>
  <c r="AD646" i="1" s="1"/>
  <c r="AE646" i="1" s="1"/>
  <c r="AF646" i="1" s="1"/>
  <c r="AA637" i="1"/>
  <c r="AA636" i="1"/>
  <c r="AB636" i="1" s="1"/>
  <c r="Q623" i="1"/>
  <c r="Y623" i="1" s="1"/>
  <c r="Q626" i="1"/>
  <c r="Y626" i="1" s="1"/>
  <c r="Q625" i="1"/>
  <c r="Y625" i="1" s="1"/>
  <c r="Q624" i="1"/>
  <c r="Y624" i="1" s="1"/>
  <c r="Z631" i="1"/>
  <c r="AC644" i="1"/>
  <c r="AC640" i="1"/>
  <c r="Z632" i="1"/>
  <c r="AC645" i="1"/>
  <c r="AD647" i="1"/>
  <c r="AE647" i="1" s="1"/>
  <c r="AF647" i="1" s="1"/>
  <c r="AC639" i="1"/>
  <c r="AD639" i="1" s="1"/>
  <c r="AE639" i="1" s="1"/>
  <c r="AF639" i="1" s="1"/>
  <c r="R627" i="1"/>
  <c r="U627" i="1" s="1"/>
  <c r="Z634" i="1"/>
  <c r="AA634" i="1" s="1"/>
  <c r="Z633" i="1"/>
  <c r="R629" i="1"/>
  <c r="U629" i="1" s="1"/>
  <c r="AD648" i="1"/>
  <c r="AE648" i="1" s="1"/>
  <c r="AF648" i="1" s="1"/>
  <c r="R630" i="1"/>
  <c r="U630" i="1" s="1"/>
  <c r="R628" i="1"/>
  <c r="U628" i="1" s="1"/>
  <c r="AC643" i="1"/>
  <c r="T143" i="24"/>
  <c r="S142" i="24"/>
  <c r="AG145" i="24"/>
  <c r="AI145" i="24" s="1"/>
  <c r="AJ145" i="24" s="1"/>
  <c r="W144" i="24"/>
  <c r="U144" i="24"/>
  <c r="V144" i="24" s="1"/>
  <c r="AB637" i="1" l="1"/>
  <c r="AG655" i="1"/>
  <c r="AR655" i="1"/>
  <c r="AB634" i="1"/>
  <c r="AV654" i="1"/>
  <c r="AV653" i="1" s="1"/>
  <c r="AV652" i="1" s="1"/>
  <c r="AV651" i="1" s="1"/>
  <c r="AV650" i="1" s="1"/>
  <c r="AV649" i="1" s="1"/>
  <c r="AV648" i="1" s="1"/>
  <c r="X633" i="1"/>
  <c r="AG652" i="1"/>
  <c r="X630" i="1"/>
  <c r="AC637" i="1"/>
  <c r="AG651" i="1"/>
  <c r="Z630" i="1"/>
  <c r="X632" i="1"/>
  <c r="AC636" i="1"/>
  <c r="AG649" i="1"/>
  <c r="W627" i="1"/>
  <c r="X631" i="1"/>
  <c r="W629" i="1"/>
  <c r="X629" i="1" s="1"/>
  <c r="W628" i="1"/>
  <c r="AG650" i="1"/>
  <c r="V624" i="1"/>
  <c r="V625" i="1"/>
  <c r="V626" i="1"/>
  <c r="W626" i="1" s="1"/>
  <c r="V623" i="1"/>
  <c r="AL647" i="1"/>
  <c r="AM647" i="1" s="1"/>
  <c r="AR647" i="1" s="1"/>
  <c r="AL646" i="1"/>
  <c r="AM646" i="1" s="1"/>
  <c r="AR646" i="1" s="1"/>
  <c r="AL648" i="1"/>
  <c r="AM648" i="1" s="1"/>
  <c r="AR648" i="1" s="1"/>
  <c r="AC635" i="1"/>
  <c r="AD635" i="1" s="1"/>
  <c r="AE635" i="1" s="1"/>
  <c r="AF635" i="1" s="1"/>
  <c r="AA633" i="1"/>
  <c r="Z627" i="1"/>
  <c r="R624" i="1"/>
  <c r="U624" i="1" s="1"/>
  <c r="AD645" i="1"/>
  <c r="AE645" i="1" s="1"/>
  <c r="AF645" i="1" s="1"/>
  <c r="AD644" i="1"/>
  <c r="AE644" i="1" s="1"/>
  <c r="AF644" i="1" s="1"/>
  <c r="R625" i="1"/>
  <c r="U625" i="1" s="1"/>
  <c r="R626" i="1"/>
  <c r="U626" i="1" s="1"/>
  <c r="AA630" i="1"/>
  <c r="AB630" i="1" s="1"/>
  <c r="AA632" i="1"/>
  <c r="AB632" i="1" s="1"/>
  <c r="AD641" i="1"/>
  <c r="AE641" i="1" s="1"/>
  <c r="AF641" i="1" s="1"/>
  <c r="R623" i="1"/>
  <c r="U623" i="1" s="1"/>
  <c r="AD643" i="1"/>
  <c r="AE643" i="1" s="1"/>
  <c r="AF643" i="1" s="1"/>
  <c r="Q620" i="1"/>
  <c r="Y620" i="1" s="1"/>
  <c r="Q622" i="1"/>
  <c r="Y622" i="1" s="1"/>
  <c r="Q621" i="1"/>
  <c r="Y621" i="1" s="1"/>
  <c r="Q618" i="1"/>
  <c r="Y618" i="1" s="1"/>
  <c r="Q619" i="1"/>
  <c r="Y619" i="1" s="1"/>
  <c r="Z628" i="1"/>
  <c r="AC638" i="1"/>
  <c r="Z629" i="1"/>
  <c r="AD640" i="1"/>
  <c r="AE640" i="1" s="1"/>
  <c r="AF640" i="1" s="1"/>
  <c r="AA631" i="1"/>
  <c r="AB631" i="1" s="1"/>
  <c r="S141" i="24"/>
  <c r="T142" i="24"/>
  <c r="W143" i="24"/>
  <c r="U143" i="24"/>
  <c r="V143" i="24" s="1"/>
  <c r="AG144" i="24"/>
  <c r="AI144" i="24" s="1"/>
  <c r="AJ144" i="24" s="1"/>
  <c r="AB633" i="1" l="1"/>
  <c r="AV647" i="1"/>
  <c r="AV646" i="1" s="1"/>
  <c r="AV645" i="1" s="1"/>
  <c r="X628" i="1"/>
  <c r="AA629" i="1"/>
  <c r="AB629" i="1" s="1"/>
  <c r="X626" i="1"/>
  <c r="Z626" i="1"/>
  <c r="AA626" i="1" s="1"/>
  <c r="AB626" i="1" s="1"/>
  <c r="AG648" i="1"/>
  <c r="AG647" i="1"/>
  <c r="W624" i="1"/>
  <c r="AG646" i="1"/>
  <c r="W623" i="1"/>
  <c r="W625" i="1"/>
  <c r="X625" i="1" s="1"/>
  <c r="X627" i="1"/>
  <c r="V618" i="1"/>
  <c r="V620" i="1"/>
  <c r="V619" i="1"/>
  <c r="V621" i="1"/>
  <c r="V622" i="1"/>
  <c r="W622" i="1" s="1"/>
  <c r="AL643" i="1"/>
  <c r="AM643" i="1" s="1"/>
  <c r="AR643" i="1" s="1"/>
  <c r="AL642" i="1"/>
  <c r="AL644" i="1"/>
  <c r="AM644" i="1" s="1"/>
  <c r="AR644" i="1" s="1"/>
  <c r="AL645" i="1"/>
  <c r="AM645" i="1" s="1"/>
  <c r="AR645" i="1" s="1"/>
  <c r="AL641" i="1"/>
  <c r="AM641" i="1" s="1"/>
  <c r="AR641" i="1" s="1"/>
  <c r="AL640" i="1"/>
  <c r="AM640" i="1" s="1"/>
  <c r="AR640" i="1" s="1"/>
  <c r="AL639" i="1"/>
  <c r="AA628" i="1"/>
  <c r="AB628" i="1" s="1"/>
  <c r="R620" i="1"/>
  <c r="U620" i="1" s="1"/>
  <c r="Z624" i="1"/>
  <c r="AC634" i="1"/>
  <c r="AD636" i="1"/>
  <c r="AE636" i="1" s="1"/>
  <c r="AF636" i="1" s="1"/>
  <c r="AD638" i="1"/>
  <c r="AE638" i="1" s="1"/>
  <c r="AF638" i="1" s="1"/>
  <c r="AC633" i="1"/>
  <c r="Z623" i="1"/>
  <c r="Z625" i="1"/>
  <c r="AA627" i="1"/>
  <c r="AB627" i="1" s="1"/>
  <c r="R619" i="1"/>
  <c r="U619" i="1" s="1"/>
  <c r="R618" i="1"/>
  <c r="U618" i="1" s="1"/>
  <c r="Q614" i="1"/>
  <c r="Y614" i="1" s="1"/>
  <c r="Q616" i="1"/>
  <c r="Y616" i="1" s="1"/>
  <c r="Q617" i="1"/>
  <c r="Y617" i="1" s="1"/>
  <c r="Q615" i="1"/>
  <c r="Y615" i="1" s="1"/>
  <c r="AD637" i="1"/>
  <c r="AE637" i="1" s="1"/>
  <c r="AF637" i="1" s="1"/>
  <c r="R621" i="1"/>
  <c r="U621" i="1" s="1"/>
  <c r="AG143" i="24"/>
  <c r="AI143" i="24" s="1"/>
  <c r="AJ143" i="24" s="1"/>
  <c r="R622" i="1"/>
  <c r="U622" i="1" s="1"/>
  <c r="T141" i="24"/>
  <c r="S140" i="24"/>
  <c r="W142" i="24"/>
  <c r="U142" i="24"/>
  <c r="V142" i="24" s="1"/>
  <c r="AV644" i="1" l="1"/>
  <c r="AV643" i="1" s="1"/>
  <c r="AV642" i="1" s="1"/>
  <c r="AA625" i="1"/>
  <c r="AB625" i="1" s="1"/>
  <c r="AM639" i="1"/>
  <c r="AM642" i="1"/>
  <c r="X622" i="1"/>
  <c r="X623" i="1"/>
  <c r="Z622" i="1"/>
  <c r="AA622" i="1" s="1"/>
  <c r="AB622" i="1" s="1"/>
  <c r="X624" i="1"/>
  <c r="AG641" i="1"/>
  <c r="AG644" i="1"/>
  <c r="AG640" i="1"/>
  <c r="AG645" i="1"/>
  <c r="W621" i="1"/>
  <c r="X621" i="1" s="1"/>
  <c r="W620" i="1"/>
  <c r="AG643" i="1"/>
  <c r="W619" i="1"/>
  <c r="W618" i="1"/>
  <c r="V616" i="1"/>
  <c r="V615" i="1"/>
  <c r="V614" i="1"/>
  <c r="V617" i="1"/>
  <c r="W617" i="1" s="1"/>
  <c r="AL637" i="1"/>
  <c r="AM637" i="1" s="1"/>
  <c r="AR637" i="1" s="1"/>
  <c r="AL636" i="1"/>
  <c r="AM636" i="1" s="1"/>
  <c r="AR636" i="1" s="1"/>
  <c r="AL635" i="1"/>
  <c r="AL638" i="1"/>
  <c r="AM638" i="1" s="1"/>
  <c r="AR638" i="1" s="1"/>
  <c r="Z621" i="1"/>
  <c r="AA623" i="1"/>
  <c r="AB623" i="1" s="1"/>
  <c r="Q613" i="1"/>
  <c r="Y613" i="1" s="1"/>
  <c r="Q610" i="1"/>
  <c r="Y610" i="1" s="1"/>
  <c r="Q609" i="1"/>
  <c r="Y609" i="1" s="1"/>
  <c r="Q611" i="1"/>
  <c r="Y611" i="1" s="1"/>
  <c r="Q612" i="1"/>
  <c r="Y612" i="1" s="1"/>
  <c r="R617" i="1"/>
  <c r="U617" i="1" s="1"/>
  <c r="Z619" i="1"/>
  <c r="R616" i="1"/>
  <c r="U616" i="1" s="1"/>
  <c r="AC628" i="1"/>
  <c r="AC630" i="1"/>
  <c r="R614" i="1"/>
  <c r="U614" i="1" s="1"/>
  <c r="AD634" i="1"/>
  <c r="AE634" i="1" s="1"/>
  <c r="AF634" i="1" s="1"/>
  <c r="AC631" i="1"/>
  <c r="AD633" i="1"/>
  <c r="AE633" i="1" s="1"/>
  <c r="AF633" i="1" s="1"/>
  <c r="AA624" i="1"/>
  <c r="Z620" i="1"/>
  <c r="Z618" i="1"/>
  <c r="AC626" i="1"/>
  <c r="AD626" i="1" s="1"/>
  <c r="AE626" i="1" s="1"/>
  <c r="AF626" i="1" s="1"/>
  <c r="AC632" i="1"/>
  <c r="R615" i="1"/>
  <c r="U615" i="1" s="1"/>
  <c r="AC629" i="1"/>
  <c r="AG142" i="24"/>
  <c r="AI142" i="24" s="1"/>
  <c r="AJ142" i="24" s="1"/>
  <c r="S139" i="24"/>
  <c r="T140" i="24"/>
  <c r="W141" i="24"/>
  <c r="U141" i="24"/>
  <c r="V141" i="24" s="1"/>
  <c r="AA621" i="1" l="1"/>
  <c r="AB621" i="1" s="1"/>
  <c r="AG642" i="1"/>
  <c r="AR642" i="1"/>
  <c r="AV641" i="1" s="1"/>
  <c r="AV640" i="1" s="1"/>
  <c r="AV639" i="1" s="1"/>
  <c r="AG639" i="1"/>
  <c r="AR639" i="1"/>
  <c r="AB624" i="1"/>
  <c r="AM635" i="1"/>
  <c r="X617" i="1"/>
  <c r="X618" i="1"/>
  <c r="Z617" i="1"/>
  <c r="AG637" i="1"/>
  <c r="AG636" i="1"/>
  <c r="X619" i="1"/>
  <c r="W615" i="1"/>
  <c r="AG638" i="1"/>
  <c r="W614" i="1"/>
  <c r="W616" i="1"/>
  <c r="X616" i="1" s="1"/>
  <c r="X620" i="1"/>
  <c r="V613" i="1"/>
  <c r="W613" i="1" s="1"/>
  <c r="V612" i="1"/>
  <c r="V611" i="1"/>
  <c r="V609" i="1"/>
  <c r="V610" i="1"/>
  <c r="AL633" i="1"/>
  <c r="AM633" i="1" s="1"/>
  <c r="AR633" i="1" s="1"/>
  <c r="AL634" i="1"/>
  <c r="AM634" i="1" s="1"/>
  <c r="AR634" i="1" s="1"/>
  <c r="AA620" i="1"/>
  <c r="AB620" i="1" s="1"/>
  <c r="AA618" i="1"/>
  <c r="Z616" i="1"/>
  <c r="Z615" i="1"/>
  <c r="AC625" i="1"/>
  <c r="AD628" i="1"/>
  <c r="AE628" i="1" s="1"/>
  <c r="AF628" i="1" s="1"/>
  <c r="R611" i="1"/>
  <c r="U611" i="1" s="1"/>
  <c r="R609" i="1"/>
  <c r="U609" i="1" s="1"/>
  <c r="AC627" i="1"/>
  <c r="R610" i="1"/>
  <c r="U610" i="1" s="1"/>
  <c r="Q605" i="1"/>
  <c r="Y605" i="1" s="1"/>
  <c r="Q607" i="1"/>
  <c r="Y607" i="1" s="1"/>
  <c r="Q608" i="1"/>
  <c r="Y608" i="1" s="1"/>
  <c r="Q606" i="1"/>
  <c r="Y606" i="1" s="1"/>
  <c r="Z614" i="1"/>
  <c r="R613" i="1"/>
  <c r="U613" i="1" s="1"/>
  <c r="AC621" i="1"/>
  <c r="AA619" i="1"/>
  <c r="AB619" i="1" s="1"/>
  <c r="AD631" i="1"/>
  <c r="AE631" i="1" s="1"/>
  <c r="AF631" i="1" s="1"/>
  <c r="AA617" i="1"/>
  <c r="AD629" i="1"/>
  <c r="AE629" i="1" s="1"/>
  <c r="AF629" i="1" s="1"/>
  <c r="AC622" i="1"/>
  <c r="AD630" i="1"/>
  <c r="AE630" i="1" s="1"/>
  <c r="AF630" i="1" s="1"/>
  <c r="AC623" i="1"/>
  <c r="AD632" i="1"/>
  <c r="AE632" i="1" s="1"/>
  <c r="AF632" i="1" s="1"/>
  <c r="R612" i="1"/>
  <c r="U612" i="1" s="1"/>
  <c r="AG141" i="24"/>
  <c r="AI141" i="24" s="1"/>
  <c r="AJ141" i="24" s="1"/>
  <c r="W140" i="24"/>
  <c r="U140" i="24"/>
  <c r="V140" i="24" s="1"/>
  <c r="T139" i="24"/>
  <c r="S138" i="24"/>
  <c r="AB617" i="1" l="1"/>
  <c r="AG635" i="1"/>
  <c r="AR635" i="1"/>
  <c r="AB618" i="1"/>
  <c r="AC618" i="1" s="1"/>
  <c r="AD618" i="1" s="1"/>
  <c r="AE618" i="1" s="1"/>
  <c r="AF618" i="1" s="1"/>
  <c r="AV638" i="1"/>
  <c r="AV637" i="1" s="1"/>
  <c r="AV636" i="1" s="1"/>
  <c r="AV635" i="1" s="1"/>
  <c r="AA616" i="1"/>
  <c r="AB616" i="1" s="1"/>
  <c r="W610" i="1"/>
  <c r="AC620" i="1"/>
  <c r="AD620" i="1" s="1"/>
  <c r="AE620" i="1" s="1"/>
  <c r="AF620" i="1" s="1"/>
  <c r="W611" i="1"/>
  <c r="Z613" i="1"/>
  <c r="AA613" i="1" s="1"/>
  <c r="W612" i="1"/>
  <c r="AG634" i="1"/>
  <c r="X615" i="1"/>
  <c r="W609" i="1"/>
  <c r="X614" i="1"/>
  <c r="AG633" i="1"/>
  <c r="X613" i="1"/>
  <c r="V605" i="1"/>
  <c r="V607" i="1"/>
  <c r="V606" i="1"/>
  <c r="Z608" i="1"/>
  <c r="V608" i="1"/>
  <c r="W608" i="1" s="1"/>
  <c r="AL630" i="1"/>
  <c r="AM630" i="1" s="1"/>
  <c r="AR630" i="1" s="1"/>
  <c r="AL629" i="1"/>
  <c r="AM629" i="1" s="1"/>
  <c r="AR629" i="1" s="1"/>
  <c r="AL628" i="1"/>
  <c r="AM628" i="1" s="1"/>
  <c r="AR628" i="1" s="1"/>
  <c r="AL631" i="1"/>
  <c r="AM631" i="1" s="1"/>
  <c r="AR631" i="1" s="1"/>
  <c r="AL632" i="1"/>
  <c r="AM632" i="1" s="1"/>
  <c r="AR632" i="1" s="1"/>
  <c r="AA614" i="1"/>
  <c r="AA615" i="1"/>
  <c r="AB615" i="1" s="1"/>
  <c r="Z612" i="1"/>
  <c r="Q602" i="1"/>
  <c r="Y602" i="1" s="1"/>
  <c r="Q601" i="1"/>
  <c r="Y601" i="1" s="1"/>
  <c r="Q603" i="1"/>
  <c r="Y603" i="1" s="1"/>
  <c r="Q604" i="1"/>
  <c r="Y604" i="1" s="1"/>
  <c r="AC624" i="1"/>
  <c r="AD627" i="1"/>
  <c r="AE627" i="1" s="1"/>
  <c r="AF627" i="1" s="1"/>
  <c r="AD625" i="1"/>
  <c r="AE625" i="1" s="1"/>
  <c r="AF625" i="1" s="1"/>
  <c r="AD621" i="1"/>
  <c r="AE621" i="1" s="1"/>
  <c r="AF621" i="1" s="1"/>
  <c r="R606" i="1"/>
  <c r="U606" i="1" s="1"/>
  <c r="R608" i="1"/>
  <c r="U608" i="1" s="1"/>
  <c r="Z609" i="1"/>
  <c r="R607" i="1"/>
  <c r="U607" i="1" s="1"/>
  <c r="R605" i="1"/>
  <c r="U605" i="1" s="1"/>
  <c r="Z611" i="1"/>
  <c r="AD622" i="1"/>
  <c r="AE622" i="1" s="1"/>
  <c r="AF622" i="1" s="1"/>
  <c r="Z610" i="1"/>
  <c r="AD623" i="1"/>
  <c r="AE623" i="1" s="1"/>
  <c r="AF623" i="1" s="1"/>
  <c r="W139" i="24"/>
  <c r="U139" i="24"/>
  <c r="V139" i="24" s="1"/>
  <c r="S137" i="24"/>
  <c r="T138" i="24"/>
  <c r="AG140" i="24"/>
  <c r="AI140" i="24" s="1"/>
  <c r="AJ140" i="24" s="1"/>
  <c r="AB614" i="1" l="1"/>
  <c r="AB613" i="1"/>
  <c r="AA612" i="1"/>
  <c r="AV634" i="1"/>
  <c r="AV633" i="1" s="1"/>
  <c r="AV632" i="1" s="1"/>
  <c r="AV631" i="1" s="1"/>
  <c r="AV630" i="1" s="1"/>
  <c r="AV629" i="1" s="1"/>
  <c r="AV628" i="1" s="1"/>
  <c r="AV627" i="1" s="1"/>
  <c r="X608" i="1"/>
  <c r="X610" i="1"/>
  <c r="AC613" i="1"/>
  <c r="X609" i="1"/>
  <c r="W607" i="1"/>
  <c r="X607" i="1" s="1"/>
  <c r="X612" i="1"/>
  <c r="AC615" i="1"/>
  <c r="AD615" i="1" s="1"/>
  <c r="AE615" i="1" s="1"/>
  <c r="AF615" i="1" s="1"/>
  <c r="X611" i="1"/>
  <c r="AG632" i="1"/>
  <c r="AG628" i="1"/>
  <c r="AG630" i="1"/>
  <c r="AG631" i="1"/>
  <c r="AG629" i="1"/>
  <c r="W606" i="1"/>
  <c r="W605" i="1"/>
  <c r="Z604" i="1"/>
  <c r="V604" i="1"/>
  <c r="W604" i="1" s="1"/>
  <c r="V603" i="1"/>
  <c r="V601" i="1"/>
  <c r="V602" i="1"/>
  <c r="AL625" i="1"/>
  <c r="AM625" i="1" s="1"/>
  <c r="AR625" i="1" s="1"/>
  <c r="AL620" i="1"/>
  <c r="AM620" i="1" s="1"/>
  <c r="AR620" i="1" s="1"/>
  <c r="AL627" i="1"/>
  <c r="AM627" i="1" s="1"/>
  <c r="AR627" i="1" s="1"/>
  <c r="AL626" i="1"/>
  <c r="Z605" i="1"/>
  <c r="AA610" i="1"/>
  <c r="AB610" i="1" s="1"/>
  <c r="AA611" i="1"/>
  <c r="AB611" i="1" s="1"/>
  <c r="Z607" i="1"/>
  <c r="AA607" i="1" s="1"/>
  <c r="AC617" i="1"/>
  <c r="AC616" i="1"/>
  <c r="R601" i="1"/>
  <c r="U601" i="1" s="1"/>
  <c r="R602" i="1"/>
  <c r="U602" i="1" s="1"/>
  <c r="AC614" i="1"/>
  <c r="Q600" i="1"/>
  <c r="Y600" i="1" s="1"/>
  <c r="Q599" i="1"/>
  <c r="Y599" i="1" s="1"/>
  <c r="Q598" i="1"/>
  <c r="Y598" i="1" s="1"/>
  <c r="Q597" i="1"/>
  <c r="Y597" i="1" s="1"/>
  <c r="Z606" i="1"/>
  <c r="AD624" i="1"/>
  <c r="AE624" i="1" s="1"/>
  <c r="AF624" i="1" s="1"/>
  <c r="AA609" i="1"/>
  <c r="AC619" i="1"/>
  <c r="R604" i="1"/>
  <c r="U604" i="1" s="1"/>
  <c r="AG139" i="24"/>
  <c r="AI139" i="24" s="1"/>
  <c r="AJ139" i="24" s="1"/>
  <c r="AA608" i="1"/>
  <c r="AB608" i="1" s="1"/>
  <c r="R603" i="1"/>
  <c r="U603" i="1" s="1"/>
  <c r="W138" i="24"/>
  <c r="U138" i="24"/>
  <c r="V138" i="24" s="1"/>
  <c r="T137" i="24"/>
  <c r="S136" i="24"/>
  <c r="AB609" i="1" l="1"/>
  <c r="AB612" i="1"/>
  <c r="AB607" i="1"/>
  <c r="AV626" i="1"/>
  <c r="AC612" i="1"/>
  <c r="AD612" i="1" s="1"/>
  <c r="AE612" i="1" s="1"/>
  <c r="AF612" i="1" s="1"/>
  <c r="AM626" i="1"/>
  <c r="AC610" i="1"/>
  <c r="AD610" i="1" s="1"/>
  <c r="AE610" i="1" s="1"/>
  <c r="AF610" i="1" s="1"/>
  <c r="X606" i="1"/>
  <c r="W603" i="1"/>
  <c r="X603" i="1" s="1"/>
  <c r="X604" i="1"/>
  <c r="W602" i="1"/>
  <c r="X605" i="1"/>
  <c r="AG620" i="1"/>
  <c r="W601" i="1"/>
  <c r="AG627" i="1"/>
  <c r="AG625" i="1"/>
  <c r="V597" i="1"/>
  <c r="V599" i="1"/>
  <c r="V598" i="1"/>
  <c r="V600" i="1"/>
  <c r="W600" i="1" s="1"/>
  <c r="AL624" i="1"/>
  <c r="AM624" i="1" s="1"/>
  <c r="AR624" i="1" s="1"/>
  <c r="AL622" i="1"/>
  <c r="AL623" i="1"/>
  <c r="AL621" i="1"/>
  <c r="AA606" i="1"/>
  <c r="AA605" i="1"/>
  <c r="AA604" i="1"/>
  <c r="Q594" i="1"/>
  <c r="Y594" i="1" s="1"/>
  <c r="Q593" i="1"/>
  <c r="Y593" i="1" s="1"/>
  <c r="Q595" i="1"/>
  <c r="Y595" i="1" s="1"/>
  <c r="Q596" i="1"/>
  <c r="Y596" i="1" s="1"/>
  <c r="Q592" i="1"/>
  <c r="Y592" i="1" s="1"/>
  <c r="R598" i="1"/>
  <c r="U598" i="1" s="1"/>
  <c r="R599" i="1"/>
  <c r="U599" i="1" s="1"/>
  <c r="AD617" i="1"/>
  <c r="AE617" i="1" s="1"/>
  <c r="AF617" i="1" s="1"/>
  <c r="R600" i="1"/>
  <c r="U600" i="1" s="1"/>
  <c r="Z602" i="1"/>
  <c r="AD613" i="1"/>
  <c r="AE613" i="1" s="1"/>
  <c r="AF613" i="1" s="1"/>
  <c r="AC611" i="1"/>
  <c r="AD614" i="1"/>
  <c r="AE614" i="1" s="1"/>
  <c r="AF614" i="1" s="1"/>
  <c r="Z601" i="1"/>
  <c r="Z603" i="1"/>
  <c r="AA603" i="1" s="1"/>
  <c r="AB603" i="1" s="1"/>
  <c r="AD619" i="1"/>
  <c r="AE619" i="1" s="1"/>
  <c r="AF619" i="1" s="1"/>
  <c r="R597" i="1"/>
  <c r="U597" i="1" s="1"/>
  <c r="AD616" i="1"/>
  <c r="AE616" i="1" s="1"/>
  <c r="AF616" i="1" s="1"/>
  <c r="W137" i="24"/>
  <c r="U137" i="24"/>
  <c r="V137" i="24" s="1"/>
  <c r="S135" i="24"/>
  <c r="T136" i="24"/>
  <c r="AG138" i="24"/>
  <c r="AI138" i="24" s="1"/>
  <c r="AJ138" i="24" s="1"/>
  <c r="AB605" i="1" l="1"/>
  <c r="AB606" i="1"/>
  <c r="AG626" i="1"/>
  <c r="AR626" i="1"/>
  <c r="AV625" i="1" s="1"/>
  <c r="AV624" i="1" s="1"/>
  <c r="AV623" i="1" s="1"/>
  <c r="AB604" i="1"/>
  <c r="AM622" i="1"/>
  <c r="AM621" i="1"/>
  <c r="AM623" i="1"/>
  <c r="X602" i="1"/>
  <c r="AC605" i="1"/>
  <c r="X600" i="1"/>
  <c r="Z600" i="1"/>
  <c r="X601" i="1"/>
  <c r="W598" i="1"/>
  <c r="W597" i="1"/>
  <c r="AG624" i="1"/>
  <c r="W599" i="1"/>
  <c r="X599" i="1" s="1"/>
  <c r="V594" i="1"/>
  <c r="V592" i="1"/>
  <c r="V596" i="1"/>
  <c r="W596" i="1" s="1"/>
  <c r="V595" i="1"/>
  <c r="V593" i="1"/>
  <c r="AL615" i="1"/>
  <c r="AL612" i="1"/>
  <c r="AL614" i="1"/>
  <c r="AM614" i="1" s="1"/>
  <c r="AR614" i="1" s="1"/>
  <c r="AL616" i="1"/>
  <c r="AM616" i="1" s="1"/>
  <c r="AR616" i="1" s="1"/>
  <c r="AL619" i="1"/>
  <c r="AM619" i="1" s="1"/>
  <c r="AR619" i="1" s="1"/>
  <c r="AL618" i="1"/>
  <c r="AL613" i="1"/>
  <c r="AM613" i="1" s="1"/>
  <c r="AR613" i="1" s="1"/>
  <c r="AL617" i="1"/>
  <c r="AM617" i="1" s="1"/>
  <c r="AR617" i="1" s="1"/>
  <c r="Z599" i="1"/>
  <c r="Z598" i="1"/>
  <c r="Z597" i="1"/>
  <c r="R595" i="1"/>
  <c r="U595" i="1" s="1"/>
  <c r="AA602" i="1"/>
  <c r="R593" i="1"/>
  <c r="U593" i="1" s="1"/>
  <c r="AA600" i="1"/>
  <c r="AB600" i="1" s="1"/>
  <c r="R594" i="1"/>
  <c r="U594" i="1" s="1"/>
  <c r="AA601" i="1"/>
  <c r="AB601" i="1" s="1"/>
  <c r="Q591" i="1"/>
  <c r="Y591" i="1" s="1"/>
  <c r="Q588" i="1"/>
  <c r="Y588" i="1" s="1"/>
  <c r="Q590" i="1"/>
  <c r="Y590" i="1" s="1"/>
  <c r="Q589" i="1"/>
  <c r="Y589" i="1" s="1"/>
  <c r="AC606" i="1"/>
  <c r="AC604" i="1"/>
  <c r="AC609" i="1"/>
  <c r="AD611" i="1"/>
  <c r="AE611" i="1" s="1"/>
  <c r="AF611" i="1" s="1"/>
  <c r="AC607" i="1"/>
  <c r="AC608" i="1"/>
  <c r="R592" i="1"/>
  <c r="U592" i="1" s="1"/>
  <c r="AG137" i="24"/>
  <c r="AI137" i="24" s="1"/>
  <c r="AJ137" i="24" s="1"/>
  <c r="R596" i="1"/>
  <c r="U596" i="1" s="1"/>
  <c r="W136" i="24"/>
  <c r="U136" i="24"/>
  <c r="V136" i="24" s="1"/>
  <c r="T135" i="24"/>
  <c r="S134" i="24"/>
  <c r="AG623" i="1" l="1"/>
  <c r="AR623" i="1"/>
  <c r="AV622" i="1" s="1"/>
  <c r="AG621" i="1"/>
  <c r="AR621" i="1"/>
  <c r="AG622" i="1"/>
  <c r="AR622" i="1"/>
  <c r="AB602" i="1"/>
  <c r="AM618" i="1"/>
  <c r="AM612" i="1"/>
  <c r="AM615" i="1"/>
  <c r="AA599" i="1"/>
  <c r="AB599" i="1" s="1"/>
  <c r="X596" i="1"/>
  <c r="W593" i="1"/>
  <c r="Z596" i="1"/>
  <c r="AA596" i="1" s="1"/>
  <c r="AB596" i="1" s="1"/>
  <c r="X598" i="1"/>
  <c r="AG619" i="1"/>
  <c r="AG616" i="1"/>
  <c r="W594" i="1"/>
  <c r="AG613" i="1"/>
  <c r="AG614" i="1"/>
  <c r="W595" i="1"/>
  <c r="X595" i="1" s="1"/>
  <c r="W592" i="1"/>
  <c r="AG617" i="1"/>
  <c r="X597" i="1"/>
  <c r="V589" i="1"/>
  <c r="V590" i="1"/>
  <c r="V588" i="1"/>
  <c r="V591" i="1"/>
  <c r="W591" i="1" s="1"/>
  <c r="AL610" i="1"/>
  <c r="AL611" i="1"/>
  <c r="AM611" i="1" s="1"/>
  <c r="AR611" i="1" s="1"/>
  <c r="AG136" i="24"/>
  <c r="AI136" i="24" s="1"/>
  <c r="AA598" i="1"/>
  <c r="AA597" i="1"/>
  <c r="Z592" i="1"/>
  <c r="Q586" i="1"/>
  <c r="Y586" i="1" s="1"/>
  <c r="Q585" i="1"/>
  <c r="Y585" i="1" s="1"/>
  <c r="Q587" i="1"/>
  <c r="Y587" i="1" s="1"/>
  <c r="Q584" i="1"/>
  <c r="Y584" i="1" s="1"/>
  <c r="Z595" i="1"/>
  <c r="AD605" i="1"/>
  <c r="AE605" i="1" s="1"/>
  <c r="AF605" i="1" s="1"/>
  <c r="R589" i="1"/>
  <c r="U589" i="1" s="1"/>
  <c r="R590" i="1"/>
  <c r="U590" i="1" s="1"/>
  <c r="AD607" i="1"/>
  <c r="AE607" i="1" s="1"/>
  <c r="AF607" i="1" s="1"/>
  <c r="AD609" i="1"/>
  <c r="AE609" i="1" s="1"/>
  <c r="AF609" i="1" s="1"/>
  <c r="R588" i="1"/>
  <c r="U588" i="1" s="1"/>
  <c r="Z593" i="1"/>
  <c r="R591" i="1"/>
  <c r="U591" i="1" s="1"/>
  <c r="AC603" i="1"/>
  <c r="AD604" i="1"/>
  <c r="AE604" i="1" s="1"/>
  <c r="AF604" i="1" s="1"/>
  <c r="AJ136" i="24"/>
  <c r="Z594" i="1"/>
  <c r="AD608" i="1"/>
  <c r="AE608" i="1" s="1"/>
  <c r="AF608" i="1" s="1"/>
  <c r="AD606" i="1"/>
  <c r="AE606" i="1" s="1"/>
  <c r="AF606" i="1" s="1"/>
  <c r="S133" i="24"/>
  <c r="T134" i="24"/>
  <c r="W135" i="24"/>
  <c r="U135" i="24"/>
  <c r="V135" i="24" s="1"/>
  <c r="AV621" i="1" l="1"/>
  <c r="AV620" i="1" s="1"/>
  <c r="AV619" i="1" s="1"/>
  <c r="AV618" i="1" s="1"/>
  <c r="AB597" i="1"/>
  <c r="AG615" i="1"/>
  <c r="AR615" i="1"/>
  <c r="AG612" i="1"/>
  <c r="AR612" i="1"/>
  <c r="AB598" i="1"/>
  <c r="AC598" i="1" s="1"/>
  <c r="AG618" i="1"/>
  <c r="AR618" i="1"/>
  <c r="AV617" i="1" s="1"/>
  <c r="AV616" i="1" s="1"/>
  <c r="AV615" i="1" s="1"/>
  <c r="AM610" i="1"/>
  <c r="AA595" i="1"/>
  <c r="AB595" i="1" s="1"/>
  <c r="X591" i="1"/>
  <c r="Z591" i="1"/>
  <c r="AA591" i="1" s="1"/>
  <c r="AG611" i="1"/>
  <c r="W588" i="1"/>
  <c r="W589" i="1"/>
  <c r="X593" i="1"/>
  <c r="W590" i="1"/>
  <c r="X590" i="1" s="1"/>
  <c r="X592" i="1"/>
  <c r="X594" i="1"/>
  <c r="V585" i="1"/>
  <c r="Z587" i="1"/>
  <c r="V587" i="1"/>
  <c r="W587" i="1" s="1"/>
  <c r="V584" i="1"/>
  <c r="V586" i="1"/>
  <c r="AL608" i="1"/>
  <c r="AM608" i="1" s="1"/>
  <c r="AR608" i="1" s="1"/>
  <c r="AL609" i="1"/>
  <c r="AM609" i="1" s="1"/>
  <c r="AR609" i="1" s="1"/>
  <c r="AL604" i="1"/>
  <c r="AM604" i="1" s="1"/>
  <c r="AR604" i="1" s="1"/>
  <c r="AL606" i="1"/>
  <c r="AM606" i="1" s="1"/>
  <c r="AR606" i="1" s="1"/>
  <c r="AL607" i="1"/>
  <c r="AM607" i="1" s="1"/>
  <c r="AR607" i="1" s="1"/>
  <c r="AL605" i="1"/>
  <c r="AM605" i="1" s="1"/>
  <c r="AR605" i="1" s="1"/>
  <c r="AA594" i="1"/>
  <c r="AB594" i="1" s="1"/>
  <c r="AA592" i="1"/>
  <c r="Q579" i="1"/>
  <c r="Y579" i="1" s="1"/>
  <c r="Q583" i="1"/>
  <c r="Y583" i="1" s="1"/>
  <c r="Q580" i="1"/>
  <c r="Y580" i="1" s="1"/>
  <c r="Q582" i="1"/>
  <c r="Y582" i="1" s="1"/>
  <c r="Q581" i="1"/>
  <c r="Y581" i="1" s="1"/>
  <c r="AC602" i="1"/>
  <c r="Z588" i="1"/>
  <c r="Z590" i="1"/>
  <c r="AC596" i="1"/>
  <c r="R584" i="1"/>
  <c r="U584" i="1" s="1"/>
  <c r="R587" i="1"/>
  <c r="U587" i="1" s="1"/>
  <c r="R585" i="1"/>
  <c r="U585" i="1" s="1"/>
  <c r="AC600" i="1"/>
  <c r="R586" i="1"/>
  <c r="U586" i="1" s="1"/>
  <c r="AC601" i="1"/>
  <c r="AD603" i="1"/>
  <c r="AE603" i="1" s="1"/>
  <c r="AF603" i="1" s="1"/>
  <c r="AA593" i="1"/>
  <c r="Z589" i="1"/>
  <c r="AC599" i="1"/>
  <c r="T133" i="24"/>
  <c r="S132" i="24"/>
  <c r="AG135" i="24"/>
  <c r="AI135" i="24" s="1"/>
  <c r="AJ135" i="24" s="1"/>
  <c r="W134" i="24"/>
  <c r="U134" i="24"/>
  <c r="V134" i="24" s="1"/>
  <c r="AB591" i="1" l="1"/>
  <c r="AA590" i="1"/>
  <c r="AB590" i="1" s="1"/>
  <c r="AB592" i="1"/>
  <c r="AV614" i="1"/>
  <c r="AV613" i="1" s="1"/>
  <c r="AV612" i="1" s="1"/>
  <c r="AV611" i="1" s="1"/>
  <c r="AV610" i="1" s="1"/>
  <c r="AB593" i="1"/>
  <c r="AG610" i="1"/>
  <c r="AR610" i="1"/>
  <c r="AV609" i="1" s="1"/>
  <c r="AV608" i="1" s="1"/>
  <c r="AV607" i="1" s="1"/>
  <c r="AV606" i="1" s="1"/>
  <c r="AV605" i="1" s="1"/>
  <c r="AV604" i="1" s="1"/>
  <c r="AV603" i="1" s="1"/>
  <c r="AV602" i="1" s="1"/>
  <c r="W586" i="1"/>
  <c r="X586" i="1" s="1"/>
  <c r="X588" i="1"/>
  <c r="AG607" i="1"/>
  <c r="AG604" i="1"/>
  <c r="AG608" i="1"/>
  <c r="X587" i="1"/>
  <c r="AG605" i="1"/>
  <c r="AG606" i="1"/>
  <c r="AG609" i="1"/>
  <c r="W584" i="1"/>
  <c r="W585" i="1"/>
  <c r="X589" i="1"/>
  <c r="V582" i="1"/>
  <c r="V580" i="1"/>
  <c r="V583" i="1"/>
  <c r="W583" i="1" s="1"/>
  <c r="V579" i="1"/>
  <c r="V581" i="1"/>
  <c r="AL603" i="1"/>
  <c r="AM603" i="1" s="1"/>
  <c r="AR603" i="1" s="1"/>
  <c r="AC597" i="1"/>
  <c r="AD597" i="1" s="1"/>
  <c r="AE597" i="1" s="1"/>
  <c r="AF597" i="1" s="1"/>
  <c r="AA589" i="1"/>
  <c r="AB589" i="1" s="1"/>
  <c r="AC595" i="1"/>
  <c r="AD596" i="1"/>
  <c r="AE596" i="1" s="1"/>
  <c r="AF596" i="1" s="1"/>
  <c r="AA588" i="1"/>
  <c r="AB588" i="1" s="1"/>
  <c r="R583" i="1"/>
  <c r="U583" i="1" s="1"/>
  <c r="AD602" i="1"/>
  <c r="AE602" i="1" s="1"/>
  <c r="AF602" i="1" s="1"/>
  <c r="R579" i="1"/>
  <c r="U579" i="1" s="1"/>
  <c r="AD598" i="1"/>
  <c r="AE598" i="1" s="1"/>
  <c r="AF598" i="1" s="1"/>
  <c r="AD601" i="1"/>
  <c r="AE601" i="1" s="1"/>
  <c r="AF601" i="1" s="1"/>
  <c r="Q577" i="1"/>
  <c r="Y577" i="1" s="1"/>
  <c r="Q575" i="1"/>
  <c r="Y575" i="1" s="1"/>
  <c r="Q576" i="1"/>
  <c r="Y576" i="1" s="1"/>
  <c r="Q578" i="1"/>
  <c r="Y578" i="1" s="1"/>
  <c r="Z585" i="1"/>
  <c r="AC591" i="1"/>
  <c r="AC592" i="1"/>
  <c r="Z586" i="1"/>
  <c r="AA586" i="1" s="1"/>
  <c r="Z584" i="1"/>
  <c r="AC594" i="1"/>
  <c r="AA587" i="1"/>
  <c r="AB587" i="1" s="1"/>
  <c r="R581" i="1"/>
  <c r="U581" i="1" s="1"/>
  <c r="AD600" i="1"/>
  <c r="AE600" i="1" s="1"/>
  <c r="AF600" i="1" s="1"/>
  <c r="R582" i="1"/>
  <c r="U582" i="1" s="1"/>
  <c r="AD599" i="1"/>
  <c r="AE599" i="1" s="1"/>
  <c r="AF599" i="1" s="1"/>
  <c r="R580" i="1"/>
  <c r="U580" i="1" s="1"/>
  <c r="U133" i="24"/>
  <c r="V133" i="24" s="1"/>
  <c r="W133" i="24"/>
  <c r="AG134" i="24"/>
  <c r="AI134" i="24" s="1"/>
  <c r="AJ134" i="24" s="1"/>
  <c r="S131" i="24"/>
  <c r="T132" i="24"/>
  <c r="AB586" i="1" l="1"/>
  <c r="X585" i="1"/>
  <c r="W581" i="1"/>
  <c r="Z583" i="1"/>
  <c r="AG603" i="1"/>
  <c r="X583" i="1"/>
  <c r="W582" i="1"/>
  <c r="X582" i="1" s="1"/>
  <c r="X584" i="1"/>
  <c r="W579" i="1"/>
  <c r="W580" i="1"/>
  <c r="Z578" i="1"/>
  <c r="V578" i="1"/>
  <c r="W578" i="1" s="1"/>
  <c r="V576" i="1"/>
  <c r="V575" i="1"/>
  <c r="V577" i="1"/>
  <c r="AL596" i="1"/>
  <c r="AM596" i="1" s="1"/>
  <c r="AR596" i="1" s="1"/>
  <c r="AL601" i="1"/>
  <c r="AM601" i="1" s="1"/>
  <c r="AR601" i="1" s="1"/>
  <c r="AL598" i="1"/>
  <c r="AM598" i="1" s="1"/>
  <c r="AR598" i="1" s="1"/>
  <c r="AL599" i="1"/>
  <c r="AM599" i="1" s="1"/>
  <c r="AR599" i="1" s="1"/>
  <c r="AL600" i="1"/>
  <c r="AM600" i="1" s="1"/>
  <c r="AR600" i="1" s="1"/>
  <c r="AL602" i="1"/>
  <c r="AM602" i="1" s="1"/>
  <c r="AR602" i="1" s="1"/>
  <c r="AV601" i="1" s="1"/>
  <c r="AV600" i="1" s="1"/>
  <c r="AL597" i="1"/>
  <c r="AM597" i="1" s="1"/>
  <c r="AR597" i="1" s="1"/>
  <c r="Z582" i="1"/>
  <c r="AA585" i="1"/>
  <c r="AB585" i="1" s="1"/>
  <c r="AA584" i="1"/>
  <c r="Z581" i="1"/>
  <c r="AD592" i="1"/>
  <c r="AE592" i="1" s="1"/>
  <c r="AF592" i="1" s="1"/>
  <c r="R577" i="1"/>
  <c r="U577" i="1" s="1"/>
  <c r="Z579" i="1"/>
  <c r="AD594" i="1"/>
  <c r="AE594" i="1" s="1"/>
  <c r="AF594" i="1" s="1"/>
  <c r="AD591" i="1"/>
  <c r="AE591" i="1" s="1"/>
  <c r="AF591" i="1" s="1"/>
  <c r="AC590" i="1"/>
  <c r="AD595" i="1"/>
  <c r="AE595" i="1" s="1"/>
  <c r="AF595" i="1" s="1"/>
  <c r="Q571" i="1"/>
  <c r="Y571" i="1" s="1"/>
  <c r="Q572" i="1"/>
  <c r="Y572" i="1" s="1"/>
  <c r="Q574" i="1"/>
  <c r="Y574" i="1" s="1"/>
  <c r="Q573" i="1"/>
  <c r="Y573" i="1" s="1"/>
  <c r="Q570" i="1"/>
  <c r="Y570" i="1" s="1"/>
  <c r="R578" i="1"/>
  <c r="U578" i="1" s="1"/>
  <c r="AA583" i="1"/>
  <c r="AB583" i="1" s="1"/>
  <c r="R576" i="1"/>
  <c r="U576" i="1" s="1"/>
  <c r="AC593" i="1"/>
  <c r="Z580" i="1"/>
  <c r="AC589" i="1"/>
  <c r="R575" i="1"/>
  <c r="U575" i="1" s="1"/>
  <c r="W132" i="24"/>
  <c r="U132" i="24"/>
  <c r="V132" i="24" s="1"/>
  <c r="T131" i="24"/>
  <c r="S130" i="24"/>
  <c r="AG133" i="24"/>
  <c r="AI133" i="24" s="1"/>
  <c r="AJ133" i="24" s="1"/>
  <c r="AV599" i="1" l="1"/>
  <c r="AV598" i="1" s="1"/>
  <c r="AV597" i="1" s="1"/>
  <c r="AV596" i="1" s="1"/>
  <c r="AV595" i="1" s="1"/>
  <c r="AB584" i="1"/>
  <c r="AC584" i="1" s="1"/>
  <c r="AA582" i="1"/>
  <c r="X579" i="1"/>
  <c r="W575" i="1"/>
  <c r="X578" i="1"/>
  <c r="AG602" i="1"/>
  <c r="AG599" i="1"/>
  <c r="AG601" i="1"/>
  <c r="AG597" i="1"/>
  <c r="AG600" i="1"/>
  <c r="AG598" i="1"/>
  <c r="AG596" i="1"/>
  <c r="X581" i="1"/>
  <c r="W577" i="1"/>
  <c r="X577" i="1" s="1"/>
  <c r="W576" i="1"/>
  <c r="X580" i="1"/>
  <c r="V572" i="1"/>
  <c r="V571" i="1"/>
  <c r="Z574" i="1"/>
  <c r="V574" i="1"/>
  <c r="W574" i="1" s="1"/>
  <c r="V570" i="1"/>
  <c r="V573" i="1"/>
  <c r="AL595" i="1"/>
  <c r="AM595" i="1" s="1"/>
  <c r="AR595" i="1" s="1"/>
  <c r="AV594" i="1" s="1"/>
  <c r="AV593" i="1" s="1"/>
  <c r="AL594" i="1"/>
  <c r="AM594" i="1" s="1"/>
  <c r="AR594" i="1" s="1"/>
  <c r="AA581" i="1"/>
  <c r="AA580" i="1"/>
  <c r="AB580" i="1" s="1"/>
  <c r="AA578" i="1"/>
  <c r="Z576" i="1"/>
  <c r="R570" i="1"/>
  <c r="U570" i="1" s="1"/>
  <c r="R573" i="1"/>
  <c r="U573" i="1" s="1"/>
  <c r="Q569" i="1"/>
  <c r="Y569" i="1" s="1"/>
  <c r="Q567" i="1"/>
  <c r="Y567" i="1" s="1"/>
  <c r="Q566" i="1"/>
  <c r="Y566" i="1" s="1"/>
  <c r="Q568" i="1"/>
  <c r="Y568" i="1" s="1"/>
  <c r="R574" i="1"/>
  <c r="U574" i="1" s="1"/>
  <c r="AD589" i="1"/>
  <c r="AE589" i="1" s="1"/>
  <c r="AF589" i="1" s="1"/>
  <c r="R572" i="1"/>
  <c r="U572" i="1" s="1"/>
  <c r="AD590" i="1"/>
  <c r="AE590" i="1" s="1"/>
  <c r="AF590" i="1" s="1"/>
  <c r="AA579" i="1"/>
  <c r="AB579" i="1" s="1"/>
  <c r="R571" i="1"/>
  <c r="U571" i="1" s="1"/>
  <c r="Z577" i="1"/>
  <c r="AA577" i="1" s="1"/>
  <c r="AB577" i="1" s="1"/>
  <c r="AD593" i="1"/>
  <c r="AE593" i="1" s="1"/>
  <c r="AF593" i="1" s="1"/>
  <c r="AC588" i="1"/>
  <c r="AC585" i="1"/>
  <c r="AC587" i="1"/>
  <c r="Z575" i="1"/>
  <c r="AC586" i="1"/>
  <c r="U131" i="24"/>
  <c r="V131" i="24" s="1"/>
  <c r="W131" i="24"/>
  <c r="S129" i="24"/>
  <c r="T130" i="24"/>
  <c r="AG132" i="24"/>
  <c r="AI132" i="24" s="1"/>
  <c r="AJ132" i="24" s="1"/>
  <c r="AB578" i="1" l="1"/>
  <c r="AB581" i="1"/>
  <c r="AB582" i="1"/>
  <c r="AC582" i="1" s="1"/>
  <c r="AD582" i="1" s="1"/>
  <c r="AE582" i="1" s="1"/>
  <c r="AF582" i="1" s="1"/>
  <c r="X574" i="1"/>
  <c r="W573" i="1"/>
  <c r="X573" i="1" s="1"/>
  <c r="AC581" i="1"/>
  <c r="AD581" i="1" s="1"/>
  <c r="AE581" i="1" s="1"/>
  <c r="AF581" i="1" s="1"/>
  <c r="W570" i="1"/>
  <c r="AC580" i="1"/>
  <c r="AG594" i="1"/>
  <c r="X576" i="1"/>
  <c r="X575" i="1"/>
  <c r="W572" i="1"/>
  <c r="X572" i="1" s="1"/>
  <c r="AG595" i="1"/>
  <c r="W571" i="1"/>
  <c r="V568" i="1"/>
  <c r="V566" i="1"/>
  <c r="V567" i="1"/>
  <c r="V569" i="1"/>
  <c r="W569" i="1" s="1"/>
  <c r="AL589" i="1"/>
  <c r="AM589" i="1" s="1"/>
  <c r="AR589" i="1" s="1"/>
  <c r="AL593" i="1"/>
  <c r="AM593" i="1" s="1"/>
  <c r="AR593" i="1" s="1"/>
  <c r="AV592" i="1" s="1"/>
  <c r="AL591" i="1"/>
  <c r="AL592" i="1"/>
  <c r="AL590" i="1"/>
  <c r="AM590" i="1" s="1"/>
  <c r="AR590" i="1" s="1"/>
  <c r="Z572" i="1"/>
  <c r="Z571" i="1"/>
  <c r="AA575" i="1"/>
  <c r="AD587" i="1"/>
  <c r="AE587" i="1" s="1"/>
  <c r="AF587" i="1" s="1"/>
  <c r="AA576" i="1"/>
  <c r="AB576" i="1" s="1"/>
  <c r="AD586" i="1"/>
  <c r="AE586" i="1" s="1"/>
  <c r="AF586" i="1" s="1"/>
  <c r="AC583" i="1"/>
  <c r="AC579" i="1"/>
  <c r="AD579" i="1" s="1"/>
  <c r="AE579" i="1" s="1"/>
  <c r="AF579" i="1" s="1"/>
  <c r="AA574" i="1"/>
  <c r="AB574" i="1" s="1"/>
  <c r="AD585" i="1"/>
  <c r="AE585" i="1" s="1"/>
  <c r="AF585" i="1" s="1"/>
  <c r="AG131" i="24"/>
  <c r="AI131" i="24" s="1"/>
  <c r="AJ131" i="24" s="1"/>
  <c r="AC578" i="1"/>
  <c r="R568" i="1"/>
  <c r="U568" i="1" s="1"/>
  <c r="AD584" i="1"/>
  <c r="AE584" i="1" s="1"/>
  <c r="AF584" i="1" s="1"/>
  <c r="R566" i="1"/>
  <c r="U566" i="1" s="1"/>
  <c r="AD588" i="1"/>
  <c r="AE588" i="1" s="1"/>
  <c r="AF588" i="1" s="1"/>
  <c r="R567" i="1"/>
  <c r="U567" i="1" s="1"/>
  <c r="R569" i="1"/>
  <c r="U569" i="1" s="1"/>
  <c r="Q564" i="1"/>
  <c r="Y564" i="1" s="1"/>
  <c r="Q565" i="1"/>
  <c r="Y565" i="1" s="1"/>
  <c r="Q562" i="1"/>
  <c r="Y562" i="1" s="1"/>
  <c r="Q563" i="1"/>
  <c r="Y563" i="1" s="1"/>
  <c r="Z573" i="1"/>
  <c r="AA573" i="1" s="1"/>
  <c r="AB573" i="1" s="1"/>
  <c r="Z570" i="1"/>
  <c r="T129" i="24"/>
  <c r="S128" i="24"/>
  <c r="W130" i="24"/>
  <c r="U130" i="24"/>
  <c r="V130" i="24" s="1"/>
  <c r="AB575" i="1" l="1"/>
  <c r="AC575" i="1" s="1"/>
  <c r="X569" i="1"/>
  <c r="AM592" i="1"/>
  <c r="AM591" i="1"/>
  <c r="X571" i="1"/>
  <c r="Z569" i="1"/>
  <c r="AA569" i="1" s="1"/>
  <c r="AB569" i="1" s="1"/>
  <c r="AC576" i="1"/>
  <c r="AD576" i="1" s="1"/>
  <c r="AE576" i="1" s="1"/>
  <c r="AF576" i="1" s="1"/>
  <c r="AG589" i="1"/>
  <c r="W566" i="1"/>
  <c r="AG590" i="1"/>
  <c r="AG593" i="1"/>
  <c r="X570" i="1"/>
  <c r="W567" i="1"/>
  <c r="W568" i="1"/>
  <c r="X568" i="1" s="1"/>
  <c r="V562" i="1"/>
  <c r="V563" i="1"/>
  <c r="V564" i="1"/>
  <c r="V565" i="1"/>
  <c r="W565" i="1" s="1"/>
  <c r="AL588" i="1"/>
  <c r="AM588" i="1" s="1"/>
  <c r="AR588" i="1" s="1"/>
  <c r="AL585" i="1"/>
  <c r="AM585" i="1" s="1"/>
  <c r="AR585" i="1" s="1"/>
  <c r="AL586" i="1"/>
  <c r="AM586" i="1" s="1"/>
  <c r="AR586" i="1" s="1"/>
  <c r="AL584" i="1"/>
  <c r="AM584" i="1" s="1"/>
  <c r="AR584" i="1" s="1"/>
  <c r="AL587" i="1"/>
  <c r="AM587" i="1" s="1"/>
  <c r="AR587" i="1" s="1"/>
  <c r="AA570" i="1"/>
  <c r="AB570" i="1" s="1"/>
  <c r="AC577" i="1"/>
  <c r="AD578" i="1"/>
  <c r="AE578" i="1" s="1"/>
  <c r="AF578" i="1" s="1"/>
  <c r="AD583" i="1"/>
  <c r="AE583" i="1" s="1"/>
  <c r="AF583" i="1" s="1"/>
  <c r="AC573" i="1"/>
  <c r="AD573" i="1" s="1"/>
  <c r="AE573" i="1" s="1"/>
  <c r="AF573" i="1" s="1"/>
  <c r="R563" i="1"/>
  <c r="U563" i="1" s="1"/>
  <c r="AA571" i="1"/>
  <c r="Z568" i="1"/>
  <c r="AA568" i="1" s="1"/>
  <c r="R562" i="1"/>
  <c r="U562" i="1" s="1"/>
  <c r="Z566" i="1"/>
  <c r="R565" i="1"/>
  <c r="U565" i="1" s="1"/>
  <c r="Z567" i="1"/>
  <c r="R564" i="1"/>
  <c r="U564" i="1" s="1"/>
  <c r="AA572" i="1"/>
  <c r="AB572" i="1" s="1"/>
  <c r="Q559" i="1"/>
  <c r="Y559" i="1" s="1"/>
  <c r="Q558" i="1"/>
  <c r="Y558" i="1" s="1"/>
  <c r="Q557" i="1"/>
  <c r="Y557" i="1" s="1"/>
  <c r="Q561" i="1"/>
  <c r="Y561" i="1" s="1"/>
  <c r="Q560" i="1"/>
  <c r="Y560" i="1" s="1"/>
  <c r="AD580" i="1"/>
  <c r="AE580" i="1" s="1"/>
  <c r="AF580" i="1" s="1"/>
  <c r="S127" i="24"/>
  <c r="T128" i="24"/>
  <c r="AG130" i="24"/>
  <c r="AI130" i="24" s="1"/>
  <c r="AJ130" i="24" s="1"/>
  <c r="U129" i="24"/>
  <c r="V129" i="24" s="1"/>
  <c r="W129" i="24"/>
  <c r="AB571" i="1" l="1"/>
  <c r="AG591" i="1"/>
  <c r="AR591" i="1"/>
  <c r="AG592" i="1"/>
  <c r="AR592" i="1"/>
  <c r="AV591" i="1" s="1"/>
  <c r="AV590" i="1" s="1"/>
  <c r="AV589" i="1" s="1"/>
  <c r="AV588" i="1" s="1"/>
  <c r="AV587" i="1" s="1"/>
  <c r="AV586" i="1" s="1"/>
  <c r="AV585" i="1" s="1"/>
  <c r="AV584" i="1" s="1"/>
  <c r="AV583" i="1" s="1"/>
  <c r="AB568" i="1"/>
  <c r="X565" i="1"/>
  <c r="Z565" i="1"/>
  <c r="AA565" i="1" s="1"/>
  <c r="AB565" i="1" s="1"/>
  <c r="W564" i="1"/>
  <c r="X564" i="1" s="1"/>
  <c r="W562" i="1"/>
  <c r="AG584" i="1"/>
  <c r="AG588" i="1"/>
  <c r="W563" i="1"/>
  <c r="X566" i="1"/>
  <c r="AG587" i="1"/>
  <c r="AG586" i="1"/>
  <c r="AG585" i="1"/>
  <c r="X567" i="1"/>
  <c r="V560" i="1"/>
  <c r="V561" i="1"/>
  <c r="W561" i="1" s="1"/>
  <c r="V557" i="1"/>
  <c r="V559" i="1"/>
  <c r="V558" i="1"/>
  <c r="AL579" i="1"/>
  <c r="AL582" i="1"/>
  <c r="AL580" i="1"/>
  <c r="AM580" i="1" s="1"/>
  <c r="AR580" i="1" s="1"/>
  <c r="AL583" i="1"/>
  <c r="AM583" i="1" s="1"/>
  <c r="AR583" i="1" s="1"/>
  <c r="AL578" i="1"/>
  <c r="AM578" i="1" s="1"/>
  <c r="AR578" i="1" s="1"/>
  <c r="AL581" i="1"/>
  <c r="AA567" i="1"/>
  <c r="AB567" i="1" s="1"/>
  <c r="AA566" i="1"/>
  <c r="AB566" i="1" s="1"/>
  <c r="R558" i="1"/>
  <c r="U558" i="1" s="1"/>
  <c r="R559" i="1"/>
  <c r="U559" i="1" s="1"/>
  <c r="Z564" i="1"/>
  <c r="Z562" i="1"/>
  <c r="AD575" i="1"/>
  <c r="AE575" i="1" s="1"/>
  <c r="AF575" i="1" s="1"/>
  <c r="AG129" i="24"/>
  <c r="AI129" i="24" s="1"/>
  <c r="AJ129" i="24" s="1"/>
  <c r="R560" i="1"/>
  <c r="U560" i="1" s="1"/>
  <c r="AD577" i="1"/>
  <c r="AE577" i="1" s="1"/>
  <c r="AF577" i="1" s="1"/>
  <c r="R561" i="1"/>
  <c r="U561" i="1" s="1"/>
  <c r="Z563" i="1"/>
  <c r="Q556" i="1"/>
  <c r="Y556" i="1" s="1"/>
  <c r="Q554" i="1"/>
  <c r="Y554" i="1" s="1"/>
  <c r="Q553" i="1"/>
  <c r="Y553" i="1" s="1"/>
  <c r="Q555" i="1"/>
  <c r="Y555" i="1" s="1"/>
  <c r="R557" i="1"/>
  <c r="U557" i="1" s="1"/>
  <c r="AC574" i="1"/>
  <c r="W128" i="24"/>
  <c r="U128" i="24"/>
  <c r="V128" i="24" s="1"/>
  <c r="T127" i="24"/>
  <c r="S126" i="24"/>
  <c r="AA564" i="1" l="1"/>
  <c r="AV582" i="1"/>
  <c r="AB564" i="1"/>
  <c r="AM581" i="1"/>
  <c r="AM582" i="1"/>
  <c r="AM579" i="1"/>
  <c r="X561" i="1"/>
  <c r="W559" i="1"/>
  <c r="X563" i="1"/>
  <c r="AC566" i="1"/>
  <c r="Z561" i="1"/>
  <c r="AA561" i="1" s="1"/>
  <c r="W558" i="1"/>
  <c r="W560" i="1"/>
  <c r="X560" i="1" s="1"/>
  <c r="AG578" i="1"/>
  <c r="W557" i="1"/>
  <c r="X562" i="1"/>
  <c r="AG583" i="1"/>
  <c r="AG580" i="1"/>
  <c r="V556" i="1"/>
  <c r="W556" i="1" s="1"/>
  <c r="V555" i="1"/>
  <c r="V553" i="1"/>
  <c r="V554" i="1"/>
  <c r="AL576" i="1"/>
  <c r="AL575" i="1"/>
  <c r="AM575" i="1" s="1"/>
  <c r="AR575" i="1" s="1"/>
  <c r="AL577" i="1"/>
  <c r="AM577" i="1" s="1"/>
  <c r="AR577" i="1" s="1"/>
  <c r="AA563" i="1"/>
  <c r="AB563" i="1" s="1"/>
  <c r="AC567" i="1"/>
  <c r="AD567" i="1" s="1"/>
  <c r="AE567" i="1" s="1"/>
  <c r="AF567" i="1" s="1"/>
  <c r="Z557" i="1"/>
  <c r="AC571" i="1"/>
  <c r="Q550" i="1"/>
  <c r="Y550" i="1" s="1"/>
  <c r="Q549" i="1"/>
  <c r="Y549" i="1" s="1"/>
  <c r="Q552" i="1"/>
  <c r="Y552" i="1" s="1"/>
  <c r="Q551" i="1"/>
  <c r="Y551" i="1" s="1"/>
  <c r="AA562" i="1"/>
  <c r="R555" i="1"/>
  <c r="U555" i="1" s="1"/>
  <c r="R553" i="1"/>
  <c r="U553" i="1" s="1"/>
  <c r="AC565" i="1"/>
  <c r="R554" i="1"/>
  <c r="U554" i="1" s="1"/>
  <c r="Z560" i="1"/>
  <c r="Z559" i="1"/>
  <c r="AC569" i="1"/>
  <c r="R556" i="1"/>
  <c r="U556" i="1" s="1"/>
  <c r="AD574" i="1"/>
  <c r="AE574" i="1" s="1"/>
  <c r="AF574" i="1" s="1"/>
  <c r="AC572" i="1"/>
  <c r="AC568" i="1"/>
  <c r="AC570" i="1"/>
  <c r="Z558" i="1"/>
  <c r="S125" i="24"/>
  <c r="T126" i="24"/>
  <c r="U127" i="24"/>
  <c r="V127" i="24" s="1"/>
  <c r="W127" i="24"/>
  <c r="AG128" i="24"/>
  <c r="AI128" i="24" s="1"/>
  <c r="AJ128" i="24" s="1"/>
  <c r="AB562" i="1" l="1"/>
  <c r="AG579" i="1"/>
  <c r="AR579" i="1"/>
  <c r="AG582" i="1"/>
  <c r="AR582" i="1"/>
  <c r="AG581" i="1"/>
  <c r="AR581" i="1"/>
  <c r="AB561" i="1"/>
  <c r="AV581" i="1"/>
  <c r="AA560" i="1"/>
  <c r="AB560" i="1" s="1"/>
  <c r="X556" i="1"/>
  <c r="AM576" i="1"/>
  <c r="X557" i="1"/>
  <c r="W553" i="1"/>
  <c r="Z556" i="1"/>
  <c r="AA556" i="1" s="1"/>
  <c r="AB556" i="1" s="1"/>
  <c r="X559" i="1"/>
  <c r="X558" i="1"/>
  <c r="AG575" i="1"/>
  <c r="AG577" i="1"/>
  <c r="W554" i="1"/>
  <c r="W555" i="1"/>
  <c r="X555" i="1" s="1"/>
  <c r="V549" i="1"/>
  <c r="V550" i="1"/>
  <c r="V552" i="1"/>
  <c r="W552" i="1" s="1"/>
  <c r="V551" i="1"/>
  <c r="AL574" i="1"/>
  <c r="AM574" i="1" s="1"/>
  <c r="AR574" i="1" s="1"/>
  <c r="AL573" i="1"/>
  <c r="Z554" i="1"/>
  <c r="Z555" i="1"/>
  <c r="AC560" i="1"/>
  <c r="AD560" i="1" s="1"/>
  <c r="AE560" i="1" s="1"/>
  <c r="AF560" i="1" s="1"/>
  <c r="AA559" i="1"/>
  <c r="Z553" i="1"/>
  <c r="AC563" i="1"/>
  <c r="R551" i="1"/>
  <c r="U551" i="1" s="1"/>
  <c r="R552" i="1"/>
  <c r="U552" i="1" s="1"/>
  <c r="AA558" i="1"/>
  <c r="R549" i="1"/>
  <c r="U549" i="1" s="1"/>
  <c r="AA557" i="1"/>
  <c r="AB557" i="1" s="1"/>
  <c r="R550" i="1"/>
  <c r="U550" i="1" s="1"/>
  <c r="AC564" i="1"/>
  <c r="AD571" i="1"/>
  <c r="AE571" i="1" s="1"/>
  <c r="AF571" i="1" s="1"/>
  <c r="AD569" i="1"/>
  <c r="AE569" i="1" s="1"/>
  <c r="AF569" i="1" s="1"/>
  <c r="AD570" i="1"/>
  <c r="AE570" i="1" s="1"/>
  <c r="AF570" i="1" s="1"/>
  <c r="AD568" i="1"/>
  <c r="AE568" i="1" s="1"/>
  <c r="AF568" i="1" s="1"/>
  <c r="AD566" i="1"/>
  <c r="AE566" i="1" s="1"/>
  <c r="AF566" i="1" s="1"/>
  <c r="AD565" i="1"/>
  <c r="AE565" i="1" s="1"/>
  <c r="AF565" i="1" s="1"/>
  <c r="AD572" i="1"/>
  <c r="AE572" i="1" s="1"/>
  <c r="AF572" i="1" s="1"/>
  <c r="Q544" i="1"/>
  <c r="Y544" i="1" s="1"/>
  <c r="Q546" i="1"/>
  <c r="Y546" i="1" s="1"/>
  <c r="Q545" i="1"/>
  <c r="Y545" i="1" s="1"/>
  <c r="Q547" i="1"/>
  <c r="Y547" i="1" s="1"/>
  <c r="Q548" i="1"/>
  <c r="Y548" i="1" s="1"/>
  <c r="AG127" i="24"/>
  <c r="AI127" i="24" s="1"/>
  <c r="AJ127" i="24" s="1"/>
  <c r="W126" i="24"/>
  <c r="U126" i="24"/>
  <c r="V126" i="24" s="1"/>
  <c r="S124" i="24"/>
  <c r="T125" i="24"/>
  <c r="AV580" i="1" l="1"/>
  <c r="AV579" i="1" s="1"/>
  <c r="AV578" i="1" s="1"/>
  <c r="AV577" i="1" s="1"/>
  <c r="AV576" i="1" s="1"/>
  <c r="AB559" i="1"/>
  <c r="AB558" i="1"/>
  <c r="AG576" i="1"/>
  <c r="AR576" i="1"/>
  <c r="AV575" i="1" s="1"/>
  <c r="AV574" i="1" s="1"/>
  <c r="AV573" i="1" s="1"/>
  <c r="AM573" i="1"/>
  <c r="W551" i="1"/>
  <c r="X551" i="1" s="1"/>
  <c r="X553" i="1"/>
  <c r="AA555" i="1"/>
  <c r="X552" i="1"/>
  <c r="Z552" i="1"/>
  <c r="AG574" i="1"/>
  <c r="W550" i="1"/>
  <c r="W549" i="1"/>
  <c r="X554" i="1"/>
  <c r="V544" i="1"/>
  <c r="V546" i="1"/>
  <c r="V545" i="1"/>
  <c r="V547" i="1"/>
  <c r="V548" i="1"/>
  <c r="W548" i="1" s="1"/>
  <c r="AL571" i="1"/>
  <c r="AM571" i="1" s="1"/>
  <c r="AR571" i="1" s="1"/>
  <c r="AL572" i="1"/>
  <c r="AM572" i="1" s="1"/>
  <c r="AR572" i="1" s="1"/>
  <c r="AL565" i="1"/>
  <c r="AM565" i="1" s="1"/>
  <c r="AR565" i="1" s="1"/>
  <c r="AL566" i="1"/>
  <c r="AM566" i="1" s="1"/>
  <c r="AR566" i="1" s="1"/>
  <c r="AL568" i="1"/>
  <c r="AM568" i="1" s="1"/>
  <c r="AR568" i="1" s="1"/>
  <c r="AL570" i="1"/>
  <c r="AM570" i="1" s="1"/>
  <c r="AR570" i="1" s="1"/>
  <c r="AL567" i="1"/>
  <c r="AL569" i="1"/>
  <c r="AM569" i="1" s="1"/>
  <c r="AR569" i="1" s="1"/>
  <c r="AA553" i="1"/>
  <c r="Z550" i="1"/>
  <c r="AA552" i="1"/>
  <c r="AB552" i="1" s="1"/>
  <c r="AA554" i="1"/>
  <c r="AB554" i="1" s="1"/>
  <c r="R548" i="1"/>
  <c r="U548" i="1" s="1"/>
  <c r="Z548" i="1"/>
  <c r="Z549" i="1"/>
  <c r="AD563" i="1"/>
  <c r="AE563" i="1" s="1"/>
  <c r="AF563" i="1" s="1"/>
  <c r="Q541" i="1"/>
  <c r="Y541" i="1" s="1"/>
  <c r="Q543" i="1"/>
  <c r="Y543" i="1" s="1"/>
  <c r="Q542" i="1"/>
  <c r="Y542" i="1" s="1"/>
  <c r="Q540" i="1"/>
  <c r="Y540" i="1" s="1"/>
  <c r="AC561" i="1"/>
  <c r="R547" i="1"/>
  <c r="U547" i="1" s="1"/>
  <c r="R545" i="1"/>
  <c r="U545" i="1" s="1"/>
  <c r="AC562" i="1"/>
  <c r="AD564" i="1"/>
  <c r="AE564" i="1" s="1"/>
  <c r="AF564" i="1" s="1"/>
  <c r="R546" i="1"/>
  <c r="U546" i="1" s="1"/>
  <c r="R544" i="1"/>
  <c r="U544" i="1" s="1"/>
  <c r="Z551" i="1"/>
  <c r="AA551" i="1" s="1"/>
  <c r="AB551" i="1" s="1"/>
  <c r="S123" i="24"/>
  <c r="T124" i="24"/>
  <c r="AG126" i="24"/>
  <c r="AI126" i="24" s="1"/>
  <c r="AJ126" i="24" s="1"/>
  <c r="W125" i="24"/>
  <c r="U125" i="24"/>
  <c r="V125" i="24" s="1"/>
  <c r="X550" i="1" l="1"/>
  <c r="AG573" i="1"/>
  <c r="AR573" i="1"/>
  <c r="AV572" i="1" s="1"/>
  <c r="AV571" i="1" s="1"/>
  <c r="AV570" i="1" s="1"/>
  <c r="AV569" i="1" s="1"/>
  <c r="AV568" i="1" s="1"/>
  <c r="AV567" i="1" s="1"/>
  <c r="AB553" i="1"/>
  <c r="AB555" i="1"/>
  <c r="AC555" i="1" s="1"/>
  <c r="AD555" i="1" s="1"/>
  <c r="AE555" i="1" s="1"/>
  <c r="AF555" i="1" s="1"/>
  <c r="AM567" i="1"/>
  <c r="X549" i="1"/>
  <c r="AC554" i="1"/>
  <c r="AD554" i="1" s="1"/>
  <c r="AE554" i="1" s="1"/>
  <c r="AF554" i="1" s="1"/>
  <c r="AG565" i="1"/>
  <c r="Z547" i="1"/>
  <c r="AA547" i="1" s="1"/>
  <c r="AG568" i="1"/>
  <c r="AG571" i="1"/>
  <c r="X548" i="1"/>
  <c r="W545" i="1"/>
  <c r="W544" i="1"/>
  <c r="AG569" i="1"/>
  <c r="AG570" i="1"/>
  <c r="AG566" i="1"/>
  <c r="AG572" i="1"/>
  <c r="W547" i="1"/>
  <c r="X547" i="1" s="1"/>
  <c r="W546" i="1"/>
  <c r="V540" i="1"/>
  <c r="V542" i="1"/>
  <c r="V543" i="1"/>
  <c r="W543" i="1" s="1"/>
  <c r="V541" i="1"/>
  <c r="AL564" i="1"/>
  <c r="AM564" i="1" s="1"/>
  <c r="AR564" i="1" s="1"/>
  <c r="AL563" i="1"/>
  <c r="AM563" i="1" s="1"/>
  <c r="AR563" i="1" s="1"/>
  <c r="Z546" i="1"/>
  <c r="AC557" i="1"/>
  <c r="Z544" i="1"/>
  <c r="AC552" i="1"/>
  <c r="AC556" i="1"/>
  <c r="Q538" i="1"/>
  <c r="Y538" i="1" s="1"/>
  <c r="Q536" i="1"/>
  <c r="Y536" i="1" s="1"/>
  <c r="Q537" i="1"/>
  <c r="Y537" i="1" s="1"/>
  <c r="Q539" i="1"/>
  <c r="Y539" i="1" s="1"/>
  <c r="AC559" i="1"/>
  <c r="AD561" i="1"/>
  <c r="AE561" i="1" s="1"/>
  <c r="AF561" i="1" s="1"/>
  <c r="AA550" i="1"/>
  <c r="AB550" i="1" s="1"/>
  <c r="AA549" i="1"/>
  <c r="AB549" i="1" s="1"/>
  <c r="R540" i="1"/>
  <c r="U540" i="1" s="1"/>
  <c r="AD562" i="1"/>
  <c r="AE562" i="1" s="1"/>
  <c r="AF562" i="1" s="1"/>
  <c r="AC558" i="1"/>
  <c r="R542" i="1"/>
  <c r="U542" i="1" s="1"/>
  <c r="AC553" i="1"/>
  <c r="R543" i="1"/>
  <c r="U543" i="1" s="1"/>
  <c r="AA548" i="1"/>
  <c r="AB548" i="1" s="1"/>
  <c r="Z545" i="1"/>
  <c r="R541" i="1"/>
  <c r="U541" i="1" s="1"/>
  <c r="AG125" i="24"/>
  <c r="AI125" i="24" s="1"/>
  <c r="AJ125" i="24" s="1"/>
  <c r="W124" i="24"/>
  <c r="U124" i="24"/>
  <c r="V124" i="24" s="1"/>
  <c r="T123" i="24"/>
  <c r="S122" i="24"/>
  <c r="AV566" i="1" l="1"/>
  <c r="AV565" i="1" s="1"/>
  <c r="AV564" i="1" s="1"/>
  <c r="AV563" i="1" s="1"/>
  <c r="AV562" i="1" s="1"/>
  <c r="AG567" i="1"/>
  <c r="AR567" i="1"/>
  <c r="AB547" i="1"/>
  <c r="AA546" i="1"/>
  <c r="W541" i="1"/>
  <c r="Z543" i="1"/>
  <c r="AA543" i="1" s="1"/>
  <c r="AB543" i="1" s="1"/>
  <c r="W542" i="1"/>
  <c r="AG563" i="1"/>
  <c r="X544" i="1"/>
  <c r="X543" i="1"/>
  <c r="W540" i="1"/>
  <c r="X545" i="1"/>
  <c r="AG564" i="1"/>
  <c r="X546" i="1"/>
  <c r="V539" i="1"/>
  <c r="W539" i="1" s="1"/>
  <c r="V537" i="1"/>
  <c r="V536" i="1"/>
  <c r="V538" i="1"/>
  <c r="AL561" i="1"/>
  <c r="AM561" i="1" s="1"/>
  <c r="AR561" i="1" s="1"/>
  <c r="AL560" i="1"/>
  <c r="AL562" i="1"/>
  <c r="AM562" i="1" s="1"/>
  <c r="AR562" i="1" s="1"/>
  <c r="AA545" i="1"/>
  <c r="AB545" i="1" s="1"/>
  <c r="Z542" i="1"/>
  <c r="AA542" i="1" s="1"/>
  <c r="AC551" i="1"/>
  <c r="AD559" i="1"/>
  <c r="AE559" i="1" s="1"/>
  <c r="AF559" i="1" s="1"/>
  <c r="R538" i="1"/>
  <c r="U538" i="1" s="1"/>
  <c r="AA544" i="1"/>
  <c r="AB544" i="1" s="1"/>
  <c r="AD557" i="1"/>
  <c r="AE557" i="1" s="1"/>
  <c r="AF557" i="1" s="1"/>
  <c r="AD558" i="1"/>
  <c r="AE558" i="1" s="1"/>
  <c r="AF558" i="1" s="1"/>
  <c r="Z540" i="1"/>
  <c r="Q531" i="1"/>
  <c r="Y531" i="1" s="1"/>
  <c r="Q535" i="1"/>
  <c r="Y535" i="1" s="1"/>
  <c r="Q532" i="1"/>
  <c r="Y532" i="1" s="1"/>
  <c r="Q534" i="1"/>
  <c r="Y534" i="1" s="1"/>
  <c r="Q533" i="1"/>
  <c r="Y533" i="1" s="1"/>
  <c r="AD553" i="1"/>
  <c r="AE553" i="1" s="1"/>
  <c r="AF553" i="1" s="1"/>
  <c r="AD556" i="1"/>
  <c r="AE556" i="1" s="1"/>
  <c r="AF556" i="1" s="1"/>
  <c r="R539" i="1"/>
  <c r="U539" i="1" s="1"/>
  <c r="Z541" i="1"/>
  <c r="R537" i="1"/>
  <c r="U537" i="1" s="1"/>
  <c r="AD552" i="1"/>
  <c r="AE552" i="1" s="1"/>
  <c r="AF552" i="1" s="1"/>
  <c r="R536" i="1"/>
  <c r="U536" i="1" s="1"/>
  <c r="S121" i="24"/>
  <c r="T122" i="24"/>
  <c r="AG124" i="24"/>
  <c r="AI124" i="24" s="1"/>
  <c r="AJ124" i="24" s="1"/>
  <c r="W123" i="24"/>
  <c r="U123" i="24"/>
  <c r="V123" i="24" s="1"/>
  <c r="X541" i="1" l="1"/>
  <c r="AV561" i="1"/>
  <c r="AV560" i="1"/>
  <c r="AB546" i="1"/>
  <c r="AC546" i="1" s="1"/>
  <c r="AD546" i="1" s="1"/>
  <c r="AE546" i="1" s="1"/>
  <c r="AF546" i="1" s="1"/>
  <c r="AM560" i="1"/>
  <c r="X542" i="1"/>
  <c r="Z539" i="1"/>
  <c r="AA539" i="1" s="1"/>
  <c r="AB539" i="1" s="1"/>
  <c r="W536" i="1"/>
  <c r="X540" i="1"/>
  <c r="X539" i="1"/>
  <c r="AG562" i="1"/>
  <c r="AG561" i="1"/>
  <c r="W538" i="1"/>
  <c r="X538" i="1" s="1"/>
  <c r="W537" i="1"/>
  <c r="V531" i="1"/>
  <c r="Z535" i="1"/>
  <c r="V535" i="1"/>
  <c r="W535" i="1" s="1"/>
  <c r="V532" i="1"/>
  <c r="V533" i="1"/>
  <c r="V534" i="1"/>
  <c r="AL554" i="1"/>
  <c r="AL557" i="1"/>
  <c r="AM557" i="1" s="1"/>
  <c r="AR557" i="1" s="1"/>
  <c r="AL559" i="1"/>
  <c r="AM559" i="1" s="1"/>
  <c r="AR559" i="1" s="1"/>
  <c r="AL556" i="1"/>
  <c r="AM556" i="1" s="1"/>
  <c r="AR556" i="1" s="1"/>
  <c r="AL555" i="1"/>
  <c r="AL558" i="1"/>
  <c r="AM558" i="1" s="1"/>
  <c r="AR558" i="1" s="1"/>
  <c r="AL552" i="1"/>
  <c r="AM552" i="1" s="1"/>
  <c r="AR552" i="1" s="1"/>
  <c r="AL553" i="1"/>
  <c r="AM553" i="1" s="1"/>
  <c r="AR553" i="1" s="1"/>
  <c r="AC547" i="1"/>
  <c r="AD547" i="1" s="1"/>
  <c r="AE547" i="1" s="1"/>
  <c r="AF547" i="1" s="1"/>
  <c r="AG123" i="24"/>
  <c r="AI123" i="24" s="1"/>
  <c r="AJ123" i="24" s="1"/>
  <c r="Q522" i="1" s="1"/>
  <c r="Y522" i="1" s="1"/>
  <c r="AA541" i="1"/>
  <c r="AB541" i="1" s="1"/>
  <c r="Z536" i="1"/>
  <c r="R535" i="1"/>
  <c r="U535" i="1" s="1"/>
  <c r="AC548" i="1"/>
  <c r="R531" i="1"/>
  <c r="U531" i="1" s="1"/>
  <c r="AC549" i="1"/>
  <c r="AC545" i="1"/>
  <c r="AD551" i="1"/>
  <c r="AE551" i="1" s="1"/>
  <c r="AF551" i="1" s="1"/>
  <c r="AC550" i="1"/>
  <c r="R533" i="1"/>
  <c r="U533" i="1" s="1"/>
  <c r="AA540" i="1"/>
  <c r="AB540" i="1" s="1"/>
  <c r="Q528" i="1"/>
  <c r="Y528" i="1" s="1"/>
  <c r="Q530" i="1"/>
  <c r="Y530" i="1" s="1"/>
  <c r="Q529" i="1"/>
  <c r="Y529" i="1" s="1"/>
  <c r="Q527" i="1"/>
  <c r="Y527" i="1" s="1"/>
  <c r="Z537" i="1"/>
  <c r="R534" i="1"/>
  <c r="U534" i="1" s="1"/>
  <c r="R532" i="1"/>
  <c r="U532" i="1" s="1"/>
  <c r="Z538" i="1"/>
  <c r="W122" i="24"/>
  <c r="U122" i="24"/>
  <c r="V122" i="24" s="1"/>
  <c r="T121" i="24"/>
  <c r="S120" i="24"/>
  <c r="AG560" i="1" l="1"/>
  <c r="AR560" i="1"/>
  <c r="AB542" i="1"/>
  <c r="AC542" i="1" s="1"/>
  <c r="AD542" i="1" s="1"/>
  <c r="AE542" i="1" s="1"/>
  <c r="AF542" i="1" s="1"/>
  <c r="AV559" i="1"/>
  <c r="AV558" i="1" s="1"/>
  <c r="AV557" i="1" s="1"/>
  <c r="AV556" i="1" s="1"/>
  <c r="AV555" i="1" s="1"/>
  <c r="AM554" i="1"/>
  <c r="AM555" i="1"/>
  <c r="W534" i="1"/>
  <c r="X534" i="1" s="1"/>
  <c r="AA538" i="1"/>
  <c r="AB538" i="1" s="1"/>
  <c r="X537" i="1"/>
  <c r="AG559" i="1"/>
  <c r="W532" i="1"/>
  <c r="AG552" i="1"/>
  <c r="W531" i="1"/>
  <c r="AG556" i="1"/>
  <c r="AG557" i="1"/>
  <c r="W533" i="1"/>
  <c r="X535" i="1"/>
  <c r="AG553" i="1"/>
  <c r="AG558" i="1"/>
  <c r="X536" i="1"/>
  <c r="V527" i="1"/>
  <c r="V529" i="1"/>
  <c r="V530" i="1"/>
  <c r="W530" i="1" s="1"/>
  <c r="V528" i="1"/>
  <c r="V522" i="1"/>
  <c r="Q526" i="1"/>
  <c r="Y526" i="1" s="1"/>
  <c r="Q524" i="1"/>
  <c r="Y524" i="1" s="1"/>
  <c r="Q523" i="1"/>
  <c r="Y523" i="1" s="1"/>
  <c r="Q525" i="1"/>
  <c r="Y525" i="1" s="1"/>
  <c r="AL551" i="1"/>
  <c r="AM551" i="1" s="1"/>
  <c r="AR551" i="1" s="1"/>
  <c r="Z532" i="1"/>
  <c r="Z534" i="1"/>
  <c r="AA534" i="1" s="1"/>
  <c r="R528" i="1"/>
  <c r="U528" i="1" s="1"/>
  <c r="AC539" i="1"/>
  <c r="AC544" i="1"/>
  <c r="AC541" i="1"/>
  <c r="Z533" i="1"/>
  <c r="AD545" i="1"/>
  <c r="AE545" i="1" s="1"/>
  <c r="AF545" i="1" s="1"/>
  <c r="AD548" i="1"/>
  <c r="AE548" i="1" s="1"/>
  <c r="AF548" i="1" s="1"/>
  <c r="AA537" i="1"/>
  <c r="AB537" i="1" s="1"/>
  <c r="AA536" i="1"/>
  <c r="AB536" i="1" s="1"/>
  <c r="AD549" i="1"/>
  <c r="AE549" i="1" s="1"/>
  <c r="AF549" i="1" s="1"/>
  <c r="AA535" i="1"/>
  <c r="AB535" i="1" s="1"/>
  <c r="R522" i="1"/>
  <c r="U522" i="1" s="1"/>
  <c r="R527" i="1"/>
  <c r="U527" i="1" s="1"/>
  <c r="AD550" i="1"/>
  <c r="AE550" i="1" s="1"/>
  <c r="AF550" i="1" s="1"/>
  <c r="R529" i="1"/>
  <c r="U529" i="1" s="1"/>
  <c r="Z531" i="1"/>
  <c r="R530" i="1"/>
  <c r="U530" i="1" s="1"/>
  <c r="AC543" i="1"/>
  <c r="U121" i="24"/>
  <c r="V121" i="24" s="1"/>
  <c r="W121" i="24"/>
  <c r="S119" i="24"/>
  <c r="T120" i="24"/>
  <c r="AG122" i="24"/>
  <c r="AI122" i="24" s="1"/>
  <c r="AJ122" i="24" s="1"/>
  <c r="AG554" i="1" l="1"/>
  <c r="AR554" i="1"/>
  <c r="AG555" i="1"/>
  <c r="AR555" i="1"/>
  <c r="AV554" i="1" s="1"/>
  <c r="AV553" i="1" s="1"/>
  <c r="AV552" i="1" s="1"/>
  <c r="AV551" i="1" s="1"/>
  <c r="AV550" i="1" s="1"/>
  <c r="R523" i="1"/>
  <c r="U523" i="1" s="1"/>
  <c r="AB534" i="1"/>
  <c r="AC534" i="1" s="1"/>
  <c r="X533" i="1"/>
  <c r="X530" i="1"/>
  <c r="Z530" i="1"/>
  <c r="AC536" i="1"/>
  <c r="AD536" i="1" s="1"/>
  <c r="AE536" i="1" s="1"/>
  <c r="AF536" i="1" s="1"/>
  <c r="AG551" i="1"/>
  <c r="W528" i="1"/>
  <c r="W529" i="1"/>
  <c r="X529" i="1" s="1"/>
  <c r="X531" i="1"/>
  <c r="W527" i="1"/>
  <c r="X532" i="1"/>
  <c r="Z526" i="1"/>
  <c r="V526" i="1"/>
  <c r="W526" i="1" s="1"/>
  <c r="V525" i="1"/>
  <c r="V523" i="1"/>
  <c r="V524" i="1"/>
  <c r="R526" i="1"/>
  <c r="U526" i="1" s="1"/>
  <c r="R525" i="1"/>
  <c r="U525" i="1" s="1"/>
  <c r="R524" i="1"/>
  <c r="U524" i="1" s="1"/>
  <c r="AL547" i="1"/>
  <c r="AL550" i="1"/>
  <c r="AM550" i="1" s="1"/>
  <c r="AR550" i="1" s="1"/>
  <c r="AL549" i="1"/>
  <c r="AM549" i="1" s="1"/>
  <c r="AR549" i="1" s="1"/>
  <c r="AL546" i="1"/>
  <c r="AL545" i="1"/>
  <c r="AM545" i="1" s="1"/>
  <c r="AR545" i="1" s="1"/>
  <c r="AL548" i="1"/>
  <c r="AM548" i="1" s="1"/>
  <c r="AR548" i="1" s="1"/>
  <c r="AA531" i="1"/>
  <c r="AB531" i="1" s="1"/>
  <c r="AA532" i="1"/>
  <c r="AB532" i="1" s="1"/>
  <c r="AA530" i="1"/>
  <c r="AA533" i="1"/>
  <c r="AB533" i="1" s="1"/>
  <c r="AC538" i="1"/>
  <c r="AD541" i="1"/>
  <c r="AE541" i="1" s="1"/>
  <c r="AF541" i="1" s="1"/>
  <c r="AD539" i="1"/>
  <c r="AE539" i="1" s="1"/>
  <c r="AF539" i="1" s="1"/>
  <c r="AD543" i="1"/>
  <c r="AE543" i="1" s="1"/>
  <c r="AF543" i="1" s="1"/>
  <c r="Q521" i="1"/>
  <c r="Y521" i="1" s="1"/>
  <c r="Q519" i="1"/>
  <c r="Y519" i="1" s="1"/>
  <c r="Q518" i="1"/>
  <c r="Y518" i="1" s="1"/>
  <c r="Q520" i="1"/>
  <c r="Y520" i="1" s="1"/>
  <c r="Z529" i="1"/>
  <c r="AA529" i="1" s="1"/>
  <c r="AB529" i="1" s="1"/>
  <c r="Z528" i="1"/>
  <c r="Z527" i="1"/>
  <c r="AC540" i="1"/>
  <c r="AD544" i="1"/>
  <c r="AE544" i="1" s="1"/>
  <c r="AF544" i="1" s="1"/>
  <c r="T119" i="24"/>
  <c r="S118" i="24"/>
  <c r="AG121" i="24"/>
  <c r="AI121" i="24" s="1"/>
  <c r="AJ121" i="24" s="1"/>
  <c r="W120" i="24"/>
  <c r="U120" i="24"/>
  <c r="V120" i="24" s="1"/>
  <c r="AV549" i="1" l="1"/>
  <c r="AV548" i="1" s="1"/>
  <c r="AV547" i="1" s="1"/>
  <c r="AB530" i="1"/>
  <c r="AM547" i="1"/>
  <c r="AM546" i="1"/>
  <c r="Z523" i="1"/>
  <c r="AC532" i="1"/>
  <c r="W523" i="1"/>
  <c r="AC531" i="1"/>
  <c r="AD531" i="1" s="1"/>
  <c r="AE531" i="1" s="1"/>
  <c r="AF531" i="1" s="1"/>
  <c r="AG545" i="1"/>
  <c r="X526" i="1"/>
  <c r="AG550" i="1"/>
  <c r="Z522" i="1"/>
  <c r="Z525" i="1"/>
  <c r="AA525" i="1" s="1"/>
  <c r="X528" i="1"/>
  <c r="AG548" i="1"/>
  <c r="W524" i="1"/>
  <c r="W525" i="1"/>
  <c r="X525" i="1" s="1"/>
  <c r="X527" i="1"/>
  <c r="AG549" i="1"/>
  <c r="W522" i="1"/>
  <c r="Z524" i="1"/>
  <c r="AA524" i="1" s="1"/>
  <c r="V519" i="1"/>
  <c r="V520" i="1"/>
  <c r="V521" i="1"/>
  <c r="W521" i="1" s="1"/>
  <c r="V518" i="1"/>
  <c r="AL544" i="1"/>
  <c r="AM544" i="1" s="1"/>
  <c r="AR544" i="1" s="1"/>
  <c r="AL541" i="1"/>
  <c r="AM541" i="1" s="1"/>
  <c r="AR541" i="1" s="1"/>
  <c r="AL543" i="1"/>
  <c r="AM543" i="1" s="1"/>
  <c r="AR543" i="1" s="1"/>
  <c r="AL542" i="1"/>
  <c r="AC533" i="1"/>
  <c r="AD533" i="1" s="1"/>
  <c r="AE533" i="1" s="1"/>
  <c r="AF533" i="1" s="1"/>
  <c r="AA528" i="1"/>
  <c r="R519" i="1"/>
  <c r="U519" i="1" s="1"/>
  <c r="Q515" i="1"/>
  <c r="Y515" i="1" s="1"/>
  <c r="Q516" i="1"/>
  <c r="Y516" i="1" s="1"/>
  <c r="Q517" i="1"/>
  <c r="Y517" i="1" s="1"/>
  <c r="Q514" i="1"/>
  <c r="Y514" i="1" s="1"/>
  <c r="AD534" i="1"/>
  <c r="AE534" i="1" s="1"/>
  <c r="AF534" i="1" s="1"/>
  <c r="R521" i="1"/>
  <c r="U521" i="1" s="1"/>
  <c r="AD540" i="1"/>
  <c r="AE540" i="1" s="1"/>
  <c r="AF540" i="1" s="1"/>
  <c r="AA527" i="1"/>
  <c r="AB527" i="1" s="1"/>
  <c r="AD538" i="1"/>
  <c r="AE538" i="1" s="1"/>
  <c r="AF538" i="1" s="1"/>
  <c r="AA526" i="1"/>
  <c r="AB526" i="1" s="1"/>
  <c r="R520" i="1"/>
  <c r="U520" i="1" s="1"/>
  <c r="AC537" i="1"/>
  <c r="AC530" i="1"/>
  <c r="R518" i="1"/>
  <c r="U518" i="1" s="1"/>
  <c r="AC535" i="1"/>
  <c r="AG120" i="24"/>
  <c r="AI120" i="24" s="1"/>
  <c r="AJ120" i="24" s="1"/>
  <c r="S117" i="24"/>
  <c r="T118" i="24"/>
  <c r="W119" i="24"/>
  <c r="U119" i="24"/>
  <c r="V119" i="24" s="1"/>
  <c r="AB528" i="1" l="1"/>
  <c r="AB525" i="1"/>
  <c r="AG546" i="1"/>
  <c r="AR546" i="1"/>
  <c r="AG547" i="1"/>
  <c r="AR547" i="1"/>
  <c r="AV546" i="1" s="1"/>
  <c r="AV545" i="1" s="1"/>
  <c r="AV544" i="1" s="1"/>
  <c r="AV543" i="1" s="1"/>
  <c r="AV542" i="1" s="1"/>
  <c r="AM542" i="1"/>
  <c r="AA523" i="1"/>
  <c r="W520" i="1"/>
  <c r="X520" i="1" s="1"/>
  <c r="X524" i="1"/>
  <c r="AB524" i="1" s="1"/>
  <c r="W518" i="1"/>
  <c r="AC528" i="1"/>
  <c r="AD528" i="1" s="1"/>
  <c r="AE528" i="1" s="1"/>
  <c r="AF528" i="1" s="1"/>
  <c r="X522" i="1"/>
  <c r="AA522" i="1"/>
  <c r="Z521" i="1"/>
  <c r="AA521" i="1" s="1"/>
  <c r="AB521" i="1" s="1"/>
  <c r="AG541" i="1"/>
  <c r="X521" i="1"/>
  <c r="W519" i="1"/>
  <c r="AG543" i="1"/>
  <c r="AG544" i="1"/>
  <c r="X523" i="1"/>
  <c r="V515" i="1"/>
  <c r="V514" i="1"/>
  <c r="V517" i="1"/>
  <c r="W517" i="1" s="1"/>
  <c r="V516" i="1"/>
  <c r="AL538" i="1"/>
  <c r="AM538" i="1" s="1"/>
  <c r="AR538" i="1" s="1"/>
  <c r="AL540" i="1"/>
  <c r="AM540" i="1" s="1"/>
  <c r="AR540" i="1" s="1"/>
  <c r="AL539" i="1"/>
  <c r="AG119" i="24"/>
  <c r="AI119" i="24" s="1"/>
  <c r="AJ119" i="24" s="1"/>
  <c r="Q506" i="1" s="1"/>
  <c r="Y506" i="1" s="1"/>
  <c r="Z520" i="1"/>
  <c r="Z518" i="1"/>
  <c r="R516" i="1"/>
  <c r="U516" i="1" s="1"/>
  <c r="Q513" i="1"/>
  <c r="Y513" i="1" s="1"/>
  <c r="Q511" i="1"/>
  <c r="Y511" i="1" s="1"/>
  <c r="Q510" i="1"/>
  <c r="Y510" i="1" s="1"/>
  <c r="Q509" i="1"/>
  <c r="Y509" i="1" s="1"/>
  <c r="Q512" i="1"/>
  <c r="Y512" i="1" s="1"/>
  <c r="R515" i="1"/>
  <c r="U515" i="1" s="1"/>
  <c r="AC529" i="1"/>
  <c r="AD530" i="1"/>
  <c r="AE530" i="1" s="1"/>
  <c r="AF530" i="1" s="1"/>
  <c r="AD537" i="1"/>
  <c r="AE537" i="1" s="1"/>
  <c r="AF537" i="1" s="1"/>
  <c r="Z519" i="1"/>
  <c r="AD535" i="1"/>
  <c r="AE535" i="1" s="1"/>
  <c r="AF535" i="1" s="1"/>
  <c r="AD532" i="1"/>
  <c r="AE532" i="1" s="1"/>
  <c r="AF532" i="1" s="1"/>
  <c r="R514" i="1"/>
  <c r="U514" i="1" s="1"/>
  <c r="R517" i="1"/>
  <c r="U517" i="1" s="1"/>
  <c r="W118" i="24"/>
  <c r="U118" i="24"/>
  <c r="V118" i="24" s="1"/>
  <c r="T117" i="24"/>
  <c r="S116" i="24"/>
  <c r="AG542" i="1" l="1"/>
  <c r="AR542" i="1"/>
  <c r="AA520" i="1"/>
  <c r="AB520" i="1" s="1"/>
  <c r="AB522" i="1"/>
  <c r="AV541" i="1"/>
  <c r="AV540" i="1" s="1"/>
  <c r="AV539" i="1" s="1"/>
  <c r="AC523" i="1"/>
  <c r="AD523" i="1" s="1"/>
  <c r="AE523" i="1" s="1"/>
  <c r="AF523" i="1" s="1"/>
  <c r="AB523" i="1"/>
  <c r="AM539" i="1"/>
  <c r="X519" i="1"/>
  <c r="X518" i="1"/>
  <c r="W516" i="1"/>
  <c r="X516" i="1" s="1"/>
  <c r="AC520" i="1"/>
  <c r="AD520" i="1" s="1"/>
  <c r="AE520" i="1" s="1"/>
  <c r="AF520" i="1" s="1"/>
  <c r="X517" i="1"/>
  <c r="Z517" i="1"/>
  <c r="AC522" i="1"/>
  <c r="AD522" i="1" s="1"/>
  <c r="AE522" i="1" s="1"/>
  <c r="AF522" i="1" s="1"/>
  <c r="W515" i="1"/>
  <c r="AG540" i="1"/>
  <c r="AG538" i="1"/>
  <c r="W514" i="1"/>
  <c r="V512" i="1"/>
  <c r="V509" i="1"/>
  <c r="V506" i="1"/>
  <c r="V510" i="1"/>
  <c r="V511" i="1"/>
  <c r="V513" i="1"/>
  <c r="W513" i="1" s="1"/>
  <c r="Q505" i="1"/>
  <c r="Y505" i="1" s="1"/>
  <c r="Q508" i="1"/>
  <c r="Q507" i="1"/>
  <c r="AL531" i="1"/>
  <c r="AL534" i="1"/>
  <c r="AL537" i="1"/>
  <c r="AM537" i="1" s="1"/>
  <c r="AR537" i="1" s="1"/>
  <c r="AL536" i="1"/>
  <c r="AL533" i="1"/>
  <c r="AL530" i="1"/>
  <c r="AM530" i="1" s="1"/>
  <c r="AR530" i="1" s="1"/>
  <c r="AL535" i="1"/>
  <c r="AM535" i="1" s="1"/>
  <c r="AR535" i="1" s="1"/>
  <c r="AL532" i="1"/>
  <c r="AM532" i="1" s="1"/>
  <c r="AR532" i="1" s="1"/>
  <c r="AA519" i="1"/>
  <c r="AB519" i="1" s="1"/>
  <c r="AA517" i="1"/>
  <c r="AB517" i="1" s="1"/>
  <c r="Z514" i="1"/>
  <c r="AC525" i="1"/>
  <c r="Z515" i="1"/>
  <c r="Z516" i="1"/>
  <c r="AC526" i="1"/>
  <c r="AC521" i="1"/>
  <c r="R512" i="1"/>
  <c r="U512" i="1" s="1"/>
  <c r="R509" i="1"/>
  <c r="U509" i="1" s="1"/>
  <c r="AC524" i="1"/>
  <c r="AC527" i="1"/>
  <c r="R510" i="1"/>
  <c r="U510" i="1" s="1"/>
  <c r="R511" i="1"/>
  <c r="U511" i="1" s="1"/>
  <c r="AD529" i="1"/>
  <c r="AE529" i="1" s="1"/>
  <c r="AF529" i="1" s="1"/>
  <c r="R513" i="1"/>
  <c r="U513" i="1" s="1"/>
  <c r="R506" i="1"/>
  <c r="U506" i="1" s="1"/>
  <c r="AA518" i="1"/>
  <c r="AB518" i="1" s="1"/>
  <c r="S115" i="24"/>
  <c r="T116" i="24"/>
  <c r="W117" i="24"/>
  <c r="U117" i="24"/>
  <c r="V117" i="24" s="1"/>
  <c r="AG118" i="24"/>
  <c r="AI118" i="24" s="1"/>
  <c r="AJ118" i="24" s="1"/>
  <c r="AG539" i="1" l="1"/>
  <c r="AR539" i="1"/>
  <c r="AV538" i="1"/>
  <c r="AV537" i="1" s="1"/>
  <c r="AV536" i="1" s="1"/>
  <c r="R507" i="1"/>
  <c r="U507" i="1" s="1"/>
  <c r="Y507" i="1"/>
  <c r="R508" i="1"/>
  <c r="U508" i="1" s="1"/>
  <c r="Y508" i="1"/>
  <c r="AA516" i="1"/>
  <c r="AB516" i="1" s="1"/>
  <c r="AM534" i="1"/>
  <c r="AM531" i="1"/>
  <c r="AM533" i="1"/>
  <c r="AM536" i="1"/>
  <c r="X515" i="1"/>
  <c r="X514" i="1"/>
  <c r="AG530" i="1"/>
  <c r="X513" i="1"/>
  <c r="AG537" i="1"/>
  <c r="Z513" i="1"/>
  <c r="AA513" i="1" s="1"/>
  <c r="AG535" i="1"/>
  <c r="W511" i="1"/>
  <c r="W512" i="1"/>
  <c r="X512" i="1" s="1"/>
  <c r="AG532" i="1"/>
  <c r="W510" i="1"/>
  <c r="W509" i="1"/>
  <c r="V507" i="1"/>
  <c r="V508" i="1"/>
  <c r="W508" i="1" s="1"/>
  <c r="V505" i="1"/>
  <c r="R505" i="1"/>
  <c r="U505" i="1" s="1"/>
  <c r="AL529" i="1"/>
  <c r="AM529" i="1" s="1"/>
  <c r="AR529" i="1" s="1"/>
  <c r="AL528" i="1"/>
  <c r="AA514" i="1"/>
  <c r="AB514" i="1" s="1"/>
  <c r="Z511" i="1"/>
  <c r="Z510" i="1"/>
  <c r="Z509" i="1"/>
  <c r="AD526" i="1"/>
  <c r="AE526" i="1" s="1"/>
  <c r="AF526" i="1" s="1"/>
  <c r="AA515" i="1"/>
  <c r="AB515" i="1" s="1"/>
  <c r="AD525" i="1"/>
  <c r="AE525" i="1" s="1"/>
  <c r="AF525" i="1" s="1"/>
  <c r="Q503" i="1"/>
  <c r="Y503" i="1" s="1"/>
  <c r="Q502" i="1"/>
  <c r="Y502" i="1" s="1"/>
  <c r="Q501" i="1"/>
  <c r="Y501" i="1" s="1"/>
  <c r="Q504" i="1"/>
  <c r="Y504" i="1" s="1"/>
  <c r="AG117" i="24"/>
  <c r="AI117" i="24" s="1"/>
  <c r="AJ117" i="24" s="1"/>
  <c r="AD527" i="1"/>
  <c r="AE527" i="1" s="1"/>
  <c r="AF527" i="1" s="1"/>
  <c r="AC517" i="1"/>
  <c r="AD524" i="1"/>
  <c r="AE524" i="1" s="1"/>
  <c r="AF524" i="1" s="1"/>
  <c r="Z512" i="1"/>
  <c r="AA512" i="1" s="1"/>
  <c r="AB512" i="1" s="1"/>
  <c r="AC519" i="1"/>
  <c r="AD521" i="1"/>
  <c r="AE521" i="1" s="1"/>
  <c r="AF521" i="1" s="1"/>
  <c r="W116" i="24"/>
  <c r="U116" i="24"/>
  <c r="V116" i="24" s="1"/>
  <c r="T115" i="24"/>
  <c r="S114" i="24"/>
  <c r="AG536" i="1" l="1"/>
  <c r="AR536" i="1"/>
  <c r="AG533" i="1"/>
  <c r="AR533" i="1"/>
  <c r="AV535" i="1"/>
  <c r="AV534" i="1" s="1"/>
  <c r="AV533" i="1" s="1"/>
  <c r="AV532" i="1" s="1"/>
  <c r="AV531" i="1" s="1"/>
  <c r="AB513" i="1"/>
  <c r="AG531" i="1"/>
  <c r="AR531" i="1"/>
  <c r="AG534" i="1"/>
  <c r="AR534" i="1"/>
  <c r="AM528" i="1"/>
  <c r="AC514" i="1"/>
  <c r="X509" i="1"/>
  <c r="X508" i="1"/>
  <c r="X510" i="1"/>
  <c r="X511" i="1"/>
  <c r="AG529" i="1"/>
  <c r="W505" i="1"/>
  <c r="W507" i="1"/>
  <c r="X507" i="1" s="1"/>
  <c r="W506" i="1"/>
  <c r="Z506" i="1"/>
  <c r="V504" i="1"/>
  <c r="W504" i="1" s="1"/>
  <c r="Z505" i="1"/>
  <c r="Z508" i="1"/>
  <c r="Z507" i="1"/>
  <c r="V501" i="1"/>
  <c r="V502" i="1"/>
  <c r="V503" i="1"/>
  <c r="AL524" i="1"/>
  <c r="AM524" i="1" s="1"/>
  <c r="AR524" i="1" s="1"/>
  <c r="AL523" i="1"/>
  <c r="AL525" i="1"/>
  <c r="AM525" i="1" s="1"/>
  <c r="AR525" i="1" s="1"/>
  <c r="AL527" i="1"/>
  <c r="AM527" i="1" s="1"/>
  <c r="AR527" i="1" s="1"/>
  <c r="AL526" i="1"/>
  <c r="AM526" i="1" s="1"/>
  <c r="AR526" i="1" s="1"/>
  <c r="AL521" i="1"/>
  <c r="AM521" i="1" s="1"/>
  <c r="AR521" i="1" s="1"/>
  <c r="AL522" i="1"/>
  <c r="AL520" i="1"/>
  <c r="AC516" i="1"/>
  <c r="AD517" i="1"/>
  <c r="AE517" i="1" s="1"/>
  <c r="AF517" i="1" s="1"/>
  <c r="Q500" i="1"/>
  <c r="Y500" i="1" s="1"/>
  <c r="Q498" i="1"/>
  <c r="Y498" i="1" s="1"/>
  <c r="Q497" i="1"/>
  <c r="Y497" i="1" s="1"/>
  <c r="Q499" i="1"/>
  <c r="Y499" i="1" s="1"/>
  <c r="AC515" i="1"/>
  <c r="AD515" i="1" s="1"/>
  <c r="AE515" i="1" s="1"/>
  <c r="AF515" i="1" s="1"/>
  <c r="R504" i="1"/>
  <c r="U504" i="1" s="1"/>
  <c r="Z504" i="1"/>
  <c r="R501" i="1"/>
  <c r="U501" i="1" s="1"/>
  <c r="AC513" i="1"/>
  <c r="R502" i="1"/>
  <c r="U502" i="1" s="1"/>
  <c r="AA509" i="1"/>
  <c r="AB509" i="1" s="1"/>
  <c r="R503" i="1"/>
  <c r="U503" i="1" s="1"/>
  <c r="AA510" i="1"/>
  <c r="AB510" i="1" s="1"/>
  <c r="AC518" i="1"/>
  <c r="AA511" i="1"/>
  <c r="AD519" i="1"/>
  <c r="AE519" i="1" s="1"/>
  <c r="AF519" i="1" s="1"/>
  <c r="W115" i="24"/>
  <c r="U115" i="24"/>
  <c r="V115" i="24" s="1"/>
  <c r="S113" i="24"/>
  <c r="T114" i="24"/>
  <c r="AG116" i="24"/>
  <c r="AI116" i="24" s="1"/>
  <c r="AJ116" i="24" s="1"/>
  <c r="AB511" i="1" l="1"/>
  <c r="AV530" i="1"/>
  <c r="AV529" i="1" s="1"/>
  <c r="AV528" i="1" s="1"/>
  <c r="AG528" i="1"/>
  <c r="AR528" i="1"/>
  <c r="AM520" i="1"/>
  <c r="AM522" i="1"/>
  <c r="AM523" i="1"/>
  <c r="W503" i="1"/>
  <c r="X503" i="1" s="1"/>
  <c r="AA507" i="1"/>
  <c r="AG526" i="1"/>
  <c r="AG525" i="1"/>
  <c r="AC509" i="1"/>
  <c r="AD509" i="1" s="1"/>
  <c r="AE509" i="1" s="1"/>
  <c r="AF509" i="1" s="1"/>
  <c r="AG524" i="1"/>
  <c r="W501" i="1"/>
  <c r="X504" i="1"/>
  <c r="X505" i="1"/>
  <c r="AG521" i="1"/>
  <c r="AG527" i="1"/>
  <c r="W502" i="1"/>
  <c r="AA505" i="1"/>
  <c r="X506" i="1"/>
  <c r="AA508" i="1"/>
  <c r="AB508" i="1" s="1"/>
  <c r="AA506" i="1"/>
  <c r="AA504" i="1"/>
  <c r="AB504" i="1" s="1"/>
  <c r="V500" i="1"/>
  <c r="W500" i="1" s="1"/>
  <c r="V499" i="1"/>
  <c r="V498" i="1"/>
  <c r="V497" i="1"/>
  <c r="AL519" i="1"/>
  <c r="AM519" i="1" s="1"/>
  <c r="AR519" i="1" s="1"/>
  <c r="Z503" i="1"/>
  <c r="AA503" i="1" s="1"/>
  <c r="Z502" i="1"/>
  <c r="R499" i="1"/>
  <c r="U499" i="1" s="1"/>
  <c r="R497" i="1"/>
  <c r="U497" i="1" s="1"/>
  <c r="R498" i="1"/>
  <c r="U498" i="1" s="1"/>
  <c r="AC512" i="1"/>
  <c r="AD513" i="1"/>
  <c r="AE513" i="1" s="1"/>
  <c r="AF513" i="1" s="1"/>
  <c r="R500" i="1"/>
  <c r="U500" i="1" s="1"/>
  <c r="AD514" i="1"/>
  <c r="AE514" i="1" s="1"/>
  <c r="AF514" i="1" s="1"/>
  <c r="AD518" i="1"/>
  <c r="AE518" i="1" s="1"/>
  <c r="AF518" i="1" s="1"/>
  <c r="Q495" i="1"/>
  <c r="Y495" i="1" s="1"/>
  <c r="Q492" i="1"/>
  <c r="Y492" i="1" s="1"/>
  <c r="Q494" i="1"/>
  <c r="Y494" i="1" s="1"/>
  <c r="Q493" i="1"/>
  <c r="Y493" i="1" s="1"/>
  <c r="Q496" i="1"/>
  <c r="Y496" i="1" s="1"/>
  <c r="Z501" i="1"/>
  <c r="AD516" i="1"/>
  <c r="AE516" i="1" s="1"/>
  <c r="AF516" i="1" s="1"/>
  <c r="W114" i="24"/>
  <c r="U114" i="24"/>
  <c r="V114" i="24" s="1"/>
  <c r="T113" i="24"/>
  <c r="S112" i="24"/>
  <c r="AG115" i="24"/>
  <c r="AI115" i="24" s="1"/>
  <c r="AJ115" i="24" s="1"/>
  <c r="AB506" i="1" l="1"/>
  <c r="AG523" i="1"/>
  <c r="AR523" i="1"/>
  <c r="AB503" i="1"/>
  <c r="AG522" i="1"/>
  <c r="AR522" i="1"/>
  <c r="AG520" i="1"/>
  <c r="AR520" i="1"/>
  <c r="AB505" i="1"/>
  <c r="X502" i="1"/>
  <c r="AV527" i="1"/>
  <c r="AV526" i="1" s="1"/>
  <c r="AV525" i="1" s="1"/>
  <c r="AV524" i="1" s="1"/>
  <c r="AV523" i="1" s="1"/>
  <c r="AV522" i="1" s="1"/>
  <c r="X500" i="1"/>
  <c r="AB507" i="1"/>
  <c r="AC507" i="1" s="1"/>
  <c r="AD507" i="1" s="1"/>
  <c r="AE507" i="1" s="1"/>
  <c r="AF507" i="1" s="1"/>
  <c r="AC506" i="1"/>
  <c r="AC505" i="1"/>
  <c r="Z500" i="1"/>
  <c r="AA500" i="1" s="1"/>
  <c r="AB500" i="1" s="1"/>
  <c r="W498" i="1"/>
  <c r="X501" i="1"/>
  <c r="AG519" i="1"/>
  <c r="W497" i="1"/>
  <c r="W499" i="1"/>
  <c r="X499" i="1" s="1"/>
  <c r="AC508" i="1"/>
  <c r="AD508" i="1" s="1"/>
  <c r="AE508" i="1" s="1"/>
  <c r="AF508" i="1" s="1"/>
  <c r="V496" i="1"/>
  <c r="W496" i="1" s="1"/>
  <c r="V492" i="1"/>
  <c r="V495" i="1"/>
  <c r="V493" i="1"/>
  <c r="V494" i="1"/>
  <c r="AL517" i="1"/>
  <c r="AL513" i="1"/>
  <c r="AM513" i="1" s="1"/>
  <c r="AR513" i="1" s="1"/>
  <c r="AL518" i="1"/>
  <c r="AM518" i="1" s="1"/>
  <c r="AR518" i="1" s="1"/>
  <c r="AL516" i="1"/>
  <c r="AM516" i="1" s="1"/>
  <c r="AR516" i="1" s="1"/>
  <c r="AL514" i="1"/>
  <c r="AM514" i="1" s="1"/>
  <c r="AR514" i="1" s="1"/>
  <c r="AL515" i="1"/>
  <c r="AA501" i="1"/>
  <c r="AB501" i="1" s="1"/>
  <c r="AA502" i="1"/>
  <c r="AB502" i="1" s="1"/>
  <c r="Z499" i="1"/>
  <c r="Z498" i="1"/>
  <c r="R493" i="1"/>
  <c r="U493" i="1" s="1"/>
  <c r="AC510" i="1"/>
  <c r="R494" i="1"/>
  <c r="U494" i="1" s="1"/>
  <c r="AC504" i="1"/>
  <c r="R492" i="1"/>
  <c r="U492" i="1" s="1"/>
  <c r="R495" i="1"/>
  <c r="U495" i="1" s="1"/>
  <c r="Z497" i="1"/>
  <c r="AC511" i="1"/>
  <c r="Q490" i="1"/>
  <c r="Y490" i="1" s="1"/>
  <c r="Q488" i="1"/>
  <c r="Y488" i="1" s="1"/>
  <c r="Q489" i="1"/>
  <c r="Y489" i="1" s="1"/>
  <c r="Q491" i="1"/>
  <c r="Y491" i="1" s="1"/>
  <c r="AC503" i="1"/>
  <c r="R496" i="1"/>
  <c r="U496" i="1" s="1"/>
  <c r="AD512" i="1"/>
  <c r="AE512" i="1" s="1"/>
  <c r="AF512" i="1" s="1"/>
  <c r="S111" i="24"/>
  <c r="T112" i="24"/>
  <c r="U113" i="24"/>
  <c r="V113" i="24" s="1"/>
  <c r="W113" i="24"/>
  <c r="AG114" i="24"/>
  <c r="AI114" i="24" s="1"/>
  <c r="AJ114" i="24" s="1"/>
  <c r="AV521" i="1" l="1"/>
  <c r="AV520" i="1" s="1"/>
  <c r="AV519" i="1" s="1"/>
  <c r="AV518" i="1" s="1"/>
  <c r="AV517" i="1" s="1"/>
  <c r="AA499" i="1"/>
  <c r="AB499" i="1" s="1"/>
  <c r="AM515" i="1"/>
  <c r="AM517" i="1"/>
  <c r="W494" i="1"/>
  <c r="X496" i="1"/>
  <c r="AC501" i="1"/>
  <c r="Z496" i="1"/>
  <c r="W495" i="1"/>
  <c r="X495" i="1" s="1"/>
  <c r="AG516" i="1"/>
  <c r="AG513" i="1"/>
  <c r="W493" i="1"/>
  <c r="W492" i="1"/>
  <c r="X497" i="1"/>
  <c r="AG514" i="1"/>
  <c r="AG518" i="1"/>
  <c r="X498" i="1"/>
  <c r="V490" i="1"/>
  <c r="V489" i="1"/>
  <c r="V488" i="1"/>
  <c r="V491" i="1"/>
  <c r="W491" i="1" s="1"/>
  <c r="AL512" i="1"/>
  <c r="AM512" i="1" s="1"/>
  <c r="AR512" i="1" s="1"/>
  <c r="AC502" i="1"/>
  <c r="AD502" i="1" s="1"/>
  <c r="AE502" i="1" s="1"/>
  <c r="AF502" i="1" s="1"/>
  <c r="AA498" i="1"/>
  <c r="AB498" i="1" s="1"/>
  <c r="AA497" i="1"/>
  <c r="Z494" i="1"/>
  <c r="Z495" i="1"/>
  <c r="AD506" i="1"/>
  <c r="AE506" i="1" s="1"/>
  <c r="AF506" i="1" s="1"/>
  <c r="AD511" i="1"/>
  <c r="AE511" i="1" s="1"/>
  <c r="AF511" i="1" s="1"/>
  <c r="R491" i="1"/>
  <c r="U491" i="1" s="1"/>
  <c r="R489" i="1"/>
  <c r="U489" i="1" s="1"/>
  <c r="R488" i="1"/>
  <c r="U488" i="1" s="1"/>
  <c r="R490" i="1"/>
  <c r="U490" i="1" s="1"/>
  <c r="Q486" i="1"/>
  <c r="Y486" i="1" s="1"/>
  <c r="Q485" i="1"/>
  <c r="Y485" i="1" s="1"/>
  <c r="Q483" i="1"/>
  <c r="Y483" i="1" s="1"/>
  <c r="Q487" i="1"/>
  <c r="Y487" i="1" s="1"/>
  <c r="Q484" i="1"/>
  <c r="Y484" i="1" s="1"/>
  <c r="Z492" i="1"/>
  <c r="AD510" i="1"/>
  <c r="AE510" i="1" s="1"/>
  <c r="AF510" i="1" s="1"/>
  <c r="AG113" i="24"/>
  <c r="AI113" i="24" s="1"/>
  <c r="AJ113" i="24" s="1"/>
  <c r="AD503" i="1"/>
  <c r="AE503" i="1" s="1"/>
  <c r="AF503" i="1" s="1"/>
  <c r="AD505" i="1"/>
  <c r="AE505" i="1" s="1"/>
  <c r="AF505" i="1" s="1"/>
  <c r="AA496" i="1"/>
  <c r="AD504" i="1"/>
  <c r="AE504" i="1" s="1"/>
  <c r="AF504" i="1" s="1"/>
  <c r="Z493" i="1"/>
  <c r="W112" i="24"/>
  <c r="U112" i="24"/>
  <c r="V112" i="24" s="1"/>
  <c r="T111" i="24"/>
  <c r="S110" i="24"/>
  <c r="AB496" i="1" l="1"/>
  <c r="AB497" i="1"/>
  <c r="AG517" i="1"/>
  <c r="AR517" i="1"/>
  <c r="AA495" i="1"/>
  <c r="AB495" i="1" s="1"/>
  <c r="AG515" i="1"/>
  <c r="AR515" i="1"/>
  <c r="AV516" i="1"/>
  <c r="AV515" i="1" s="1"/>
  <c r="W488" i="1"/>
  <c r="Z491" i="1"/>
  <c r="X492" i="1"/>
  <c r="AG512" i="1"/>
  <c r="X493" i="1"/>
  <c r="X494" i="1"/>
  <c r="X491" i="1"/>
  <c r="W490" i="1"/>
  <c r="X490" i="1" s="1"/>
  <c r="W489" i="1"/>
  <c r="V487" i="1"/>
  <c r="W487" i="1" s="1"/>
  <c r="V483" i="1"/>
  <c r="V485" i="1"/>
  <c r="V484" i="1"/>
  <c r="V486" i="1"/>
  <c r="AL511" i="1"/>
  <c r="AM511" i="1" s="1"/>
  <c r="AR511" i="1" s="1"/>
  <c r="AL505" i="1"/>
  <c r="AM505" i="1" s="1"/>
  <c r="AR505" i="1" s="1"/>
  <c r="AL502" i="1"/>
  <c r="AM502" i="1" s="1"/>
  <c r="AR502" i="1" s="1"/>
  <c r="AL506" i="1"/>
  <c r="AM506" i="1" s="1"/>
  <c r="AR506" i="1" s="1"/>
  <c r="AL503" i="1"/>
  <c r="AM503" i="1" s="1"/>
  <c r="AR503" i="1" s="1"/>
  <c r="AL510" i="1"/>
  <c r="AM510" i="1" s="1"/>
  <c r="AR510" i="1" s="1"/>
  <c r="AL509" i="1"/>
  <c r="AL508" i="1"/>
  <c r="AL504" i="1"/>
  <c r="AM504" i="1" s="1"/>
  <c r="AR504" i="1" s="1"/>
  <c r="AL507" i="1"/>
  <c r="AA493" i="1"/>
  <c r="AB493" i="1" s="1"/>
  <c r="AA494" i="1"/>
  <c r="AB494" i="1" s="1"/>
  <c r="Z490" i="1"/>
  <c r="Z488" i="1"/>
  <c r="AA492" i="1"/>
  <c r="AB492" i="1" s="1"/>
  <c r="R484" i="1"/>
  <c r="U484" i="1" s="1"/>
  <c r="AC499" i="1"/>
  <c r="AD501" i="1"/>
  <c r="AE501" i="1" s="1"/>
  <c r="AF501" i="1" s="1"/>
  <c r="R487" i="1"/>
  <c r="U487" i="1" s="1"/>
  <c r="Q480" i="1"/>
  <c r="Y480" i="1" s="1"/>
  <c r="Q482" i="1"/>
  <c r="Y482" i="1" s="1"/>
  <c r="Q481" i="1"/>
  <c r="Y481" i="1" s="1"/>
  <c r="Q479" i="1"/>
  <c r="Y479" i="1" s="1"/>
  <c r="R483" i="1"/>
  <c r="U483" i="1" s="1"/>
  <c r="AC496" i="1"/>
  <c r="AD496" i="1" s="1"/>
  <c r="AE496" i="1" s="1"/>
  <c r="AF496" i="1" s="1"/>
  <c r="R485" i="1"/>
  <c r="U485" i="1" s="1"/>
  <c r="AC498" i="1"/>
  <c r="R486" i="1"/>
  <c r="U486" i="1" s="1"/>
  <c r="AA491" i="1"/>
  <c r="AB491" i="1" s="1"/>
  <c r="AC500" i="1"/>
  <c r="AC497" i="1"/>
  <c r="Z489" i="1"/>
  <c r="S109" i="24"/>
  <c r="T110" i="24"/>
  <c r="W111" i="24"/>
  <c r="U111" i="24"/>
  <c r="V111" i="24" s="1"/>
  <c r="AG112" i="24"/>
  <c r="AI112" i="24" s="1"/>
  <c r="AJ112" i="24" s="1"/>
  <c r="AV514" i="1" l="1"/>
  <c r="AV513" i="1" s="1"/>
  <c r="AV512" i="1" s="1"/>
  <c r="AV511" i="1" s="1"/>
  <c r="AV510" i="1" s="1"/>
  <c r="AV509" i="1" s="1"/>
  <c r="W486" i="1"/>
  <c r="AA490" i="1"/>
  <c r="AB490" i="1" s="1"/>
  <c r="AM507" i="1"/>
  <c r="AM508" i="1"/>
  <c r="AM509" i="1"/>
  <c r="X489" i="1"/>
  <c r="X486" i="1"/>
  <c r="AC493" i="1"/>
  <c r="AC491" i="1"/>
  <c r="AD491" i="1" s="1"/>
  <c r="AE491" i="1" s="1"/>
  <c r="AF491" i="1" s="1"/>
  <c r="Z487" i="1"/>
  <c r="AA487" i="1" s="1"/>
  <c r="X488" i="1"/>
  <c r="AC492" i="1"/>
  <c r="X487" i="1"/>
  <c r="AC494" i="1"/>
  <c r="AG503" i="1"/>
  <c r="AG502" i="1"/>
  <c r="AG511" i="1"/>
  <c r="W485" i="1"/>
  <c r="X485" i="1" s="1"/>
  <c r="AG504" i="1"/>
  <c r="AG510" i="1"/>
  <c r="AG506" i="1"/>
  <c r="AG505" i="1"/>
  <c r="W484" i="1"/>
  <c r="W483" i="1"/>
  <c r="V480" i="1"/>
  <c r="Z482" i="1"/>
  <c r="V482" i="1"/>
  <c r="W482" i="1" s="1"/>
  <c r="V479" i="1"/>
  <c r="V481" i="1"/>
  <c r="AL501" i="1"/>
  <c r="AM501" i="1" s="1"/>
  <c r="AR501" i="1" s="1"/>
  <c r="AA489" i="1"/>
  <c r="AB489" i="1" s="1"/>
  <c r="Z485" i="1"/>
  <c r="Z486" i="1"/>
  <c r="R482" i="1"/>
  <c r="U482" i="1" s="1"/>
  <c r="AD499" i="1"/>
  <c r="AE499" i="1" s="1"/>
  <c r="AF499" i="1" s="1"/>
  <c r="R480" i="1"/>
  <c r="U480" i="1" s="1"/>
  <c r="Z484" i="1"/>
  <c r="AC495" i="1"/>
  <c r="AD498" i="1"/>
  <c r="AE498" i="1" s="1"/>
  <c r="AF498" i="1" s="1"/>
  <c r="Z483" i="1"/>
  <c r="AA488" i="1"/>
  <c r="AB488" i="1" s="1"/>
  <c r="Q477" i="1"/>
  <c r="Y477" i="1" s="1"/>
  <c r="Q475" i="1"/>
  <c r="Y475" i="1" s="1"/>
  <c r="Q478" i="1"/>
  <c r="Y478" i="1" s="1"/>
  <c r="Q476" i="1"/>
  <c r="Y476" i="1" s="1"/>
  <c r="AD500" i="1"/>
  <c r="AE500" i="1" s="1"/>
  <c r="AF500" i="1" s="1"/>
  <c r="R479" i="1"/>
  <c r="U479" i="1" s="1"/>
  <c r="AD497" i="1"/>
  <c r="AE497" i="1" s="1"/>
  <c r="AF497" i="1" s="1"/>
  <c r="R481" i="1"/>
  <c r="U481" i="1" s="1"/>
  <c r="AG111" i="24"/>
  <c r="AI111" i="24" s="1"/>
  <c r="AJ111" i="24" s="1"/>
  <c r="W110" i="24"/>
  <c r="U110" i="24"/>
  <c r="V110" i="24" s="1"/>
  <c r="T109" i="24"/>
  <c r="S108" i="24"/>
  <c r="AB487" i="1" l="1"/>
  <c r="AG509" i="1"/>
  <c r="AR509" i="1"/>
  <c r="AG508" i="1"/>
  <c r="AR508" i="1"/>
  <c r="AG507" i="1"/>
  <c r="AR507" i="1"/>
  <c r="AV508" i="1"/>
  <c r="AV507" i="1" s="1"/>
  <c r="AV506" i="1" s="1"/>
  <c r="AV505" i="1" s="1"/>
  <c r="AV504" i="1" s="1"/>
  <c r="AV503" i="1" s="1"/>
  <c r="AV502" i="1" s="1"/>
  <c r="AV501" i="1" s="1"/>
  <c r="AV500" i="1" s="1"/>
  <c r="AV499" i="1" s="1"/>
  <c r="AV498" i="1" s="1"/>
  <c r="AA486" i="1"/>
  <c r="AB486" i="1" s="1"/>
  <c r="X484" i="1"/>
  <c r="X483" i="1"/>
  <c r="X482" i="1"/>
  <c r="W481" i="1"/>
  <c r="X481" i="1" s="1"/>
  <c r="W479" i="1"/>
  <c r="W480" i="1"/>
  <c r="AG501" i="1"/>
  <c r="V477" i="1"/>
  <c r="V476" i="1"/>
  <c r="V475" i="1"/>
  <c r="V478" i="1"/>
  <c r="W478" i="1" s="1"/>
  <c r="AL499" i="1"/>
  <c r="AM499" i="1" s="1"/>
  <c r="AR499" i="1" s="1"/>
  <c r="AL497" i="1"/>
  <c r="AM497" i="1" s="1"/>
  <c r="AR497" i="1" s="1"/>
  <c r="AL500" i="1"/>
  <c r="AM500" i="1" s="1"/>
  <c r="AR500" i="1" s="1"/>
  <c r="AL496" i="1"/>
  <c r="AL498" i="1"/>
  <c r="AM498" i="1" s="1"/>
  <c r="AR498" i="1" s="1"/>
  <c r="AA483" i="1"/>
  <c r="AB483" i="1" s="1"/>
  <c r="AA484" i="1"/>
  <c r="AB484" i="1" s="1"/>
  <c r="AA485" i="1"/>
  <c r="AB485" i="1" s="1"/>
  <c r="Z481" i="1"/>
  <c r="AA481" i="1" s="1"/>
  <c r="AB481" i="1" s="1"/>
  <c r="Z479" i="1"/>
  <c r="R475" i="1"/>
  <c r="U475" i="1" s="1"/>
  <c r="AA482" i="1"/>
  <c r="AB482" i="1" s="1"/>
  <c r="AD493" i="1"/>
  <c r="AE493" i="1" s="1"/>
  <c r="AF493" i="1" s="1"/>
  <c r="AC489" i="1"/>
  <c r="AC490" i="1"/>
  <c r="R477" i="1"/>
  <c r="U477" i="1" s="1"/>
  <c r="Q474" i="1"/>
  <c r="Y474" i="1" s="1"/>
  <c r="Q473" i="1"/>
  <c r="Y473" i="1" s="1"/>
  <c r="Q472" i="1"/>
  <c r="Y472" i="1" s="1"/>
  <c r="Q471" i="1"/>
  <c r="Y471" i="1" s="1"/>
  <c r="Q470" i="1"/>
  <c r="Y470" i="1" s="1"/>
  <c r="Z480" i="1"/>
  <c r="R476" i="1"/>
  <c r="U476" i="1" s="1"/>
  <c r="AD494" i="1"/>
  <c r="AE494" i="1" s="1"/>
  <c r="AF494" i="1" s="1"/>
  <c r="AD492" i="1"/>
  <c r="AE492" i="1" s="1"/>
  <c r="AF492" i="1" s="1"/>
  <c r="R478" i="1"/>
  <c r="U478" i="1" s="1"/>
  <c r="AD495" i="1"/>
  <c r="AE495" i="1" s="1"/>
  <c r="AF495" i="1" s="1"/>
  <c r="S107" i="24"/>
  <c r="T108" i="24"/>
  <c r="W109" i="24"/>
  <c r="U109" i="24"/>
  <c r="V109" i="24" s="1"/>
  <c r="AG110" i="24"/>
  <c r="AI110" i="24" s="1"/>
  <c r="AJ110" i="24" s="1"/>
  <c r="AV497" i="1" l="1"/>
  <c r="AV496" i="1" s="1"/>
  <c r="AM496" i="1"/>
  <c r="X478" i="1"/>
  <c r="AG498" i="1"/>
  <c r="Z478" i="1"/>
  <c r="AA478" i="1" s="1"/>
  <c r="AB478" i="1" s="1"/>
  <c r="AC483" i="1"/>
  <c r="X479" i="1"/>
  <c r="AG497" i="1"/>
  <c r="AG500" i="1"/>
  <c r="AG499" i="1"/>
  <c r="W475" i="1"/>
  <c r="W477" i="1"/>
  <c r="X477" i="1" s="1"/>
  <c r="X480" i="1"/>
  <c r="W476" i="1"/>
  <c r="V470" i="1"/>
  <c r="V471" i="1"/>
  <c r="V472" i="1"/>
  <c r="V473" i="1"/>
  <c r="V474" i="1"/>
  <c r="W474" i="1" s="1"/>
  <c r="AL491" i="1"/>
  <c r="AL493" i="1"/>
  <c r="AM493" i="1" s="1"/>
  <c r="AR493" i="1" s="1"/>
  <c r="AL494" i="1"/>
  <c r="AM494" i="1" s="1"/>
  <c r="AR494" i="1" s="1"/>
  <c r="AL495" i="1"/>
  <c r="AM495" i="1" s="1"/>
  <c r="AR495" i="1" s="1"/>
  <c r="AL492" i="1"/>
  <c r="AM492" i="1" s="1"/>
  <c r="AR492" i="1" s="1"/>
  <c r="AC485" i="1"/>
  <c r="AD485" i="1" s="1"/>
  <c r="AE485" i="1" s="1"/>
  <c r="AF485" i="1" s="1"/>
  <c r="AC481" i="1"/>
  <c r="AD481" i="1" s="1"/>
  <c r="AE481" i="1" s="1"/>
  <c r="AF481" i="1" s="1"/>
  <c r="AA480" i="1"/>
  <c r="R473" i="1"/>
  <c r="U473" i="1" s="1"/>
  <c r="R474" i="1"/>
  <c r="U474" i="1" s="1"/>
  <c r="AC488" i="1"/>
  <c r="AC484" i="1"/>
  <c r="Z476" i="1"/>
  <c r="Z477" i="1"/>
  <c r="AA477" i="1" s="1"/>
  <c r="AB477" i="1" s="1"/>
  <c r="Z475" i="1"/>
  <c r="Q466" i="1"/>
  <c r="Y466" i="1" s="1"/>
  <c r="Q467" i="1"/>
  <c r="Y467" i="1" s="1"/>
  <c r="Q468" i="1"/>
  <c r="Y468" i="1" s="1"/>
  <c r="Q469" i="1"/>
  <c r="Y469" i="1" s="1"/>
  <c r="AC486" i="1"/>
  <c r="AC487" i="1"/>
  <c r="R470" i="1"/>
  <c r="U470" i="1" s="1"/>
  <c r="R471" i="1"/>
  <c r="U471" i="1" s="1"/>
  <c r="AD490" i="1"/>
  <c r="AE490" i="1" s="1"/>
  <c r="AF490" i="1" s="1"/>
  <c r="AD489" i="1"/>
  <c r="AE489" i="1" s="1"/>
  <c r="AF489" i="1" s="1"/>
  <c r="AA479" i="1"/>
  <c r="R472" i="1"/>
  <c r="U472" i="1" s="1"/>
  <c r="AG109" i="24"/>
  <c r="AI109" i="24" s="1"/>
  <c r="AJ109" i="24" s="1"/>
  <c r="W108" i="24"/>
  <c r="U108" i="24"/>
  <c r="V108" i="24" s="1"/>
  <c r="T107" i="24"/>
  <c r="S106" i="24"/>
  <c r="AB479" i="1" l="1"/>
  <c r="AB480" i="1"/>
  <c r="AC480" i="1" s="1"/>
  <c r="AG496" i="1"/>
  <c r="AR496" i="1"/>
  <c r="AV495" i="1"/>
  <c r="AV494" i="1" s="1"/>
  <c r="AV493" i="1" s="1"/>
  <c r="AV492" i="1" s="1"/>
  <c r="AV491" i="1" s="1"/>
  <c r="AM491" i="1"/>
  <c r="W473" i="1"/>
  <c r="X473" i="1" s="1"/>
  <c r="Z474" i="1"/>
  <c r="AA474" i="1" s="1"/>
  <c r="X476" i="1"/>
  <c r="AG495" i="1"/>
  <c r="AG493" i="1"/>
  <c r="AG492" i="1"/>
  <c r="AG494" i="1"/>
  <c r="W471" i="1"/>
  <c r="X474" i="1"/>
  <c r="W472" i="1"/>
  <c r="W470" i="1"/>
  <c r="X475" i="1"/>
  <c r="V469" i="1"/>
  <c r="W469" i="1" s="1"/>
  <c r="V468" i="1"/>
  <c r="V467" i="1"/>
  <c r="V466" i="1"/>
  <c r="AL489" i="1"/>
  <c r="AM489" i="1" s="1"/>
  <c r="AR489" i="1" s="1"/>
  <c r="AL490" i="1"/>
  <c r="AM490" i="1" s="1"/>
  <c r="AR490" i="1" s="1"/>
  <c r="Z471" i="1"/>
  <c r="Z472" i="1"/>
  <c r="Z473" i="1"/>
  <c r="Q464" i="1"/>
  <c r="Y464" i="1" s="1"/>
  <c r="Q465" i="1"/>
  <c r="Y465" i="1" s="1"/>
  <c r="Q463" i="1"/>
  <c r="Y463" i="1" s="1"/>
  <c r="Q462" i="1"/>
  <c r="Y462" i="1" s="1"/>
  <c r="Z470" i="1"/>
  <c r="AC478" i="1"/>
  <c r="AD488" i="1"/>
  <c r="AE488" i="1" s="1"/>
  <c r="AF488" i="1" s="1"/>
  <c r="AD486" i="1"/>
  <c r="AE486" i="1" s="1"/>
  <c r="AF486" i="1" s="1"/>
  <c r="AA475" i="1"/>
  <c r="AC477" i="1"/>
  <c r="AD477" i="1" s="1"/>
  <c r="AE477" i="1" s="1"/>
  <c r="AF477" i="1" s="1"/>
  <c r="AD483" i="1"/>
  <c r="AE483" i="1" s="1"/>
  <c r="AF483" i="1" s="1"/>
  <c r="R469" i="1"/>
  <c r="U469" i="1" s="1"/>
  <c r="R468" i="1"/>
  <c r="U468" i="1" s="1"/>
  <c r="AD487" i="1"/>
  <c r="AE487" i="1" s="1"/>
  <c r="AF487" i="1" s="1"/>
  <c r="R467" i="1"/>
  <c r="U467" i="1" s="1"/>
  <c r="AA476" i="1"/>
  <c r="AB476" i="1" s="1"/>
  <c r="AC482" i="1"/>
  <c r="R466" i="1"/>
  <c r="U466" i="1" s="1"/>
  <c r="AD484" i="1"/>
  <c r="AE484" i="1" s="1"/>
  <c r="AF484" i="1" s="1"/>
  <c r="AC479" i="1"/>
  <c r="AD479" i="1" s="1"/>
  <c r="AE479" i="1" s="1"/>
  <c r="AF479" i="1" s="1"/>
  <c r="S105" i="24"/>
  <c r="T106" i="24"/>
  <c r="AG108" i="24"/>
  <c r="AI108" i="24" s="1"/>
  <c r="AJ108" i="24" s="1"/>
  <c r="W107" i="24"/>
  <c r="U107" i="24"/>
  <c r="V107" i="24" s="1"/>
  <c r="AA473" i="1" l="1"/>
  <c r="AB474" i="1"/>
  <c r="X472" i="1"/>
  <c r="AG491" i="1"/>
  <c r="AR491" i="1"/>
  <c r="AV490" i="1" s="1"/>
  <c r="AV489" i="1" s="1"/>
  <c r="AV488" i="1" s="1"/>
  <c r="AB475" i="1"/>
  <c r="AB473" i="1"/>
  <c r="W467" i="1"/>
  <c r="W468" i="1"/>
  <c r="X468" i="1" s="1"/>
  <c r="X471" i="1"/>
  <c r="Z469" i="1"/>
  <c r="AA469" i="1" s="1"/>
  <c r="W466" i="1"/>
  <c r="X470" i="1"/>
  <c r="AG489" i="1"/>
  <c r="X469" i="1"/>
  <c r="AG490" i="1"/>
  <c r="Z465" i="1"/>
  <c r="V465" i="1"/>
  <c r="W465" i="1" s="1"/>
  <c r="V464" i="1"/>
  <c r="V462" i="1"/>
  <c r="V463" i="1"/>
  <c r="AL486" i="1"/>
  <c r="AM486" i="1" s="1"/>
  <c r="AR486" i="1" s="1"/>
  <c r="AL488" i="1"/>
  <c r="AM488" i="1" s="1"/>
  <c r="AR488" i="1" s="1"/>
  <c r="AL487" i="1"/>
  <c r="AM487" i="1" s="1"/>
  <c r="AR487" i="1" s="1"/>
  <c r="AL484" i="1"/>
  <c r="AM484" i="1" s="1"/>
  <c r="AR484" i="1" s="1"/>
  <c r="AL485" i="1"/>
  <c r="AL483" i="1"/>
  <c r="AM483" i="1" s="1"/>
  <c r="AR483" i="1" s="1"/>
  <c r="AA470" i="1"/>
  <c r="AB470" i="1" s="1"/>
  <c r="AA471" i="1"/>
  <c r="AB471" i="1" s="1"/>
  <c r="Z466" i="1"/>
  <c r="AA472" i="1"/>
  <c r="AB472" i="1" s="1"/>
  <c r="R463" i="1"/>
  <c r="U463" i="1" s="1"/>
  <c r="R465" i="1"/>
  <c r="U465" i="1" s="1"/>
  <c r="R464" i="1"/>
  <c r="U464" i="1" s="1"/>
  <c r="AD482" i="1"/>
  <c r="AE482" i="1" s="1"/>
  <c r="AF482" i="1" s="1"/>
  <c r="Q458" i="1"/>
  <c r="Y458" i="1" s="1"/>
  <c r="Q457" i="1"/>
  <c r="Y457" i="1" s="1"/>
  <c r="Q459" i="1"/>
  <c r="Y459" i="1" s="1"/>
  <c r="Q460" i="1"/>
  <c r="Y460" i="1" s="1"/>
  <c r="Q461" i="1"/>
  <c r="Y461" i="1" s="1"/>
  <c r="AD480" i="1"/>
  <c r="AE480" i="1" s="1"/>
  <c r="AF480" i="1" s="1"/>
  <c r="AD478" i="1"/>
  <c r="AE478" i="1" s="1"/>
  <c r="AF478" i="1" s="1"/>
  <c r="Z467" i="1"/>
  <c r="Z468" i="1"/>
  <c r="R462" i="1"/>
  <c r="U462" i="1" s="1"/>
  <c r="W106" i="24"/>
  <c r="U106" i="24"/>
  <c r="V106" i="24" s="1"/>
  <c r="AG107" i="24"/>
  <c r="AI107" i="24" s="1"/>
  <c r="AJ107" i="24" s="1"/>
  <c r="T105" i="24"/>
  <c r="S104" i="24"/>
  <c r="AV487" i="1" l="1"/>
  <c r="AV486" i="1" s="1"/>
  <c r="AV485" i="1" s="1"/>
  <c r="AB469" i="1"/>
  <c r="AM485" i="1"/>
  <c r="X467" i="1"/>
  <c r="X465" i="1"/>
  <c r="AA468" i="1"/>
  <c r="AB468" i="1" s="1"/>
  <c r="W462" i="1"/>
  <c r="AC470" i="1"/>
  <c r="X466" i="1"/>
  <c r="AG487" i="1"/>
  <c r="AG486" i="1"/>
  <c r="AG483" i="1"/>
  <c r="AG484" i="1"/>
  <c r="AG488" i="1"/>
  <c r="W463" i="1"/>
  <c r="W464" i="1"/>
  <c r="X464" i="1" s="1"/>
  <c r="V460" i="1"/>
  <c r="V459" i="1"/>
  <c r="V457" i="1"/>
  <c r="V461" i="1"/>
  <c r="W461" i="1" s="1"/>
  <c r="V458" i="1"/>
  <c r="AL477" i="1"/>
  <c r="AL482" i="1"/>
  <c r="AM482" i="1" s="1"/>
  <c r="AR482" i="1" s="1"/>
  <c r="AL481" i="1"/>
  <c r="AL480" i="1"/>
  <c r="AM480" i="1" s="1"/>
  <c r="AR480" i="1" s="1"/>
  <c r="AL479" i="1"/>
  <c r="AL478" i="1"/>
  <c r="AM478" i="1" s="1"/>
  <c r="AR478" i="1" s="1"/>
  <c r="AG106" i="24"/>
  <c r="AI106" i="24" s="1"/>
  <c r="AJ106" i="24" s="1"/>
  <c r="Q448" i="1" s="1"/>
  <c r="Y448" i="1" s="1"/>
  <c r="AC472" i="1"/>
  <c r="AD472" i="1" s="1"/>
  <c r="AE472" i="1" s="1"/>
  <c r="AF472" i="1" s="1"/>
  <c r="AC471" i="1"/>
  <c r="AD471" i="1" s="1"/>
  <c r="AE471" i="1" s="1"/>
  <c r="AF471" i="1" s="1"/>
  <c r="Z464" i="1"/>
  <c r="AA464" i="1" s="1"/>
  <c r="AA467" i="1"/>
  <c r="AB467" i="1" s="1"/>
  <c r="Z462" i="1"/>
  <c r="AC475" i="1"/>
  <c r="R457" i="1"/>
  <c r="U457" i="1" s="1"/>
  <c r="AC469" i="1"/>
  <c r="R458" i="1"/>
  <c r="U458" i="1" s="1"/>
  <c r="Q456" i="1"/>
  <c r="Y456" i="1" s="1"/>
  <c r="Q455" i="1"/>
  <c r="Y455" i="1" s="1"/>
  <c r="Q454" i="1"/>
  <c r="Y454" i="1" s="1"/>
  <c r="Q453" i="1"/>
  <c r="Y453" i="1" s="1"/>
  <c r="AC473" i="1"/>
  <c r="AA465" i="1"/>
  <c r="AB465" i="1" s="1"/>
  <c r="AC476" i="1"/>
  <c r="AA466" i="1"/>
  <c r="AB466" i="1" s="1"/>
  <c r="R461" i="1"/>
  <c r="U461" i="1" s="1"/>
  <c r="AC474" i="1"/>
  <c r="Z463" i="1"/>
  <c r="R460" i="1"/>
  <c r="U460" i="1" s="1"/>
  <c r="R459" i="1"/>
  <c r="U459" i="1" s="1"/>
  <c r="S103" i="24"/>
  <c r="T104" i="24"/>
  <c r="U105" i="24"/>
  <c r="V105" i="24" s="1"/>
  <c r="W105" i="24"/>
  <c r="AB464" i="1" l="1"/>
  <c r="AG485" i="1"/>
  <c r="AR485" i="1"/>
  <c r="AV484" i="1" s="1"/>
  <c r="AV483" i="1" s="1"/>
  <c r="AV482" i="1" s="1"/>
  <c r="AV481" i="1" s="1"/>
  <c r="AM481" i="1"/>
  <c r="AM477" i="1"/>
  <c r="AM479" i="1"/>
  <c r="W457" i="1"/>
  <c r="Z461" i="1"/>
  <c r="X463" i="1"/>
  <c r="W458" i="1"/>
  <c r="W460" i="1"/>
  <c r="X460" i="1" s="1"/>
  <c r="AG480" i="1"/>
  <c r="AG478" i="1"/>
  <c r="AG482" i="1"/>
  <c r="X461" i="1"/>
  <c r="W459" i="1"/>
  <c r="X462" i="1"/>
  <c r="V448" i="1"/>
  <c r="Z456" i="1"/>
  <c r="V456" i="1"/>
  <c r="W456" i="1" s="1"/>
  <c r="V453" i="1"/>
  <c r="V454" i="1"/>
  <c r="V455" i="1"/>
  <c r="Q452" i="1"/>
  <c r="Y452" i="1" s="1"/>
  <c r="Q449" i="1"/>
  <c r="Y449" i="1" s="1"/>
  <c r="Q451" i="1"/>
  <c r="Q450" i="1"/>
  <c r="Y450" i="1" s="1"/>
  <c r="AG105" i="24"/>
  <c r="AI105" i="24" s="1"/>
  <c r="AJ105" i="24" s="1"/>
  <c r="Q446" i="1" s="1"/>
  <c r="Y446" i="1" s="1"/>
  <c r="AA463" i="1"/>
  <c r="AB463" i="1" s="1"/>
  <c r="Z459" i="1"/>
  <c r="Z460" i="1"/>
  <c r="AA460" i="1" s="1"/>
  <c r="AB460" i="1" s="1"/>
  <c r="R453" i="1"/>
  <c r="U453" i="1" s="1"/>
  <c r="Z457" i="1"/>
  <c r="R454" i="1"/>
  <c r="U454" i="1" s="1"/>
  <c r="Z458" i="1"/>
  <c r="R448" i="1"/>
  <c r="U448" i="1" s="1"/>
  <c r="R455" i="1"/>
  <c r="U455" i="1" s="1"/>
  <c r="AD475" i="1"/>
  <c r="AE475" i="1" s="1"/>
  <c r="AF475" i="1" s="1"/>
  <c r="Q445" i="1"/>
  <c r="Y445" i="1" s="1"/>
  <c r="AA462" i="1"/>
  <c r="AB462" i="1" s="1"/>
  <c r="AD474" i="1"/>
  <c r="AE474" i="1" s="1"/>
  <c r="AF474" i="1" s="1"/>
  <c r="R456" i="1"/>
  <c r="U456" i="1" s="1"/>
  <c r="AD476" i="1"/>
  <c r="AE476" i="1" s="1"/>
  <c r="AF476" i="1" s="1"/>
  <c r="AD473" i="1"/>
  <c r="AE473" i="1" s="1"/>
  <c r="AF473" i="1" s="1"/>
  <c r="AC467" i="1"/>
  <c r="AA461" i="1"/>
  <c r="AC468" i="1"/>
  <c r="AD470" i="1"/>
  <c r="AE470" i="1" s="1"/>
  <c r="AF470" i="1" s="1"/>
  <c r="AD469" i="1"/>
  <c r="AE469" i="1" s="1"/>
  <c r="AF469" i="1" s="1"/>
  <c r="W104" i="24"/>
  <c r="U104" i="24"/>
  <c r="V104" i="24" s="1"/>
  <c r="T103" i="24"/>
  <c r="S102" i="24"/>
  <c r="AB461" i="1" l="1"/>
  <c r="AG479" i="1"/>
  <c r="AR479" i="1"/>
  <c r="AG477" i="1"/>
  <c r="AR477" i="1"/>
  <c r="AG481" i="1"/>
  <c r="AR481" i="1"/>
  <c r="AV480" i="1" s="1"/>
  <c r="AV479" i="1" s="1"/>
  <c r="AV478" i="1" s="1"/>
  <c r="AV477" i="1" s="1"/>
  <c r="R451" i="1"/>
  <c r="U451" i="1" s="1"/>
  <c r="Y451" i="1"/>
  <c r="X458" i="1"/>
  <c r="X459" i="1"/>
  <c r="X456" i="1"/>
  <c r="X457" i="1"/>
  <c r="W455" i="1"/>
  <c r="X455" i="1" s="1"/>
  <c r="W454" i="1"/>
  <c r="W453" i="1"/>
  <c r="V446" i="1"/>
  <c r="V452" i="1"/>
  <c r="W452" i="1" s="1"/>
  <c r="V450" i="1"/>
  <c r="V445" i="1"/>
  <c r="V451" i="1"/>
  <c r="V449" i="1"/>
  <c r="R452" i="1"/>
  <c r="U452" i="1" s="1"/>
  <c r="R449" i="1"/>
  <c r="U449" i="1" s="1"/>
  <c r="Q444" i="1"/>
  <c r="Y444" i="1" s="1"/>
  <c r="Q447" i="1"/>
  <c r="Y447" i="1" s="1"/>
  <c r="R450" i="1"/>
  <c r="U450" i="1" s="1"/>
  <c r="AL471" i="1"/>
  <c r="AL470" i="1"/>
  <c r="AM470" i="1" s="1"/>
  <c r="AR470" i="1" s="1"/>
  <c r="AL474" i="1"/>
  <c r="AM474" i="1" s="1"/>
  <c r="AR474" i="1" s="1"/>
  <c r="AL472" i="1"/>
  <c r="AL476" i="1"/>
  <c r="AM476" i="1" s="1"/>
  <c r="AR476" i="1" s="1"/>
  <c r="AL473" i="1"/>
  <c r="AM473" i="1" s="1"/>
  <c r="AR473" i="1" s="1"/>
  <c r="AL469" i="1"/>
  <c r="AM469" i="1" s="1"/>
  <c r="AR469" i="1" s="1"/>
  <c r="AL475" i="1"/>
  <c r="AM475" i="1" s="1"/>
  <c r="AR475" i="1" s="1"/>
  <c r="AA459" i="1"/>
  <c r="AB459" i="1" s="1"/>
  <c r="AA458" i="1"/>
  <c r="AB458" i="1" s="1"/>
  <c r="AA456" i="1"/>
  <c r="AB456" i="1" s="1"/>
  <c r="Z452" i="1"/>
  <c r="AD467" i="1"/>
  <c r="AE467" i="1" s="1"/>
  <c r="AF467" i="1" s="1"/>
  <c r="R445" i="1"/>
  <c r="U445" i="1" s="1"/>
  <c r="R446" i="1"/>
  <c r="U446" i="1" s="1"/>
  <c r="AC464" i="1"/>
  <c r="AD468" i="1"/>
  <c r="AE468" i="1" s="1"/>
  <c r="AF468" i="1" s="1"/>
  <c r="Z453" i="1"/>
  <c r="Z454" i="1"/>
  <c r="AC465" i="1"/>
  <c r="AC466" i="1"/>
  <c r="Z455" i="1"/>
  <c r="AA455" i="1" s="1"/>
  <c r="AB455" i="1" s="1"/>
  <c r="AA457" i="1"/>
  <c r="AB457" i="1" s="1"/>
  <c r="S101" i="24"/>
  <c r="T102" i="24"/>
  <c r="W103" i="24"/>
  <c r="U103" i="24"/>
  <c r="V103" i="24" s="1"/>
  <c r="AG104" i="24"/>
  <c r="AI104" i="24" s="1"/>
  <c r="AJ104" i="24" s="1"/>
  <c r="AV476" i="1" l="1"/>
  <c r="AV475" i="1" s="1"/>
  <c r="AV474" i="1" s="1"/>
  <c r="AV473" i="1" s="1"/>
  <c r="AV472" i="1" s="1"/>
  <c r="AM471" i="1"/>
  <c r="AM472" i="1"/>
  <c r="X452" i="1"/>
  <c r="W451" i="1"/>
  <c r="X451" i="1" s="1"/>
  <c r="AC456" i="1"/>
  <c r="X453" i="1"/>
  <c r="X454" i="1"/>
  <c r="W449" i="1"/>
  <c r="Z450" i="1"/>
  <c r="AG469" i="1"/>
  <c r="AG476" i="1"/>
  <c r="AG470" i="1"/>
  <c r="AG475" i="1"/>
  <c r="AG473" i="1"/>
  <c r="W450" i="1"/>
  <c r="W448" i="1"/>
  <c r="AG474" i="1"/>
  <c r="Z451" i="1"/>
  <c r="AA451" i="1" s="1"/>
  <c r="AB451" i="1" s="1"/>
  <c r="Z448" i="1"/>
  <c r="Z449" i="1"/>
  <c r="V447" i="1"/>
  <c r="W447" i="1" s="1"/>
  <c r="V444" i="1"/>
  <c r="R444" i="1"/>
  <c r="U444" i="1" s="1"/>
  <c r="R447" i="1"/>
  <c r="U447" i="1" s="1"/>
  <c r="AL467" i="1"/>
  <c r="AM467" i="1" s="1"/>
  <c r="AR467" i="1" s="1"/>
  <c r="AL468" i="1"/>
  <c r="AM468" i="1" s="1"/>
  <c r="AR468" i="1" s="1"/>
  <c r="AC463" i="1"/>
  <c r="AD463" i="1" s="1"/>
  <c r="AE463" i="1" s="1"/>
  <c r="AF463" i="1" s="1"/>
  <c r="AC459" i="1"/>
  <c r="AA453" i="1"/>
  <c r="AB453" i="1" s="1"/>
  <c r="AC458" i="1"/>
  <c r="AC460" i="1"/>
  <c r="AD465" i="1"/>
  <c r="AE465" i="1" s="1"/>
  <c r="AF465" i="1" s="1"/>
  <c r="AA452" i="1"/>
  <c r="AB452" i="1" s="1"/>
  <c r="Q441" i="1"/>
  <c r="Y441" i="1" s="1"/>
  <c r="Q443" i="1"/>
  <c r="Y443" i="1" s="1"/>
  <c r="Q442" i="1"/>
  <c r="Y442" i="1" s="1"/>
  <c r="Q440" i="1"/>
  <c r="Y440" i="1" s="1"/>
  <c r="AC462" i="1"/>
  <c r="AD466" i="1"/>
  <c r="AE466" i="1" s="1"/>
  <c r="AF466" i="1" s="1"/>
  <c r="AA454" i="1"/>
  <c r="AC461" i="1"/>
  <c r="Z445" i="1"/>
  <c r="AD464" i="1"/>
  <c r="AE464" i="1" s="1"/>
  <c r="AF464" i="1" s="1"/>
  <c r="AG103" i="24"/>
  <c r="AI103" i="24" s="1"/>
  <c r="AJ103" i="24" s="1"/>
  <c r="W102" i="24"/>
  <c r="U102" i="24"/>
  <c r="V102" i="24" s="1"/>
  <c r="T101" i="24"/>
  <c r="S100" i="24"/>
  <c r="AB454" i="1" l="1"/>
  <c r="AG472" i="1"/>
  <c r="AR472" i="1"/>
  <c r="AV471" i="1" s="1"/>
  <c r="AG471" i="1"/>
  <c r="AR471" i="1"/>
  <c r="X450" i="1"/>
  <c r="AA450" i="1"/>
  <c r="AB450" i="1" s="1"/>
  <c r="Z447" i="1"/>
  <c r="AA447" i="1" s="1"/>
  <c r="AB447" i="1" s="1"/>
  <c r="Z446" i="1"/>
  <c r="W444" i="1"/>
  <c r="Z444" i="1"/>
  <c r="AG467" i="1"/>
  <c r="X447" i="1"/>
  <c r="W445" i="1"/>
  <c r="X448" i="1"/>
  <c r="AA448" i="1"/>
  <c r="AG468" i="1"/>
  <c r="X449" i="1"/>
  <c r="W446" i="1"/>
  <c r="X446" i="1" s="1"/>
  <c r="AA449" i="1"/>
  <c r="V442" i="1"/>
  <c r="V443" i="1"/>
  <c r="W443" i="1" s="1"/>
  <c r="V441" i="1"/>
  <c r="V440" i="1"/>
  <c r="AL464" i="1"/>
  <c r="AM464" i="1" s="1"/>
  <c r="AR464" i="1" s="1"/>
  <c r="AL466" i="1"/>
  <c r="AM466" i="1" s="1"/>
  <c r="AR466" i="1" s="1"/>
  <c r="AL465" i="1"/>
  <c r="AM465" i="1" s="1"/>
  <c r="AR465" i="1" s="1"/>
  <c r="AL463" i="1"/>
  <c r="AM463" i="1" s="1"/>
  <c r="AR463" i="1" s="1"/>
  <c r="AD456" i="1"/>
  <c r="AE456" i="1" s="1"/>
  <c r="AF456" i="1" s="1"/>
  <c r="AC452" i="1"/>
  <c r="AD452" i="1" s="1"/>
  <c r="AE452" i="1" s="1"/>
  <c r="AF452" i="1" s="1"/>
  <c r="AC455" i="1"/>
  <c r="AD462" i="1"/>
  <c r="AE462" i="1" s="1"/>
  <c r="AF462" i="1" s="1"/>
  <c r="AD459" i="1"/>
  <c r="AE459" i="1" s="1"/>
  <c r="AF459" i="1" s="1"/>
  <c r="Q439" i="1"/>
  <c r="Y439" i="1" s="1"/>
  <c r="Q436" i="1"/>
  <c r="Y436" i="1" s="1"/>
  <c r="Q438" i="1"/>
  <c r="Y438" i="1" s="1"/>
  <c r="Q437" i="1"/>
  <c r="Y437" i="1" s="1"/>
  <c r="AC451" i="1"/>
  <c r="R440" i="1"/>
  <c r="U440" i="1" s="1"/>
  <c r="AC450" i="1"/>
  <c r="AD450" i="1" s="1"/>
  <c r="AE450" i="1" s="1"/>
  <c r="AF450" i="1" s="1"/>
  <c r="R442" i="1"/>
  <c r="U442" i="1" s="1"/>
  <c r="AD460" i="1"/>
  <c r="AE460" i="1" s="1"/>
  <c r="AF460" i="1" s="1"/>
  <c r="AC457" i="1"/>
  <c r="R443" i="1"/>
  <c r="U443" i="1" s="1"/>
  <c r="AD461" i="1"/>
  <c r="AE461" i="1" s="1"/>
  <c r="AF461" i="1" s="1"/>
  <c r="R441" i="1"/>
  <c r="U441" i="1" s="1"/>
  <c r="AD458" i="1"/>
  <c r="AE458" i="1" s="1"/>
  <c r="AF458" i="1" s="1"/>
  <c r="S99" i="24"/>
  <c r="T100" i="24"/>
  <c r="U101" i="24"/>
  <c r="V101" i="24" s="1"/>
  <c r="W101" i="24"/>
  <c r="AG102" i="24"/>
  <c r="AI102" i="24" s="1"/>
  <c r="AJ102" i="24" s="1"/>
  <c r="AB448" i="1" l="1"/>
  <c r="AB449" i="1"/>
  <c r="AA444" i="1"/>
  <c r="AV470" i="1"/>
  <c r="AV469" i="1" s="1"/>
  <c r="AV468" i="1" s="1"/>
  <c r="AV467" i="1" s="1"/>
  <c r="AV466" i="1" s="1"/>
  <c r="AV465" i="1" s="1"/>
  <c r="AV464" i="1" s="1"/>
  <c r="AV463" i="1" s="1"/>
  <c r="AV462" i="1" s="1"/>
  <c r="AA446" i="1"/>
  <c r="AB446" i="1" s="1"/>
  <c r="AC446" i="1" s="1"/>
  <c r="AA445" i="1"/>
  <c r="AB445" i="1" s="1"/>
  <c r="X443" i="1"/>
  <c r="Z443" i="1"/>
  <c r="AA443" i="1" s="1"/>
  <c r="AB443" i="1" s="1"/>
  <c r="AC448" i="1"/>
  <c r="W440" i="1"/>
  <c r="AG465" i="1"/>
  <c r="AG464" i="1"/>
  <c r="AG463" i="1"/>
  <c r="AG466" i="1"/>
  <c r="W441" i="1"/>
  <c r="W442" i="1"/>
  <c r="X442" i="1" s="1"/>
  <c r="X444" i="1"/>
  <c r="X445" i="1"/>
  <c r="V437" i="1"/>
  <c r="V438" i="1"/>
  <c r="V436" i="1"/>
  <c r="Z439" i="1"/>
  <c r="V439" i="1"/>
  <c r="W439" i="1" s="1"/>
  <c r="AL461" i="1"/>
  <c r="AM461" i="1" s="1"/>
  <c r="AR461" i="1" s="1"/>
  <c r="AL459" i="1"/>
  <c r="AM459" i="1" s="1"/>
  <c r="AR459" i="1" s="1"/>
  <c r="AL460" i="1"/>
  <c r="AM460" i="1" s="1"/>
  <c r="AR460" i="1" s="1"/>
  <c r="AL458" i="1"/>
  <c r="AM458" i="1" s="1"/>
  <c r="AR458" i="1" s="1"/>
  <c r="AL462" i="1"/>
  <c r="AM462" i="1" s="1"/>
  <c r="AR462" i="1" s="1"/>
  <c r="Z440" i="1"/>
  <c r="AD457" i="1"/>
  <c r="AE457" i="1" s="1"/>
  <c r="AF457" i="1" s="1"/>
  <c r="AG101" i="24"/>
  <c r="AI101" i="24" s="1"/>
  <c r="AJ101" i="24" s="1"/>
  <c r="Z441" i="1"/>
  <c r="Z442" i="1"/>
  <c r="AD451" i="1"/>
  <c r="AE451" i="1" s="1"/>
  <c r="AF451" i="1" s="1"/>
  <c r="AC453" i="1"/>
  <c r="AC454" i="1"/>
  <c r="R437" i="1"/>
  <c r="U437" i="1" s="1"/>
  <c r="R438" i="1"/>
  <c r="U438" i="1" s="1"/>
  <c r="AC449" i="1"/>
  <c r="AD455" i="1"/>
  <c r="AE455" i="1" s="1"/>
  <c r="AF455" i="1" s="1"/>
  <c r="R436" i="1"/>
  <c r="U436" i="1" s="1"/>
  <c r="Q431" i="1"/>
  <c r="Y431" i="1" s="1"/>
  <c r="Q434" i="1"/>
  <c r="Y434" i="1" s="1"/>
  <c r="Q433" i="1"/>
  <c r="Y433" i="1" s="1"/>
  <c r="Q435" i="1"/>
  <c r="Y435" i="1" s="1"/>
  <c r="Q432" i="1"/>
  <c r="Y432" i="1" s="1"/>
  <c r="AC447" i="1"/>
  <c r="R439" i="1"/>
  <c r="U439" i="1" s="1"/>
  <c r="W100" i="24"/>
  <c r="U100" i="24"/>
  <c r="V100" i="24" s="1"/>
  <c r="T99" i="24"/>
  <c r="S98" i="24"/>
  <c r="AV461" i="1" l="1"/>
  <c r="AV460" i="1" s="1"/>
  <c r="AV459" i="1" s="1"/>
  <c r="AV458" i="1" s="1"/>
  <c r="AV457" i="1" s="1"/>
  <c r="AB444" i="1"/>
  <c r="AA442" i="1"/>
  <c r="AB442" i="1" s="1"/>
  <c r="AC445" i="1"/>
  <c r="AD445" i="1" s="1"/>
  <c r="AE445" i="1" s="1"/>
  <c r="AF445" i="1" s="1"/>
  <c r="W436" i="1"/>
  <c r="AG459" i="1"/>
  <c r="X441" i="1"/>
  <c r="W437" i="1"/>
  <c r="AG458" i="1"/>
  <c r="AG461" i="1"/>
  <c r="AG462" i="1"/>
  <c r="X439" i="1"/>
  <c r="W438" i="1"/>
  <c r="X438" i="1" s="1"/>
  <c r="AG460" i="1"/>
  <c r="X440" i="1"/>
  <c r="V431" i="1"/>
  <c r="V432" i="1"/>
  <c r="V435" i="1"/>
  <c r="W435" i="1" s="1"/>
  <c r="V434" i="1"/>
  <c r="V433" i="1"/>
  <c r="AL457" i="1"/>
  <c r="AM457" i="1" s="1"/>
  <c r="AR457" i="1" s="1"/>
  <c r="AL456" i="1"/>
  <c r="AL455" i="1"/>
  <c r="AM455" i="1" s="1"/>
  <c r="AR455" i="1" s="1"/>
  <c r="AA439" i="1"/>
  <c r="AB439" i="1" s="1"/>
  <c r="AA440" i="1"/>
  <c r="AB440" i="1" s="1"/>
  <c r="Z437" i="1"/>
  <c r="AC444" i="1"/>
  <c r="R431" i="1"/>
  <c r="U431" i="1" s="1"/>
  <c r="AD447" i="1"/>
  <c r="AE447" i="1" s="1"/>
  <c r="AF447" i="1" s="1"/>
  <c r="Z436" i="1"/>
  <c r="Z438" i="1"/>
  <c r="AA438" i="1" s="1"/>
  <c r="AB438" i="1" s="1"/>
  <c r="AC443" i="1"/>
  <c r="AA441" i="1"/>
  <c r="AB441" i="1" s="1"/>
  <c r="AD448" i="1"/>
  <c r="AE448" i="1" s="1"/>
  <c r="AF448" i="1" s="1"/>
  <c r="AD446" i="1"/>
  <c r="AE446" i="1" s="1"/>
  <c r="AF446" i="1" s="1"/>
  <c r="Q428" i="1"/>
  <c r="Y428" i="1" s="1"/>
  <c r="Q430" i="1"/>
  <c r="Y430" i="1" s="1"/>
  <c r="Q429" i="1"/>
  <c r="Y429" i="1" s="1"/>
  <c r="Q427" i="1"/>
  <c r="Y427" i="1" s="1"/>
  <c r="R432" i="1"/>
  <c r="U432" i="1" s="1"/>
  <c r="R435" i="1"/>
  <c r="U435" i="1" s="1"/>
  <c r="AD454" i="1"/>
  <c r="AE454" i="1" s="1"/>
  <c r="AF454" i="1" s="1"/>
  <c r="AD453" i="1"/>
  <c r="AE453" i="1" s="1"/>
  <c r="AF453" i="1" s="1"/>
  <c r="R433" i="1"/>
  <c r="U433" i="1" s="1"/>
  <c r="AD449" i="1"/>
  <c r="AE449" i="1" s="1"/>
  <c r="AF449" i="1" s="1"/>
  <c r="R434" i="1"/>
  <c r="U434" i="1" s="1"/>
  <c r="W99" i="24"/>
  <c r="U99" i="24"/>
  <c r="V99" i="24" s="1"/>
  <c r="S97" i="24"/>
  <c r="T98" i="24"/>
  <c r="AG100" i="24"/>
  <c r="AI100" i="24" s="1"/>
  <c r="AJ100" i="24" s="1"/>
  <c r="AV456" i="1" l="1"/>
  <c r="AM456" i="1"/>
  <c r="AC439" i="1"/>
  <c r="AD439" i="1" s="1"/>
  <c r="Z435" i="1"/>
  <c r="AC441" i="1"/>
  <c r="AD441" i="1" s="1"/>
  <c r="AE441" i="1" s="1"/>
  <c r="AF441" i="1" s="1"/>
  <c r="AG457" i="1"/>
  <c r="W433" i="1"/>
  <c r="W434" i="1"/>
  <c r="X434" i="1" s="1"/>
  <c r="W432" i="1"/>
  <c r="X437" i="1"/>
  <c r="X436" i="1"/>
  <c r="AG455" i="1"/>
  <c r="X435" i="1"/>
  <c r="W431" i="1"/>
  <c r="V427" i="1"/>
  <c r="V429" i="1"/>
  <c r="V430" i="1"/>
  <c r="W430" i="1" s="1"/>
  <c r="V428" i="1"/>
  <c r="AL451" i="1"/>
  <c r="AL448" i="1"/>
  <c r="AM448" i="1" s="1"/>
  <c r="AR448" i="1" s="1"/>
  <c r="AL447" i="1"/>
  <c r="AM447" i="1" s="1"/>
  <c r="AR447" i="1" s="1"/>
  <c r="AL449" i="1"/>
  <c r="AM449" i="1" s="1"/>
  <c r="AR449" i="1" s="1"/>
  <c r="AL453" i="1"/>
  <c r="AM453" i="1" s="1"/>
  <c r="AR453" i="1" s="1"/>
  <c r="AL452" i="1"/>
  <c r="AL445" i="1"/>
  <c r="AM445" i="1" s="1"/>
  <c r="AR445" i="1" s="1"/>
  <c r="AL454" i="1"/>
  <c r="AM454" i="1" s="1"/>
  <c r="AR454" i="1" s="1"/>
  <c r="AL446" i="1"/>
  <c r="AM446" i="1" s="1"/>
  <c r="AR446" i="1" s="1"/>
  <c r="AL450" i="1"/>
  <c r="AA435" i="1"/>
  <c r="AB435" i="1" s="1"/>
  <c r="AA436" i="1"/>
  <c r="AB436" i="1" s="1"/>
  <c r="Q426" i="1"/>
  <c r="Y426" i="1" s="1"/>
  <c r="Q425" i="1"/>
  <c r="Y425" i="1" s="1"/>
  <c r="Q424" i="1"/>
  <c r="Y424" i="1" s="1"/>
  <c r="Q423" i="1"/>
  <c r="Y423" i="1" s="1"/>
  <c r="R427" i="1"/>
  <c r="U427" i="1" s="1"/>
  <c r="R429" i="1"/>
  <c r="U429" i="1" s="1"/>
  <c r="R430" i="1"/>
  <c r="U430" i="1" s="1"/>
  <c r="AD444" i="1"/>
  <c r="AE444" i="1" s="1"/>
  <c r="AF444" i="1" s="1"/>
  <c r="R428" i="1"/>
  <c r="U428" i="1" s="1"/>
  <c r="AD443" i="1"/>
  <c r="AE443" i="1" s="1"/>
  <c r="AF443" i="1" s="1"/>
  <c r="AC442" i="1"/>
  <c r="AA437" i="1"/>
  <c r="AB437" i="1" s="1"/>
  <c r="Z433" i="1"/>
  <c r="Z432" i="1"/>
  <c r="Z434" i="1"/>
  <c r="AA434" i="1" s="1"/>
  <c r="AB434" i="1" s="1"/>
  <c r="AC440" i="1"/>
  <c r="Z431" i="1"/>
  <c r="W98" i="24"/>
  <c r="U98" i="24"/>
  <c r="V98" i="24" s="1"/>
  <c r="T97" i="24"/>
  <c r="S96" i="24"/>
  <c r="AG99" i="24"/>
  <c r="AI99" i="24" s="1"/>
  <c r="AJ99" i="24" s="1"/>
  <c r="AV455" i="1" l="1"/>
  <c r="AV454" i="1" s="1"/>
  <c r="AV453" i="1" s="1"/>
  <c r="AV452" i="1" s="1"/>
  <c r="AG456" i="1"/>
  <c r="AR456" i="1"/>
  <c r="AM452" i="1"/>
  <c r="AM450" i="1"/>
  <c r="AM451" i="1"/>
  <c r="W428" i="1"/>
  <c r="Z430" i="1"/>
  <c r="AA430" i="1" s="1"/>
  <c r="AB430" i="1" s="1"/>
  <c r="AC436" i="1"/>
  <c r="AD436" i="1" s="1"/>
  <c r="AE436" i="1" s="1"/>
  <c r="AF436" i="1" s="1"/>
  <c r="W429" i="1"/>
  <c r="X429" i="1" s="1"/>
  <c r="AG453" i="1"/>
  <c r="AG447" i="1"/>
  <c r="AG446" i="1"/>
  <c r="AG445" i="1"/>
  <c r="AG449" i="1"/>
  <c r="AG448" i="1"/>
  <c r="X430" i="1"/>
  <c r="W427" i="1"/>
  <c r="X433" i="1"/>
  <c r="AG454" i="1"/>
  <c r="X431" i="1"/>
  <c r="X432" i="1"/>
  <c r="Z426" i="1"/>
  <c r="V426" i="1"/>
  <c r="W426" i="1" s="1"/>
  <c r="V423" i="1"/>
  <c r="V424" i="1"/>
  <c r="V425" i="1"/>
  <c r="AL444" i="1"/>
  <c r="AM444" i="1" s="1"/>
  <c r="AR444" i="1" s="1"/>
  <c r="AL443" i="1"/>
  <c r="AM443" i="1" s="1"/>
  <c r="AR443" i="1" s="1"/>
  <c r="AE439" i="1"/>
  <c r="AF439" i="1" s="1"/>
  <c r="AA431" i="1"/>
  <c r="AB431" i="1" s="1"/>
  <c r="Z427" i="1"/>
  <c r="Z429" i="1"/>
  <c r="AD442" i="1"/>
  <c r="AE442" i="1" s="1"/>
  <c r="AF442" i="1" s="1"/>
  <c r="R423" i="1"/>
  <c r="U423" i="1" s="1"/>
  <c r="R424" i="1"/>
  <c r="U424" i="1" s="1"/>
  <c r="R425" i="1"/>
  <c r="U425" i="1" s="1"/>
  <c r="AC438" i="1"/>
  <c r="R426" i="1"/>
  <c r="U426" i="1" s="1"/>
  <c r="AD440" i="1"/>
  <c r="AE440" i="1" s="1"/>
  <c r="AF440" i="1" s="1"/>
  <c r="AA432" i="1"/>
  <c r="AB432" i="1" s="1"/>
  <c r="Q422" i="1"/>
  <c r="Y422" i="1" s="1"/>
  <c r="Q421" i="1"/>
  <c r="Y421" i="1" s="1"/>
  <c r="Q418" i="1"/>
  <c r="Y418" i="1" s="1"/>
  <c r="Q419" i="1"/>
  <c r="Y419" i="1" s="1"/>
  <c r="Q420" i="1"/>
  <c r="Y420" i="1" s="1"/>
  <c r="AA433" i="1"/>
  <c r="AB433" i="1" s="1"/>
  <c r="Z428" i="1"/>
  <c r="AC435" i="1"/>
  <c r="S95" i="24"/>
  <c r="T96" i="24"/>
  <c r="U97" i="24"/>
  <c r="V97" i="24" s="1"/>
  <c r="W97" i="24"/>
  <c r="AG98" i="24"/>
  <c r="AI98" i="24" s="1"/>
  <c r="AJ98" i="24" s="1"/>
  <c r="AA429" i="1" l="1"/>
  <c r="AB429" i="1" s="1"/>
  <c r="AG451" i="1"/>
  <c r="AR451" i="1"/>
  <c r="AG450" i="1"/>
  <c r="AR450" i="1"/>
  <c r="AG452" i="1"/>
  <c r="AR452" i="1"/>
  <c r="AV451" i="1" s="1"/>
  <c r="AV450" i="1" s="1"/>
  <c r="AV449" i="1" s="1"/>
  <c r="AV448" i="1" s="1"/>
  <c r="AV447" i="1" s="1"/>
  <c r="AV446" i="1" s="1"/>
  <c r="AV445" i="1" s="1"/>
  <c r="AV444" i="1" s="1"/>
  <c r="AV443" i="1" s="1"/>
  <c r="AV442" i="1" s="1"/>
  <c r="AV441" i="1" s="1"/>
  <c r="X426" i="1"/>
  <c r="X428" i="1"/>
  <c r="W425" i="1"/>
  <c r="X425" i="1" s="1"/>
  <c r="X427" i="1"/>
  <c r="AG443" i="1"/>
  <c r="W423" i="1"/>
  <c r="W424" i="1"/>
  <c r="AG444" i="1"/>
  <c r="V420" i="1"/>
  <c r="V419" i="1"/>
  <c r="V418" i="1"/>
  <c r="V421" i="1"/>
  <c r="Z422" i="1"/>
  <c r="V422" i="1"/>
  <c r="W422" i="1" s="1"/>
  <c r="AL441" i="1"/>
  <c r="AL440" i="1"/>
  <c r="AM440" i="1" s="1"/>
  <c r="AR440" i="1" s="1"/>
  <c r="AL439" i="1"/>
  <c r="AM439" i="1" s="1"/>
  <c r="AR439" i="1" s="1"/>
  <c r="AL442" i="1"/>
  <c r="AM442" i="1" s="1"/>
  <c r="AR442" i="1" s="1"/>
  <c r="AC431" i="1"/>
  <c r="AD431" i="1" s="1"/>
  <c r="AE431" i="1" s="1"/>
  <c r="AF431" i="1" s="1"/>
  <c r="AA428" i="1"/>
  <c r="AB428" i="1" s="1"/>
  <c r="AA426" i="1"/>
  <c r="R418" i="1"/>
  <c r="U418" i="1" s="1"/>
  <c r="AA427" i="1"/>
  <c r="AB427" i="1" s="1"/>
  <c r="AC437" i="1"/>
  <c r="AD435" i="1"/>
  <c r="AE435" i="1" s="1"/>
  <c r="AF435" i="1" s="1"/>
  <c r="AD438" i="1"/>
  <c r="AE438" i="1" s="1"/>
  <c r="AF438" i="1" s="1"/>
  <c r="AC434" i="1"/>
  <c r="R420" i="1"/>
  <c r="U420" i="1" s="1"/>
  <c r="Z424" i="1"/>
  <c r="Q416" i="1"/>
  <c r="Y416" i="1" s="1"/>
  <c r="Q417" i="1"/>
  <c r="Y417" i="1" s="1"/>
  <c r="Q415" i="1"/>
  <c r="Y415" i="1" s="1"/>
  <c r="Q414" i="1"/>
  <c r="Y414" i="1" s="1"/>
  <c r="R419" i="1"/>
  <c r="U419" i="1" s="1"/>
  <c r="R421" i="1"/>
  <c r="U421" i="1" s="1"/>
  <c r="Z425" i="1"/>
  <c r="AA425" i="1" s="1"/>
  <c r="AB425" i="1" s="1"/>
  <c r="R422" i="1"/>
  <c r="U422" i="1" s="1"/>
  <c r="Z423" i="1"/>
  <c r="AG97" i="24"/>
  <c r="AI97" i="24" s="1"/>
  <c r="AJ97" i="24" s="1"/>
  <c r="W96" i="24"/>
  <c r="U96" i="24"/>
  <c r="V96" i="24" s="1"/>
  <c r="T95" i="24"/>
  <c r="S94" i="24"/>
  <c r="AB426" i="1" l="1"/>
  <c r="AM441" i="1"/>
  <c r="X424" i="1"/>
  <c r="X422" i="1"/>
  <c r="W421" i="1"/>
  <c r="X421" i="1" s="1"/>
  <c r="X423" i="1"/>
  <c r="AG440" i="1"/>
  <c r="AG439" i="1"/>
  <c r="W418" i="1"/>
  <c r="W420" i="1"/>
  <c r="AG442" i="1"/>
  <c r="W419" i="1"/>
  <c r="V414" i="1"/>
  <c r="V415" i="1"/>
  <c r="V417" i="1"/>
  <c r="W417" i="1" s="1"/>
  <c r="V416" i="1"/>
  <c r="AL438" i="1"/>
  <c r="AM438" i="1" s="1"/>
  <c r="AR438" i="1" s="1"/>
  <c r="Z421" i="1"/>
  <c r="AA421" i="1" s="1"/>
  <c r="R415" i="1"/>
  <c r="U415" i="1" s="1"/>
  <c r="AD437" i="1"/>
  <c r="AE437" i="1" s="1"/>
  <c r="AF437" i="1" s="1"/>
  <c r="R417" i="1"/>
  <c r="U417" i="1" s="1"/>
  <c r="AC429" i="1"/>
  <c r="R416" i="1"/>
  <c r="U416" i="1" s="1"/>
  <c r="AG96" i="24"/>
  <c r="AI96" i="24" s="1"/>
  <c r="AJ96" i="24" s="1"/>
  <c r="Z419" i="1"/>
  <c r="AA424" i="1"/>
  <c r="AB424" i="1" s="1"/>
  <c r="Q413" i="1"/>
  <c r="Y413" i="1" s="1"/>
  <c r="Q410" i="1"/>
  <c r="Y410" i="1" s="1"/>
  <c r="Q409" i="1"/>
  <c r="Y409" i="1" s="1"/>
  <c r="Q411" i="1"/>
  <c r="Y411" i="1" s="1"/>
  <c r="Q412" i="1"/>
  <c r="Y412" i="1" s="1"/>
  <c r="Z420" i="1"/>
  <c r="AC432" i="1"/>
  <c r="AC433" i="1"/>
  <c r="AC428" i="1"/>
  <c r="AA423" i="1"/>
  <c r="AC430" i="1"/>
  <c r="AD434" i="1"/>
  <c r="AE434" i="1" s="1"/>
  <c r="AF434" i="1" s="1"/>
  <c r="Z418" i="1"/>
  <c r="AA422" i="1"/>
  <c r="AB422" i="1" s="1"/>
  <c r="R414" i="1"/>
  <c r="U414" i="1" s="1"/>
  <c r="W95" i="24"/>
  <c r="U95" i="24"/>
  <c r="V95" i="24" s="1"/>
  <c r="S93" i="24"/>
  <c r="T94" i="24"/>
  <c r="AB421" i="1" l="1"/>
  <c r="AB423" i="1"/>
  <c r="AG441" i="1"/>
  <c r="AR441" i="1"/>
  <c r="AV440" i="1" s="1"/>
  <c r="AV439" i="1" s="1"/>
  <c r="AV438" i="1" s="1"/>
  <c r="AV437" i="1" s="1"/>
  <c r="X420" i="1"/>
  <c r="X417" i="1"/>
  <c r="W414" i="1"/>
  <c r="Z417" i="1"/>
  <c r="AA417" i="1" s="1"/>
  <c r="AB417" i="1" s="1"/>
  <c r="AG438" i="1"/>
  <c r="X418" i="1"/>
  <c r="W416" i="1"/>
  <c r="X416" i="1" s="1"/>
  <c r="W415" i="1"/>
  <c r="X419" i="1"/>
  <c r="V413" i="1"/>
  <c r="W413" i="1" s="1"/>
  <c r="V412" i="1"/>
  <c r="V411" i="1"/>
  <c r="V409" i="1"/>
  <c r="V410" i="1"/>
  <c r="AL435" i="1"/>
  <c r="AL437" i="1"/>
  <c r="AM437" i="1" s="1"/>
  <c r="AR437" i="1" s="1"/>
  <c r="AL436" i="1"/>
  <c r="AL434" i="1"/>
  <c r="AM434" i="1" s="1"/>
  <c r="AR434" i="1" s="1"/>
  <c r="Z414" i="1"/>
  <c r="AA420" i="1"/>
  <c r="AB420" i="1" s="1"/>
  <c r="Z416" i="1"/>
  <c r="AA418" i="1"/>
  <c r="AB418" i="1" s="1"/>
  <c r="R413" i="1"/>
  <c r="U413" i="1" s="1"/>
  <c r="AD432" i="1"/>
  <c r="AE432" i="1" s="1"/>
  <c r="AF432" i="1" s="1"/>
  <c r="AC425" i="1"/>
  <c r="AD430" i="1"/>
  <c r="AE430" i="1" s="1"/>
  <c r="AF430" i="1" s="1"/>
  <c r="AA419" i="1"/>
  <c r="AB419" i="1" s="1"/>
  <c r="AD428" i="1"/>
  <c r="AE428" i="1" s="1"/>
  <c r="AF428" i="1" s="1"/>
  <c r="Q407" i="1"/>
  <c r="Y407" i="1" s="1"/>
  <c r="Q408" i="1"/>
  <c r="Y408" i="1" s="1"/>
  <c r="Q406" i="1"/>
  <c r="Y406" i="1" s="1"/>
  <c r="Q405" i="1"/>
  <c r="Y405" i="1" s="1"/>
  <c r="AC421" i="1"/>
  <c r="R412" i="1"/>
  <c r="U412" i="1" s="1"/>
  <c r="AD429" i="1"/>
  <c r="AE429" i="1" s="1"/>
  <c r="AF429" i="1" s="1"/>
  <c r="Z415" i="1"/>
  <c r="AG95" i="24"/>
  <c r="AI95" i="24" s="1"/>
  <c r="AJ95" i="24" s="1"/>
  <c r="AD433" i="1"/>
  <c r="AE433" i="1" s="1"/>
  <c r="AF433" i="1" s="1"/>
  <c r="R411" i="1"/>
  <c r="U411" i="1" s="1"/>
  <c r="AC426" i="1"/>
  <c r="R409" i="1"/>
  <c r="U409" i="1" s="1"/>
  <c r="R410" i="1"/>
  <c r="U410" i="1" s="1"/>
  <c r="AC427" i="1"/>
  <c r="W94" i="24"/>
  <c r="U94" i="24"/>
  <c r="V94" i="24" s="1"/>
  <c r="T93" i="24"/>
  <c r="S92" i="24"/>
  <c r="AA416" i="1" l="1"/>
  <c r="AB416" i="1"/>
  <c r="AV436" i="1"/>
  <c r="W412" i="1"/>
  <c r="X412" i="1" s="1"/>
  <c r="AM435" i="1"/>
  <c r="AM436" i="1"/>
  <c r="X415" i="1"/>
  <c r="X413" i="1"/>
  <c r="Z413" i="1"/>
  <c r="AA413" i="1" s="1"/>
  <c r="W409" i="1"/>
  <c r="AC418" i="1"/>
  <c r="AG437" i="1"/>
  <c r="AG434" i="1"/>
  <c r="W410" i="1"/>
  <c r="W411" i="1"/>
  <c r="X411" i="1" s="1"/>
  <c r="X414" i="1"/>
  <c r="V406" i="1"/>
  <c r="V408" i="1"/>
  <c r="W408" i="1" s="1"/>
  <c r="V407" i="1"/>
  <c r="V405" i="1"/>
  <c r="AL432" i="1"/>
  <c r="AM432" i="1" s="1"/>
  <c r="AR432" i="1" s="1"/>
  <c r="AL431" i="1"/>
  <c r="AL433" i="1"/>
  <c r="AM433" i="1" s="1"/>
  <c r="AR433" i="1" s="1"/>
  <c r="AL428" i="1"/>
  <c r="AM428" i="1" s="1"/>
  <c r="AR428" i="1" s="1"/>
  <c r="AL429" i="1"/>
  <c r="AM429" i="1" s="1"/>
  <c r="AR429" i="1" s="1"/>
  <c r="AL430" i="1"/>
  <c r="AM430" i="1" s="1"/>
  <c r="AR430" i="1" s="1"/>
  <c r="AA415" i="1"/>
  <c r="AB415" i="1" s="1"/>
  <c r="Z410" i="1"/>
  <c r="Z411" i="1"/>
  <c r="Z412" i="1"/>
  <c r="AD425" i="1"/>
  <c r="AE425" i="1" s="1"/>
  <c r="AF425" i="1" s="1"/>
  <c r="AD426" i="1"/>
  <c r="AE426" i="1" s="1"/>
  <c r="AF426" i="1" s="1"/>
  <c r="R405" i="1"/>
  <c r="U405" i="1" s="1"/>
  <c r="R406" i="1"/>
  <c r="U406" i="1" s="1"/>
  <c r="R408" i="1"/>
  <c r="U408" i="1" s="1"/>
  <c r="AC423" i="1"/>
  <c r="AC424" i="1"/>
  <c r="R407" i="1"/>
  <c r="U407" i="1" s="1"/>
  <c r="AC417" i="1"/>
  <c r="AD417" i="1" s="1"/>
  <c r="AE417" i="1" s="1"/>
  <c r="AF417" i="1" s="1"/>
  <c r="AC420" i="1"/>
  <c r="AD427" i="1"/>
  <c r="AE427" i="1" s="1"/>
  <c r="AF427" i="1" s="1"/>
  <c r="Z409" i="1"/>
  <c r="Q402" i="1"/>
  <c r="Y402" i="1" s="1"/>
  <c r="Q401" i="1"/>
  <c r="Y401" i="1" s="1"/>
  <c r="Q403" i="1"/>
  <c r="Y403" i="1" s="1"/>
  <c r="Q404" i="1"/>
  <c r="Y404" i="1" s="1"/>
  <c r="AD421" i="1"/>
  <c r="AE421" i="1" s="1"/>
  <c r="AF421" i="1" s="1"/>
  <c r="AA414" i="1"/>
  <c r="AB414" i="1" s="1"/>
  <c r="AC422" i="1"/>
  <c r="W93" i="24"/>
  <c r="U93" i="24"/>
  <c r="V93" i="24" s="1"/>
  <c r="S91" i="24"/>
  <c r="T92" i="24"/>
  <c r="AG94" i="24"/>
  <c r="AI94" i="24" s="1"/>
  <c r="AJ94" i="24" s="1"/>
  <c r="AB413" i="1" l="1"/>
  <c r="AG436" i="1"/>
  <c r="AR436" i="1"/>
  <c r="AG435" i="1"/>
  <c r="AR435" i="1"/>
  <c r="AV435" i="1"/>
  <c r="AV434" i="1" s="1"/>
  <c r="AV433" i="1" s="1"/>
  <c r="AV432" i="1" s="1"/>
  <c r="AV431" i="1" s="1"/>
  <c r="AM431" i="1"/>
  <c r="AA412" i="1"/>
  <c r="AB412" i="1" s="1"/>
  <c r="AC412" i="1" s="1"/>
  <c r="X408" i="1"/>
  <c r="X409" i="1"/>
  <c r="W407" i="1"/>
  <c r="X407" i="1" s="1"/>
  <c r="X410" i="1"/>
  <c r="Z408" i="1"/>
  <c r="AA408" i="1" s="1"/>
  <c r="AG430" i="1"/>
  <c r="AG428" i="1"/>
  <c r="AG429" i="1"/>
  <c r="AG433" i="1"/>
  <c r="AG432" i="1"/>
  <c r="W406" i="1"/>
  <c r="W405" i="1"/>
  <c r="V403" i="1"/>
  <c r="V402" i="1"/>
  <c r="V401" i="1"/>
  <c r="V404" i="1"/>
  <c r="W404" i="1" s="1"/>
  <c r="AL426" i="1"/>
  <c r="AM426" i="1" s="1"/>
  <c r="AR426" i="1" s="1"/>
  <c r="AL425" i="1"/>
  <c r="AM425" i="1" s="1"/>
  <c r="AR425" i="1" s="1"/>
  <c r="AL427" i="1"/>
  <c r="AM427" i="1" s="1"/>
  <c r="AR427" i="1" s="1"/>
  <c r="AA409" i="1"/>
  <c r="AB409" i="1" s="1"/>
  <c r="AC415" i="1"/>
  <c r="AD415" i="1" s="1"/>
  <c r="AE415" i="1" s="1"/>
  <c r="AF415" i="1" s="1"/>
  <c r="Z405" i="1"/>
  <c r="Z406" i="1"/>
  <c r="AA411" i="1"/>
  <c r="AB411" i="1" s="1"/>
  <c r="AA410" i="1"/>
  <c r="AB410" i="1" s="1"/>
  <c r="AD418" i="1"/>
  <c r="AE418" i="1" s="1"/>
  <c r="AF418" i="1" s="1"/>
  <c r="AD422" i="1"/>
  <c r="AE422" i="1" s="1"/>
  <c r="AF422" i="1" s="1"/>
  <c r="AD424" i="1"/>
  <c r="AE424" i="1" s="1"/>
  <c r="AF424" i="1" s="1"/>
  <c r="R401" i="1"/>
  <c r="U401" i="1" s="1"/>
  <c r="Q400" i="1"/>
  <c r="Y400" i="1" s="1"/>
  <c r="Q399" i="1"/>
  <c r="Y399" i="1" s="1"/>
  <c r="Q396" i="1"/>
  <c r="Y396" i="1" s="1"/>
  <c r="Q398" i="1"/>
  <c r="Y398" i="1" s="1"/>
  <c r="Q397" i="1"/>
  <c r="Y397" i="1" s="1"/>
  <c r="R402" i="1"/>
  <c r="U402" i="1" s="1"/>
  <c r="Z407" i="1"/>
  <c r="AD423" i="1"/>
  <c r="AE423" i="1" s="1"/>
  <c r="AF423" i="1" s="1"/>
  <c r="AC416" i="1"/>
  <c r="R404" i="1"/>
  <c r="U404" i="1" s="1"/>
  <c r="AD420" i="1"/>
  <c r="AE420" i="1" s="1"/>
  <c r="AF420" i="1" s="1"/>
  <c r="R403" i="1"/>
  <c r="U403" i="1" s="1"/>
  <c r="AC419" i="1"/>
  <c r="T91" i="24"/>
  <c r="S90" i="24"/>
  <c r="W92" i="24"/>
  <c r="U92" i="24"/>
  <c r="V92" i="24" s="1"/>
  <c r="AG93" i="24"/>
  <c r="AI93" i="24" s="1"/>
  <c r="AJ93" i="24" s="1"/>
  <c r="AG431" i="1" l="1"/>
  <c r="AR431" i="1"/>
  <c r="AV430" i="1"/>
  <c r="AV429" i="1" s="1"/>
  <c r="AV428" i="1" s="1"/>
  <c r="AV427" i="1" s="1"/>
  <c r="AV426" i="1" s="1"/>
  <c r="AV425" i="1" s="1"/>
  <c r="AV424" i="1" s="1"/>
  <c r="AB408" i="1"/>
  <c r="AA407" i="1"/>
  <c r="AB407" i="1" s="1"/>
  <c r="X406" i="1"/>
  <c r="X405" i="1"/>
  <c r="Z404" i="1"/>
  <c r="AA404" i="1" s="1"/>
  <c r="AB404" i="1" s="1"/>
  <c r="AC410" i="1"/>
  <c r="AD410" i="1" s="1"/>
  <c r="AE410" i="1" s="1"/>
  <c r="AF410" i="1" s="1"/>
  <c r="AG425" i="1"/>
  <c r="X404" i="1"/>
  <c r="W402" i="1"/>
  <c r="AG427" i="1"/>
  <c r="AG426" i="1"/>
  <c r="W401" i="1"/>
  <c r="W403" i="1"/>
  <c r="X403" i="1" s="1"/>
  <c r="V399" i="1"/>
  <c r="V400" i="1"/>
  <c r="W400" i="1" s="1"/>
  <c r="V397" i="1"/>
  <c r="V396" i="1"/>
  <c r="V398" i="1"/>
  <c r="AL423" i="1"/>
  <c r="AM423" i="1" s="1"/>
  <c r="AR423" i="1" s="1"/>
  <c r="AL424" i="1"/>
  <c r="AM424" i="1" s="1"/>
  <c r="AR424" i="1" s="1"/>
  <c r="AL422" i="1"/>
  <c r="AM422" i="1" s="1"/>
  <c r="AR422" i="1" s="1"/>
  <c r="AL420" i="1"/>
  <c r="AM420" i="1" s="1"/>
  <c r="AR420" i="1" s="1"/>
  <c r="AL421" i="1"/>
  <c r="AC411" i="1"/>
  <c r="AD411" i="1" s="1"/>
  <c r="AE411" i="1" s="1"/>
  <c r="AF411" i="1" s="1"/>
  <c r="Z403" i="1"/>
  <c r="AC407" i="1"/>
  <c r="AD407" i="1" s="1"/>
  <c r="R399" i="1"/>
  <c r="U399" i="1" s="1"/>
  <c r="AA405" i="1"/>
  <c r="AB405" i="1" s="1"/>
  <c r="R400" i="1"/>
  <c r="U400" i="1" s="1"/>
  <c r="AC413" i="1"/>
  <c r="Z402" i="1"/>
  <c r="AD419" i="1"/>
  <c r="AE419" i="1" s="1"/>
  <c r="AF419" i="1" s="1"/>
  <c r="AC414" i="1"/>
  <c r="AA406" i="1"/>
  <c r="AB406" i="1" s="1"/>
  <c r="Q394" i="1"/>
  <c r="Y394" i="1" s="1"/>
  <c r="Q392" i="1"/>
  <c r="Y392" i="1" s="1"/>
  <c r="Q393" i="1"/>
  <c r="Y393" i="1" s="1"/>
  <c r="Q395" i="1"/>
  <c r="Y395" i="1" s="1"/>
  <c r="R397" i="1"/>
  <c r="U397" i="1" s="1"/>
  <c r="AC409" i="1"/>
  <c r="R398" i="1"/>
  <c r="U398" i="1" s="1"/>
  <c r="Z401" i="1"/>
  <c r="AD416" i="1"/>
  <c r="AE416" i="1" s="1"/>
  <c r="AF416" i="1" s="1"/>
  <c r="AD412" i="1"/>
  <c r="AE412" i="1" s="1"/>
  <c r="AF412" i="1" s="1"/>
  <c r="R396" i="1"/>
  <c r="U396" i="1" s="1"/>
  <c r="S89" i="24"/>
  <c r="T90" i="24"/>
  <c r="AG92" i="24"/>
  <c r="AI92" i="24" s="1"/>
  <c r="AJ92" i="24" s="1"/>
  <c r="W91" i="24"/>
  <c r="U91" i="24"/>
  <c r="V91" i="24" s="1"/>
  <c r="AA403" i="1" l="1"/>
  <c r="AB403" i="1" s="1"/>
  <c r="AC403" i="1" s="1"/>
  <c r="AV423" i="1"/>
  <c r="AV422" i="1" s="1"/>
  <c r="AV421" i="1" s="1"/>
  <c r="AM421" i="1"/>
  <c r="W398" i="1"/>
  <c r="W397" i="1"/>
  <c r="W399" i="1"/>
  <c r="X399" i="1" s="1"/>
  <c r="X402" i="1"/>
  <c r="Z400" i="1"/>
  <c r="AA400" i="1" s="1"/>
  <c r="AG424" i="1"/>
  <c r="W396" i="1"/>
  <c r="X400" i="1"/>
  <c r="AG420" i="1"/>
  <c r="AG422" i="1"/>
  <c r="AG423" i="1"/>
  <c r="X401" i="1"/>
  <c r="V394" i="1"/>
  <c r="Z395" i="1"/>
  <c r="V395" i="1"/>
  <c r="W395" i="1" s="1"/>
  <c r="V393" i="1"/>
  <c r="V392" i="1"/>
  <c r="AL415" i="1"/>
  <c r="AL418" i="1"/>
  <c r="AL419" i="1"/>
  <c r="AM419" i="1" s="1"/>
  <c r="AR419" i="1" s="1"/>
  <c r="AL416" i="1"/>
  <c r="AM416" i="1" s="1"/>
  <c r="AR416" i="1" s="1"/>
  <c r="AL417" i="1"/>
  <c r="Z398" i="1"/>
  <c r="AA401" i="1"/>
  <c r="AA402" i="1"/>
  <c r="AE407" i="1"/>
  <c r="AF407" i="1" s="1"/>
  <c r="Z396" i="1"/>
  <c r="AC404" i="1"/>
  <c r="R392" i="1"/>
  <c r="U392" i="1" s="1"/>
  <c r="R394" i="1"/>
  <c r="U394" i="1" s="1"/>
  <c r="AD409" i="1"/>
  <c r="AE409" i="1" s="1"/>
  <c r="AF409" i="1" s="1"/>
  <c r="AD413" i="1"/>
  <c r="AE413" i="1" s="1"/>
  <c r="AF413" i="1" s="1"/>
  <c r="AD414" i="1"/>
  <c r="AE414" i="1" s="1"/>
  <c r="AF414" i="1" s="1"/>
  <c r="Q391" i="1"/>
  <c r="Y391" i="1" s="1"/>
  <c r="Q388" i="1"/>
  <c r="Y388" i="1" s="1"/>
  <c r="Q390" i="1"/>
  <c r="Y390" i="1" s="1"/>
  <c r="Q389" i="1"/>
  <c r="Y389" i="1" s="1"/>
  <c r="AC408" i="1"/>
  <c r="Z397" i="1"/>
  <c r="R395" i="1"/>
  <c r="U395" i="1" s="1"/>
  <c r="R393" i="1"/>
  <c r="U393" i="1" s="1"/>
  <c r="Z399" i="1"/>
  <c r="AG91" i="24"/>
  <c r="AI91" i="24" s="1"/>
  <c r="AJ91" i="24" s="1"/>
  <c r="W90" i="24"/>
  <c r="U90" i="24"/>
  <c r="V90" i="24" s="1"/>
  <c r="T89" i="24"/>
  <c r="S88" i="24"/>
  <c r="AB402" i="1" l="1"/>
  <c r="AB401" i="1"/>
  <c r="AG421" i="1"/>
  <c r="AR421" i="1"/>
  <c r="AV420" i="1" s="1"/>
  <c r="AV419" i="1" s="1"/>
  <c r="AV418" i="1" s="1"/>
  <c r="W394" i="1"/>
  <c r="X394" i="1" s="1"/>
  <c r="AB400" i="1"/>
  <c r="AM417" i="1"/>
  <c r="AM418" i="1"/>
  <c r="AM415" i="1"/>
  <c r="AA399" i="1"/>
  <c r="AB399" i="1" s="1"/>
  <c r="X398" i="1"/>
  <c r="X396" i="1"/>
  <c r="X397" i="1"/>
  <c r="AC401" i="1"/>
  <c r="W393" i="1"/>
  <c r="AG416" i="1"/>
  <c r="AG419" i="1"/>
  <c r="W392" i="1"/>
  <c r="X395" i="1"/>
  <c r="V389" i="1"/>
  <c r="V390" i="1"/>
  <c r="V388" i="1"/>
  <c r="V391" i="1"/>
  <c r="W391" i="1" s="1"/>
  <c r="AL414" i="1"/>
  <c r="AM414" i="1" s="1"/>
  <c r="AR414" i="1" s="1"/>
  <c r="AL413" i="1"/>
  <c r="AM413" i="1" s="1"/>
  <c r="AR413" i="1" s="1"/>
  <c r="AL410" i="1"/>
  <c r="AL409" i="1"/>
  <c r="AM409" i="1" s="1"/>
  <c r="AR409" i="1" s="1"/>
  <c r="AL411" i="1"/>
  <c r="AL412" i="1"/>
  <c r="AA395" i="1"/>
  <c r="AB395" i="1" s="1"/>
  <c r="AA396" i="1"/>
  <c r="AB396" i="1" s="1"/>
  <c r="Z393" i="1"/>
  <c r="Q384" i="1"/>
  <c r="Y384" i="1" s="1"/>
  <c r="Q385" i="1"/>
  <c r="Y385" i="1" s="1"/>
  <c r="Q387" i="1"/>
  <c r="Y387" i="1" s="1"/>
  <c r="Q386" i="1"/>
  <c r="Y386" i="1" s="1"/>
  <c r="AD403" i="1"/>
  <c r="AE403" i="1" s="1"/>
  <c r="AF403" i="1" s="1"/>
  <c r="AC402" i="1"/>
  <c r="AD404" i="1"/>
  <c r="AE404" i="1" s="1"/>
  <c r="AF404" i="1" s="1"/>
  <c r="AC406" i="1"/>
  <c r="R389" i="1"/>
  <c r="U389" i="1" s="1"/>
  <c r="AD408" i="1"/>
  <c r="AE408" i="1" s="1"/>
  <c r="AF408" i="1" s="1"/>
  <c r="AC405" i="1"/>
  <c r="AA398" i="1"/>
  <c r="AB398" i="1" s="1"/>
  <c r="Z394" i="1"/>
  <c r="AA394" i="1" s="1"/>
  <c r="R390" i="1"/>
  <c r="U390" i="1" s="1"/>
  <c r="R388" i="1"/>
  <c r="U388" i="1" s="1"/>
  <c r="Z392" i="1"/>
  <c r="AA397" i="1"/>
  <c r="AB397" i="1" s="1"/>
  <c r="R391" i="1"/>
  <c r="U391" i="1" s="1"/>
  <c r="Z391" i="1"/>
  <c r="T88" i="24"/>
  <c r="S87" i="24"/>
  <c r="AG90" i="24"/>
  <c r="AI90" i="24" s="1"/>
  <c r="AJ90" i="24" s="1"/>
  <c r="U89" i="24"/>
  <c r="V89" i="24" s="1"/>
  <c r="W89" i="24"/>
  <c r="AG417" i="1" l="1"/>
  <c r="AR417" i="1"/>
  <c r="AB394" i="1"/>
  <c r="AG415" i="1"/>
  <c r="AR415" i="1"/>
  <c r="X393" i="1"/>
  <c r="AG418" i="1"/>
  <c r="AR418" i="1"/>
  <c r="AV417" i="1" s="1"/>
  <c r="AV416" i="1" s="1"/>
  <c r="AV415" i="1" s="1"/>
  <c r="AV414" i="1" s="1"/>
  <c r="AV413" i="1" s="1"/>
  <c r="AV412" i="1" s="1"/>
  <c r="AM412" i="1"/>
  <c r="AM411" i="1"/>
  <c r="AM410" i="1"/>
  <c r="X392" i="1"/>
  <c r="W389" i="1"/>
  <c r="W388" i="1"/>
  <c r="AG409" i="1"/>
  <c r="AG414" i="1"/>
  <c r="AG413" i="1"/>
  <c r="X391" i="1"/>
  <c r="W390" i="1"/>
  <c r="X390" i="1" s="1"/>
  <c r="V384" i="1"/>
  <c r="V386" i="1"/>
  <c r="V387" i="1"/>
  <c r="W387" i="1" s="1"/>
  <c r="V385" i="1"/>
  <c r="AL408" i="1"/>
  <c r="AM408" i="1" s="1"/>
  <c r="AR408" i="1" s="1"/>
  <c r="AL407" i="1"/>
  <c r="AC396" i="1"/>
  <c r="AD396" i="1" s="1"/>
  <c r="AE396" i="1" s="1"/>
  <c r="AF396" i="1" s="1"/>
  <c r="Z390" i="1"/>
  <c r="AA390" i="1" s="1"/>
  <c r="AB390" i="1" s="1"/>
  <c r="Z388" i="1"/>
  <c r="R384" i="1"/>
  <c r="U384" i="1" s="1"/>
  <c r="AC400" i="1"/>
  <c r="AC395" i="1"/>
  <c r="Z389" i="1"/>
  <c r="AD402" i="1"/>
  <c r="AE402" i="1" s="1"/>
  <c r="AF402" i="1" s="1"/>
  <c r="AA393" i="1"/>
  <c r="AB393" i="1" s="1"/>
  <c r="AD401" i="1"/>
  <c r="AE401" i="1" s="1"/>
  <c r="AF401" i="1" s="1"/>
  <c r="AD405" i="1"/>
  <c r="AE405" i="1" s="1"/>
  <c r="AF405" i="1" s="1"/>
  <c r="AA391" i="1"/>
  <c r="AB391" i="1" s="1"/>
  <c r="AA392" i="1"/>
  <c r="AB392" i="1" s="1"/>
  <c r="AD406" i="1"/>
  <c r="AE406" i="1" s="1"/>
  <c r="AF406" i="1" s="1"/>
  <c r="AG89" i="24"/>
  <c r="AI89" i="24" s="1"/>
  <c r="AJ89" i="24" s="1"/>
  <c r="AC399" i="1"/>
  <c r="R386" i="1"/>
  <c r="U386" i="1" s="1"/>
  <c r="R387" i="1"/>
  <c r="U387" i="1" s="1"/>
  <c r="Q379" i="1"/>
  <c r="Y379" i="1" s="1"/>
  <c r="Q383" i="1"/>
  <c r="Y383" i="1" s="1"/>
  <c r="Q380" i="1"/>
  <c r="Y380" i="1" s="1"/>
  <c r="Q382" i="1"/>
  <c r="Y382" i="1" s="1"/>
  <c r="Q381" i="1"/>
  <c r="Y381" i="1" s="1"/>
  <c r="R385" i="1"/>
  <c r="U385" i="1" s="1"/>
  <c r="T87" i="24"/>
  <c r="S86" i="24"/>
  <c r="W88" i="24"/>
  <c r="U88" i="24"/>
  <c r="V88" i="24" s="1"/>
  <c r="AG410" i="1" l="1"/>
  <c r="AR410" i="1"/>
  <c r="AG411" i="1"/>
  <c r="AR411" i="1"/>
  <c r="AG412" i="1"/>
  <c r="AR412" i="1"/>
  <c r="AV411" i="1" s="1"/>
  <c r="AV410" i="1" s="1"/>
  <c r="AV409" i="1" s="1"/>
  <c r="AV408" i="1" s="1"/>
  <c r="AV407" i="1" s="1"/>
  <c r="AM407" i="1"/>
  <c r="AG408" i="1"/>
  <c r="Z387" i="1"/>
  <c r="AA387" i="1" s="1"/>
  <c r="X388" i="1"/>
  <c r="W385" i="1"/>
  <c r="W386" i="1"/>
  <c r="X386" i="1" s="1"/>
  <c r="X387" i="1"/>
  <c r="W384" i="1"/>
  <c r="X389" i="1"/>
  <c r="V381" i="1"/>
  <c r="V382" i="1"/>
  <c r="V380" i="1"/>
  <c r="V379" i="1"/>
  <c r="V383" i="1"/>
  <c r="W383" i="1" s="1"/>
  <c r="AL404" i="1"/>
  <c r="AL406" i="1"/>
  <c r="AM406" i="1" s="1"/>
  <c r="AR406" i="1" s="1"/>
  <c r="AL402" i="1"/>
  <c r="AM402" i="1" s="1"/>
  <c r="AR402" i="1" s="1"/>
  <c r="AL405" i="1"/>
  <c r="AM405" i="1" s="1"/>
  <c r="AR405" i="1" s="1"/>
  <c r="AL401" i="1"/>
  <c r="AM401" i="1" s="1"/>
  <c r="AR401" i="1" s="1"/>
  <c r="AL403" i="1"/>
  <c r="AA389" i="1"/>
  <c r="AD399" i="1"/>
  <c r="AE399" i="1" s="1"/>
  <c r="AF399" i="1" s="1"/>
  <c r="Z384" i="1"/>
  <c r="R381" i="1"/>
  <c r="U381" i="1" s="1"/>
  <c r="R382" i="1"/>
  <c r="U382" i="1" s="1"/>
  <c r="AA388" i="1"/>
  <c r="AB388" i="1" s="1"/>
  <c r="AC398" i="1"/>
  <c r="AC397" i="1"/>
  <c r="AD395" i="1"/>
  <c r="AE395" i="1" s="1"/>
  <c r="AF395" i="1" s="1"/>
  <c r="R383" i="1"/>
  <c r="U383" i="1" s="1"/>
  <c r="AC390" i="1"/>
  <c r="Q377" i="1"/>
  <c r="Y377" i="1" s="1"/>
  <c r="Q375" i="1"/>
  <c r="Y375" i="1" s="1"/>
  <c r="Q378" i="1"/>
  <c r="Y378" i="1" s="1"/>
  <c r="Q376" i="1"/>
  <c r="Y376" i="1" s="1"/>
  <c r="R380" i="1"/>
  <c r="U380" i="1" s="1"/>
  <c r="Z385" i="1"/>
  <c r="Z386" i="1"/>
  <c r="AA386" i="1" s="1"/>
  <c r="AB386" i="1" s="1"/>
  <c r="AC394" i="1"/>
  <c r="AD400" i="1"/>
  <c r="AE400" i="1" s="1"/>
  <c r="AF400" i="1" s="1"/>
  <c r="AG88" i="24"/>
  <c r="AI88" i="24" s="1"/>
  <c r="AJ88" i="24" s="1"/>
  <c r="R379" i="1"/>
  <c r="U379" i="1" s="1"/>
  <c r="U87" i="24"/>
  <c r="V87" i="24" s="1"/>
  <c r="W87" i="24"/>
  <c r="T86" i="24"/>
  <c r="S85" i="24"/>
  <c r="AG407" i="1" l="1"/>
  <c r="AR407" i="1"/>
  <c r="AV406" i="1" s="1"/>
  <c r="AV405" i="1" s="1"/>
  <c r="AV404" i="1" s="1"/>
  <c r="AB389" i="1"/>
  <c r="AB387" i="1"/>
  <c r="AM404" i="1"/>
  <c r="AM403" i="1"/>
  <c r="W382" i="1"/>
  <c r="X382" i="1" s="1"/>
  <c r="AC388" i="1"/>
  <c r="AD388" i="1" s="1"/>
  <c r="AE388" i="1" s="1"/>
  <c r="AF388" i="1" s="1"/>
  <c r="Z383" i="1"/>
  <c r="AA383" i="1" s="1"/>
  <c r="W379" i="1"/>
  <c r="AC389" i="1"/>
  <c r="AG406" i="1"/>
  <c r="AG401" i="1"/>
  <c r="AG402" i="1"/>
  <c r="X384" i="1"/>
  <c r="X385" i="1"/>
  <c r="X383" i="1"/>
  <c r="W380" i="1"/>
  <c r="W381" i="1"/>
  <c r="AG405" i="1"/>
  <c r="V376" i="1"/>
  <c r="V378" i="1"/>
  <c r="W378" i="1" s="1"/>
  <c r="V375" i="1"/>
  <c r="V377" i="1"/>
  <c r="AL399" i="1"/>
  <c r="AM399" i="1" s="1"/>
  <c r="AR399" i="1" s="1"/>
  <c r="AL400" i="1"/>
  <c r="AM400" i="1" s="1"/>
  <c r="AR400" i="1" s="1"/>
  <c r="Z379" i="1"/>
  <c r="Z380" i="1"/>
  <c r="R378" i="1"/>
  <c r="U378" i="1" s="1"/>
  <c r="R375" i="1"/>
  <c r="U375" i="1" s="1"/>
  <c r="Q372" i="1"/>
  <c r="Y372" i="1" s="1"/>
  <c r="Q374" i="1"/>
  <c r="Y374" i="1" s="1"/>
  <c r="Q373" i="1"/>
  <c r="Y373" i="1" s="1"/>
  <c r="Q370" i="1"/>
  <c r="Y370" i="1" s="1"/>
  <c r="Q371" i="1"/>
  <c r="Y371" i="1" s="1"/>
  <c r="R377" i="1"/>
  <c r="U377" i="1" s="1"/>
  <c r="Z381" i="1"/>
  <c r="AA385" i="1"/>
  <c r="AD390" i="1"/>
  <c r="AE390" i="1" s="1"/>
  <c r="AF390" i="1" s="1"/>
  <c r="AC391" i="1"/>
  <c r="AC387" i="1"/>
  <c r="AD397" i="1"/>
  <c r="AE397" i="1" s="1"/>
  <c r="AF397" i="1" s="1"/>
  <c r="Z382" i="1"/>
  <c r="AA382" i="1" s="1"/>
  <c r="AC393" i="1"/>
  <c r="AD398" i="1"/>
  <c r="AE398" i="1" s="1"/>
  <c r="AF398" i="1" s="1"/>
  <c r="AD394" i="1"/>
  <c r="AE394" i="1" s="1"/>
  <c r="AF394" i="1" s="1"/>
  <c r="R376" i="1"/>
  <c r="U376" i="1" s="1"/>
  <c r="AC392" i="1"/>
  <c r="AA384" i="1"/>
  <c r="U86" i="24"/>
  <c r="V86" i="24" s="1"/>
  <c r="W86" i="24"/>
  <c r="S84" i="24"/>
  <c r="T85" i="24"/>
  <c r="AG87" i="24"/>
  <c r="AI87" i="24" s="1"/>
  <c r="AJ87" i="24" s="1"/>
  <c r="AB385" i="1" l="1"/>
  <c r="AB384" i="1"/>
  <c r="AG403" i="1"/>
  <c r="AR403" i="1"/>
  <c r="AG404" i="1"/>
  <c r="AR404" i="1"/>
  <c r="AV403" i="1" s="1"/>
  <c r="AB382" i="1"/>
  <c r="X381" i="1"/>
  <c r="AB383" i="1"/>
  <c r="W377" i="1"/>
  <c r="X377" i="1"/>
  <c r="Z378" i="1"/>
  <c r="AA378" i="1" s="1"/>
  <c r="AB378" i="1" s="1"/>
  <c r="W376" i="1"/>
  <c r="X376" i="1" s="1"/>
  <c r="W375" i="1"/>
  <c r="AG399" i="1"/>
  <c r="X380" i="1"/>
  <c r="X378" i="1"/>
  <c r="AG400" i="1"/>
  <c r="X379" i="1"/>
  <c r="V374" i="1"/>
  <c r="W374" i="1" s="1"/>
  <c r="V372" i="1"/>
  <c r="V371" i="1"/>
  <c r="V373" i="1"/>
  <c r="V370" i="1"/>
  <c r="AL395" i="1"/>
  <c r="AL394" i="1"/>
  <c r="AM394" i="1" s="1"/>
  <c r="AR394" i="1" s="1"/>
  <c r="AL398" i="1"/>
  <c r="AM398" i="1" s="1"/>
  <c r="AR398" i="1" s="1"/>
  <c r="AL397" i="1"/>
  <c r="AM397" i="1" s="1"/>
  <c r="AR397" i="1" s="1"/>
  <c r="AL396" i="1"/>
  <c r="AG86" i="24"/>
  <c r="AI86" i="24" s="1"/>
  <c r="AJ86" i="24" s="1"/>
  <c r="Z376" i="1"/>
  <c r="Z377" i="1"/>
  <c r="AA377" i="1" s="1"/>
  <c r="AB377" i="1" s="1"/>
  <c r="AA380" i="1"/>
  <c r="AD392" i="1"/>
  <c r="AE392" i="1" s="1"/>
  <c r="AF392" i="1" s="1"/>
  <c r="AD389" i="1"/>
  <c r="AE389" i="1" s="1"/>
  <c r="AF389" i="1" s="1"/>
  <c r="R373" i="1"/>
  <c r="U373" i="1" s="1"/>
  <c r="Z375" i="1"/>
  <c r="Q367" i="1"/>
  <c r="Y367" i="1" s="1"/>
  <c r="Q366" i="1"/>
  <c r="Y366" i="1" s="1"/>
  <c r="Q369" i="1"/>
  <c r="Y369" i="1" s="1"/>
  <c r="Q368" i="1"/>
  <c r="Y368" i="1" s="1"/>
  <c r="R374" i="1"/>
  <c r="U374" i="1" s="1"/>
  <c r="AD387" i="1"/>
  <c r="AE387" i="1" s="1"/>
  <c r="AF387" i="1" s="1"/>
  <c r="R372" i="1"/>
  <c r="U372" i="1" s="1"/>
  <c r="AA381" i="1"/>
  <c r="AD393" i="1"/>
  <c r="AE393" i="1" s="1"/>
  <c r="AF393" i="1" s="1"/>
  <c r="AC386" i="1"/>
  <c r="AD391" i="1"/>
  <c r="AE391" i="1" s="1"/>
  <c r="AF391" i="1" s="1"/>
  <c r="AA379" i="1"/>
  <c r="AB379" i="1" s="1"/>
  <c r="R371" i="1"/>
  <c r="U371" i="1" s="1"/>
  <c r="R370" i="1"/>
  <c r="U370" i="1" s="1"/>
  <c r="T84" i="24"/>
  <c r="S83" i="24"/>
  <c r="W85" i="24"/>
  <c r="U85" i="24"/>
  <c r="V85" i="24" s="1"/>
  <c r="AV402" i="1" l="1"/>
  <c r="AV401" i="1" s="1"/>
  <c r="AV400" i="1" s="1"/>
  <c r="AV399" i="1" s="1"/>
  <c r="AV398" i="1" s="1"/>
  <c r="AV397" i="1" s="1"/>
  <c r="AV396" i="1" s="1"/>
  <c r="AB381" i="1"/>
  <c r="AB380" i="1"/>
  <c r="AC380" i="1" s="1"/>
  <c r="AM396" i="1"/>
  <c r="AM395" i="1"/>
  <c r="W370" i="1"/>
  <c r="X374" i="1"/>
  <c r="Z374" i="1"/>
  <c r="W371" i="1"/>
  <c r="X375" i="1"/>
  <c r="AG397" i="1"/>
  <c r="AG394" i="1"/>
  <c r="AG398" i="1"/>
  <c r="W373" i="1"/>
  <c r="X373" i="1" s="1"/>
  <c r="W372" i="1"/>
  <c r="Z369" i="1"/>
  <c r="V369" i="1"/>
  <c r="W369" i="1" s="1"/>
  <c r="V366" i="1"/>
  <c r="V367" i="1"/>
  <c r="V368" i="1"/>
  <c r="AL387" i="1"/>
  <c r="AM387" i="1" s="1"/>
  <c r="AR387" i="1" s="1"/>
  <c r="AL389" i="1"/>
  <c r="AM389" i="1" s="1"/>
  <c r="AR389" i="1" s="1"/>
  <c r="AL391" i="1"/>
  <c r="AM391" i="1" s="1"/>
  <c r="AR391" i="1" s="1"/>
  <c r="AL392" i="1"/>
  <c r="AM392" i="1" s="1"/>
  <c r="AR392" i="1" s="1"/>
  <c r="AL390" i="1"/>
  <c r="AL393" i="1"/>
  <c r="AM393" i="1" s="1"/>
  <c r="AR393" i="1" s="1"/>
  <c r="AL388" i="1"/>
  <c r="AG85" i="24"/>
  <c r="AI85" i="24" s="1"/>
  <c r="AJ85" i="24" s="1"/>
  <c r="Q360" i="1" s="1"/>
  <c r="Y360" i="1" s="1"/>
  <c r="AA374" i="1"/>
  <c r="AB374" i="1" s="1"/>
  <c r="AA376" i="1"/>
  <c r="AB376" i="1" s="1"/>
  <c r="Z370" i="1"/>
  <c r="AA375" i="1"/>
  <c r="AB375" i="1" s="1"/>
  <c r="Z371" i="1"/>
  <c r="R367" i="1"/>
  <c r="U367" i="1" s="1"/>
  <c r="AC383" i="1"/>
  <c r="AC384" i="1"/>
  <c r="AD386" i="1"/>
  <c r="AE386" i="1" s="1"/>
  <c r="AF386" i="1" s="1"/>
  <c r="Z373" i="1"/>
  <c r="Z372" i="1"/>
  <c r="AC382" i="1"/>
  <c r="AC377" i="1"/>
  <c r="Q364" i="1"/>
  <c r="Y364" i="1" s="1"/>
  <c r="Q365" i="1"/>
  <c r="Y365" i="1" s="1"/>
  <c r="Q362" i="1"/>
  <c r="Y362" i="1" s="1"/>
  <c r="Q363" i="1"/>
  <c r="Y363" i="1" s="1"/>
  <c r="R368" i="1"/>
  <c r="U368" i="1" s="1"/>
  <c r="AC385" i="1"/>
  <c r="R369" i="1"/>
  <c r="U369" i="1" s="1"/>
  <c r="R366" i="1"/>
  <c r="U366" i="1" s="1"/>
  <c r="T83" i="24"/>
  <c r="S82" i="24"/>
  <c r="W84" i="24"/>
  <c r="U84" i="24"/>
  <c r="V84" i="24" s="1"/>
  <c r="AA373" i="1" l="1"/>
  <c r="AB373" i="1" s="1"/>
  <c r="AG395" i="1"/>
  <c r="AR395" i="1"/>
  <c r="AG396" i="1"/>
  <c r="AR396" i="1"/>
  <c r="AV395" i="1" s="1"/>
  <c r="AM388" i="1"/>
  <c r="AM390" i="1"/>
  <c r="X371" i="1"/>
  <c r="AC373" i="1"/>
  <c r="AD373" i="1" s="1"/>
  <c r="AE373" i="1" s="1"/>
  <c r="AF373" i="1" s="1"/>
  <c r="X369" i="1"/>
  <c r="W368" i="1"/>
  <c r="X368" i="1" s="1"/>
  <c r="AG391" i="1"/>
  <c r="AG387" i="1"/>
  <c r="AG393" i="1"/>
  <c r="W366" i="1"/>
  <c r="AG392" i="1"/>
  <c r="AG389" i="1"/>
  <c r="X370" i="1"/>
  <c r="W367" i="1"/>
  <c r="X372" i="1"/>
  <c r="V362" i="1"/>
  <c r="V360" i="1"/>
  <c r="V364" i="1"/>
  <c r="Z365" i="1"/>
  <c r="V365" i="1"/>
  <c r="W365" i="1" s="1"/>
  <c r="V363" i="1"/>
  <c r="Q358" i="1"/>
  <c r="Y358" i="1" s="1"/>
  <c r="Q361" i="1"/>
  <c r="Q357" i="1"/>
  <c r="Q359" i="1"/>
  <c r="Y359" i="1" s="1"/>
  <c r="AL386" i="1"/>
  <c r="AM386" i="1" s="1"/>
  <c r="AR386" i="1" s="1"/>
  <c r="AC376" i="1"/>
  <c r="AD376" i="1" s="1"/>
  <c r="AE376" i="1" s="1"/>
  <c r="AF376" i="1" s="1"/>
  <c r="AA370" i="1"/>
  <c r="AB370" i="1" s="1"/>
  <c r="AA369" i="1"/>
  <c r="AB369" i="1" s="1"/>
  <c r="AA371" i="1"/>
  <c r="Z366" i="1"/>
  <c r="Z368" i="1"/>
  <c r="AA368" i="1" s="1"/>
  <c r="AB368" i="1" s="1"/>
  <c r="AD385" i="1"/>
  <c r="AE385" i="1" s="1"/>
  <c r="AF385" i="1" s="1"/>
  <c r="AD380" i="1"/>
  <c r="AE380" i="1" s="1"/>
  <c r="AF380" i="1" s="1"/>
  <c r="AC375" i="1"/>
  <c r="AD377" i="1"/>
  <c r="AE377" i="1" s="1"/>
  <c r="AF377" i="1" s="1"/>
  <c r="R360" i="1"/>
  <c r="U360" i="1" s="1"/>
  <c r="AC379" i="1"/>
  <c r="AC381" i="1"/>
  <c r="R363" i="1"/>
  <c r="U363" i="1" s="1"/>
  <c r="AC378" i="1"/>
  <c r="AC374" i="1"/>
  <c r="Z367" i="1"/>
  <c r="AD383" i="1"/>
  <c r="AE383" i="1" s="1"/>
  <c r="AF383" i="1" s="1"/>
  <c r="R362" i="1"/>
  <c r="U362" i="1" s="1"/>
  <c r="AD382" i="1"/>
  <c r="AE382" i="1" s="1"/>
  <c r="AF382" i="1" s="1"/>
  <c r="R365" i="1"/>
  <c r="U365" i="1" s="1"/>
  <c r="R364" i="1"/>
  <c r="U364" i="1" s="1"/>
  <c r="AA372" i="1"/>
  <c r="AB372" i="1" s="1"/>
  <c r="AD384" i="1"/>
  <c r="AE384" i="1" s="1"/>
  <c r="AF384" i="1" s="1"/>
  <c r="AG84" i="24"/>
  <c r="AI84" i="24" s="1"/>
  <c r="AJ84" i="24" s="1"/>
  <c r="T82" i="24"/>
  <c r="S81" i="24"/>
  <c r="W83" i="24"/>
  <c r="U83" i="24"/>
  <c r="V83" i="24" s="1"/>
  <c r="AB371" i="1" l="1"/>
  <c r="AG390" i="1"/>
  <c r="AR390" i="1"/>
  <c r="AG388" i="1"/>
  <c r="AR388" i="1"/>
  <c r="R357" i="1"/>
  <c r="U357" i="1" s="1"/>
  <c r="Y357" i="1"/>
  <c r="AV394" i="1"/>
  <c r="AV393" i="1" s="1"/>
  <c r="AV392" i="1" s="1"/>
  <c r="AV391" i="1" s="1"/>
  <c r="AV390" i="1" s="1"/>
  <c r="AV389" i="1" s="1"/>
  <c r="AV388" i="1" s="1"/>
  <c r="AV387" i="1" s="1"/>
  <c r="AV386" i="1" s="1"/>
  <c r="AV385" i="1" s="1"/>
  <c r="AV384" i="1" s="1"/>
  <c r="AV383" i="1" s="1"/>
  <c r="R361" i="1"/>
  <c r="U361" i="1" s="1"/>
  <c r="Y361" i="1"/>
  <c r="Z360" i="1" s="1"/>
  <c r="X367" i="1"/>
  <c r="W363" i="1"/>
  <c r="AC371" i="1"/>
  <c r="AD371" i="1" s="1"/>
  <c r="AE371" i="1" s="1"/>
  <c r="AF371" i="1" s="1"/>
  <c r="W364" i="1"/>
  <c r="X363" i="1" s="1"/>
  <c r="AC370" i="1"/>
  <c r="W362" i="1"/>
  <c r="X362" i="1" s="1"/>
  <c r="X365" i="1"/>
  <c r="AG386" i="1"/>
  <c r="X366" i="1"/>
  <c r="V358" i="1"/>
  <c r="V361" i="1"/>
  <c r="W361" i="1" s="1"/>
  <c r="R358" i="1"/>
  <c r="U358" i="1" s="1"/>
  <c r="V359" i="1"/>
  <c r="V357" i="1"/>
  <c r="R359" i="1"/>
  <c r="U359" i="1" s="1"/>
  <c r="AL382" i="1"/>
  <c r="AM382" i="1" s="1"/>
  <c r="AR382" i="1" s="1"/>
  <c r="AL385" i="1"/>
  <c r="AM385" i="1" s="1"/>
  <c r="AR385" i="1" s="1"/>
  <c r="AL384" i="1"/>
  <c r="AM384" i="1" s="1"/>
  <c r="AR384" i="1" s="1"/>
  <c r="AL383" i="1"/>
  <c r="AM383" i="1" s="1"/>
  <c r="AR383" i="1" s="1"/>
  <c r="AC369" i="1"/>
  <c r="AD369" i="1" s="1"/>
  <c r="AE369" i="1" s="1"/>
  <c r="AF369" i="1" s="1"/>
  <c r="AA367" i="1"/>
  <c r="AB367" i="1" s="1"/>
  <c r="AA365" i="1"/>
  <c r="AB365" i="1" s="1"/>
  <c r="Z364" i="1"/>
  <c r="AA364" i="1" s="1"/>
  <c r="AD381" i="1"/>
  <c r="AE381" i="1" s="1"/>
  <c r="AF381" i="1" s="1"/>
  <c r="AA366" i="1"/>
  <c r="AB366" i="1" s="1"/>
  <c r="Q354" i="1"/>
  <c r="Y354" i="1" s="1"/>
  <c r="Q353" i="1"/>
  <c r="Y353" i="1" s="1"/>
  <c r="Q355" i="1"/>
  <c r="Y355" i="1" s="1"/>
  <c r="Q356" i="1"/>
  <c r="Y356" i="1" s="1"/>
  <c r="AD374" i="1"/>
  <c r="AE374" i="1" s="1"/>
  <c r="AF374" i="1" s="1"/>
  <c r="AD379" i="1"/>
  <c r="AE379" i="1" s="1"/>
  <c r="AF379" i="1" s="1"/>
  <c r="AC368" i="1"/>
  <c r="Z362" i="1"/>
  <c r="AD378" i="1"/>
  <c r="AE378" i="1" s="1"/>
  <c r="AF378" i="1" s="1"/>
  <c r="AD375" i="1"/>
  <c r="AE375" i="1" s="1"/>
  <c r="AF375" i="1" s="1"/>
  <c r="Z363" i="1"/>
  <c r="T81" i="24"/>
  <c r="S80" i="24"/>
  <c r="AG83" i="24"/>
  <c r="AI83" i="24" s="1"/>
  <c r="AJ83" i="24" s="1"/>
  <c r="W82" i="24"/>
  <c r="U82" i="24"/>
  <c r="V82" i="24" s="1"/>
  <c r="AV382" i="1" l="1"/>
  <c r="AV381" i="1" s="1"/>
  <c r="Z361" i="1"/>
  <c r="Z358" i="1"/>
  <c r="X364" i="1"/>
  <c r="AB364" i="1" s="1"/>
  <c r="W358" i="1"/>
  <c r="W359" i="1"/>
  <c r="Z359" i="1"/>
  <c r="AA359" i="1" s="1"/>
  <c r="W360" i="1"/>
  <c r="X360" i="1" s="1"/>
  <c r="AG382" i="1"/>
  <c r="AG385" i="1"/>
  <c r="AG384" i="1"/>
  <c r="W357" i="1"/>
  <c r="AG383" i="1"/>
  <c r="X361" i="1"/>
  <c r="Z357" i="1"/>
  <c r="AA357" i="1" s="1"/>
  <c r="Z356" i="1"/>
  <c r="V356" i="1"/>
  <c r="W356" i="1" s="1"/>
  <c r="V355" i="1"/>
  <c r="V353" i="1"/>
  <c r="V354" i="1"/>
  <c r="AL380" i="1"/>
  <c r="AL373" i="1"/>
  <c r="AL376" i="1"/>
  <c r="AL378" i="1"/>
  <c r="AM378" i="1" s="1"/>
  <c r="AR378" i="1" s="1"/>
  <c r="AL377" i="1"/>
  <c r="AL379" i="1"/>
  <c r="AM379" i="1" s="1"/>
  <c r="AR379" i="1" s="1"/>
  <c r="AL381" i="1"/>
  <c r="AM381" i="1" s="1"/>
  <c r="AR381" i="1" s="1"/>
  <c r="AL375" i="1"/>
  <c r="AM375" i="1" s="1"/>
  <c r="AR375" i="1" s="1"/>
  <c r="AL374" i="1"/>
  <c r="AM374" i="1" s="1"/>
  <c r="AR374" i="1" s="1"/>
  <c r="AA363" i="1"/>
  <c r="AB363" i="1" s="1"/>
  <c r="Q349" i="1"/>
  <c r="Y349" i="1" s="1"/>
  <c r="Q352" i="1"/>
  <c r="Y352" i="1" s="1"/>
  <c r="Q351" i="1"/>
  <c r="Y351" i="1" s="1"/>
  <c r="Q350" i="1"/>
  <c r="Y350" i="1" s="1"/>
  <c r="AD370" i="1"/>
  <c r="AE370" i="1" s="1"/>
  <c r="AF370" i="1" s="1"/>
  <c r="AC367" i="1"/>
  <c r="AC372" i="1"/>
  <c r="AA362" i="1"/>
  <c r="AB362" i="1" s="1"/>
  <c r="AC365" i="1"/>
  <c r="R356" i="1"/>
  <c r="U356" i="1" s="1"/>
  <c r="AA361" i="1"/>
  <c r="AB361" i="1" s="1"/>
  <c r="AD368" i="1"/>
  <c r="AE368" i="1" s="1"/>
  <c r="AF368" i="1" s="1"/>
  <c r="R355" i="1"/>
  <c r="U355" i="1" s="1"/>
  <c r="R353" i="1"/>
  <c r="U353" i="1" s="1"/>
  <c r="AA360" i="1"/>
  <c r="R354" i="1"/>
  <c r="U354" i="1" s="1"/>
  <c r="AG82" i="24"/>
  <c r="AI82" i="24" s="1"/>
  <c r="AJ82" i="24" s="1"/>
  <c r="T80" i="24"/>
  <c r="S79" i="24"/>
  <c r="U81" i="24"/>
  <c r="V81" i="24" s="1"/>
  <c r="W81" i="24"/>
  <c r="AB360" i="1" l="1"/>
  <c r="AV380" i="1"/>
  <c r="AM380" i="1"/>
  <c r="AM377" i="1"/>
  <c r="AM376" i="1"/>
  <c r="AM373" i="1"/>
  <c r="AA356" i="1"/>
  <c r="AA358" i="1"/>
  <c r="AB358" i="1" s="1"/>
  <c r="W354" i="1"/>
  <c r="W355" i="1"/>
  <c r="X355" i="1" s="1"/>
  <c r="X358" i="1"/>
  <c r="AG379" i="1"/>
  <c r="AC360" i="1"/>
  <c r="AD360" i="1" s="1"/>
  <c r="AE360" i="1" s="1"/>
  <c r="AF360" i="1" s="1"/>
  <c r="X357" i="1"/>
  <c r="AB357" i="1" s="1"/>
  <c r="X359" i="1"/>
  <c r="AG375" i="1"/>
  <c r="AG378" i="1"/>
  <c r="AG374" i="1"/>
  <c r="W353" i="1"/>
  <c r="X356" i="1"/>
  <c r="AG381" i="1"/>
  <c r="V351" i="1"/>
  <c r="V350" i="1"/>
  <c r="Z352" i="1"/>
  <c r="V352" i="1"/>
  <c r="W352" i="1" s="1"/>
  <c r="V349" i="1"/>
  <c r="AL368" i="1"/>
  <c r="AM368" i="1" s="1"/>
  <c r="AR368" i="1" s="1"/>
  <c r="AG81" i="24"/>
  <c r="AI81" i="24" s="1"/>
  <c r="AJ81" i="24" s="1"/>
  <c r="Z354" i="1"/>
  <c r="Z353" i="1"/>
  <c r="AC364" i="1"/>
  <c r="AD365" i="1"/>
  <c r="AE365" i="1" s="1"/>
  <c r="AF365" i="1" s="1"/>
  <c r="R350" i="1"/>
  <c r="U350" i="1" s="1"/>
  <c r="R351" i="1"/>
  <c r="U351" i="1" s="1"/>
  <c r="AD367" i="1"/>
  <c r="AE367" i="1" s="1"/>
  <c r="AF367" i="1" s="1"/>
  <c r="R352" i="1"/>
  <c r="U352" i="1" s="1"/>
  <c r="R349" i="1"/>
  <c r="U349" i="1" s="1"/>
  <c r="AD372" i="1"/>
  <c r="AE372" i="1" s="1"/>
  <c r="AF372" i="1" s="1"/>
  <c r="Z355" i="1"/>
  <c r="AA355" i="1" s="1"/>
  <c r="AB355" i="1" s="1"/>
  <c r="Q346" i="1"/>
  <c r="Y346" i="1" s="1"/>
  <c r="Q345" i="1"/>
  <c r="Y345" i="1" s="1"/>
  <c r="Q347" i="1"/>
  <c r="Y347" i="1" s="1"/>
  <c r="Q344" i="1"/>
  <c r="Y344" i="1" s="1"/>
  <c r="Q348" i="1"/>
  <c r="Y348" i="1" s="1"/>
  <c r="AC366" i="1"/>
  <c r="AC363" i="1"/>
  <c r="T79" i="24"/>
  <c r="S78" i="24"/>
  <c r="W80" i="24"/>
  <c r="U80" i="24"/>
  <c r="V80" i="24" s="1"/>
  <c r="AB356" i="1" l="1"/>
  <c r="AC356" i="1" s="1"/>
  <c r="AG373" i="1"/>
  <c r="AR373" i="1"/>
  <c r="AG376" i="1"/>
  <c r="AR376" i="1"/>
  <c r="AG380" i="1"/>
  <c r="AR380" i="1"/>
  <c r="AV379" i="1" s="1"/>
  <c r="AV378" i="1" s="1"/>
  <c r="AV377" i="1" s="1"/>
  <c r="AG377" i="1"/>
  <c r="AR377" i="1"/>
  <c r="AB359" i="1"/>
  <c r="AC359" i="1" s="1"/>
  <c r="AD359" i="1" s="1"/>
  <c r="AE359" i="1" s="1"/>
  <c r="AF359" i="1" s="1"/>
  <c r="X352" i="1"/>
  <c r="X353" i="1"/>
  <c r="X354" i="1"/>
  <c r="W350" i="1"/>
  <c r="W349" i="1"/>
  <c r="W351" i="1"/>
  <c r="X351" i="1" s="1"/>
  <c r="AG368" i="1"/>
  <c r="V346" i="1"/>
  <c r="Z348" i="1"/>
  <c r="V348" i="1"/>
  <c r="W348" i="1" s="1"/>
  <c r="V344" i="1"/>
  <c r="V347" i="1"/>
  <c r="V345" i="1"/>
  <c r="AL372" i="1"/>
  <c r="AM372" i="1" s="1"/>
  <c r="AR372" i="1" s="1"/>
  <c r="AL371" i="1"/>
  <c r="AL369" i="1"/>
  <c r="AL370" i="1"/>
  <c r="AL367" i="1"/>
  <c r="AM367" i="1" s="1"/>
  <c r="AR367" i="1" s="1"/>
  <c r="AA352" i="1"/>
  <c r="Z351" i="1"/>
  <c r="AA351" i="1" s="1"/>
  <c r="AD366" i="1"/>
  <c r="AE366" i="1" s="1"/>
  <c r="AF366" i="1" s="1"/>
  <c r="AD364" i="1"/>
  <c r="AE364" i="1" s="1"/>
  <c r="AF364" i="1" s="1"/>
  <c r="R348" i="1"/>
  <c r="U348" i="1" s="1"/>
  <c r="Z349" i="1"/>
  <c r="Z350" i="1"/>
  <c r="R347" i="1"/>
  <c r="U347" i="1" s="1"/>
  <c r="AC362" i="1"/>
  <c r="AC357" i="1"/>
  <c r="R344" i="1"/>
  <c r="U344" i="1" s="1"/>
  <c r="AD363" i="1"/>
  <c r="AE363" i="1" s="1"/>
  <c r="AF363" i="1" s="1"/>
  <c r="Q343" i="1"/>
  <c r="Y343" i="1" s="1"/>
  <c r="Q340" i="1"/>
  <c r="Y340" i="1" s="1"/>
  <c r="Q342" i="1"/>
  <c r="Y342" i="1" s="1"/>
  <c r="Q341" i="1"/>
  <c r="Y341" i="1" s="1"/>
  <c r="AC358" i="1"/>
  <c r="AC361" i="1"/>
  <c r="AA354" i="1"/>
  <c r="AB354" i="1" s="1"/>
  <c r="R345" i="1"/>
  <c r="U345" i="1" s="1"/>
  <c r="R346" i="1"/>
  <c r="U346" i="1" s="1"/>
  <c r="AA353" i="1"/>
  <c r="AB353" i="1" s="1"/>
  <c r="U79" i="24"/>
  <c r="V79" i="24" s="1"/>
  <c r="W79" i="24"/>
  <c r="AG80" i="24"/>
  <c r="AI80" i="24" s="1"/>
  <c r="AJ80" i="24" s="1"/>
  <c r="T78" i="24"/>
  <c r="S77" i="24"/>
  <c r="AV376" i="1" l="1"/>
  <c r="AV375" i="1" s="1"/>
  <c r="AV374" i="1" s="1"/>
  <c r="AV373" i="1" s="1"/>
  <c r="AV372" i="1" s="1"/>
  <c r="AV371" i="1" s="1"/>
  <c r="AB351" i="1"/>
  <c r="AB352" i="1"/>
  <c r="AM370" i="1"/>
  <c r="AM369" i="1"/>
  <c r="AM371" i="1"/>
  <c r="W345" i="1"/>
  <c r="X348" i="1"/>
  <c r="W346" i="1"/>
  <c r="W347" i="1"/>
  <c r="X347" i="1" s="1"/>
  <c r="AG372" i="1"/>
  <c r="W344" i="1"/>
  <c r="AG367" i="1"/>
  <c r="X350" i="1"/>
  <c r="X349" i="1"/>
  <c r="V343" i="1"/>
  <c r="W343" i="1" s="1"/>
  <c r="V341" i="1"/>
  <c r="V342" i="1"/>
  <c r="V340" i="1"/>
  <c r="AL363" i="1"/>
  <c r="AM363" i="1" s="1"/>
  <c r="AR363" i="1" s="1"/>
  <c r="AL364" i="1"/>
  <c r="AM364" i="1" s="1"/>
  <c r="AR364" i="1" s="1"/>
  <c r="AL366" i="1"/>
  <c r="AM366" i="1" s="1"/>
  <c r="AR366" i="1" s="1"/>
  <c r="AL365" i="1"/>
  <c r="Z344" i="1"/>
  <c r="Z347" i="1"/>
  <c r="AA347" i="1" s="1"/>
  <c r="AA350" i="1"/>
  <c r="R342" i="1"/>
  <c r="U342" i="1" s="1"/>
  <c r="AA349" i="1"/>
  <c r="AB349" i="1" s="1"/>
  <c r="R340" i="1"/>
  <c r="U340" i="1" s="1"/>
  <c r="AD362" i="1"/>
  <c r="AE362" i="1" s="1"/>
  <c r="AF362" i="1" s="1"/>
  <c r="R343" i="1"/>
  <c r="U343" i="1" s="1"/>
  <c r="Z343" i="1"/>
  <c r="AC355" i="1"/>
  <c r="AC352" i="1"/>
  <c r="AD361" i="1"/>
  <c r="AE361" i="1" s="1"/>
  <c r="AF361" i="1" s="1"/>
  <c r="AA348" i="1"/>
  <c r="Z346" i="1"/>
  <c r="Z345" i="1"/>
  <c r="AD356" i="1"/>
  <c r="AE356" i="1" s="1"/>
  <c r="AF356" i="1" s="1"/>
  <c r="AD358" i="1"/>
  <c r="AE358" i="1" s="1"/>
  <c r="AF358" i="1" s="1"/>
  <c r="Q338" i="1"/>
  <c r="Y338" i="1" s="1"/>
  <c r="Q336" i="1"/>
  <c r="Y336" i="1" s="1"/>
  <c r="Q337" i="1"/>
  <c r="Y337" i="1" s="1"/>
  <c r="Q339" i="1"/>
  <c r="Y339" i="1" s="1"/>
  <c r="R341" i="1"/>
  <c r="U341" i="1" s="1"/>
  <c r="AD357" i="1"/>
  <c r="AE357" i="1" s="1"/>
  <c r="AF357" i="1" s="1"/>
  <c r="T77" i="24"/>
  <c r="S76" i="24"/>
  <c r="W78" i="24"/>
  <c r="U78" i="24"/>
  <c r="V78" i="24" s="1"/>
  <c r="AG79" i="24"/>
  <c r="AI79" i="24" s="1"/>
  <c r="AJ79" i="24" s="1"/>
  <c r="AB348" i="1" l="1"/>
  <c r="AB350" i="1"/>
  <c r="AB347" i="1"/>
  <c r="AG371" i="1"/>
  <c r="AR371" i="1"/>
  <c r="AV370" i="1" s="1"/>
  <c r="AG369" i="1"/>
  <c r="AR369" i="1"/>
  <c r="AG370" i="1"/>
  <c r="AR370" i="1"/>
  <c r="AM365" i="1"/>
  <c r="X343" i="1"/>
  <c r="X346" i="1"/>
  <c r="W342" i="1"/>
  <c r="X342" i="1" s="1"/>
  <c r="X345" i="1"/>
  <c r="X344" i="1"/>
  <c r="AG366" i="1"/>
  <c r="AG364" i="1"/>
  <c r="AG363" i="1"/>
  <c r="W340" i="1"/>
  <c r="W341" i="1"/>
  <c r="Z339" i="1"/>
  <c r="V339" i="1"/>
  <c r="W339" i="1" s="1"/>
  <c r="V336" i="1"/>
  <c r="V338" i="1"/>
  <c r="V337" i="1"/>
  <c r="AL361" i="1"/>
  <c r="AM361" i="1" s="1"/>
  <c r="AR361" i="1" s="1"/>
  <c r="AL360" i="1"/>
  <c r="AL359" i="1"/>
  <c r="AL358" i="1"/>
  <c r="AM358" i="1" s="1"/>
  <c r="AR358" i="1" s="1"/>
  <c r="AL356" i="1"/>
  <c r="AM356" i="1" s="1"/>
  <c r="AR356" i="1" s="1"/>
  <c r="AL362" i="1"/>
  <c r="AM362" i="1" s="1"/>
  <c r="AR362" i="1" s="1"/>
  <c r="AL357" i="1"/>
  <c r="AM357" i="1" s="1"/>
  <c r="AR357" i="1" s="1"/>
  <c r="AA346" i="1"/>
  <c r="AB346" i="1" s="1"/>
  <c r="AG78" i="24"/>
  <c r="AI78" i="24" s="1"/>
  <c r="AA345" i="1"/>
  <c r="Z341" i="1"/>
  <c r="R338" i="1"/>
  <c r="U338" i="1" s="1"/>
  <c r="AC350" i="1"/>
  <c r="AC354" i="1"/>
  <c r="Q331" i="1"/>
  <c r="Y331" i="1" s="1"/>
  <c r="Q335" i="1"/>
  <c r="Y335" i="1" s="1"/>
  <c r="Q332" i="1"/>
  <c r="Y332" i="1" s="1"/>
  <c r="Q334" i="1"/>
  <c r="Y334" i="1" s="1"/>
  <c r="Q333" i="1"/>
  <c r="Y333" i="1" s="1"/>
  <c r="AA344" i="1"/>
  <c r="AB344" i="1" s="1"/>
  <c r="AD352" i="1"/>
  <c r="AE352" i="1" s="1"/>
  <c r="AF352" i="1" s="1"/>
  <c r="AC353" i="1"/>
  <c r="AJ78" i="24"/>
  <c r="AD355" i="1"/>
  <c r="AE355" i="1" s="1"/>
  <c r="AF355" i="1" s="1"/>
  <c r="AC351" i="1"/>
  <c r="R339" i="1"/>
  <c r="U339" i="1" s="1"/>
  <c r="R337" i="1"/>
  <c r="U337" i="1" s="1"/>
  <c r="AA343" i="1"/>
  <c r="AB343" i="1" s="1"/>
  <c r="Z342" i="1"/>
  <c r="AA342" i="1" s="1"/>
  <c r="R336" i="1"/>
  <c r="U336" i="1" s="1"/>
  <c r="AC347" i="1"/>
  <c r="Z340" i="1"/>
  <c r="T76" i="24"/>
  <c r="S75" i="24"/>
  <c r="W77" i="24"/>
  <c r="U77" i="24"/>
  <c r="V77" i="24" s="1"/>
  <c r="AB342" i="1" l="1"/>
  <c r="AV369" i="1"/>
  <c r="AV368" i="1" s="1"/>
  <c r="AV367" i="1" s="1"/>
  <c r="AV366" i="1" s="1"/>
  <c r="AV365" i="1" s="1"/>
  <c r="AG365" i="1"/>
  <c r="AR365" i="1"/>
  <c r="AB345" i="1"/>
  <c r="AM359" i="1"/>
  <c r="AM360" i="1"/>
  <c r="AG356" i="1"/>
  <c r="W338" i="1"/>
  <c r="X338" i="1" s="1"/>
  <c r="X341" i="1"/>
  <c r="AG357" i="1"/>
  <c r="AC344" i="1"/>
  <c r="AD344" i="1" s="1"/>
  <c r="AE344" i="1" s="1"/>
  <c r="AF344" i="1" s="1"/>
  <c r="AC345" i="1"/>
  <c r="AC346" i="1"/>
  <c r="X339" i="1"/>
  <c r="AG362" i="1"/>
  <c r="AG358" i="1"/>
  <c r="AG361" i="1"/>
  <c r="X340" i="1"/>
  <c r="W337" i="1"/>
  <c r="W336" i="1"/>
  <c r="Z335" i="1"/>
  <c r="V335" i="1"/>
  <c r="W335" i="1" s="1"/>
  <c r="V331" i="1"/>
  <c r="V332" i="1"/>
  <c r="V333" i="1"/>
  <c r="V334" i="1"/>
  <c r="AL355" i="1"/>
  <c r="AM355" i="1" s="1"/>
  <c r="AR355" i="1" s="1"/>
  <c r="Z337" i="1"/>
  <c r="AA340" i="1"/>
  <c r="AD353" i="1"/>
  <c r="AE353" i="1" s="1"/>
  <c r="AF353" i="1" s="1"/>
  <c r="R331" i="1"/>
  <c r="U331" i="1" s="1"/>
  <c r="AD354" i="1"/>
  <c r="AE354" i="1" s="1"/>
  <c r="AF354" i="1" s="1"/>
  <c r="AD347" i="1"/>
  <c r="AE347" i="1" s="1"/>
  <c r="AF347" i="1" s="1"/>
  <c r="AD351" i="1"/>
  <c r="AE351" i="1" s="1"/>
  <c r="AF351" i="1" s="1"/>
  <c r="AC349" i="1"/>
  <c r="Z336" i="1"/>
  <c r="R333" i="1"/>
  <c r="U333" i="1" s="1"/>
  <c r="AA341" i="1"/>
  <c r="AB341" i="1" s="1"/>
  <c r="R334" i="1"/>
  <c r="U334" i="1" s="1"/>
  <c r="AD350" i="1"/>
  <c r="AE350" i="1" s="1"/>
  <c r="AF350" i="1" s="1"/>
  <c r="AA339" i="1"/>
  <c r="R332" i="1"/>
  <c r="U332" i="1" s="1"/>
  <c r="AC348" i="1"/>
  <c r="Q330" i="1"/>
  <c r="Y330" i="1" s="1"/>
  <c r="Q328" i="1"/>
  <c r="Y328" i="1" s="1"/>
  <c r="Q329" i="1"/>
  <c r="Y329" i="1" s="1"/>
  <c r="Q327" i="1"/>
  <c r="Y327" i="1" s="1"/>
  <c r="R335" i="1"/>
  <c r="U335" i="1" s="1"/>
  <c r="Z338" i="1"/>
  <c r="AA338" i="1" s="1"/>
  <c r="AG77" i="24"/>
  <c r="AI77" i="24" s="1"/>
  <c r="AJ77" i="24" s="1"/>
  <c r="T75" i="24"/>
  <c r="S74" i="24"/>
  <c r="W76" i="24"/>
  <c r="U76" i="24"/>
  <c r="V76" i="24" s="1"/>
  <c r="AB339" i="1" l="1"/>
  <c r="AG360" i="1"/>
  <c r="AR360" i="1"/>
  <c r="AB340" i="1"/>
  <c r="AG359" i="1"/>
  <c r="AR359" i="1"/>
  <c r="X337" i="1"/>
  <c r="W334" i="1"/>
  <c r="X334" i="1" s="1"/>
  <c r="AB338" i="1"/>
  <c r="AV364" i="1"/>
  <c r="AV363" i="1" s="1"/>
  <c r="AV362" i="1" s="1"/>
  <c r="AV361" i="1" s="1"/>
  <c r="AV360" i="1" s="1"/>
  <c r="AV359" i="1" s="1"/>
  <c r="X335" i="1"/>
  <c r="AG355" i="1"/>
  <c r="W333" i="1"/>
  <c r="W331" i="1"/>
  <c r="X336" i="1"/>
  <c r="W332" i="1"/>
  <c r="V328" i="1"/>
  <c r="V327" i="1"/>
  <c r="V330" i="1"/>
  <c r="W330" i="1" s="1"/>
  <c r="V329" i="1"/>
  <c r="AL351" i="1"/>
  <c r="AM351" i="1" s="1"/>
  <c r="AR351" i="1" s="1"/>
  <c r="AL354" i="1"/>
  <c r="AM354" i="1" s="1"/>
  <c r="AR354" i="1" s="1"/>
  <c r="AL353" i="1"/>
  <c r="AM353" i="1" s="1"/>
  <c r="AR353" i="1" s="1"/>
  <c r="AL352" i="1"/>
  <c r="AL350" i="1"/>
  <c r="AM350" i="1" s="1"/>
  <c r="AR350" i="1" s="1"/>
  <c r="AA335" i="1"/>
  <c r="Z332" i="1"/>
  <c r="Z333" i="1"/>
  <c r="AC340" i="1"/>
  <c r="AD345" i="1"/>
  <c r="AE345" i="1" s="1"/>
  <c r="AF345" i="1" s="1"/>
  <c r="R327" i="1"/>
  <c r="U327" i="1" s="1"/>
  <c r="AD348" i="1"/>
  <c r="AE348" i="1" s="1"/>
  <c r="AF348" i="1" s="1"/>
  <c r="AC342" i="1"/>
  <c r="AA336" i="1"/>
  <c r="R329" i="1"/>
  <c r="U329" i="1" s="1"/>
  <c r="Z331" i="1"/>
  <c r="R328" i="1"/>
  <c r="U328" i="1" s="1"/>
  <c r="R330" i="1"/>
  <c r="U330" i="1" s="1"/>
  <c r="Q323" i="1"/>
  <c r="Y323" i="1" s="1"/>
  <c r="Q324" i="1"/>
  <c r="Y324" i="1" s="1"/>
  <c r="Q326" i="1"/>
  <c r="Y326" i="1" s="1"/>
  <c r="Q325" i="1"/>
  <c r="Y325" i="1" s="1"/>
  <c r="AD346" i="1"/>
  <c r="AE346" i="1" s="1"/>
  <c r="AF346" i="1" s="1"/>
  <c r="AC343" i="1"/>
  <c r="Z334" i="1"/>
  <c r="AA334" i="1" s="1"/>
  <c r="AD349" i="1"/>
  <c r="AE349" i="1" s="1"/>
  <c r="AF349" i="1" s="1"/>
  <c r="AA337" i="1"/>
  <c r="AB337" i="1" s="1"/>
  <c r="S73" i="24"/>
  <c r="T74" i="24"/>
  <c r="AG76" i="24"/>
  <c r="AI76" i="24" s="1"/>
  <c r="AJ76" i="24" s="1"/>
  <c r="W75" i="24"/>
  <c r="U75" i="24"/>
  <c r="V75" i="24" s="1"/>
  <c r="X333" i="1" l="1"/>
  <c r="AB334" i="1"/>
  <c r="AB336" i="1"/>
  <c r="AB335" i="1"/>
  <c r="AV358" i="1"/>
  <c r="AV357" i="1" s="1"/>
  <c r="AV356" i="1" s="1"/>
  <c r="AV355" i="1" s="1"/>
  <c r="AV354" i="1" s="1"/>
  <c r="AV353" i="1" s="1"/>
  <c r="AV352" i="1" s="1"/>
  <c r="AM352" i="1"/>
  <c r="X332" i="1"/>
  <c r="X330" i="1"/>
  <c r="W328" i="1"/>
  <c r="Z330" i="1"/>
  <c r="AA330" i="1" s="1"/>
  <c r="AG350" i="1"/>
  <c r="AG353" i="1"/>
  <c r="AG351" i="1"/>
  <c r="X331" i="1"/>
  <c r="AG354" i="1"/>
  <c r="W329" i="1"/>
  <c r="X329" i="1" s="1"/>
  <c r="W327" i="1"/>
  <c r="Z326" i="1"/>
  <c r="V326" i="1"/>
  <c r="W326" i="1" s="1"/>
  <c r="V324" i="1"/>
  <c r="V325" i="1"/>
  <c r="V323" i="1"/>
  <c r="AL348" i="1"/>
  <c r="AM348" i="1" s="1"/>
  <c r="AR348" i="1" s="1"/>
  <c r="AL349" i="1"/>
  <c r="AM349" i="1" s="1"/>
  <c r="AR349" i="1" s="1"/>
  <c r="AL345" i="1"/>
  <c r="AM345" i="1" s="1"/>
  <c r="AR345" i="1" s="1"/>
  <c r="AL347" i="1"/>
  <c r="AL346" i="1"/>
  <c r="AM346" i="1" s="1"/>
  <c r="AR346" i="1" s="1"/>
  <c r="AL344" i="1"/>
  <c r="R325" i="1"/>
  <c r="U325" i="1" s="1"/>
  <c r="AC339" i="1"/>
  <c r="AD343" i="1"/>
  <c r="AE343" i="1" s="1"/>
  <c r="AF343" i="1" s="1"/>
  <c r="R326" i="1"/>
  <c r="U326" i="1" s="1"/>
  <c r="Q321" i="1"/>
  <c r="Y321" i="1" s="1"/>
  <c r="Q320" i="1"/>
  <c r="Y320" i="1" s="1"/>
  <c r="Q319" i="1"/>
  <c r="Y319" i="1" s="1"/>
  <c r="Q318" i="1"/>
  <c r="Y318" i="1" s="1"/>
  <c r="Q322" i="1"/>
  <c r="Y322" i="1" s="1"/>
  <c r="R324" i="1"/>
  <c r="U324" i="1" s="1"/>
  <c r="AD342" i="1"/>
  <c r="AE342" i="1" s="1"/>
  <c r="AF342" i="1" s="1"/>
  <c r="AC335" i="1"/>
  <c r="AC338" i="1"/>
  <c r="R323" i="1"/>
  <c r="U323" i="1" s="1"/>
  <c r="Z328" i="1"/>
  <c r="AC341" i="1"/>
  <c r="AA332" i="1"/>
  <c r="AD340" i="1"/>
  <c r="AE340" i="1" s="1"/>
  <c r="AF340" i="1" s="1"/>
  <c r="AA331" i="1"/>
  <c r="Z327" i="1"/>
  <c r="AA333" i="1"/>
  <c r="AB333" i="1" s="1"/>
  <c r="AC334" i="1"/>
  <c r="AD334" i="1" s="1"/>
  <c r="AE334" i="1" s="1"/>
  <c r="AF334" i="1" s="1"/>
  <c r="Z329" i="1"/>
  <c r="AA329" i="1" s="1"/>
  <c r="S72" i="24"/>
  <c r="T73" i="24"/>
  <c r="AG75" i="24"/>
  <c r="AI75" i="24" s="1"/>
  <c r="AJ75" i="24" s="1"/>
  <c r="W74" i="24"/>
  <c r="U74" i="24"/>
  <c r="V74" i="24" s="1"/>
  <c r="AB332" i="1" l="1"/>
  <c r="AB329" i="1"/>
  <c r="AB330" i="1"/>
  <c r="AC330" i="1" s="1"/>
  <c r="AB331" i="1"/>
  <c r="AG352" i="1"/>
  <c r="AR352" i="1"/>
  <c r="AV351" i="1"/>
  <c r="AV350" i="1" s="1"/>
  <c r="AV349" i="1" s="1"/>
  <c r="AV348" i="1" s="1"/>
  <c r="AV347" i="1" s="1"/>
  <c r="AM347" i="1"/>
  <c r="AM344" i="1"/>
  <c r="W325" i="1"/>
  <c r="X325" i="1" s="1"/>
  <c r="W323" i="1"/>
  <c r="AC331" i="1"/>
  <c r="AD331" i="1" s="1"/>
  <c r="AE331" i="1" s="1"/>
  <c r="AF331" i="1" s="1"/>
  <c r="W324" i="1"/>
  <c r="AG346" i="1"/>
  <c r="AG349" i="1"/>
  <c r="X326" i="1"/>
  <c r="AG345" i="1"/>
  <c r="AG348" i="1"/>
  <c r="X327" i="1"/>
  <c r="X328" i="1"/>
  <c r="V322" i="1"/>
  <c r="W322" i="1" s="1"/>
  <c r="V318" i="1"/>
  <c r="V319" i="1"/>
  <c r="V320" i="1"/>
  <c r="V321" i="1"/>
  <c r="W321" i="1" s="1"/>
  <c r="AL342" i="1"/>
  <c r="AM342" i="1" s="1"/>
  <c r="AR342" i="1" s="1"/>
  <c r="AL343" i="1"/>
  <c r="AM343" i="1" s="1"/>
  <c r="AR343" i="1" s="1"/>
  <c r="Z324" i="1"/>
  <c r="Z323" i="1"/>
  <c r="AC337" i="1"/>
  <c r="AD338" i="1"/>
  <c r="AE338" i="1" s="1"/>
  <c r="AF338" i="1" s="1"/>
  <c r="R322" i="1"/>
  <c r="U322" i="1" s="1"/>
  <c r="R318" i="1"/>
  <c r="U318" i="1" s="1"/>
  <c r="AD335" i="1"/>
  <c r="AE335" i="1" s="1"/>
  <c r="AF335" i="1" s="1"/>
  <c r="R319" i="1"/>
  <c r="U319" i="1" s="1"/>
  <c r="AD341" i="1"/>
  <c r="AE341" i="1" s="1"/>
  <c r="AF341" i="1" s="1"/>
  <c r="R320" i="1"/>
  <c r="U320" i="1" s="1"/>
  <c r="AD339" i="1"/>
  <c r="AE339" i="1" s="1"/>
  <c r="AF339" i="1" s="1"/>
  <c r="R321" i="1"/>
  <c r="U321" i="1" s="1"/>
  <c r="AA327" i="1"/>
  <c r="AA328" i="1"/>
  <c r="AB328" i="1" s="1"/>
  <c r="Q315" i="1"/>
  <c r="Y315" i="1" s="1"/>
  <c r="Q316" i="1"/>
  <c r="Y316" i="1" s="1"/>
  <c r="Q317" i="1"/>
  <c r="Y317" i="1" s="1"/>
  <c r="Q314" i="1"/>
  <c r="Y314" i="1" s="1"/>
  <c r="AC336" i="1"/>
  <c r="Z325" i="1"/>
  <c r="AA325" i="1" s="1"/>
  <c r="AB325" i="1" s="1"/>
  <c r="AA326" i="1"/>
  <c r="AB326" i="1" s="1"/>
  <c r="AG74" i="24"/>
  <c r="AI74" i="24" s="1"/>
  <c r="AJ74" i="24" s="1"/>
  <c r="W73" i="24"/>
  <c r="U73" i="24"/>
  <c r="V73" i="24" s="1"/>
  <c r="S71" i="24"/>
  <c r="T72" i="24"/>
  <c r="AB327" i="1" l="1"/>
  <c r="AG344" i="1"/>
  <c r="AR344" i="1"/>
  <c r="AG347" i="1"/>
  <c r="AR347" i="1"/>
  <c r="AV346" i="1"/>
  <c r="AV345" i="1" s="1"/>
  <c r="AV344" i="1" s="1"/>
  <c r="AV343" i="1" s="1"/>
  <c r="AV342" i="1" s="1"/>
  <c r="AV341" i="1" s="1"/>
  <c r="X321" i="1"/>
  <c r="X322" i="1"/>
  <c r="X324" i="1"/>
  <c r="Z322" i="1"/>
  <c r="AA322" i="1" s="1"/>
  <c r="X323" i="1"/>
  <c r="AG342" i="1"/>
  <c r="W320" i="1"/>
  <c r="X320" i="1" s="1"/>
  <c r="W318" i="1"/>
  <c r="AG343" i="1"/>
  <c r="W319" i="1"/>
  <c r="V316" i="1"/>
  <c r="Z317" i="1"/>
  <c r="V317" i="1"/>
  <c r="W317" i="1" s="1"/>
  <c r="V315" i="1"/>
  <c r="V314" i="1"/>
  <c r="AL339" i="1"/>
  <c r="AM339" i="1" s="1"/>
  <c r="AR339" i="1" s="1"/>
  <c r="AL338" i="1"/>
  <c r="AM338" i="1" s="1"/>
  <c r="AR338" i="1" s="1"/>
  <c r="AL341" i="1"/>
  <c r="AM341" i="1" s="1"/>
  <c r="AR341" i="1" s="1"/>
  <c r="AL340" i="1"/>
  <c r="Z321" i="1"/>
  <c r="AA321" i="1" s="1"/>
  <c r="AA324" i="1"/>
  <c r="AA323" i="1"/>
  <c r="AB323" i="1" s="1"/>
  <c r="R317" i="1"/>
  <c r="U317" i="1" s="1"/>
  <c r="AC333" i="1"/>
  <c r="R316" i="1"/>
  <c r="U316" i="1" s="1"/>
  <c r="Z319" i="1"/>
  <c r="R315" i="1"/>
  <c r="U315" i="1" s="1"/>
  <c r="AC329" i="1"/>
  <c r="AD336" i="1"/>
  <c r="AE336" i="1" s="1"/>
  <c r="AF336" i="1" s="1"/>
  <c r="Z320" i="1"/>
  <c r="AD337" i="1"/>
  <c r="AE337" i="1" s="1"/>
  <c r="AF337" i="1" s="1"/>
  <c r="AC332" i="1"/>
  <c r="AD330" i="1"/>
  <c r="AE330" i="1" s="1"/>
  <c r="AF330" i="1" s="1"/>
  <c r="Z318" i="1"/>
  <c r="Q313" i="1"/>
  <c r="Y313" i="1" s="1"/>
  <c r="Q311" i="1"/>
  <c r="Y311" i="1" s="1"/>
  <c r="Q310" i="1"/>
  <c r="Y310" i="1" s="1"/>
  <c r="Q309" i="1"/>
  <c r="Y309" i="1" s="1"/>
  <c r="Q312" i="1"/>
  <c r="Y312" i="1" s="1"/>
  <c r="AC328" i="1"/>
  <c r="AD328" i="1" s="1"/>
  <c r="AE328" i="1" s="1"/>
  <c r="AF328" i="1" s="1"/>
  <c r="R314" i="1"/>
  <c r="U314" i="1" s="1"/>
  <c r="W72" i="24"/>
  <c r="U72" i="24"/>
  <c r="V72" i="24" s="1"/>
  <c r="S70" i="24"/>
  <c r="T71" i="24"/>
  <c r="AG73" i="24"/>
  <c r="AI73" i="24" s="1"/>
  <c r="AJ73" i="24" s="1"/>
  <c r="AV340" i="1" l="1"/>
  <c r="AB321" i="1"/>
  <c r="AB322" i="1"/>
  <c r="AB324" i="1"/>
  <c r="AM340" i="1"/>
  <c r="W315" i="1"/>
  <c r="W314" i="1"/>
  <c r="AC323" i="1"/>
  <c r="AD323" i="1" s="1"/>
  <c r="AE323" i="1" s="1"/>
  <c r="AF323" i="1" s="1"/>
  <c r="W316" i="1"/>
  <c r="AG341" i="1"/>
  <c r="AG339" i="1"/>
  <c r="X317" i="1"/>
  <c r="X319" i="1"/>
  <c r="AG338" i="1"/>
  <c r="X318" i="1"/>
  <c r="V310" i="1"/>
  <c r="Z313" i="1"/>
  <c r="V313" i="1"/>
  <c r="W313" i="1" s="1"/>
  <c r="V311" i="1"/>
  <c r="V312" i="1"/>
  <c r="V309" i="1"/>
  <c r="AL335" i="1"/>
  <c r="AL337" i="1"/>
  <c r="AM337" i="1" s="1"/>
  <c r="AR337" i="1" s="1"/>
  <c r="AL334" i="1"/>
  <c r="AL336" i="1"/>
  <c r="AM336" i="1" s="1"/>
  <c r="AR336" i="1" s="1"/>
  <c r="AA320" i="1"/>
  <c r="AB320" i="1" s="1"/>
  <c r="AA318" i="1"/>
  <c r="AA319" i="1"/>
  <c r="AB319" i="1" s="1"/>
  <c r="Z316" i="1"/>
  <c r="AA316" i="1" s="1"/>
  <c r="Z314" i="1"/>
  <c r="AC326" i="1"/>
  <c r="AC321" i="1"/>
  <c r="AC327" i="1"/>
  <c r="AA317" i="1"/>
  <c r="AB317" i="1" s="1"/>
  <c r="R309" i="1"/>
  <c r="U309" i="1" s="1"/>
  <c r="AD329" i="1"/>
  <c r="AE329" i="1" s="1"/>
  <c r="AF329" i="1" s="1"/>
  <c r="Q308" i="1"/>
  <c r="Y308" i="1" s="1"/>
  <c r="Q306" i="1"/>
  <c r="Y306" i="1" s="1"/>
  <c r="Q305" i="1"/>
  <c r="Y305" i="1" s="1"/>
  <c r="Q307" i="1"/>
  <c r="Y307" i="1" s="1"/>
  <c r="R310" i="1"/>
  <c r="U310" i="1" s="1"/>
  <c r="R312" i="1"/>
  <c r="U312" i="1" s="1"/>
  <c r="R311" i="1"/>
  <c r="U311" i="1" s="1"/>
  <c r="Z315" i="1"/>
  <c r="AC324" i="1"/>
  <c r="R313" i="1"/>
  <c r="U313" i="1" s="1"/>
  <c r="AD332" i="1"/>
  <c r="AE332" i="1" s="1"/>
  <c r="AF332" i="1" s="1"/>
  <c r="AD333" i="1"/>
  <c r="AE333" i="1" s="1"/>
  <c r="AF333" i="1" s="1"/>
  <c r="AG72" i="24"/>
  <c r="AI72" i="24" s="1"/>
  <c r="AJ72" i="24" s="1"/>
  <c r="AC325" i="1"/>
  <c r="S69" i="24"/>
  <c r="T70" i="24"/>
  <c r="W71" i="24"/>
  <c r="U71" i="24"/>
  <c r="V71" i="24" s="1"/>
  <c r="AB318" i="1" l="1"/>
  <c r="AG340" i="1"/>
  <c r="AR340" i="1"/>
  <c r="AV339" i="1" s="1"/>
  <c r="AV338" i="1" s="1"/>
  <c r="AV337" i="1" s="1"/>
  <c r="AV336" i="1" s="1"/>
  <c r="AV335" i="1" s="1"/>
  <c r="AM335" i="1"/>
  <c r="AM334" i="1"/>
  <c r="X313" i="1"/>
  <c r="X314" i="1"/>
  <c r="W312" i="1"/>
  <c r="X312" i="1" s="1"/>
  <c r="X316" i="1"/>
  <c r="X315" i="1"/>
  <c r="AG336" i="1"/>
  <c r="AG337" i="1"/>
  <c r="W309" i="1"/>
  <c r="W311" i="1"/>
  <c r="W310" i="1"/>
  <c r="V308" i="1"/>
  <c r="W308" i="1" s="1"/>
  <c r="V307" i="1"/>
  <c r="V305" i="1"/>
  <c r="V306" i="1"/>
  <c r="AL328" i="1"/>
  <c r="AL333" i="1"/>
  <c r="AM333" i="1" s="1"/>
  <c r="AR333" i="1" s="1"/>
  <c r="AL332" i="1"/>
  <c r="AM332" i="1" s="1"/>
  <c r="AR332" i="1" s="1"/>
  <c r="AL331" i="1"/>
  <c r="AL329" i="1"/>
  <c r="AM329" i="1" s="1"/>
  <c r="AR329" i="1" s="1"/>
  <c r="AL330" i="1"/>
  <c r="AC320" i="1"/>
  <c r="AD320" i="1" s="1"/>
  <c r="AE320" i="1" s="1"/>
  <c r="AF320" i="1" s="1"/>
  <c r="AA315" i="1"/>
  <c r="AB315" i="1" s="1"/>
  <c r="AA313" i="1"/>
  <c r="AB313" i="1" s="1"/>
  <c r="Z311" i="1"/>
  <c r="R306" i="1"/>
  <c r="U306" i="1" s="1"/>
  <c r="AC318" i="1"/>
  <c r="Q303" i="1"/>
  <c r="Y303" i="1" s="1"/>
  <c r="Q302" i="1"/>
  <c r="Y302" i="1" s="1"/>
  <c r="Q301" i="1"/>
  <c r="Y301" i="1" s="1"/>
  <c r="Q304" i="1"/>
  <c r="Y304" i="1" s="1"/>
  <c r="R308" i="1"/>
  <c r="U308" i="1" s="1"/>
  <c r="AA314" i="1"/>
  <c r="AC322" i="1"/>
  <c r="Z312" i="1"/>
  <c r="AA312" i="1" s="1"/>
  <c r="AD327" i="1"/>
  <c r="AE327" i="1" s="1"/>
  <c r="AF327" i="1" s="1"/>
  <c r="Z310" i="1"/>
  <c r="Z309" i="1"/>
  <c r="AD324" i="1"/>
  <c r="AE324" i="1" s="1"/>
  <c r="AF324" i="1" s="1"/>
  <c r="AD326" i="1"/>
  <c r="AE326" i="1" s="1"/>
  <c r="AF326" i="1" s="1"/>
  <c r="R307" i="1"/>
  <c r="U307" i="1" s="1"/>
  <c r="AC317" i="1"/>
  <c r="AD317" i="1" s="1"/>
  <c r="AE317" i="1" s="1"/>
  <c r="AF317" i="1" s="1"/>
  <c r="AC319" i="1"/>
  <c r="AD325" i="1"/>
  <c r="AE325" i="1" s="1"/>
  <c r="AF325" i="1" s="1"/>
  <c r="R305" i="1"/>
  <c r="U305" i="1" s="1"/>
  <c r="AD321" i="1"/>
  <c r="AE321" i="1" s="1"/>
  <c r="AF321" i="1" s="1"/>
  <c r="AG71" i="24"/>
  <c r="AI71" i="24" s="1"/>
  <c r="AJ71" i="24" s="1"/>
  <c r="W70" i="24"/>
  <c r="U70" i="24"/>
  <c r="V70" i="24" s="1"/>
  <c r="S68" i="24"/>
  <c r="T69" i="24"/>
  <c r="AB314" i="1" l="1"/>
  <c r="AB312" i="1"/>
  <c r="X311" i="1"/>
  <c r="AG334" i="1"/>
  <c r="AR334" i="1"/>
  <c r="AG335" i="1"/>
  <c r="AR335" i="1"/>
  <c r="AV334" i="1" s="1"/>
  <c r="AV333" i="1" s="1"/>
  <c r="AV332" i="1" s="1"/>
  <c r="AV331" i="1" s="1"/>
  <c r="AB316" i="1"/>
  <c r="AC316" i="1" s="1"/>
  <c r="AD316" i="1" s="1"/>
  <c r="AE316" i="1" s="1"/>
  <c r="AF316" i="1" s="1"/>
  <c r="AM331" i="1"/>
  <c r="AM330" i="1"/>
  <c r="X308" i="1"/>
  <c r="AM328" i="1"/>
  <c r="X310" i="1"/>
  <c r="Z308" i="1"/>
  <c r="AA308" i="1" s="1"/>
  <c r="AB308" i="1" s="1"/>
  <c r="W305" i="1"/>
  <c r="X309" i="1"/>
  <c r="AG333" i="1"/>
  <c r="AG329" i="1"/>
  <c r="AG332" i="1"/>
  <c r="W306" i="1"/>
  <c r="W307" i="1"/>
  <c r="X307" i="1" s="1"/>
  <c r="V304" i="1"/>
  <c r="W304" i="1" s="1"/>
  <c r="V301" i="1"/>
  <c r="V302" i="1"/>
  <c r="V303" i="1"/>
  <c r="AL326" i="1"/>
  <c r="AM326" i="1" s="1"/>
  <c r="AR326" i="1" s="1"/>
  <c r="AL324" i="1"/>
  <c r="AM324" i="1" s="1"/>
  <c r="AR324" i="1" s="1"/>
  <c r="AL325" i="1"/>
  <c r="AM325" i="1" s="1"/>
  <c r="AR325" i="1" s="1"/>
  <c r="AL327" i="1"/>
  <c r="AM327" i="1" s="1"/>
  <c r="AR327" i="1" s="1"/>
  <c r="AL323" i="1"/>
  <c r="Z307" i="1"/>
  <c r="Z305" i="1"/>
  <c r="AA309" i="1"/>
  <c r="AA311" i="1"/>
  <c r="AB311" i="1" s="1"/>
  <c r="AA310" i="1"/>
  <c r="AB310" i="1" s="1"/>
  <c r="R301" i="1"/>
  <c r="U301" i="1" s="1"/>
  <c r="R302" i="1"/>
  <c r="U302" i="1" s="1"/>
  <c r="R303" i="1"/>
  <c r="U303" i="1" s="1"/>
  <c r="AD318" i="1"/>
  <c r="AE318" i="1" s="1"/>
  <c r="AF318" i="1" s="1"/>
  <c r="AC315" i="1"/>
  <c r="AD319" i="1"/>
  <c r="AE319" i="1" s="1"/>
  <c r="AF319" i="1" s="1"/>
  <c r="Q300" i="1"/>
  <c r="Y300" i="1" s="1"/>
  <c r="Q296" i="1"/>
  <c r="Y296" i="1" s="1"/>
  <c r="Q298" i="1"/>
  <c r="Y298" i="1" s="1"/>
  <c r="Q297" i="1"/>
  <c r="Y297" i="1" s="1"/>
  <c r="Q299" i="1"/>
  <c r="Y299" i="1" s="1"/>
  <c r="AC313" i="1"/>
  <c r="AD322" i="1"/>
  <c r="AE322" i="1" s="1"/>
  <c r="AF322" i="1" s="1"/>
  <c r="R304" i="1"/>
  <c r="U304" i="1" s="1"/>
  <c r="Z304" i="1"/>
  <c r="Z306" i="1"/>
  <c r="W69" i="24"/>
  <c r="U69" i="24"/>
  <c r="V69" i="24" s="1"/>
  <c r="S67" i="24"/>
  <c r="T68" i="24"/>
  <c r="AG70" i="24"/>
  <c r="AI70" i="24" s="1"/>
  <c r="AJ70" i="24" s="1"/>
  <c r="AA307" i="1" l="1"/>
  <c r="AB307" i="1" s="1"/>
  <c r="AG328" i="1"/>
  <c r="AR328" i="1"/>
  <c r="AG330" i="1"/>
  <c r="AR330" i="1"/>
  <c r="AB309" i="1"/>
  <c r="AC309" i="1" s="1"/>
  <c r="AD309" i="1" s="1"/>
  <c r="AE309" i="1" s="1"/>
  <c r="AF309" i="1" s="1"/>
  <c r="AG331" i="1"/>
  <c r="AR331" i="1"/>
  <c r="AV330" i="1" s="1"/>
  <c r="AV329" i="1" s="1"/>
  <c r="AV328" i="1" s="1"/>
  <c r="AV327" i="1" s="1"/>
  <c r="AV326" i="1" s="1"/>
  <c r="AV325" i="1" s="1"/>
  <c r="AV324" i="1" s="1"/>
  <c r="AV323" i="1" s="1"/>
  <c r="AM323" i="1"/>
  <c r="X306" i="1"/>
  <c r="X304" i="1"/>
  <c r="W302" i="1"/>
  <c r="AG327" i="1"/>
  <c r="AG324" i="1"/>
  <c r="AG326" i="1"/>
  <c r="AG325" i="1"/>
  <c r="W303" i="1"/>
  <c r="X303" i="1" s="1"/>
  <c r="W301" i="1"/>
  <c r="X305" i="1"/>
  <c r="V299" i="1"/>
  <c r="V296" i="1"/>
  <c r="V298" i="1"/>
  <c r="V300" i="1"/>
  <c r="W300" i="1" s="1"/>
  <c r="X300" i="1" s="1"/>
  <c r="V297" i="1"/>
  <c r="AL322" i="1"/>
  <c r="AM322" i="1" s="1"/>
  <c r="AR322" i="1" s="1"/>
  <c r="AL320" i="1"/>
  <c r="AL318" i="1"/>
  <c r="AM318" i="1" s="1"/>
  <c r="AR318" i="1" s="1"/>
  <c r="AL317" i="1"/>
  <c r="AL316" i="1"/>
  <c r="AM316" i="1" s="1"/>
  <c r="AR316" i="1" s="1"/>
  <c r="AL321" i="1"/>
  <c r="AL319" i="1"/>
  <c r="AM319" i="1" s="1"/>
  <c r="AR319" i="1" s="1"/>
  <c r="AA306" i="1"/>
  <c r="AB306" i="1" s="1"/>
  <c r="R299" i="1"/>
  <c r="U299" i="1" s="1"/>
  <c r="AD315" i="1"/>
  <c r="AE315" i="1" s="1"/>
  <c r="AF315" i="1" s="1"/>
  <c r="R297" i="1"/>
  <c r="U297" i="1" s="1"/>
  <c r="Z301" i="1"/>
  <c r="R298" i="1"/>
  <c r="U298" i="1" s="1"/>
  <c r="AC311" i="1"/>
  <c r="AA305" i="1"/>
  <c r="AB305" i="1" s="1"/>
  <c r="R296" i="1"/>
  <c r="U296" i="1" s="1"/>
  <c r="Z302" i="1"/>
  <c r="AC307" i="1"/>
  <c r="AD307" i="1" s="1"/>
  <c r="AE307" i="1" s="1"/>
  <c r="AF307" i="1" s="1"/>
  <c r="Z303" i="1"/>
  <c r="AA303" i="1" s="1"/>
  <c r="AB303" i="1" s="1"/>
  <c r="AA304" i="1"/>
  <c r="AB304" i="1" s="1"/>
  <c r="AC312" i="1"/>
  <c r="Q294" i="1"/>
  <c r="Y294" i="1" s="1"/>
  <c r="Q293" i="1"/>
  <c r="Y293" i="1" s="1"/>
  <c r="Q295" i="1"/>
  <c r="Y295" i="1" s="1"/>
  <c r="Q292" i="1"/>
  <c r="Y292" i="1" s="1"/>
  <c r="AD313" i="1"/>
  <c r="AE313" i="1" s="1"/>
  <c r="AF313" i="1" s="1"/>
  <c r="R300" i="1"/>
  <c r="U300" i="1" s="1"/>
  <c r="AC314" i="1"/>
  <c r="AC310" i="1"/>
  <c r="S66" i="24"/>
  <c r="T67" i="24"/>
  <c r="W68" i="24"/>
  <c r="U68" i="24"/>
  <c r="V68" i="24" s="1"/>
  <c r="AG69" i="24"/>
  <c r="AI69" i="24" s="1"/>
  <c r="AJ69" i="24" s="1"/>
  <c r="AG323" i="1" l="1"/>
  <c r="AR323" i="1"/>
  <c r="AV322" i="1" s="1"/>
  <c r="AV321" i="1" s="1"/>
  <c r="AM317" i="1"/>
  <c r="AM320" i="1"/>
  <c r="AM321" i="1"/>
  <c r="AG316" i="1"/>
  <c r="Z300" i="1"/>
  <c r="AA300" i="1" s="1"/>
  <c r="AB300" i="1" s="1"/>
  <c r="W296" i="1"/>
  <c r="AG322" i="1"/>
  <c r="AG319" i="1"/>
  <c r="AG318" i="1"/>
  <c r="W297" i="1"/>
  <c r="W298" i="1"/>
  <c r="W299" i="1"/>
  <c r="X299" i="1" s="1"/>
  <c r="X301" i="1"/>
  <c r="X302" i="1"/>
  <c r="V292" i="1"/>
  <c r="Z295" i="1"/>
  <c r="V295" i="1"/>
  <c r="W295" i="1" s="1"/>
  <c r="V293" i="1"/>
  <c r="V294" i="1"/>
  <c r="AL315" i="1"/>
  <c r="AM315" i="1" s="1"/>
  <c r="AR315" i="1" s="1"/>
  <c r="R293" i="1"/>
  <c r="U293" i="1" s="1"/>
  <c r="AA302" i="1"/>
  <c r="AB302" i="1" s="1"/>
  <c r="AD311" i="1"/>
  <c r="AE311" i="1" s="1"/>
  <c r="AF311" i="1" s="1"/>
  <c r="R294" i="1"/>
  <c r="U294" i="1" s="1"/>
  <c r="AD312" i="1"/>
  <c r="AE312" i="1" s="1"/>
  <c r="AF312" i="1" s="1"/>
  <c r="AC308" i="1"/>
  <c r="Z298" i="1"/>
  <c r="Z296" i="1"/>
  <c r="AD310" i="1"/>
  <c r="AE310" i="1" s="1"/>
  <c r="AF310" i="1" s="1"/>
  <c r="AD314" i="1"/>
  <c r="AE314" i="1" s="1"/>
  <c r="AF314" i="1" s="1"/>
  <c r="R292" i="1"/>
  <c r="U292" i="1" s="1"/>
  <c r="AA301" i="1"/>
  <c r="Z299" i="1"/>
  <c r="Q290" i="1"/>
  <c r="Y290" i="1" s="1"/>
  <c r="Q288" i="1"/>
  <c r="Y288" i="1" s="1"/>
  <c r="Q289" i="1"/>
  <c r="Y289" i="1" s="1"/>
  <c r="Q291" i="1"/>
  <c r="Y291" i="1" s="1"/>
  <c r="R295" i="1"/>
  <c r="U295" i="1" s="1"/>
  <c r="AC306" i="1"/>
  <c r="Z297" i="1"/>
  <c r="W67" i="24"/>
  <c r="U67" i="24"/>
  <c r="V67" i="24" s="1"/>
  <c r="AG68" i="24"/>
  <c r="AI68" i="24" s="1"/>
  <c r="AJ68" i="24" s="1"/>
  <c r="S65" i="24"/>
  <c r="T66" i="24"/>
  <c r="AG321" i="1" l="1"/>
  <c r="AR321" i="1"/>
  <c r="AV320" i="1" s="1"/>
  <c r="AG320" i="1"/>
  <c r="AR320" i="1"/>
  <c r="AG317" i="1"/>
  <c r="AR317" i="1"/>
  <c r="AB301" i="1"/>
  <c r="AA299" i="1"/>
  <c r="AB299" i="1" s="1"/>
  <c r="X295" i="1"/>
  <c r="W294" i="1"/>
  <c r="X294" i="1" s="1"/>
  <c r="AG315" i="1"/>
  <c r="X296" i="1"/>
  <c r="X298" i="1"/>
  <c r="W293" i="1"/>
  <c r="W292" i="1"/>
  <c r="X297" i="1"/>
  <c r="V291" i="1"/>
  <c r="W291" i="1" s="1"/>
  <c r="V289" i="1"/>
  <c r="V288" i="1"/>
  <c r="V290" i="1"/>
  <c r="AL312" i="1"/>
  <c r="AM312" i="1" s="1"/>
  <c r="AR312" i="1" s="1"/>
  <c r="AL311" i="1"/>
  <c r="AM311" i="1" s="1"/>
  <c r="AR311" i="1" s="1"/>
  <c r="AL314" i="1"/>
  <c r="AM314" i="1" s="1"/>
  <c r="AR314" i="1" s="1"/>
  <c r="AL310" i="1"/>
  <c r="AM310" i="1" s="1"/>
  <c r="AR310" i="1" s="1"/>
  <c r="AL313" i="1"/>
  <c r="AL309" i="1"/>
  <c r="AA297" i="1"/>
  <c r="Z292" i="1"/>
  <c r="AC303" i="1"/>
  <c r="R291" i="1"/>
  <c r="U291" i="1" s="1"/>
  <c r="AG67" i="24"/>
  <c r="AI67" i="24" s="1"/>
  <c r="AJ67" i="24" s="1"/>
  <c r="R289" i="1"/>
  <c r="U289" i="1" s="1"/>
  <c r="R288" i="1"/>
  <c r="U288" i="1" s="1"/>
  <c r="Z293" i="1"/>
  <c r="AC305" i="1"/>
  <c r="R290" i="1"/>
  <c r="U290" i="1" s="1"/>
  <c r="AD306" i="1"/>
  <c r="AE306" i="1" s="1"/>
  <c r="AF306" i="1" s="1"/>
  <c r="AC304" i="1"/>
  <c r="AA296" i="1"/>
  <c r="AB296" i="1" s="1"/>
  <c r="Z294" i="1"/>
  <c r="AA294" i="1" s="1"/>
  <c r="AB294" i="1" s="1"/>
  <c r="AC300" i="1"/>
  <c r="Q285" i="1"/>
  <c r="Y285" i="1" s="1"/>
  <c r="Q283" i="1"/>
  <c r="Y283" i="1" s="1"/>
  <c r="Q287" i="1"/>
  <c r="Y287" i="1" s="1"/>
  <c r="Q286" i="1"/>
  <c r="Y286" i="1" s="1"/>
  <c r="Q284" i="1"/>
  <c r="Y284" i="1" s="1"/>
  <c r="AA295" i="1"/>
  <c r="AB295" i="1" s="1"/>
  <c r="AA298" i="1"/>
  <c r="AB298" i="1" s="1"/>
  <c r="AD308" i="1"/>
  <c r="AE308" i="1" s="1"/>
  <c r="AF308" i="1" s="1"/>
  <c r="W66" i="24"/>
  <c r="U66" i="24"/>
  <c r="V66" i="24" s="1"/>
  <c r="S64" i="24"/>
  <c r="T65" i="24"/>
  <c r="AB297" i="1" l="1"/>
  <c r="AV319" i="1"/>
  <c r="AV318" i="1" s="1"/>
  <c r="AV317" i="1" s="1"/>
  <c r="AV316" i="1" s="1"/>
  <c r="AV315" i="1" s="1"/>
  <c r="AV314" i="1" s="1"/>
  <c r="AV313" i="1" s="1"/>
  <c r="AG310" i="1"/>
  <c r="AM309" i="1"/>
  <c r="AM313" i="1"/>
  <c r="AG311" i="1"/>
  <c r="Z291" i="1"/>
  <c r="X292" i="1"/>
  <c r="W288" i="1"/>
  <c r="X293" i="1"/>
  <c r="AG314" i="1"/>
  <c r="AG312" i="1"/>
  <c r="X291" i="1"/>
  <c r="W290" i="1"/>
  <c r="X290" i="1" s="1"/>
  <c r="W289" i="1"/>
  <c r="V287" i="1"/>
  <c r="W287" i="1" s="1"/>
  <c r="V283" i="1"/>
  <c r="V285" i="1"/>
  <c r="V286" i="1"/>
  <c r="V284" i="1"/>
  <c r="AL308" i="1"/>
  <c r="AM308" i="1" s="1"/>
  <c r="AR308" i="1" s="1"/>
  <c r="AL307" i="1"/>
  <c r="AL306" i="1"/>
  <c r="AM306" i="1" s="1"/>
  <c r="AR306" i="1" s="1"/>
  <c r="Z290" i="1"/>
  <c r="AA290" i="1" s="1"/>
  <c r="AB290" i="1" s="1"/>
  <c r="AA293" i="1"/>
  <c r="AB293" i="1" s="1"/>
  <c r="R285" i="1"/>
  <c r="U285" i="1" s="1"/>
  <c r="AC302" i="1"/>
  <c r="Z289" i="1"/>
  <c r="AD303" i="1"/>
  <c r="AE303" i="1" s="1"/>
  <c r="AF303" i="1" s="1"/>
  <c r="AD300" i="1"/>
  <c r="AE300" i="1" s="1"/>
  <c r="AF300" i="1" s="1"/>
  <c r="AD305" i="1"/>
  <c r="AE305" i="1" s="1"/>
  <c r="AF305" i="1" s="1"/>
  <c r="AC301" i="1"/>
  <c r="AA292" i="1"/>
  <c r="R284" i="1"/>
  <c r="U284" i="1" s="1"/>
  <c r="AC296" i="1"/>
  <c r="AD296" i="1" s="1"/>
  <c r="AE296" i="1" s="1"/>
  <c r="AF296" i="1" s="1"/>
  <c r="AC297" i="1"/>
  <c r="R286" i="1"/>
  <c r="U286" i="1" s="1"/>
  <c r="Z288" i="1"/>
  <c r="Q280" i="1"/>
  <c r="Y280" i="1" s="1"/>
  <c r="Q282" i="1"/>
  <c r="Y282" i="1" s="1"/>
  <c r="Q281" i="1"/>
  <c r="Y281" i="1" s="1"/>
  <c r="Q279" i="1"/>
  <c r="Y279" i="1" s="1"/>
  <c r="R287" i="1"/>
  <c r="U287" i="1" s="1"/>
  <c r="AC299" i="1"/>
  <c r="R283" i="1"/>
  <c r="U283" i="1" s="1"/>
  <c r="AD304" i="1"/>
  <c r="AE304" i="1" s="1"/>
  <c r="AF304" i="1" s="1"/>
  <c r="AA291" i="1"/>
  <c r="AB291" i="1" s="1"/>
  <c r="S63" i="24"/>
  <c r="T64" i="24"/>
  <c r="W65" i="24"/>
  <c r="U65" i="24"/>
  <c r="V65" i="24" s="1"/>
  <c r="AG66" i="24"/>
  <c r="AI66" i="24" s="1"/>
  <c r="AJ66" i="24" s="1"/>
  <c r="AB292" i="1" l="1"/>
  <c r="AG313" i="1"/>
  <c r="AR313" i="1"/>
  <c r="AV312" i="1" s="1"/>
  <c r="AV311" i="1" s="1"/>
  <c r="AV310" i="1" s="1"/>
  <c r="AV309" i="1" s="1"/>
  <c r="AG309" i="1"/>
  <c r="AR309" i="1"/>
  <c r="X288" i="1"/>
  <c r="AM307" i="1"/>
  <c r="W286" i="1"/>
  <c r="X286" i="1" s="1"/>
  <c r="AG308" i="1"/>
  <c r="Z287" i="1"/>
  <c r="AG306" i="1"/>
  <c r="W284" i="1"/>
  <c r="W285" i="1"/>
  <c r="X287" i="1"/>
  <c r="W283" i="1"/>
  <c r="X289" i="1"/>
  <c r="V280" i="1"/>
  <c r="V282" i="1"/>
  <c r="W282" i="1" s="1"/>
  <c r="V279" i="1"/>
  <c r="V281" i="1"/>
  <c r="AL303" i="1"/>
  <c r="AM303" i="1" s="1"/>
  <c r="AR303" i="1" s="1"/>
  <c r="AL304" i="1"/>
  <c r="AM304" i="1" s="1"/>
  <c r="AR304" i="1" s="1"/>
  <c r="AL305" i="1"/>
  <c r="AM305" i="1" s="1"/>
  <c r="AR305" i="1" s="1"/>
  <c r="AA289" i="1"/>
  <c r="AA288" i="1"/>
  <c r="AB288" i="1" s="1"/>
  <c r="AA287" i="1"/>
  <c r="AB287" i="1" s="1"/>
  <c r="Z283" i="1"/>
  <c r="Q275" i="1"/>
  <c r="Y275" i="1" s="1"/>
  <c r="Q276" i="1"/>
  <c r="Y276" i="1" s="1"/>
  <c r="Q278" i="1"/>
  <c r="Y278" i="1" s="1"/>
  <c r="Q277" i="1"/>
  <c r="Y277" i="1" s="1"/>
  <c r="AC293" i="1"/>
  <c r="AC295" i="1"/>
  <c r="AC290" i="1"/>
  <c r="Z286" i="1"/>
  <c r="AD301" i="1"/>
  <c r="AE301" i="1" s="1"/>
  <c r="AF301" i="1" s="1"/>
  <c r="R279" i="1"/>
  <c r="U279" i="1" s="1"/>
  <c r="Z284" i="1"/>
  <c r="Z285" i="1"/>
  <c r="R281" i="1"/>
  <c r="U281" i="1" s="1"/>
  <c r="R282" i="1"/>
  <c r="U282" i="1" s="1"/>
  <c r="AD297" i="1"/>
  <c r="AE297" i="1" s="1"/>
  <c r="AF297" i="1" s="1"/>
  <c r="AC298" i="1"/>
  <c r="AC291" i="1"/>
  <c r="AD291" i="1" s="1"/>
  <c r="AE291" i="1" s="1"/>
  <c r="AF291" i="1" s="1"/>
  <c r="R280" i="1"/>
  <c r="U280" i="1" s="1"/>
  <c r="AD299" i="1"/>
  <c r="AE299" i="1" s="1"/>
  <c r="AF299" i="1" s="1"/>
  <c r="AC294" i="1"/>
  <c r="AD302" i="1"/>
  <c r="AE302" i="1" s="1"/>
  <c r="AF302" i="1" s="1"/>
  <c r="AG65" i="24"/>
  <c r="AI65" i="24" s="1"/>
  <c r="AJ65" i="24" s="1"/>
  <c r="W64" i="24"/>
  <c r="U64" i="24"/>
  <c r="V64" i="24" s="1"/>
  <c r="S62" i="24"/>
  <c r="T63" i="24"/>
  <c r="AB289" i="1" l="1"/>
  <c r="AG307" i="1"/>
  <c r="AR307" i="1"/>
  <c r="AV308" i="1"/>
  <c r="AV307" i="1" s="1"/>
  <c r="X285" i="1"/>
  <c r="AA286" i="1"/>
  <c r="AB286" i="1" s="1"/>
  <c r="W281" i="1"/>
  <c r="X281" i="1" s="1"/>
  <c r="X283" i="1"/>
  <c r="Z282" i="1"/>
  <c r="AA282" i="1" s="1"/>
  <c r="W280" i="1"/>
  <c r="AG305" i="1"/>
  <c r="AG304" i="1"/>
  <c r="AG303" i="1"/>
  <c r="X282" i="1"/>
  <c r="X284" i="1"/>
  <c r="W279" i="1"/>
  <c r="V277" i="1"/>
  <c r="Z278" i="1"/>
  <c r="V278" i="1"/>
  <c r="W278" i="1" s="1"/>
  <c r="V276" i="1"/>
  <c r="V275" i="1"/>
  <c r="AL300" i="1"/>
  <c r="AL302" i="1"/>
  <c r="AM302" i="1" s="1"/>
  <c r="AR302" i="1" s="1"/>
  <c r="AL299" i="1"/>
  <c r="AM299" i="1" s="1"/>
  <c r="AR299" i="1" s="1"/>
  <c r="AL301" i="1"/>
  <c r="AM301" i="1" s="1"/>
  <c r="AR301" i="1" s="1"/>
  <c r="AA285" i="1"/>
  <c r="AB285" i="1" s="1"/>
  <c r="AA284" i="1"/>
  <c r="R278" i="1"/>
  <c r="U278" i="1" s="1"/>
  <c r="Z279" i="1"/>
  <c r="AD295" i="1"/>
  <c r="AE295" i="1" s="1"/>
  <c r="AF295" i="1" s="1"/>
  <c r="R276" i="1"/>
  <c r="U276" i="1" s="1"/>
  <c r="AD298" i="1"/>
  <c r="AE298" i="1" s="1"/>
  <c r="AF298" i="1" s="1"/>
  <c r="R275" i="1"/>
  <c r="U275" i="1" s="1"/>
  <c r="Z280" i="1"/>
  <c r="AC289" i="1"/>
  <c r="AD294" i="1"/>
  <c r="AE294" i="1" s="1"/>
  <c r="AF294" i="1" s="1"/>
  <c r="Z281" i="1"/>
  <c r="AA281" i="1" s="1"/>
  <c r="AC287" i="1"/>
  <c r="AC292" i="1"/>
  <c r="AD293" i="1"/>
  <c r="AE293" i="1" s="1"/>
  <c r="AF293" i="1" s="1"/>
  <c r="AC288" i="1"/>
  <c r="AA283" i="1"/>
  <c r="AD290" i="1"/>
  <c r="AE290" i="1" s="1"/>
  <c r="AF290" i="1" s="1"/>
  <c r="Q274" i="1"/>
  <c r="Y274" i="1" s="1"/>
  <c r="Q273" i="1"/>
  <c r="Y273" i="1" s="1"/>
  <c r="Q272" i="1"/>
  <c r="Y272" i="1" s="1"/>
  <c r="Q271" i="1"/>
  <c r="Y271" i="1" s="1"/>
  <c r="Q270" i="1"/>
  <c r="Y270" i="1" s="1"/>
  <c r="R277" i="1"/>
  <c r="U277" i="1" s="1"/>
  <c r="S61" i="24"/>
  <c r="T62" i="24"/>
  <c r="W63" i="24"/>
  <c r="U63" i="24"/>
  <c r="V63" i="24" s="1"/>
  <c r="AG64" i="24"/>
  <c r="AI64" i="24" s="1"/>
  <c r="AJ64" i="24" s="1"/>
  <c r="AB281" i="1" l="1"/>
  <c r="AB284" i="1"/>
  <c r="AB283" i="1"/>
  <c r="AB282" i="1"/>
  <c r="AV306" i="1"/>
  <c r="AV305" i="1" s="1"/>
  <c r="AV304" i="1" s="1"/>
  <c r="AV303" i="1" s="1"/>
  <c r="AV302" i="1" s="1"/>
  <c r="AV301" i="1" s="1"/>
  <c r="AV300" i="1" s="1"/>
  <c r="AM300" i="1"/>
  <c r="X280" i="1"/>
  <c r="X279" i="1"/>
  <c r="W276" i="1"/>
  <c r="X278" i="1"/>
  <c r="Z277" i="1"/>
  <c r="AA277" i="1" s="1"/>
  <c r="W277" i="1"/>
  <c r="X277" i="1" s="1"/>
  <c r="AG299" i="1"/>
  <c r="AG301" i="1"/>
  <c r="W275" i="1"/>
  <c r="AG302" i="1"/>
  <c r="V274" i="1"/>
  <c r="W274" i="1" s="1"/>
  <c r="V273" i="1"/>
  <c r="V270" i="1"/>
  <c r="V271" i="1"/>
  <c r="V272" i="1"/>
  <c r="AL298" i="1"/>
  <c r="AM298" i="1" s="1"/>
  <c r="AR298" i="1" s="1"/>
  <c r="AL295" i="1"/>
  <c r="AM295" i="1" s="1"/>
  <c r="AR295" i="1" s="1"/>
  <c r="AL296" i="1"/>
  <c r="AL297" i="1"/>
  <c r="AL293" i="1"/>
  <c r="AM293" i="1" s="1"/>
  <c r="AR293" i="1" s="1"/>
  <c r="AL294" i="1"/>
  <c r="AM294" i="1" s="1"/>
  <c r="AR294" i="1" s="1"/>
  <c r="AC282" i="1"/>
  <c r="R272" i="1"/>
  <c r="U272" i="1" s="1"/>
  <c r="R273" i="1"/>
  <c r="U273" i="1" s="1"/>
  <c r="AA280" i="1"/>
  <c r="AB280" i="1" s="1"/>
  <c r="Q266" i="1"/>
  <c r="Y266" i="1" s="1"/>
  <c r="Q267" i="1"/>
  <c r="Y267" i="1" s="1"/>
  <c r="Q268" i="1"/>
  <c r="Y268" i="1" s="1"/>
  <c r="Q269" i="1"/>
  <c r="Y269" i="1" s="1"/>
  <c r="R274" i="1"/>
  <c r="U274" i="1" s="1"/>
  <c r="Z274" i="1"/>
  <c r="AD287" i="1"/>
  <c r="AE287" i="1" s="1"/>
  <c r="AF287" i="1" s="1"/>
  <c r="Z275" i="1"/>
  <c r="AA279" i="1"/>
  <c r="AB279" i="1" s="1"/>
  <c r="AA278" i="1"/>
  <c r="AB278" i="1" s="1"/>
  <c r="AD288" i="1"/>
  <c r="AE288" i="1" s="1"/>
  <c r="AF288" i="1" s="1"/>
  <c r="AC285" i="1"/>
  <c r="AC286" i="1"/>
  <c r="R270" i="1"/>
  <c r="U270" i="1" s="1"/>
  <c r="AD292" i="1"/>
  <c r="AE292" i="1" s="1"/>
  <c r="AF292" i="1" s="1"/>
  <c r="Z276" i="1"/>
  <c r="AA276" i="1" s="1"/>
  <c r="AC284" i="1"/>
  <c r="R271" i="1"/>
  <c r="U271" i="1" s="1"/>
  <c r="AD289" i="1"/>
  <c r="AE289" i="1" s="1"/>
  <c r="AF289" i="1" s="1"/>
  <c r="AG63" i="24"/>
  <c r="AI63" i="24" s="1"/>
  <c r="AJ63" i="24" s="1"/>
  <c r="W62" i="24"/>
  <c r="U62" i="24"/>
  <c r="V62" i="24" s="1"/>
  <c r="S60" i="24"/>
  <c r="T61" i="24"/>
  <c r="AB277" i="1" l="1"/>
  <c r="AC277" i="1" s="1"/>
  <c r="AG300" i="1"/>
  <c r="AR300" i="1"/>
  <c r="AV299" i="1"/>
  <c r="AV298" i="1" s="1"/>
  <c r="AV297" i="1" s="1"/>
  <c r="AM297" i="1"/>
  <c r="AM296" i="1"/>
  <c r="X275" i="1"/>
  <c r="W272" i="1"/>
  <c r="X274" i="1"/>
  <c r="X276" i="1"/>
  <c r="AB276" i="1" s="1"/>
  <c r="W270" i="1"/>
  <c r="AG293" i="1"/>
  <c r="AG295" i="1"/>
  <c r="AG294" i="1"/>
  <c r="W271" i="1"/>
  <c r="W273" i="1"/>
  <c r="X273" i="1" s="1"/>
  <c r="AG298" i="1"/>
  <c r="V269" i="1"/>
  <c r="W269" i="1" s="1"/>
  <c r="V268" i="1"/>
  <c r="V267" i="1"/>
  <c r="V266" i="1"/>
  <c r="AL288" i="1"/>
  <c r="AM288" i="1" s="1"/>
  <c r="AR288" i="1" s="1"/>
  <c r="AL292" i="1"/>
  <c r="AM292" i="1" s="1"/>
  <c r="AR292" i="1" s="1"/>
  <c r="AL291" i="1"/>
  <c r="AL287" i="1"/>
  <c r="AM287" i="1" s="1"/>
  <c r="AR287" i="1" s="1"/>
  <c r="AL289" i="1"/>
  <c r="AM289" i="1" s="1"/>
  <c r="AR289" i="1" s="1"/>
  <c r="AL290" i="1"/>
  <c r="Z271" i="1"/>
  <c r="AC283" i="1"/>
  <c r="AD284" i="1"/>
  <c r="AE284" i="1" s="1"/>
  <c r="AF284" i="1" s="1"/>
  <c r="AD286" i="1"/>
  <c r="AE286" i="1" s="1"/>
  <c r="AF286" i="1" s="1"/>
  <c r="AA274" i="1"/>
  <c r="AB274" i="1" s="1"/>
  <c r="Z273" i="1"/>
  <c r="AA273" i="1" s="1"/>
  <c r="AC281" i="1"/>
  <c r="R269" i="1"/>
  <c r="U269" i="1" s="1"/>
  <c r="Z272" i="1"/>
  <c r="AD285" i="1"/>
  <c r="AE285" i="1" s="1"/>
  <c r="AF285" i="1" s="1"/>
  <c r="R268" i="1"/>
  <c r="U268" i="1" s="1"/>
  <c r="Q265" i="1"/>
  <c r="Y265" i="1" s="1"/>
  <c r="Q264" i="1"/>
  <c r="Y264" i="1" s="1"/>
  <c r="Q263" i="1"/>
  <c r="Y263" i="1" s="1"/>
  <c r="Q262" i="1"/>
  <c r="Y262" i="1" s="1"/>
  <c r="Z270" i="1"/>
  <c r="R267" i="1"/>
  <c r="U267" i="1" s="1"/>
  <c r="AD282" i="1"/>
  <c r="AE282" i="1" s="1"/>
  <c r="AF282" i="1" s="1"/>
  <c r="AA275" i="1"/>
  <c r="AB275" i="1" s="1"/>
  <c r="R266" i="1"/>
  <c r="U266" i="1" s="1"/>
  <c r="W61" i="24"/>
  <c r="U61" i="24"/>
  <c r="V61" i="24" s="1"/>
  <c r="S59" i="24"/>
  <c r="T60" i="24"/>
  <c r="AG62" i="24"/>
  <c r="AI62" i="24" s="1"/>
  <c r="AJ62" i="24" s="1"/>
  <c r="AG296" i="1" l="1"/>
  <c r="AR296" i="1"/>
  <c r="AG297" i="1"/>
  <c r="AR297" i="1"/>
  <c r="AV296" i="1" s="1"/>
  <c r="AV295" i="1" s="1"/>
  <c r="AV294" i="1" s="1"/>
  <c r="AV293" i="1" s="1"/>
  <c r="AV292" i="1" s="1"/>
  <c r="AV291" i="1" s="1"/>
  <c r="AB273" i="1"/>
  <c r="AM291" i="1"/>
  <c r="AM290" i="1"/>
  <c r="X269" i="1"/>
  <c r="Z269" i="1"/>
  <c r="AA269" i="1" s="1"/>
  <c r="AG287" i="1"/>
  <c r="W267" i="1"/>
  <c r="X270" i="1"/>
  <c r="AG288" i="1"/>
  <c r="X272" i="1"/>
  <c r="X271" i="1"/>
  <c r="AG289" i="1"/>
  <c r="W266" i="1"/>
  <c r="W268" i="1"/>
  <c r="X268" i="1" s="1"/>
  <c r="AG292" i="1"/>
  <c r="V262" i="1"/>
  <c r="V263" i="1"/>
  <c r="V264" i="1"/>
  <c r="V265" i="1"/>
  <c r="W265" i="1" s="1"/>
  <c r="AL286" i="1"/>
  <c r="AM286" i="1" s="1"/>
  <c r="AR286" i="1" s="1"/>
  <c r="AL285" i="1"/>
  <c r="AM285" i="1" s="1"/>
  <c r="AR285" i="1" s="1"/>
  <c r="AL284" i="1"/>
  <c r="AM284" i="1" s="1"/>
  <c r="AR284" i="1" s="1"/>
  <c r="Z266" i="1"/>
  <c r="Z268" i="1"/>
  <c r="Z267" i="1"/>
  <c r="AA270" i="1"/>
  <c r="AA272" i="1"/>
  <c r="AB272" i="1" s="1"/>
  <c r="Q257" i="1"/>
  <c r="Y257" i="1" s="1"/>
  <c r="Q259" i="1"/>
  <c r="Y259" i="1" s="1"/>
  <c r="Q260" i="1"/>
  <c r="Y260" i="1" s="1"/>
  <c r="Q261" i="1"/>
  <c r="Y261" i="1" s="1"/>
  <c r="Q258" i="1"/>
  <c r="Y258" i="1" s="1"/>
  <c r="R264" i="1"/>
  <c r="U264" i="1" s="1"/>
  <c r="AC276" i="1"/>
  <c r="R265" i="1"/>
  <c r="U265" i="1" s="1"/>
  <c r="AA271" i="1"/>
  <c r="AB271" i="1" s="1"/>
  <c r="AD283" i="1"/>
  <c r="AE283" i="1" s="1"/>
  <c r="AF283" i="1" s="1"/>
  <c r="AC279" i="1"/>
  <c r="AG61" i="24"/>
  <c r="AI61" i="24" s="1"/>
  <c r="AJ61" i="24" s="1"/>
  <c r="AD277" i="1"/>
  <c r="AE277" i="1" s="1"/>
  <c r="AF277" i="1" s="1"/>
  <c r="AC278" i="1"/>
  <c r="AD281" i="1"/>
  <c r="AE281" i="1" s="1"/>
  <c r="AF281" i="1" s="1"/>
  <c r="R262" i="1"/>
  <c r="U262" i="1" s="1"/>
  <c r="R263" i="1"/>
  <c r="U263" i="1" s="1"/>
  <c r="AC280" i="1"/>
  <c r="S58" i="24"/>
  <c r="T59" i="24"/>
  <c r="W60" i="24"/>
  <c r="U60" i="24"/>
  <c r="V60" i="24" s="1"/>
  <c r="AG290" i="1" l="1"/>
  <c r="AR290" i="1"/>
  <c r="AB270" i="1"/>
  <c r="AG291" i="1"/>
  <c r="AR291" i="1"/>
  <c r="AV290" i="1" s="1"/>
  <c r="AV289" i="1" s="1"/>
  <c r="AV288" i="1" s="1"/>
  <c r="AV287" i="1" s="1"/>
  <c r="AV286" i="1" s="1"/>
  <c r="AV285" i="1" s="1"/>
  <c r="AV284" i="1" s="1"/>
  <c r="AV283" i="1" s="1"/>
  <c r="AB269" i="1"/>
  <c r="AA268" i="1"/>
  <c r="AB268" i="1" s="1"/>
  <c r="X265" i="1"/>
  <c r="X267" i="1"/>
  <c r="Z265" i="1"/>
  <c r="AA265" i="1" s="1"/>
  <c r="AB265" i="1" s="1"/>
  <c r="X266" i="1"/>
  <c r="AC272" i="1"/>
  <c r="AD272" i="1" s="1"/>
  <c r="AE272" i="1" s="1"/>
  <c r="AF272" i="1" s="1"/>
  <c r="AG285" i="1"/>
  <c r="W263" i="1"/>
  <c r="AG284" i="1"/>
  <c r="AG286" i="1"/>
  <c r="W264" i="1"/>
  <c r="X264" i="1" s="1"/>
  <c r="W262" i="1"/>
  <c r="V258" i="1"/>
  <c r="V261" i="1"/>
  <c r="W261" i="1" s="1"/>
  <c r="V260" i="1"/>
  <c r="V259" i="1"/>
  <c r="V257" i="1"/>
  <c r="AL283" i="1"/>
  <c r="AM283" i="1" s="1"/>
  <c r="AR283" i="1" s="1"/>
  <c r="AL281" i="1"/>
  <c r="AM281" i="1" s="1"/>
  <c r="AR281" i="1" s="1"/>
  <c r="AL282" i="1"/>
  <c r="AA267" i="1"/>
  <c r="AB267" i="1" s="1"/>
  <c r="Z263" i="1"/>
  <c r="AA266" i="1"/>
  <c r="AB266" i="1" s="1"/>
  <c r="Z262" i="1"/>
  <c r="AC275" i="1"/>
  <c r="AD279" i="1"/>
  <c r="AE279" i="1" s="1"/>
  <c r="AF279" i="1" s="1"/>
  <c r="AD276" i="1"/>
  <c r="AE276" i="1" s="1"/>
  <c r="AF276" i="1" s="1"/>
  <c r="R260" i="1"/>
  <c r="U260" i="1" s="1"/>
  <c r="AD280" i="1"/>
  <c r="AE280" i="1" s="1"/>
  <c r="AF280" i="1" s="1"/>
  <c r="R259" i="1"/>
  <c r="U259" i="1" s="1"/>
  <c r="R257" i="1"/>
  <c r="U257" i="1" s="1"/>
  <c r="AD278" i="1"/>
  <c r="AE278" i="1" s="1"/>
  <c r="AF278" i="1" s="1"/>
  <c r="AC274" i="1"/>
  <c r="AC273" i="1"/>
  <c r="Z264" i="1"/>
  <c r="AA264" i="1" s="1"/>
  <c r="AB264" i="1" s="1"/>
  <c r="Q255" i="1"/>
  <c r="Y255" i="1" s="1"/>
  <c r="Q256" i="1"/>
  <c r="Y256" i="1" s="1"/>
  <c r="Q254" i="1"/>
  <c r="Y254" i="1" s="1"/>
  <c r="Q253" i="1"/>
  <c r="Y253" i="1" s="1"/>
  <c r="AC269" i="1"/>
  <c r="AD269" i="1" s="1"/>
  <c r="AE269" i="1" s="1"/>
  <c r="AF269" i="1" s="1"/>
  <c r="AC270" i="1"/>
  <c r="R258" i="1"/>
  <c r="U258" i="1" s="1"/>
  <c r="R261" i="1"/>
  <c r="U261" i="1" s="1"/>
  <c r="Z261" i="1"/>
  <c r="W59" i="24"/>
  <c r="U59" i="24"/>
  <c r="V59" i="24" s="1"/>
  <c r="AG60" i="24"/>
  <c r="AI60" i="24" s="1"/>
  <c r="AJ60" i="24" s="1"/>
  <c r="S57" i="24"/>
  <c r="T58" i="24"/>
  <c r="AV282" i="1" l="1"/>
  <c r="AM282" i="1"/>
  <c r="W260" i="1"/>
  <c r="X260" i="1" s="1"/>
  <c r="W259" i="1"/>
  <c r="X262" i="1"/>
  <c r="W257" i="1"/>
  <c r="AG281" i="1"/>
  <c r="AG283" i="1"/>
  <c r="X261" i="1"/>
  <c r="X263" i="1"/>
  <c r="W258" i="1"/>
  <c r="V254" i="1"/>
  <c r="V256" i="1"/>
  <c r="W256" i="1" s="1"/>
  <c r="V255" i="1"/>
  <c r="V253" i="1"/>
  <c r="AL278" i="1"/>
  <c r="AM278" i="1" s="1"/>
  <c r="AR278" i="1" s="1"/>
  <c r="AL277" i="1"/>
  <c r="AL280" i="1"/>
  <c r="AM280" i="1" s="1"/>
  <c r="AR280" i="1" s="1"/>
  <c r="AL276" i="1"/>
  <c r="AM276" i="1" s="1"/>
  <c r="AR276" i="1" s="1"/>
  <c r="AL279" i="1"/>
  <c r="AM279" i="1" s="1"/>
  <c r="AR279" i="1" s="1"/>
  <c r="AC266" i="1"/>
  <c r="AD266" i="1" s="1"/>
  <c r="AE266" i="1" s="1"/>
  <c r="AF266" i="1" s="1"/>
  <c r="AC267" i="1"/>
  <c r="AD267" i="1" s="1"/>
  <c r="AE267" i="1" s="1"/>
  <c r="AF267" i="1" s="1"/>
  <c r="AA261" i="1"/>
  <c r="AA263" i="1"/>
  <c r="AB263" i="1" s="1"/>
  <c r="AA262" i="1"/>
  <c r="AB262" i="1" s="1"/>
  <c r="Z258" i="1"/>
  <c r="AD270" i="1"/>
  <c r="AE270" i="1" s="1"/>
  <c r="AF270" i="1" s="1"/>
  <c r="AC268" i="1"/>
  <c r="AC271" i="1"/>
  <c r="AD273" i="1"/>
  <c r="AE273" i="1" s="1"/>
  <c r="AF273" i="1" s="1"/>
  <c r="AD275" i="1"/>
  <c r="AE275" i="1" s="1"/>
  <c r="AF275" i="1" s="1"/>
  <c r="Q249" i="1"/>
  <c r="Y249" i="1" s="1"/>
  <c r="Q251" i="1"/>
  <c r="Y251" i="1" s="1"/>
  <c r="Q252" i="1"/>
  <c r="Y252" i="1" s="1"/>
  <c r="Q250" i="1"/>
  <c r="Y250" i="1" s="1"/>
  <c r="R253" i="1"/>
  <c r="U253" i="1" s="1"/>
  <c r="Z257" i="1"/>
  <c r="R254" i="1"/>
  <c r="U254" i="1" s="1"/>
  <c r="Z260" i="1"/>
  <c r="AA260" i="1" s="1"/>
  <c r="AB260" i="1" s="1"/>
  <c r="R256" i="1"/>
  <c r="U256" i="1" s="1"/>
  <c r="AD274" i="1"/>
  <c r="AE274" i="1" s="1"/>
  <c r="AF274" i="1" s="1"/>
  <c r="R255" i="1"/>
  <c r="U255" i="1" s="1"/>
  <c r="AC265" i="1"/>
  <c r="Z259" i="1"/>
  <c r="S56" i="24"/>
  <c r="T57" i="24"/>
  <c r="W58" i="24"/>
  <c r="U58" i="24"/>
  <c r="V58" i="24" s="1"/>
  <c r="AG59" i="24"/>
  <c r="AI59" i="24" s="1"/>
  <c r="AJ59" i="24" s="1"/>
  <c r="AB261" i="1" l="1"/>
  <c r="AG282" i="1"/>
  <c r="AR282" i="1"/>
  <c r="AV281" i="1" s="1"/>
  <c r="AV280" i="1" s="1"/>
  <c r="AV279" i="1" s="1"/>
  <c r="AV278" i="1" s="1"/>
  <c r="AV277" i="1" s="1"/>
  <c r="AM277" i="1"/>
  <c r="X259" i="1"/>
  <c r="X258" i="1"/>
  <c r="W253" i="1"/>
  <c r="X256" i="1"/>
  <c r="Z256" i="1"/>
  <c r="AA256" i="1" s="1"/>
  <c r="AG279" i="1"/>
  <c r="AG280" i="1"/>
  <c r="AG276" i="1"/>
  <c r="AG278" i="1"/>
  <c r="W255" i="1"/>
  <c r="X255" i="1" s="1"/>
  <c r="W254" i="1"/>
  <c r="X257" i="1"/>
  <c r="V250" i="1"/>
  <c r="V252" i="1"/>
  <c r="W252" i="1" s="1"/>
  <c r="V251" i="1"/>
  <c r="V249" i="1"/>
  <c r="AL273" i="1"/>
  <c r="AM273" i="1" s="1"/>
  <c r="AR273" i="1" s="1"/>
  <c r="AL272" i="1"/>
  <c r="AL274" i="1"/>
  <c r="AM274" i="1" s="1"/>
  <c r="AR274" i="1" s="1"/>
  <c r="AL275" i="1"/>
  <c r="AM275" i="1" s="1"/>
  <c r="AR275" i="1" s="1"/>
  <c r="AA259" i="1"/>
  <c r="AB259" i="1" s="1"/>
  <c r="AC262" i="1"/>
  <c r="R250" i="1"/>
  <c r="U250" i="1" s="1"/>
  <c r="AD268" i="1"/>
  <c r="AE268" i="1" s="1"/>
  <c r="AF268" i="1" s="1"/>
  <c r="AC261" i="1"/>
  <c r="Z254" i="1"/>
  <c r="R252" i="1"/>
  <c r="U252" i="1" s="1"/>
  <c r="AC263" i="1"/>
  <c r="AA258" i="1"/>
  <c r="R251" i="1"/>
  <c r="U251" i="1" s="1"/>
  <c r="R249" i="1"/>
  <c r="U249" i="1" s="1"/>
  <c r="Q247" i="1"/>
  <c r="Y247" i="1" s="1"/>
  <c r="Q244" i="1"/>
  <c r="Y244" i="1" s="1"/>
  <c r="Q246" i="1"/>
  <c r="Y246" i="1" s="1"/>
  <c r="Q245" i="1"/>
  <c r="Y245" i="1" s="1"/>
  <c r="Q248" i="1"/>
  <c r="Y248" i="1" s="1"/>
  <c r="AC264" i="1"/>
  <c r="AA257" i="1"/>
  <c r="Z255" i="1"/>
  <c r="AD265" i="1"/>
  <c r="AE265" i="1" s="1"/>
  <c r="AF265" i="1" s="1"/>
  <c r="Z253" i="1"/>
  <c r="AD271" i="1"/>
  <c r="AE271" i="1" s="1"/>
  <c r="AF271" i="1" s="1"/>
  <c r="AG58" i="24"/>
  <c r="AI58" i="24" s="1"/>
  <c r="AJ58" i="24" s="1"/>
  <c r="W57" i="24"/>
  <c r="U57" i="24"/>
  <c r="V57" i="24" s="1"/>
  <c r="S55" i="24"/>
  <c r="T56" i="24"/>
  <c r="AB257" i="1" l="1"/>
  <c r="AB256" i="1"/>
  <c r="AG277" i="1"/>
  <c r="AR277" i="1"/>
  <c r="AV276" i="1" s="1"/>
  <c r="AV275" i="1" s="1"/>
  <c r="AV274" i="1" s="1"/>
  <c r="AV273" i="1" s="1"/>
  <c r="AV272" i="1" s="1"/>
  <c r="AB258" i="1"/>
  <c r="AM272" i="1"/>
  <c r="AA255" i="1"/>
  <c r="AB255" i="1" s="1"/>
  <c r="X252" i="1"/>
  <c r="W249" i="1"/>
  <c r="Z252" i="1"/>
  <c r="AA252" i="1" s="1"/>
  <c r="AB252" i="1" s="1"/>
  <c r="AG274" i="1"/>
  <c r="X254" i="1"/>
  <c r="X253" i="1"/>
  <c r="W251" i="1"/>
  <c r="X251" i="1" s="1"/>
  <c r="W250" i="1"/>
  <c r="AG275" i="1"/>
  <c r="AG273" i="1"/>
  <c r="V245" i="1"/>
  <c r="V246" i="1"/>
  <c r="V248" i="1"/>
  <c r="W248" i="1" s="1"/>
  <c r="V244" i="1"/>
  <c r="V247" i="1"/>
  <c r="AL270" i="1"/>
  <c r="AL268" i="1"/>
  <c r="AM268" i="1" s="1"/>
  <c r="AR268" i="1" s="1"/>
  <c r="AL266" i="1"/>
  <c r="AL267" i="1"/>
  <c r="AL271" i="1"/>
  <c r="AM271" i="1" s="1"/>
  <c r="AR271" i="1" s="1"/>
  <c r="AL269" i="1"/>
  <c r="AL265" i="1"/>
  <c r="AM265" i="1" s="1"/>
  <c r="AR265" i="1" s="1"/>
  <c r="AC259" i="1"/>
  <c r="AD259" i="1" s="1"/>
  <c r="AE259" i="1" s="1"/>
  <c r="AF259" i="1" s="1"/>
  <c r="AA253" i="1"/>
  <c r="Z251" i="1"/>
  <c r="AD262" i="1"/>
  <c r="AE262" i="1" s="1"/>
  <c r="AF262" i="1" s="1"/>
  <c r="AC260" i="1"/>
  <c r="AD264" i="1"/>
  <c r="AE264" i="1" s="1"/>
  <c r="AF264" i="1" s="1"/>
  <c r="AC256" i="1"/>
  <c r="AA254" i="1"/>
  <c r="AB254" i="1" s="1"/>
  <c r="AG57" i="24"/>
  <c r="AI57" i="24" s="1"/>
  <c r="AJ57" i="24" s="1"/>
  <c r="AD261" i="1"/>
  <c r="AE261" i="1" s="1"/>
  <c r="AF261" i="1" s="1"/>
  <c r="R248" i="1"/>
  <c r="U248" i="1" s="1"/>
  <c r="R245" i="1"/>
  <c r="U245" i="1" s="1"/>
  <c r="R246" i="1"/>
  <c r="U246" i="1" s="1"/>
  <c r="AD263" i="1"/>
  <c r="AE263" i="1" s="1"/>
  <c r="AF263" i="1" s="1"/>
  <c r="Q242" i="1"/>
  <c r="Y242" i="1" s="1"/>
  <c r="Q241" i="1"/>
  <c r="Y241" i="1" s="1"/>
  <c r="Q243" i="1"/>
  <c r="Y243" i="1" s="1"/>
  <c r="Q240" i="1"/>
  <c r="Y240" i="1" s="1"/>
  <c r="R244" i="1"/>
  <c r="U244" i="1" s="1"/>
  <c r="Z249" i="1"/>
  <c r="Z250" i="1"/>
  <c r="R247" i="1"/>
  <c r="U247" i="1" s="1"/>
  <c r="W56" i="24"/>
  <c r="U56" i="24"/>
  <c r="V56" i="24" s="1"/>
  <c r="S54" i="24"/>
  <c r="T55" i="24"/>
  <c r="AB253" i="1" l="1"/>
  <c r="AG272" i="1"/>
  <c r="AR272" i="1"/>
  <c r="AV271" i="1" s="1"/>
  <c r="AV270" i="1" s="1"/>
  <c r="AM267" i="1"/>
  <c r="AM266" i="1"/>
  <c r="AM270" i="1"/>
  <c r="AM269" i="1"/>
  <c r="X250" i="1"/>
  <c r="AA251" i="1"/>
  <c r="AB251" i="1" s="1"/>
  <c r="W247" i="1"/>
  <c r="X247" i="1" s="1"/>
  <c r="X249" i="1"/>
  <c r="W244" i="1"/>
  <c r="Z248" i="1"/>
  <c r="AA248" i="1" s="1"/>
  <c r="AB248" i="1" s="1"/>
  <c r="W246" i="1"/>
  <c r="AC253" i="1"/>
  <c r="AD253" i="1" s="1"/>
  <c r="AE253" i="1" s="1"/>
  <c r="AF253" i="1" s="1"/>
  <c r="AG271" i="1"/>
  <c r="AG268" i="1"/>
  <c r="AG265" i="1"/>
  <c r="X248" i="1"/>
  <c r="W245" i="1"/>
  <c r="V241" i="1"/>
  <c r="V242" i="1"/>
  <c r="V240" i="1"/>
  <c r="Z243" i="1"/>
  <c r="V243" i="1"/>
  <c r="W243" i="1" s="1"/>
  <c r="AL264" i="1"/>
  <c r="AM264" i="1" s="1"/>
  <c r="AR264" i="1" s="1"/>
  <c r="AL262" i="1"/>
  <c r="AM262" i="1" s="1"/>
  <c r="AR262" i="1" s="1"/>
  <c r="AL261" i="1"/>
  <c r="AM261" i="1" s="1"/>
  <c r="AR261" i="1" s="1"/>
  <c r="AL263" i="1"/>
  <c r="AM263" i="1" s="1"/>
  <c r="AR263" i="1" s="1"/>
  <c r="AA250" i="1"/>
  <c r="AB250" i="1" s="1"/>
  <c r="Z247" i="1"/>
  <c r="Z244" i="1"/>
  <c r="Z245" i="1"/>
  <c r="AD260" i="1"/>
  <c r="AE260" i="1" s="1"/>
  <c r="AF260" i="1" s="1"/>
  <c r="R240" i="1"/>
  <c r="U240" i="1" s="1"/>
  <c r="Z246" i="1"/>
  <c r="Q239" i="1"/>
  <c r="Y239" i="1" s="1"/>
  <c r="Q236" i="1"/>
  <c r="Y236" i="1" s="1"/>
  <c r="Q238" i="1"/>
  <c r="Y238" i="1" s="1"/>
  <c r="Q237" i="1"/>
  <c r="Y237" i="1" s="1"/>
  <c r="R241" i="1"/>
  <c r="U241" i="1" s="1"/>
  <c r="R242" i="1"/>
  <c r="U242" i="1" s="1"/>
  <c r="AD256" i="1"/>
  <c r="AE256" i="1" s="1"/>
  <c r="AF256" i="1" s="1"/>
  <c r="R243" i="1"/>
  <c r="U243" i="1" s="1"/>
  <c r="AC255" i="1"/>
  <c r="AC257" i="1"/>
  <c r="AA249" i="1"/>
  <c r="AB249" i="1" s="1"/>
  <c r="AC258" i="1"/>
  <c r="W55" i="24"/>
  <c r="U55" i="24"/>
  <c r="V55" i="24" s="1"/>
  <c r="S53" i="24"/>
  <c r="T54" i="24"/>
  <c r="AG56" i="24"/>
  <c r="AI56" i="24" s="1"/>
  <c r="AJ56" i="24" s="1"/>
  <c r="AG269" i="1" l="1"/>
  <c r="AR269" i="1"/>
  <c r="AG270" i="1"/>
  <c r="AR270" i="1"/>
  <c r="AV269" i="1" s="1"/>
  <c r="AV268" i="1" s="1"/>
  <c r="AV267" i="1" s="1"/>
  <c r="AG267" i="1"/>
  <c r="AR267" i="1"/>
  <c r="AG266" i="1"/>
  <c r="AR266" i="1"/>
  <c r="X246" i="1"/>
  <c r="AA247" i="1"/>
  <c r="AB247" i="1" s="1"/>
  <c r="AC247" i="1" s="1"/>
  <c r="W240" i="1"/>
  <c r="X244" i="1"/>
  <c r="W241" i="1"/>
  <c r="X243" i="1"/>
  <c r="X245" i="1"/>
  <c r="AG263" i="1"/>
  <c r="AG261" i="1"/>
  <c r="AG264" i="1"/>
  <c r="W242" i="1"/>
  <c r="X242" i="1" s="1"/>
  <c r="AG262" i="1"/>
  <c r="V239" i="1"/>
  <c r="W239" i="1" s="1"/>
  <c r="V238" i="1"/>
  <c r="V236" i="1"/>
  <c r="V237" i="1"/>
  <c r="AL260" i="1"/>
  <c r="AM260" i="1" s="1"/>
  <c r="AR260" i="1" s="1"/>
  <c r="AL259" i="1"/>
  <c r="AA243" i="1"/>
  <c r="AB243" i="1" s="1"/>
  <c r="AA246" i="1"/>
  <c r="AB246" i="1" s="1"/>
  <c r="Z242" i="1"/>
  <c r="AA242" i="1" s="1"/>
  <c r="Q232" i="1"/>
  <c r="Y232" i="1" s="1"/>
  <c r="Q234" i="1"/>
  <c r="Y234" i="1" s="1"/>
  <c r="Q233" i="1"/>
  <c r="Y233" i="1" s="1"/>
  <c r="Q235" i="1"/>
  <c r="Y235" i="1" s="1"/>
  <c r="Q231" i="1"/>
  <c r="Y231" i="1" s="1"/>
  <c r="AC252" i="1"/>
  <c r="AD257" i="1"/>
  <c r="AE257" i="1" s="1"/>
  <c r="AF257" i="1" s="1"/>
  <c r="AC251" i="1"/>
  <c r="R237" i="1"/>
  <c r="U237" i="1" s="1"/>
  <c r="R238" i="1"/>
  <c r="U238" i="1" s="1"/>
  <c r="Z240" i="1"/>
  <c r="AC254" i="1"/>
  <c r="R236" i="1"/>
  <c r="U236" i="1" s="1"/>
  <c r="AC250" i="1"/>
  <c r="Z241" i="1"/>
  <c r="R239" i="1"/>
  <c r="U239" i="1" s="1"/>
  <c r="AA245" i="1"/>
  <c r="AD258" i="1"/>
  <c r="AE258" i="1" s="1"/>
  <c r="AF258" i="1" s="1"/>
  <c r="AD255" i="1"/>
  <c r="AE255" i="1" s="1"/>
  <c r="AF255" i="1" s="1"/>
  <c r="AC248" i="1"/>
  <c r="AA244" i="1"/>
  <c r="AB244" i="1" s="1"/>
  <c r="W54" i="24"/>
  <c r="U54" i="24"/>
  <c r="V54" i="24" s="1"/>
  <c r="S52" i="24"/>
  <c r="T53" i="24"/>
  <c r="AG55" i="24"/>
  <c r="AI55" i="24" s="1"/>
  <c r="AJ55" i="24" s="1"/>
  <c r="AB242" i="1" l="1"/>
  <c r="AB245" i="1"/>
  <c r="AV266" i="1"/>
  <c r="AV265" i="1" s="1"/>
  <c r="AV264" i="1" s="1"/>
  <c r="AV263" i="1" s="1"/>
  <c r="AV262" i="1" s="1"/>
  <c r="AV261" i="1" s="1"/>
  <c r="AV260" i="1" s="1"/>
  <c r="AV259" i="1" s="1"/>
  <c r="AM259" i="1"/>
  <c r="X239" i="1"/>
  <c r="AC243" i="1"/>
  <c r="AC242" i="1"/>
  <c r="AD242" i="1" s="1"/>
  <c r="AE242" i="1" s="1"/>
  <c r="AF242" i="1" s="1"/>
  <c r="Z239" i="1"/>
  <c r="AA239" i="1" s="1"/>
  <c r="AB239" i="1" s="1"/>
  <c r="W237" i="1"/>
  <c r="W238" i="1"/>
  <c r="X238" i="1" s="1"/>
  <c r="AG260" i="1"/>
  <c r="X241" i="1"/>
  <c r="W236" i="1"/>
  <c r="X240" i="1"/>
  <c r="V233" i="1"/>
  <c r="V235" i="1"/>
  <c r="W235" i="1" s="1"/>
  <c r="V234" i="1"/>
  <c r="V232" i="1"/>
  <c r="V231" i="1"/>
  <c r="AL257" i="1"/>
  <c r="AM257" i="1" s="1"/>
  <c r="AR257" i="1" s="1"/>
  <c r="AL256" i="1"/>
  <c r="AL255" i="1"/>
  <c r="AM255" i="1" s="1"/>
  <c r="AR255" i="1" s="1"/>
  <c r="AL258" i="1"/>
  <c r="AM258" i="1" s="1"/>
  <c r="AR258" i="1" s="1"/>
  <c r="AA241" i="1"/>
  <c r="AB241" i="1" s="1"/>
  <c r="Q230" i="1"/>
  <c r="Y230" i="1" s="1"/>
  <c r="Q229" i="1"/>
  <c r="Y229" i="1" s="1"/>
  <c r="Q227" i="1"/>
  <c r="Y227" i="1" s="1"/>
  <c r="Q228" i="1"/>
  <c r="Y228" i="1" s="1"/>
  <c r="AD252" i="1"/>
  <c r="AE252" i="1" s="1"/>
  <c r="AF252" i="1" s="1"/>
  <c r="Z236" i="1"/>
  <c r="AD251" i="1"/>
  <c r="AE251" i="1" s="1"/>
  <c r="AF251" i="1" s="1"/>
  <c r="R231" i="1"/>
  <c r="U231" i="1" s="1"/>
  <c r="AD254" i="1"/>
  <c r="AE254" i="1" s="1"/>
  <c r="AF254" i="1" s="1"/>
  <c r="AD247" i="1"/>
  <c r="AE247" i="1" s="1"/>
  <c r="AF247" i="1" s="1"/>
  <c r="R235" i="1"/>
  <c r="U235" i="1" s="1"/>
  <c r="R233" i="1"/>
  <c r="U233" i="1" s="1"/>
  <c r="AC249" i="1"/>
  <c r="AD248" i="1"/>
  <c r="AE248" i="1" s="1"/>
  <c r="AF248" i="1" s="1"/>
  <c r="R234" i="1"/>
  <c r="U234" i="1" s="1"/>
  <c r="AA240" i="1"/>
  <c r="R232" i="1"/>
  <c r="U232" i="1" s="1"/>
  <c r="AC246" i="1"/>
  <c r="AD250" i="1"/>
  <c r="AE250" i="1" s="1"/>
  <c r="AF250" i="1" s="1"/>
  <c r="Z238" i="1"/>
  <c r="Z237" i="1"/>
  <c r="W53" i="24"/>
  <c r="U53" i="24"/>
  <c r="V53" i="24" s="1"/>
  <c r="S51" i="24"/>
  <c r="T52" i="24"/>
  <c r="AG54" i="24"/>
  <c r="AI54" i="24" s="1"/>
  <c r="AJ54" i="24" s="1"/>
  <c r="AA238" i="1" l="1"/>
  <c r="AB240" i="1"/>
  <c r="AB238" i="1"/>
  <c r="AG259" i="1"/>
  <c r="AR259" i="1"/>
  <c r="AV258" i="1" s="1"/>
  <c r="AV257" i="1" s="1"/>
  <c r="AV256" i="1" s="1"/>
  <c r="AM256" i="1"/>
  <c r="Z235" i="1"/>
  <c r="AA235" i="1" s="1"/>
  <c r="AB235" i="1" s="1"/>
  <c r="W232" i="1"/>
  <c r="X236" i="1"/>
  <c r="X237" i="1"/>
  <c r="X235" i="1"/>
  <c r="AG258" i="1"/>
  <c r="AG257" i="1"/>
  <c r="AG255" i="1"/>
  <c r="W231" i="1"/>
  <c r="W234" i="1"/>
  <c r="X234" i="1" s="1"/>
  <c r="W233" i="1"/>
  <c r="V228" i="1"/>
  <c r="V227" i="1"/>
  <c r="V229" i="1"/>
  <c r="Z230" i="1"/>
  <c r="V230" i="1"/>
  <c r="W230" i="1" s="1"/>
  <c r="AL252" i="1"/>
  <c r="AM252" i="1" s="1"/>
  <c r="AR252" i="1" s="1"/>
  <c r="AL251" i="1"/>
  <c r="AM251" i="1" s="1"/>
  <c r="AR251" i="1" s="1"/>
  <c r="AL254" i="1"/>
  <c r="AM254" i="1" s="1"/>
  <c r="AR254" i="1" s="1"/>
  <c r="AL253" i="1"/>
  <c r="AL250" i="1"/>
  <c r="AM250" i="1" s="1"/>
  <c r="AR250" i="1" s="1"/>
  <c r="Z233" i="1"/>
  <c r="Z232" i="1"/>
  <c r="AA237" i="1"/>
  <c r="AB237" i="1" s="1"/>
  <c r="AC245" i="1"/>
  <c r="R228" i="1"/>
  <c r="U228" i="1" s="1"/>
  <c r="AC244" i="1"/>
  <c r="AA236" i="1"/>
  <c r="AB236" i="1" s="1"/>
  <c r="R227" i="1"/>
  <c r="U227" i="1" s="1"/>
  <c r="Q226" i="1"/>
  <c r="Y226" i="1" s="1"/>
  <c r="Q224" i="1"/>
  <c r="Y224" i="1" s="1"/>
  <c r="Q225" i="1"/>
  <c r="Y225" i="1" s="1"/>
  <c r="Q223" i="1"/>
  <c r="Y223" i="1" s="1"/>
  <c r="AD249" i="1"/>
  <c r="AE249" i="1" s="1"/>
  <c r="AF249" i="1" s="1"/>
  <c r="AD243" i="1"/>
  <c r="AE243" i="1" s="1"/>
  <c r="AF243" i="1" s="1"/>
  <c r="R229" i="1"/>
  <c r="U229" i="1" s="1"/>
  <c r="AD246" i="1"/>
  <c r="AE246" i="1" s="1"/>
  <c r="AF246" i="1" s="1"/>
  <c r="AC241" i="1"/>
  <c r="R230" i="1"/>
  <c r="U230" i="1" s="1"/>
  <c r="Z231" i="1"/>
  <c r="Z234" i="1"/>
  <c r="AA234" i="1" s="1"/>
  <c r="W52" i="24"/>
  <c r="U52" i="24"/>
  <c r="V52" i="24" s="1"/>
  <c r="S50" i="24"/>
  <c r="T51" i="24"/>
  <c r="AG53" i="24"/>
  <c r="AI53" i="24" s="1"/>
  <c r="AJ53" i="24" s="1"/>
  <c r="AB234" i="1" l="1"/>
  <c r="AG256" i="1"/>
  <c r="AR256" i="1"/>
  <c r="AV255" i="1" s="1"/>
  <c r="AV254" i="1" s="1"/>
  <c r="AV253" i="1" s="1"/>
  <c r="AM253" i="1"/>
  <c r="X233" i="1"/>
  <c r="X230" i="1"/>
  <c r="AG254" i="1"/>
  <c r="W227" i="1"/>
  <c r="AG250" i="1"/>
  <c r="X232" i="1"/>
  <c r="AG251" i="1"/>
  <c r="AG252" i="1"/>
  <c r="W229" i="1"/>
  <c r="X229" i="1" s="1"/>
  <c r="W228" i="1"/>
  <c r="X231" i="1"/>
  <c r="V226" i="1"/>
  <c r="W226" i="1" s="1"/>
  <c r="V224" i="1"/>
  <c r="V223" i="1"/>
  <c r="V225" i="1"/>
  <c r="AL247" i="1"/>
  <c r="AL248" i="1"/>
  <c r="AL246" i="1"/>
  <c r="AM246" i="1" s="1"/>
  <c r="AR246" i="1" s="1"/>
  <c r="AL249" i="1"/>
  <c r="AM249" i="1" s="1"/>
  <c r="AR249" i="1" s="1"/>
  <c r="AA230" i="1"/>
  <c r="AB230" i="1" s="1"/>
  <c r="Z229" i="1"/>
  <c r="AA229" i="1" s="1"/>
  <c r="AB229" i="1" s="1"/>
  <c r="R224" i="1"/>
  <c r="U224" i="1" s="1"/>
  <c r="Z228" i="1"/>
  <c r="R226" i="1"/>
  <c r="U226" i="1" s="1"/>
  <c r="AC240" i="1"/>
  <c r="AD241" i="1"/>
  <c r="AE241" i="1" s="1"/>
  <c r="AF241" i="1" s="1"/>
  <c r="Z227" i="1"/>
  <c r="Q221" i="1"/>
  <c r="Y221" i="1" s="1"/>
  <c r="Q218" i="1"/>
  <c r="Y218" i="1" s="1"/>
  <c r="Q219" i="1"/>
  <c r="Y219" i="1" s="1"/>
  <c r="Q222" i="1"/>
  <c r="Y222" i="1" s="1"/>
  <c r="Q220" i="1"/>
  <c r="Y220" i="1" s="1"/>
  <c r="AD245" i="1"/>
  <c r="AE245" i="1" s="1"/>
  <c r="AF245" i="1" s="1"/>
  <c r="AA233" i="1"/>
  <c r="AB233" i="1" s="1"/>
  <c r="AA231" i="1"/>
  <c r="AB231" i="1" s="1"/>
  <c r="AC236" i="1"/>
  <c r="AD236" i="1" s="1"/>
  <c r="AE236" i="1" s="1"/>
  <c r="AF236" i="1" s="1"/>
  <c r="AC234" i="1"/>
  <c r="AD234" i="1" s="1"/>
  <c r="AE234" i="1" s="1"/>
  <c r="AF234" i="1" s="1"/>
  <c r="AD244" i="1"/>
  <c r="AE244" i="1" s="1"/>
  <c r="AF244" i="1" s="1"/>
  <c r="AC239" i="1"/>
  <c r="R223" i="1"/>
  <c r="U223" i="1" s="1"/>
  <c r="AA232" i="1"/>
  <c r="AB232" i="1" s="1"/>
  <c r="AC238" i="1"/>
  <c r="R225" i="1"/>
  <c r="U225" i="1" s="1"/>
  <c r="W51" i="24"/>
  <c r="U51" i="24"/>
  <c r="V51" i="24" s="1"/>
  <c r="S49" i="24"/>
  <c r="T50" i="24"/>
  <c r="AG52" i="24"/>
  <c r="AI52" i="24" s="1"/>
  <c r="AJ52" i="24" s="1"/>
  <c r="AG253" i="1" l="1"/>
  <c r="AR253" i="1"/>
  <c r="AV252" i="1" s="1"/>
  <c r="AV251" i="1" s="1"/>
  <c r="AV250" i="1" s="1"/>
  <c r="AV249" i="1" s="1"/>
  <c r="AV248" i="1" s="1"/>
  <c r="AM248" i="1"/>
  <c r="AM247" i="1"/>
  <c r="AC230" i="1"/>
  <c r="W225" i="1"/>
  <c r="X225" i="1" s="1"/>
  <c r="AC229" i="1"/>
  <c r="X228" i="1"/>
  <c r="Z226" i="1"/>
  <c r="AA226" i="1" s="1"/>
  <c r="AG249" i="1"/>
  <c r="W224" i="1"/>
  <c r="AG246" i="1"/>
  <c r="W223" i="1"/>
  <c r="X226" i="1"/>
  <c r="X227" i="1"/>
  <c r="V222" i="1"/>
  <c r="W222" i="1" s="1"/>
  <c r="V219" i="1"/>
  <c r="V218" i="1"/>
  <c r="V221" i="1"/>
  <c r="V220" i="1"/>
  <c r="AL243" i="1"/>
  <c r="AL242" i="1"/>
  <c r="AL241" i="1"/>
  <c r="AM241" i="1" s="1"/>
  <c r="AR241" i="1" s="1"/>
  <c r="AL245" i="1"/>
  <c r="AM245" i="1" s="1"/>
  <c r="AR245" i="1" s="1"/>
  <c r="AL244" i="1"/>
  <c r="AM244" i="1" s="1"/>
  <c r="AR244" i="1" s="1"/>
  <c r="Z225" i="1"/>
  <c r="AA228" i="1"/>
  <c r="AA227" i="1"/>
  <c r="AC237" i="1"/>
  <c r="R220" i="1"/>
  <c r="U220" i="1" s="1"/>
  <c r="R222" i="1"/>
  <c r="U222" i="1" s="1"/>
  <c r="AD238" i="1"/>
  <c r="AE238" i="1" s="1"/>
  <c r="AF238" i="1" s="1"/>
  <c r="AD239" i="1"/>
  <c r="AE239" i="1" s="1"/>
  <c r="AF239" i="1" s="1"/>
  <c r="R219" i="1"/>
  <c r="U219" i="1" s="1"/>
  <c r="AD240" i="1"/>
  <c r="AE240" i="1" s="1"/>
  <c r="AF240" i="1" s="1"/>
  <c r="R218" i="1"/>
  <c r="U218" i="1" s="1"/>
  <c r="Q216" i="1"/>
  <c r="Y216" i="1" s="1"/>
  <c r="Q217" i="1"/>
  <c r="Y217" i="1" s="1"/>
  <c r="Q215" i="1"/>
  <c r="Y215" i="1" s="1"/>
  <c r="Q214" i="1"/>
  <c r="Y214" i="1" s="1"/>
  <c r="AG51" i="24"/>
  <c r="AI51" i="24" s="1"/>
  <c r="AJ51" i="24" s="1"/>
  <c r="R221" i="1"/>
  <c r="U221" i="1" s="1"/>
  <c r="Z223" i="1"/>
  <c r="AC235" i="1"/>
  <c r="Z224" i="1"/>
  <c r="W50" i="24"/>
  <c r="U50" i="24"/>
  <c r="V50" i="24" s="1"/>
  <c r="S48" i="24"/>
  <c r="T49" i="24"/>
  <c r="AB227" i="1" l="1"/>
  <c r="AB228" i="1"/>
  <c r="AB226" i="1"/>
  <c r="AG247" i="1"/>
  <c r="AR247" i="1"/>
  <c r="AG248" i="1"/>
  <c r="AR248" i="1"/>
  <c r="AV247" i="1" s="1"/>
  <c r="AV246" i="1" s="1"/>
  <c r="AV245" i="1" s="1"/>
  <c r="AV244" i="1" s="1"/>
  <c r="AV243" i="1" s="1"/>
  <c r="W220" i="1"/>
  <c r="AM242" i="1"/>
  <c r="AM243" i="1"/>
  <c r="X223" i="1"/>
  <c r="AG244" i="1"/>
  <c r="AA225" i="1"/>
  <c r="X222" i="1"/>
  <c r="X224" i="1"/>
  <c r="Z222" i="1"/>
  <c r="AA222" i="1" s="1"/>
  <c r="AB222" i="1" s="1"/>
  <c r="W221" i="1"/>
  <c r="X221" i="1" s="1"/>
  <c r="AC227" i="1"/>
  <c r="AC228" i="1"/>
  <c r="AG245" i="1"/>
  <c r="W219" i="1"/>
  <c r="AG241" i="1"/>
  <c r="W218" i="1"/>
  <c r="V215" i="1"/>
  <c r="V217" i="1"/>
  <c r="W217" i="1" s="1"/>
  <c r="V216" i="1"/>
  <c r="V214" i="1"/>
  <c r="AL239" i="1"/>
  <c r="AM239" i="1" s="1"/>
  <c r="AR239" i="1" s="1"/>
  <c r="AL238" i="1"/>
  <c r="AM238" i="1" s="1"/>
  <c r="AR238" i="1" s="1"/>
  <c r="AL240" i="1"/>
  <c r="AM240" i="1" s="1"/>
  <c r="AR240" i="1" s="1"/>
  <c r="AA224" i="1"/>
  <c r="AB224" i="1" s="1"/>
  <c r="Z221" i="1"/>
  <c r="AA223" i="1"/>
  <c r="AB223" i="1" s="1"/>
  <c r="AD230" i="1"/>
  <c r="AE230" i="1" s="1"/>
  <c r="AF230" i="1" s="1"/>
  <c r="AC226" i="1"/>
  <c r="AD237" i="1"/>
  <c r="AE237" i="1" s="1"/>
  <c r="AF237" i="1" s="1"/>
  <c r="Z218" i="1"/>
  <c r="AC233" i="1"/>
  <c r="AD229" i="1"/>
  <c r="AE229" i="1" s="1"/>
  <c r="AF229" i="1" s="1"/>
  <c r="Q210" i="1"/>
  <c r="Y210" i="1" s="1"/>
  <c r="Q209" i="1"/>
  <c r="Y209" i="1" s="1"/>
  <c r="Q211" i="1"/>
  <c r="Y211" i="1" s="1"/>
  <c r="Q212" i="1"/>
  <c r="Y212" i="1" s="1"/>
  <c r="Q213" i="1"/>
  <c r="Y213" i="1" s="1"/>
  <c r="R214" i="1"/>
  <c r="U214" i="1" s="1"/>
  <c r="AC231" i="1"/>
  <c r="R215" i="1"/>
  <c r="U215" i="1" s="1"/>
  <c r="AC232" i="1"/>
  <c r="R217" i="1"/>
  <c r="U217" i="1" s="1"/>
  <c r="Z220" i="1"/>
  <c r="AD235" i="1"/>
  <c r="AE235" i="1" s="1"/>
  <c r="AF235" i="1" s="1"/>
  <c r="R216" i="1"/>
  <c r="U216" i="1" s="1"/>
  <c r="Z219" i="1"/>
  <c r="W49" i="24"/>
  <c r="U49" i="24"/>
  <c r="V49" i="24" s="1"/>
  <c r="S47" i="24"/>
  <c r="T48" i="24"/>
  <c r="AG50" i="24"/>
  <c r="AI50" i="24" s="1"/>
  <c r="AJ50" i="24" s="1"/>
  <c r="AG243" i="1" l="1"/>
  <c r="AR243" i="1"/>
  <c r="AV242" i="1" s="1"/>
  <c r="AG242" i="1"/>
  <c r="AR242" i="1"/>
  <c r="AB225" i="1"/>
  <c r="AC225" i="1" s="1"/>
  <c r="AD225" i="1" s="1"/>
  <c r="AE225" i="1" s="1"/>
  <c r="AF225" i="1" s="1"/>
  <c r="W216" i="1"/>
  <c r="X216" i="1" s="1"/>
  <c r="AA221" i="1"/>
  <c r="AB221" i="1" s="1"/>
  <c r="AC221" i="1" s="1"/>
  <c r="W214" i="1"/>
  <c r="X219" i="1"/>
  <c r="AG238" i="1"/>
  <c r="Z217" i="1"/>
  <c r="AA217" i="1" s="1"/>
  <c r="AB217" i="1" s="1"/>
  <c r="X220" i="1"/>
  <c r="AG240" i="1"/>
  <c r="W215" i="1"/>
  <c r="AG239" i="1"/>
  <c r="X217" i="1"/>
  <c r="X218" i="1"/>
  <c r="V212" i="1"/>
  <c r="V209" i="1"/>
  <c r="V210" i="1"/>
  <c r="V211" i="1"/>
  <c r="V213" i="1"/>
  <c r="W213" i="1" s="1"/>
  <c r="AL237" i="1"/>
  <c r="AM237" i="1" s="1"/>
  <c r="AR237" i="1" s="1"/>
  <c r="AL236" i="1"/>
  <c r="AL235" i="1"/>
  <c r="AM235" i="1" s="1"/>
  <c r="AR235" i="1" s="1"/>
  <c r="AL234" i="1"/>
  <c r="AA220" i="1"/>
  <c r="AB220" i="1" s="1"/>
  <c r="AA219" i="1"/>
  <c r="AB219" i="1" s="1"/>
  <c r="Z214" i="1"/>
  <c r="R210" i="1"/>
  <c r="U210" i="1" s="1"/>
  <c r="AC223" i="1"/>
  <c r="AD232" i="1"/>
  <c r="AE232" i="1" s="1"/>
  <c r="AF232" i="1" s="1"/>
  <c r="AD227" i="1"/>
  <c r="AE227" i="1" s="1"/>
  <c r="AF227" i="1" s="1"/>
  <c r="AD226" i="1"/>
  <c r="AE226" i="1" s="1"/>
  <c r="AF226" i="1" s="1"/>
  <c r="AC224" i="1"/>
  <c r="AD228" i="1"/>
  <c r="AE228" i="1" s="1"/>
  <c r="AF228" i="1" s="1"/>
  <c r="R213" i="1"/>
  <c r="U213" i="1" s="1"/>
  <c r="Q207" i="1"/>
  <c r="Y207" i="1" s="1"/>
  <c r="Q208" i="1"/>
  <c r="Y208" i="1" s="1"/>
  <c r="Q206" i="1"/>
  <c r="Y206" i="1" s="1"/>
  <c r="Q205" i="1"/>
  <c r="Y205" i="1" s="1"/>
  <c r="R212" i="1"/>
  <c r="U212" i="1" s="1"/>
  <c r="AD233" i="1"/>
  <c r="AE233" i="1" s="1"/>
  <c r="AF233" i="1" s="1"/>
  <c r="Z215" i="1"/>
  <c r="AD231" i="1"/>
  <c r="AE231" i="1" s="1"/>
  <c r="AF231" i="1" s="1"/>
  <c r="R211" i="1"/>
  <c r="U211" i="1" s="1"/>
  <c r="AC222" i="1"/>
  <c r="AD222" i="1" s="1"/>
  <c r="AE222" i="1" s="1"/>
  <c r="AF222" i="1" s="1"/>
  <c r="Z216" i="1"/>
  <c r="R209" i="1"/>
  <c r="U209" i="1" s="1"/>
  <c r="AA218" i="1"/>
  <c r="AB218" i="1" s="1"/>
  <c r="W48" i="24"/>
  <c r="U48" i="24"/>
  <c r="V48" i="24" s="1"/>
  <c r="S46" i="24"/>
  <c r="T47" i="24"/>
  <c r="AG49" i="24"/>
  <c r="AI49" i="24" s="1"/>
  <c r="AJ49" i="24" s="1"/>
  <c r="X215" i="1" l="1"/>
  <c r="AV241" i="1"/>
  <c r="AV240" i="1" s="1"/>
  <c r="AV239" i="1" s="1"/>
  <c r="AV238" i="1" s="1"/>
  <c r="AV237" i="1" s="1"/>
  <c r="AV236" i="1" s="1"/>
  <c r="AM236" i="1"/>
  <c r="AM234" i="1"/>
  <c r="AA216" i="1"/>
  <c r="AB216" i="1" s="1"/>
  <c r="X213" i="1"/>
  <c r="AC217" i="1"/>
  <c r="X214" i="1"/>
  <c r="Z213" i="1"/>
  <c r="AA213" i="1" s="1"/>
  <c r="W210" i="1"/>
  <c r="AC219" i="1"/>
  <c r="Z212" i="1"/>
  <c r="AG235" i="1"/>
  <c r="W211" i="1"/>
  <c r="W209" i="1"/>
  <c r="W212" i="1"/>
  <c r="X212" i="1" s="1"/>
  <c r="AG237" i="1"/>
  <c r="V206" i="1"/>
  <c r="Z208" i="1"/>
  <c r="V208" i="1"/>
  <c r="W208" i="1" s="1"/>
  <c r="V207" i="1"/>
  <c r="V205" i="1"/>
  <c r="AL227" i="1"/>
  <c r="AM227" i="1" s="1"/>
  <c r="AR227" i="1" s="1"/>
  <c r="AL231" i="1"/>
  <c r="AM231" i="1" s="1"/>
  <c r="AR231" i="1" s="1"/>
  <c r="AL232" i="1"/>
  <c r="AM232" i="1" s="1"/>
  <c r="AR232" i="1" s="1"/>
  <c r="AL230" i="1"/>
  <c r="AL233" i="1"/>
  <c r="AM233" i="1" s="1"/>
  <c r="AR233" i="1" s="1"/>
  <c r="AL229" i="1"/>
  <c r="AL228" i="1"/>
  <c r="AM228" i="1" s="1"/>
  <c r="AR228" i="1" s="1"/>
  <c r="AL225" i="1"/>
  <c r="AM225" i="1" s="1"/>
  <c r="AR225" i="1" s="1"/>
  <c r="AL226" i="1"/>
  <c r="AM226" i="1" s="1"/>
  <c r="AR226" i="1" s="1"/>
  <c r="AG48" i="24"/>
  <c r="AI48" i="24" s="1"/>
  <c r="AJ48" i="24" s="1"/>
  <c r="Q198" i="1" s="1"/>
  <c r="Y198" i="1" s="1"/>
  <c r="Z209" i="1"/>
  <c r="Z211" i="1"/>
  <c r="Z210" i="1"/>
  <c r="Q202" i="1"/>
  <c r="Y202" i="1" s="1"/>
  <c r="Q201" i="1"/>
  <c r="Y201" i="1" s="1"/>
  <c r="Q203" i="1"/>
  <c r="Y203" i="1" s="1"/>
  <c r="Q204" i="1"/>
  <c r="Y204" i="1" s="1"/>
  <c r="AD221" i="1"/>
  <c r="AE221" i="1" s="1"/>
  <c r="AF221" i="1" s="1"/>
  <c r="AA214" i="1"/>
  <c r="AA215" i="1"/>
  <c r="AB215" i="1" s="1"/>
  <c r="R205" i="1"/>
  <c r="U205" i="1" s="1"/>
  <c r="AD223" i="1"/>
  <c r="AE223" i="1" s="1"/>
  <c r="AF223" i="1" s="1"/>
  <c r="AD224" i="1"/>
  <c r="AE224" i="1" s="1"/>
  <c r="AF224" i="1" s="1"/>
  <c r="Q199" i="1"/>
  <c r="Y199" i="1" s="1"/>
  <c r="R206" i="1"/>
  <c r="U206" i="1" s="1"/>
  <c r="R208" i="1"/>
  <c r="U208" i="1" s="1"/>
  <c r="R207" i="1"/>
  <c r="U207" i="1" s="1"/>
  <c r="W47" i="24"/>
  <c r="U47" i="24"/>
  <c r="V47" i="24" s="1"/>
  <c r="S45" i="24"/>
  <c r="T46" i="24"/>
  <c r="AB214" i="1" l="1"/>
  <c r="AB213" i="1"/>
  <c r="AG234" i="1"/>
  <c r="AR234" i="1"/>
  <c r="AG236" i="1"/>
  <c r="AR236" i="1"/>
  <c r="AV235" i="1" s="1"/>
  <c r="AV234" i="1" s="1"/>
  <c r="AV233" i="1" s="1"/>
  <c r="AV232" i="1" s="1"/>
  <c r="AV231" i="1" s="1"/>
  <c r="AV230" i="1" s="1"/>
  <c r="AM229" i="1"/>
  <c r="AM230" i="1"/>
  <c r="AA212" i="1"/>
  <c r="AB212" i="1" s="1"/>
  <c r="AA211" i="1"/>
  <c r="W207" i="1"/>
  <c r="X207" i="1" s="1"/>
  <c r="X209" i="1"/>
  <c r="X211" i="1"/>
  <c r="Q200" i="1"/>
  <c r="W206" i="1"/>
  <c r="AG226" i="1"/>
  <c r="AG233" i="1"/>
  <c r="AG225" i="1"/>
  <c r="AG232" i="1"/>
  <c r="AG227" i="1"/>
  <c r="W205" i="1"/>
  <c r="X208" i="1"/>
  <c r="AG228" i="1"/>
  <c r="AG231" i="1"/>
  <c r="X210" i="1"/>
  <c r="V202" i="1"/>
  <c r="V201" i="1"/>
  <c r="V199" i="1"/>
  <c r="V198" i="1"/>
  <c r="V204" i="1"/>
  <c r="W204" i="1" s="1"/>
  <c r="V203" i="1"/>
  <c r="Q196" i="1"/>
  <c r="Y196" i="1" s="1"/>
  <c r="Q197" i="1"/>
  <c r="Y197" i="1" s="1"/>
  <c r="AL223" i="1"/>
  <c r="AM223" i="1" s="1"/>
  <c r="AR223" i="1" s="1"/>
  <c r="AL221" i="1"/>
  <c r="AM221" i="1" s="1"/>
  <c r="AR221" i="1" s="1"/>
  <c r="AL224" i="1"/>
  <c r="AM224" i="1" s="1"/>
  <c r="AR224" i="1" s="1"/>
  <c r="AL222" i="1"/>
  <c r="AC220" i="1"/>
  <c r="AD220" i="1" s="1"/>
  <c r="AE220" i="1" s="1"/>
  <c r="AF220" i="1" s="1"/>
  <c r="AA209" i="1"/>
  <c r="AB209" i="1" s="1"/>
  <c r="AA208" i="1"/>
  <c r="AB208" i="1" s="1"/>
  <c r="AA210" i="1"/>
  <c r="AB210" i="1" s="1"/>
  <c r="R198" i="1"/>
  <c r="U198" i="1" s="1"/>
  <c r="R204" i="1"/>
  <c r="U204" i="1" s="1"/>
  <c r="AD219" i="1"/>
  <c r="AE219" i="1" s="1"/>
  <c r="AF219" i="1" s="1"/>
  <c r="AC216" i="1"/>
  <c r="R203" i="1"/>
  <c r="U203" i="1" s="1"/>
  <c r="R201" i="1"/>
  <c r="U201" i="1" s="1"/>
  <c r="R202" i="1"/>
  <c r="U202" i="1" s="1"/>
  <c r="AC218" i="1"/>
  <c r="AD217" i="1"/>
  <c r="AE217" i="1" s="1"/>
  <c r="AF217" i="1" s="1"/>
  <c r="R199" i="1"/>
  <c r="U199" i="1" s="1"/>
  <c r="Z206" i="1"/>
  <c r="Z205" i="1"/>
  <c r="Z207" i="1"/>
  <c r="AA207" i="1" s="1"/>
  <c r="AB207" i="1" s="1"/>
  <c r="S44" i="24"/>
  <c r="T45" i="24"/>
  <c r="W46" i="24"/>
  <c r="U46" i="24"/>
  <c r="V46" i="24" s="1"/>
  <c r="AG47" i="24"/>
  <c r="AI47" i="24" s="1"/>
  <c r="AJ47" i="24" s="1"/>
  <c r="AB211" i="1" l="1"/>
  <c r="AG230" i="1"/>
  <c r="AR230" i="1"/>
  <c r="AG229" i="1"/>
  <c r="AR229" i="1"/>
  <c r="V200" i="1"/>
  <c r="W200" i="1" s="1"/>
  <c r="Y200" i="1"/>
  <c r="Z200" i="1" s="1"/>
  <c r="AV229" i="1"/>
  <c r="AV228" i="1" s="1"/>
  <c r="AV227" i="1" s="1"/>
  <c r="AV226" i="1" s="1"/>
  <c r="AV225" i="1" s="1"/>
  <c r="AV224" i="1" s="1"/>
  <c r="AV223" i="1" s="1"/>
  <c r="AV222" i="1" s="1"/>
  <c r="X206" i="1"/>
  <c r="AM222" i="1"/>
  <c r="R200" i="1"/>
  <c r="U200" i="1" s="1"/>
  <c r="AC211" i="1"/>
  <c r="AD211" i="1" s="1"/>
  <c r="AE211" i="1" s="1"/>
  <c r="AF211" i="1" s="1"/>
  <c r="AC208" i="1"/>
  <c r="X204" i="1"/>
  <c r="X205" i="1"/>
  <c r="Z204" i="1"/>
  <c r="AA204" i="1" s="1"/>
  <c r="AB204" i="1" s="1"/>
  <c r="AC210" i="1"/>
  <c r="AC209" i="1"/>
  <c r="W203" i="1"/>
  <c r="X203" i="1" s="1"/>
  <c r="W202" i="1"/>
  <c r="AG224" i="1"/>
  <c r="AG223" i="1"/>
  <c r="W199" i="1"/>
  <c r="W201" i="1"/>
  <c r="AG221" i="1"/>
  <c r="V197" i="1"/>
  <c r="V196" i="1"/>
  <c r="R196" i="1"/>
  <c r="U196" i="1" s="1"/>
  <c r="R197" i="1"/>
  <c r="U197" i="1" s="1"/>
  <c r="AL220" i="1"/>
  <c r="AM220" i="1" s="1"/>
  <c r="AR220" i="1" s="1"/>
  <c r="AL219" i="1"/>
  <c r="AM219" i="1" s="1"/>
  <c r="AR219" i="1" s="1"/>
  <c r="Z203" i="1"/>
  <c r="Z202" i="1"/>
  <c r="Q193" i="1"/>
  <c r="Y193" i="1" s="1"/>
  <c r="Q195" i="1"/>
  <c r="Y195" i="1" s="1"/>
  <c r="Q192" i="1"/>
  <c r="Y192" i="1" s="1"/>
  <c r="Q194" i="1"/>
  <c r="Y194" i="1" s="1"/>
  <c r="AC215" i="1"/>
  <c r="AA205" i="1"/>
  <c r="Z201" i="1"/>
  <c r="AA206" i="1"/>
  <c r="AD218" i="1"/>
  <c r="AE218" i="1" s="1"/>
  <c r="AF218" i="1" s="1"/>
  <c r="AC214" i="1"/>
  <c r="AD216" i="1"/>
  <c r="AE216" i="1" s="1"/>
  <c r="AF216" i="1" s="1"/>
  <c r="Z198" i="1"/>
  <c r="AC212" i="1"/>
  <c r="AC213" i="1"/>
  <c r="AG46" i="24"/>
  <c r="AI46" i="24" s="1"/>
  <c r="AJ46" i="24" s="1"/>
  <c r="W45" i="24"/>
  <c r="U45" i="24"/>
  <c r="V45" i="24" s="1"/>
  <c r="T44" i="24"/>
  <c r="S43" i="24"/>
  <c r="W197" i="1" l="1"/>
  <c r="Z199" i="1"/>
  <c r="AB205" i="1"/>
  <c r="W198" i="1"/>
  <c r="X197" i="1" s="1"/>
  <c r="AB206" i="1"/>
  <c r="AG222" i="1"/>
  <c r="AR222" i="1"/>
  <c r="AV221" i="1" s="1"/>
  <c r="AV220" i="1" s="1"/>
  <c r="AV219" i="1" s="1"/>
  <c r="AV218" i="1" s="1"/>
  <c r="AA203" i="1"/>
  <c r="AB203" i="1" s="1"/>
  <c r="AG219" i="1"/>
  <c r="Z197" i="1"/>
  <c r="AA197" i="1" s="1"/>
  <c r="X201" i="1"/>
  <c r="W196" i="1"/>
  <c r="X202" i="1"/>
  <c r="AG220" i="1"/>
  <c r="X199" i="1"/>
  <c r="X200" i="1"/>
  <c r="Z196" i="1"/>
  <c r="V194" i="1"/>
  <c r="V192" i="1"/>
  <c r="V195" i="1"/>
  <c r="W195" i="1" s="1"/>
  <c r="V193" i="1"/>
  <c r="AL217" i="1"/>
  <c r="AL218" i="1"/>
  <c r="AM218" i="1" s="1"/>
  <c r="AR218" i="1" s="1"/>
  <c r="AL216" i="1"/>
  <c r="AM216" i="1" s="1"/>
  <c r="AR216" i="1" s="1"/>
  <c r="AA198" i="1"/>
  <c r="AA202" i="1"/>
  <c r="AA201" i="1"/>
  <c r="AA200" i="1"/>
  <c r="AD215" i="1"/>
  <c r="AE215" i="1" s="1"/>
  <c r="AF215" i="1" s="1"/>
  <c r="Q191" i="1"/>
  <c r="Y191" i="1" s="1"/>
  <c r="Q188" i="1"/>
  <c r="Y188" i="1" s="1"/>
  <c r="Q190" i="1"/>
  <c r="Y190" i="1" s="1"/>
  <c r="Q189" i="1"/>
  <c r="Y189" i="1" s="1"/>
  <c r="AD208" i="1"/>
  <c r="AE208" i="1" s="1"/>
  <c r="AF208" i="1" s="1"/>
  <c r="AC207" i="1"/>
  <c r="AA199" i="1"/>
  <c r="R194" i="1"/>
  <c r="U194" i="1" s="1"/>
  <c r="AD213" i="1"/>
  <c r="AE213" i="1" s="1"/>
  <c r="AF213" i="1" s="1"/>
  <c r="R192" i="1"/>
  <c r="U192" i="1" s="1"/>
  <c r="R195" i="1"/>
  <c r="U195" i="1" s="1"/>
  <c r="Z195" i="1"/>
  <c r="R193" i="1"/>
  <c r="U193" i="1" s="1"/>
  <c r="AD209" i="1"/>
  <c r="AE209" i="1" s="1"/>
  <c r="AF209" i="1" s="1"/>
  <c r="AD212" i="1"/>
  <c r="AE212" i="1" s="1"/>
  <c r="AF212" i="1" s="1"/>
  <c r="AD214" i="1"/>
  <c r="AE214" i="1" s="1"/>
  <c r="AF214" i="1" s="1"/>
  <c r="AD210" i="1"/>
  <c r="AE210" i="1" s="1"/>
  <c r="AF210" i="1" s="1"/>
  <c r="S42" i="24"/>
  <c r="T43" i="24"/>
  <c r="W44" i="24"/>
  <c r="U44" i="24"/>
  <c r="V44" i="24" s="1"/>
  <c r="AG45" i="24"/>
  <c r="AI45" i="24" s="1"/>
  <c r="AJ45" i="24" s="1"/>
  <c r="AV217" i="1" l="1"/>
  <c r="AB201" i="1"/>
  <c r="X196" i="1"/>
  <c r="AB197" i="1"/>
  <c r="AB199" i="1"/>
  <c r="X198" i="1"/>
  <c r="AB198" i="1" s="1"/>
  <c r="AC198" i="1" s="1"/>
  <c r="AB200" i="1"/>
  <c r="AC200" i="1" s="1"/>
  <c r="AB202" i="1"/>
  <c r="AC202" i="1" s="1"/>
  <c r="AA196" i="1"/>
  <c r="AB196" i="1" s="1"/>
  <c r="AM217" i="1"/>
  <c r="AA195" i="1"/>
  <c r="AC196" i="1"/>
  <c r="X195" i="1"/>
  <c r="AG218" i="1"/>
  <c r="AG216" i="1"/>
  <c r="W194" i="1"/>
  <c r="X194" i="1" s="1"/>
  <c r="W193" i="1"/>
  <c r="W192" i="1"/>
  <c r="V188" i="1"/>
  <c r="V190" i="1"/>
  <c r="V191" i="1"/>
  <c r="W191" i="1" s="1"/>
  <c r="V189" i="1"/>
  <c r="AL211" i="1"/>
  <c r="AL214" i="1"/>
  <c r="AM214" i="1" s="1"/>
  <c r="AR214" i="1" s="1"/>
  <c r="AL215" i="1"/>
  <c r="AM215" i="1" s="1"/>
  <c r="AR215" i="1" s="1"/>
  <c r="AL213" i="1"/>
  <c r="AM213" i="1" s="1"/>
  <c r="AR213" i="1" s="1"/>
  <c r="AL212" i="1"/>
  <c r="AM212" i="1" s="1"/>
  <c r="AR212" i="1" s="1"/>
  <c r="AL209" i="1"/>
  <c r="AM209" i="1" s="1"/>
  <c r="AR209" i="1" s="1"/>
  <c r="AL208" i="1"/>
  <c r="AM208" i="1" s="1"/>
  <c r="AR208" i="1" s="1"/>
  <c r="AL210" i="1"/>
  <c r="AM210" i="1" s="1"/>
  <c r="AR210" i="1" s="1"/>
  <c r="AC197" i="1"/>
  <c r="AD197" i="1" s="1"/>
  <c r="AE197" i="1" s="1"/>
  <c r="AF197" i="1" s="1"/>
  <c r="Z193" i="1"/>
  <c r="AC204" i="1"/>
  <c r="AC203" i="1"/>
  <c r="AC206" i="1"/>
  <c r="R189" i="1"/>
  <c r="U189" i="1" s="1"/>
  <c r="AC205" i="1"/>
  <c r="AC201" i="1"/>
  <c r="R190" i="1"/>
  <c r="U190" i="1" s="1"/>
  <c r="Z194" i="1"/>
  <c r="AA194" i="1" s="1"/>
  <c r="AB194" i="1" s="1"/>
  <c r="R188" i="1"/>
  <c r="U188" i="1" s="1"/>
  <c r="Q185" i="1"/>
  <c r="Y185" i="1" s="1"/>
  <c r="Q187" i="1"/>
  <c r="Y187" i="1" s="1"/>
  <c r="Q186" i="1"/>
  <c r="Y186" i="1" s="1"/>
  <c r="Q184" i="1"/>
  <c r="Y184" i="1" s="1"/>
  <c r="R191" i="1"/>
  <c r="U191" i="1" s="1"/>
  <c r="Z192" i="1"/>
  <c r="AD207" i="1"/>
  <c r="AE207" i="1" s="1"/>
  <c r="AF207" i="1" s="1"/>
  <c r="W43" i="24"/>
  <c r="U43" i="24"/>
  <c r="V43" i="24" s="1"/>
  <c r="AG44" i="24"/>
  <c r="AI44" i="24" s="1"/>
  <c r="AJ44" i="24" s="1"/>
  <c r="T42" i="24"/>
  <c r="S41" i="24"/>
  <c r="AB195" i="1" l="1"/>
  <c r="AG217" i="1"/>
  <c r="AR217" i="1"/>
  <c r="AV216" i="1" s="1"/>
  <c r="AV215" i="1" s="1"/>
  <c r="AV214" i="1" s="1"/>
  <c r="AV213" i="1" s="1"/>
  <c r="AV212" i="1" s="1"/>
  <c r="AV211" i="1" s="1"/>
  <c r="AM211" i="1"/>
  <c r="X193" i="1"/>
  <c r="W189" i="1"/>
  <c r="AC194" i="1"/>
  <c r="AD194" i="1" s="1"/>
  <c r="AE194" i="1" s="1"/>
  <c r="AF194" i="1" s="1"/>
  <c r="W190" i="1"/>
  <c r="AG212" i="1"/>
  <c r="Z191" i="1"/>
  <c r="AA191" i="1" s="1"/>
  <c r="AB191" i="1" s="1"/>
  <c r="AG208" i="1"/>
  <c r="AG215" i="1"/>
  <c r="AG210" i="1"/>
  <c r="AG209" i="1"/>
  <c r="AG213" i="1"/>
  <c r="AG214" i="1"/>
  <c r="X191" i="1"/>
  <c r="W188" i="1"/>
  <c r="X192" i="1"/>
  <c r="V184" i="1"/>
  <c r="V186" i="1"/>
  <c r="V187" i="1"/>
  <c r="W187" i="1" s="1"/>
  <c r="V185" i="1"/>
  <c r="AL207" i="1"/>
  <c r="AM207" i="1" s="1"/>
  <c r="AR207" i="1" s="1"/>
  <c r="AA192" i="1"/>
  <c r="Z190" i="1"/>
  <c r="Q183" i="1"/>
  <c r="Y183" i="1" s="1"/>
  <c r="Q180" i="1"/>
  <c r="Y180" i="1" s="1"/>
  <c r="Q182" i="1"/>
  <c r="Y182" i="1" s="1"/>
  <c r="Q181" i="1"/>
  <c r="Y181" i="1" s="1"/>
  <c r="Q179" i="1"/>
  <c r="Y179" i="1" s="1"/>
  <c r="AD204" i="1"/>
  <c r="AE204" i="1" s="1"/>
  <c r="AF204" i="1" s="1"/>
  <c r="R186" i="1"/>
  <c r="U186" i="1" s="1"/>
  <c r="Z189" i="1"/>
  <c r="R187" i="1"/>
  <c r="U187" i="1" s="1"/>
  <c r="R184" i="1"/>
  <c r="U184" i="1" s="1"/>
  <c r="R185" i="1"/>
  <c r="U185" i="1" s="1"/>
  <c r="AC199" i="1"/>
  <c r="AD206" i="1"/>
  <c r="AE206" i="1" s="1"/>
  <c r="AF206" i="1" s="1"/>
  <c r="AC195" i="1"/>
  <c r="AG43" i="24"/>
  <c r="AI43" i="24" s="1"/>
  <c r="AJ43" i="24" s="1"/>
  <c r="AD202" i="1"/>
  <c r="AE202" i="1" s="1"/>
  <c r="AF202" i="1" s="1"/>
  <c r="Z188" i="1"/>
  <c r="AD201" i="1"/>
  <c r="AE201" i="1" s="1"/>
  <c r="AF201" i="1" s="1"/>
  <c r="AA193" i="1"/>
  <c r="AB193" i="1" s="1"/>
  <c r="AD196" i="1"/>
  <c r="AE196" i="1" s="1"/>
  <c r="AF196" i="1" s="1"/>
  <c r="AD200" i="1"/>
  <c r="AE200" i="1" s="1"/>
  <c r="AF200" i="1" s="1"/>
  <c r="AD198" i="1"/>
  <c r="AE198" i="1" s="1"/>
  <c r="AF198" i="1" s="1"/>
  <c r="AD205" i="1"/>
  <c r="AE205" i="1" s="1"/>
  <c r="AF205" i="1" s="1"/>
  <c r="AD203" i="1"/>
  <c r="AE203" i="1" s="1"/>
  <c r="AF203" i="1" s="1"/>
  <c r="S40" i="24"/>
  <c r="T41" i="24"/>
  <c r="W42" i="24"/>
  <c r="U42" i="24"/>
  <c r="V42" i="24" s="1"/>
  <c r="AG211" i="1" l="1"/>
  <c r="AR211" i="1"/>
  <c r="AV210" i="1" s="1"/>
  <c r="AV209" i="1" s="1"/>
  <c r="AV208" i="1" s="1"/>
  <c r="AV207" i="1" s="1"/>
  <c r="AV206" i="1" s="1"/>
  <c r="X188" i="1"/>
  <c r="AB192" i="1"/>
  <c r="AA190" i="1"/>
  <c r="X189" i="1"/>
  <c r="X190" i="1"/>
  <c r="X187" i="1"/>
  <c r="Z187" i="1"/>
  <c r="AA187" i="1" s="1"/>
  <c r="W186" i="1"/>
  <c r="X186" i="1" s="1"/>
  <c r="W185" i="1"/>
  <c r="AC192" i="1"/>
  <c r="AG207" i="1"/>
  <c r="W184" i="1"/>
  <c r="V181" i="1"/>
  <c r="V182" i="1"/>
  <c r="V180" i="1"/>
  <c r="V183" i="1"/>
  <c r="W183" i="1" s="1"/>
  <c r="V179" i="1"/>
  <c r="AL200" i="1"/>
  <c r="AM200" i="1" s="1"/>
  <c r="AR200" i="1" s="1"/>
  <c r="AL206" i="1"/>
  <c r="AM206" i="1" s="1"/>
  <c r="AR206" i="1" s="1"/>
  <c r="AL204" i="1"/>
  <c r="AM204" i="1" s="1"/>
  <c r="AR204" i="1" s="1"/>
  <c r="AL201" i="1"/>
  <c r="AM201" i="1" s="1"/>
  <c r="AR201" i="1" s="1"/>
  <c r="AL205" i="1"/>
  <c r="AM205" i="1" s="1"/>
  <c r="AR205" i="1" s="1"/>
  <c r="AL202" i="1"/>
  <c r="AM202" i="1" s="1"/>
  <c r="AR202" i="1" s="1"/>
  <c r="AL203" i="1"/>
  <c r="AM203" i="1" s="1"/>
  <c r="AR203" i="1" s="1"/>
  <c r="AA188" i="1"/>
  <c r="AB188" i="1" s="1"/>
  <c r="AA189" i="1"/>
  <c r="Z186" i="1"/>
  <c r="Q175" i="1"/>
  <c r="Y175" i="1" s="1"/>
  <c r="Q178" i="1"/>
  <c r="Y178" i="1" s="1"/>
  <c r="Q177" i="1"/>
  <c r="Y177" i="1" s="1"/>
  <c r="Q176" i="1"/>
  <c r="Y176" i="1" s="1"/>
  <c r="AC191" i="1"/>
  <c r="AD199" i="1"/>
  <c r="AE199" i="1" s="1"/>
  <c r="AF199" i="1" s="1"/>
  <c r="R179" i="1"/>
  <c r="U179" i="1" s="1"/>
  <c r="Z185" i="1"/>
  <c r="R181" i="1"/>
  <c r="U181" i="1" s="1"/>
  <c r="R182" i="1"/>
  <c r="U182" i="1" s="1"/>
  <c r="AD195" i="1"/>
  <c r="AE195" i="1" s="1"/>
  <c r="AF195" i="1" s="1"/>
  <c r="Z184" i="1"/>
  <c r="R180" i="1"/>
  <c r="U180" i="1" s="1"/>
  <c r="R183" i="1"/>
  <c r="U183" i="1" s="1"/>
  <c r="AG42" i="24"/>
  <c r="AI42" i="24" s="1"/>
  <c r="AJ42" i="24" s="1"/>
  <c r="W41" i="24"/>
  <c r="U41" i="24"/>
  <c r="V41" i="24" s="1"/>
  <c r="S39" i="24"/>
  <c r="T40" i="24"/>
  <c r="AB189" i="1" l="1"/>
  <c r="AV205" i="1"/>
  <c r="AV204" i="1" s="1"/>
  <c r="AV203" i="1" s="1"/>
  <c r="AV202" i="1" s="1"/>
  <c r="AV201" i="1" s="1"/>
  <c r="AV200" i="1" s="1"/>
  <c r="AV199" i="1" s="1"/>
  <c r="AB187" i="1"/>
  <c r="AB190" i="1"/>
  <c r="AC190" i="1" s="1"/>
  <c r="AD190" i="1" s="1"/>
  <c r="AE190" i="1" s="1"/>
  <c r="AF190" i="1" s="1"/>
  <c r="AA186" i="1"/>
  <c r="AB186" i="1" s="1"/>
  <c r="AC186" i="1" s="1"/>
  <c r="X185" i="1"/>
  <c r="AG201" i="1"/>
  <c r="W179" i="1"/>
  <c r="W181" i="1"/>
  <c r="X183" i="1"/>
  <c r="X184" i="1"/>
  <c r="Z183" i="1"/>
  <c r="AA183" i="1" s="1"/>
  <c r="AB183" i="1" s="1"/>
  <c r="AG206" i="1"/>
  <c r="W180" i="1"/>
  <c r="AG203" i="1"/>
  <c r="AG205" i="1"/>
  <c r="AG204" i="1"/>
  <c r="AG200" i="1"/>
  <c r="W182" i="1"/>
  <c r="X182" i="1" s="1"/>
  <c r="AG202" i="1"/>
  <c r="V176" i="1"/>
  <c r="V177" i="1"/>
  <c r="V178" i="1"/>
  <c r="W178" i="1" s="1"/>
  <c r="V175" i="1"/>
  <c r="AL196" i="1"/>
  <c r="AL194" i="1"/>
  <c r="AL195" i="1"/>
  <c r="AM195" i="1" s="1"/>
  <c r="AR195" i="1" s="1"/>
  <c r="AL199" i="1"/>
  <c r="AM199" i="1" s="1"/>
  <c r="AR199" i="1" s="1"/>
  <c r="AV198" i="1" s="1"/>
  <c r="AL198" i="1"/>
  <c r="AL197" i="1"/>
  <c r="AA185" i="1"/>
  <c r="AB185" i="1" s="1"/>
  <c r="AA184" i="1"/>
  <c r="AB184" i="1" s="1"/>
  <c r="Z180" i="1"/>
  <c r="Z179" i="1"/>
  <c r="AC188" i="1"/>
  <c r="Q172" i="1"/>
  <c r="Y172" i="1" s="1"/>
  <c r="Q174" i="1"/>
  <c r="Y174" i="1" s="1"/>
  <c r="Q173" i="1"/>
  <c r="Y173" i="1" s="1"/>
  <c r="Q170" i="1"/>
  <c r="Y170" i="1" s="1"/>
  <c r="Q171" i="1"/>
  <c r="Y171" i="1" s="1"/>
  <c r="R176" i="1"/>
  <c r="U176" i="1" s="1"/>
  <c r="R177" i="1"/>
  <c r="U177" i="1" s="1"/>
  <c r="Z181" i="1"/>
  <c r="R178" i="1"/>
  <c r="U178" i="1" s="1"/>
  <c r="Z178" i="1"/>
  <c r="R175" i="1"/>
  <c r="U175" i="1" s="1"/>
  <c r="Z182" i="1"/>
  <c r="AC189" i="1"/>
  <c r="AD192" i="1"/>
  <c r="AE192" i="1" s="1"/>
  <c r="AF192" i="1" s="1"/>
  <c r="AC193" i="1"/>
  <c r="AD191" i="1"/>
  <c r="AE191" i="1" s="1"/>
  <c r="AF191" i="1" s="1"/>
  <c r="W40" i="24"/>
  <c r="U40" i="24"/>
  <c r="V40" i="24" s="1"/>
  <c r="S38" i="24"/>
  <c r="T39" i="24"/>
  <c r="AG41" i="24"/>
  <c r="AI41" i="24" s="1"/>
  <c r="AJ41" i="24" s="1"/>
  <c r="AM194" i="1" l="1"/>
  <c r="AM198" i="1"/>
  <c r="AM197" i="1"/>
  <c r="AM196" i="1"/>
  <c r="X178" i="1"/>
  <c r="W177" i="1"/>
  <c r="X177" i="1" s="1"/>
  <c r="AA182" i="1"/>
  <c r="W175" i="1"/>
  <c r="X181" i="1"/>
  <c r="AG195" i="1"/>
  <c r="AG199" i="1"/>
  <c r="W176" i="1"/>
  <c r="X179" i="1"/>
  <c r="X180" i="1"/>
  <c r="V170" i="1"/>
  <c r="V173" i="1"/>
  <c r="Z174" i="1"/>
  <c r="V174" i="1"/>
  <c r="W174" i="1" s="1"/>
  <c r="V172" i="1"/>
  <c r="V171" i="1"/>
  <c r="AC184" i="1"/>
  <c r="AD184" i="1" s="1"/>
  <c r="AE184" i="1" s="1"/>
  <c r="AF184" i="1" s="1"/>
  <c r="AA181" i="1"/>
  <c r="Z177" i="1"/>
  <c r="AA177" i="1" s="1"/>
  <c r="AB177" i="1" s="1"/>
  <c r="R171" i="1"/>
  <c r="U171" i="1" s="1"/>
  <c r="R170" i="1"/>
  <c r="U170" i="1" s="1"/>
  <c r="AC187" i="1"/>
  <c r="R173" i="1"/>
  <c r="U173" i="1" s="1"/>
  <c r="AD186" i="1"/>
  <c r="AE186" i="1" s="1"/>
  <c r="AF186" i="1" s="1"/>
  <c r="Q166" i="1"/>
  <c r="Y166" i="1" s="1"/>
  <c r="Q168" i="1"/>
  <c r="Y168" i="1" s="1"/>
  <c r="Q169" i="1"/>
  <c r="Y169" i="1" s="1"/>
  <c r="Q167" i="1"/>
  <c r="Y167" i="1" s="1"/>
  <c r="Z175" i="1"/>
  <c r="R174" i="1"/>
  <c r="U174" i="1" s="1"/>
  <c r="Z176" i="1"/>
  <c r="R172" i="1"/>
  <c r="U172" i="1" s="1"/>
  <c r="AA179" i="1"/>
  <c r="AB179" i="1" s="1"/>
  <c r="AC183" i="1"/>
  <c r="AD189" i="1"/>
  <c r="AE189" i="1" s="1"/>
  <c r="AF189" i="1" s="1"/>
  <c r="AA180" i="1"/>
  <c r="AB180" i="1" s="1"/>
  <c r="AC185" i="1"/>
  <c r="AD193" i="1"/>
  <c r="AE193" i="1" s="1"/>
  <c r="AF193" i="1" s="1"/>
  <c r="AD188" i="1"/>
  <c r="AE188" i="1" s="1"/>
  <c r="AF188" i="1" s="1"/>
  <c r="AG40" i="24"/>
  <c r="AI40" i="24" s="1"/>
  <c r="AJ40" i="24" s="1"/>
  <c r="AA178" i="1"/>
  <c r="AB178" i="1" s="1"/>
  <c r="W39" i="24"/>
  <c r="U39" i="24"/>
  <c r="V39" i="24" s="1"/>
  <c r="T38" i="24"/>
  <c r="S37" i="24"/>
  <c r="AB181" i="1" l="1"/>
  <c r="AG196" i="1"/>
  <c r="AR196" i="1"/>
  <c r="AG197" i="1"/>
  <c r="AR197" i="1"/>
  <c r="AG198" i="1"/>
  <c r="AR198" i="1"/>
  <c r="AV197" i="1" s="1"/>
  <c r="AV196" i="1" s="1"/>
  <c r="AV195" i="1" s="1"/>
  <c r="AV194" i="1" s="1"/>
  <c r="AG194" i="1"/>
  <c r="AR194" i="1"/>
  <c r="AB182" i="1"/>
  <c r="AC182" i="1" s="1"/>
  <c r="AD182" i="1" s="1"/>
  <c r="AE182" i="1" s="1"/>
  <c r="AF182" i="1" s="1"/>
  <c r="AC177" i="1"/>
  <c r="X174" i="1"/>
  <c r="X176" i="1"/>
  <c r="AC181" i="1"/>
  <c r="W171" i="1"/>
  <c r="W172" i="1"/>
  <c r="W173" i="1"/>
  <c r="X173" i="1" s="1"/>
  <c r="X175" i="1"/>
  <c r="W170" i="1"/>
  <c r="V167" i="1"/>
  <c r="V169" i="1"/>
  <c r="W169" i="1" s="1"/>
  <c r="V168" i="1"/>
  <c r="V166" i="1"/>
  <c r="AL193" i="1"/>
  <c r="AM193" i="1" s="1"/>
  <c r="AR193" i="1" s="1"/>
  <c r="AL190" i="1"/>
  <c r="AL192" i="1"/>
  <c r="AL189" i="1"/>
  <c r="AM189" i="1" s="1"/>
  <c r="AR189" i="1" s="1"/>
  <c r="AL191" i="1"/>
  <c r="AL188" i="1"/>
  <c r="AM188" i="1" s="1"/>
  <c r="AR188" i="1" s="1"/>
  <c r="AA176" i="1"/>
  <c r="AB176" i="1" s="1"/>
  <c r="Z172" i="1"/>
  <c r="AA174" i="1"/>
  <c r="AB174" i="1" s="1"/>
  <c r="R168" i="1"/>
  <c r="U168" i="1" s="1"/>
  <c r="R166" i="1"/>
  <c r="U166" i="1" s="1"/>
  <c r="Z170" i="1"/>
  <c r="Q165" i="1"/>
  <c r="Y165" i="1" s="1"/>
  <c r="Q162" i="1"/>
  <c r="Y162" i="1" s="1"/>
  <c r="Q163" i="1"/>
  <c r="Y163" i="1" s="1"/>
  <c r="Q164" i="1"/>
  <c r="Y164" i="1" s="1"/>
  <c r="Z173" i="1"/>
  <c r="AA173" i="1" s="1"/>
  <c r="AB173" i="1" s="1"/>
  <c r="Z171" i="1"/>
  <c r="AA175" i="1"/>
  <c r="AB175" i="1" s="1"/>
  <c r="R167" i="1"/>
  <c r="U167" i="1" s="1"/>
  <c r="AD187" i="1"/>
  <c r="AE187" i="1" s="1"/>
  <c r="AF187" i="1" s="1"/>
  <c r="AG39" i="24"/>
  <c r="AI39" i="24" s="1"/>
  <c r="AJ39" i="24" s="1"/>
  <c r="AD185" i="1"/>
  <c r="AE185" i="1" s="1"/>
  <c r="AF185" i="1" s="1"/>
  <c r="AD183" i="1"/>
  <c r="AE183" i="1" s="1"/>
  <c r="AF183" i="1" s="1"/>
  <c r="R169" i="1"/>
  <c r="U169" i="1" s="1"/>
  <c r="T37" i="24"/>
  <c r="S36" i="24"/>
  <c r="U38" i="24"/>
  <c r="V38" i="24" s="1"/>
  <c r="W38" i="24"/>
  <c r="AV193" i="1" l="1"/>
  <c r="AV192" i="1" s="1"/>
  <c r="AM191" i="1"/>
  <c r="AM190" i="1"/>
  <c r="AM192" i="1"/>
  <c r="W166" i="1"/>
  <c r="X172" i="1"/>
  <c r="X169" i="1"/>
  <c r="Z169" i="1"/>
  <c r="AA169" i="1" s="1"/>
  <c r="AB169" i="1" s="1"/>
  <c r="AG189" i="1"/>
  <c r="AG188" i="1"/>
  <c r="AG193" i="1"/>
  <c r="W168" i="1"/>
  <c r="X168" i="1" s="1"/>
  <c r="W167" i="1"/>
  <c r="X170" i="1"/>
  <c r="X171" i="1"/>
  <c r="V164" i="1"/>
  <c r="V163" i="1"/>
  <c r="V162" i="1"/>
  <c r="V165" i="1"/>
  <c r="W165" i="1" s="1"/>
  <c r="AL183" i="1"/>
  <c r="AM183" i="1" s="1"/>
  <c r="AR183" i="1" s="1"/>
  <c r="AL185" i="1"/>
  <c r="AM185" i="1" s="1"/>
  <c r="AR185" i="1" s="1"/>
  <c r="AL184" i="1"/>
  <c r="AL187" i="1"/>
  <c r="AM187" i="1" s="1"/>
  <c r="AR187" i="1" s="1"/>
  <c r="AL186" i="1"/>
  <c r="AL182" i="1"/>
  <c r="AC176" i="1"/>
  <c r="AA170" i="1"/>
  <c r="AD177" i="1"/>
  <c r="AE177" i="1" s="1"/>
  <c r="AF177" i="1" s="1"/>
  <c r="AC179" i="1"/>
  <c r="AA172" i="1"/>
  <c r="AB172" i="1" s="1"/>
  <c r="AG38" i="24"/>
  <c r="AI38" i="24" s="1"/>
  <c r="AJ38" i="24" s="1"/>
  <c r="AA171" i="1"/>
  <c r="AB171" i="1" s="1"/>
  <c r="Z166" i="1"/>
  <c r="Q157" i="1"/>
  <c r="Y157" i="1" s="1"/>
  <c r="Q161" i="1"/>
  <c r="Y161" i="1" s="1"/>
  <c r="Q160" i="1"/>
  <c r="Y160" i="1" s="1"/>
  <c r="Q159" i="1"/>
  <c r="Y159" i="1" s="1"/>
  <c r="Q158" i="1"/>
  <c r="Y158" i="1" s="1"/>
  <c r="R164" i="1"/>
  <c r="U164" i="1" s="1"/>
  <c r="AC180" i="1"/>
  <c r="AD181" i="1"/>
  <c r="AE181" i="1" s="1"/>
  <c r="AF181" i="1" s="1"/>
  <c r="R163" i="1"/>
  <c r="U163" i="1" s="1"/>
  <c r="R162" i="1"/>
  <c r="U162" i="1" s="1"/>
  <c r="AC174" i="1"/>
  <c r="Z167" i="1"/>
  <c r="AC178" i="1"/>
  <c r="R165" i="1"/>
  <c r="U165" i="1" s="1"/>
  <c r="Z168" i="1"/>
  <c r="S35" i="24"/>
  <c r="T36" i="24"/>
  <c r="W37" i="24"/>
  <c r="U37" i="24"/>
  <c r="V37" i="24" s="1"/>
  <c r="AB170" i="1" l="1"/>
  <c r="AG192" i="1"/>
  <c r="AR192" i="1"/>
  <c r="AG190" i="1"/>
  <c r="AR190" i="1"/>
  <c r="AG191" i="1"/>
  <c r="AR191" i="1"/>
  <c r="AV191" i="1"/>
  <c r="AV190" i="1" s="1"/>
  <c r="AV189" i="1" s="1"/>
  <c r="AV188" i="1" s="1"/>
  <c r="AV187" i="1" s="1"/>
  <c r="AV186" i="1" s="1"/>
  <c r="AM184" i="1"/>
  <c r="AM186" i="1"/>
  <c r="AM182" i="1"/>
  <c r="W164" i="1"/>
  <c r="X164" i="1" s="1"/>
  <c r="W162" i="1"/>
  <c r="AC169" i="1"/>
  <c r="AC172" i="1"/>
  <c r="AD172" i="1" s="1"/>
  <c r="AE172" i="1" s="1"/>
  <c r="AF172" i="1" s="1"/>
  <c r="Z165" i="1"/>
  <c r="AA165" i="1" s="1"/>
  <c r="AB165" i="1" s="1"/>
  <c r="AA168" i="1"/>
  <c r="AB168" i="1" s="1"/>
  <c r="X165" i="1"/>
  <c r="AG187" i="1"/>
  <c r="AG183" i="1"/>
  <c r="X167" i="1"/>
  <c r="W163" i="1"/>
  <c r="AG185" i="1"/>
  <c r="X166" i="1"/>
  <c r="V158" i="1"/>
  <c r="V159" i="1"/>
  <c r="V160" i="1"/>
  <c r="V161" i="1"/>
  <c r="W161" i="1" s="1"/>
  <c r="V157" i="1"/>
  <c r="AL181" i="1"/>
  <c r="AM181" i="1" s="1"/>
  <c r="AR181" i="1" s="1"/>
  <c r="AA167" i="1"/>
  <c r="AB167" i="1" s="1"/>
  <c r="Z163" i="1"/>
  <c r="R161" i="1"/>
  <c r="U161" i="1" s="1"/>
  <c r="Z164" i="1"/>
  <c r="R157" i="1"/>
  <c r="U157" i="1" s="1"/>
  <c r="AA166" i="1"/>
  <c r="AD174" i="1"/>
  <c r="AE174" i="1" s="1"/>
  <c r="AF174" i="1" s="1"/>
  <c r="AD178" i="1"/>
  <c r="AE178" i="1" s="1"/>
  <c r="AF178" i="1" s="1"/>
  <c r="Z162" i="1"/>
  <c r="AD180" i="1"/>
  <c r="AE180" i="1" s="1"/>
  <c r="AF180" i="1" s="1"/>
  <c r="AC173" i="1"/>
  <c r="AD176" i="1"/>
  <c r="AE176" i="1" s="1"/>
  <c r="AF176" i="1" s="1"/>
  <c r="R158" i="1"/>
  <c r="U158" i="1" s="1"/>
  <c r="AC175" i="1"/>
  <c r="R159" i="1"/>
  <c r="U159" i="1" s="1"/>
  <c r="Q154" i="1"/>
  <c r="Y154" i="1" s="1"/>
  <c r="Q153" i="1"/>
  <c r="Y153" i="1" s="1"/>
  <c r="Q155" i="1"/>
  <c r="Y155" i="1" s="1"/>
  <c r="Q156" i="1"/>
  <c r="Y156" i="1" s="1"/>
  <c r="R160" i="1"/>
  <c r="U160" i="1" s="1"/>
  <c r="AD179" i="1"/>
  <c r="AE179" i="1" s="1"/>
  <c r="AF179" i="1" s="1"/>
  <c r="T35" i="24"/>
  <c r="S34" i="24"/>
  <c r="W36" i="24"/>
  <c r="U36" i="24"/>
  <c r="V36" i="24" s="1"/>
  <c r="AG37" i="24"/>
  <c r="AI37" i="24" s="1"/>
  <c r="AJ37" i="24" s="1"/>
  <c r="AB166" i="1" l="1"/>
  <c r="AG184" i="1"/>
  <c r="AR184" i="1"/>
  <c r="AG182" i="1"/>
  <c r="AR182" i="1"/>
  <c r="AG186" i="1"/>
  <c r="AR186" i="1"/>
  <c r="AV185" i="1" s="1"/>
  <c r="AV184" i="1" s="1"/>
  <c r="AV183" i="1" s="1"/>
  <c r="AV182" i="1" s="1"/>
  <c r="AV181" i="1" s="1"/>
  <c r="AV180" i="1" s="1"/>
  <c r="AA164" i="1"/>
  <c r="AB164" i="1" s="1"/>
  <c r="X163" i="1"/>
  <c r="W160" i="1"/>
  <c r="X160" i="1" s="1"/>
  <c r="W157" i="1"/>
  <c r="Z161" i="1"/>
  <c r="AA161" i="1" s="1"/>
  <c r="AG181" i="1"/>
  <c r="X161" i="1"/>
  <c r="W159" i="1"/>
  <c r="X162" i="1"/>
  <c r="W158" i="1"/>
  <c r="Z156" i="1"/>
  <c r="V156" i="1"/>
  <c r="W156" i="1" s="1"/>
  <c r="V155" i="1"/>
  <c r="V153" i="1"/>
  <c r="V154" i="1"/>
  <c r="AL177" i="1"/>
  <c r="AL179" i="1"/>
  <c r="AM179" i="1" s="1"/>
  <c r="AR179" i="1" s="1"/>
  <c r="AL176" i="1"/>
  <c r="AM176" i="1" s="1"/>
  <c r="AR176" i="1" s="1"/>
  <c r="AL180" i="1"/>
  <c r="AM180" i="1" s="1"/>
  <c r="AR180" i="1" s="1"/>
  <c r="AL178" i="1"/>
  <c r="AM178" i="1" s="1"/>
  <c r="AR178" i="1" s="1"/>
  <c r="Z160" i="1"/>
  <c r="AC167" i="1"/>
  <c r="AC171" i="1"/>
  <c r="AD175" i="1"/>
  <c r="AE175" i="1" s="1"/>
  <c r="AF175" i="1" s="1"/>
  <c r="R155" i="1"/>
  <c r="U155" i="1" s="1"/>
  <c r="AD173" i="1"/>
  <c r="AE173" i="1" s="1"/>
  <c r="AF173" i="1" s="1"/>
  <c r="R153" i="1"/>
  <c r="U153" i="1" s="1"/>
  <c r="Z158" i="1"/>
  <c r="AC170" i="1"/>
  <c r="R154" i="1"/>
  <c r="U154" i="1" s="1"/>
  <c r="Z159" i="1"/>
  <c r="AD169" i="1"/>
  <c r="AE169" i="1" s="1"/>
  <c r="AF169" i="1" s="1"/>
  <c r="Q152" i="1"/>
  <c r="Y152" i="1" s="1"/>
  <c r="Q151" i="1"/>
  <c r="Y151" i="1" s="1"/>
  <c r="Q150" i="1"/>
  <c r="Y150" i="1" s="1"/>
  <c r="Q149" i="1"/>
  <c r="Y149" i="1" s="1"/>
  <c r="AC168" i="1"/>
  <c r="AA162" i="1"/>
  <c r="AA163" i="1"/>
  <c r="AB163" i="1" s="1"/>
  <c r="R156" i="1"/>
  <c r="U156" i="1" s="1"/>
  <c r="Z157" i="1"/>
  <c r="S33" i="24"/>
  <c r="T34" i="24"/>
  <c r="U35" i="24"/>
  <c r="V35" i="24" s="1"/>
  <c r="W35" i="24"/>
  <c r="AG36" i="24"/>
  <c r="AI36" i="24" s="1"/>
  <c r="AJ36" i="24" s="1"/>
  <c r="AV179" i="1" l="1"/>
  <c r="AV178" i="1" s="1"/>
  <c r="AV177" i="1" s="1"/>
  <c r="AB162" i="1"/>
  <c r="AB161" i="1"/>
  <c r="AM177" i="1"/>
  <c r="W155" i="1"/>
  <c r="X155" i="1" s="1"/>
  <c r="AC161" i="1"/>
  <c r="X159" i="1"/>
  <c r="W154" i="1"/>
  <c r="X158" i="1"/>
  <c r="AA160" i="1"/>
  <c r="AG178" i="1"/>
  <c r="AG176" i="1"/>
  <c r="AG180" i="1"/>
  <c r="AG179" i="1"/>
  <c r="W153" i="1"/>
  <c r="X156" i="1"/>
  <c r="X157" i="1"/>
  <c r="V149" i="1"/>
  <c r="V150" i="1"/>
  <c r="V151" i="1"/>
  <c r="Z152" i="1"/>
  <c r="V152" i="1"/>
  <c r="W152" i="1" s="1"/>
  <c r="AL172" i="1"/>
  <c r="AL175" i="1"/>
  <c r="AM175" i="1" s="1"/>
  <c r="AR175" i="1" s="1"/>
  <c r="AL174" i="1"/>
  <c r="AL173" i="1"/>
  <c r="AM173" i="1" s="1"/>
  <c r="AR173" i="1" s="1"/>
  <c r="AA159" i="1"/>
  <c r="AA157" i="1"/>
  <c r="AB157" i="1" s="1"/>
  <c r="AA156" i="1"/>
  <c r="R152" i="1"/>
  <c r="U152" i="1" s="1"/>
  <c r="Z153" i="1"/>
  <c r="AD167" i="1"/>
  <c r="AE167" i="1" s="1"/>
  <c r="AF167" i="1" s="1"/>
  <c r="AD168" i="1"/>
  <c r="AE168" i="1" s="1"/>
  <c r="AF168" i="1" s="1"/>
  <c r="AD170" i="1"/>
  <c r="AE170" i="1" s="1"/>
  <c r="AF170" i="1" s="1"/>
  <c r="AC164" i="1"/>
  <c r="AC166" i="1"/>
  <c r="Z155" i="1"/>
  <c r="AA155" i="1" s="1"/>
  <c r="AB155" i="1" s="1"/>
  <c r="Q146" i="1"/>
  <c r="Y146" i="1" s="1"/>
  <c r="Q145" i="1"/>
  <c r="Y145" i="1" s="1"/>
  <c r="Q147" i="1"/>
  <c r="Y147" i="1" s="1"/>
  <c r="Q148" i="1"/>
  <c r="Y148" i="1" s="1"/>
  <c r="Q144" i="1"/>
  <c r="Y144" i="1" s="1"/>
  <c r="R149" i="1"/>
  <c r="U149" i="1" s="1"/>
  <c r="R150" i="1"/>
  <c r="U150" i="1" s="1"/>
  <c r="AD171" i="1"/>
  <c r="AE171" i="1" s="1"/>
  <c r="AF171" i="1" s="1"/>
  <c r="AC165" i="1"/>
  <c r="R151" i="1"/>
  <c r="U151" i="1" s="1"/>
  <c r="Z154" i="1"/>
  <c r="AA158" i="1"/>
  <c r="AB158" i="1" s="1"/>
  <c r="AG35" i="24"/>
  <c r="AI35" i="24" s="1"/>
  <c r="AJ35" i="24" s="1"/>
  <c r="W34" i="24"/>
  <c r="U34" i="24"/>
  <c r="V34" i="24" s="1"/>
  <c r="T33" i="24"/>
  <c r="S32" i="24"/>
  <c r="AB159" i="1" l="1"/>
  <c r="X153" i="1"/>
  <c r="AB156" i="1"/>
  <c r="AG177" i="1"/>
  <c r="AR177" i="1"/>
  <c r="AV176" i="1" s="1"/>
  <c r="AV175" i="1" s="1"/>
  <c r="AV174" i="1" s="1"/>
  <c r="AB160" i="1"/>
  <c r="AC160" i="1" s="1"/>
  <c r="AD160" i="1" s="1"/>
  <c r="AE160" i="1" s="1"/>
  <c r="AF160" i="1" s="1"/>
  <c r="AM174" i="1"/>
  <c r="AM172" i="1"/>
  <c r="AC158" i="1"/>
  <c r="AD158" i="1" s="1"/>
  <c r="AE158" i="1" s="1"/>
  <c r="AF158" i="1" s="1"/>
  <c r="X154" i="1"/>
  <c r="X152" i="1"/>
  <c r="AC157" i="1"/>
  <c r="W150" i="1"/>
  <c r="AG175" i="1"/>
  <c r="AG173" i="1"/>
  <c r="W151" i="1"/>
  <c r="X151" i="1" s="1"/>
  <c r="W149" i="1"/>
  <c r="V144" i="1"/>
  <c r="V147" i="1"/>
  <c r="V146" i="1"/>
  <c r="V145" i="1"/>
  <c r="V148" i="1"/>
  <c r="W148" i="1" s="1"/>
  <c r="AL170" i="1"/>
  <c r="AM170" i="1" s="1"/>
  <c r="AR170" i="1" s="1"/>
  <c r="AL168" i="1"/>
  <c r="AM168" i="1" s="1"/>
  <c r="AR168" i="1" s="1"/>
  <c r="AL167" i="1"/>
  <c r="AM167" i="1" s="1"/>
  <c r="AR167" i="1" s="1"/>
  <c r="AL171" i="1"/>
  <c r="AM171" i="1" s="1"/>
  <c r="AR171" i="1" s="1"/>
  <c r="AL169" i="1"/>
  <c r="AA154" i="1"/>
  <c r="AB154" i="1" s="1"/>
  <c r="Z151" i="1"/>
  <c r="AA151" i="1" s="1"/>
  <c r="AB151" i="1" s="1"/>
  <c r="Z150" i="1"/>
  <c r="AD165" i="1"/>
  <c r="AE165" i="1" s="1"/>
  <c r="AF165" i="1" s="1"/>
  <c r="AD166" i="1"/>
  <c r="AE166" i="1" s="1"/>
  <c r="AF166" i="1" s="1"/>
  <c r="AC159" i="1"/>
  <c r="AC163" i="1"/>
  <c r="AD164" i="1"/>
  <c r="AE164" i="1" s="1"/>
  <c r="AF164" i="1" s="1"/>
  <c r="AA153" i="1"/>
  <c r="AB153" i="1" s="1"/>
  <c r="R144" i="1"/>
  <c r="U144" i="1" s="1"/>
  <c r="AA152" i="1"/>
  <c r="AB152" i="1" s="1"/>
  <c r="R148" i="1"/>
  <c r="U148" i="1" s="1"/>
  <c r="Z148" i="1"/>
  <c r="AC162" i="1"/>
  <c r="R147" i="1"/>
  <c r="U147" i="1" s="1"/>
  <c r="R145" i="1"/>
  <c r="U145" i="1" s="1"/>
  <c r="AC156" i="1"/>
  <c r="AD161" i="1"/>
  <c r="AE161" i="1" s="1"/>
  <c r="AF161" i="1" s="1"/>
  <c r="Z149" i="1"/>
  <c r="R146" i="1"/>
  <c r="U146" i="1" s="1"/>
  <c r="Q143" i="1"/>
  <c r="Y143" i="1" s="1"/>
  <c r="Q140" i="1"/>
  <c r="Y140" i="1" s="1"/>
  <c r="Q142" i="1"/>
  <c r="Y142" i="1" s="1"/>
  <c r="Q141" i="1"/>
  <c r="Y141" i="1" s="1"/>
  <c r="U33" i="24"/>
  <c r="V33" i="24" s="1"/>
  <c r="W33" i="24"/>
  <c r="T32" i="24"/>
  <c r="S31" i="24"/>
  <c r="AG34" i="24"/>
  <c r="AI34" i="24" s="1"/>
  <c r="AJ34" i="24" s="1"/>
  <c r="AG172" i="1" l="1"/>
  <c r="AR172" i="1"/>
  <c r="AG174" i="1"/>
  <c r="AR174" i="1"/>
  <c r="AV173" i="1" s="1"/>
  <c r="AV172" i="1" s="1"/>
  <c r="AV171" i="1" s="1"/>
  <c r="AV170" i="1" s="1"/>
  <c r="AV169" i="1" s="1"/>
  <c r="AM169" i="1"/>
  <c r="W147" i="1"/>
  <c r="X147" i="1" s="1"/>
  <c r="AG170" i="1"/>
  <c r="X148" i="1"/>
  <c r="W145" i="1"/>
  <c r="AG167" i="1"/>
  <c r="AG171" i="1"/>
  <c r="AG168" i="1"/>
  <c r="X149" i="1"/>
  <c r="X150" i="1"/>
  <c r="W146" i="1"/>
  <c r="W144" i="1"/>
  <c r="V141" i="1"/>
  <c r="V143" i="1"/>
  <c r="W143" i="1" s="1"/>
  <c r="V140" i="1"/>
  <c r="V142" i="1"/>
  <c r="AL164" i="1"/>
  <c r="AM164" i="1" s="1"/>
  <c r="AR164" i="1" s="1"/>
  <c r="AL166" i="1"/>
  <c r="AM166" i="1" s="1"/>
  <c r="AR166" i="1" s="1"/>
  <c r="AL165" i="1"/>
  <c r="AM165" i="1" s="1"/>
  <c r="AR165" i="1" s="1"/>
  <c r="AA150" i="1"/>
  <c r="AA149" i="1"/>
  <c r="Z145" i="1"/>
  <c r="R141" i="1"/>
  <c r="U141" i="1" s="1"/>
  <c r="Z144" i="1"/>
  <c r="AD159" i="1"/>
  <c r="AE159" i="1" s="1"/>
  <c r="AF159" i="1" s="1"/>
  <c r="R142" i="1"/>
  <c r="U142" i="1" s="1"/>
  <c r="AD156" i="1"/>
  <c r="AE156" i="1" s="1"/>
  <c r="AF156" i="1" s="1"/>
  <c r="R140" i="1"/>
  <c r="U140" i="1" s="1"/>
  <c r="R143" i="1"/>
  <c r="U143" i="1" s="1"/>
  <c r="AD162" i="1"/>
  <c r="AE162" i="1" s="1"/>
  <c r="AF162" i="1" s="1"/>
  <c r="AD157" i="1"/>
  <c r="AE157" i="1" s="1"/>
  <c r="AF157" i="1" s="1"/>
  <c r="AA148" i="1"/>
  <c r="AG33" i="24"/>
  <c r="AI33" i="24" s="1"/>
  <c r="AJ33" i="24" s="1"/>
  <c r="Q138" i="1"/>
  <c r="Y138" i="1" s="1"/>
  <c r="Q137" i="1"/>
  <c r="Y137" i="1" s="1"/>
  <c r="Q139" i="1"/>
  <c r="Y139" i="1" s="1"/>
  <c r="Q135" i="1"/>
  <c r="Y135" i="1" s="1"/>
  <c r="Q136" i="1"/>
  <c r="Y136" i="1" s="1"/>
  <c r="AC154" i="1"/>
  <c r="AC155" i="1"/>
  <c r="Z146" i="1"/>
  <c r="Z147" i="1"/>
  <c r="AA147" i="1" s="1"/>
  <c r="AB147" i="1" s="1"/>
  <c r="AD163" i="1"/>
  <c r="AE163" i="1" s="1"/>
  <c r="AF163" i="1" s="1"/>
  <c r="T31" i="24"/>
  <c r="S30" i="24"/>
  <c r="W32" i="24"/>
  <c r="U32" i="24"/>
  <c r="V32" i="24" s="1"/>
  <c r="AB148" i="1" l="1"/>
  <c r="AG169" i="1"/>
  <c r="AR169" i="1"/>
  <c r="AV168" i="1" s="1"/>
  <c r="AV167" i="1" s="1"/>
  <c r="AV166" i="1" s="1"/>
  <c r="AV165" i="1" s="1"/>
  <c r="AV164" i="1" s="1"/>
  <c r="AV163" i="1" s="1"/>
  <c r="AB149" i="1"/>
  <c r="AC149" i="1" s="1"/>
  <c r="AB150" i="1"/>
  <c r="X146" i="1"/>
  <c r="X144" i="1"/>
  <c r="AC147" i="1"/>
  <c r="AD147" i="1" s="1"/>
  <c r="AE147" i="1" s="1"/>
  <c r="AF147" i="1" s="1"/>
  <c r="W142" i="1"/>
  <c r="X142" i="1" s="1"/>
  <c r="X145" i="1"/>
  <c r="W140" i="1"/>
  <c r="X143" i="1"/>
  <c r="Z143" i="1"/>
  <c r="AA143" i="1" s="1"/>
  <c r="W141" i="1"/>
  <c r="AG166" i="1"/>
  <c r="AG165" i="1"/>
  <c r="AG164" i="1"/>
  <c r="V135" i="1"/>
  <c r="Z139" i="1"/>
  <c r="V139" i="1"/>
  <c r="W139" i="1" s="1"/>
  <c r="V137" i="1"/>
  <c r="V138" i="1"/>
  <c r="V136" i="1"/>
  <c r="AL158" i="1"/>
  <c r="AL160" i="1"/>
  <c r="AL163" i="1"/>
  <c r="AM163" i="1" s="1"/>
  <c r="AR163" i="1" s="1"/>
  <c r="AL156" i="1"/>
  <c r="AM156" i="1" s="1"/>
  <c r="AR156" i="1" s="1"/>
  <c r="AL159" i="1"/>
  <c r="AM159" i="1" s="1"/>
  <c r="AR159" i="1" s="1"/>
  <c r="AL157" i="1"/>
  <c r="AM157" i="1" s="1"/>
  <c r="AR157" i="1" s="1"/>
  <c r="AL162" i="1"/>
  <c r="AM162" i="1" s="1"/>
  <c r="AR162" i="1" s="1"/>
  <c r="AL161" i="1"/>
  <c r="AA146" i="1"/>
  <c r="Z141" i="1"/>
  <c r="Z140" i="1"/>
  <c r="R139" i="1"/>
  <c r="U139" i="1" s="1"/>
  <c r="AG32" i="24"/>
  <c r="AI32" i="24" s="1"/>
  <c r="AJ32" i="24" s="1"/>
  <c r="R137" i="1"/>
  <c r="U137" i="1" s="1"/>
  <c r="AA145" i="1"/>
  <c r="AB145" i="1" s="1"/>
  <c r="R138" i="1"/>
  <c r="U138" i="1" s="1"/>
  <c r="AC151" i="1"/>
  <c r="AD155" i="1"/>
  <c r="AE155" i="1" s="1"/>
  <c r="AF155" i="1" s="1"/>
  <c r="AC153" i="1"/>
  <c r="AD154" i="1"/>
  <c r="AE154" i="1" s="1"/>
  <c r="AF154" i="1" s="1"/>
  <c r="Q131" i="1"/>
  <c r="Y131" i="1" s="1"/>
  <c r="Q132" i="1"/>
  <c r="Y132" i="1" s="1"/>
  <c r="Q134" i="1"/>
  <c r="Y134" i="1" s="1"/>
  <c r="Q133" i="1"/>
  <c r="Y133" i="1" s="1"/>
  <c r="R136" i="1"/>
  <c r="U136" i="1" s="1"/>
  <c r="AC152" i="1"/>
  <c r="R135" i="1"/>
  <c r="U135" i="1" s="1"/>
  <c r="Z142" i="1"/>
  <c r="AA144" i="1"/>
  <c r="T30" i="24"/>
  <c r="S29" i="24"/>
  <c r="W31" i="24"/>
  <c r="U31" i="24"/>
  <c r="V31" i="24" s="1"/>
  <c r="AB143" i="1" l="1"/>
  <c r="AV162" i="1"/>
  <c r="AV161" i="1" s="1"/>
  <c r="AB144" i="1"/>
  <c r="AB146" i="1"/>
  <c r="AM160" i="1"/>
  <c r="AM161" i="1"/>
  <c r="AM158" i="1"/>
  <c r="W138" i="1"/>
  <c r="X138" i="1" s="1"/>
  <c r="AA142" i="1"/>
  <c r="AB142" i="1" s="1"/>
  <c r="X141" i="1"/>
  <c r="X140" i="1"/>
  <c r="X139" i="1"/>
  <c r="AG157" i="1"/>
  <c r="AG156" i="1"/>
  <c r="W136" i="1"/>
  <c r="W137" i="1"/>
  <c r="W135" i="1"/>
  <c r="AG162" i="1"/>
  <c r="AG159" i="1"/>
  <c r="AG163" i="1"/>
  <c r="V133" i="1"/>
  <c r="V134" i="1"/>
  <c r="W134" i="1" s="1"/>
  <c r="V132" i="1"/>
  <c r="V131" i="1"/>
  <c r="AL155" i="1"/>
  <c r="AM155" i="1" s="1"/>
  <c r="AR155" i="1" s="1"/>
  <c r="AL154" i="1"/>
  <c r="AM154" i="1" s="1"/>
  <c r="AR154" i="1" s="1"/>
  <c r="AC150" i="1"/>
  <c r="AD150" i="1" s="1"/>
  <c r="AE150" i="1" s="1"/>
  <c r="AF150" i="1" s="1"/>
  <c r="Z138" i="1"/>
  <c r="AA138" i="1" s="1"/>
  <c r="AA140" i="1"/>
  <c r="AB140" i="1" s="1"/>
  <c r="Z136" i="1"/>
  <c r="AD149" i="1"/>
  <c r="AE149" i="1" s="1"/>
  <c r="AF149" i="1" s="1"/>
  <c r="AC146" i="1"/>
  <c r="Q129" i="1"/>
  <c r="Y129" i="1" s="1"/>
  <c r="Q127" i="1"/>
  <c r="Y127" i="1" s="1"/>
  <c r="Q128" i="1"/>
  <c r="Y128" i="1" s="1"/>
  <c r="Q130" i="1"/>
  <c r="Y130" i="1" s="1"/>
  <c r="Z135" i="1"/>
  <c r="R133" i="1"/>
  <c r="U133" i="1" s="1"/>
  <c r="AC148" i="1"/>
  <c r="AD152" i="1"/>
  <c r="AE152" i="1" s="1"/>
  <c r="AF152" i="1" s="1"/>
  <c r="AD153" i="1"/>
  <c r="AE153" i="1" s="1"/>
  <c r="AF153" i="1" s="1"/>
  <c r="Z137" i="1"/>
  <c r="AA139" i="1"/>
  <c r="AB139" i="1" s="1"/>
  <c r="R134" i="1"/>
  <c r="U134" i="1" s="1"/>
  <c r="R132" i="1"/>
  <c r="U132" i="1" s="1"/>
  <c r="AA141" i="1"/>
  <c r="AB141" i="1" s="1"/>
  <c r="R131" i="1"/>
  <c r="U131" i="1" s="1"/>
  <c r="AD151" i="1"/>
  <c r="AE151" i="1" s="1"/>
  <c r="AF151" i="1" s="1"/>
  <c r="AG31" i="24"/>
  <c r="AI31" i="24" s="1"/>
  <c r="AJ31" i="24" s="1"/>
  <c r="T29" i="24"/>
  <c r="S28" i="24"/>
  <c r="U30" i="24"/>
  <c r="V30" i="24" s="1"/>
  <c r="W30" i="24"/>
  <c r="AG158" i="1" l="1"/>
  <c r="AR158" i="1"/>
  <c r="AG161" i="1"/>
  <c r="AR161" i="1"/>
  <c r="AV160" i="1" s="1"/>
  <c r="AG160" i="1"/>
  <c r="AR160" i="1"/>
  <c r="AB138" i="1"/>
  <c r="AC138" i="1" s="1"/>
  <c r="X137" i="1"/>
  <c r="W131" i="1"/>
  <c r="W132" i="1"/>
  <c r="AG154" i="1"/>
  <c r="Z134" i="1"/>
  <c r="AA134" i="1" s="1"/>
  <c r="W133" i="1"/>
  <c r="X133" i="1" s="1"/>
  <c r="X136" i="1"/>
  <c r="AG155" i="1"/>
  <c r="X134" i="1"/>
  <c r="X135" i="1"/>
  <c r="V130" i="1"/>
  <c r="W130" i="1" s="1"/>
  <c r="V128" i="1"/>
  <c r="V129" i="1"/>
  <c r="V127" i="1"/>
  <c r="AL150" i="1"/>
  <c r="AM150" i="1" s="1"/>
  <c r="AR150" i="1" s="1"/>
  <c r="AL152" i="1"/>
  <c r="AM152" i="1" s="1"/>
  <c r="AR152" i="1" s="1"/>
  <c r="AL153" i="1"/>
  <c r="AM153" i="1" s="1"/>
  <c r="AR153" i="1" s="1"/>
  <c r="AL149" i="1"/>
  <c r="AM149" i="1" s="1"/>
  <c r="AR149" i="1" s="1"/>
  <c r="AL151" i="1"/>
  <c r="AM151" i="1" s="1"/>
  <c r="AR151" i="1" s="1"/>
  <c r="AA137" i="1"/>
  <c r="Z132" i="1"/>
  <c r="Z133" i="1"/>
  <c r="Z131" i="1"/>
  <c r="AG30" i="24"/>
  <c r="AI30" i="24" s="1"/>
  <c r="AJ30" i="24" s="1"/>
  <c r="AC140" i="1"/>
  <c r="R130" i="1"/>
  <c r="U130" i="1" s="1"/>
  <c r="AC142" i="1"/>
  <c r="R128" i="1"/>
  <c r="U128" i="1" s="1"/>
  <c r="AD146" i="1"/>
  <c r="AE146" i="1" s="1"/>
  <c r="AF146" i="1" s="1"/>
  <c r="AD148" i="1"/>
  <c r="AE148" i="1" s="1"/>
  <c r="AF148" i="1" s="1"/>
  <c r="R127" i="1"/>
  <c r="U127" i="1" s="1"/>
  <c r="R129" i="1"/>
  <c r="U129" i="1" s="1"/>
  <c r="AA135" i="1"/>
  <c r="AB135" i="1" s="1"/>
  <c r="AC143" i="1"/>
  <c r="Q123" i="1"/>
  <c r="Y123" i="1" s="1"/>
  <c r="Q124" i="1"/>
  <c r="Y124" i="1" s="1"/>
  <c r="Q126" i="1"/>
  <c r="Y126" i="1" s="1"/>
  <c r="Q125" i="1"/>
  <c r="Y125" i="1" s="1"/>
  <c r="AC144" i="1"/>
  <c r="AC145" i="1"/>
  <c r="AA136" i="1"/>
  <c r="AB136" i="1" s="1"/>
  <c r="S27" i="24"/>
  <c r="T28" i="24"/>
  <c r="W29" i="24"/>
  <c r="U29" i="24"/>
  <c r="V29" i="24" s="1"/>
  <c r="AB134" i="1" l="1"/>
  <c r="AB137" i="1"/>
  <c r="AV159" i="1"/>
  <c r="AV158" i="1" s="1"/>
  <c r="AV157" i="1" s="1"/>
  <c r="AV156" i="1" s="1"/>
  <c r="AV155" i="1" s="1"/>
  <c r="AV154" i="1" s="1"/>
  <c r="AV153" i="1" s="1"/>
  <c r="AV152" i="1" s="1"/>
  <c r="AV151" i="1" s="1"/>
  <c r="AV150" i="1" s="1"/>
  <c r="AV149" i="1" s="1"/>
  <c r="AV148" i="1" s="1"/>
  <c r="AA133" i="1"/>
  <c r="AB133" i="1" s="1"/>
  <c r="X130" i="1"/>
  <c r="X131" i="1"/>
  <c r="AC134" i="1"/>
  <c r="AC133" i="1"/>
  <c r="AD133" i="1" s="1"/>
  <c r="AE133" i="1" s="1"/>
  <c r="AF133" i="1" s="1"/>
  <c r="X132" i="1"/>
  <c r="Z130" i="1"/>
  <c r="AA130" i="1" s="1"/>
  <c r="W129" i="1"/>
  <c r="X129" i="1" s="1"/>
  <c r="AG149" i="1"/>
  <c r="AG152" i="1"/>
  <c r="AG151" i="1"/>
  <c r="AG153" i="1"/>
  <c r="AG150" i="1"/>
  <c r="W127" i="1"/>
  <c r="W128" i="1"/>
  <c r="V123" i="1"/>
  <c r="V125" i="1"/>
  <c r="V126" i="1"/>
  <c r="W126" i="1" s="1"/>
  <c r="V124" i="1"/>
  <c r="AL148" i="1"/>
  <c r="AM148" i="1" s="1"/>
  <c r="AR148" i="1" s="1"/>
  <c r="AL147" i="1"/>
  <c r="AL146" i="1"/>
  <c r="AM146" i="1" s="1"/>
  <c r="AR146" i="1" s="1"/>
  <c r="Z129" i="1"/>
  <c r="AA129" i="1" s="1"/>
  <c r="AB129" i="1" s="1"/>
  <c r="AA131" i="1"/>
  <c r="AB131" i="1" s="1"/>
  <c r="AA132" i="1"/>
  <c r="AB132" i="1" s="1"/>
  <c r="R124" i="1"/>
  <c r="U124" i="1" s="1"/>
  <c r="Z128" i="1"/>
  <c r="AD140" i="1"/>
  <c r="AE140" i="1" s="1"/>
  <c r="AF140" i="1" s="1"/>
  <c r="R126" i="1"/>
  <c r="U126" i="1" s="1"/>
  <c r="AD145" i="1"/>
  <c r="AE145" i="1" s="1"/>
  <c r="AF145" i="1" s="1"/>
  <c r="AD143" i="1"/>
  <c r="AE143" i="1" s="1"/>
  <c r="AF143" i="1" s="1"/>
  <c r="AD144" i="1"/>
  <c r="AE144" i="1" s="1"/>
  <c r="AF144" i="1" s="1"/>
  <c r="AD142" i="1"/>
  <c r="AE142" i="1" s="1"/>
  <c r="AF142" i="1" s="1"/>
  <c r="R123" i="1"/>
  <c r="U123" i="1" s="1"/>
  <c r="AC139" i="1"/>
  <c r="Q121" i="1"/>
  <c r="Y121" i="1" s="1"/>
  <c r="Q119" i="1"/>
  <c r="Y119" i="1" s="1"/>
  <c r="Q118" i="1"/>
  <c r="Y118" i="1" s="1"/>
  <c r="Q122" i="1"/>
  <c r="Y122" i="1" s="1"/>
  <c r="Q120" i="1"/>
  <c r="Y120" i="1" s="1"/>
  <c r="AC141" i="1"/>
  <c r="AD138" i="1"/>
  <c r="AE138" i="1" s="1"/>
  <c r="AF138" i="1" s="1"/>
  <c r="R125" i="1"/>
  <c r="U125" i="1" s="1"/>
  <c r="Z127" i="1"/>
  <c r="W28" i="24"/>
  <c r="U28" i="24"/>
  <c r="V28" i="24" s="1"/>
  <c r="AG29" i="24"/>
  <c r="AI29" i="24" s="1"/>
  <c r="AJ29" i="24" s="1"/>
  <c r="T27" i="24"/>
  <c r="S26" i="24"/>
  <c r="X128" i="1" l="1"/>
  <c r="AB130" i="1"/>
  <c r="AV147" i="1"/>
  <c r="AM147" i="1"/>
  <c r="X126" i="1"/>
  <c r="W123" i="1"/>
  <c r="AG148" i="1"/>
  <c r="AG146" i="1"/>
  <c r="W124" i="1"/>
  <c r="W125" i="1"/>
  <c r="X125" i="1" s="1"/>
  <c r="X127" i="1"/>
  <c r="Z125" i="1"/>
  <c r="V120" i="1"/>
  <c r="V122" i="1"/>
  <c r="W122" i="1" s="1"/>
  <c r="V118" i="1"/>
  <c r="V119" i="1"/>
  <c r="Z126" i="1"/>
  <c r="AA126" i="1" s="1"/>
  <c r="AB126" i="1" s="1"/>
  <c r="V121" i="1"/>
  <c r="AL143" i="1"/>
  <c r="AM143" i="1" s="1"/>
  <c r="AR143" i="1" s="1"/>
  <c r="AL145" i="1"/>
  <c r="AM145" i="1" s="1"/>
  <c r="AR145" i="1" s="1"/>
  <c r="AL142" i="1"/>
  <c r="AM142" i="1" s="1"/>
  <c r="AR142" i="1" s="1"/>
  <c r="AL144" i="1"/>
  <c r="AM144" i="1" s="1"/>
  <c r="AR144" i="1" s="1"/>
  <c r="AC137" i="1"/>
  <c r="AD137" i="1" s="1"/>
  <c r="AE137" i="1" s="1"/>
  <c r="AF137" i="1" s="1"/>
  <c r="AA128" i="1"/>
  <c r="AB128" i="1" s="1"/>
  <c r="AC132" i="1"/>
  <c r="AD132" i="1" s="1"/>
  <c r="AE132" i="1" s="1"/>
  <c r="AF132" i="1" s="1"/>
  <c r="AC131" i="1"/>
  <c r="AD131" i="1" s="1"/>
  <c r="AE131" i="1" s="1"/>
  <c r="AF131" i="1" s="1"/>
  <c r="AC130" i="1"/>
  <c r="AD130" i="1" s="1"/>
  <c r="AE130" i="1" s="1"/>
  <c r="AF130" i="1" s="1"/>
  <c r="AA127" i="1"/>
  <c r="AB127" i="1" s="1"/>
  <c r="R118" i="1"/>
  <c r="U118" i="1" s="1"/>
  <c r="AD141" i="1"/>
  <c r="AE141" i="1" s="1"/>
  <c r="AF141" i="1" s="1"/>
  <c r="R119" i="1"/>
  <c r="U119" i="1" s="1"/>
  <c r="AD134" i="1"/>
  <c r="AE134" i="1" s="1"/>
  <c r="AF134" i="1" s="1"/>
  <c r="R121" i="1"/>
  <c r="U121" i="1" s="1"/>
  <c r="AD139" i="1"/>
  <c r="AE139" i="1" s="1"/>
  <c r="AF139" i="1" s="1"/>
  <c r="Q116" i="1"/>
  <c r="Y116" i="1" s="1"/>
  <c r="Q117" i="1"/>
  <c r="Y117" i="1" s="1"/>
  <c r="Q114" i="1"/>
  <c r="Y114" i="1" s="1"/>
  <c r="Q115" i="1"/>
  <c r="Y115" i="1" s="1"/>
  <c r="AC136" i="1"/>
  <c r="R120" i="1"/>
  <c r="U120" i="1" s="1"/>
  <c r="AC135" i="1"/>
  <c r="AC129" i="1"/>
  <c r="R122" i="1"/>
  <c r="U122" i="1" s="1"/>
  <c r="Z123" i="1"/>
  <c r="Z124" i="1"/>
  <c r="T26" i="24"/>
  <c r="S25" i="24"/>
  <c r="W27" i="24"/>
  <c r="U27" i="24"/>
  <c r="V27" i="24" s="1"/>
  <c r="AG28" i="24"/>
  <c r="AI28" i="24" s="1"/>
  <c r="AJ28" i="24" s="1"/>
  <c r="AG147" i="1" l="1"/>
  <c r="AR147" i="1"/>
  <c r="AV146" i="1"/>
  <c r="AV145" i="1" s="1"/>
  <c r="AV144" i="1" s="1"/>
  <c r="AV143" i="1" s="1"/>
  <c r="AV142" i="1" s="1"/>
  <c r="AV141" i="1" s="1"/>
  <c r="W121" i="1"/>
  <c r="X121" i="1" s="1"/>
  <c r="W119" i="1"/>
  <c r="Z122" i="1"/>
  <c r="AA122" i="1" s="1"/>
  <c r="AB122" i="1" s="1"/>
  <c r="AG143" i="1"/>
  <c r="AG144" i="1"/>
  <c r="X122" i="1"/>
  <c r="X124" i="1"/>
  <c r="AG145" i="1"/>
  <c r="X123" i="1"/>
  <c r="AG142" i="1"/>
  <c r="W118" i="1"/>
  <c r="W120" i="1"/>
  <c r="X120" i="1" s="1"/>
  <c r="AA125" i="1"/>
  <c r="AB125" i="1" s="1"/>
  <c r="AA124" i="1"/>
  <c r="AB124" i="1" s="1"/>
  <c r="V116" i="1"/>
  <c r="V117" i="1"/>
  <c r="W117" i="1" s="1"/>
  <c r="V115" i="1"/>
  <c r="V114" i="1"/>
  <c r="AL140" i="1"/>
  <c r="AL137" i="1"/>
  <c r="AM137" i="1" s="1"/>
  <c r="AR137" i="1" s="1"/>
  <c r="AL139" i="1"/>
  <c r="AM139" i="1" s="1"/>
  <c r="AR139" i="1" s="1"/>
  <c r="AL138" i="1"/>
  <c r="AL130" i="1"/>
  <c r="AM130" i="1" s="1"/>
  <c r="AR130" i="1" s="1"/>
  <c r="AL131" i="1"/>
  <c r="AM131" i="1" s="1"/>
  <c r="AR131" i="1" s="1"/>
  <c r="AL141" i="1"/>
  <c r="AM141" i="1" s="1"/>
  <c r="AR141" i="1" s="1"/>
  <c r="AD136" i="1"/>
  <c r="AE136" i="1" s="1"/>
  <c r="AF136" i="1" s="1"/>
  <c r="AC128" i="1"/>
  <c r="R115" i="1"/>
  <c r="U115" i="1" s="1"/>
  <c r="Z119" i="1"/>
  <c r="R114" i="1"/>
  <c r="U114" i="1" s="1"/>
  <c r="Z121" i="1"/>
  <c r="AA123" i="1"/>
  <c r="AB123" i="1" s="1"/>
  <c r="AD135" i="1"/>
  <c r="AE135" i="1" s="1"/>
  <c r="AF135" i="1" s="1"/>
  <c r="R117" i="1"/>
  <c r="U117" i="1" s="1"/>
  <c r="R116" i="1"/>
  <c r="U116" i="1" s="1"/>
  <c r="Z120" i="1"/>
  <c r="AC127" i="1"/>
  <c r="Z118" i="1"/>
  <c r="Q111" i="1"/>
  <c r="Y111" i="1" s="1"/>
  <c r="Q110" i="1"/>
  <c r="Y110" i="1" s="1"/>
  <c r="Q109" i="1"/>
  <c r="Y109" i="1" s="1"/>
  <c r="Q113" i="1"/>
  <c r="Y113" i="1" s="1"/>
  <c r="Q112" i="1"/>
  <c r="Y112" i="1" s="1"/>
  <c r="AD129" i="1"/>
  <c r="AE129" i="1" s="1"/>
  <c r="AF129" i="1" s="1"/>
  <c r="W26" i="24"/>
  <c r="U26" i="24"/>
  <c r="V26" i="24" s="1"/>
  <c r="AG27" i="24"/>
  <c r="AI27" i="24" s="1"/>
  <c r="AJ27" i="24" s="1"/>
  <c r="T25" i="24"/>
  <c r="S24" i="24"/>
  <c r="AV140" i="1" l="1"/>
  <c r="AM138" i="1"/>
  <c r="AM140" i="1"/>
  <c r="AA121" i="1"/>
  <c r="AB121" i="1" s="1"/>
  <c r="X118" i="1"/>
  <c r="W116" i="1"/>
  <c r="X116" i="1" s="1"/>
  <c r="X117" i="1"/>
  <c r="Z117" i="1"/>
  <c r="AA117" i="1" s="1"/>
  <c r="AB117" i="1" s="1"/>
  <c r="AC124" i="1"/>
  <c r="W115" i="1"/>
  <c r="AG130" i="1"/>
  <c r="AG131" i="1"/>
  <c r="AG137" i="1"/>
  <c r="X119" i="1"/>
  <c r="AC125" i="1"/>
  <c r="AD125" i="1" s="1"/>
  <c r="AE125" i="1" s="1"/>
  <c r="AF125" i="1" s="1"/>
  <c r="AG141" i="1"/>
  <c r="AG139" i="1"/>
  <c r="W114" i="1"/>
  <c r="V112" i="1"/>
  <c r="Z113" i="1"/>
  <c r="V113" i="1"/>
  <c r="W113" i="1" s="1"/>
  <c r="V109" i="1"/>
  <c r="V110" i="1"/>
  <c r="V111" i="1"/>
  <c r="AL135" i="1"/>
  <c r="AM135" i="1" s="1"/>
  <c r="AR135" i="1" s="1"/>
  <c r="AL136" i="1"/>
  <c r="AM136" i="1" s="1"/>
  <c r="AR136" i="1" s="1"/>
  <c r="AL132" i="1"/>
  <c r="AL129" i="1"/>
  <c r="AM129" i="1" s="1"/>
  <c r="AR129" i="1" s="1"/>
  <c r="AL133" i="1"/>
  <c r="AL134" i="1"/>
  <c r="AA120" i="1"/>
  <c r="AB120" i="1" s="1"/>
  <c r="AA118" i="1"/>
  <c r="AB118" i="1" s="1"/>
  <c r="R111" i="1"/>
  <c r="U111" i="1" s="1"/>
  <c r="Z115" i="1"/>
  <c r="Z116" i="1"/>
  <c r="AD128" i="1"/>
  <c r="AE128" i="1" s="1"/>
  <c r="AF128" i="1" s="1"/>
  <c r="R110" i="1"/>
  <c r="U110" i="1" s="1"/>
  <c r="AD127" i="1"/>
  <c r="AE127" i="1" s="1"/>
  <c r="AF127" i="1" s="1"/>
  <c r="AA119" i="1"/>
  <c r="AB119" i="1" s="1"/>
  <c r="R112" i="1"/>
  <c r="U112" i="1" s="1"/>
  <c r="Q108" i="1"/>
  <c r="Y108" i="1" s="1"/>
  <c r="Q106" i="1"/>
  <c r="Y106" i="1" s="1"/>
  <c r="Q105" i="1"/>
  <c r="Y105" i="1" s="1"/>
  <c r="Q107" i="1"/>
  <c r="Y107" i="1" s="1"/>
  <c r="R113" i="1"/>
  <c r="U113" i="1" s="1"/>
  <c r="AC122" i="1"/>
  <c r="AC126" i="1"/>
  <c r="R109" i="1"/>
  <c r="U109" i="1" s="1"/>
  <c r="Z114" i="1"/>
  <c r="S23" i="24"/>
  <c r="T24" i="24"/>
  <c r="W25" i="24"/>
  <c r="U25" i="24"/>
  <c r="V25" i="24" s="1"/>
  <c r="AG26" i="24"/>
  <c r="AI26" i="24" s="1"/>
  <c r="AJ26" i="24" s="1"/>
  <c r="AG140" i="1" l="1"/>
  <c r="AR140" i="1"/>
  <c r="AG138" i="1"/>
  <c r="AR138" i="1"/>
  <c r="AV139" i="1"/>
  <c r="AV138" i="1" s="1"/>
  <c r="AV137" i="1" s="1"/>
  <c r="AV136" i="1" s="1"/>
  <c r="AV135" i="1" s="1"/>
  <c r="AV134" i="1" s="1"/>
  <c r="AA116" i="1"/>
  <c r="AB116" i="1" s="1"/>
  <c r="AM134" i="1"/>
  <c r="AM133" i="1"/>
  <c r="AM132" i="1"/>
  <c r="W111" i="1"/>
  <c r="X113" i="1"/>
  <c r="W112" i="1"/>
  <c r="X112" i="1" s="1"/>
  <c r="X114" i="1"/>
  <c r="X115" i="1"/>
  <c r="AG129" i="1"/>
  <c r="W109" i="1"/>
  <c r="AG136" i="1"/>
  <c r="W110" i="1"/>
  <c r="AG135" i="1"/>
  <c r="V105" i="1"/>
  <c r="V108" i="1"/>
  <c r="W108" i="1" s="1"/>
  <c r="V107" i="1"/>
  <c r="V106" i="1"/>
  <c r="AL128" i="1"/>
  <c r="AM128" i="1" s="1"/>
  <c r="AR128" i="1" s="1"/>
  <c r="AL127" i="1"/>
  <c r="AM127" i="1" s="1"/>
  <c r="AR127" i="1" s="1"/>
  <c r="AC118" i="1"/>
  <c r="AD118" i="1" s="1"/>
  <c r="AE118" i="1" s="1"/>
  <c r="AF118" i="1" s="1"/>
  <c r="Z109" i="1"/>
  <c r="AA114" i="1"/>
  <c r="AB114" i="1" s="1"/>
  <c r="AA115" i="1"/>
  <c r="AA113" i="1"/>
  <c r="AB113" i="1" s="1"/>
  <c r="Z112" i="1"/>
  <c r="AA112" i="1" s="1"/>
  <c r="AB112" i="1" s="1"/>
  <c r="AC123" i="1"/>
  <c r="AC116" i="1"/>
  <c r="AD116" i="1" s="1"/>
  <c r="AE116" i="1" s="1"/>
  <c r="AF116" i="1" s="1"/>
  <c r="R107" i="1"/>
  <c r="U107" i="1" s="1"/>
  <c r="AC117" i="1"/>
  <c r="R105" i="1"/>
  <c r="U105" i="1" s="1"/>
  <c r="Z110" i="1"/>
  <c r="AD126" i="1"/>
  <c r="AE126" i="1" s="1"/>
  <c r="AF126" i="1" s="1"/>
  <c r="AD122" i="1"/>
  <c r="AE122" i="1" s="1"/>
  <c r="AF122" i="1" s="1"/>
  <c r="R106" i="1"/>
  <c r="U106" i="1" s="1"/>
  <c r="AD124" i="1"/>
  <c r="AE124" i="1" s="1"/>
  <c r="AF124" i="1" s="1"/>
  <c r="Z111" i="1"/>
  <c r="R108" i="1"/>
  <c r="U108" i="1" s="1"/>
  <c r="Q102" i="1"/>
  <c r="Y102" i="1" s="1"/>
  <c r="Q101" i="1"/>
  <c r="Y101" i="1" s="1"/>
  <c r="Q104" i="1"/>
  <c r="Y104" i="1" s="1"/>
  <c r="Q103" i="1"/>
  <c r="Y103" i="1" s="1"/>
  <c r="AC120" i="1"/>
  <c r="AC121" i="1"/>
  <c r="AG25" i="24"/>
  <c r="AI25" i="24" s="1"/>
  <c r="AJ25" i="24" s="1"/>
  <c r="W24" i="24"/>
  <c r="U24" i="24"/>
  <c r="V24" i="24" s="1"/>
  <c r="S22" i="24"/>
  <c r="T23" i="24"/>
  <c r="AG134" i="1" l="1"/>
  <c r="AR134" i="1"/>
  <c r="AB115" i="1"/>
  <c r="AV133" i="1"/>
  <c r="AG133" i="1"/>
  <c r="AR133" i="1"/>
  <c r="AG132" i="1"/>
  <c r="AR132" i="1"/>
  <c r="AC114" i="1"/>
  <c r="X110" i="1"/>
  <c r="X111" i="1"/>
  <c r="W106" i="1"/>
  <c r="Z108" i="1"/>
  <c r="AA108" i="1" s="1"/>
  <c r="AG128" i="1"/>
  <c r="X108" i="1"/>
  <c r="W107" i="1"/>
  <c r="X107" i="1" s="1"/>
  <c r="W105" i="1"/>
  <c r="X109" i="1"/>
  <c r="AG127" i="1"/>
  <c r="V102" i="1"/>
  <c r="V101" i="1"/>
  <c r="V103" i="1"/>
  <c r="Z104" i="1"/>
  <c r="V104" i="1"/>
  <c r="W104" i="1" s="1"/>
  <c r="AL124" i="1"/>
  <c r="AM124" i="1" s="1"/>
  <c r="AR124" i="1" s="1"/>
  <c r="AL126" i="1"/>
  <c r="AM126" i="1" s="1"/>
  <c r="AR126" i="1" s="1"/>
  <c r="AL125" i="1"/>
  <c r="AA111" i="1"/>
  <c r="AB111" i="1" s="1"/>
  <c r="AA110" i="1"/>
  <c r="AB110" i="1" s="1"/>
  <c r="Z106" i="1"/>
  <c r="R101" i="1"/>
  <c r="U101" i="1" s="1"/>
  <c r="AD123" i="1"/>
  <c r="AE123" i="1" s="1"/>
  <c r="AF123" i="1" s="1"/>
  <c r="R102" i="1"/>
  <c r="U102" i="1" s="1"/>
  <c r="AC115" i="1"/>
  <c r="Z105" i="1"/>
  <c r="AD121" i="1"/>
  <c r="AE121" i="1" s="1"/>
  <c r="AF121" i="1" s="1"/>
  <c r="Z107" i="1"/>
  <c r="AA107" i="1" s="1"/>
  <c r="AD120" i="1"/>
  <c r="AE120" i="1" s="1"/>
  <c r="AF120" i="1" s="1"/>
  <c r="AC119" i="1"/>
  <c r="AD117" i="1"/>
  <c r="AE117" i="1" s="1"/>
  <c r="AF117" i="1" s="1"/>
  <c r="Q98" i="1"/>
  <c r="Y98" i="1" s="1"/>
  <c r="Q97" i="1"/>
  <c r="Y97" i="1" s="1"/>
  <c r="Q99" i="1"/>
  <c r="Y99" i="1" s="1"/>
  <c r="Q96" i="1"/>
  <c r="Y96" i="1" s="1"/>
  <c r="Q100" i="1"/>
  <c r="Y100" i="1" s="1"/>
  <c r="R103" i="1"/>
  <c r="U103" i="1" s="1"/>
  <c r="R104" i="1"/>
  <c r="U104" i="1" s="1"/>
  <c r="AA109" i="1"/>
  <c r="AB109" i="1" s="1"/>
  <c r="T22" i="24"/>
  <c r="S21" i="24"/>
  <c r="AG24" i="24"/>
  <c r="AI24" i="24" s="1"/>
  <c r="AJ24" i="24" s="1"/>
  <c r="W23" i="24"/>
  <c r="U23" i="24"/>
  <c r="V23" i="24" s="1"/>
  <c r="AB108" i="1" l="1"/>
  <c r="AV132" i="1"/>
  <c r="AV131" i="1" s="1"/>
  <c r="AV130" i="1" s="1"/>
  <c r="AV129" i="1" s="1"/>
  <c r="AV128" i="1" s="1"/>
  <c r="AV127" i="1" s="1"/>
  <c r="AV126" i="1" s="1"/>
  <c r="AV125" i="1" s="1"/>
  <c r="AB107" i="1"/>
  <c r="AM125" i="1"/>
  <c r="W102" i="1"/>
  <c r="W103" i="1"/>
  <c r="X103" i="1" s="1"/>
  <c r="X105" i="1"/>
  <c r="AG126" i="1"/>
  <c r="AG124" i="1"/>
  <c r="X104" i="1"/>
  <c r="W101" i="1"/>
  <c r="X106" i="1"/>
  <c r="Z100" i="1"/>
  <c r="V100" i="1"/>
  <c r="W100" i="1" s="1"/>
  <c r="V99" i="1"/>
  <c r="V96" i="1"/>
  <c r="V97" i="1"/>
  <c r="V98" i="1"/>
  <c r="AL121" i="1"/>
  <c r="AM121" i="1" s="1"/>
  <c r="AR121" i="1" s="1"/>
  <c r="AL123" i="1"/>
  <c r="AM123" i="1" s="1"/>
  <c r="AR123" i="1" s="1"/>
  <c r="AL122" i="1"/>
  <c r="AL120" i="1"/>
  <c r="AM120" i="1" s="1"/>
  <c r="AR120" i="1" s="1"/>
  <c r="AA104" i="1"/>
  <c r="AB104" i="1" s="1"/>
  <c r="Z103" i="1"/>
  <c r="AA103" i="1" s="1"/>
  <c r="AB103" i="1" s="1"/>
  <c r="R98" i="1"/>
  <c r="U98" i="1" s="1"/>
  <c r="AD114" i="1"/>
  <c r="AE114" i="1" s="1"/>
  <c r="AF114" i="1" s="1"/>
  <c r="AA106" i="1"/>
  <c r="AB106" i="1" s="1"/>
  <c r="AC113" i="1"/>
  <c r="AD115" i="1"/>
  <c r="AE115" i="1" s="1"/>
  <c r="AF115" i="1" s="1"/>
  <c r="AC107" i="1"/>
  <c r="AD107" i="1" s="1"/>
  <c r="AE107" i="1" s="1"/>
  <c r="AF107" i="1" s="1"/>
  <c r="AG23" i="24"/>
  <c r="AI23" i="24" s="1"/>
  <c r="AJ23" i="24" s="1"/>
  <c r="Q93" i="1"/>
  <c r="Y93" i="1" s="1"/>
  <c r="Q95" i="1"/>
  <c r="Y95" i="1" s="1"/>
  <c r="Q94" i="1"/>
  <c r="Y94" i="1" s="1"/>
  <c r="Q92" i="1"/>
  <c r="Y92" i="1" s="1"/>
  <c r="AC108" i="1"/>
  <c r="R100" i="1"/>
  <c r="U100" i="1" s="1"/>
  <c r="AC110" i="1"/>
  <c r="Z101" i="1"/>
  <c r="R96" i="1"/>
  <c r="U96" i="1" s="1"/>
  <c r="AC111" i="1"/>
  <c r="R99" i="1"/>
  <c r="U99" i="1" s="1"/>
  <c r="AC112" i="1"/>
  <c r="Z102" i="1"/>
  <c r="AD119" i="1"/>
  <c r="AE119" i="1" s="1"/>
  <c r="AF119" i="1" s="1"/>
  <c r="R97" i="1"/>
  <c r="U97" i="1" s="1"/>
  <c r="AA105" i="1"/>
  <c r="AB105" i="1" s="1"/>
  <c r="W22" i="24"/>
  <c r="U22" i="24"/>
  <c r="V22" i="24" s="1"/>
  <c r="T21" i="24"/>
  <c r="S20" i="24"/>
  <c r="AG125" i="1" l="1"/>
  <c r="AR125" i="1"/>
  <c r="AV124" i="1" s="1"/>
  <c r="AV123" i="1" s="1"/>
  <c r="AV122" i="1" s="1"/>
  <c r="AM122" i="1"/>
  <c r="W98" i="1"/>
  <c r="X100" i="1"/>
  <c r="AG121" i="1"/>
  <c r="AC106" i="1"/>
  <c r="AD106" i="1" s="1"/>
  <c r="AE106" i="1" s="1"/>
  <c r="AF106" i="1" s="1"/>
  <c r="X101" i="1"/>
  <c r="X102" i="1"/>
  <c r="AG123" i="1"/>
  <c r="W96" i="1"/>
  <c r="AG120" i="1"/>
  <c r="W97" i="1"/>
  <c r="W99" i="1"/>
  <c r="X99" i="1" s="1"/>
  <c r="V92" i="1"/>
  <c r="V94" i="1"/>
  <c r="V95" i="1"/>
  <c r="W95" i="1" s="1"/>
  <c r="V93" i="1"/>
  <c r="AL117" i="1"/>
  <c r="AL115" i="1"/>
  <c r="AM115" i="1" s="1"/>
  <c r="AR115" i="1" s="1"/>
  <c r="AL116" i="1"/>
  <c r="AL119" i="1"/>
  <c r="AM119" i="1" s="1"/>
  <c r="AR119" i="1" s="1"/>
  <c r="AL118" i="1"/>
  <c r="AL114" i="1"/>
  <c r="AM114" i="1" s="1"/>
  <c r="AR114" i="1" s="1"/>
  <c r="AA102" i="1"/>
  <c r="AB102" i="1" s="1"/>
  <c r="AG22" i="24"/>
  <c r="AI22" i="24" s="1"/>
  <c r="AJ22" i="24" s="1"/>
  <c r="Q83" i="1" s="1"/>
  <c r="Y83" i="1" s="1"/>
  <c r="Z99" i="1"/>
  <c r="AA99" i="1" s="1"/>
  <c r="Z97" i="1"/>
  <c r="R95" i="1"/>
  <c r="U95" i="1" s="1"/>
  <c r="Z98" i="1"/>
  <c r="AD111" i="1"/>
  <c r="AE111" i="1" s="1"/>
  <c r="AF111" i="1" s="1"/>
  <c r="R93" i="1"/>
  <c r="U93" i="1" s="1"/>
  <c r="AD113" i="1"/>
  <c r="AE113" i="1" s="1"/>
  <c r="AF113" i="1" s="1"/>
  <c r="AC103" i="1"/>
  <c r="AA100" i="1"/>
  <c r="AB100" i="1" s="1"/>
  <c r="Q90" i="1"/>
  <c r="Y90" i="1" s="1"/>
  <c r="Q88" i="1"/>
  <c r="Y88" i="1" s="1"/>
  <c r="Q89" i="1"/>
  <c r="Y89" i="1" s="1"/>
  <c r="Q91" i="1"/>
  <c r="Y91" i="1" s="1"/>
  <c r="Q86" i="1"/>
  <c r="Y86" i="1" s="1"/>
  <c r="AC104" i="1"/>
  <c r="Z96" i="1"/>
  <c r="AD112" i="1"/>
  <c r="AE112" i="1" s="1"/>
  <c r="AF112" i="1" s="1"/>
  <c r="AD108" i="1"/>
  <c r="AE108" i="1" s="1"/>
  <c r="AF108" i="1" s="1"/>
  <c r="AA101" i="1"/>
  <c r="AC109" i="1"/>
  <c r="AD110" i="1"/>
  <c r="AE110" i="1" s="1"/>
  <c r="AF110" i="1" s="1"/>
  <c r="R92" i="1"/>
  <c r="U92" i="1" s="1"/>
  <c r="R94" i="1"/>
  <c r="U94" i="1" s="1"/>
  <c r="T20" i="24"/>
  <c r="S19" i="24"/>
  <c r="W21" i="24"/>
  <c r="U21" i="24"/>
  <c r="V21" i="24" s="1"/>
  <c r="AB101" i="1" l="1"/>
  <c r="AB99" i="1"/>
  <c r="AG122" i="1"/>
  <c r="AR122" i="1"/>
  <c r="AV121" i="1" s="1"/>
  <c r="AV120" i="1" s="1"/>
  <c r="AV119" i="1" s="1"/>
  <c r="AV118" i="1" s="1"/>
  <c r="AM117" i="1"/>
  <c r="AM116" i="1"/>
  <c r="AM118" i="1"/>
  <c r="W94" i="1"/>
  <c r="X94" i="1" s="1"/>
  <c r="AC102" i="1"/>
  <c r="W93" i="1"/>
  <c r="X95" i="1"/>
  <c r="AC101" i="1"/>
  <c r="AD101" i="1" s="1"/>
  <c r="AE101" i="1" s="1"/>
  <c r="AF101" i="1" s="1"/>
  <c r="Z95" i="1"/>
  <c r="AG114" i="1"/>
  <c r="X96" i="1"/>
  <c r="X97" i="1"/>
  <c r="X98" i="1"/>
  <c r="AG119" i="1"/>
  <c r="AG115" i="1"/>
  <c r="W92" i="1"/>
  <c r="V86" i="1"/>
  <c r="V91" i="1"/>
  <c r="W91" i="1" s="1"/>
  <c r="V89" i="1"/>
  <c r="V88" i="1"/>
  <c r="V83" i="1"/>
  <c r="V90" i="1"/>
  <c r="Q87" i="1"/>
  <c r="Y87" i="1" s="1"/>
  <c r="Q84" i="1"/>
  <c r="Y84" i="1" s="1"/>
  <c r="Q85" i="1"/>
  <c r="AL111" i="1"/>
  <c r="AM111" i="1" s="1"/>
  <c r="AR111" i="1" s="1"/>
  <c r="AL110" i="1"/>
  <c r="AM110" i="1" s="1"/>
  <c r="AR110" i="1" s="1"/>
  <c r="AL112" i="1"/>
  <c r="AM112" i="1" s="1"/>
  <c r="AR112" i="1" s="1"/>
  <c r="AL113" i="1"/>
  <c r="AM113" i="1" s="1"/>
  <c r="AR113" i="1" s="1"/>
  <c r="AA97" i="1"/>
  <c r="AA98" i="1"/>
  <c r="AB98" i="1" s="1"/>
  <c r="Z94" i="1"/>
  <c r="AA96" i="1"/>
  <c r="AB96" i="1" s="1"/>
  <c r="Z92" i="1"/>
  <c r="R91" i="1"/>
  <c r="U91" i="1" s="1"/>
  <c r="AD104" i="1"/>
  <c r="AE104" i="1" s="1"/>
  <c r="AF104" i="1" s="1"/>
  <c r="R89" i="1"/>
  <c r="U89" i="1" s="1"/>
  <c r="Z93" i="1"/>
  <c r="R88" i="1"/>
  <c r="U88" i="1" s="1"/>
  <c r="R90" i="1"/>
  <c r="U90" i="1" s="1"/>
  <c r="R86" i="1"/>
  <c r="U86" i="1" s="1"/>
  <c r="AD103" i="1"/>
  <c r="AE103" i="1" s="1"/>
  <c r="AF103" i="1" s="1"/>
  <c r="AD109" i="1"/>
  <c r="AE109" i="1" s="1"/>
  <c r="AF109" i="1" s="1"/>
  <c r="AA95" i="1"/>
  <c r="AB95" i="1" s="1"/>
  <c r="AC105" i="1"/>
  <c r="R83" i="1"/>
  <c r="U83" i="1" s="1"/>
  <c r="AG21" i="24"/>
  <c r="AI21" i="24" s="1"/>
  <c r="AJ21" i="24" s="1"/>
  <c r="S18" i="24"/>
  <c r="T19" i="24"/>
  <c r="W20" i="24"/>
  <c r="U20" i="24"/>
  <c r="V20" i="24" s="1"/>
  <c r="AG118" i="1" l="1"/>
  <c r="AR118" i="1"/>
  <c r="AV117" i="1" s="1"/>
  <c r="AG116" i="1"/>
  <c r="AR116" i="1"/>
  <c r="R85" i="1"/>
  <c r="U85" i="1" s="1"/>
  <c r="Y85" i="1"/>
  <c r="AG117" i="1"/>
  <c r="AR117" i="1"/>
  <c r="W90" i="1"/>
  <c r="AB97" i="1"/>
  <c r="X92" i="1"/>
  <c r="X93" i="1"/>
  <c r="AA94" i="1"/>
  <c r="Z91" i="1"/>
  <c r="AA91" i="1" s="1"/>
  <c r="X90" i="1"/>
  <c r="X91" i="1"/>
  <c r="AC97" i="1"/>
  <c r="AG113" i="1"/>
  <c r="AG111" i="1"/>
  <c r="W88" i="1"/>
  <c r="AG112" i="1"/>
  <c r="AG110" i="1"/>
  <c r="W89" i="1"/>
  <c r="X89" i="1" s="1"/>
  <c r="V85" i="1"/>
  <c r="V84" i="1"/>
  <c r="V87" i="1"/>
  <c r="W87" i="1" s="1"/>
  <c r="R87" i="1"/>
  <c r="U87" i="1" s="1"/>
  <c r="R84" i="1"/>
  <c r="U84" i="1" s="1"/>
  <c r="AL106" i="1"/>
  <c r="AL109" i="1"/>
  <c r="AM109" i="1" s="1"/>
  <c r="AR109" i="1" s="1"/>
  <c r="AL108" i="1"/>
  <c r="AL107" i="1"/>
  <c r="AA93" i="1"/>
  <c r="AB93" i="1" s="1"/>
  <c r="Z90" i="1"/>
  <c r="AA90" i="1" s="1"/>
  <c r="AB90" i="1" s="1"/>
  <c r="Z88" i="1"/>
  <c r="AA92" i="1"/>
  <c r="AB92" i="1" s="1"/>
  <c r="AC98" i="1"/>
  <c r="AC99" i="1"/>
  <c r="AG20" i="24"/>
  <c r="AI20" i="24" s="1"/>
  <c r="AJ20" i="24" s="1"/>
  <c r="AD105" i="1"/>
  <c r="AE105" i="1" s="1"/>
  <c r="AF105" i="1" s="1"/>
  <c r="AC96" i="1"/>
  <c r="AD102" i="1"/>
  <c r="AE102" i="1" s="1"/>
  <c r="AF102" i="1" s="1"/>
  <c r="Q82" i="1"/>
  <c r="Y82" i="1" s="1"/>
  <c r="Q81" i="1"/>
  <c r="Y81" i="1" s="1"/>
  <c r="Q79" i="1"/>
  <c r="Y79" i="1" s="1"/>
  <c r="Q80" i="1"/>
  <c r="Y80" i="1" s="1"/>
  <c r="AC100" i="1"/>
  <c r="Z89" i="1"/>
  <c r="W19" i="24"/>
  <c r="U19" i="24"/>
  <c r="V19" i="24" s="1"/>
  <c r="T18" i="24"/>
  <c r="S17" i="24"/>
  <c r="AB91" i="1" l="1"/>
  <c r="AV116" i="1"/>
  <c r="AV115" i="1" s="1"/>
  <c r="AV114" i="1" s="1"/>
  <c r="AV113" i="1" s="1"/>
  <c r="AV112" i="1" s="1"/>
  <c r="AV111" i="1" s="1"/>
  <c r="AV110" i="1" s="1"/>
  <c r="AV109" i="1" s="1"/>
  <c r="AV108" i="1" s="1"/>
  <c r="AB94" i="1"/>
  <c r="AC94" i="1" s="1"/>
  <c r="AD94" i="1" s="1"/>
  <c r="AE94" i="1" s="1"/>
  <c r="AF94" i="1" s="1"/>
  <c r="AM106" i="1"/>
  <c r="AM107" i="1"/>
  <c r="AC92" i="1"/>
  <c r="AD92" i="1" s="1"/>
  <c r="AE92" i="1" s="1"/>
  <c r="AF92" i="1" s="1"/>
  <c r="AM108" i="1"/>
  <c r="X87" i="1"/>
  <c r="AC91" i="1"/>
  <c r="Z86" i="1"/>
  <c r="W84" i="1"/>
  <c r="AG109" i="1"/>
  <c r="Z83" i="1"/>
  <c r="W86" i="1"/>
  <c r="X86" i="1" s="1"/>
  <c r="X88" i="1"/>
  <c r="W85" i="1"/>
  <c r="W83" i="1"/>
  <c r="Z85" i="1"/>
  <c r="Z87" i="1"/>
  <c r="AA87" i="1" s="1"/>
  <c r="Z84" i="1"/>
  <c r="V81" i="1"/>
  <c r="V79" i="1"/>
  <c r="V80" i="1"/>
  <c r="Z82" i="1"/>
  <c r="V82" i="1"/>
  <c r="W82" i="1" s="1"/>
  <c r="AL103" i="1"/>
  <c r="AL105" i="1"/>
  <c r="AM105" i="1" s="1"/>
  <c r="AR105" i="1" s="1"/>
  <c r="AL102" i="1"/>
  <c r="AM102" i="1" s="1"/>
  <c r="AR102" i="1" s="1"/>
  <c r="AL104" i="1"/>
  <c r="AL101" i="1"/>
  <c r="AA89" i="1"/>
  <c r="AB89" i="1" s="1"/>
  <c r="AC90" i="1"/>
  <c r="AD90" i="1" s="1"/>
  <c r="AE90" i="1" s="1"/>
  <c r="AF90" i="1" s="1"/>
  <c r="AD97" i="1"/>
  <c r="AE97" i="1" s="1"/>
  <c r="AF97" i="1" s="1"/>
  <c r="R80" i="1"/>
  <c r="U80" i="1" s="1"/>
  <c r="R79" i="1"/>
  <c r="U79" i="1" s="1"/>
  <c r="AD100" i="1"/>
  <c r="AE100" i="1" s="1"/>
  <c r="AF100" i="1" s="1"/>
  <c r="AA88" i="1"/>
  <c r="AD99" i="1"/>
  <c r="AE99" i="1" s="1"/>
  <c r="AF99" i="1" s="1"/>
  <c r="R81" i="1"/>
  <c r="U81" i="1" s="1"/>
  <c r="R82" i="1"/>
  <c r="U82" i="1" s="1"/>
  <c r="Q75" i="1"/>
  <c r="Y75" i="1" s="1"/>
  <c r="Q76" i="1"/>
  <c r="Y76" i="1" s="1"/>
  <c r="Q78" i="1"/>
  <c r="Y78" i="1" s="1"/>
  <c r="Q77" i="1"/>
  <c r="Y77" i="1" s="1"/>
  <c r="AD98" i="1"/>
  <c r="AE98" i="1" s="1"/>
  <c r="AF98" i="1" s="1"/>
  <c r="AG19" i="24"/>
  <c r="AI19" i="24" s="1"/>
  <c r="AJ19" i="24" s="1"/>
  <c r="AD96" i="1"/>
  <c r="AE96" i="1" s="1"/>
  <c r="AF96" i="1" s="1"/>
  <c r="AC95" i="1"/>
  <c r="S16" i="24"/>
  <c r="T17" i="24"/>
  <c r="W18" i="24"/>
  <c r="U18" i="24"/>
  <c r="V18" i="24" s="1"/>
  <c r="AB88" i="1" l="1"/>
  <c r="AB87" i="1"/>
  <c r="AG108" i="1"/>
  <c r="AR108" i="1"/>
  <c r="AV107" i="1" s="1"/>
  <c r="AG107" i="1"/>
  <c r="AR107" i="1"/>
  <c r="AG106" i="1"/>
  <c r="AR106" i="1"/>
  <c r="AA85" i="1"/>
  <c r="AA86" i="1"/>
  <c r="AB86" i="1" s="1"/>
  <c r="AC86" i="1" s="1"/>
  <c r="AD86" i="1" s="1"/>
  <c r="AE86" i="1" s="1"/>
  <c r="AF86" i="1" s="1"/>
  <c r="AA84" i="1"/>
  <c r="AM103" i="1"/>
  <c r="AM101" i="1"/>
  <c r="AM104" i="1"/>
  <c r="AA83" i="1"/>
  <c r="AB83" i="1" s="1"/>
  <c r="AA82" i="1"/>
  <c r="X84" i="1"/>
  <c r="W80" i="1"/>
  <c r="X85" i="1"/>
  <c r="X83" i="1"/>
  <c r="AG105" i="1"/>
  <c r="AG102" i="1"/>
  <c r="X82" i="1"/>
  <c r="W79" i="1"/>
  <c r="W81" i="1"/>
  <c r="X81" i="1" s="1"/>
  <c r="V75" i="1"/>
  <c r="V77" i="1"/>
  <c r="V78" i="1"/>
  <c r="W78" i="1" s="1"/>
  <c r="V76" i="1"/>
  <c r="AL98" i="1"/>
  <c r="AM98" i="1" s="1"/>
  <c r="AR98" i="1" s="1"/>
  <c r="AL97" i="1"/>
  <c r="AM97" i="1" s="1"/>
  <c r="AR97" i="1" s="1"/>
  <c r="AL99" i="1"/>
  <c r="AM99" i="1" s="1"/>
  <c r="AR99" i="1" s="1"/>
  <c r="AL100" i="1"/>
  <c r="AM100" i="1" s="1"/>
  <c r="AR100" i="1" s="1"/>
  <c r="AL96" i="1"/>
  <c r="AM96" i="1" s="1"/>
  <c r="AR96" i="1" s="1"/>
  <c r="AC93" i="1"/>
  <c r="AD93" i="1" s="1"/>
  <c r="AE93" i="1" s="1"/>
  <c r="AF93" i="1" s="1"/>
  <c r="Z81" i="1"/>
  <c r="AA81" i="1" s="1"/>
  <c r="AC89" i="1"/>
  <c r="R77" i="1"/>
  <c r="U77" i="1" s="1"/>
  <c r="R78" i="1"/>
  <c r="U78" i="1" s="1"/>
  <c r="Z80" i="1"/>
  <c r="AD91" i="1"/>
  <c r="AE91" i="1" s="1"/>
  <c r="AF91" i="1" s="1"/>
  <c r="R76" i="1"/>
  <c r="U76" i="1" s="1"/>
  <c r="AD95" i="1"/>
  <c r="AE95" i="1" s="1"/>
  <c r="AF95" i="1" s="1"/>
  <c r="R75" i="1"/>
  <c r="U75" i="1" s="1"/>
  <c r="Q74" i="1"/>
  <c r="Y74" i="1" s="1"/>
  <c r="Q73" i="1"/>
  <c r="Y73" i="1" s="1"/>
  <c r="Q71" i="1"/>
  <c r="Y71" i="1" s="1"/>
  <c r="Q70" i="1"/>
  <c r="Y70" i="1" s="1"/>
  <c r="Q72" i="1"/>
  <c r="Y72" i="1" s="1"/>
  <c r="Z79" i="1"/>
  <c r="T16" i="24"/>
  <c r="S15" i="24"/>
  <c r="AG18" i="24"/>
  <c r="AI18" i="24" s="1"/>
  <c r="AJ18" i="24" s="1"/>
  <c r="W17" i="24"/>
  <c r="U17" i="24"/>
  <c r="V17" i="24" s="1"/>
  <c r="AB85" i="1" l="1"/>
  <c r="AB82" i="1"/>
  <c r="AG104" i="1"/>
  <c r="AR104" i="1"/>
  <c r="AB81" i="1"/>
  <c r="AG101" i="1"/>
  <c r="AR101" i="1"/>
  <c r="AG103" i="1"/>
  <c r="AR103" i="1"/>
  <c r="AV106" i="1"/>
  <c r="AV105" i="1" s="1"/>
  <c r="AV104" i="1" s="1"/>
  <c r="AB84" i="1"/>
  <c r="X78" i="1"/>
  <c r="AC82" i="1"/>
  <c r="X80" i="1"/>
  <c r="X79" i="1"/>
  <c r="Z78" i="1"/>
  <c r="AA78" i="1" s="1"/>
  <c r="AB78" i="1" s="1"/>
  <c r="AG96" i="1"/>
  <c r="AG99" i="1"/>
  <c r="AG98" i="1"/>
  <c r="W75" i="1"/>
  <c r="AG100" i="1"/>
  <c r="AG97" i="1"/>
  <c r="W76" i="1"/>
  <c r="W77" i="1"/>
  <c r="X77" i="1" s="1"/>
  <c r="V70" i="1"/>
  <c r="V71" i="1"/>
  <c r="V73" i="1"/>
  <c r="V72" i="1"/>
  <c r="V74" i="1"/>
  <c r="W74" i="1" s="1"/>
  <c r="AL94" i="1"/>
  <c r="AL91" i="1"/>
  <c r="AM91" i="1" s="1"/>
  <c r="AR91" i="1" s="1"/>
  <c r="AL90" i="1"/>
  <c r="AL95" i="1"/>
  <c r="AM95" i="1" s="1"/>
  <c r="AR95" i="1" s="1"/>
  <c r="AL92" i="1"/>
  <c r="AL93" i="1"/>
  <c r="AM93" i="1" s="1"/>
  <c r="AR93" i="1" s="1"/>
  <c r="AA80" i="1"/>
  <c r="Z75" i="1"/>
  <c r="AA79" i="1"/>
  <c r="AD89" i="1"/>
  <c r="AE89" i="1" s="1"/>
  <c r="AF89" i="1" s="1"/>
  <c r="Z76" i="1"/>
  <c r="AC81" i="1"/>
  <c r="AC84" i="1"/>
  <c r="R72" i="1"/>
  <c r="U72" i="1" s="1"/>
  <c r="AC88" i="1"/>
  <c r="Q67" i="1"/>
  <c r="Y67" i="1" s="1"/>
  <c r="Q68" i="1"/>
  <c r="Y68" i="1" s="1"/>
  <c r="Q69" i="1"/>
  <c r="Y69" i="1" s="1"/>
  <c r="Q66" i="1"/>
  <c r="Y66" i="1" s="1"/>
  <c r="R70" i="1"/>
  <c r="U70" i="1" s="1"/>
  <c r="AC87" i="1"/>
  <c r="R71" i="1"/>
  <c r="U71" i="1" s="1"/>
  <c r="R73" i="1"/>
  <c r="U73" i="1" s="1"/>
  <c r="Z77" i="1"/>
  <c r="AC85" i="1"/>
  <c r="AC83" i="1"/>
  <c r="R74" i="1"/>
  <c r="U74" i="1" s="1"/>
  <c r="W16" i="24"/>
  <c r="U16" i="24"/>
  <c r="V16" i="24" s="1"/>
  <c r="AG17" i="24"/>
  <c r="AI17" i="24" s="1"/>
  <c r="AJ17" i="24" s="1"/>
  <c r="S14" i="24"/>
  <c r="T15" i="24"/>
  <c r="AB79" i="1" l="1"/>
  <c r="AB80" i="1"/>
  <c r="AV103" i="1"/>
  <c r="AV102" i="1" s="1"/>
  <c r="AV101" i="1" s="1"/>
  <c r="AV100" i="1" s="1"/>
  <c r="AV99" i="1" s="1"/>
  <c r="AV98" i="1" s="1"/>
  <c r="AV97" i="1" s="1"/>
  <c r="AV96" i="1" s="1"/>
  <c r="AV95" i="1" s="1"/>
  <c r="AV94" i="1" s="1"/>
  <c r="AM90" i="1"/>
  <c r="AA77" i="1"/>
  <c r="AB77" i="1" s="1"/>
  <c r="AM92" i="1"/>
  <c r="AM94" i="1"/>
  <c r="W72" i="1"/>
  <c r="Z74" i="1"/>
  <c r="AG91" i="1"/>
  <c r="W71" i="1"/>
  <c r="X75" i="1"/>
  <c r="AG93" i="1"/>
  <c r="AG95" i="1"/>
  <c r="X76" i="1"/>
  <c r="X74" i="1"/>
  <c r="W73" i="1"/>
  <c r="X73" i="1" s="1"/>
  <c r="W70" i="1"/>
  <c r="V66" i="1"/>
  <c r="V69" i="1"/>
  <c r="W69" i="1" s="1"/>
  <c r="V68" i="1"/>
  <c r="V67" i="1"/>
  <c r="AL89" i="1"/>
  <c r="AM89" i="1" s="1"/>
  <c r="AR89" i="1" s="1"/>
  <c r="AG16" i="24"/>
  <c r="AI16" i="24" s="1"/>
  <c r="AJ16" i="24" s="1"/>
  <c r="Q60" i="1" s="1"/>
  <c r="Y60" i="1" s="1"/>
  <c r="AA74" i="1"/>
  <c r="R68" i="1"/>
  <c r="U68" i="1" s="1"/>
  <c r="AA76" i="1"/>
  <c r="R67" i="1"/>
  <c r="U67" i="1" s="1"/>
  <c r="AD82" i="1"/>
  <c r="AE82" i="1" s="1"/>
  <c r="AF82" i="1" s="1"/>
  <c r="AD88" i="1"/>
  <c r="AE88" i="1" s="1"/>
  <c r="AF88" i="1" s="1"/>
  <c r="Q65" i="1"/>
  <c r="Y65" i="1" s="1"/>
  <c r="Q63" i="1"/>
  <c r="Y63" i="1" s="1"/>
  <c r="Q62" i="1"/>
  <c r="Y62" i="1" s="1"/>
  <c r="Q64" i="1"/>
  <c r="Y64" i="1" s="1"/>
  <c r="AD83" i="1"/>
  <c r="AE83" i="1" s="1"/>
  <c r="AF83" i="1" s="1"/>
  <c r="Z73" i="1"/>
  <c r="AD84" i="1"/>
  <c r="AE84" i="1" s="1"/>
  <c r="AF84" i="1" s="1"/>
  <c r="Z70" i="1"/>
  <c r="Z71" i="1"/>
  <c r="AD85" i="1"/>
  <c r="AE85" i="1" s="1"/>
  <c r="AF85" i="1" s="1"/>
  <c r="R66" i="1"/>
  <c r="U66" i="1" s="1"/>
  <c r="Z72" i="1"/>
  <c r="AD81" i="1"/>
  <c r="AE81" i="1" s="1"/>
  <c r="AF81" i="1" s="1"/>
  <c r="AC79" i="1"/>
  <c r="AA75" i="1"/>
  <c r="AB75" i="1" s="1"/>
  <c r="AD87" i="1"/>
  <c r="AE87" i="1" s="1"/>
  <c r="AF87" i="1" s="1"/>
  <c r="R69" i="1"/>
  <c r="U69" i="1" s="1"/>
  <c r="Z69" i="1"/>
  <c r="T14" i="24"/>
  <c r="S13" i="24"/>
  <c r="W15" i="24"/>
  <c r="U15" i="24"/>
  <c r="V15" i="24" s="1"/>
  <c r="AB76" i="1" l="1"/>
  <c r="AG94" i="1"/>
  <c r="AR94" i="1"/>
  <c r="AG92" i="1"/>
  <c r="AR92" i="1"/>
  <c r="AG90" i="1"/>
  <c r="AR90" i="1"/>
  <c r="AV93" i="1"/>
  <c r="AV92" i="1" s="1"/>
  <c r="AV91" i="1" s="1"/>
  <c r="AV90" i="1" s="1"/>
  <c r="AB74" i="1"/>
  <c r="AA73" i="1"/>
  <c r="AB73" i="1" s="1"/>
  <c r="W68" i="1"/>
  <c r="X68" i="1" s="1"/>
  <c r="X70" i="1"/>
  <c r="W66" i="1"/>
  <c r="AG89" i="1"/>
  <c r="X71" i="1"/>
  <c r="W67" i="1"/>
  <c r="X69" i="1"/>
  <c r="X72" i="1"/>
  <c r="V60" i="1"/>
  <c r="V65" i="1"/>
  <c r="W65" i="1" s="1"/>
  <c r="V63" i="1"/>
  <c r="V62" i="1"/>
  <c r="V64" i="1"/>
  <c r="Q61" i="1"/>
  <c r="Y61" i="1" s="1"/>
  <c r="Q59" i="1"/>
  <c r="Y59" i="1" s="1"/>
  <c r="Q58" i="1"/>
  <c r="Y58" i="1" s="1"/>
  <c r="Q57" i="1"/>
  <c r="Y57" i="1" s="1"/>
  <c r="AL87" i="1"/>
  <c r="AM87" i="1" s="1"/>
  <c r="AR87" i="1" s="1"/>
  <c r="AL86" i="1"/>
  <c r="AL81" i="1"/>
  <c r="AM81" i="1" s="1"/>
  <c r="AR81" i="1" s="1"/>
  <c r="AL83" i="1"/>
  <c r="AM83" i="1" s="1"/>
  <c r="AR83" i="1" s="1"/>
  <c r="AL85" i="1"/>
  <c r="AM85" i="1" s="1"/>
  <c r="AR85" i="1" s="1"/>
  <c r="AL88" i="1"/>
  <c r="AM88" i="1" s="1"/>
  <c r="AR88" i="1" s="1"/>
  <c r="AL84" i="1"/>
  <c r="AM84" i="1" s="1"/>
  <c r="AR84" i="1" s="1"/>
  <c r="AL82" i="1"/>
  <c r="AM82" i="1" s="1"/>
  <c r="AR82" i="1" s="1"/>
  <c r="AC80" i="1"/>
  <c r="AD80" i="1" s="1"/>
  <c r="AE80" i="1" s="1"/>
  <c r="AF80" i="1" s="1"/>
  <c r="AA72" i="1"/>
  <c r="AB72" i="1" s="1"/>
  <c r="R64" i="1"/>
  <c r="U64" i="1" s="1"/>
  <c r="Z67" i="1"/>
  <c r="R62" i="1"/>
  <c r="U62" i="1" s="1"/>
  <c r="AA70" i="1"/>
  <c r="AB70" i="1" s="1"/>
  <c r="R63" i="1"/>
  <c r="U63" i="1" s="1"/>
  <c r="R65" i="1"/>
  <c r="U65" i="1" s="1"/>
  <c r="AC77" i="1"/>
  <c r="Z68" i="1"/>
  <c r="AA68" i="1" s="1"/>
  <c r="AB68" i="1" s="1"/>
  <c r="R60" i="1"/>
  <c r="U60" i="1" s="1"/>
  <c r="Z66" i="1"/>
  <c r="AC78" i="1"/>
  <c r="AC74" i="1"/>
  <c r="AA69" i="1"/>
  <c r="AB69" i="1" s="1"/>
  <c r="AD79" i="1"/>
  <c r="AE79" i="1" s="1"/>
  <c r="AF79" i="1" s="1"/>
  <c r="AA71" i="1"/>
  <c r="AB71" i="1" s="1"/>
  <c r="W14" i="24"/>
  <c r="U14" i="24"/>
  <c r="V14" i="24" s="1"/>
  <c r="AG15" i="24"/>
  <c r="AI15" i="24" s="1"/>
  <c r="AJ15" i="24" s="1"/>
  <c r="T13" i="24"/>
  <c r="S12" i="24"/>
  <c r="AV89" i="1" l="1"/>
  <c r="AV88" i="1" s="1"/>
  <c r="AV87" i="1" s="1"/>
  <c r="AV86" i="1" s="1"/>
  <c r="AM86" i="1"/>
  <c r="X67" i="1"/>
  <c r="W64" i="1"/>
  <c r="X64" i="1" s="1"/>
  <c r="AG85" i="1"/>
  <c r="AG84" i="1"/>
  <c r="AG81" i="1"/>
  <c r="AC72" i="1"/>
  <c r="AD72" i="1" s="1"/>
  <c r="AE72" i="1" s="1"/>
  <c r="AF72" i="1" s="1"/>
  <c r="X65" i="1"/>
  <c r="AG82" i="1"/>
  <c r="AG88" i="1"/>
  <c r="AG83" i="1"/>
  <c r="W63" i="1"/>
  <c r="W62" i="1"/>
  <c r="X66" i="1"/>
  <c r="AG87" i="1"/>
  <c r="V59" i="1"/>
  <c r="Z60" i="1"/>
  <c r="V61" i="1"/>
  <c r="W61" i="1" s="1"/>
  <c r="V57" i="1"/>
  <c r="V58" i="1"/>
  <c r="R59" i="1"/>
  <c r="U59" i="1" s="1"/>
  <c r="R57" i="1"/>
  <c r="U57" i="1" s="1"/>
  <c r="R61" i="1"/>
  <c r="U61" i="1" s="1"/>
  <c r="R58" i="1"/>
  <c r="U58" i="1" s="1"/>
  <c r="AL80" i="1"/>
  <c r="AM80" i="1" s="1"/>
  <c r="AR80" i="1" s="1"/>
  <c r="AL79" i="1"/>
  <c r="AM79" i="1" s="1"/>
  <c r="AR79" i="1" s="1"/>
  <c r="AA66" i="1"/>
  <c r="AC69" i="1"/>
  <c r="AD69" i="1" s="1"/>
  <c r="AE69" i="1" s="1"/>
  <c r="AF69" i="1" s="1"/>
  <c r="AD77" i="1"/>
  <c r="AE77" i="1" s="1"/>
  <c r="AF77" i="1" s="1"/>
  <c r="AD78" i="1"/>
  <c r="AE78" i="1" s="1"/>
  <c r="AF78" i="1" s="1"/>
  <c r="AC76" i="1"/>
  <c r="Q55" i="1"/>
  <c r="Y55" i="1" s="1"/>
  <c r="Q54" i="1"/>
  <c r="Y54" i="1" s="1"/>
  <c r="Q53" i="1"/>
  <c r="Y53" i="1" s="1"/>
  <c r="Q56" i="1"/>
  <c r="Y56" i="1" s="1"/>
  <c r="Z65" i="1"/>
  <c r="Z63" i="1"/>
  <c r="AA67" i="1"/>
  <c r="AB67" i="1" s="1"/>
  <c r="AC73" i="1"/>
  <c r="Z64" i="1"/>
  <c r="AC75" i="1"/>
  <c r="AD74" i="1"/>
  <c r="AE74" i="1" s="1"/>
  <c r="AF74" i="1" s="1"/>
  <c r="AC68" i="1"/>
  <c r="AD68" i="1" s="1"/>
  <c r="AE68" i="1" s="1"/>
  <c r="AF68" i="1" s="1"/>
  <c r="Z62" i="1"/>
  <c r="W13" i="24"/>
  <c r="U13" i="24"/>
  <c r="V13" i="24" s="1"/>
  <c r="AG14" i="24"/>
  <c r="AI14" i="24" s="1"/>
  <c r="AJ14" i="24" s="1"/>
  <c r="S11" i="24"/>
  <c r="T12" i="24"/>
  <c r="AB66" i="1" l="1"/>
  <c r="AC66" i="1" s="1"/>
  <c r="AD66" i="1" s="1"/>
  <c r="AE66" i="1" s="1"/>
  <c r="AF66" i="1" s="1"/>
  <c r="AG86" i="1"/>
  <c r="AR86" i="1"/>
  <c r="AV85" i="1" s="1"/>
  <c r="AV84" i="1" s="1"/>
  <c r="AV83" i="1" s="1"/>
  <c r="AV82" i="1" s="1"/>
  <c r="AV81" i="1" s="1"/>
  <c r="AV80" i="1" s="1"/>
  <c r="AV79" i="1" s="1"/>
  <c r="AV78" i="1" s="1"/>
  <c r="X63" i="1"/>
  <c r="Z58" i="1"/>
  <c r="Z61" i="1"/>
  <c r="W59" i="1"/>
  <c r="W57" i="1"/>
  <c r="X62" i="1"/>
  <c r="AG80" i="1"/>
  <c r="W58" i="1"/>
  <c r="X61" i="1"/>
  <c r="W60" i="1"/>
  <c r="X60" i="1" s="1"/>
  <c r="AG79" i="1"/>
  <c r="Z59" i="1"/>
  <c r="Z57" i="1"/>
  <c r="V54" i="1"/>
  <c r="V55" i="1"/>
  <c r="V53" i="1"/>
  <c r="V56" i="1"/>
  <c r="W56" i="1" s="1"/>
  <c r="AL78" i="1"/>
  <c r="AM78" i="1" s="1"/>
  <c r="AR78" i="1" s="1"/>
  <c r="AL77" i="1"/>
  <c r="AM77" i="1" s="1"/>
  <c r="AR77" i="1" s="1"/>
  <c r="AA64" i="1"/>
  <c r="AB64" i="1" s="1"/>
  <c r="AA63" i="1"/>
  <c r="AD75" i="1"/>
  <c r="AE75" i="1" s="1"/>
  <c r="AF75" i="1" s="1"/>
  <c r="Q52" i="1"/>
  <c r="Y52" i="1" s="1"/>
  <c r="Q50" i="1"/>
  <c r="Y50" i="1" s="1"/>
  <c r="Q49" i="1"/>
  <c r="Y49" i="1" s="1"/>
  <c r="Q51" i="1"/>
  <c r="Y51" i="1" s="1"/>
  <c r="AA61" i="1"/>
  <c r="AB61" i="1" s="1"/>
  <c r="AA62" i="1"/>
  <c r="AB62" i="1" s="1"/>
  <c r="AA65" i="1"/>
  <c r="AB65" i="1" s="1"/>
  <c r="AC67" i="1"/>
  <c r="AD67" i="1" s="1"/>
  <c r="AE67" i="1" s="1"/>
  <c r="AF67" i="1" s="1"/>
  <c r="R56" i="1"/>
  <c r="U56" i="1" s="1"/>
  <c r="AD76" i="1"/>
  <c r="AE76" i="1" s="1"/>
  <c r="AF76" i="1" s="1"/>
  <c r="AC71" i="1"/>
  <c r="AA60" i="1"/>
  <c r="AB60" i="1" s="1"/>
  <c r="R53" i="1"/>
  <c r="U53" i="1" s="1"/>
  <c r="R54" i="1"/>
  <c r="U54" i="1" s="1"/>
  <c r="AC70" i="1"/>
  <c r="R55" i="1"/>
  <c r="U55" i="1" s="1"/>
  <c r="AD73" i="1"/>
  <c r="AE73" i="1" s="1"/>
  <c r="AF73" i="1" s="1"/>
  <c r="S10" i="24"/>
  <c r="T11" i="24"/>
  <c r="AG13" i="24"/>
  <c r="AI13" i="24" s="1"/>
  <c r="AJ13" i="24" s="1"/>
  <c r="W12" i="24"/>
  <c r="U12" i="24"/>
  <c r="V12" i="24" s="1"/>
  <c r="AB63" i="1" l="1"/>
  <c r="AA59" i="1"/>
  <c r="AV77" i="1"/>
  <c r="AV76" i="1" s="1"/>
  <c r="W53" i="1"/>
  <c r="X59" i="1"/>
  <c r="AG77" i="1"/>
  <c r="AA57" i="1"/>
  <c r="AC60" i="1"/>
  <c r="AD60" i="1" s="1"/>
  <c r="AE60" i="1" s="1"/>
  <c r="AF60" i="1" s="1"/>
  <c r="AA58" i="1"/>
  <c r="X58" i="1"/>
  <c r="AG78" i="1"/>
  <c r="Z56" i="1"/>
  <c r="AA56" i="1" s="1"/>
  <c r="AB56" i="1" s="1"/>
  <c r="X56" i="1"/>
  <c r="W55" i="1"/>
  <c r="X55" i="1" s="1"/>
  <c r="W54" i="1"/>
  <c r="X57" i="1"/>
  <c r="V49" i="1"/>
  <c r="V52" i="1"/>
  <c r="W52" i="1" s="1"/>
  <c r="V51" i="1"/>
  <c r="V50" i="1"/>
  <c r="AL72" i="1"/>
  <c r="AL75" i="1"/>
  <c r="AM75" i="1" s="1"/>
  <c r="AR75" i="1" s="1"/>
  <c r="AL74" i="1"/>
  <c r="AL73" i="1"/>
  <c r="AM73" i="1" s="1"/>
  <c r="AR73" i="1" s="1"/>
  <c r="AL76" i="1"/>
  <c r="AM76" i="1" s="1"/>
  <c r="AR76" i="1" s="1"/>
  <c r="AL66" i="1"/>
  <c r="AM66" i="1" s="1"/>
  <c r="AR66" i="1" s="1"/>
  <c r="R51" i="1"/>
  <c r="U51" i="1" s="1"/>
  <c r="AC63" i="1"/>
  <c r="AD63" i="1" s="1"/>
  <c r="AE63" i="1" s="1"/>
  <c r="AF63" i="1" s="1"/>
  <c r="R49" i="1"/>
  <c r="U49" i="1" s="1"/>
  <c r="R50" i="1"/>
  <c r="U50" i="1" s="1"/>
  <c r="Z55" i="1"/>
  <c r="AA55" i="1" s="1"/>
  <c r="AD71" i="1"/>
  <c r="AE71" i="1" s="1"/>
  <c r="AF71" i="1" s="1"/>
  <c r="R52" i="1"/>
  <c r="U52" i="1" s="1"/>
  <c r="Z52" i="1"/>
  <c r="AD70" i="1"/>
  <c r="AE70" i="1" s="1"/>
  <c r="AF70" i="1" s="1"/>
  <c r="Z54" i="1"/>
  <c r="AC65" i="1"/>
  <c r="AD65" i="1" s="1"/>
  <c r="AE65" i="1" s="1"/>
  <c r="AF65" i="1" s="1"/>
  <c r="Q47" i="1"/>
  <c r="Y47" i="1" s="1"/>
  <c r="Q44" i="1"/>
  <c r="Y44" i="1" s="1"/>
  <c r="Q46" i="1"/>
  <c r="Y46" i="1" s="1"/>
  <c r="Q45" i="1"/>
  <c r="Y45" i="1" s="1"/>
  <c r="Q48" i="1"/>
  <c r="Y48" i="1" s="1"/>
  <c r="AC62" i="1"/>
  <c r="AD62" i="1" s="1"/>
  <c r="AE62" i="1" s="1"/>
  <c r="AF62" i="1" s="1"/>
  <c r="AC64" i="1"/>
  <c r="Z53" i="1"/>
  <c r="AC61" i="1"/>
  <c r="AD61" i="1" s="1"/>
  <c r="AE61" i="1" s="1"/>
  <c r="AF61" i="1" s="1"/>
  <c r="S9" i="24"/>
  <c r="T10" i="24"/>
  <c r="W11" i="24"/>
  <c r="U11" i="24"/>
  <c r="V11" i="24" s="1"/>
  <c r="AG12" i="24"/>
  <c r="AI12" i="24" s="1"/>
  <c r="AJ12" i="24" s="1"/>
  <c r="AB55" i="1" l="1"/>
  <c r="X54" i="1"/>
  <c r="AB58" i="1"/>
  <c r="AC58" i="1" s="1"/>
  <c r="AD58" i="1" s="1"/>
  <c r="AE58" i="1" s="1"/>
  <c r="AF58" i="1" s="1"/>
  <c r="AB57" i="1"/>
  <c r="AC57" i="1" s="1"/>
  <c r="AD57" i="1" s="1"/>
  <c r="AE57" i="1" s="1"/>
  <c r="AF57" i="1" s="1"/>
  <c r="AV75" i="1"/>
  <c r="AV74" i="1" s="1"/>
  <c r="AB59" i="1"/>
  <c r="AC59" i="1" s="1"/>
  <c r="AM72" i="1"/>
  <c r="AM74" i="1"/>
  <c r="AC55" i="1"/>
  <c r="AD55" i="1" s="1"/>
  <c r="AE55" i="1" s="1"/>
  <c r="AF55" i="1" s="1"/>
  <c r="AC56" i="1"/>
  <c r="W51" i="1"/>
  <c r="X51" i="1" s="1"/>
  <c r="X53" i="1"/>
  <c r="X52" i="1"/>
  <c r="AG76" i="1"/>
  <c r="AG66" i="1"/>
  <c r="AG73" i="1"/>
  <c r="AG75" i="1"/>
  <c r="W49" i="1"/>
  <c r="W50" i="1"/>
  <c r="X50" i="1" s="1"/>
  <c r="V46" i="1"/>
  <c r="V44" i="1"/>
  <c r="V47" i="1"/>
  <c r="Z48" i="1"/>
  <c r="V48" i="1"/>
  <c r="W48" i="1" s="1"/>
  <c r="V45" i="1"/>
  <c r="AL71" i="1"/>
  <c r="AM71" i="1" s="1"/>
  <c r="AR71" i="1" s="1"/>
  <c r="AL65" i="1"/>
  <c r="AM65" i="1" s="1"/>
  <c r="AR65" i="1" s="1"/>
  <c r="AL70" i="1"/>
  <c r="AM70" i="1" s="1"/>
  <c r="AR70" i="1" s="1"/>
  <c r="AL69" i="1"/>
  <c r="AL68" i="1"/>
  <c r="AL67" i="1"/>
  <c r="AL60" i="1"/>
  <c r="AM60" i="1" s="1"/>
  <c r="AR60" i="1" s="1"/>
  <c r="AA53" i="1"/>
  <c r="AB53" i="1" s="1"/>
  <c r="R47" i="1"/>
  <c r="U47" i="1" s="1"/>
  <c r="AD59" i="1"/>
  <c r="AE59" i="1" s="1"/>
  <c r="AF59" i="1" s="1"/>
  <c r="Z51" i="1"/>
  <c r="AA52" i="1"/>
  <c r="AB52" i="1" s="1"/>
  <c r="Z50" i="1"/>
  <c r="R48" i="1"/>
  <c r="U48" i="1" s="1"/>
  <c r="AA54" i="1"/>
  <c r="AB54" i="1" s="1"/>
  <c r="Q42" i="1"/>
  <c r="Y42" i="1" s="1"/>
  <c r="Q40" i="1"/>
  <c r="Y40" i="1" s="1"/>
  <c r="Q41" i="1"/>
  <c r="Y41" i="1" s="1"/>
  <c r="Q43" i="1"/>
  <c r="Y43" i="1" s="1"/>
  <c r="R45" i="1"/>
  <c r="U45" i="1" s="1"/>
  <c r="Z49" i="1"/>
  <c r="AD64" i="1"/>
  <c r="AE64" i="1" s="1"/>
  <c r="AF64" i="1" s="1"/>
  <c r="R46" i="1"/>
  <c r="U46" i="1" s="1"/>
  <c r="R44" i="1"/>
  <c r="U44" i="1" s="1"/>
  <c r="AG11" i="24"/>
  <c r="AI11" i="24" s="1"/>
  <c r="AJ11" i="24" s="1"/>
  <c r="W10" i="24"/>
  <c r="U10" i="24"/>
  <c r="V10" i="24" s="1"/>
  <c r="T9" i="24"/>
  <c r="S8" i="24"/>
  <c r="AG74" i="1" l="1"/>
  <c r="AR74" i="1"/>
  <c r="AG72" i="1"/>
  <c r="AR72" i="1"/>
  <c r="AV73" i="1"/>
  <c r="AV72" i="1" s="1"/>
  <c r="AV71" i="1" s="1"/>
  <c r="AV70" i="1" s="1"/>
  <c r="AV69" i="1" s="1"/>
  <c r="AM67" i="1"/>
  <c r="AM68" i="1"/>
  <c r="AM69" i="1"/>
  <c r="X48" i="1"/>
  <c r="AC53" i="1"/>
  <c r="AD53" i="1" s="1"/>
  <c r="AE53" i="1" s="1"/>
  <c r="AF53" i="1" s="1"/>
  <c r="W44" i="1"/>
  <c r="AG60" i="1"/>
  <c r="AG70" i="1"/>
  <c r="AG65" i="1"/>
  <c r="AG71" i="1"/>
  <c r="W45" i="1"/>
  <c r="W47" i="1"/>
  <c r="X47" i="1" s="1"/>
  <c r="W46" i="1"/>
  <c r="X49" i="1"/>
  <c r="Z43" i="1"/>
  <c r="V43" i="1"/>
  <c r="W43" i="1" s="1"/>
  <c r="V41" i="1"/>
  <c r="V42" i="1"/>
  <c r="V40" i="1"/>
  <c r="AL61" i="1"/>
  <c r="AL62" i="1"/>
  <c r="AL59" i="1"/>
  <c r="AM59" i="1" s="1"/>
  <c r="AR59" i="1" s="1"/>
  <c r="AL57" i="1"/>
  <c r="AM57" i="1" s="1"/>
  <c r="AR57" i="1" s="1"/>
  <c r="AL58" i="1"/>
  <c r="AL64" i="1"/>
  <c r="AM64" i="1" s="1"/>
  <c r="AR64" i="1" s="1"/>
  <c r="AL63" i="1"/>
  <c r="AA50" i="1"/>
  <c r="AB50" i="1" s="1"/>
  <c r="Z46" i="1"/>
  <c r="AG10" i="24"/>
  <c r="AI10" i="24" s="1"/>
  <c r="AJ10" i="24" s="1"/>
  <c r="R43" i="1"/>
  <c r="U43" i="1" s="1"/>
  <c r="AD56" i="1"/>
  <c r="AE56" i="1" s="1"/>
  <c r="AF56" i="1" s="1"/>
  <c r="Z44" i="1"/>
  <c r="R40" i="1"/>
  <c r="U40" i="1" s="1"/>
  <c r="AA48" i="1"/>
  <c r="AB48" i="1" s="1"/>
  <c r="Q38" i="1"/>
  <c r="Y38" i="1" s="1"/>
  <c r="Q37" i="1"/>
  <c r="Y37" i="1" s="1"/>
  <c r="Q35" i="1"/>
  <c r="Y35" i="1" s="1"/>
  <c r="Q39" i="1"/>
  <c r="Y39" i="1" s="1"/>
  <c r="Q36" i="1"/>
  <c r="Y36" i="1" s="1"/>
  <c r="R42" i="1"/>
  <c r="U42" i="1" s="1"/>
  <c r="R41" i="1"/>
  <c r="U41" i="1" s="1"/>
  <c r="Z45" i="1"/>
  <c r="AC54" i="1"/>
  <c r="AD54" i="1" s="1"/>
  <c r="AE54" i="1" s="1"/>
  <c r="AF54" i="1" s="1"/>
  <c r="AA49" i="1"/>
  <c r="AB49" i="1" s="1"/>
  <c r="Z47" i="1"/>
  <c r="AA47" i="1" s="1"/>
  <c r="AB47" i="1" s="1"/>
  <c r="AA51" i="1"/>
  <c r="AB51" i="1" s="1"/>
  <c r="U9" i="24"/>
  <c r="V9" i="24" s="1"/>
  <c r="W9" i="24"/>
  <c r="S7" i="24"/>
  <c r="T8" i="24"/>
  <c r="AG69" i="1" l="1"/>
  <c r="AR69" i="1"/>
  <c r="AG68" i="1"/>
  <c r="AR68" i="1"/>
  <c r="AG67" i="1"/>
  <c r="AR67" i="1"/>
  <c r="AV68" i="1"/>
  <c r="AV67" i="1" s="1"/>
  <c r="W42" i="1"/>
  <c r="X42" i="1" s="1"/>
  <c r="AM63" i="1"/>
  <c r="AM62" i="1"/>
  <c r="AM61" i="1"/>
  <c r="AM58" i="1"/>
  <c r="AG59" i="1"/>
  <c r="W40" i="1"/>
  <c r="X46" i="1"/>
  <c r="X45" i="1"/>
  <c r="AG57" i="1"/>
  <c r="AG64" i="1"/>
  <c r="X43" i="1"/>
  <c r="X44" i="1"/>
  <c r="W41" i="1"/>
  <c r="V39" i="1"/>
  <c r="W39" i="1" s="1"/>
  <c r="V35" i="1"/>
  <c r="V37" i="1"/>
  <c r="V38" i="1"/>
  <c r="V36" i="1"/>
  <c r="AL56" i="1"/>
  <c r="AM56" i="1" s="1"/>
  <c r="AR56" i="1" s="1"/>
  <c r="AL55" i="1"/>
  <c r="AL53" i="1"/>
  <c r="AM53" i="1" s="1"/>
  <c r="AR53" i="1" s="1"/>
  <c r="AL54" i="1"/>
  <c r="AM54" i="1" s="1"/>
  <c r="AR54" i="1" s="1"/>
  <c r="Z42" i="1"/>
  <c r="AA42" i="1" s="1"/>
  <c r="Z41" i="1"/>
  <c r="AA46" i="1"/>
  <c r="AB46" i="1" s="1"/>
  <c r="R36" i="1"/>
  <c r="U36" i="1" s="1"/>
  <c r="AC50" i="1"/>
  <c r="R39" i="1"/>
  <c r="U39" i="1" s="1"/>
  <c r="AA43" i="1"/>
  <c r="AB43" i="1" s="1"/>
  <c r="R35" i="1"/>
  <c r="U35" i="1" s="1"/>
  <c r="R37" i="1"/>
  <c r="U37" i="1" s="1"/>
  <c r="Q32" i="1"/>
  <c r="Y32" i="1" s="1"/>
  <c r="Q34" i="1"/>
  <c r="Y34" i="1" s="1"/>
  <c r="Q33" i="1"/>
  <c r="Y33" i="1" s="1"/>
  <c r="Q31" i="1"/>
  <c r="Y31" i="1" s="1"/>
  <c r="R38" i="1"/>
  <c r="U38" i="1" s="1"/>
  <c r="AA44" i="1"/>
  <c r="AB44" i="1" s="1"/>
  <c r="Z40" i="1"/>
  <c r="AA45" i="1"/>
  <c r="AC52" i="1"/>
  <c r="W8" i="24"/>
  <c r="U8" i="24"/>
  <c r="V8" i="24" s="1"/>
  <c r="AG9" i="24"/>
  <c r="AI9" i="24" s="1"/>
  <c r="AJ9" i="24" s="1"/>
  <c r="S6" i="24"/>
  <c r="T7" i="24"/>
  <c r="AB45" i="1" l="1"/>
  <c r="AV66" i="1"/>
  <c r="AV65" i="1" s="1"/>
  <c r="AV64" i="1" s="1"/>
  <c r="AV63" i="1" s="1"/>
  <c r="X41" i="1"/>
  <c r="AG58" i="1"/>
  <c r="AR58" i="1"/>
  <c r="AG61" i="1"/>
  <c r="AR61" i="1"/>
  <c r="AG62" i="1"/>
  <c r="AR62" i="1"/>
  <c r="AB42" i="1"/>
  <c r="AG63" i="1"/>
  <c r="AR63" i="1"/>
  <c r="AV62" i="1" s="1"/>
  <c r="AV61" i="1" s="1"/>
  <c r="AM55" i="1"/>
  <c r="Z39" i="1"/>
  <c r="AA39" i="1" s="1"/>
  <c r="AB39" i="1" s="1"/>
  <c r="W38" i="1"/>
  <c r="X38" i="1" s="1"/>
  <c r="AC46" i="1"/>
  <c r="AG54" i="1"/>
  <c r="W35" i="1"/>
  <c r="AG56" i="1"/>
  <c r="X40" i="1"/>
  <c r="AG53" i="1"/>
  <c r="W36" i="1"/>
  <c r="W37" i="1"/>
  <c r="X39" i="1"/>
  <c r="Z34" i="1"/>
  <c r="V34" i="1"/>
  <c r="W34" i="1" s="1"/>
  <c r="V32" i="1"/>
  <c r="V31" i="1"/>
  <c r="V33" i="1"/>
  <c r="T6" i="24"/>
  <c r="W6" i="24" s="1"/>
  <c r="S5" i="24"/>
  <c r="AA41" i="1"/>
  <c r="AB41" i="1" s="1"/>
  <c r="AA40" i="1"/>
  <c r="Z38" i="1"/>
  <c r="AD52" i="1"/>
  <c r="AE52" i="1" s="1"/>
  <c r="AF52" i="1" s="1"/>
  <c r="R33" i="1"/>
  <c r="U33" i="1" s="1"/>
  <c r="R34" i="1"/>
  <c r="U34" i="1" s="1"/>
  <c r="R32" i="1"/>
  <c r="U32" i="1" s="1"/>
  <c r="AC51" i="1"/>
  <c r="Z36" i="1"/>
  <c r="AC49" i="1"/>
  <c r="Z35" i="1"/>
  <c r="Q29" i="1"/>
  <c r="Y29" i="1" s="1"/>
  <c r="Q27" i="1"/>
  <c r="Y27" i="1" s="1"/>
  <c r="Q30" i="1"/>
  <c r="Y30" i="1" s="1"/>
  <c r="Q28" i="1"/>
  <c r="Y28" i="1" s="1"/>
  <c r="AC42" i="1"/>
  <c r="AC48" i="1"/>
  <c r="AD50" i="1"/>
  <c r="AE50" i="1" s="1"/>
  <c r="AF50" i="1" s="1"/>
  <c r="R31" i="1"/>
  <c r="U31" i="1" s="1"/>
  <c r="Z37" i="1"/>
  <c r="AC47" i="1"/>
  <c r="AG8" i="24"/>
  <c r="AI8" i="24" s="1"/>
  <c r="AJ8" i="24" s="1"/>
  <c r="W7" i="24"/>
  <c r="U7" i="24"/>
  <c r="V7" i="24" s="1"/>
  <c r="AV60" i="1" l="1"/>
  <c r="AV59" i="1" s="1"/>
  <c r="AV58" i="1" s="1"/>
  <c r="AV57" i="1" s="1"/>
  <c r="AV56" i="1" s="1"/>
  <c r="AV55" i="1" s="1"/>
  <c r="AB40" i="1"/>
  <c r="AG55" i="1"/>
  <c r="AR55" i="1"/>
  <c r="AV54" i="1" s="1"/>
  <c r="AV53" i="1" s="1"/>
  <c r="AV52" i="1" s="1"/>
  <c r="AA38" i="1"/>
  <c r="AB38" i="1" s="1"/>
  <c r="W33" i="1"/>
  <c r="X33" i="1" s="1"/>
  <c r="X37" i="1"/>
  <c r="W31" i="1"/>
  <c r="X31" i="1" s="1"/>
  <c r="X34" i="1"/>
  <c r="X36" i="1"/>
  <c r="X35" i="1"/>
  <c r="W32" i="1"/>
  <c r="V28" i="1"/>
  <c r="V30" i="1"/>
  <c r="W30" i="1" s="1"/>
  <c r="V27" i="1"/>
  <c r="V29" i="1"/>
  <c r="U6" i="24"/>
  <c r="V6" i="24" s="1"/>
  <c r="T5" i="24"/>
  <c r="U5" i="24" s="1"/>
  <c r="V5" i="24" s="1"/>
  <c r="S4" i="24"/>
  <c r="AL52" i="1"/>
  <c r="AM52" i="1" s="1"/>
  <c r="AR52" i="1" s="1"/>
  <c r="AG7" i="24"/>
  <c r="AI7" i="24" s="1"/>
  <c r="AJ7" i="24" s="1"/>
  <c r="Q19" i="1" s="1"/>
  <c r="Y19" i="1" s="1"/>
  <c r="AA34" i="1"/>
  <c r="Z33" i="1"/>
  <c r="AA33" i="1" s="1"/>
  <c r="AB33" i="1" s="1"/>
  <c r="Z31" i="1"/>
  <c r="AD46" i="1"/>
  <c r="AE46" i="1" s="1"/>
  <c r="AF46" i="1" s="1"/>
  <c r="R29" i="1"/>
  <c r="U29" i="1" s="1"/>
  <c r="AA37" i="1"/>
  <c r="AC43" i="1"/>
  <c r="AD42" i="1"/>
  <c r="AE42" i="1" s="1"/>
  <c r="AF42" i="1" s="1"/>
  <c r="AC41" i="1"/>
  <c r="AC39" i="1"/>
  <c r="AD39" i="1" s="1"/>
  <c r="AE39" i="1" s="1"/>
  <c r="AF39" i="1" s="1"/>
  <c r="AC38" i="1"/>
  <c r="AD38" i="1" s="1"/>
  <c r="AE38" i="1" s="1"/>
  <c r="AF38" i="1" s="1"/>
  <c r="AC44" i="1"/>
  <c r="AA35" i="1"/>
  <c r="AA36" i="1"/>
  <c r="AB36" i="1" s="1"/>
  <c r="Q18" i="1"/>
  <c r="Y18" i="1" s="1"/>
  <c r="Q20" i="1"/>
  <c r="Y20" i="1" s="1"/>
  <c r="Q22" i="1"/>
  <c r="Y22" i="1" s="1"/>
  <c r="Q21" i="1"/>
  <c r="Y21" i="1" s="1"/>
  <c r="AC45" i="1"/>
  <c r="R28" i="1"/>
  <c r="U28" i="1" s="1"/>
  <c r="AD51" i="1"/>
  <c r="AE51" i="1" s="1"/>
  <c r="AF51" i="1" s="1"/>
  <c r="AD48" i="1"/>
  <c r="AE48" i="1" s="1"/>
  <c r="AF48" i="1" s="1"/>
  <c r="AD49" i="1"/>
  <c r="AE49" i="1" s="1"/>
  <c r="AF49" i="1" s="1"/>
  <c r="Q26" i="1"/>
  <c r="Y26" i="1" s="1"/>
  <c r="Q24" i="1"/>
  <c r="Y24" i="1" s="1"/>
  <c r="Q25" i="1"/>
  <c r="Y25" i="1" s="1"/>
  <c r="Q23" i="1"/>
  <c r="Y23" i="1" s="1"/>
  <c r="AD47" i="1"/>
  <c r="AE47" i="1" s="1"/>
  <c r="AF47" i="1" s="1"/>
  <c r="R30" i="1"/>
  <c r="U30" i="1" s="1"/>
  <c r="Z30" i="1"/>
  <c r="R27" i="1"/>
  <c r="U27" i="1" s="1"/>
  <c r="Z32" i="1"/>
  <c r="AG6" i="24"/>
  <c r="AI6" i="24" s="1"/>
  <c r="AJ6" i="24" s="1"/>
  <c r="X30" i="1" l="1"/>
  <c r="AV51" i="1"/>
  <c r="AB34" i="1"/>
  <c r="AB37" i="1"/>
  <c r="AB35" i="1"/>
  <c r="AC34" i="1"/>
  <c r="AD34" i="1" s="1"/>
  <c r="AE34" i="1" s="1"/>
  <c r="AF34" i="1" s="1"/>
  <c r="W28" i="1"/>
  <c r="W5" i="24"/>
  <c r="AG5" i="24" s="1"/>
  <c r="AI5" i="24" s="1"/>
  <c r="W29" i="1"/>
  <c r="X29" i="1" s="1"/>
  <c r="X32" i="1"/>
  <c r="W27" i="1"/>
  <c r="AG52" i="1"/>
  <c r="V19" i="1"/>
  <c r="V18" i="1"/>
  <c r="V23" i="1"/>
  <c r="V25" i="1"/>
  <c r="V21" i="1"/>
  <c r="V24" i="1"/>
  <c r="V22" i="1"/>
  <c r="V26" i="1"/>
  <c r="W26" i="1" s="1"/>
  <c r="V20" i="1"/>
  <c r="T4" i="24"/>
  <c r="S3" i="24"/>
  <c r="T3" i="24" s="1"/>
  <c r="AL49" i="1"/>
  <c r="AM49" i="1" s="1"/>
  <c r="AR49" i="1" s="1"/>
  <c r="AL48" i="1"/>
  <c r="AM48" i="1" s="1"/>
  <c r="AR48" i="1" s="1"/>
  <c r="AL51" i="1"/>
  <c r="AM51" i="1" s="1"/>
  <c r="AR51" i="1" s="1"/>
  <c r="AV50" i="1" s="1"/>
  <c r="AL47" i="1"/>
  <c r="AM47" i="1" s="1"/>
  <c r="AR47" i="1" s="1"/>
  <c r="AL46" i="1"/>
  <c r="AM46" i="1" s="1"/>
  <c r="AR46" i="1" s="1"/>
  <c r="AL50" i="1"/>
  <c r="AJ5" i="24"/>
  <c r="Q15" i="1"/>
  <c r="Y15" i="1" s="1"/>
  <c r="Q14" i="1"/>
  <c r="Y14" i="1" s="1"/>
  <c r="AC40" i="1"/>
  <c r="AD40" i="1" s="1"/>
  <c r="AE40" i="1" s="1"/>
  <c r="AF40" i="1" s="1"/>
  <c r="Q16" i="1"/>
  <c r="Y16" i="1" s="1"/>
  <c r="Q17" i="1"/>
  <c r="Y17" i="1" s="1"/>
  <c r="Z27" i="1"/>
  <c r="R25" i="1"/>
  <c r="U25" i="1" s="1"/>
  <c r="AA31" i="1"/>
  <c r="AB31" i="1" s="1"/>
  <c r="R22" i="1"/>
  <c r="U22" i="1" s="1"/>
  <c r="AD44" i="1"/>
  <c r="AE44" i="1" s="1"/>
  <c r="AF44" i="1" s="1"/>
  <c r="R20" i="1"/>
  <c r="U20" i="1" s="1"/>
  <c r="Z29" i="1"/>
  <c r="AA29" i="1" s="1"/>
  <c r="R26" i="1"/>
  <c r="U26" i="1" s="1"/>
  <c r="Z26" i="1"/>
  <c r="Z28" i="1"/>
  <c r="R19" i="1"/>
  <c r="U19" i="1" s="1"/>
  <c r="AA30" i="1"/>
  <c r="AB30" i="1" s="1"/>
  <c r="R24" i="1"/>
  <c r="U24" i="1" s="1"/>
  <c r="R18" i="1"/>
  <c r="U18" i="1" s="1"/>
  <c r="AC33" i="1"/>
  <c r="AD33" i="1" s="1"/>
  <c r="AE33" i="1" s="1"/>
  <c r="AF33" i="1" s="1"/>
  <c r="AA32" i="1"/>
  <c r="AB32" i="1" s="1"/>
  <c r="AD43" i="1"/>
  <c r="AE43" i="1" s="1"/>
  <c r="AF43" i="1" s="1"/>
  <c r="AD45" i="1"/>
  <c r="AE45" i="1" s="1"/>
  <c r="AF45" i="1" s="1"/>
  <c r="AC36" i="1"/>
  <c r="AD36" i="1" s="1"/>
  <c r="AE36" i="1" s="1"/>
  <c r="AF36" i="1" s="1"/>
  <c r="R23" i="1"/>
  <c r="U23" i="1" s="1"/>
  <c r="R21" i="1"/>
  <c r="U21" i="1" s="1"/>
  <c r="AD41" i="1"/>
  <c r="AE41" i="1" s="1"/>
  <c r="AF41" i="1" s="1"/>
  <c r="AB29" i="1" l="1"/>
  <c r="AM50" i="1"/>
  <c r="X26" i="1"/>
  <c r="AC29" i="1"/>
  <c r="AD29" i="1" s="1"/>
  <c r="AE29" i="1" s="1"/>
  <c r="AF29" i="1" s="1"/>
  <c r="W20" i="1"/>
  <c r="X28" i="1"/>
  <c r="AC32" i="1"/>
  <c r="AD32" i="1" s="1"/>
  <c r="AE32" i="1" s="1"/>
  <c r="AF32" i="1" s="1"/>
  <c r="X27" i="1"/>
  <c r="AG49" i="1"/>
  <c r="AG47" i="1"/>
  <c r="W24" i="1"/>
  <c r="W25" i="1"/>
  <c r="X25" i="1" s="1"/>
  <c r="W18" i="1"/>
  <c r="AG48" i="1"/>
  <c r="AG46" i="1"/>
  <c r="AG51" i="1"/>
  <c r="W22" i="1"/>
  <c r="W21" i="1"/>
  <c r="W23" i="1"/>
  <c r="W19" i="1"/>
  <c r="V15" i="1"/>
  <c r="V17" i="1"/>
  <c r="W17" i="1" s="1"/>
  <c r="V16" i="1"/>
  <c r="V14" i="1"/>
  <c r="U3" i="24"/>
  <c r="V3" i="24" s="1"/>
  <c r="W3" i="24"/>
  <c r="W4" i="24"/>
  <c r="U4" i="24"/>
  <c r="V4" i="24" s="1"/>
  <c r="AL42" i="1"/>
  <c r="AL38" i="1"/>
  <c r="AL40" i="1"/>
  <c r="AM40" i="1" s="1"/>
  <c r="AR40" i="1" s="1"/>
  <c r="AL41" i="1"/>
  <c r="AM41" i="1" s="1"/>
  <c r="AR41" i="1" s="1"/>
  <c r="AL43" i="1"/>
  <c r="AM43" i="1" s="1"/>
  <c r="AR43" i="1" s="1"/>
  <c r="AL44" i="1"/>
  <c r="AM44" i="1" s="1"/>
  <c r="AR44" i="1" s="1"/>
  <c r="AL45" i="1"/>
  <c r="AM45" i="1" s="1"/>
  <c r="AR45" i="1" s="1"/>
  <c r="AL39" i="1"/>
  <c r="Q10" i="1"/>
  <c r="Q11" i="1"/>
  <c r="Q12" i="1"/>
  <c r="Q13" i="1"/>
  <c r="R15" i="1"/>
  <c r="U15" i="1" s="1"/>
  <c r="R14" i="1"/>
  <c r="U14" i="1" s="1"/>
  <c r="R17" i="1"/>
  <c r="U17" i="1" s="1"/>
  <c r="R16" i="1"/>
  <c r="U16" i="1" s="1"/>
  <c r="Z21" i="1"/>
  <c r="Z24" i="1"/>
  <c r="AC37" i="1"/>
  <c r="AC35" i="1"/>
  <c r="AC30" i="1"/>
  <c r="AD30" i="1" s="1"/>
  <c r="AE30" i="1" s="1"/>
  <c r="AF30" i="1" s="1"/>
  <c r="AA26" i="1"/>
  <c r="AB26" i="1" s="1"/>
  <c r="Z22" i="1"/>
  <c r="Z19" i="1"/>
  <c r="Z20" i="1"/>
  <c r="AC31" i="1"/>
  <c r="AD31" i="1" s="1"/>
  <c r="AE31" i="1" s="1"/>
  <c r="AF31" i="1" s="1"/>
  <c r="Z23" i="1"/>
  <c r="AA28" i="1"/>
  <c r="AB28" i="1" s="1"/>
  <c r="Z25" i="1"/>
  <c r="Z18" i="1"/>
  <c r="AA27" i="1"/>
  <c r="AB27" i="1" l="1"/>
  <c r="V11" i="1"/>
  <c r="Y11" i="1"/>
  <c r="V10" i="1"/>
  <c r="Y10" i="1"/>
  <c r="AG50" i="1"/>
  <c r="AR50" i="1"/>
  <c r="AV49" i="1" s="1"/>
  <c r="AV48" i="1" s="1"/>
  <c r="AV47" i="1" s="1"/>
  <c r="AV46" i="1" s="1"/>
  <c r="AV45" i="1" s="1"/>
  <c r="AV44" i="1" s="1"/>
  <c r="AV43" i="1" s="1"/>
  <c r="AV42" i="1" s="1"/>
  <c r="V12" i="1"/>
  <c r="W10" i="1" s="1"/>
  <c r="Y12" i="1"/>
  <c r="V13" i="1"/>
  <c r="Y13" i="1"/>
  <c r="W16" i="1"/>
  <c r="AM38" i="1"/>
  <c r="AM39" i="1"/>
  <c r="AM42" i="1"/>
  <c r="X20" i="1"/>
  <c r="W12" i="1"/>
  <c r="X23" i="1"/>
  <c r="X24" i="1"/>
  <c r="X16" i="1"/>
  <c r="X22" i="1"/>
  <c r="X17" i="1"/>
  <c r="AG45" i="1"/>
  <c r="AG44" i="1"/>
  <c r="AG41" i="1"/>
  <c r="W13" i="1"/>
  <c r="AG43" i="1"/>
  <c r="AG40" i="1"/>
  <c r="W14" i="1"/>
  <c r="X19" i="1"/>
  <c r="X18" i="1"/>
  <c r="W15" i="1"/>
  <c r="X15" i="1" s="1"/>
  <c r="X21" i="1"/>
  <c r="D70" i="32"/>
  <c r="C70" i="32"/>
  <c r="AG3" i="24"/>
  <c r="AG4" i="24"/>
  <c r="AI4" i="24" s="1"/>
  <c r="AJ4" i="24" s="1"/>
  <c r="AL30" i="1"/>
  <c r="AM30" i="1" s="1"/>
  <c r="AR30" i="1" s="1"/>
  <c r="AL31" i="1"/>
  <c r="AM31" i="1" s="1"/>
  <c r="AR31" i="1" s="1"/>
  <c r="AL29" i="1"/>
  <c r="AM29" i="1" s="1"/>
  <c r="AR29" i="1" s="1"/>
  <c r="R13" i="1"/>
  <c r="U13" i="1" s="1"/>
  <c r="R12" i="1"/>
  <c r="U12" i="1" s="1"/>
  <c r="R11" i="1"/>
  <c r="U11" i="1" s="1"/>
  <c r="R10" i="1"/>
  <c r="U10" i="1" s="1"/>
  <c r="Z17" i="1"/>
  <c r="AA17" i="1" s="1"/>
  <c r="AB17" i="1" s="1"/>
  <c r="Z14" i="1"/>
  <c r="Z15" i="1"/>
  <c r="Z16" i="1"/>
  <c r="AA20" i="1"/>
  <c r="AA18" i="1"/>
  <c r="AD35" i="1"/>
  <c r="AE35" i="1" s="1"/>
  <c r="AF35" i="1" s="1"/>
  <c r="AA19" i="1"/>
  <c r="AD37" i="1"/>
  <c r="AE37" i="1" s="1"/>
  <c r="AF37" i="1" s="1"/>
  <c r="AA21" i="1"/>
  <c r="AB21" i="1" s="1"/>
  <c r="AA22" i="1"/>
  <c r="AB22" i="1" s="1"/>
  <c r="AA24" i="1"/>
  <c r="AB24" i="1" s="1"/>
  <c r="AA23" i="1"/>
  <c r="AB23" i="1" s="1"/>
  <c r="AA25" i="1"/>
  <c r="AB25" i="1" s="1"/>
  <c r="W11" i="1" l="1"/>
  <c r="AG42" i="1"/>
  <c r="AR42" i="1"/>
  <c r="AV41" i="1"/>
  <c r="AV40" i="1" s="1"/>
  <c r="AV39" i="1" s="1"/>
  <c r="AB19" i="1"/>
  <c r="AG39" i="1"/>
  <c r="AR39" i="1"/>
  <c r="AG38" i="1"/>
  <c r="AR38" i="1"/>
  <c r="AB18" i="1"/>
  <c r="AB20" i="1"/>
  <c r="Z13" i="1"/>
  <c r="AA13" i="1" s="1"/>
  <c r="AC19" i="1"/>
  <c r="AD19" i="1" s="1"/>
  <c r="AE19" i="1" s="1"/>
  <c r="AF19" i="1" s="1"/>
  <c r="AC21" i="1"/>
  <c r="AD21" i="1" s="1"/>
  <c r="AE21" i="1" s="1"/>
  <c r="AF21" i="1" s="1"/>
  <c r="AC22" i="1"/>
  <c r="AD22" i="1" s="1"/>
  <c r="AE22" i="1" s="1"/>
  <c r="AF22" i="1" s="1"/>
  <c r="AG30" i="1"/>
  <c r="AG31" i="1"/>
  <c r="X12" i="1"/>
  <c r="X14" i="1"/>
  <c r="X13" i="1"/>
  <c r="AG29" i="1"/>
  <c r="X11" i="1"/>
  <c r="X10" i="1"/>
  <c r="AI3" i="24"/>
  <c r="AJ3" i="24" s="1"/>
  <c r="Q4" i="1" s="1"/>
  <c r="Y4" i="1" s="1"/>
  <c r="D77" i="32"/>
  <c r="C77" i="32"/>
  <c r="E70" i="32"/>
  <c r="F70" i="32" s="1"/>
  <c r="Q5" i="1"/>
  <c r="Q7" i="1"/>
  <c r="Q8" i="1"/>
  <c r="Q9" i="1"/>
  <c r="Q6" i="1"/>
  <c r="AL32" i="1"/>
  <c r="AL37" i="1"/>
  <c r="AM37" i="1" s="1"/>
  <c r="AR37" i="1" s="1"/>
  <c r="AL36" i="1"/>
  <c r="AL35" i="1"/>
  <c r="AM35" i="1" s="1"/>
  <c r="AR35" i="1" s="1"/>
  <c r="AL34" i="1"/>
  <c r="AL33" i="1"/>
  <c r="Z11" i="1"/>
  <c r="Z12" i="1"/>
  <c r="AA12" i="1" s="1"/>
  <c r="AB12" i="1" s="1"/>
  <c r="Z10" i="1"/>
  <c r="AA16" i="1"/>
  <c r="AB16" i="1" s="1"/>
  <c r="AA14" i="1"/>
  <c r="AB14" i="1" s="1"/>
  <c r="AA15" i="1"/>
  <c r="AB15" i="1" s="1"/>
  <c r="AC17" i="1"/>
  <c r="AD17" i="1" s="1"/>
  <c r="AC20" i="1"/>
  <c r="AD20" i="1" s="1"/>
  <c r="AE20" i="1" s="1"/>
  <c r="AF20" i="1" s="1"/>
  <c r="AC18" i="1"/>
  <c r="AD18" i="1" s="1"/>
  <c r="AE18" i="1" s="1"/>
  <c r="AF18" i="1" s="1"/>
  <c r="AC28" i="1"/>
  <c r="AC27" i="1"/>
  <c r="AC23" i="1"/>
  <c r="AD23" i="1" s="1"/>
  <c r="AE23" i="1" s="1"/>
  <c r="AF23" i="1" s="1"/>
  <c r="AC26" i="1"/>
  <c r="AC24" i="1"/>
  <c r="AD24" i="1" s="1"/>
  <c r="AE24" i="1" s="1"/>
  <c r="AF24" i="1" s="1"/>
  <c r="V6" i="1" l="1"/>
  <c r="Y6" i="1"/>
  <c r="V9" i="1"/>
  <c r="W9" i="1" s="1"/>
  <c r="X9" i="1" s="1"/>
  <c r="Y9" i="1"/>
  <c r="V8" i="1"/>
  <c r="Y8" i="1"/>
  <c r="V5" i="1"/>
  <c r="C5" i="32" s="1"/>
  <c r="Y5" i="1"/>
  <c r="AB13" i="1"/>
  <c r="AV38" i="1"/>
  <c r="AV37" i="1" s="1"/>
  <c r="AV36" i="1" s="1"/>
  <c r="V7" i="1"/>
  <c r="Y7" i="1"/>
  <c r="AM32" i="1"/>
  <c r="AM33" i="1"/>
  <c r="AM34" i="1"/>
  <c r="AM36" i="1"/>
  <c r="AC13" i="1"/>
  <c r="AD13" i="1" s="1"/>
  <c r="AE13" i="1" s="1"/>
  <c r="AF13" i="1" s="1"/>
  <c r="AG37" i="1"/>
  <c r="AC12" i="1"/>
  <c r="AD12" i="1" s="1"/>
  <c r="R4" i="1"/>
  <c r="U4" i="1" s="1"/>
  <c r="V4" i="1"/>
  <c r="W8" i="1"/>
  <c r="X8" i="1" s="1"/>
  <c r="W7" i="1"/>
  <c r="AG35" i="1"/>
  <c r="W6" i="1"/>
  <c r="E77" i="32"/>
  <c r="F77" i="32" s="1"/>
  <c r="D79" i="32"/>
  <c r="C79" i="32"/>
  <c r="R9" i="1"/>
  <c r="U9" i="1" s="1"/>
  <c r="R7" i="1"/>
  <c r="U7" i="1" s="1"/>
  <c r="R8" i="1"/>
  <c r="U8" i="1" s="1"/>
  <c r="R6" i="1"/>
  <c r="U6" i="1" s="1"/>
  <c r="R5" i="1"/>
  <c r="U5" i="1" s="1"/>
  <c r="AL18" i="1"/>
  <c r="AM18" i="1" s="1"/>
  <c r="AR18" i="1" s="1"/>
  <c r="AL21" i="1"/>
  <c r="AM21" i="1" s="1"/>
  <c r="AR21" i="1" s="1"/>
  <c r="AL20" i="1"/>
  <c r="AM20" i="1" s="1"/>
  <c r="AR20" i="1" s="1"/>
  <c r="AL19" i="1"/>
  <c r="AM19" i="1" s="1"/>
  <c r="AR19" i="1" s="1"/>
  <c r="AA10" i="1"/>
  <c r="AB10" i="1" s="1"/>
  <c r="AA11" i="1"/>
  <c r="AB11" i="1" s="1"/>
  <c r="AE17" i="1"/>
  <c r="AF17" i="1" s="1"/>
  <c r="AD27" i="1"/>
  <c r="AE27" i="1" s="1"/>
  <c r="AF27" i="1" s="1"/>
  <c r="AC25" i="1"/>
  <c r="AD28" i="1"/>
  <c r="AE28" i="1" s="1"/>
  <c r="AF28" i="1" s="1"/>
  <c r="AD26" i="1"/>
  <c r="AE26" i="1" s="1"/>
  <c r="AF26" i="1" s="1"/>
  <c r="W4" i="1" l="1"/>
  <c r="W5" i="1"/>
  <c r="AG34" i="1"/>
  <c r="AR34" i="1"/>
  <c r="AG33" i="1"/>
  <c r="AR33" i="1"/>
  <c r="AG32" i="1"/>
  <c r="AR32" i="1"/>
  <c r="AG36" i="1"/>
  <c r="AR36" i="1"/>
  <c r="AV35" i="1" s="1"/>
  <c r="AV34" i="1" s="1"/>
  <c r="AV33" i="1" s="1"/>
  <c r="X7" i="1"/>
  <c r="Z3" i="1"/>
  <c r="D5" i="32"/>
  <c r="E5" i="32" s="1"/>
  <c r="F5" i="32" s="1"/>
  <c r="W3" i="1"/>
  <c r="X3" i="1" s="1"/>
  <c r="X6" i="1"/>
  <c r="X4" i="1"/>
  <c r="X5" i="1"/>
  <c r="Z9" i="1"/>
  <c r="AA9" i="1" s="1"/>
  <c r="AG20" i="1"/>
  <c r="AG18" i="1"/>
  <c r="AG19" i="1"/>
  <c r="AG21" i="1"/>
  <c r="Z4" i="1"/>
  <c r="Z8" i="1"/>
  <c r="E79" i="32"/>
  <c r="F79" i="32" s="1"/>
  <c r="Z6" i="1"/>
  <c r="Z7" i="1"/>
  <c r="C3" i="32"/>
  <c r="Z5" i="1"/>
  <c r="D3" i="32"/>
  <c r="AC10" i="1"/>
  <c r="AD10" i="1" s="1"/>
  <c r="AE10" i="1" s="1"/>
  <c r="AF10" i="1" s="1"/>
  <c r="AC11" i="1"/>
  <c r="AD11" i="1" s="1"/>
  <c r="AE11" i="1" s="1"/>
  <c r="AF11" i="1" s="1"/>
  <c r="AE12" i="1"/>
  <c r="AF12" i="1" s="1"/>
  <c r="AL17" i="1"/>
  <c r="AM17" i="1" s="1"/>
  <c r="AR17" i="1" s="1"/>
  <c r="AL26" i="1"/>
  <c r="AM26" i="1" s="1"/>
  <c r="AR26" i="1" s="1"/>
  <c r="AL28" i="1"/>
  <c r="AM28" i="1" s="1"/>
  <c r="AR28" i="1" s="1"/>
  <c r="AL27" i="1"/>
  <c r="AM27" i="1" s="1"/>
  <c r="AR27" i="1" s="1"/>
  <c r="AC16" i="1"/>
  <c r="AD16" i="1" s="1"/>
  <c r="AE16" i="1" s="1"/>
  <c r="AF16" i="1" s="1"/>
  <c r="AC14" i="1"/>
  <c r="AC15" i="1"/>
  <c r="AD25" i="1"/>
  <c r="AE25" i="1" s="1"/>
  <c r="AF25" i="1" s="1"/>
  <c r="AV32" i="1" l="1"/>
  <c r="AV31" i="1" s="1"/>
  <c r="AV30" i="1" s="1"/>
  <c r="AV29" i="1" s="1"/>
  <c r="AV28" i="1" s="1"/>
  <c r="AV27" i="1" s="1"/>
  <c r="AV26" i="1" s="1"/>
  <c r="AV25" i="1" s="1"/>
  <c r="AB9" i="1"/>
  <c r="AC9" i="1" s="1"/>
  <c r="AA3" i="1"/>
  <c r="AB3" i="1" s="1"/>
  <c r="AA8" i="1"/>
  <c r="AB8" i="1" s="1"/>
  <c r="AC8" i="1" s="1"/>
  <c r="AD8" i="1" s="1"/>
  <c r="AG17" i="1"/>
  <c r="AG26" i="1"/>
  <c r="AG28" i="1"/>
  <c r="AG27" i="1"/>
  <c r="AA4" i="1"/>
  <c r="AB4" i="1" s="1"/>
  <c r="E3" i="32"/>
  <c r="F3" i="32" s="1"/>
  <c r="AA7" i="1"/>
  <c r="AB7" i="1" s="1"/>
  <c r="AA5" i="1"/>
  <c r="AB5" i="1" s="1"/>
  <c r="AA6" i="1"/>
  <c r="AB6" i="1" s="1"/>
  <c r="AL10" i="1"/>
  <c r="AL16" i="1"/>
  <c r="AM16" i="1" s="1"/>
  <c r="AR16" i="1" s="1"/>
  <c r="AL25" i="1"/>
  <c r="AM25" i="1" s="1"/>
  <c r="AR25" i="1" s="1"/>
  <c r="AV24" i="1" s="1"/>
  <c r="AL22" i="1"/>
  <c r="AL23" i="1"/>
  <c r="AL24" i="1"/>
  <c r="AD15" i="1"/>
  <c r="AE15" i="1" s="1"/>
  <c r="AF15" i="1" s="1"/>
  <c r="AD14" i="1"/>
  <c r="AE14" i="1" s="1"/>
  <c r="AF14" i="1" s="1"/>
  <c r="AD9" i="1" l="1"/>
  <c r="AE9" i="1" s="1"/>
  <c r="AM10" i="1"/>
  <c r="AM23" i="1"/>
  <c r="AM22" i="1"/>
  <c r="AM24" i="1"/>
  <c r="AC3" i="1"/>
  <c r="AG25" i="1"/>
  <c r="AG16" i="1"/>
  <c r="AE8" i="1"/>
  <c r="AF8" i="1" s="1"/>
  <c r="AC6" i="1"/>
  <c r="AD6" i="1" s="1"/>
  <c r="AE6" i="1" s="1"/>
  <c r="AF6" i="1" s="1"/>
  <c r="AC5" i="1"/>
  <c r="AD5" i="1" s="1"/>
  <c r="AE5" i="1" s="1"/>
  <c r="AF5" i="1" s="1"/>
  <c r="AC7" i="1"/>
  <c r="AD7" i="1" s="1"/>
  <c r="AE7" i="1" s="1"/>
  <c r="AF7" i="1" s="1"/>
  <c r="AL14" i="1"/>
  <c r="AM14" i="1" s="1"/>
  <c r="AR14" i="1" s="1"/>
  <c r="AL13" i="1"/>
  <c r="AL11" i="1"/>
  <c r="AL12" i="1"/>
  <c r="AL15" i="1"/>
  <c r="AM15" i="1" s="1"/>
  <c r="AR15" i="1" s="1"/>
  <c r="AF9" i="1" l="1"/>
  <c r="AL9" i="1"/>
  <c r="AG24" i="1"/>
  <c r="AR24" i="1"/>
  <c r="AV23" i="1" s="1"/>
  <c r="AG22" i="1"/>
  <c r="AR22" i="1"/>
  <c r="AG23" i="1"/>
  <c r="AR23" i="1"/>
  <c r="AG10" i="1"/>
  <c r="AR10" i="1"/>
  <c r="AM13" i="1"/>
  <c r="AM9" i="1"/>
  <c r="AM12" i="1"/>
  <c r="AM11" i="1"/>
  <c r="AD3" i="1"/>
  <c r="AE3" i="1" s="1"/>
  <c r="AF3" i="1" s="1"/>
  <c r="C3" i="15" s="1"/>
  <c r="C5" i="15" s="1"/>
  <c r="AG15" i="1"/>
  <c r="AG14" i="1"/>
  <c r="AL6" i="1"/>
  <c r="AL7" i="1"/>
  <c r="AL8" i="1"/>
  <c r="AL5" i="1"/>
  <c r="AG9" i="1" l="1"/>
  <c r="AR9" i="1"/>
  <c r="AV22" i="1"/>
  <c r="AV21" i="1" s="1"/>
  <c r="AV20" i="1" s="1"/>
  <c r="AV19" i="1" s="1"/>
  <c r="AV18" i="1" s="1"/>
  <c r="AV17" i="1" s="1"/>
  <c r="AV16" i="1" s="1"/>
  <c r="AV15" i="1" s="1"/>
  <c r="AV14" i="1" s="1"/>
  <c r="AV13" i="1" s="1"/>
  <c r="AG11" i="1"/>
  <c r="AR11" i="1"/>
  <c r="AG12" i="1"/>
  <c r="AR12" i="1"/>
  <c r="AG13" i="1"/>
  <c r="AR13" i="1"/>
  <c r="AM5" i="1"/>
  <c r="AR5" i="1" s="1"/>
  <c r="AM7" i="1"/>
  <c r="AM8" i="1"/>
  <c r="AM6" i="1"/>
  <c r="AG5" i="1"/>
  <c r="AC4" i="1"/>
  <c r="AD4" i="1" s="1"/>
  <c r="AE4" i="1" s="1"/>
  <c r="AG8" i="1" l="1"/>
  <c r="AR8" i="1"/>
  <c r="AV12" i="1"/>
  <c r="AV11" i="1" s="1"/>
  <c r="AV10" i="1" s="1"/>
  <c r="AV9" i="1" s="1"/>
  <c r="AV8" i="1" s="1"/>
  <c r="AV7" i="1" s="1"/>
  <c r="AG6" i="1"/>
  <c r="AR6" i="1"/>
  <c r="AG7" i="1"/>
  <c r="AR7" i="1"/>
  <c r="AL3" i="1"/>
  <c r="AF4" i="1"/>
  <c r="B3" i="15"/>
  <c r="B5" i="15" s="1"/>
  <c r="AL4" i="1"/>
  <c r="AM4" i="1" s="1"/>
  <c r="AR4" i="1" s="1"/>
  <c r="AV6" i="1" l="1"/>
  <c r="AV5" i="1" s="1"/>
  <c r="AV4" i="1" s="1"/>
  <c r="AV3" i="1" s="1"/>
  <c r="AM3" i="1"/>
  <c r="C4" i="15" s="1"/>
  <c r="C4" i="32"/>
  <c r="AG4" i="1"/>
  <c r="D4" i="32"/>
  <c r="E4" i="32" s="1"/>
  <c r="C11" i="15" l="1"/>
  <c r="C10" i="15"/>
  <c r="B4" i="15"/>
  <c r="F4" i="32"/>
  <c r="AH886" i="1" l="1"/>
  <c r="AQ886" i="1" s="1"/>
  <c r="AH947" i="1"/>
  <c r="AQ947" i="1" s="1"/>
  <c r="AH832" i="1"/>
  <c r="AQ832" i="1" s="1"/>
  <c r="AH894" i="1"/>
  <c r="AQ894" i="1" s="1"/>
  <c r="AN832" i="1"/>
  <c r="AH920" i="1"/>
  <c r="AQ920" i="1" s="1"/>
  <c r="AH1017" i="1"/>
  <c r="AQ1017" i="1" s="1"/>
  <c r="AH1116" i="1"/>
  <c r="AQ1116" i="1" s="1"/>
  <c r="AH1130" i="1"/>
  <c r="AQ1130" i="1" s="1"/>
  <c r="AH1326" i="1"/>
  <c r="AQ1326" i="1" s="1"/>
  <c r="AH1028" i="1"/>
  <c r="AQ1028" i="1" s="1"/>
  <c r="AH1332" i="1"/>
  <c r="AQ1332" i="1" s="1"/>
  <c r="AH1059" i="1"/>
  <c r="AQ1059" i="1" s="1"/>
  <c r="AH1221" i="1"/>
  <c r="AQ1221" i="1" s="1"/>
  <c r="AH1325" i="1"/>
  <c r="AQ1325" i="1" s="1"/>
  <c r="AH1236" i="1"/>
  <c r="AQ1236" i="1" s="1"/>
  <c r="AH1068" i="1"/>
  <c r="AQ1068" i="1" s="1"/>
  <c r="AH1313" i="1"/>
  <c r="AQ1313" i="1" s="1"/>
  <c r="AH809" i="1"/>
  <c r="AQ809" i="1" s="1"/>
  <c r="AH795" i="1"/>
  <c r="AQ795" i="1" s="1"/>
  <c r="AH835" i="1"/>
  <c r="AQ835" i="1" s="1"/>
  <c r="AH1267" i="1"/>
  <c r="AQ1267" i="1" s="1"/>
  <c r="AH1179" i="1"/>
  <c r="AQ1179" i="1" s="1"/>
  <c r="AH1120" i="1"/>
  <c r="AQ1120" i="1" s="1"/>
  <c r="AH918" i="1"/>
  <c r="AQ918" i="1" s="1"/>
  <c r="AH1180" i="1"/>
  <c r="AQ1180" i="1" s="1"/>
  <c r="AH922" i="1"/>
  <c r="AQ922" i="1" s="1"/>
  <c r="AH1010" i="1"/>
  <c r="AQ1010" i="1" s="1"/>
  <c r="AH1078" i="1"/>
  <c r="AQ1078" i="1" s="1"/>
  <c r="AH938" i="1"/>
  <c r="AQ938" i="1" s="1"/>
  <c r="AH1054" i="1"/>
  <c r="AQ1054" i="1" s="1"/>
  <c r="AH853" i="1"/>
  <c r="AQ853" i="1" s="1"/>
  <c r="AH1202" i="1"/>
  <c r="AQ1202" i="1" s="1"/>
  <c r="AH1110" i="1"/>
  <c r="AQ1110" i="1" s="1"/>
  <c r="AH1284" i="1"/>
  <c r="AQ1284" i="1" s="1"/>
  <c r="AH1098" i="1"/>
  <c r="AQ1098" i="1" s="1"/>
  <c r="AH997" i="1"/>
  <c r="AQ997" i="1" s="1"/>
  <c r="AH1210" i="1"/>
  <c r="AQ1210" i="1" s="1"/>
  <c r="AH1065" i="1"/>
  <c r="AQ1065" i="1" s="1"/>
  <c r="AH958" i="1"/>
  <c r="AQ958" i="1" s="1"/>
  <c r="AH881" i="1"/>
  <c r="AQ881" i="1" s="1"/>
  <c r="AH888" i="1"/>
  <c r="AQ888" i="1" s="1"/>
  <c r="AH891" i="1"/>
  <c r="AQ891" i="1" s="1"/>
  <c r="AH1199" i="1"/>
  <c r="AQ1199" i="1" s="1"/>
  <c r="AH904" i="1"/>
  <c r="AQ904" i="1" s="1"/>
  <c r="AH773" i="1"/>
  <c r="AQ773" i="1" s="1"/>
  <c r="AH1115" i="1"/>
  <c r="AQ1115" i="1" s="1"/>
  <c r="AH1298" i="1"/>
  <c r="AQ1298" i="1" s="1"/>
  <c r="AH1046" i="1"/>
  <c r="AQ1046" i="1" s="1"/>
  <c r="AH1015" i="1"/>
  <c r="AQ1015" i="1" s="1"/>
  <c r="AH1127" i="1"/>
  <c r="AQ1127" i="1" s="1"/>
  <c r="AH970" i="1"/>
  <c r="AQ970" i="1" s="1"/>
  <c r="AH788" i="1"/>
  <c r="AQ788" i="1" s="1"/>
  <c r="AH1212" i="1"/>
  <c r="AQ1212" i="1" s="1"/>
  <c r="AH1241" i="1"/>
  <c r="AQ1241" i="1" s="1"/>
  <c r="AH979" i="1"/>
  <c r="AQ979" i="1" s="1"/>
  <c r="AH1327" i="1"/>
  <c r="AQ1327" i="1" s="1"/>
  <c r="AH1020" i="1"/>
  <c r="AQ1020" i="1" s="1"/>
  <c r="AH1227" i="1"/>
  <c r="AQ1227" i="1" s="1"/>
  <c r="AH824" i="1"/>
  <c r="AQ824" i="1" s="1"/>
  <c r="AH992" i="1"/>
  <c r="AQ992" i="1" s="1"/>
  <c r="AH1056" i="1"/>
  <c r="AQ1056" i="1" s="1"/>
  <c r="AH1060" i="1"/>
  <c r="AQ1060" i="1" s="1"/>
  <c r="AH1093" i="1"/>
  <c r="AQ1093" i="1" s="1"/>
  <c r="AH1027" i="1"/>
  <c r="AQ1027" i="1" s="1"/>
  <c r="AN886" i="1"/>
  <c r="AH851" i="1"/>
  <c r="AQ851" i="1" s="1"/>
  <c r="AH917" i="1"/>
  <c r="AQ917" i="1" s="1"/>
  <c r="AN894" i="1"/>
  <c r="AH861" i="1"/>
  <c r="AQ861" i="1" s="1"/>
  <c r="AN920" i="1"/>
  <c r="AH802" i="1"/>
  <c r="AQ802" i="1" s="1"/>
  <c r="AH1099" i="1"/>
  <c r="AQ1099" i="1" s="1"/>
  <c r="AN1099" i="1"/>
  <c r="AH1237" i="1"/>
  <c r="AQ1237" i="1" s="1"/>
  <c r="AN1237" i="1"/>
  <c r="AH1300" i="1"/>
  <c r="AQ1300" i="1" s="1"/>
  <c r="AH1169" i="1"/>
  <c r="AQ1169" i="1" s="1"/>
  <c r="AN1169" i="1"/>
  <c r="AH1364" i="1"/>
  <c r="AQ1364" i="1" s="1"/>
  <c r="AH1376" i="1"/>
  <c r="AQ1376" i="1" s="1"/>
  <c r="AH858" i="1"/>
  <c r="AQ858" i="1" s="1"/>
  <c r="AH1095" i="1"/>
  <c r="AQ1095" i="1" s="1"/>
  <c r="AH1075" i="1"/>
  <c r="AQ1075" i="1" s="1"/>
  <c r="AH1297" i="1"/>
  <c r="AQ1297" i="1" s="1"/>
  <c r="AN1313" i="1"/>
  <c r="AH1328" i="1"/>
  <c r="AQ1328" i="1" s="1"/>
  <c r="AH1262" i="1"/>
  <c r="AQ1262" i="1" s="1"/>
  <c r="AH812" i="1"/>
  <c r="AQ812" i="1" s="1"/>
  <c r="AH1201" i="1"/>
  <c r="AQ1201" i="1" s="1"/>
  <c r="AH1016" i="1"/>
  <c r="AQ1016" i="1" s="1"/>
  <c r="AH810" i="1"/>
  <c r="AQ810" i="1" s="1"/>
  <c r="AN810" i="1"/>
  <c r="AH907" i="1"/>
  <c r="AQ907" i="1" s="1"/>
  <c r="AN918" i="1"/>
  <c r="AH815" i="1"/>
  <c r="AQ815" i="1" s="1"/>
  <c r="AN815" i="1"/>
  <c r="AH805" i="1"/>
  <c r="AQ805" i="1" s="1"/>
  <c r="AN805" i="1"/>
  <c r="AN1180" i="1"/>
  <c r="AH1002" i="1"/>
  <c r="AQ1002" i="1" s="1"/>
  <c r="AN1010" i="1"/>
  <c r="AH1228" i="1"/>
  <c r="AQ1228" i="1" s="1"/>
  <c r="AH1296" i="1"/>
  <c r="AQ1296" i="1" s="1"/>
  <c r="AH799" i="1"/>
  <c r="AQ799" i="1" s="1"/>
  <c r="AH876" i="1"/>
  <c r="AQ876" i="1" s="1"/>
  <c r="AN876" i="1"/>
  <c r="AN1202" i="1"/>
  <c r="AH996" i="1"/>
  <c r="AQ996" i="1" s="1"/>
  <c r="AH1013" i="1"/>
  <c r="AQ1013" i="1" s="1"/>
  <c r="AH803" i="1"/>
  <c r="AQ803" i="1" s="1"/>
  <c r="AH1174" i="1"/>
  <c r="AQ1174" i="1" s="1"/>
  <c r="AN1210" i="1"/>
  <c r="AH965" i="1"/>
  <c r="AQ965" i="1" s="1"/>
  <c r="AN958" i="1"/>
  <c r="AH874" i="1"/>
  <c r="AQ874" i="1" s="1"/>
  <c r="AN874" i="1"/>
  <c r="AH1193" i="1"/>
  <c r="AQ1193" i="1" s="1"/>
  <c r="AN888" i="1"/>
  <c r="AN891" i="1"/>
  <c r="AN1325" i="1"/>
  <c r="AN1199" i="1"/>
  <c r="AH865" i="1"/>
  <c r="AQ865" i="1" s="1"/>
  <c r="AN865" i="1"/>
  <c r="AN1236" i="1"/>
  <c r="AN835" i="1"/>
  <c r="AN904" i="1"/>
  <c r="AH811" i="1"/>
  <c r="AQ811" i="1" s="1"/>
  <c r="AH867" i="1"/>
  <c r="AQ867" i="1" s="1"/>
  <c r="AN773" i="1"/>
  <c r="AN1179" i="1"/>
  <c r="AN1115" i="1"/>
  <c r="AN1221" i="1"/>
  <c r="AH884" i="1"/>
  <c r="AQ884" i="1" s="1"/>
  <c r="AN1298" i="1"/>
  <c r="AH1316" i="1"/>
  <c r="AQ1316" i="1" s="1"/>
  <c r="AN1316" i="1"/>
  <c r="AH1243" i="1"/>
  <c r="AQ1243" i="1" s="1"/>
  <c r="AH1076" i="1"/>
  <c r="AQ1076" i="1" s="1"/>
  <c r="AN1127" i="1"/>
  <c r="AH1255" i="1"/>
  <c r="AQ1255" i="1" s="1"/>
  <c r="AH831" i="1"/>
  <c r="AQ831" i="1" s="1"/>
  <c r="AH956" i="1"/>
  <c r="AQ956" i="1" s="1"/>
  <c r="AN1241" i="1"/>
  <c r="AN979" i="1"/>
  <c r="AN851" i="1"/>
  <c r="AN917" i="1"/>
  <c r="AH1239" i="1"/>
  <c r="AQ1239" i="1" s="1"/>
  <c r="AH1251" i="1"/>
  <c r="AQ1251" i="1" s="1"/>
  <c r="AH1264" i="1"/>
  <c r="AQ1264" i="1" s="1"/>
  <c r="AN1376" i="1"/>
  <c r="AH1342" i="1"/>
  <c r="AQ1342" i="1" s="1"/>
  <c r="AH1331" i="1"/>
  <c r="AQ1331" i="1" s="1"/>
  <c r="AH1261" i="1"/>
  <c r="AQ1261" i="1" s="1"/>
  <c r="AN1297" i="1"/>
  <c r="AH1205" i="1"/>
  <c r="AQ1205" i="1" s="1"/>
  <c r="AH899" i="1"/>
  <c r="AQ899" i="1" s="1"/>
  <c r="AN1201" i="1"/>
  <c r="AH1187" i="1"/>
  <c r="AQ1187" i="1" s="1"/>
  <c r="AN907" i="1"/>
  <c r="AH789" i="1"/>
  <c r="AQ789" i="1" s="1"/>
  <c r="AH1000" i="1"/>
  <c r="AQ1000" i="1" s="1"/>
  <c r="AH1019" i="1"/>
  <c r="AQ1019" i="1" s="1"/>
  <c r="AN1228" i="1"/>
  <c r="AN1296" i="1"/>
  <c r="AH1311" i="1"/>
  <c r="AQ1311" i="1" s="1"/>
  <c r="AN1013" i="1"/>
  <c r="AN1174" i="1"/>
  <c r="AH1220" i="1"/>
  <c r="AQ1220" i="1" s="1"/>
  <c r="AN1193" i="1"/>
  <c r="AH927" i="1"/>
  <c r="AQ927" i="1" s="1"/>
  <c r="AH843" i="1"/>
  <c r="AQ843" i="1" s="1"/>
  <c r="AH839" i="1"/>
  <c r="AQ839" i="1" s="1"/>
  <c r="AN811" i="1"/>
  <c r="AN996" i="1"/>
  <c r="AH875" i="1"/>
  <c r="AQ875" i="1" s="1"/>
  <c r="AN875" i="1"/>
  <c r="AN884" i="1"/>
  <c r="AN1243" i="1"/>
  <c r="AN1076" i="1"/>
  <c r="AN956" i="1"/>
  <c r="AH873" i="1"/>
  <c r="AQ873" i="1" s="1"/>
  <c r="AH1329" i="1"/>
  <c r="AQ1329" i="1" s="1"/>
  <c r="AH1165" i="1"/>
  <c r="AQ1165" i="1" s="1"/>
  <c r="AH896" i="1"/>
  <c r="AQ896" i="1" s="1"/>
  <c r="AH929" i="1"/>
  <c r="AQ929" i="1" s="1"/>
  <c r="AN1130" i="1"/>
  <c r="AH1373" i="1"/>
  <c r="AQ1373" i="1" s="1"/>
  <c r="AH1171" i="1"/>
  <c r="AQ1171" i="1" s="1"/>
  <c r="AH1052" i="1"/>
  <c r="AQ1052" i="1" s="1"/>
  <c r="AH1266" i="1"/>
  <c r="AQ1266" i="1" s="1"/>
  <c r="AN1331" i="1"/>
  <c r="AN1220" i="1"/>
  <c r="AN1342" i="1"/>
  <c r="AN1046" i="1"/>
  <c r="AN788" i="1"/>
  <c r="AH903" i="1"/>
  <c r="AQ903" i="1" s="1"/>
  <c r="AN1020" i="1"/>
  <c r="AH1350" i="1"/>
  <c r="AQ1350" i="1" s="1"/>
  <c r="AH1192" i="1"/>
  <c r="AQ1192" i="1" s="1"/>
  <c r="AN1192" i="1"/>
  <c r="AN1060" i="1"/>
  <c r="AH1168" i="1"/>
  <c r="AQ1168" i="1" s="1"/>
  <c r="AH911" i="1"/>
  <c r="AQ911" i="1" s="1"/>
  <c r="AH878" i="1"/>
  <c r="AQ878" i="1" s="1"/>
  <c r="AH813" i="1"/>
  <c r="AQ813" i="1" s="1"/>
  <c r="AH1321" i="1"/>
  <c r="AQ1321" i="1" s="1"/>
  <c r="AH1096" i="1"/>
  <c r="AQ1096" i="1" s="1"/>
  <c r="AH1268" i="1"/>
  <c r="AQ1268" i="1" s="1"/>
  <c r="AH966" i="1"/>
  <c r="AQ966" i="1" s="1"/>
  <c r="AH1006" i="1"/>
  <c r="AQ1006" i="1" s="1"/>
  <c r="AH1173" i="1"/>
  <c r="AQ1173" i="1" s="1"/>
  <c r="AH1287" i="1"/>
  <c r="AQ1287" i="1" s="1"/>
  <c r="AH1247" i="1"/>
  <c r="AQ1247" i="1" s="1"/>
  <c r="AH937" i="1"/>
  <c r="AQ937" i="1" s="1"/>
  <c r="AH1238" i="1"/>
  <c r="AQ1238" i="1" s="1"/>
  <c r="AH1337" i="1"/>
  <c r="AQ1337" i="1" s="1"/>
  <c r="AH1214" i="1"/>
  <c r="AQ1214" i="1" s="1"/>
  <c r="AH1319" i="1"/>
  <c r="AQ1319" i="1" s="1"/>
  <c r="AH1366" i="1"/>
  <c r="AQ1366" i="1" s="1"/>
  <c r="AH1270" i="1"/>
  <c r="AQ1270" i="1" s="1"/>
  <c r="AH1290" i="1"/>
  <c r="AQ1290" i="1" s="1"/>
  <c r="AH980" i="1"/>
  <c r="AQ980" i="1" s="1"/>
  <c r="AH849" i="1"/>
  <c r="AQ849" i="1" s="1"/>
  <c r="AH1005" i="1"/>
  <c r="AQ1005" i="1" s="1"/>
  <c r="AH1265" i="1"/>
  <c r="AQ1265" i="1" s="1"/>
  <c r="AH998" i="1"/>
  <c r="AQ998" i="1" s="1"/>
  <c r="AH1117" i="1"/>
  <c r="AQ1117" i="1" s="1"/>
  <c r="AN789" i="1"/>
  <c r="AN1364" i="1"/>
  <c r="AH1302" i="1"/>
  <c r="AQ1302" i="1" s="1"/>
  <c r="AH1245" i="1"/>
  <c r="AQ1245" i="1" s="1"/>
  <c r="AH933" i="1"/>
  <c r="AQ933" i="1" s="1"/>
  <c r="AN1052" i="1"/>
  <c r="AN1265" i="1"/>
  <c r="AN998" i="1"/>
  <c r="AH845" i="1"/>
  <c r="AQ845" i="1" s="1"/>
  <c r="AN1019" i="1"/>
  <c r="AH877" i="1"/>
  <c r="AQ877" i="1" s="1"/>
  <c r="AH787" i="1"/>
  <c r="AQ787" i="1" s="1"/>
  <c r="AH924" i="1"/>
  <c r="AQ924" i="1" s="1"/>
  <c r="AH1138" i="1"/>
  <c r="AQ1138" i="1" s="1"/>
  <c r="AN1059" i="1"/>
  <c r="AN1068" i="1"/>
  <c r="AN1120" i="1"/>
  <c r="AH1289" i="1"/>
  <c r="AQ1289" i="1" s="1"/>
  <c r="AN881" i="1"/>
  <c r="AN1095" i="1"/>
  <c r="AN1054" i="1"/>
  <c r="AN803" i="1"/>
  <c r="AN1212" i="1"/>
  <c r="AH914" i="1"/>
  <c r="AQ914" i="1" s="1"/>
  <c r="AN786" i="1"/>
  <c r="AH786" i="1"/>
  <c r="AQ786" i="1" s="1"/>
  <c r="AN824" i="1"/>
  <c r="AN1056" i="1"/>
  <c r="AH821" i="1"/>
  <c r="AQ821" i="1" s="1"/>
  <c r="AN1027" i="1"/>
  <c r="AN911" i="1"/>
  <c r="AH1071" i="1"/>
  <c r="AQ1071" i="1" s="1"/>
  <c r="AN1071" i="1"/>
  <c r="AH931" i="1"/>
  <c r="AQ931" i="1" s="1"/>
  <c r="AN813" i="1"/>
  <c r="AH1283" i="1"/>
  <c r="AQ1283" i="1" s="1"/>
  <c r="AH1084" i="1"/>
  <c r="AQ1084" i="1" s="1"/>
  <c r="AH1086" i="1"/>
  <c r="AQ1086" i="1" s="1"/>
  <c r="AH1008" i="1"/>
  <c r="AQ1008" i="1" s="1"/>
  <c r="AH1293" i="1"/>
  <c r="AQ1293" i="1" s="1"/>
  <c r="AH1051" i="1"/>
  <c r="AQ1051" i="1" s="1"/>
  <c r="AN1287" i="1"/>
  <c r="AN1247" i="1"/>
  <c r="AH1194" i="1"/>
  <c r="AQ1194" i="1" s="1"/>
  <c r="AN1194" i="1"/>
  <c r="AH772" i="1"/>
  <c r="AQ772" i="1" s="1"/>
  <c r="AN1238" i="1"/>
  <c r="AN1337" i="1"/>
  <c r="AH1339" i="1"/>
  <c r="AQ1339" i="1" s="1"/>
  <c r="AH1254" i="1"/>
  <c r="AQ1254" i="1" s="1"/>
  <c r="AN1254" i="1"/>
  <c r="AN1319" i="1"/>
  <c r="AH981" i="1"/>
  <c r="AQ981" i="1" s="1"/>
  <c r="AN1270" i="1"/>
  <c r="AH1146" i="1"/>
  <c r="AQ1146" i="1" s="1"/>
  <c r="AN1146" i="1"/>
  <c r="AN1290" i="1"/>
  <c r="AN980" i="1"/>
  <c r="AH1121" i="1"/>
  <c r="AQ1121" i="1" s="1"/>
  <c r="AN1121" i="1"/>
  <c r="AH912" i="1"/>
  <c r="AQ912" i="1" s="1"/>
  <c r="AN912" i="1"/>
  <c r="AH1260" i="1"/>
  <c r="AQ1260" i="1" s="1"/>
  <c r="AH1324" i="1"/>
  <c r="AQ1324" i="1" s="1"/>
  <c r="AN1324" i="1"/>
  <c r="AH1108" i="1"/>
  <c r="AQ1108" i="1" s="1"/>
  <c r="AN867" i="1"/>
  <c r="AN1117" i="1"/>
  <c r="AH934" i="1"/>
  <c r="AQ934" i="1" s="1"/>
  <c r="AN1302" i="1"/>
  <c r="AN1245" i="1"/>
  <c r="AN1065" i="1"/>
  <c r="AH1170" i="1"/>
  <c r="AQ1170" i="1" s="1"/>
  <c r="AH1036" i="1"/>
  <c r="AQ1036" i="1" s="1"/>
  <c r="AH1118" i="1"/>
  <c r="AQ1118" i="1" s="1"/>
  <c r="AH893" i="1"/>
  <c r="AQ893" i="1" s="1"/>
  <c r="AH887" i="1"/>
  <c r="AQ887" i="1" s="1"/>
  <c r="AN887" i="1"/>
  <c r="AN1328" i="1"/>
  <c r="AN1165" i="1"/>
  <c r="AN1261" i="1"/>
  <c r="AN1110" i="1"/>
  <c r="AN1015" i="1"/>
  <c r="AH943" i="1"/>
  <c r="AQ943" i="1" s="1"/>
  <c r="AN943" i="1"/>
  <c r="AH1244" i="1"/>
  <c r="AQ1244" i="1" s="1"/>
  <c r="AN1267" i="1"/>
  <c r="AH1136" i="1"/>
  <c r="AQ1136" i="1" s="1"/>
  <c r="AN1284" i="1"/>
  <c r="AH1061" i="1"/>
  <c r="AQ1061" i="1" s="1"/>
  <c r="AN812" i="1"/>
  <c r="AN1073" i="1"/>
  <c r="AH1073" i="1"/>
  <c r="AQ1073" i="1" s="1"/>
  <c r="AH826" i="1"/>
  <c r="AQ826" i="1" s="1"/>
  <c r="AN1181" i="1"/>
  <c r="AH1181" i="1"/>
  <c r="AQ1181" i="1" s="1"/>
  <c r="AH892" i="1"/>
  <c r="AQ892" i="1" s="1"/>
  <c r="AN1091" i="1"/>
  <c r="AH1091" i="1"/>
  <c r="AQ1091" i="1" s="1"/>
  <c r="AN931" i="1"/>
  <c r="AN1283" i="1"/>
  <c r="AN1084" i="1"/>
  <c r="AN1051" i="1"/>
  <c r="AH1057" i="1"/>
  <c r="AQ1057" i="1" s="1"/>
  <c r="AN981" i="1"/>
  <c r="AH1131" i="1"/>
  <c r="AQ1131" i="1" s="1"/>
  <c r="AN1260" i="1"/>
  <c r="AH860" i="1"/>
  <c r="AQ860" i="1" s="1"/>
  <c r="AN860" i="1"/>
  <c r="AN1293" i="1"/>
  <c r="AN934" i="1"/>
  <c r="AH842" i="1"/>
  <c r="AQ842" i="1" s="1"/>
  <c r="AH994" i="1"/>
  <c r="AQ994" i="1" s="1"/>
  <c r="AN1170" i="1"/>
  <c r="AN821" i="1"/>
  <c r="AN1036" i="1"/>
  <c r="AN1118" i="1"/>
  <c r="AN893" i="1"/>
  <c r="AN1108" i="1"/>
  <c r="AH1011" i="1"/>
  <c r="AQ1011" i="1" s="1"/>
  <c r="AN1300" i="1"/>
  <c r="AN1002" i="1"/>
  <c r="AN1366" i="1"/>
  <c r="AH1062" i="1"/>
  <c r="AQ1062" i="1" s="1"/>
  <c r="AN843" i="1"/>
  <c r="AN1173" i="1"/>
  <c r="AN937" i="1"/>
  <c r="AN849" i="1"/>
  <c r="AH1101" i="1"/>
  <c r="AQ1101" i="1" s="1"/>
  <c r="AN1101" i="1"/>
  <c r="AN933" i="1"/>
  <c r="AN1205" i="1"/>
  <c r="AN1255" i="1"/>
  <c r="AN1211" i="1"/>
  <c r="AH1211" i="1"/>
  <c r="AQ1211" i="1" s="1"/>
  <c r="AN836" i="1"/>
  <c r="AH836" i="1"/>
  <c r="AQ836" i="1" s="1"/>
  <c r="AN877" i="1"/>
  <c r="AN914" i="1"/>
  <c r="AN787" i="1"/>
  <c r="AH999" i="1"/>
  <c r="AQ999" i="1" s="1"/>
  <c r="AH1206" i="1"/>
  <c r="AQ1206" i="1" s="1"/>
  <c r="AH806" i="1"/>
  <c r="AQ806" i="1" s="1"/>
  <c r="AH1129" i="1"/>
  <c r="AQ1129" i="1" s="1"/>
  <c r="AH796" i="1"/>
  <c r="AQ796" i="1" s="1"/>
  <c r="AH1038" i="1"/>
  <c r="AQ1038" i="1" s="1"/>
  <c r="AH1191" i="1"/>
  <c r="AQ1191" i="1" s="1"/>
  <c r="AH1203" i="1"/>
  <c r="AQ1203" i="1" s="1"/>
  <c r="AH1022" i="1"/>
  <c r="AQ1022" i="1" s="1"/>
  <c r="AH1040" i="1"/>
  <c r="AQ1040" i="1" s="1"/>
  <c r="AH1044" i="1"/>
  <c r="AQ1044" i="1" s="1"/>
  <c r="AH801" i="1"/>
  <c r="AQ801" i="1" s="1"/>
  <c r="AH1355" i="1"/>
  <c r="AQ1355" i="1" s="1"/>
  <c r="AH837" i="1"/>
  <c r="AQ837" i="1" s="1"/>
  <c r="AH1323" i="1"/>
  <c r="AQ1323" i="1" s="1"/>
  <c r="AH879" i="1"/>
  <c r="AQ879" i="1" s="1"/>
  <c r="AH1277" i="1"/>
  <c r="AQ1277" i="1" s="1"/>
  <c r="AH844" i="1"/>
  <c r="AQ844" i="1" s="1"/>
  <c r="AH948" i="1"/>
  <c r="AQ948" i="1" s="1"/>
  <c r="AH1259" i="1"/>
  <c r="AQ1259" i="1" s="1"/>
  <c r="AH1004" i="1"/>
  <c r="AQ1004" i="1" s="1"/>
  <c r="AH1128" i="1"/>
  <c r="AQ1128" i="1" s="1"/>
  <c r="AH1246" i="1"/>
  <c r="AQ1246" i="1" s="1"/>
  <c r="AH1172" i="1"/>
  <c r="AQ1172" i="1" s="1"/>
  <c r="AH1372" i="1"/>
  <c r="AQ1372" i="1" s="1"/>
  <c r="AH1356" i="1"/>
  <c r="AQ1356" i="1" s="1"/>
  <c r="AH1253" i="1"/>
  <c r="AQ1253" i="1" s="1"/>
  <c r="AH1249" i="1"/>
  <c r="AQ1249" i="1" s="1"/>
  <c r="AH1053" i="1"/>
  <c r="AQ1053" i="1" s="1"/>
  <c r="AH1132" i="1"/>
  <c r="AQ1132" i="1" s="1"/>
  <c r="AH1330" i="1"/>
  <c r="AQ1330" i="1" s="1"/>
  <c r="AH1189" i="1"/>
  <c r="AQ1189" i="1" s="1"/>
  <c r="AH942" i="1"/>
  <c r="AQ942" i="1" s="1"/>
  <c r="AH1208" i="1"/>
  <c r="AQ1208" i="1" s="1"/>
  <c r="AH783" i="1"/>
  <c r="AQ783" i="1" s="1"/>
  <c r="AH905" i="1"/>
  <c r="AQ905" i="1" s="1"/>
  <c r="AH1143" i="1"/>
  <c r="AQ1143" i="1" s="1"/>
  <c r="AH1119" i="1"/>
  <c r="AQ1119" i="1" s="1"/>
  <c r="AH1301" i="1"/>
  <c r="AQ1301" i="1" s="1"/>
  <c r="AH939" i="1"/>
  <c r="AQ939" i="1" s="1"/>
  <c r="AN1116" i="1"/>
  <c r="AN878" i="1"/>
  <c r="AH1067" i="1"/>
  <c r="AQ1067" i="1" s="1"/>
  <c r="AH790" i="1"/>
  <c r="AQ790" i="1" s="1"/>
  <c r="AN929" i="1"/>
  <c r="AN1262" i="1"/>
  <c r="AN845" i="1"/>
  <c r="AN858" i="1"/>
  <c r="AN1268" i="1"/>
  <c r="AH1317" i="1"/>
  <c r="AQ1317" i="1" s="1"/>
  <c r="AN1008" i="1"/>
  <c r="AH840" i="1"/>
  <c r="AQ840" i="1" s="1"/>
  <c r="AH1263" i="1"/>
  <c r="AQ1263" i="1" s="1"/>
  <c r="AN806" i="1"/>
  <c r="AH1219" i="1"/>
  <c r="AQ1219" i="1" s="1"/>
  <c r="AN1219" i="1"/>
  <c r="AH908" i="1"/>
  <c r="AQ908" i="1" s="1"/>
  <c r="AN908" i="1"/>
  <c r="AH856" i="1"/>
  <c r="AQ856" i="1" s="1"/>
  <c r="AH1009" i="1"/>
  <c r="AQ1009" i="1" s="1"/>
  <c r="AH819" i="1"/>
  <c r="AQ819" i="1" s="1"/>
  <c r="AN1191" i="1"/>
  <c r="AH823" i="1"/>
  <c r="AQ823" i="1" s="1"/>
  <c r="AN823" i="1"/>
  <c r="AH777" i="1"/>
  <c r="AQ777" i="1" s="1"/>
  <c r="AN777" i="1"/>
  <c r="AH1077" i="1"/>
  <c r="AQ1077" i="1" s="1"/>
  <c r="AN1022" i="1"/>
  <c r="AH1030" i="1"/>
  <c r="AQ1030" i="1" s="1"/>
  <c r="AH1299" i="1"/>
  <c r="AQ1299" i="1" s="1"/>
  <c r="AN801" i="1"/>
  <c r="AH1070" i="1"/>
  <c r="AQ1070" i="1" s="1"/>
  <c r="AN1070" i="1"/>
  <c r="AH1207" i="1"/>
  <c r="AQ1207" i="1" s="1"/>
  <c r="AN837" i="1"/>
  <c r="AN1323" i="1"/>
  <c r="AN879" i="1"/>
  <c r="AH1163" i="1"/>
  <c r="AQ1163" i="1" s="1"/>
  <c r="AN1163" i="1"/>
  <c r="AH784" i="1"/>
  <c r="AQ784" i="1" s="1"/>
  <c r="AN844" i="1"/>
  <c r="AH1058" i="1"/>
  <c r="AQ1058" i="1" s="1"/>
  <c r="AN1058" i="1"/>
  <c r="AH974" i="1"/>
  <c r="AQ974" i="1" s="1"/>
  <c r="AH1107" i="1"/>
  <c r="AQ1107" i="1" s="1"/>
  <c r="AN1004" i="1"/>
  <c r="AN1128" i="1"/>
  <c r="AH1235" i="1"/>
  <c r="AQ1235" i="1" s="1"/>
  <c r="AN1235" i="1"/>
  <c r="AH919" i="1"/>
  <c r="AQ919" i="1" s="1"/>
  <c r="AN919" i="1"/>
  <c r="AH1209" i="1"/>
  <c r="AQ1209" i="1" s="1"/>
  <c r="AN1209" i="1"/>
  <c r="AH1312" i="1"/>
  <c r="AQ1312" i="1" s="1"/>
  <c r="AN1172" i="1"/>
  <c r="AH1094" i="1"/>
  <c r="AQ1094" i="1" s="1"/>
  <c r="AN1094" i="1"/>
  <c r="AH1134" i="1"/>
  <c r="AQ1134" i="1" s="1"/>
  <c r="AN1356" i="1"/>
  <c r="AH1001" i="1"/>
  <c r="AQ1001" i="1" s="1"/>
  <c r="AN1001" i="1"/>
  <c r="AH932" i="1"/>
  <c r="AQ932" i="1" s="1"/>
  <c r="AN1249" i="1"/>
  <c r="AN1053" i="1"/>
  <c r="AH1358" i="1"/>
  <c r="AQ1358" i="1" s="1"/>
  <c r="AN1358" i="1"/>
  <c r="AH1188" i="1"/>
  <c r="AQ1188" i="1" s="1"/>
  <c r="AH1363" i="1"/>
  <c r="AQ1363" i="1" s="1"/>
  <c r="AH1018" i="1"/>
  <c r="AQ1018" i="1" s="1"/>
  <c r="AH971" i="1"/>
  <c r="AQ971" i="1" s="1"/>
  <c r="AH1375" i="1"/>
  <c r="AQ1375" i="1" s="1"/>
  <c r="AH1213" i="1"/>
  <c r="AQ1213" i="1" s="1"/>
  <c r="AH1066" i="1"/>
  <c r="AQ1066" i="1" s="1"/>
  <c r="AN1066" i="1"/>
  <c r="AH1039" i="1"/>
  <c r="AQ1039" i="1" s="1"/>
  <c r="AN1143" i="1"/>
  <c r="AH1295" i="1"/>
  <c r="AQ1295" i="1" s="1"/>
  <c r="AN1295" i="1"/>
  <c r="AN1119" i="1"/>
  <c r="AN1301" i="1"/>
  <c r="AH955" i="1"/>
  <c r="AQ955" i="1" s="1"/>
  <c r="AN955" i="1"/>
  <c r="AN939" i="1"/>
  <c r="AH841" i="1"/>
  <c r="AQ841" i="1" s="1"/>
  <c r="AN841" i="1"/>
  <c r="AH1092" i="1"/>
  <c r="AQ1092" i="1" s="1"/>
  <c r="AH1164" i="1"/>
  <c r="AQ1164" i="1" s="1"/>
  <c r="AN1028" i="1"/>
  <c r="AN1016" i="1"/>
  <c r="AN1093" i="1"/>
  <c r="AH1276" i="1"/>
  <c r="AQ1276" i="1" s="1"/>
  <c r="AH1357" i="1"/>
  <c r="AQ1357" i="1" s="1"/>
  <c r="AH1021" i="1"/>
  <c r="AQ1021" i="1" s="1"/>
  <c r="AN1005" i="1"/>
  <c r="AN892" i="1"/>
  <c r="AN842" i="1"/>
  <c r="AN1000" i="1"/>
  <c r="AN1321" i="1"/>
  <c r="AN1327" i="1"/>
  <c r="AN1317" i="1"/>
  <c r="AH1315" i="1"/>
  <c r="AQ1315" i="1" s="1"/>
  <c r="AN1263" i="1"/>
  <c r="AH848" i="1"/>
  <c r="AQ848" i="1" s="1"/>
  <c r="AN856" i="1"/>
  <c r="AN1009" i="1"/>
  <c r="AN819" i="1"/>
  <c r="AH1248" i="1"/>
  <c r="AQ1248" i="1" s="1"/>
  <c r="AN1077" i="1"/>
  <c r="AN1299" i="1"/>
  <c r="AN1207" i="1"/>
  <c r="AN784" i="1"/>
  <c r="AN974" i="1"/>
  <c r="AN1107" i="1"/>
  <c r="AH909" i="1"/>
  <c r="AQ909" i="1" s="1"/>
  <c r="AH1109" i="1"/>
  <c r="AQ1109" i="1" s="1"/>
  <c r="AN1312" i="1"/>
  <c r="AN1134" i="1"/>
  <c r="AN932" i="1"/>
  <c r="AN1375" i="1"/>
  <c r="AH804" i="1"/>
  <c r="AQ804" i="1" s="1"/>
  <c r="AN1039" i="1"/>
  <c r="AH1291" i="1"/>
  <c r="AQ1291" i="1" s="1"/>
  <c r="AH1045" i="1"/>
  <c r="AQ1045" i="1" s="1"/>
  <c r="AH1186" i="1"/>
  <c r="AQ1186" i="1" s="1"/>
  <c r="AH1257" i="1"/>
  <c r="AQ1257" i="1" s="1"/>
  <c r="AH1269" i="1"/>
  <c r="AQ1269" i="1" s="1"/>
  <c r="AH991" i="1"/>
  <c r="AQ991" i="1" s="1"/>
  <c r="AN1227" i="1"/>
  <c r="AN1011" i="1"/>
  <c r="AN1289" i="1"/>
  <c r="AN966" i="1"/>
  <c r="AN1203" i="1"/>
  <c r="AH993" i="1"/>
  <c r="AQ993" i="1" s="1"/>
  <c r="AN1372" i="1"/>
  <c r="AN1330" i="1"/>
  <c r="AH1371" i="1"/>
  <c r="AQ1371" i="1" s="1"/>
  <c r="AN1257" i="1"/>
  <c r="AN940" i="1"/>
  <c r="AH940" i="1"/>
  <c r="AQ940" i="1" s="1"/>
  <c r="AH1278" i="1"/>
  <c r="AQ1278" i="1" s="1"/>
  <c r="AH1190" i="1"/>
  <c r="AQ1190" i="1" s="1"/>
  <c r="AN861" i="1"/>
  <c r="AN804" i="1"/>
  <c r="AN796" i="1"/>
  <c r="AN991" i="1"/>
  <c r="AN826" i="1"/>
  <c r="AN899" i="1"/>
  <c r="AH925" i="1"/>
  <c r="AQ925" i="1" s="1"/>
  <c r="AH897" i="1"/>
  <c r="AQ897" i="1" s="1"/>
  <c r="AH1043" i="1"/>
  <c r="AQ1043" i="1" s="1"/>
  <c r="AH968" i="1"/>
  <c r="AQ968" i="1" s="1"/>
  <c r="AH1135" i="1"/>
  <c r="AQ1135" i="1" s="1"/>
  <c r="AH1250" i="1"/>
  <c r="AQ1250" i="1" s="1"/>
  <c r="AH1037" i="1"/>
  <c r="AQ1037" i="1" s="1"/>
  <c r="AH1083" i="1"/>
  <c r="AQ1083" i="1" s="1"/>
  <c r="AH847" i="1"/>
  <c r="AQ847" i="1" s="1"/>
  <c r="AH1102" i="1"/>
  <c r="AQ1102" i="1" s="1"/>
  <c r="AH1294" i="1"/>
  <c r="AQ1294" i="1" s="1"/>
  <c r="AH950" i="1"/>
  <c r="AQ950" i="1" s="1"/>
  <c r="AH1183" i="1"/>
  <c r="AQ1183" i="1" s="1"/>
  <c r="AH814" i="1"/>
  <c r="AQ814" i="1" s="1"/>
  <c r="AH774" i="1"/>
  <c r="AQ774" i="1" s="1"/>
  <c r="AH838" i="1"/>
  <c r="AQ838" i="1" s="1"/>
  <c r="AN997" i="1"/>
  <c r="AN1251" i="1"/>
  <c r="AH1200" i="1"/>
  <c r="AQ1200" i="1" s="1"/>
  <c r="AH936" i="1"/>
  <c r="AQ936" i="1" s="1"/>
  <c r="AH964" i="1"/>
  <c r="AQ964" i="1" s="1"/>
  <c r="AH949" i="1"/>
  <c r="AQ949" i="1" s="1"/>
  <c r="AH1240" i="1"/>
  <c r="AQ1240" i="1" s="1"/>
  <c r="AH969" i="1"/>
  <c r="AQ969" i="1" s="1"/>
  <c r="AH972" i="1"/>
  <c r="AQ972" i="1" s="1"/>
  <c r="AH946" i="1"/>
  <c r="AQ946" i="1" s="1"/>
  <c r="AH1007" i="1"/>
  <c r="AQ1007" i="1" s="1"/>
  <c r="AH834" i="1"/>
  <c r="AQ834" i="1" s="1"/>
  <c r="AH1069" i="1"/>
  <c r="AQ1069" i="1" s="1"/>
  <c r="AH1145" i="1"/>
  <c r="AQ1145" i="1" s="1"/>
  <c r="AH944" i="1"/>
  <c r="AQ944" i="1" s="1"/>
  <c r="AH1318" i="1"/>
  <c r="AQ1318" i="1" s="1"/>
  <c r="AN1075" i="1"/>
  <c r="AH863" i="1"/>
  <c r="AQ863" i="1" s="1"/>
  <c r="AN1326" i="1"/>
  <c r="AH900" i="1"/>
  <c r="AQ900" i="1" s="1"/>
  <c r="AN1188" i="1"/>
  <c r="AN1021" i="1"/>
  <c r="AN1096" i="1"/>
  <c r="AH798" i="1"/>
  <c r="AQ798" i="1" s="1"/>
  <c r="AH910" i="1"/>
  <c r="AQ910" i="1" s="1"/>
  <c r="AH1320" i="1"/>
  <c r="AQ1320" i="1" s="1"/>
  <c r="AH1222" i="1"/>
  <c r="AQ1222" i="1" s="1"/>
  <c r="AH1063" i="1"/>
  <c r="AQ1063" i="1" s="1"/>
  <c r="AH775" i="1"/>
  <c r="AQ775" i="1" s="1"/>
  <c r="AH1204" i="1"/>
  <c r="AQ1204" i="1" s="1"/>
  <c r="AH1286" i="1"/>
  <c r="AQ1286" i="1" s="1"/>
  <c r="AH846" i="1"/>
  <c r="AQ846" i="1" s="1"/>
  <c r="AH1338" i="1"/>
  <c r="AQ1338" i="1" s="1"/>
  <c r="AH1258" i="1"/>
  <c r="AQ1258" i="1" s="1"/>
  <c r="AH822" i="1"/>
  <c r="AQ822" i="1" s="1"/>
  <c r="AH1097" i="1"/>
  <c r="AQ1097" i="1" s="1"/>
  <c r="AH870" i="1"/>
  <c r="AQ870" i="1" s="1"/>
  <c r="AH1133" i="1"/>
  <c r="AQ1133" i="1" s="1"/>
  <c r="AH776" i="1"/>
  <c r="AQ776" i="1" s="1"/>
  <c r="AH901" i="1"/>
  <c r="AQ901" i="1" s="1"/>
  <c r="AH1242" i="1"/>
  <c r="AQ1242" i="1" s="1"/>
  <c r="AH1166" i="1"/>
  <c r="AQ1166" i="1" s="1"/>
  <c r="AH1182" i="1"/>
  <c r="AQ1182" i="1" s="1"/>
  <c r="AH1012" i="1"/>
  <c r="AQ1012" i="1" s="1"/>
  <c r="AH857" i="1"/>
  <c r="AQ857" i="1" s="1"/>
  <c r="AH852" i="1"/>
  <c r="AQ852" i="1" s="1"/>
  <c r="AH1341" i="1"/>
  <c r="AQ1341" i="1" s="1"/>
  <c r="AH1348" i="1"/>
  <c r="AQ1348" i="1" s="1"/>
  <c r="AH1003" i="1"/>
  <c r="AQ1003" i="1" s="1"/>
  <c r="AH818" i="1"/>
  <c r="AQ818" i="1" s="1"/>
  <c r="AH1122" i="1"/>
  <c r="AQ1122" i="1" s="1"/>
  <c r="AH1014" i="1"/>
  <c r="AQ1014" i="1" s="1"/>
  <c r="AH1347" i="1"/>
  <c r="AQ1347" i="1" s="1"/>
  <c r="AH1223" i="1"/>
  <c r="AQ1223" i="1" s="1"/>
  <c r="AH1081" i="1"/>
  <c r="AQ1081" i="1" s="1"/>
  <c r="AH1224" i="1"/>
  <c r="AQ1224" i="1" s="1"/>
  <c r="AH1175" i="1"/>
  <c r="AQ1175" i="1" s="1"/>
  <c r="AN1239" i="1"/>
  <c r="AN903" i="1"/>
  <c r="AN999" i="1"/>
  <c r="AH1256" i="1"/>
  <c r="AQ1256" i="1" s="1"/>
  <c r="AN1256" i="1"/>
  <c r="AH778" i="1"/>
  <c r="AQ778" i="1" s="1"/>
  <c r="AN1246" i="1"/>
  <c r="AH854" i="1"/>
  <c r="AQ854" i="1" s="1"/>
  <c r="AN854" i="1"/>
  <c r="AN1189" i="1"/>
  <c r="AH1374" i="1"/>
  <c r="AQ1374" i="1" s="1"/>
  <c r="AH808" i="1"/>
  <c r="AQ808" i="1" s="1"/>
  <c r="AN1190" i="1"/>
  <c r="AH913" i="1"/>
  <c r="AQ913" i="1" s="1"/>
  <c r="AN1067" i="1"/>
  <c r="AN1078" i="1"/>
  <c r="AN938" i="1"/>
  <c r="AN1092" i="1"/>
  <c r="AH915" i="1"/>
  <c r="AQ915" i="1" s="1"/>
  <c r="AN915" i="1"/>
  <c r="AN1045" i="1"/>
  <c r="AN1371" i="1"/>
  <c r="AN1214" i="1"/>
  <c r="AN970" i="1"/>
  <c r="AN831" i="1"/>
  <c r="AH883" i="1"/>
  <c r="AQ883" i="1" s="1"/>
  <c r="AN1043" i="1"/>
  <c r="AN968" i="1"/>
  <c r="AN873" i="1"/>
  <c r="AN1030" i="1"/>
  <c r="AN1135" i="1"/>
  <c r="AH1072" i="1"/>
  <c r="AQ1072" i="1" s="1"/>
  <c r="AN1072" i="1"/>
  <c r="AH816" i="1"/>
  <c r="AQ816" i="1" s="1"/>
  <c r="AN1037" i="1"/>
  <c r="AH1100" i="1"/>
  <c r="AQ1100" i="1" s="1"/>
  <c r="AN1100" i="1"/>
  <c r="AH785" i="1"/>
  <c r="AQ785" i="1" s="1"/>
  <c r="AN847" i="1"/>
  <c r="AH800" i="1"/>
  <c r="AQ800" i="1" s="1"/>
  <c r="AN800" i="1"/>
  <c r="AH807" i="1"/>
  <c r="AQ807" i="1" s="1"/>
  <c r="AN807" i="1"/>
  <c r="AH967" i="1"/>
  <c r="AQ967" i="1" s="1"/>
  <c r="AN950" i="1"/>
  <c r="AH1336" i="1"/>
  <c r="AQ1336" i="1" s="1"/>
  <c r="AN1336" i="1"/>
  <c r="AH1042" i="1"/>
  <c r="AQ1042" i="1" s="1"/>
  <c r="AN814" i="1"/>
  <c r="AH1185" i="1"/>
  <c r="AQ1185" i="1" s="1"/>
  <c r="AN1185" i="1"/>
  <c r="AH941" i="1"/>
  <c r="AQ941" i="1" s="1"/>
  <c r="AN838" i="1"/>
  <c r="AH1377" i="1"/>
  <c r="AQ1377" i="1" s="1"/>
  <c r="AN1377" i="1"/>
  <c r="AN802" i="1"/>
  <c r="AN1357" i="1"/>
  <c r="AN1109" i="1"/>
  <c r="AN1350" i="1"/>
  <c r="AN1200" i="1"/>
  <c r="AH1334" i="1"/>
  <c r="AQ1334" i="1" s="1"/>
  <c r="AN1334" i="1"/>
  <c r="AH833" i="1"/>
  <c r="AQ833" i="1" s="1"/>
  <c r="AN964" i="1"/>
  <c r="AH1041" i="1"/>
  <c r="AQ1041" i="1" s="1"/>
  <c r="AN1041" i="1"/>
  <c r="AH957" i="1"/>
  <c r="AQ957" i="1" s="1"/>
  <c r="AH1229" i="1"/>
  <c r="AQ1229" i="1" s="1"/>
  <c r="AN969" i="1"/>
  <c r="AH1288" i="1"/>
  <c r="AQ1288" i="1" s="1"/>
  <c r="AN1288" i="1"/>
  <c r="AH1144" i="1"/>
  <c r="AQ1144" i="1" s="1"/>
  <c r="AN946" i="1"/>
  <c r="AH1252" i="1"/>
  <c r="AQ1252" i="1" s="1"/>
  <c r="AN1252" i="1"/>
  <c r="AH872" i="1"/>
  <c r="AQ872" i="1" s="1"/>
  <c r="AN834" i="1"/>
  <c r="AH1085" i="1"/>
  <c r="AQ1085" i="1" s="1"/>
  <c r="AN1085" i="1"/>
  <c r="AH1055" i="1"/>
  <c r="AQ1055" i="1" s="1"/>
  <c r="AN1145" i="1"/>
  <c r="AH1074" i="1"/>
  <c r="AQ1074" i="1" s="1"/>
  <c r="AN1074" i="1"/>
  <c r="AH797" i="1"/>
  <c r="AQ797" i="1" s="1"/>
  <c r="AN1318" i="1"/>
  <c r="AH928" i="1"/>
  <c r="AQ928" i="1" s="1"/>
  <c r="AN799" i="1"/>
  <c r="AN863" i="1"/>
  <c r="AH889" i="1"/>
  <c r="AQ889" i="1" s="1"/>
  <c r="AN1206" i="1"/>
  <c r="AN900" i="1"/>
  <c r="AH935" i="1"/>
  <c r="AQ935" i="1" s="1"/>
  <c r="AH880" i="1"/>
  <c r="AQ880" i="1" s="1"/>
  <c r="AN880" i="1"/>
  <c r="AN897" i="1"/>
  <c r="AH825" i="1"/>
  <c r="AQ825" i="1" s="1"/>
  <c r="AN910" i="1"/>
  <c r="AH1340" i="1"/>
  <c r="AQ1340" i="1" s="1"/>
  <c r="AN1340" i="1"/>
  <c r="AH1035" i="1"/>
  <c r="AQ1035" i="1" s="1"/>
  <c r="AN1222" i="1"/>
  <c r="AH1230" i="1"/>
  <c r="AQ1230" i="1" s="1"/>
  <c r="AN1230" i="1"/>
  <c r="AH1285" i="1"/>
  <c r="AQ1285" i="1" s="1"/>
  <c r="AN775" i="1"/>
  <c r="AH1365" i="1"/>
  <c r="AQ1365" i="1" s="1"/>
  <c r="AN1365" i="1"/>
  <c r="AH882" i="1"/>
  <c r="AQ882" i="1" s="1"/>
  <c r="AN1286" i="1"/>
  <c r="AH1275" i="1"/>
  <c r="AQ1275" i="1" s="1"/>
  <c r="AN1275" i="1"/>
  <c r="AH855" i="1"/>
  <c r="AQ855" i="1" s="1"/>
  <c r="AN1338" i="1"/>
  <c r="AH1335" i="1"/>
  <c r="AQ1335" i="1" s="1"/>
  <c r="AN1335" i="1"/>
  <c r="AH982" i="1"/>
  <c r="AQ982" i="1" s="1"/>
  <c r="AN822" i="1"/>
  <c r="AH995" i="1"/>
  <c r="AQ995" i="1" s="1"/>
  <c r="AN995" i="1"/>
  <c r="AH1167" i="1"/>
  <c r="AQ1167" i="1" s="1"/>
  <c r="AN1240" i="1"/>
  <c r="AN1329" i="1"/>
  <c r="AN1339" i="1"/>
  <c r="AN1057" i="1"/>
  <c r="AN1259" i="1"/>
  <c r="AN1291" i="1"/>
  <c r="AH869" i="1"/>
  <c r="AQ869" i="1" s="1"/>
  <c r="AN869" i="1"/>
  <c r="AN1098" i="1"/>
  <c r="AN1133" i="1"/>
  <c r="AN776" i="1"/>
  <c r="AN901" i="1"/>
  <c r="AH1314" i="1"/>
  <c r="AQ1314" i="1" s="1"/>
  <c r="AN1314" i="1"/>
  <c r="AH1322" i="1"/>
  <c r="AQ1322" i="1" s="1"/>
  <c r="AN1166" i="1"/>
  <c r="AH973" i="1"/>
  <c r="AQ973" i="1" s="1"/>
  <c r="AN973" i="1"/>
  <c r="AH921" i="1"/>
  <c r="AQ921" i="1" s="1"/>
  <c r="AN1012" i="1"/>
  <c r="AH817" i="1"/>
  <c r="AQ817" i="1" s="1"/>
  <c r="AN817" i="1"/>
  <c r="AH1292" i="1"/>
  <c r="AQ1292" i="1" s="1"/>
  <c r="AN852" i="1"/>
  <c r="AH963" i="1"/>
  <c r="AQ963" i="1" s="1"/>
  <c r="AN963" i="1"/>
  <c r="AH1064" i="1"/>
  <c r="AQ1064" i="1" s="1"/>
  <c r="AN1348" i="1"/>
  <c r="AH1349" i="1"/>
  <c r="AQ1349" i="1" s="1"/>
  <c r="AN1349" i="1"/>
  <c r="AH906" i="1"/>
  <c r="AQ906" i="1" s="1"/>
  <c r="AN818" i="1"/>
  <c r="AH1184" i="1"/>
  <c r="AQ1184" i="1" s="1"/>
  <c r="AN1184" i="1"/>
  <c r="AH820" i="1"/>
  <c r="AQ820" i="1" s="1"/>
  <c r="AN1014" i="1"/>
  <c r="AH1029" i="1"/>
  <c r="AQ1029" i="1" s="1"/>
  <c r="AN1029" i="1"/>
  <c r="AH792" i="1"/>
  <c r="AQ792" i="1" s="1"/>
  <c r="AH1361" i="1"/>
  <c r="AQ1361" i="1" s="1"/>
  <c r="AH1279" i="1"/>
  <c r="AQ1279" i="1" s="1"/>
  <c r="AN1311" i="1"/>
  <c r="AN994" i="1"/>
  <c r="AH1333" i="1"/>
  <c r="AQ1333" i="1" s="1"/>
  <c r="AN1333" i="1"/>
  <c r="AN1129" i="1"/>
  <c r="AH1137" i="1"/>
  <c r="AQ1137" i="1" s="1"/>
  <c r="AN1355" i="1"/>
  <c r="AN948" i="1"/>
  <c r="AN942" i="1"/>
  <c r="AN905" i="1"/>
  <c r="AN1186" i="1"/>
  <c r="AN1269" i="1"/>
  <c r="AN808" i="1"/>
  <c r="AN924" i="1"/>
  <c r="AN790" i="1"/>
  <c r="AN1264" i="1"/>
  <c r="AN809" i="1"/>
  <c r="AN992" i="1"/>
  <c r="AN913" i="1"/>
  <c r="AN971" i="1"/>
  <c r="AN883" i="1"/>
  <c r="AN816" i="1"/>
  <c r="AN785" i="1"/>
  <c r="AN967" i="1"/>
  <c r="AN1042" i="1"/>
  <c r="AN941" i="1"/>
  <c r="AN993" i="1"/>
  <c r="AN853" i="1"/>
  <c r="AN1276" i="1"/>
  <c r="AN833" i="1"/>
  <c r="AN957" i="1"/>
  <c r="AN1229" i="1"/>
  <c r="AN1144" i="1"/>
  <c r="AN872" i="1"/>
  <c r="AN1055" i="1"/>
  <c r="AN797" i="1"/>
  <c r="AN928" i="1"/>
  <c r="AN1171" i="1"/>
  <c r="AN889" i="1"/>
  <c r="AN935" i="1"/>
  <c r="AN840" i="1"/>
  <c r="AN1248" i="1"/>
  <c r="AN1187" i="1"/>
  <c r="AN825" i="1"/>
  <c r="AN1035" i="1"/>
  <c r="AN1285" i="1"/>
  <c r="AN882" i="1"/>
  <c r="AN855" i="1"/>
  <c r="AN982" i="1"/>
  <c r="AN1167" i="1"/>
  <c r="AN848" i="1"/>
  <c r="AN1322" i="1"/>
  <c r="AN921" i="1"/>
  <c r="AN1292" i="1"/>
  <c r="AN1064" i="1"/>
  <c r="AN906" i="1"/>
  <c r="AN820" i="1"/>
  <c r="AH1103" i="1"/>
  <c r="AQ1103" i="1" s="1"/>
  <c r="AN1361" i="1"/>
  <c r="AH1368" i="1"/>
  <c r="AQ1368" i="1" s="1"/>
  <c r="AH1197" i="1"/>
  <c r="AQ1197" i="1" s="1"/>
  <c r="AH953" i="1"/>
  <c r="AQ953" i="1" s="1"/>
  <c r="AH1369" i="1"/>
  <c r="AQ1369" i="1" s="1"/>
  <c r="AH1148" i="1"/>
  <c r="AQ1148" i="1" s="1"/>
  <c r="AH1032" i="1"/>
  <c r="AQ1032" i="1" s="1"/>
  <c r="AH1305" i="1"/>
  <c r="AQ1305" i="1" s="1"/>
  <c r="AH930" i="1"/>
  <c r="AQ930" i="1" s="1"/>
  <c r="AH1378" i="1"/>
  <c r="AQ1378" i="1" s="1"/>
  <c r="AU1377" i="1" s="1"/>
  <c r="AU1376" i="1" s="1"/>
  <c r="AU1375" i="1" s="1"/>
  <c r="AN1132" i="1"/>
  <c r="AN1018" i="1"/>
  <c r="AN947" i="1"/>
  <c r="AN1136" i="1"/>
  <c r="AN909" i="1"/>
  <c r="AN1250" i="1"/>
  <c r="AN1294" i="1"/>
  <c r="AN1038" i="1"/>
  <c r="AN927" i="1"/>
  <c r="AN1007" i="1"/>
  <c r="AN1168" i="1"/>
  <c r="AN1320" i="1"/>
  <c r="AN1258" i="1"/>
  <c r="AN922" i="1"/>
  <c r="AN1131" i="1"/>
  <c r="AN1182" i="1"/>
  <c r="AN1122" i="1"/>
  <c r="AH976" i="1"/>
  <c r="AQ976" i="1" s="1"/>
  <c r="AH1225" i="1"/>
  <c r="AQ1225" i="1" s="1"/>
  <c r="AN1080" i="1"/>
  <c r="AH1080" i="1"/>
  <c r="AQ1080" i="1" s="1"/>
  <c r="AH1352" i="1"/>
  <c r="AQ1352" i="1" s="1"/>
  <c r="AH1344" i="1"/>
  <c r="AQ1344" i="1" s="1"/>
  <c r="AN1032" i="1"/>
  <c r="AH868" i="1"/>
  <c r="AQ868" i="1" s="1"/>
  <c r="AN868" i="1"/>
  <c r="AH902" i="1"/>
  <c r="AQ902" i="1" s="1"/>
  <c r="AH923" i="1"/>
  <c r="AQ923" i="1" s="1"/>
  <c r="AH916" i="1"/>
  <c r="AQ916" i="1" s="1"/>
  <c r="AH890" i="1"/>
  <c r="AQ890" i="1" s="1"/>
  <c r="AH1303" i="1"/>
  <c r="AQ1303" i="1" s="1"/>
  <c r="AH1147" i="1"/>
  <c r="AQ1147" i="1" s="1"/>
  <c r="AH1353" i="1"/>
  <c r="AQ1353" i="1" s="1"/>
  <c r="AH975" i="1"/>
  <c r="AQ975" i="1" s="1"/>
  <c r="AH960" i="1"/>
  <c r="AQ960" i="1" s="1"/>
  <c r="AN1148" i="1"/>
  <c r="AH988" i="1"/>
  <c r="AQ988" i="1" s="1"/>
  <c r="AH961" i="1"/>
  <c r="AQ961" i="1" s="1"/>
  <c r="AH1273" i="1"/>
  <c r="AQ1273" i="1" s="1"/>
  <c r="AH791" i="1"/>
  <c r="AQ791" i="1" s="1"/>
  <c r="AH1152" i="1"/>
  <c r="AQ1152" i="1" s="1"/>
  <c r="AH1111" i="1"/>
  <c r="AQ1111" i="1" s="1"/>
  <c r="AH1087" i="1"/>
  <c r="AQ1087" i="1" s="1"/>
  <c r="AH987" i="1"/>
  <c r="AQ987" i="1" s="1"/>
  <c r="AH1161" i="1"/>
  <c r="AQ1161" i="1" s="1"/>
  <c r="AH850" i="1"/>
  <c r="AQ850" i="1" s="1"/>
  <c r="AH885" i="1"/>
  <c r="AQ885" i="1" s="1"/>
  <c r="AH1155" i="1"/>
  <c r="AQ1155" i="1" s="1"/>
  <c r="AH1031" i="1"/>
  <c r="AQ1031" i="1" s="1"/>
  <c r="AH862" i="1"/>
  <c r="AQ862" i="1" s="1"/>
  <c r="AH983" i="1"/>
  <c r="AQ983" i="1" s="1"/>
  <c r="AN1111" i="1"/>
  <c r="AN1305" i="1"/>
  <c r="AH1113" i="1"/>
  <c r="AQ1113" i="1" s="1"/>
  <c r="AH1033" i="1"/>
  <c r="AQ1033" i="1" s="1"/>
  <c r="AH985" i="1"/>
  <c r="AQ985" i="1" s="1"/>
  <c r="AH1215" i="1"/>
  <c r="AQ1215" i="1" s="1"/>
  <c r="AH1280" i="1"/>
  <c r="AQ1280" i="1" s="1"/>
  <c r="AH1216" i="1"/>
  <c r="AQ1216" i="1" s="1"/>
  <c r="AH828" i="1"/>
  <c r="AQ828" i="1" s="1"/>
  <c r="AH779" i="1"/>
  <c r="AQ779" i="1" s="1"/>
  <c r="AH926" i="1"/>
  <c r="AQ926" i="1" s="1"/>
  <c r="AH1359" i="1"/>
  <c r="AQ1359" i="1" s="1"/>
  <c r="AH1360" i="1"/>
  <c r="AQ1360" i="1" s="1"/>
  <c r="AH1343" i="1"/>
  <c r="AQ1343" i="1" s="1"/>
  <c r="AH1272" i="1"/>
  <c r="AQ1272" i="1" s="1"/>
  <c r="AH1157" i="1"/>
  <c r="AQ1157" i="1" s="1"/>
  <c r="AH827" i="1"/>
  <c r="AQ827" i="1" s="1"/>
  <c r="AH952" i="1"/>
  <c r="AQ952" i="1" s="1"/>
  <c r="AH829" i="1"/>
  <c r="AQ829" i="1" s="1"/>
  <c r="AH1048" i="1"/>
  <c r="AQ1048" i="1" s="1"/>
  <c r="AH1351" i="1"/>
  <c r="AQ1351" i="1" s="1"/>
  <c r="AH984" i="1"/>
  <c r="AQ984" i="1" s="1"/>
  <c r="AH1079" i="1"/>
  <c r="AQ1079" i="1" s="1"/>
  <c r="AH1160" i="1"/>
  <c r="AQ1160" i="1" s="1"/>
  <c r="AH1370" i="1"/>
  <c r="AQ1370" i="1" s="1"/>
  <c r="AH770" i="1"/>
  <c r="AQ770" i="1" s="1"/>
  <c r="AH1154" i="1"/>
  <c r="AQ1154" i="1" s="1"/>
  <c r="AH986" i="1"/>
  <c r="AQ986" i="1" s="1"/>
  <c r="AH954" i="1"/>
  <c r="AQ954" i="1" s="1"/>
  <c r="AH990" i="1"/>
  <c r="AQ990" i="1" s="1"/>
  <c r="AH1234" i="1"/>
  <c r="AQ1234" i="1" s="1"/>
  <c r="AH1158" i="1"/>
  <c r="AQ1158" i="1" s="1"/>
  <c r="AH1126" i="1"/>
  <c r="AQ1126" i="1" s="1"/>
  <c r="AH782" i="1"/>
  <c r="AQ782" i="1" s="1"/>
  <c r="AH1162" i="1"/>
  <c r="AQ1162" i="1" s="1"/>
  <c r="AH1090" i="1"/>
  <c r="AQ1090" i="1" s="1"/>
  <c r="AH1106" i="1"/>
  <c r="AQ1106" i="1" s="1"/>
  <c r="AH978" i="1"/>
  <c r="AQ978" i="1" s="1"/>
  <c r="AH1218" i="1"/>
  <c r="AQ1218" i="1" s="1"/>
  <c r="AH1282" i="1"/>
  <c r="AQ1282" i="1" s="1"/>
  <c r="AH1034" i="1"/>
  <c r="AQ1034" i="1" s="1"/>
  <c r="AH1050" i="1"/>
  <c r="AQ1050" i="1" s="1"/>
  <c r="AH766" i="1"/>
  <c r="AQ766" i="1" s="1"/>
  <c r="AH768" i="1"/>
  <c r="AQ768" i="1" s="1"/>
  <c r="AH764" i="1"/>
  <c r="AQ764" i="1" s="1"/>
  <c r="AH759" i="1"/>
  <c r="AQ759" i="1" s="1"/>
  <c r="AH757" i="1"/>
  <c r="AQ757" i="1" s="1"/>
  <c r="AH758" i="1"/>
  <c r="AQ758" i="1" s="1"/>
  <c r="AH761" i="1"/>
  <c r="AQ761" i="1" s="1"/>
  <c r="AH747" i="1"/>
  <c r="AQ747" i="1" s="1"/>
  <c r="AH746" i="1"/>
  <c r="AQ746" i="1" s="1"/>
  <c r="AH749" i="1"/>
  <c r="AQ749" i="1" s="1"/>
  <c r="AH744" i="1"/>
  <c r="AQ744" i="1" s="1"/>
  <c r="AN1006" i="1"/>
  <c r="AN1086" i="1"/>
  <c r="AN1044" i="1"/>
  <c r="AN1208" i="1"/>
  <c r="AN1061" i="1"/>
  <c r="AN1266" i="1"/>
  <c r="AN795" i="1"/>
  <c r="AN1244" i="1"/>
  <c r="AN839" i="1"/>
  <c r="AN949" i="1"/>
  <c r="AN972" i="1"/>
  <c r="AN798" i="1"/>
  <c r="AN846" i="1"/>
  <c r="AN965" i="1"/>
  <c r="AN1373" i="1"/>
  <c r="AN1138" i="1"/>
  <c r="AN1242" i="1"/>
  <c r="AN1003" i="1"/>
  <c r="AN1224" i="1"/>
  <c r="AH781" i="1"/>
  <c r="AQ781" i="1" s="1"/>
  <c r="AN1344" i="1"/>
  <c r="AH780" i="1"/>
  <c r="AQ780" i="1" s="1"/>
  <c r="AN780" i="1"/>
  <c r="AN930" i="1"/>
  <c r="AH864" i="1"/>
  <c r="AQ864" i="1" s="1"/>
  <c r="AN864" i="1"/>
  <c r="AH866" i="1"/>
  <c r="AQ866" i="1" s="1"/>
  <c r="AN923" i="1"/>
  <c r="AH945" i="1"/>
  <c r="AQ945" i="1" s="1"/>
  <c r="AN945" i="1"/>
  <c r="AH871" i="1"/>
  <c r="AQ871" i="1" s="1"/>
  <c r="AN890" i="1"/>
  <c r="AN898" i="1"/>
  <c r="AH898" i="1"/>
  <c r="AQ898" i="1" s="1"/>
  <c r="AN1139" i="1"/>
  <c r="AH1139" i="1"/>
  <c r="AQ1139" i="1" s="1"/>
  <c r="AN1303" i="1"/>
  <c r="AN1147" i="1"/>
  <c r="AH1304" i="1"/>
  <c r="AQ1304" i="1" s="1"/>
  <c r="AN1304" i="1"/>
  <c r="AH1025" i="1"/>
  <c r="AQ1025" i="1" s="1"/>
  <c r="AN1025" i="1"/>
  <c r="AH1281" i="1"/>
  <c r="AQ1281" i="1" s="1"/>
  <c r="AN976" i="1"/>
  <c r="AN1223" i="1"/>
  <c r="AH1345" i="1"/>
  <c r="AQ1345" i="1" s="1"/>
  <c r="AN1345" i="1"/>
  <c r="AH1231" i="1"/>
  <c r="AQ1231" i="1" s="1"/>
  <c r="AN1231" i="1"/>
  <c r="AH989" i="1"/>
  <c r="AQ989" i="1" s="1"/>
  <c r="AN989" i="1"/>
  <c r="AN1368" i="1"/>
  <c r="AH1367" i="1"/>
  <c r="AQ1367" i="1" s="1"/>
  <c r="AH977" i="1"/>
  <c r="AQ977" i="1" s="1"/>
  <c r="AH1156" i="1"/>
  <c r="AQ1156" i="1" s="1"/>
  <c r="AN1156" i="1"/>
  <c r="AH1024" i="1"/>
  <c r="AQ1024" i="1" s="1"/>
  <c r="AH1233" i="1"/>
  <c r="AQ1233" i="1" s="1"/>
  <c r="AN1087" i="1"/>
  <c r="AN987" i="1"/>
  <c r="AN1161" i="1"/>
  <c r="AH859" i="1"/>
  <c r="AQ859" i="1" s="1"/>
  <c r="AN885" i="1"/>
  <c r="AN895" i="1"/>
  <c r="AH895" i="1"/>
  <c r="AQ895" i="1" s="1"/>
  <c r="AN1031" i="1"/>
  <c r="AN1123" i="1"/>
  <c r="AH1123" i="1"/>
  <c r="AQ1123" i="1" s="1"/>
  <c r="AN983" i="1"/>
  <c r="AH1089" i="1"/>
  <c r="AQ1089" i="1" s="1"/>
  <c r="AH1023" i="1"/>
  <c r="AQ1023" i="1" s="1"/>
  <c r="AH959" i="1"/>
  <c r="AQ959" i="1" s="1"/>
  <c r="AH1105" i="1"/>
  <c r="AQ1105" i="1" s="1"/>
  <c r="AN1113" i="1"/>
  <c r="AH1104" i="1"/>
  <c r="AQ1104" i="1" s="1"/>
  <c r="AN1104" i="1"/>
  <c r="AH1232" i="1"/>
  <c r="AQ1232" i="1" s="1"/>
  <c r="AN985" i="1"/>
  <c r="AH1196" i="1"/>
  <c r="AQ1196" i="1" s="1"/>
  <c r="AN1215" i="1"/>
  <c r="AH1112" i="1"/>
  <c r="AQ1112" i="1" s="1"/>
  <c r="AN1112" i="1"/>
  <c r="AN1280" i="1"/>
  <c r="AH1049" i="1"/>
  <c r="AQ1049" i="1" s="1"/>
  <c r="AN828" i="1"/>
  <c r="AH1217" i="1"/>
  <c r="AQ1217" i="1" s="1"/>
  <c r="AN1217" i="1"/>
  <c r="AN779" i="1"/>
  <c r="AH1307" i="1"/>
  <c r="AQ1307" i="1" s="1"/>
  <c r="AN1359" i="1"/>
  <c r="AH1308" i="1"/>
  <c r="AQ1308" i="1" s="1"/>
  <c r="AN1308" i="1"/>
  <c r="AH1124" i="1"/>
  <c r="AQ1124" i="1" s="1"/>
  <c r="AN1343" i="1"/>
  <c r="AH1149" i="1"/>
  <c r="AQ1149" i="1" s="1"/>
  <c r="AN1157" i="1"/>
  <c r="AH1088" i="1"/>
  <c r="AQ1088" i="1" s="1"/>
  <c r="AN1088" i="1"/>
  <c r="AN827" i="1"/>
  <c r="AN952" i="1"/>
  <c r="AH1047" i="1"/>
  <c r="AQ1047" i="1" s="1"/>
  <c r="AH1125" i="1"/>
  <c r="AQ1125" i="1" s="1"/>
  <c r="AN1351" i="1"/>
  <c r="AH1141" i="1"/>
  <c r="AQ1141" i="1" s="1"/>
  <c r="AN1141" i="1"/>
  <c r="AH793" i="1"/>
  <c r="AQ793" i="1" s="1"/>
  <c r="AN1079" i="1"/>
  <c r="AH1153" i="1"/>
  <c r="AQ1153" i="1" s="1"/>
  <c r="AN1153" i="1"/>
  <c r="AN1160" i="1"/>
  <c r="AH1150" i="1"/>
  <c r="AQ1150" i="1" s="1"/>
  <c r="AN770" i="1"/>
  <c r="AH1142" i="1"/>
  <c r="AQ1142" i="1" s="1"/>
  <c r="AN1142" i="1"/>
  <c r="AH1026" i="1"/>
  <c r="AQ1026" i="1" s="1"/>
  <c r="AN986" i="1"/>
  <c r="AH1362" i="1"/>
  <c r="AQ1362" i="1" s="1"/>
  <c r="AN1362" i="1"/>
  <c r="AH1354" i="1"/>
  <c r="AQ1354" i="1" s="1"/>
  <c r="AN990" i="1"/>
  <c r="AH1310" i="1"/>
  <c r="AQ1310" i="1" s="1"/>
  <c r="AN1310" i="1"/>
  <c r="AH794" i="1"/>
  <c r="AQ794" i="1" s="1"/>
  <c r="AN1158" i="1"/>
  <c r="AH1082" i="1"/>
  <c r="AQ1082" i="1" s="1"/>
  <c r="AN1082" i="1"/>
  <c r="AH1114" i="1"/>
  <c r="AQ1114" i="1" s="1"/>
  <c r="AN782" i="1"/>
  <c r="AN1226" i="1"/>
  <c r="AH1226" i="1"/>
  <c r="AQ1226" i="1" s="1"/>
  <c r="AH763" i="1"/>
  <c r="AQ763" i="1" s="1"/>
  <c r="AN1106" i="1"/>
  <c r="AN1346" i="1"/>
  <c r="AH1346" i="1"/>
  <c r="AQ1346" i="1" s="1"/>
  <c r="AH1306" i="1"/>
  <c r="AQ1306" i="1" s="1"/>
  <c r="AN1218" i="1"/>
  <c r="AN830" i="1"/>
  <c r="AH830" i="1"/>
  <c r="AQ830" i="1" s="1"/>
  <c r="AH1198" i="1"/>
  <c r="AQ1198" i="1" s="1"/>
  <c r="AN1034" i="1"/>
  <c r="AN1274" i="1"/>
  <c r="AH1274" i="1"/>
  <c r="AQ1274" i="1" s="1"/>
  <c r="AH1178" i="1"/>
  <c r="AQ1178" i="1" s="1"/>
  <c r="AN766" i="1"/>
  <c r="AN962" i="1"/>
  <c r="AH962" i="1"/>
  <c r="AQ962" i="1" s="1"/>
  <c r="AN768" i="1"/>
  <c r="AH765" i="1"/>
  <c r="AQ765" i="1" s="1"/>
  <c r="AN765" i="1"/>
  <c r="AH769" i="1"/>
  <c r="AQ769" i="1" s="1"/>
  <c r="AN759" i="1"/>
  <c r="AN762" i="1"/>
  <c r="AH762" i="1"/>
  <c r="AQ762" i="1" s="1"/>
  <c r="AH760" i="1"/>
  <c r="AQ760" i="1" s="1"/>
  <c r="AN758" i="1"/>
  <c r="AH752" i="1"/>
  <c r="AQ752" i="1" s="1"/>
  <c r="AN752" i="1"/>
  <c r="AH754" i="1"/>
  <c r="AQ754" i="1" s="1"/>
  <c r="AN754" i="1"/>
  <c r="AH753" i="1"/>
  <c r="AQ753" i="1" s="1"/>
  <c r="AN753" i="1"/>
  <c r="AH755" i="1"/>
  <c r="AQ755" i="1" s="1"/>
  <c r="AH750" i="1"/>
  <c r="AQ750" i="1" s="1"/>
  <c r="AN756" i="1"/>
  <c r="AH756" i="1"/>
  <c r="AQ756" i="1" s="1"/>
  <c r="AH748" i="1"/>
  <c r="AQ748" i="1" s="1"/>
  <c r="AN749" i="1"/>
  <c r="AN1278" i="1"/>
  <c r="AN925" i="1"/>
  <c r="AN1164" i="1"/>
  <c r="AN896" i="1"/>
  <c r="AN1102" i="1"/>
  <c r="AN774" i="1"/>
  <c r="AN1017" i="1"/>
  <c r="AN936" i="1"/>
  <c r="AN944" i="1"/>
  <c r="AN783" i="1"/>
  <c r="AN1374" i="1"/>
  <c r="AN1204" i="1"/>
  <c r="AN778" i="1"/>
  <c r="AN870" i="1"/>
  <c r="AN1332" i="1"/>
  <c r="AN1341" i="1"/>
  <c r="AN1309" i="1"/>
  <c r="AH1309" i="1"/>
  <c r="AQ1309" i="1" s="1"/>
  <c r="AN953" i="1"/>
  <c r="AN781" i="1"/>
  <c r="AH771" i="1"/>
  <c r="AQ771" i="1" s="1"/>
  <c r="AN771" i="1"/>
  <c r="AN1378" i="1"/>
  <c r="AN866" i="1"/>
  <c r="AN871" i="1"/>
  <c r="AH1140" i="1"/>
  <c r="AQ1140" i="1" s="1"/>
  <c r="AN1140" i="1"/>
  <c r="AH1151" i="1"/>
  <c r="AQ1151" i="1" s="1"/>
  <c r="AN1151" i="1"/>
  <c r="AN772" i="1"/>
  <c r="AH1176" i="1"/>
  <c r="AQ1176" i="1" s="1"/>
  <c r="AN1367" i="1"/>
  <c r="AN1024" i="1"/>
  <c r="AN1233" i="1"/>
  <c r="AN859" i="1"/>
  <c r="AH1159" i="1"/>
  <c r="AQ1159" i="1" s="1"/>
  <c r="AN791" i="1"/>
  <c r="AN960" i="1"/>
  <c r="AN1281" i="1"/>
  <c r="AN1089" i="1"/>
  <c r="AN792" i="1"/>
  <c r="AN1023" i="1"/>
  <c r="AN1369" i="1"/>
  <c r="AN959" i="1"/>
  <c r="AN1105" i="1"/>
  <c r="AN1232" i="1"/>
  <c r="AN1196" i="1"/>
  <c r="AN1049" i="1"/>
  <c r="AN1307" i="1"/>
  <c r="AN1124" i="1"/>
  <c r="AN977" i="1"/>
  <c r="AN1149" i="1"/>
  <c r="AN1125" i="1"/>
  <c r="AN961" i="1"/>
  <c r="AN793" i="1"/>
  <c r="AN1047" i="1"/>
  <c r="AN1150" i="1"/>
  <c r="AN1026" i="1"/>
  <c r="AN1354" i="1"/>
  <c r="AN794" i="1"/>
  <c r="AN1114" i="1"/>
  <c r="AN763" i="1"/>
  <c r="AN1306" i="1"/>
  <c r="AN1198" i="1"/>
  <c r="AN1178" i="1"/>
  <c r="AH767" i="1"/>
  <c r="AQ767" i="1" s="1"/>
  <c r="AN769" i="1"/>
  <c r="AH751" i="1"/>
  <c r="AQ751" i="1" s="1"/>
  <c r="AN751" i="1"/>
  <c r="AN755" i="1"/>
  <c r="AN747" i="1"/>
  <c r="AN1083" i="1"/>
  <c r="AN1175" i="1"/>
  <c r="AH1177" i="1"/>
  <c r="AQ1177" i="1" s="1"/>
  <c r="AN1177" i="1"/>
  <c r="AN988" i="1"/>
  <c r="AN1271" i="1"/>
  <c r="AH1271" i="1"/>
  <c r="AQ1271" i="1" s="1"/>
  <c r="AN1272" i="1"/>
  <c r="AN1152" i="1"/>
  <c r="AN1370" i="1"/>
  <c r="AN1126" i="1"/>
  <c r="AN1090" i="1"/>
  <c r="AN767" i="1"/>
  <c r="AN750" i="1"/>
  <c r="AN748" i="1"/>
  <c r="AN744" i="1"/>
  <c r="AH743" i="1"/>
  <c r="AQ743" i="1" s="1"/>
  <c r="AH738" i="1"/>
  <c r="AQ738" i="1" s="1"/>
  <c r="AH734" i="1"/>
  <c r="AQ734" i="1" s="1"/>
  <c r="AH729" i="1"/>
  <c r="AQ729" i="1" s="1"/>
  <c r="AH732" i="1"/>
  <c r="AQ732" i="1" s="1"/>
  <c r="AH727" i="1"/>
  <c r="AQ727" i="1" s="1"/>
  <c r="AH726" i="1"/>
  <c r="AQ726" i="1" s="1"/>
  <c r="AH728" i="1"/>
  <c r="AQ728" i="1" s="1"/>
  <c r="AH720" i="1"/>
  <c r="AQ720" i="1" s="1"/>
  <c r="AH718" i="1"/>
  <c r="AQ718" i="1" s="1"/>
  <c r="AH712" i="1"/>
  <c r="AQ712" i="1" s="1"/>
  <c r="AH719" i="1"/>
  <c r="AQ719" i="1" s="1"/>
  <c r="AH715" i="1"/>
  <c r="AQ715" i="1" s="1"/>
  <c r="AH716" i="1"/>
  <c r="AQ716" i="1" s="1"/>
  <c r="AH713" i="1"/>
  <c r="AQ713" i="1" s="1"/>
  <c r="AH710" i="1"/>
  <c r="AQ710" i="1" s="1"/>
  <c r="AH711" i="1"/>
  <c r="AQ711" i="1" s="1"/>
  <c r="AH709" i="1"/>
  <c r="AQ709" i="1" s="1"/>
  <c r="AH705" i="1"/>
  <c r="AQ705" i="1" s="1"/>
  <c r="AH702" i="1"/>
  <c r="AQ702" i="1" s="1"/>
  <c r="AH704" i="1"/>
  <c r="AQ704" i="1" s="1"/>
  <c r="AH700" i="1"/>
  <c r="AQ700" i="1" s="1"/>
  <c r="AH697" i="1"/>
  <c r="AQ697" i="1" s="1"/>
  <c r="AH696" i="1"/>
  <c r="AQ696" i="1" s="1"/>
  <c r="AH694" i="1"/>
  <c r="AQ694" i="1" s="1"/>
  <c r="AH689" i="1"/>
  <c r="AQ689" i="1" s="1"/>
  <c r="AH691" i="1"/>
  <c r="AQ691" i="1" s="1"/>
  <c r="AH686" i="1"/>
  <c r="AQ686" i="1" s="1"/>
  <c r="AH687" i="1"/>
  <c r="AQ687" i="1" s="1"/>
  <c r="AH685" i="1"/>
  <c r="AQ685" i="1" s="1"/>
  <c r="AH677" i="1"/>
  <c r="AQ677" i="1" s="1"/>
  <c r="AH671" i="1"/>
  <c r="AQ671" i="1" s="1"/>
  <c r="AH679" i="1"/>
  <c r="AQ679" i="1" s="1"/>
  <c r="AH670" i="1"/>
  <c r="AQ670" i="1" s="1"/>
  <c r="AH673" i="1"/>
  <c r="AQ673" i="1" s="1"/>
  <c r="AH674" i="1"/>
  <c r="AQ674" i="1" s="1"/>
  <c r="AN670" i="1"/>
  <c r="AH665" i="1"/>
  <c r="AQ665" i="1" s="1"/>
  <c r="AH664" i="1"/>
  <c r="AQ664" i="1" s="1"/>
  <c r="AH666" i="1"/>
  <c r="AQ666" i="1" s="1"/>
  <c r="AH662" i="1"/>
  <c r="AQ662" i="1" s="1"/>
  <c r="AH660" i="1"/>
  <c r="AQ660" i="1" s="1"/>
  <c r="AH656" i="1"/>
  <c r="AQ656" i="1" s="1"/>
  <c r="AH655" i="1"/>
  <c r="AQ655" i="1" s="1"/>
  <c r="AH654" i="1"/>
  <c r="AQ654" i="1" s="1"/>
  <c r="AH658" i="1"/>
  <c r="AQ658" i="1" s="1"/>
  <c r="AH653" i="1"/>
  <c r="AQ653" i="1" s="1"/>
  <c r="AH651" i="1"/>
  <c r="AQ651" i="1" s="1"/>
  <c r="AH648" i="1"/>
  <c r="AQ648" i="1" s="1"/>
  <c r="AH647" i="1"/>
  <c r="AQ647" i="1" s="1"/>
  <c r="AH639" i="1"/>
  <c r="AQ639" i="1" s="1"/>
  <c r="AH641" i="1"/>
  <c r="AQ641" i="1" s="1"/>
  <c r="AH640" i="1"/>
  <c r="AQ640" i="1" s="1"/>
  <c r="AH636" i="1"/>
  <c r="AQ636" i="1" s="1"/>
  <c r="AH638" i="1"/>
  <c r="AQ638" i="1" s="1"/>
  <c r="AH633" i="1"/>
  <c r="AQ633" i="1" s="1"/>
  <c r="AH634" i="1"/>
  <c r="AQ634" i="1" s="1"/>
  <c r="AH628" i="1"/>
  <c r="AQ628" i="1" s="1"/>
  <c r="AH629" i="1"/>
  <c r="AQ629" i="1" s="1"/>
  <c r="AH620" i="1"/>
  <c r="AQ620" i="1" s="1"/>
  <c r="AH626" i="1"/>
  <c r="AQ626" i="1" s="1"/>
  <c r="AH625" i="1"/>
  <c r="AQ625" i="1" s="1"/>
  <c r="AH627" i="1"/>
  <c r="AQ627" i="1" s="1"/>
  <c r="AH623" i="1"/>
  <c r="AQ623" i="1" s="1"/>
  <c r="AH624" i="1"/>
  <c r="AQ624" i="1" s="1"/>
  <c r="AH612" i="1"/>
  <c r="AQ612" i="1" s="1"/>
  <c r="AH613" i="1"/>
  <c r="AQ613" i="1" s="1"/>
  <c r="AH614" i="1"/>
  <c r="AQ614" i="1" s="1"/>
  <c r="AH619" i="1"/>
  <c r="AQ619" i="1" s="1"/>
  <c r="AH604" i="1"/>
  <c r="AQ604" i="1" s="1"/>
  <c r="AH606" i="1"/>
  <c r="AQ606" i="1" s="1"/>
  <c r="AH608" i="1"/>
  <c r="AQ608" i="1" s="1"/>
  <c r="AH603" i="1"/>
  <c r="AQ603" i="1" s="1"/>
  <c r="AH600" i="1"/>
  <c r="AQ600" i="1" s="1"/>
  <c r="AH602" i="1"/>
  <c r="AQ602" i="1" s="1"/>
  <c r="AH594" i="1"/>
  <c r="AQ594" i="1" s="1"/>
  <c r="AH595" i="1"/>
  <c r="AQ595" i="1" s="1"/>
  <c r="AH591" i="1"/>
  <c r="AQ591" i="1" s="1"/>
  <c r="AH587" i="1"/>
  <c r="AQ587" i="1" s="1"/>
  <c r="AH586" i="1"/>
  <c r="AQ586" i="1" s="1"/>
  <c r="AH585" i="1"/>
  <c r="AQ585" i="1" s="1"/>
  <c r="AH582" i="1"/>
  <c r="AQ582" i="1" s="1"/>
  <c r="AH581" i="1"/>
  <c r="AQ581" i="1" s="1"/>
  <c r="AH583" i="1"/>
  <c r="AQ583" i="1" s="1"/>
  <c r="AH576" i="1"/>
  <c r="AQ576" i="1" s="1"/>
  <c r="AH575" i="1"/>
  <c r="AQ575" i="1" s="1"/>
  <c r="AH567" i="1"/>
  <c r="AQ567" i="1" s="1"/>
  <c r="AH571" i="1"/>
  <c r="AQ571" i="1" s="1"/>
  <c r="AN1213" i="1"/>
  <c r="AN1040" i="1"/>
  <c r="AN1069" i="1"/>
  <c r="AN1137" i="1"/>
  <c r="AN1353" i="1"/>
  <c r="AH951" i="1"/>
  <c r="AQ951" i="1" s="1"/>
  <c r="AN951" i="1"/>
  <c r="AN862" i="1"/>
  <c r="AN1033" i="1"/>
  <c r="AN1195" i="1"/>
  <c r="AH1195" i="1"/>
  <c r="AQ1195" i="1" s="1"/>
  <c r="AN1159" i="1"/>
  <c r="AN1234" i="1"/>
  <c r="AN1050" i="1"/>
  <c r="AN757" i="1"/>
  <c r="AN743" i="1"/>
  <c r="AH745" i="1"/>
  <c r="AQ745" i="1" s="1"/>
  <c r="AN745" i="1"/>
  <c r="AH741" i="1"/>
  <c r="AQ741" i="1" s="1"/>
  <c r="AN740" i="1"/>
  <c r="AH740" i="1"/>
  <c r="AQ740" i="1" s="1"/>
  <c r="AH736" i="1"/>
  <c r="AQ736" i="1" s="1"/>
  <c r="AN734" i="1"/>
  <c r="AH733" i="1"/>
  <c r="AQ733" i="1" s="1"/>
  <c r="AN733" i="1"/>
  <c r="AH737" i="1"/>
  <c r="AQ737" i="1" s="1"/>
  <c r="AN737" i="1"/>
  <c r="AH731" i="1"/>
  <c r="AQ731" i="1" s="1"/>
  <c r="AN729" i="1"/>
  <c r="AH725" i="1"/>
  <c r="AQ725" i="1" s="1"/>
  <c r="AH724" i="1"/>
  <c r="AQ724" i="1" s="1"/>
  <c r="AN727" i="1"/>
  <c r="AH722" i="1"/>
  <c r="AQ722" i="1" s="1"/>
  <c r="AN720" i="1"/>
  <c r="AH723" i="1"/>
  <c r="AQ723" i="1" s="1"/>
  <c r="AH721" i="1"/>
  <c r="AQ721" i="1" s="1"/>
  <c r="AN712" i="1"/>
  <c r="AH714" i="1"/>
  <c r="AQ714" i="1" s="1"/>
  <c r="AN716" i="1"/>
  <c r="AH717" i="1"/>
  <c r="AQ717" i="1" s="1"/>
  <c r="AN710" i="1"/>
  <c r="AH708" i="1"/>
  <c r="AQ708" i="1" s="1"/>
  <c r="AN708" i="1"/>
  <c r="AH707" i="1"/>
  <c r="AQ707" i="1" s="1"/>
  <c r="AN707" i="1"/>
  <c r="AH706" i="1"/>
  <c r="AQ706" i="1" s="1"/>
  <c r="AN709" i="1"/>
  <c r="AH703" i="1"/>
  <c r="AQ703" i="1" s="1"/>
  <c r="AN702" i="1"/>
  <c r="AH699" i="1"/>
  <c r="AQ699" i="1" s="1"/>
  <c r="AN699" i="1"/>
  <c r="AH698" i="1"/>
  <c r="AQ698" i="1" s="1"/>
  <c r="AN700" i="1"/>
  <c r="AN697" i="1"/>
  <c r="AN696" i="1"/>
  <c r="AN694" i="1"/>
  <c r="AN701" i="1"/>
  <c r="AH701" i="1"/>
  <c r="AQ701" i="1" s="1"/>
  <c r="AH692" i="1"/>
  <c r="AQ692" i="1" s="1"/>
  <c r="AN692" i="1"/>
  <c r="AH690" i="1"/>
  <c r="AQ690" i="1" s="1"/>
  <c r="AN689" i="1"/>
  <c r="AH684" i="1"/>
  <c r="AQ684" i="1" s="1"/>
  <c r="AN686" i="1"/>
  <c r="AH693" i="1"/>
  <c r="AQ693" i="1" s="1"/>
  <c r="AN693" i="1"/>
  <c r="AH682" i="1"/>
  <c r="AQ682" i="1" s="1"/>
  <c r="AN687" i="1"/>
  <c r="AH680" i="1"/>
  <c r="AQ680" i="1" s="1"/>
  <c r="AN680" i="1"/>
  <c r="AH678" i="1"/>
  <c r="AQ678" i="1" s="1"/>
  <c r="AN681" i="1"/>
  <c r="AH681" i="1"/>
  <c r="AQ681" i="1" s="1"/>
  <c r="AH668" i="1"/>
  <c r="AQ668" i="1" s="1"/>
  <c r="AH667" i="1"/>
  <c r="AQ667" i="1" s="1"/>
  <c r="AN673" i="1"/>
  <c r="AH672" i="1"/>
  <c r="AQ672" i="1" s="1"/>
  <c r="AN674" i="1"/>
  <c r="AH669" i="1"/>
  <c r="AQ669" i="1" s="1"/>
  <c r="AH676" i="1"/>
  <c r="AQ676" i="1" s="1"/>
  <c r="AN676" i="1"/>
  <c r="AH663" i="1"/>
  <c r="AQ663" i="1" s="1"/>
  <c r="AN666" i="1"/>
  <c r="AH661" i="1"/>
  <c r="AQ661" i="1" s="1"/>
  <c r="AN661" i="1"/>
  <c r="AH659" i="1"/>
  <c r="AQ659" i="1" s="1"/>
  <c r="AN660" i="1"/>
  <c r="AN656" i="1"/>
  <c r="AN655" i="1"/>
  <c r="AH657" i="1"/>
  <c r="AQ657" i="1" s="1"/>
  <c r="AN658" i="1"/>
  <c r="AH649" i="1"/>
  <c r="AQ649" i="1" s="1"/>
  <c r="AN651" i="1"/>
  <c r="AH650" i="1"/>
  <c r="AQ650" i="1" s="1"/>
  <c r="AN650" i="1"/>
  <c r="AN652" i="1"/>
  <c r="AH652" i="1"/>
  <c r="AQ652" i="1" s="1"/>
  <c r="AH646" i="1"/>
  <c r="AQ646" i="1" s="1"/>
  <c r="AN647" i="1"/>
  <c r="AH642" i="1"/>
  <c r="AQ642" i="1" s="1"/>
  <c r="AN641" i="1"/>
  <c r="AH644" i="1"/>
  <c r="AQ644" i="1" s="1"/>
  <c r="AH643" i="1"/>
  <c r="AQ643" i="1" s="1"/>
  <c r="AN643" i="1"/>
  <c r="AN636" i="1"/>
  <c r="AN645" i="1"/>
  <c r="AH645" i="1"/>
  <c r="AQ645" i="1" s="1"/>
  <c r="AH635" i="1"/>
  <c r="AQ635" i="1" s="1"/>
  <c r="AN635" i="1"/>
  <c r="AN638" i="1"/>
  <c r="AN633" i="1"/>
  <c r="AN634" i="1"/>
  <c r="AN628" i="1"/>
  <c r="AH630" i="1"/>
  <c r="AQ630" i="1" s="1"/>
  <c r="AH632" i="1"/>
  <c r="AQ632" i="1" s="1"/>
  <c r="AN626" i="1"/>
  <c r="AH622" i="1"/>
  <c r="AQ622" i="1" s="1"/>
  <c r="AN627" i="1"/>
  <c r="AN621" i="1"/>
  <c r="AH621" i="1"/>
  <c r="AQ621" i="1" s="1"/>
  <c r="AH615" i="1"/>
  <c r="AQ615" i="1" s="1"/>
  <c r="AN615" i="1"/>
  <c r="AH618" i="1"/>
  <c r="AQ618" i="1" s="1"/>
  <c r="AN612" i="1"/>
  <c r="AN613" i="1"/>
  <c r="AH616" i="1"/>
  <c r="AQ616" i="1" s="1"/>
  <c r="AN616" i="1"/>
  <c r="AH610" i="1"/>
  <c r="AQ610" i="1" s="1"/>
  <c r="AN619" i="1"/>
  <c r="AH611" i="1"/>
  <c r="AQ611" i="1" s="1"/>
  <c r="AN611" i="1"/>
  <c r="AN604" i="1"/>
  <c r="AH607" i="1"/>
  <c r="AQ607" i="1" s="1"/>
  <c r="AH609" i="1"/>
  <c r="AQ609" i="1" s="1"/>
  <c r="AN603" i="1"/>
  <c r="AN600" i="1"/>
  <c r="AH597" i="1"/>
  <c r="AQ597" i="1" s="1"/>
  <c r="AN597" i="1"/>
  <c r="AH599" i="1"/>
  <c r="AQ599" i="1" s="1"/>
  <c r="AH598" i="1"/>
  <c r="AQ598" i="1" s="1"/>
  <c r="AN594" i="1"/>
  <c r="AN595" i="1"/>
  <c r="AH589" i="1"/>
  <c r="AQ589" i="1" s="1"/>
  <c r="AN591" i="1"/>
  <c r="AH593" i="1"/>
  <c r="AQ593" i="1" s="1"/>
  <c r="AN593" i="1"/>
  <c r="AH590" i="1"/>
  <c r="AQ590" i="1" s="1"/>
  <c r="AN587" i="1"/>
  <c r="AN586" i="1"/>
  <c r="AH588" i="1"/>
  <c r="AQ588" i="1" s="1"/>
  <c r="AH578" i="1"/>
  <c r="AQ578" i="1" s="1"/>
  <c r="AN578" i="1"/>
  <c r="AN581" i="1"/>
  <c r="AN583" i="1"/>
  <c r="AH577" i="1"/>
  <c r="AQ577" i="1" s="1"/>
  <c r="AN580" i="1"/>
  <c r="AH580" i="1"/>
  <c r="AQ580" i="1" s="1"/>
  <c r="AN1277" i="1"/>
  <c r="AN1315" i="1"/>
  <c r="AN1183" i="1"/>
  <c r="AN1097" i="1"/>
  <c r="AN1347" i="1"/>
  <c r="AN916" i="1"/>
  <c r="AN975" i="1"/>
  <c r="AN1176" i="1"/>
  <c r="AN1352" i="1"/>
  <c r="AN1279" i="1"/>
  <c r="AN1155" i="1"/>
  <c r="AN1081" i="1"/>
  <c r="AN1197" i="1"/>
  <c r="AN1360" i="1"/>
  <c r="AN829" i="1"/>
  <c r="AN954" i="1"/>
  <c r="AN1282" i="1"/>
  <c r="AN764" i="1"/>
  <c r="AN760" i="1"/>
  <c r="AN761" i="1"/>
  <c r="AH742" i="1"/>
  <c r="AQ742" i="1" s="1"/>
  <c r="AH739" i="1"/>
  <c r="AQ739" i="1" s="1"/>
  <c r="AN739" i="1"/>
  <c r="AN741" i="1"/>
  <c r="AN738" i="1"/>
  <c r="AH735" i="1"/>
  <c r="AQ735" i="1" s="1"/>
  <c r="AN735" i="1"/>
  <c r="AN736" i="1"/>
  <c r="AH730" i="1"/>
  <c r="AQ730" i="1" s="1"/>
  <c r="AN731" i="1"/>
  <c r="AN725" i="1"/>
  <c r="AN724" i="1"/>
  <c r="AN723" i="1"/>
  <c r="AN721" i="1"/>
  <c r="AN714" i="1"/>
  <c r="AN717" i="1"/>
  <c r="AN706" i="1"/>
  <c r="AN703" i="1"/>
  <c r="AH695" i="1"/>
  <c r="AQ695" i="1" s="1"/>
  <c r="AH688" i="1"/>
  <c r="AQ688" i="1" s="1"/>
  <c r="AN688" i="1"/>
  <c r="AN690" i="1"/>
  <c r="AN684" i="1"/>
  <c r="AH683" i="1"/>
  <c r="AQ683" i="1" s="1"/>
  <c r="AN683" i="1"/>
  <c r="AN682" i="1"/>
  <c r="AN677" i="1"/>
  <c r="AN667" i="1"/>
  <c r="AN668" i="1"/>
  <c r="AN669" i="1"/>
  <c r="AN665" i="1"/>
  <c r="AN663" i="1"/>
  <c r="AN659" i="1"/>
  <c r="AN657" i="1"/>
  <c r="AN649" i="1"/>
  <c r="AN646" i="1"/>
  <c r="AN644" i="1"/>
  <c r="AH637" i="1"/>
  <c r="AQ637" i="1" s="1"/>
  <c r="AH631" i="1"/>
  <c r="AQ631" i="1" s="1"/>
  <c r="AN631" i="1"/>
  <c r="AN630" i="1"/>
  <c r="AN632" i="1"/>
  <c r="AN620" i="1"/>
  <c r="AH617" i="1"/>
  <c r="AQ617" i="1" s="1"/>
  <c r="AN618" i="1"/>
  <c r="AN610" i="1"/>
  <c r="AN607" i="1"/>
  <c r="AN608" i="1"/>
  <c r="AN609" i="1"/>
  <c r="AN602" i="1"/>
  <c r="AH596" i="1"/>
  <c r="AQ596" i="1" s="1"/>
  <c r="AN596" i="1"/>
  <c r="AN599" i="1"/>
  <c r="AN589" i="1"/>
  <c r="AH584" i="1"/>
  <c r="AQ584" i="1" s="1"/>
  <c r="AN584" i="1"/>
  <c r="AN590" i="1"/>
  <c r="AN588" i="1"/>
  <c r="AN582" i="1"/>
  <c r="AH579" i="1"/>
  <c r="AQ579" i="1" s="1"/>
  <c r="AN577" i="1"/>
  <c r="AN1253" i="1"/>
  <c r="AN857" i="1"/>
  <c r="AN1273" i="1"/>
  <c r="AN1216" i="1"/>
  <c r="AN1048" i="1"/>
  <c r="AN730" i="1"/>
  <c r="AN718" i="1"/>
  <c r="AN715" i="1"/>
  <c r="AN705" i="1"/>
  <c r="AN698" i="1"/>
  <c r="AN691" i="1"/>
  <c r="AH675" i="1"/>
  <c r="AQ675" i="1" s="1"/>
  <c r="AN675" i="1"/>
  <c r="AN637" i="1"/>
  <c r="AN629" i="1"/>
  <c r="AN625" i="1"/>
  <c r="AN624" i="1"/>
  <c r="AN601" i="1"/>
  <c r="AH601" i="1"/>
  <c r="AQ601" i="1" s="1"/>
  <c r="AN592" i="1"/>
  <c r="AH592" i="1"/>
  <c r="AQ592" i="1" s="1"/>
  <c r="AN573" i="1"/>
  <c r="AH573" i="1"/>
  <c r="AQ573" i="1" s="1"/>
  <c r="AH565" i="1"/>
  <c r="AQ565" i="1" s="1"/>
  <c r="AN571" i="1"/>
  <c r="AH569" i="1"/>
  <c r="AQ569" i="1" s="1"/>
  <c r="AH574" i="1"/>
  <c r="AQ574" i="1" s="1"/>
  <c r="AH568" i="1"/>
  <c r="AQ568" i="1" s="1"/>
  <c r="AH560" i="1"/>
  <c r="AQ560" i="1" s="1"/>
  <c r="AH562" i="1"/>
  <c r="AQ562" i="1" s="1"/>
  <c r="AH553" i="1"/>
  <c r="AQ553" i="1" s="1"/>
  <c r="AH559" i="1"/>
  <c r="AQ559" i="1" s="1"/>
  <c r="AH547" i="1"/>
  <c r="AQ547" i="1" s="1"/>
  <c r="AH549" i="1"/>
  <c r="AQ549" i="1" s="1"/>
  <c r="AH545" i="1"/>
  <c r="AQ545" i="1" s="1"/>
  <c r="AH543" i="1"/>
  <c r="AQ543" i="1" s="1"/>
  <c r="AH542" i="1"/>
  <c r="AQ542" i="1" s="1"/>
  <c r="AH538" i="1"/>
  <c r="AQ538" i="1" s="1"/>
  <c r="AH540" i="1"/>
  <c r="AQ540" i="1" s="1"/>
  <c r="AH530" i="1"/>
  <c r="AQ530" i="1" s="1"/>
  <c r="AH533" i="1"/>
  <c r="AQ533" i="1" s="1"/>
  <c r="AH537" i="1"/>
  <c r="AQ537" i="1" s="1"/>
  <c r="AH529" i="1"/>
  <c r="AQ529" i="1" s="1"/>
  <c r="AH525" i="1"/>
  <c r="AQ525" i="1" s="1"/>
  <c r="AH522" i="1"/>
  <c r="AQ522" i="1" s="1"/>
  <c r="AH527" i="1"/>
  <c r="AQ527" i="1" s="1"/>
  <c r="AH517" i="1"/>
  <c r="AQ517" i="1" s="1"/>
  <c r="AH514" i="1"/>
  <c r="AQ514" i="1" s="1"/>
  <c r="AH518" i="1"/>
  <c r="AQ518" i="1" s="1"/>
  <c r="AH507" i="1"/>
  <c r="AQ507" i="1" s="1"/>
  <c r="AH504" i="1"/>
  <c r="AQ504" i="1" s="1"/>
  <c r="AH508" i="1"/>
  <c r="AQ508" i="1" s="1"/>
  <c r="AH512" i="1"/>
  <c r="AQ512" i="1" s="1"/>
  <c r="AN504" i="1"/>
  <c r="AH510" i="1"/>
  <c r="AQ510" i="1" s="1"/>
  <c r="AH511" i="1"/>
  <c r="AQ511" i="1" s="1"/>
  <c r="AH496" i="1"/>
  <c r="AQ496" i="1" s="1"/>
  <c r="AH493" i="1"/>
  <c r="AQ493" i="1" s="1"/>
  <c r="AH491" i="1"/>
  <c r="AQ491" i="1" s="1"/>
  <c r="AH494" i="1"/>
  <c r="AQ494" i="1" s="1"/>
  <c r="AN491" i="1"/>
  <c r="AH489" i="1"/>
  <c r="AQ489" i="1" s="1"/>
  <c r="AH486" i="1"/>
  <c r="AQ486" i="1" s="1"/>
  <c r="AH487" i="1"/>
  <c r="AQ487" i="1" s="1"/>
  <c r="AH484" i="1"/>
  <c r="AQ484" i="1" s="1"/>
  <c r="AH485" i="1"/>
  <c r="AQ485" i="1" s="1"/>
  <c r="AH481" i="1"/>
  <c r="AQ481" i="1" s="1"/>
  <c r="AH479" i="1"/>
  <c r="AQ479" i="1" s="1"/>
  <c r="AH480" i="1"/>
  <c r="AQ480" i="1" s="1"/>
  <c r="AH475" i="1"/>
  <c r="AQ475" i="1" s="1"/>
  <c r="AH469" i="1"/>
  <c r="AQ469" i="1" s="1"/>
  <c r="AN475" i="1"/>
  <c r="AH473" i="1"/>
  <c r="AQ473" i="1" s="1"/>
  <c r="AH470" i="1"/>
  <c r="AQ470" i="1" s="1"/>
  <c r="AH468" i="1"/>
  <c r="AQ468" i="1" s="1"/>
  <c r="AH465" i="1"/>
  <c r="AQ465" i="1" s="1"/>
  <c r="AH459" i="1"/>
  <c r="AQ459" i="1" s="1"/>
  <c r="AH460" i="1"/>
  <c r="AQ460" i="1" s="1"/>
  <c r="AH462" i="1"/>
  <c r="AQ462" i="1" s="1"/>
  <c r="AH456" i="1"/>
  <c r="AQ456" i="1" s="1"/>
  <c r="AH446" i="1"/>
  <c r="AQ446" i="1" s="1"/>
  <c r="AH452" i="1"/>
  <c r="AQ452" i="1" s="1"/>
  <c r="AH447" i="1"/>
  <c r="AQ447" i="1" s="1"/>
  <c r="AN452" i="1"/>
  <c r="AH451" i="1"/>
  <c r="AQ451" i="1" s="1"/>
  <c r="AN451" i="1"/>
  <c r="AH454" i="1"/>
  <c r="AQ454" i="1" s="1"/>
  <c r="AH453" i="1"/>
  <c r="AQ453" i="1" s="1"/>
  <c r="AH444" i="1"/>
  <c r="AQ444" i="1" s="1"/>
  <c r="AH441" i="1"/>
  <c r="AQ441" i="1" s="1"/>
  <c r="AH435" i="1"/>
  <c r="AQ435" i="1" s="1"/>
  <c r="AH436" i="1"/>
  <c r="AQ436" i="1" s="1"/>
  <c r="AN435" i="1"/>
  <c r="AH434" i="1"/>
  <c r="AQ434" i="1" s="1"/>
  <c r="AH428" i="1"/>
  <c r="AQ428" i="1" s="1"/>
  <c r="AH437" i="1"/>
  <c r="AQ437" i="1" s="1"/>
  <c r="AH425" i="1"/>
  <c r="AQ425" i="1" s="1"/>
  <c r="AH421" i="1"/>
  <c r="AQ421" i="1" s="1"/>
  <c r="AH424" i="1"/>
  <c r="AQ424" i="1" s="1"/>
  <c r="AH416" i="1"/>
  <c r="AQ416" i="1" s="1"/>
  <c r="AH419" i="1"/>
  <c r="AQ419" i="1" s="1"/>
  <c r="AH412" i="1"/>
  <c r="AQ412" i="1" s="1"/>
  <c r="AH409" i="1"/>
  <c r="AQ409" i="1" s="1"/>
  <c r="AH407" i="1"/>
  <c r="AQ407" i="1" s="1"/>
  <c r="AH408" i="1"/>
  <c r="AQ408" i="1" s="1"/>
  <c r="AH401" i="1"/>
  <c r="AQ401" i="1" s="1"/>
  <c r="AH402" i="1"/>
  <c r="AQ402" i="1" s="1"/>
  <c r="AH399" i="1"/>
  <c r="AQ399" i="1" s="1"/>
  <c r="AH395" i="1"/>
  <c r="AQ395" i="1" s="1"/>
  <c r="AH396" i="1"/>
  <c r="AQ396" i="1" s="1"/>
  <c r="AH394" i="1"/>
  <c r="AQ394" i="1" s="1"/>
  <c r="AH389" i="1"/>
  <c r="AQ389" i="1" s="1"/>
  <c r="AH383" i="1"/>
  <c r="AQ383" i="1" s="1"/>
  <c r="AH382" i="1"/>
  <c r="AQ382" i="1" s="1"/>
  <c r="AN383" i="1"/>
  <c r="AH376" i="1"/>
  <c r="AQ376" i="1" s="1"/>
  <c r="AH381" i="1"/>
  <c r="AQ381" i="1" s="1"/>
  <c r="AH377" i="1"/>
  <c r="AQ377" i="1" s="1"/>
  <c r="AH378" i="1"/>
  <c r="AQ378" i="1" s="1"/>
  <c r="AH370" i="1"/>
  <c r="AQ370" i="1" s="1"/>
  <c r="AH372" i="1"/>
  <c r="AQ372" i="1" s="1"/>
  <c r="AH363" i="1"/>
  <c r="AQ363" i="1" s="1"/>
  <c r="AH367" i="1"/>
  <c r="AQ367" i="1" s="1"/>
  <c r="AH359" i="1"/>
  <c r="AQ359" i="1" s="1"/>
  <c r="AH358" i="1"/>
  <c r="AQ358" i="1" s="1"/>
  <c r="AH357" i="1"/>
  <c r="AQ357" i="1" s="1"/>
  <c r="AH361" i="1"/>
  <c r="AQ361" i="1" s="1"/>
  <c r="AH355" i="1"/>
  <c r="AQ355" i="1" s="1"/>
  <c r="AH350" i="1"/>
  <c r="AQ350" i="1" s="1"/>
  <c r="AH351" i="1"/>
  <c r="AQ351" i="1" s="1"/>
  <c r="AH347" i="1"/>
  <c r="AQ347" i="1" s="1"/>
  <c r="AH345" i="1"/>
  <c r="AQ345" i="1" s="1"/>
  <c r="AN345" i="1"/>
  <c r="AH344" i="1"/>
  <c r="AQ344" i="1" s="1"/>
  <c r="AH349" i="1"/>
  <c r="AQ349" i="1" s="1"/>
  <c r="AH340" i="1"/>
  <c r="AQ340" i="1" s="1"/>
  <c r="AN340" i="1"/>
  <c r="AH334" i="1"/>
  <c r="AQ334" i="1" s="1"/>
  <c r="AH341" i="1"/>
  <c r="AQ341" i="1" s="1"/>
  <c r="AH331" i="1"/>
  <c r="AQ331" i="1" s="1"/>
  <c r="AH328" i="1"/>
  <c r="AQ328" i="1" s="1"/>
  <c r="AH333" i="1"/>
  <c r="AQ333" i="1" s="1"/>
  <c r="AH329" i="1"/>
  <c r="AQ329" i="1" s="1"/>
  <c r="AH324" i="1"/>
  <c r="AQ324" i="1" s="1"/>
  <c r="AH325" i="1"/>
  <c r="AQ325" i="1" s="1"/>
  <c r="AN325" i="1"/>
  <c r="AH316" i="1"/>
  <c r="AQ316" i="1" s="1"/>
  <c r="AH321" i="1"/>
  <c r="AQ321" i="1" s="1"/>
  <c r="AH318" i="1"/>
  <c r="AQ318" i="1" s="1"/>
  <c r="AH322" i="1"/>
  <c r="AQ322" i="1" s="1"/>
  <c r="AH310" i="1"/>
  <c r="AQ310" i="1" s="1"/>
  <c r="AH315" i="1"/>
  <c r="AQ315" i="1" s="1"/>
  <c r="AH312" i="1"/>
  <c r="AQ312" i="1" s="1"/>
  <c r="AH306" i="1"/>
  <c r="AQ306" i="1" s="1"/>
  <c r="AH303" i="1"/>
  <c r="AQ303" i="1" s="1"/>
  <c r="AH304" i="1"/>
  <c r="AQ304" i="1" s="1"/>
  <c r="AH305" i="1"/>
  <c r="AQ305" i="1" s="1"/>
  <c r="AH300" i="1"/>
  <c r="AQ300" i="1" s="1"/>
  <c r="AH302" i="1"/>
  <c r="AQ302" i="1" s="1"/>
  <c r="AH294" i="1"/>
  <c r="AQ294" i="1" s="1"/>
  <c r="AH290" i="1"/>
  <c r="AQ290" i="1" s="1"/>
  <c r="AH295" i="1"/>
  <c r="AQ295" i="1" s="1"/>
  <c r="AH291" i="1"/>
  <c r="AQ291" i="1" s="1"/>
  <c r="AH298" i="1"/>
  <c r="AQ298" i="1" s="1"/>
  <c r="AH289" i="1"/>
  <c r="AQ289" i="1" s="1"/>
  <c r="AH292" i="1"/>
  <c r="AQ292" i="1" s="1"/>
  <c r="AH286" i="1"/>
  <c r="AQ286" i="1" s="1"/>
  <c r="AH284" i="1"/>
  <c r="AQ284" i="1" s="1"/>
  <c r="AH281" i="1"/>
  <c r="AQ281" i="1" s="1"/>
  <c r="AH276" i="1"/>
  <c r="AQ276" i="1" s="1"/>
  <c r="AH274" i="1"/>
  <c r="AQ274" i="1" s="1"/>
  <c r="AH273" i="1"/>
  <c r="AQ273" i="1" s="1"/>
  <c r="AH267" i="1"/>
  <c r="AQ267" i="1" s="1"/>
  <c r="AH266" i="1"/>
  <c r="AQ266" i="1" s="1"/>
  <c r="AH270" i="1"/>
  <c r="AQ270" i="1" s="1"/>
  <c r="AH262" i="1"/>
  <c r="AQ262" i="1" s="1"/>
  <c r="AH268" i="1"/>
  <c r="AQ268" i="1" s="1"/>
  <c r="AH261" i="1"/>
  <c r="AQ261" i="1" s="1"/>
  <c r="AH264" i="1"/>
  <c r="AQ264" i="1" s="1"/>
  <c r="AH257" i="1"/>
  <c r="AQ257" i="1" s="1"/>
  <c r="AH255" i="1"/>
  <c r="AQ255" i="1" s="1"/>
  <c r="AH250" i="1"/>
  <c r="AQ250" i="1" s="1"/>
  <c r="AH258" i="1"/>
  <c r="AQ258" i="1" s="1"/>
  <c r="AH253" i="1"/>
  <c r="AQ253" i="1" s="1"/>
  <c r="AH254" i="1"/>
  <c r="AQ254" i="1" s="1"/>
  <c r="AH248" i="1"/>
  <c r="AQ248" i="1" s="1"/>
  <c r="AH249" i="1"/>
  <c r="AQ249" i="1" s="1"/>
  <c r="AH243" i="1"/>
  <c r="AQ243" i="1" s="1"/>
  <c r="AH242" i="1"/>
  <c r="AQ242" i="1" s="1"/>
  <c r="AH245" i="1"/>
  <c r="AQ245" i="1" s="1"/>
  <c r="AH241" i="1"/>
  <c r="AQ241" i="1" s="1"/>
  <c r="AH238" i="1"/>
  <c r="AQ238" i="1" s="1"/>
  <c r="AH234" i="1"/>
  <c r="AQ234" i="1" s="1"/>
  <c r="AH236" i="1"/>
  <c r="AQ236" i="1" s="1"/>
  <c r="AN234" i="1"/>
  <c r="AH235" i="1"/>
  <c r="AQ235" i="1" s="1"/>
  <c r="AH225" i="1"/>
  <c r="AQ225" i="1" s="1"/>
  <c r="AH227" i="1"/>
  <c r="AQ227" i="1" s="1"/>
  <c r="AH232" i="1"/>
  <c r="AQ232" i="1" s="1"/>
  <c r="AH226" i="1"/>
  <c r="AQ226" i="1" s="1"/>
  <c r="AH231" i="1"/>
  <c r="AQ231" i="1" s="1"/>
  <c r="AH223" i="1"/>
  <c r="AQ223" i="1" s="1"/>
  <c r="AH219" i="1"/>
  <c r="AQ219" i="1" s="1"/>
  <c r="AH220" i="1"/>
  <c r="AQ220" i="1" s="1"/>
  <c r="AH216" i="1"/>
  <c r="AQ216" i="1" s="1"/>
  <c r="AH218" i="1"/>
  <c r="AQ218" i="1" s="1"/>
  <c r="AH208" i="1"/>
  <c r="AQ208" i="1" s="1"/>
  <c r="AH210" i="1"/>
  <c r="AQ210" i="1" s="1"/>
  <c r="AH213" i="1"/>
  <c r="AQ213" i="1" s="1"/>
  <c r="AH215" i="1"/>
  <c r="AQ215" i="1" s="1"/>
  <c r="AH205" i="1"/>
  <c r="AQ205" i="1" s="1"/>
  <c r="AH201" i="1"/>
  <c r="AQ201" i="1" s="1"/>
  <c r="AH207" i="1"/>
  <c r="AQ207" i="1" s="1"/>
  <c r="AH204" i="1"/>
  <c r="AQ204" i="1" s="1"/>
  <c r="AH206" i="1"/>
  <c r="AQ206" i="1" s="1"/>
  <c r="AH195" i="1"/>
  <c r="AQ195" i="1" s="1"/>
  <c r="AH192" i="1"/>
  <c r="AQ192" i="1" s="1"/>
  <c r="AH191" i="1"/>
  <c r="AQ191" i="1" s="1"/>
  <c r="AH186" i="1"/>
  <c r="AQ186" i="1" s="1"/>
  <c r="AH189" i="1"/>
  <c r="AQ189" i="1" s="1"/>
  <c r="AH193" i="1"/>
  <c r="AQ193" i="1" s="1"/>
  <c r="AH183" i="1"/>
  <c r="AQ183" i="1" s="1"/>
  <c r="AH187" i="1"/>
  <c r="AQ187" i="1" s="1"/>
  <c r="AH176" i="1"/>
  <c r="AQ176" i="1" s="1"/>
  <c r="AH178" i="1"/>
  <c r="AQ178" i="1" s="1"/>
  <c r="AH177" i="1"/>
  <c r="AQ177" i="1" s="1"/>
  <c r="AN1363" i="1"/>
  <c r="AN926" i="1"/>
  <c r="AN984" i="1"/>
  <c r="AN746" i="1"/>
  <c r="AN726" i="1"/>
  <c r="AN671" i="1"/>
  <c r="AN662" i="1"/>
  <c r="AN654" i="1"/>
  <c r="AN639" i="1"/>
  <c r="AN640" i="1"/>
  <c r="AN622" i="1"/>
  <c r="AN614" i="1"/>
  <c r="AN606" i="1"/>
  <c r="AN575" i="1"/>
  <c r="AN565" i="1"/>
  <c r="AN570" i="1"/>
  <c r="AH570" i="1"/>
  <c r="AQ570" i="1" s="1"/>
  <c r="AN569" i="1"/>
  <c r="AH566" i="1"/>
  <c r="AQ566" i="1" s="1"/>
  <c r="AN568" i="1"/>
  <c r="AN572" i="1"/>
  <c r="AH572" i="1"/>
  <c r="AQ572" i="1" s="1"/>
  <c r="AH564" i="1"/>
  <c r="AQ564" i="1" s="1"/>
  <c r="AN560" i="1"/>
  <c r="AH561" i="1"/>
  <c r="AQ561" i="1" s="1"/>
  <c r="AN561" i="1"/>
  <c r="AH552" i="1"/>
  <c r="AQ552" i="1" s="1"/>
  <c r="AH557" i="1"/>
  <c r="AQ557" i="1" s="1"/>
  <c r="AN557" i="1"/>
  <c r="AN562" i="1"/>
  <c r="AH558" i="1"/>
  <c r="AQ558" i="1" s="1"/>
  <c r="AN558" i="1"/>
  <c r="AN553" i="1"/>
  <c r="AH556" i="1"/>
  <c r="AQ556" i="1" s="1"/>
  <c r="AN556" i="1"/>
  <c r="AH546" i="1"/>
  <c r="AQ546" i="1" s="1"/>
  <c r="AH550" i="1"/>
  <c r="AQ550" i="1" s="1"/>
  <c r="AN550" i="1"/>
  <c r="AH551" i="1"/>
  <c r="AQ551" i="1" s="1"/>
  <c r="AN545" i="1"/>
  <c r="AH541" i="1"/>
  <c r="AQ541" i="1" s="1"/>
  <c r="AN548" i="1"/>
  <c r="AH548" i="1"/>
  <c r="AQ548" i="1" s="1"/>
  <c r="AN542" i="1"/>
  <c r="AN544" i="1"/>
  <c r="AH544" i="1"/>
  <c r="AQ544" i="1" s="1"/>
  <c r="AH539" i="1"/>
  <c r="AQ539" i="1" s="1"/>
  <c r="AN540" i="1"/>
  <c r="AH534" i="1"/>
  <c r="AQ534" i="1" s="1"/>
  <c r="AN534" i="1"/>
  <c r="AH536" i="1"/>
  <c r="AQ536" i="1" s="1"/>
  <c r="AH531" i="1"/>
  <c r="AQ531" i="1" s="1"/>
  <c r="AN531" i="1"/>
  <c r="AN533" i="1"/>
  <c r="AH535" i="1"/>
  <c r="AQ535" i="1" s="1"/>
  <c r="AN537" i="1"/>
  <c r="AN532" i="1"/>
  <c r="AH532" i="1"/>
  <c r="AQ532" i="1" s="1"/>
  <c r="AH524" i="1"/>
  <c r="AQ524" i="1" s="1"/>
  <c r="AN524" i="1"/>
  <c r="AN529" i="1"/>
  <c r="AH520" i="1"/>
  <c r="AQ520" i="1" s="1"/>
  <c r="AN520" i="1"/>
  <c r="AH526" i="1"/>
  <c r="AQ526" i="1" s="1"/>
  <c r="AN522" i="1"/>
  <c r="AH521" i="1"/>
  <c r="AQ521" i="1" s="1"/>
  <c r="AN521" i="1"/>
  <c r="AH519" i="1"/>
  <c r="AQ519" i="1" s="1"/>
  <c r="AH515" i="1"/>
  <c r="AQ515" i="1" s="1"/>
  <c r="AN517" i="1"/>
  <c r="AH513" i="1"/>
  <c r="AQ513" i="1" s="1"/>
  <c r="AN518" i="1"/>
  <c r="AH516" i="1"/>
  <c r="AQ516" i="1" s="1"/>
  <c r="AN516" i="1"/>
  <c r="AH502" i="1"/>
  <c r="AQ502" i="1" s="1"/>
  <c r="AH503" i="1"/>
  <c r="AQ503" i="1" s="1"/>
  <c r="AH509" i="1"/>
  <c r="AQ509" i="1" s="1"/>
  <c r="AN512" i="1"/>
  <c r="AH505" i="1"/>
  <c r="AQ505" i="1" s="1"/>
  <c r="AN505" i="1"/>
  <c r="AH506" i="1"/>
  <c r="AQ506" i="1" s="1"/>
  <c r="AN511" i="1"/>
  <c r="AH501" i="1"/>
  <c r="AQ501" i="1" s="1"/>
  <c r="AN501" i="1"/>
  <c r="AH498" i="1"/>
  <c r="AQ498" i="1" s="1"/>
  <c r="AN496" i="1"/>
  <c r="AH497" i="1"/>
  <c r="AQ497" i="1" s="1"/>
  <c r="AN497" i="1"/>
  <c r="AH492" i="1"/>
  <c r="AQ492" i="1" s="1"/>
  <c r="AH500" i="1"/>
  <c r="AQ500" i="1" s="1"/>
  <c r="AN494" i="1"/>
  <c r="AH495" i="1"/>
  <c r="AQ495" i="1" s="1"/>
  <c r="AN490" i="1"/>
  <c r="AH490" i="1"/>
  <c r="AQ490" i="1" s="1"/>
  <c r="AH483" i="1"/>
  <c r="AQ483" i="1" s="1"/>
  <c r="AN484" i="1"/>
  <c r="AH488" i="1"/>
  <c r="AQ488" i="1" s="1"/>
  <c r="AH477" i="1"/>
  <c r="AQ477" i="1" s="1"/>
  <c r="AN477" i="1"/>
  <c r="AN479" i="1"/>
  <c r="AH478" i="1"/>
  <c r="AQ478" i="1" s="1"/>
  <c r="AN480" i="1"/>
  <c r="AN482" i="1"/>
  <c r="AH482" i="1"/>
  <c r="AQ482" i="1" s="1"/>
  <c r="AH471" i="1"/>
  <c r="AQ471" i="1" s="1"/>
  <c r="AH472" i="1"/>
  <c r="AQ472" i="1" s="1"/>
  <c r="AH476" i="1"/>
  <c r="AQ476" i="1" s="1"/>
  <c r="AN473" i="1"/>
  <c r="AH467" i="1"/>
  <c r="AQ467" i="1" s="1"/>
  <c r="AN467" i="1"/>
  <c r="AH464" i="1"/>
  <c r="AQ464" i="1" s="1"/>
  <c r="AN464" i="1"/>
  <c r="AH463" i="1"/>
  <c r="AQ463" i="1" s="1"/>
  <c r="AN465" i="1"/>
  <c r="AH466" i="1"/>
  <c r="AQ466" i="1" s="1"/>
  <c r="AN459" i="1"/>
  <c r="AH458" i="1"/>
  <c r="AQ458" i="1" s="1"/>
  <c r="AN458" i="1"/>
  <c r="AH461" i="1"/>
  <c r="AQ461" i="1" s="1"/>
  <c r="AN462" i="1"/>
  <c r="AH455" i="1"/>
  <c r="AQ455" i="1" s="1"/>
  <c r="AN455" i="1"/>
  <c r="AH448" i="1"/>
  <c r="AQ448" i="1" s="1"/>
  <c r="AH450" i="1"/>
  <c r="AQ450" i="1" s="1"/>
  <c r="AH457" i="1"/>
  <c r="AQ457" i="1" s="1"/>
  <c r="AH449" i="1"/>
  <c r="AQ449" i="1" s="1"/>
  <c r="AH445" i="1"/>
  <c r="AQ445" i="1" s="1"/>
  <c r="AN454" i="1"/>
  <c r="AN453" i="1"/>
  <c r="AH439" i="1"/>
  <c r="AQ439" i="1" s="1"/>
  <c r="AN444" i="1"/>
  <c r="AN441" i="1"/>
  <c r="AH442" i="1"/>
  <c r="AQ442" i="1" s="1"/>
  <c r="AH438" i="1"/>
  <c r="AQ438" i="1" s="1"/>
  <c r="AN436" i="1"/>
  <c r="AH431" i="1"/>
  <c r="AQ431" i="1" s="1"/>
  <c r="AH430" i="1"/>
  <c r="AQ430" i="1" s="1"/>
  <c r="AN430" i="1"/>
  <c r="AN428" i="1"/>
  <c r="AN437" i="1"/>
  <c r="AH429" i="1"/>
  <c r="AQ429" i="1" s="1"/>
  <c r="AN429" i="1"/>
  <c r="AH433" i="1"/>
  <c r="AQ433" i="1" s="1"/>
  <c r="AN425" i="1"/>
  <c r="AN427" i="1"/>
  <c r="AH427" i="1"/>
  <c r="AQ427" i="1" s="1"/>
  <c r="AH423" i="1"/>
  <c r="AQ423" i="1" s="1"/>
  <c r="AN423" i="1"/>
  <c r="AN421" i="1"/>
  <c r="AH422" i="1"/>
  <c r="AQ422" i="1" s="1"/>
  <c r="AN422" i="1"/>
  <c r="AH418" i="1"/>
  <c r="AQ418" i="1" s="1"/>
  <c r="AN424" i="1"/>
  <c r="AH417" i="1"/>
  <c r="AQ417" i="1" s="1"/>
  <c r="AN417" i="1"/>
  <c r="AH410" i="1"/>
  <c r="AQ410" i="1" s="1"/>
  <c r="AN419" i="1"/>
  <c r="AH411" i="1"/>
  <c r="AQ411" i="1" s="1"/>
  <c r="AN411" i="1"/>
  <c r="AH413" i="1"/>
  <c r="AQ413" i="1" s="1"/>
  <c r="AN409" i="1"/>
  <c r="AN414" i="1"/>
  <c r="AH414" i="1"/>
  <c r="AQ414" i="1" s="1"/>
  <c r="AH404" i="1"/>
  <c r="AQ404" i="1" s="1"/>
  <c r="AN404" i="1"/>
  <c r="AH403" i="1"/>
  <c r="AQ403" i="1" s="1"/>
  <c r="AN401" i="1"/>
  <c r="AH406" i="1"/>
  <c r="AQ406" i="1" s="1"/>
  <c r="AN402" i="1"/>
  <c r="AH405" i="1"/>
  <c r="AQ405" i="1" s="1"/>
  <c r="AN405" i="1"/>
  <c r="AH400" i="1"/>
  <c r="AQ400" i="1" s="1"/>
  <c r="AN395" i="1"/>
  <c r="AN396" i="1"/>
  <c r="AH397" i="1"/>
  <c r="AQ397" i="1" s="1"/>
  <c r="AN397" i="1"/>
  <c r="AH390" i="1"/>
  <c r="AQ390" i="1" s="1"/>
  <c r="AN394" i="1"/>
  <c r="AN398" i="1"/>
  <c r="AH398" i="1"/>
  <c r="AQ398" i="1" s="1"/>
  <c r="AH391" i="1"/>
  <c r="AQ391" i="1" s="1"/>
  <c r="AN389" i="1"/>
  <c r="AH393" i="1"/>
  <c r="AQ393" i="1" s="1"/>
  <c r="AH386" i="1"/>
  <c r="AQ386" i="1" s="1"/>
  <c r="AH384" i="1"/>
  <c r="AQ384" i="1" s="1"/>
  <c r="AN376" i="1"/>
  <c r="AH385" i="1"/>
  <c r="AQ385" i="1" s="1"/>
  <c r="AN385" i="1"/>
  <c r="AH380" i="1"/>
  <c r="AQ380" i="1" s="1"/>
  <c r="AH374" i="1"/>
  <c r="AQ374" i="1" s="1"/>
  <c r="AN374" i="1"/>
  <c r="AH379" i="1"/>
  <c r="AQ379" i="1" s="1"/>
  <c r="AN378" i="1"/>
  <c r="AH375" i="1"/>
  <c r="AQ375" i="1" s="1"/>
  <c r="AN375" i="1"/>
  <c r="AH371" i="1"/>
  <c r="AQ371" i="1" s="1"/>
  <c r="AN370" i="1"/>
  <c r="AH369" i="1"/>
  <c r="AQ369" i="1" s="1"/>
  <c r="AN369" i="1"/>
  <c r="AH364" i="1"/>
  <c r="AQ364" i="1" s="1"/>
  <c r="AN363" i="1"/>
  <c r="AH365" i="1"/>
  <c r="AQ365" i="1" s="1"/>
  <c r="AN365" i="1"/>
  <c r="AH366" i="1"/>
  <c r="AQ366" i="1" s="1"/>
  <c r="AN359" i="1"/>
  <c r="AN358" i="1"/>
  <c r="AH356" i="1"/>
  <c r="AQ356" i="1" s="1"/>
  <c r="AN357" i="1"/>
  <c r="AN362" i="1"/>
  <c r="AH362" i="1"/>
  <c r="AQ362" i="1" s="1"/>
  <c r="AH352" i="1"/>
  <c r="AQ352" i="1" s="1"/>
  <c r="AN350" i="1"/>
  <c r="AH353" i="1"/>
  <c r="AQ353" i="1" s="1"/>
  <c r="AH354" i="1"/>
  <c r="AQ354" i="1" s="1"/>
  <c r="AH348" i="1"/>
  <c r="AQ348" i="1" s="1"/>
  <c r="AH346" i="1"/>
  <c r="AQ346" i="1" s="1"/>
  <c r="AN346" i="1"/>
  <c r="AH343" i="1"/>
  <c r="AQ343" i="1" s="1"/>
  <c r="AH339" i="1"/>
  <c r="AQ339" i="1" s="1"/>
  <c r="AH338" i="1"/>
  <c r="AQ338" i="1" s="1"/>
  <c r="AH335" i="1"/>
  <c r="AQ335" i="1" s="1"/>
  <c r="AN334" i="1"/>
  <c r="AH330" i="1"/>
  <c r="AQ330" i="1" s="1"/>
  <c r="AH336" i="1"/>
  <c r="AQ336" i="1" s="1"/>
  <c r="AN331" i="1"/>
  <c r="AH337" i="1"/>
  <c r="AQ337" i="1" s="1"/>
  <c r="AH332" i="1"/>
  <c r="AQ332" i="1" s="1"/>
  <c r="AN332" i="1"/>
  <c r="AH326" i="1"/>
  <c r="AQ326" i="1" s="1"/>
  <c r="AH323" i="1"/>
  <c r="AQ323" i="1" s="1"/>
  <c r="AH317" i="1"/>
  <c r="AQ317" i="1" s="1"/>
  <c r="AN327" i="1"/>
  <c r="AH327" i="1"/>
  <c r="AQ327" i="1" s="1"/>
  <c r="AH320" i="1"/>
  <c r="AQ320" i="1" s="1"/>
  <c r="AN318" i="1"/>
  <c r="AN319" i="1"/>
  <c r="AH319" i="1"/>
  <c r="AQ319" i="1" s="1"/>
  <c r="AH313" i="1"/>
  <c r="AQ313" i="1" s="1"/>
  <c r="AN310" i="1"/>
  <c r="AN315" i="1"/>
  <c r="AH311" i="1"/>
  <c r="AQ311" i="1" s="1"/>
  <c r="AN311" i="1"/>
  <c r="AN312" i="1"/>
  <c r="AH314" i="1"/>
  <c r="AQ314" i="1" s="1"/>
  <c r="AN314" i="1"/>
  <c r="AH307" i="1"/>
  <c r="AQ307" i="1" s="1"/>
  <c r="AN303" i="1"/>
  <c r="AH308" i="1"/>
  <c r="AQ308" i="1" s="1"/>
  <c r="AN308" i="1"/>
  <c r="AH299" i="1"/>
  <c r="AQ299" i="1" s="1"/>
  <c r="AN300" i="1"/>
  <c r="AH297" i="1"/>
  <c r="AQ297" i="1" s="1"/>
  <c r="AN302" i="1"/>
  <c r="AH293" i="1"/>
  <c r="AQ293" i="1" s="1"/>
  <c r="AH287" i="1"/>
  <c r="AQ287" i="1" s="1"/>
  <c r="AN291" i="1"/>
  <c r="AH288" i="1"/>
  <c r="AQ288" i="1" s="1"/>
  <c r="AN288" i="1"/>
  <c r="AH285" i="1"/>
  <c r="AQ285" i="1" s="1"/>
  <c r="AN286" i="1"/>
  <c r="AH282" i="1"/>
  <c r="AQ282" i="1" s="1"/>
  <c r="AN281" i="1"/>
  <c r="AH283" i="1"/>
  <c r="AQ283" i="1" s="1"/>
  <c r="AN283" i="1"/>
  <c r="AH280" i="1"/>
  <c r="AQ280" i="1" s="1"/>
  <c r="AN280" i="1"/>
  <c r="AH277" i="1"/>
  <c r="AQ277" i="1" s="1"/>
  <c r="AH279" i="1"/>
  <c r="AQ279" i="1" s="1"/>
  <c r="AN279" i="1"/>
  <c r="AH272" i="1"/>
  <c r="AQ272" i="1" s="1"/>
  <c r="AN273" i="1"/>
  <c r="AH269" i="1"/>
  <c r="AQ269" i="1" s="1"/>
  <c r="AN269" i="1"/>
  <c r="AH275" i="1"/>
  <c r="AQ275" i="1" s="1"/>
  <c r="AN270" i="1"/>
  <c r="AH265" i="1"/>
  <c r="AQ265" i="1" s="1"/>
  <c r="AN262" i="1"/>
  <c r="AN271" i="1"/>
  <c r="AH271" i="1"/>
  <c r="AQ271" i="1" s="1"/>
  <c r="AH263" i="1"/>
  <c r="AQ263" i="1" s="1"/>
  <c r="AN261" i="1"/>
  <c r="AH259" i="1"/>
  <c r="AQ259" i="1" s="1"/>
  <c r="AN259" i="1"/>
  <c r="AH260" i="1"/>
  <c r="AQ260" i="1" s="1"/>
  <c r="AH256" i="1"/>
  <c r="AQ256" i="1" s="1"/>
  <c r="AN257" i="1"/>
  <c r="AH252" i="1"/>
  <c r="AQ252" i="1" s="1"/>
  <c r="AN258" i="1"/>
  <c r="AN253" i="1"/>
  <c r="AN254" i="1"/>
  <c r="AN248" i="1"/>
  <c r="AH246" i="1"/>
  <c r="AQ246" i="1" s="1"/>
  <c r="AN243" i="1"/>
  <c r="AH244" i="1"/>
  <c r="AQ244" i="1" s="1"/>
  <c r="AN245" i="1"/>
  <c r="AN241" i="1"/>
  <c r="AN238" i="1"/>
  <c r="AH240" i="1"/>
  <c r="AQ240" i="1" s="1"/>
  <c r="AN236" i="1"/>
  <c r="AH237" i="1"/>
  <c r="AQ237" i="1" s="1"/>
  <c r="AN235" i="1"/>
  <c r="AH230" i="1"/>
  <c r="AQ230" i="1" s="1"/>
  <c r="AN230" i="1"/>
  <c r="AH229" i="1"/>
  <c r="AQ229" i="1" s="1"/>
  <c r="AN232" i="1"/>
  <c r="AH228" i="1"/>
  <c r="AQ228" i="1" s="1"/>
  <c r="AN231" i="1"/>
  <c r="AN233" i="1"/>
  <c r="AH233" i="1"/>
  <c r="AQ233" i="1" s="1"/>
  <c r="AH222" i="1"/>
  <c r="AQ222" i="1" s="1"/>
  <c r="AN222" i="1"/>
  <c r="AN223" i="1"/>
  <c r="AN224" i="1"/>
  <c r="AH224" i="1"/>
  <c r="AQ224" i="1" s="1"/>
  <c r="AH217" i="1"/>
  <c r="AQ217" i="1" s="1"/>
  <c r="AN216" i="1"/>
  <c r="AH209" i="1"/>
  <c r="AQ209" i="1" s="1"/>
  <c r="AN208" i="1"/>
  <c r="AH214" i="1"/>
  <c r="AQ214" i="1" s="1"/>
  <c r="AN213" i="1"/>
  <c r="AH212" i="1"/>
  <c r="AQ212" i="1" s="1"/>
  <c r="AN212" i="1"/>
  <c r="AH200" i="1"/>
  <c r="AQ200" i="1" s="1"/>
  <c r="AN205" i="1"/>
  <c r="AN201" i="1"/>
  <c r="AH202" i="1"/>
  <c r="AQ202" i="1" s="1"/>
  <c r="AN202" i="1"/>
  <c r="AN207" i="1"/>
  <c r="AN204" i="1"/>
  <c r="AN206" i="1"/>
  <c r="AH196" i="1"/>
  <c r="AQ196" i="1" s="1"/>
  <c r="AH198" i="1"/>
  <c r="AQ198" i="1" s="1"/>
  <c r="AN198" i="1"/>
  <c r="AH199" i="1"/>
  <c r="AQ199" i="1" s="1"/>
  <c r="AN195" i="1"/>
  <c r="AH188" i="1"/>
  <c r="AQ188" i="1" s="1"/>
  <c r="AN192" i="1"/>
  <c r="AH190" i="1"/>
  <c r="AQ190" i="1" s="1"/>
  <c r="AN186" i="1"/>
  <c r="AH182" i="1"/>
  <c r="AQ182" i="1" s="1"/>
  <c r="AN193" i="1"/>
  <c r="AH184" i="1"/>
  <c r="AQ184" i="1" s="1"/>
  <c r="AN184" i="1"/>
  <c r="AH185" i="1"/>
  <c r="AQ185" i="1" s="1"/>
  <c r="AN187" i="1"/>
  <c r="AN181" i="1"/>
  <c r="AH181" i="1"/>
  <c r="AQ181" i="1" s="1"/>
  <c r="AN1063" i="1"/>
  <c r="AN1103" i="1"/>
  <c r="AN850" i="1"/>
  <c r="AN1225" i="1"/>
  <c r="AN1162" i="1"/>
  <c r="AN732" i="1"/>
  <c r="AN728" i="1"/>
  <c r="AN719" i="1"/>
  <c r="AN713" i="1"/>
  <c r="AN711" i="1"/>
  <c r="AN685" i="1"/>
  <c r="AN679" i="1"/>
  <c r="AN672" i="1"/>
  <c r="AN664" i="1"/>
  <c r="AH605" i="1"/>
  <c r="AQ605" i="1" s="1"/>
  <c r="AN605" i="1"/>
  <c r="AN598" i="1"/>
  <c r="AN585" i="1"/>
  <c r="AN579" i="1"/>
  <c r="AN566" i="1"/>
  <c r="AH563" i="1"/>
  <c r="AQ563" i="1" s="1"/>
  <c r="AN563" i="1"/>
  <c r="AN564" i="1"/>
  <c r="AH554" i="1"/>
  <c r="AQ554" i="1" s="1"/>
  <c r="AN554" i="1"/>
  <c r="AH555" i="1"/>
  <c r="AQ555" i="1" s="1"/>
  <c r="AN546" i="1"/>
  <c r="AN551" i="1"/>
  <c r="AN541" i="1"/>
  <c r="AH528" i="1"/>
  <c r="AQ528" i="1" s="1"/>
  <c r="AN528" i="1"/>
  <c r="AN535" i="1"/>
  <c r="AH523" i="1"/>
  <c r="AQ523" i="1" s="1"/>
  <c r="AN526" i="1"/>
  <c r="AN519" i="1"/>
  <c r="AN515" i="1"/>
  <c r="AN513" i="1"/>
  <c r="AN502" i="1"/>
  <c r="AN503" i="1"/>
  <c r="AN509" i="1"/>
  <c r="AN506" i="1"/>
  <c r="AH499" i="1"/>
  <c r="AQ499" i="1" s="1"/>
  <c r="AN499" i="1"/>
  <c r="AN498" i="1"/>
  <c r="AN492" i="1"/>
  <c r="AN500" i="1"/>
  <c r="AN495" i="1"/>
  <c r="AN489" i="1"/>
  <c r="AN486" i="1"/>
  <c r="AN483" i="1"/>
  <c r="AN488" i="1"/>
  <c r="AN478" i="1"/>
  <c r="AH474" i="1"/>
  <c r="AQ474" i="1" s="1"/>
  <c r="AN474" i="1"/>
  <c r="AN471" i="1"/>
  <c r="AN472" i="1"/>
  <c r="AN469" i="1"/>
  <c r="AN476" i="1"/>
  <c r="AN463" i="1"/>
  <c r="AN466" i="1"/>
  <c r="AN461" i="1"/>
  <c r="AN448" i="1"/>
  <c r="AN457" i="1"/>
  <c r="AN450" i="1"/>
  <c r="AN449" i="1"/>
  <c r="AN447" i="1"/>
  <c r="AN445" i="1"/>
  <c r="AN442" i="1"/>
  <c r="AN438" i="1"/>
  <c r="AN431" i="1"/>
  <c r="AH432" i="1"/>
  <c r="AQ432" i="1" s="1"/>
  <c r="AH426" i="1"/>
  <c r="AQ426" i="1" s="1"/>
  <c r="AN426" i="1"/>
  <c r="AN433" i="1"/>
  <c r="AH420" i="1"/>
  <c r="AQ420" i="1" s="1"/>
  <c r="AH415" i="1"/>
  <c r="AQ415" i="1" s="1"/>
  <c r="AN415" i="1"/>
  <c r="AN418" i="1"/>
  <c r="AN410" i="1"/>
  <c r="AN413" i="1"/>
  <c r="AN403" i="1"/>
  <c r="AN406" i="1"/>
  <c r="AN400" i="1"/>
  <c r="AH388" i="1"/>
  <c r="AQ388" i="1" s="1"/>
  <c r="AN388" i="1"/>
  <c r="AH387" i="1"/>
  <c r="AQ387" i="1" s="1"/>
  <c r="AN387" i="1"/>
  <c r="AN390" i="1"/>
  <c r="AH392" i="1"/>
  <c r="AQ392" i="1" s="1"/>
  <c r="AN392" i="1"/>
  <c r="AN391" i="1"/>
  <c r="AN393" i="1"/>
  <c r="AN386" i="1"/>
  <c r="AN382" i="1"/>
  <c r="AN384" i="1"/>
  <c r="AN380" i="1"/>
  <c r="AH373" i="1"/>
  <c r="AQ373" i="1" s="1"/>
  <c r="AN373" i="1"/>
  <c r="AN379" i="1"/>
  <c r="AH368" i="1"/>
  <c r="AQ368" i="1" s="1"/>
  <c r="AN368" i="1"/>
  <c r="AN366" i="1"/>
  <c r="AH360" i="1"/>
  <c r="AQ360" i="1" s="1"/>
  <c r="AN360" i="1"/>
  <c r="AN356" i="1"/>
  <c r="AN353" i="1"/>
  <c r="AN354" i="1"/>
  <c r="AN347" i="1"/>
  <c r="AN348" i="1"/>
  <c r="AH342" i="1"/>
  <c r="AQ342" i="1" s="1"/>
  <c r="AN342" i="1"/>
  <c r="AN343" i="1"/>
  <c r="AN339" i="1"/>
  <c r="AN338" i="1"/>
  <c r="AN330" i="1"/>
  <c r="AN336" i="1"/>
  <c r="AN337" i="1"/>
  <c r="AN333" i="1"/>
  <c r="AN326" i="1"/>
  <c r="AN323" i="1"/>
  <c r="AN324" i="1"/>
  <c r="AN316" i="1"/>
  <c r="AH309" i="1"/>
  <c r="AQ309" i="1" s="1"/>
  <c r="AN307" i="1"/>
  <c r="AN299" i="1"/>
  <c r="AH301" i="1"/>
  <c r="AQ301" i="1" s="1"/>
  <c r="AN301" i="1"/>
  <c r="AN297" i="1"/>
  <c r="AN294" i="1"/>
  <c r="AN293" i="1"/>
  <c r="AN290" i="1"/>
  <c r="AN285" i="1"/>
  <c r="AH278" i="1"/>
  <c r="AQ278" i="1" s="1"/>
  <c r="AN278" i="1"/>
  <c r="AN277" i="1"/>
  <c r="AN272" i="1"/>
  <c r="AN275" i="1"/>
  <c r="AN265" i="1"/>
  <c r="AN263" i="1"/>
  <c r="AN260" i="1"/>
  <c r="AN256" i="1"/>
  <c r="AN252" i="1"/>
  <c r="AH251" i="1"/>
  <c r="AQ251" i="1" s="1"/>
  <c r="AN246" i="1"/>
  <c r="AN244" i="1"/>
  <c r="AH239" i="1"/>
  <c r="AQ239" i="1" s="1"/>
  <c r="AN240" i="1"/>
  <c r="AN237" i="1"/>
  <c r="AN229" i="1"/>
  <c r="AN228" i="1"/>
  <c r="AH221" i="1"/>
  <c r="AQ221" i="1" s="1"/>
  <c r="AN217" i="1"/>
  <c r="AH211" i="1"/>
  <c r="AQ211" i="1" s="1"/>
  <c r="AN211" i="1"/>
  <c r="AN214" i="1"/>
  <c r="AN200" i="1"/>
  <c r="AH203" i="1"/>
  <c r="AQ203" i="1" s="1"/>
  <c r="AH194" i="1"/>
  <c r="AQ194" i="1" s="1"/>
  <c r="AN194" i="1"/>
  <c r="AN196" i="1"/>
  <c r="AH197" i="1"/>
  <c r="AQ197" i="1" s="1"/>
  <c r="AN197" i="1"/>
  <c r="AN199" i="1"/>
  <c r="AN188" i="1"/>
  <c r="AN190" i="1"/>
  <c r="AN182" i="1"/>
  <c r="AN185" i="1"/>
  <c r="AN978" i="1"/>
  <c r="AN648" i="1"/>
  <c r="AN552" i="1"/>
  <c r="AN549" i="1"/>
  <c r="AN539" i="1"/>
  <c r="AN536" i="1"/>
  <c r="AN507" i="1"/>
  <c r="AN493" i="1"/>
  <c r="AN446" i="1"/>
  <c r="AN439" i="1"/>
  <c r="AN416" i="1"/>
  <c r="AN399" i="1"/>
  <c r="AN377" i="1"/>
  <c r="AN372" i="1"/>
  <c r="AN351" i="1"/>
  <c r="AN344" i="1"/>
  <c r="AN341" i="1"/>
  <c r="AN321" i="1"/>
  <c r="AN313" i="1"/>
  <c r="AN304" i="1"/>
  <c r="AN295" i="1"/>
  <c r="AN289" i="1"/>
  <c r="AN282" i="1"/>
  <c r="AN267" i="1"/>
  <c r="AN255" i="1"/>
  <c r="AN251" i="1"/>
  <c r="AN220" i="1"/>
  <c r="AN209" i="1"/>
  <c r="AN215" i="1"/>
  <c r="AN203" i="1"/>
  <c r="AN179" i="1"/>
  <c r="AH179" i="1"/>
  <c r="AQ179" i="1" s="1"/>
  <c r="AH169" i="1"/>
  <c r="AQ169" i="1" s="1"/>
  <c r="AH168" i="1"/>
  <c r="AQ168" i="1" s="1"/>
  <c r="AH164" i="1"/>
  <c r="AQ164" i="1" s="1"/>
  <c r="AH166" i="1"/>
  <c r="AQ166" i="1" s="1"/>
  <c r="AH158" i="1"/>
  <c r="AQ158" i="1" s="1"/>
  <c r="AH162" i="1"/>
  <c r="AQ162" i="1" s="1"/>
  <c r="AH163" i="1"/>
  <c r="AQ163" i="1" s="1"/>
  <c r="AH159" i="1"/>
  <c r="AQ159" i="1" s="1"/>
  <c r="AH150" i="1"/>
  <c r="AQ150" i="1" s="1"/>
  <c r="AH155" i="1"/>
  <c r="AQ155" i="1" s="1"/>
  <c r="AH147" i="1"/>
  <c r="AQ147" i="1" s="1"/>
  <c r="AH142" i="1"/>
  <c r="AQ142" i="1" s="1"/>
  <c r="AH144" i="1"/>
  <c r="AQ144" i="1" s="1"/>
  <c r="AH145" i="1"/>
  <c r="AQ145" i="1" s="1"/>
  <c r="AH131" i="1"/>
  <c r="AQ131" i="1" s="1"/>
  <c r="AH137" i="1"/>
  <c r="AQ137" i="1" s="1"/>
  <c r="AH140" i="1"/>
  <c r="AQ140" i="1" s="1"/>
  <c r="AH135" i="1"/>
  <c r="AQ135" i="1" s="1"/>
  <c r="AH132" i="1"/>
  <c r="AQ132" i="1" s="1"/>
  <c r="AH134" i="1"/>
  <c r="AQ134" i="1" s="1"/>
  <c r="AH141" i="1"/>
  <c r="AQ141" i="1" s="1"/>
  <c r="AH129" i="1"/>
  <c r="AQ129" i="1" s="1"/>
  <c r="AH127" i="1"/>
  <c r="AQ127" i="1" s="1"/>
  <c r="AH128" i="1"/>
  <c r="AQ128" i="1" s="1"/>
  <c r="AH126" i="1"/>
  <c r="AQ126" i="1" s="1"/>
  <c r="AH122" i="1"/>
  <c r="AQ122" i="1" s="1"/>
  <c r="AH120" i="1"/>
  <c r="AQ120" i="1" s="1"/>
  <c r="AH123" i="1"/>
  <c r="AQ123" i="1" s="1"/>
  <c r="AH116" i="1"/>
  <c r="AQ116" i="1" s="1"/>
  <c r="AH118" i="1"/>
  <c r="AQ118" i="1" s="1"/>
  <c r="AH119" i="1"/>
  <c r="AQ119" i="1" s="1"/>
  <c r="AH115" i="1"/>
  <c r="AQ115" i="1" s="1"/>
  <c r="AH111" i="1"/>
  <c r="AQ111" i="1" s="1"/>
  <c r="AH112" i="1"/>
  <c r="AQ112" i="1" s="1"/>
  <c r="AH113" i="1"/>
  <c r="AQ113" i="1" s="1"/>
  <c r="AH104" i="1"/>
  <c r="AQ104" i="1" s="1"/>
  <c r="AH101" i="1"/>
  <c r="AQ101" i="1" s="1"/>
  <c r="AN104" i="1"/>
  <c r="AH96" i="1"/>
  <c r="AQ96" i="1" s="1"/>
  <c r="AH98" i="1"/>
  <c r="AQ98" i="1" s="1"/>
  <c r="AH99" i="1"/>
  <c r="AQ99" i="1" s="1"/>
  <c r="AH105" i="1"/>
  <c r="AQ105" i="1" s="1"/>
  <c r="AH91" i="1"/>
  <c r="AQ91" i="1" s="1"/>
  <c r="AH100" i="1"/>
  <c r="AQ100" i="1" s="1"/>
  <c r="AH95" i="1"/>
  <c r="AQ95" i="1" s="1"/>
  <c r="AH87" i="1"/>
  <c r="AQ87" i="1" s="1"/>
  <c r="AH89" i="1"/>
  <c r="AQ89" i="1" s="1"/>
  <c r="AH85" i="1"/>
  <c r="AQ85" i="1" s="1"/>
  <c r="AH84" i="1"/>
  <c r="AQ84" i="1" s="1"/>
  <c r="AH80" i="1"/>
  <c r="AQ80" i="1" s="1"/>
  <c r="AH74" i="1"/>
  <c r="AQ74" i="1" s="1"/>
  <c r="AH66" i="1"/>
  <c r="AQ66" i="1" s="1"/>
  <c r="AH75" i="1"/>
  <c r="AQ75" i="1" s="1"/>
  <c r="AH73" i="1"/>
  <c r="AQ73" i="1" s="1"/>
  <c r="AH68" i="1"/>
  <c r="AQ68" i="1" s="1"/>
  <c r="AH76" i="1"/>
  <c r="AQ76" i="1" s="1"/>
  <c r="AH67" i="1"/>
  <c r="AQ67" i="1" s="1"/>
  <c r="AH69" i="1"/>
  <c r="AQ69" i="1" s="1"/>
  <c r="AH71" i="1"/>
  <c r="AQ71" i="1" s="1"/>
  <c r="AH61" i="1"/>
  <c r="AQ61" i="1" s="1"/>
  <c r="AH63" i="1"/>
  <c r="AQ63" i="1" s="1"/>
  <c r="AH70" i="1"/>
  <c r="AQ70" i="1" s="1"/>
  <c r="AH64" i="1"/>
  <c r="AQ64" i="1" s="1"/>
  <c r="AH54" i="1"/>
  <c r="AQ54" i="1" s="1"/>
  <c r="AH55" i="1"/>
  <c r="AQ55" i="1" s="1"/>
  <c r="AH56" i="1"/>
  <c r="AQ56" i="1" s="1"/>
  <c r="AH47" i="1"/>
  <c r="AQ47" i="1" s="1"/>
  <c r="AH52" i="1"/>
  <c r="AQ52" i="1" s="1"/>
  <c r="AH38" i="1"/>
  <c r="AQ38" i="1" s="1"/>
  <c r="AH41" i="1"/>
  <c r="AQ41" i="1" s="1"/>
  <c r="AH43" i="1"/>
  <c r="AQ43" i="1" s="1"/>
  <c r="AH31" i="1"/>
  <c r="AQ31" i="1" s="1"/>
  <c r="AH29" i="1"/>
  <c r="AQ29" i="1" s="1"/>
  <c r="AH34" i="1"/>
  <c r="AQ34" i="1" s="1"/>
  <c r="AH21" i="1"/>
  <c r="AQ21" i="1" s="1"/>
  <c r="AH20" i="1"/>
  <c r="AQ20" i="1" s="1"/>
  <c r="AH17" i="1"/>
  <c r="AQ17" i="1" s="1"/>
  <c r="AH22" i="1"/>
  <c r="AQ22" i="1" s="1"/>
  <c r="AH28" i="1"/>
  <c r="AQ28" i="1" s="1"/>
  <c r="AH24" i="1"/>
  <c r="AQ24" i="1" s="1"/>
  <c r="AH13" i="1"/>
  <c r="AQ13" i="1" s="1"/>
  <c r="AH11" i="1"/>
  <c r="AQ11" i="1" s="1"/>
  <c r="AH9" i="1"/>
  <c r="AQ9" i="1" s="1"/>
  <c r="AH15" i="1"/>
  <c r="AQ15" i="1" s="1"/>
  <c r="AN653" i="1"/>
  <c r="AN538" i="1"/>
  <c r="AN508" i="1"/>
  <c r="AN481" i="1"/>
  <c r="AN420" i="1"/>
  <c r="AN352" i="1"/>
  <c r="AN322" i="1"/>
  <c r="AN227" i="1"/>
  <c r="AN178" i="1"/>
  <c r="AH175" i="1"/>
  <c r="AQ175" i="1" s="1"/>
  <c r="AH171" i="1"/>
  <c r="AQ171" i="1" s="1"/>
  <c r="AN158" i="1"/>
  <c r="AH149" i="1"/>
  <c r="AQ149" i="1" s="1"/>
  <c r="AH151" i="1"/>
  <c r="AQ151" i="1" s="1"/>
  <c r="AN146" i="1"/>
  <c r="AH146" i="1"/>
  <c r="AQ146" i="1" s="1"/>
  <c r="AN144" i="1"/>
  <c r="AH133" i="1"/>
  <c r="AQ133" i="1" s="1"/>
  <c r="AN133" i="1"/>
  <c r="AH124" i="1"/>
  <c r="AQ124" i="1" s="1"/>
  <c r="AN122" i="1"/>
  <c r="AN119" i="1"/>
  <c r="AN112" i="1"/>
  <c r="AN98" i="1"/>
  <c r="AN92" i="1"/>
  <c r="AH92" i="1"/>
  <c r="AQ92" i="1" s="1"/>
  <c r="AN95" i="1"/>
  <c r="AN86" i="1"/>
  <c r="AH86" i="1"/>
  <c r="AQ86" i="1" s="1"/>
  <c r="AN79" i="1"/>
  <c r="AH79" i="1"/>
  <c r="AQ79" i="1" s="1"/>
  <c r="AN80" i="1"/>
  <c r="AN76" i="1"/>
  <c r="AH62" i="1"/>
  <c r="AQ62" i="1" s="1"/>
  <c r="AH59" i="1"/>
  <c r="AQ59" i="1" s="1"/>
  <c r="AN55" i="1"/>
  <c r="AN46" i="1"/>
  <c r="AH46" i="1"/>
  <c r="AQ46" i="1" s="1"/>
  <c r="AH51" i="1"/>
  <c r="AQ51" i="1" s="1"/>
  <c r="AN51" i="1"/>
  <c r="AH40" i="1"/>
  <c r="AQ40" i="1" s="1"/>
  <c r="AN42" i="1"/>
  <c r="AH42" i="1"/>
  <c r="AQ42" i="1" s="1"/>
  <c r="AN45" i="1"/>
  <c r="AH45" i="1"/>
  <c r="AQ45" i="1" s="1"/>
  <c r="AN40" i="1"/>
  <c r="AN36" i="1"/>
  <c r="AH36" i="1"/>
  <c r="AQ36" i="1" s="1"/>
  <c r="AH35" i="1"/>
  <c r="AQ35" i="1" s="1"/>
  <c r="AN35" i="1"/>
  <c r="AH19" i="1"/>
  <c r="AQ19" i="1" s="1"/>
  <c r="AN17" i="1"/>
  <c r="AN7" i="1"/>
  <c r="AH7" i="1"/>
  <c r="AQ7" i="1" s="1"/>
  <c r="AH14" i="1"/>
  <c r="AQ14" i="1" s="1"/>
  <c r="AN1062" i="1"/>
  <c r="AN642" i="1"/>
  <c r="AN623" i="1"/>
  <c r="AN543" i="1"/>
  <c r="AN523" i="1"/>
  <c r="AN514" i="1"/>
  <c r="AN485" i="1"/>
  <c r="AN470" i="1"/>
  <c r="AH440" i="1"/>
  <c r="AQ440" i="1" s="1"/>
  <c r="AN440" i="1"/>
  <c r="AN432" i="1"/>
  <c r="AN364" i="1"/>
  <c r="AN361" i="1"/>
  <c r="AN320" i="1"/>
  <c r="AN306" i="1"/>
  <c r="AN305" i="1"/>
  <c r="AH296" i="1"/>
  <c r="AQ296" i="1" s="1"/>
  <c r="AN296" i="1"/>
  <c r="AN287" i="1"/>
  <c r="AN292" i="1"/>
  <c r="AN276" i="1"/>
  <c r="AN266" i="1"/>
  <c r="AN264" i="1"/>
  <c r="AN250" i="1"/>
  <c r="AH247" i="1"/>
  <c r="AQ247" i="1" s="1"/>
  <c r="AN247" i="1"/>
  <c r="AN242" i="1"/>
  <c r="AN239" i="1"/>
  <c r="AN226" i="1"/>
  <c r="AN221" i="1"/>
  <c r="AN210" i="1"/>
  <c r="AN191" i="1"/>
  <c r="AH180" i="1"/>
  <c r="AQ180" i="1" s="1"/>
  <c r="AN180" i="1"/>
  <c r="AH174" i="1"/>
  <c r="AQ174" i="1" s="1"/>
  <c r="AN169" i="1"/>
  <c r="AN173" i="1"/>
  <c r="AH173" i="1"/>
  <c r="AQ173" i="1" s="1"/>
  <c r="AH170" i="1"/>
  <c r="AQ170" i="1" s="1"/>
  <c r="AN170" i="1"/>
  <c r="AN164" i="1"/>
  <c r="AH160" i="1"/>
  <c r="AQ160" i="1" s="1"/>
  <c r="AN160" i="1"/>
  <c r="AH157" i="1"/>
  <c r="AQ157" i="1" s="1"/>
  <c r="AN162" i="1"/>
  <c r="AH156" i="1"/>
  <c r="AQ156" i="1" s="1"/>
  <c r="AN163" i="1"/>
  <c r="AN159" i="1"/>
  <c r="AN150" i="1"/>
  <c r="AH152" i="1"/>
  <c r="AQ152" i="1" s="1"/>
  <c r="AN152" i="1"/>
  <c r="AH153" i="1"/>
  <c r="AQ153" i="1" s="1"/>
  <c r="AN147" i="1"/>
  <c r="AH148" i="1"/>
  <c r="AQ148" i="1" s="1"/>
  <c r="AN142" i="1"/>
  <c r="AH143" i="1"/>
  <c r="AQ143" i="1" s="1"/>
  <c r="AN143" i="1"/>
  <c r="AH138" i="1"/>
  <c r="AQ138" i="1" s="1"/>
  <c r="AN145" i="1"/>
  <c r="AN131" i="1"/>
  <c r="AH130" i="1"/>
  <c r="AQ130" i="1" s="1"/>
  <c r="AN135" i="1"/>
  <c r="AN139" i="1"/>
  <c r="AH139" i="1"/>
  <c r="AQ139" i="1" s="1"/>
  <c r="AN132" i="1"/>
  <c r="AN134" i="1"/>
  <c r="AH136" i="1"/>
  <c r="AQ136" i="1" s="1"/>
  <c r="AN129" i="1"/>
  <c r="AN127" i="1"/>
  <c r="AN126" i="1"/>
  <c r="AH125" i="1"/>
  <c r="AQ125" i="1" s="1"/>
  <c r="AN125" i="1"/>
  <c r="AH121" i="1"/>
  <c r="AQ121" i="1" s="1"/>
  <c r="AN123" i="1"/>
  <c r="AN116" i="1"/>
  <c r="AH117" i="1"/>
  <c r="AQ117" i="1" s="1"/>
  <c r="AH114" i="1"/>
  <c r="AQ114" i="1" s="1"/>
  <c r="AN114" i="1"/>
  <c r="AH110" i="1"/>
  <c r="AQ110" i="1" s="1"/>
  <c r="AN115" i="1"/>
  <c r="AN111" i="1"/>
  <c r="AH106" i="1"/>
  <c r="AQ106" i="1" s="1"/>
  <c r="AN113" i="1"/>
  <c r="AH108" i="1"/>
  <c r="AQ108" i="1" s="1"/>
  <c r="AN108" i="1"/>
  <c r="AH103" i="1"/>
  <c r="AQ103" i="1" s="1"/>
  <c r="AH109" i="1"/>
  <c r="AQ109" i="1" s="1"/>
  <c r="AN101" i="1"/>
  <c r="AH102" i="1"/>
  <c r="AQ102" i="1" s="1"/>
  <c r="AH97" i="1"/>
  <c r="AQ97" i="1" s="1"/>
  <c r="AN99" i="1"/>
  <c r="AN105" i="1"/>
  <c r="AH90" i="1"/>
  <c r="AQ90" i="1" s="1"/>
  <c r="AN90" i="1"/>
  <c r="AH94" i="1"/>
  <c r="AQ94" i="1" s="1"/>
  <c r="AH93" i="1"/>
  <c r="AQ93" i="1" s="1"/>
  <c r="AH81" i="1"/>
  <c r="AQ81" i="1" s="1"/>
  <c r="AN87" i="1"/>
  <c r="AH88" i="1"/>
  <c r="AQ88" i="1" s="1"/>
  <c r="AN88" i="1"/>
  <c r="AH83" i="1"/>
  <c r="AQ83" i="1" s="1"/>
  <c r="AN84" i="1"/>
  <c r="AH77" i="1"/>
  <c r="AQ77" i="1" s="1"/>
  <c r="AN78" i="1"/>
  <c r="AH78" i="1"/>
  <c r="AQ78" i="1" s="1"/>
  <c r="AH72" i="1"/>
  <c r="AQ72" i="1" s="1"/>
  <c r="AN75" i="1"/>
  <c r="AN73" i="1"/>
  <c r="AN68" i="1"/>
  <c r="AH60" i="1"/>
  <c r="AQ60" i="1" s="1"/>
  <c r="AN67" i="1"/>
  <c r="AH65" i="1"/>
  <c r="AQ65" i="1" s="1"/>
  <c r="AN71" i="1"/>
  <c r="AN61" i="1"/>
  <c r="AH58" i="1"/>
  <c r="AQ58" i="1" s="1"/>
  <c r="AN58" i="1"/>
  <c r="AN70" i="1"/>
  <c r="AN54" i="1"/>
  <c r="AH53" i="1"/>
  <c r="AQ53" i="1" s="1"/>
  <c r="AN56" i="1"/>
  <c r="AH50" i="1"/>
  <c r="AQ50" i="1" s="1"/>
  <c r="AN52" i="1"/>
  <c r="AH48" i="1"/>
  <c r="AQ48" i="1" s="1"/>
  <c r="AN48" i="1"/>
  <c r="AN47" i="1"/>
  <c r="AH39" i="1"/>
  <c r="AQ39" i="1" s="1"/>
  <c r="AN38" i="1"/>
  <c r="AN43" i="1"/>
  <c r="AN31" i="1"/>
  <c r="AH30" i="1"/>
  <c r="AQ30" i="1" s="1"/>
  <c r="AN30" i="1"/>
  <c r="AH33" i="1"/>
  <c r="AQ33" i="1" s="1"/>
  <c r="AN32" i="1"/>
  <c r="AH32" i="1"/>
  <c r="AQ32" i="1" s="1"/>
  <c r="AN34" i="1"/>
  <c r="AH37" i="1"/>
  <c r="AQ37" i="1" s="1"/>
  <c r="AN21" i="1"/>
  <c r="AN20" i="1"/>
  <c r="AH26" i="1"/>
  <c r="AQ26" i="1" s="1"/>
  <c r="AN26" i="1"/>
  <c r="AH27" i="1"/>
  <c r="AQ27" i="1" s="1"/>
  <c r="AN28" i="1"/>
  <c r="AH10" i="1"/>
  <c r="AQ10" i="1" s="1"/>
  <c r="AN24" i="1"/>
  <c r="AH25" i="1"/>
  <c r="AQ25" i="1" s="1"/>
  <c r="AN25" i="1"/>
  <c r="AN16" i="1"/>
  <c r="AH16" i="1"/>
  <c r="AQ16" i="1" s="1"/>
  <c r="AH12" i="1"/>
  <c r="AQ12" i="1" s="1"/>
  <c r="AN13" i="1"/>
  <c r="AN9" i="1"/>
  <c r="AN15" i="1"/>
  <c r="AH5" i="1"/>
  <c r="AN695" i="1"/>
  <c r="AN567" i="1"/>
  <c r="AN525" i="1"/>
  <c r="AN460" i="1"/>
  <c r="AN408" i="1"/>
  <c r="AN381" i="1"/>
  <c r="AN328" i="1"/>
  <c r="AN284" i="1"/>
  <c r="AN172" i="1"/>
  <c r="AH172" i="1"/>
  <c r="AQ172" i="1" s="1"/>
  <c r="AN167" i="1"/>
  <c r="AH167" i="1"/>
  <c r="AQ167" i="1" s="1"/>
  <c r="AN165" i="1"/>
  <c r="AH165" i="1"/>
  <c r="AQ165" i="1" s="1"/>
  <c r="AN161" i="1"/>
  <c r="AH161" i="1"/>
  <c r="AQ161" i="1" s="1"/>
  <c r="AN154" i="1"/>
  <c r="AH154" i="1"/>
  <c r="AQ154" i="1" s="1"/>
  <c r="AN155" i="1"/>
  <c r="AN140" i="1"/>
  <c r="AN141" i="1"/>
  <c r="AN118" i="1"/>
  <c r="AN96" i="1"/>
  <c r="AN89" i="1"/>
  <c r="AH57" i="1"/>
  <c r="AQ57" i="1" s="1"/>
  <c r="AN57" i="1"/>
  <c r="AN64" i="1"/>
  <c r="AN39" i="1"/>
  <c r="AN33" i="1"/>
  <c r="AH23" i="1"/>
  <c r="AQ23" i="1" s="1"/>
  <c r="AN23" i="1"/>
  <c r="AH8" i="1"/>
  <c r="AQ8" i="1" s="1"/>
  <c r="AN8" i="1"/>
  <c r="AN902" i="1"/>
  <c r="AN742" i="1"/>
  <c r="AN722" i="1"/>
  <c r="AN704" i="1"/>
  <c r="AN678" i="1"/>
  <c r="AN617" i="1"/>
  <c r="AN576" i="1"/>
  <c r="AN574" i="1"/>
  <c r="AN555" i="1"/>
  <c r="AN559" i="1"/>
  <c r="AN530" i="1"/>
  <c r="AN527" i="1"/>
  <c r="AN510" i="1"/>
  <c r="AN468" i="1"/>
  <c r="AN456" i="1"/>
  <c r="AH443" i="1"/>
  <c r="AQ443" i="1" s="1"/>
  <c r="AN443" i="1"/>
  <c r="AN434" i="1"/>
  <c r="AN407" i="1"/>
  <c r="AN371" i="1"/>
  <c r="AN355" i="1"/>
  <c r="AN349" i="1"/>
  <c r="AN329" i="1"/>
  <c r="AN317" i="1"/>
  <c r="AN298" i="1"/>
  <c r="AN274" i="1"/>
  <c r="AN268" i="1"/>
  <c r="AN225" i="1"/>
  <c r="AN218" i="1"/>
  <c r="AN183" i="1"/>
  <c r="AN176" i="1"/>
  <c r="AN177" i="1"/>
  <c r="AN174" i="1"/>
  <c r="AN175" i="1"/>
  <c r="AN168" i="1"/>
  <c r="AN171" i="1"/>
  <c r="AN157" i="1"/>
  <c r="AN156" i="1"/>
  <c r="AN149" i="1"/>
  <c r="AN151" i="1"/>
  <c r="AN153" i="1"/>
  <c r="AN148" i="1"/>
  <c r="AN138" i="1"/>
  <c r="AN130" i="1"/>
  <c r="AN136" i="1"/>
  <c r="AN124" i="1"/>
  <c r="AN121" i="1"/>
  <c r="AN117" i="1"/>
  <c r="AN106" i="1"/>
  <c r="AH107" i="1"/>
  <c r="AQ107" i="1" s="1"/>
  <c r="AN107" i="1"/>
  <c r="AN103" i="1"/>
  <c r="AN109" i="1"/>
  <c r="AN102" i="1"/>
  <c r="AN97" i="1"/>
  <c r="AN91" i="1"/>
  <c r="AN94" i="1"/>
  <c r="AN93" i="1"/>
  <c r="AN81" i="1"/>
  <c r="AH82" i="1"/>
  <c r="AQ82" i="1" s="1"/>
  <c r="AN83" i="1"/>
  <c r="AN85" i="1"/>
  <c r="AN77" i="1"/>
  <c r="AN74" i="1"/>
  <c r="AN72" i="1"/>
  <c r="AN60" i="1"/>
  <c r="AN65" i="1"/>
  <c r="AN62" i="1"/>
  <c r="AN59" i="1"/>
  <c r="AN53" i="1"/>
  <c r="AN50" i="1"/>
  <c r="AH49" i="1"/>
  <c r="AQ49" i="1" s="1"/>
  <c r="AH44" i="1"/>
  <c r="AQ44" i="1" s="1"/>
  <c r="AN41" i="1"/>
  <c r="AN37" i="1"/>
  <c r="AH18" i="1"/>
  <c r="AQ18" i="1" s="1"/>
  <c r="AN18" i="1"/>
  <c r="AN19" i="1"/>
  <c r="AN27" i="1"/>
  <c r="AN22" i="1"/>
  <c r="AN10" i="1"/>
  <c r="AH6" i="1"/>
  <c r="AQ6" i="1" s="1"/>
  <c r="AN6" i="1"/>
  <c r="AN14" i="1"/>
  <c r="AN5" i="1"/>
  <c r="AN1154" i="1"/>
  <c r="AN547" i="1"/>
  <c r="AN487" i="1"/>
  <c r="AN412" i="1"/>
  <c r="AN367" i="1"/>
  <c r="AN335" i="1"/>
  <c r="AN309" i="1"/>
  <c r="AN249" i="1"/>
  <c r="AN219" i="1"/>
  <c r="AN189" i="1"/>
  <c r="AN166" i="1"/>
  <c r="AN137" i="1"/>
  <c r="AN128" i="1"/>
  <c r="AN120" i="1"/>
  <c r="AN110" i="1"/>
  <c r="AN100" i="1"/>
  <c r="AN82" i="1"/>
  <c r="AN66" i="1"/>
  <c r="AN69" i="1"/>
  <c r="AN63" i="1"/>
  <c r="AN49" i="1"/>
  <c r="AN44" i="1"/>
  <c r="AN29" i="1"/>
  <c r="AN11" i="1"/>
  <c r="AN12" i="1"/>
  <c r="AN4" i="1"/>
  <c r="AH4" i="1"/>
  <c r="AQ4" i="1" s="1"/>
  <c r="AU1374" i="1" l="1"/>
  <c r="AU1373" i="1" s="1"/>
  <c r="AU1372" i="1" s="1"/>
  <c r="AU1371" i="1" s="1"/>
  <c r="AQ5" i="1"/>
  <c r="AU1370" i="1"/>
  <c r="AU1369" i="1" s="1"/>
  <c r="AU1368" i="1" s="1"/>
  <c r="AU1367" i="1" s="1"/>
  <c r="AU1366" i="1" s="1"/>
  <c r="AU1365" i="1" s="1"/>
  <c r="AU1364" i="1" s="1"/>
  <c r="AU1363" i="1" s="1"/>
  <c r="AU1362" i="1" s="1"/>
  <c r="AU1361" i="1" s="1"/>
  <c r="AU1360" i="1" s="1"/>
  <c r="AU1359" i="1" s="1"/>
  <c r="AU1358" i="1" s="1"/>
  <c r="AU1357" i="1" s="1"/>
  <c r="AU1356" i="1" s="1"/>
  <c r="AU1355" i="1" s="1"/>
  <c r="AU1354" i="1" s="1"/>
  <c r="AU1353" i="1" s="1"/>
  <c r="AU1352" i="1" s="1"/>
  <c r="AU1351" i="1" s="1"/>
  <c r="AU1350" i="1" s="1"/>
  <c r="AU1349" i="1" s="1"/>
  <c r="AU1348" i="1" s="1"/>
  <c r="AU1347" i="1" s="1"/>
  <c r="AU1346" i="1" s="1"/>
  <c r="AU1345" i="1" s="1"/>
  <c r="AU1344" i="1" s="1"/>
  <c r="AU1343" i="1" s="1"/>
  <c r="AU1342" i="1" s="1"/>
  <c r="AU1341" i="1" s="1"/>
  <c r="AU1340" i="1" s="1"/>
  <c r="AU1339" i="1" s="1"/>
  <c r="AU1338" i="1" s="1"/>
  <c r="AU1337" i="1" s="1"/>
  <c r="AU1336" i="1" s="1"/>
  <c r="AU1335" i="1" s="1"/>
  <c r="AU1334" i="1" s="1"/>
  <c r="AU1333" i="1" s="1"/>
  <c r="AU1332" i="1" s="1"/>
  <c r="AU1331" i="1" s="1"/>
  <c r="AU1330" i="1" s="1"/>
  <c r="AU1329" i="1" s="1"/>
  <c r="AU1328" i="1" s="1"/>
  <c r="AU1327" i="1" s="1"/>
  <c r="AU1326" i="1" s="1"/>
  <c r="AU1325" i="1" s="1"/>
  <c r="AU1324" i="1" s="1"/>
  <c r="AU1323" i="1" s="1"/>
  <c r="AU1322" i="1" s="1"/>
  <c r="AU1321" i="1" s="1"/>
  <c r="AU1320" i="1" s="1"/>
  <c r="AU1319" i="1" s="1"/>
  <c r="AU1318" i="1" s="1"/>
  <c r="AU1317" i="1" s="1"/>
  <c r="AU1316" i="1" s="1"/>
  <c r="AU1315" i="1" s="1"/>
  <c r="AU1314" i="1" s="1"/>
  <c r="AU1313" i="1" s="1"/>
  <c r="AU1312" i="1" s="1"/>
  <c r="AU1311" i="1" s="1"/>
  <c r="AU1310" i="1" s="1"/>
  <c r="AU1309" i="1" s="1"/>
  <c r="AU1308" i="1" s="1"/>
  <c r="AU1307" i="1" s="1"/>
  <c r="AU1306" i="1" s="1"/>
  <c r="AU1305" i="1" s="1"/>
  <c r="AU1304" i="1" s="1"/>
  <c r="AU1303" i="1" s="1"/>
  <c r="AU1302" i="1" s="1"/>
  <c r="AU1301" i="1" s="1"/>
  <c r="AU1300" i="1" s="1"/>
  <c r="AU1299" i="1" s="1"/>
  <c r="AU1298" i="1" s="1"/>
  <c r="AU1297" i="1" s="1"/>
  <c r="AU1296" i="1" s="1"/>
  <c r="AU1295" i="1" s="1"/>
  <c r="AU1294" i="1" s="1"/>
  <c r="AU1293" i="1" s="1"/>
  <c r="AU1292" i="1" s="1"/>
  <c r="AU1291" i="1" s="1"/>
  <c r="AU1290" i="1" s="1"/>
  <c r="AU1289" i="1" s="1"/>
  <c r="AU1288" i="1" s="1"/>
  <c r="AU1287" i="1" s="1"/>
  <c r="AU1286" i="1" s="1"/>
  <c r="AU1285" i="1" s="1"/>
  <c r="AU1284" i="1" s="1"/>
  <c r="AU1283" i="1" s="1"/>
  <c r="AU1282" i="1" s="1"/>
  <c r="AU1281" i="1" s="1"/>
  <c r="AU1280" i="1" s="1"/>
  <c r="AU1279" i="1" s="1"/>
  <c r="AU1278" i="1" s="1"/>
  <c r="AU1277" i="1" s="1"/>
  <c r="AU1276" i="1" s="1"/>
  <c r="AU1275" i="1" s="1"/>
  <c r="AU1274" i="1" s="1"/>
  <c r="AU1273" i="1" s="1"/>
  <c r="AU1272" i="1" s="1"/>
  <c r="AU1271" i="1" s="1"/>
  <c r="AU1270" i="1" s="1"/>
  <c r="AU1269" i="1" s="1"/>
  <c r="AU1268" i="1" s="1"/>
  <c r="AU1267" i="1" s="1"/>
  <c r="AU1266" i="1" s="1"/>
  <c r="AU1265" i="1" s="1"/>
  <c r="AU1264" i="1" s="1"/>
  <c r="AU1263" i="1" s="1"/>
  <c r="AU1262" i="1" s="1"/>
  <c r="AU1261" i="1" s="1"/>
  <c r="AU1260" i="1" s="1"/>
  <c r="AU1259" i="1" s="1"/>
  <c r="AU1258" i="1" s="1"/>
  <c r="AU1257" i="1" s="1"/>
  <c r="AU1256" i="1" s="1"/>
  <c r="AU1255" i="1" s="1"/>
  <c r="AU1254" i="1" s="1"/>
  <c r="AU1253" i="1" s="1"/>
  <c r="AU1252" i="1" s="1"/>
  <c r="AU1251" i="1" s="1"/>
  <c r="AU1250" i="1" s="1"/>
  <c r="AU1249" i="1" s="1"/>
  <c r="AU1248" i="1" s="1"/>
  <c r="AU1247" i="1" s="1"/>
  <c r="AU1246" i="1" s="1"/>
  <c r="AU1245" i="1" s="1"/>
  <c r="AU1244" i="1" s="1"/>
  <c r="AU1243" i="1" s="1"/>
  <c r="AU1242" i="1" s="1"/>
  <c r="AU1241" i="1" s="1"/>
  <c r="AU1240" i="1" s="1"/>
  <c r="AU1239" i="1" s="1"/>
  <c r="AU1238" i="1" s="1"/>
  <c r="AU1237" i="1" s="1"/>
  <c r="AU1236" i="1" s="1"/>
  <c r="AU1235" i="1" s="1"/>
  <c r="AU1234" i="1" s="1"/>
  <c r="AU1233" i="1" s="1"/>
  <c r="AU1232" i="1" s="1"/>
  <c r="AU1231" i="1" s="1"/>
  <c r="AU1230" i="1" s="1"/>
  <c r="AU1229" i="1" s="1"/>
  <c r="AU1228" i="1" s="1"/>
  <c r="AU1227" i="1" s="1"/>
  <c r="AU1226" i="1" s="1"/>
  <c r="AU1225" i="1" s="1"/>
  <c r="AU1224" i="1" s="1"/>
  <c r="AU1223" i="1" s="1"/>
  <c r="AU1222" i="1" s="1"/>
  <c r="AU1221" i="1" s="1"/>
  <c r="AU1220" i="1" s="1"/>
  <c r="AU1219" i="1" s="1"/>
  <c r="AU1218" i="1" s="1"/>
  <c r="AU1217" i="1" s="1"/>
  <c r="AU1216" i="1" s="1"/>
  <c r="AU1215" i="1" s="1"/>
  <c r="AU1214" i="1" s="1"/>
  <c r="AU1213" i="1" s="1"/>
  <c r="AU1212" i="1" s="1"/>
  <c r="AU1211" i="1" s="1"/>
  <c r="AU1210" i="1" s="1"/>
  <c r="AU1209" i="1" s="1"/>
  <c r="AU1208" i="1" s="1"/>
  <c r="AU1207" i="1" s="1"/>
  <c r="AU1206" i="1" s="1"/>
  <c r="AU1205" i="1" s="1"/>
  <c r="AU1204" i="1" s="1"/>
  <c r="AU1203" i="1" s="1"/>
  <c r="AU1202" i="1" s="1"/>
  <c r="AU1201" i="1" s="1"/>
  <c r="AU1200" i="1" s="1"/>
  <c r="AU1199" i="1" s="1"/>
  <c r="AU1198" i="1" s="1"/>
  <c r="AU1197" i="1" s="1"/>
  <c r="AU1196" i="1" s="1"/>
  <c r="AU1195" i="1" s="1"/>
  <c r="AU1194" i="1" s="1"/>
  <c r="AU1193" i="1" s="1"/>
  <c r="AU1192" i="1" s="1"/>
  <c r="AU1191" i="1" s="1"/>
  <c r="AU1190" i="1" s="1"/>
  <c r="AU1189" i="1" s="1"/>
  <c r="AU1188" i="1" s="1"/>
  <c r="AU1187" i="1" s="1"/>
  <c r="AU1186" i="1" s="1"/>
  <c r="AU1185" i="1" s="1"/>
  <c r="AU1184" i="1" s="1"/>
  <c r="AU1183" i="1" s="1"/>
  <c r="AU1182" i="1" s="1"/>
  <c r="AU1181" i="1" s="1"/>
  <c r="AU1180" i="1" s="1"/>
  <c r="AU1179" i="1" s="1"/>
  <c r="AU1178" i="1" s="1"/>
  <c r="AU1177" i="1" s="1"/>
  <c r="AU1176" i="1" s="1"/>
  <c r="AU1175" i="1" s="1"/>
  <c r="AU1174" i="1" s="1"/>
  <c r="AU1173" i="1" s="1"/>
  <c r="AU1172" i="1" s="1"/>
  <c r="AU1171" i="1" s="1"/>
  <c r="AU1170" i="1" s="1"/>
  <c r="AU1169" i="1" s="1"/>
  <c r="AU1168" i="1" s="1"/>
  <c r="AU1167" i="1" s="1"/>
  <c r="AU1166" i="1" s="1"/>
  <c r="AU1165" i="1" s="1"/>
  <c r="AU1164" i="1" s="1"/>
  <c r="AU1163" i="1" s="1"/>
  <c r="AU1162" i="1" s="1"/>
  <c r="AU1161" i="1" s="1"/>
  <c r="AU1160" i="1" s="1"/>
  <c r="AU1159" i="1" s="1"/>
  <c r="AU1158" i="1" s="1"/>
  <c r="AU1157" i="1" s="1"/>
  <c r="AU1156" i="1" s="1"/>
  <c r="AU1155" i="1" s="1"/>
  <c r="AU1154" i="1" s="1"/>
  <c r="AU1153" i="1" s="1"/>
  <c r="AU1152" i="1" s="1"/>
  <c r="AU1151" i="1" s="1"/>
  <c r="AU1150" i="1" s="1"/>
  <c r="AU1149" i="1" s="1"/>
  <c r="AU1148" i="1" s="1"/>
  <c r="AU1147" i="1" s="1"/>
  <c r="AU1146" i="1" s="1"/>
  <c r="AU1145" i="1" s="1"/>
  <c r="AU1144" i="1" s="1"/>
  <c r="AU1143" i="1" s="1"/>
  <c r="AU1142" i="1" s="1"/>
  <c r="AU1141" i="1" s="1"/>
  <c r="AU1140" i="1" s="1"/>
  <c r="AU1139" i="1" s="1"/>
  <c r="AU1138" i="1" s="1"/>
  <c r="AU1137" i="1" s="1"/>
  <c r="AU1136" i="1" s="1"/>
  <c r="AU1135" i="1" s="1"/>
  <c r="AU1134" i="1" s="1"/>
  <c r="AU1133" i="1" s="1"/>
  <c r="AU1132" i="1" s="1"/>
  <c r="AU1131" i="1" s="1"/>
  <c r="AU1130" i="1" s="1"/>
  <c r="AU1129" i="1" s="1"/>
  <c r="AU1128" i="1" s="1"/>
  <c r="AU1127" i="1" s="1"/>
  <c r="AU1126" i="1" s="1"/>
  <c r="AU1125" i="1" s="1"/>
  <c r="AU1124" i="1" s="1"/>
  <c r="AU1123" i="1" s="1"/>
  <c r="AU1122" i="1" s="1"/>
  <c r="AU1121" i="1" s="1"/>
  <c r="AU1120" i="1" s="1"/>
  <c r="AU1119" i="1" s="1"/>
  <c r="AU1118" i="1" s="1"/>
  <c r="AU1117" i="1" s="1"/>
  <c r="AU1116" i="1" s="1"/>
  <c r="AU1115" i="1" s="1"/>
  <c r="AU1114" i="1" s="1"/>
  <c r="AU1113" i="1" s="1"/>
  <c r="AU1112" i="1" s="1"/>
  <c r="AU1111" i="1" s="1"/>
  <c r="AU1110" i="1" s="1"/>
  <c r="AU1109" i="1" s="1"/>
  <c r="AU1108" i="1" s="1"/>
  <c r="AU1107" i="1" s="1"/>
  <c r="AU1106" i="1" s="1"/>
  <c r="AU1105" i="1" s="1"/>
  <c r="AU1104" i="1" s="1"/>
  <c r="AU1103" i="1" s="1"/>
  <c r="AU1102" i="1" s="1"/>
  <c r="AU1101" i="1" s="1"/>
  <c r="AU1100" i="1" s="1"/>
  <c r="AU1099" i="1" s="1"/>
  <c r="AU1098" i="1" s="1"/>
  <c r="AU1097" i="1" s="1"/>
  <c r="AU1096" i="1" s="1"/>
  <c r="AU1095" i="1" s="1"/>
  <c r="AU1094" i="1" s="1"/>
  <c r="AU1093" i="1" s="1"/>
  <c r="AU1092" i="1" s="1"/>
  <c r="AU1091" i="1" s="1"/>
  <c r="AU1090" i="1" s="1"/>
  <c r="AU1089" i="1" s="1"/>
  <c r="AU1088" i="1" s="1"/>
  <c r="AU1087" i="1" s="1"/>
  <c r="AU1086" i="1" s="1"/>
  <c r="AU1085" i="1" s="1"/>
  <c r="AU1084" i="1" s="1"/>
  <c r="AU1083" i="1" s="1"/>
  <c r="AU1082" i="1" s="1"/>
  <c r="AU1081" i="1" s="1"/>
  <c r="AU1080" i="1" s="1"/>
  <c r="AU1079" i="1" s="1"/>
  <c r="AU1078" i="1" s="1"/>
  <c r="AU1077" i="1" s="1"/>
  <c r="AU1076" i="1" s="1"/>
  <c r="AU1075" i="1" s="1"/>
  <c r="AU1074" i="1" s="1"/>
  <c r="AU1073" i="1" s="1"/>
  <c r="AU1072" i="1" s="1"/>
  <c r="AU1071" i="1" s="1"/>
  <c r="AU1070" i="1" s="1"/>
  <c r="AU1069" i="1" s="1"/>
  <c r="AU1068" i="1" s="1"/>
  <c r="AU1067" i="1" s="1"/>
  <c r="AU1066" i="1" s="1"/>
  <c r="AU1065" i="1" s="1"/>
  <c r="AU1064" i="1" s="1"/>
  <c r="AU1063" i="1" s="1"/>
  <c r="AU1062" i="1" s="1"/>
  <c r="AU1061" i="1" s="1"/>
  <c r="AU1060" i="1" s="1"/>
  <c r="AU1059" i="1" s="1"/>
  <c r="AU1058" i="1" s="1"/>
  <c r="AU1057" i="1" s="1"/>
  <c r="AU1056" i="1" s="1"/>
  <c r="AU1055" i="1" s="1"/>
  <c r="AU1054" i="1" s="1"/>
  <c r="AU1053" i="1" s="1"/>
  <c r="AU1052" i="1" s="1"/>
  <c r="AU1051" i="1" s="1"/>
  <c r="AU1050" i="1" s="1"/>
  <c r="AU1049" i="1" s="1"/>
  <c r="AU1048" i="1" s="1"/>
  <c r="AU1047" i="1" s="1"/>
  <c r="AU1046" i="1" s="1"/>
  <c r="AU1045" i="1" s="1"/>
  <c r="AU1044" i="1" s="1"/>
  <c r="AU1043" i="1" s="1"/>
  <c r="AU1042" i="1" s="1"/>
  <c r="AU1041" i="1" s="1"/>
  <c r="AU1040" i="1" s="1"/>
  <c r="AU1039" i="1" s="1"/>
  <c r="AU1038" i="1" s="1"/>
  <c r="AU1037" i="1" s="1"/>
  <c r="AU1036" i="1" s="1"/>
  <c r="AU1035" i="1" s="1"/>
  <c r="AU1034" i="1" s="1"/>
  <c r="AU1033" i="1" s="1"/>
  <c r="AU1032" i="1" s="1"/>
  <c r="AU1031" i="1" s="1"/>
  <c r="AU1030" i="1" s="1"/>
  <c r="AU1029" i="1" s="1"/>
  <c r="AU1028" i="1" s="1"/>
  <c r="AU1027" i="1" s="1"/>
  <c r="AU1026" i="1" s="1"/>
  <c r="AU1025" i="1" s="1"/>
  <c r="AU1024" i="1" s="1"/>
  <c r="AU1023" i="1" s="1"/>
  <c r="AU1022" i="1" s="1"/>
  <c r="AU1021" i="1" s="1"/>
  <c r="AU1020" i="1" s="1"/>
  <c r="AU1019" i="1" s="1"/>
  <c r="AU1018" i="1" s="1"/>
  <c r="AU1017" i="1" s="1"/>
  <c r="AU1016" i="1" s="1"/>
  <c r="AU1015" i="1" s="1"/>
  <c r="AU1014" i="1" s="1"/>
  <c r="AU1013" i="1" s="1"/>
  <c r="AU1012" i="1" s="1"/>
  <c r="AU1011" i="1" s="1"/>
  <c r="AU1010" i="1" s="1"/>
  <c r="AU1009" i="1" s="1"/>
  <c r="AU1008" i="1" s="1"/>
  <c r="AU1007" i="1" s="1"/>
  <c r="AU1006" i="1" s="1"/>
  <c r="AU1005" i="1" s="1"/>
  <c r="AU1004" i="1" s="1"/>
  <c r="AU1003" i="1" s="1"/>
  <c r="AU1002" i="1" s="1"/>
  <c r="AU1001" i="1" s="1"/>
  <c r="AU1000" i="1" s="1"/>
  <c r="AU999" i="1" s="1"/>
  <c r="AU998" i="1" s="1"/>
  <c r="AU997" i="1" s="1"/>
  <c r="AU996" i="1" s="1"/>
  <c r="AU995" i="1" s="1"/>
  <c r="AU994" i="1" s="1"/>
  <c r="AU993" i="1" s="1"/>
  <c r="AU992" i="1" s="1"/>
  <c r="AU991" i="1" s="1"/>
  <c r="AU990" i="1" s="1"/>
  <c r="AU989" i="1" s="1"/>
  <c r="AU988" i="1" s="1"/>
  <c r="AU987" i="1" s="1"/>
  <c r="AU986" i="1" s="1"/>
  <c r="AU985" i="1" s="1"/>
  <c r="AU984" i="1" s="1"/>
  <c r="AU983" i="1" s="1"/>
  <c r="AU982" i="1" s="1"/>
  <c r="AU981" i="1" s="1"/>
  <c r="AU980" i="1" s="1"/>
  <c r="AU979" i="1" s="1"/>
  <c r="AU978" i="1" s="1"/>
  <c r="AU977" i="1" s="1"/>
  <c r="AU976" i="1" s="1"/>
  <c r="AU975" i="1" s="1"/>
  <c r="AU974" i="1" s="1"/>
  <c r="AU973" i="1" s="1"/>
  <c r="AU972" i="1" s="1"/>
  <c r="AU971" i="1" s="1"/>
  <c r="AU970" i="1" s="1"/>
  <c r="AU969" i="1" s="1"/>
  <c r="AU968" i="1" s="1"/>
  <c r="AU967" i="1" s="1"/>
  <c r="AU966" i="1" s="1"/>
  <c r="AU965" i="1" s="1"/>
  <c r="AU964" i="1" s="1"/>
  <c r="AU963" i="1" s="1"/>
  <c r="AU962" i="1" s="1"/>
  <c r="AU961" i="1" s="1"/>
  <c r="AU960" i="1" s="1"/>
  <c r="AU959" i="1" s="1"/>
  <c r="AU958" i="1" s="1"/>
  <c r="AU957" i="1" s="1"/>
  <c r="AU956" i="1" s="1"/>
  <c r="AU955" i="1" s="1"/>
  <c r="AU954" i="1" s="1"/>
  <c r="AU953" i="1" s="1"/>
  <c r="AU952" i="1" s="1"/>
  <c r="AU951" i="1" s="1"/>
  <c r="AU950" i="1" s="1"/>
  <c r="AU949" i="1" s="1"/>
  <c r="AU948" i="1" s="1"/>
  <c r="AU947" i="1" s="1"/>
  <c r="AU946" i="1" s="1"/>
  <c r="AU945" i="1" s="1"/>
  <c r="AU944" i="1" s="1"/>
  <c r="AU943" i="1" s="1"/>
  <c r="AU942" i="1" s="1"/>
  <c r="AU941" i="1" s="1"/>
  <c r="AU940" i="1" s="1"/>
  <c r="AU939" i="1" s="1"/>
  <c r="AU938" i="1" s="1"/>
  <c r="AU937" i="1" s="1"/>
  <c r="AU936" i="1" s="1"/>
  <c r="AU935" i="1" s="1"/>
  <c r="AU934" i="1" s="1"/>
  <c r="AU933" i="1" s="1"/>
  <c r="AU932" i="1" s="1"/>
  <c r="AU931" i="1" s="1"/>
  <c r="AU930" i="1" s="1"/>
  <c r="AU929" i="1" s="1"/>
  <c r="AU928" i="1" s="1"/>
  <c r="AU927" i="1" s="1"/>
  <c r="AU926" i="1" s="1"/>
  <c r="AU925" i="1" s="1"/>
  <c r="AU924" i="1" s="1"/>
  <c r="AU923" i="1" s="1"/>
  <c r="AU922" i="1" s="1"/>
  <c r="AU921" i="1" s="1"/>
  <c r="AU920" i="1" s="1"/>
  <c r="AU919" i="1" s="1"/>
  <c r="AU918" i="1" s="1"/>
  <c r="AU917" i="1" s="1"/>
  <c r="AU916" i="1" s="1"/>
  <c r="AU915" i="1" s="1"/>
  <c r="AU914" i="1" s="1"/>
  <c r="AU913" i="1" s="1"/>
  <c r="AU912" i="1" s="1"/>
  <c r="AU911" i="1" s="1"/>
  <c r="AU910" i="1" s="1"/>
  <c r="AU909" i="1" s="1"/>
  <c r="AU908" i="1" s="1"/>
  <c r="AU907" i="1" s="1"/>
  <c r="AU906" i="1" s="1"/>
  <c r="AU905" i="1" s="1"/>
  <c r="AU904" i="1" s="1"/>
  <c r="AU903" i="1" s="1"/>
  <c r="AU902" i="1" s="1"/>
  <c r="AU901" i="1" s="1"/>
  <c r="AU900" i="1" s="1"/>
  <c r="AU899" i="1" s="1"/>
  <c r="AU898" i="1" s="1"/>
  <c r="AU897" i="1" s="1"/>
  <c r="AU896" i="1" s="1"/>
  <c r="AU895" i="1" s="1"/>
  <c r="AU894" i="1" s="1"/>
  <c r="AU893" i="1" s="1"/>
  <c r="AU892" i="1" s="1"/>
  <c r="AU891" i="1" s="1"/>
  <c r="AU890" i="1" s="1"/>
  <c r="AU889" i="1" s="1"/>
  <c r="AU888" i="1" s="1"/>
  <c r="AU887" i="1" s="1"/>
  <c r="AU886" i="1" s="1"/>
  <c r="AU885" i="1" s="1"/>
  <c r="AU884" i="1" s="1"/>
  <c r="AU883" i="1" s="1"/>
  <c r="AU882" i="1" s="1"/>
  <c r="AU881" i="1" s="1"/>
  <c r="AU880" i="1" s="1"/>
  <c r="AU879" i="1" s="1"/>
  <c r="AU878" i="1" s="1"/>
  <c r="AU877" i="1" s="1"/>
  <c r="AU876" i="1" s="1"/>
  <c r="AU875" i="1" s="1"/>
  <c r="AU874" i="1" s="1"/>
  <c r="AU873" i="1" s="1"/>
  <c r="AU872" i="1" s="1"/>
  <c r="AU871" i="1" s="1"/>
  <c r="AU870" i="1" s="1"/>
  <c r="AU869" i="1" s="1"/>
  <c r="AU868" i="1" s="1"/>
  <c r="AU867" i="1" s="1"/>
  <c r="AU866" i="1" s="1"/>
  <c r="AU865" i="1" s="1"/>
  <c r="AU864" i="1" s="1"/>
  <c r="AU863" i="1" s="1"/>
  <c r="AU862" i="1" s="1"/>
  <c r="AU861" i="1" s="1"/>
  <c r="AU860" i="1" s="1"/>
  <c r="AU859" i="1" s="1"/>
  <c r="AU858" i="1" s="1"/>
  <c r="AU857" i="1" s="1"/>
  <c r="AU856" i="1" s="1"/>
  <c r="AU855" i="1" s="1"/>
  <c r="AU854" i="1" s="1"/>
  <c r="AU853" i="1" s="1"/>
  <c r="AU852" i="1" s="1"/>
  <c r="AU851" i="1" s="1"/>
  <c r="AU850" i="1" s="1"/>
  <c r="AU849" i="1" s="1"/>
  <c r="AU848" i="1" s="1"/>
  <c r="AU847" i="1" s="1"/>
  <c r="AU846" i="1" s="1"/>
  <c r="AU845" i="1" s="1"/>
  <c r="AU844" i="1" s="1"/>
  <c r="AU843" i="1" s="1"/>
  <c r="AU842" i="1" s="1"/>
  <c r="AU841" i="1" s="1"/>
  <c r="AU840" i="1" s="1"/>
  <c r="AU839" i="1" s="1"/>
  <c r="AU838" i="1" s="1"/>
  <c r="AU837" i="1" s="1"/>
  <c r="AU836" i="1" s="1"/>
  <c r="AU835" i="1" s="1"/>
  <c r="AU834" i="1" s="1"/>
  <c r="AU833" i="1" s="1"/>
  <c r="AU832" i="1" s="1"/>
  <c r="AU831" i="1" s="1"/>
  <c r="AU830" i="1" s="1"/>
  <c r="AU829" i="1" s="1"/>
  <c r="AU828" i="1" s="1"/>
  <c r="AU827" i="1" s="1"/>
  <c r="AU826" i="1" s="1"/>
  <c r="AU825" i="1" s="1"/>
  <c r="AU824" i="1" s="1"/>
  <c r="AU823" i="1" s="1"/>
  <c r="AU822" i="1" s="1"/>
  <c r="AU821" i="1" s="1"/>
  <c r="AU820" i="1" s="1"/>
  <c r="AU819" i="1" s="1"/>
  <c r="AU818" i="1" s="1"/>
  <c r="AU817" i="1" s="1"/>
  <c r="AU816" i="1" s="1"/>
  <c r="AU815" i="1" s="1"/>
  <c r="AU814" i="1" s="1"/>
  <c r="AU813" i="1" s="1"/>
  <c r="AU812" i="1" s="1"/>
  <c r="AU811" i="1" s="1"/>
  <c r="AU810" i="1" s="1"/>
  <c r="AU809" i="1" s="1"/>
  <c r="AU808" i="1" s="1"/>
  <c r="AU807" i="1" s="1"/>
  <c r="AU806" i="1" s="1"/>
  <c r="AU805" i="1" s="1"/>
  <c r="AU804" i="1" s="1"/>
  <c r="AU803" i="1" s="1"/>
  <c r="AU802" i="1" s="1"/>
  <c r="AU801" i="1" s="1"/>
  <c r="AU800" i="1" s="1"/>
  <c r="AU799" i="1" s="1"/>
  <c r="AU798" i="1" s="1"/>
  <c r="AU797" i="1" s="1"/>
  <c r="AU796" i="1" s="1"/>
  <c r="AU795" i="1" s="1"/>
  <c r="AU794" i="1" s="1"/>
  <c r="AU793" i="1" s="1"/>
  <c r="AU792" i="1" s="1"/>
  <c r="AU791" i="1" s="1"/>
  <c r="AU790" i="1" s="1"/>
  <c r="AU789" i="1" s="1"/>
  <c r="AU788" i="1" s="1"/>
  <c r="AU787" i="1" s="1"/>
  <c r="AU786" i="1" s="1"/>
  <c r="AU785" i="1" s="1"/>
  <c r="AU784" i="1" s="1"/>
  <c r="AU783" i="1" s="1"/>
  <c r="AU782" i="1" s="1"/>
  <c r="AU781" i="1" s="1"/>
  <c r="AU780" i="1" s="1"/>
  <c r="AU779" i="1" s="1"/>
  <c r="AU778" i="1" s="1"/>
  <c r="AU777" i="1" s="1"/>
  <c r="AU776" i="1" s="1"/>
  <c r="AU775" i="1" s="1"/>
  <c r="AU774" i="1" s="1"/>
  <c r="AU773" i="1" s="1"/>
  <c r="AU772" i="1" s="1"/>
  <c r="AU771" i="1" s="1"/>
  <c r="AU770" i="1" s="1"/>
  <c r="AU769" i="1" s="1"/>
  <c r="AU768" i="1" s="1"/>
  <c r="AU767" i="1" s="1"/>
  <c r="AU766" i="1" s="1"/>
  <c r="AU765" i="1" s="1"/>
  <c r="AU764" i="1" s="1"/>
  <c r="AU763" i="1" s="1"/>
  <c r="AU762" i="1" s="1"/>
  <c r="AU761" i="1" s="1"/>
  <c r="AU760" i="1" s="1"/>
  <c r="AU759" i="1" s="1"/>
  <c r="AU758" i="1" s="1"/>
  <c r="AU757" i="1" s="1"/>
  <c r="AU756" i="1" s="1"/>
  <c r="AU755" i="1" s="1"/>
  <c r="AU754" i="1" s="1"/>
  <c r="AU753" i="1" s="1"/>
  <c r="AU752" i="1" s="1"/>
  <c r="AU751" i="1" s="1"/>
  <c r="AU750" i="1" s="1"/>
  <c r="AU749" i="1" s="1"/>
  <c r="AU748" i="1" s="1"/>
  <c r="AU747" i="1" s="1"/>
  <c r="AU746" i="1" s="1"/>
  <c r="AU745" i="1" s="1"/>
  <c r="AU744" i="1" s="1"/>
  <c r="AU743" i="1" s="1"/>
  <c r="AU742" i="1" s="1"/>
  <c r="AU741" i="1" s="1"/>
  <c r="AU740" i="1" s="1"/>
  <c r="AU739" i="1" s="1"/>
  <c r="AU738" i="1" s="1"/>
  <c r="AU737" i="1" s="1"/>
  <c r="AU736" i="1" s="1"/>
  <c r="AU735" i="1" s="1"/>
  <c r="AU734" i="1" s="1"/>
  <c r="AU733" i="1" s="1"/>
  <c r="AU732" i="1" s="1"/>
  <c r="AU731" i="1" s="1"/>
  <c r="AU730" i="1" s="1"/>
  <c r="AU729" i="1" s="1"/>
  <c r="AU728" i="1" s="1"/>
  <c r="AU727" i="1" s="1"/>
  <c r="AU726" i="1" s="1"/>
  <c r="AU725" i="1" s="1"/>
  <c r="AU724" i="1" s="1"/>
  <c r="AU723" i="1" s="1"/>
  <c r="AU722" i="1" s="1"/>
  <c r="AU721" i="1" s="1"/>
  <c r="AU720" i="1" s="1"/>
  <c r="AU719" i="1" s="1"/>
  <c r="AU718" i="1" s="1"/>
  <c r="AU717" i="1" s="1"/>
  <c r="AU716" i="1" s="1"/>
  <c r="AU715" i="1" s="1"/>
  <c r="AU714" i="1" s="1"/>
  <c r="AU713" i="1" s="1"/>
  <c r="AU712" i="1" s="1"/>
  <c r="AU711" i="1" s="1"/>
  <c r="AU710" i="1" s="1"/>
  <c r="AU709" i="1" s="1"/>
  <c r="AU708" i="1" s="1"/>
  <c r="AU707" i="1" s="1"/>
  <c r="AU706" i="1" s="1"/>
  <c r="AU705" i="1" s="1"/>
  <c r="AU704" i="1" s="1"/>
  <c r="AU703" i="1" s="1"/>
  <c r="AU702" i="1" s="1"/>
  <c r="AU701" i="1" s="1"/>
  <c r="AU700" i="1" s="1"/>
  <c r="AU699" i="1" s="1"/>
  <c r="AU698" i="1" s="1"/>
  <c r="AU697" i="1" s="1"/>
  <c r="AU696" i="1" s="1"/>
  <c r="AU695" i="1" s="1"/>
  <c r="AU694" i="1" s="1"/>
  <c r="AU693" i="1" s="1"/>
  <c r="AU692" i="1" s="1"/>
  <c r="AU691" i="1" s="1"/>
  <c r="AU690" i="1" s="1"/>
  <c r="AU689" i="1" s="1"/>
  <c r="AU688" i="1" s="1"/>
  <c r="AU687" i="1" s="1"/>
  <c r="AU686" i="1" s="1"/>
  <c r="AU685" i="1" s="1"/>
  <c r="AU684" i="1" s="1"/>
  <c r="AU683" i="1" s="1"/>
  <c r="AU682" i="1" s="1"/>
  <c r="AU681" i="1" s="1"/>
  <c r="AU680" i="1" s="1"/>
  <c r="AU679" i="1" s="1"/>
  <c r="AU678" i="1" s="1"/>
  <c r="AU677" i="1" s="1"/>
  <c r="AU676" i="1" s="1"/>
  <c r="AU675" i="1" s="1"/>
  <c r="AU674" i="1" s="1"/>
  <c r="AU673" i="1" s="1"/>
  <c r="AU672" i="1" s="1"/>
  <c r="AU671" i="1" s="1"/>
  <c r="AU670" i="1" s="1"/>
  <c r="AU669" i="1" s="1"/>
  <c r="AU668" i="1" s="1"/>
  <c r="AU667" i="1" s="1"/>
  <c r="AU666" i="1" s="1"/>
  <c r="AU665" i="1" s="1"/>
  <c r="AU664" i="1" s="1"/>
  <c r="AU663" i="1" s="1"/>
  <c r="AU662" i="1" s="1"/>
  <c r="AU661" i="1" s="1"/>
  <c r="AU660" i="1" s="1"/>
  <c r="AU659" i="1" s="1"/>
  <c r="AU658" i="1" s="1"/>
  <c r="AU657" i="1" s="1"/>
  <c r="AU656" i="1" s="1"/>
  <c r="AU655" i="1" s="1"/>
  <c r="AU654" i="1" s="1"/>
  <c r="AU653" i="1" s="1"/>
  <c r="AU652" i="1" s="1"/>
  <c r="AU651" i="1" s="1"/>
  <c r="AU650" i="1" s="1"/>
  <c r="AU649" i="1" s="1"/>
  <c r="AU648" i="1" s="1"/>
  <c r="AU647" i="1" s="1"/>
  <c r="AU646" i="1" s="1"/>
  <c r="AU645" i="1" s="1"/>
  <c r="AU644" i="1" s="1"/>
  <c r="AU643" i="1" s="1"/>
  <c r="AU642" i="1" s="1"/>
  <c r="AU641" i="1" s="1"/>
  <c r="AU640" i="1" s="1"/>
  <c r="AU639" i="1" s="1"/>
  <c r="AU638" i="1" s="1"/>
  <c r="AU637" i="1" s="1"/>
  <c r="AU636" i="1" s="1"/>
  <c r="AU635" i="1" s="1"/>
  <c r="AU634" i="1" s="1"/>
  <c r="AU633" i="1" s="1"/>
  <c r="AU632" i="1" s="1"/>
  <c r="AU631" i="1" s="1"/>
  <c r="AU630" i="1" s="1"/>
  <c r="AU629" i="1" s="1"/>
  <c r="AU628" i="1" s="1"/>
  <c r="AU627" i="1" s="1"/>
  <c r="AU626" i="1" s="1"/>
  <c r="AU625" i="1" s="1"/>
  <c r="AU624" i="1" s="1"/>
  <c r="AU623" i="1" s="1"/>
  <c r="AU622" i="1" s="1"/>
  <c r="AU621" i="1" s="1"/>
  <c r="AU620" i="1" s="1"/>
  <c r="AU619" i="1" s="1"/>
  <c r="AU618" i="1" s="1"/>
  <c r="AU617" i="1" s="1"/>
  <c r="AU616" i="1" s="1"/>
  <c r="AU615" i="1" s="1"/>
  <c r="AU614" i="1" s="1"/>
  <c r="AU613" i="1" s="1"/>
  <c r="AU612" i="1" s="1"/>
  <c r="AU611" i="1" s="1"/>
  <c r="AU610" i="1" s="1"/>
  <c r="AU609" i="1" s="1"/>
  <c r="AU608" i="1" s="1"/>
  <c r="AU607" i="1" s="1"/>
  <c r="AU606" i="1" s="1"/>
  <c r="AU605" i="1" s="1"/>
  <c r="AU604" i="1" s="1"/>
  <c r="AU603" i="1" s="1"/>
  <c r="AU602" i="1" s="1"/>
  <c r="AU601" i="1" s="1"/>
  <c r="AU600" i="1" s="1"/>
  <c r="AU599" i="1" s="1"/>
  <c r="AU598" i="1" s="1"/>
  <c r="AU597" i="1" s="1"/>
  <c r="AU596" i="1" s="1"/>
  <c r="AU595" i="1" s="1"/>
  <c r="AU594" i="1" s="1"/>
  <c r="AU593" i="1" s="1"/>
  <c r="AU592" i="1" s="1"/>
  <c r="AU591" i="1" s="1"/>
  <c r="AU590" i="1" s="1"/>
  <c r="AU589" i="1" s="1"/>
  <c r="AU588" i="1" s="1"/>
  <c r="AU587" i="1" s="1"/>
  <c r="AU586" i="1" s="1"/>
  <c r="AU585" i="1" s="1"/>
  <c r="AU584" i="1" s="1"/>
  <c r="AU583" i="1" s="1"/>
  <c r="AU582" i="1" s="1"/>
  <c r="AU581" i="1" s="1"/>
  <c r="AU580" i="1" s="1"/>
  <c r="AU579" i="1" s="1"/>
  <c r="AU578" i="1" s="1"/>
  <c r="AU577" i="1" s="1"/>
  <c r="AU576" i="1" s="1"/>
  <c r="AU575" i="1" s="1"/>
  <c r="AU574" i="1" s="1"/>
  <c r="AU573" i="1" s="1"/>
  <c r="AU572" i="1" s="1"/>
  <c r="AU571" i="1" s="1"/>
  <c r="AU570" i="1" s="1"/>
  <c r="AU569" i="1" s="1"/>
  <c r="AU568" i="1" s="1"/>
  <c r="AU567" i="1" s="1"/>
  <c r="AU566" i="1" s="1"/>
  <c r="AU565" i="1" s="1"/>
  <c r="AU564" i="1" s="1"/>
  <c r="AU563" i="1" s="1"/>
  <c r="AU562" i="1" s="1"/>
  <c r="AU561" i="1" s="1"/>
  <c r="AU560" i="1" s="1"/>
  <c r="AU559" i="1" s="1"/>
  <c r="AU558" i="1" s="1"/>
  <c r="AU557" i="1" s="1"/>
  <c r="AU556" i="1" s="1"/>
  <c r="AU555" i="1" s="1"/>
  <c r="AU554" i="1" s="1"/>
  <c r="AU553" i="1" s="1"/>
  <c r="AU552" i="1" s="1"/>
  <c r="AU551" i="1" s="1"/>
  <c r="AU550" i="1" s="1"/>
  <c r="AU549" i="1" s="1"/>
  <c r="AU548" i="1" s="1"/>
  <c r="AU547" i="1" s="1"/>
  <c r="AU546" i="1" s="1"/>
  <c r="AU545" i="1" s="1"/>
  <c r="AU544" i="1" s="1"/>
  <c r="AU543" i="1" s="1"/>
  <c r="AU542" i="1" s="1"/>
  <c r="AU541" i="1" s="1"/>
  <c r="AU540" i="1" s="1"/>
  <c r="AU539" i="1" s="1"/>
  <c r="AU538" i="1" s="1"/>
  <c r="AU537" i="1" s="1"/>
  <c r="AU536" i="1" s="1"/>
  <c r="AU535" i="1" s="1"/>
  <c r="AU534" i="1" s="1"/>
  <c r="AU533" i="1" s="1"/>
  <c r="AU532" i="1" s="1"/>
  <c r="AU531" i="1" s="1"/>
  <c r="AU530" i="1" s="1"/>
  <c r="AU529" i="1" s="1"/>
  <c r="AU528" i="1" s="1"/>
  <c r="AU527" i="1" s="1"/>
  <c r="AU526" i="1" s="1"/>
  <c r="AU525" i="1" s="1"/>
  <c r="AU524" i="1" s="1"/>
  <c r="AU523" i="1" s="1"/>
  <c r="AU522" i="1" s="1"/>
  <c r="AU521" i="1" s="1"/>
  <c r="AU520" i="1" s="1"/>
  <c r="AU519" i="1" s="1"/>
  <c r="AU518" i="1" s="1"/>
  <c r="AU517" i="1" s="1"/>
  <c r="AU516" i="1" s="1"/>
  <c r="AU515" i="1" s="1"/>
  <c r="AU514" i="1" s="1"/>
  <c r="AU513" i="1" s="1"/>
  <c r="AU512" i="1" s="1"/>
  <c r="AU511" i="1" s="1"/>
  <c r="AU510" i="1" s="1"/>
  <c r="AU509" i="1" s="1"/>
  <c r="AU508" i="1" s="1"/>
  <c r="AU507" i="1" s="1"/>
  <c r="AU506" i="1" s="1"/>
  <c r="AU505" i="1" s="1"/>
  <c r="AU504" i="1" s="1"/>
  <c r="AU503" i="1" s="1"/>
  <c r="AU502" i="1" s="1"/>
  <c r="AU501" i="1" s="1"/>
  <c r="AU500" i="1" s="1"/>
  <c r="AU499" i="1" s="1"/>
  <c r="AU498" i="1" s="1"/>
  <c r="AU497" i="1" s="1"/>
  <c r="AU496" i="1" s="1"/>
  <c r="AU495" i="1" s="1"/>
  <c r="AU494" i="1" s="1"/>
  <c r="AU493" i="1" s="1"/>
  <c r="AU492" i="1" s="1"/>
  <c r="AU491" i="1" s="1"/>
  <c r="AU490" i="1" s="1"/>
  <c r="AU489" i="1" s="1"/>
  <c r="AU488" i="1" s="1"/>
  <c r="AU487" i="1" s="1"/>
  <c r="AU486" i="1" s="1"/>
  <c r="AU485" i="1" s="1"/>
  <c r="AU484" i="1" s="1"/>
  <c r="AU483" i="1" s="1"/>
  <c r="AU482" i="1" s="1"/>
  <c r="AU481" i="1" s="1"/>
  <c r="AU480" i="1" s="1"/>
  <c r="AU479" i="1" s="1"/>
  <c r="AU478" i="1" s="1"/>
  <c r="AU477" i="1" s="1"/>
  <c r="AU476" i="1" s="1"/>
  <c r="AU475" i="1" s="1"/>
  <c r="AU474" i="1" s="1"/>
  <c r="AU473" i="1" s="1"/>
  <c r="AU472" i="1" s="1"/>
  <c r="AU471" i="1" s="1"/>
  <c r="AU470" i="1" s="1"/>
  <c r="AU469" i="1" s="1"/>
  <c r="AU468" i="1" s="1"/>
  <c r="AU467" i="1" s="1"/>
  <c r="AU466" i="1" s="1"/>
  <c r="AU465" i="1" s="1"/>
  <c r="AU464" i="1" s="1"/>
  <c r="AU463" i="1" s="1"/>
  <c r="AU462" i="1" s="1"/>
  <c r="AU461" i="1" s="1"/>
  <c r="AU460" i="1" s="1"/>
  <c r="AU459" i="1" s="1"/>
  <c r="AU458" i="1" s="1"/>
  <c r="AU457" i="1" s="1"/>
  <c r="AU456" i="1" s="1"/>
  <c r="AU455" i="1" s="1"/>
  <c r="AU454" i="1" s="1"/>
  <c r="AU453" i="1" s="1"/>
  <c r="AU452" i="1" s="1"/>
  <c r="AU451" i="1" s="1"/>
  <c r="AU450" i="1" s="1"/>
  <c r="AU449" i="1" s="1"/>
  <c r="AU448" i="1" s="1"/>
  <c r="AU447" i="1" s="1"/>
  <c r="AU446" i="1" s="1"/>
  <c r="AU445" i="1" s="1"/>
  <c r="AU444" i="1" s="1"/>
  <c r="AU443" i="1" s="1"/>
  <c r="AU442" i="1" s="1"/>
  <c r="AU441" i="1" s="1"/>
  <c r="AU440" i="1" s="1"/>
  <c r="AU439" i="1" s="1"/>
  <c r="AU438" i="1" s="1"/>
  <c r="AU437" i="1" s="1"/>
  <c r="AU436" i="1" s="1"/>
  <c r="AU435" i="1" s="1"/>
  <c r="AU434" i="1" s="1"/>
  <c r="AU433" i="1" s="1"/>
  <c r="AU432" i="1" s="1"/>
  <c r="AU431" i="1" s="1"/>
  <c r="AU430" i="1" s="1"/>
  <c r="AU429" i="1" s="1"/>
  <c r="AU428" i="1" s="1"/>
  <c r="AU427" i="1" s="1"/>
  <c r="AU426" i="1" s="1"/>
  <c r="AU425" i="1" s="1"/>
  <c r="AU424" i="1" s="1"/>
  <c r="AU423" i="1" s="1"/>
  <c r="AU422" i="1" s="1"/>
  <c r="AU421" i="1" s="1"/>
  <c r="AU420" i="1" s="1"/>
  <c r="AU419" i="1" s="1"/>
  <c r="AU418" i="1" s="1"/>
  <c r="AU417" i="1" s="1"/>
  <c r="AU416" i="1" s="1"/>
  <c r="AU415" i="1" s="1"/>
  <c r="AU414" i="1" s="1"/>
  <c r="AU413" i="1" s="1"/>
  <c r="AU412" i="1" s="1"/>
  <c r="AU411" i="1" s="1"/>
  <c r="AU410" i="1" s="1"/>
  <c r="AU409" i="1" s="1"/>
  <c r="AU408" i="1" s="1"/>
  <c r="AU407" i="1" s="1"/>
  <c r="AU406" i="1" s="1"/>
  <c r="AU405" i="1" s="1"/>
  <c r="AU404" i="1" s="1"/>
  <c r="AU403" i="1" s="1"/>
  <c r="AU402" i="1" s="1"/>
  <c r="AU401" i="1" s="1"/>
  <c r="AU400" i="1" s="1"/>
  <c r="AU399" i="1" s="1"/>
  <c r="AU398" i="1" s="1"/>
  <c r="AU397" i="1" s="1"/>
  <c r="AU396" i="1" s="1"/>
  <c r="AU395" i="1" s="1"/>
  <c r="AU394" i="1" s="1"/>
  <c r="AU393" i="1" s="1"/>
  <c r="AU392" i="1" s="1"/>
  <c r="AU391" i="1" s="1"/>
  <c r="AU390" i="1" s="1"/>
  <c r="AU389" i="1" s="1"/>
  <c r="AU388" i="1" s="1"/>
  <c r="AU387" i="1" s="1"/>
  <c r="AU386" i="1" s="1"/>
  <c r="AU385" i="1" s="1"/>
  <c r="AU384" i="1" s="1"/>
  <c r="AU383" i="1" s="1"/>
  <c r="AU382" i="1" s="1"/>
  <c r="AU381" i="1" s="1"/>
  <c r="AU380" i="1" s="1"/>
  <c r="AU379" i="1" s="1"/>
  <c r="AU378" i="1" s="1"/>
  <c r="AU377" i="1" s="1"/>
  <c r="AU376" i="1" s="1"/>
  <c r="AU375" i="1" s="1"/>
  <c r="AU374" i="1" s="1"/>
  <c r="AU373" i="1" s="1"/>
  <c r="AU372" i="1" s="1"/>
  <c r="AU371" i="1" s="1"/>
  <c r="AU370" i="1" s="1"/>
  <c r="AU369" i="1" s="1"/>
  <c r="AU368" i="1" s="1"/>
  <c r="AU367" i="1" s="1"/>
  <c r="AU366" i="1" s="1"/>
  <c r="AU365" i="1" s="1"/>
  <c r="AU364" i="1" s="1"/>
  <c r="AU363" i="1" s="1"/>
  <c r="AU362" i="1" s="1"/>
  <c r="AU361" i="1" s="1"/>
  <c r="AU360" i="1" s="1"/>
  <c r="AU359" i="1" s="1"/>
  <c r="AU358" i="1" s="1"/>
  <c r="AU357" i="1" s="1"/>
  <c r="AU356" i="1" s="1"/>
  <c r="AU355" i="1" s="1"/>
  <c r="AU354" i="1" s="1"/>
  <c r="AU353" i="1" s="1"/>
  <c r="AU352" i="1" s="1"/>
  <c r="AU351" i="1" s="1"/>
  <c r="AU350" i="1" s="1"/>
  <c r="AU349" i="1" s="1"/>
  <c r="AU348" i="1" s="1"/>
  <c r="AU347" i="1" s="1"/>
  <c r="AU346" i="1" s="1"/>
  <c r="AU345" i="1" s="1"/>
  <c r="AU344" i="1" s="1"/>
  <c r="AU343" i="1" s="1"/>
  <c r="AU342" i="1" s="1"/>
  <c r="AU341" i="1" s="1"/>
  <c r="AU340" i="1" s="1"/>
  <c r="AU339" i="1" s="1"/>
  <c r="AU338" i="1" s="1"/>
  <c r="AU337" i="1" s="1"/>
  <c r="AU336" i="1" s="1"/>
  <c r="AU335" i="1" s="1"/>
  <c r="AU334" i="1" s="1"/>
  <c r="AU333" i="1" s="1"/>
  <c r="AU332" i="1" s="1"/>
  <c r="AU331" i="1" s="1"/>
  <c r="AU330" i="1" s="1"/>
  <c r="AU329" i="1" s="1"/>
  <c r="AU328" i="1" s="1"/>
  <c r="AU327" i="1" s="1"/>
  <c r="AU326" i="1" s="1"/>
  <c r="AU325" i="1" s="1"/>
  <c r="AU324" i="1" s="1"/>
  <c r="AU323" i="1" s="1"/>
  <c r="AU322" i="1" s="1"/>
  <c r="AU321" i="1" s="1"/>
  <c r="AU320" i="1" s="1"/>
  <c r="AU319" i="1" s="1"/>
  <c r="AU318" i="1" s="1"/>
  <c r="AU317" i="1" s="1"/>
  <c r="AU316" i="1" s="1"/>
  <c r="AU315" i="1" s="1"/>
  <c r="AU314" i="1" s="1"/>
  <c r="AU313" i="1" s="1"/>
  <c r="AU312" i="1" s="1"/>
  <c r="AU311" i="1" s="1"/>
  <c r="AU310" i="1" s="1"/>
  <c r="AU309" i="1" s="1"/>
  <c r="AU308" i="1" s="1"/>
  <c r="AU307" i="1" s="1"/>
  <c r="AU306" i="1" s="1"/>
  <c r="AU305" i="1" s="1"/>
  <c r="AU304" i="1" s="1"/>
  <c r="AU303" i="1" s="1"/>
  <c r="AU302" i="1" s="1"/>
  <c r="AU301" i="1" s="1"/>
  <c r="AU300" i="1" s="1"/>
  <c r="AU299" i="1" s="1"/>
  <c r="AU298" i="1" s="1"/>
  <c r="AU297" i="1" s="1"/>
  <c r="AU296" i="1" s="1"/>
  <c r="AU295" i="1" s="1"/>
  <c r="AU294" i="1" s="1"/>
  <c r="AU293" i="1" s="1"/>
  <c r="AU292" i="1" s="1"/>
  <c r="AU291" i="1" s="1"/>
  <c r="AU290" i="1" s="1"/>
  <c r="AU289" i="1" s="1"/>
  <c r="AU288" i="1" s="1"/>
  <c r="AU287" i="1" s="1"/>
  <c r="AU286" i="1" s="1"/>
  <c r="AU285" i="1" s="1"/>
  <c r="AU284" i="1" s="1"/>
  <c r="AU283" i="1" s="1"/>
  <c r="AU282" i="1" s="1"/>
  <c r="AU281" i="1" s="1"/>
  <c r="AU280" i="1" s="1"/>
  <c r="AU279" i="1" s="1"/>
  <c r="AU278" i="1" s="1"/>
  <c r="AU277" i="1" s="1"/>
  <c r="AU276" i="1" s="1"/>
  <c r="AU275" i="1" s="1"/>
  <c r="AU274" i="1" s="1"/>
  <c r="AU273" i="1" s="1"/>
  <c r="AU272" i="1" s="1"/>
  <c r="AU271" i="1" s="1"/>
  <c r="AU270" i="1" s="1"/>
  <c r="AU269" i="1" s="1"/>
  <c r="AU268" i="1" s="1"/>
  <c r="AU267" i="1" s="1"/>
  <c r="AU266" i="1" s="1"/>
  <c r="AU265" i="1" s="1"/>
  <c r="AU264" i="1" s="1"/>
  <c r="AU263" i="1" s="1"/>
  <c r="AU262" i="1" s="1"/>
  <c r="AU261" i="1" s="1"/>
  <c r="AU260" i="1" s="1"/>
  <c r="AU259" i="1" s="1"/>
  <c r="AU258" i="1" s="1"/>
  <c r="AU257" i="1" s="1"/>
  <c r="AU256" i="1" s="1"/>
  <c r="AU255" i="1" s="1"/>
  <c r="AU254" i="1" s="1"/>
  <c r="AU253" i="1" s="1"/>
  <c r="AU252" i="1" s="1"/>
  <c r="AU251" i="1" s="1"/>
  <c r="AU250" i="1" s="1"/>
  <c r="AU249" i="1" s="1"/>
  <c r="AU248" i="1" s="1"/>
  <c r="AU247" i="1" s="1"/>
  <c r="AU246" i="1" s="1"/>
  <c r="AU245" i="1" s="1"/>
  <c r="AU244" i="1" s="1"/>
  <c r="AU243" i="1" s="1"/>
  <c r="AU242" i="1" s="1"/>
  <c r="AU241" i="1" s="1"/>
  <c r="AU240" i="1" s="1"/>
  <c r="AU239" i="1" s="1"/>
  <c r="AU238" i="1" s="1"/>
  <c r="AU237" i="1" s="1"/>
  <c r="AU236" i="1" s="1"/>
  <c r="AU235" i="1" s="1"/>
  <c r="AU234" i="1" s="1"/>
  <c r="AU233" i="1" s="1"/>
  <c r="AU232" i="1" s="1"/>
  <c r="AU231" i="1" s="1"/>
  <c r="AU230" i="1" s="1"/>
  <c r="AU229" i="1" s="1"/>
  <c r="AU228" i="1" s="1"/>
  <c r="AU227" i="1" s="1"/>
  <c r="AU226" i="1" s="1"/>
  <c r="AU225" i="1" s="1"/>
  <c r="AU224" i="1" s="1"/>
  <c r="AU223" i="1" s="1"/>
  <c r="AU222" i="1" s="1"/>
  <c r="AU221" i="1" s="1"/>
  <c r="AU220" i="1" s="1"/>
  <c r="AU219" i="1" s="1"/>
  <c r="AU218" i="1" s="1"/>
  <c r="AU217" i="1" s="1"/>
  <c r="AU216" i="1" s="1"/>
  <c r="AU215" i="1" s="1"/>
  <c r="AU214" i="1" s="1"/>
  <c r="AU213" i="1" s="1"/>
  <c r="AU212" i="1" s="1"/>
  <c r="AU211" i="1" s="1"/>
  <c r="AU210" i="1" s="1"/>
  <c r="AU209" i="1" s="1"/>
  <c r="AU208" i="1" s="1"/>
  <c r="AU207" i="1" s="1"/>
  <c r="AU206" i="1" s="1"/>
  <c r="AU205" i="1" s="1"/>
  <c r="AU204" i="1" s="1"/>
  <c r="AU203" i="1" s="1"/>
  <c r="AU202" i="1" s="1"/>
  <c r="AU201" i="1" s="1"/>
  <c r="AU200" i="1" s="1"/>
  <c r="AU199" i="1" s="1"/>
  <c r="AU198" i="1" s="1"/>
  <c r="AU197" i="1" s="1"/>
  <c r="AU196" i="1" s="1"/>
  <c r="AU195" i="1" s="1"/>
  <c r="AU194" i="1" s="1"/>
  <c r="AU193" i="1" s="1"/>
  <c r="AU192" i="1" s="1"/>
  <c r="AU191" i="1" s="1"/>
  <c r="AU190" i="1" s="1"/>
  <c r="AU189" i="1" s="1"/>
  <c r="AU188" i="1" s="1"/>
  <c r="AU187" i="1" s="1"/>
  <c r="AU186" i="1" s="1"/>
  <c r="AU185" i="1" s="1"/>
  <c r="AU184" i="1" s="1"/>
  <c r="AU183" i="1" s="1"/>
  <c r="AU182" i="1" s="1"/>
  <c r="AU181" i="1" s="1"/>
  <c r="AU180" i="1" s="1"/>
  <c r="AU179" i="1" s="1"/>
  <c r="AU178" i="1" s="1"/>
  <c r="AU177" i="1" s="1"/>
  <c r="AU176" i="1" s="1"/>
  <c r="AU175" i="1" s="1"/>
  <c r="AU174" i="1" s="1"/>
  <c r="AU173" i="1" s="1"/>
  <c r="AU172" i="1" s="1"/>
  <c r="AU171" i="1" s="1"/>
  <c r="AU170" i="1" s="1"/>
  <c r="AU169" i="1" s="1"/>
  <c r="AU168" i="1" s="1"/>
  <c r="AU167" i="1" s="1"/>
  <c r="AU166" i="1" s="1"/>
  <c r="AU165" i="1" s="1"/>
  <c r="AU164" i="1" s="1"/>
  <c r="AU163" i="1" s="1"/>
  <c r="AU162" i="1" s="1"/>
  <c r="AU161" i="1" s="1"/>
  <c r="AU160" i="1" s="1"/>
  <c r="AU159" i="1" s="1"/>
  <c r="AU158" i="1" s="1"/>
  <c r="AU157" i="1" s="1"/>
  <c r="AU156" i="1" s="1"/>
  <c r="AU155" i="1" s="1"/>
  <c r="AU154" i="1" s="1"/>
  <c r="AU153" i="1" s="1"/>
  <c r="AU152" i="1" s="1"/>
  <c r="AU151" i="1" s="1"/>
  <c r="AU150" i="1" s="1"/>
  <c r="AU149" i="1" s="1"/>
  <c r="AU148" i="1" s="1"/>
  <c r="AU147" i="1" s="1"/>
  <c r="AU146" i="1" s="1"/>
  <c r="AU145" i="1" s="1"/>
  <c r="AU144" i="1" s="1"/>
  <c r="AU143" i="1" s="1"/>
  <c r="AU142" i="1" s="1"/>
  <c r="AU141" i="1" s="1"/>
  <c r="AU140" i="1" s="1"/>
  <c r="AU139" i="1" s="1"/>
  <c r="AU138" i="1" s="1"/>
  <c r="AU137" i="1" s="1"/>
  <c r="AU136" i="1" s="1"/>
  <c r="AU135" i="1" s="1"/>
  <c r="AU134" i="1" s="1"/>
  <c r="AU133" i="1" s="1"/>
  <c r="AU132" i="1" s="1"/>
  <c r="AU131" i="1" s="1"/>
  <c r="AU130" i="1" s="1"/>
  <c r="AU129" i="1" s="1"/>
  <c r="AU128" i="1" s="1"/>
  <c r="AU127" i="1" s="1"/>
  <c r="AU126" i="1" s="1"/>
  <c r="AU125" i="1" s="1"/>
  <c r="AU124" i="1" s="1"/>
  <c r="AU123" i="1" s="1"/>
  <c r="AU122" i="1" s="1"/>
  <c r="AU121" i="1" s="1"/>
  <c r="AU120" i="1" s="1"/>
  <c r="AU119" i="1" s="1"/>
  <c r="AU118" i="1" s="1"/>
  <c r="AU117" i="1" s="1"/>
  <c r="AU116" i="1" s="1"/>
  <c r="AU115" i="1" s="1"/>
  <c r="AU114" i="1" s="1"/>
  <c r="AU113" i="1" s="1"/>
  <c r="AU112" i="1" s="1"/>
  <c r="AU111" i="1" s="1"/>
  <c r="AU110" i="1" s="1"/>
  <c r="AU109" i="1" s="1"/>
  <c r="AU108" i="1" s="1"/>
  <c r="AU107" i="1" s="1"/>
  <c r="AU106" i="1" s="1"/>
  <c r="AU105" i="1" s="1"/>
  <c r="AU104" i="1" s="1"/>
  <c r="AU103" i="1" s="1"/>
  <c r="AU102" i="1" s="1"/>
  <c r="AU101" i="1" s="1"/>
  <c r="AU100" i="1" s="1"/>
  <c r="AU99" i="1" s="1"/>
  <c r="AU98" i="1" s="1"/>
  <c r="AU97" i="1" s="1"/>
  <c r="AU96" i="1" s="1"/>
  <c r="AU95" i="1" s="1"/>
  <c r="AU94" i="1" s="1"/>
  <c r="AU93" i="1" s="1"/>
  <c r="AU92" i="1" s="1"/>
  <c r="AU91" i="1" s="1"/>
  <c r="AU90" i="1" s="1"/>
  <c r="AU89" i="1" s="1"/>
  <c r="AU88" i="1" s="1"/>
  <c r="AU87" i="1" s="1"/>
  <c r="AU86" i="1" s="1"/>
  <c r="AU85" i="1" s="1"/>
  <c r="AU84" i="1" s="1"/>
  <c r="AU83" i="1" s="1"/>
  <c r="AU82" i="1" s="1"/>
  <c r="AU81" i="1" s="1"/>
  <c r="AU80" i="1" s="1"/>
  <c r="AU79" i="1" s="1"/>
  <c r="AU78" i="1" s="1"/>
  <c r="AU77" i="1" s="1"/>
  <c r="AU76" i="1" s="1"/>
  <c r="AU75" i="1" s="1"/>
  <c r="AU74" i="1" s="1"/>
  <c r="AU73" i="1" s="1"/>
  <c r="AU72" i="1" s="1"/>
  <c r="AU71" i="1" s="1"/>
  <c r="AU70" i="1" s="1"/>
  <c r="AU69" i="1" s="1"/>
  <c r="AU68" i="1" s="1"/>
  <c r="AU67" i="1" s="1"/>
  <c r="AU66" i="1" s="1"/>
  <c r="AU65" i="1" s="1"/>
  <c r="AU64" i="1" s="1"/>
  <c r="AU63" i="1" s="1"/>
  <c r="AU62" i="1" s="1"/>
  <c r="AU61" i="1" s="1"/>
  <c r="AU60" i="1" s="1"/>
  <c r="AU59" i="1" s="1"/>
  <c r="AU58" i="1" s="1"/>
  <c r="AU57" i="1" s="1"/>
  <c r="AU56" i="1" s="1"/>
  <c r="AU55" i="1" s="1"/>
  <c r="AU54" i="1" s="1"/>
  <c r="AU53" i="1" s="1"/>
  <c r="AU52" i="1" s="1"/>
  <c r="AU51" i="1" s="1"/>
  <c r="AU50" i="1" s="1"/>
  <c r="AU49" i="1" s="1"/>
  <c r="AU48" i="1" s="1"/>
  <c r="AU47" i="1" s="1"/>
  <c r="AU46" i="1" s="1"/>
  <c r="AU45" i="1" s="1"/>
  <c r="AU44" i="1" s="1"/>
  <c r="AU43" i="1" s="1"/>
  <c r="AU42" i="1" s="1"/>
  <c r="AU41" i="1" s="1"/>
  <c r="AU40" i="1" s="1"/>
  <c r="AU39" i="1" s="1"/>
  <c r="AU38" i="1" s="1"/>
  <c r="AU37" i="1" s="1"/>
  <c r="AU36" i="1" s="1"/>
  <c r="AU35" i="1" s="1"/>
  <c r="AU34" i="1" s="1"/>
  <c r="AU33" i="1" s="1"/>
  <c r="AU32" i="1" s="1"/>
  <c r="AU31" i="1" s="1"/>
  <c r="AU30" i="1" s="1"/>
  <c r="AU29" i="1" s="1"/>
  <c r="AU28" i="1" s="1"/>
  <c r="AU27" i="1" s="1"/>
  <c r="AU26" i="1" s="1"/>
  <c r="AU25" i="1" s="1"/>
  <c r="AU24" i="1" s="1"/>
  <c r="AU23" i="1" s="1"/>
  <c r="AU22" i="1" s="1"/>
  <c r="AU21" i="1" s="1"/>
  <c r="AU20" i="1" s="1"/>
  <c r="AU19" i="1" s="1"/>
  <c r="AU18" i="1" s="1"/>
  <c r="AU17" i="1" s="1"/>
  <c r="AU16" i="1" s="1"/>
  <c r="AU15" i="1" s="1"/>
  <c r="AU14" i="1" s="1"/>
  <c r="AU13" i="1" s="1"/>
  <c r="AU12" i="1" s="1"/>
  <c r="AU11" i="1" s="1"/>
  <c r="AU10" i="1" s="1"/>
  <c r="AU9" i="1" s="1"/>
  <c r="AU8" i="1" s="1"/>
  <c r="AU7" i="1" s="1"/>
  <c r="AU6" i="1" s="1"/>
  <c r="AU5" i="1" s="1"/>
  <c r="AU4" i="1" s="1"/>
  <c r="AU3" i="1" s="1"/>
  <c r="AG3" i="1"/>
  <c r="AH3" i="1" s="1"/>
  <c r="C6" i="32" s="1"/>
  <c r="D6" i="32" l="1"/>
  <c r="E6" i="32" s="1"/>
  <c r="F6" i="32" s="1"/>
  <c r="B10" i="15"/>
  <c r="AN3" i="1"/>
  <c r="E1" i="32" l="1"/>
  <c r="B11" i="15"/>
  <c r="B12" i="15" s="1"/>
</calcChain>
</file>

<file path=xl/sharedStrings.xml><?xml version="1.0" encoding="utf-8"?>
<sst xmlns="http://schemas.openxmlformats.org/spreadsheetml/2006/main" count="532" uniqueCount="271">
  <si>
    <t>Date</t>
  </si>
  <si>
    <t>S&amp;P 500 Price</t>
  </si>
  <si>
    <t>VIX</t>
  </si>
  <si>
    <t>Economy</t>
  </si>
  <si>
    <t>Manufacturing</t>
  </si>
  <si>
    <t>Housing</t>
  </si>
  <si>
    <t>Spending</t>
  </si>
  <si>
    <t>Employment</t>
  </si>
  <si>
    <t>Weekly</t>
  </si>
  <si>
    <t>Score</t>
  </si>
  <si>
    <t>Valuation</t>
  </si>
  <si>
    <t>VIX Adj</t>
  </si>
  <si>
    <t>Valuation Adj</t>
  </si>
  <si>
    <t>Ecocomy Adj</t>
  </si>
  <si>
    <t>Manufacturing Adj</t>
  </si>
  <si>
    <t>Housing Adj</t>
  </si>
  <si>
    <t>Spending Adj</t>
  </si>
  <si>
    <t>Employment Adj</t>
  </si>
  <si>
    <t>Weekly Adj</t>
  </si>
  <si>
    <t>Item</t>
  </si>
  <si>
    <t>Type</t>
  </si>
  <si>
    <t>ISM PMI</t>
  </si>
  <si>
    <t>Unemployment Rate</t>
  </si>
  <si>
    <t>CFNAI</t>
  </si>
  <si>
    <t>Retail Sales</t>
  </si>
  <si>
    <t>Personal Income</t>
  </si>
  <si>
    <t>Mortgage Rates</t>
  </si>
  <si>
    <t>Housing Supply</t>
  </si>
  <si>
    <t>Housing Starts</t>
  </si>
  <si>
    <t>Existing Home Sales</t>
  </si>
  <si>
    <t>Durable Goods</t>
  </si>
  <si>
    <t>PCE</t>
  </si>
  <si>
    <t>Interest</t>
  </si>
  <si>
    <t>PCE Index</t>
  </si>
  <si>
    <t>Total Change</t>
  </si>
  <si>
    <t>Total Net</t>
  </si>
  <si>
    <t>Change</t>
  </si>
  <si>
    <t>Stock Pct</t>
  </si>
  <si>
    <t>Bond Pct</t>
  </si>
  <si>
    <t>Total Score</t>
  </si>
  <si>
    <t>Use Score</t>
  </si>
  <si>
    <t>Adj Score</t>
  </si>
  <si>
    <t>Adjuster</t>
  </si>
  <si>
    <t>Tier</t>
  </si>
  <si>
    <t>Score Tier</t>
  </si>
  <si>
    <t>Sum 4 Weeks</t>
  </si>
  <si>
    <t>Allocation</t>
  </si>
  <si>
    <t>Treasury</t>
  </si>
  <si>
    <t>3 Month T Bill</t>
  </si>
  <si>
    <t>StockPct</t>
  </si>
  <si>
    <t>MA13</t>
  </si>
  <si>
    <t>MA39</t>
  </si>
  <si>
    <t>Rate Movement</t>
  </si>
  <si>
    <t>Commercial Loans</t>
  </si>
  <si>
    <t>Fiscal Stress Index</t>
  </si>
  <si>
    <t>High Yield Spread</t>
  </si>
  <si>
    <t>Business Cycle</t>
  </si>
  <si>
    <t>Initial Claims</t>
  </si>
  <si>
    <t>Continuing Claims</t>
  </si>
  <si>
    <t>Weekly Indicator Score</t>
  </si>
  <si>
    <t>Consumer Confidence</t>
  </si>
  <si>
    <t>CC Change</t>
  </si>
  <si>
    <t>Chicago</t>
  </si>
  <si>
    <t>St Louis</t>
  </si>
  <si>
    <t>BAMLH0A0HYM2</t>
  </si>
  <si>
    <t>MA</t>
  </si>
  <si>
    <t>Adj</t>
  </si>
  <si>
    <t>Chg</t>
  </si>
  <si>
    <t>ECRI Leading</t>
  </si>
  <si>
    <t>IC4WSA</t>
  </si>
  <si>
    <t>Initial Claims Chg</t>
  </si>
  <si>
    <t>Reported</t>
  </si>
  <si>
    <t>DPSI</t>
  </si>
  <si>
    <t>Inflation</t>
  </si>
  <si>
    <t>PSR</t>
  </si>
  <si>
    <t>Prime Rate</t>
  </si>
  <si>
    <t>Purchasing Power</t>
  </si>
  <si>
    <t>Statistics</t>
  </si>
  <si>
    <t>Personal Score</t>
  </si>
  <si>
    <t>DATE</t>
  </si>
  <si>
    <t>Amount</t>
  </si>
  <si>
    <t>3MA Items</t>
  </si>
  <si>
    <t>4M Chg</t>
  </si>
  <si>
    <t>Trimmed PCE</t>
  </si>
  <si>
    <t>Average Inflation</t>
  </si>
  <si>
    <t>Percentage</t>
  </si>
  <si>
    <t>Rate</t>
  </si>
  <si>
    <t>Cost</t>
  </si>
  <si>
    <t>Items to Purchase</t>
  </si>
  <si>
    <t>Int/PCERate</t>
  </si>
  <si>
    <t>Int/DPSIRate</t>
  </si>
  <si>
    <t>Int/PSR Ratio</t>
  </si>
  <si>
    <t>IntDPSIxPRIME</t>
  </si>
  <si>
    <t>IntxPRIME</t>
  </si>
  <si>
    <t>Money on Credit</t>
  </si>
  <si>
    <t>3MA</t>
  </si>
  <si>
    <t>6M Chg</t>
  </si>
  <si>
    <t>PSR/MoneyonCredit</t>
  </si>
  <si>
    <t>Current Spending</t>
  </si>
  <si>
    <t>Ability to Spend</t>
  </si>
  <si>
    <t>Real Score</t>
  </si>
  <si>
    <t>Total Business Sales</t>
  </si>
  <si>
    <t>Leading Index</t>
  </si>
  <si>
    <t>Coincident Activity</t>
  </si>
  <si>
    <t>Michigan Current Conditions</t>
  </si>
  <si>
    <t>Retail Sales (ex food)</t>
  </si>
  <si>
    <t>Tech Pulse</t>
  </si>
  <si>
    <t>Economic Score</t>
  </si>
  <si>
    <t>2Mo MA</t>
  </si>
  <si>
    <t>6moChg</t>
  </si>
  <si>
    <t>TOTBUSSMSA</t>
  </si>
  <si>
    <t>TOTBUSSMSA MA3</t>
  </si>
  <si>
    <t>TOTBUSSMSA MA3 Chg</t>
  </si>
  <si>
    <t>Adj CFNAI</t>
  </si>
  <si>
    <t>CFNAI Chg</t>
  </si>
  <si>
    <t>USSLIND</t>
  </si>
  <si>
    <t>USLIND Adj</t>
  </si>
  <si>
    <t>USLIND MA3 Chg</t>
  </si>
  <si>
    <t>USPHCI</t>
  </si>
  <si>
    <t>USPHCI MA3</t>
  </si>
  <si>
    <t>USPHCI MA3 Chg</t>
  </si>
  <si>
    <t>Current Conditions</t>
  </si>
  <si>
    <t>Conditions MA3</t>
  </si>
  <si>
    <t>Conditions MA3 Chg</t>
  </si>
  <si>
    <t>3Mo MA</t>
  </si>
  <si>
    <t>4moChg</t>
  </si>
  <si>
    <t>Retail Chg</t>
  </si>
  <si>
    <t>SFTPINDM114SFRBSF</t>
  </si>
  <si>
    <t>Tech Pulse Chg</t>
  </si>
  <si>
    <t>EO Month</t>
  </si>
  <si>
    <t>Moving Averages</t>
  </si>
  <si>
    <t>S&amp;P 500 to GDP Value</t>
  </si>
  <si>
    <t>S&amp;P 500 to Corporate Profits</t>
  </si>
  <si>
    <t>Yield Curve</t>
  </si>
  <si>
    <t>MA3 Indicator Score</t>
  </si>
  <si>
    <t>S&amp;P Chg</t>
  </si>
  <si>
    <t>13 Week MA</t>
  </si>
  <si>
    <t>39 Week MA</t>
  </si>
  <si>
    <t>13 Week %</t>
  </si>
  <si>
    <t>39 Week %</t>
  </si>
  <si>
    <t>S&amp;P 500</t>
  </si>
  <si>
    <t>GDP</t>
  </si>
  <si>
    <t>Ratio</t>
  </si>
  <si>
    <t>Current Yield Curve</t>
  </si>
  <si>
    <t>Use Yield Curve</t>
  </si>
  <si>
    <t>Corp Profit</t>
  </si>
  <si>
    <t>Philadelphia Fed Manu Index</t>
  </si>
  <si>
    <t>TCU</t>
  </si>
  <si>
    <t>Index Durable Goods</t>
  </si>
  <si>
    <t>INDPRO</t>
  </si>
  <si>
    <t>Manufacturing Score</t>
  </si>
  <si>
    <t>MANU3</t>
  </si>
  <si>
    <t>PMI</t>
  </si>
  <si>
    <t>PMI Chg</t>
  </si>
  <si>
    <t>MA3 Score</t>
  </si>
  <si>
    <t>Change TCU</t>
  </si>
  <si>
    <t>IPDCONGD</t>
  </si>
  <si>
    <t>4moScore</t>
  </si>
  <si>
    <t>INDPRO Score</t>
  </si>
  <si>
    <t>M/M Score</t>
  </si>
  <si>
    <t>Y/Y Score</t>
  </si>
  <si>
    <t>Non Farm Payroll</t>
  </si>
  <si>
    <t>ADP Employment Report</t>
  </si>
  <si>
    <t>Hourly Earning</t>
  </si>
  <si>
    <t>Part Time Workers</t>
  </si>
  <si>
    <t xml:space="preserve"> Labor Market Conditions</t>
  </si>
  <si>
    <t>Employment Score</t>
  </si>
  <si>
    <t>New Jobs</t>
  </si>
  <si>
    <t>NFP Change</t>
  </si>
  <si>
    <t>Unemploy Chg</t>
  </si>
  <si>
    <t>Earning Chg</t>
  </si>
  <si>
    <t>LNS12032194_NBD20090601</t>
  </si>
  <si>
    <t>Workers Chg</t>
  </si>
  <si>
    <t>FRBKCLMCIM</t>
  </si>
  <si>
    <t>Median New Home Price</t>
  </si>
  <si>
    <t>NHB - Home Index</t>
  </si>
  <si>
    <t>Housing Score</t>
  </si>
  <si>
    <t>MA Score</t>
  </si>
  <si>
    <t>30 Year</t>
  </si>
  <si>
    <t>15 Year</t>
  </si>
  <si>
    <t>HBvs6moAvg</t>
  </si>
  <si>
    <t>30YearMortHPI</t>
  </si>
  <si>
    <t>HPIMort/PI</t>
  </si>
  <si>
    <t>Case-Schiller HPI</t>
  </si>
  <si>
    <t>CSUSHPISA</t>
  </si>
  <si>
    <t>Reported Date</t>
  </si>
  <si>
    <t>Market Type</t>
  </si>
  <si>
    <t>Rate Type</t>
  </si>
  <si>
    <t>VIX MA3</t>
  </si>
  <si>
    <t>BAA10Y</t>
  </si>
  <si>
    <t>Avg</t>
  </si>
  <si>
    <t>DownPay%</t>
  </si>
  <si>
    <t>Affordability</t>
  </si>
  <si>
    <t>Market</t>
  </si>
  <si>
    <t>Population</t>
  </si>
  <si>
    <t>CNP16OV</t>
  </si>
  <si>
    <t>CCSA</t>
  </si>
  <si>
    <t>MA3</t>
  </si>
  <si>
    <t>Initial Claims Grwth</t>
  </si>
  <si>
    <t>Continued Claims Chg</t>
  </si>
  <si>
    <t>Continued Claims Grwth</t>
  </si>
  <si>
    <t>FS Grwth Rate</t>
  </si>
  <si>
    <t>3Wk Grwth Rate</t>
  </si>
  <si>
    <t>New Homes Sold</t>
  </si>
  <si>
    <t>HSN1F</t>
  </si>
  <si>
    <t>6MA HSN1F</t>
  </si>
  <si>
    <t>9M/9 Chg</t>
  </si>
  <si>
    <t>BIL Multiplier</t>
  </si>
  <si>
    <t>BIL Rate</t>
  </si>
  <si>
    <t>Cash Pct</t>
  </si>
  <si>
    <t>Age</t>
  </si>
  <si>
    <t>MAAdj</t>
  </si>
  <si>
    <t>MA Adj</t>
  </si>
  <si>
    <t>457 Allocation</t>
  </si>
  <si>
    <t>Stocks</t>
  </si>
  <si>
    <t>Cash</t>
  </si>
  <si>
    <t>Category</t>
  </si>
  <si>
    <t>Median</t>
  </si>
  <si>
    <t>SAM</t>
  </si>
  <si>
    <t>% AM</t>
  </si>
  <si>
    <t>S&amp;P to GDP</t>
  </si>
  <si>
    <t>S&amp;P to CP</t>
  </si>
  <si>
    <t>Chicago FSI</t>
  </si>
  <si>
    <t>St Louis FSI</t>
  </si>
  <si>
    <t>HY Spread</t>
  </si>
  <si>
    <t>IC Ratio</t>
  </si>
  <si>
    <t>IC Y/Y</t>
  </si>
  <si>
    <t>Continued Claims</t>
  </si>
  <si>
    <t>CC Ratio</t>
  </si>
  <si>
    <t>CC Y/Y</t>
  </si>
  <si>
    <t>Valutation</t>
  </si>
  <si>
    <t>Summary</t>
  </si>
  <si>
    <t>Consumer Sentiment</t>
  </si>
  <si>
    <t>Business Sales</t>
  </si>
  <si>
    <t>30 Yr Mortgage</t>
  </si>
  <si>
    <t>Schiller HPI Chg</t>
  </si>
  <si>
    <t>NHB Home Index</t>
  </si>
  <si>
    <t>Philadephia Fed</t>
  </si>
  <si>
    <t>Industrial Production</t>
  </si>
  <si>
    <t>ADP Employment</t>
  </si>
  <si>
    <t>Momentum Index</t>
  </si>
  <si>
    <t>Part-Time Workers</t>
  </si>
  <si>
    <t>6moChg NFP</t>
  </si>
  <si>
    <t>6moChg ADP</t>
  </si>
  <si>
    <t>ADP Change</t>
  </si>
  <si>
    <t>PCE 4M Chg</t>
  </si>
  <si>
    <t>DPSI 4M Chg</t>
  </si>
  <si>
    <t>Purchasing 4M Chg</t>
  </si>
  <si>
    <t>S&amp;P 500 to Business Sales</t>
  </si>
  <si>
    <t>S&amp;P to Sales</t>
  </si>
  <si>
    <t>Treasury Bill</t>
  </si>
  <si>
    <t>LessVolVal</t>
  </si>
  <si>
    <t>Score v Exonomy</t>
  </si>
  <si>
    <t>Lesss Vol Val Score</t>
  </si>
  <si>
    <t>EAM</t>
  </si>
  <si>
    <t>Name</t>
  </si>
  <si>
    <t>Stock/Cash Only</t>
  </si>
  <si>
    <t>S&amp;P Return</t>
  </si>
  <si>
    <t>T-Bill Return</t>
  </si>
  <si>
    <t>Portfolio Return</t>
  </si>
  <si>
    <t>All Return</t>
  </si>
  <si>
    <t>S&amp;P Price</t>
  </si>
  <si>
    <t>T-Bill Price</t>
  </si>
  <si>
    <t>Portfolio Price</t>
  </si>
  <si>
    <t>All Price</t>
  </si>
  <si>
    <t>Annualized Return</t>
  </si>
  <si>
    <t>Beta</t>
  </si>
  <si>
    <t>Standard Deviation</t>
  </si>
  <si>
    <t>Stock/Cash Return</t>
  </si>
  <si>
    <t>Year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</si>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</sst>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_(* #,##0.000_);_(* \(#,##0.000\);_(* &quot;-&quot;??_);_(@_)"/>
    <numFmt numFmtId="166" formatCode="0.0%"/>
    <numFmt numFmtId="167" formatCode="_(* #,##0.0_);_(* \(#,##0.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3"/>
      <color rgb="FF1F497D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rgb="FFA6BFDD"/>
      </bottom>
      <diagonal/>
    </border>
    <border>
      <left/>
      <right/>
      <top style="thick">
        <color rgb="FFA6BFDD"/>
      </top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63">
    <xf numFmtId="0" fontId="0" fillId="0" borderId="0" xfId="0"/>
    <xf numFmtId="0" fontId="3" fillId="0" borderId="0" xfId="3" applyFont="1"/>
    <xf numFmtId="0" fontId="2" fillId="0" borderId="2" xfId="2" applyBorder="1" applyAlignment="1">
      <alignment horizontal="center"/>
    </xf>
    <xf numFmtId="0" fontId="4" fillId="0" borderId="0" xfId="3" applyFont="1"/>
    <xf numFmtId="0" fontId="4" fillId="0" borderId="3" xfId="3" applyFont="1" applyBorder="1"/>
    <xf numFmtId="14" fontId="3" fillId="0" borderId="0" xfId="3" applyNumberFormat="1" applyFont="1"/>
    <xf numFmtId="43" fontId="0" fillId="0" borderId="0" xfId="1" applyFont="1"/>
    <xf numFmtId="0" fontId="5" fillId="2" borderId="2" xfId="0" applyFont="1" applyFill="1" applyBorder="1"/>
    <xf numFmtId="0" fontId="4" fillId="0" borderId="4" xfId="0" applyFont="1" applyBorder="1"/>
    <xf numFmtId="0" fontId="4" fillId="0" borderId="4" xfId="0" applyFont="1" applyBorder="1" applyAlignment="1"/>
    <xf numFmtId="0" fontId="0" fillId="0" borderId="0" xfId="0" applyFont="1"/>
    <xf numFmtId="0" fontId="3" fillId="0" borderId="0" xfId="3" applyFont="1" applyAlignment="1"/>
    <xf numFmtId="0" fontId="6" fillId="0" borderId="0" xfId="0" applyFont="1"/>
    <xf numFmtId="10" fontId="0" fillId="0" borderId="0" xfId="4" applyNumberFormat="1" applyFont="1"/>
    <xf numFmtId="0" fontId="2" fillId="0" borderId="2" xfId="2" applyBorder="1" applyAlignment="1">
      <alignment horizontal="center"/>
    </xf>
    <xf numFmtId="164" fontId="0" fillId="0" borderId="0" xfId="4" applyNumberFormat="1" applyFont="1"/>
    <xf numFmtId="14" fontId="0" fillId="0" borderId="5" xfId="0" applyNumberFormat="1" applyBorder="1"/>
    <xf numFmtId="0" fontId="0" fillId="0" borderId="0" xfId="0" applyAlignment="1">
      <alignment horizontal="center"/>
    </xf>
    <xf numFmtId="0" fontId="4" fillId="0" borderId="0" xfId="3" applyFont="1" applyBorder="1"/>
    <xf numFmtId="0" fontId="2" fillId="0" borderId="2" xfId="2" applyBorder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/>
    <xf numFmtId="43" fontId="0" fillId="0" borderId="0" xfId="0" applyNumberFormat="1"/>
    <xf numFmtId="0" fontId="2" fillId="0" borderId="2" xfId="2" applyBorder="1" applyAlignment="1">
      <alignment horizontal="center"/>
    </xf>
    <xf numFmtId="0" fontId="2" fillId="0" borderId="0" xfId="2" applyBorder="1" applyAlignment="1">
      <alignment horizontal="center"/>
    </xf>
    <xf numFmtId="0" fontId="2" fillId="0" borderId="0" xfId="2" applyFill="1" applyBorder="1" applyAlignment="1">
      <alignment horizontal="center"/>
    </xf>
    <xf numFmtId="0" fontId="2" fillId="0" borderId="1" xfId="2" applyAlignment="1">
      <alignment wrapText="1"/>
    </xf>
    <xf numFmtId="0" fontId="2" fillId="0" borderId="2" xfId="2" applyBorder="1" applyAlignment="1">
      <alignment horizontal="center"/>
    </xf>
    <xf numFmtId="0" fontId="2" fillId="0" borderId="1" xfId="2"/>
    <xf numFmtId="10" fontId="3" fillId="0" borderId="0" xfId="4" applyNumberFormat="1" applyFont="1"/>
    <xf numFmtId="43" fontId="3" fillId="0" borderId="0" xfId="1" applyFont="1" applyAlignment="1"/>
    <xf numFmtId="43" fontId="3" fillId="0" borderId="0" xfId="3" applyNumberFormat="1" applyFont="1" applyAlignment="1"/>
    <xf numFmtId="0" fontId="5" fillId="0" borderId="2" xfId="0" applyFont="1" applyBorder="1"/>
    <xf numFmtId="0" fontId="4" fillId="0" borderId="3" xfId="0" applyFont="1" applyBorder="1"/>
    <xf numFmtId="14" fontId="0" fillId="0" borderId="0" xfId="0" applyNumberFormat="1"/>
    <xf numFmtId="165" fontId="0" fillId="0" borderId="0" xfId="1" applyNumberFormat="1" applyFont="1"/>
    <xf numFmtId="44" fontId="0" fillId="0" borderId="0" xfId="5" applyFont="1"/>
    <xf numFmtId="14" fontId="4" fillId="0" borderId="0" xfId="3" applyNumberFormat="1" applyFont="1"/>
    <xf numFmtId="10" fontId="4" fillId="0" borderId="0" xfId="4" applyNumberFormat="1" applyFont="1" applyBorder="1"/>
    <xf numFmtId="43" fontId="3" fillId="0" borderId="0" xfId="1" applyFont="1"/>
    <xf numFmtId="0" fontId="4" fillId="0" borderId="0" xfId="6" applyFont="1" applyBorder="1"/>
    <xf numFmtId="0" fontId="1" fillId="0" borderId="0" xfId="6"/>
    <xf numFmtId="10" fontId="3" fillId="0" borderId="0" xfId="4" applyNumberFormat="1" applyFont="1" applyAlignment="1"/>
    <xf numFmtId="164" fontId="3" fillId="0" borderId="0" xfId="4" applyNumberFormat="1" applyFont="1" applyAlignment="1"/>
    <xf numFmtId="8" fontId="0" fillId="0" borderId="0" xfId="1" applyNumberFormat="1" applyFont="1"/>
    <xf numFmtId="14" fontId="6" fillId="0" borderId="0" xfId="0" applyNumberFormat="1" applyFont="1"/>
    <xf numFmtId="0" fontId="5" fillId="0" borderId="2" xfId="0" applyFont="1" applyBorder="1" applyAlignment="1"/>
    <xf numFmtId="0" fontId="2" fillId="0" borderId="2" xfId="2" applyBorder="1" applyAlignment="1">
      <alignment horizontal="center"/>
    </xf>
    <xf numFmtId="0" fontId="6" fillId="0" borderId="4" xfId="0" applyFont="1" applyBorder="1"/>
    <xf numFmtId="166" fontId="0" fillId="0" borderId="0" xfId="4" applyNumberFormat="1" applyFont="1"/>
    <xf numFmtId="10" fontId="0" fillId="0" borderId="0" xfId="0" applyNumberFormat="1"/>
    <xf numFmtId="2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5" xfId="0" applyBorder="1"/>
    <xf numFmtId="167" fontId="0" fillId="0" borderId="0" xfId="1" applyNumberFormat="1" applyFont="1"/>
    <xf numFmtId="1" fontId="0" fillId="0" borderId="0" xfId="1" applyNumberFormat="1" applyFont="1"/>
    <xf numFmtId="0" fontId="2" fillId="0" borderId="2" xfId="2" applyBorder="1" applyAlignment="1">
      <alignment horizontal="center"/>
    </xf>
    <xf numFmtId="0" fontId="0" fillId="0" borderId="0" xfId="1" applyNumberFormat="1" applyFont="1"/>
    <xf numFmtId="0" fontId="2" fillId="0" borderId="2" xfId="2" applyBorder="1" applyAlignment="1">
      <alignment horizontal="center"/>
    </xf>
    <xf numFmtId="0" fontId="2" fillId="0" borderId="1" xfId="2" applyAlignment="1">
      <alignment horizontal="center"/>
    </xf>
    <xf numFmtId="0" fontId="5" fillId="0" borderId="2" xfId="0" applyFont="1" applyBorder="1" applyAlignment="1">
      <alignment horizontal="center"/>
    </xf>
    <xf numFmtId="0" fontId="7" fillId="0" borderId="2" xfId="0" applyFont="1" applyBorder="1"/>
  </cellXfs>
  <cellStyles count="7">
    <cellStyle name="Comma" xfId="1" builtinId="3"/>
    <cellStyle name="Currency" xfId="5" builtinId="4"/>
    <cellStyle name="Heading 2" xfId="2" builtinId="17"/>
    <cellStyle name="Normal" xfId="0" builtinId="0"/>
    <cellStyle name="Normal 2" xfId="3" xr:uid="{00000000-0005-0000-0000-000006000000}"/>
    <cellStyle name="Normal 3" xfId="6" xr:uid="{00000000-0005-0000-0000-000007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worksheet" Target="worksheets/sheet10.xml"/><Relationship Id="rId1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4.xml"/><Relationship Id="rId12" Type="http://schemas.openxmlformats.org/officeDocument/2006/relationships/worksheet" Target="worksheets/sheet9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8.xml"/><Relationship Id="rId5" Type="http://schemas.openxmlformats.org/officeDocument/2006/relationships/chartsheet" Target="chartsheets/sheet3.xml"/><Relationship Id="rId15" Type="http://schemas.openxmlformats.org/officeDocument/2006/relationships/worksheet" Target="worksheets/sheet12.xml"/><Relationship Id="rId10" Type="http://schemas.openxmlformats.org/officeDocument/2006/relationships/worksheet" Target="worksheets/sheet7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Summary!$AS$2</c:f>
              <c:strCache>
                <c:ptCount val="1"/>
                <c:pt idx="0">
                  <c:v>S&amp;P 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Summary!$A$3:$A$1249</c:f>
              <c:numCache>
                <c:formatCode>m/d/yyyy</c:formatCode>
                <c:ptCount val="1247"/>
                <c:pt idx="0">
                  <c:v>43324</c:v>
                </c:pt>
                <c:pt idx="1">
                  <c:v>43317</c:v>
                </c:pt>
                <c:pt idx="2">
                  <c:v>43310</c:v>
                </c:pt>
                <c:pt idx="3">
                  <c:v>43303</c:v>
                </c:pt>
                <c:pt idx="4">
                  <c:v>43296</c:v>
                </c:pt>
                <c:pt idx="5">
                  <c:v>43289</c:v>
                </c:pt>
                <c:pt idx="6">
                  <c:v>43282</c:v>
                </c:pt>
                <c:pt idx="7">
                  <c:v>43275</c:v>
                </c:pt>
                <c:pt idx="8">
                  <c:v>43268</c:v>
                </c:pt>
                <c:pt idx="9">
                  <c:v>43261</c:v>
                </c:pt>
                <c:pt idx="10">
                  <c:v>43254</c:v>
                </c:pt>
                <c:pt idx="11">
                  <c:v>43247</c:v>
                </c:pt>
                <c:pt idx="12">
                  <c:v>43240</c:v>
                </c:pt>
                <c:pt idx="13">
                  <c:v>43233</c:v>
                </c:pt>
                <c:pt idx="14">
                  <c:v>43226</c:v>
                </c:pt>
                <c:pt idx="15">
                  <c:v>43219</c:v>
                </c:pt>
                <c:pt idx="16">
                  <c:v>43212</c:v>
                </c:pt>
                <c:pt idx="17">
                  <c:v>43205</c:v>
                </c:pt>
                <c:pt idx="18">
                  <c:v>43198</c:v>
                </c:pt>
                <c:pt idx="19">
                  <c:v>43191</c:v>
                </c:pt>
                <c:pt idx="20">
                  <c:v>43184</c:v>
                </c:pt>
                <c:pt idx="21">
                  <c:v>43177</c:v>
                </c:pt>
                <c:pt idx="22">
                  <c:v>43170</c:v>
                </c:pt>
                <c:pt idx="23">
                  <c:v>43163</c:v>
                </c:pt>
                <c:pt idx="24">
                  <c:v>43156</c:v>
                </c:pt>
                <c:pt idx="25">
                  <c:v>43149</c:v>
                </c:pt>
                <c:pt idx="26">
                  <c:v>43142</c:v>
                </c:pt>
                <c:pt idx="27">
                  <c:v>43135</c:v>
                </c:pt>
                <c:pt idx="28">
                  <c:v>43128</c:v>
                </c:pt>
                <c:pt idx="29">
                  <c:v>43121</c:v>
                </c:pt>
                <c:pt idx="30">
                  <c:v>43114</c:v>
                </c:pt>
                <c:pt idx="31">
                  <c:v>43107</c:v>
                </c:pt>
                <c:pt idx="32">
                  <c:v>43100</c:v>
                </c:pt>
                <c:pt idx="33">
                  <c:v>43093</c:v>
                </c:pt>
                <c:pt idx="34">
                  <c:v>43086</c:v>
                </c:pt>
                <c:pt idx="35">
                  <c:v>43079</c:v>
                </c:pt>
                <c:pt idx="36">
                  <c:v>43072</c:v>
                </c:pt>
                <c:pt idx="37">
                  <c:v>43065</c:v>
                </c:pt>
                <c:pt idx="38">
                  <c:v>43058</c:v>
                </c:pt>
                <c:pt idx="39">
                  <c:v>43051</c:v>
                </c:pt>
                <c:pt idx="40">
                  <c:v>43044</c:v>
                </c:pt>
                <c:pt idx="41">
                  <c:v>43037</c:v>
                </c:pt>
                <c:pt idx="42">
                  <c:v>43030</c:v>
                </c:pt>
                <c:pt idx="43">
                  <c:v>43023</c:v>
                </c:pt>
                <c:pt idx="44">
                  <c:v>43016</c:v>
                </c:pt>
                <c:pt idx="45">
                  <c:v>43009</c:v>
                </c:pt>
                <c:pt idx="46">
                  <c:v>43002</c:v>
                </c:pt>
                <c:pt idx="47">
                  <c:v>42995</c:v>
                </c:pt>
                <c:pt idx="48">
                  <c:v>42988</c:v>
                </c:pt>
                <c:pt idx="49">
                  <c:v>42981</c:v>
                </c:pt>
                <c:pt idx="50">
                  <c:v>42974</c:v>
                </c:pt>
                <c:pt idx="51">
                  <c:v>42967</c:v>
                </c:pt>
                <c:pt idx="52">
                  <c:v>42960</c:v>
                </c:pt>
                <c:pt idx="53">
                  <c:v>42953</c:v>
                </c:pt>
                <c:pt idx="54">
                  <c:v>42946</c:v>
                </c:pt>
                <c:pt idx="55">
                  <c:v>42939</c:v>
                </c:pt>
                <c:pt idx="56">
                  <c:v>42932</c:v>
                </c:pt>
                <c:pt idx="57">
                  <c:v>42925</c:v>
                </c:pt>
                <c:pt idx="58">
                  <c:v>42918</c:v>
                </c:pt>
                <c:pt idx="59">
                  <c:v>42911</c:v>
                </c:pt>
                <c:pt idx="60">
                  <c:v>42904</c:v>
                </c:pt>
                <c:pt idx="61">
                  <c:v>42897</c:v>
                </c:pt>
                <c:pt idx="62">
                  <c:v>42890</c:v>
                </c:pt>
                <c:pt idx="63">
                  <c:v>42883</c:v>
                </c:pt>
                <c:pt idx="64">
                  <c:v>42876</c:v>
                </c:pt>
                <c:pt idx="65">
                  <c:v>42869</c:v>
                </c:pt>
                <c:pt idx="66">
                  <c:v>42862</c:v>
                </c:pt>
                <c:pt idx="67">
                  <c:v>42855</c:v>
                </c:pt>
                <c:pt idx="68">
                  <c:v>42848</c:v>
                </c:pt>
                <c:pt idx="69">
                  <c:v>42841</c:v>
                </c:pt>
                <c:pt idx="70">
                  <c:v>42834</c:v>
                </c:pt>
                <c:pt idx="71">
                  <c:v>42827</c:v>
                </c:pt>
                <c:pt idx="72">
                  <c:v>42820</c:v>
                </c:pt>
                <c:pt idx="73">
                  <c:v>42813</c:v>
                </c:pt>
                <c:pt idx="74">
                  <c:v>42806</c:v>
                </c:pt>
                <c:pt idx="75">
                  <c:v>42799</c:v>
                </c:pt>
                <c:pt idx="76">
                  <c:v>42792</c:v>
                </c:pt>
                <c:pt idx="77">
                  <c:v>42785</c:v>
                </c:pt>
                <c:pt idx="78">
                  <c:v>42778</c:v>
                </c:pt>
                <c:pt idx="79">
                  <c:v>42771</c:v>
                </c:pt>
                <c:pt idx="80">
                  <c:v>42764</c:v>
                </c:pt>
                <c:pt idx="81">
                  <c:v>42757</c:v>
                </c:pt>
                <c:pt idx="82">
                  <c:v>42750</c:v>
                </c:pt>
                <c:pt idx="83">
                  <c:v>42743</c:v>
                </c:pt>
                <c:pt idx="84">
                  <c:v>42736</c:v>
                </c:pt>
                <c:pt idx="85">
                  <c:v>42729</c:v>
                </c:pt>
                <c:pt idx="86">
                  <c:v>42722</c:v>
                </c:pt>
                <c:pt idx="87">
                  <c:v>42715</c:v>
                </c:pt>
                <c:pt idx="88">
                  <c:v>42708</c:v>
                </c:pt>
                <c:pt idx="89">
                  <c:v>42701</c:v>
                </c:pt>
                <c:pt idx="90">
                  <c:v>42694</c:v>
                </c:pt>
                <c:pt idx="91">
                  <c:v>42687</c:v>
                </c:pt>
                <c:pt idx="92">
                  <c:v>42680</c:v>
                </c:pt>
                <c:pt idx="93">
                  <c:v>42673</c:v>
                </c:pt>
                <c:pt idx="94">
                  <c:v>42666</c:v>
                </c:pt>
                <c:pt idx="95">
                  <c:v>42659</c:v>
                </c:pt>
                <c:pt idx="96">
                  <c:v>42652</c:v>
                </c:pt>
                <c:pt idx="97">
                  <c:v>42645</c:v>
                </c:pt>
                <c:pt idx="98">
                  <c:v>42638</c:v>
                </c:pt>
                <c:pt idx="99">
                  <c:v>42631</c:v>
                </c:pt>
                <c:pt idx="100">
                  <c:v>42624</c:v>
                </c:pt>
                <c:pt idx="101">
                  <c:v>42617</c:v>
                </c:pt>
                <c:pt idx="102">
                  <c:v>42610</c:v>
                </c:pt>
                <c:pt idx="103">
                  <c:v>42603</c:v>
                </c:pt>
                <c:pt idx="104">
                  <c:v>42596</c:v>
                </c:pt>
                <c:pt idx="105">
                  <c:v>42589</c:v>
                </c:pt>
                <c:pt idx="106">
                  <c:v>42582</c:v>
                </c:pt>
                <c:pt idx="107">
                  <c:v>42575</c:v>
                </c:pt>
                <c:pt idx="108">
                  <c:v>42568</c:v>
                </c:pt>
                <c:pt idx="109">
                  <c:v>42561</c:v>
                </c:pt>
                <c:pt idx="110">
                  <c:v>42554</c:v>
                </c:pt>
                <c:pt idx="111">
                  <c:v>42547</c:v>
                </c:pt>
                <c:pt idx="112">
                  <c:v>42540</c:v>
                </c:pt>
                <c:pt idx="113">
                  <c:v>42533</c:v>
                </c:pt>
                <c:pt idx="114">
                  <c:v>42526</c:v>
                </c:pt>
                <c:pt idx="115">
                  <c:v>42519</c:v>
                </c:pt>
                <c:pt idx="116">
                  <c:v>42512</c:v>
                </c:pt>
                <c:pt idx="117">
                  <c:v>42505</c:v>
                </c:pt>
                <c:pt idx="118">
                  <c:v>42498</c:v>
                </c:pt>
                <c:pt idx="119">
                  <c:v>42491</c:v>
                </c:pt>
                <c:pt idx="120">
                  <c:v>42484</c:v>
                </c:pt>
                <c:pt idx="121">
                  <c:v>42477</c:v>
                </c:pt>
                <c:pt idx="122">
                  <c:v>42470</c:v>
                </c:pt>
                <c:pt idx="123">
                  <c:v>42463</c:v>
                </c:pt>
                <c:pt idx="124">
                  <c:v>42456</c:v>
                </c:pt>
                <c:pt idx="125">
                  <c:v>42449</c:v>
                </c:pt>
                <c:pt idx="126">
                  <c:v>42442</c:v>
                </c:pt>
                <c:pt idx="127">
                  <c:v>42435</c:v>
                </c:pt>
                <c:pt idx="128">
                  <c:v>42428</c:v>
                </c:pt>
                <c:pt idx="129">
                  <c:v>42421</c:v>
                </c:pt>
                <c:pt idx="130">
                  <c:v>42414</c:v>
                </c:pt>
                <c:pt idx="131">
                  <c:v>42407</c:v>
                </c:pt>
                <c:pt idx="132">
                  <c:v>42400</c:v>
                </c:pt>
                <c:pt idx="133">
                  <c:v>42393</c:v>
                </c:pt>
                <c:pt idx="134">
                  <c:v>42386</c:v>
                </c:pt>
                <c:pt idx="135">
                  <c:v>42379</c:v>
                </c:pt>
                <c:pt idx="136">
                  <c:v>42372</c:v>
                </c:pt>
                <c:pt idx="137">
                  <c:v>42365</c:v>
                </c:pt>
                <c:pt idx="138">
                  <c:v>42358</c:v>
                </c:pt>
                <c:pt idx="139">
                  <c:v>42351</c:v>
                </c:pt>
                <c:pt idx="140">
                  <c:v>42344</c:v>
                </c:pt>
                <c:pt idx="141">
                  <c:v>42337</c:v>
                </c:pt>
                <c:pt idx="142">
                  <c:v>42330</c:v>
                </c:pt>
                <c:pt idx="143">
                  <c:v>42323</c:v>
                </c:pt>
                <c:pt idx="144">
                  <c:v>42316</c:v>
                </c:pt>
                <c:pt idx="145">
                  <c:v>42309</c:v>
                </c:pt>
                <c:pt idx="146">
                  <c:v>42302</c:v>
                </c:pt>
                <c:pt idx="147">
                  <c:v>42295</c:v>
                </c:pt>
                <c:pt idx="148">
                  <c:v>42288</c:v>
                </c:pt>
                <c:pt idx="149">
                  <c:v>42281</c:v>
                </c:pt>
                <c:pt idx="150">
                  <c:v>42274</c:v>
                </c:pt>
                <c:pt idx="151">
                  <c:v>42267</c:v>
                </c:pt>
                <c:pt idx="152">
                  <c:v>42260</c:v>
                </c:pt>
                <c:pt idx="153">
                  <c:v>42253</c:v>
                </c:pt>
                <c:pt idx="154">
                  <c:v>42246</c:v>
                </c:pt>
                <c:pt idx="155">
                  <c:v>42239</c:v>
                </c:pt>
                <c:pt idx="156">
                  <c:v>42232</c:v>
                </c:pt>
                <c:pt idx="157">
                  <c:v>42225</c:v>
                </c:pt>
                <c:pt idx="158">
                  <c:v>42218</c:v>
                </c:pt>
                <c:pt idx="159">
                  <c:v>42211</c:v>
                </c:pt>
                <c:pt idx="160">
                  <c:v>42204</c:v>
                </c:pt>
                <c:pt idx="161">
                  <c:v>42197</c:v>
                </c:pt>
                <c:pt idx="162">
                  <c:v>42190</c:v>
                </c:pt>
                <c:pt idx="163">
                  <c:v>42183</c:v>
                </c:pt>
                <c:pt idx="164">
                  <c:v>42176</c:v>
                </c:pt>
                <c:pt idx="165">
                  <c:v>42169</c:v>
                </c:pt>
                <c:pt idx="166">
                  <c:v>42162</c:v>
                </c:pt>
                <c:pt idx="167">
                  <c:v>42155</c:v>
                </c:pt>
                <c:pt idx="168">
                  <c:v>42148</c:v>
                </c:pt>
                <c:pt idx="169">
                  <c:v>42141</c:v>
                </c:pt>
                <c:pt idx="170">
                  <c:v>42134</c:v>
                </c:pt>
                <c:pt idx="171">
                  <c:v>42127</c:v>
                </c:pt>
                <c:pt idx="172">
                  <c:v>42120</c:v>
                </c:pt>
                <c:pt idx="173">
                  <c:v>42113</c:v>
                </c:pt>
                <c:pt idx="174">
                  <c:v>42106</c:v>
                </c:pt>
                <c:pt idx="175">
                  <c:v>42099</c:v>
                </c:pt>
                <c:pt idx="176">
                  <c:v>42092</c:v>
                </c:pt>
                <c:pt idx="177">
                  <c:v>42085</c:v>
                </c:pt>
                <c:pt idx="178">
                  <c:v>42078</c:v>
                </c:pt>
                <c:pt idx="179">
                  <c:v>42071</c:v>
                </c:pt>
                <c:pt idx="180">
                  <c:v>42064</c:v>
                </c:pt>
                <c:pt idx="181">
                  <c:v>42057</c:v>
                </c:pt>
                <c:pt idx="182">
                  <c:v>42050</c:v>
                </c:pt>
                <c:pt idx="183">
                  <c:v>42043</c:v>
                </c:pt>
                <c:pt idx="184">
                  <c:v>42036</c:v>
                </c:pt>
                <c:pt idx="185">
                  <c:v>42029</c:v>
                </c:pt>
                <c:pt idx="186">
                  <c:v>42022</c:v>
                </c:pt>
                <c:pt idx="187">
                  <c:v>42015</c:v>
                </c:pt>
                <c:pt idx="188">
                  <c:v>42008</c:v>
                </c:pt>
                <c:pt idx="189">
                  <c:v>42001</c:v>
                </c:pt>
                <c:pt idx="190">
                  <c:v>41994</c:v>
                </c:pt>
                <c:pt idx="191">
                  <c:v>41987</c:v>
                </c:pt>
                <c:pt idx="192">
                  <c:v>41980</c:v>
                </c:pt>
                <c:pt idx="193">
                  <c:v>41973</c:v>
                </c:pt>
                <c:pt idx="194">
                  <c:v>41966</c:v>
                </c:pt>
                <c:pt idx="195">
                  <c:v>41959</c:v>
                </c:pt>
                <c:pt idx="196">
                  <c:v>41952</c:v>
                </c:pt>
                <c:pt idx="197">
                  <c:v>41945</c:v>
                </c:pt>
                <c:pt idx="198">
                  <c:v>41938</c:v>
                </c:pt>
                <c:pt idx="199">
                  <c:v>41931</c:v>
                </c:pt>
                <c:pt idx="200">
                  <c:v>41924</c:v>
                </c:pt>
                <c:pt idx="201">
                  <c:v>41917</c:v>
                </c:pt>
                <c:pt idx="202">
                  <c:v>41910</c:v>
                </c:pt>
                <c:pt idx="203">
                  <c:v>41903</c:v>
                </c:pt>
                <c:pt idx="204">
                  <c:v>41896</c:v>
                </c:pt>
                <c:pt idx="205">
                  <c:v>41889</c:v>
                </c:pt>
                <c:pt idx="206">
                  <c:v>41882</c:v>
                </c:pt>
                <c:pt idx="207">
                  <c:v>41875</c:v>
                </c:pt>
                <c:pt idx="208">
                  <c:v>41868</c:v>
                </c:pt>
                <c:pt idx="209">
                  <c:v>41861</c:v>
                </c:pt>
                <c:pt idx="210">
                  <c:v>41854</c:v>
                </c:pt>
                <c:pt idx="211">
                  <c:v>41847</c:v>
                </c:pt>
                <c:pt idx="212">
                  <c:v>41840</c:v>
                </c:pt>
                <c:pt idx="213">
                  <c:v>41833</c:v>
                </c:pt>
                <c:pt idx="214">
                  <c:v>41826</c:v>
                </c:pt>
                <c:pt idx="215">
                  <c:v>41819</c:v>
                </c:pt>
                <c:pt idx="216">
                  <c:v>41812</c:v>
                </c:pt>
                <c:pt idx="217">
                  <c:v>41805</c:v>
                </c:pt>
                <c:pt idx="218">
                  <c:v>41798</c:v>
                </c:pt>
                <c:pt idx="219">
                  <c:v>41791</c:v>
                </c:pt>
                <c:pt idx="220">
                  <c:v>41784</c:v>
                </c:pt>
                <c:pt idx="221">
                  <c:v>41777</c:v>
                </c:pt>
                <c:pt idx="222">
                  <c:v>41770</c:v>
                </c:pt>
                <c:pt idx="223">
                  <c:v>41763</c:v>
                </c:pt>
                <c:pt idx="224">
                  <c:v>41756</c:v>
                </c:pt>
                <c:pt idx="225">
                  <c:v>41749</c:v>
                </c:pt>
                <c:pt idx="226">
                  <c:v>41742</c:v>
                </c:pt>
                <c:pt idx="227">
                  <c:v>41735</c:v>
                </c:pt>
                <c:pt idx="228">
                  <c:v>41728</c:v>
                </c:pt>
                <c:pt idx="229">
                  <c:v>41721</c:v>
                </c:pt>
                <c:pt idx="230">
                  <c:v>41714</c:v>
                </c:pt>
                <c:pt idx="231">
                  <c:v>41707</c:v>
                </c:pt>
                <c:pt idx="232">
                  <c:v>41700</c:v>
                </c:pt>
                <c:pt idx="233">
                  <c:v>41693</c:v>
                </c:pt>
                <c:pt idx="234">
                  <c:v>41686</c:v>
                </c:pt>
                <c:pt idx="235">
                  <c:v>41679</c:v>
                </c:pt>
                <c:pt idx="236">
                  <c:v>41672</c:v>
                </c:pt>
                <c:pt idx="237">
                  <c:v>41665</c:v>
                </c:pt>
                <c:pt idx="238">
                  <c:v>41658</c:v>
                </c:pt>
                <c:pt idx="239">
                  <c:v>41651</c:v>
                </c:pt>
                <c:pt idx="240">
                  <c:v>41644</c:v>
                </c:pt>
                <c:pt idx="241">
                  <c:v>41637</c:v>
                </c:pt>
                <c:pt idx="242">
                  <c:v>41630</c:v>
                </c:pt>
                <c:pt idx="243">
                  <c:v>41623</c:v>
                </c:pt>
                <c:pt idx="244">
                  <c:v>41616</c:v>
                </c:pt>
                <c:pt idx="245">
                  <c:v>41609</c:v>
                </c:pt>
                <c:pt idx="246">
                  <c:v>41602</c:v>
                </c:pt>
                <c:pt idx="247">
                  <c:v>41595</c:v>
                </c:pt>
                <c:pt idx="248">
                  <c:v>41588</c:v>
                </c:pt>
                <c:pt idx="249">
                  <c:v>41581</c:v>
                </c:pt>
                <c:pt idx="250">
                  <c:v>41574</c:v>
                </c:pt>
                <c:pt idx="251">
                  <c:v>41567</c:v>
                </c:pt>
                <c:pt idx="252">
                  <c:v>41560</c:v>
                </c:pt>
                <c:pt idx="253">
                  <c:v>41553</c:v>
                </c:pt>
                <c:pt idx="254">
                  <c:v>41546</c:v>
                </c:pt>
                <c:pt idx="255">
                  <c:v>41539</c:v>
                </c:pt>
                <c:pt idx="256">
                  <c:v>41532</c:v>
                </c:pt>
                <c:pt idx="257">
                  <c:v>41525</c:v>
                </c:pt>
                <c:pt idx="258">
                  <c:v>41518</c:v>
                </c:pt>
                <c:pt idx="259">
                  <c:v>41511</c:v>
                </c:pt>
                <c:pt idx="260">
                  <c:v>41504</c:v>
                </c:pt>
                <c:pt idx="261">
                  <c:v>41497</c:v>
                </c:pt>
                <c:pt idx="262">
                  <c:v>41490</c:v>
                </c:pt>
                <c:pt idx="263">
                  <c:v>41483</c:v>
                </c:pt>
                <c:pt idx="264">
                  <c:v>41476</c:v>
                </c:pt>
                <c:pt idx="265">
                  <c:v>41469</c:v>
                </c:pt>
                <c:pt idx="266">
                  <c:v>41462</c:v>
                </c:pt>
                <c:pt idx="267">
                  <c:v>41455</c:v>
                </c:pt>
                <c:pt idx="268">
                  <c:v>41448</c:v>
                </c:pt>
                <c:pt idx="269">
                  <c:v>41441</c:v>
                </c:pt>
                <c:pt idx="270">
                  <c:v>41434</c:v>
                </c:pt>
                <c:pt idx="271">
                  <c:v>41427</c:v>
                </c:pt>
                <c:pt idx="272">
                  <c:v>41420</c:v>
                </c:pt>
                <c:pt idx="273">
                  <c:v>41413</c:v>
                </c:pt>
                <c:pt idx="274">
                  <c:v>41406</c:v>
                </c:pt>
                <c:pt idx="275">
                  <c:v>41399</c:v>
                </c:pt>
                <c:pt idx="276">
                  <c:v>41392</c:v>
                </c:pt>
                <c:pt idx="277">
                  <c:v>41385</c:v>
                </c:pt>
                <c:pt idx="278">
                  <c:v>41378</c:v>
                </c:pt>
                <c:pt idx="279">
                  <c:v>41371</c:v>
                </c:pt>
                <c:pt idx="280">
                  <c:v>41364</c:v>
                </c:pt>
                <c:pt idx="281">
                  <c:v>41357</c:v>
                </c:pt>
                <c:pt idx="282">
                  <c:v>41350</c:v>
                </c:pt>
                <c:pt idx="283">
                  <c:v>41343</c:v>
                </c:pt>
                <c:pt idx="284">
                  <c:v>41336</c:v>
                </c:pt>
                <c:pt idx="285">
                  <c:v>41329</c:v>
                </c:pt>
                <c:pt idx="286">
                  <c:v>41322</c:v>
                </c:pt>
                <c:pt idx="287">
                  <c:v>41315</c:v>
                </c:pt>
                <c:pt idx="288">
                  <c:v>41308</c:v>
                </c:pt>
                <c:pt idx="289">
                  <c:v>41301</c:v>
                </c:pt>
                <c:pt idx="290">
                  <c:v>41294</c:v>
                </c:pt>
                <c:pt idx="291">
                  <c:v>41287</c:v>
                </c:pt>
                <c:pt idx="292">
                  <c:v>41280</c:v>
                </c:pt>
                <c:pt idx="293">
                  <c:v>41273</c:v>
                </c:pt>
                <c:pt idx="294">
                  <c:v>41266</c:v>
                </c:pt>
                <c:pt idx="295">
                  <c:v>41259</c:v>
                </c:pt>
                <c:pt idx="296">
                  <c:v>41252</c:v>
                </c:pt>
                <c:pt idx="297">
                  <c:v>41245</c:v>
                </c:pt>
                <c:pt idx="298">
                  <c:v>41238</c:v>
                </c:pt>
                <c:pt idx="299">
                  <c:v>41231</c:v>
                </c:pt>
                <c:pt idx="300">
                  <c:v>41224</c:v>
                </c:pt>
                <c:pt idx="301">
                  <c:v>41217</c:v>
                </c:pt>
                <c:pt idx="302">
                  <c:v>41210</c:v>
                </c:pt>
                <c:pt idx="303">
                  <c:v>41203</c:v>
                </c:pt>
                <c:pt idx="304">
                  <c:v>41196</c:v>
                </c:pt>
                <c:pt idx="305">
                  <c:v>41189</c:v>
                </c:pt>
                <c:pt idx="306">
                  <c:v>41182</c:v>
                </c:pt>
                <c:pt idx="307">
                  <c:v>41175</c:v>
                </c:pt>
                <c:pt idx="308">
                  <c:v>41168</c:v>
                </c:pt>
                <c:pt idx="309">
                  <c:v>41161</c:v>
                </c:pt>
                <c:pt idx="310">
                  <c:v>41154</c:v>
                </c:pt>
                <c:pt idx="311">
                  <c:v>41147</c:v>
                </c:pt>
                <c:pt idx="312">
                  <c:v>41140</c:v>
                </c:pt>
                <c:pt idx="313">
                  <c:v>41133</c:v>
                </c:pt>
                <c:pt idx="314">
                  <c:v>41126</c:v>
                </c:pt>
                <c:pt idx="315">
                  <c:v>41119</c:v>
                </c:pt>
                <c:pt idx="316">
                  <c:v>41112</c:v>
                </c:pt>
                <c:pt idx="317">
                  <c:v>41105</c:v>
                </c:pt>
                <c:pt idx="318">
                  <c:v>41098</c:v>
                </c:pt>
                <c:pt idx="319">
                  <c:v>41091</c:v>
                </c:pt>
                <c:pt idx="320">
                  <c:v>41084</c:v>
                </c:pt>
                <c:pt idx="321">
                  <c:v>41077</c:v>
                </c:pt>
                <c:pt idx="322">
                  <c:v>41070</c:v>
                </c:pt>
                <c:pt idx="323">
                  <c:v>41063</c:v>
                </c:pt>
                <c:pt idx="324">
                  <c:v>41056</c:v>
                </c:pt>
                <c:pt idx="325">
                  <c:v>41049</c:v>
                </c:pt>
                <c:pt idx="326">
                  <c:v>41042</c:v>
                </c:pt>
                <c:pt idx="327">
                  <c:v>41035</c:v>
                </c:pt>
                <c:pt idx="328">
                  <c:v>41028</c:v>
                </c:pt>
                <c:pt idx="329">
                  <c:v>41021</c:v>
                </c:pt>
                <c:pt idx="330">
                  <c:v>41014</c:v>
                </c:pt>
                <c:pt idx="331">
                  <c:v>41007</c:v>
                </c:pt>
                <c:pt idx="332">
                  <c:v>41000</c:v>
                </c:pt>
                <c:pt idx="333">
                  <c:v>40993</c:v>
                </c:pt>
                <c:pt idx="334">
                  <c:v>40986</c:v>
                </c:pt>
                <c:pt idx="335">
                  <c:v>40979</c:v>
                </c:pt>
                <c:pt idx="336">
                  <c:v>40972</c:v>
                </c:pt>
                <c:pt idx="337">
                  <c:v>40965</c:v>
                </c:pt>
                <c:pt idx="338">
                  <c:v>40958</c:v>
                </c:pt>
                <c:pt idx="339">
                  <c:v>40951</c:v>
                </c:pt>
                <c:pt idx="340">
                  <c:v>40944</c:v>
                </c:pt>
                <c:pt idx="341">
                  <c:v>40937</c:v>
                </c:pt>
                <c:pt idx="342">
                  <c:v>40930</c:v>
                </c:pt>
                <c:pt idx="343">
                  <c:v>40923</c:v>
                </c:pt>
                <c:pt idx="344">
                  <c:v>40916</c:v>
                </c:pt>
                <c:pt idx="345">
                  <c:v>40909</c:v>
                </c:pt>
                <c:pt idx="346">
                  <c:v>40902</c:v>
                </c:pt>
                <c:pt idx="347">
                  <c:v>40895</c:v>
                </c:pt>
                <c:pt idx="348">
                  <c:v>40888</c:v>
                </c:pt>
                <c:pt idx="349">
                  <c:v>40881</c:v>
                </c:pt>
                <c:pt idx="350">
                  <c:v>40874</c:v>
                </c:pt>
                <c:pt idx="351">
                  <c:v>40867</c:v>
                </c:pt>
                <c:pt idx="352">
                  <c:v>40860</c:v>
                </c:pt>
                <c:pt idx="353">
                  <c:v>40853</c:v>
                </c:pt>
                <c:pt idx="354">
                  <c:v>40846</c:v>
                </c:pt>
                <c:pt idx="355">
                  <c:v>40839</c:v>
                </c:pt>
                <c:pt idx="356">
                  <c:v>40832</c:v>
                </c:pt>
                <c:pt idx="357">
                  <c:v>40825</c:v>
                </c:pt>
                <c:pt idx="358">
                  <c:v>40818</c:v>
                </c:pt>
                <c:pt idx="359">
                  <c:v>40811</c:v>
                </c:pt>
                <c:pt idx="360">
                  <c:v>40804</c:v>
                </c:pt>
                <c:pt idx="361">
                  <c:v>40797</c:v>
                </c:pt>
                <c:pt idx="362">
                  <c:v>40790</c:v>
                </c:pt>
                <c:pt idx="363">
                  <c:v>40783</c:v>
                </c:pt>
                <c:pt idx="364">
                  <c:v>40776</c:v>
                </c:pt>
                <c:pt idx="365">
                  <c:v>40769</c:v>
                </c:pt>
                <c:pt idx="366">
                  <c:v>40762</c:v>
                </c:pt>
                <c:pt idx="367">
                  <c:v>40755</c:v>
                </c:pt>
                <c:pt idx="368">
                  <c:v>40748</c:v>
                </c:pt>
                <c:pt idx="369">
                  <c:v>40741</c:v>
                </c:pt>
                <c:pt idx="370">
                  <c:v>40734</c:v>
                </c:pt>
                <c:pt idx="371">
                  <c:v>40727</c:v>
                </c:pt>
                <c:pt idx="372">
                  <c:v>40720</c:v>
                </c:pt>
                <c:pt idx="373">
                  <c:v>40713</c:v>
                </c:pt>
                <c:pt idx="374">
                  <c:v>40706</c:v>
                </c:pt>
                <c:pt idx="375">
                  <c:v>40699</c:v>
                </c:pt>
                <c:pt idx="376">
                  <c:v>40692</c:v>
                </c:pt>
                <c:pt idx="377">
                  <c:v>40685</c:v>
                </c:pt>
                <c:pt idx="378">
                  <c:v>40678</c:v>
                </c:pt>
                <c:pt idx="379">
                  <c:v>40671</c:v>
                </c:pt>
                <c:pt idx="380">
                  <c:v>40664</c:v>
                </c:pt>
                <c:pt idx="381">
                  <c:v>40657</c:v>
                </c:pt>
                <c:pt idx="382">
                  <c:v>40650</c:v>
                </c:pt>
                <c:pt idx="383">
                  <c:v>40643</c:v>
                </c:pt>
                <c:pt idx="384">
                  <c:v>40636</c:v>
                </c:pt>
                <c:pt idx="385">
                  <c:v>40629</c:v>
                </c:pt>
                <c:pt idx="386">
                  <c:v>40622</c:v>
                </c:pt>
                <c:pt idx="387">
                  <c:v>40615</c:v>
                </c:pt>
                <c:pt idx="388">
                  <c:v>40608</c:v>
                </c:pt>
                <c:pt idx="389">
                  <c:v>40601</c:v>
                </c:pt>
                <c:pt idx="390">
                  <c:v>40594</c:v>
                </c:pt>
                <c:pt idx="391">
                  <c:v>40587</c:v>
                </c:pt>
                <c:pt idx="392">
                  <c:v>40580</c:v>
                </c:pt>
                <c:pt idx="393">
                  <c:v>40573</c:v>
                </c:pt>
                <c:pt idx="394">
                  <c:v>40566</c:v>
                </c:pt>
                <c:pt idx="395">
                  <c:v>40559</c:v>
                </c:pt>
                <c:pt idx="396">
                  <c:v>40552</c:v>
                </c:pt>
                <c:pt idx="397">
                  <c:v>40545</c:v>
                </c:pt>
                <c:pt idx="398">
                  <c:v>40538</c:v>
                </c:pt>
                <c:pt idx="399">
                  <c:v>40531</c:v>
                </c:pt>
                <c:pt idx="400">
                  <c:v>40524</c:v>
                </c:pt>
                <c:pt idx="401">
                  <c:v>40517</c:v>
                </c:pt>
                <c:pt idx="402">
                  <c:v>40510</c:v>
                </c:pt>
                <c:pt idx="403">
                  <c:v>40503</c:v>
                </c:pt>
                <c:pt idx="404">
                  <c:v>40496</c:v>
                </c:pt>
                <c:pt idx="405">
                  <c:v>40489</c:v>
                </c:pt>
                <c:pt idx="406">
                  <c:v>40482</c:v>
                </c:pt>
                <c:pt idx="407">
                  <c:v>40475</c:v>
                </c:pt>
                <c:pt idx="408">
                  <c:v>40468</c:v>
                </c:pt>
                <c:pt idx="409">
                  <c:v>40461</c:v>
                </c:pt>
                <c:pt idx="410">
                  <c:v>40454</c:v>
                </c:pt>
                <c:pt idx="411">
                  <c:v>40447</c:v>
                </c:pt>
                <c:pt idx="412">
                  <c:v>40440</c:v>
                </c:pt>
                <c:pt idx="413">
                  <c:v>40433</c:v>
                </c:pt>
                <c:pt idx="414">
                  <c:v>40426</c:v>
                </c:pt>
                <c:pt idx="415">
                  <c:v>40419</c:v>
                </c:pt>
                <c:pt idx="416">
                  <c:v>40412</c:v>
                </c:pt>
                <c:pt idx="417">
                  <c:v>40405</c:v>
                </c:pt>
                <c:pt idx="418">
                  <c:v>40398</c:v>
                </c:pt>
                <c:pt idx="419">
                  <c:v>40391</c:v>
                </c:pt>
                <c:pt idx="420">
                  <c:v>40384</c:v>
                </c:pt>
                <c:pt idx="421">
                  <c:v>40377</c:v>
                </c:pt>
                <c:pt idx="422">
                  <c:v>40370</c:v>
                </c:pt>
                <c:pt idx="423">
                  <c:v>40363</c:v>
                </c:pt>
                <c:pt idx="424">
                  <c:v>40356</c:v>
                </c:pt>
                <c:pt idx="425">
                  <c:v>40349</c:v>
                </c:pt>
                <c:pt idx="426">
                  <c:v>40342</c:v>
                </c:pt>
                <c:pt idx="427">
                  <c:v>40335</c:v>
                </c:pt>
                <c:pt idx="428">
                  <c:v>40328</c:v>
                </c:pt>
                <c:pt idx="429">
                  <c:v>40321</c:v>
                </c:pt>
                <c:pt idx="430">
                  <c:v>40314</c:v>
                </c:pt>
                <c:pt idx="431">
                  <c:v>40307</c:v>
                </c:pt>
                <c:pt idx="432">
                  <c:v>40300</c:v>
                </c:pt>
                <c:pt idx="433">
                  <c:v>40293</c:v>
                </c:pt>
                <c:pt idx="434">
                  <c:v>40286</c:v>
                </c:pt>
                <c:pt idx="435">
                  <c:v>40279</c:v>
                </c:pt>
                <c:pt idx="436">
                  <c:v>40272</c:v>
                </c:pt>
                <c:pt idx="437">
                  <c:v>40265</c:v>
                </c:pt>
                <c:pt idx="438">
                  <c:v>40258</c:v>
                </c:pt>
                <c:pt idx="439">
                  <c:v>40251</c:v>
                </c:pt>
                <c:pt idx="440">
                  <c:v>40244</c:v>
                </c:pt>
                <c:pt idx="441">
                  <c:v>40237</c:v>
                </c:pt>
                <c:pt idx="442">
                  <c:v>40230</c:v>
                </c:pt>
                <c:pt idx="443">
                  <c:v>40223</c:v>
                </c:pt>
                <c:pt idx="444">
                  <c:v>40216</c:v>
                </c:pt>
                <c:pt idx="445">
                  <c:v>40209</c:v>
                </c:pt>
                <c:pt idx="446">
                  <c:v>40202</c:v>
                </c:pt>
                <c:pt idx="447">
                  <c:v>40195</c:v>
                </c:pt>
                <c:pt idx="448">
                  <c:v>40188</c:v>
                </c:pt>
                <c:pt idx="449">
                  <c:v>40181</c:v>
                </c:pt>
                <c:pt idx="450">
                  <c:v>40174</c:v>
                </c:pt>
                <c:pt idx="451">
                  <c:v>40167</c:v>
                </c:pt>
                <c:pt idx="452">
                  <c:v>40160</c:v>
                </c:pt>
                <c:pt idx="453">
                  <c:v>40153</c:v>
                </c:pt>
                <c:pt idx="454">
                  <c:v>40146</c:v>
                </c:pt>
                <c:pt idx="455">
                  <c:v>40139</c:v>
                </c:pt>
                <c:pt idx="456">
                  <c:v>40132</c:v>
                </c:pt>
                <c:pt idx="457">
                  <c:v>40125</c:v>
                </c:pt>
                <c:pt idx="458">
                  <c:v>40118</c:v>
                </c:pt>
                <c:pt idx="459">
                  <c:v>40111</c:v>
                </c:pt>
                <c:pt idx="460">
                  <c:v>40104</c:v>
                </c:pt>
                <c:pt idx="461">
                  <c:v>40097</c:v>
                </c:pt>
                <c:pt idx="462">
                  <c:v>40090</c:v>
                </c:pt>
                <c:pt idx="463">
                  <c:v>40083</c:v>
                </c:pt>
                <c:pt idx="464">
                  <c:v>40076</c:v>
                </c:pt>
                <c:pt idx="465">
                  <c:v>40069</c:v>
                </c:pt>
                <c:pt idx="466">
                  <c:v>40062</c:v>
                </c:pt>
                <c:pt idx="467">
                  <c:v>40055</c:v>
                </c:pt>
                <c:pt idx="468">
                  <c:v>40048</c:v>
                </c:pt>
                <c:pt idx="469">
                  <c:v>40041</c:v>
                </c:pt>
                <c:pt idx="470">
                  <c:v>40034</c:v>
                </c:pt>
                <c:pt idx="471">
                  <c:v>40027</c:v>
                </c:pt>
                <c:pt idx="472">
                  <c:v>40020</c:v>
                </c:pt>
                <c:pt idx="473">
                  <c:v>40013</c:v>
                </c:pt>
                <c:pt idx="474">
                  <c:v>40006</c:v>
                </c:pt>
                <c:pt idx="475">
                  <c:v>39999</c:v>
                </c:pt>
                <c:pt idx="476">
                  <c:v>39992</c:v>
                </c:pt>
                <c:pt idx="477">
                  <c:v>39985</c:v>
                </c:pt>
                <c:pt idx="478">
                  <c:v>39978</c:v>
                </c:pt>
                <c:pt idx="479">
                  <c:v>39971</c:v>
                </c:pt>
                <c:pt idx="480">
                  <c:v>39964</c:v>
                </c:pt>
                <c:pt idx="481">
                  <c:v>39957</c:v>
                </c:pt>
                <c:pt idx="482">
                  <c:v>39950</c:v>
                </c:pt>
                <c:pt idx="483">
                  <c:v>39943</c:v>
                </c:pt>
                <c:pt idx="484">
                  <c:v>39936</c:v>
                </c:pt>
                <c:pt idx="485">
                  <c:v>39929</c:v>
                </c:pt>
                <c:pt idx="486">
                  <c:v>39922</c:v>
                </c:pt>
                <c:pt idx="487">
                  <c:v>39915</c:v>
                </c:pt>
                <c:pt idx="488">
                  <c:v>39908</c:v>
                </c:pt>
                <c:pt idx="489">
                  <c:v>39901</c:v>
                </c:pt>
                <c:pt idx="490">
                  <c:v>39894</c:v>
                </c:pt>
                <c:pt idx="491">
                  <c:v>39887</c:v>
                </c:pt>
                <c:pt idx="492">
                  <c:v>39880</c:v>
                </c:pt>
                <c:pt idx="493">
                  <c:v>39873</c:v>
                </c:pt>
                <c:pt idx="494">
                  <c:v>39866</c:v>
                </c:pt>
                <c:pt idx="495">
                  <c:v>39859</c:v>
                </c:pt>
                <c:pt idx="496">
                  <c:v>39852</c:v>
                </c:pt>
                <c:pt idx="497">
                  <c:v>39845</c:v>
                </c:pt>
                <c:pt idx="498">
                  <c:v>39838</c:v>
                </c:pt>
                <c:pt idx="499">
                  <c:v>39831</c:v>
                </c:pt>
                <c:pt idx="500">
                  <c:v>39824</c:v>
                </c:pt>
                <c:pt idx="501">
                  <c:v>39817</c:v>
                </c:pt>
                <c:pt idx="502">
                  <c:v>39810</c:v>
                </c:pt>
                <c:pt idx="503">
                  <c:v>39803</c:v>
                </c:pt>
                <c:pt idx="504">
                  <c:v>39796</c:v>
                </c:pt>
                <c:pt idx="505">
                  <c:v>39789</c:v>
                </c:pt>
                <c:pt idx="506">
                  <c:v>39782</c:v>
                </c:pt>
                <c:pt idx="507">
                  <c:v>39775</c:v>
                </c:pt>
                <c:pt idx="508">
                  <c:v>39768</c:v>
                </c:pt>
                <c:pt idx="509">
                  <c:v>39761</c:v>
                </c:pt>
                <c:pt idx="510">
                  <c:v>39754</c:v>
                </c:pt>
                <c:pt idx="511">
                  <c:v>39747</c:v>
                </c:pt>
                <c:pt idx="512">
                  <c:v>39740</c:v>
                </c:pt>
                <c:pt idx="513">
                  <c:v>39733</c:v>
                </c:pt>
                <c:pt idx="514">
                  <c:v>39726</c:v>
                </c:pt>
                <c:pt idx="515">
                  <c:v>39719</c:v>
                </c:pt>
                <c:pt idx="516">
                  <c:v>39712</c:v>
                </c:pt>
                <c:pt idx="517">
                  <c:v>39705</c:v>
                </c:pt>
                <c:pt idx="518">
                  <c:v>39698</c:v>
                </c:pt>
                <c:pt idx="519">
                  <c:v>39691</c:v>
                </c:pt>
                <c:pt idx="520">
                  <c:v>39684</c:v>
                </c:pt>
                <c:pt idx="521">
                  <c:v>39677</c:v>
                </c:pt>
                <c:pt idx="522">
                  <c:v>39670</c:v>
                </c:pt>
                <c:pt idx="523">
                  <c:v>39663</c:v>
                </c:pt>
                <c:pt idx="524">
                  <c:v>39656</c:v>
                </c:pt>
                <c:pt idx="525">
                  <c:v>39649</c:v>
                </c:pt>
                <c:pt idx="526">
                  <c:v>39642</c:v>
                </c:pt>
                <c:pt idx="527">
                  <c:v>39635</c:v>
                </c:pt>
                <c:pt idx="528">
                  <c:v>39628</c:v>
                </c:pt>
                <c:pt idx="529">
                  <c:v>39621</c:v>
                </c:pt>
                <c:pt idx="530">
                  <c:v>39614</c:v>
                </c:pt>
                <c:pt idx="531">
                  <c:v>39607</c:v>
                </c:pt>
                <c:pt idx="532">
                  <c:v>39600</c:v>
                </c:pt>
                <c:pt idx="533">
                  <c:v>39593</c:v>
                </c:pt>
                <c:pt idx="534">
                  <c:v>39586</c:v>
                </c:pt>
                <c:pt idx="535">
                  <c:v>39579</c:v>
                </c:pt>
                <c:pt idx="536">
                  <c:v>39572</c:v>
                </c:pt>
                <c:pt idx="537">
                  <c:v>39565</c:v>
                </c:pt>
                <c:pt idx="538">
                  <c:v>39558</c:v>
                </c:pt>
                <c:pt idx="539">
                  <c:v>39551</c:v>
                </c:pt>
                <c:pt idx="540">
                  <c:v>39544</c:v>
                </c:pt>
                <c:pt idx="541">
                  <c:v>39537</c:v>
                </c:pt>
                <c:pt idx="542">
                  <c:v>39530</c:v>
                </c:pt>
                <c:pt idx="543">
                  <c:v>39523</c:v>
                </c:pt>
                <c:pt idx="544">
                  <c:v>39516</c:v>
                </c:pt>
                <c:pt idx="545">
                  <c:v>39509</c:v>
                </c:pt>
                <c:pt idx="546">
                  <c:v>39502</c:v>
                </c:pt>
                <c:pt idx="547">
                  <c:v>39495</c:v>
                </c:pt>
                <c:pt idx="548">
                  <c:v>39488</c:v>
                </c:pt>
                <c:pt idx="549">
                  <c:v>39481</c:v>
                </c:pt>
                <c:pt idx="550">
                  <c:v>39474</c:v>
                </c:pt>
                <c:pt idx="551">
                  <c:v>39467</c:v>
                </c:pt>
                <c:pt idx="552">
                  <c:v>39460</c:v>
                </c:pt>
                <c:pt idx="553">
                  <c:v>39453</c:v>
                </c:pt>
                <c:pt idx="554">
                  <c:v>39446</c:v>
                </c:pt>
                <c:pt idx="555">
                  <c:v>39439</c:v>
                </c:pt>
                <c:pt idx="556">
                  <c:v>39432</c:v>
                </c:pt>
                <c:pt idx="557">
                  <c:v>39425</c:v>
                </c:pt>
                <c:pt idx="558">
                  <c:v>39418</c:v>
                </c:pt>
                <c:pt idx="559">
                  <c:v>39411</c:v>
                </c:pt>
                <c:pt idx="560">
                  <c:v>39404</c:v>
                </c:pt>
                <c:pt idx="561">
                  <c:v>39397</c:v>
                </c:pt>
                <c:pt idx="562">
                  <c:v>39390</c:v>
                </c:pt>
                <c:pt idx="563">
                  <c:v>39383</c:v>
                </c:pt>
                <c:pt idx="564">
                  <c:v>39376</c:v>
                </c:pt>
                <c:pt idx="565">
                  <c:v>39369</c:v>
                </c:pt>
                <c:pt idx="566">
                  <c:v>39362</c:v>
                </c:pt>
                <c:pt idx="567">
                  <c:v>39355</c:v>
                </c:pt>
                <c:pt idx="568">
                  <c:v>39348</c:v>
                </c:pt>
                <c:pt idx="569">
                  <c:v>39341</c:v>
                </c:pt>
                <c:pt idx="570">
                  <c:v>39334</c:v>
                </c:pt>
                <c:pt idx="571">
                  <c:v>39327</c:v>
                </c:pt>
                <c:pt idx="572">
                  <c:v>39320</c:v>
                </c:pt>
                <c:pt idx="573">
                  <c:v>39313</c:v>
                </c:pt>
                <c:pt idx="574">
                  <c:v>39306</c:v>
                </c:pt>
                <c:pt idx="575">
                  <c:v>39299</c:v>
                </c:pt>
                <c:pt idx="576">
                  <c:v>39292</c:v>
                </c:pt>
                <c:pt idx="577">
                  <c:v>39285</c:v>
                </c:pt>
                <c:pt idx="578">
                  <c:v>39278</c:v>
                </c:pt>
                <c:pt idx="579">
                  <c:v>39271</c:v>
                </c:pt>
                <c:pt idx="580">
                  <c:v>39264</c:v>
                </c:pt>
                <c:pt idx="581">
                  <c:v>39257</c:v>
                </c:pt>
                <c:pt idx="582">
                  <c:v>39250</c:v>
                </c:pt>
                <c:pt idx="583">
                  <c:v>39243</c:v>
                </c:pt>
                <c:pt idx="584">
                  <c:v>39236</c:v>
                </c:pt>
                <c:pt idx="585">
                  <c:v>39229</c:v>
                </c:pt>
                <c:pt idx="586">
                  <c:v>39222</c:v>
                </c:pt>
                <c:pt idx="587">
                  <c:v>39215</c:v>
                </c:pt>
                <c:pt idx="588">
                  <c:v>39208</c:v>
                </c:pt>
                <c:pt idx="589">
                  <c:v>39201</c:v>
                </c:pt>
                <c:pt idx="590">
                  <c:v>39194</c:v>
                </c:pt>
                <c:pt idx="591">
                  <c:v>39187</c:v>
                </c:pt>
                <c:pt idx="592">
                  <c:v>39180</c:v>
                </c:pt>
                <c:pt idx="593">
                  <c:v>39173</c:v>
                </c:pt>
                <c:pt idx="594">
                  <c:v>39166</c:v>
                </c:pt>
                <c:pt idx="595">
                  <c:v>39159</c:v>
                </c:pt>
                <c:pt idx="596">
                  <c:v>39152</c:v>
                </c:pt>
                <c:pt idx="597">
                  <c:v>39145</c:v>
                </c:pt>
                <c:pt idx="598">
                  <c:v>39138</c:v>
                </c:pt>
                <c:pt idx="599">
                  <c:v>39131</c:v>
                </c:pt>
                <c:pt idx="600">
                  <c:v>39124</c:v>
                </c:pt>
                <c:pt idx="601">
                  <c:v>39117</c:v>
                </c:pt>
                <c:pt idx="602">
                  <c:v>39110</c:v>
                </c:pt>
                <c:pt idx="603">
                  <c:v>39103</c:v>
                </c:pt>
                <c:pt idx="604">
                  <c:v>39096</c:v>
                </c:pt>
                <c:pt idx="605">
                  <c:v>39089</c:v>
                </c:pt>
                <c:pt idx="606">
                  <c:v>39082</c:v>
                </c:pt>
                <c:pt idx="607">
                  <c:v>39075</c:v>
                </c:pt>
                <c:pt idx="608">
                  <c:v>39068</c:v>
                </c:pt>
                <c:pt idx="609">
                  <c:v>39061</c:v>
                </c:pt>
                <c:pt idx="610">
                  <c:v>39054</c:v>
                </c:pt>
                <c:pt idx="611">
                  <c:v>39047</c:v>
                </c:pt>
                <c:pt idx="612">
                  <c:v>39040</c:v>
                </c:pt>
                <c:pt idx="613">
                  <c:v>39033</c:v>
                </c:pt>
                <c:pt idx="614">
                  <c:v>39026</c:v>
                </c:pt>
                <c:pt idx="615">
                  <c:v>39019</c:v>
                </c:pt>
                <c:pt idx="616">
                  <c:v>39012</c:v>
                </c:pt>
                <c:pt idx="617">
                  <c:v>39005</c:v>
                </c:pt>
                <c:pt idx="618">
                  <c:v>38998</c:v>
                </c:pt>
                <c:pt idx="619">
                  <c:v>38991</c:v>
                </c:pt>
                <c:pt idx="620">
                  <c:v>38984</c:v>
                </c:pt>
                <c:pt idx="621">
                  <c:v>38977</c:v>
                </c:pt>
                <c:pt idx="622">
                  <c:v>38970</c:v>
                </c:pt>
                <c:pt idx="623">
                  <c:v>38963</c:v>
                </c:pt>
                <c:pt idx="624">
                  <c:v>38956</c:v>
                </c:pt>
                <c:pt idx="625">
                  <c:v>38949</c:v>
                </c:pt>
                <c:pt idx="626">
                  <c:v>38942</c:v>
                </c:pt>
                <c:pt idx="627">
                  <c:v>38935</c:v>
                </c:pt>
                <c:pt idx="628">
                  <c:v>38928</c:v>
                </c:pt>
                <c:pt idx="629">
                  <c:v>38921</c:v>
                </c:pt>
                <c:pt idx="630">
                  <c:v>38914</c:v>
                </c:pt>
                <c:pt idx="631">
                  <c:v>38907</c:v>
                </c:pt>
                <c:pt idx="632">
                  <c:v>38900</c:v>
                </c:pt>
                <c:pt idx="633">
                  <c:v>38893</c:v>
                </c:pt>
                <c:pt idx="634">
                  <c:v>38886</c:v>
                </c:pt>
                <c:pt idx="635">
                  <c:v>38879</c:v>
                </c:pt>
                <c:pt idx="636">
                  <c:v>38872</c:v>
                </c:pt>
                <c:pt idx="637">
                  <c:v>38865</c:v>
                </c:pt>
                <c:pt idx="638">
                  <c:v>38858</c:v>
                </c:pt>
                <c:pt idx="639">
                  <c:v>38851</c:v>
                </c:pt>
                <c:pt idx="640">
                  <c:v>38844</c:v>
                </c:pt>
                <c:pt idx="641">
                  <c:v>38837</c:v>
                </c:pt>
                <c:pt idx="642">
                  <c:v>38830</c:v>
                </c:pt>
                <c:pt idx="643">
                  <c:v>38823</c:v>
                </c:pt>
                <c:pt idx="644">
                  <c:v>38816</c:v>
                </c:pt>
                <c:pt idx="645">
                  <c:v>38809</c:v>
                </c:pt>
                <c:pt idx="646">
                  <c:v>38802</c:v>
                </c:pt>
                <c:pt idx="647">
                  <c:v>38795</c:v>
                </c:pt>
                <c:pt idx="648">
                  <c:v>38788</c:v>
                </c:pt>
                <c:pt idx="649">
                  <c:v>38781</c:v>
                </c:pt>
                <c:pt idx="650">
                  <c:v>38774</c:v>
                </c:pt>
                <c:pt idx="651">
                  <c:v>38767</c:v>
                </c:pt>
                <c:pt idx="652">
                  <c:v>38760</c:v>
                </c:pt>
                <c:pt idx="653">
                  <c:v>38753</c:v>
                </c:pt>
                <c:pt idx="654">
                  <c:v>38746</c:v>
                </c:pt>
                <c:pt idx="655">
                  <c:v>38739</c:v>
                </c:pt>
                <c:pt idx="656">
                  <c:v>38732</c:v>
                </c:pt>
                <c:pt idx="657">
                  <c:v>38725</c:v>
                </c:pt>
                <c:pt idx="658">
                  <c:v>38718</c:v>
                </c:pt>
                <c:pt idx="659">
                  <c:v>38711</c:v>
                </c:pt>
                <c:pt idx="660">
                  <c:v>38704</c:v>
                </c:pt>
                <c:pt idx="661">
                  <c:v>38697</c:v>
                </c:pt>
                <c:pt idx="662">
                  <c:v>38690</c:v>
                </c:pt>
                <c:pt idx="663">
                  <c:v>38683</c:v>
                </c:pt>
                <c:pt idx="664">
                  <c:v>38676</c:v>
                </c:pt>
                <c:pt idx="665">
                  <c:v>38669</c:v>
                </c:pt>
                <c:pt idx="666">
                  <c:v>38662</c:v>
                </c:pt>
                <c:pt idx="667">
                  <c:v>38655</c:v>
                </c:pt>
                <c:pt idx="668">
                  <c:v>38648</c:v>
                </c:pt>
                <c:pt idx="669">
                  <c:v>38641</c:v>
                </c:pt>
                <c:pt idx="670">
                  <c:v>38634</c:v>
                </c:pt>
                <c:pt idx="671">
                  <c:v>38627</c:v>
                </c:pt>
                <c:pt idx="672">
                  <c:v>38620</c:v>
                </c:pt>
                <c:pt idx="673">
                  <c:v>38613</c:v>
                </c:pt>
                <c:pt idx="674">
                  <c:v>38606</c:v>
                </c:pt>
                <c:pt idx="675">
                  <c:v>38599</c:v>
                </c:pt>
                <c:pt idx="676">
                  <c:v>38592</c:v>
                </c:pt>
                <c:pt idx="677">
                  <c:v>38585</c:v>
                </c:pt>
                <c:pt idx="678">
                  <c:v>38578</c:v>
                </c:pt>
                <c:pt idx="679">
                  <c:v>38571</c:v>
                </c:pt>
                <c:pt idx="680">
                  <c:v>38564</c:v>
                </c:pt>
                <c:pt idx="681">
                  <c:v>38557</c:v>
                </c:pt>
                <c:pt idx="682">
                  <c:v>38550</c:v>
                </c:pt>
                <c:pt idx="683">
                  <c:v>38543</c:v>
                </c:pt>
                <c:pt idx="684">
                  <c:v>38536</c:v>
                </c:pt>
                <c:pt idx="685">
                  <c:v>38529</c:v>
                </c:pt>
                <c:pt idx="686">
                  <c:v>38522</c:v>
                </c:pt>
                <c:pt idx="687">
                  <c:v>38515</c:v>
                </c:pt>
                <c:pt idx="688">
                  <c:v>38508</c:v>
                </c:pt>
                <c:pt idx="689">
                  <c:v>38501</c:v>
                </c:pt>
                <c:pt idx="690">
                  <c:v>38494</c:v>
                </c:pt>
                <c:pt idx="691">
                  <c:v>38487</c:v>
                </c:pt>
                <c:pt idx="692">
                  <c:v>38480</c:v>
                </c:pt>
                <c:pt idx="693">
                  <c:v>38473</c:v>
                </c:pt>
                <c:pt idx="694">
                  <c:v>38466</c:v>
                </c:pt>
                <c:pt idx="695">
                  <c:v>38459</c:v>
                </c:pt>
                <c:pt idx="696">
                  <c:v>38452</c:v>
                </c:pt>
                <c:pt idx="697">
                  <c:v>38445</c:v>
                </c:pt>
                <c:pt idx="698">
                  <c:v>38438</c:v>
                </c:pt>
                <c:pt idx="699">
                  <c:v>38431</c:v>
                </c:pt>
                <c:pt idx="700">
                  <c:v>38424</c:v>
                </c:pt>
                <c:pt idx="701">
                  <c:v>38417</c:v>
                </c:pt>
                <c:pt idx="702">
                  <c:v>38410</c:v>
                </c:pt>
                <c:pt idx="703">
                  <c:v>38403</c:v>
                </c:pt>
                <c:pt idx="704">
                  <c:v>38396</c:v>
                </c:pt>
                <c:pt idx="705">
                  <c:v>38389</c:v>
                </c:pt>
                <c:pt idx="706">
                  <c:v>38382</c:v>
                </c:pt>
                <c:pt idx="707">
                  <c:v>38375</c:v>
                </c:pt>
                <c:pt idx="708">
                  <c:v>38368</c:v>
                </c:pt>
                <c:pt idx="709">
                  <c:v>38361</c:v>
                </c:pt>
                <c:pt idx="710">
                  <c:v>38354</c:v>
                </c:pt>
                <c:pt idx="711">
                  <c:v>38347</c:v>
                </c:pt>
                <c:pt idx="712">
                  <c:v>38340</c:v>
                </c:pt>
                <c:pt idx="713">
                  <c:v>38333</c:v>
                </c:pt>
                <c:pt idx="714">
                  <c:v>38326</c:v>
                </c:pt>
                <c:pt idx="715">
                  <c:v>38319</c:v>
                </c:pt>
                <c:pt idx="716">
                  <c:v>38312</c:v>
                </c:pt>
                <c:pt idx="717">
                  <c:v>38305</c:v>
                </c:pt>
                <c:pt idx="718">
                  <c:v>38298</c:v>
                </c:pt>
                <c:pt idx="719">
                  <c:v>38291</c:v>
                </c:pt>
                <c:pt idx="720">
                  <c:v>38284</c:v>
                </c:pt>
                <c:pt idx="721">
                  <c:v>38277</c:v>
                </c:pt>
                <c:pt idx="722">
                  <c:v>38270</c:v>
                </c:pt>
                <c:pt idx="723">
                  <c:v>38263</c:v>
                </c:pt>
                <c:pt idx="724">
                  <c:v>38256</c:v>
                </c:pt>
                <c:pt idx="725">
                  <c:v>38249</c:v>
                </c:pt>
                <c:pt idx="726">
                  <c:v>38242</c:v>
                </c:pt>
                <c:pt idx="727">
                  <c:v>38235</c:v>
                </c:pt>
                <c:pt idx="728">
                  <c:v>38228</c:v>
                </c:pt>
                <c:pt idx="729">
                  <c:v>38221</c:v>
                </c:pt>
                <c:pt idx="730">
                  <c:v>38214</c:v>
                </c:pt>
                <c:pt idx="731">
                  <c:v>38207</c:v>
                </c:pt>
                <c:pt idx="732">
                  <c:v>38200</c:v>
                </c:pt>
                <c:pt idx="733">
                  <c:v>38193</c:v>
                </c:pt>
                <c:pt idx="734">
                  <c:v>38186</c:v>
                </c:pt>
                <c:pt idx="735">
                  <c:v>38179</c:v>
                </c:pt>
                <c:pt idx="736">
                  <c:v>38172</c:v>
                </c:pt>
                <c:pt idx="737">
                  <c:v>38165</c:v>
                </c:pt>
                <c:pt idx="738">
                  <c:v>38158</c:v>
                </c:pt>
                <c:pt idx="739">
                  <c:v>38151</c:v>
                </c:pt>
                <c:pt idx="740">
                  <c:v>38144</c:v>
                </c:pt>
                <c:pt idx="741">
                  <c:v>38137</c:v>
                </c:pt>
                <c:pt idx="742">
                  <c:v>38130</c:v>
                </c:pt>
                <c:pt idx="743">
                  <c:v>38123</c:v>
                </c:pt>
                <c:pt idx="744">
                  <c:v>38116</c:v>
                </c:pt>
                <c:pt idx="745">
                  <c:v>38109</c:v>
                </c:pt>
                <c:pt idx="746">
                  <c:v>38102</c:v>
                </c:pt>
                <c:pt idx="747">
                  <c:v>38095</c:v>
                </c:pt>
                <c:pt idx="748">
                  <c:v>38088</c:v>
                </c:pt>
                <c:pt idx="749">
                  <c:v>38081</c:v>
                </c:pt>
                <c:pt idx="750">
                  <c:v>38074</c:v>
                </c:pt>
                <c:pt idx="751">
                  <c:v>38067</c:v>
                </c:pt>
                <c:pt idx="752">
                  <c:v>38060</c:v>
                </c:pt>
                <c:pt idx="753">
                  <c:v>38053</c:v>
                </c:pt>
                <c:pt idx="754">
                  <c:v>38046</c:v>
                </c:pt>
                <c:pt idx="755">
                  <c:v>38039</c:v>
                </c:pt>
                <c:pt idx="756">
                  <c:v>38032</c:v>
                </c:pt>
                <c:pt idx="757">
                  <c:v>38025</c:v>
                </c:pt>
                <c:pt idx="758">
                  <c:v>38018</c:v>
                </c:pt>
                <c:pt idx="759">
                  <c:v>38011</c:v>
                </c:pt>
                <c:pt idx="760">
                  <c:v>38004</c:v>
                </c:pt>
                <c:pt idx="761">
                  <c:v>37997</c:v>
                </c:pt>
                <c:pt idx="762">
                  <c:v>37990</c:v>
                </c:pt>
                <c:pt idx="763">
                  <c:v>37983</c:v>
                </c:pt>
                <c:pt idx="764">
                  <c:v>37976</c:v>
                </c:pt>
                <c:pt idx="765">
                  <c:v>37969</c:v>
                </c:pt>
                <c:pt idx="766">
                  <c:v>37962</c:v>
                </c:pt>
                <c:pt idx="767">
                  <c:v>37955</c:v>
                </c:pt>
                <c:pt idx="768">
                  <c:v>37948</c:v>
                </c:pt>
                <c:pt idx="769">
                  <c:v>37941</c:v>
                </c:pt>
                <c:pt idx="770">
                  <c:v>37934</c:v>
                </c:pt>
                <c:pt idx="771">
                  <c:v>37927</c:v>
                </c:pt>
                <c:pt idx="772">
                  <c:v>37920</c:v>
                </c:pt>
                <c:pt idx="773">
                  <c:v>37913</c:v>
                </c:pt>
                <c:pt idx="774">
                  <c:v>37906</c:v>
                </c:pt>
                <c:pt idx="775">
                  <c:v>37899</c:v>
                </c:pt>
                <c:pt idx="776">
                  <c:v>37892</c:v>
                </c:pt>
                <c:pt idx="777">
                  <c:v>37885</c:v>
                </c:pt>
                <c:pt idx="778">
                  <c:v>37878</c:v>
                </c:pt>
                <c:pt idx="779">
                  <c:v>37871</c:v>
                </c:pt>
                <c:pt idx="780">
                  <c:v>37864</c:v>
                </c:pt>
                <c:pt idx="781">
                  <c:v>37857</c:v>
                </c:pt>
                <c:pt idx="782">
                  <c:v>37850</c:v>
                </c:pt>
                <c:pt idx="783">
                  <c:v>37843</c:v>
                </c:pt>
                <c:pt idx="784">
                  <c:v>37836</c:v>
                </c:pt>
                <c:pt idx="785">
                  <c:v>37829</c:v>
                </c:pt>
                <c:pt idx="786">
                  <c:v>37822</c:v>
                </c:pt>
                <c:pt idx="787">
                  <c:v>37815</c:v>
                </c:pt>
                <c:pt idx="788">
                  <c:v>37808</c:v>
                </c:pt>
                <c:pt idx="789">
                  <c:v>37801</c:v>
                </c:pt>
                <c:pt idx="790">
                  <c:v>37794</c:v>
                </c:pt>
                <c:pt idx="791">
                  <c:v>37787</c:v>
                </c:pt>
                <c:pt idx="792">
                  <c:v>37780</c:v>
                </c:pt>
                <c:pt idx="793">
                  <c:v>37773</c:v>
                </c:pt>
                <c:pt idx="794">
                  <c:v>37766</c:v>
                </c:pt>
                <c:pt idx="795">
                  <c:v>37759</c:v>
                </c:pt>
                <c:pt idx="796">
                  <c:v>37752</c:v>
                </c:pt>
                <c:pt idx="797">
                  <c:v>37745</c:v>
                </c:pt>
                <c:pt idx="798">
                  <c:v>37738</c:v>
                </c:pt>
                <c:pt idx="799">
                  <c:v>37731</c:v>
                </c:pt>
                <c:pt idx="800">
                  <c:v>37724</c:v>
                </c:pt>
                <c:pt idx="801">
                  <c:v>37717</c:v>
                </c:pt>
                <c:pt idx="802">
                  <c:v>37710</c:v>
                </c:pt>
                <c:pt idx="803">
                  <c:v>37703</c:v>
                </c:pt>
                <c:pt idx="804">
                  <c:v>37696</c:v>
                </c:pt>
                <c:pt idx="805">
                  <c:v>37689</c:v>
                </c:pt>
                <c:pt idx="806">
                  <c:v>37682</c:v>
                </c:pt>
                <c:pt idx="807">
                  <c:v>37675</c:v>
                </c:pt>
                <c:pt idx="808">
                  <c:v>37668</c:v>
                </c:pt>
                <c:pt idx="809">
                  <c:v>37661</c:v>
                </c:pt>
                <c:pt idx="810">
                  <c:v>37654</c:v>
                </c:pt>
                <c:pt idx="811">
                  <c:v>37647</c:v>
                </c:pt>
                <c:pt idx="812">
                  <c:v>37640</c:v>
                </c:pt>
                <c:pt idx="813">
                  <c:v>37633</c:v>
                </c:pt>
                <c:pt idx="814">
                  <c:v>37626</c:v>
                </c:pt>
                <c:pt idx="815">
                  <c:v>37619</c:v>
                </c:pt>
                <c:pt idx="816">
                  <c:v>37612</c:v>
                </c:pt>
                <c:pt idx="817">
                  <c:v>37605</c:v>
                </c:pt>
                <c:pt idx="818">
                  <c:v>37598</c:v>
                </c:pt>
                <c:pt idx="819">
                  <c:v>37591</c:v>
                </c:pt>
                <c:pt idx="820">
                  <c:v>37584</c:v>
                </c:pt>
                <c:pt idx="821">
                  <c:v>37577</c:v>
                </c:pt>
                <c:pt idx="822">
                  <c:v>37570</c:v>
                </c:pt>
                <c:pt idx="823">
                  <c:v>37563</c:v>
                </c:pt>
                <c:pt idx="824">
                  <c:v>37556</c:v>
                </c:pt>
                <c:pt idx="825">
                  <c:v>37549</c:v>
                </c:pt>
                <c:pt idx="826">
                  <c:v>37542</c:v>
                </c:pt>
                <c:pt idx="827">
                  <c:v>37535</c:v>
                </c:pt>
                <c:pt idx="828">
                  <c:v>37528</c:v>
                </c:pt>
                <c:pt idx="829">
                  <c:v>37521</c:v>
                </c:pt>
                <c:pt idx="830">
                  <c:v>37514</c:v>
                </c:pt>
                <c:pt idx="831">
                  <c:v>37507</c:v>
                </c:pt>
                <c:pt idx="832">
                  <c:v>37500</c:v>
                </c:pt>
                <c:pt idx="833">
                  <c:v>37493</c:v>
                </c:pt>
                <c:pt idx="834">
                  <c:v>37486</c:v>
                </c:pt>
                <c:pt idx="835">
                  <c:v>37479</c:v>
                </c:pt>
                <c:pt idx="836">
                  <c:v>37472</c:v>
                </c:pt>
                <c:pt idx="837">
                  <c:v>37465</c:v>
                </c:pt>
                <c:pt idx="838">
                  <c:v>37458</c:v>
                </c:pt>
                <c:pt idx="839">
                  <c:v>37451</c:v>
                </c:pt>
                <c:pt idx="840">
                  <c:v>37444</c:v>
                </c:pt>
                <c:pt idx="841">
                  <c:v>37437</c:v>
                </c:pt>
                <c:pt idx="842">
                  <c:v>37430</c:v>
                </c:pt>
                <c:pt idx="843">
                  <c:v>37423</c:v>
                </c:pt>
                <c:pt idx="844">
                  <c:v>37416</c:v>
                </c:pt>
                <c:pt idx="845">
                  <c:v>37409</c:v>
                </c:pt>
                <c:pt idx="846">
                  <c:v>37402</c:v>
                </c:pt>
                <c:pt idx="847">
                  <c:v>37395</c:v>
                </c:pt>
                <c:pt idx="848">
                  <c:v>37388</c:v>
                </c:pt>
                <c:pt idx="849">
                  <c:v>37381</c:v>
                </c:pt>
                <c:pt idx="850">
                  <c:v>37374</c:v>
                </c:pt>
                <c:pt idx="851">
                  <c:v>37367</c:v>
                </c:pt>
                <c:pt idx="852">
                  <c:v>37360</c:v>
                </c:pt>
                <c:pt idx="853">
                  <c:v>37353</c:v>
                </c:pt>
                <c:pt idx="854">
                  <c:v>37346</c:v>
                </c:pt>
                <c:pt idx="855">
                  <c:v>37339</c:v>
                </c:pt>
                <c:pt idx="856">
                  <c:v>37332</c:v>
                </c:pt>
                <c:pt idx="857">
                  <c:v>37325</c:v>
                </c:pt>
                <c:pt idx="858">
                  <c:v>37318</c:v>
                </c:pt>
                <c:pt idx="859">
                  <c:v>37311</c:v>
                </c:pt>
                <c:pt idx="860">
                  <c:v>37304</c:v>
                </c:pt>
                <c:pt idx="861">
                  <c:v>37297</c:v>
                </c:pt>
                <c:pt idx="862">
                  <c:v>37290</c:v>
                </c:pt>
                <c:pt idx="863">
                  <c:v>37283</c:v>
                </c:pt>
                <c:pt idx="864">
                  <c:v>37276</c:v>
                </c:pt>
                <c:pt idx="865">
                  <c:v>37269</c:v>
                </c:pt>
                <c:pt idx="866">
                  <c:v>37262</c:v>
                </c:pt>
                <c:pt idx="867">
                  <c:v>37255</c:v>
                </c:pt>
                <c:pt idx="868">
                  <c:v>37248</c:v>
                </c:pt>
                <c:pt idx="869">
                  <c:v>37241</c:v>
                </c:pt>
                <c:pt idx="870">
                  <c:v>37234</c:v>
                </c:pt>
                <c:pt idx="871">
                  <c:v>37227</c:v>
                </c:pt>
                <c:pt idx="872">
                  <c:v>37220</c:v>
                </c:pt>
                <c:pt idx="873">
                  <c:v>37213</c:v>
                </c:pt>
                <c:pt idx="874">
                  <c:v>37206</c:v>
                </c:pt>
                <c:pt idx="875">
                  <c:v>37199</c:v>
                </c:pt>
                <c:pt idx="876">
                  <c:v>37192</c:v>
                </c:pt>
                <c:pt idx="877">
                  <c:v>37185</c:v>
                </c:pt>
                <c:pt idx="878">
                  <c:v>37178</c:v>
                </c:pt>
                <c:pt idx="879">
                  <c:v>37171</c:v>
                </c:pt>
                <c:pt idx="880">
                  <c:v>37164</c:v>
                </c:pt>
                <c:pt idx="881">
                  <c:v>37157</c:v>
                </c:pt>
                <c:pt idx="882">
                  <c:v>37150</c:v>
                </c:pt>
                <c:pt idx="883">
                  <c:v>37143</c:v>
                </c:pt>
                <c:pt idx="884">
                  <c:v>37136</c:v>
                </c:pt>
                <c:pt idx="885">
                  <c:v>37129</c:v>
                </c:pt>
                <c:pt idx="886">
                  <c:v>37122</c:v>
                </c:pt>
                <c:pt idx="887">
                  <c:v>37115</c:v>
                </c:pt>
                <c:pt idx="888">
                  <c:v>37108</c:v>
                </c:pt>
                <c:pt idx="889">
                  <c:v>37101</c:v>
                </c:pt>
                <c:pt idx="890">
                  <c:v>37094</c:v>
                </c:pt>
                <c:pt idx="891">
                  <c:v>37087</c:v>
                </c:pt>
                <c:pt idx="892">
                  <c:v>37080</c:v>
                </c:pt>
                <c:pt idx="893">
                  <c:v>37073</c:v>
                </c:pt>
                <c:pt idx="894">
                  <c:v>37066</c:v>
                </c:pt>
                <c:pt idx="895">
                  <c:v>37059</c:v>
                </c:pt>
                <c:pt idx="896">
                  <c:v>37052</c:v>
                </c:pt>
                <c:pt idx="897">
                  <c:v>37045</c:v>
                </c:pt>
                <c:pt idx="898">
                  <c:v>37038</c:v>
                </c:pt>
                <c:pt idx="899">
                  <c:v>37031</c:v>
                </c:pt>
                <c:pt idx="900">
                  <c:v>37024</c:v>
                </c:pt>
                <c:pt idx="901">
                  <c:v>37017</c:v>
                </c:pt>
                <c:pt idx="902">
                  <c:v>37010</c:v>
                </c:pt>
                <c:pt idx="903">
                  <c:v>37003</c:v>
                </c:pt>
                <c:pt idx="904">
                  <c:v>36996</c:v>
                </c:pt>
                <c:pt idx="905">
                  <c:v>36989</c:v>
                </c:pt>
                <c:pt idx="906">
                  <c:v>36982</c:v>
                </c:pt>
                <c:pt idx="907">
                  <c:v>36975</c:v>
                </c:pt>
                <c:pt idx="908">
                  <c:v>36968</c:v>
                </c:pt>
                <c:pt idx="909">
                  <c:v>36961</c:v>
                </c:pt>
                <c:pt idx="910">
                  <c:v>36954</c:v>
                </c:pt>
                <c:pt idx="911">
                  <c:v>36947</c:v>
                </c:pt>
                <c:pt idx="912">
                  <c:v>36940</c:v>
                </c:pt>
                <c:pt idx="913">
                  <c:v>36933</c:v>
                </c:pt>
                <c:pt idx="914">
                  <c:v>36926</c:v>
                </c:pt>
                <c:pt idx="915">
                  <c:v>36919</c:v>
                </c:pt>
                <c:pt idx="916">
                  <c:v>36912</c:v>
                </c:pt>
                <c:pt idx="917">
                  <c:v>36905</c:v>
                </c:pt>
                <c:pt idx="918">
                  <c:v>36898</c:v>
                </c:pt>
                <c:pt idx="919">
                  <c:v>36891</c:v>
                </c:pt>
                <c:pt idx="920">
                  <c:v>36884</c:v>
                </c:pt>
                <c:pt idx="921">
                  <c:v>36877</c:v>
                </c:pt>
                <c:pt idx="922">
                  <c:v>36870</c:v>
                </c:pt>
                <c:pt idx="923">
                  <c:v>36863</c:v>
                </c:pt>
                <c:pt idx="924">
                  <c:v>36856</c:v>
                </c:pt>
                <c:pt idx="925">
                  <c:v>36849</c:v>
                </c:pt>
                <c:pt idx="926">
                  <c:v>36842</c:v>
                </c:pt>
                <c:pt idx="927">
                  <c:v>36835</c:v>
                </c:pt>
                <c:pt idx="928">
                  <c:v>36828</c:v>
                </c:pt>
                <c:pt idx="929">
                  <c:v>36821</c:v>
                </c:pt>
                <c:pt idx="930">
                  <c:v>36814</c:v>
                </c:pt>
                <c:pt idx="931">
                  <c:v>36807</c:v>
                </c:pt>
                <c:pt idx="932">
                  <c:v>36800</c:v>
                </c:pt>
                <c:pt idx="933">
                  <c:v>36793</c:v>
                </c:pt>
                <c:pt idx="934">
                  <c:v>36786</c:v>
                </c:pt>
                <c:pt idx="935">
                  <c:v>36779</c:v>
                </c:pt>
                <c:pt idx="936">
                  <c:v>36772</c:v>
                </c:pt>
                <c:pt idx="937">
                  <c:v>36765</c:v>
                </c:pt>
                <c:pt idx="938">
                  <c:v>36758</c:v>
                </c:pt>
                <c:pt idx="939">
                  <c:v>36751</c:v>
                </c:pt>
                <c:pt idx="940">
                  <c:v>36744</c:v>
                </c:pt>
                <c:pt idx="941">
                  <c:v>36737</c:v>
                </c:pt>
                <c:pt idx="942">
                  <c:v>36730</c:v>
                </c:pt>
                <c:pt idx="943">
                  <c:v>36723</c:v>
                </c:pt>
                <c:pt idx="944">
                  <c:v>36716</c:v>
                </c:pt>
                <c:pt idx="945">
                  <c:v>36709</c:v>
                </c:pt>
                <c:pt idx="946">
                  <c:v>36702</c:v>
                </c:pt>
                <c:pt idx="947">
                  <c:v>36695</c:v>
                </c:pt>
                <c:pt idx="948">
                  <c:v>36688</c:v>
                </c:pt>
                <c:pt idx="949">
                  <c:v>36681</c:v>
                </c:pt>
                <c:pt idx="950">
                  <c:v>36674</c:v>
                </c:pt>
                <c:pt idx="951">
                  <c:v>36667</c:v>
                </c:pt>
                <c:pt idx="952">
                  <c:v>36660</c:v>
                </c:pt>
                <c:pt idx="953">
                  <c:v>36653</c:v>
                </c:pt>
                <c:pt idx="954">
                  <c:v>36646</c:v>
                </c:pt>
                <c:pt idx="955">
                  <c:v>36639</c:v>
                </c:pt>
                <c:pt idx="956">
                  <c:v>36632</c:v>
                </c:pt>
                <c:pt idx="957">
                  <c:v>36625</c:v>
                </c:pt>
                <c:pt idx="958">
                  <c:v>36618</c:v>
                </c:pt>
                <c:pt idx="959">
                  <c:v>36611</c:v>
                </c:pt>
                <c:pt idx="960">
                  <c:v>36604</c:v>
                </c:pt>
                <c:pt idx="961">
                  <c:v>36597</c:v>
                </c:pt>
                <c:pt idx="962">
                  <c:v>36590</c:v>
                </c:pt>
                <c:pt idx="963">
                  <c:v>36583</c:v>
                </c:pt>
                <c:pt idx="964">
                  <c:v>36576</c:v>
                </c:pt>
                <c:pt idx="965">
                  <c:v>36569</c:v>
                </c:pt>
                <c:pt idx="966">
                  <c:v>36562</c:v>
                </c:pt>
                <c:pt idx="967">
                  <c:v>36555</c:v>
                </c:pt>
                <c:pt idx="968">
                  <c:v>36548</c:v>
                </c:pt>
                <c:pt idx="969">
                  <c:v>36541</c:v>
                </c:pt>
                <c:pt idx="970">
                  <c:v>36534</c:v>
                </c:pt>
                <c:pt idx="971">
                  <c:v>36527</c:v>
                </c:pt>
                <c:pt idx="972">
                  <c:v>36520</c:v>
                </c:pt>
                <c:pt idx="973">
                  <c:v>36513</c:v>
                </c:pt>
                <c:pt idx="974">
                  <c:v>36506</c:v>
                </c:pt>
                <c:pt idx="975">
                  <c:v>36499</c:v>
                </c:pt>
                <c:pt idx="976">
                  <c:v>36492</c:v>
                </c:pt>
                <c:pt idx="977">
                  <c:v>36485</c:v>
                </c:pt>
                <c:pt idx="978">
                  <c:v>36478</c:v>
                </c:pt>
                <c:pt idx="979">
                  <c:v>36471</c:v>
                </c:pt>
                <c:pt idx="980">
                  <c:v>36464</c:v>
                </c:pt>
                <c:pt idx="981">
                  <c:v>36457</c:v>
                </c:pt>
                <c:pt idx="982">
                  <c:v>36450</c:v>
                </c:pt>
                <c:pt idx="983">
                  <c:v>36443</c:v>
                </c:pt>
                <c:pt idx="984">
                  <c:v>36436</c:v>
                </c:pt>
                <c:pt idx="985">
                  <c:v>36429</c:v>
                </c:pt>
                <c:pt idx="986">
                  <c:v>36422</c:v>
                </c:pt>
                <c:pt idx="987">
                  <c:v>36415</c:v>
                </c:pt>
                <c:pt idx="988">
                  <c:v>36408</c:v>
                </c:pt>
                <c:pt idx="989">
                  <c:v>36401</c:v>
                </c:pt>
                <c:pt idx="990">
                  <c:v>36394</c:v>
                </c:pt>
                <c:pt idx="991">
                  <c:v>36387</c:v>
                </c:pt>
                <c:pt idx="992">
                  <c:v>36380</c:v>
                </c:pt>
                <c:pt idx="993">
                  <c:v>36373</c:v>
                </c:pt>
                <c:pt idx="994">
                  <c:v>36366</c:v>
                </c:pt>
                <c:pt idx="995">
                  <c:v>36359</c:v>
                </c:pt>
                <c:pt idx="996">
                  <c:v>36352</c:v>
                </c:pt>
                <c:pt idx="997">
                  <c:v>36345</c:v>
                </c:pt>
                <c:pt idx="998">
                  <c:v>36338</c:v>
                </c:pt>
                <c:pt idx="999">
                  <c:v>36331</c:v>
                </c:pt>
                <c:pt idx="1000">
                  <c:v>36324</c:v>
                </c:pt>
                <c:pt idx="1001">
                  <c:v>36317</c:v>
                </c:pt>
                <c:pt idx="1002">
                  <c:v>36310</c:v>
                </c:pt>
                <c:pt idx="1003">
                  <c:v>36303</c:v>
                </c:pt>
                <c:pt idx="1004">
                  <c:v>36296</c:v>
                </c:pt>
                <c:pt idx="1005">
                  <c:v>36289</c:v>
                </c:pt>
                <c:pt idx="1006">
                  <c:v>36282</c:v>
                </c:pt>
                <c:pt idx="1007">
                  <c:v>36275</c:v>
                </c:pt>
                <c:pt idx="1008">
                  <c:v>36268</c:v>
                </c:pt>
                <c:pt idx="1009">
                  <c:v>36261</c:v>
                </c:pt>
                <c:pt idx="1010">
                  <c:v>36254</c:v>
                </c:pt>
                <c:pt idx="1011">
                  <c:v>36247</c:v>
                </c:pt>
                <c:pt idx="1012">
                  <c:v>36240</c:v>
                </c:pt>
                <c:pt idx="1013">
                  <c:v>36233</c:v>
                </c:pt>
                <c:pt idx="1014">
                  <c:v>36226</c:v>
                </c:pt>
                <c:pt idx="1015">
                  <c:v>36219</c:v>
                </c:pt>
                <c:pt idx="1016">
                  <c:v>36212</c:v>
                </c:pt>
                <c:pt idx="1017">
                  <c:v>36205</c:v>
                </c:pt>
                <c:pt idx="1018">
                  <c:v>36198</c:v>
                </c:pt>
                <c:pt idx="1019">
                  <c:v>36191</c:v>
                </c:pt>
                <c:pt idx="1020">
                  <c:v>36184</c:v>
                </c:pt>
                <c:pt idx="1021">
                  <c:v>36177</c:v>
                </c:pt>
                <c:pt idx="1022">
                  <c:v>36170</c:v>
                </c:pt>
                <c:pt idx="1023">
                  <c:v>36163</c:v>
                </c:pt>
                <c:pt idx="1024">
                  <c:v>36156</c:v>
                </c:pt>
                <c:pt idx="1025">
                  <c:v>36149</c:v>
                </c:pt>
                <c:pt idx="1026">
                  <c:v>36142</c:v>
                </c:pt>
                <c:pt idx="1027">
                  <c:v>36135</c:v>
                </c:pt>
                <c:pt idx="1028">
                  <c:v>36128</c:v>
                </c:pt>
                <c:pt idx="1029">
                  <c:v>36121</c:v>
                </c:pt>
                <c:pt idx="1030">
                  <c:v>36114</c:v>
                </c:pt>
                <c:pt idx="1031">
                  <c:v>36107</c:v>
                </c:pt>
                <c:pt idx="1032">
                  <c:v>36100</c:v>
                </c:pt>
                <c:pt idx="1033">
                  <c:v>36093</c:v>
                </c:pt>
                <c:pt idx="1034">
                  <c:v>36086</c:v>
                </c:pt>
                <c:pt idx="1035">
                  <c:v>36079</c:v>
                </c:pt>
                <c:pt idx="1036">
                  <c:v>36072</c:v>
                </c:pt>
                <c:pt idx="1037">
                  <c:v>36065</c:v>
                </c:pt>
                <c:pt idx="1038">
                  <c:v>36058</c:v>
                </c:pt>
                <c:pt idx="1039">
                  <c:v>36051</c:v>
                </c:pt>
                <c:pt idx="1040">
                  <c:v>36044</c:v>
                </c:pt>
                <c:pt idx="1041">
                  <c:v>36037</c:v>
                </c:pt>
                <c:pt idx="1042">
                  <c:v>36030</c:v>
                </c:pt>
                <c:pt idx="1043">
                  <c:v>36023</c:v>
                </c:pt>
                <c:pt idx="1044">
                  <c:v>36016</c:v>
                </c:pt>
                <c:pt idx="1045">
                  <c:v>36009</c:v>
                </c:pt>
                <c:pt idx="1046">
                  <c:v>36002</c:v>
                </c:pt>
                <c:pt idx="1047">
                  <c:v>35995</c:v>
                </c:pt>
                <c:pt idx="1048">
                  <c:v>35988</c:v>
                </c:pt>
                <c:pt idx="1049">
                  <c:v>35981</c:v>
                </c:pt>
                <c:pt idx="1050">
                  <c:v>35974</c:v>
                </c:pt>
                <c:pt idx="1051">
                  <c:v>35967</c:v>
                </c:pt>
                <c:pt idx="1052">
                  <c:v>35960</c:v>
                </c:pt>
                <c:pt idx="1053">
                  <c:v>35953</c:v>
                </c:pt>
                <c:pt idx="1054">
                  <c:v>35946</c:v>
                </c:pt>
                <c:pt idx="1055">
                  <c:v>35939</c:v>
                </c:pt>
                <c:pt idx="1056">
                  <c:v>35932</c:v>
                </c:pt>
                <c:pt idx="1057">
                  <c:v>35925</c:v>
                </c:pt>
                <c:pt idx="1058">
                  <c:v>35918</c:v>
                </c:pt>
                <c:pt idx="1059">
                  <c:v>35911</c:v>
                </c:pt>
                <c:pt idx="1060">
                  <c:v>35904</c:v>
                </c:pt>
                <c:pt idx="1061">
                  <c:v>35897</c:v>
                </c:pt>
                <c:pt idx="1062">
                  <c:v>35890</c:v>
                </c:pt>
                <c:pt idx="1063">
                  <c:v>35883</c:v>
                </c:pt>
                <c:pt idx="1064">
                  <c:v>35876</c:v>
                </c:pt>
                <c:pt idx="1065">
                  <c:v>35869</c:v>
                </c:pt>
                <c:pt idx="1066">
                  <c:v>35862</c:v>
                </c:pt>
                <c:pt idx="1067">
                  <c:v>35855</c:v>
                </c:pt>
                <c:pt idx="1068">
                  <c:v>35848</c:v>
                </c:pt>
                <c:pt idx="1069">
                  <c:v>35841</c:v>
                </c:pt>
                <c:pt idx="1070">
                  <c:v>35834</c:v>
                </c:pt>
                <c:pt idx="1071">
                  <c:v>35827</c:v>
                </c:pt>
                <c:pt idx="1072">
                  <c:v>35820</c:v>
                </c:pt>
                <c:pt idx="1073">
                  <c:v>35813</c:v>
                </c:pt>
                <c:pt idx="1074">
                  <c:v>35806</c:v>
                </c:pt>
                <c:pt idx="1075">
                  <c:v>35799</c:v>
                </c:pt>
                <c:pt idx="1076">
                  <c:v>35792</c:v>
                </c:pt>
                <c:pt idx="1077">
                  <c:v>35785</c:v>
                </c:pt>
                <c:pt idx="1078">
                  <c:v>35778</c:v>
                </c:pt>
                <c:pt idx="1079">
                  <c:v>35771</c:v>
                </c:pt>
                <c:pt idx="1080">
                  <c:v>35764</c:v>
                </c:pt>
                <c:pt idx="1081">
                  <c:v>35757</c:v>
                </c:pt>
                <c:pt idx="1082">
                  <c:v>35750</c:v>
                </c:pt>
                <c:pt idx="1083">
                  <c:v>35743</c:v>
                </c:pt>
                <c:pt idx="1084">
                  <c:v>35736</c:v>
                </c:pt>
                <c:pt idx="1085">
                  <c:v>35729</c:v>
                </c:pt>
                <c:pt idx="1086">
                  <c:v>35722</c:v>
                </c:pt>
                <c:pt idx="1087">
                  <c:v>35715</c:v>
                </c:pt>
                <c:pt idx="1088">
                  <c:v>35708</c:v>
                </c:pt>
                <c:pt idx="1089">
                  <c:v>35701</c:v>
                </c:pt>
                <c:pt idx="1090">
                  <c:v>35694</c:v>
                </c:pt>
                <c:pt idx="1091">
                  <c:v>35687</c:v>
                </c:pt>
                <c:pt idx="1092">
                  <c:v>35680</c:v>
                </c:pt>
                <c:pt idx="1093">
                  <c:v>35673</c:v>
                </c:pt>
                <c:pt idx="1094">
                  <c:v>35666</c:v>
                </c:pt>
                <c:pt idx="1095">
                  <c:v>35659</c:v>
                </c:pt>
                <c:pt idx="1096">
                  <c:v>35652</c:v>
                </c:pt>
                <c:pt idx="1097">
                  <c:v>35645</c:v>
                </c:pt>
                <c:pt idx="1098">
                  <c:v>35638</c:v>
                </c:pt>
                <c:pt idx="1099">
                  <c:v>35631</c:v>
                </c:pt>
                <c:pt idx="1100">
                  <c:v>35624</c:v>
                </c:pt>
                <c:pt idx="1101">
                  <c:v>35617</c:v>
                </c:pt>
                <c:pt idx="1102">
                  <c:v>35610</c:v>
                </c:pt>
                <c:pt idx="1103">
                  <c:v>35603</c:v>
                </c:pt>
                <c:pt idx="1104">
                  <c:v>35596</c:v>
                </c:pt>
                <c:pt idx="1105">
                  <c:v>35589</c:v>
                </c:pt>
                <c:pt idx="1106">
                  <c:v>35582</c:v>
                </c:pt>
                <c:pt idx="1107">
                  <c:v>35575</c:v>
                </c:pt>
                <c:pt idx="1108">
                  <c:v>35568</c:v>
                </c:pt>
                <c:pt idx="1109">
                  <c:v>35561</c:v>
                </c:pt>
                <c:pt idx="1110">
                  <c:v>35554</c:v>
                </c:pt>
                <c:pt idx="1111">
                  <c:v>35547</c:v>
                </c:pt>
                <c:pt idx="1112">
                  <c:v>35540</c:v>
                </c:pt>
                <c:pt idx="1113">
                  <c:v>35533</c:v>
                </c:pt>
                <c:pt idx="1114">
                  <c:v>35526</c:v>
                </c:pt>
                <c:pt idx="1115">
                  <c:v>35519</c:v>
                </c:pt>
                <c:pt idx="1116">
                  <c:v>35512</c:v>
                </c:pt>
                <c:pt idx="1117">
                  <c:v>35505</c:v>
                </c:pt>
                <c:pt idx="1118">
                  <c:v>35498</c:v>
                </c:pt>
                <c:pt idx="1119">
                  <c:v>35491</c:v>
                </c:pt>
                <c:pt idx="1120">
                  <c:v>35484</c:v>
                </c:pt>
                <c:pt idx="1121">
                  <c:v>35477</c:v>
                </c:pt>
                <c:pt idx="1122">
                  <c:v>35470</c:v>
                </c:pt>
                <c:pt idx="1123">
                  <c:v>35463</c:v>
                </c:pt>
                <c:pt idx="1124">
                  <c:v>35456</c:v>
                </c:pt>
                <c:pt idx="1125">
                  <c:v>35449</c:v>
                </c:pt>
                <c:pt idx="1126">
                  <c:v>35442</c:v>
                </c:pt>
                <c:pt idx="1127">
                  <c:v>35435</c:v>
                </c:pt>
                <c:pt idx="1128">
                  <c:v>35428</c:v>
                </c:pt>
                <c:pt idx="1129">
                  <c:v>35421</c:v>
                </c:pt>
                <c:pt idx="1130">
                  <c:v>35414</c:v>
                </c:pt>
                <c:pt idx="1131">
                  <c:v>35407</c:v>
                </c:pt>
                <c:pt idx="1132">
                  <c:v>35400</c:v>
                </c:pt>
                <c:pt idx="1133">
                  <c:v>35393</c:v>
                </c:pt>
                <c:pt idx="1134">
                  <c:v>35386</c:v>
                </c:pt>
                <c:pt idx="1135">
                  <c:v>35379</c:v>
                </c:pt>
                <c:pt idx="1136">
                  <c:v>35372</c:v>
                </c:pt>
                <c:pt idx="1137">
                  <c:v>35365</c:v>
                </c:pt>
                <c:pt idx="1138">
                  <c:v>35358</c:v>
                </c:pt>
                <c:pt idx="1139">
                  <c:v>35351</c:v>
                </c:pt>
                <c:pt idx="1140">
                  <c:v>35344</c:v>
                </c:pt>
                <c:pt idx="1141">
                  <c:v>35337</c:v>
                </c:pt>
                <c:pt idx="1142">
                  <c:v>35330</c:v>
                </c:pt>
                <c:pt idx="1143">
                  <c:v>35323</c:v>
                </c:pt>
                <c:pt idx="1144">
                  <c:v>35316</c:v>
                </c:pt>
                <c:pt idx="1145">
                  <c:v>35309</c:v>
                </c:pt>
                <c:pt idx="1146">
                  <c:v>35302</c:v>
                </c:pt>
                <c:pt idx="1147">
                  <c:v>35295</c:v>
                </c:pt>
                <c:pt idx="1148">
                  <c:v>35288</c:v>
                </c:pt>
                <c:pt idx="1149">
                  <c:v>35281</c:v>
                </c:pt>
                <c:pt idx="1150">
                  <c:v>35274</c:v>
                </c:pt>
                <c:pt idx="1151">
                  <c:v>35267</c:v>
                </c:pt>
                <c:pt idx="1152">
                  <c:v>35260</c:v>
                </c:pt>
                <c:pt idx="1153">
                  <c:v>35253</c:v>
                </c:pt>
                <c:pt idx="1154">
                  <c:v>35246</c:v>
                </c:pt>
                <c:pt idx="1155">
                  <c:v>35239</c:v>
                </c:pt>
                <c:pt idx="1156">
                  <c:v>35232</c:v>
                </c:pt>
                <c:pt idx="1157">
                  <c:v>35225</c:v>
                </c:pt>
                <c:pt idx="1158">
                  <c:v>35218</c:v>
                </c:pt>
                <c:pt idx="1159">
                  <c:v>35211</c:v>
                </c:pt>
                <c:pt idx="1160">
                  <c:v>35204</c:v>
                </c:pt>
                <c:pt idx="1161">
                  <c:v>35197</c:v>
                </c:pt>
                <c:pt idx="1162">
                  <c:v>35190</c:v>
                </c:pt>
                <c:pt idx="1163">
                  <c:v>35183</c:v>
                </c:pt>
                <c:pt idx="1164">
                  <c:v>35176</c:v>
                </c:pt>
                <c:pt idx="1165">
                  <c:v>35169</c:v>
                </c:pt>
                <c:pt idx="1166">
                  <c:v>35162</c:v>
                </c:pt>
                <c:pt idx="1167">
                  <c:v>35155</c:v>
                </c:pt>
                <c:pt idx="1168">
                  <c:v>35148</c:v>
                </c:pt>
                <c:pt idx="1169">
                  <c:v>35141</c:v>
                </c:pt>
                <c:pt idx="1170">
                  <c:v>35134</c:v>
                </c:pt>
                <c:pt idx="1171">
                  <c:v>35127</c:v>
                </c:pt>
                <c:pt idx="1172">
                  <c:v>35120</c:v>
                </c:pt>
                <c:pt idx="1173">
                  <c:v>35113</c:v>
                </c:pt>
                <c:pt idx="1174">
                  <c:v>35106</c:v>
                </c:pt>
                <c:pt idx="1175">
                  <c:v>35099</c:v>
                </c:pt>
                <c:pt idx="1176">
                  <c:v>35092</c:v>
                </c:pt>
                <c:pt idx="1177">
                  <c:v>35085</c:v>
                </c:pt>
                <c:pt idx="1178">
                  <c:v>35078</c:v>
                </c:pt>
                <c:pt idx="1179">
                  <c:v>35071</c:v>
                </c:pt>
                <c:pt idx="1180">
                  <c:v>35064</c:v>
                </c:pt>
                <c:pt idx="1181">
                  <c:v>35057</c:v>
                </c:pt>
                <c:pt idx="1182">
                  <c:v>35050</c:v>
                </c:pt>
                <c:pt idx="1183">
                  <c:v>35043</c:v>
                </c:pt>
                <c:pt idx="1184">
                  <c:v>35036</c:v>
                </c:pt>
                <c:pt idx="1185">
                  <c:v>35029</c:v>
                </c:pt>
                <c:pt idx="1186">
                  <c:v>35022</c:v>
                </c:pt>
                <c:pt idx="1187">
                  <c:v>35015</c:v>
                </c:pt>
                <c:pt idx="1188">
                  <c:v>35008</c:v>
                </c:pt>
                <c:pt idx="1189">
                  <c:v>35001</c:v>
                </c:pt>
                <c:pt idx="1190">
                  <c:v>34994</c:v>
                </c:pt>
                <c:pt idx="1191">
                  <c:v>34987</c:v>
                </c:pt>
                <c:pt idx="1192">
                  <c:v>34980</c:v>
                </c:pt>
                <c:pt idx="1193">
                  <c:v>34973</c:v>
                </c:pt>
                <c:pt idx="1194">
                  <c:v>34966</c:v>
                </c:pt>
                <c:pt idx="1195">
                  <c:v>34959</c:v>
                </c:pt>
                <c:pt idx="1196">
                  <c:v>34952</c:v>
                </c:pt>
                <c:pt idx="1197">
                  <c:v>34945</c:v>
                </c:pt>
                <c:pt idx="1198">
                  <c:v>34938</c:v>
                </c:pt>
                <c:pt idx="1199">
                  <c:v>34931</c:v>
                </c:pt>
                <c:pt idx="1200">
                  <c:v>34924</c:v>
                </c:pt>
                <c:pt idx="1201">
                  <c:v>34917</c:v>
                </c:pt>
                <c:pt idx="1202">
                  <c:v>34910</c:v>
                </c:pt>
                <c:pt idx="1203">
                  <c:v>34903</c:v>
                </c:pt>
                <c:pt idx="1204">
                  <c:v>34896</c:v>
                </c:pt>
                <c:pt idx="1205">
                  <c:v>34889</c:v>
                </c:pt>
                <c:pt idx="1206">
                  <c:v>34882</c:v>
                </c:pt>
                <c:pt idx="1207">
                  <c:v>34875</c:v>
                </c:pt>
                <c:pt idx="1208">
                  <c:v>34868</c:v>
                </c:pt>
                <c:pt idx="1209">
                  <c:v>34861</c:v>
                </c:pt>
                <c:pt idx="1210">
                  <c:v>34854</c:v>
                </c:pt>
                <c:pt idx="1211">
                  <c:v>34847</c:v>
                </c:pt>
                <c:pt idx="1212">
                  <c:v>34840</c:v>
                </c:pt>
                <c:pt idx="1213">
                  <c:v>34833</c:v>
                </c:pt>
                <c:pt idx="1214">
                  <c:v>34826</c:v>
                </c:pt>
                <c:pt idx="1215">
                  <c:v>34819</c:v>
                </c:pt>
                <c:pt idx="1216">
                  <c:v>34812</c:v>
                </c:pt>
                <c:pt idx="1217">
                  <c:v>34805</c:v>
                </c:pt>
                <c:pt idx="1218">
                  <c:v>34798</c:v>
                </c:pt>
                <c:pt idx="1219">
                  <c:v>34791</c:v>
                </c:pt>
                <c:pt idx="1220">
                  <c:v>34784</c:v>
                </c:pt>
                <c:pt idx="1221">
                  <c:v>34777</c:v>
                </c:pt>
                <c:pt idx="1222">
                  <c:v>34770</c:v>
                </c:pt>
                <c:pt idx="1223">
                  <c:v>34763</c:v>
                </c:pt>
                <c:pt idx="1224">
                  <c:v>34756</c:v>
                </c:pt>
                <c:pt idx="1225">
                  <c:v>34749</c:v>
                </c:pt>
                <c:pt idx="1226">
                  <c:v>34742</c:v>
                </c:pt>
                <c:pt idx="1227">
                  <c:v>34735</c:v>
                </c:pt>
                <c:pt idx="1228">
                  <c:v>34728</c:v>
                </c:pt>
                <c:pt idx="1229">
                  <c:v>34721</c:v>
                </c:pt>
                <c:pt idx="1230">
                  <c:v>34714</c:v>
                </c:pt>
                <c:pt idx="1231">
                  <c:v>34707</c:v>
                </c:pt>
                <c:pt idx="1232">
                  <c:v>34700</c:v>
                </c:pt>
                <c:pt idx="1233">
                  <c:v>34693</c:v>
                </c:pt>
                <c:pt idx="1234">
                  <c:v>34686</c:v>
                </c:pt>
                <c:pt idx="1235">
                  <c:v>34679</c:v>
                </c:pt>
                <c:pt idx="1236">
                  <c:v>34672</c:v>
                </c:pt>
                <c:pt idx="1237">
                  <c:v>34665</c:v>
                </c:pt>
                <c:pt idx="1238">
                  <c:v>34658</c:v>
                </c:pt>
                <c:pt idx="1239">
                  <c:v>34651</c:v>
                </c:pt>
                <c:pt idx="1240">
                  <c:v>34644</c:v>
                </c:pt>
                <c:pt idx="1241">
                  <c:v>34637</c:v>
                </c:pt>
                <c:pt idx="1242">
                  <c:v>34630</c:v>
                </c:pt>
                <c:pt idx="1243">
                  <c:v>34623</c:v>
                </c:pt>
                <c:pt idx="1244">
                  <c:v>34616</c:v>
                </c:pt>
                <c:pt idx="1245">
                  <c:v>34609</c:v>
                </c:pt>
                <c:pt idx="1246">
                  <c:v>34602</c:v>
                </c:pt>
              </c:numCache>
            </c:numRef>
          </c:cat>
          <c:val>
            <c:numRef>
              <c:f>Summary!$AS$3:$AS$1249</c:f>
              <c:numCache>
                <c:formatCode>_(* #,##0.00_);_(* \(#,##0.00\);_(* "-"??_);_(@_)</c:formatCode>
                <c:ptCount val="1247"/>
                <c:pt idx="0">
                  <c:v>705.42603873283463</c:v>
                </c:pt>
                <c:pt idx="1">
                  <c:v>707.19402379231542</c:v>
                </c:pt>
                <c:pt idx="2">
                  <c:v>701.85988863866157</c:v>
                </c:pt>
                <c:pt idx="3">
                  <c:v>697.60450118145468</c:v>
                </c:pt>
                <c:pt idx="4">
                  <c:v>697.46500817981871</c:v>
                </c:pt>
                <c:pt idx="5">
                  <c:v>687.15764352691508</c:v>
                </c:pt>
                <c:pt idx="6">
                  <c:v>676.86923121248526</c:v>
                </c:pt>
                <c:pt idx="7">
                  <c:v>685.99293727828649</c:v>
                </c:pt>
                <c:pt idx="8">
                  <c:v>692.15309986710372</c:v>
                </c:pt>
                <c:pt idx="9">
                  <c:v>692.01469692771821</c:v>
                </c:pt>
                <c:pt idx="10">
                  <c:v>680.9827759572114</c:v>
                </c:pt>
                <c:pt idx="11">
                  <c:v>677.66223102518802</c:v>
                </c:pt>
                <c:pt idx="12">
                  <c:v>675.56797031720464</c:v>
                </c:pt>
                <c:pt idx="13">
                  <c:v>679.23584387412484</c:v>
                </c:pt>
                <c:pt idx="14">
                  <c:v>663.25148313067552</c:v>
                </c:pt>
                <c:pt idx="15">
                  <c:v>664.84711620957853</c:v>
                </c:pt>
                <c:pt idx="16">
                  <c:v>664.91360757033556</c:v>
                </c:pt>
                <c:pt idx="17">
                  <c:v>661.47394306639023</c:v>
                </c:pt>
                <c:pt idx="18">
                  <c:v>648.56745079555856</c:v>
                </c:pt>
                <c:pt idx="19">
                  <c:v>657.64292313481906</c:v>
                </c:pt>
                <c:pt idx="20">
                  <c:v>644.55838786123593</c:v>
                </c:pt>
                <c:pt idx="21">
                  <c:v>685.33587226075053</c:v>
                </c:pt>
                <c:pt idx="22">
                  <c:v>693.94073740456713</c:v>
                </c:pt>
                <c:pt idx="23">
                  <c:v>670.21512208283468</c:v>
                </c:pt>
                <c:pt idx="24">
                  <c:v>684.1722356909296</c:v>
                </c:pt>
                <c:pt idx="25">
                  <c:v>680.42987139823924</c:v>
                </c:pt>
                <c:pt idx="26">
                  <c:v>652.37763317184977</c:v>
                </c:pt>
                <c:pt idx="27">
                  <c:v>687.87181903400437</c:v>
                </c:pt>
                <c:pt idx="28">
                  <c:v>715.41530840770088</c:v>
                </c:pt>
                <c:pt idx="29">
                  <c:v>699.80955532397627</c:v>
                </c:pt>
                <c:pt idx="30">
                  <c:v>693.84250974021052</c:v>
                </c:pt>
                <c:pt idx="31">
                  <c:v>683.11756398563602</c:v>
                </c:pt>
                <c:pt idx="32">
                  <c:v>665.80659257859259</c:v>
                </c:pt>
                <c:pt idx="33">
                  <c:v>668.21215634142175</c:v>
                </c:pt>
                <c:pt idx="34">
                  <c:v>666.34638645933569</c:v>
                </c:pt>
                <c:pt idx="35">
                  <c:v>660.27188511626593</c:v>
                </c:pt>
                <c:pt idx="36">
                  <c:v>657.96899363853106</c:v>
                </c:pt>
                <c:pt idx="37">
                  <c:v>648.05377094310154</c:v>
                </c:pt>
                <c:pt idx="38">
                  <c:v>642.20966300971304</c:v>
                </c:pt>
                <c:pt idx="39">
                  <c:v>643.0456223187274</c:v>
                </c:pt>
                <c:pt idx="40">
                  <c:v>644.39885992456902</c:v>
                </c:pt>
                <c:pt idx="41">
                  <c:v>642.72776772847499</c:v>
                </c:pt>
                <c:pt idx="42">
                  <c:v>641.25288609046697</c:v>
                </c:pt>
                <c:pt idx="43">
                  <c:v>635.7851339385951</c:v>
                </c:pt>
                <c:pt idx="44">
                  <c:v>634.83288461167751</c:v>
                </c:pt>
                <c:pt idx="45">
                  <c:v>627.3672147560801</c:v>
                </c:pt>
                <c:pt idx="46">
                  <c:v>623.1299312237586</c:v>
                </c:pt>
                <c:pt idx="47">
                  <c:v>622.63182576314819</c:v>
                </c:pt>
                <c:pt idx="48">
                  <c:v>612.94725906984456</c:v>
                </c:pt>
                <c:pt idx="49">
                  <c:v>616.70918509894818</c:v>
                </c:pt>
                <c:pt idx="50">
                  <c:v>608.37445506456368</c:v>
                </c:pt>
                <c:pt idx="51">
                  <c:v>604.02547166855004</c:v>
                </c:pt>
                <c:pt idx="52">
                  <c:v>607.97732427634628</c:v>
                </c:pt>
                <c:pt idx="53">
                  <c:v>616.797528940191</c:v>
                </c:pt>
                <c:pt idx="54">
                  <c:v>615.62783605169273</c:v>
                </c:pt>
                <c:pt idx="55">
                  <c:v>615.75098624894247</c:v>
                </c:pt>
                <c:pt idx="56">
                  <c:v>612.44378978410828</c:v>
                </c:pt>
                <c:pt idx="57">
                  <c:v>603.92839935322775</c:v>
                </c:pt>
                <c:pt idx="58">
                  <c:v>603.44564283895659</c:v>
                </c:pt>
                <c:pt idx="59">
                  <c:v>607.14925328398897</c:v>
                </c:pt>
                <c:pt idx="60">
                  <c:v>605.87691176927353</c:v>
                </c:pt>
                <c:pt idx="61">
                  <c:v>605.5136036071093</c:v>
                </c:pt>
                <c:pt idx="62">
                  <c:v>607.33561043842462</c:v>
                </c:pt>
                <c:pt idx="63">
                  <c:v>601.56062840572963</c:v>
                </c:pt>
                <c:pt idx="64">
                  <c:v>593.07959026494098</c:v>
                </c:pt>
                <c:pt idx="65">
                  <c:v>595.34188944483139</c:v>
                </c:pt>
                <c:pt idx="66">
                  <c:v>597.43290461096979</c:v>
                </c:pt>
                <c:pt idx="67">
                  <c:v>593.69264097284088</c:v>
                </c:pt>
                <c:pt idx="68">
                  <c:v>584.8612363046409</c:v>
                </c:pt>
                <c:pt idx="69">
                  <c:v>579.93181586974811</c:v>
                </c:pt>
                <c:pt idx="70">
                  <c:v>586.5599432282271</c:v>
                </c:pt>
                <c:pt idx="71">
                  <c:v>588.32491798217359</c:v>
                </c:pt>
                <c:pt idx="72">
                  <c:v>583.65567260136265</c:v>
                </c:pt>
                <c:pt idx="73">
                  <c:v>592.1831093763825</c:v>
                </c:pt>
                <c:pt idx="74">
                  <c:v>590.76527272185012</c:v>
                </c:pt>
                <c:pt idx="75">
                  <c:v>593.37612768365818</c:v>
                </c:pt>
                <c:pt idx="76">
                  <c:v>589.42696700472652</c:v>
                </c:pt>
                <c:pt idx="77">
                  <c:v>585.38779124513519</c:v>
                </c:pt>
                <c:pt idx="78">
                  <c:v>576.67992438689316</c:v>
                </c:pt>
                <c:pt idx="79">
                  <c:v>572.04634896031462</c:v>
                </c:pt>
                <c:pt idx="80">
                  <c:v>571.36071610099339</c:v>
                </c:pt>
                <c:pt idx="81">
                  <c:v>565.53569840739726</c:v>
                </c:pt>
                <c:pt idx="82">
                  <c:v>566.38527632188004</c:v>
                </c:pt>
                <c:pt idx="83">
                  <c:v>566.9522285504305</c:v>
                </c:pt>
                <c:pt idx="84">
                  <c:v>557.47515098370752</c:v>
                </c:pt>
                <c:pt idx="85">
                  <c:v>563.67558238999754</c:v>
                </c:pt>
                <c:pt idx="86">
                  <c:v>562.26990762094522</c:v>
                </c:pt>
                <c:pt idx="87">
                  <c:v>562.60747210420777</c:v>
                </c:pt>
                <c:pt idx="88">
                  <c:v>545.79692675999979</c:v>
                </c:pt>
                <c:pt idx="89">
                  <c:v>551.14301399575868</c:v>
                </c:pt>
                <c:pt idx="90">
                  <c:v>543.31921726711232</c:v>
                </c:pt>
                <c:pt idx="91">
                  <c:v>538.95369235900444</c:v>
                </c:pt>
                <c:pt idx="92">
                  <c:v>519.22321036512949</c:v>
                </c:pt>
                <c:pt idx="93">
                  <c:v>529.49542154306494</c:v>
                </c:pt>
                <c:pt idx="94">
                  <c:v>533.17432438129583</c:v>
                </c:pt>
                <c:pt idx="95">
                  <c:v>531.15593184030263</c:v>
                </c:pt>
                <c:pt idx="96">
                  <c:v>536.30445460450596</c:v>
                </c:pt>
                <c:pt idx="97">
                  <c:v>539.92193154586323</c:v>
                </c:pt>
                <c:pt idx="98">
                  <c:v>539.00562198848274</c:v>
                </c:pt>
                <c:pt idx="99">
                  <c:v>532.6668860445526</c:v>
                </c:pt>
                <c:pt idx="100">
                  <c:v>529.85863527758136</c:v>
                </c:pt>
                <c:pt idx="101">
                  <c:v>542.8323279147437</c:v>
                </c:pt>
                <c:pt idx="102">
                  <c:v>540.13166956690918</c:v>
                </c:pt>
                <c:pt idx="103">
                  <c:v>543.82971160582883</c:v>
                </c:pt>
                <c:pt idx="104">
                  <c:v>543.88410001583043</c:v>
                </c:pt>
                <c:pt idx="105">
                  <c:v>543.61229386889602</c:v>
                </c:pt>
                <c:pt idx="106">
                  <c:v>541.28476936064521</c:v>
                </c:pt>
                <c:pt idx="107">
                  <c:v>541.66393411452543</c:v>
                </c:pt>
                <c:pt idx="108">
                  <c:v>538.37981722942595</c:v>
                </c:pt>
                <c:pt idx="109">
                  <c:v>530.47572886927378</c:v>
                </c:pt>
                <c:pt idx="110">
                  <c:v>523.77145425481217</c:v>
                </c:pt>
                <c:pt idx="111">
                  <c:v>507.43213936718865</c:v>
                </c:pt>
                <c:pt idx="112">
                  <c:v>515.84033685797363</c:v>
                </c:pt>
                <c:pt idx="113">
                  <c:v>522.05276475860103</c:v>
                </c:pt>
                <c:pt idx="114">
                  <c:v>522.83702028903451</c:v>
                </c:pt>
                <c:pt idx="115">
                  <c:v>522.83702028903451</c:v>
                </c:pt>
                <c:pt idx="116">
                  <c:v>511.1820691132524</c:v>
                </c:pt>
                <c:pt idx="117">
                  <c:v>509.75475579702078</c:v>
                </c:pt>
                <c:pt idx="118">
                  <c:v>512.36783173888909</c:v>
                </c:pt>
                <c:pt idx="119">
                  <c:v>514.42553387438659</c:v>
                </c:pt>
                <c:pt idx="120">
                  <c:v>520.99000797486997</c:v>
                </c:pt>
                <c:pt idx="121">
                  <c:v>518.2948746268105</c:v>
                </c:pt>
                <c:pt idx="122">
                  <c:v>510.03235054793396</c:v>
                </c:pt>
                <c:pt idx="123">
                  <c:v>516.2793304463346</c:v>
                </c:pt>
                <c:pt idx="124">
                  <c:v>507.10080586026379</c:v>
                </c:pt>
                <c:pt idx="125">
                  <c:v>510.52129856061998</c:v>
                </c:pt>
                <c:pt idx="126">
                  <c:v>503.72106419400092</c:v>
                </c:pt>
                <c:pt idx="127">
                  <c:v>498.19114251211636</c:v>
                </c:pt>
                <c:pt idx="128">
                  <c:v>485.23535844172238</c:v>
                </c:pt>
                <c:pt idx="129">
                  <c:v>477.68788978314859</c:v>
                </c:pt>
                <c:pt idx="130">
                  <c:v>464.49619776657778</c:v>
                </c:pt>
                <c:pt idx="131">
                  <c:v>468.28934143217845</c:v>
                </c:pt>
                <c:pt idx="132">
                  <c:v>483.27073419213463</c:v>
                </c:pt>
                <c:pt idx="133">
                  <c:v>474.95895252298237</c:v>
                </c:pt>
                <c:pt idx="134">
                  <c:v>468.35514497878154</c:v>
                </c:pt>
                <c:pt idx="135">
                  <c:v>478.74388733392777</c:v>
                </c:pt>
                <c:pt idx="136">
                  <c:v>509.08537572727323</c:v>
                </c:pt>
                <c:pt idx="137">
                  <c:v>513.34614876199782</c:v>
                </c:pt>
                <c:pt idx="138">
                  <c:v>499.55833861619089</c:v>
                </c:pt>
                <c:pt idx="139">
                  <c:v>501.26263156350677</c:v>
                </c:pt>
                <c:pt idx="140">
                  <c:v>521.00886764734105</c:v>
                </c:pt>
                <c:pt idx="141">
                  <c:v>520.59239373235516</c:v>
                </c:pt>
                <c:pt idx="142">
                  <c:v>520.38424003634066</c:v>
                </c:pt>
                <c:pt idx="143">
                  <c:v>503.90649756593461</c:v>
                </c:pt>
                <c:pt idx="144">
                  <c:v>522.88730680287915</c:v>
                </c:pt>
                <c:pt idx="145">
                  <c:v>517.96662387605659</c:v>
                </c:pt>
                <c:pt idx="146">
                  <c:v>516.93275835933787</c:v>
                </c:pt>
                <c:pt idx="147">
                  <c:v>506.44925870416171</c:v>
                </c:pt>
                <c:pt idx="148">
                  <c:v>501.93187185744478</c:v>
                </c:pt>
                <c:pt idx="149">
                  <c:v>486.0854850449785</c:v>
                </c:pt>
                <c:pt idx="150">
                  <c:v>481.0822298544918</c:v>
                </c:pt>
                <c:pt idx="151">
                  <c:v>487.71515597576212</c:v>
                </c:pt>
                <c:pt idx="152">
                  <c:v>488.4478277173381</c:v>
                </c:pt>
                <c:pt idx="153">
                  <c:v>478.54200814866084</c:v>
                </c:pt>
                <c:pt idx="154">
                  <c:v>495.38510160316861</c:v>
                </c:pt>
                <c:pt idx="155">
                  <c:v>490.91775007746361</c:v>
                </c:pt>
                <c:pt idx="156">
                  <c:v>520.97819174091433</c:v>
                </c:pt>
                <c:pt idx="157">
                  <c:v>517.510868919156</c:v>
                </c:pt>
                <c:pt idx="158">
                  <c:v>524.06163941180353</c:v>
                </c:pt>
                <c:pt idx="159">
                  <c:v>518.0522335031668</c:v>
                </c:pt>
                <c:pt idx="160">
                  <c:v>529.75992790997725</c:v>
                </c:pt>
                <c:pt idx="161">
                  <c:v>517.2931626891683</c:v>
                </c:pt>
                <c:pt idx="162">
                  <c:v>517.34489717888619</c:v>
                </c:pt>
                <c:pt idx="163">
                  <c:v>523.52246223323846</c:v>
                </c:pt>
                <c:pt idx="164">
                  <c:v>525.62496208156472</c:v>
                </c:pt>
                <c:pt idx="165">
                  <c:v>521.66034347118375</c:v>
                </c:pt>
                <c:pt idx="166">
                  <c:v>521.34753495021369</c:v>
                </c:pt>
                <c:pt idx="167">
                  <c:v>524.96982675482195</c:v>
                </c:pt>
                <c:pt idx="168">
                  <c:v>529.63057582205602</c:v>
                </c:pt>
                <c:pt idx="169">
                  <c:v>528.78452058911341</c:v>
                </c:pt>
                <c:pt idx="170">
                  <c:v>527.15035449019376</c:v>
                </c:pt>
                <c:pt idx="171">
                  <c:v>525.2070882636184</c:v>
                </c:pt>
                <c:pt idx="172">
                  <c:v>527.52821239817035</c:v>
                </c:pt>
                <c:pt idx="173">
                  <c:v>518.45524560016736</c:v>
                </c:pt>
                <c:pt idx="174">
                  <c:v>523.63927441689464</c:v>
                </c:pt>
                <c:pt idx="175">
                  <c:v>514.8862088661698</c:v>
                </c:pt>
                <c:pt idx="176">
                  <c:v>513.39735653222635</c:v>
                </c:pt>
                <c:pt idx="177">
                  <c:v>525.10724816633558</c:v>
                </c:pt>
                <c:pt idx="178">
                  <c:v>511.50131323430315</c:v>
                </c:pt>
                <c:pt idx="179">
                  <c:v>515.93838333094936</c:v>
                </c:pt>
                <c:pt idx="180">
                  <c:v>524.22107633707515</c:v>
                </c:pt>
                <c:pt idx="181">
                  <c:v>525.64030516100991</c:v>
                </c:pt>
                <c:pt idx="182">
                  <c:v>522.34950329028118</c:v>
                </c:pt>
                <c:pt idx="183">
                  <c:v>512.00696264485509</c:v>
                </c:pt>
                <c:pt idx="184">
                  <c:v>496.94939594764156</c:v>
                </c:pt>
                <c:pt idx="185">
                  <c:v>511.10706155264995</c:v>
                </c:pt>
                <c:pt idx="186">
                  <c:v>503.05813144945859</c:v>
                </c:pt>
                <c:pt idx="187">
                  <c:v>509.37437368312936</c:v>
                </c:pt>
                <c:pt idx="188">
                  <c:v>512.70696898150914</c:v>
                </c:pt>
                <c:pt idx="189">
                  <c:v>520.30339860108495</c:v>
                </c:pt>
                <c:pt idx="190">
                  <c:v>515.76466950940221</c:v>
                </c:pt>
                <c:pt idx="191">
                  <c:v>498.75705396905732</c:v>
                </c:pt>
                <c:pt idx="192">
                  <c:v>516.95382874073107</c:v>
                </c:pt>
                <c:pt idx="193">
                  <c:v>514.99684074589663</c:v>
                </c:pt>
                <c:pt idx="194">
                  <c:v>513.96890294001662</c:v>
                </c:pt>
                <c:pt idx="195">
                  <c:v>508.07523026889743</c:v>
                </c:pt>
                <c:pt idx="196">
                  <c:v>506.1014346736701</c:v>
                </c:pt>
                <c:pt idx="197">
                  <c:v>502.63326514417531</c:v>
                </c:pt>
                <c:pt idx="198">
                  <c:v>489.32366155001495</c:v>
                </c:pt>
                <c:pt idx="199">
                  <c:v>469.9612577314781</c:v>
                </c:pt>
                <c:pt idx="200">
                  <c:v>474.80426119567397</c:v>
                </c:pt>
                <c:pt idx="201">
                  <c:v>490.19642906842245</c:v>
                </c:pt>
                <c:pt idx="202">
                  <c:v>493.90068419992184</c:v>
                </c:pt>
                <c:pt idx="203">
                  <c:v>500.76111142646442</c:v>
                </c:pt>
                <c:pt idx="204">
                  <c:v>494.57887548292786</c:v>
                </c:pt>
                <c:pt idx="205">
                  <c:v>500.07975276332445</c:v>
                </c:pt>
                <c:pt idx="206">
                  <c:v>498.98199238008829</c:v>
                </c:pt>
                <c:pt idx="207">
                  <c:v>495.26748623333822</c:v>
                </c:pt>
                <c:pt idx="208">
                  <c:v>486.9407985776603</c:v>
                </c:pt>
                <c:pt idx="209">
                  <c:v>481.07172355034606</c:v>
                </c:pt>
                <c:pt idx="210">
                  <c:v>479.48940850228848</c:v>
                </c:pt>
                <c:pt idx="211">
                  <c:v>492.74422824199826</c:v>
                </c:pt>
                <c:pt idx="212">
                  <c:v>492.69495874612363</c:v>
                </c:pt>
                <c:pt idx="213">
                  <c:v>490.04869578886371</c:v>
                </c:pt>
                <c:pt idx="214">
                  <c:v>494.49918848523077</c:v>
                </c:pt>
                <c:pt idx="215">
                  <c:v>488.3942602323267</c:v>
                </c:pt>
                <c:pt idx="216">
                  <c:v>488.88314337570239</c:v>
                </c:pt>
                <c:pt idx="217">
                  <c:v>482.22839157200866</c:v>
                </c:pt>
                <c:pt idx="218">
                  <c:v>485.52999554169219</c:v>
                </c:pt>
                <c:pt idx="219">
                  <c:v>479.10992257913176</c:v>
                </c:pt>
                <c:pt idx="220">
                  <c:v>473.3820003745991</c:v>
                </c:pt>
                <c:pt idx="221">
                  <c:v>467.72255742969975</c:v>
                </c:pt>
                <c:pt idx="222">
                  <c:v>467.86291630459112</c:v>
                </c:pt>
                <c:pt idx="223">
                  <c:v>468.51884268434918</c:v>
                </c:pt>
                <c:pt idx="224">
                  <c:v>464.10979958826067</c:v>
                </c:pt>
                <c:pt idx="225">
                  <c:v>464.48138469601747</c:v>
                </c:pt>
                <c:pt idx="226">
                  <c:v>452.22605851038605</c:v>
                </c:pt>
                <c:pt idx="227">
                  <c:v>464.5362696562774</c:v>
                </c:pt>
                <c:pt idx="228">
                  <c:v>462.685527546093</c:v>
                </c:pt>
                <c:pt idx="229">
                  <c:v>464.91712976898413</c:v>
                </c:pt>
                <c:pt idx="230">
                  <c:v>458.58860699248777</c:v>
                </c:pt>
                <c:pt idx="231">
                  <c:v>467.80435274149522</c:v>
                </c:pt>
                <c:pt idx="232">
                  <c:v>463.17262647672794</c:v>
                </c:pt>
                <c:pt idx="233">
                  <c:v>457.40926967877539</c:v>
                </c:pt>
                <c:pt idx="234">
                  <c:v>458.0046757572598</c:v>
                </c:pt>
                <c:pt idx="235">
                  <c:v>447.61989421155175</c:v>
                </c:pt>
                <c:pt idx="236">
                  <c:v>444.02330543750793</c:v>
                </c:pt>
                <c:pt idx="237">
                  <c:v>445.94085109722602</c:v>
                </c:pt>
                <c:pt idx="238">
                  <c:v>457.98587973423645</c:v>
                </c:pt>
                <c:pt idx="239">
                  <c:v>458.90368710845337</c:v>
                </c:pt>
                <c:pt idx="240">
                  <c:v>456.16668698653416</c:v>
                </c:pt>
                <c:pt idx="241">
                  <c:v>458.64336113667218</c:v>
                </c:pt>
                <c:pt idx="242">
                  <c:v>452.89163734242345</c:v>
                </c:pt>
                <c:pt idx="243">
                  <c:v>442.1906242359143</c:v>
                </c:pt>
                <c:pt idx="244">
                  <c:v>449.60917563387318</c:v>
                </c:pt>
                <c:pt idx="245">
                  <c:v>449.78909127038133</c:v>
                </c:pt>
                <c:pt idx="246">
                  <c:v>449.51937964259582</c:v>
                </c:pt>
                <c:pt idx="247">
                  <c:v>447.86228917265697</c:v>
                </c:pt>
                <c:pt idx="248">
                  <c:v>440.9829550735102</c:v>
                </c:pt>
                <c:pt idx="249">
                  <c:v>438.74535376928679</c:v>
                </c:pt>
                <c:pt idx="250">
                  <c:v>438.26326417869018</c:v>
                </c:pt>
                <c:pt idx="251">
                  <c:v>434.44019050227024</c:v>
                </c:pt>
                <c:pt idx="252">
                  <c:v>424.17515182803186</c:v>
                </c:pt>
                <c:pt idx="253">
                  <c:v>421.01752042484549</c:v>
                </c:pt>
                <c:pt idx="254">
                  <c:v>421.31243913223807</c:v>
                </c:pt>
                <c:pt idx="255">
                  <c:v>425.82619681851435</c:v>
                </c:pt>
                <c:pt idx="256">
                  <c:v>420.36149735292634</c:v>
                </c:pt>
                <c:pt idx="257">
                  <c:v>412.1999385692551</c:v>
                </c:pt>
                <c:pt idx="258">
                  <c:v>406.66923694677888</c:v>
                </c:pt>
                <c:pt idx="259">
                  <c:v>414.29221367846259</c:v>
                </c:pt>
                <c:pt idx="260">
                  <c:v>412.39519577788434</c:v>
                </c:pt>
                <c:pt idx="261">
                  <c:v>421.24126228588801</c:v>
                </c:pt>
                <c:pt idx="262">
                  <c:v>425.79729332445976</c:v>
                </c:pt>
                <c:pt idx="263">
                  <c:v>421.28949572025306</c:v>
                </c:pt>
                <c:pt idx="264">
                  <c:v>421.41592049640195</c:v>
                </c:pt>
                <c:pt idx="265">
                  <c:v>418.44496127137512</c:v>
                </c:pt>
                <c:pt idx="266">
                  <c:v>406.41507504989812</c:v>
                </c:pt>
                <c:pt idx="267">
                  <c:v>400.05421306220899</c:v>
                </c:pt>
                <c:pt idx="268">
                  <c:v>396.60376034718848</c:v>
                </c:pt>
                <c:pt idx="269">
                  <c:v>405.15247762507761</c:v>
                </c:pt>
                <c:pt idx="270">
                  <c:v>409.28626894138563</c:v>
                </c:pt>
                <c:pt idx="271">
                  <c:v>406.11854429587777</c:v>
                </c:pt>
                <c:pt idx="272">
                  <c:v>410.80168348763681</c:v>
                </c:pt>
                <c:pt idx="273">
                  <c:v>415.24480287843608</c:v>
                </c:pt>
                <c:pt idx="274">
                  <c:v>406.82355528405611</c:v>
                </c:pt>
                <c:pt idx="275">
                  <c:v>402.03928775971548</c:v>
                </c:pt>
                <c:pt idx="276">
                  <c:v>394.04027027317011</c:v>
                </c:pt>
                <c:pt idx="277">
                  <c:v>387.30122889047578</c:v>
                </c:pt>
                <c:pt idx="278">
                  <c:v>395.64943190364266</c:v>
                </c:pt>
                <c:pt idx="279">
                  <c:v>386.7918974519921</c:v>
                </c:pt>
                <c:pt idx="280">
                  <c:v>390.738354835834</c:v>
                </c:pt>
                <c:pt idx="281">
                  <c:v>387.67571667410851</c:v>
                </c:pt>
                <c:pt idx="282">
                  <c:v>388.60837677837662</c:v>
                </c:pt>
                <c:pt idx="283">
                  <c:v>386.25223812580919</c:v>
                </c:pt>
                <c:pt idx="284">
                  <c:v>378.04858385613113</c:v>
                </c:pt>
                <c:pt idx="285">
                  <c:v>377.4069919697825</c:v>
                </c:pt>
                <c:pt idx="286">
                  <c:v>378.4666987262159</c:v>
                </c:pt>
                <c:pt idx="287">
                  <c:v>378.01308302658396</c:v>
                </c:pt>
                <c:pt idx="288">
                  <c:v>376.84486394834403</c:v>
                </c:pt>
                <c:pt idx="289">
                  <c:v>374.29962648822413</c:v>
                </c:pt>
                <c:pt idx="290">
                  <c:v>370.08070643486661</c:v>
                </c:pt>
                <c:pt idx="291">
                  <c:v>366.59802519550925</c:v>
                </c:pt>
                <c:pt idx="292">
                  <c:v>365.21022633543458</c:v>
                </c:pt>
                <c:pt idx="293">
                  <c:v>349.24952312846375</c:v>
                </c:pt>
                <c:pt idx="294">
                  <c:v>356.15900788136219</c:v>
                </c:pt>
                <c:pt idx="295">
                  <c:v>352.04013826367714</c:v>
                </c:pt>
                <c:pt idx="296">
                  <c:v>353.17028316982055</c:v>
                </c:pt>
                <c:pt idx="297">
                  <c:v>352.7117578845706</c:v>
                </c:pt>
                <c:pt idx="298">
                  <c:v>350.95697301947325</c:v>
                </c:pt>
                <c:pt idx="299">
                  <c:v>338.69617160728939</c:v>
                </c:pt>
                <c:pt idx="300">
                  <c:v>343.67952471566656</c:v>
                </c:pt>
                <c:pt idx="301">
                  <c:v>352.23893073246546</c:v>
                </c:pt>
                <c:pt idx="302">
                  <c:v>351.67624873449029</c:v>
                </c:pt>
                <c:pt idx="303">
                  <c:v>356.95924556891015</c:v>
                </c:pt>
                <c:pt idx="304">
                  <c:v>355.82061958623416</c:v>
                </c:pt>
                <c:pt idx="305">
                  <c:v>363.86196910341971</c:v>
                </c:pt>
                <c:pt idx="306">
                  <c:v>358.80284893345794</c:v>
                </c:pt>
                <c:pt idx="307">
                  <c:v>363.63925097137724</c:v>
                </c:pt>
                <c:pt idx="308">
                  <c:v>365.02635110557844</c:v>
                </c:pt>
                <c:pt idx="309">
                  <c:v>358.07960673492096</c:v>
                </c:pt>
                <c:pt idx="310">
                  <c:v>350.2686165850738</c:v>
                </c:pt>
                <c:pt idx="311">
                  <c:v>351.39307442322814</c:v>
                </c:pt>
                <c:pt idx="312">
                  <c:v>353.15886876706344</c:v>
                </c:pt>
                <c:pt idx="313">
                  <c:v>350.11288665318079</c:v>
                </c:pt>
                <c:pt idx="314">
                  <c:v>346.40633882772414</c:v>
                </c:pt>
                <c:pt idx="315">
                  <c:v>345.16374933013566</c:v>
                </c:pt>
                <c:pt idx="316">
                  <c:v>339.36068167351851</c:v>
                </c:pt>
                <c:pt idx="317">
                  <c:v>337.90767865530074</c:v>
                </c:pt>
                <c:pt idx="318">
                  <c:v>337.36789003125074</c:v>
                </c:pt>
                <c:pt idx="319">
                  <c:v>339.23367524509877</c:v>
                </c:pt>
                <c:pt idx="320">
                  <c:v>332.48424507017421</c:v>
                </c:pt>
                <c:pt idx="321">
                  <c:v>334.42390371170211</c:v>
                </c:pt>
                <c:pt idx="322">
                  <c:v>330.13218530276617</c:v>
                </c:pt>
                <c:pt idx="323">
                  <c:v>318.26104820472972</c:v>
                </c:pt>
                <c:pt idx="324">
                  <c:v>328.17183770337152</c:v>
                </c:pt>
                <c:pt idx="325">
                  <c:v>322.55930578275161</c:v>
                </c:pt>
                <c:pt idx="326">
                  <c:v>337.05256612617723</c:v>
                </c:pt>
                <c:pt idx="327">
                  <c:v>340.97376441697241</c:v>
                </c:pt>
                <c:pt idx="328">
                  <c:v>349.50160354343217</c:v>
                </c:pt>
                <c:pt idx="329">
                  <c:v>343.32181094639702</c:v>
                </c:pt>
                <c:pt idx="330">
                  <c:v>341.27416595069286</c:v>
                </c:pt>
                <c:pt idx="331">
                  <c:v>348.20341388704509</c:v>
                </c:pt>
                <c:pt idx="332">
                  <c:v>350.79932892106092</c:v>
                </c:pt>
                <c:pt idx="333">
                  <c:v>347.98068536956742</c:v>
                </c:pt>
                <c:pt idx="334">
                  <c:v>349.72933202971603</c:v>
                </c:pt>
                <c:pt idx="335">
                  <c:v>341.43252175116277</c:v>
                </c:pt>
                <c:pt idx="336">
                  <c:v>341.12550879324885</c:v>
                </c:pt>
                <c:pt idx="337">
                  <c:v>340.1730243251385</c:v>
                </c:pt>
                <c:pt idx="338">
                  <c:v>339.05414564451161</c:v>
                </c:pt>
                <c:pt idx="339">
                  <c:v>334.43888897663402</c:v>
                </c:pt>
                <c:pt idx="340">
                  <c:v>335.00840326217974</c:v>
                </c:pt>
                <c:pt idx="341">
                  <c:v>327.89312250384626</c:v>
                </c:pt>
                <c:pt idx="342">
                  <c:v>327.66375787333493</c:v>
                </c:pt>
                <c:pt idx="343">
                  <c:v>321.11305162028123</c:v>
                </c:pt>
                <c:pt idx="344">
                  <c:v>318.31190684008845</c:v>
                </c:pt>
                <c:pt idx="345">
                  <c:v>313.26828741274329</c:v>
                </c:pt>
                <c:pt idx="346">
                  <c:v>315.19095222129317</c:v>
                </c:pt>
                <c:pt idx="347">
                  <c:v>303.82779277163405</c:v>
                </c:pt>
                <c:pt idx="348">
                  <c:v>312.67653882024706</c:v>
                </c:pt>
                <c:pt idx="349">
                  <c:v>309.94898772823859</c:v>
                </c:pt>
                <c:pt idx="350">
                  <c:v>288.61997181137775</c:v>
                </c:pt>
                <c:pt idx="351">
                  <c:v>302.82233953559722</c:v>
                </c:pt>
                <c:pt idx="352">
                  <c:v>314.81686197691778</c:v>
                </c:pt>
                <c:pt idx="353">
                  <c:v>312.16347246099929</c:v>
                </c:pt>
                <c:pt idx="354">
                  <c:v>320.10200211341191</c:v>
                </c:pt>
                <c:pt idx="355">
                  <c:v>308.44286193236837</c:v>
                </c:pt>
                <c:pt idx="356">
                  <c:v>305.02656441096553</c:v>
                </c:pt>
                <c:pt idx="357">
                  <c:v>287.81521457913334</c:v>
                </c:pt>
                <c:pt idx="358">
                  <c:v>281.84020229057313</c:v>
                </c:pt>
                <c:pt idx="359">
                  <c:v>283.08577972134702</c:v>
                </c:pt>
                <c:pt idx="360">
                  <c:v>302.89512060918793</c:v>
                </c:pt>
                <c:pt idx="361">
                  <c:v>287.51316621659981</c:v>
                </c:pt>
                <c:pt idx="362">
                  <c:v>292.42592170117962</c:v>
                </c:pt>
                <c:pt idx="363">
                  <c:v>293.1294323387927</c:v>
                </c:pt>
                <c:pt idx="364">
                  <c:v>279.86388422645854</c:v>
                </c:pt>
                <c:pt idx="365">
                  <c:v>293.6353837230705</c:v>
                </c:pt>
                <c:pt idx="366">
                  <c:v>298.77430171252593</c:v>
                </c:pt>
                <c:pt idx="367">
                  <c:v>321.92037680479035</c:v>
                </c:pt>
                <c:pt idx="368">
                  <c:v>335.05451374353703</c:v>
                </c:pt>
                <c:pt idx="369">
                  <c:v>327.87407157602212</c:v>
                </c:pt>
                <c:pt idx="370">
                  <c:v>334.77034059222188</c:v>
                </c:pt>
                <c:pt idx="371">
                  <c:v>333.73575973703703</c:v>
                </c:pt>
                <c:pt idx="372">
                  <c:v>316.00772629205284</c:v>
                </c:pt>
                <c:pt idx="373">
                  <c:v>316.76796941865763</c:v>
                </c:pt>
                <c:pt idx="374">
                  <c:v>316.64131289350024</c:v>
                </c:pt>
                <c:pt idx="375">
                  <c:v>323.89659665865406</c:v>
                </c:pt>
                <c:pt idx="376">
                  <c:v>331.5894724187695</c:v>
                </c:pt>
                <c:pt idx="377">
                  <c:v>332.120865804056</c:v>
                </c:pt>
                <c:pt idx="378">
                  <c:v>333.2539291632109</c:v>
                </c:pt>
                <c:pt idx="379">
                  <c:v>333.85486792547675</c:v>
                </c:pt>
                <c:pt idx="380">
                  <c:v>339.6976678118404</c:v>
                </c:pt>
                <c:pt idx="381">
                  <c:v>333.16758318148334</c:v>
                </c:pt>
                <c:pt idx="382">
                  <c:v>328.76217010211496</c:v>
                </c:pt>
                <c:pt idx="383">
                  <c:v>330.87980082741041</c:v>
                </c:pt>
                <c:pt idx="384">
                  <c:v>331.94201527629457</c:v>
                </c:pt>
                <c:pt idx="385">
                  <c:v>327.29443430910527</c:v>
                </c:pt>
                <c:pt idx="386">
                  <c:v>318.6898094538513</c:v>
                </c:pt>
                <c:pt idx="387">
                  <c:v>324.92843541379619</c:v>
                </c:pt>
                <c:pt idx="388">
                  <c:v>329.14144592159261</c:v>
                </c:pt>
                <c:pt idx="389">
                  <c:v>328.81263328830431</c:v>
                </c:pt>
                <c:pt idx="390">
                  <c:v>334.56718893803856</c:v>
                </c:pt>
                <c:pt idx="391">
                  <c:v>331.12350449132873</c:v>
                </c:pt>
                <c:pt idx="392">
                  <c:v>326.58398707104124</c:v>
                </c:pt>
                <c:pt idx="393">
                  <c:v>317.96707922406898</c:v>
                </c:pt>
                <c:pt idx="394">
                  <c:v>319.72556985828953</c:v>
                </c:pt>
                <c:pt idx="395">
                  <c:v>322.17409296482219</c:v>
                </c:pt>
                <c:pt idx="396">
                  <c:v>316.75753904711655</c:v>
                </c:pt>
                <c:pt idx="397">
                  <c:v>313.31111676272661</c:v>
                </c:pt>
                <c:pt idx="398">
                  <c:v>313.09195239604941</c:v>
                </c:pt>
                <c:pt idx="399">
                  <c:v>309.89998257552156</c:v>
                </c:pt>
                <c:pt idx="400">
                  <c:v>309.03468545624412</c:v>
                </c:pt>
                <c:pt idx="401">
                  <c:v>305.1290338233058</c:v>
                </c:pt>
                <c:pt idx="402">
                  <c:v>296.32808956327648</c:v>
                </c:pt>
                <c:pt idx="403">
                  <c:v>298.89861767528396</c:v>
                </c:pt>
                <c:pt idx="404">
                  <c:v>298.7791060328708</c:v>
                </c:pt>
                <c:pt idx="405">
                  <c:v>305.40642546547156</c:v>
                </c:pt>
                <c:pt idx="406">
                  <c:v>294.79384697439338</c:v>
                </c:pt>
                <c:pt idx="407">
                  <c:v>294.73489999439448</c:v>
                </c:pt>
                <c:pt idx="408">
                  <c:v>293.00616362898347</c:v>
                </c:pt>
                <c:pt idx="409">
                  <c:v>290.24880002871072</c:v>
                </c:pt>
                <c:pt idx="410">
                  <c:v>285.53743239420635</c:v>
                </c:pt>
                <c:pt idx="411">
                  <c:v>286.13832287223806</c:v>
                </c:pt>
                <c:pt idx="412">
                  <c:v>280.39032128587758</c:v>
                </c:pt>
                <c:pt idx="413">
                  <c:v>276.38277110485717</c:v>
                </c:pt>
                <c:pt idx="414">
                  <c:v>275.11723183840053</c:v>
                </c:pt>
                <c:pt idx="415">
                  <c:v>265.17323550689207</c:v>
                </c:pt>
                <c:pt idx="416">
                  <c:v>266.93500655012292</c:v>
                </c:pt>
                <c:pt idx="417">
                  <c:v>268.81672361543093</c:v>
                </c:pt>
                <c:pt idx="418">
                  <c:v>279.37718105947926</c:v>
                </c:pt>
                <c:pt idx="419">
                  <c:v>274.38340312264705</c:v>
                </c:pt>
                <c:pt idx="420">
                  <c:v>274.65806118383091</c:v>
                </c:pt>
                <c:pt idx="421">
                  <c:v>265.2419712060173</c:v>
                </c:pt>
                <c:pt idx="422">
                  <c:v>268.49070878228292</c:v>
                </c:pt>
                <c:pt idx="423">
                  <c:v>254.68669017480829</c:v>
                </c:pt>
                <c:pt idx="424">
                  <c:v>268.17593995452069</c:v>
                </c:pt>
                <c:pt idx="425">
                  <c:v>278.33517379815328</c:v>
                </c:pt>
                <c:pt idx="426">
                  <c:v>271.89134883086183</c:v>
                </c:pt>
                <c:pt idx="427">
                  <c:v>265.2339760324474</c:v>
                </c:pt>
                <c:pt idx="428">
                  <c:v>271.33910591554718</c:v>
                </c:pt>
                <c:pt idx="429">
                  <c:v>270.90565686456387</c:v>
                </c:pt>
                <c:pt idx="430">
                  <c:v>282.87110458866437</c:v>
                </c:pt>
                <c:pt idx="431">
                  <c:v>276.70067943721449</c:v>
                </c:pt>
                <c:pt idx="432">
                  <c:v>295.58880401368924</c:v>
                </c:pt>
                <c:pt idx="433">
                  <c:v>303.19910146034385</c:v>
                </c:pt>
                <c:pt idx="434">
                  <c:v>296.93379831587885</c:v>
                </c:pt>
                <c:pt idx="435">
                  <c:v>297.4990465042369</c:v>
                </c:pt>
                <c:pt idx="436">
                  <c:v>293.44944417462705</c:v>
                </c:pt>
                <c:pt idx="437">
                  <c:v>290.57277371485003</c:v>
                </c:pt>
                <c:pt idx="438">
                  <c:v>288.89717012810701</c:v>
                </c:pt>
                <c:pt idx="439">
                  <c:v>286.43383911174601</c:v>
                </c:pt>
                <c:pt idx="440">
                  <c:v>283.62594228314288</c:v>
                </c:pt>
                <c:pt idx="441">
                  <c:v>275.0979071611473</c:v>
                </c:pt>
                <c:pt idx="442">
                  <c:v>276.25819156572334</c:v>
                </c:pt>
                <c:pt idx="443">
                  <c:v>267.87374339738517</c:v>
                </c:pt>
                <c:pt idx="444">
                  <c:v>265.56334231920806</c:v>
                </c:pt>
                <c:pt idx="445">
                  <c:v>267.48926502740539</c:v>
                </c:pt>
                <c:pt idx="446">
                  <c:v>271.94923243941173</c:v>
                </c:pt>
                <c:pt idx="447">
                  <c:v>282.98567371426822</c:v>
                </c:pt>
                <c:pt idx="448">
                  <c:v>285.2103141647533</c:v>
                </c:pt>
                <c:pt idx="449">
                  <c:v>277.7661805266394</c:v>
                </c:pt>
                <c:pt idx="450">
                  <c:v>280.60024298074495</c:v>
                </c:pt>
                <c:pt idx="451">
                  <c:v>274.61366508195823</c:v>
                </c:pt>
                <c:pt idx="452">
                  <c:v>275.6058461280191</c:v>
                </c:pt>
                <c:pt idx="453">
                  <c:v>275.49564786887157</c:v>
                </c:pt>
                <c:pt idx="454">
                  <c:v>271.87964854324639</c:v>
                </c:pt>
                <c:pt idx="455">
                  <c:v>271.85246329691671</c:v>
                </c:pt>
                <c:pt idx="456">
                  <c:v>272.36996623275894</c:v>
                </c:pt>
                <c:pt idx="457">
                  <c:v>266.35044614977409</c:v>
                </c:pt>
                <c:pt idx="458">
                  <c:v>258.09151758699039</c:v>
                </c:pt>
                <c:pt idx="459">
                  <c:v>268.90135193476806</c:v>
                </c:pt>
                <c:pt idx="460">
                  <c:v>270.90605675475319</c:v>
                </c:pt>
                <c:pt idx="461">
                  <c:v>266.87622574598879</c:v>
                </c:pt>
                <c:pt idx="462">
                  <c:v>255.3595117653706</c:v>
                </c:pt>
                <c:pt idx="463">
                  <c:v>260.14620187996189</c:v>
                </c:pt>
                <c:pt idx="464">
                  <c:v>266.10699864971554</c:v>
                </c:pt>
                <c:pt idx="465">
                  <c:v>259.74328809147443</c:v>
                </c:pt>
                <c:pt idx="466">
                  <c:v>253.1857764806262</c:v>
                </c:pt>
                <c:pt idx="467">
                  <c:v>256.31279254973293</c:v>
                </c:pt>
                <c:pt idx="468">
                  <c:v>255.6226114986865</c:v>
                </c:pt>
                <c:pt idx="469">
                  <c:v>250.11997211221771</c:v>
                </c:pt>
                <c:pt idx="470">
                  <c:v>251.70571813647751</c:v>
                </c:pt>
                <c:pt idx="471">
                  <c:v>245.97451200672089</c:v>
                </c:pt>
                <c:pt idx="472">
                  <c:v>243.92553749178987</c:v>
                </c:pt>
                <c:pt idx="473">
                  <c:v>234.25097233437995</c:v>
                </c:pt>
                <c:pt idx="474">
                  <c:v>218.98754074448905</c:v>
                </c:pt>
                <c:pt idx="475">
                  <c:v>223.29717624603757</c:v>
                </c:pt>
                <c:pt idx="476">
                  <c:v>228.90535750490781</c:v>
                </c:pt>
                <c:pt idx="477">
                  <c:v>229.47905514276471</c:v>
                </c:pt>
                <c:pt idx="478">
                  <c:v>235.70157676947895</c:v>
                </c:pt>
                <c:pt idx="479">
                  <c:v>234.17941060057521</c:v>
                </c:pt>
                <c:pt idx="480">
                  <c:v>228.95914215934224</c:v>
                </c:pt>
                <c:pt idx="481">
                  <c:v>220.9603765289927</c:v>
                </c:pt>
                <c:pt idx="482">
                  <c:v>219.92672094057201</c:v>
                </c:pt>
                <c:pt idx="483">
                  <c:v>231.47744546950008</c:v>
                </c:pt>
                <c:pt idx="484">
                  <c:v>218.60179948012097</c:v>
                </c:pt>
                <c:pt idx="485">
                  <c:v>215.7964456862004</c:v>
                </c:pt>
                <c:pt idx="486">
                  <c:v>216.64134693926354</c:v>
                </c:pt>
                <c:pt idx="487">
                  <c:v>213.39770187082695</c:v>
                </c:pt>
                <c:pt idx="488">
                  <c:v>209.89249716811938</c:v>
                </c:pt>
                <c:pt idx="489">
                  <c:v>203.26602476091361</c:v>
                </c:pt>
                <c:pt idx="490">
                  <c:v>191.45335288774004</c:v>
                </c:pt>
                <c:pt idx="491">
                  <c:v>188.47544092118531</c:v>
                </c:pt>
                <c:pt idx="492">
                  <c:v>170.24247215354106</c:v>
                </c:pt>
                <c:pt idx="493">
                  <c:v>183.11549118375936</c:v>
                </c:pt>
                <c:pt idx="494">
                  <c:v>191.82431508879046</c:v>
                </c:pt>
                <c:pt idx="495">
                  <c:v>205.97478265735043</c:v>
                </c:pt>
                <c:pt idx="496">
                  <c:v>216.38279510174434</c:v>
                </c:pt>
                <c:pt idx="497">
                  <c:v>205.74574032684637</c:v>
                </c:pt>
                <c:pt idx="498">
                  <c:v>207.25872904890338</c:v>
                </c:pt>
                <c:pt idx="499">
                  <c:v>211.79105768332656</c:v>
                </c:pt>
                <c:pt idx="500">
                  <c:v>221.81719489246603</c:v>
                </c:pt>
                <c:pt idx="501">
                  <c:v>232.14777068808584</c:v>
                </c:pt>
                <c:pt idx="502">
                  <c:v>217.44826778576791</c:v>
                </c:pt>
                <c:pt idx="503">
                  <c:v>221.20881768643736</c:v>
                </c:pt>
                <c:pt idx="504">
                  <c:v>219.17053174124376</c:v>
                </c:pt>
                <c:pt idx="505">
                  <c:v>218.25386550611807</c:v>
                </c:pt>
                <c:pt idx="506">
                  <c:v>223.27761177096477</c:v>
                </c:pt>
                <c:pt idx="507">
                  <c:v>199.30162614564381</c:v>
                </c:pt>
                <c:pt idx="508">
                  <c:v>217.55444399699138</c:v>
                </c:pt>
                <c:pt idx="509">
                  <c:v>231.93437526331707</c:v>
                </c:pt>
                <c:pt idx="510">
                  <c:v>241.34690454039239</c:v>
                </c:pt>
                <c:pt idx="511">
                  <c:v>218.43325598732227</c:v>
                </c:pt>
                <c:pt idx="512">
                  <c:v>234.32016304153856</c:v>
                </c:pt>
                <c:pt idx="513">
                  <c:v>224.01545223856459</c:v>
                </c:pt>
                <c:pt idx="514">
                  <c:v>273.85752107403982</c:v>
                </c:pt>
                <c:pt idx="515">
                  <c:v>302.27099456295787</c:v>
                </c:pt>
                <c:pt idx="516">
                  <c:v>312.68335012202118</c:v>
                </c:pt>
                <c:pt idx="517">
                  <c:v>311.84137840034026</c:v>
                </c:pt>
                <c:pt idx="518">
                  <c:v>309.48926002415664</c:v>
                </c:pt>
                <c:pt idx="519">
                  <c:v>319.58824868252441</c:v>
                </c:pt>
                <c:pt idx="520">
                  <c:v>321.93839899518929</c:v>
                </c:pt>
                <c:pt idx="521">
                  <c:v>323.42615932809855</c:v>
                </c:pt>
                <c:pt idx="522">
                  <c:v>322.94174670803648</c:v>
                </c:pt>
                <c:pt idx="523">
                  <c:v>313.96242145443949</c:v>
                </c:pt>
                <c:pt idx="524">
                  <c:v>313.33574995453046</c:v>
                </c:pt>
                <c:pt idx="525">
                  <c:v>314.05808354668784</c:v>
                </c:pt>
                <c:pt idx="526">
                  <c:v>308.7779800871968</c:v>
                </c:pt>
                <c:pt idx="527">
                  <c:v>314.59804389933447</c:v>
                </c:pt>
                <c:pt idx="528">
                  <c:v>318.45130468603548</c:v>
                </c:pt>
                <c:pt idx="529">
                  <c:v>328.30031410931497</c:v>
                </c:pt>
                <c:pt idx="530">
                  <c:v>338.80321373510316</c:v>
                </c:pt>
                <c:pt idx="531">
                  <c:v>338.97270008514573</c:v>
                </c:pt>
                <c:pt idx="532">
                  <c:v>348.84501398080243</c:v>
                </c:pt>
                <c:pt idx="533">
                  <c:v>342.74416779406801</c:v>
                </c:pt>
                <c:pt idx="534">
                  <c:v>355.06492053669115</c:v>
                </c:pt>
                <c:pt idx="535">
                  <c:v>345.83122678162187</c:v>
                </c:pt>
                <c:pt idx="536">
                  <c:v>352.20615824587213</c:v>
                </c:pt>
                <c:pt idx="537">
                  <c:v>348.20183711900359</c:v>
                </c:pt>
                <c:pt idx="538">
                  <c:v>346.33164622936499</c:v>
                </c:pt>
                <c:pt idx="539">
                  <c:v>332.02151877036238</c:v>
                </c:pt>
                <c:pt idx="540">
                  <c:v>341.37519922924366</c:v>
                </c:pt>
                <c:pt idx="541">
                  <c:v>327.61535434668298</c:v>
                </c:pt>
                <c:pt idx="542">
                  <c:v>331.1587530038239</c:v>
                </c:pt>
                <c:pt idx="543">
                  <c:v>320.8591735334017</c:v>
                </c:pt>
                <c:pt idx="544">
                  <c:v>322.14776459176881</c:v>
                </c:pt>
                <c:pt idx="545">
                  <c:v>331.42774134955641</c:v>
                </c:pt>
                <c:pt idx="546">
                  <c:v>337.02231172417777</c:v>
                </c:pt>
                <c:pt idx="547">
                  <c:v>336.24893916410036</c:v>
                </c:pt>
                <c:pt idx="548">
                  <c:v>331.60644887978339</c:v>
                </c:pt>
                <c:pt idx="549">
                  <c:v>347.59585836455284</c:v>
                </c:pt>
                <c:pt idx="550">
                  <c:v>331.45404630929039</c:v>
                </c:pt>
                <c:pt idx="551">
                  <c:v>330.10063371107498</c:v>
                </c:pt>
                <c:pt idx="552">
                  <c:v>348.98047754633154</c:v>
                </c:pt>
                <c:pt idx="553">
                  <c:v>351.61760961847006</c:v>
                </c:pt>
                <c:pt idx="554">
                  <c:v>368.26310182076884</c:v>
                </c:pt>
                <c:pt idx="555">
                  <c:v>369.74207010117351</c:v>
                </c:pt>
                <c:pt idx="556">
                  <c:v>365.64682565385033</c:v>
                </c:pt>
                <c:pt idx="557">
                  <c:v>374.79174421263872</c:v>
                </c:pt>
                <c:pt idx="558">
                  <c:v>368.92582361712641</c:v>
                </c:pt>
                <c:pt idx="559">
                  <c:v>358.84235348421981</c:v>
                </c:pt>
                <c:pt idx="560">
                  <c:v>363.3478670354595</c:v>
                </c:pt>
                <c:pt idx="561">
                  <c:v>362.08058498800148</c:v>
                </c:pt>
                <c:pt idx="562">
                  <c:v>376.03134799875528</c:v>
                </c:pt>
                <c:pt idx="563">
                  <c:v>382.41772398937792</c:v>
                </c:pt>
                <c:pt idx="564">
                  <c:v>373.78332908745767</c:v>
                </c:pt>
                <c:pt idx="565">
                  <c:v>389.03343993282442</c:v>
                </c:pt>
                <c:pt idx="566">
                  <c:v>387.98587806205688</c:v>
                </c:pt>
                <c:pt idx="567">
                  <c:v>380.30374246427846</c:v>
                </c:pt>
                <c:pt idx="568">
                  <c:v>380.03771606303434</c:v>
                </c:pt>
                <c:pt idx="569">
                  <c:v>369.68649422474158</c:v>
                </c:pt>
                <c:pt idx="570">
                  <c:v>362.04729627337343</c:v>
                </c:pt>
                <c:pt idx="571">
                  <c:v>367.15069087655758</c:v>
                </c:pt>
                <c:pt idx="572">
                  <c:v>368.4772088283396</c:v>
                </c:pt>
                <c:pt idx="573">
                  <c:v>360.15756898479094</c:v>
                </c:pt>
                <c:pt idx="574">
                  <c:v>362.07657483139735</c:v>
                </c:pt>
                <c:pt idx="575">
                  <c:v>356.93668654514727</c:v>
                </c:pt>
                <c:pt idx="576">
                  <c:v>363.36830555344324</c:v>
                </c:pt>
                <c:pt idx="577">
                  <c:v>382.09075242212748</c:v>
                </c:pt>
                <c:pt idx="578">
                  <c:v>386.69239188556571</c:v>
                </c:pt>
                <c:pt idx="579">
                  <c:v>381.20306771053401</c:v>
                </c:pt>
                <c:pt idx="580">
                  <c:v>374.46273841899216</c:v>
                </c:pt>
                <c:pt idx="581">
                  <c:v>374.27560061868286</c:v>
                </c:pt>
                <c:pt idx="582">
                  <c:v>381.83595247774218</c:v>
                </c:pt>
                <c:pt idx="583">
                  <c:v>375.564033124562</c:v>
                </c:pt>
                <c:pt idx="584">
                  <c:v>382.7209142204851</c:v>
                </c:pt>
                <c:pt idx="585">
                  <c:v>377.58574804704529</c:v>
                </c:pt>
                <c:pt idx="586">
                  <c:v>379.33066912502039</c:v>
                </c:pt>
                <c:pt idx="587">
                  <c:v>375.12922184040781</c:v>
                </c:pt>
                <c:pt idx="588">
                  <c:v>375.05421099820819</c:v>
                </c:pt>
                <c:pt idx="589">
                  <c:v>372.18836062142321</c:v>
                </c:pt>
                <c:pt idx="590">
                  <c:v>369.78475968348062</c:v>
                </c:pt>
                <c:pt idx="591">
                  <c:v>361.93086002102439</c:v>
                </c:pt>
                <c:pt idx="592">
                  <c:v>359.66497070557926</c:v>
                </c:pt>
                <c:pt idx="593">
                  <c:v>353.96611623420853</c:v>
                </c:pt>
                <c:pt idx="594">
                  <c:v>357.75835479503593</c:v>
                </c:pt>
                <c:pt idx="595">
                  <c:v>345.52670928630084</c:v>
                </c:pt>
                <c:pt idx="596">
                  <c:v>349.47578566430752</c:v>
                </c:pt>
                <c:pt idx="597">
                  <c:v>345.57083522625084</c:v>
                </c:pt>
                <c:pt idx="598">
                  <c:v>361.51358429359851</c:v>
                </c:pt>
                <c:pt idx="599">
                  <c:v>362.60138845897546</c:v>
                </c:pt>
                <c:pt idx="600">
                  <c:v>358.23097061744267</c:v>
                </c:pt>
                <c:pt idx="601">
                  <c:v>360.79259806369492</c:v>
                </c:pt>
                <c:pt idx="602">
                  <c:v>354.27395725028958</c:v>
                </c:pt>
                <c:pt idx="603">
                  <c:v>356.34073350461637</c:v>
                </c:pt>
                <c:pt idx="604">
                  <c:v>356.41201590779792</c:v>
                </c:pt>
                <c:pt idx="605">
                  <c:v>351.17944221873876</c:v>
                </c:pt>
                <c:pt idx="606">
                  <c:v>353.33478440360074</c:v>
                </c:pt>
                <c:pt idx="607">
                  <c:v>351.47198289426115</c:v>
                </c:pt>
                <c:pt idx="608">
                  <c:v>355.52496752403516</c:v>
                </c:pt>
                <c:pt idx="609">
                  <c:v>351.2398414582446</c:v>
                </c:pt>
                <c:pt idx="610">
                  <c:v>347.96893348349965</c:v>
                </c:pt>
                <c:pt idx="611">
                  <c:v>349.015981427783</c:v>
                </c:pt>
                <c:pt idx="612">
                  <c:v>349.08579858750051</c:v>
                </c:pt>
                <c:pt idx="613">
                  <c:v>344.02857848378881</c:v>
                </c:pt>
                <c:pt idx="614">
                  <c:v>339.88201786582573</c:v>
                </c:pt>
                <c:pt idx="615">
                  <c:v>343.14186558892044</c:v>
                </c:pt>
                <c:pt idx="616">
                  <c:v>340.95972335942014</c:v>
                </c:pt>
                <c:pt idx="617">
                  <c:v>340.21125859052103</c:v>
                </c:pt>
                <c:pt idx="618">
                  <c:v>336.21035536171661</c:v>
                </c:pt>
                <c:pt idx="619">
                  <c:v>332.7826936174568</c:v>
                </c:pt>
                <c:pt idx="620">
                  <c:v>327.54202127702439</c:v>
                </c:pt>
                <c:pt idx="621">
                  <c:v>328.75842745862133</c:v>
                </c:pt>
                <c:pt idx="622">
                  <c:v>323.58112938840679</c:v>
                </c:pt>
                <c:pt idx="623">
                  <c:v>326.58571799395116</c:v>
                </c:pt>
                <c:pt idx="624">
                  <c:v>322.61752246759971</c:v>
                </c:pt>
                <c:pt idx="625">
                  <c:v>324.40173199356428</c:v>
                </c:pt>
                <c:pt idx="626">
                  <c:v>315.5351930683438</c:v>
                </c:pt>
                <c:pt idx="627">
                  <c:v>318.69022630880096</c:v>
                </c:pt>
                <c:pt idx="628">
                  <c:v>318.49912683270134</c:v>
                </c:pt>
                <c:pt idx="629">
                  <c:v>308.98246685361016</c:v>
                </c:pt>
                <c:pt idx="630">
                  <c:v>307.96617846467672</c:v>
                </c:pt>
                <c:pt idx="631">
                  <c:v>315.24841689495008</c:v>
                </c:pt>
                <c:pt idx="632">
                  <c:v>316.41916781586883</c:v>
                </c:pt>
                <c:pt idx="633">
                  <c:v>310.00212385212978</c:v>
                </c:pt>
                <c:pt idx="634">
                  <c:v>311.74791216022709</c:v>
                </c:pt>
                <c:pt idx="635">
                  <c:v>311.9350732041496</c:v>
                </c:pt>
                <c:pt idx="636">
                  <c:v>320.88784405323486</c:v>
                </c:pt>
                <c:pt idx="637">
                  <c:v>318.8789069395159</c:v>
                </c:pt>
                <c:pt idx="638">
                  <c:v>315.59670124655179</c:v>
                </c:pt>
                <c:pt idx="639">
                  <c:v>321.61082364878405</c:v>
                </c:pt>
                <c:pt idx="640">
                  <c:v>330.19591750388508</c:v>
                </c:pt>
                <c:pt idx="641">
                  <c:v>326.40956653211254</c:v>
                </c:pt>
                <c:pt idx="642">
                  <c:v>326.5728529585918</c:v>
                </c:pt>
                <c:pt idx="643">
                  <c:v>321.05077955032613</c:v>
                </c:pt>
                <c:pt idx="644">
                  <c:v>322.63167475663363</c:v>
                </c:pt>
                <c:pt idx="645">
                  <c:v>322.47043953686523</c:v>
                </c:pt>
                <c:pt idx="646">
                  <c:v>324.48222935889032</c:v>
                </c:pt>
                <c:pt idx="647">
                  <c:v>325.55656602677868</c:v>
                </c:pt>
                <c:pt idx="648">
                  <c:v>319.11053325502712</c:v>
                </c:pt>
                <c:pt idx="649">
                  <c:v>320.55302185336728</c:v>
                </c:pt>
                <c:pt idx="650">
                  <c:v>321.09888996631003</c:v>
                </c:pt>
                <c:pt idx="651">
                  <c:v>320.55394825427777</c:v>
                </c:pt>
                <c:pt idx="652">
                  <c:v>315.50585458098203</c:v>
                </c:pt>
                <c:pt idx="653">
                  <c:v>314.78185631146567</c:v>
                </c:pt>
                <c:pt idx="654">
                  <c:v>319.67285093070547</c:v>
                </c:pt>
                <c:pt idx="655">
                  <c:v>314.14391797435678</c:v>
                </c:pt>
                <c:pt idx="656">
                  <c:v>320.65317747714278</c:v>
                </c:pt>
                <c:pt idx="657">
                  <c:v>320.10899219041903</c:v>
                </c:pt>
                <c:pt idx="658">
                  <c:v>310.84578771646824</c:v>
                </c:pt>
                <c:pt idx="659">
                  <c:v>315.93229770959266</c:v>
                </c:pt>
                <c:pt idx="660">
                  <c:v>315.58515404014844</c:v>
                </c:pt>
                <c:pt idx="661">
                  <c:v>313.60941472736602</c:v>
                </c:pt>
                <c:pt idx="662">
                  <c:v>315.02703639112605</c:v>
                </c:pt>
                <c:pt idx="663">
                  <c:v>315.81657783571529</c:v>
                </c:pt>
                <c:pt idx="664">
                  <c:v>310.8430884209796</c:v>
                </c:pt>
                <c:pt idx="665">
                  <c:v>307.46101723143386</c:v>
                </c:pt>
                <c:pt idx="666">
                  <c:v>303.84525865345768</c:v>
                </c:pt>
                <c:pt idx="667">
                  <c:v>298.44343252475954</c:v>
                </c:pt>
                <c:pt idx="668">
                  <c:v>293.74353594956648</c:v>
                </c:pt>
                <c:pt idx="669">
                  <c:v>295.48690871096113</c:v>
                </c:pt>
                <c:pt idx="670">
                  <c:v>297.80982534868087</c:v>
                </c:pt>
                <c:pt idx="671">
                  <c:v>306.01091794973377</c:v>
                </c:pt>
                <c:pt idx="672">
                  <c:v>302.65148645013721</c:v>
                </c:pt>
                <c:pt idx="673">
                  <c:v>308.29325297966506</c:v>
                </c:pt>
                <c:pt idx="674">
                  <c:v>309.1899037003962</c:v>
                </c:pt>
                <c:pt idx="675">
                  <c:v>303.33552800980692</c:v>
                </c:pt>
                <c:pt idx="676">
                  <c:v>300.12419907965466</c:v>
                </c:pt>
                <c:pt idx="677">
                  <c:v>303.76943226685694</c:v>
                </c:pt>
                <c:pt idx="678">
                  <c:v>306.43542042455056</c:v>
                </c:pt>
                <c:pt idx="679">
                  <c:v>305.45795496865082</c:v>
                </c:pt>
                <c:pt idx="680">
                  <c:v>307.39454057426872</c:v>
                </c:pt>
                <c:pt idx="681">
                  <c:v>307.27163192150016</c:v>
                </c:pt>
                <c:pt idx="682">
                  <c:v>305.83421112919297</c:v>
                </c:pt>
                <c:pt idx="683">
                  <c:v>301.82000506187006</c:v>
                </c:pt>
                <c:pt idx="684">
                  <c:v>297.47684315185302</c:v>
                </c:pt>
                <c:pt idx="685">
                  <c:v>296.76460809243122</c:v>
                </c:pt>
                <c:pt idx="686">
                  <c:v>303.09938524403151</c:v>
                </c:pt>
                <c:pt idx="687">
                  <c:v>298.41428103183176</c:v>
                </c:pt>
                <c:pt idx="688">
                  <c:v>297.90783770772862</c:v>
                </c:pt>
                <c:pt idx="689">
                  <c:v>298.59460529991844</c:v>
                </c:pt>
                <c:pt idx="690">
                  <c:v>296.22480684515716</c:v>
                </c:pt>
                <c:pt idx="691">
                  <c:v>287.45735744314135</c:v>
                </c:pt>
                <c:pt idx="692">
                  <c:v>291.77563686879961</c:v>
                </c:pt>
                <c:pt idx="693">
                  <c:v>288.17346851239466</c:v>
                </c:pt>
                <c:pt idx="694">
                  <c:v>286.99678170739435</c:v>
                </c:pt>
                <c:pt idx="695">
                  <c:v>284.63431687731264</c:v>
                </c:pt>
                <c:pt idx="696">
                  <c:v>294.25650457697986</c:v>
                </c:pt>
                <c:pt idx="697">
                  <c:v>292.18201228972282</c:v>
                </c:pt>
                <c:pt idx="698">
                  <c:v>291.80266882025649</c:v>
                </c:pt>
                <c:pt idx="699">
                  <c:v>296.33661909236974</c:v>
                </c:pt>
                <c:pt idx="700">
                  <c:v>298.93737424833023</c:v>
                </c:pt>
                <c:pt idx="701">
                  <c:v>304.41687805328945</c:v>
                </c:pt>
                <c:pt idx="702">
                  <c:v>301.73146798819454</c:v>
                </c:pt>
                <c:pt idx="703">
                  <c:v>299.30708063505062</c:v>
                </c:pt>
                <c:pt idx="704">
                  <c:v>300.23781787044902</c:v>
                </c:pt>
                <c:pt idx="705">
                  <c:v>299.66844781959179</c:v>
                </c:pt>
                <c:pt idx="706">
                  <c:v>291.79011472209527</c:v>
                </c:pt>
                <c:pt idx="707">
                  <c:v>290.91736263419273</c:v>
                </c:pt>
                <c:pt idx="708">
                  <c:v>295.0779618969396</c:v>
                </c:pt>
                <c:pt idx="709">
                  <c:v>295.49165020722972</c:v>
                </c:pt>
                <c:pt idx="710">
                  <c:v>301.89175542217993</c:v>
                </c:pt>
                <c:pt idx="711">
                  <c:v>301.43959602813771</c:v>
                </c:pt>
                <c:pt idx="712">
                  <c:v>297.48307118142475</c:v>
                </c:pt>
                <c:pt idx="713">
                  <c:v>295.94416154140941</c:v>
                </c:pt>
                <c:pt idx="714">
                  <c:v>296.74537405134805</c:v>
                </c:pt>
                <c:pt idx="715">
                  <c:v>294.6240806705203</c:v>
                </c:pt>
                <c:pt idx="716">
                  <c:v>291.5626726081349</c:v>
                </c:pt>
                <c:pt idx="717">
                  <c:v>295.0143403907062</c:v>
                </c:pt>
                <c:pt idx="718">
                  <c:v>290.54002402078606</c:v>
                </c:pt>
                <c:pt idx="719">
                  <c:v>281.58560188097118</c:v>
                </c:pt>
                <c:pt idx="720">
                  <c:v>273.01299387334802</c:v>
                </c:pt>
                <c:pt idx="721">
                  <c:v>276.10537406285198</c:v>
                </c:pt>
                <c:pt idx="722">
                  <c:v>279.57206770236127</c:v>
                </c:pt>
                <c:pt idx="723">
                  <c:v>281.91193677761549</c:v>
                </c:pt>
                <c:pt idx="724">
                  <c:v>276.57405746847394</c:v>
                </c:pt>
                <c:pt idx="725">
                  <c:v>281.15691518600585</c:v>
                </c:pt>
                <c:pt idx="726">
                  <c:v>280.00887878299557</c:v>
                </c:pt>
                <c:pt idx="727">
                  <c:v>277.45628099781561</c:v>
                </c:pt>
                <c:pt idx="728">
                  <c:v>275.9935153663738</c:v>
                </c:pt>
                <c:pt idx="729">
                  <c:v>273.64020956412236</c:v>
                </c:pt>
                <c:pt idx="730">
                  <c:v>265.28377078441332</c:v>
                </c:pt>
                <c:pt idx="731">
                  <c:v>265.0717134136824</c:v>
                </c:pt>
                <c:pt idx="732">
                  <c:v>274.48660392842748</c:v>
                </c:pt>
                <c:pt idx="733">
                  <c:v>270.61678391839445</c:v>
                </c:pt>
                <c:pt idx="734">
                  <c:v>274.40355294909193</c:v>
                </c:pt>
                <c:pt idx="735">
                  <c:v>277.25932398614924</c:v>
                </c:pt>
                <c:pt idx="736">
                  <c:v>280.39980176592763</c:v>
                </c:pt>
                <c:pt idx="737">
                  <c:v>282.6610904898464</c:v>
                </c:pt>
                <c:pt idx="738">
                  <c:v>282.80249173571423</c:v>
                </c:pt>
                <c:pt idx="739">
                  <c:v>283.17061353330752</c:v>
                </c:pt>
                <c:pt idx="740">
                  <c:v>279.7023049519039</c:v>
                </c:pt>
                <c:pt idx="741">
                  <c:v>279.25549615805102</c:v>
                </c:pt>
                <c:pt idx="742">
                  <c:v>272.49755675063528</c:v>
                </c:pt>
                <c:pt idx="743">
                  <c:v>273.04364403871273</c:v>
                </c:pt>
                <c:pt idx="744">
                  <c:v>273.78285775465031</c:v>
                </c:pt>
                <c:pt idx="745">
                  <c:v>275.93515193978061</c:v>
                </c:pt>
                <c:pt idx="746">
                  <c:v>284.23480834340813</c:v>
                </c:pt>
                <c:pt idx="747">
                  <c:v>282.73630592202142</c:v>
                </c:pt>
                <c:pt idx="748">
                  <c:v>283.90029714029663</c:v>
                </c:pt>
                <c:pt idx="749">
                  <c:v>284.52625490107897</c:v>
                </c:pt>
                <c:pt idx="750">
                  <c:v>276.10505085014944</c:v>
                </c:pt>
                <c:pt idx="751">
                  <c:v>276.51983059604351</c:v>
                </c:pt>
                <c:pt idx="752">
                  <c:v>279.20015205577897</c:v>
                </c:pt>
                <c:pt idx="753">
                  <c:v>288.25124102393039</c:v>
                </c:pt>
                <c:pt idx="754">
                  <c:v>285.28428446548929</c:v>
                </c:pt>
                <c:pt idx="755">
                  <c:v>285.08472515787878</c:v>
                </c:pt>
                <c:pt idx="756">
                  <c:v>285.51299464985357</c:v>
                </c:pt>
                <c:pt idx="757">
                  <c:v>284.7441853494102</c:v>
                </c:pt>
                <c:pt idx="758">
                  <c:v>281.84122077542332</c:v>
                </c:pt>
                <c:pt idx="759">
                  <c:v>284.42952949381709</c:v>
                </c:pt>
                <c:pt idx="760">
                  <c:v>284.00352420750579</c:v>
                </c:pt>
                <c:pt idx="761">
                  <c:v>279.53102776329308</c:v>
                </c:pt>
                <c:pt idx="762">
                  <c:v>276.18913917922447</c:v>
                </c:pt>
                <c:pt idx="763">
                  <c:v>273.04907481880815</c:v>
                </c:pt>
                <c:pt idx="764">
                  <c:v>271.25876695689266</c:v>
                </c:pt>
                <c:pt idx="765">
                  <c:v>267.64555200482749</c:v>
                </c:pt>
                <c:pt idx="766">
                  <c:v>264.49802550136127</c:v>
                </c:pt>
                <c:pt idx="767">
                  <c:v>263.68061559302288</c:v>
                </c:pt>
                <c:pt idx="768">
                  <c:v>257.97927364545825</c:v>
                </c:pt>
                <c:pt idx="769">
                  <c:v>261.72189676925865</c:v>
                </c:pt>
                <c:pt idx="770">
                  <c:v>262.43045900858181</c:v>
                </c:pt>
                <c:pt idx="771">
                  <c:v>261.80213388725241</c:v>
                </c:pt>
                <c:pt idx="772">
                  <c:v>256.36715030087385</c:v>
                </c:pt>
                <c:pt idx="773">
                  <c:v>258.95671747563017</c:v>
                </c:pt>
                <c:pt idx="774">
                  <c:v>258.64634186539166</c:v>
                </c:pt>
                <c:pt idx="775">
                  <c:v>256.59359312042824</c:v>
                </c:pt>
                <c:pt idx="776">
                  <c:v>248.37246454402117</c:v>
                </c:pt>
                <c:pt idx="777">
                  <c:v>258.21027606198271</c:v>
                </c:pt>
                <c:pt idx="778">
                  <c:v>253.81920383562633</c:v>
                </c:pt>
                <c:pt idx="779">
                  <c:v>254.50637103742739</c:v>
                </c:pt>
                <c:pt idx="780">
                  <c:v>251.16586503249519</c:v>
                </c:pt>
                <c:pt idx="781">
                  <c:v>247.42967691113705</c:v>
                </c:pt>
                <c:pt idx="782">
                  <c:v>246.83726746921096</c:v>
                </c:pt>
                <c:pt idx="783">
                  <c:v>243.57338412197646</c:v>
                </c:pt>
                <c:pt idx="784">
                  <c:v>244.20832576897581</c:v>
                </c:pt>
                <c:pt idx="785">
                  <c:v>248.83668816891768</c:v>
                </c:pt>
                <c:pt idx="786">
                  <c:v>247.50018715826303</c:v>
                </c:pt>
                <c:pt idx="787">
                  <c:v>248.69391796449261</c:v>
                </c:pt>
                <c:pt idx="788">
                  <c:v>245.59936595347878</c:v>
                </c:pt>
                <c:pt idx="789">
                  <c:v>243.23993854954816</c:v>
                </c:pt>
                <c:pt idx="790">
                  <c:v>248.10275249851912</c:v>
                </c:pt>
                <c:pt idx="791">
                  <c:v>246.32918238534461</c:v>
                </c:pt>
                <c:pt idx="792">
                  <c:v>246.10768546842306</c:v>
                </c:pt>
                <c:pt idx="793">
                  <c:v>240.08163639491082</c:v>
                </c:pt>
                <c:pt idx="794">
                  <c:v>232.52458730741969</c:v>
                </c:pt>
                <c:pt idx="795">
                  <c:v>235.2773320929067</c:v>
                </c:pt>
                <c:pt idx="796">
                  <c:v>232.55642195602124</c:v>
                </c:pt>
                <c:pt idx="797">
                  <c:v>231.72222195697611</c:v>
                </c:pt>
                <c:pt idx="798">
                  <c:v>223.9294761857133</c:v>
                </c:pt>
                <c:pt idx="799">
                  <c:v>222.61604154062363</c:v>
                </c:pt>
                <c:pt idx="800">
                  <c:v>216.32109760045054</c:v>
                </c:pt>
                <c:pt idx="801">
                  <c:v>218.94847935268274</c:v>
                </c:pt>
                <c:pt idx="802">
                  <c:v>215.11935483659141</c:v>
                </c:pt>
                <c:pt idx="803">
                  <c:v>223.15285771430646</c:v>
                </c:pt>
                <c:pt idx="804">
                  <c:v>207.58405368772696</c:v>
                </c:pt>
                <c:pt idx="805">
                  <c:v>206.48965849768919</c:v>
                </c:pt>
                <c:pt idx="806">
                  <c:v>209.54907499258087</c:v>
                </c:pt>
                <c:pt idx="807">
                  <c:v>211.30288897104049</c:v>
                </c:pt>
                <c:pt idx="808">
                  <c:v>207.99575644358745</c:v>
                </c:pt>
                <c:pt idx="809">
                  <c:v>206.69358684645479</c:v>
                </c:pt>
                <c:pt idx="810">
                  <c:v>213.17407884329083</c:v>
                </c:pt>
                <c:pt idx="811">
                  <c:v>214.59037532040551</c:v>
                </c:pt>
                <c:pt idx="812">
                  <c:v>224.65491553643793</c:v>
                </c:pt>
                <c:pt idx="813">
                  <c:v>231.07890921254673</c:v>
                </c:pt>
                <c:pt idx="814">
                  <c:v>226.34823118086663</c:v>
                </c:pt>
                <c:pt idx="815">
                  <c:v>218.08288966265212</c:v>
                </c:pt>
                <c:pt idx="816">
                  <c:v>223.14835737506613</c:v>
                </c:pt>
                <c:pt idx="817">
                  <c:v>221.57517364220644</c:v>
                </c:pt>
                <c:pt idx="818">
                  <c:v>227.23328237330165</c:v>
                </c:pt>
                <c:pt idx="819">
                  <c:v>233.22722197813985</c:v>
                </c:pt>
                <c:pt idx="820">
                  <c:v>231.79012321421175</c:v>
                </c:pt>
                <c:pt idx="821">
                  <c:v>226.62311616563528</c:v>
                </c:pt>
                <c:pt idx="822">
                  <c:v>222.85683564326413</c:v>
                </c:pt>
                <c:pt idx="823">
                  <c:v>224.40523174228591</c:v>
                </c:pt>
                <c:pt idx="824">
                  <c:v>223.57799316756589</c:v>
                </c:pt>
                <c:pt idx="825">
                  <c:v>220.27388489415361</c:v>
                </c:pt>
                <c:pt idx="826">
                  <c:v>208.06072059521452</c:v>
                </c:pt>
                <c:pt idx="827">
                  <c:v>199.40647938970145</c:v>
                </c:pt>
                <c:pt idx="828">
                  <c:v>206.08358762887707</c:v>
                </c:pt>
                <c:pt idx="829">
                  <c:v>210.56870095931038</c:v>
                </c:pt>
                <c:pt idx="830">
                  <c:v>221.62793491138868</c:v>
                </c:pt>
                <c:pt idx="831">
                  <c:v>222.65213473115199</c:v>
                </c:pt>
                <c:pt idx="832">
                  <c:v>228.17394418031563</c:v>
                </c:pt>
                <c:pt idx="833">
                  <c:v>234.33700747695966</c:v>
                </c:pt>
                <c:pt idx="834">
                  <c:v>231.32972110262554</c:v>
                </c:pt>
                <c:pt idx="835">
                  <c:v>226.30573381199915</c:v>
                </c:pt>
                <c:pt idx="836">
                  <c:v>215.2422805896891</c:v>
                </c:pt>
                <c:pt idx="837">
                  <c:v>212.39617188641117</c:v>
                </c:pt>
                <c:pt idx="838">
                  <c:v>211.12939551333119</c:v>
                </c:pt>
                <c:pt idx="839">
                  <c:v>229.46353169582781</c:v>
                </c:pt>
                <c:pt idx="840">
                  <c:v>246.31121908096588</c:v>
                </c:pt>
                <c:pt idx="841">
                  <c:v>246.50842582162318</c:v>
                </c:pt>
                <c:pt idx="842">
                  <c:v>246.33599062818348</c:v>
                </c:pt>
                <c:pt idx="843">
                  <c:v>250.85131428531923</c:v>
                </c:pt>
                <c:pt idx="844">
                  <c:v>255.89239445610451</c:v>
                </c:pt>
                <c:pt idx="845">
                  <c:v>265.7517857057893</c:v>
                </c:pt>
                <c:pt idx="846">
                  <c:v>269.90837467579655</c:v>
                </c:pt>
                <c:pt idx="847">
                  <c:v>275.58543462915719</c:v>
                </c:pt>
                <c:pt idx="848">
                  <c:v>262.73756757475184</c:v>
                </c:pt>
                <c:pt idx="849">
                  <c:v>267.33574234305235</c:v>
                </c:pt>
                <c:pt idx="850">
                  <c:v>268.05950300115546</c:v>
                </c:pt>
                <c:pt idx="851">
                  <c:v>280.22109868404294</c:v>
                </c:pt>
                <c:pt idx="852">
                  <c:v>276.70692079000986</c:v>
                </c:pt>
                <c:pt idx="853">
                  <c:v>279.61491591553136</c:v>
                </c:pt>
                <c:pt idx="854">
                  <c:v>285.75872858000139</c:v>
                </c:pt>
                <c:pt idx="855">
                  <c:v>286.07340933026467</c:v>
                </c:pt>
                <c:pt idx="856">
                  <c:v>290.42985718808598</c:v>
                </c:pt>
                <c:pt idx="857">
                  <c:v>289.96591172931903</c:v>
                </c:pt>
                <c:pt idx="858">
                  <c:v>281.87606856160107</c:v>
                </c:pt>
                <c:pt idx="859">
                  <c:v>271.42616134963993</c:v>
                </c:pt>
                <c:pt idx="860">
                  <c:v>275.0011766460384</c:v>
                </c:pt>
                <c:pt idx="861">
                  <c:v>273.00821666438833</c:v>
                </c:pt>
                <c:pt idx="862">
                  <c:v>279.49244130260882</c:v>
                </c:pt>
                <c:pt idx="863">
                  <c:v>282.25857534095013</c:v>
                </c:pt>
                <c:pt idx="864">
                  <c:v>280.82636090035828</c:v>
                </c:pt>
                <c:pt idx="865">
                  <c:v>285.3056597585678</c:v>
                </c:pt>
                <c:pt idx="866">
                  <c:v>292.02216966076543</c:v>
                </c:pt>
                <c:pt idx="867">
                  <c:v>289.1594907028076</c:v>
                </c:pt>
                <c:pt idx="868">
                  <c:v>285.13903037452678</c:v>
                </c:pt>
                <c:pt idx="869">
                  <c:v>279.71260582158794</c:v>
                </c:pt>
                <c:pt idx="870">
                  <c:v>288.48247300081266</c:v>
                </c:pt>
                <c:pt idx="871">
                  <c:v>283.77186012277463</c:v>
                </c:pt>
                <c:pt idx="872">
                  <c:v>286.49354883672351</c:v>
                </c:pt>
                <c:pt idx="873">
                  <c:v>283.57274951670149</c:v>
                </c:pt>
                <c:pt idx="874">
                  <c:v>278.99719551033206</c:v>
                </c:pt>
                <c:pt idx="875">
                  <c:v>270.73963659420872</c:v>
                </c:pt>
                <c:pt idx="876">
                  <c:v>275.08599532026898</c:v>
                </c:pt>
                <c:pt idx="877">
                  <c:v>267.33332878548981</c:v>
                </c:pt>
                <c:pt idx="878">
                  <c:v>271.84597191935103</c:v>
                </c:pt>
                <c:pt idx="879">
                  <c:v>266.80338788826288</c:v>
                </c:pt>
                <c:pt idx="880">
                  <c:v>259.23376203678868</c:v>
                </c:pt>
                <c:pt idx="881">
                  <c:v>240.52121176172633</c:v>
                </c:pt>
                <c:pt idx="882">
                  <c:v>272.08281873498453</c:v>
                </c:pt>
                <c:pt idx="883">
                  <c:v>270.4062996769872</c:v>
                </c:pt>
                <c:pt idx="884">
                  <c:v>282.32021265085319</c:v>
                </c:pt>
                <c:pt idx="885">
                  <c:v>295.09795406172594</c:v>
                </c:pt>
                <c:pt idx="886">
                  <c:v>289.36845858180618</c:v>
                </c:pt>
                <c:pt idx="887">
                  <c:v>296.39297201864815</c:v>
                </c:pt>
                <c:pt idx="888">
                  <c:v>302.41094992209793</c:v>
                </c:pt>
                <c:pt idx="889">
                  <c:v>300.27896924049043</c:v>
                </c:pt>
                <c:pt idx="890">
                  <c:v>301.54546017321792</c:v>
                </c:pt>
                <c:pt idx="891">
                  <c:v>302.75648611768867</c:v>
                </c:pt>
                <c:pt idx="892">
                  <c:v>296.50032917215623</c:v>
                </c:pt>
                <c:pt idx="893">
                  <c:v>304.91601107790643</c:v>
                </c:pt>
                <c:pt idx="894">
                  <c:v>305.16013918925785</c:v>
                </c:pt>
                <c:pt idx="895">
                  <c:v>302.40822434769382</c:v>
                </c:pt>
                <c:pt idx="896">
                  <c:v>315.00856702884772</c:v>
                </c:pt>
                <c:pt idx="897">
                  <c:v>313.94116706084083</c:v>
                </c:pt>
                <c:pt idx="898">
                  <c:v>318.23737157713208</c:v>
                </c:pt>
                <c:pt idx="899">
                  <c:v>321.74438537774955</c:v>
                </c:pt>
                <c:pt idx="900">
                  <c:v>310.2047680078573</c:v>
                </c:pt>
                <c:pt idx="901">
                  <c:v>315.40901678480657</c:v>
                </c:pt>
                <c:pt idx="902">
                  <c:v>312.03899563198121</c:v>
                </c:pt>
                <c:pt idx="903">
                  <c:v>309.53178814798252</c:v>
                </c:pt>
                <c:pt idx="904">
                  <c:v>294.70797690943778</c:v>
                </c:pt>
                <c:pt idx="905">
                  <c:v>280.99540132478813</c:v>
                </c:pt>
                <c:pt idx="906">
                  <c:v>288.94128670929371</c:v>
                </c:pt>
                <c:pt idx="907">
                  <c:v>283.83230521541623</c:v>
                </c:pt>
                <c:pt idx="908">
                  <c:v>286.4967247556437</c:v>
                </c:pt>
                <c:pt idx="909">
                  <c:v>307.13628297131618</c:v>
                </c:pt>
                <c:pt idx="910">
                  <c:v>307.32067537654211</c:v>
                </c:pt>
                <c:pt idx="911">
                  <c:v>310.23690225776511</c:v>
                </c:pt>
                <c:pt idx="912">
                  <c:v>324.1087570599301</c:v>
                </c:pt>
                <c:pt idx="913">
                  <c:v>327.41565517722</c:v>
                </c:pt>
                <c:pt idx="914">
                  <c:v>336.05219663062712</c:v>
                </c:pt>
                <c:pt idx="915">
                  <c:v>337.40180384601115</c:v>
                </c:pt>
                <c:pt idx="916">
                  <c:v>334.32600460365745</c:v>
                </c:pt>
                <c:pt idx="917">
                  <c:v>328.35003398512811</c:v>
                </c:pt>
                <c:pt idx="918">
                  <c:v>323.30645331343845</c:v>
                </c:pt>
                <c:pt idx="919">
                  <c:v>328.76393462826769</c:v>
                </c:pt>
                <c:pt idx="920">
                  <c:v>325.1868789597109</c:v>
                </c:pt>
                <c:pt idx="921">
                  <c:v>326.72247459028523</c:v>
                </c:pt>
                <c:pt idx="922">
                  <c:v>341.0820279677265</c:v>
                </c:pt>
                <c:pt idx="923">
                  <c:v>327.4597042700907</c:v>
                </c:pt>
                <c:pt idx="924">
                  <c:v>334.07437693337147</c:v>
                </c:pt>
                <c:pt idx="925">
                  <c:v>340.54472674145921</c:v>
                </c:pt>
                <c:pt idx="926">
                  <c:v>340.10259337007807</c:v>
                </c:pt>
                <c:pt idx="927">
                  <c:v>355.23563126183211</c:v>
                </c:pt>
                <c:pt idx="928">
                  <c:v>343.52154652531874</c:v>
                </c:pt>
                <c:pt idx="929">
                  <c:v>347.8346967652073</c:v>
                </c:pt>
                <c:pt idx="930">
                  <c:v>342.15492501004064</c:v>
                </c:pt>
                <c:pt idx="931">
                  <c:v>350.82018354356671</c:v>
                </c:pt>
                <c:pt idx="932">
                  <c:v>357.68778909417489</c:v>
                </c:pt>
                <c:pt idx="933">
                  <c:v>360.7178187718585</c:v>
                </c:pt>
                <c:pt idx="934">
                  <c:v>364.98818048351563</c:v>
                </c:pt>
                <c:pt idx="935">
                  <c:v>372.13313670831531</c:v>
                </c:pt>
                <c:pt idx="936">
                  <c:v>378.68437642038799</c:v>
                </c:pt>
                <c:pt idx="937">
                  <c:v>375.12072949023076</c:v>
                </c:pt>
                <c:pt idx="938">
                  <c:v>371.44343943977697</c:v>
                </c:pt>
                <c:pt idx="939">
                  <c:v>366.49574685720467</c:v>
                </c:pt>
                <c:pt idx="940">
                  <c:v>364.27367742491271</c:v>
                </c:pt>
                <c:pt idx="941">
                  <c:v>353.56078562060827</c:v>
                </c:pt>
                <c:pt idx="942">
                  <c:v>368.56122758324636</c:v>
                </c:pt>
                <c:pt idx="943">
                  <c:v>375.96779310746342</c:v>
                </c:pt>
                <c:pt idx="944">
                  <c:v>368.23486102591914</c:v>
                </c:pt>
                <c:pt idx="945">
                  <c:v>362.18634899765829</c:v>
                </c:pt>
                <c:pt idx="946">
                  <c:v>358.92017540150454</c:v>
                </c:pt>
                <c:pt idx="947">
                  <c:v>364.64510352687654</c:v>
                </c:pt>
                <c:pt idx="948">
                  <c:v>362.75875798535264</c:v>
                </c:pt>
                <c:pt idx="949">
                  <c:v>367.79758489846159</c:v>
                </c:pt>
                <c:pt idx="950">
                  <c:v>343.094762032147</c:v>
                </c:pt>
                <c:pt idx="951">
                  <c:v>350.31117217903511</c:v>
                </c:pt>
                <c:pt idx="952">
                  <c:v>353.81393008689537</c:v>
                </c:pt>
                <c:pt idx="953">
                  <c:v>356.70322621927147</c:v>
                </c:pt>
                <c:pt idx="954">
                  <c:v>361.62127556698243</c:v>
                </c:pt>
                <c:pt idx="955">
                  <c:v>357.15681537479747</c:v>
                </c:pt>
                <c:pt idx="956">
                  <c:v>337.73694125276353</c:v>
                </c:pt>
                <c:pt idx="957">
                  <c:v>377.52843869077071</c:v>
                </c:pt>
                <c:pt idx="958">
                  <c:v>373.08868335880095</c:v>
                </c:pt>
                <c:pt idx="959">
                  <c:v>380.27589782774533</c:v>
                </c:pt>
                <c:pt idx="960">
                  <c:v>364.59817624903678</c:v>
                </c:pt>
                <c:pt idx="961">
                  <c:v>347.3355970744372</c:v>
                </c:pt>
                <c:pt idx="962">
                  <c:v>350.84403744892649</c:v>
                </c:pt>
                <c:pt idx="963">
                  <c:v>331.95575498999574</c:v>
                </c:pt>
                <c:pt idx="964">
                  <c:v>335.13958100958678</c:v>
                </c:pt>
                <c:pt idx="965">
                  <c:v>345.36230524483386</c:v>
                </c:pt>
                <c:pt idx="966">
                  <c:v>354.65424650321819</c:v>
                </c:pt>
                <c:pt idx="967">
                  <c:v>338.66906656151474</c:v>
                </c:pt>
                <c:pt idx="968">
                  <c:v>358.87365323886274</c:v>
                </c:pt>
                <c:pt idx="969">
                  <c:v>364.78314010862243</c:v>
                </c:pt>
                <c:pt idx="970">
                  <c:v>358.89722560864072</c:v>
                </c:pt>
                <c:pt idx="971">
                  <c:v>365.8110545394361</c:v>
                </c:pt>
                <c:pt idx="972">
                  <c:v>363.08789532450231</c:v>
                </c:pt>
                <c:pt idx="973">
                  <c:v>353.78339211195782</c:v>
                </c:pt>
                <c:pt idx="974">
                  <c:v>352.79556453127032</c:v>
                </c:pt>
                <c:pt idx="975">
                  <c:v>356.82771774175211</c:v>
                </c:pt>
                <c:pt idx="976">
                  <c:v>352.66625592187398</c:v>
                </c:pt>
                <c:pt idx="977">
                  <c:v>354.01149962043161</c:v>
                </c:pt>
                <c:pt idx="978">
                  <c:v>347.54712313020974</c:v>
                </c:pt>
                <c:pt idx="979">
                  <c:v>341.10032695083891</c:v>
                </c:pt>
                <c:pt idx="980">
                  <c:v>339.26827824829809</c:v>
                </c:pt>
                <c:pt idx="981">
                  <c:v>324.00752387384023</c:v>
                </c:pt>
                <c:pt idx="982">
                  <c:v>310.5007416136466</c:v>
                </c:pt>
                <c:pt idx="983">
                  <c:v>332.5487218738852</c:v>
                </c:pt>
                <c:pt idx="984">
                  <c:v>319.29786065663484</c:v>
                </c:pt>
                <c:pt idx="985">
                  <c:v>317.93075839553404</c:v>
                </c:pt>
                <c:pt idx="986">
                  <c:v>332.38971081603142</c:v>
                </c:pt>
                <c:pt idx="987">
                  <c:v>336.42683280974842</c:v>
                </c:pt>
                <c:pt idx="988">
                  <c:v>337.81186144165923</c:v>
                </c:pt>
                <c:pt idx="989">
                  <c:v>335.56358541934964</c:v>
                </c:pt>
                <c:pt idx="990">
                  <c:v>332.66936197020885</c:v>
                </c:pt>
                <c:pt idx="991">
                  <c:v>330.45531138393648</c:v>
                </c:pt>
                <c:pt idx="992">
                  <c:v>323.62678619521745</c:v>
                </c:pt>
                <c:pt idx="993">
                  <c:v>330.70384855427903</c:v>
                </c:pt>
                <c:pt idx="994">
                  <c:v>337.72860350722942</c:v>
                </c:pt>
                <c:pt idx="995">
                  <c:v>353.12484682897264</c:v>
                </c:pt>
                <c:pt idx="996">
                  <c:v>349.28273672499768</c:v>
                </c:pt>
                <c:pt idx="997">
                  <c:v>346.27018610587658</c:v>
                </c:pt>
                <c:pt idx="998">
                  <c:v>327.38034046126177</c:v>
                </c:pt>
                <c:pt idx="999">
                  <c:v>334.2320984801039</c:v>
                </c:pt>
                <c:pt idx="1000">
                  <c:v>321.99624131031203</c:v>
                </c:pt>
                <c:pt idx="1001">
                  <c:v>330.48982993976398</c:v>
                </c:pt>
                <c:pt idx="1002">
                  <c:v>324.04140596113734</c:v>
                </c:pt>
                <c:pt idx="1003">
                  <c:v>331.12753521473263</c:v>
                </c:pt>
                <c:pt idx="1004">
                  <c:v>332.99229205021385</c:v>
                </c:pt>
                <c:pt idx="1005">
                  <c:v>334.80021320150195</c:v>
                </c:pt>
                <c:pt idx="1006">
                  <c:v>332.34089061098069</c:v>
                </c:pt>
                <c:pt idx="1007">
                  <c:v>337.74480753148447</c:v>
                </c:pt>
                <c:pt idx="1008">
                  <c:v>328.32196707639201</c:v>
                </c:pt>
                <c:pt idx="1009">
                  <c:v>335.63889498711103</c:v>
                </c:pt>
                <c:pt idx="1010">
                  <c:v>322.0484503810315</c:v>
                </c:pt>
                <c:pt idx="1011">
                  <c:v>319.33411044227222</c:v>
                </c:pt>
                <c:pt idx="1012">
                  <c:v>323.44182157629115</c:v>
                </c:pt>
                <c:pt idx="1013">
                  <c:v>322.28160778825344</c:v>
                </c:pt>
                <c:pt idx="1014">
                  <c:v>317.51882540714627</c:v>
                </c:pt>
                <c:pt idx="1015">
                  <c:v>308.27070427878277</c:v>
                </c:pt>
                <c:pt idx="1016">
                  <c:v>308.48664493023392</c:v>
                </c:pt>
                <c:pt idx="1017">
                  <c:v>306.22061239848512</c:v>
                </c:pt>
                <c:pt idx="1018">
                  <c:v>308.53462206396483</c:v>
                </c:pt>
                <c:pt idx="1019">
                  <c:v>318.53667361549128</c:v>
                </c:pt>
                <c:pt idx="1020">
                  <c:v>304.9949000531322</c:v>
                </c:pt>
                <c:pt idx="1021">
                  <c:v>309.48239477740458</c:v>
                </c:pt>
                <c:pt idx="1022">
                  <c:v>317.41784079733804</c:v>
                </c:pt>
                <c:pt idx="1023">
                  <c:v>306.00389549536106</c:v>
                </c:pt>
                <c:pt idx="1024">
                  <c:v>305.27124450854058</c:v>
                </c:pt>
                <c:pt idx="1025">
                  <c:v>295.74815395130844</c:v>
                </c:pt>
                <c:pt idx="1026">
                  <c:v>290.37619435572748</c:v>
                </c:pt>
                <c:pt idx="1027">
                  <c:v>292.92463871252647</c:v>
                </c:pt>
                <c:pt idx="1028">
                  <c:v>296.81288753929118</c:v>
                </c:pt>
                <c:pt idx="1029">
                  <c:v>289.6583268657082</c:v>
                </c:pt>
                <c:pt idx="1030">
                  <c:v>280.24218930505822</c:v>
                </c:pt>
                <c:pt idx="1031">
                  <c:v>284.04843837934141</c:v>
                </c:pt>
                <c:pt idx="1032">
                  <c:v>273.51799555064173</c:v>
                </c:pt>
                <c:pt idx="1033">
                  <c:v>266.53478420448425</c:v>
                </c:pt>
                <c:pt idx="1034">
                  <c:v>262.98449354167167</c:v>
                </c:pt>
                <c:pt idx="1035">
                  <c:v>245.04704951702541</c:v>
                </c:pt>
                <c:pt idx="1036">
                  <c:v>249.58957987067163</c:v>
                </c:pt>
                <c:pt idx="1037">
                  <c:v>260.07041770414884</c:v>
                </c:pt>
                <c:pt idx="1038">
                  <c:v>253.92542248012973</c:v>
                </c:pt>
                <c:pt idx="1039">
                  <c:v>251.18747895947152</c:v>
                </c:pt>
                <c:pt idx="1040">
                  <c:v>242.43555540919942</c:v>
                </c:pt>
                <c:pt idx="1041">
                  <c:v>255.6797673583626</c:v>
                </c:pt>
                <c:pt idx="1042">
                  <c:v>269.13659721932908</c:v>
                </c:pt>
                <c:pt idx="1043">
                  <c:v>264.53371065395032</c:v>
                </c:pt>
                <c:pt idx="1044">
                  <c:v>271.17756089589989</c:v>
                </c:pt>
                <c:pt idx="1045">
                  <c:v>278.96056053482141</c:v>
                </c:pt>
                <c:pt idx="1046">
                  <c:v>283.95822530010321</c:v>
                </c:pt>
                <c:pt idx="1047">
                  <c:v>295.38981098523163</c:v>
                </c:pt>
                <c:pt idx="1048">
                  <c:v>289.79673401867126</c:v>
                </c:pt>
                <c:pt idx="1049">
                  <c:v>285.34534661153134</c:v>
                </c:pt>
                <c:pt idx="1050">
                  <c:v>282.04541525307042</c:v>
                </c:pt>
                <c:pt idx="1051">
                  <c:v>273.9368835014281</c:v>
                </c:pt>
                <c:pt idx="1052">
                  <c:v>273.49928464599452</c:v>
                </c:pt>
                <c:pt idx="1053">
                  <c:v>277.24205235275673</c:v>
                </c:pt>
                <c:pt idx="1054">
                  <c:v>271.5131254066759</c:v>
                </c:pt>
                <c:pt idx="1055">
                  <c:v>276.4055028063483</c:v>
                </c:pt>
                <c:pt idx="1056">
                  <c:v>275.96396046959694</c:v>
                </c:pt>
                <c:pt idx="1057">
                  <c:v>275.826047445874</c:v>
                </c:pt>
                <c:pt idx="1058">
                  <c:v>279.03494936355486</c:v>
                </c:pt>
                <c:pt idx="1059">
                  <c:v>275.78073667083896</c:v>
                </c:pt>
                <c:pt idx="1060">
                  <c:v>279.46973720190408</c:v>
                </c:pt>
                <c:pt idx="1061">
                  <c:v>276.48371310041955</c:v>
                </c:pt>
                <c:pt idx="1062">
                  <c:v>279.47408581867944</c:v>
                </c:pt>
                <c:pt idx="1063">
                  <c:v>272.68424804242312</c:v>
                </c:pt>
                <c:pt idx="1064">
                  <c:v>273.6145374698205</c:v>
                </c:pt>
                <c:pt idx="1065">
                  <c:v>266.00674457497621</c:v>
                </c:pt>
                <c:pt idx="1066">
                  <c:v>262.80057752912091</c:v>
                </c:pt>
                <c:pt idx="1067">
                  <c:v>261.2072135266086</c:v>
                </c:pt>
                <c:pt idx="1068">
                  <c:v>257.44846592411653</c:v>
                </c:pt>
                <c:pt idx="1069">
                  <c:v>253.94403819699795</c:v>
                </c:pt>
                <c:pt idx="1070">
                  <c:v>252.05363592754136</c:v>
                </c:pt>
                <c:pt idx="1071">
                  <c:v>244.04883416686812</c:v>
                </c:pt>
                <c:pt idx="1072">
                  <c:v>238.39878300954197</c:v>
                </c:pt>
                <c:pt idx="1073">
                  <c:v>239.38024200174914</c:v>
                </c:pt>
                <c:pt idx="1074">
                  <c:v>230.95054703497263</c:v>
                </c:pt>
                <c:pt idx="1075">
                  <c:v>242.7481049348041</c:v>
                </c:pt>
                <c:pt idx="1076">
                  <c:v>233.14262863504047</c:v>
                </c:pt>
                <c:pt idx="1077">
                  <c:v>235.71188821660144</c:v>
                </c:pt>
                <c:pt idx="1078">
                  <c:v>237.34960045977388</c:v>
                </c:pt>
                <c:pt idx="1079">
                  <c:v>244.91755284261055</c:v>
                </c:pt>
                <c:pt idx="1080">
                  <c:v>237.85330954900508</c:v>
                </c:pt>
                <c:pt idx="1081">
                  <c:v>239.77148140020674</c:v>
                </c:pt>
                <c:pt idx="1082">
                  <c:v>231.12731964546629</c:v>
                </c:pt>
                <c:pt idx="1083">
                  <c:v>230.919492102574</c:v>
                </c:pt>
                <c:pt idx="1084">
                  <c:v>227.70879805006803</c:v>
                </c:pt>
                <c:pt idx="1085">
                  <c:v>234.43714408531659</c:v>
                </c:pt>
                <c:pt idx="1086">
                  <c:v>235.07183804804632</c:v>
                </c:pt>
                <c:pt idx="1087">
                  <c:v>240.75362356416051</c:v>
                </c:pt>
                <c:pt idx="1088">
                  <c:v>240.27307740934182</c:v>
                </c:pt>
                <c:pt idx="1089">
                  <c:v>235.3311238093456</c:v>
                </c:pt>
                <c:pt idx="1090">
                  <c:v>236.65639964737088</c:v>
                </c:pt>
                <c:pt idx="1091">
                  <c:v>230.03149265879753</c:v>
                </c:pt>
                <c:pt idx="1092">
                  <c:v>231.30366280422072</c:v>
                </c:pt>
                <c:pt idx="1093">
                  <c:v>223.93616304019821</c:v>
                </c:pt>
                <c:pt idx="1094">
                  <c:v>229.93753264215854</c:v>
                </c:pt>
                <c:pt idx="1095">
                  <c:v>224.28553710706063</c:v>
                </c:pt>
                <c:pt idx="1096">
                  <c:v>232.44433320246725</c:v>
                </c:pt>
                <c:pt idx="1097">
                  <c:v>235.8404354732825</c:v>
                </c:pt>
                <c:pt idx="1098">
                  <c:v>233.75997172493064</c:v>
                </c:pt>
                <c:pt idx="1099">
                  <c:v>227.90286801689638</c:v>
                </c:pt>
                <c:pt idx="1100">
                  <c:v>228.24523587070243</c:v>
                </c:pt>
                <c:pt idx="1101">
                  <c:v>228.31372998969934</c:v>
                </c:pt>
                <c:pt idx="1102">
                  <c:v>220.93451711795947</c:v>
                </c:pt>
                <c:pt idx="1103">
                  <c:v>223.77647839355765</c:v>
                </c:pt>
                <c:pt idx="1104">
                  <c:v>222.41971811306794</c:v>
                </c:pt>
                <c:pt idx="1105">
                  <c:v>213.63914908564783</c:v>
                </c:pt>
                <c:pt idx="1106">
                  <c:v>211.21023142426873</c:v>
                </c:pt>
                <c:pt idx="1107">
                  <c:v>210.89389058838614</c:v>
                </c:pt>
                <c:pt idx="1108">
                  <c:v>206.5966796516322</c:v>
                </c:pt>
                <c:pt idx="1109">
                  <c:v>205.36449269545943</c:v>
                </c:pt>
                <c:pt idx="1110">
                  <c:v>202.4292683050364</c:v>
                </c:pt>
                <c:pt idx="1111">
                  <c:v>190.57547383264583</c:v>
                </c:pt>
                <c:pt idx="1112">
                  <c:v>190.82354444041837</c:v>
                </c:pt>
                <c:pt idx="1113">
                  <c:v>183.67845263299489</c:v>
                </c:pt>
                <c:pt idx="1114">
                  <c:v>188.7172019243757</c:v>
                </c:pt>
                <c:pt idx="1115">
                  <c:v>192.6865447461463</c:v>
                </c:pt>
                <c:pt idx="1116">
                  <c:v>195.22446276205298</c:v>
                </c:pt>
                <c:pt idx="1117">
                  <c:v>197.47568557763805</c:v>
                </c:pt>
                <c:pt idx="1118">
                  <c:v>200.42188732126058</c:v>
                </c:pt>
                <c:pt idx="1119">
                  <c:v>196.89742344165495</c:v>
                </c:pt>
                <c:pt idx="1120">
                  <c:v>199.63238714554899</c:v>
                </c:pt>
                <c:pt idx="1121">
                  <c:v>201.30320373656247</c:v>
                </c:pt>
                <c:pt idx="1122">
                  <c:v>196.58515989898677</c:v>
                </c:pt>
                <c:pt idx="1123">
                  <c:v>195.74346300805215</c:v>
                </c:pt>
                <c:pt idx="1124">
                  <c:v>191.84892973444295</c:v>
                </c:pt>
                <c:pt idx="1125">
                  <c:v>193.25972573228864</c:v>
                </c:pt>
                <c:pt idx="1126">
                  <c:v>189.11804064222395</c:v>
                </c:pt>
                <c:pt idx="1127">
                  <c:v>186.26813812885248</c:v>
                </c:pt>
                <c:pt idx="1128">
                  <c:v>188.45420692923159</c:v>
                </c:pt>
                <c:pt idx="1129">
                  <c:v>186.47754495273264</c:v>
                </c:pt>
                <c:pt idx="1130">
                  <c:v>181.43368841480117</c:v>
                </c:pt>
                <c:pt idx="1131">
                  <c:v>184.15924524441857</c:v>
                </c:pt>
                <c:pt idx="1132">
                  <c:v>188.49462153983478</c:v>
                </c:pt>
                <c:pt idx="1133">
                  <c:v>186.42530070204211</c:v>
                </c:pt>
                <c:pt idx="1134">
                  <c:v>183.65215318888988</c:v>
                </c:pt>
                <c:pt idx="1135">
                  <c:v>181.95992587822241</c:v>
                </c:pt>
                <c:pt idx="1136">
                  <c:v>175.23105342663945</c:v>
                </c:pt>
                <c:pt idx="1137">
                  <c:v>174.51553971381281</c:v>
                </c:pt>
                <c:pt idx="1138">
                  <c:v>176.97549915202598</c:v>
                </c:pt>
                <c:pt idx="1139">
                  <c:v>174.44603169248495</c:v>
                </c:pt>
                <c:pt idx="1140">
                  <c:v>174.63813363948839</c:v>
                </c:pt>
                <c:pt idx="1141">
                  <c:v>170.82865464099422</c:v>
                </c:pt>
                <c:pt idx="1142">
                  <c:v>171.03389531537266</c:v>
                </c:pt>
                <c:pt idx="1143">
                  <c:v>169.42436385871486</c:v>
                </c:pt>
                <c:pt idx="1144">
                  <c:v>163.23765667088819</c:v>
                </c:pt>
                <c:pt idx="1145">
                  <c:v>162.31247556019505</c:v>
                </c:pt>
                <c:pt idx="1146">
                  <c:v>166.04856834802561</c:v>
                </c:pt>
                <c:pt idx="1147">
                  <c:v>165.60144444801597</c:v>
                </c:pt>
                <c:pt idx="1148">
                  <c:v>164.8267586822096</c:v>
                </c:pt>
                <c:pt idx="1149">
                  <c:v>164.92571411067601</c:v>
                </c:pt>
                <c:pt idx="1150">
                  <c:v>158.30842206822422</c:v>
                </c:pt>
                <c:pt idx="1151">
                  <c:v>159.00805752131802</c:v>
                </c:pt>
                <c:pt idx="1152">
                  <c:v>160.85792364321497</c:v>
                </c:pt>
                <c:pt idx="1153">
                  <c:v>163.65644891974259</c:v>
                </c:pt>
                <c:pt idx="1154">
                  <c:v>166.94527075358829</c:v>
                </c:pt>
                <c:pt idx="1155">
                  <c:v>165.99907602027272</c:v>
                </c:pt>
                <c:pt idx="1156">
                  <c:v>165.75045034475559</c:v>
                </c:pt>
                <c:pt idx="1157">
                  <c:v>167.61093168647548</c:v>
                </c:pt>
                <c:pt idx="1158">
                  <c:v>166.56159364650253</c:v>
                </c:pt>
                <c:pt idx="1159">
                  <c:v>168.89230748986265</c:v>
                </c:pt>
                <c:pt idx="1160">
                  <c:v>166.49478262013275</c:v>
                </c:pt>
                <c:pt idx="1161">
                  <c:v>162.30725543003777</c:v>
                </c:pt>
                <c:pt idx="1162">
                  <c:v>159.7040789432626</c:v>
                </c:pt>
                <c:pt idx="1163">
                  <c:v>162.64800788599919</c:v>
                </c:pt>
                <c:pt idx="1164">
                  <c:v>160.56071854491532</c:v>
                </c:pt>
                <c:pt idx="1165">
                  <c:v>158.48457066914943</c:v>
                </c:pt>
                <c:pt idx="1166">
                  <c:v>163.25151490435664</c:v>
                </c:pt>
                <c:pt idx="1167">
                  <c:v>160.68062490586283</c:v>
                </c:pt>
                <c:pt idx="1168">
                  <c:v>161.96010977307009</c:v>
                </c:pt>
                <c:pt idx="1169">
                  <c:v>159.67673249834377</c:v>
                </c:pt>
                <c:pt idx="1170">
                  <c:v>157.70541481317903</c:v>
                </c:pt>
                <c:pt idx="1171">
                  <c:v>160.41645286662501</c:v>
                </c:pt>
                <c:pt idx="1172">
                  <c:v>164.07533278779277</c:v>
                </c:pt>
                <c:pt idx="1173">
                  <c:v>161.31681524706792</c:v>
                </c:pt>
                <c:pt idx="1174">
                  <c:v>163.4084433215842</c:v>
                </c:pt>
                <c:pt idx="1175">
                  <c:v>158.29549871314947</c:v>
                </c:pt>
                <c:pt idx="1176">
                  <c:v>154.75168512381413</c:v>
                </c:pt>
                <c:pt idx="1177">
                  <c:v>152.31465071241547</c:v>
                </c:pt>
                <c:pt idx="1178">
                  <c:v>149.82751398034179</c:v>
                </c:pt>
                <c:pt idx="1179">
                  <c:v>153.543260893976</c:v>
                </c:pt>
                <c:pt idx="1180">
                  <c:v>153.34391380602816</c:v>
                </c:pt>
                <c:pt idx="1181">
                  <c:v>152.35361530653569</c:v>
                </c:pt>
                <c:pt idx="1182">
                  <c:v>153.44306103991912</c:v>
                </c:pt>
                <c:pt idx="1183">
                  <c:v>153.71975660180237</c:v>
                </c:pt>
                <c:pt idx="1184">
                  <c:v>151.10562921635935</c:v>
                </c:pt>
                <c:pt idx="1185">
                  <c:v>149.3581389901743</c:v>
                </c:pt>
                <c:pt idx="1186">
                  <c:v>149.38801659349298</c:v>
                </c:pt>
                <c:pt idx="1187">
                  <c:v>147.55829375098082</c:v>
                </c:pt>
                <c:pt idx="1188">
                  <c:v>147.02898938917977</c:v>
                </c:pt>
                <c:pt idx="1189">
                  <c:v>144.31585138317607</c:v>
                </c:pt>
                <c:pt idx="1190">
                  <c:v>146.24630257719505</c:v>
                </c:pt>
                <c:pt idx="1191">
                  <c:v>145.50423099909963</c:v>
                </c:pt>
                <c:pt idx="1192">
                  <c:v>144.99674240069717</c:v>
                </c:pt>
                <c:pt idx="1193">
                  <c:v>145.47681589314453</c:v>
                </c:pt>
                <c:pt idx="1194">
                  <c:v>144.81068673416738</c:v>
                </c:pt>
                <c:pt idx="1195">
                  <c:v>145.21729516061711</c:v>
                </c:pt>
                <c:pt idx="1196">
                  <c:v>142.56557545711479</c:v>
                </c:pt>
                <c:pt idx="1197">
                  <c:v>140.36189372562251</c:v>
                </c:pt>
                <c:pt idx="1198">
                  <c:v>139.42772794836844</c:v>
                </c:pt>
                <c:pt idx="1199">
                  <c:v>139.2049999484509</c:v>
                </c:pt>
                <c:pt idx="1200">
                  <c:v>138.18244981978449</c:v>
                </c:pt>
                <c:pt idx="1201">
                  <c:v>139.14253329955139</c:v>
                </c:pt>
                <c:pt idx="1202">
                  <c:v>140.13750961783805</c:v>
                </c:pt>
                <c:pt idx="1203">
                  <c:v>137.822098365301</c:v>
                </c:pt>
                <c:pt idx="1204">
                  <c:v>139.38319009435781</c:v>
                </c:pt>
                <c:pt idx="1205">
                  <c:v>138.51057348142484</c:v>
                </c:pt>
                <c:pt idx="1206">
                  <c:v>135.62182853365792</c:v>
                </c:pt>
                <c:pt idx="1207">
                  <c:v>136.85351012478094</c:v>
                </c:pt>
                <c:pt idx="1208">
                  <c:v>134.39409812901988</c:v>
                </c:pt>
                <c:pt idx="1209">
                  <c:v>131.43677078632751</c:v>
                </c:pt>
                <c:pt idx="1210">
                  <c:v>132.57693240501061</c:v>
                </c:pt>
                <c:pt idx="1211">
                  <c:v>130.37361825647616</c:v>
                </c:pt>
                <c:pt idx="1212">
                  <c:v>129.2619653544281</c:v>
                </c:pt>
                <c:pt idx="1213">
                  <c:v>130.84519217980372</c:v>
                </c:pt>
                <c:pt idx="1214">
                  <c:v>129.49840872902189</c:v>
                </c:pt>
                <c:pt idx="1215">
                  <c:v>128.15280428403949</c:v>
                </c:pt>
                <c:pt idx="1216">
                  <c:v>126.60818443394537</c:v>
                </c:pt>
                <c:pt idx="1217">
                  <c:v>126.79838200695579</c:v>
                </c:pt>
                <c:pt idx="1218">
                  <c:v>126.10480557628621</c:v>
                </c:pt>
                <c:pt idx="1219">
                  <c:v>124.68341464928436</c:v>
                </c:pt>
                <c:pt idx="1220">
                  <c:v>124.74578754305588</c:v>
                </c:pt>
                <c:pt idx="1221">
                  <c:v>123.388513890263</c:v>
                </c:pt>
                <c:pt idx="1222">
                  <c:v>121.90131781294507</c:v>
                </c:pt>
                <c:pt idx="1223">
                  <c:v>120.87388975006948</c:v>
                </c:pt>
                <c:pt idx="1224">
                  <c:v>121.54237280047207</c:v>
                </c:pt>
                <c:pt idx="1225">
                  <c:v>120.0181423920925</c:v>
                </c:pt>
                <c:pt idx="1226">
                  <c:v>119.88626749784486</c:v>
                </c:pt>
                <c:pt idx="1227">
                  <c:v>119.18308728287589</c:v>
                </c:pt>
                <c:pt idx="1228">
                  <c:v>117.12174457829784</c:v>
                </c:pt>
                <c:pt idx="1229">
                  <c:v>115.72151425580262</c:v>
                </c:pt>
                <c:pt idx="1230">
                  <c:v>116.02317450952739</c:v>
                </c:pt>
                <c:pt idx="1231">
                  <c:v>114.70407761693266</c:v>
                </c:pt>
                <c:pt idx="1232">
                  <c:v>114.34959387591731</c:v>
                </c:pt>
                <c:pt idx="1233">
                  <c:v>114.48697824981708</c:v>
                </c:pt>
                <c:pt idx="1234">
                  <c:v>114.23565979826091</c:v>
                </c:pt>
                <c:pt idx="1235">
                  <c:v>111.28656580444317</c:v>
                </c:pt>
                <c:pt idx="1236">
                  <c:v>112.86669959882674</c:v>
                </c:pt>
                <c:pt idx="1237">
                  <c:v>112.61893793536893</c:v>
                </c:pt>
                <c:pt idx="1238">
                  <c:v>114.90555855052438</c:v>
                </c:pt>
                <c:pt idx="1239">
                  <c:v>115.12429471047427</c:v>
                </c:pt>
                <c:pt idx="1240">
                  <c:v>115.10127445558317</c:v>
                </c:pt>
                <c:pt idx="1241">
                  <c:v>117.96789428675122</c:v>
                </c:pt>
                <c:pt idx="1242">
                  <c:v>115.7569367939861</c:v>
                </c:pt>
                <c:pt idx="1243">
                  <c:v>116.80821069019788</c:v>
                </c:pt>
                <c:pt idx="1244">
                  <c:v>113.31801580345159</c:v>
                </c:pt>
                <c:pt idx="1245">
                  <c:v>115.20741744962544</c:v>
                </c:pt>
                <c:pt idx="1246">
                  <c:v>114.45203402506004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EE-4F97-8E95-F66AB81011F7}"/>
            </c:ext>
          </c:extLst>
        </c:ser>
        <c:ser>
          <c:idx val="1"/>
          <c:order val="1"/>
          <c:tx>
            <c:strRef>
              <c:f>Summary!$AT$2</c:f>
              <c:strCache>
                <c:ptCount val="1"/>
                <c:pt idx="0">
                  <c:v>T-Bill Price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Summary!$A$3:$A$1249</c:f>
              <c:numCache>
                <c:formatCode>m/d/yyyy</c:formatCode>
                <c:ptCount val="1247"/>
                <c:pt idx="0">
                  <c:v>43324</c:v>
                </c:pt>
                <c:pt idx="1">
                  <c:v>43317</c:v>
                </c:pt>
                <c:pt idx="2">
                  <c:v>43310</c:v>
                </c:pt>
                <c:pt idx="3">
                  <c:v>43303</c:v>
                </c:pt>
                <c:pt idx="4">
                  <c:v>43296</c:v>
                </c:pt>
                <c:pt idx="5">
                  <c:v>43289</c:v>
                </c:pt>
                <c:pt idx="6">
                  <c:v>43282</c:v>
                </c:pt>
                <c:pt idx="7">
                  <c:v>43275</c:v>
                </c:pt>
                <c:pt idx="8">
                  <c:v>43268</c:v>
                </c:pt>
                <c:pt idx="9">
                  <c:v>43261</c:v>
                </c:pt>
                <c:pt idx="10">
                  <c:v>43254</c:v>
                </c:pt>
                <c:pt idx="11">
                  <c:v>43247</c:v>
                </c:pt>
                <c:pt idx="12">
                  <c:v>43240</c:v>
                </c:pt>
                <c:pt idx="13">
                  <c:v>43233</c:v>
                </c:pt>
                <c:pt idx="14">
                  <c:v>43226</c:v>
                </c:pt>
                <c:pt idx="15">
                  <c:v>43219</c:v>
                </c:pt>
                <c:pt idx="16">
                  <c:v>43212</c:v>
                </c:pt>
                <c:pt idx="17">
                  <c:v>43205</c:v>
                </c:pt>
                <c:pt idx="18">
                  <c:v>43198</c:v>
                </c:pt>
                <c:pt idx="19">
                  <c:v>43191</c:v>
                </c:pt>
                <c:pt idx="20">
                  <c:v>43184</c:v>
                </c:pt>
                <c:pt idx="21">
                  <c:v>43177</c:v>
                </c:pt>
                <c:pt idx="22">
                  <c:v>43170</c:v>
                </c:pt>
                <c:pt idx="23">
                  <c:v>43163</c:v>
                </c:pt>
                <c:pt idx="24">
                  <c:v>43156</c:v>
                </c:pt>
                <c:pt idx="25">
                  <c:v>43149</c:v>
                </c:pt>
                <c:pt idx="26">
                  <c:v>43142</c:v>
                </c:pt>
                <c:pt idx="27">
                  <c:v>43135</c:v>
                </c:pt>
                <c:pt idx="28">
                  <c:v>43128</c:v>
                </c:pt>
                <c:pt idx="29">
                  <c:v>43121</c:v>
                </c:pt>
                <c:pt idx="30">
                  <c:v>43114</c:v>
                </c:pt>
                <c:pt idx="31">
                  <c:v>43107</c:v>
                </c:pt>
                <c:pt idx="32">
                  <c:v>43100</c:v>
                </c:pt>
                <c:pt idx="33">
                  <c:v>43093</c:v>
                </c:pt>
                <c:pt idx="34">
                  <c:v>43086</c:v>
                </c:pt>
                <c:pt idx="35">
                  <c:v>43079</c:v>
                </c:pt>
                <c:pt idx="36">
                  <c:v>43072</c:v>
                </c:pt>
                <c:pt idx="37">
                  <c:v>43065</c:v>
                </c:pt>
                <c:pt idx="38">
                  <c:v>43058</c:v>
                </c:pt>
                <c:pt idx="39">
                  <c:v>43051</c:v>
                </c:pt>
                <c:pt idx="40">
                  <c:v>43044</c:v>
                </c:pt>
                <c:pt idx="41">
                  <c:v>43037</c:v>
                </c:pt>
                <c:pt idx="42">
                  <c:v>43030</c:v>
                </c:pt>
                <c:pt idx="43">
                  <c:v>43023</c:v>
                </c:pt>
                <c:pt idx="44">
                  <c:v>43016</c:v>
                </c:pt>
                <c:pt idx="45">
                  <c:v>43009</c:v>
                </c:pt>
                <c:pt idx="46">
                  <c:v>43002</c:v>
                </c:pt>
                <c:pt idx="47">
                  <c:v>42995</c:v>
                </c:pt>
                <c:pt idx="48">
                  <c:v>42988</c:v>
                </c:pt>
                <c:pt idx="49">
                  <c:v>42981</c:v>
                </c:pt>
                <c:pt idx="50">
                  <c:v>42974</c:v>
                </c:pt>
                <c:pt idx="51">
                  <c:v>42967</c:v>
                </c:pt>
                <c:pt idx="52">
                  <c:v>42960</c:v>
                </c:pt>
                <c:pt idx="53">
                  <c:v>42953</c:v>
                </c:pt>
                <c:pt idx="54">
                  <c:v>42946</c:v>
                </c:pt>
                <c:pt idx="55">
                  <c:v>42939</c:v>
                </c:pt>
                <c:pt idx="56">
                  <c:v>42932</c:v>
                </c:pt>
                <c:pt idx="57">
                  <c:v>42925</c:v>
                </c:pt>
                <c:pt idx="58">
                  <c:v>42918</c:v>
                </c:pt>
                <c:pt idx="59">
                  <c:v>42911</c:v>
                </c:pt>
                <c:pt idx="60">
                  <c:v>42904</c:v>
                </c:pt>
                <c:pt idx="61">
                  <c:v>42897</c:v>
                </c:pt>
                <c:pt idx="62">
                  <c:v>42890</c:v>
                </c:pt>
                <c:pt idx="63">
                  <c:v>42883</c:v>
                </c:pt>
                <c:pt idx="64">
                  <c:v>42876</c:v>
                </c:pt>
                <c:pt idx="65">
                  <c:v>42869</c:v>
                </c:pt>
                <c:pt idx="66">
                  <c:v>42862</c:v>
                </c:pt>
                <c:pt idx="67">
                  <c:v>42855</c:v>
                </c:pt>
                <c:pt idx="68">
                  <c:v>42848</c:v>
                </c:pt>
                <c:pt idx="69">
                  <c:v>42841</c:v>
                </c:pt>
                <c:pt idx="70">
                  <c:v>42834</c:v>
                </c:pt>
                <c:pt idx="71">
                  <c:v>42827</c:v>
                </c:pt>
                <c:pt idx="72">
                  <c:v>42820</c:v>
                </c:pt>
                <c:pt idx="73">
                  <c:v>42813</c:v>
                </c:pt>
                <c:pt idx="74">
                  <c:v>42806</c:v>
                </c:pt>
                <c:pt idx="75">
                  <c:v>42799</c:v>
                </c:pt>
                <c:pt idx="76">
                  <c:v>42792</c:v>
                </c:pt>
                <c:pt idx="77">
                  <c:v>42785</c:v>
                </c:pt>
                <c:pt idx="78">
                  <c:v>42778</c:v>
                </c:pt>
                <c:pt idx="79">
                  <c:v>42771</c:v>
                </c:pt>
                <c:pt idx="80">
                  <c:v>42764</c:v>
                </c:pt>
                <c:pt idx="81">
                  <c:v>42757</c:v>
                </c:pt>
                <c:pt idx="82">
                  <c:v>42750</c:v>
                </c:pt>
                <c:pt idx="83">
                  <c:v>42743</c:v>
                </c:pt>
                <c:pt idx="84">
                  <c:v>42736</c:v>
                </c:pt>
                <c:pt idx="85">
                  <c:v>42729</c:v>
                </c:pt>
                <c:pt idx="86">
                  <c:v>42722</c:v>
                </c:pt>
                <c:pt idx="87">
                  <c:v>42715</c:v>
                </c:pt>
                <c:pt idx="88">
                  <c:v>42708</c:v>
                </c:pt>
                <c:pt idx="89">
                  <c:v>42701</c:v>
                </c:pt>
                <c:pt idx="90">
                  <c:v>42694</c:v>
                </c:pt>
                <c:pt idx="91">
                  <c:v>42687</c:v>
                </c:pt>
                <c:pt idx="92">
                  <c:v>42680</c:v>
                </c:pt>
                <c:pt idx="93">
                  <c:v>42673</c:v>
                </c:pt>
                <c:pt idx="94">
                  <c:v>42666</c:v>
                </c:pt>
                <c:pt idx="95">
                  <c:v>42659</c:v>
                </c:pt>
                <c:pt idx="96">
                  <c:v>42652</c:v>
                </c:pt>
                <c:pt idx="97">
                  <c:v>42645</c:v>
                </c:pt>
                <c:pt idx="98">
                  <c:v>42638</c:v>
                </c:pt>
                <c:pt idx="99">
                  <c:v>42631</c:v>
                </c:pt>
                <c:pt idx="100">
                  <c:v>42624</c:v>
                </c:pt>
                <c:pt idx="101">
                  <c:v>42617</c:v>
                </c:pt>
                <c:pt idx="102">
                  <c:v>42610</c:v>
                </c:pt>
                <c:pt idx="103">
                  <c:v>42603</c:v>
                </c:pt>
                <c:pt idx="104">
                  <c:v>42596</c:v>
                </c:pt>
                <c:pt idx="105">
                  <c:v>42589</c:v>
                </c:pt>
                <c:pt idx="106">
                  <c:v>42582</c:v>
                </c:pt>
                <c:pt idx="107">
                  <c:v>42575</c:v>
                </c:pt>
                <c:pt idx="108">
                  <c:v>42568</c:v>
                </c:pt>
                <c:pt idx="109">
                  <c:v>42561</c:v>
                </c:pt>
                <c:pt idx="110">
                  <c:v>42554</c:v>
                </c:pt>
                <c:pt idx="111">
                  <c:v>42547</c:v>
                </c:pt>
                <c:pt idx="112">
                  <c:v>42540</c:v>
                </c:pt>
                <c:pt idx="113">
                  <c:v>42533</c:v>
                </c:pt>
                <c:pt idx="114">
                  <c:v>42526</c:v>
                </c:pt>
                <c:pt idx="115">
                  <c:v>42519</c:v>
                </c:pt>
                <c:pt idx="116">
                  <c:v>42512</c:v>
                </c:pt>
                <c:pt idx="117">
                  <c:v>42505</c:v>
                </c:pt>
                <c:pt idx="118">
                  <c:v>42498</c:v>
                </c:pt>
                <c:pt idx="119">
                  <c:v>42491</c:v>
                </c:pt>
                <c:pt idx="120">
                  <c:v>42484</c:v>
                </c:pt>
                <c:pt idx="121">
                  <c:v>42477</c:v>
                </c:pt>
                <c:pt idx="122">
                  <c:v>42470</c:v>
                </c:pt>
                <c:pt idx="123">
                  <c:v>42463</c:v>
                </c:pt>
                <c:pt idx="124">
                  <c:v>42456</c:v>
                </c:pt>
                <c:pt idx="125">
                  <c:v>42449</c:v>
                </c:pt>
                <c:pt idx="126">
                  <c:v>42442</c:v>
                </c:pt>
                <c:pt idx="127">
                  <c:v>42435</c:v>
                </c:pt>
                <c:pt idx="128">
                  <c:v>42428</c:v>
                </c:pt>
                <c:pt idx="129">
                  <c:v>42421</c:v>
                </c:pt>
                <c:pt idx="130">
                  <c:v>42414</c:v>
                </c:pt>
                <c:pt idx="131">
                  <c:v>42407</c:v>
                </c:pt>
                <c:pt idx="132">
                  <c:v>42400</c:v>
                </c:pt>
                <c:pt idx="133">
                  <c:v>42393</c:v>
                </c:pt>
                <c:pt idx="134">
                  <c:v>42386</c:v>
                </c:pt>
                <c:pt idx="135">
                  <c:v>42379</c:v>
                </c:pt>
                <c:pt idx="136">
                  <c:v>42372</c:v>
                </c:pt>
                <c:pt idx="137">
                  <c:v>42365</c:v>
                </c:pt>
                <c:pt idx="138">
                  <c:v>42358</c:v>
                </c:pt>
                <c:pt idx="139">
                  <c:v>42351</c:v>
                </c:pt>
                <c:pt idx="140">
                  <c:v>42344</c:v>
                </c:pt>
                <c:pt idx="141">
                  <c:v>42337</c:v>
                </c:pt>
                <c:pt idx="142">
                  <c:v>42330</c:v>
                </c:pt>
                <c:pt idx="143">
                  <c:v>42323</c:v>
                </c:pt>
                <c:pt idx="144">
                  <c:v>42316</c:v>
                </c:pt>
                <c:pt idx="145">
                  <c:v>42309</c:v>
                </c:pt>
                <c:pt idx="146">
                  <c:v>42302</c:v>
                </c:pt>
                <c:pt idx="147">
                  <c:v>42295</c:v>
                </c:pt>
                <c:pt idx="148">
                  <c:v>42288</c:v>
                </c:pt>
                <c:pt idx="149">
                  <c:v>42281</c:v>
                </c:pt>
                <c:pt idx="150">
                  <c:v>42274</c:v>
                </c:pt>
                <c:pt idx="151">
                  <c:v>42267</c:v>
                </c:pt>
                <c:pt idx="152">
                  <c:v>42260</c:v>
                </c:pt>
                <c:pt idx="153">
                  <c:v>42253</c:v>
                </c:pt>
                <c:pt idx="154">
                  <c:v>42246</c:v>
                </c:pt>
                <c:pt idx="155">
                  <c:v>42239</c:v>
                </c:pt>
                <c:pt idx="156">
                  <c:v>42232</c:v>
                </c:pt>
                <c:pt idx="157">
                  <c:v>42225</c:v>
                </c:pt>
                <c:pt idx="158">
                  <c:v>42218</c:v>
                </c:pt>
                <c:pt idx="159">
                  <c:v>42211</c:v>
                </c:pt>
                <c:pt idx="160">
                  <c:v>42204</c:v>
                </c:pt>
                <c:pt idx="161">
                  <c:v>42197</c:v>
                </c:pt>
                <c:pt idx="162">
                  <c:v>42190</c:v>
                </c:pt>
                <c:pt idx="163">
                  <c:v>42183</c:v>
                </c:pt>
                <c:pt idx="164">
                  <c:v>42176</c:v>
                </c:pt>
                <c:pt idx="165">
                  <c:v>42169</c:v>
                </c:pt>
                <c:pt idx="166">
                  <c:v>42162</c:v>
                </c:pt>
                <c:pt idx="167">
                  <c:v>42155</c:v>
                </c:pt>
                <c:pt idx="168">
                  <c:v>42148</c:v>
                </c:pt>
                <c:pt idx="169">
                  <c:v>42141</c:v>
                </c:pt>
                <c:pt idx="170">
                  <c:v>42134</c:v>
                </c:pt>
                <c:pt idx="171">
                  <c:v>42127</c:v>
                </c:pt>
                <c:pt idx="172">
                  <c:v>42120</c:v>
                </c:pt>
                <c:pt idx="173">
                  <c:v>42113</c:v>
                </c:pt>
                <c:pt idx="174">
                  <c:v>42106</c:v>
                </c:pt>
                <c:pt idx="175">
                  <c:v>42099</c:v>
                </c:pt>
                <c:pt idx="176">
                  <c:v>42092</c:v>
                </c:pt>
                <c:pt idx="177">
                  <c:v>42085</c:v>
                </c:pt>
                <c:pt idx="178">
                  <c:v>42078</c:v>
                </c:pt>
                <c:pt idx="179">
                  <c:v>42071</c:v>
                </c:pt>
                <c:pt idx="180">
                  <c:v>42064</c:v>
                </c:pt>
                <c:pt idx="181">
                  <c:v>42057</c:v>
                </c:pt>
                <c:pt idx="182">
                  <c:v>42050</c:v>
                </c:pt>
                <c:pt idx="183">
                  <c:v>42043</c:v>
                </c:pt>
                <c:pt idx="184">
                  <c:v>42036</c:v>
                </c:pt>
                <c:pt idx="185">
                  <c:v>42029</c:v>
                </c:pt>
                <c:pt idx="186">
                  <c:v>42022</c:v>
                </c:pt>
                <c:pt idx="187">
                  <c:v>42015</c:v>
                </c:pt>
                <c:pt idx="188">
                  <c:v>42008</c:v>
                </c:pt>
                <c:pt idx="189">
                  <c:v>42001</c:v>
                </c:pt>
                <c:pt idx="190">
                  <c:v>41994</c:v>
                </c:pt>
                <c:pt idx="191">
                  <c:v>41987</c:v>
                </c:pt>
                <c:pt idx="192">
                  <c:v>41980</c:v>
                </c:pt>
                <c:pt idx="193">
                  <c:v>41973</c:v>
                </c:pt>
                <c:pt idx="194">
                  <c:v>41966</c:v>
                </c:pt>
                <c:pt idx="195">
                  <c:v>41959</c:v>
                </c:pt>
                <c:pt idx="196">
                  <c:v>41952</c:v>
                </c:pt>
                <c:pt idx="197">
                  <c:v>41945</c:v>
                </c:pt>
                <c:pt idx="198">
                  <c:v>41938</c:v>
                </c:pt>
                <c:pt idx="199">
                  <c:v>41931</c:v>
                </c:pt>
                <c:pt idx="200">
                  <c:v>41924</c:v>
                </c:pt>
                <c:pt idx="201">
                  <c:v>41917</c:v>
                </c:pt>
                <c:pt idx="202">
                  <c:v>41910</c:v>
                </c:pt>
                <c:pt idx="203">
                  <c:v>41903</c:v>
                </c:pt>
                <c:pt idx="204">
                  <c:v>41896</c:v>
                </c:pt>
                <c:pt idx="205">
                  <c:v>41889</c:v>
                </c:pt>
                <c:pt idx="206">
                  <c:v>41882</c:v>
                </c:pt>
                <c:pt idx="207">
                  <c:v>41875</c:v>
                </c:pt>
                <c:pt idx="208">
                  <c:v>41868</c:v>
                </c:pt>
                <c:pt idx="209">
                  <c:v>41861</c:v>
                </c:pt>
                <c:pt idx="210">
                  <c:v>41854</c:v>
                </c:pt>
                <c:pt idx="211">
                  <c:v>41847</c:v>
                </c:pt>
                <c:pt idx="212">
                  <c:v>41840</c:v>
                </c:pt>
                <c:pt idx="213">
                  <c:v>41833</c:v>
                </c:pt>
                <c:pt idx="214">
                  <c:v>41826</c:v>
                </c:pt>
                <c:pt idx="215">
                  <c:v>41819</c:v>
                </c:pt>
                <c:pt idx="216">
                  <c:v>41812</c:v>
                </c:pt>
                <c:pt idx="217">
                  <c:v>41805</c:v>
                </c:pt>
                <c:pt idx="218">
                  <c:v>41798</c:v>
                </c:pt>
                <c:pt idx="219">
                  <c:v>41791</c:v>
                </c:pt>
                <c:pt idx="220">
                  <c:v>41784</c:v>
                </c:pt>
                <c:pt idx="221">
                  <c:v>41777</c:v>
                </c:pt>
                <c:pt idx="222">
                  <c:v>41770</c:v>
                </c:pt>
                <c:pt idx="223">
                  <c:v>41763</c:v>
                </c:pt>
                <c:pt idx="224">
                  <c:v>41756</c:v>
                </c:pt>
                <c:pt idx="225">
                  <c:v>41749</c:v>
                </c:pt>
                <c:pt idx="226">
                  <c:v>41742</c:v>
                </c:pt>
                <c:pt idx="227">
                  <c:v>41735</c:v>
                </c:pt>
                <c:pt idx="228">
                  <c:v>41728</c:v>
                </c:pt>
                <c:pt idx="229">
                  <c:v>41721</c:v>
                </c:pt>
                <c:pt idx="230">
                  <c:v>41714</c:v>
                </c:pt>
                <c:pt idx="231">
                  <c:v>41707</c:v>
                </c:pt>
                <c:pt idx="232">
                  <c:v>41700</c:v>
                </c:pt>
                <c:pt idx="233">
                  <c:v>41693</c:v>
                </c:pt>
                <c:pt idx="234">
                  <c:v>41686</c:v>
                </c:pt>
                <c:pt idx="235">
                  <c:v>41679</c:v>
                </c:pt>
                <c:pt idx="236">
                  <c:v>41672</c:v>
                </c:pt>
                <c:pt idx="237">
                  <c:v>41665</c:v>
                </c:pt>
                <c:pt idx="238">
                  <c:v>41658</c:v>
                </c:pt>
                <c:pt idx="239">
                  <c:v>41651</c:v>
                </c:pt>
                <c:pt idx="240">
                  <c:v>41644</c:v>
                </c:pt>
                <c:pt idx="241">
                  <c:v>41637</c:v>
                </c:pt>
                <c:pt idx="242">
                  <c:v>41630</c:v>
                </c:pt>
                <c:pt idx="243">
                  <c:v>41623</c:v>
                </c:pt>
                <c:pt idx="244">
                  <c:v>41616</c:v>
                </c:pt>
                <c:pt idx="245">
                  <c:v>41609</c:v>
                </c:pt>
                <c:pt idx="246">
                  <c:v>41602</c:v>
                </c:pt>
                <c:pt idx="247">
                  <c:v>41595</c:v>
                </c:pt>
                <c:pt idx="248">
                  <c:v>41588</c:v>
                </c:pt>
                <c:pt idx="249">
                  <c:v>41581</c:v>
                </c:pt>
                <c:pt idx="250">
                  <c:v>41574</c:v>
                </c:pt>
                <c:pt idx="251">
                  <c:v>41567</c:v>
                </c:pt>
                <c:pt idx="252">
                  <c:v>41560</c:v>
                </c:pt>
                <c:pt idx="253">
                  <c:v>41553</c:v>
                </c:pt>
                <c:pt idx="254">
                  <c:v>41546</c:v>
                </c:pt>
                <c:pt idx="255">
                  <c:v>41539</c:v>
                </c:pt>
                <c:pt idx="256">
                  <c:v>41532</c:v>
                </c:pt>
                <c:pt idx="257">
                  <c:v>41525</c:v>
                </c:pt>
                <c:pt idx="258">
                  <c:v>41518</c:v>
                </c:pt>
                <c:pt idx="259">
                  <c:v>41511</c:v>
                </c:pt>
                <c:pt idx="260">
                  <c:v>41504</c:v>
                </c:pt>
                <c:pt idx="261">
                  <c:v>41497</c:v>
                </c:pt>
                <c:pt idx="262">
                  <c:v>41490</c:v>
                </c:pt>
                <c:pt idx="263">
                  <c:v>41483</c:v>
                </c:pt>
                <c:pt idx="264">
                  <c:v>41476</c:v>
                </c:pt>
                <c:pt idx="265">
                  <c:v>41469</c:v>
                </c:pt>
                <c:pt idx="266">
                  <c:v>41462</c:v>
                </c:pt>
                <c:pt idx="267">
                  <c:v>41455</c:v>
                </c:pt>
                <c:pt idx="268">
                  <c:v>41448</c:v>
                </c:pt>
                <c:pt idx="269">
                  <c:v>41441</c:v>
                </c:pt>
                <c:pt idx="270">
                  <c:v>41434</c:v>
                </c:pt>
                <c:pt idx="271">
                  <c:v>41427</c:v>
                </c:pt>
                <c:pt idx="272">
                  <c:v>41420</c:v>
                </c:pt>
                <c:pt idx="273">
                  <c:v>41413</c:v>
                </c:pt>
                <c:pt idx="274">
                  <c:v>41406</c:v>
                </c:pt>
                <c:pt idx="275">
                  <c:v>41399</c:v>
                </c:pt>
                <c:pt idx="276">
                  <c:v>41392</c:v>
                </c:pt>
                <c:pt idx="277">
                  <c:v>41385</c:v>
                </c:pt>
                <c:pt idx="278">
                  <c:v>41378</c:v>
                </c:pt>
                <c:pt idx="279">
                  <c:v>41371</c:v>
                </c:pt>
                <c:pt idx="280">
                  <c:v>41364</c:v>
                </c:pt>
                <c:pt idx="281">
                  <c:v>41357</c:v>
                </c:pt>
                <c:pt idx="282">
                  <c:v>41350</c:v>
                </c:pt>
                <c:pt idx="283">
                  <c:v>41343</c:v>
                </c:pt>
                <c:pt idx="284">
                  <c:v>41336</c:v>
                </c:pt>
                <c:pt idx="285">
                  <c:v>41329</c:v>
                </c:pt>
                <c:pt idx="286">
                  <c:v>41322</c:v>
                </c:pt>
                <c:pt idx="287">
                  <c:v>41315</c:v>
                </c:pt>
                <c:pt idx="288">
                  <c:v>41308</c:v>
                </c:pt>
                <c:pt idx="289">
                  <c:v>41301</c:v>
                </c:pt>
                <c:pt idx="290">
                  <c:v>41294</c:v>
                </c:pt>
                <c:pt idx="291">
                  <c:v>41287</c:v>
                </c:pt>
                <c:pt idx="292">
                  <c:v>41280</c:v>
                </c:pt>
                <c:pt idx="293">
                  <c:v>41273</c:v>
                </c:pt>
                <c:pt idx="294">
                  <c:v>41266</c:v>
                </c:pt>
                <c:pt idx="295">
                  <c:v>41259</c:v>
                </c:pt>
                <c:pt idx="296">
                  <c:v>41252</c:v>
                </c:pt>
                <c:pt idx="297">
                  <c:v>41245</c:v>
                </c:pt>
                <c:pt idx="298">
                  <c:v>41238</c:v>
                </c:pt>
                <c:pt idx="299">
                  <c:v>41231</c:v>
                </c:pt>
                <c:pt idx="300">
                  <c:v>41224</c:v>
                </c:pt>
                <c:pt idx="301">
                  <c:v>41217</c:v>
                </c:pt>
                <c:pt idx="302">
                  <c:v>41210</c:v>
                </c:pt>
                <c:pt idx="303">
                  <c:v>41203</c:v>
                </c:pt>
                <c:pt idx="304">
                  <c:v>41196</c:v>
                </c:pt>
                <c:pt idx="305">
                  <c:v>41189</c:v>
                </c:pt>
                <c:pt idx="306">
                  <c:v>41182</c:v>
                </c:pt>
                <c:pt idx="307">
                  <c:v>41175</c:v>
                </c:pt>
                <c:pt idx="308">
                  <c:v>41168</c:v>
                </c:pt>
                <c:pt idx="309">
                  <c:v>41161</c:v>
                </c:pt>
                <c:pt idx="310">
                  <c:v>41154</c:v>
                </c:pt>
                <c:pt idx="311">
                  <c:v>41147</c:v>
                </c:pt>
                <c:pt idx="312">
                  <c:v>41140</c:v>
                </c:pt>
                <c:pt idx="313">
                  <c:v>41133</c:v>
                </c:pt>
                <c:pt idx="314">
                  <c:v>41126</c:v>
                </c:pt>
                <c:pt idx="315">
                  <c:v>41119</c:v>
                </c:pt>
                <c:pt idx="316">
                  <c:v>41112</c:v>
                </c:pt>
                <c:pt idx="317">
                  <c:v>41105</c:v>
                </c:pt>
                <c:pt idx="318">
                  <c:v>41098</c:v>
                </c:pt>
                <c:pt idx="319">
                  <c:v>41091</c:v>
                </c:pt>
                <c:pt idx="320">
                  <c:v>41084</c:v>
                </c:pt>
                <c:pt idx="321">
                  <c:v>41077</c:v>
                </c:pt>
                <c:pt idx="322">
                  <c:v>41070</c:v>
                </c:pt>
                <c:pt idx="323">
                  <c:v>41063</c:v>
                </c:pt>
                <c:pt idx="324">
                  <c:v>41056</c:v>
                </c:pt>
                <c:pt idx="325">
                  <c:v>41049</c:v>
                </c:pt>
                <c:pt idx="326">
                  <c:v>41042</c:v>
                </c:pt>
                <c:pt idx="327">
                  <c:v>41035</c:v>
                </c:pt>
                <c:pt idx="328">
                  <c:v>41028</c:v>
                </c:pt>
                <c:pt idx="329">
                  <c:v>41021</c:v>
                </c:pt>
                <c:pt idx="330">
                  <c:v>41014</c:v>
                </c:pt>
                <c:pt idx="331">
                  <c:v>41007</c:v>
                </c:pt>
                <c:pt idx="332">
                  <c:v>41000</c:v>
                </c:pt>
                <c:pt idx="333">
                  <c:v>40993</c:v>
                </c:pt>
                <c:pt idx="334">
                  <c:v>40986</c:v>
                </c:pt>
                <c:pt idx="335">
                  <c:v>40979</c:v>
                </c:pt>
                <c:pt idx="336">
                  <c:v>40972</c:v>
                </c:pt>
                <c:pt idx="337">
                  <c:v>40965</c:v>
                </c:pt>
                <c:pt idx="338">
                  <c:v>40958</c:v>
                </c:pt>
                <c:pt idx="339">
                  <c:v>40951</c:v>
                </c:pt>
                <c:pt idx="340">
                  <c:v>40944</c:v>
                </c:pt>
                <c:pt idx="341">
                  <c:v>40937</c:v>
                </c:pt>
                <c:pt idx="342">
                  <c:v>40930</c:v>
                </c:pt>
                <c:pt idx="343">
                  <c:v>40923</c:v>
                </c:pt>
                <c:pt idx="344">
                  <c:v>40916</c:v>
                </c:pt>
                <c:pt idx="345">
                  <c:v>40909</c:v>
                </c:pt>
                <c:pt idx="346">
                  <c:v>40902</c:v>
                </c:pt>
                <c:pt idx="347">
                  <c:v>40895</c:v>
                </c:pt>
                <c:pt idx="348">
                  <c:v>40888</c:v>
                </c:pt>
                <c:pt idx="349">
                  <c:v>40881</c:v>
                </c:pt>
                <c:pt idx="350">
                  <c:v>40874</c:v>
                </c:pt>
                <c:pt idx="351">
                  <c:v>40867</c:v>
                </c:pt>
                <c:pt idx="352">
                  <c:v>40860</c:v>
                </c:pt>
                <c:pt idx="353">
                  <c:v>40853</c:v>
                </c:pt>
                <c:pt idx="354">
                  <c:v>40846</c:v>
                </c:pt>
                <c:pt idx="355">
                  <c:v>40839</c:v>
                </c:pt>
                <c:pt idx="356">
                  <c:v>40832</c:v>
                </c:pt>
                <c:pt idx="357">
                  <c:v>40825</c:v>
                </c:pt>
                <c:pt idx="358">
                  <c:v>40818</c:v>
                </c:pt>
                <c:pt idx="359">
                  <c:v>40811</c:v>
                </c:pt>
                <c:pt idx="360">
                  <c:v>40804</c:v>
                </c:pt>
                <c:pt idx="361">
                  <c:v>40797</c:v>
                </c:pt>
                <c:pt idx="362">
                  <c:v>40790</c:v>
                </c:pt>
                <c:pt idx="363">
                  <c:v>40783</c:v>
                </c:pt>
                <c:pt idx="364">
                  <c:v>40776</c:v>
                </c:pt>
                <c:pt idx="365">
                  <c:v>40769</c:v>
                </c:pt>
                <c:pt idx="366">
                  <c:v>40762</c:v>
                </c:pt>
                <c:pt idx="367">
                  <c:v>40755</c:v>
                </c:pt>
                <c:pt idx="368">
                  <c:v>40748</c:v>
                </c:pt>
                <c:pt idx="369">
                  <c:v>40741</c:v>
                </c:pt>
                <c:pt idx="370">
                  <c:v>40734</c:v>
                </c:pt>
                <c:pt idx="371">
                  <c:v>40727</c:v>
                </c:pt>
                <c:pt idx="372">
                  <c:v>40720</c:v>
                </c:pt>
                <c:pt idx="373">
                  <c:v>40713</c:v>
                </c:pt>
                <c:pt idx="374">
                  <c:v>40706</c:v>
                </c:pt>
                <c:pt idx="375">
                  <c:v>40699</c:v>
                </c:pt>
                <c:pt idx="376">
                  <c:v>40692</c:v>
                </c:pt>
                <c:pt idx="377">
                  <c:v>40685</c:v>
                </c:pt>
                <c:pt idx="378">
                  <c:v>40678</c:v>
                </c:pt>
                <c:pt idx="379">
                  <c:v>40671</c:v>
                </c:pt>
                <c:pt idx="380">
                  <c:v>40664</c:v>
                </c:pt>
                <c:pt idx="381">
                  <c:v>40657</c:v>
                </c:pt>
                <c:pt idx="382">
                  <c:v>40650</c:v>
                </c:pt>
                <c:pt idx="383">
                  <c:v>40643</c:v>
                </c:pt>
                <c:pt idx="384">
                  <c:v>40636</c:v>
                </c:pt>
                <c:pt idx="385">
                  <c:v>40629</c:v>
                </c:pt>
                <c:pt idx="386">
                  <c:v>40622</c:v>
                </c:pt>
                <c:pt idx="387">
                  <c:v>40615</c:v>
                </c:pt>
                <c:pt idx="388">
                  <c:v>40608</c:v>
                </c:pt>
                <c:pt idx="389">
                  <c:v>40601</c:v>
                </c:pt>
                <c:pt idx="390">
                  <c:v>40594</c:v>
                </c:pt>
                <c:pt idx="391">
                  <c:v>40587</c:v>
                </c:pt>
                <c:pt idx="392">
                  <c:v>40580</c:v>
                </c:pt>
                <c:pt idx="393">
                  <c:v>40573</c:v>
                </c:pt>
                <c:pt idx="394">
                  <c:v>40566</c:v>
                </c:pt>
                <c:pt idx="395">
                  <c:v>40559</c:v>
                </c:pt>
                <c:pt idx="396">
                  <c:v>40552</c:v>
                </c:pt>
                <c:pt idx="397">
                  <c:v>40545</c:v>
                </c:pt>
                <c:pt idx="398">
                  <c:v>40538</c:v>
                </c:pt>
                <c:pt idx="399">
                  <c:v>40531</c:v>
                </c:pt>
                <c:pt idx="400">
                  <c:v>40524</c:v>
                </c:pt>
                <c:pt idx="401">
                  <c:v>40517</c:v>
                </c:pt>
                <c:pt idx="402">
                  <c:v>40510</c:v>
                </c:pt>
                <c:pt idx="403">
                  <c:v>40503</c:v>
                </c:pt>
                <c:pt idx="404">
                  <c:v>40496</c:v>
                </c:pt>
                <c:pt idx="405">
                  <c:v>40489</c:v>
                </c:pt>
                <c:pt idx="406">
                  <c:v>40482</c:v>
                </c:pt>
                <c:pt idx="407">
                  <c:v>40475</c:v>
                </c:pt>
                <c:pt idx="408">
                  <c:v>40468</c:v>
                </c:pt>
                <c:pt idx="409">
                  <c:v>40461</c:v>
                </c:pt>
                <c:pt idx="410">
                  <c:v>40454</c:v>
                </c:pt>
                <c:pt idx="411">
                  <c:v>40447</c:v>
                </c:pt>
                <c:pt idx="412">
                  <c:v>40440</c:v>
                </c:pt>
                <c:pt idx="413">
                  <c:v>40433</c:v>
                </c:pt>
                <c:pt idx="414">
                  <c:v>40426</c:v>
                </c:pt>
                <c:pt idx="415">
                  <c:v>40419</c:v>
                </c:pt>
                <c:pt idx="416">
                  <c:v>40412</c:v>
                </c:pt>
                <c:pt idx="417">
                  <c:v>40405</c:v>
                </c:pt>
                <c:pt idx="418">
                  <c:v>40398</c:v>
                </c:pt>
                <c:pt idx="419">
                  <c:v>40391</c:v>
                </c:pt>
                <c:pt idx="420">
                  <c:v>40384</c:v>
                </c:pt>
                <c:pt idx="421">
                  <c:v>40377</c:v>
                </c:pt>
                <c:pt idx="422">
                  <c:v>40370</c:v>
                </c:pt>
                <c:pt idx="423">
                  <c:v>40363</c:v>
                </c:pt>
                <c:pt idx="424">
                  <c:v>40356</c:v>
                </c:pt>
                <c:pt idx="425">
                  <c:v>40349</c:v>
                </c:pt>
                <c:pt idx="426">
                  <c:v>40342</c:v>
                </c:pt>
                <c:pt idx="427">
                  <c:v>40335</c:v>
                </c:pt>
                <c:pt idx="428">
                  <c:v>40328</c:v>
                </c:pt>
                <c:pt idx="429">
                  <c:v>40321</c:v>
                </c:pt>
                <c:pt idx="430">
                  <c:v>40314</c:v>
                </c:pt>
                <c:pt idx="431">
                  <c:v>40307</c:v>
                </c:pt>
                <c:pt idx="432">
                  <c:v>40300</c:v>
                </c:pt>
                <c:pt idx="433">
                  <c:v>40293</c:v>
                </c:pt>
                <c:pt idx="434">
                  <c:v>40286</c:v>
                </c:pt>
                <c:pt idx="435">
                  <c:v>40279</c:v>
                </c:pt>
                <c:pt idx="436">
                  <c:v>40272</c:v>
                </c:pt>
                <c:pt idx="437">
                  <c:v>40265</c:v>
                </c:pt>
                <c:pt idx="438">
                  <c:v>40258</c:v>
                </c:pt>
                <c:pt idx="439">
                  <c:v>40251</c:v>
                </c:pt>
                <c:pt idx="440">
                  <c:v>40244</c:v>
                </c:pt>
                <c:pt idx="441">
                  <c:v>40237</c:v>
                </c:pt>
                <c:pt idx="442">
                  <c:v>40230</c:v>
                </c:pt>
                <c:pt idx="443">
                  <c:v>40223</c:v>
                </c:pt>
                <c:pt idx="444">
                  <c:v>40216</c:v>
                </c:pt>
                <c:pt idx="445">
                  <c:v>40209</c:v>
                </c:pt>
                <c:pt idx="446">
                  <c:v>40202</c:v>
                </c:pt>
                <c:pt idx="447">
                  <c:v>40195</c:v>
                </c:pt>
                <c:pt idx="448">
                  <c:v>40188</c:v>
                </c:pt>
                <c:pt idx="449">
                  <c:v>40181</c:v>
                </c:pt>
                <c:pt idx="450">
                  <c:v>40174</c:v>
                </c:pt>
                <c:pt idx="451">
                  <c:v>40167</c:v>
                </c:pt>
                <c:pt idx="452">
                  <c:v>40160</c:v>
                </c:pt>
                <c:pt idx="453">
                  <c:v>40153</c:v>
                </c:pt>
                <c:pt idx="454">
                  <c:v>40146</c:v>
                </c:pt>
                <c:pt idx="455">
                  <c:v>40139</c:v>
                </c:pt>
                <c:pt idx="456">
                  <c:v>40132</c:v>
                </c:pt>
                <c:pt idx="457">
                  <c:v>40125</c:v>
                </c:pt>
                <c:pt idx="458">
                  <c:v>40118</c:v>
                </c:pt>
                <c:pt idx="459">
                  <c:v>40111</c:v>
                </c:pt>
                <c:pt idx="460">
                  <c:v>40104</c:v>
                </c:pt>
                <c:pt idx="461">
                  <c:v>40097</c:v>
                </c:pt>
                <c:pt idx="462">
                  <c:v>40090</c:v>
                </c:pt>
                <c:pt idx="463">
                  <c:v>40083</c:v>
                </c:pt>
                <c:pt idx="464">
                  <c:v>40076</c:v>
                </c:pt>
                <c:pt idx="465">
                  <c:v>40069</c:v>
                </c:pt>
                <c:pt idx="466">
                  <c:v>40062</c:v>
                </c:pt>
                <c:pt idx="467">
                  <c:v>40055</c:v>
                </c:pt>
                <c:pt idx="468">
                  <c:v>40048</c:v>
                </c:pt>
                <c:pt idx="469">
                  <c:v>40041</c:v>
                </c:pt>
                <c:pt idx="470">
                  <c:v>40034</c:v>
                </c:pt>
                <c:pt idx="471">
                  <c:v>40027</c:v>
                </c:pt>
                <c:pt idx="472">
                  <c:v>40020</c:v>
                </c:pt>
                <c:pt idx="473">
                  <c:v>40013</c:v>
                </c:pt>
                <c:pt idx="474">
                  <c:v>40006</c:v>
                </c:pt>
                <c:pt idx="475">
                  <c:v>39999</c:v>
                </c:pt>
                <c:pt idx="476">
                  <c:v>39992</c:v>
                </c:pt>
                <c:pt idx="477">
                  <c:v>39985</c:v>
                </c:pt>
                <c:pt idx="478">
                  <c:v>39978</c:v>
                </c:pt>
                <c:pt idx="479">
                  <c:v>39971</c:v>
                </c:pt>
                <c:pt idx="480">
                  <c:v>39964</c:v>
                </c:pt>
                <c:pt idx="481">
                  <c:v>39957</c:v>
                </c:pt>
                <c:pt idx="482">
                  <c:v>39950</c:v>
                </c:pt>
                <c:pt idx="483">
                  <c:v>39943</c:v>
                </c:pt>
                <c:pt idx="484">
                  <c:v>39936</c:v>
                </c:pt>
                <c:pt idx="485">
                  <c:v>39929</c:v>
                </c:pt>
                <c:pt idx="486">
                  <c:v>39922</c:v>
                </c:pt>
                <c:pt idx="487">
                  <c:v>39915</c:v>
                </c:pt>
                <c:pt idx="488">
                  <c:v>39908</c:v>
                </c:pt>
                <c:pt idx="489">
                  <c:v>39901</c:v>
                </c:pt>
                <c:pt idx="490">
                  <c:v>39894</c:v>
                </c:pt>
                <c:pt idx="491">
                  <c:v>39887</c:v>
                </c:pt>
                <c:pt idx="492">
                  <c:v>39880</c:v>
                </c:pt>
                <c:pt idx="493">
                  <c:v>39873</c:v>
                </c:pt>
                <c:pt idx="494">
                  <c:v>39866</c:v>
                </c:pt>
                <c:pt idx="495">
                  <c:v>39859</c:v>
                </c:pt>
                <c:pt idx="496">
                  <c:v>39852</c:v>
                </c:pt>
                <c:pt idx="497">
                  <c:v>39845</c:v>
                </c:pt>
                <c:pt idx="498">
                  <c:v>39838</c:v>
                </c:pt>
                <c:pt idx="499">
                  <c:v>39831</c:v>
                </c:pt>
                <c:pt idx="500">
                  <c:v>39824</c:v>
                </c:pt>
                <c:pt idx="501">
                  <c:v>39817</c:v>
                </c:pt>
                <c:pt idx="502">
                  <c:v>39810</c:v>
                </c:pt>
                <c:pt idx="503">
                  <c:v>39803</c:v>
                </c:pt>
                <c:pt idx="504">
                  <c:v>39796</c:v>
                </c:pt>
                <c:pt idx="505">
                  <c:v>39789</c:v>
                </c:pt>
                <c:pt idx="506">
                  <c:v>39782</c:v>
                </c:pt>
                <c:pt idx="507">
                  <c:v>39775</c:v>
                </c:pt>
                <c:pt idx="508">
                  <c:v>39768</c:v>
                </c:pt>
                <c:pt idx="509">
                  <c:v>39761</c:v>
                </c:pt>
                <c:pt idx="510">
                  <c:v>39754</c:v>
                </c:pt>
                <c:pt idx="511">
                  <c:v>39747</c:v>
                </c:pt>
                <c:pt idx="512">
                  <c:v>39740</c:v>
                </c:pt>
                <c:pt idx="513">
                  <c:v>39733</c:v>
                </c:pt>
                <c:pt idx="514">
                  <c:v>39726</c:v>
                </c:pt>
                <c:pt idx="515">
                  <c:v>39719</c:v>
                </c:pt>
                <c:pt idx="516">
                  <c:v>39712</c:v>
                </c:pt>
                <c:pt idx="517">
                  <c:v>39705</c:v>
                </c:pt>
                <c:pt idx="518">
                  <c:v>39698</c:v>
                </c:pt>
                <c:pt idx="519">
                  <c:v>39691</c:v>
                </c:pt>
                <c:pt idx="520">
                  <c:v>39684</c:v>
                </c:pt>
                <c:pt idx="521">
                  <c:v>39677</c:v>
                </c:pt>
                <c:pt idx="522">
                  <c:v>39670</c:v>
                </c:pt>
                <c:pt idx="523">
                  <c:v>39663</c:v>
                </c:pt>
                <c:pt idx="524">
                  <c:v>39656</c:v>
                </c:pt>
                <c:pt idx="525">
                  <c:v>39649</c:v>
                </c:pt>
                <c:pt idx="526">
                  <c:v>39642</c:v>
                </c:pt>
                <c:pt idx="527">
                  <c:v>39635</c:v>
                </c:pt>
                <c:pt idx="528">
                  <c:v>39628</c:v>
                </c:pt>
                <c:pt idx="529">
                  <c:v>39621</c:v>
                </c:pt>
                <c:pt idx="530">
                  <c:v>39614</c:v>
                </c:pt>
                <c:pt idx="531">
                  <c:v>39607</c:v>
                </c:pt>
                <c:pt idx="532">
                  <c:v>39600</c:v>
                </c:pt>
                <c:pt idx="533">
                  <c:v>39593</c:v>
                </c:pt>
                <c:pt idx="534">
                  <c:v>39586</c:v>
                </c:pt>
                <c:pt idx="535">
                  <c:v>39579</c:v>
                </c:pt>
                <c:pt idx="536">
                  <c:v>39572</c:v>
                </c:pt>
                <c:pt idx="537">
                  <c:v>39565</c:v>
                </c:pt>
                <c:pt idx="538">
                  <c:v>39558</c:v>
                </c:pt>
                <c:pt idx="539">
                  <c:v>39551</c:v>
                </c:pt>
                <c:pt idx="540">
                  <c:v>39544</c:v>
                </c:pt>
                <c:pt idx="541">
                  <c:v>39537</c:v>
                </c:pt>
                <c:pt idx="542">
                  <c:v>39530</c:v>
                </c:pt>
                <c:pt idx="543">
                  <c:v>39523</c:v>
                </c:pt>
                <c:pt idx="544">
                  <c:v>39516</c:v>
                </c:pt>
                <c:pt idx="545">
                  <c:v>39509</c:v>
                </c:pt>
                <c:pt idx="546">
                  <c:v>39502</c:v>
                </c:pt>
                <c:pt idx="547">
                  <c:v>39495</c:v>
                </c:pt>
                <c:pt idx="548">
                  <c:v>39488</c:v>
                </c:pt>
                <c:pt idx="549">
                  <c:v>39481</c:v>
                </c:pt>
                <c:pt idx="550">
                  <c:v>39474</c:v>
                </c:pt>
                <c:pt idx="551">
                  <c:v>39467</c:v>
                </c:pt>
                <c:pt idx="552">
                  <c:v>39460</c:v>
                </c:pt>
                <c:pt idx="553">
                  <c:v>39453</c:v>
                </c:pt>
                <c:pt idx="554">
                  <c:v>39446</c:v>
                </c:pt>
                <c:pt idx="555">
                  <c:v>39439</c:v>
                </c:pt>
                <c:pt idx="556">
                  <c:v>39432</c:v>
                </c:pt>
                <c:pt idx="557">
                  <c:v>39425</c:v>
                </c:pt>
                <c:pt idx="558">
                  <c:v>39418</c:v>
                </c:pt>
                <c:pt idx="559">
                  <c:v>39411</c:v>
                </c:pt>
                <c:pt idx="560">
                  <c:v>39404</c:v>
                </c:pt>
                <c:pt idx="561">
                  <c:v>39397</c:v>
                </c:pt>
                <c:pt idx="562">
                  <c:v>39390</c:v>
                </c:pt>
                <c:pt idx="563">
                  <c:v>39383</c:v>
                </c:pt>
                <c:pt idx="564">
                  <c:v>39376</c:v>
                </c:pt>
                <c:pt idx="565">
                  <c:v>39369</c:v>
                </c:pt>
                <c:pt idx="566">
                  <c:v>39362</c:v>
                </c:pt>
                <c:pt idx="567">
                  <c:v>39355</c:v>
                </c:pt>
                <c:pt idx="568">
                  <c:v>39348</c:v>
                </c:pt>
                <c:pt idx="569">
                  <c:v>39341</c:v>
                </c:pt>
                <c:pt idx="570">
                  <c:v>39334</c:v>
                </c:pt>
                <c:pt idx="571">
                  <c:v>39327</c:v>
                </c:pt>
                <c:pt idx="572">
                  <c:v>39320</c:v>
                </c:pt>
                <c:pt idx="573">
                  <c:v>39313</c:v>
                </c:pt>
                <c:pt idx="574">
                  <c:v>39306</c:v>
                </c:pt>
                <c:pt idx="575">
                  <c:v>39299</c:v>
                </c:pt>
                <c:pt idx="576">
                  <c:v>39292</c:v>
                </c:pt>
                <c:pt idx="577">
                  <c:v>39285</c:v>
                </c:pt>
                <c:pt idx="578">
                  <c:v>39278</c:v>
                </c:pt>
                <c:pt idx="579">
                  <c:v>39271</c:v>
                </c:pt>
                <c:pt idx="580">
                  <c:v>39264</c:v>
                </c:pt>
                <c:pt idx="581">
                  <c:v>39257</c:v>
                </c:pt>
                <c:pt idx="582">
                  <c:v>39250</c:v>
                </c:pt>
                <c:pt idx="583">
                  <c:v>39243</c:v>
                </c:pt>
                <c:pt idx="584">
                  <c:v>39236</c:v>
                </c:pt>
                <c:pt idx="585">
                  <c:v>39229</c:v>
                </c:pt>
                <c:pt idx="586">
                  <c:v>39222</c:v>
                </c:pt>
                <c:pt idx="587">
                  <c:v>39215</c:v>
                </c:pt>
                <c:pt idx="588">
                  <c:v>39208</c:v>
                </c:pt>
                <c:pt idx="589">
                  <c:v>39201</c:v>
                </c:pt>
                <c:pt idx="590">
                  <c:v>39194</c:v>
                </c:pt>
                <c:pt idx="591">
                  <c:v>39187</c:v>
                </c:pt>
                <c:pt idx="592">
                  <c:v>39180</c:v>
                </c:pt>
                <c:pt idx="593">
                  <c:v>39173</c:v>
                </c:pt>
                <c:pt idx="594">
                  <c:v>39166</c:v>
                </c:pt>
                <c:pt idx="595">
                  <c:v>39159</c:v>
                </c:pt>
                <c:pt idx="596">
                  <c:v>39152</c:v>
                </c:pt>
                <c:pt idx="597">
                  <c:v>39145</c:v>
                </c:pt>
                <c:pt idx="598">
                  <c:v>39138</c:v>
                </c:pt>
                <c:pt idx="599">
                  <c:v>39131</c:v>
                </c:pt>
                <c:pt idx="600">
                  <c:v>39124</c:v>
                </c:pt>
                <c:pt idx="601">
                  <c:v>39117</c:v>
                </c:pt>
                <c:pt idx="602">
                  <c:v>39110</c:v>
                </c:pt>
                <c:pt idx="603">
                  <c:v>39103</c:v>
                </c:pt>
                <c:pt idx="604">
                  <c:v>39096</c:v>
                </c:pt>
                <c:pt idx="605">
                  <c:v>39089</c:v>
                </c:pt>
                <c:pt idx="606">
                  <c:v>39082</c:v>
                </c:pt>
                <c:pt idx="607">
                  <c:v>39075</c:v>
                </c:pt>
                <c:pt idx="608">
                  <c:v>39068</c:v>
                </c:pt>
                <c:pt idx="609">
                  <c:v>39061</c:v>
                </c:pt>
                <c:pt idx="610">
                  <c:v>39054</c:v>
                </c:pt>
                <c:pt idx="611">
                  <c:v>39047</c:v>
                </c:pt>
                <c:pt idx="612">
                  <c:v>39040</c:v>
                </c:pt>
                <c:pt idx="613">
                  <c:v>39033</c:v>
                </c:pt>
                <c:pt idx="614">
                  <c:v>39026</c:v>
                </c:pt>
                <c:pt idx="615">
                  <c:v>39019</c:v>
                </c:pt>
                <c:pt idx="616">
                  <c:v>39012</c:v>
                </c:pt>
                <c:pt idx="617">
                  <c:v>39005</c:v>
                </c:pt>
                <c:pt idx="618">
                  <c:v>38998</c:v>
                </c:pt>
                <c:pt idx="619">
                  <c:v>38991</c:v>
                </c:pt>
                <c:pt idx="620">
                  <c:v>38984</c:v>
                </c:pt>
                <c:pt idx="621">
                  <c:v>38977</c:v>
                </c:pt>
                <c:pt idx="622">
                  <c:v>38970</c:v>
                </c:pt>
                <c:pt idx="623">
                  <c:v>38963</c:v>
                </c:pt>
                <c:pt idx="624">
                  <c:v>38956</c:v>
                </c:pt>
                <c:pt idx="625">
                  <c:v>38949</c:v>
                </c:pt>
                <c:pt idx="626">
                  <c:v>38942</c:v>
                </c:pt>
                <c:pt idx="627">
                  <c:v>38935</c:v>
                </c:pt>
                <c:pt idx="628">
                  <c:v>38928</c:v>
                </c:pt>
                <c:pt idx="629">
                  <c:v>38921</c:v>
                </c:pt>
                <c:pt idx="630">
                  <c:v>38914</c:v>
                </c:pt>
                <c:pt idx="631">
                  <c:v>38907</c:v>
                </c:pt>
                <c:pt idx="632">
                  <c:v>38900</c:v>
                </c:pt>
                <c:pt idx="633">
                  <c:v>38893</c:v>
                </c:pt>
                <c:pt idx="634">
                  <c:v>38886</c:v>
                </c:pt>
                <c:pt idx="635">
                  <c:v>38879</c:v>
                </c:pt>
                <c:pt idx="636">
                  <c:v>38872</c:v>
                </c:pt>
                <c:pt idx="637">
                  <c:v>38865</c:v>
                </c:pt>
                <c:pt idx="638">
                  <c:v>38858</c:v>
                </c:pt>
                <c:pt idx="639">
                  <c:v>38851</c:v>
                </c:pt>
                <c:pt idx="640">
                  <c:v>38844</c:v>
                </c:pt>
                <c:pt idx="641">
                  <c:v>38837</c:v>
                </c:pt>
                <c:pt idx="642">
                  <c:v>38830</c:v>
                </c:pt>
                <c:pt idx="643">
                  <c:v>38823</c:v>
                </c:pt>
                <c:pt idx="644">
                  <c:v>38816</c:v>
                </c:pt>
                <c:pt idx="645">
                  <c:v>38809</c:v>
                </c:pt>
                <c:pt idx="646">
                  <c:v>38802</c:v>
                </c:pt>
                <c:pt idx="647">
                  <c:v>38795</c:v>
                </c:pt>
                <c:pt idx="648">
                  <c:v>38788</c:v>
                </c:pt>
                <c:pt idx="649">
                  <c:v>38781</c:v>
                </c:pt>
                <c:pt idx="650">
                  <c:v>38774</c:v>
                </c:pt>
                <c:pt idx="651">
                  <c:v>38767</c:v>
                </c:pt>
                <c:pt idx="652">
                  <c:v>38760</c:v>
                </c:pt>
                <c:pt idx="653">
                  <c:v>38753</c:v>
                </c:pt>
                <c:pt idx="654">
                  <c:v>38746</c:v>
                </c:pt>
                <c:pt idx="655">
                  <c:v>38739</c:v>
                </c:pt>
                <c:pt idx="656">
                  <c:v>38732</c:v>
                </c:pt>
                <c:pt idx="657">
                  <c:v>38725</c:v>
                </c:pt>
                <c:pt idx="658">
                  <c:v>38718</c:v>
                </c:pt>
                <c:pt idx="659">
                  <c:v>38711</c:v>
                </c:pt>
                <c:pt idx="660">
                  <c:v>38704</c:v>
                </c:pt>
                <c:pt idx="661">
                  <c:v>38697</c:v>
                </c:pt>
                <c:pt idx="662">
                  <c:v>38690</c:v>
                </c:pt>
                <c:pt idx="663">
                  <c:v>38683</c:v>
                </c:pt>
                <c:pt idx="664">
                  <c:v>38676</c:v>
                </c:pt>
                <c:pt idx="665">
                  <c:v>38669</c:v>
                </c:pt>
                <c:pt idx="666">
                  <c:v>38662</c:v>
                </c:pt>
                <c:pt idx="667">
                  <c:v>38655</c:v>
                </c:pt>
                <c:pt idx="668">
                  <c:v>38648</c:v>
                </c:pt>
                <c:pt idx="669">
                  <c:v>38641</c:v>
                </c:pt>
                <c:pt idx="670">
                  <c:v>38634</c:v>
                </c:pt>
                <c:pt idx="671">
                  <c:v>38627</c:v>
                </c:pt>
                <c:pt idx="672">
                  <c:v>38620</c:v>
                </c:pt>
                <c:pt idx="673">
                  <c:v>38613</c:v>
                </c:pt>
                <c:pt idx="674">
                  <c:v>38606</c:v>
                </c:pt>
                <c:pt idx="675">
                  <c:v>38599</c:v>
                </c:pt>
                <c:pt idx="676">
                  <c:v>38592</c:v>
                </c:pt>
                <c:pt idx="677">
                  <c:v>38585</c:v>
                </c:pt>
                <c:pt idx="678">
                  <c:v>38578</c:v>
                </c:pt>
                <c:pt idx="679">
                  <c:v>38571</c:v>
                </c:pt>
                <c:pt idx="680">
                  <c:v>38564</c:v>
                </c:pt>
                <c:pt idx="681">
                  <c:v>38557</c:v>
                </c:pt>
                <c:pt idx="682">
                  <c:v>38550</c:v>
                </c:pt>
                <c:pt idx="683">
                  <c:v>38543</c:v>
                </c:pt>
                <c:pt idx="684">
                  <c:v>38536</c:v>
                </c:pt>
                <c:pt idx="685">
                  <c:v>38529</c:v>
                </c:pt>
                <c:pt idx="686">
                  <c:v>38522</c:v>
                </c:pt>
                <c:pt idx="687">
                  <c:v>38515</c:v>
                </c:pt>
                <c:pt idx="688">
                  <c:v>38508</c:v>
                </c:pt>
                <c:pt idx="689">
                  <c:v>38501</c:v>
                </c:pt>
                <c:pt idx="690">
                  <c:v>38494</c:v>
                </c:pt>
                <c:pt idx="691">
                  <c:v>38487</c:v>
                </c:pt>
                <c:pt idx="692">
                  <c:v>38480</c:v>
                </c:pt>
                <c:pt idx="693">
                  <c:v>38473</c:v>
                </c:pt>
                <c:pt idx="694">
                  <c:v>38466</c:v>
                </c:pt>
                <c:pt idx="695">
                  <c:v>38459</c:v>
                </c:pt>
                <c:pt idx="696">
                  <c:v>38452</c:v>
                </c:pt>
                <c:pt idx="697">
                  <c:v>38445</c:v>
                </c:pt>
                <c:pt idx="698">
                  <c:v>38438</c:v>
                </c:pt>
                <c:pt idx="699">
                  <c:v>38431</c:v>
                </c:pt>
                <c:pt idx="700">
                  <c:v>38424</c:v>
                </c:pt>
                <c:pt idx="701">
                  <c:v>38417</c:v>
                </c:pt>
                <c:pt idx="702">
                  <c:v>38410</c:v>
                </c:pt>
                <c:pt idx="703">
                  <c:v>38403</c:v>
                </c:pt>
                <c:pt idx="704">
                  <c:v>38396</c:v>
                </c:pt>
                <c:pt idx="705">
                  <c:v>38389</c:v>
                </c:pt>
                <c:pt idx="706">
                  <c:v>38382</c:v>
                </c:pt>
                <c:pt idx="707">
                  <c:v>38375</c:v>
                </c:pt>
                <c:pt idx="708">
                  <c:v>38368</c:v>
                </c:pt>
                <c:pt idx="709">
                  <c:v>38361</c:v>
                </c:pt>
                <c:pt idx="710">
                  <c:v>38354</c:v>
                </c:pt>
                <c:pt idx="711">
                  <c:v>38347</c:v>
                </c:pt>
                <c:pt idx="712">
                  <c:v>38340</c:v>
                </c:pt>
                <c:pt idx="713">
                  <c:v>38333</c:v>
                </c:pt>
                <c:pt idx="714">
                  <c:v>38326</c:v>
                </c:pt>
                <c:pt idx="715">
                  <c:v>38319</c:v>
                </c:pt>
                <c:pt idx="716">
                  <c:v>38312</c:v>
                </c:pt>
                <c:pt idx="717">
                  <c:v>38305</c:v>
                </c:pt>
                <c:pt idx="718">
                  <c:v>38298</c:v>
                </c:pt>
                <c:pt idx="719">
                  <c:v>38291</c:v>
                </c:pt>
                <c:pt idx="720">
                  <c:v>38284</c:v>
                </c:pt>
                <c:pt idx="721">
                  <c:v>38277</c:v>
                </c:pt>
                <c:pt idx="722">
                  <c:v>38270</c:v>
                </c:pt>
                <c:pt idx="723">
                  <c:v>38263</c:v>
                </c:pt>
                <c:pt idx="724">
                  <c:v>38256</c:v>
                </c:pt>
                <c:pt idx="725">
                  <c:v>38249</c:v>
                </c:pt>
                <c:pt idx="726">
                  <c:v>38242</c:v>
                </c:pt>
                <c:pt idx="727">
                  <c:v>38235</c:v>
                </c:pt>
                <c:pt idx="728">
                  <c:v>38228</c:v>
                </c:pt>
                <c:pt idx="729">
                  <c:v>38221</c:v>
                </c:pt>
                <c:pt idx="730">
                  <c:v>38214</c:v>
                </c:pt>
                <c:pt idx="731">
                  <c:v>38207</c:v>
                </c:pt>
                <c:pt idx="732">
                  <c:v>38200</c:v>
                </c:pt>
                <c:pt idx="733">
                  <c:v>38193</c:v>
                </c:pt>
                <c:pt idx="734">
                  <c:v>38186</c:v>
                </c:pt>
                <c:pt idx="735">
                  <c:v>38179</c:v>
                </c:pt>
                <c:pt idx="736">
                  <c:v>38172</c:v>
                </c:pt>
                <c:pt idx="737">
                  <c:v>38165</c:v>
                </c:pt>
                <c:pt idx="738">
                  <c:v>38158</c:v>
                </c:pt>
                <c:pt idx="739">
                  <c:v>38151</c:v>
                </c:pt>
                <c:pt idx="740">
                  <c:v>38144</c:v>
                </c:pt>
                <c:pt idx="741">
                  <c:v>38137</c:v>
                </c:pt>
                <c:pt idx="742">
                  <c:v>38130</c:v>
                </c:pt>
                <c:pt idx="743">
                  <c:v>38123</c:v>
                </c:pt>
                <c:pt idx="744">
                  <c:v>38116</c:v>
                </c:pt>
                <c:pt idx="745">
                  <c:v>38109</c:v>
                </c:pt>
                <c:pt idx="746">
                  <c:v>38102</c:v>
                </c:pt>
                <c:pt idx="747">
                  <c:v>38095</c:v>
                </c:pt>
                <c:pt idx="748">
                  <c:v>38088</c:v>
                </c:pt>
                <c:pt idx="749">
                  <c:v>38081</c:v>
                </c:pt>
                <c:pt idx="750">
                  <c:v>38074</c:v>
                </c:pt>
                <c:pt idx="751">
                  <c:v>38067</c:v>
                </c:pt>
                <c:pt idx="752">
                  <c:v>38060</c:v>
                </c:pt>
                <c:pt idx="753">
                  <c:v>38053</c:v>
                </c:pt>
                <c:pt idx="754">
                  <c:v>38046</c:v>
                </c:pt>
                <c:pt idx="755">
                  <c:v>38039</c:v>
                </c:pt>
                <c:pt idx="756">
                  <c:v>38032</c:v>
                </c:pt>
                <c:pt idx="757">
                  <c:v>38025</c:v>
                </c:pt>
                <c:pt idx="758">
                  <c:v>38018</c:v>
                </c:pt>
                <c:pt idx="759">
                  <c:v>38011</c:v>
                </c:pt>
                <c:pt idx="760">
                  <c:v>38004</c:v>
                </c:pt>
                <c:pt idx="761">
                  <c:v>37997</c:v>
                </c:pt>
                <c:pt idx="762">
                  <c:v>37990</c:v>
                </c:pt>
                <c:pt idx="763">
                  <c:v>37983</c:v>
                </c:pt>
                <c:pt idx="764">
                  <c:v>37976</c:v>
                </c:pt>
                <c:pt idx="765">
                  <c:v>37969</c:v>
                </c:pt>
                <c:pt idx="766">
                  <c:v>37962</c:v>
                </c:pt>
                <c:pt idx="767">
                  <c:v>37955</c:v>
                </c:pt>
                <c:pt idx="768">
                  <c:v>37948</c:v>
                </c:pt>
                <c:pt idx="769">
                  <c:v>37941</c:v>
                </c:pt>
                <c:pt idx="770">
                  <c:v>37934</c:v>
                </c:pt>
                <c:pt idx="771">
                  <c:v>37927</c:v>
                </c:pt>
                <c:pt idx="772">
                  <c:v>37920</c:v>
                </c:pt>
                <c:pt idx="773">
                  <c:v>37913</c:v>
                </c:pt>
                <c:pt idx="774">
                  <c:v>37906</c:v>
                </c:pt>
                <c:pt idx="775">
                  <c:v>37899</c:v>
                </c:pt>
                <c:pt idx="776">
                  <c:v>37892</c:v>
                </c:pt>
                <c:pt idx="777">
                  <c:v>37885</c:v>
                </c:pt>
                <c:pt idx="778">
                  <c:v>37878</c:v>
                </c:pt>
                <c:pt idx="779">
                  <c:v>37871</c:v>
                </c:pt>
                <c:pt idx="780">
                  <c:v>37864</c:v>
                </c:pt>
                <c:pt idx="781">
                  <c:v>37857</c:v>
                </c:pt>
                <c:pt idx="782">
                  <c:v>37850</c:v>
                </c:pt>
                <c:pt idx="783">
                  <c:v>37843</c:v>
                </c:pt>
                <c:pt idx="784">
                  <c:v>37836</c:v>
                </c:pt>
                <c:pt idx="785">
                  <c:v>37829</c:v>
                </c:pt>
                <c:pt idx="786">
                  <c:v>37822</c:v>
                </c:pt>
                <c:pt idx="787">
                  <c:v>37815</c:v>
                </c:pt>
                <c:pt idx="788">
                  <c:v>37808</c:v>
                </c:pt>
                <c:pt idx="789">
                  <c:v>37801</c:v>
                </c:pt>
                <c:pt idx="790">
                  <c:v>37794</c:v>
                </c:pt>
                <c:pt idx="791">
                  <c:v>37787</c:v>
                </c:pt>
                <c:pt idx="792">
                  <c:v>37780</c:v>
                </c:pt>
                <c:pt idx="793">
                  <c:v>37773</c:v>
                </c:pt>
                <c:pt idx="794">
                  <c:v>37766</c:v>
                </c:pt>
                <c:pt idx="795">
                  <c:v>37759</c:v>
                </c:pt>
                <c:pt idx="796">
                  <c:v>37752</c:v>
                </c:pt>
                <c:pt idx="797">
                  <c:v>37745</c:v>
                </c:pt>
                <c:pt idx="798">
                  <c:v>37738</c:v>
                </c:pt>
                <c:pt idx="799">
                  <c:v>37731</c:v>
                </c:pt>
                <c:pt idx="800">
                  <c:v>37724</c:v>
                </c:pt>
                <c:pt idx="801">
                  <c:v>37717</c:v>
                </c:pt>
                <c:pt idx="802">
                  <c:v>37710</c:v>
                </c:pt>
                <c:pt idx="803">
                  <c:v>37703</c:v>
                </c:pt>
                <c:pt idx="804">
                  <c:v>37696</c:v>
                </c:pt>
                <c:pt idx="805">
                  <c:v>37689</c:v>
                </c:pt>
                <c:pt idx="806">
                  <c:v>37682</c:v>
                </c:pt>
                <c:pt idx="807">
                  <c:v>37675</c:v>
                </c:pt>
                <c:pt idx="808">
                  <c:v>37668</c:v>
                </c:pt>
                <c:pt idx="809">
                  <c:v>37661</c:v>
                </c:pt>
                <c:pt idx="810">
                  <c:v>37654</c:v>
                </c:pt>
                <c:pt idx="811">
                  <c:v>37647</c:v>
                </c:pt>
                <c:pt idx="812">
                  <c:v>37640</c:v>
                </c:pt>
                <c:pt idx="813">
                  <c:v>37633</c:v>
                </c:pt>
                <c:pt idx="814">
                  <c:v>37626</c:v>
                </c:pt>
                <c:pt idx="815">
                  <c:v>37619</c:v>
                </c:pt>
                <c:pt idx="816">
                  <c:v>37612</c:v>
                </c:pt>
                <c:pt idx="817">
                  <c:v>37605</c:v>
                </c:pt>
                <c:pt idx="818">
                  <c:v>37598</c:v>
                </c:pt>
                <c:pt idx="819">
                  <c:v>37591</c:v>
                </c:pt>
                <c:pt idx="820">
                  <c:v>37584</c:v>
                </c:pt>
                <c:pt idx="821">
                  <c:v>37577</c:v>
                </c:pt>
                <c:pt idx="822">
                  <c:v>37570</c:v>
                </c:pt>
                <c:pt idx="823">
                  <c:v>37563</c:v>
                </c:pt>
                <c:pt idx="824">
                  <c:v>37556</c:v>
                </c:pt>
                <c:pt idx="825">
                  <c:v>37549</c:v>
                </c:pt>
                <c:pt idx="826">
                  <c:v>37542</c:v>
                </c:pt>
                <c:pt idx="827">
                  <c:v>37535</c:v>
                </c:pt>
                <c:pt idx="828">
                  <c:v>37528</c:v>
                </c:pt>
                <c:pt idx="829">
                  <c:v>37521</c:v>
                </c:pt>
                <c:pt idx="830">
                  <c:v>37514</c:v>
                </c:pt>
                <c:pt idx="831">
                  <c:v>37507</c:v>
                </c:pt>
                <c:pt idx="832">
                  <c:v>37500</c:v>
                </c:pt>
                <c:pt idx="833">
                  <c:v>37493</c:v>
                </c:pt>
                <c:pt idx="834">
                  <c:v>37486</c:v>
                </c:pt>
                <c:pt idx="835">
                  <c:v>37479</c:v>
                </c:pt>
                <c:pt idx="836">
                  <c:v>37472</c:v>
                </c:pt>
                <c:pt idx="837">
                  <c:v>37465</c:v>
                </c:pt>
                <c:pt idx="838">
                  <c:v>37458</c:v>
                </c:pt>
                <c:pt idx="839">
                  <c:v>37451</c:v>
                </c:pt>
                <c:pt idx="840">
                  <c:v>37444</c:v>
                </c:pt>
                <c:pt idx="841">
                  <c:v>37437</c:v>
                </c:pt>
                <c:pt idx="842">
                  <c:v>37430</c:v>
                </c:pt>
                <c:pt idx="843">
                  <c:v>37423</c:v>
                </c:pt>
                <c:pt idx="844">
                  <c:v>37416</c:v>
                </c:pt>
                <c:pt idx="845">
                  <c:v>37409</c:v>
                </c:pt>
                <c:pt idx="846">
                  <c:v>37402</c:v>
                </c:pt>
                <c:pt idx="847">
                  <c:v>37395</c:v>
                </c:pt>
                <c:pt idx="848">
                  <c:v>37388</c:v>
                </c:pt>
                <c:pt idx="849">
                  <c:v>37381</c:v>
                </c:pt>
                <c:pt idx="850">
                  <c:v>37374</c:v>
                </c:pt>
                <c:pt idx="851">
                  <c:v>37367</c:v>
                </c:pt>
                <c:pt idx="852">
                  <c:v>37360</c:v>
                </c:pt>
                <c:pt idx="853">
                  <c:v>37353</c:v>
                </c:pt>
                <c:pt idx="854">
                  <c:v>37346</c:v>
                </c:pt>
                <c:pt idx="855">
                  <c:v>37339</c:v>
                </c:pt>
                <c:pt idx="856">
                  <c:v>37332</c:v>
                </c:pt>
                <c:pt idx="857">
                  <c:v>37325</c:v>
                </c:pt>
                <c:pt idx="858">
                  <c:v>37318</c:v>
                </c:pt>
                <c:pt idx="859">
                  <c:v>37311</c:v>
                </c:pt>
                <c:pt idx="860">
                  <c:v>37304</c:v>
                </c:pt>
                <c:pt idx="861">
                  <c:v>37297</c:v>
                </c:pt>
                <c:pt idx="862">
                  <c:v>37290</c:v>
                </c:pt>
                <c:pt idx="863">
                  <c:v>37283</c:v>
                </c:pt>
                <c:pt idx="864">
                  <c:v>37276</c:v>
                </c:pt>
                <c:pt idx="865">
                  <c:v>37269</c:v>
                </c:pt>
                <c:pt idx="866">
                  <c:v>37262</c:v>
                </c:pt>
                <c:pt idx="867">
                  <c:v>37255</c:v>
                </c:pt>
                <c:pt idx="868">
                  <c:v>37248</c:v>
                </c:pt>
                <c:pt idx="869">
                  <c:v>37241</c:v>
                </c:pt>
                <c:pt idx="870">
                  <c:v>37234</c:v>
                </c:pt>
                <c:pt idx="871">
                  <c:v>37227</c:v>
                </c:pt>
                <c:pt idx="872">
                  <c:v>37220</c:v>
                </c:pt>
                <c:pt idx="873">
                  <c:v>37213</c:v>
                </c:pt>
                <c:pt idx="874">
                  <c:v>37206</c:v>
                </c:pt>
                <c:pt idx="875">
                  <c:v>37199</c:v>
                </c:pt>
                <c:pt idx="876">
                  <c:v>37192</c:v>
                </c:pt>
                <c:pt idx="877">
                  <c:v>37185</c:v>
                </c:pt>
                <c:pt idx="878">
                  <c:v>37178</c:v>
                </c:pt>
                <c:pt idx="879">
                  <c:v>37171</c:v>
                </c:pt>
                <c:pt idx="880">
                  <c:v>37164</c:v>
                </c:pt>
                <c:pt idx="881">
                  <c:v>37157</c:v>
                </c:pt>
                <c:pt idx="882">
                  <c:v>37150</c:v>
                </c:pt>
                <c:pt idx="883">
                  <c:v>37143</c:v>
                </c:pt>
                <c:pt idx="884">
                  <c:v>37136</c:v>
                </c:pt>
                <c:pt idx="885">
                  <c:v>37129</c:v>
                </c:pt>
                <c:pt idx="886">
                  <c:v>37122</c:v>
                </c:pt>
                <c:pt idx="887">
                  <c:v>37115</c:v>
                </c:pt>
                <c:pt idx="888">
                  <c:v>37108</c:v>
                </c:pt>
                <c:pt idx="889">
                  <c:v>37101</c:v>
                </c:pt>
                <c:pt idx="890">
                  <c:v>37094</c:v>
                </c:pt>
                <c:pt idx="891">
                  <c:v>37087</c:v>
                </c:pt>
                <c:pt idx="892">
                  <c:v>37080</c:v>
                </c:pt>
                <c:pt idx="893">
                  <c:v>37073</c:v>
                </c:pt>
                <c:pt idx="894">
                  <c:v>37066</c:v>
                </c:pt>
                <c:pt idx="895">
                  <c:v>37059</c:v>
                </c:pt>
                <c:pt idx="896">
                  <c:v>37052</c:v>
                </c:pt>
                <c:pt idx="897">
                  <c:v>37045</c:v>
                </c:pt>
                <c:pt idx="898">
                  <c:v>37038</c:v>
                </c:pt>
                <c:pt idx="899">
                  <c:v>37031</c:v>
                </c:pt>
                <c:pt idx="900">
                  <c:v>37024</c:v>
                </c:pt>
                <c:pt idx="901">
                  <c:v>37017</c:v>
                </c:pt>
                <c:pt idx="902">
                  <c:v>37010</c:v>
                </c:pt>
                <c:pt idx="903">
                  <c:v>37003</c:v>
                </c:pt>
                <c:pt idx="904">
                  <c:v>36996</c:v>
                </c:pt>
                <c:pt idx="905">
                  <c:v>36989</c:v>
                </c:pt>
                <c:pt idx="906">
                  <c:v>36982</c:v>
                </c:pt>
                <c:pt idx="907">
                  <c:v>36975</c:v>
                </c:pt>
                <c:pt idx="908">
                  <c:v>36968</c:v>
                </c:pt>
                <c:pt idx="909">
                  <c:v>36961</c:v>
                </c:pt>
                <c:pt idx="910">
                  <c:v>36954</c:v>
                </c:pt>
                <c:pt idx="911">
                  <c:v>36947</c:v>
                </c:pt>
                <c:pt idx="912">
                  <c:v>36940</c:v>
                </c:pt>
                <c:pt idx="913">
                  <c:v>36933</c:v>
                </c:pt>
                <c:pt idx="914">
                  <c:v>36926</c:v>
                </c:pt>
                <c:pt idx="915">
                  <c:v>36919</c:v>
                </c:pt>
                <c:pt idx="916">
                  <c:v>36912</c:v>
                </c:pt>
                <c:pt idx="917">
                  <c:v>36905</c:v>
                </c:pt>
                <c:pt idx="918">
                  <c:v>36898</c:v>
                </c:pt>
                <c:pt idx="919">
                  <c:v>36891</c:v>
                </c:pt>
                <c:pt idx="920">
                  <c:v>36884</c:v>
                </c:pt>
                <c:pt idx="921">
                  <c:v>36877</c:v>
                </c:pt>
                <c:pt idx="922">
                  <c:v>36870</c:v>
                </c:pt>
                <c:pt idx="923">
                  <c:v>36863</c:v>
                </c:pt>
                <c:pt idx="924">
                  <c:v>36856</c:v>
                </c:pt>
                <c:pt idx="925">
                  <c:v>36849</c:v>
                </c:pt>
                <c:pt idx="926">
                  <c:v>36842</c:v>
                </c:pt>
                <c:pt idx="927">
                  <c:v>36835</c:v>
                </c:pt>
                <c:pt idx="928">
                  <c:v>36828</c:v>
                </c:pt>
                <c:pt idx="929">
                  <c:v>36821</c:v>
                </c:pt>
                <c:pt idx="930">
                  <c:v>36814</c:v>
                </c:pt>
                <c:pt idx="931">
                  <c:v>36807</c:v>
                </c:pt>
                <c:pt idx="932">
                  <c:v>36800</c:v>
                </c:pt>
                <c:pt idx="933">
                  <c:v>36793</c:v>
                </c:pt>
                <c:pt idx="934">
                  <c:v>36786</c:v>
                </c:pt>
                <c:pt idx="935">
                  <c:v>36779</c:v>
                </c:pt>
                <c:pt idx="936">
                  <c:v>36772</c:v>
                </c:pt>
                <c:pt idx="937">
                  <c:v>36765</c:v>
                </c:pt>
                <c:pt idx="938">
                  <c:v>36758</c:v>
                </c:pt>
                <c:pt idx="939">
                  <c:v>36751</c:v>
                </c:pt>
                <c:pt idx="940">
                  <c:v>36744</c:v>
                </c:pt>
                <c:pt idx="941">
                  <c:v>36737</c:v>
                </c:pt>
                <c:pt idx="942">
                  <c:v>36730</c:v>
                </c:pt>
                <c:pt idx="943">
                  <c:v>36723</c:v>
                </c:pt>
                <c:pt idx="944">
                  <c:v>36716</c:v>
                </c:pt>
                <c:pt idx="945">
                  <c:v>36709</c:v>
                </c:pt>
                <c:pt idx="946">
                  <c:v>36702</c:v>
                </c:pt>
                <c:pt idx="947">
                  <c:v>36695</c:v>
                </c:pt>
                <c:pt idx="948">
                  <c:v>36688</c:v>
                </c:pt>
                <c:pt idx="949">
                  <c:v>36681</c:v>
                </c:pt>
                <c:pt idx="950">
                  <c:v>36674</c:v>
                </c:pt>
                <c:pt idx="951">
                  <c:v>36667</c:v>
                </c:pt>
                <c:pt idx="952">
                  <c:v>36660</c:v>
                </c:pt>
                <c:pt idx="953">
                  <c:v>36653</c:v>
                </c:pt>
                <c:pt idx="954">
                  <c:v>36646</c:v>
                </c:pt>
                <c:pt idx="955">
                  <c:v>36639</c:v>
                </c:pt>
                <c:pt idx="956">
                  <c:v>36632</c:v>
                </c:pt>
                <c:pt idx="957">
                  <c:v>36625</c:v>
                </c:pt>
                <c:pt idx="958">
                  <c:v>36618</c:v>
                </c:pt>
                <c:pt idx="959">
                  <c:v>36611</c:v>
                </c:pt>
                <c:pt idx="960">
                  <c:v>36604</c:v>
                </c:pt>
                <c:pt idx="961">
                  <c:v>36597</c:v>
                </c:pt>
                <c:pt idx="962">
                  <c:v>36590</c:v>
                </c:pt>
                <c:pt idx="963">
                  <c:v>36583</c:v>
                </c:pt>
                <c:pt idx="964">
                  <c:v>36576</c:v>
                </c:pt>
                <c:pt idx="965">
                  <c:v>36569</c:v>
                </c:pt>
                <c:pt idx="966">
                  <c:v>36562</c:v>
                </c:pt>
                <c:pt idx="967">
                  <c:v>36555</c:v>
                </c:pt>
                <c:pt idx="968">
                  <c:v>36548</c:v>
                </c:pt>
                <c:pt idx="969">
                  <c:v>36541</c:v>
                </c:pt>
                <c:pt idx="970">
                  <c:v>36534</c:v>
                </c:pt>
                <c:pt idx="971">
                  <c:v>36527</c:v>
                </c:pt>
                <c:pt idx="972">
                  <c:v>36520</c:v>
                </c:pt>
                <c:pt idx="973">
                  <c:v>36513</c:v>
                </c:pt>
                <c:pt idx="974">
                  <c:v>36506</c:v>
                </c:pt>
                <c:pt idx="975">
                  <c:v>36499</c:v>
                </c:pt>
                <c:pt idx="976">
                  <c:v>36492</c:v>
                </c:pt>
                <c:pt idx="977">
                  <c:v>36485</c:v>
                </c:pt>
                <c:pt idx="978">
                  <c:v>36478</c:v>
                </c:pt>
                <c:pt idx="979">
                  <c:v>36471</c:v>
                </c:pt>
                <c:pt idx="980">
                  <c:v>36464</c:v>
                </c:pt>
                <c:pt idx="981">
                  <c:v>36457</c:v>
                </c:pt>
                <c:pt idx="982">
                  <c:v>36450</c:v>
                </c:pt>
                <c:pt idx="983">
                  <c:v>36443</c:v>
                </c:pt>
                <c:pt idx="984">
                  <c:v>36436</c:v>
                </c:pt>
                <c:pt idx="985">
                  <c:v>36429</c:v>
                </c:pt>
                <c:pt idx="986">
                  <c:v>36422</c:v>
                </c:pt>
                <c:pt idx="987">
                  <c:v>36415</c:v>
                </c:pt>
                <c:pt idx="988">
                  <c:v>36408</c:v>
                </c:pt>
                <c:pt idx="989">
                  <c:v>36401</c:v>
                </c:pt>
                <c:pt idx="990">
                  <c:v>36394</c:v>
                </c:pt>
                <c:pt idx="991">
                  <c:v>36387</c:v>
                </c:pt>
                <c:pt idx="992">
                  <c:v>36380</c:v>
                </c:pt>
                <c:pt idx="993">
                  <c:v>36373</c:v>
                </c:pt>
                <c:pt idx="994">
                  <c:v>36366</c:v>
                </c:pt>
                <c:pt idx="995">
                  <c:v>36359</c:v>
                </c:pt>
                <c:pt idx="996">
                  <c:v>36352</c:v>
                </c:pt>
                <c:pt idx="997">
                  <c:v>36345</c:v>
                </c:pt>
                <c:pt idx="998">
                  <c:v>36338</c:v>
                </c:pt>
                <c:pt idx="999">
                  <c:v>36331</c:v>
                </c:pt>
                <c:pt idx="1000">
                  <c:v>36324</c:v>
                </c:pt>
                <c:pt idx="1001">
                  <c:v>36317</c:v>
                </c:pt>
                <c:pt idx="1002">
                  <c:v>36310</c:v>
                </c:pt>
                <c:pt idx="1003">
                  <c:v>36303</c:v>
                </c:pt>
                <c:pt idx="1004">
                  <c:v>36296</c:v>
                </c:pt>
                <c:pt idx="1005">
                  <c:v>36289</c:v>
                </c:pt>
                <c:pt idx="1006">
                  <c:v>36282</c:v>
                </c:pt>
                <c:pt idx="1007">
                  <c:v>36275</c:v>
                </c:pt>
                <c:pt idx="1008">
                  <c:v>36268</c:v>
                </c:pt>
                <c:pt idx="1009">
                  <c:v>36261</c:v>
                </c:pt>
                <c:pt idx="1010">
                  <c:v>36254</c:v>
                </c:pt>
                <c:pt idx="1011">
                  <c:v>36247</c:v>
                </c:pt>
                <c:pt idx="1012">
                  <c:v>36240</c:v>
                </c:pt>
                <c:pt idx="1013">
                  <c:v>36233</c:v>
                </c:pt>
                <c:pt idx="1014">
                  <c:v>36226</c:v>
                </c:pt>
                <c:pt idx="1015">
                  <c:v>36219</c:v>
                </c:pt>
                <c:pt idx="1016">
                  <c:v>36212</c:v>
                </c:pt>
                <c:pt idx="1017">
                  <c:v>36205</c:v>
                </c:pt>
                <c:pt idx="1018">
                  <c:v>36198</c:v>
                </c:pt>
                <c:pt idx="1019">
                  <c:v>36191</c:v>
                </c:pt>
                <c:pt idx="1020">
                  <c:v>36184</c:v>
                </c:pt>
                <c:pt idx="1021">
                  <c:v>36177</c:v>
                </c:pt>
                <c:pt idx="1022">
                  <c:v>36170</c:v>
                </c:pt>
                <c:pt idx="1023">
                  <c:v>36163</c:v>
                </c:pt>
                <c:pt idx="1024">
                  <c:v>36156</c:v>
                </c:pt>
                <c:pt idx="1025">
                  <c:v>36149</c:v>
                </c:pt>
                <c:pt idx="1026">
                  <c:v>36142</c:v>
                </c:pt>
                <c:pt idx="1027">
                  <c:v>36135</c:v>
                </c:pt>
                <c:pt idx="1028">
                  <c:v>36128</c:v>
                </c:pt>
                <c:pt idx="1029">
                  <c:v>36121</c:v>
                </c:pt>
                <c:pt idx="1030">
                  <c:v>36114</c:v>
                </c:pt>
                <c:pt idx="1031">
                  <c:v>36107</c:v>
                </c:pt>
                <c:pt idx="1032">
                  <c:v>36100</c:v>
                </c:pt>
                <c:pt idx="1033">
                  <c:v>36093</c:v>
                </c:pt>
                <c:pt idx="1034">
                  <c:v>36086</c:v>
                </c:pt>
                <c:pt idx="1035">
                  <c:v>36079</c:v>
                </c:pt>
                <c:pt idx="1036">
                  <c:v>36072</c:v>
                </c:pt>
                <c:pt idx="1037">
                  <c:v>36065</c:v>
                </c:pt>
                <c:pt idx="1038">
                  <c:v>36058</c:v>
                </c:pt>
                <c:pt idx="1039">
                  <c:v>36051</c:v>
                </c:pt>
                <c:pt idx="1040">
                  <c:v>36044</c:v>
                </c:pt>
                <c:pt idx="1041">
                  <c:v>36037</c:v>
                </c:pt>
                <c:pt idx="1042">
                  <c:v>36030</c:v>
                </c:pt>
                <c:pt idx="1043">
                  <c:v>36023</c:v>
                </c:pt>
                <c:pt idx="1044">
                  <c:v>36016</c:v>
                </c:pt>
                <c:pt idx="1045">
                  <c:v>36009</c:v>
                </c:pt>
                <c:pt idx="1046">
                  <c:v>36002</c:v>
                </c:pt>
                <c:pt idx="1047">
                  <c:v>35995</c:v>
                </c:pt>
                <c:pt idx="1048">
                  <c:v>35988</c:v>
                </c:pt>
                <c:pt idx="1049">
                  <c:v>35981</c:v>
                </c:pt>
                <c:pt idx="1050">
                  <c:v>35974</c:v>
                </c:pt>
                <c:pt idx="1051">
                  <c:v>35967</c:v>
                </c:pt>
                <c:pt idx="1052">
                  <c:v>35960</c:v>
                </c:pt>
                <c:pt idx="1053">
                  <c:v>35953</c:v>
                </c:pt>
                <c:pt idx="1054">
                  <c:v>35946</c:v>
                </c:pt>
                <c:pt idx="1055">
                  <c:v>35939</c:v>
                </c:pt>
                <c:pt idx="1056">
                  <c:v>35932</c:v>
                </c:pt>
                <c:pt idx="1057">
                  <c:v>35925</c:v>
                </c:pt>
                <c:pt idx="1058">
                  <c:v>35918</c:v>
                </c:pt>
                <c:pt idx="1059">
                  <c:v>35911</c:v>
                </c:pt>
                <c:pt idx="1060">
                  <c:v>35904</c:v>
                </c:pt>
                <c:pt idx="1061">
                  <c:v>35897</c:v>
                </c:pt>
                <c:pt idx="1062">
                  <c:v>35890</c:v>
                </c:pt>
                <c:pt idx="1063">
                  <c:v>35883</c:v>
                </c:pt>
                <c:pt idx="1064">
                  <c:v>35876</c:v>
                </c:pt>
                <c:pt idx="1065">
                  <c:v>35869</c:v>
                </c:pt>
                <c:pt idx="1066">
                  <c:v>35862</c:v>
                </c:pt>
                <c:pt idx="1067">
                  <c:v>35855</c:v>
                </c:pt>
                <c:pt idx="1068">
                  <c:v>35848</c:v>
                </c:pt>
                <c:pt idx="1069">
                  <c:v>35841</c:v>
                </c:pt>
                <c:pt idx="1070">
                  <c:v>35834</c:v>
                </c:pt>
                <c:pt idx="1071">
                  <c:v>35827</c:v>
                </c:pt>
                <c:pt idx="1072">
                  <c:v>35820</c:v>
                </c:pt>
                <c:pt idx="1073">
                  <c:v>35813</c:v>
                </c:pt>
                <c:pt idx="1074">
                  <c:v>35806</c:v>
                </c:pt>
                <c:pt idx="1075">
                  <c:v>35799</c:v>
                </c:pt>
                <c:pt idx="1076">
                  <c:v>35792</c:v>
                </c:pt>
                <c:pt idx="1077">
                  <c:v>35785</c:v>
                </c:pt>
                <c:pt idx="1078">
                  <c:v>35778</c:v>
                </c:pt>
                <c:pt idx="1079">
                  <c:v>35771</c:v>
                </c:pt>
                <c:pt idx="1080">
                  <c:v>35764</c:v>
                </c:pt>
                <c:pt idx="1081">
                  <c:v>35757</c:v>
                </c:pt>
                <c:pt idx="1082">
                  <c:v>35750</c:v>
                </c:pt>
                <c:pt idx="1083">
                  <c:v>35743</c:v>
                </c:pt>
                <c:pt idx="1084">
                  <c:v>35736</c:v>
                </c:pt>
                <c:pt idx="1085">
                  <c:v>35729</c:v>
                </c:pt>
                <c:pt idx="1086">
                  <c:v>35722</c:v>
                </c:pt>
                <c:pt idx="1087">
                  <c:v>35715</c:v>
                </c:pt>
                <c:pt idx="1088">
                  <c:v>35708</c:v>
                </c:pt>
                <c:pt idx="1089">
                  <c:v>35701</c:v>
                </c:pt>
                <c:pt idx="1090">
                  <c:v>35694</c:v>
                </c:pt>
                <c:pt idx="1091">
                  <c:v>35687</c:v>
                </c:pt>
                <c:pt idx="1092">
                  <c:v>35680</c:v>
                </c:pt>
                <c:pt idx="1093">
                  <c:v>35673</c:v>
                </c:pt>
                <c:pt idx="1094">
                  <c:v>35666</c:v>
                </c:pt>
                <c:pt idx="1095">
                  <c:v>35659</c:v>
                </c:pt>
                <c:pt idx="1096">
                  <c:v>35652</c:v>
                </c:pt>
                <c:pt idx="1097">
                  <c:v>35645</c:v>
                </c:pt>
                <c:pt idx="1098">
                  <c:v>35638</c:v>
                </c:pt>
                <c:pt idx="1099">
                  <c:v>35631</c:v>
                </c:pt>
                <c:pt idx="1100">
                  <c:v>35624</c:v>
                </c:pt>
                <c:pt idx="1101">
                  <c:v>35617</c:v>
                </c:pt>
                <c:pt idx="1102">
                  <c:v>35610</c:v>
                </c:pt>
                <c:pt idx="1103">
                  <c:v>35603</c:v>
                </c:pt>
                <c:pt idx="1104">
                  <c:v>35596</c:v>
                </c:pt>
                <c:pt idx="1105">
                  <c:v>35589</c:v>
                </c:pt>
                <c:pt idx="1106">
                  <c:v>35582</c:v>
                </c:pt>
                <c:pt idx="1107">
                  <c:v>35575</c:v>
                </c:pt>
                <c:pt idx="1108">
                  <c:v>35568</c:v>
                </c:pt>
                <c:pt idx="1109">
                  <c:v>35561</c:v>
                </c:pt>
                <c:pt idx="1110">
                  <c:v>35554</c:v>
                </c:pt>
                <c:pt idx="1111">
                  <c:v>35547</c:v>
                </c:pt>
                <c:pt idx="1112">
                  <c:v>35540</c:v>
                </c:pt>
                <c:pt idx="1113">
                  <c:v>35533</c:v>
                </c:pt>
                <c:pt idx="1114">
                  <c:v>35526</c:v>
                </c:pt>
                <c:pt idx="1115">
                  <c:v>35519</c:v>
                </c:pt>
                <c:pt idx="1116">
                  <c:v>35512</c:v>
                </c:pt>
                <c:pt idx="1117">
                  <c:v>35505</c:v>
                </c:pt>
                <c:pt idx="1118">
                  <c:v>35498</c:v>
                </c:pt>
                <c:pt idx="1119">
                  <c:v>35491</c:v>
                </c:pt>
                <c:pt idx="1120">
                  <c:v>35484</c:v>
                </c:pt>
                <c:pt idx="1121">
                  <c:v>35477</c:v>
                </c:pt>
                <c:pt idx="1122">
                  <c:v>35470</c:v>
                </c:pt>
                <c:pt idx="1123">
                  <c:v>35463</c:v>
                </c:pt>
                <c:pt idx="1124">
                  <c:v>35456</c:v>
                </c:pt>
                <c:pt idx="1125">
                  <c:v>35449</c:v>
                </c:pt>
                <c:pt idx="1126">
                  <c:v>35442</c:v>
                </c:pt>
                <c:pt idx="1127">
                  <c:v>35435</c:v>
                </c:pt>
                <c:pt idx="1128">
                  <c:v>35428</c:v>
                </c:pt>
                <c:pt idx="1129">
                  <c:v>35421</c:v>
                </c:pt>
                <c:pt idx="1130">
                  <c:v>35414</c:v>
                </c:pt>
                <c:pt idx="1131">
                  <c:v>35407</c:v>
                </c:pt>
                <c:pt idx="1132">
                  <c:v>35400</c:v>
                </c:pt>
                <c:pt idx="1133">
                  <c:v>35393</c:v>
                </c:pt>
                <c:pt idx="1134">
                  <c:v>35386</c:v>
                </c:pt>
                <c:pt idx="1135">
                  <c:v>35379</c:v>
                </c:pt>
                <c:pt idx="1136">
                  <c:v>35372</c:v>
                </c:pt>
                <c:pt idx="1137">
                  <c:v>35365</c:v>
                </c:pt>
                <c:pt idx="1138">
                  <c:v>35358</c:v>
                </c:pt>
                <c:pt idx="1139">
                  <c:v>35351</c:v>
                </c:pt>
                <c:pt idx="1140">
                  <c:v>35344</c:v>
                </c:pt>
                <c:pt idx="1141">
                  <c:v>35337</c:v>
                </c:pt>
                <c:pt idx="1142">
                  <c:v>35330</c:v>
                </c:pt>
                <c:pt idx="1143">
                  <c:v>35323</c:v>
                </c:pt>
                <c:pt idx="1144">
                  <c:v>35316</c:v>
                </c:pt>
                <c:pt idx="1145">
                  <c:v>35309</c:v>
                </c:pt>
                <c:pt idx="1146">
                  <c:v>35302</c:v>
                </c:pt>
                <c:pt idx="1147">
                  <c:v>35295</c:v>
                </c:pt>
                <c:pt idx="1148">
                  <c:v>35288</c:v>
                </c:pt>
                <c:pt idx="1149">
                  <c:v>35281</c:v>
                </c:pt>
                <c:pt idx="1150">
                  <c:v>35274</c:v>
                </c:pt>
                <c:pt idx="1151">
                  <c:v>35267</c:v>
                </c:pt>
                <c:pt idx="1152">
                  <c:v>35260</c:v>
                </c:pt>
                <c:pt idx="1153">
                  <c:v>35253</c:v>
                </c:pt>
                <c:pt idx="1154">
                  <c:v>35246</c:v>
                </c:pt>
                <c:pt idx="1155">
                  <c:v>35239</c:v>
                </c:pt>
                <c:pt idx="1156">
                  <c:v>35232</c:v>
                </c:pt>
                <c:pt idx="1157">
                  <c:v>35225</c:v>
                </c:pt>
                <c:pt idx="1158">
                  <c:v>35218</c:v>
                </c:pt>
                <c:pt idx="1159">
                  <c:v>35211</c:v>
                </c:pt>
                <c:pt idx="1160">
                  <c:v>35204</c:v>
                </c:pt>
                <c:pt idx="1161">
                  <c:v>35197</c:v>
                </c:pt>
                <c:pt idx="1162">
                  <c:v>35190</c:v>
                </c:pt>
                <c:pt idx="1163">
                  <c:v>35183</c:v>
                </c:pt>
                <c:pt idx="1164">
                  <c:v>35176</c:v>
                </c:pt>
                <c:pt idx="1165">
                  <c:v>35169</c:v>
                </c:pt>
                <c:pt idx="1166">
                  <c:v>35162</c:v>
                </c:pt>
                <c:pt idx="1167">
                  <c:v>35155</c:v>
                </c:pt>
                <c:pt idx="1168">
                  <c:v>35148</c:v>
                </c:pt>
                <c:pt idx="1169">
                  <c:v>35141</c:v>
                </c:pt>
                <c:pt idx="1170">
                  <c:v>35134</c:v>
                </c:pt>
                <c:pt idx="1171">
                  <c:v>35127</c:v>
                </c:pt>
                <c:pt idx="1172">
                  <c:v>35120</c:v>
                </c:pt>
                <c:pt idx="1173">
                  <c:v>35113</c:v>
                </c:pt>
                <c:pt idx="1174">
                  <c:v>35106</c:v>
                </c:pt>
                <c:pt idx="1175">
                  <c:v>35099</c:v>
                </c:pt>
                <c:pt idx="1176">
                  <c:v>35092</c:v>
                </c:pt>
                <c:pt idx="1177">
                  <c:v>35085</c:v>
                </c:pt>
                <c:pt idx="1178">
                  <c:v>35078</c:v>
                </c:pt>
                <c:pt idx="1179">
                  <c:v>35071</c:v>
                </c:pt>
                <c:pt idx="1180">
                  <c:v>35064</c:v>
                </c:pt>
                <c:pt idx="1181">
                  <c:v>35057</c:v>
                </c:pt>
                <c:pt idx="1182">
                  <c:v>35050</c:v>
                </c:pt>
                <c:pt idx="1183">
                  <c:v>35043</c:v>
                </c:pt>
                <c:pt idx="1184">
                  <c:v>35036</c:v>
                </c:pt>
                <c:pt idx="1185">
                  <c:v>35029</c:v>
                </c:pt>
                <c:pt idx="1186">
                  <c:v>35022</c:v>
                </c:pt>
                <c:pt idx="1187">
                  <c:v>35015</c:v>
                </c:pt>
                <c:pt idx="1188">
                  <c:v>35008</c:v>
                </c:pt>
                <c:pt idx="1189">
                  <c:v>35001</c:v>
                </c:pt>
                <c:pt idx="1190">
                  <c:v>34994</c:v>
                </c:pt>
                <c:pt idx="1191">
                  <c:v>34987</c:v>
                </c:pt>
                <c:pt idx="1192">
                  <c:v>34980</c:v>
                </c:pt>
                <c:pt idx="1193">
                  <c:v>34973</c:v>
                </c:pt>
                <c:pt idx="1194">
                  <c:v>34966</c:v>
                </c:pt>
                <c:pt idx="1195">
                  <c:v>34959</c:v>
                </c:pt>
                <c:pt idx="1196">
                  <c:v>34952</c:v>
                </c:pt>
                <c:pt idx="1197">
                  <c:v>34945</c:v>
                </c:pt>
                <c:pt idx="1198">
                  <c:v>34938</c:v>
                </c:pt>
                <c:pt idx="1199">
                  <c:v>34931</c:v>
                </c:pt>
                <c:pt idx="1200">
                  <c:v>34924</c:v>
                </c:pt>
                <c:pt idx="1201">
                  <c:v>34917</c:v>
                </c:pt>
                <c:pt idx="1202">
                  <c:v>34910</c:v>
                </c:pt>
                <c:pt idx="1203">
                  <c:v>34903</c:v>
                </c:pt>
                <c:pt idx="1204">
                  <c:v>34896</c:v>
                </c:pt>
                <c:pt idx="1205">
                  <c:v>34889</c:v>
                </c:pt>
                <c:pt idx="1206">
                  <c:v>34882</c:v>
                </c:pt>
                <c:pt idx="1207">
                  <c:v>34875</c:v>
                </c:pt>
                <c:pt idx="1208">
                  <c:v>34868</c:v>
                </c:pt>
                <c:pt idx="1209">
                  <c:v>34861</c:v>
                </c:pt>
                <c:pt idx="1210">
                  <c:v>34854</c:v>
                </c:pt>
                <c:pt idx="1211">
                  <c:v>34847</c:v>
                </c:pt>
                <c:pt idx="1212">
                  <c:v>34840</c:v>
                </c:pt>
                <c:pt idx="1213">
                  <c:v>34833</c:v>
                </c:pt>
                <c:pt idx="1214">
                  <c:v>34826</c:v>
                </c:pt>
                <c:pt idx="1215">
                  <c:v>34819</c:v>
                </c:pt>
                <c:pt idx="1216">
                  <c:v>34812</c:v>
                </c:pt>
                <c:pt idx="1217">
                  <c:v>34805</c:v>
                </c:pt>
                <c:pt idx="1218">
                  <c:v>34798</c:v>
                </c:pt>
                <c:pt idx="1219">
                  <c:v>34791</c:v>
                </c:pt>
                <c:pt idx="1220">
                  <c:v>34784</c:v>
                </c:pt>
                <c:pt idx="1221">
                  <c:v>34777</c:v>
                </c:pt>
                <c:pt idx="1222">
                  <c:v>34770</c:v>
                </c:pt>
                <c:pt idx="1223">
                  <c:v>34763</c:v>
                </c:pt>
                <c:pt idx="1224">
                  <c:v>34756</c:v>
                </c:pt>
                <c:pt idx="1225">
                  <c:v>34749</c:v>
                </c:pt>
                <c:pt idx="1226">
                  <c:v>34742</c:v>
                </c:pt>
                <c:pt idx="1227">
                  <c:v>34735</c:v>
                </c:pt>
                <c:pt idx="1228">
                  <c:v>34728</c:v>
                </c:pt>
                <c:pt idx="1229">
                  <c:v>34721</c:v>
                </c:pt>
                <c:pt idx="1230">
                  <c:v>34714</c:v>
                </c:pt>
                <c:pt idx="1231">
                  <c:v>34707</c:v>
                </c:pt>
                <c:pt idx="1232">
                  <c:v>34700</c:v>
                </c:pt>
                <c:pt idx="1233">
                  <c:v>34693</c:v>
                </c:pt>
                <c:pt idx="1234">
                  <c:v>34686</c:v>
                </c:pt>
                <c:pt idx="1235">
                  <c:v>34679</c:v>
                </c:pt>
                <c:pt idx="1236">
                  <c:v>34672</c:v>
                </c:pt>
                <c:pt idx="1237">
                  <c:v>34665</c:v>
                </c:pt>
                <c:pt idx="1238">
                  <c:v>34658</c:v>
                </c:pt>
                <c:pt idx="1239">
                  <c:v>34651</c:v>
                </c:pt>
                <c:pt idx="1240">
                  <c:v>34644</c:v>
                </c:pt>
                <c:pt idx="1241">
                  <c:v>34637</c:v>
                </c:pt>
                <c:pt idx="1242">
                  <c:v>34630</c:v>
                </c:pt>
                <c:pt idx="1243">
                  <c:v>34623</c:v>
                </c:pt>
                <c:pt idx="1244">
                  <c:v>34616</c:v>
                </c:pt>
                <c:pt idx="1245">
                  <c:v>34609</c:v>
                </c:pt>
                <c:pt idx="1246">
                  <c:v>34602</c:v>
                </c:pt>
              </c:numCache>
            </c:numRef>
          </c:cat>
          <c:val>
            <c:numRef>
              <c:f>Summary!$AT$3:$AT$1249</c:f>
              <c:numCache>
                <c:formatCode>_(* #,##0.00_);_(* \(#,##0.00\);_(* "-"??_);_(@_)</c:formatCode>
                <c:ptCount val="1247"/>
                <c:pt idx="0">
                  <c:v>190.56727107194905</c:v>
                </c:pt>
                <c:pt idx="1">
                  <c:v>190.49107464209223</c:v>
                </c:pt>
                <c:pt idx="2">
                  <c:v>190.41490867862078</c:v>
                </c:pt>
                <c:pt idx="3">
                  <c:v>190.33877316935303</c:v>
                </c:pt>
                <c:pt idx="4">
                  <c:v>190.2626681021122</c:v>
                </c:pt>
                <c:pt idx="5">
                  <c:v>190.18659346472631</c:v>
                </c:pt>
                <c:pt idx="6">
                  <c:v>190.11054924502832</c:v>
                </c:pt>
                <c:pt idx="7">
                  <c:v>190.03453543085598</c:v>
                </c:pt>
                <c:pt idx="8">
                  <c:v>189.95855201005196</c:v>
                </c:pt>
                <c:pt idx="9">
                  <c:v>189.88259897046379</c:v>
                </c:pt>
                <c:pt idx="10">
                  <c:v>189.80667629994383</c:v>
                </c:pt>
                <c:pt idx="11">
                  <c:v>189.73078398634931</c:v>
                </c:pt>
                <c:pt idx="12">
                  <c:v>189.6549220175423</c:v>
                </c:pt>
                <c:pt idx="13">
                  <c:v>189.57909038138976</c:v>
                </c:pt>
                <c:pt idx="14">
                  <c:v>189.52223371127639</c:v>
                </c:pt>
                <c:pt idx="15">
                  <c:v>189.46539409304847</c:v>
                </c:pt>
                <c:pt idx="16">
                  <c:v>189.40857152159199</c:v>
                </c:pt>
                <c:pt idx="17">
                  <c:v>189.35176599179445</c:v>
                </c:pt>
                <c:pt idx="18">
                  <c:v>189.29497749854488</c:v>
                </c:pt>
                <c:pt idx="19">
                  <c:v>189.23820603673386</c:v>
                </c:pt>
                <c:pt idx="20">
                  <c:v>189.18145160125349</c:v>
                </c:pt>
                <c:pt idx="21">
                  <c:v>189.12471418699738</c:v>
                </c:pt>
                <c:pt idx="22">
                  <c:v>189.06799378886072</c:v>
                </c:pt>
                <c:pt idx="23">
                  <c:v>189.01129040174021</c:v>
                </c:pt>
                <c:pt idx="24">
                  <c:v>188.95460402053405</c:v>
                </c:pt>
                <c:pt idx="25">
                  <c:v>188.89793464014201</c:v>
                </c:pt>
                <c:pt idx="26">
                  <c:v>188.84128225546539</c:v>
                </c:pt>
                <c:pt idx="27">
                  <c:v>188.78464686140697</c:v>
                </c:pt>
                <c:pt idx="28">
                  <c:v>188.72802845287111</c:v>
                </c:pt>
                <c:pt idx="29">
                  <c:v>188.67142702476369</c:v>
                </c:pt>
                <c:pt idx="30">
                  <c:v>188.61484257199209</c:v>
                </c:pt>
                <c:pt idx="31">
                  <c:v>188.55827508946524</c:v>
                </c:pt>
                <c:pt idx="32">
                  <c:v>188.50172457209362</c:v>
                </c:pt>
                <c:pt idx="33">
                  <c:v>188.4451910147892</c:v>
                </c:pt>
                <c:pt idx="34">
                  <c:v>188.38867441246546</c:v>
                </c:pt>
                <c:pt idx="35">
                  <c:v>188.35100421162315</c:v>
                </c:pt>
                <c:pt idx="36">
                  <c:v>188.31334154331449</c:v>
                </c:pt>
                <c:pt idx="37">
                  <c:v>188.27568640603329</c:v>
                </c:pt>
                <c:pt idx="38">
                  <c:v>188.23803879827364</c:v>
                </c:pt>
                <c:pt idx="39">
                  <c:v>188.20039871852993</c:v>
                </c:pt>
                <c:pt idx="40">
                  <c:v>188.16276616529686</c:v>
                </c:pt>
                <c:pt idx="41">
                  <c:v>188.12514113706945</c:v>
                </c:pt>
                <c:pt idx="42">
                  <c:v>188.08752363234299</c:v>
                </c:pt>
                <c:pt idx="43">
                  <c:v>188.04991364961307</c:v>
                </c:pt>
                <c:pt idx="44">
                  <c:v>188.01231118737562</c:v>
                </c:pt>
                <c:pt idx="45">
                  <c:v>187.9747162441268</c:v>
                </c:pt>
                <c:pt idx="46">
                  <c:v>187.93712881836313</c:v>
                </c:pt>
                <c:pt idx="47">
                  <c:v>187.89954890858144</c:v>
                </c:pt>
                <c:pt idx="48">
                  <c:v>187.86197651327879</c:v>
                </c:pt>
                <c:pt idx="49">
                  <c:v>187.8244116309526</c:v>
                </c:pt>
                <c:pt idx="50">
                  <c:v>187.78685426010057</c:v>
                </c:pt>
                <c:pt idx="51">
                  <c:v>187.74930439922073</c:v>
                </c:pt>
                <c:pt idx="52">
                  <c:v>187.71176204681137</c:v>
                </c:pt>
                <c:pt idx="53">
                  <c:v>187.67422720137111</c:v>
                </c:pt>
                <c:pt idx="54">
                  <c:v>187.63669986139882</c:v>
                </c:pt>
                <c:pt idx="55">
                  <c:v>187.59918002539374</c:v>
                </c:pt>
                <c:pt idx="56">
                  <c:v>187.56166769185538</c:v>
                </c:pt>
                <c:pt idx="57">
                  <c:v>187.52416285928354</c:v>
                </c:pt>
                <c:pt idx="58">
                  <c:v>187.48666552617831</c:v>
                </c:pt>
                <c:pt idx="59">
                  <c:v>187.4491756910401</c:v>
                </c:pt>
                <c:pt idx="60">
                  <c:v>187.41169335236964</c:v>
                </c:pt>
                <c:pt idx="61">
                  <c:v>187.37421850866792</c:v>
                </c:pt>
                <c:pt idx="62">
                  <c:v>187.33675115843624</c:v>
                </c:pt>
                <c:pt idx="63">
                  <c:v>187.29929130017621</c:v>
                </c:pt>
                <c:pt idx="64">
                  <c:v>187.26183893238974</c:v>
                </c:pt>
                <c:pt idx="65">
                  <c:v>187.22439405357903</c:v>
                </c:pt>
                <c:pt idx="66">
                  <c:v>187.18695666224659</c:v>
                </c:pt>
                <c:pt idx="67">
                  <c:v>187.1495267568952</c:v>
                </c:pt>
                <c:pt idx="68">
                  <c:v>187.11210433602801</c:v>
                </c:pt>
                <c:pt idx="69">
                  <c:v>187.07468939814839</c:v>
                </c:pt>
                <c:pt idx="70">
                  <c:v>187.03728194176006</c:v>
                </c:pt>
                <c:pt idx="71">
                  <c:v>187.01858008375169</c:v>
                </c:pt>
                <c:pt idx="72">
                  <c:v>186.99988009574213</c:v>
                </c:pt>
                <c:pt idx="73">
                  <c:v>186.98118197754437</c:v>
                </c:pt>
                <c:pt idx="74">
                  <c:v>186.96248572897147</c:v>
                </c:pt>
                <c:pt idx="75">
                  <c:v>186.94379134983649</c:v>
                </c:pt>
                <c:pt idx="76">
                  <c:v>186.92509883995248</c:v>
                </c:pt>
                <c:pt idx="77">
                  <c:v>186.90640819913258</c:v>
                </c:pt>
                <c:pt idx="78">
                  <c:v>186.88771942718986</c:v>
                </c:pt>
                <c:pt idx="79">
                  <c:v>186.86903252393748</c:v>
                </c:pt>
                <c:pt idx="80">
                  <c:v>186.85034748918855</c:v>
                </c:pt>
                <c:pt idx="81">
                  <c:v>186.83166432275627</c:v>
                </c:pt>
                <c:pt idx="82">
                  <c:v>186.81298302445381</c:v>
                </c:pt>
                <c:pt idx="83">
                  <c:v>186.7943035940944</c:v>
                </c:pt>
                <c:pt idx="84">
                  <c:v>186.77562603149124</c:v>
                </c:pt>
                <c:pt idx="85">
                  <c:v>186.75695033645761</c:v>
                </c:pt>
                <c:pt idx="86">
                  <c:v>186.73827650880673</c:v>
                </c:pt>
                <c:pt idx="87">
                  <c:v>186.7196045483519</c:v>
                </c:pt>
                <c:pt idx="88">
                  <c:v>186.70093445490642</c:v>
                </c:pt>
                <c:pt idx="89">
                  <c:v>186.68226622828359</c:v>
                </c:pt>
                <c:pt idx="90">
                  <c:v>186.66359986829676</c:v>
                </c:pt>
                <c:pt idx="91">
                  <c:v>186.64493537475929</c:v>
                </c:pt>
                <c:pt idx="92">
                  <c:v>186.62627274748453</c:v>
                </c:pt>
                <c:pt idx="93">
                  <c:v>186.60761198628592</c:v>
                </c:pt>
                <c:pt idx="94">
                  <c:v>186.58895309097682</c:v>
                </c:pt>
                <c:pt idx="95">
                  <c:v>186.57029606137067</c:v>
                </c:pt>
                <c:pt idx="96">
                  <c:v>186.55164089728095</c:v>
                </c:pt>
                <c:pt idx="97">
                  <c:v>186.53298759852109</c:v>
                </c:pt>
                <c:pt idx="98">
                  <c:v>186.53298759852109</c:v>
                </c:pt>
                <c:pt idx="99">
                  <c:v>186.51433616490459</c:v>
                </c:pt>
                <c:pt idx="100">
                  <c:v>186.49568659624498</c:v>
                </c:pt>
                <c:pt idx="101">
                  <c:v>186.47703889235575</c:v>
                </c:pt>
                <c:pt idx="102">
                  <c:v>186.45839305305046</c:v>
                </c:pt>
                <c:pt idx="103">
                  <c:v>186.43974907814265</c:v>
                </c:pt>
                <c:pt idx="104">
                  <c:v>186.42110696744592</c:v>
                </c:pt>
                <c:pt idx="105">
                  <c:v>186.40246672077384</c:v>
                </c:pt>
                <c:pt idx="106">
                  <c:v>186.38382833794006</c:v>
                </c:pt>
                <c:pt idx="107">
                  <c:v>186.36519181875818</c:v>
                </c:pt>
                <c:pt idx="108">
                  <c:v>186.34655716304187</c:v>
                </c:pt>
                <c:pt idx="109">
                  <c:v>186.32792437060482</c:v>
                </c:pt>
                <c:pt idx="110">
                  <c:v>186.30929344126071</c:v>
                </c:pt>
                <c:pt idx="111">
                  <c:v>186.29066437482322</c:v>
                </c:pt>
                <c:pt idx="112">
                  <c:v>186.27203717110612</c:v>
                </c:pt>
                <c:pt idx="113">
                  <c:v>186.25341182992312</c:v>
                </c:pt>
                <c:pt idx="114">
                  <c:v>186.23478835108801</c:v>
                </c:pt>
                <c:pt idx="115">
                  <c:v>186.21616673441457</c:v>
                </c:pt>
                <c:pt idx="116">
                  <c:v>186.19754697971661</c:v>
                </c:pt>
                <c:pt idx="117">
                  <c:v>186.17892908680793</c:v>
                </c:pt>
                <c:pt idx="118">
                  <c:v>186.17892908680793</c:v>
                </c:pt>
                <c:pt idx="119">
                  <c:v>186.17892908680793</c:v>
                </c:pt>
                <c:pt idx="120">
                  <c:v>186.17892908680793</c:v>
                </c:pt>
                <c:pt idx="121">
                  <c:v>186.17892908680793</c:v>
                </c:pt>
                <c:pt idx="122">
                  <c:v>186.17892908680793</c:v>
                </c:pt>
                <c:pt idx="123">
                  <c:v>186.17892908680793</c:v>
                </c:pt>
                <c:pt idx="124">
                  <c:v>186.16031305550237</c:v>
                </c:pt>
                <c:pt idx="125">
                  <c:v>186.14169888561381</c:v>
                </c:pt>
                <c:pt idx="126">
                  <c:v>186.12308657695613</c:v>
                </c:pt>
                <c:pt idx="127">
                  <c:v>186.1044761293432</c:v>
                </c:pt>
                <c:pt idx="128">
                  <c:v>186.08586754258894</c:v>
                </c:pt>
                <c:pt idx="129">
                  <c:v>186.06726081650729</c:v>
                </c:pt>
                <c:pt idx="130">
                  <c:v>186.04865595091221</c:v>
                </c:pt>
                <c:pt idx="131">
                  <c:v>186.03005294561765</c:v>
                </c:pt>
                <c:pt idx="132">
                  <c:v>186.01145180043761</c:v>
                </c:pt>
                <c:pt idx="133">
                  <c:v>185.99285251518609</c:v>
                </c:pt>
                <c:pt idx="134">
                  <c:v>185.99285251518609</c:v>
                </c:pt>
                <c:pt idx="135">
                  <c:v>185.99285251518609</c:v>
                </c:pt>
                <c:pt idx="136">
                  <c:v>185.99285251518609</c:v>
                </c:pt>
                <c:pt idx="137">
                  <c:v>185.99285251518609</c:v>
                </c:pt>
                <c:pt idx="138">
                  <c:v>185.99285251518609</c:v>
                </c:pt>
                <c:pt idx="139">
                  <c:v>185.97425508967711</c:v>
                </c:pt>
                <c:pt idx="140">
                  <c:v>185.97425508967711</c:v>
                </c:pt>
                <c:pt idx="141">
                  <c:v>185.97425508967711</c:v>
                </c:pt>
                <c:pt idx="142">
                  <c:v>185.97425508967711</c:v>
                </c:pt>
                <c:pt idx="143">
                  <c:v>185.97425508967711</c:v>
                </c:pt>
                <c:pt idx="144">
                  <c:v>185.97425508967711</c:v>
                </c:pt>
                <c:pt idx="145">
                  <c:v>185.97425508967711</c:v>
                </c:pt>
                <c:pt idx="146">
                  <c:v>185.97425508967711</c:v>
                </c:pt>
                <c:pt idx="147">
                  <c:v>185.97425508967711</c:v>
                </c:pt>
                <c:pt idx="148">
                  <c:v>185.97425508967711</c:v>
                </c:pt>
                <c:pt idx="149">
                  <c:v>185.97425508967711</c:v>
                </c:pt>
                <c:pt idx="150">
                  <c:v>185.97425508967711</c:v>
                </c:pt>
                <c:pt idx="151">
                  <c:v>185.97425508967711</c:v>
                </c:pt>
                <c:pt idx="152">
                  <c:v>185.97425508967711</c:v>
                </c:pt>
                <c:pt idx="153">
                  <c:v>185.97425508967711</c:v>
                </c:pt>
                <c:pt idx="154">
                  <c:v>185.97425508967711</c:v>
                </c:pt>
                <c:pt idx="155">
                  <c:v>185.97425508967711</c:v>
                </c:pt>
                <c:pt idx="156">
                  <c:v>185.97425508967711</c:v>
                </c:pt>
                <c:pt idx="157">
                  <c:v>185.97425508967711</c:v>
                </c:pt>
                <c:pt idx="158">
                  <c:v>185.97425508967711</c:v>
                </c:pt>
                <c:pt idx="159">
                  <c:v>185.97425508967711</c:v>
                </c:pt>
                <c:pt idx="160">
                  <c:v>185.97425508967711</c:v>
                </c:pt>
                <c:pt idx="161">
                  <c:v>185.97425508967711</c:v>
                </c:pt>
                <c:pt idx="162">
                  <c:v>185.97425508967711</c:v>
                </c:pt>
                <c:pt idx="163">
                  <c:v>185.97425508967711</c:v>
                </c:pt>
                <c:pt idx="164">
                  <c:v>185.97425508967711</c:v>
                </c:pt>
                <c:pt idx="165">
                  <c:v>185.97425508967711</c:v>
                </c:pt>
                <c:pt idx="166">
                  <c:v>185.97425508967711</c:v>
                </c:pt>
                <c:pt idx="167">
                  <c:v>185.97425508967711</c:v>
                </c:pt>
                <c:pt idx="168">
                  <c:v>185.97425508967711</c:v>
                </c:pt>
                <c:pt idx="169">
                  <c:v>185.97425508967711</c:v>
                </c:pt>
                <c:pt idx="170">
                  <c:v>185.97425508967711</c:v>
                </c:pt>
                <c:pt idx="171">
                  <c:v>185.97425508967711</c:v>
                </c:pt>
                <c:pt idx="172">
                  <c:v>185.97425508967711</c:v>
                </c:pt>
                <c:pt idx="173">
                  <c:v>185.97425508967711</c:v>
                </c:pt>
                <c:pt idx="174">
                  <c:v>185.97425508967711</c:v>
                </c:pt>
                <c:pt idx="175">
                  <c:v>185.97425508967711</c:v>
                </c:pt>
                <c:pt idx="176">
                  <c:v>185.97425508967711</c:v>
                </c:pt>
                <c:pt idx="177">
                  <c:v>185.97425508967711</c:v>
                </c:pt>
                <c:pt idx="178">
                  <c:v>185.97425508967711</c:v>
                </c:pt>
                <c:pt idx="179">
                  <c:v>185.97425508967711</c:v>
                </c:pt>
                <c:pt idx="180">
                  <c:v>185.97425508967711</c:v>
                </c:pt>
                <c:pt idx="181">
                  <c:v>185.97425508967711</c:v>
                </c:pt>
                <c:pt idx="182">
                  <c:v>185.97425508967711</c:v>
                </c:pt>
                <c:pt idx="183">
                  <c:v>185.97425508967711</c:v>
                </c:pt>
                <c:pt idx="184">
                  <c:v>185.97425508967711</c:v>
                </c:pt>
                <c:pt idx="185">
                  <c:v>185.97425508967711</c:v>
                </c:pt>
                <c:pt idx="186">
                  <c:v>185.97425508967711</c:v>
                </c:pt>
                <c:pt idx="187">
                  <c:v>185.97425508967711</c:v>
                </c:pt>
                <c:pt idx="188">
                  <c:v>185.97425508967711</c:v>
                </c:pt>
                <c:pt idx="189">
                  <c:v>185.97425508967711</c:v>
                </c:pt>
                <c:pt idx="190">
                  <c:v>185.97425508967711</c:v>
                </c:pt>
                <c:pt idx="191">
                  <c:v>185.97425508967711</c:v>
                </c:pt>
                <c:pt idx="192">
                  <c:v>185.97425508967711</c:v>
                </c:pt>
                <c:pt idx="193">
                  <c:v>185.97425508967711</c:v>
                </c:pt>
                <c:pt idx="194">
                  <c:v>185.97425508967711</c:v>
                </c:pt>
                <c:pt idx="195">
                  <c:v>185.97425508967711</c:v>
                </c:pt>
                <c:pt idx="196">
                  <c:v>185.97425508967711</c:v>
                </c:pt>
                <c:pt idx="197">
                  <c:v>185.97425508967711</c:v>
                </c:pt>
                <c:pt idx="198">
                  <c:v>185.97425508967711</c:v>
                </c:pt>
                <c:pt idx="199">
                  <c:v>185.97425508967711</c:v>
                </c:pt>
                <c:pt idx="200">
                  <c:v>185.97425508967711</c:v>
                </c:pt>
                <c:pt idx="201">
                  <c:v>185.97425508967711</c:v>
                </c:pt>
                <c:pt idx="202">
                  <c:v>185.97425508967711</c:v>
                </c:pt>
                <c:pt idx="203">
                  <c:v>185.97425508967711</c:v>
                </c:pt>
                <c:pt idx="204">
                  <c:v>185.97425508967711</c:v>
                </c:pt>
                <c:pt idx="205">
                  <c:v>185.97425508967711</c:v>
                </c:pt>
                <c:pt idx="206">
                  <c:v>185.97425508967711</c:v>
                </c:pt>
                <c:pt idx="207">
                  <c:v>185.97425508967711</c:v>
                </c:pt>
                <c:pt idx="208">
                  <c:v>185.97425508967711</c:v>
                </c:pt>
                <c:pt idx="209">
                  <c:v>185.97425508967711</c:v>
                </c:pt>
                <c:pt idx="210">
                  <c:v>185.97425508967711</c:v>
                </c:pt>
                <c:pt idx="211">
                  <c:v>185.97425508967711</c:v>
                </c:pt>
                <c:pt idx="212">
                  <c:v>185.97425508967711</c:v>
                </c:pt>
                <c:pt idx="213">
                  <c:v>185.97425508967711</c:v>
                </c:pt>
                <c:pt idx="214">
                  <c:v>185.97425508967711</c:v>
                </c:pt>
                <c:pt idx="215">
                  <c:v>185.97425508967711</c:v>
                </c:pt>
                <c:pt idx="216">
                  <c:v>185.97425508967711</c:v>
                </c:pt>
                <c:pt idx="217">
                  <c:v>185.97425508967711</c:v>
                </c:pt>
                <c:pt idx="218">
                  <c:v>185.97425508967711</c:v>
                </c:pt>
                <c:pt idx="219">
                  <c:v>185.97425508967711</c:v>
                </c:pt>
                <c:pt idx="220">
                  <c:v>185.97425508967711</c:v>
                </c:pt>
                <c:pt idx="221">
                  <c:v>185.97425508967711</c:v>
                </c:pt>
                <c:pt idx="222">
                  <c:v>185.97425508967711</c:v>
                </c:pt>
                <c:pt idx="223">
                  <c:v>185.97425508967711</c:v>
                </c:pt>
                <c:pt idx="224">
                  <c:v>185.97425508967711</c:v>
                </c:pt>
                <c:pt idx="225">
                  <c:v>185.97425508967711</c:v>
                </c:pt>
                <c:pt idx="226">
                  <c:v>185.97425508967711</c:v>
                </c:pt>
                <c:pt idx="227">
                  <c:v>185.97425508967711</c:v>
                </c:pt>
                <c:pt idx="228">
                  <c:v>185.97425508967711</c:v>
                </c:pt>
                <c:pt idx="229">
                  <c:v>185.97425508967711</c:v>
                </c:pt>
                <c:pt idx="230">
                  <c:v>185.97425508967711</c:v>
                </c:pt>
                <c:pt idx="231">
                  <c:v>185.97425508967711</c:v>
                </c:pt>
                <c:pt idx="232">
                  <c:v>185.97425508967711</c:v>
                </c:pt>
                <c:pt idx="233">
                  <c:v>185.97425508967711</c:v>
                </c:pt>
                <c:pt idx="234">
                  <c:v>185.97425508967711</c:v>
                </c:pt>
                <c:pt idx="235">
                  <c:v>185.97425508967711</c:v>
                </c:pt>
                <c:pt idx="236">
                  <c:v>185.97425508967711</c:v>
                </c:pt>
                <c:pt idx="237">
                  <c:v>185.97425508967711</c:v>
                </c:pt>
                <c:pt idx="238">
                  <c:v>185.97425508967711</c:v>
                </c:pt>
                <c:pt idx="239">
                  <c:v>185.97425508967711</c:v>
                </c:pt>
                <c:pt idx="240">
                  <c:v>185.97425508967711</c:v>
                </c:pt>
                <c:pt idx="241">
                  <c:v>185.97425508967711</c:v>
                </c:pt>
                <c:pt idx="242">
                  <c:v>185.97425508967711</c:v>
                </c:pt>
                <c:pt idx="243">
                  <c:v>185.97425508967711</c:v>
                </c:pt>
                <c:pt idx="244">
                  <c:v>185.97425508967711</c:v>
                </c:pt>
                <c:pt idx="245">
                  <c:v>185.97425508967711</c:v>
                </c:pt>
                <c:pt idx="246">
                  <c:v>185.97425508967711</c:v>
                </c:pt>
                <c:pt idx="247">
                  <c:v>185.97425508967711</c:v>
                </c:pt>
                <c:pt idx="248">
                  <c:v>185.97425508967711</c:v>
                </c:pt>
                <c:pt idx="249">
                  <c:v>185.97425508967711</c:v>
                </c:pt>
                <c:pt idx="250">
                  <c:v>185.97425508967711</c:v>
                </c:pt>
                <c:pt idx="251">
                  <c:v>185.97425508967711</c:v>
                </c:pt>
                <c:pt idx="252">
                  <c:v>185.97425508967711</c:v>
                </c:pt>
                <c:pt idx="253">
                  <c:v>185.97425508967711</c:v>
                </c:pt>
                <c:pt idx="254">
                  <c:v>185.97425508967711</c:v>
                </c:pt>
                <c:pt idx="255">
                  <c:v>185.97425508967711</c:v>
                </c:pt>
                <c:pt idx="256">
                  <c:v>185.97425508967711</c:v>
                </c:pt>
                <c:pt idx="257">
                  <c:v>185.97425508967711</c:v>
                </c:pt>
                <c:pt idx="258">
                  <c:v>185.97425508967711</c:v>
                </c:pt>
                <c:pt idx="259">
                  <c:v>185.97425508967711</c:v>
                </c:pt>
                <c:pt idx="260">
                  <c:v>185.97425508967711</c:v>
                </c:pt>
                <c:pt idx="261">
                  <c:v>185.97425508967711</c:v>
                </c:pt>
                <c:pt idx="262">
                  <c:v>185.97425508967711</c:v>
                </c:pt>
                <c:pt idx="263">
                  <c:v>185.97425508967711</c:v>
                </c:pt>
                <c:pt idx="264">
                  <c:v>185.97425508967711</c:v>
                </c:pt>
                <c:pt idx="265">
                  <c:v>185.97425508967711</c:v>
                </c:pt>
                <c:pt idx="266">
                  <c:v>185.97425508967711</c:v>
                </c:pt>
                <c:pt idx="267">
                  <c:v>185.97425508967711</c:v>
                </c:pt>
                <c:pt idx="268">
                  <c:v>185.97425508967711</c:v>
                </c:pt>
                <c:pt idx="269">
                  <c:v>185.97425508967711</c:v>
                </c:pt>
                <c:pt idx="270">
                  <c:v>185.97425508967711</c:v>
                </c:pt>
                <c:pt idx="271">
                  <c:v>185.97425508967711</c:v>
                </c:pt>
                <c:pt idx="272">
                  <c:v>185.97425508967711</c:v>
                </c:pt>
                <c:pt idx="273">
                  <c:v>185.97425508967711</c:v>
                </c:pt>
                <c:pt idx="274">
                  <c:v>185.97425508967711</c:v>
                </c:pt>
                <c:pt idx="275">
                  <c:v>185.97425508967711</c:v>
                </c:pt>
                <c:pt idx="276">
                  <c:v>185.97425508967711</c:v>
                </c:pt>
                <c:pt idx="277">
                  <c:v>185.97425508967711</c:v>
                </c:pt>
                <c:pt idx="278">
                  <c:v>185.97425508967711</c:v>
                </c:pt>
                <c:pt idx="279">
                  <c:v>185.97425508967711</c:v>
                </c:pt>
                <c:pt idx="280">
                  <c:v>185.97425508967711</c:v>
                </c:pt>
                <c:pt idx="281">
                  <c:v>185.97425508967711</c:v>
                </c:pt>
                <c:pt idx="282">
                  <c:v>185.97425508967711</c:v>
                </c:pt>
                <c:pt idx="283">
                  <c:v>185.97425508967711</c:v>
                </c:pt>
                <c:pt idx="284">
                  <c:v>185.97425508967711</c:v>
                </c:pt>
                <c:pt idx="285">
                  <c:v>185.97425508967711</c:v>
                </c:pt>
                <c:pt idx="286">
                  <c:v>185.97425508967711</c:v>
                </c:pt>
                <c:pt idx="287">
                  <c:v>185.97425508967711</c:v>
                </c:pt>
                <c:pt idx="288">
                  <c:v>185.97425508967711</c:v>
                </c:pt>
                <c:pt idx="289">
                  <c:v>185.97425508967711</c:v>
                </c:pt>
                <c:pt idx="290">
                  <c:v>185.97425508967711</c:v>
                </c:pt>
                <c:pt idx="291">
                  <c:v>185.97425508967711</c:v>
                </c:pt>
                <c:pt idx="292">
                  <c:v>185.97425508967711</c:v>
                </c:pt>
                <c:pt idx="293">
                  <c:v>185.97425508967711</c:v>
                </c:pt>
                <c:pt idx="294">
                  <c:v>185.97425508967711</c:v>
                </c:pt>
                <c:pt idx="295">
                  <c:v>185.97425508967711</c:v>
                </c:pt>
                <c:pt idx="296">
                  <c:v>185.97425508967711</c:v>
                </c:pt>
                <c:pt idx="297">
                  <c:v>185.97425508967711</c:v>
                </c:pt>
                <c:pt idx="298">
                  <c:v>185.97425508967711</c:v>
                </c:pt>
                <c:pt idx="299">
                  <c:v>185.97425508967711</c:v>
                </c:pt>
                <c:pt idx="300">
                  <c:v>185.97425508967711</c:v>
                </c:pt>
                <c:pt idx="301">
                  <c:v>185.97425508967711</c:v>
                </c:pt>
                <c:pt idx="302">
                  <c:v>185.97425508967711</c:v>
                </c:pt>
                <c:pt idx="303">
                  <c:v>185.97425508967711</c:v>
                </c:pt>
                <c:pt idx="304">
                  <c:v>185.97425508967711</c:v>
                </c:pt>
                <c:pt idx="305">
                  <c:v>185.97425508967711</c:v>
                </c:pt>
                <c:pt idx="306">
                  <c:v>185.97425508967711</c:v>
                </c:pt>
                <c:pt idx="307">
                  <c:v>185.97425508967711</c:v>
                </c:pt>
                <c:pt idx="308">
                  <c:v>185.97425508967711</c:v>
                </c:pt>
                <c:pt idx="309">
                  <c:v>185.97425508967711</c:v>
                </c:pt>
                <c:pt idx="310">
                  <c:v>185.97425508967711</c:v>
                </c:pt>
                <c:pt idx="311">
                  <c:v>185.97425508967711</c:v>
                </c:pt>
                <c:pt idx="312">
                  <c:v>185.97425508967711</c:v>
                </c:pt>
                <c:pt idx="313">
                  <c:v>185.97425508967711</c:v>
                </c:pt>
                <c:pt idx="314">
                  <c:v>185.97425508967711</c:v>
                </c:pt>
                <c:pt idx="315">
                  <c:v>185.97425508967711</c:v>
                </c:pt>
                <c:pt idx="316">
                  <c:v>185.97425508967711</c:v>
                </c:pt>
                <c:pt idx="317">
                  <c:v>185.97425508967711</c:v>
                </c:pt>
                <c:pt idx="318">
                  <c:v>185.97425508967711</c:v>
                </c:pt>
                <c:pt idx="319">
                  <c:v>185.97425508967711</c:v>
                </c:pt>
                <c:pt idx="320">
                  <c:v>185.97425508967711</c:v>
                </c:pt>
                <c:pt idx="321">
                  <c:v>185.97425508967711</c:v>
                </c:pt>
                <c:pt idx="322">
                  <c:v>185.97425508967711</c:v>
                </c:pt>
                <c:pt idx="323">
                  <c:v>185.97425508967711</c:v>
                </c:pt>
                <c:pt idx="324">
                  <c:v>185.97425508967711</c:v>
                </c:pt>
                <c:pt idx="325">
                  <c:v>185.97425508967711</c:v>
                </c:pt>
                <c:pt idx="326">
                  <c:v>185.97425508967711</c:v>
                </c:pt>
                <c:pt idx="327">
                  <c:v>185.97425508967711</c:v>
                </c:pt>
                <c:pt idx="328">
                  <c:v>185.97425508967711</c:v>
                </c:pt>
                <c:pt idx="329">
                  <c:v>185.97425508967711</c:v>
                </c:pt>
                <c:pt idx="330">
                  <c:v>185.97425508967711</c:v>
                </c:pt>
                <c:pt idx="331">
                  <c:v>185.97425508967711</c:v>
                </c:pt>
                <c:pt idx="332">
                  <c:v>185.97425508967711</c:v>
                </c:pt>
                <c:pt idx="333">
                  <c:v>185.97425508967711</c:v>
                </c:pt>
                <c:pt idx="334">
                  <c:v>185.97425508967711</c:v>
                </c:pt>
                <c:pt idx="335">
                  <c:v>185.97425508967711</c:v>
                </c:pt>
                <c:pt idx="336">
                  <c:v>185.97425508967711</c:v>
                </c:pt>
                <c:pt idx="337">
                  <c:v>185.97425508967711</c:v>
                </c:pt>
                <c:pt idx="338">
                  <c:v>185.97425508967711</c:v>
                </c:pt>
                <c:pt idx="339">
                  <c:v>185.97425508967711</c:v>
                </c:pt>
                <c:pt idx="340">
                  <c:v>185.97425508967711</c:v>
                </c:pt>
                <c:pt idx="341">
                  <c:v>185.97425508967711</c:v>
                </c:pt>
                <c:pt idx="342">
                  <c:v>185.97425508967711</c:v>
                </c:pt>
                <c:pt idx="343">
                  <c:v>185.97425508967711</c:v>
                </c:pt>
                <c:pt idx="344">
                  <c:v>185.97425508967711</c:v>
                </c:pt>
                <c:pt idx="345">
                  <c:v>185.97425508967711</c:v>
                </c:pt>
                <c:pt idx="346">
                  <c:v>185.97425508967711</c:v>
                </c:pt>
                <c:pt idx="347">
                  <c:v>185.97425508967711</c:v>
                </c:pt>
                <c:pt idx="348">
                  <c:v>185.97425508967711</c:v>
                </c:pt>
                <c:pt idx="349">
                  <c:v>185.97425508967711</c:v>
                </c:pt>
                <c:pt idx="350">
                  <c:v>185.97425508967711</c:v>
                </c:pt>
                <c:pt idx="351">
                  <c:v>185.97425508967711</c:v>
                </c:pt>
                <c:pt idx="352">
                  <c:v>185.97425508967711</c:v>
                </c:pt>
                <c:pt idx="353">
                  <c:v>185.97425508967711</c:v>
                </c:pt>
                <c:pt idx="354">
                  <c:v>185.97425508967711</c:v>
                </c:pt>
                <c:pt idx="355">
                  <c:v>185.97425508967711</c:v>
                </c:pt>
                <c:pt idx="356">
                  <c:v>185.97425508967711</c:v>
                </c:pt>
                <c:pt idx="357">
                  <c:v>185.97425508967711</c:v>
                </c:pt>
                <c:pt idx="358">
                  <c:v>185.97425508967711</c:v>
                </c:pt>
                <c:pt idx="359">
                  <c:v>185.97425508967711</c:v>
                </c:pt>
                <c:pt idx="360">
                  <c:v>185.97425508967711</c:v>
                </c:pt>
                <c:pt idx="361">
                  <c:v>185.97425508967711</c:v>
                </c:pt>
                <c:pt idx="362">
                  <c:v>185.97425508967711</c:v>
                </c:pt>
                <c:pt idx="363">
                  <c:v>185.97425508967711</c:v>
                </c:pt>
                <c:pt idx="364">
                  <c:v>185.97425508967711</c:v>
                </c:pt>
                <c:pt idx="365">
                  <c:v>185.97425508967711</c:v>
                </c:pt>
                <c:pt idx="366">
                  <c:v>185.97425508967711</c:v>
                </c:pt>
                <c:pt idx="367">
                  <c:v>185.97425508967711</c:v>
                </c:pt>
                <c:pt idx="368">
                  <c:v>185.97425508967711</c:v>
                </c:pt>
                <c:pt idx="369">
                  <c:v>185.97425508967711</c:v>
                </c:pt>
                <c:pt idx="370">
                  <c:v>185.97425508967711</c:v>
                </c:pt>
                <c:pt idx="371">
                  <c:v>185.97425508967711</c:v>
                </c:pt>
                <c:pt idx="372">
                  <c:v>185.97425508967711</c:v>
                </c:pt>
                <c:pt idx="373">
                  <c:v>185.97425508967711</c:v>
                </c:pt>
                <c:pt idx="374">
                  <c:v>185.97425508967711</c:v>
                </c:pt>
                <c:pt idx="375">
                  <c:v>185.97425508967711</c:v>
                </c:pt>
                <c:pt idx="376">
                  <c:v>185.97425508967711</c:v>
                </c:pt>
                <c:pt idx="377">
                  <c:v>185.97425508967711</c:v>
                </c:pt>
                <c:pt idx="378">
                  <c:v>185.97425508967711</c:v>
                </c:pt>
                <c:pt idx="379">
                  <c:v>185.97425508967711</c:v>
                </c:pt>
                <c:pt idx="380">
                  <c:v>185.97425508967711</c:v>
                </c:pt>
                <c:pt idx="381">
                  <c:v>185.97425508967711</c:v>
                </c:pt>
                <c:pt idx="382">
                  <c:v>185.97425508967711</c:v>
                </c:pt>
                <c:pt idx="383">
                  <c:v>185.97425508967711</c:v>
                </c:pt>
                <c:pt idx="384">
                  <c:v>185.97425508967711</c:v>
                </c:pt>
                <c:pt idx="385">
                  <c:v>185.97425508967711</c:v>
                </c:pt>
                <c:pt idx="386">
                  <c:v>185.97425508967711</c:v>
                </c:pt>
                <c:pt idx="387">
                  <c:v>185.97425508967711</c:v>
                </c:pt>
                <c:pt idx="388">
                  <c:v>185.97425508967711</c:v>
                </c:pt>
                <c:pt idx="389">
                  <c:v>185.97425508967711</c:v>
                </c:pt>
                <c:pt idx="390">
                  <c:v>185.97425508967711</c:v>
                </c:pt>
                <c:pt idx="391">
                  <c:v>185.97425508967711</c:v>
                </c:pt>
                <c:pt idx="392">
                  <c:v>185.97425508967711</c:v>
                </c:pt>
                <c:pt idx="393">
                  <c:v>185.97425508967711</c:v>
                </c:pt>
                <c:pt idx="394">
                  <c:v>185.97425508967711</c:v>
                </c:pt>
                <c:pt idx="395">
                  <c:v>185.97425508967711</c:v>
                </c:pt>
                <c:pt idx="396">
                  <c:v>185.97425508967711</c:v>
                </c:pt>
                <c:pt idx="397">
                  <c:v>185.97425508967711</c:v>
                </c:pt>
                <c:pt idx="398">
                  <c:v>185.97425508967711</c:v>
                </c:pt>
                <c:pt idx="399">
                  <c:v>185.97425508967711</c:v>
                </c:pt>
                <c:pt idx="400">
                  <c:v>185.97425508967711</c:v>
                </c:pt>
                <c:pt idx="401">
                  <c:v>185.97425508967711</c:v>
                </c:pt>
                <c:pt idx="402">
                  <c:v>185.97425508967711</c:v>
                </c:pt>
                <c:pt idx="403">
                  <c:v>185.97425508967711</c:v>
                </c:pt>
                <c:pt idx="404">
                  <c:v>185.97425508967711</c:v>
                </c:pt>
                <c:pt idx="405">
                  <c:v>185.97425508967711</c:v>
                </c:pt>
                <c:pt idx="406">
                  <c:v>185.97425508967711</c:v>
                </c:pt>
                <c:pt idx="407">
                  <c:v>185.97425508967711</c:v>
                </c:pt>
                <c:pt idx="408">
                  <c:v>185.97425508967711</c:v>
                </c:pt>
                <c:pt idx="409">
                  <c:v>185.97425508967711</c:v>
                </c:pt>
                <c:pt idx="410">
                  <c:v>185.97425508967711</c:v>
                </c:pt>
                <c:pt idx="411">
                  <c:v>185.97425508967711</c:v>
                </c:pt>
                <c:pt idx="412">
                  <c:v>185.97425508967711</c:v>
                </c:pt>
                <c:pt idx="413">
                  <c:v>185.97425508967711</c:v>
                </c:pt>
                <c:pt idx="414">
                  <c:v>185.97425508967711</c:v>
                </c:pt>
                <c:pt idx="415">
                  <c:v>185.97425508967711</c:v>
                </c:pt>
                <c:pt idx="416">
                  <c:v>185.97425508967711</c:v>
                </c:pt>
                <c:pt idx="417">
                  <c:v>185.97425508967711</c:v>
                </c:pt>
                <c:pt idx="418">
                  <c:v>185.97425508967711</c:v>
                </c:pt>
                <c:pt idx="419">
                  <c:v>185.97425508967711</c:v>
                </c:pt>
                <c:pt idx="420">
                  <c:v>185.97425508967711</c:v>
                </c:pt>
                <c:pt idx="421">
                  <c:v>185.97425508967711</c:v>
                </c:pt>
                <c:pt idx="422">
                  <c:v>185.97425508967711</c:v>
                </c:pt>
                <c:pt idx="423">
                  <c:v>185.97425508967711</c:v>
                </c:pt>
                <c:pt idx="424">
                  <c:v>185.97425508967711</c:v>
                </c:pt>
                <c:pt idx="425">
                  <c:v>185.97425508967711</c:v>
                </c:pt>
                <c:pt idx="426">
                  <c:v>185.97425508967711</c:v>
                </c:pt>
                <c:pt idx="427">
                  <c:v>185.97425508967711</c:v>
                </c:pt>
                <c:pt idx="428">
                  <c:v>185.97425508967711</c:v>
                </c:pt>
                <c:pt idx="429">
                  <c:v>185.97425508967711</c:v>
                </c:pt>
                <c:pt idx="430">
                  <c:v>185.97425508967711</c:v>
                </c:pt>
                <c:pt idx="431">
                  <c:v>185.97425508967711</c:v>
                </c:pt>
                <c:pt idx="432">
                  <c:v>185.97425508967711</c:v>
                </c:pt>
                <c:pt idx="433">
                  <c:v>185.97425508967711</c:v>
                </c:pt>
                <c:pt idx="434">
                  <c:v>185.97425508967711</c:v>
                </c:pt>
                <c:pt idx="435">
                  <c:v>185.97425508967711</c:v>
                </c:pt>
                <c:pt idx="436">
                  <c:v>185.97425508967711</c:v>
                </c:pt>
                <c:pt idx="437">
                  <c:v>185.97425508967711</c:v>
                </c:pt>
                <c:pt idx="438">
                  <c:v>185.97425508967711</c:v>
                </c:pt>
                <c:pt idx="439">
                  <c:v>185.97425508967711</c:v>
                </c:pt>
                <c:pt idx="440">
                  <c:v>185.97425508967711</c:v>
                </c:pt>
                <c:pt idx="441">
                  <c:v>185.97425508967711</c:v>
                </c:pt>
                <c:pt idx="442">
                  <c:v>185.97425508967711</c:v>
                </c:pt>
                <c:pt idx="443">
                  <c:v>185.97425508967711</c:v>
                </c:pt>
                <c:pt idx="444">
                  <c:v>185.97425508967711</c:v>
                </c:pt>
                <c:pt idx="445">
                  <c:v>185.97425508967711</c:v>
                </c:pt>
                <c:pt idx="446">
                  <c:v>185.97425508967711</c:v>
                </c:pt>
                <c:pt idx="447">
                  <c:v>185.97425508967711</c:v>
                </c:pt>
                <c:pt idx="448">
                  <c:v>185.97425508967711</c:v>
                </c:pt>
                <c:pt idx="449">
                  <c:v>185.97425508967711</c:v>
                </c:pt>
                <c:pt idx="450">
                  <c:v>185.97425508967711</c:v>
                </c:pt>
                <c:pt idx="451">
                  <c:v>185.97425508967711</c:v>
                </c:pt>
                <c:pt idx="452">
                  <c:v>185.97425508967711</c:v>
                </c:pt>
                <c:pt idx="453">
                  <c:v>185.97425508967711</c:v>
                </c:pt>
                <c:pt idx="454">
                  <c:v>185.97425508967711</c:v>
                </c:pt>
                <c:pt idx="455">
                  <c:v>185.97425508967711</c:v>
                </c:pt>
                <c:pt idx="456">
                  <c:v>185.97425508967711</c:v>
                </c:pt>
                <c:pt idx="457">
                  <c:v>185.97425508967711</c:v>
                </c:pt>
                <c:pt idx="458">
                  <c:v>185.97425508967711</c:v>
                </c:pt>
                <c:pt idx="459">
                  <c:v>185.97425508967711</c:v>
                </c:pt>
                <c:pt idx="460">
                  <c:v>185.97425508967711</c:v>
                </c:pt>
                <c:pt idx="461">
                  <c:v>185.97425508967711</c:v>
                </c:pt>
                <c:pt idx="462">
                  <c:v>185.97425508967711</c:v>
                </c:pt>
                <c:pt idx="463">
                  <c:v>185.97425508967711</c:v>
                </c:pt>
                <c:pt idx="464">
                  <c:v>185.97425508967711</c:v>
                </c:pt>
                <c:pt idx="465">
                  <c:v>185.97425508967711</c:v>
                </c:pt>
                <c:pt idx="466">
                  <c:v>185.97425508967711</c:v>
                </c:pt>
                <c:pt idx="467">
                  <c:v>185.97425508967711</c:v>
                </c:pt>
                <c:pt idx="468">
                  <c:v>185.97425508967711</c:v>
                </c:pt>
                <c:pt idx="469">
                  <c:v>185.97425508967711</c:v>
                </c:pt>
                <c:pt idx="470">
                  <c:v>185.97425508967711</c:v>
                </c:pt>
                <c:pt idx="471">
                  <c:v>185.97425508967711</c:v>
                </c:pt>
                <c:pt idx="472">
                  <c:v>185.97425508967711</c:v>
                </c:pt>
                <c:pt idx="473">
                  <c:v>185.97425508967711</c:v>
                </c:pt>
                <c:pt idx="474">
                  <c:v>185.97425508967711</c:v>
                </c:pt>
                <c:pt idx="475">
                  <c:v>185.97425508967711</c:v>
                </c:pt>
                <c:pt idx="476">
                  <c:v>185.97425508967711</c:v>
                </c:pt>
                <c:pt idx="477">
                  <c:v>185.97425508967711</c:v>
                </c:pt>
                <c:pt idx="478">
                  <c:v>185.97425508967711</c:v>
                </c:pt>
                <c:pt idx="479">
                  <c:v>185.97425508967711</c:v>
                </c:pt>
                <c:pt idx="480">
                  <c:v>185.97425508967711</c:v>
                </c:pt>
                <c:pt idx="481">
                  <c:v>185.97425508967711</c:v>
                </c:pt>
                <c:pt idx="482">
                  <c:v>185.97425508967711</c:v>
                </c:pt>
                <c:pt idx="483">
                  <c:v>185.97425508967711</c:v>
                </c:pt>
                <c:pt idx="484">
                  <c:v>185.97425508967711</c:v>
                </c:pt>
                <c:pt idx="485">
                  <c:v>185.97425508967711</c:v>
                </c:pt>
                <c:pt idx="486">
                  <c:v>185.97425508967711</c:v>
                </c:pt>
                <c:pt idx="487">
                  <c:v>185.97425508967711</c:v>
                </c:pt>
                <c:pt idx="488">
                  <c:v>185.97425508967711</c:v>
                </c:pt>
                <c:pt idx="489">
                  <c:v>185.97425508967711</c:v>
                </c:pt>
                <c:pt idx="490">
                  <c:v>185.97425508967711</c:v>
                </c:pt>
                <c:pt idx="491">
                  <c:v>185.97425508967711</c:v>
                </c:pt>
                <c:pt idx="492">
                  <c:v>185.97425508967711</c:v>
                </c:pt>
                <c:pt idx="493">
                  <c:v>185.95565952372473</c:v>
                </c:pt>
                <c:pt idx="494">
                  <c:v>185.93706581714301</c:v>
                </c:pt>
                <c:pt idx="495">
                  <c:v>185.91847396974603</c:v>
                </c:pt>
                <c:pt idx="496">
                  <c:v>185.8998839813479</c:v>
                </c:pt>
                <c:pt idx="497">
                  <c:v>185.8998839813479</c:v>
                </c:pt>
                <c:pt idx="498">
                  <c:v>185.8998839813479</c:v>
                </c:pt>
                <c:pt idx="499">
                  <c:v>185.8998839813479</c:v>
                </c:pt>
                <c:pt idx="500">
                  <c:v>185.8998839813479</c:v>
                </c:pt>
                <c:pt idx="501">
                  <c:v>185.8998839813479</c:v>
                </c:pt>
                <c:pt idx="502">
                  <c:v>185.8998839813479</c:v>
                </c:pt>
                <c:pt idx="503">
                  <c:v>185.8998839813479</c:v>
                </c:pt>
                <c:pt idx="504">
                  <c:v>185.8998839813479</c:v>
                </c:pt>
                <c:pt idx="505">
                  <c:v>185.8998839813479</c:v>
                </c:pt>
                <c:pt idx="506">
                  <c:v>185.8998839813479</c:v>
                </c:pt>
                <c:pt idx="507">
                  <c:v>185.8998839813479</c:v>
                </c:pt>
                <c:pt idx="508">
                  <c:v>185.8998839813479</c:v>
                </c:pt>
                <c:pt idx="509">
                  <c:v>185.88129585176273</c:v>
                </c:pt>
                <c:pt idx="510">
                  <c:v>185.86270958080465</c:v>
                </c:pt>
                <c:pt idx="511">
                  <c:v>185.82554447191026</c:v>
                </c:pt>
                <c:pt idx="512">
                  <c:v>185.80696377553272</c:v>
                </c:pt>
                <c:pt idx="513">
                  <c:v>185.78838493703901</c:v>
                </c:pt>
                <c:pt idx="514">
                  <c:v>185.7698079562434</c:v>
                </c:pt>
                <c:pt idx="515">
                  <c:v>185.7326614239586</c:v>
                </c:pt>
                <c:pt idx="516">
                  <c:v>185.71409001495712</c:v>
                </c:pt>
                <c:pt idx="517">
                  <c:v>185.65839249720796</c:v>
                </c:pt>
                <c:pt idx="518">
                  <c:v>185.60271168370286</c:v>
                </c:pt>
                <c:pt idx="519">
                  <c:v>185.54704756943204</c:v>
                </c:pt>
                <c:pt idx="520">
                  <c:v>185.49140014938723</c:v>
                </c:pt>
                <c:pt idx="521">
                  <c:v>185.41723325608481</c:v>
                </c:pt>
                <c:pt idx="522">
                  <c:v>185.36162476865422</c:v>
                </c:pt>
                <c:pt idx="523">
                  <c:v>185.30603295876659</c:v>
                </c:pt>
                <c:pt idx="524">
                  <c:v>185.25045782142018</c:v>
                </c:pt>
                <c:pt idx="525">
                  <c:v>185.19489935161471</c:v>
                </c:pt>
                <c:pt idx="526">
                  <c:v>185.13935754435141</c:v>
                </c:pt>
                <c:pt idx="527">
                  <c:v>185.0653314117867</c:v>
                </c:pt>
                <c:pt idx="528">
                  <c:v>185.00982846324774</c:v>
                </c:pt>
                <c:pt idx="529">
                  <c:v>184.93585412159911</c:v>
                </c:pt>
                <c:pt idx="530">
                  <c:v>184.86190935785598</c:v>
                </c:pt>
                <c:pt idx="531">
                  <c:v>184.78799416019191</c:v>
                </c:pt>
                <c:pt idx="532">
                  <c:v>184.71410851678522</c:v>
                </c:pt>
                <c:pt idx="533">
                  <c:v>184.64025241581891</c:v>
                </c:pt>
                <c:pt idx="534">
                  <c:v>184.58487695273308</c:v>
                </c:pt>
                <c:pt idx="535">
                  <c:v>184.52951809730391</c:v>
                </c:pt>
                <c:pt idx="536">
                  <c:v>184.47417584455056</c:v>
                </c:pt>
                <c:pt idx="537">
                  <c:v>184.43728838687318</c:v>
                </c:pt>
                <c:pt idx="538">
                  <c:v>184.40040830521215</c:v>
                </c:pt>
                <c:pt idx="539">
                  <c:v>184.34510477378004</c:v>
                </c:pt>
                <c:pt idx="540">
                  <c:v>184.28981782843152</c:v>
                </c:pt>
                <c:pt idx="541">
                  <c:v>184.25296723498454</c:v>
                </c:pt>
                <c:pt idx="542">
                  <c:v>184.21612401018251</c:v>
                </c:pt>
                <c:pt idx="543">
                  <c:v>184.16087574745828</c:v>
                </c:pt>
                <c:pt idx="544">
                  <c:v>184.10564405424202</c:v>
                </c:pt>
                <c:pt idx="545">
                  <c:v>184.03203124174533</c:v>
                </c:pt>
                <c:pt idx="546">
                  <c:v>183.95844786260031</c:v>
                </c:pt>
                <c:pt idx="547">
                  <c:v>183.8848939050383</c:v>
                </c:pt>
                <c:pt idx="548">
                  <c:v>183.81136935729538</c:v>
                </c:pt>
                <c:pt idx="549">
                  <c:v>183.73787420761235</c:v>
                </c:pt>
                <c:pt idx="550">
                  <c:v>183.66440844423465</c:v>
                </c:pt>
                <c:pt idx="551">
                  <c:v>183.55427587870744</c:v>
                </c:pt>
                <c:pt idx="552">
                  <c:v>183.4442093530956</c:v>
                </c:pt>
                <c:pt idx="553">
                  <c:v>183.33420882779893</c:v>
                </c:pt>
                <c:pt idx="554">
                  <c:v>183.224274263241</c:v>
                </c:pt>
                <c:pt idx="555">
                  <c:v>183.1144056198691</c:v>
                </c:pt>
                <c:pt idx="556">
                  <c:v>183.02289417278271</c:v>
                </c:pt>
                <c:pt idx="557">
                  <c:v>182.91314628501172</c:v>
                </c:pt>
                <c:pt idx="558">
                  <c:v>182.80346420648783</c:v>
                </c:pt>
                <c:pt idx="559">
                  <c:v>182.69384789774918</c:v>
                </c:pt>
                <c:pt idx="560">
                  <c:v>182.58429731935757</c:v>
                </c:pt>
                <c:pt idx="561">
                  <c:v>182.45657771495712</c:v>
                </c:pt>
                <c:pt idx="562">
                  <c:v>182.3289474517409</c:v>
                </c:pt>
                <c:pt idx="563">
                  <c:v>182.20140646721387</c:v>
                </c:pt>
                <c:pt idx="564">
                  <c:v>182.0557618577277</c:v>
                </c:pt>
                <c:pt idx="565">
                  <c:v>181.91023367079109</c:v>
                </c:pt>
                <c:pt idx="566">
                  <c:v>181.78298558088449</c:v>
                </c:pt>
                <c:pt idx="567">
                  <c:v>181.65582650233287</c:v>
                </c:pt>
                <c:pt idx="568">
                  <c:v>181.52875637287187</c:v>
                </c:pt>
                <c:pt idx="569">
                  <c:v>181.38364945330923</c:v>
                </c:pt>
                <c:pt idx="570">
                  <c:v>181.23865852648805</c:v>
                </c:pt>
                <c:pt idx="571">
                  <c:v>181.09378349968833</c:v>
                </c:pt>
                <c:pt idx="572">
                  <c:v>180.96710652512076</c:v>
                </c:pt>
                <c:pt idx="573">
                  <c:v>180.82244856626775</c:v>
                </c:pt>
                <c:pt idx="574">
                  <c:v>180.65985469704043</c:v>
                </c:pt>
                <c:pt idx="575">
                  <c:v>180.49740703071279</c:v>
                </c:pt>
                <c:pt idx="576">
                  <c:v>180.33510543582057</c:v>
                </c:pt>
                <c:pt idx="577">
                  <c:v>180.17294978101768</c:v>
                </c:pt>
                <c:pt idx="578">
                  <c:v>180.01093993507612</c:v>
                </c:pt>
                <c:pt idx="579">
                  <c:v>179.84907576688593</c:v>
                </c:pt>
                <c:pt idx="580">
                  <c:v>179.68735714545505</c:v>
                </c:pt>
                <c:pt idx="581">
                  <c:v>179.52578393990916</c:v>
                </c:pt>
                <c:pt idx="582">
                  <c:v>179.36435601949162</c:v>
                </c:pt>
                <c:pt idx="583">
                  <c:v>179.20307325356345</c:v>
                </c:pt>
                <c:pt idx="584">
                  <c:v>179.04193551160301</c:v>
                </c:pt>
                <c:pt idx="585">
                  <c:v>178.88094266320616</c:v>
                </c:pt>
                <c:pt idx="586">
                  <c:v>178.72009457808591</c:v>
                </c:pt>
                <c:pt idx="587">
                  <c:v>178.55939112607246</c:v>
                </c:pt>
                <c:pt idx="588">
                  <c:v>178.39883217711306</c:v>
                </c:pt>
                <c:pt idx="589">
                  <c:v>178.23841760127195</c:v>
                </c:pt>
                <c:pt idx="590">
                  <c:v>178.07814726873011</c:v>
                </c:pt>
                <c:pt idx="591">
                  <c:v>177.91802104978532</c:v>
                </c:pt>
                <c:pt idx="592">
                  <c:v>177.75803881485197</c:v>
                </c:pt>
                <c:pt idx="593">
                  <c:v>177.59820043446098</c:v>
                </c:pt>
                <c:pt idx="594">
                  <c:v>177.43850577925966</c:v>
                </c:pt>
                <c:pt idx="595">
                  <c:v>177.27895472001165</c:v>
                </c:pt>
                <c:pt idx="596">
                  <c:v>177.10185286714452</c:v>
                </c:pt>
                <c:pt idx="597">
                  <c:v>176.92492793920533</c:v>
                </c:pt>
                <c:pt idx="598">
                  <c:v>176.74817975944592</c:v>
                </c:pt>
                <c:pt idx="599">
                  <c:v>176.57160815129464</c:v>
                </c:pt>
                <c:pt idx="600">
                  <c:v>176.39521293835631</c:v>
                </c:pt>
                <c:pt idx="601">
                  <c:v>176.21899394441192</c:v>
                </c:pt>
                <c:pt idx="602">
                  <c:v>176.04295099341851</c:v>
                </c:pt>
                <c:pt idx="603">
                  <c:v>175.86708390950903</c:v>
                </c:pt>
                <c:pt idx="604">
                  <c:v>175.69139251699207</c:v>
                </c:pt>
                <c:pt idx="605">
                  <c:v>175.53341244579087</c:v>
                </c:pt>
                <c:pt idx="606">
                  <c:v>175.37557442880495</c:v>
                </c:pt>
                <c:pt idx="607">
                  <c:v>175.21787833830049</c:v>
                </c:pt>
                <c:pt idx="608">
                  <c:v>175.06032404665851</c:v>
                </c:pt>
                <c:pt idx="609">
                  <c:v>174.9029114263748</c:v>
                </c:pt>
                <c:pt idx="610">
                  <c:v>174.74564035005977</c:v>
                </c:pt>
                <c:pt idx="611">
                  <c:v>174.5885106904384</c:v>
                </c:pt>
                <c:pt idx="612">
                  <c:v>174.41409659384456</c:v>
                </c:pt>
                <c:pt idx="613">
                  <c:v>174.23985673710749</c:v>
                </c:pt>
                <c:pt idx="614">
                  <c:v>174.06579094616134</c:v>
                </c:pt>
                <c:pt idx="615">
                  <c:v>173.89189904711424</c:v>
                </c:pt>
                <c:pt idx="616">
                  <c:v>173.71818086624802</c:v>
                </c:pt>
                <c:pt idx="617">
                  <c:v>173.56197508866825</c:v>
                </c:pt>
                <c:pt idx="618">
                  <c:v>173.40590976987536</c:v>
                </c:pt>
                <c:pt idx="619">
                  <c:v>173.24998478357017</c:v>
                </c:pt>
                <c:pt idx="620">
                  <c:v>173.09420000356698</c:v>
                </c:pt>
                <c:pt idx="621">
                  <c:v>172.93855530379358</c:v>
                </c:pt>
                <c:pt idx="622">
                  <c:v>172.78305055829114</c:v>
                </c:pt>
                <c:pt idx="623">
                  <c:v>172.62768564121407</c:v>
                </c:pt>
                <c:pt idx="624">
                  <c:v>172.4552304108033</c:v>
                </c:pt>
                <c:pt idx="625">
                  <c:v>172.28294746333998</c:v>
                </c:pt>
                <c:pt idx="626">
                  <c:v>172.11083662671328</c:v>
                </c:pt>
                <c:pt idx="627">
                  <c:v>171.9388977289843</c:v>
                </c:pt>
                <c:pt idx="628">
                  <c:v>171.76713059838593</c:v>
                </c:pt>
                <c:pt idx="629">
                  <c:v>171.59553506332264</c:v>
                </c:pt>
                <c:pt idx="630">
                  <c:v>171.4412379491684</c:v>
                </c:pt>
                <c:pt idx="631">
                  <c:v>171.28707957754861</c:v>
                </c:pt>
                <c:pt idx="632">
                  <c:v>171.1330598237073</c:v>
                </c:pt>
                <c:pt idx="633">
                  <c:v>170.9791785630006</c:v>
                </c:pt>
                <c:pt idx="634">
                  <c:v>170.82543567089681</c:v>
                </c:pt>
                <c:pt idx="635">
                  <c:v>170.67183102297614</c:v>
                </c:pt>
                <c:pt idx="636">
                  <c:v>170.51836449493072</c:v>
                </c:pt>
                <c:pt idx="637">
                  <c:v>170.36503596256443</c:v>
                </c:pt>
                <c:pt idx="638">
                  <c:v>170.21184530179283</c:v>
                </c:pt>
                <c:pt idx="639">
                  <c:v>170.05879238864307</c:v>
                </c:pt>
                <c:pt idx="640">
                  <c:v>169.90587709925376</c:v>
                </c:pt>
                <c:pt idx="641">
                  <c:v>169.7530993098749</c:v>
                </c:pt>
                <c:pt idx="642">
                  <c:v>169.60045889686774</c:v>
                </c:pt>
                <c:pt idx="643">
                  <c:v>169.44795573670473</c:v>
                </c:pt>
                <c:pt idx="644">
                  <c:v>169.29558970596938</c:v>
                </c:pt>
                <c:pt idx="645">
                  <c:v>169.14336068135617</c:v>
                </c:pt>
                <c:pt idx="646">
                  <c:v>168.99126853967047</c:v>
                </c:pt>
                <c:pt idx="647">
                  <c:v>168.83931315782846</c:v>
                </c:pt>
                <c:pt idx="648">
                  <c:v>168.68749441285689</c:v>
                </c:pt>
                <c:pt idx="649">
                  <c:v>168.53581218189319</c:v>
                </c:pt>
                <c:pt idx="650">
                  <c:v>168.38426634218524</c:v>
                </c:pt>
                <c:pt idx="651">
                  <c:v>168.23285677109126</c:v>
                </c:pt>
                <c:pt idx="652">
                  <c:v>168.09837806863638</c:v>
                </c:pt>
                <c:pt idx="653">
                  <c:v>167.96400686314587</c:v>
                </c:pt>
                <c:pt idx="654">
                  <c:v>167.82974306869093</c:v>
                </c:pt>
                <c:pt idx="655">
                  <c:v>167.69558659941143</c:v>
                </c:pt>
                <c:pt idx="656">
                  <c:v>167.56153736951583</c:v>
                </c:pt>
                <c:pt idx="657">
                  <c:v>167.42759529328123</c:v>
                </c:pt>
                <c:pt idx="658">
                  <c:v>167.2937602850532</c:v>
                </c:pt>
                <c:pt idx="659">
                  <c:v>167.17673656945459</c:v>
                </c:pt>
                <c:pt idx="660">
                  <c:v>167.05979471315538</c:v>
                </c:pt>
                <c:pt idx="661">
                  <c:v>166.92625371018724</c:v>
                </c:pt>
                <c:pt idx="662">
                  <c:v>166.8094870692388</c:v>
                </c:pt>
                <c:pt idx="663">
                  <c:v>166.69280210776338</c:v>
                </c:pt>
                <c:pt idx="664">
                  <c:v>166.55955446419205</c:v>
                </c:pt>
                <c:pt idx="665">
                  <c:v>166.44304433315884</c:v>
                </c:pt>
                <c:pt idx="666">
                  <c:v>166.32661570216735</c:v>
                </c:pt>
                <c:pt idx="667">
                  <c:v>166.2102685142074</c:v>
                </c:pt>
                <c:pt idx="668">
                  <c:v>166.09400271230879</c:v>
                </c:pt>
                <c:pt idx="669">
                  <c:v>165.97781823954114</c:v>
                </c:pt>
                <c:pt idx="670">
                  <c:v>165.86171503901383</c:v>
                </c:pt>
                <c:pt idx="671">
                  <c:v>165.74569305387612</c:v>
                </c:pt>
                <c:pt idx="672">
                  <c:v>165.62975222731703</c:v>
                </c:pt>
                <c:pt idx="673">
                  <c:v>165.51389250256526</c:v>
                </c:pt>
                <c:pt idx="674">
                  <c:v>165.39811382288926</c:v>
                </c:pt>
                <c:pt idx="675">
                  <c:v>165.28241613159716</c:v>
                </c:pt>
                <c:pt idx="676">
                  <c:v>165.16679937203673</c:v>
                </c:pt>
                <c:pt idx="677">
                  <c:v>165.05126348759543</c:v>
                </c:pt>
                <c:pt idx="678">
                  <c:v>164.93580842170024</c:v>
                </c:pt>
                <c:pt idx="679">
                  <c:v>164.8204341178178</c:v>
                </c:pt>
                <c:pt idx="680">
                  <c:v>164.72160115712353</c:v>
                </c:pt>
                <c:pt idx="681">
                  <c:v>164.62282746064716</c:v>
                </c:pt>
                <c:pt idx="682">
                  <c:v>164.52411299285146</c:v>
                </c:pt>
                <c:pt idx="683">
                  <c:v>164.42545771822054</c:v>
                </c:pt>
                <c:pt idx="684">
                  <c:v>164.32686160125979</c:v>
                </c:pt>
                <c:pt idx="685">
                  <c:v>164.2283246064959</c:v>
                </c:pt>
                <c:pt idx="686">
                  <c:v>164.12984669847683</c:v>
                </c:pt>
                <c:pt idx="687">
                  <c:v>164.03142784177177</c:v>
                </c:pt>
                <c:pt idx="688">
                  <c:v>163.93306800097119</c:v>
                </c:pt>
                <c:pt idx="689">
                  <c:v>163.83476714068678</c:v>
                </c:pt>
                <c:pt idx="690">
                  <c:v>163.75289069533912</c:v>
                </c:pt>
                <c:pt idx="691">
                  <c:v>163.67105516775524</c:v>
                </c:pt>
                <c:pt idx="692">
                  <c:v>163.5892605374865</c:v>
                </c:pt>
                <c:pt idx="693">
                  <c:v>163.50750678409446</c:v>
                </c:pt>
                <c:pt idx="694">
                  <c:v>163.42579388715089</c:v>
                </c:pt>
                <c:pt idx="695">
                  <c:v>163.34412182623777</c:v>
                </c:pt>
                <c:pt idx="696">
                  <c:v>163.26249058094731</c:v>
                </c:pt>
                <c:pt idx="697">
                  <c:v>163.18090013088189</c:v>
                </c:pt>
                <c:pt idx="698">
                  <c:v>163.09935045565408</c:v>
                </c:pt>
                <c:pt idx="699">
                  <c:v>163.01784153488663</c:v>
                </c:pt>
                <c:pt idx="700">
                  <c:v>162.93637334821253</c:v>
                </c:pt>
                <c:pt idx="701">
                  <c:v>162.85494587527489</c:v>
                </c:pt>
                <c:pt idx="702">
                  <c:v>162.77355909572705</c:v>
                </c:pt>
                <c:pt idx="703">
                  <c:v>162.69221298923244</c:v>
                </c:pt>
                <c:pt idx="704">
                  <c:v>162.61090753546472</c:v>
                </c:pt>
                <c:pt idx="705">
                  <c:v>162.52964271410767</c:v>
                </c:pt>
                <c:pt idx="706">
                  <c:v>162.44841850485525</c:v>
                </c:pt>
                <c:pt idx="707">
                  <c:v>162.38346511880775</c:v>
                </c:pt>
                <c:pt idx="708">
                  <c:v>162.31853770372626</c:v>
                </c:pt>
                <c:pt idx="709">
                  <c:v>162.25363624922659</c:v>
                </c:pt>
                <c:pt idx="710">
                  <c:v>162.18876074492863</c:v>
                </c:pt>
                <c:pt idx="711">
                  <c:v>162.12391118045645</c:v>
                </c:pt>
                <c:pt idx="712">
                  <c:v>162.05908754543827</c:v>
                </c:pt>
                <c:pt idx="713">
                  <c:v>161.99428982950647</c:v>
                </c:pt>
                <c:pt idx="714">
                  <c:v>161.92951802229757</c:v>
                </c:pt>
                <c:pt idx="715">
                  <c:v>161.8647721134522</c:v>
                </c:pt>
                <c:pt idx="716">
                  <c:v>161.80005209261518</c:v>
                </c:pt>
                <c:pt idx="717">
                  <c:v>161.73535794943541</c:v>
                </c:pt>
                <c:pt idx="718">
                  <c:v>161.67068967356599</c:v>
                </c:pt>
                <c:pt idx="719">
                  <c:v>161.60604725466413</c:v>
                </c:pt>
                <c:pt idx="720">
                  <c:v>161.55757998066994</c:v>
                </c:pt>
                <c:pt idx="721">
                  <c:v>161.50912724249719</c:v>
                </c:pt>
                <c:pt idx="722">
                  <c:v>161.46068903578646</c:v>
                </c:pt>
                <c:pt idx="723">
                  <c:v>161.4122653561796</c:v>
                </c:pt>
                <c:pt idx="724">
                  <c:v>161.3638561993198</c:v>
                </c:pt>
                <c:pt idx="725">
                  <c:v>161.31546156085156</c:v>
                </c:pt>
                <c:pt idx="726">
                  <c:v>161.26708143642063</c:v>
                </c:pt>
                <c:pt idx="727">
                  <c:v>161.21871582167412</c:v>
                </c:pt>
                <c:pt idx="728">
                  <c:v>161.17036471226047</c:v>
                </c:pt>
                <c:pt idx="729">
                  <c:v>161.12202810382931</c:v>
                </c:pt>
                <c:pt idx="730">
                  <c:v>161.07370599203171</c:v>
                </c:pt>
                <c:pt idx="731">
                  <c:v>161.02539837251996</c:v>
                </c:pt>
                <c:pt idx="732">
                  <c:v>160.97710524094768</c:v>
                </c:pt>
                <c:pt idx="733">
                  <c:v>160.92882659296978</c:v>
                </c:pt>
                <c:pt idx="734">
                  <c:v>160.88056242424253</c:v>
                </c:pt>
                <c:pt idx="735">
                  <c:v>160.84839274569339</c:v>
                </c:pt>
                <c:pt idx="736">
                  <c:v>160.80015269988343</c:v>
                </c:pt>
                <c:pt idx="737">
                  <c:v>160.76799910006341</c:v>
                </c:pt>
                <c:pt idx="738">
                  <c:v>160.71978316511388</c:v>
                </c:pt>
                <c:pt idx="739">
                  <c:v>160.68764563598668</c:v>
                </c:pt>
                <c:pt idx="740">
                  <c:v>160.65551453308007</c:v>
                </c:pt>
                <c:pt idx="741">
                  <c:v>160.62338985510905</c:v>
                </c:pt>
                <c:pt idx="742">
                  <c:v>160.5912716007889</c:v>
                </c:pt>
                <c:pt idx="743">
                  <c:v>160.55915976883514</c:v>
                </c:pt>
                <c:pt idx="744">
                  <c:v>160.52705435796355</c:v>
                </c:pt>
                <c:pt idx="745">
                  <c:v>160.49495536689017</c:v>
                </c:pt>
                <c:pt idx="746">
                  <c:v>160.4628627943313</c:v>
                </c:pt>
                <c:pt idx="747">
                  <c:v>160.43077663900351</c:v>
                </c:pt>
                <c:pt idx="748">
                  <c:v>160.39869689962359</c:v>
                </c:pt>
                <c:pt idx="749">
                  <c:v>160.3666235749086</c:v>
                </c:pt>
                <c:pt idx="750">
                  <c:v>160.33455666357588</c:v>
                </c:pt>
                <c:pt idx="751">
                  <c:v>160.30249616434301</c:v>
                </c:pt>
                <c:pt idx="752">
                  <c:v>160.27044207592783</c:v>
                </c:pt>
                <c:pt idx="753">
                  <c:v>160.23839439704844</c:v>
                </c:pt>
                <c:pt idx="754">
                  <c:v>160.20635312642315</c:v>
                </c:pt>
                <c:pt idx="755">
                  <c:v>160.17431826277061</c:v>
                </c:pt>
                <c:pt idx="756">
                  <c:v>160.14228980480965</c:v>
                </c:pt>
                <c:pt idx="757">
                  <c:v>160.11026775125941</c:v>
                </c:pt>
                <c:pt idx="758">
                  <c:v>160.07825210083925</c:v>
                </c:pt>
                <c:pt idx="759">
                  <c:v>160.04624285226879</c:v>
                </c:pt>
                <c:pt idx="760">
                  <c:v>160.01424000426795</c:v>
                </c:pt>
                <c:pt idx="761">
                  <c:v>159.98224355555683</c:v>
                </c:pt>
                <c:pt idx="762">
                  <c:v>159.95025350485588</c:v>
                </c:pt>
                <c:pt idx="763">
                  <c:v>159.91826985088571</c:v>
                </c:pt>
                <c:pt idx="764">
                  <c:v>159.88629259236723</c:v>
                </c:pt>
                <c:pt idx="765">
                  <c:v>159.85432172802163</c:v>
                </c:pt>
                <c:pt idx="766">
                  <c:v>159.82235725657031</c:v>
                </c:pt>
                <c:pt idx="767">
                  <c:v>159.79039917673498</c:v>
                </c:pt>
                <c:pt idx="768">
                  <c:v>159.75844748723753</c:v>
                </c:pt>
                <c:pt idx="769">
                  <c:v>159.72650218680019</c:v>
                </c:pt>
                <c:pt idx="770">
                  <c:v>159.69456327414537</c:v>
                </c:pt>
                <c:pt idx="771">
                  <c:v>159.66263074799576</c:v>
                </c:pt>
                <c:pt idx="772">
                  <c:v>159.63070460707436</c:v>
                </c:pt>
                <c:pt idx="773">
                  <c:v>159.59878485010435</c:v>
                </c:pt>
                <c:pt idx="774">
                  <c:v>159.56687147580919</c:v>
                </c:pt>
                <c:pt idx="775">
                  <c:v>159.53496448291261</c:v>
                </c:pt>
                <c:pt idx="776">
                  <c:v>159.50306387013859</c:v>
                </c:pt>
                <c:pt idx="777">
                  <c:v>159.47116963621136</c:v>
                </c:pt>
                <c:pt idx="778">
                  <c:v>159.43928177985538</c:v>
                </c:pt>
                <c:pt idx="779">
                  <c:v>159.40740029979543</c:v>
                </c:pt>
                <c:pt idx="780">
                  <c:v>159.37552519475648</c:v>
                </c:pt>
                <c:pt idx="781">
                  <c:v>159.34365646346379</c:v>
                </c:pt>
                <c:pt idx="782">
                  <c:v>159.31179410464287</c:v>
                </c:pt>
                <c:pt idx="783">
                  <c:v>159.27993811701947</c:v>
                </c:pt>
                <c:pt idx="784">
                  <c:v>159.24808849931961</c:v>
                </c:pt>
                <c:pt idx="785">
                  <c:v>159.21624525026957</c:v>
                </c:pt>
                <c:pt idx="786">
                  <c:v>159.18440836859585</c:v>
                </c:pt>
                <c:pt idx="787">
                  <c:v>159.15257785302526</c:v>
                </c:pt>
                <c:pt idx="788">
                  <c:v>159.12075370228482</c:v>
                </c:pt>
                <c:pt idx="789">
                  <c:v>159.08893591510179</c:v>
                </c:pt>
                <c:pt idx="790">
                  <c:v>159.05712449020376</c:v>
                </c:pt>
                <c:pt idx="791">
                  <c:v>159.0253194263185</c:v>
                </c:pt>
                <c:pt idx="792">
                  <c:v>158.99352072217408</c:v>
                </c:pt>
                <c:pt idx="793">
                  <c:v>158.9617283764988</c:v>
                </c:pt>
                <c:pt idx="794">
                  <c:v>158.9299423880212</c:v>
                </c:pt>
                <c:pt idx="795">
                  <c:v>158.89816275547011</c:v>
                </c:pt>
                <c:pt idx="796">
                  <c:v>158.86638947757459</c:v>
                </c:pt>
                <c:pt idx="797">
                  <c:v>158.83462255306398</c:v>
                </c:pt>
                <c:pt idx="798">
                  <c:v>158.80286198066784</c:v>
                </c:pt>
                <c:pt idx="799">
                  <c:v>158.77110775911603</c:v>
                </c:pt>
                <c:pt idx="800">
                  <c:v>158.73935988713862</c:v>
                </c:pt>
                <c:pt idx="801">
                  <c:v>158.70761836346594</c:v>
                </c:pt>
                <c:pt idx="802">
                  <c:v>158.67588318682857</c:v>
                </c:pt>
                <c:pt idx="803">
                  <c:v>158.6441543559574</c:v>
                </c:pt>
                <c:pt idx="804">
                  <c:v>158.61243186958347</c:v>
                </c:pt>
                <c:pt idx="805">
                  <c:v>158.5807157264382</c:v>
                </c:pt>
                <c:pt idx="806">
                  <c:v>158.54900592525314</c:v>
                </c:pt>
                <c:pt idx="807">
                  <c:v>158.51730246476021</c:v>
                </c:pt>
                <c:pt idx="808">
                  <c:v>158.48560534369147</c:v>
                </c:pt>
                <c:pt idx="809">
                  <c:v>158.45391456077931</c:v>
                </c:pt>
                <c:pt idx="810">
                  <c:v>158.42223011475636</c:v>
                </c:pt>
                <c:pt idx="811">
                  <c:v>158.3905520043555</c:v>
                </c:pt>
                <c:pt idx="812">
                  <c:v>158.35888022830983</c:v>
                </c:pt>
                <c:pt idx="813">
                  <c:v>158.32721478535277</c:v>
                </c:pt>
                <c:pt idx="814">
                  <c:v>158.29555567421792</c:v>
                </c:pt>
                <c:pt idx="815">
                  <c:v>158.2639028936392</c:v>
                </c:pt>
                <c:pt idx="816">
                  <c:v>158.23225644235072</c:v>
                </c:pt>
                <c:pt idx="817">
                  <c:v>158.20061631908689</c:v>
                </c:pt>
                <c:pt idx="818">
                  <c:v>158.16898252258238</c:v>
                </c:pt>
                <c:pt idx="819">
                  <c:v>158.13735505157206</c:v>
                </c:pt>
                <c:pt idx="820">
                  <c:v>158.10573390479109</c:v>
                </c:pt>
                <c:pt idx="821">
                  <c:v>158.0741190809749</c:v>
                </c:pt>
                <c:pt idx="822">
                  <c:v>158.04251057885912</c:v>
                </c:pt>
                <c:pt idx="823">
                  <c:v>157.99511204524555</c:v>
                </c:pt>
                <c:pt idx="824">
                  <c:v>157.94772772692747</c:v>
                </c:pt>
                <c:pt idx="825">
                  <c:v>157.90035761964157</c:v>
                </c:pt>
                <c:pt idx="826">
                  <c:v>157.85300171912584</c:v>
                </c:pt>
                <c:pt idx="827">
                  <c:v>157.80566002111951</c:v>
                </c:pt>
                <c:pt idx="828">
                  <c:v>157.75833252136312</c:v>
                </c:pt>
                <c:pt idx="829">
                  <c:v>157.71101921559844</c:v>
                </c:pt>
                <c:pt idx="830">
                  <c:v>157.66372009956856</c:v>
                </c:pt>
                <c:pt idx="831">
                  <c:v>157.61643516901788</c:v>
                </c:pt>
                <c:pt idx="832">
                  <c:v>157.56916441969199</c:v>
                </c:pt>
                <c:pt idx="833">
                  <c:v>157.52190784733779</c:v>
                </c:pt>
                <c:pt idx="834">
                  <c:v>157.47466544770347</c:v>
                </c:pt>
                <c:pt idx="835">
                  <c:v>157.42743721653852</c:v>
                </c:pt>
                <c:pt idx="836">
                  <c:v>157.38022314959366</c:v>
                </c:pt>
                <c:pt idx="837">
                  <c:v>157.33302324262087</c:v>
                </c:pt>
                <c:pt idx="838">
                  <c:v>157.28583749137346</c:v>
                </c:pt>
                <c:pt idx="839">
                  <c:v>157.23866589160599</c:v>
                </c:pt>
                <c:pt idx="840">
                  <c:v>157.19150843907428</c:v>
                </c:pt>
                <c:pt idx="841">
                  <c:v>157.14436512953543</c:v>
                </c:pt>
                <c:pt idx="842">
                  <c:v>157.0972359587478</c:v>
                </c:pt>
                <c:pt idx="843">
                  <c:v>157.05012092247105</c:v>
                </c:pt>
                <c:pt idx="844">
                  <c:v>157.00302001646611</c:v>
                </c:pt>
                <c:pt idx="845">
                  <c:v>156.95593323649516</c:v>
                </c:pt>
                <c:pt idx="846">
                  <c:v>156.90886057832165</c:v>
                </c:pt>
                <c:pt idx="847">
                  <c:v>156.86180203771033</c:v>
                </c:pt>
                <c:pt idx="848">
                  <c:v>156.81475761042722</c:v>
                </c:pt>
                <c:pt idx="849">
                  <c:v>156.76772729223956</c:v>
                </c:pt>
                <c:pt idx="850">
                  <c:v>156.72071107891588</c:v>
                </c:pt>
                <c:pt idx="851">
                  <c:v>156.67370896622603</c:v>
                </c:pt>
                <c:pt idx="852">
                  <c:v>156.62672094994105</c:v>
                </c:pt>
                <c:pt idx="853">
                  <c:v>156.57974702583331</c:v>
                </c:pt>
                <c:pt idx="854">
                  <c:v>156.53278718967641</c:v>
                </c:pt>
                <c:pt idx="855">
                  <c:v>156.48584143724526</c:v>
                </c:pt>
                <c:pt idx="856">
                  <c:v>156.43890976431598</c:v>
                </c:pt>
                <c:pt idx="857">
                  <c:v>156.39199216666597</c:v>
                </c:pt>
                <c:pt idx="858">
                  <c:v>156.34508864007395</c:v>
                </c:pt>
                <c:pt idx="859">
                  <c:v>156.29819918031987</c:v>
                </c:pt>
                <c:pt idx="860">
                  <c:v>156.25132378318492</c:v>
                </c:pt>
                <c:pt idx="861">
                  <c:v>156.20446244445159</c:v>
                </c:pt>
                <c:pt idx="862">
                  <c:v>156.15761515990363</c:v>
                </c:pt>
                <c:pt idx="863">
                  <c:v>156.11078192532602</c:v>
                </c:pt>
                <c:pt idx="864">
                  <c:v>156.06396273650509</c:v>
                </c:pt>
                <c:pt idx="865">
                  <c:v>156.01715758922833</c:v>
                </c:pt>
                <c:pt idx="866">
                  <c:v>155.97036647928456</c:v>
                </c:pt>
                <c:pt idx="867">
                  <c:v>155.92358940246382</c:v>
                </c:pt>
                <c:pt idx="868">
                  <c:v>155.87682635455747</c:v>
                </c:pt>
                <c:pt idx="869">
                  <c:v>155.83007733135807</c:v>
                </c:pt>
                <c:pt idx="870">
                  <c:v>155.78334232865947</c:v>
                </c:pt>
                <c:pt idx="871">
                  <c:v>155.72105390709663</c:v>
                </c:pt>
                <c:pt idx="872">
                  <c:v>155.65879039094025</c:v>
                </c:pt>
                <c:pt idx="873">
                  <c:v>155.59655177023217</c:v>
                </c:pt>
                <c:pt idx="874">
                  <c:v>155.53433803501818</c:v>
                </c:pt>
                <c:pt idx="875">
                  <c:v>155.47214917534805</c:v>
                </c:pt>
                <c:pt idx="876">
                  <c:v>155.40998518127554</c:v>
                </c:pt>
                <c:pt idx="877">
                  <c:v>155.34784604285841</c:v>
                </c:pt>
                <c:pt idx="878">
                  <c:v>155.28573175015836</c:v>
                </c:pt>
                <c:pt idx="879">
                  <c:v>155.22364229324108</c:v>
                </c:pt>
                <c:pt idx="880">
                  <c:v>155.14606925861179</c:v>
                </c:pt>
                <c:pt idx="881">
                  <c:v>155.08403564435406</c:v>
                </c:pt>
                <c:pt idx="882">
                  <c:v>155.00653237816499</c:v>
                </c:pt>
                <c:pt idx="883">
                  <c:v>154.91358422762843</c:v>
                </c:pt>
                <c:pt idx="884">
                  <c:v>154.82069181254093</c:v>
                </c:pt>
                <c:pt idx="885">
                  <c:v>154.72785509948125</c:v>
                </c:pt>
                <c:pt idx="886">
                  <c:v>154.63507405504822</c:v>
                </c:pt>
                <c:pt idx="887">
                  <c:v>154.52690522139326</c:v>
                </c:pt>
                <c:pt idx="888">
                  <c:v>154.41881205295621</c:v>
                </c:pt>
                <c:pt idx="889">
                  <c:v>154.31079449680846</c:v>
                </c:pt>
                <c:pt idx="890">
                  <c:v>154.20285250005841</c:v>
                </c:pt>
                <c:pt idx="891">
                  <c:v>154.09498600985154</c:v>
                </c:pt>
                <c:pt idx="892">
                  <c:v>153.98719497337018</c:v>
                </c:pt>
                <c:pt idx="893">
                  <c:v>153.87947933783371</c:v>
                </c:pt>
                <c:pt idx="894">
                  <c:v>153.77183905049839</c:v>
                </c:pt>
                <c:pt idx="895">
                  <c:v>153.66427405865733</c:v>
                </c:pt>
                <c:pt idx="896">
                  <c:v>153.55678430964059</c:v>
                </c:pt>
                <c:pt idx="897">
                  <c:v>153.44936975081504</c:v>
                </c:pt>
                <c:pt idx="898">
                  <c:v>153.34203032958433</c:v>
                </c:pt>
                <c:pt idx="899">
                  <c:v>153.23476599338898</c:v>
                </c:pt>
                <c:pt idx="900">
                  <c:v>153.12757668970619</c:v>
                </c:pt>
                <c:pt idx="901">
                  <c:v>153.02046236604997</c:v>
                </c:pt>
                <c:pt idx="902">
                  <c:v>152.91342296997101</c:v>
                </c:pt>
                <c:pt idx="903">
                  <c:v>152.80645844905669</c:v>
                </c:pt>
                <c:pt idx="904">
                  <c:v>152.68431100025649</c:v>
                </c:pt>
                <c:pt idx="905">
                  <c:v>152.56226119130346</c:v>
                </c:pt>
                <c:pt idx="906">
                  <c:v>152.44030894414817</c:v>
                </c:pt>
                <c:pt idx="907">
                  <c:v>152.31845418080354</c:v>
                </c:pt>
                <c:pt idx="908">
                  <c:v>152.18149083904842</c:v>
                </c:pt>
                <c:pt idx="909">
                  <c:v>152.04465065346031</c:v>
                </c:pt>
                <c:pt idx="910">
                  <c:v>151.90793351329836</c:v>
                </c:pt>
                <c:pt idx="911">
                  <c:v>151.77133930792124</c:v>
                </c:pt>
                <c:pt idx="912">
                  <c:v>151.63486792678714</c:v>
                </c:pt>
                <c:pt idx="913">
                  <c:v>151.48338454224492</c:v>
                </c:pt>
                <c:pt idx="914">
                  <c:v>151.34717208736632</c:v>
                </c:pt>
                <c:pt idx="915">
                  <c:v>151.19597611125508</c:v>
                </c:pt>
                <c:pt idx="916">
                  <c:v>151.04493118007503</c:v>
                </c:pt>
                <c:pt idx="917">
                  <c:v>150.89403714293212</c:v>
                </c:pt>
                <c:pt idx="918">
                  <c:v>150.74329384908305</c:v>
                </c:pt>
                <c:pt idx="919">
                  <c:v>150.57765842481572</c:v>
                </c:pt>
                <c:pt idx="920">
                  <c:v>150.41220499931646</c:v>
                </c:pt>
                <c:pt idx="921">
                  <c:v>150.24693337260658</c:v>
                </c:pt>
                <c:pt idx="922">
                  <c:v>150.08184334492714</c:v>
                </c:pt>
                <c:pt idx="923">
                  <c:v>149.90196099173704</c:v>
                </c:pt>
                <c:pt idx="924">
                  <c:v>149.72229423865065</c:v>
                </c:pt>
                <c:pt idx="925">
                  <c:v>149.54284282725791</c:v>
                </c:pt>
                <c:pt idx="926">
                  <c:v>149.36360649945854</c:v>
                </c:pt>
                <c:pt idx="927">
                  <c:v>149.18458499746157</c:v>
                </c:pt>
                <c:pt idx="928">
                  <c:v>149.00577806378502</c:v>
                </c:pt>
                <c:pt idx="929">
                  <c:v>148.82718544125549</c:v>
                </c:pt>
                <c:pt idx="930">
                  <c:v>148.64880687300789</c:v>
                </c:pt>
                <c:pt idx="931">
                  <c:v>148.4706421024849</c:v>
                </c:pt>
                <c:pt idx="932">
                  <c:v>148.29269087343675</c:v>
                </c:pt>
                <c:pt idx="933">
                  <c:v>148.11495292992083</c:v>
                </c:pt>
                <c:pt idx="934">
                  <c:v>147.95220550386657</c:v>
                </c:pt>
                <c:pt idx="935">
                  <c:v>147.77487565308286</c:v>
                </c:pt>
                <c:pt idx="936">
                  <c:v>147.59775834307115</c:v>
                </c:pt>
                <c:pt idx="937">
                  <c:v>147.42085331908822</c:v>
                </c:pt>
                <c:pt idx="938">
                  <c:v>147.24416032669617</c:v>
                </c:pt>
                <c:pt idx="939">
                  <c:v>147.06767911176206</c:v>
                </c:pt>
                <c:pt idx="940">
                  <c:v>146.89140942045751</c:v>
                </c:pt>
                <c:pt idx="941">
                  <c:v>146.71535099925839</c:v>
                </c:pt>
                <c:pt idx="942">
                  <c:v>146.53950359494445</c:v>
                </c:pt>
                <c:pt idx="943">
                  <c:v>146.37848725895958</c:v>
                </c:pt>
                <c:pt idx="944">
                  <c:v>146.21764784632862</c:v>
                </c:pt>
                <c:pt idx="945">
                  <c:v>146.05698516264968</c:v>
                </c:pt>
                <c:pt idx="946">
                  <c:v>145.89649901373457</c:v>
                </c:pt>
                <c:pt idx="947">
                  <c:v>145.73618920560838</c:v>
                </c:pt>
                <c:pt idx="948">
                  <c:v>145.57605554450942</c:v>
                </c:pt>
                <c:pt idx="949">
                  <c:v>145.41609783688881</c:v>
                </c:pt>
                <c:pt idx="950">
                  <c:v>145.25631588941044</c:v>
                </c:pt>
                <c:pt idx="951">
                  <c:v>145.0967095089506</c:v>
                </c:pt>
                <c:pt idx="952">
                  <c:v>144.93727850259774</c:v>
                </c:pt>
                <c:pt idx="953">
                  <c:v>144.7780226776523</c:v>
                </c:pt>
                <c:pt idx="954">
                  <c:v>144.61894184162651</c:v>
                </c:pt>
                <c:pt idx="955">
                  <c:v>144.46003580224402</c:v>
                </c:pt>
                <c:pt idx="956">
                  <c:v>144.30130436743983</c:v>
                </c:pt>
                <c:pt idx="957">
                  <c:v>144.14274734535991</c:v>
                </c:pt>
                <c:pt idx="958">
                  <c:v>143.98436454436109</c:v>
                </c:pt>
                <c:pt idx="959">
                  <c:v>143.82615577301075</c:v>
                </c:pt>
                <c:pt idx="960">
                  <c:v>143.66812084008666</c:v>
                </c:pt>
                <c:pt idx="961">
                  <c:v>143.51025955457661</c:v>
                </c:pt>
                <c:pt idx="962">
                  <c:v>143.35257172567836</c:v>
                </c:pt>
                <c:pt idx="963">
                  <c:v>143.19505716279926</c:v>
                </c:pt>
                <c:pt idx="964">
                  <c:v>143.03771567555614</c:v>
                </c:pt>
                <c:pt idx="965">
                  <c:v>142.88054707377498</c:v>
                </c:pt>
                <c:pt idx="966">
                  <c:v>142.72355116749071</c:v>
                </c:pt>
                <c:pt idx="967">
                  <c:v>142.58097019729342</c:v>
                </c:pt>
                <c:pt idx="968">
                  <c:v>142.43853166562781</c:v>
                </c:pt>
                <c:pt idx="969">
                  <c:v>142.29623543019761</c:v>
                </c:pt>
                <c:pt idx="970">
                  <c:v>142.15408134884879</c:v>
                </c:pt>
                <c:pt idx="971">
                  <c:v>142.01206927956923</c:v>
                </c:pt>
                <c:pt idx="972">
                  <c:v>141.87019908048876</c:v>
                </c:pt>
                <c:pt idx="973">
                  <c:v>141.72847060987888</c:v>
                </c:pt>
                <c:pt idx="974">
                  <c:v>141.58688372615273</c:v>
                </c:pt>
                <c:pt idx="975">
                  <c:v>141.44543828786487</c:v>
                </c:pt>
                <c:pt idx="976">
                  <c:v>141.30413415371117</c:v>
                </c:pt>
                <c:pt idx="977">
                  <c:v>141.16297118252865</c:v>
                </c:pt>
                <c:pt idx="978">
                  <c:v>141.02194923329537</c:v>
                </c:pt>
                <c:pt idx="979">
                  <c:v>140.88106816513024</c:v>
                </c:pt>
                <c:pt idx="980">
                  <c:v>140.74032783729297</c:v>
                </c:pt>
                <c:pt idx="981">
                  <c:v>140.59972810918379</c:v>
                </c:pt>
                <c:pt idx="982">
                  <c:v>140.47330213726028</c:v>
                </c:pt>
                <c:pt idx="983">
                  <c:v>140.34698984639854</c:v>
                </c:pt>
                <c:pt idx="984">
                  <c:v>140.22079113437761</c:v>
                </c:pt>
                <c:pt idx="985">
                  <c:v>140.09470589906846</c:v>
                </c:pt>
                <c:pt idx="986">
                  <c:v>139.96873403843389</c:v>
                </c:pt>
                <c:pt idx="987">
                  <c:v>139.84287545052842</c:v>
                </c:pt>
                <c:pt idx="988">
                  <c:v>139.71713003349828</c:v>
                </c:pt>
                <c:pt idx="989">
                  <c:v>139.59149768558126</c:v>
                </c:pt>
                <c:pt idx="990">
                  <c:v>139.46597830510669</c:v>
                </c:pt>
                <c:pt idx="991">
                  <c:v>139.34057179049526</c:v>
                </c:pt>
                <c:pt idx="992">
                  <c:v>139.21527804025905</c:v>
                </c:pt>
                <c:pt idx="993">
                  <c:v>139.09009695300136</c:v>
                </c:pt>
                <c:pt idx="994">
                  <c:v>138.96502842741671</c:v>
                </c:pt>
                <c:pt idx="995">
                  <c:v>138.84007236229067</c:v>
                </c:pt>
                <c:pt idx="996">
                  <c:v>138.71522865649985</c:v>
                </c:pt>
                <c:pt idx="997">
                  <c:v>138.59049720901174</c:v>
                </c:pt>
                <c:pt idx="998">
                  <c:v>138.46587791888476</c:v>
                </c:pt>
                <c:pt idx="999">
                  <c:v>138.34137068526803</c:v>
                </c:pt>
                <c:pt idx="1000">
                  <c:v>138.21697540740138</c:v>
                </c:pt>
                <c:pt idx="1001">
                  <c:v>138.09269198461524</c:v>
                </c:pt>
                <c:pt idx="1002">
                  <c:v>137.96852031633057</c:v>
                </c:pt>
                <c:pt idx="1003">
                  <c:v>137.84446030205874</c:v>
                </c:pt>
                <c:pt idx="1004">
                  <c:v>137.72051184140147</c:v>
                </c:pt>
                <c:pt idx="1005">
                  <c:v>137.59667483405084</c:v>
                </c:pt>
                <c:pt idx="1006">
                  <c:v>137.48668548566232</c:v>
                </c:pt>
                <c:pt idx="1007">
                  <c:v>137.37678405841561</c:v>
                </c:pt>
                <c:pt idx="1008">
                  <c:v>137.26697048202999</c:v>
                </c:pt>
                <c:pt idx="1009">
                  <c:v>137.15724468628099</c:v>
                </c:pt>
                <c:pt idx="1010">
                  <c:v>137.04760660100021</c:v>
                </c:pt>
                <c:pt idx="1011">
                  <c:v>136.93805615607536</c:v>
                </c:pt>
                <c:pt idx="1012">
                  <c:v>136.81492272562232</c:v>
                </c:pt>
                <c:pt idx="1013">
                  <c:v>136.6919000156083</c:v>
                </c:pt>
                <c:pt idx="1014">
                  <c:v>136.56898792647448</c:v>
                </c:pt>
                <c:pt idx="1015">
                  <c:v>136.44618635875162</c:v>
                </c:pt>
                <c:pt idx="1016">
                  <c:v>136.32349521305989</c:v>
                </c:pt>
                <c:pt idx="1017">
                  <c:v>136.21452359418456</c:v>
                </c:pt>
                <c:pt idx="1018">
                  <c:v>136.10563908291823</c:v>
                </c:pt>
                <c:pt idx="1019">
                  <c:v>135.99684160963054</c:v>
                </c:pt>
                <c:pt idx="1020">
                  <c:v>135.88813110474675</c:v>
                </c:pt>
                <c:pt idx="1021">
                  <c:v>135.77950749874776</c:v>
                </c:pt>
                <c:pt idx="1022">
                  <c:v>135.67097072217004</c:v>
                </c:pt>
                <c:pt idx="1023">
                  <c:v>135.54897664319117</c:v>
                </c:pt>
                <c:pt idx="1024">
                  <c:v>135.42709226015705</c:v>
                </c:pt>
                <c:pt idx="1025">
                  <c:v>135.31883719040474</c:v>
                </c:pt>
                <c:pt idx="1026">
                  <c:v>135.21066865548036</c:v>
                </c:pt>
                <c:pt idx="1027">
                  <c:v>135.1025865862114</c:v>
                </c:pt>
                <c:pt idx="1028">
                  <c:v>134.98110359297775</c:v>
                </c:pt>
                <c:pt idx="1029">
                  <c:v>134.8732050289546</c:v>
                </c:pt>
                <c:pt idx="1030">
                  <c:v>134.75192829349047</c:v>
                </c:pt>
                <c:pt idx="1031">
                  <c:v>134.63076060894244</c:v>
                </c:pt>
                <c:pt idx="1032">
                  <c:v>134.52314209526622</c:v>
                </c:pt>
                <c:pt idx="1033">
                  <c:v>134.42904176603002</c:v>
                </c:pt>
                <c:pt idx="1034">
                  <c:v>134.33500726094738</c:v>
                </c:pt>
                <c:pt idx="1035">
                  <c:v>134.22762516081875</c:v>
                </c:pt>
                <c:pt idx="1036">
                  <c:v>134.1203288977006</c:v>
                </c:pt>
                <c:pt idx="1037">
                  <c:v>133.9997291414733</c:v>
                </c:pt>
                <c:pt idx="1038">
                  <c:v>133.87923782742862</c:v>
                </c:pt>
                <c:pt idx="1039">
                  <c:v>133.7588548580564</c:v>
                </c:pt>
                <c:pt idx="1040">
                  <c:v>133.63858013593406</c:v>
                </c:pt>
                <c:pt idx="1041">
                  <c:v>133.51841356372671</c:v>
                </c:pt>
                <c:pt idx="1042">
                  <c:v>133.39835504418696</c:v>
                </c:pt>
                <c:pt idx="1043">
                  <c:v>133.27840448015482</c:v>
                </c:pt>
                <c:pt idx="1044">
                  <c:v>133.15856177455774</c:v>
                </c:pt>
                <c:pt idx="1045">
                  <c:v>133.02553623831943</c:v>
                </c:pt>
                <c:pt idx="1046">
                  <c:v>132.89264359472472</c:v>
                </c:pt>
                <c:pt idx="1047">
                  <c:v>132.75988371101371</c:v>
                </c:pt>
                <c:pt idx="1048">
                  <c:v>132.62725645455916</c:v>
                </c:pt>
                <c:pt idx="1049">
                  <c:v>132.49476169286632</c:v>
                </c:pt>
                <c:pt idx="1050">
                  <c:v>132.3756236315979</c:v>
                </c:pt>
                <c:pt idx="1051">
                  <c:v>132.24338025134657</c:v>
                </c:pt>
                <c:pt idx="1052">
                  <c:v>132.11126898236421</c:v>
                </c:pt>
                <c:pt idx="1053">
                  <c:v>131.97928969267156</c:v>
                </c:pt>
                <c:pt idx="1054">
                  <c:v>131.84744225042115</c:v>
                </c:pt>
                <c:pt idx="1055">
                  <c:v>131.71572652389727</c:v>
                </c:pt>
                <c:pt idx="1056">
                  <c:v>131.58414238151576</c:v>
                </c:pt>
                <c:pt idx="1057">
                  <c:v>131.45268969182396</c:v>
                </c:pt>
                <c:pt idx="1058">
                  <c:v>131.33448865203715</c:v>
                </c:pt>
                <c:pt idx="1059">
                  <c:v>131.20328536667049</c:v>
                </c:pt>
                <c:pt idx="1060">
                  <c:v>131.07221315351697</c:v>
                </c:pt>
                <c:pt idx="1061">
                  <c:v>130.94127188163534</c:v>
                </c:pt>
                <c:pt idx="1062">
                  <c:v>130.81046142021515</c:v>
                </c:pt>
                <c:pt idx="1063">
                  <c:v>130.6797816385766</c:v>
                </c:pt>
                <c:pt idx="1064">
                  <c:v>130.54923240617043</c:v>
                </c:pt>
                <c:pt idx="1065">
                  <c:v>130.41881359257786</c:v>
                </c:pt>
                <c:pt idx="1066">
                  <c:v>130.28852506751036</c:v>
                </c:pt>
                <c:pt idx="1067">
                  <c:v>130.15836670080958</c:v>
                </c:pt>
                <c:pt idx="1068">
                  <c:v>130.02833836244716</c:v>
                </c:pt>
                <c:pt idx="1069">
                  <c:v>129.89843992252466</c:v>
                </c:pt>
                <c:pt idx="1070">
                  <c:v>129.76867125127339</c:v>
                </c:pt>
                <c:pt idx="1071">
                  <c:v>129.63903221905434</c:v>
                </c:pt>
                <c:pt idx="1072">
                  <c:v>129.509522696358</c:v>
                </c:pt>
                <c:pt idx="1073">
                  <c:v>129.38014255380421</c:v>
                </c:pt>
                <c:pt idx="1074">
                  <c:v>129.25089166214207</c:v>
                </c:pt>
                <c:pt idx="1075">
                  <c:v>129.12176989224983</c:v>
                </c:pt>
                <c:pt idx="1076">
                  <c:v>128.99277711513471</c:v>
                </c:pt>
                <c:pt idx="1077">
                  <c:v>128.8639132019328</c:v>
                </c:pt>
                <c:pt idx="1078">
                  <c:v>128.7351780239089</c:v>
                </c:pt>
                <c:pt idx="1079">
                  <c:v>128.60657145245645</c:v>
                </c:pt>
                <c:pt idx="1080">
                  <c:v>128.47809335909736</c:v>
                </c:pt>
                <c:pt idx="1081">
                  <c:v>128.34974361548188</c:v>
                </c:pt>
                <c:pt idx="1082">
                  <c:v>128.2215220933885</c:v>
                </c:pt>
                <c:pt idx="1083">
                  <c:v>128.0934286647238</c:v>
                </c:pt>
                <c:pt idx="1084">
                  <c:v>127.96546320152228</c:v>
                </c:pt>
                <c:pt idx="1085">
                  <c:v>127.83762557594635</c:v>
                </c:pt>
                <c:pt idx="1086">
                  <c:v>127.70991566028607</c:v>
                </c:pt>
                <c:pt idx="1087">
                  <c:v>127.58233332695913</c:v>
                </c:pt>
                <c:pt idx="1088">
                  <c:v>127.46761247573099</c:v>
                </c:pt>
                <c:pt idx="1089">
                  <c:v>127.35299478042862</c:v>
                </c:pt>
                <c:pt idx="1090">
                  <c:v>127.22576901141721</c:v>
                </c:pt>
                <c:pt idx="1091">
                  <c:v>127.09867034107616</c:v>
                </c:pt>
                <c:pt idx="1092">
                  <c:v>126.97169864243374</c:v>
                </c:pt>
                <c:pt idx="1093">
                  <c:v>126.84485378864511</c:v>
                </c:pt>
                <c:pt idx="1094">
                  <c:v>126.71813565299213</c:v>
                </c:pt>
                <c:pt idx="1095">
                  <c:v>126.59154410888327</c:v>
                </c:pt>
                <c:pt idx="1096">
                  <c:v>126.46507902985343</c:v>
                </c:pt>
                <c:pt idx="1097">
                  <c:v>126.33874028956387</c:v>
                </c:pt>
                <c:pt idx="1098">
                  <c:v>126.21252776180208</c:v>
                </c:pt>
                <c:pt idx="1099">
                  <c:v>126.08644132048161</c:v>
                </c:pt>
                <c:pt idx="1100">
                  <c:v>125.96048083964199</c:v>
                </c:pt>
                <c:pt idx="1101">
                  <c:v>125.83464619344855</c:v>
                </c:pt>
                <c:pt idx="1102">
                  <c:v>125.70893725619237</c:v>
                </c:pt>
                <c:pt idx="1103">
                  <c:v>125.59590094534158</c:v>
                </c:pt>
                <c:pt idx="1104">
                  <c:v>125.48296627569347</c:v>
                </c:pt>
                <c:pt idx="1105">
                  <c:v>125.37013315585321</c:v>
                </c:pt>
                <c:pt idx="1106">
                  <c:v>125.24488826758564</c:v>
                </c:pt>
                <c:pt idx="1107">
                  <c:v>125.11976849908656</c:v>
                </c:pt>
                <c:pt idx="1108">
                  <c:v>124.99477372536121</c:v>
                </c:pt>
                <c:pt idx="1109">
                  <c:v>124.86990382153969</c:v>
                </c:pt>
                <c:pt idx="1110">
                  <c:v>124.74515866287683</c:v>
                </c:pt>
                <c:pt idx="1111">
                  <c:v>124.62053812475209</c:v>
                </c:pt>
                <c:pt idx="1112">
                  <c:v>124.49604208266943</c:v>
                </c:pt>
                <c:pt idx="1113">
                  <c:v>124.37167041225719</c:v>
                </c:pt>
                <c:pt idx="1114">
                  <c:v>124.24742298926793</c:v>
                </c:pt>
                <c:pt idx="1115">
                  <c:v>124.12329968957837</c:v>
                </c:pt>
                <c:pt idx="1116">
                  <c:v>123.9993003891892</c:v>
                </c:pt>
                <c:pt idx="1117">
                  <c:v>123.87542496422499</c:v>
                </c:pt>
                <c:pt idx="1118">
                  <c:v>123.75167329093406</c:v>
                </c:pt>
                <c:pt idx="1119">
                  <c:v>123.62804524568838</c:v>
                </c:pt>
                <c:pt idx="1120">
                  <c:v>123.50454070498341</c:v>
                </c:pt>
                <c:pt idx="1121">
                  <c:v>123.38115954543798</c:v>
                </c:pt>
                <c:pt idx="1122">
                  <c:v>123.2579016437942</c:v>
                </c:pt>
                <c:pt idx="1123">
                  <c:v>123.1347668769173</c:v>
                </c:pt>
                <c:pt idx="1124">
                  <c:v>123.01175512179552</c:v>
                </c:pt>
                <c:pt idx="1125">
                  <c:v>122.88886625553999</c:v>
                </c:pt>
                <c:pt idx="1126">
                  <c:v>122.76610015538462</c:v>
                </c:pt>
                <c:pt idx="1127">
                  <c:v>122.64345669868595</c:v>
                </c:pt>
                <c:pt idx="1128">
                  <c:v>122.52093576292305</c:v>
                </c:pt>
                <c:pt idx="1129">
                  <c:v>122.41076607345694</c:v>
                </c:pt>
                <c:pt idx="1130">
                  <c:v>122.30069544755415</c:v>
                </c:pt>
                <c:pt idx="1131">
                  <c:v>122.19072379613763</c:v>
                </c:pt>
                <c:pt idx="1132">
                  <c:v>122.06865514099665</c:v>
                </c:pt>
                <c:pt idx="1133">
                  <c:v>121.94670843256411</c:v>
                </c:pt>
                <c:pt idx="1134">
                  <c:v>121.82488354901511</c:v>
                </c:pt>
                <c:pt idx="1135">
                  <c:v>121.70318036864649</c:v>
                </c:pt>
                <c:pt idx="1136">
                  <c:v>121.58159876987662</c:v>
                </c:pt>
                <c:pt idx="1137">
                  <c:v>121.46013863124539</c:v>
                </c:pt>
                <c:pt idx="1138">
                  <c:v>121.33879983141398</c:v>
                </c:pt>
                <c:pt idx="1139">
                  <c:v>121.21758224916483</c:v>
                </c:pt>
                <c:pt idx="1140">
                  <c:v>121.10858452309407</c:v>
                </c:pt>
                <c:pt idx="1141">
                  <c:v>120.98759692616791</c:v>
                </c:pt>
                <c:pt idx="1142">
                  <c:v>120.86673019597195</c:v>
                </c:pt>
                <c:pt idx="1143">
                  <c:v>120.7459842117602</c:v>
                </c:pt>
                <c:pt idx="1144">
                  <c:v>120.62535885290731</c:v>
                </c:pt>
                <c:pt idx="1145">
                  <c:v>120.50485399890842</c:v>
                </c:pt>
                <c:pt idx="1146">
                  <c:v>120.38446952937905</c:v>
                </c:pt>
                <c:pt idx="1147">
                  <c:v>120.264205324055</c:v>
                </c:pt>
                <c:pt idx="1148">
                  <c:v>120.14406126279222</c:v>
                </c:pt>
                <c:pt idx="1149">
                  <c:v>120.02403722556667</c:v>
                </c:pt>
                <c:pt idx="1150">
                  <c:v>119.90413309247421</c:v>
                </c:pt>
                <c:pt idx="1151">
                  <c:v>119.78434874373049</c:v>
                </c:pt>
                <c:pt idx="1152">
                  <c:v>119.66468405967083</c:v>
                </c:pt>
                <c:pt idx="1153">
                  <c:v>119.54513892075009</c:v>
                </c:pt>
                <c:pt idx="1154">
                  <c:v>119.42571320754256</c:v>
                </c:pt>
                <c:pt idx="1155">
                  <c:v>119.30640680074183</c:v>
                </c:pt>
                <c:pt idx="1156">
                  <c:v>119.18721958116068</c:v>
                </c:pt>
                <c:pt idx="1157">
                  <c:v>119.06815142973096</c:v>
                </c:pt>
                <c:pt idx="1158">
                  <c:v>118.94920222750348</c:v>
                </c:pt>
                <c:pt idx="1159">
                  <c:v>118.83037185564784</c:v>
                </c:pt>
                <c:pt idx="1160">
                  <c:v>118.7116601954524</c:v>
                </c:pt>
                <c:pt idx="1161">
                  <c:v>118.59306712832408</c:v>
                </c:pt>
                <c:pt idx="1162">
                  <c:v>118.4745925357883</c:v>
                </c:pt>
                <c:pt idx="1163">
                  <c:v>118.35623629948883</c:v>
                </c:pt>
                <c:pt idx="1164">
                  <c:v>118.24981146916659</c:v>
                </c:pt>
                <c:pt idx="1165">
                  <c:v>118.13167978937723</c:v>
                </c:pt>
                <c:pt idx="1166">
                  <c:v>118.01366612325398</c:v>
                </c:pt>
                <c:pt idx="1167">
                  <c:v>117.8957703529011</c:v>
                </c:pt>
                <c:pt idx="1168">
                  <c:v>117.77799236054057</c:v>
                </c:pt>
                <c:pt idx="1169">
                  <c:v>117.66033202851207</c:v>
                </c:pt>
                <c:pt idx="1170">
                  <c:v>117.55453294885811</c:v>
                </c:pt>
                <c:pt idx="1171">
                  <c:v>117.44882900275564</c:v>
                </c:pt>
                <c:pt idx="1172">
                  <c:v>117.34322010466146</c:v>
                </c:pt>
                <c:pt idx="1173">
                  <c:v>117.23770616910927</c:v>
                </c:pt>
                <c:pt idx="1174">
                  <c:v>117.13228711070964</c:v>
                </c:pt>
                <c:pt idx="1175">
                  <c:v>117.02696284414992</c:v>
                </c:pt>
                <c:pt idx="1176">
                  <c:v>116.91005279135858</c:v>
                </c:pt>
                <c:pt idx="1177">
                  <c:v>116.79325953182676</c:v>
                </c:pt>
                <c:pt idx="1178">
                  <c:v>116.67658294887789</c:v>
                </c:pt>
                <c:pt idx="1179">
                  <c:v>116.56002292595196</c:v>
                </c:pt>
                <c:pt idx="1180">
                  <c:v>116.45521323404132</c:v>
                </c:pt>
                <c:pt idx="1181">
                  <c:v>116.33887435968165</c:v>
                </c:pt>
                <c:pt idx="1182">
                  <c:v>116.2226517079737</c:v>
                </c:pt>
                <c:pt idx="1183">
                  <c:v>116.1065451628109</c:v>
                </c:pt>
                <c:pt idx="1184">
                  <c:v>115.99055460820271</c:v>
                </c:pt>
                <c:pt idx="1185">
                  <c:v>115.87467992827445</c:v>
                </c:pt>
                <c:pt idx="1186">
                  <c:v>115.75892100726719</c:v>
                </c:pt>
                <c:pt idx="1187">
                  <c:v>115.64327772953767</c:v>
                </c:pt>
                <c:pt idx="1188">
                  <c:v>115.52774997955812</c:v>
                </c:pt>
                <c:pt idx="1189">
                  <c:v>115.41233764191622</c:v>
                </c:pt>
                <c:pt idx="1190">
                  <c:v>115.29704060131492</c:v>
                </c:pt>
                <c:pt idx="1191">
                  <c:v>115.18185874257236</c:v>
                </c:pt>
                <c:pt idx="1192">
                  <c:v>115.06679195062175</c:v>
                </c:pt>
                <c:pt idx="1193">
                  <c:v>114.95184011051126</c:v>
                </c:pt>
                <c:pt idx="1194">
                  <c:v>114.83700310740386</c:v>
                </c:pt>
                <c:pt idx="1195">
                  <c:v>114.72228082657729</c:v>
                </c:pt>
                <c:pt idx="1196">
                  <c:v>114.60767315342387</c:v>
                </c:pt>
                <c:pt idx="1197">
                  <c:v>114.49317997345044</c:v>
                </c:pt>
                <c:pt idx="1198">
                  <c:v>114.37880117227817</c:v>
                </c:pt>
                <c:pt idx="1199">
                  <c:v>114.26453663564254</c:v>
                </c:pt>
                <c:pt idx="1200">
                  <c:v>114.15038624939316</c:v>
                </c:pt>
                <c:pt idx="1201">
                  <c:v>114.03634989949369</c:v>
                </c:pt>
                <c:pt idx="1202">
                  <c:v>113.92242747202168</c:v>
                </c:pt>
                <c:pt idx="1203">
                  <c:v>113.80861885316853</c:v>
                </c:pt>
                <c:pt idx="1204">
                  <c:v>113.69492392923929</c:v>
                </c:pt>
                <c:pt idx="1205">
                  <c:v>113.58134258665265</c:v>
                </c:pt>
                <c:pt idx="1206">
                  <c:v>113.46787471194072</c:v>
                </c:pt>
                <c:pt idx="1207">
                  <c:v>113.35452019174899</c:v>
                </c:pt>
                <c:pt idx="1208">
                  <c:v>113.2299672277984</c:v>
                </c:pt>
                <c:pt idx="1209">
                  <c:v>113.10555112156466</c:v>
                </c:pt>
                <c:pt idx="1210">
                  <c:v>112.98127172266972</c:v>
                </c:pt>
                <c:pt idx="1211">
                  <c:v>112.85712888090072</c:v>
                </c:pt>
                <c:pt idx="1212">
                  <c:v>112.73312244620988</c:v>
                </c:pt>
                <c:pt idx="1213">
                  <c:v>112.60925226871427</c:v>
                </c:pt>
                <c:pt idx="1214">
                  <c:v>112.4855181986957</c:v>
                </c:pt>
                <c:pt idx="1215">
                  <c:v>112.36192008660043</c:v>
                </c:pt>
                <c:pt idx="1216">
                  <c:v>112.23845778303908</c:v>
                </c:pt>
                <c:pt idx="1217">
                  <c:v>112.11513113878641</c:v>
                </c:pt>
                <c:pt idx="1218">
                  <c:v>111.99194000478114</c:v>
                </c:pt>
                <c:pt idx="1219">
                  <c:v>111.86888423212579</c:v>
                </c:pt>
                <c:pt idx="1220">
                  <c:v>111.74596367208649</c:v>
                </c:pt>
                <c:pt idx="1221">
                  <c:v>111.62317817609278</c:v>
                </c:pt>
                <c:pt idx="1222">
                  <c:v>111.50052759573745</c:v>
                </c:pt>
                <c:pt idx="1223">
                  <c:v>111.37801178277638</c:v>
                </c:pt>
                <c:pt idx="1224">
                  <c:v>111.25563058912833</c:v>
                </c:pt>
                <c:pt idx="1225">
                  <c:v>111.13338386687475</c:v>
                </c:pt>
                <c:pt idx="1226">
                  <c:v>111.01127146825965</c:v>
                </c:pt>
                <c:pt idx="1227">
                  <c:v>110.88929324568939</c:v>
                </c:pt>
                <c:pt idx="1228">
                  <c:v>110.76744905173247</c:v>
                </c:pt>
                <c:pt idx="1229">
                  <c:v>110.64573873911942</c:v>
                </c:pt>
                <c:pt idx="1230">
                  <c:v>110.52416216074259</c:v>
                </c:pt>
                <c:pt idx="1231">
                  <c:v>110.40271916965595</c:v>
                </c:pt>
                <c:pt idx="1232">
                  <c:v>110.28140961907496</c:v>
                </c:pt>
                <c:pt idx="1233">
                  <c:v>110.16023336237635</c:v>
                </c:pt>
                <c:pt idx="1234">
                  <c:v>110.03919025309793</c:v>
                </c:pt>
                <c:pt idx="1235">
                  <c:v>109.91828014493848</c:v>
                </c:pt>
                <c:pt idx="1236">
                  <c:v>109.79750289175753</c:v>
                </c:pt>
                <c:pt idx="1237">
                  <c:v>109.68781507668086</c:v>
                </c:pt>
                <c:pt idx="1238">
                  <c:v>109.57823683984104</c:v>
                </c:pt>
                <c:pt idx="1239">
                  <c:v>109.46876807176928</c:v>
                </c:pt>
                <c:pt idx="1240">
                  <c:v>109.35940866310618</c:v>
                </c:pt>
                <c:pt idx="1241">
                  <c:v>109.25015850460159</c:v>
                </c:pt>
                <c:pt idx="1242">
                  <c:v>109.14101748711448</c:v>
                </c:pt>
                <c:pt idx="1243">
                  <c:v>109.04287889610799</c:v>
                </c:pt>
                <c:pt idx="1244">
                  <c:v>108.94482855041264</c:v>
                </c:pt>
                <c:pt idx="1245">
                  <c:v>108.84686637067904</c:v>
                </c:pt>
                <c:pt idx="1246">
                  <c:v>108.74899227762918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EE-4F97-8E95-F66AB81011F7}"/>
            </c:ext>
          </c:extLst>
        </c:ser>
        <c:ser>
          <c:idx val="2"/>
          <c:order val="2"/>
          <c:tx>
            <c:strRef>
              <c:f>Summary!$AU$2</c:f>
              <c:strCache>
                <c:ptCount val="1"/>
                <c:pt idx="0">
                  <c:v>Portfolio Price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Summary!$A$3:$A$1249</c:f>
              <c:numCache>
                <c:formatCode>m/d/yyyy</c:formatCode>
                <c:ptCount val="1247"/>
                <c:pt idx="0">
                  <c:v>43324</c:v>
                </c:pt>
                <c:pt idx="1">
                  <c:v>43317</c:v>
                </c:pt>
                <c:pt idx="2">
                  <c:v>43310</c:v>
                </c:pt>
                <c:pt idx="3">
                  <c:v>43303</c:v>
                </c:pt>
                <c:pt idx="4">
                  <c:v>43296</c:v>
                </c:pt>
                <c:pt idx="5">
                  <c:v>43289</c:v>
                </c:pt>
                <c:pt idx="6">
                  <c:v>43282</c:v>
                </c:pt>
                <c:pt idx="7">
                  <c:v>43275</c:v>
                </c:pt>
                <c:pt idx="8">
                  <c:v>43268</c:v>
                </c:pt>
                <c:pt idx="9">
                  <c:v>43261</c:v>
                </c:pt>
                <c:pt idx="10">
                  <c:v>43254</c:v>
                </c:pt>
                <c:pt idx="11">
                  <c:v>43247</c:v>
                </c:pt>
                <c:pt idx="12">
                  <c:v>43240</c:v>
                </c:pt>
                <c:pt idx="13">
                  <c:v>43233</c:v>
                </c:pt>
                <c:pt idx="14">
                  <c:v>43226</c:v>
                </c:pt>
                <c:pt idx="15">
                  <c:v>43219</c:v>
                </c:pt>
                <c:pt idx="16">
                  <c:v>43212</c:v>
                </c:pt>
                <c:pt idx="17">
                  <c:v>43205</c:v>
                </c:pt>
                <c:pt idx="18">
                  <c:v>43198</c:v>
                </c:pt>
                <c:pt idx="19">
                  <c:v>43191</c:v>
                </c:pt>
                <c:pt idx="20">
                  <c:v>43184</c:v>
                </c:pt>
                <c:pt idx="21">
                  <c:v>43177</c:v>
                </c:pt>
                <c:pt idx="22">
                  <c:v>43170</c:v>
                </c:pt>
                <c:pt idx="23">
                  <c:v>43163</c:v>
                </c:pt>
                <c:pt idx="24">
                  <c:v>43156</c:v>
                </c:pt>
                <c:pt idx="25">
                  <c:v>43149</c:v>
                </c:pt>
                <c:pt idx="26">
                  <c:v>43142</c:v>
                </c:pt>
                <c:pt idx="27">
                  <c:v>43135</c:v>
                </c:pt>
                <c:pt idx="28">
                  <c:v>43128</c:v>
                </c:pt>
                <c:pt idx="29">
                  <c:v>43121</c:v>
                </c:pt>
                <c:pt idx="30">
                  <c:v>43114</c:v>
                </c:pt>
                <c:pt idx="31">
                  <c:v>43107</c:v>
                </c:pt>
                <c:pt idx="32">
                  <c:v>43100</c:v>
                </c:pt>
                <c:pt idx="33">
                  <c:v>43093</c:v>
                </c:pt>
                <c:pt idx="34">
                  <c:v>43086</c:v>
                </c:pt>
                <c:pt idx="35">
                  <c:v>43079</c:v>
                </c:pt>
                <c:pt idx="36">
                  <c:v>43072</c:v>
                </c:pt>
                <c:pt idx="37">
                  <c:v>43065</c:v>
                </c:pt>
                <c:pt idx="38">
                  <c:v>43058</c:v>
                </c:pt>
                <c:pt idx="39">
                  <c:v>43051</c:v>
                </c:pt>
                <c:pt idx="40">
                  <c:v>43044</c:v>
                </c:pt>
                <c:pt idx="41">
                  <c:v>43037</c:v>
                </c:pt>
                <c:pt idx="42">
                  <c:v>43030</c:v>
                </c:pt>
                <c:pt idx="43">
                  <c:v>43023</c:v>
                </c:pt>
                <c:pt idx="44">
                  <c:v>43016</c:v>
                </c:pt>
                <c:pt idx="45">
                  <c:v>43009</c:v>
                </c:pt>
                <c:pt idx="46">
                  <c:v>43002</c:v>
                </c:pt>
                <c:pt idx="47">
                  <c:v>42995</c:v>
                </c:pt>
                <c:pt idx="48">
                  <c:v>42988</c:v>
                </c:pt>
                <c:pt idx="49">
                  <c:v>42981</c:v>
                </c:pt>
                <c:pt idx="50">
                  <c:v>42974</c:v>
                </c:pt>
                <c:pt idx="51">
                  <c:v>42967</c:v>
                </c:pt>
                <c:pt idx="52">
                  <c:v>42960</c:v>
                </c:pt>
                <c:pt idx="53">
                  <c:v>42953</c:v>
                </c:pt>
                <c:pt idx="54">
                  <c:v>42946</c:v>
                </c:pt>
                <c:pt idx="55">
                  <c:v>42939</c:v>
                </c:pt>
                <c:pt idx="56">
                  <c:v>42932</c:v>
                </c:pt>
                <c:pt idx="57">
                  <c:v>42925</c:v>
                </c:pt>
                <c:pt idx="58">
                  <c:v>42918</c:v>
                </c:pt>
                <c:pt idx="59">
                  <c:v>42911</c:v>
                </c:pt>
                <c:pt idx="60">
                  <c:v>42904</c:v>
                </c:pt>
                <c:pt idx="61">
                  <c:v>42897</c:v>
                </c:pt>
                <c:pt idx="62">
                  <c:v>42890</c:v>
                </c:pt>
                <c:pt idx="63">
                  <c:v>42883</c:v>
                </c:pt>
                <c:pt idx="64">
                  <c:v>42876</c:v>
                </c:pt>
                <c:pt idx="65">
                  <c:v>42869</c:v>
                </c:pt>
                <c:pt idx="66">
                  <c:v>42862</c:v>
                </c:pt>
                <c:pt idx="67">
                  <c:v>42855</c:v>
                </c:pt>
                <c:pt idx="68">
                  <c:v>42848</c:v>
                </c:pt>
                <c:pt idx="69">
                  <c:v>42841</c:v>
                </c:pt>
                <c:pt idx="70">
                  <c:v>42834</c:v>
                </c:pt>
                <c:pt idx="71">
                  <c:v>42827</c:v>
                </c:pt>
                <c:pt idx="72">
                  <c:v>42820</c:v>
                </c:pt>
                <c:pt idx="73">
                  <c:v>42813</c:v>
                </c:pt>
                <c:pt idx="74">
                  <c:v>42806</c:v>
                </c:pt>
                <c:pt idx="75">
                  <c:v>42799</c:v>
                </c:pt>
                <c:pt idx="76">
                  <c:v>42792</c:v>
                </c:pt>
                <c:pt idx="77">
                  <c:v>42785</c:v>
                </c:pt>
                <c:pt idx="78">
                  <c:v>42778</c:v>
                </c:pt>
                <c:pt idx="79">
                  <c:v>42771</c:v>
                </c:pt>
                <c:pt idx="80">
                  <c:v>42764</c:v>
                </c:pt>
                <c:pt idx="81">
                  <c:v>42757</c:v>
                </c:pt>
                <c:pt idx="82">
                  <c:v>42750</c:v>
                </c:pt>
                <c:pt idx="83">
                  <c:v>42743</c:v>
                </c:pt>
                <c:pt idx="84">
                  <c:v>42736</c:v>
                </c:pt>
                <c:pt idx="85">
                  <c:v>42729</c:v>
                </c:pt>
                <c:pt idx="86">
                  <c:v>42722</c:v>
                </c:pt>
                <c:pt idx="87">
                  <c:v>42715</c:v>
                </c:pt>
                <c:pt idx="88">
                  <c:v>42708</c:v>
                </c:pt>
                <c:pt idx="89">
                  <c:v>42701</c:v>
                </c:pt>
                <c:pt idx="90">
                  <c:v>42694</c:v>
                </c:pt>
                <c:pt idx="91">
                  <c:v>42687</c:v>
                </c:pt>
                <c:pt idx="92">
                  <c:v>42680</c:v>
                </c:pt>
                <c:pt idx="93">
                  <c:v>42673</c:v>
                </c:pt>
                <c:pt idx="94">
                  <c:v>42666</c:v>
                </c:pt>
                <c:pt idx="95">
                  <c:v>42659</c:v>
                </c:pt>
                <c:pt idx="96">
                  <c:v>42652</c:v>
                </c:pt>
                <c:pt idx="97">
                  <c:v>42645</c:v>
                </c:pt>
                <c:pt idx="98">
                  <c:v>42638</c:v>
                </c:pt>
                <c:pt idx="99">
                  <c:v>42631</c:v>
                </c:pt>
                <c:pt idx="100">
                  <c:v>42624</c:v>
                </c:pt>
                <c:pt idx="101">
                  <c:v>42617</c:v>
                </c:pt>
                <c:pt idx="102">
                  <c:v>42610</c:v>
                </c:pt>
                <c:pt idx="103">
                  <c:v>42603</c:v>
                </c:pt>
                <c:pt idx="104">
                  <c:v>42596</c:v>
                </c:pt>
                <c:pt idx="105">
                  <c:v>42589</c:v>
                </c:pt>
                <c:pt idx="106">
                  <c:v>42582</c:v>
                </c:pt>
                <c:pt idx="107">
                  <c:v>42575</c:v>
                </c:pt>
                <c:pt idx="108">
                  <c:v>42568</c:v>
                </c:pt>
                <c:pt idx="109">
                  <c:v>42561</c:v>
                </c:pt>
                <c:pt idx="110">
                  <c:v>42554</c:v>
                </c:pt>
                <c:pt idx="111">
                  <c:v>42547</c:v>
                </c:pt>
                <c:pt idx="112">
                  <c:v>42540</c:v>
                </c:pt>
                <c:pt idx="113">
                  <c:v>42533</c:v>
                </c:pt>
                <c:pt idx="114">
                  <c:v>42526</c:v>
                </c:pt>
                <c:pt idx="115">
                  <c:v>42519</c:v>
                </c:pt>
                <c:pt idx="116">
                  <c:v>42512</c:v>
                </c:pt>
                <c:pt idx="117">
                  <c:v>42505</c:v>
                </c:pt>
                <c:pt idx="118">
                  <c:v>42498</c:v>
                </c:pt>
                <c:pt idx="119">
                  <c:v>42491</c:v>
                </c:pt>
                <c:pt idx="120">
                  <c:v>42484</c:v>
                </c:pt>
                <c:pt idx="121">
                  <c:v>42477</c:v>
                </c:pt>
                <c:pt idx="122">
                  <c:v>42470</c:v>
                </c:pt>
                <c:pt idx="123">
                  <c:v>42463</c:v>
                </c:pt>
                <c:pt idx="124">
                  <c:v>42456</c:v>
                </c:pt>
                <c:pt idx="125">
                  <c:v>42449</c:v>
                </c:pt>
                <c:pt idx="126">
                  <c:v>42442</c:v>
                </c:pt>
                <c:pt idx="127">
                  <c:v>42435</c:v>
                </c:pt>
                <c:pt idx="128">
                  <c:v>42428</c:v>
                </c:pt>
                <c:pt idx="129">
                  <c:v>42421</c:v>
                </c:pt>
                <c:pt idx="130">
                  <c:v>42414</c:v>
                </c:pt>
                <c:pt idx="131">
                  <c:v>42407</c:v>
                </c:pt>
                <c:pt idx="132">
                  <c:v>42400</c:v>
                </c:pt>
                <c:pt idx="133">
                  <c:v>42393</c:v>
                </c:pt>
                <c:pt idx="134">
                  <c:v>42386</c:v>
                </c:pt>
                <c:pt idx="135">
                  <c:v>42379</c:v>
                </c:pt>
                <c:pt idx="136">
                  <c:v>42372</c:v>
                </c:pt>
                <c:pt idx="137">
                  <c:v>42365</c:v>
                </c:pt>
                <c:pt idx="138">
                  <c:v>42358</c:v>
                </c:pt>
                <c:pt idx="139">
                  <c:v>42351</c:v>
                </c:pt>
                <c:pt idx="140">
                  <c:v>42344</c:v>
                </c:pt>
                <c:pt idx="141">
                  <c:v>42337</c:v>
                </c:pt>
                <c:pt idx="142">
                  <c:v>42330</c:v>
                </c:pt>
                <c:pt idx="143">
                  <c:v>42323</c:v>
                </c:pt>
                <c:pt idx="144">
                  <c:v>42316</c:v>
                </c:pt>
                <c:pt idx="145">
                  <c:v>42309</c:v>
                </c:pt>
                <c:pt idx="146">
                  <c:v>42302</c:v>
                </c:pt>
                <c:pt idx="147">
                  <c:v>42295</c:v>
                </c:pt>
                <c:pt idx="148">
                  <c:v>42288</c:v>
                </c:pt>
                <c:pt idx="149">
                  <c:v>42281</c:v>
                </c:pt>
                <c:pt idx="150">
                  <c:v>42274</c:v>
                </c:pt>
                <c:pt idx="151">
                  <c:v>42267</c:v>
                </c:pt>
                <c:pt idx="152">
                  <c:v>42260</c:v>
                </c:pt>
                <c:pt idx="153">
                  <c:v>42253</c:v>
                </c:pt>
                <c:pt idx="154">
                  <c:v>42246</c:v>
                </c:pt>
                <c:pt idx="155">
                  <c:v>42239</c:v>
                </c:pt>
                <c:pt idx="156">
                  <c:v>42232</c:v>
                </c:pt>
                <c:pt idx="157">
                  <c:v>42225</c:v>
                </c:pt>
                <c:pt idx="158">
                  <c:v>42218</c:v>
                </c:pt>
                <c:pt idx="159">
                  <c:v>42211</c:v>
                </c:pt>
                <c:pt idx="160">
                  <c:v>42204</c:v>
                </c:pt>
                <c:pt idx="161">
                  <c:v>42197</c:v>
                </c:pt>
                <c:pt idx="162">
                  <c:v>42190</c:v>
                </c:pt>
                <c:pt idx="163">
                  <c:v>42183</c:v>
                </c:pt>
                <c:pt idx="164">
                  <c:v>42176</c:v>
                </c:pt>
                <c:pt idx="165">
                  <c:v>42169</c:v>
                </c:pt>
                <c:pt idx="166">
                  <c:v>42162</c:v>
                </c:pt>
                <c:pt idx="167">
                  <c:v>42155</c:v>
                </c:pt>
                <c:pt idx="168">
                  <c:v>42148</c:v>
                </c:pt>
                <c:pt idx="169">
                  <c:v>42141</c:v>
                </c:pt>
                <c:pt idx="170">
                  <c:v>42134</c:v>
                </c:pt>
                <c:pt idx="171">
                  <c:v>42127</c:v>
                </c:pt>
                <c:pt idx="172">
                  <c:v>42120</c:v>
                </c:pt>
                <c:pt idx="173">
                  <c:v>42113</c:v>
                </c:pt>
                <c:pt idx="174">
                  <c:v>42106</c:v>
                </c:pt>
                <c:pt idx="175">
                  <c:v>42099</c:v>
                </c:pt>
                <c:pt idx="176">
                  <c:v>42092</c:v>
                </c:pt>
                <c:pt idx="177">
                  <c:v>42085</c:v>
                </c:pt>
                <c:pt idx="178">
                  <c:v>42078</c:v>
                </c:pt>
                <c:pt idx="179">
                  <c:v>42071</c:v>
                </c:pt>
                <c:pt idx="180">
                  <c:v>42064</c:v>
                </c:pt>
                <c:pt idx="181">
                  <c:v>42057</c:v>
                </c:pt>
                <c:pt idx="182">
                  <c:v>42050</c:v>
                </c:pt>
                <c:pt idx="183">
                  <c:v>42043</c:v>
                </c:pt>
                <c:pt idx="184">
                  <c:v>42036</c:v>
                </c:pt>
                <c:pt idx="185">
                  <c:v>42029</c:v>
                </c:pt>
                <c:pt idx="186">
                  <c:v>42022</c:v>
                </c:pt>
                <c:pt idx="187">
                  <c:v>42015</c:v>
                </c:pt>
                <c:pt idx="188">
                  <c:v>42008</c:v>
                </c:pt>
                <c:pt idx="189">
                  <c:v>42001</c:v>
                </c:pt>
                <c:pt idx="190">
                  <c:v>41994</c:v>
                </c:pt>
                <c:pt idx="191">
                  <c:v>41987</c:v>
                </c:pt>
                <c:pt idx="192">
                  <c:v>41980</c:v>
                </c:pt>
                <c:pt idx="193">
                  <c:v>41973</c:v>
                </c:pt>
                <c:pt idx="194">
                  <c:v>41966</c:v>
                </c:pt>
                <c:pt idx="195">
                  <c:v>41959</c:v>
                </c:pt>
                <c:pt idx="196">
                  <c:v>41952</c:v>
                </c:pt>
                <c:pt idx="197">
                  <c:v>41945</c:v>
                </c:pt>
                <c:pt idx="198">
                  <c:v>41938</c:v>
                </c:pt>
                <c:pt idx="199">
                  <c:v>41931</c:v>
                </c:pt>
                <c:pt idx="200">
                  <c:v>41924</c:v>
                </c:pt>
                <c:pt idx="201">
                  <c:v>41917</c:v>
                </c:pt>
                <c:pt idx="202">
                  <c:v>41910</c:v>
                </c:pt>
                <c:pt idx="203">
                  <c:v>41903</c:v>
                </c:pt>
                <c:pt idx="204">
                  <c:v>41896</c:v>
                </c:pt>
                <c:pt idx="205">
                  <c:v>41889</c:v>
                </c:pt>
                <c:pt idx="206">
                  <c:v>41882</c:v>
                </c:pt>
                <c:pt idx="207">
                  <c:v>41875</c:v>
                </c:pt>
                <c:pt idx="208">
                  <c:v>41868</c:v>
                </c:pt>
                <c:pt idx="209">
                  <c:v>41861</c:v>
                </c:pt>
                <c:pt idx="210">
                  <c:v>41854</c:v>
                </c:pt>
                <c:pt idx="211">
                  <c:v>41847</c:v>
                </c:pt>
                <c:pt idx="212">
                  <c:v>41840</c:v>
                </c:pt>
                <c:pt idx="213">
                  <c:v>41833</c:v>
                </c:pt>
                <c:pt idx="214">
                  <c:v>41826</c:v>
                </c:pt>
                <c:pt idx="215">
                  <c:v>41819</c:v>
                </c:pt>
                <c:pt idx="216">
                  <c:v>41812</c:v>
                </c:pt>
                <c:pt idx="217">
                  <c:v>41805</c:v>
                </c:pt>
                <c:pt idx="218">
                  <c:v>41798</c:v>
                </c:pt>
                <c:pt idx="219">
                  <c:v>41791</c:v>
                </c:pt>
                <c:pt idx="220">
                  <c:v>41784</c:v>
                </c:pt>
                <c:pt idx="221">
                  <c:v>41777</c:v>
                </c:pt>
                <c:pt idx="222">
                  <c:v>41770</c:v>
                </c:pt>
                <c:pt idx="223">
                  <c:v>41763</c:v>
                </c:pt>
                <c:pt idx="224">
                  <c:v>41756</c:v>
                </c:pt>
                <c:pt idx="225">
                  <c:v>41749</c:v>
                </c:pt>
                <c:pt idx="226">
                  <c:v>41742</c:v>
                </c:pt>
                <c:pt idx="227">
                  <c:v>41735</c:v>
                </c:pt>
                <c:pt idx="228">
                  <c:v>41728</c:v>
                </c:pt>
                <c:pt idx="229">
                  <c:v>41721</c:v>
                </c:pt>
                <c:pt idx="230">
                  <c:v>41714</c:v>
                </c:pt>
                <c:pt idx="231">
                  <c:v>41707</c:v>
                </c:pt>
                <c:pt idx="232">
                  <c:v>41700</c:v>
                </c:pt>
                <c:pt idx="233">
                  <c:v>41693</c:v>
                </c:pt>
                <c:pt idx="234">
                  <c:v>41686</c:v>
                </c:pt>
                <c:pt idx="235">
                  <c:v>41679</c:v>
                </c:pt>
                <c:pt idx="236">
                  <c:v>41672</c:v>
                </c:pt>
                <c:pt idx="237">
                  <c:v>41665</c:v>
                </c:pt>
                <c:pt idx="238">
                  <c:v>41658</c:v>
                </c:pt>
                <c:pt idx="239">
                  <c:v>41651</c:v>
                </c:pt>
                <c:pt idx="240">
                  <c:v>41644</c:v>
                </c:pt>
                <c:pt idx="241">
                  <c:v>41637</c:v>
                </c:pt>
                <c:pt idx="242">
                  <c:v>41630</c:v>
                </c:pt>
                <c:pt idx="243">
                  <c:v>41623</c:v>
                </c:pt>
                <c:pt idx="244">
                  <c:v>41616</c:v>
                </c:pt>
                <c:pt idx="245">
                  <c:v>41609</c:v>
                </c:pt>
                <c:pt idx="246">
                  <c:v>41602</c:v>
                </c:pt>
                <c:pt idx="247">
                  <c:v>41595</c:v>
                </c:pt>
                <c:pt idx="248">
                  <c:v>41588</c:v>
                </c:pt>
                <c:pt idx="249">
                  <c:v>41581</c:v>
                </c:pt>
                <c:pt idx="250">
                  <c:v>41574</c:v>
                </c:pt>
                <c:pt idx="251">
                  <c:v>41567</c:v>
                </c:pt>
                <c:pt idx="252">
                  <c:v>41560</c:v>
                </c:pt>
                <c:pt idx="253">
                  <c:v>41553</c:v>
                </c:pt>
                <c:pt idx="254">
                  <c:v>41546</c:v>
                </c:pt>
                <c:pt idx="255">
                  <c:v>41539</c:v>
                </c:pt>
                <c:pt idx="256">
                  <c:v>41532</c:v>
                </c:pt>
                <c:pt idx="257">
                  <c:v>41525</c:v>
                </c:pt>
                <c:pt idx="258">
                  <c:v>41518</c:v>
                </c:pt>
                <c:pt idx="259">
                  <c:v>41511</c:v>
                </c:pt>
                <c:pt idx="260">
                  <c:v>41504</c:v>
                </c:pt>
                <c:pt idx="261">
                  <c:v>41497</c:v>
                </c:pt>
                <c:pt idx="262">
                  <c:v>41490</c:v>
                </c:pt>
                <c:pt idx="263">
                  <c:v>41483</c:v>
                </c:pt>
                <c:pt idx="264">
                  <c:v>41476</c:v>
                </c:pt>
                <c:pt idx="265">
                  <c:v>41469</c:v>
                </c:pt>
                <c:pt idx="266">
                  <c:v>41462</c:v>
                </c:pt>
                <c:pt idx="267">
                  <c:v>41455</c:v>
                </c:pt>
                <c:pt idx="268">
                  <c:v>41448</c:v>
                </c:pt>
                <c:pt idx="269">
                  <c:v>41441</c:v>
                </c:pt>
                <c:pt idx="270">
                  <c:v>41434</c:v>
                </c:pt>
                <c:pt idx="271">
                  <c:v>41427</c:v>
                </c:pt>
                <c:pt idx="272">
                  <c:v>41420</c:v>
                </c:pt>
                <c:pt idx="273">
                  <c:v>41413</c:v>
                </c:pt>
                <c:pt idx="274">
                  <c:v>41406</c:v>
                </c:pt>
                <c:pt idx="275">
                  <c:v>41399</c:v>
                </c:pt>
                <c:pt idx="276">
                  <c:v>41392</c:v>
                </c:pt>
                <c:pt idx="277">
                  <c:v>41385</c:v>
                </c:pt>
                <c:pt idx="278">
                  <c:v>41378</c:v>
                </c:pt>
                <c:pt idx="279">
                  <c:v>41371</c:v>
                </c:pt>
                <c:pt idx="280">
                  <c:v>41364</c:v>
                </c:pt>
                <c:pt idx="281">
                  <c:v>41357</c:v>
                </c:pt>
                <c:pt idx="282">
                  <c:v>41350</c:v>
                </c:pt>
                <c:pt idx="283">
                  <c:v>41343</c:v>
                </c:pt>
                <c:pt idx="284">
                  <c:v>41336</c:v>
                </c:pt>
                <c:pt idx="285">
                  <c:v>41329</c:v>
                </c:pt>
                <c:pt idx="286">
                  <c:v>41322</c:v>
                </c:pt>
                <c:pt idx="287">
                  <c:v>41315</c:v>
                </c:pt>
                <c:pt idx="288">
                  <c:v>41308</c:v>
                </c:pt>
                <c:pt idx="289">
                  <c:v>41301</c:v>
                </c:pt>
                <c:pt idx="290">
                  <c:v>41294</c:v>
                </c:pt>
                <c:pt idx="291">
                  <c:v>41287</c:v>
                </c:pt>
                <c:pt idx="292">
                  <c:v>41280</c:v>
                </c:pt>
                <c:pt idx="293">
                  <c:v>41273</c:v>
                </c:pt>
                <c:pt idx="294">
                  <c:v>41266</c:v>
                </c:pt>
                <c:pt idx="295">
                  <c:v>41259</c:v>
                </c:pt>
                <c:pt idx="296">
                  <c:v>41252</c:v>
                </c:pt>
                <c:pt idx="297">
                  <c:v>41245</c:v>
                </c:pt>
                <c:pt idx="298">
                  <c:v>41238</c:v>
                </c:pt>
                <c:pt idx="299">
                  <c:v>41231</c:v>
                </c:pt>
                <c:pt idx="300">
                  <c:v>41224</c:v>
                </c:pt>
                <c:pt idx="301">
                  <c:v>41217</c:v>
                </c:pt>
                <c:pt idx="302">
                  <c:v>41210</c:v>
                </c:pt>
                <c:pt idx="303">
                  <c:v>41203</c:v>
                </c:pt>
                <c:pt idx="304">
                  <c:v>41196</c:v>
                </c:pt>
                <c:pt idx="305">
                  <c:v>41189</c:v>
                </c:pt>
                <c:pt idx="306">
                  <c:v>41182</c:v>
                </c:pt>
                <c:pt idx="307">
                  <c:v>41175</c:v>
                </c:pt>
                <c:pt idx="308">
                  <c:v>41168</c:v>
                </c:pt>
                <c:pt idx="309">
                  <c:v>41161</c:v>
                </c:pt>
                <c:pt idx="310">
                  <c:v>41154</c:v>
                </c:pt>
                <c:pt idx="311">
                  <c:v>41147</c:v>
                </c:pt>
                <c:pt idx="312">
                  <c:v>41140</c:v>
                </c:pt>
                <c:pt idx="313">
                  <c:v>41133</c:v>
                </c:pt>
                <c:pt idx="314">
                  <c:v>41126</c:v>
                </c:pt>
                <c:pt idx="315">
                  <c:v>41119</c:v>
                </c:pt>
                <c:pt idx="316">
                  <c:v>41112</c:v>
                </c:pt>
                <c:pt idx="317">
                  <c:v>41105</c:v>
                </c:pt>
                <c:pt idx="318">
                  <c:v>41098</c:v>
                </c:pt>
                <c:pt idx="319">
                  <c:v>41091</c:v>
                </c:pt>
                <c:pt idx="320">
                  <c:v>41084</c:v>
                </c:pt>
                <c:pt idx="321">
                  <c:v>41077</c:v>
                </c:pt>
                <c:pt idx="322">
                  <c:v>41070</c:v>
                </c:pt>
                <c:pt idx="323">
                  <c:v>41063</c:v>
                </c:pt>
                <c:pt idx="324">
                  <c:v>41056</c:v>
                </c:pt>
                <c:pt idx="325">
                  <c:v>41049</c:v>
                </c:pt>
                <c:pt idx="326">
                  <c:v>41042</c:v>
                </c:pt>
                <c:pt idx="327">
                  <c:v>41035</c:v>
                </c:pt>
                <c:pt idx="328">
                  <c:v>41028</c:v>
                </c:pt>
                <c:pt idx="329">
                  <c:v>41021</c:v>
                </c:pt>
                <c:pt idx="330">
                  <c:v>41014</c:v>
                </c:pt>
                <c:pt idx="331">
                  <c:v>41007</c:v>
                </c:pt>
                <c:pt idx="332">
                  <c:v>41000</c:v>
                </c:pt>
                <c:pt idx="333">
                  <c:v>40993</c:v>
                </c:pt>
                <c:pt idx="334">
                  <c:v>40986</c:v>
                </c:pt>
                <c:pt idx="335">
                  <c:v>40979</c:v>
                </c:pt>
                <c:pt idx="336">
                  <c:v>40972</c:v>
                </c:pt>
                <c:pt idx="337">
                  <c:v>40965</c:v>
                </c:pt>
                <c:pt idx="338">
                  <c:v>40958</c:v>
                </c:pt>
                <c:pt idx="339">
                  <c:v>40951</c:v>
                </c:pt>
                <c:pt idx="340">
                  <c:v>40944</c:v>
                </c:pt>
                <c:pt idx="341">
                  <c:v>40937</c:v>
                </c:pt>
                <c:pt idx="342">
                  <c:v>40930</c:v>
                </c:pt>
                <c:pt idx="343">
                  <c:v>40923</c:v>
                </c:pt>
                <c:pt idx="344">
                  <c:v>40916</c:v>
                </c:pt>
                <c:pt idx="345">
                  <c:v>40909</c:v>
                </c:pt>
                <c:pt idx="346">
                  <c:v>40902</c:v>
                </c:pt>
                <c:pt idx="347">
                  <c:v>40895</c:v>
                </c:pt>
                <c:pt idx="348">
                  <c:v>40888</c:v>
                </c:pt>
                <c:pt idx="349">
                  <c:v>40881</c:v>
                </c:pt>
                <c:pt idx="350">
                  <c:v>40874</c:v>
                </c:pt>
                <c:pt idx="351">
                  <c:v>40867</c:v>
                </c:pt>
                <c:pt idx="352">
                  <c:v>40860</c:v>
                </c:pt>
                <c:pt idx="353">
                  <c:v>40853</c:v>
                </c:pt>
                <c:pt idx="354">
                  <c:v>40846</c:v>
                </c:pt>
                <c:pt idx="355">
                  <c:v>40839</c:v>
                </c:pt>
                <c:pt idx="356">
                  <c:v>40832</c:v>
                </c:pt>
                <c:pt idx="357">
                  <c:v>40825</c:v>
                </c:pt>
                <c:pt idx="358">
                  <c:v>40818</c:v>
                </c:pt>
                <c:pt idx="359">
                  <c:v>40811</c:v>
                </c:pt>
                <c:pt idx="360">
                  <c:v>40804</c:v>
                </c:pt>
                <c:pt idx="361">
                  <c:v>40797</c:v>
                </c:pt>
                <c:pt idx="362">
                  <c:v>40790</c:v>
                </c:pt>
                <c:pt idx="363">
                  <c:v>40783</c:v>
                </c:pt>
                <c:pt idx="364">
                  <c:v>40776</c:v>
                </c:pt>
                <c:pt idx="365">
                  <c:v>40769</c:v>
                </c:pt>
                <c:pt idx="366">
                  <c:v>40762</c:v>
                </c:pt>
                <c:pt idx="367">
                  <c:v>40755</c:v>
                </c:pt>
                <c:pt idx="368">
                  <c:v>40748</c:v>
                </c:pt>
                <c:pt idx="369">
                  <c:v>40741</c:v>
                </c:pt>
                <c:pt idx="370">
                  <c:v>40734</c:v>
                </c:pt>
                <c:pt idx="371">
                  <c:v>40727</c:v>
                </c:pt>
                <c:pt idx="372">
                  <c:v>40720</c:v>
                </c:pt>
                <c:pt idx="373">
                  <c:v>40713</c:v>
                </c:pt>
                <c:pt idx="374">
                  <c:v>40706</c:v>
                </c:pt>
                <c:pt idx="375">
                  <c:v>40699</c:v>
                </c:pt>
                <c:pt idx="376">
                  <c:v>40692</c:v>
                </c:pt>
                <c:pt idx="377">
                  <c:v>40685</c:v>
                </c:pt>
                <c:pt idx="378">
                  <c:v>40678</c:v>
                </c:pt>
                <c:pt idx="379">
                  <c:v>40671</c:v>
                </c:pt>
                <c:pt idx="380">
                  <c:v>40664</c:v>
                </c:pt>
                <c:pt idx="381">
                  <c:v>40657</c:v>
                </c:pt>
                <c:pt idx="382">
                  <c:v>40650</c:v>
                </c:pt>
                <c:pt idx="383">
                  <c:v>40643</c:v>
                </c:pt>
                <c:pt idx="384">
                  <c:v>40636</c:v>
                </c:pt>
                <c:pt idx="385">
                  <c:v>40629</c:v>
                </c:pt>
                <c:pt idx="386">
                  <c:v>40622</c:v>
                </c:pt>
                <c:pt idx="387">
                  <c:v>40615</c:v>
                </c:pt>
                <c:pt idx="388">
                  <c:v>40608</c:v>
                </c:pt>
                <c:pt idx="389">
                  <c:v>40601</c:v>
                </c:pt>
                <c:pt idx="390">
                  <c:v>40594</c:v>
                </c:pt>
                <c:pt idx="391">
                  <c:v>40587</c:v>
                </c:pt>
                <c:pt idx="392">
                  <c:v>40580</c:v>
                </c:pt>
                <c:pt idx="393">
                  <c:v>40573</c:v>
                </c:pt>
                <c:pt idx="394">
                  <c:v>40566</c:v>
                </c:pt>
                <c:pt idx="395">
                  <c:v>40559</c:v>
                </c:pt>
                <c:pt idx="396">
                  <c:v>40552</c:v>
                </c:pt>
                <c:pt idx="397">
                  <c:v>40545</c:v>
                </c:pt>
                <c:pt idx="398">
                  <c:v>40538</c:v>
                </c:pt>
                <c:pt idx="399">
                  <c:v>40531</c:v>
                </c:pt>
                <c:pt idx="400">
                  <c:v>40524</c:v>
                </c:pt>
                <c:pt idx="401">
                  <c:v>40517</c:v>
                </c:pt>
                <c:pt idx="402">
                  <c:v>40510</c:v>
                </c:pt>
                <c:pt idx="403">
                  <c:v>40503</c:v>
                </c:pt>
                <c:pt idx="404">
                  <c:v>40496</c:v>
                </c:pt>
                <c:pt idx="405">
                  <c:v>40489</c:v>
                </c:pt>
                <c:pt idx="406">
                  <c:v>40482</c:v>
                </c:pt>
                <c:pt idx="407">
                  <c:v>40475</c:v>
                </c:pt>
                <c:pt idx="408">
                  <c:v>40468</c:v>
                </c:pt>
                <c:pt idx="409">
                  <c:v>40461</c:v>
                </c:pt>
                <c:pt idx="410">
                  <c:v>40454</c:v>
                </c:pt>
                <c:pt idx="411">
                  <c:v>40447</c:v>
                </c:pt>
                <c:pt idx="412">
                  <c:v>40440</c:v>
                </c:pt>
                <c:pt idx="413">
                  <c:v>40433</c:v>
                </c:pt>
                <c:pt idx="414">
                  <c:v>40426</c:v>
                </c:pt>
                <c:pt idx="415">
                  <c:v>40419</c:v>
                </c:pt>
                <c:pt idx="416">
                  <c:v>40412</c:v>
                </c:pt>
                <c:pt idx="417">
                  <c:v>40405</c:v>
                </c:pt>
                <c:pt idx="418">
                  <c:v>40398</c:v>
                </c:pt>
                <c:pt idx="419">
                  <c:v>40391</c:v>
                </c:pt>
                <c:pt idx="420">
                  <c:v>40384</c:v>
                </c:pt>
                <c:pt idx="421">
                  <c:v>40377</c:v>
                </c:pt>
                <c:pt idx="422">
                  <c:v>40370</c:v>
                </c:pt>
                <c:pt idx="423">
                  <c:v>40363</c:v>
                </c:pt>
                <c:pt idx="424">
                  <c:v>40356</c:v>
                </c:pt>
                <c:pt idx="425">
                  <c:v>40349</c:v>
                </c:pt>
                <c:pt idx="426">
                  <c:v>40342</c:v>
                </c:pt>
                <c:pt idx="427">
                  <c:v>40335</c:v>
                </c:pt>
                <c:pt idx="428">
                  <c:v>40328</c:v>
                </c:pt>
                <c:pt idx="429">
                  <c:v>40321</c:v>
                </c:pt>
                <c:pt idx="430">
                  <c:v>40314</c:v>
                </c:pt>
                <c:pt idx="431">
                  <c:v>40307</c:v>
                </c:pt>
                <c:pt idx="432">
                  <c:v>40300</c:v>
                </c:pt>
                <c:pt idx="433">
                  <c:v>40293</c:v>
                </c:pt>
                <c:pt idx="434">
                  <c:v>40286</c:v>
                </c:pt>
                <c:pt idx="435">
                  <c:v>40279</c:v>
                </c:pt>
                <c:pt idx="436">
                  <c:v>40272</c:v>
                </c:pt>
                <c:pt idx="437">
                  <c:v>40265</c:v>
                </c:pt>
                <c:pt idx="438">
                  <c:v>40258</c:v>
                </c:pt>
                <c:pt idx="439">
                  <c:v>40251</c:v>
                </c:pt>
                <c:pt idx="440">
                  <c:v>40244</c:v>
                </c:pt>
                <c:pt idx="441">
                  <c:v>40237</c:v>
                </c:pt>
                <c:pt idx="442">
                  <c:v>40230</c:v>
                </c:pt>
                <c:pt idx="443">
                  <c:v>40223</c:v>
                </c:pt>
                <c:pt idx="444">
                  <c:v>40216</c:v>
                </c:pt>
                <c:pt idx="445">
                  <c:v>40209</c:v>
                </c:pt>
                <c:pt idx="446">
                  <c:v>40202</c:v>
                </c:pt>
                <c:pt idx="447">
                  <c:v>40195</c:v>
                </c:pt>
                <c:pt idx="448">
                  <c:v>40188</c:v>
                </c:pt>
                <c:pt idx="449">
                  <c:v>40181</c:v>
                </c:pt>
                <c:pt idx="450">
                  <c:v>40174</c:v>
                </c:pt>
                <c:pt idx="451">
                  <c:v>40167</c:v>
                </c:pt>
                <c:pt idx="452">
                  <c:v>40160</c:v>
                </c:pt>
                <c:pt idx="453">
                  <c:v>40153</c:v>
                </c:pt>
                <c:pt idx="454">
                  <c:v>40146</c:v>
                </c:pt>
                <c:pt idx="455">
                  <c:v>40139</c:v>
                </c:pt>
                <c:pt idx="456">
                  <c:v>40132</c:v>
                </c:pt>
                <c:pt idx="457">
                  <c:v>40125</c:v>
                </c:pt>
                <c:pt idx="458">
                  <c:v>40118</c:v>
                </c:pt>
                <c:pt idx="459">
                  <c:v>40111</c:v>
                </c:pt>
                <c:pt idx="460">
                  <c:v>40104</c:v>
                </c:pt>
                <c:pt idx="461">
                  <c:v>40097</c:v>
                </c:pt>
                <c:pt idx="462">
                  <c:v>40090</c:v>
                </c:pt>
                <c:pt idx="463">
                  <c:v>40083</c:v>
                </c:pt>
                <c:pt idx="464">
                  <c:v>40076</c:v>
                </c:pt>
                <c:pt idx="465">
                  <c:v>40069</c:v>
                </c:pt>
                <c:pt idx="466">
                  <c:v>40062</c:v>
                </c:pt>
                <c:pt idx="467">
                  <c:v>40055</c:v>
                </c:pt>
                <c:pt idx="468">
                  <c:v>40048</c:v>
                </c:pt>
                <c:pt idx="469">
                  <c:v>40041</c:v>
                </c:pt>
                <c:pt idx="470">
                  <c:v>40034</c:v>
                </c:pt>
                <c:pt idx="471">
                  <c:v>40027</c:v>
                </c:pt>
                <c:pt idx="472">
                  <c:v>40020</c:v>
                </c:pt>
                <c:pt idx="473">
                  <c:v>40013</c:v>
                </c:pt>
                <c:pt idx="474">
                  <c:v>40006</c:v>
                </c:pt>
                <c:pt idx="475">
                  <c:v>39999</c:v>
                </c:pt>
                <c:pt idx="476">
                  <c:v>39992</c:v>
                </c:pt>
                <c:pt idx="477">
                  <c:v>39985</c:v>
                </c:pt>
                <c:pt idx="478">
                  <c:v>39978</c:v>
                </c:pt>
                <c:pt idx="479">
                  <c:v>39971</c:v>
                </c:pt>
                <c:pt idx="480">
                  <c:v>39964</c:v>
                </c:pt>
                <c:pt idx="481">
                  <c:v>39957</c:v>
                </c:pt>
                <c:pt idx="482">
                  <c:v>39950</c:v>
                </c:pt>
                <c:pt idx="483">
                  <c:v>39943</c:v>
                </c:pt>
                <c:pt idx="484">
                  <c:v>39936</c:v>
                </c:pt>
                <c:pt idx="485">
                  <c:v>39929</c:v>
                </c:pt>
                <c:pt idx="486">
                  <c:v>39922</c:v>
                </c:pt>
                <c:pt idx="487">
                  <c:v>39915</c:v>
                </c:pt>
                <c:pt idx="488">
                  <c:v>39908</c:v>
                </c:pt>
                <c:pt idx="489">
                  <c:v>39901</c:v>
                </c:pt>
                <c:pt idx="490">
                  <c:v>39894</c:v>
                </c:pt>
                <c:pt idx="491">
                  <c:v>39887</c:v>
                </c:pt>
                <c:pt idx="492">
                  <c:v>39880</c:v>
                </c:pt>
                <c:pt idx="493">
                  <c:v>39873</c:v>
                </c:pt>
                <c:pt idx="494">
                  <c:v>39866</c:v>
                </c:pt>
                <c:pt idx="495">
                  <c:v>39859</c:v>
                </c:pt>
                <c:pt idx="496">
                  <c:v>39852</c:v>
                </c:pt>
                <c:pt idx="497">
                  <c:v>39845</c:v>
                </c:pt>
                <c:pt idx="498">
                  <c:v>39838</c:v>
                </c:pt>
                <c:pt idx="499">
                  <c:v>39831</c:v>
                </c:pt>
                <c:pt idx="500">
                  <c:v>39824</c:v>
                </c:pt>
                <c:pt idx="501">
                  <c:v>39817</c:v>
                </c:pt>
                <c:pt idx="502">
                  <c:v>39810</c:v>
                </c:pt>
                <c:pt idx="503">
                  <c:v>39803</c:v>
                </c:pt>
                <c:pt idx="504">
                  <c:v>39796</c:v>
                </c:pt>
                <c:pt idx="505">
                  <c:v>39789</c:v>
                </c:pt>
                <c:pt idx="506">
                  <c:v>39782</c:v>
                </c:pt>
                <c:pt idx="507">
                  <c:v>39775</c:v>
                </c:pt>
                <c:pt idx="508">
                  <c:v>39768</c:v>
                </c:pt>
                <c:pt idx="509">
                  <c:v>39761</c:v>
                </c:pt>
                <c:pt idx="510">
                  <c:v>39754</c:v>
                </c:pt>
                <c:pt idx="511">
                  <c:v>39747</c:v>
                </c:pt>
                <c:pt idx="512">
                  <c:v>39740</c:v>
                </c:pt>
                <c:pt idx="513">
                  <c:v>39733</c:v>
                </c:pt>
                <c:pt idx="514">
                  <c:v>39726</c:v>
                </c:pt>
                <c:pt idx="515">
                  <c:v>39719</c:v>
                </c:pt>
                <c:pt idx="516">
                  <c:v>39712</c:v>
                </c:pt>
                <c:pt idx="517">
                  <c:v>39705</c:v>
                </c:pt>
                <c:pt idx="518">
                  <c:v>39698</c:v>
                </c:pt>
                <c:pt idx="519">
                  <c:v>39691</c:v>
                </c:pt>
                <c:pt idx="520">
                  <c:v>39684</c:v>
                </c:pt>
                <c:pt idx="521">
                  <c:v>39677</c:v>
                </c:pt>
                <c:pt idx="522">
                  <c:v>39670</c:v>
                </c:pt>
                <c:pt idx="523">
                  <c:v>39663</c:v>
                </c:pt>
                <c:pt idx="524">
                  <c:v>39656</c:v>
                </c:pt>
                <c:pt idx="525">
                  <c:v>39649</c:v>
                </c:pt>
                <c:pt idx="526">
                  <c:v>39642</c:v>
                </c:pt>
                <c:pt idx="527">
                  <c:v>39635</c:v>
                </c:pt>
                <c:pt idx="528">
                  <c:v>39628</c:v>
                </c:pt>
                <c:pt idx="529">
                  <c:v>39621</c:v>
                </c:pt>
                <c:pt idx="530">
                  <c:v>39614</c:v>
                </c:pt>
                <c:pt idx="531">
                  <c:v>39607</c:v>
                </c:pt>
                <c:pt idx="532">
                  <c:v>39600</c:v>
                </c:pt>
                <c:pt idx="533">
                  <c:v>39593</c:v>
                </c:pt>
                <c:pt idx="534">
                  <c:v>39586</c:v>
                </c:pt>
                <c:pt idx="535">
                  <c:v>39579</c:v>
                </c:pt>
                <c:pt idx="536">
                  <c:v>39572</c:v>
                </c:pt>
                <c:pt idx="537">
                  <c:v>39565</c:v>
                </c:pt>
                <c:pt idx="538">
                  <c:v>39558</c:v>
                </c:pt>
                <c:pt idx="539">
                  <c:v>39551</c:v>
                </c:pt>
                <c:pt idx="540">
                  <c:v>39544</c:v>
                </c:pt>
                <c:pt idx="541">
                  <c:v>39537</c:v>
                </c:pt>
                <c:pt idx="542">
                  <c:v>39530</c:v>
                </c:pt>
                <c:pt idx="543">
                  <c:v>39523</c:v>
                </c:pt>
                <c:pt idx="544">
                  <c:v>39516</c:v>
                </c:pt>
                <c:pt idx="545">
                  <c:v>39509</c:v>
                </c:pt>
                <c:pt idx="546">
                  <c:v>39502</c:v>
                </c:pt>
                <c:pt idx="547">
                  <c:v>39495</c:v>
                </c:pt>
                <c:pt idx="548">
                  <c:v>39488</c:v>
                </c:pt>
                <c:pt idx="549">
                  <c:v>39481</c:v>
                </c:pt>
                <c:pt idx="550">
                  <c:v>39474</c:v>
                </c:pt>
                <c:pt idx="551">
                  <c:v>39467</c:v>
                </c:pt>
                <c:pt idx="552">
                  <c:v>39460</c:v>
                </c:pt>
                <c:pt idx="553">
                  <c:v>39453</c:v>
                </c:pt>
                <c:pt idx="554">
                  <c:v>39446</c:v>
                </c:pt>
                <c:pt idx="555">
                  <c:v>39439</c:v>
                </c:pt>
                <c:pt idx="556">
                  <c:v>39432</c:v>
                </c:pt>
                <c:pt idx="557">
                  <c:v>39425</c:v>
                </c:pt>
                <c:pt idx="558">
                  <c:v>39418</c:v>
                </c:pt>
                <c:pt idx="559">
                  <c:v>39411</c:v>
                </c:pt>
                <c:pt idx="560">
                  <c:v>39404</c:v>
                </c:pt>
                <c:pt idx="561">
                  <c:v>39397</c:v>
                </c:pt>
                <c:pt idx="562">
                  <c:v>39390</c:v>
                </c:pt>
                <c:pt idx="563">
                  <c:v>39383</c:v>
                </c:pt>
                <c:pt idx="564">
                  <c:v>39376</c:v>
                </c:pt>
                <c:pt idx="565">
                  <c:v>39369</c:v>
                </c:pt>
                <c:pt idx="566">
                  <c:v>39362</c:v>
                </c:pt>
                <c:pt idx="567">
                  <c:v>39355</c:v>
                </c:pt>
                <c:pt idx="568">
                  <c:v>39348</c:v>
                </c:pt>
                <c:pt idx="569">
                  <c:v>39341</c:v>
                </c:pt>
                <c:pt idx="570">
                  <c:v>39334</c:v>
                </c:pt>
                <c:pt idx="571">
                  <c:v>39327</c:v>
                </c:pt>
                <c:pt idx="572">
                  <c:v>39320</c:v>
                </c:pt>
                <c:pt idx="573">
                  <c:v>39313</c:v>
                </c:pt>
                <c:pt idx="574">
                  <c:v>39306</c:v>
                </c:pt>
                <c:pt idx="575">
                  <c:v>39299</c:v>
                </c:pt>
                <c:pt idx="576">
                  <c:v>39292</c:v>
                </c:pt>
                <c:pt idx="577">
                  <c:v>39285</c:v>
                </c:pt>
                <c:pt idx="578">
                  <c:v>39278</c:v>
                </c:pt>
                <c:pt idx="579">
                  <c:v>39271</c:v>
                </c:pt>
                <c:pt idx="580">
                  <c:v>39264</c:v>
                </c:pt>
                <c:pt idx="581">
                  <c:v>39257</c:v>
                </c:pt>
                <c:pt idx="582">
                  <c:v>39250</c:v>
                </c:pt>
                <c:pt idx="583">
                  <c:v>39243</c:v>
                </c:pt>
                <c:pt idx="584">
                  <c:v>39236</c:v>
                </c:pt>
                <c:pt idx="585">
                  <c:v>39229</c:v>
                </c:pt>
                <c:pt idx="586">
                  <c:v>39222</c:v>
                </c:pt>
                <c:pt idx="587">
                  <c:v>39215</c:v>
                </c:pt>
                <c:pt idx="588">
                  <c:v>39208</c:v>
                </c:pt>
                <c:pt idx="589">
                  <c:v>39201</c:v>
                </c:pt>
                <c:pt idx="590">
                  <c:v>39194</c:v>
                </c:pt>
                <c:pt idx="591">
                  <c:v>39187</c:v>
                </c:pt>
                <c:pt idx="592">
                  <c:v>39180</c:v>
                </c:pt>
                <c:pt idx="593">
                  <c:v>39173</c:v>
                </c:pt>
                <c:pt idx="594">
                  <c:v>39166</c:v>
                </c:pt>
                <c:pt idx="595">
                  <c:v>39159</c:v>
                </c:pt>
                <c:pt idx="596">
                  <c:v>39152</c:v>
                </c:pt>
                <c:pt idx="597">
                  <c:v>39145</c:v>
                </c:pt>
                <c:pt idx="598">
                  <c:v>39138</c:v>
                </c:pt>
                <c:pt idx="599">
                  <c:v>39131</c:v>
                </c:pt>
                <c:pt idx="600">
                  <c:v>39124</c:v>
                </c:pt>
                <c:pt idx="601">
                  <c:v>39117</c:v>
                </c:pt>
                <c:pt idx="602">
                  <c:v>39110</c:v>
                </c:pt>
                <c:pt idx="603">
                  <c:v>39103</c:v>
                </c:pt>
                <c:pt idx="604">
                  <c:v>39096</c:v>
                </c:pt>
                <c:pt idx="605">
                  <c:v>39089</c:v>
                </c:pt>
                <c:pt idx="606">
                  <c:v>39082</c:v>
                </c:pt>
                <c:pt idx="607">
                  <c:v>39075</c:v>
                </c:pt>
                <c:pt idx="608">
                  <c:v>39068</c:v>
                </c:pt>
                <c:pt idx="609">
                  <c:v>39061</c:v>
                </c:pt>
                <c:pt idx="610">
                  <c:v>39054</c:v>
                </c:pt>
                <c:pt idx="611">
                  <c:v>39047</c:v>
                </c:pt>
                <c:pt idx="612">
                  <c:v>39040</c:v>
                </c:pt>
                <c:pt idx="613">
                  <c:v>39033</c:v>
                </c:pt>
                <c:pt idx="614">
                  <c:v>39026</c:v>
                </c:pt>
                <c:pt idx="615">
                  <c:v>39019</c:v>
                </c:pt>
                <c:pt idx="616">
                  <c:v>39012</c:v>
                </c:pt>
                <c:pt idx="617">
                  <c:v>39005</c:v>
                </c:pt>
                <c:pt idx="618">
                  <c:v>38998</c:v>
                </c:pt>
                <c:pt idx="619">
                  <c:v>38991</c:v>
                </c:pt>
                <c:pt idx="620">
                  <c:v>38984</c:v>
                </c:pt>
                <c:pt idx="621">
                  <c:v>38977</c:v>
                </c:pt>
                <c:pt idx="622">
                  <c:v>38970</c:v>
                </c:pt>
                <c:pt idx="623">
                  <c:v>38963</c:v>
                </c:pt>
                <c:pt idx="624">
                  <c:v>38956</c:v>
                </c:pt>
                <c:pt idx="625">
                  <c:v>38949</c:v>
                </c:pt>
                <c:pt idx="626">
                  <c:v>38942</c:v>
                </c:pt>
                <c:pt idx="627">
                  <c:v>38935</c:v>
                </c:pt>
                <c:pt idx="628">
                  <c:v>38928</c:v>
                </c:pt>
                <c:pt idx="629">
                  <c:v>38921</c:v>
                </c:pt>
                <c:pt idx="630">
                  <c:v>38914</c:v>
                </c:pt>
                <c:pt idx="631">
                  <c:v>38907</c:v>
                </c:pt>
                <c:pt idx="632">
                  <c:v>38900</c:v>
                </c:pt>
                <c:pt idx="633">
                  <c:v>38893</c:v>
                </c:pt>
                <c:pt idx="634">
                  <c:v>38886</c:v>
                </c:pt>
                <c:pt idx="635">
                  <c:v>38879</c:v>
                </c:pt>
                <c:pt idx="636">
                  <c:v>38872</c:v>
                </c:pt>
                <c:pt idx="637">
                  <c:v>38865</c:v>
                </c:pt>
                <c:pt idx="638">
                  <c:v>38858</c:v>
                </c:pt>
                <c:pt idx="639">
                  <c:v>38851</c:v>
                </c:pt>
                <c:pt idx="640">
                  <c:v>38844</c:v>
                </c:pt>
                <c:pt idx="641">
                  <c:v>38837</c:v>
                </c:pt>
                <c:pt idx="642">
                  <c:v>38830</c:v>
                </c:pt>
                <c:pt idx="643">
                  <c:v>38823</c:v>
                </c:pt>
                <c:pt idx="644">
                  <c:v>38816</c:v>
                </c:pt>
                <c:pt idx="645">
                  <c:v>38809</c:v>
                </c:pt>
                <c:pt idx="646">
                  <c:v>38802</c:v>
                </c:pt>
                <c:pt idx="647">
                  <c:v>38795</c:v>
                </c:pt>
                <c:pt idx="648">
                  <c:v>38788</c:v>
                </c:pt>
                <c:pt idx="649">
                  <c:v>38781</c:v>
                </c:pt>
                <c:pt idx="650">
                  <c:v>38774</c:v>
                </c:pt>
                <c:pt idx="651">
                  <c:v>38767</c:v>
                </c:pt>
                <c:pt idx="652">
                  <c:v>38760</c:v>
                </c:pt>
                <c:pt idx="653">
                  <c:v>38753</c:v>
                </c:pt>
                <c:pt idx="654">
                  <c:v>38746</c:v>
                </c:pt>
                <c:pt idx="655">
                  <c:v>38739</c:v>
                </c:pt>
                <c:pt idx="656">
                  <c:v>38732</c:v>
                </c:pt>
                <c:pt idx="657">
                  <c:v>38725</c:v>
                </c:pt>
                <c:pt idx="658">
                  <c:v>38718</c:v>
                </c:pt>
                <c:pt idx="659">
                  <c:v>38711</c:v>
                </c:pt>
                <c:pt idx="660">
                  <c:v>38704</c:v>
                </c:pt>
                <c:pt idx="661">
                  <c:v>38697</c:v>
                </c:pt>
                <c:pt idx="662">
                  <c:v>38690</c:v>
                </c:pt>
                <c:pt idx="663">
                  <c:v>38683</c:v>
                </c:pt>
                <c:pt idx="664">
                  <c:v>38676</c:v>
                </c:pt>
                <c:pt idx="665">
                  <c:v>38669</c:v>
                </c:pt>
                <c:pt idx="666">
                  <c:v>38662</c:v>
                </c:pt>
                <c:pt idx="667">
                  <c:v>38655</c:v>
                </c:pt>
                <c:pt idx="668">
                  <c:v>38648</c:v>
                </c:pt>
                <c:pt idx="669">
                  <c:v>38641</c:v>
                </c:pt>
                <c:pt idx="670">
                  <c:v>38634</c:v>
                </c:pt>
                <c:pt idx="671">
                  <c:v>38627</c:v>
                </c:pt>
                <c:pt idx="672">
                  <c:v>38620</c:v>
                </c:pt>
                <c:pt idx="673">
                  <c:v>38613</c:v>
                </c:pt>
                <c:pt idx="674">
                  <c:v>38606</c:v>
                </c:pt>
                <c:pt idx="675">
                  <c:v>38599</c:v>
                </c:pt>
                <c:pt idx="676">
                  <c:v>38592</c:v>
                </c:pt>
                <c:pt idx="677">
                  <c:v>38585</c:v>
                </c:pt>
                <c:pt idx="678">
                  <c:v>38578</c:v>
                </c:pt>
                <c:pt idx="679">
                  <c:v>38571</c:v>
                </c:pt>
                <c:pt idx="680">
                  <c:v>38564</c:v>
                </c:pt>
                <c:pt idx="681">
                  <c:v>38557</c:v>
                </c:pt>
                <c:pt idx="682">
                  <c:v>38550</c:v>
                </c:pt>
                <c:pt idx="683">
                  <c:v>38543</c:v>
                </c:pt>
                <c:pt idx="684">
                  <c:v>38536</c:v>
                </c:pt>
                <c:pt idx="685">
                  <c:v>38529</c:v>
                </c:pt>
                <c:pt idx="686">
                  <c:v>38522</c:v>
                </c:pt>
                <c:pt idx="687">
                  <c:v>38515</c:v>
                </c:pt>
                <c:pt idx="688">
                  <c:v>38508</c:v>
                </c:pt>
                <c:pt idx="689">
                  <c:v>38501</c:v>
                </c:pt>
                <c:pt idx="690">
                  <c:v>38494</c:v>
                </c:pt>
                <c:pt idx="691">
                  <c:v>38487</c:v>
                </c:pt>
                <c:pt idx="692">
                  <c:v>38480</c:v>
                </c:pt>
                <c:pt idx="693">
                  <c:v>38473</c:v>
                </c:pt>
                <c:pt idx="694">
                  <c:v>38466</c:v>
                </c:pt>
                <c:pt idx="695">
                  <c:v>38459</c:v>
                </c:pt>
                <c:pt idx="696">
                  <c:v>38452</c:v>
                </c:pt>
                <c:pt idx="697">
                  <c:v>38445</c:v>
                </c:pt>
                <c:pt idx="698">
                  <c:v>38438</c:v>
                </c:pt>
                <c:pt idx="699">
                  <c:v>38431</c:v>
                </c:pt>
                <c:pt idx="700">
                  <c:v>38424</c:v>
                </c:pt>
                <c:pt idx="701">
                  <c:v>38417</c:v>
                </c:pt>
                <c:pt idx="702">
                  <c:v>38410</c:v>
                </c:pt>
                <c:pt idx="703">
                  <c:v>38403</c:v>
                </c:pt>
                <c:pt idx="704">
                  <c:v>38396</c:v>
                </c:pt>
                <c:pt idx="705">
                  <c:v>38389</c:v>
                </c:pt>
                <c:pt idx="706">
                  <c:v>38382</c:v>
                </c:pt>
                <c:pt idx="707">
                  <c:v>38375</c:v>
                </c:pt>
                <c:pt idx="708">
                  <c:v>38368</c:v>
                </c:pt>
                <c:pt idx="709">
                  <c:v>38361</c:v>
                </c:pt>
                <c:pt idx="710">
                  <c:v>38354</c:v>
                </c:pt>
                <c:pt idx="711">
                  <c:v>38347</c:v>
                </c:pt>
                <c:pt idx="712">
                  <c:v>38340</c:v>
                </c:pt>
                <c:pt idx="713">
                  <c:v>38333</c:v>
                </c:pt>
                <c:pt idx="714">
                  <c:v>38326</c:v>
                </c:pt>
                <c:pt idx="715">
                  <c:v>38319</c:v>
                </c:pt>
                <c:pt idx="716">
                  <c:v>38312</c:v>
                </c:pt>
                <c:pt idx="717">
                  <c:v>38305</c:v>
                </c:pt>
                <c:pt idx="718">
                  <c:v>38298</c:v>
                </c:pt>
                <c:pt idx="719">
                  <c:v>38291</c:v>
                </c:pt>
                <c:pt idx="720">
                  <c:v>38284</c:v>
                </c:pt>
                <c:pt idx="721">
                  <c:v>38277</c:v>
                </c:pt>
                <c:pt idx="722">
                  <c:v>38270</c:v>
                </c:pt>
                <c:pt idx="723">
                  <c:v>38263</c:v>
                </c:pt>
                <c:pt idx="724">
                  <c:v>38256</c:v>
                </c:pt>
                <c:pt idx="725">
                  <c:v>38249</c:v>
                </c:pt>
                <c:pt idx="726">
                  <c:v>38242</c:v>
                </c:pt>
                <c:pt idx="727">
                  <c:v>38235</c:v>
                </c:pt>
                <c:pt idx="728">
                  <c:v>38228</c:v>
                </c:pt>
                <c:pt idx="729">
                  <c:v>38221</c:v>
                </c:pt>
                <c:pt idx="730">
                  <c:v>38214</c:v>
                </c:pt>
                <c:pt idx="731">
                  <c:v>38207</c:v>
                </c:pt>
                <c:pt idx="732">
                  <c:v>38200</c:v>
                </c:pt>
                <c:pt idx="733">
                  <c:v>38193</c:v>
                </c:pt>
                <c:pt idx="734">
                  <c:v>38186</c:v>
                </c:pt>
                <c:pt idx="735">
                  <c:v>38179</c:v>
                </c:pt>
                <c:pt idx="736">
                  <c:v>38172</c:v>
                </c:pt>
                <c:pt idx="737">
                  <c:v>38165</c:v>
                </c:pt>
                <c:pt idx="738">
                  <c:v>38158</c:v>
                </c:pt>
                <c:pt idx="739">
                  <c:v>38151</c:v>
                </c:pt>
                <c:pt idx="740">
                  <c:v>38144</c:v>
                </c:pt>
                <c:pt idx="741">
                  <c:v>38137</c:v>
                </c:pt>
                <c:pt idx="742">
                  <c:v>38130</c:v>
                </c:pt>
                <c:pt idx="743">
                  <c:v>38123</c:v>
                </c:pt>
                <c:pt idx="744">
                  <c:v>38116</c:v>
                </c:pt>
                <c:pt idx="745">
                  <c:v>38109</c:v>
                </c:pt>
                <c:pt idx="746">
                  <c:v>38102</c:v>
                </c:pt>
                <c:pt idx="747">
                  <c:v>38095</c:v>
                </c:pt>
                <c:pt idx="748">
                  <c:v>38088</c:v>
                </c:pt>
                <c:pt idx="749">
                  <c:v>38081</c:v>
                </c:pt>
                <c:pt idx="750">
                  <c:v>38074</c:v>
                </c:pt>
                <c:pt idx="751">
                  <c:v>38067</c:v>
                </c:pt>
                <c:pt idx="752">
                  <c:v>38060</c:v>
                </c:pt>
                <c:pt idx="753">
                  <c:v>38053</c:v>
                </c:pt>
                <c:pt idx="754">
                  <c:v>38046</c:v>
                </c:pt>
                <c:pt idx="755">
                  <c:v>38039</c:v>
                </c:pt>
                <c:pt idx="756">
                  <c:v>38032</c:v>
                </c:pt>
                <c:pt idx="757">
                  <c:v>38025</c:v>
                </c:pt>
                <c:pt idx="758">
                  <c:v>38018</c:v>
                </c:pt>
                <c:pt idx="759">
                  <c:v>38011</c:v>
                </c:pt>
                <c:pt idx="760">
                  <c:v>38004</c:v>
                </c:pt>
                <c:pt idx="761">
                  <c:v>37997</c:v>
                </c:pt>
                <c:pt idx="762">
                  <c:v>37990</c:v>
                </c:pt>
                <c:pt idx="763">
                  <c:v>37983</c:v>
                </c:pt>
                <c:pt idx="764">
                  <c:v>37976</c:v>
                </c:pt>
                <c:pt idx="765">
                  <c:v>37969</c:v>
                </c:pt>
                <c:pt idx="766">
                  <c:v>37962</c:v>
                </c:pt>
                <c:pt idx="767">
                  <c:v>37955</c:v>
                </c:pt>
                <c:pt idx="768">
                  <c:v>37948</c:v>
                </c:pt>
                <c:pt idx="769">
                  <c:v>37941</c:v>
                </c:pt>
                <c:pt idx="770">
                  <c:v>37934</c:v>
                </c:pt>
                <c:pt idx="771">
                  <c:v>37927</c:v>
                </c:pt>
                <c:pt idx="772">
                  <c:v>37920</c:v>
                </c:pt>
                <c:pt idx="773">
                  <c:v>37913</c:v>
                </c:pt>
                <c:pt idx="774">
                  <c:v>37906</c:v>
                </c:pt>
                <c:pt idx="775">
                  <c:v>37899</c:v>
                </c:pt>
                <c:pt idx="776">
                  <c:v>37892</c:v>
                </c:pt>
                <c:pt idx="777">
                  <c:v>37885</c:v>
                </c:pt>
                <c:pt idx="778">
                  <c:v>37878</c:v>
                </c:pt>
                <c:pt idx="779">
                  <c:v>37871</c:v>
                </c:pt>
                <c:pt idx="780">
                  <c:v>37864</c:v>
                </c:pt>
                <c:pt idx="781">
                  <c:v>37857</c:v>
                </c:pt>
                <c:pt idx="782">
                  <c:v>37850</c:v>
                </c:pt>
                <c:pt idx="783">
                  <c:v>37843</c:v>
                </c:pt>
                <c:pt idx="784">
                  <c:v>37836</c:v>
                </c:pt>
                <c:pt idx="785">
                  <c:v>37829</c:v>
                </c:pt>
                <c:pt idx="786">
                  <c:v>37822</c:v>
                </c:pt>
                <c:pt idx="787">
                  <c:v>37815</c:v>
                </c:pt>
                <c:pt idx="788">
                  <c:v>37808</c:v>
                </c:pt>
                <c:pt idx="789">
                  <c:v>37801</c:v>
                </c:pt>
                <c:pt idx="790">
                  <c:v>37794</c:v>
                </c:pt>
                <c:pt idx="791">
                  <c:v>37787</c:v>
                </c:pt>
                <c:pt idx="792">
                  <c:v>37780</c:v>
                </c:pt>
                <c:pt idx="793">
                  <c:v>37773</c:v>
                </c:pt>
                <c:pt idx="794">
                  <c:v>37766</c:v>
                </c:pt>
                <c:pt idx="795">
                  <c:v>37759</c:v>
                </c:pt>
                <c:pt idx="796">
                  <c:v>37752</c:v>
                </c:pt>
                <c:pt idx="797">
                  <c:v>37745</c:v>
                </c:pt>
                <c:pt idx="798">
                  <c:v>37738</c:v>
                </c:pt>
                <c:pt idx="799">
                  <c:v>37731</c:v>
                </c:pt>
                <c:pt idx="800">
                  <c:v>37724</c:v>
                </c:pt>
                <c:pt idx="801">
                  <c:v>37717</c:v>
                </c:pt>
                <c:pt idx="802">
                  <c:v>37710</c:v>
                </c:pt>
                <c:pt idx="803">
                  <c:v>37703</c:v>
                </c:pt>
                <c:pt idx="804">
                  <c:v>37696</c:v>
                </c:pt>
                <c:pt idx="805">
                  <c:v>37689</c:v>
                </c:pt>
                <c:pt idx="806">
                  <c:v>37682</c:v>
                </c:pt>
                <c:pt idx="807">
                  <c:v>37675</c:v>
                </c:pt>
                <c:pt idx="808">
                  <c:v>37668</c:v>
                </c:pt>
                <c:pt idx="809">
                  <c:v>37661</c:v>
                </c:pt>
                <c:pt idx="810">
                  <c:v>37654</c:v>
                </c:pt>
                <c:pt idx="811">
                  <c:v>37647</c:v>
                </c:pt>
                <c:pt idx="812">
                  <c:v>37640</c:v>
                </c:pt>
                <c:pt idx="813">
                  <c:v>37633</c:v>
                </c:pt>
                <c:pt idx="814">
                  <c:v>37626</c:v>
                </c:pt>
                <c:pt idx="815">
                  <c:v>37619</c:v>
                </c:pt>
                <c:pt idx="816">
                  <c:v>37612</c:v>
                </c:pt>
                <c:pt idx="817">
                  <c:v>37605</c:v>
                </c:pt>
                <c:pt idx="818">
                  <c:v>37598</c:v>
                </c:pt>
                <c:pt idx="819">
                  <c:v>37591</c:v>
                </c:pt>
                <c:pt idx="820">
                  <c:v>37584</c:v>
                </c:pt>
                <c:pt idx="821">
                  <c:v>37577</c:v>
                </c:pt>
                <c:pt idx="822">
                  <c:v>37570</c:v>
                </c:pt>
                <c:pt idx="823">
                  <c:v>37563</c:v>
                </c:pt>
                <c:pt idx="824">
                  <c:v>37556</c:v>
                </c:pt>
                <c:pt idx="825">
                  <c:v>37549</c:v>
                </c:pt>
                <c:pt idx="826">
                  <c:v>37542</c:v>
                </c:pt>
                <c:pt idx="827">
                  <c:v>37535</c:v>
                </c:pt>
                <c:pt idx="828">
                  <c:v>37528</c:v>
                </c:pt>
                <c:pt idx="829">
                  <c:v>37521</c:v>
                </c:pt>
                <c:pt idx="830">
                  <c:v>37514</c:v>
                </c:pt>
                <c:pt idx="831">
                  <c:v>37507</c:v>
                </c:pt>
                <c:pt idx="832">
                  <c:v>37500</c:v>
                </c:pt>
                <c:pt idx="833">
                  <c:v>37493</c:v>
                </c:pt>
                <c:pt idx="834">
                  <c:v>37486</c:v>
                </c:pt>
                <c:pt idx="835">
                  <c:v>37479</c:v>
                </c:pt>
                <c:pt idx="836">
                  <c:v>37472</c:v>
                </c:pt>
                <c:pt idx="837">
                  <c:v>37465</c:v>
                </c:pt>
                <c:pt idx="838">
                  <c:v>37458</c:v>
                </c:pt>
                <c:pt idx="839">
                  <c:v>37451</c:v>
                </c:pt>
                <c:pt idx="840">
                  <c:v>37444</c:v>
                </c:pt>
                <c:pt idx="841">
                  <c:v>37437</c:v>
                </c:pt>
                <c:pt idx="842">
                  <c:v>37430</c:v>
                </c:pt>
                <c:pt idx="843">
                  <c:v>37423</c:v>
                </c:pt>
                <c:pt idx="844">
                  <c:v>37416</c:v>
                </c:pt>
                <c:pt idx="845">
                  <c:v>37409</c:v>
                </c:pt>
                <c:pt idx="846">
                  <c:v>37402</c:v>
                </c:pt>
                <c:pt idx="847">
                  <c:v>37395</c:v>
                </c:pt>
                <c:pt idx="848">
                  <c:v>37388</c:v>
                </c:pt>
                <c:pt idx="849">
                  <c:v>37381</c:v>
                </c:pt>
                <c:pt idx="850">
                  <c:v>37374</c:v>
                </c:pt>
                <c:pt idx="851">
                  <c:v>37367</c:v>
                </c:pt>
                <c:pt idx="852">
                  <c:v>37360</c:v>
                </c:pt>
                <c:pt idx="853">
                  <c:v>37353</c:v>
                </c:pt>
                <c:pt idx="854">
                  <c:v>37346</c:v>
                </c:pt>
                <c:pt idx="855">
                  <c:v>37339</c:v>
                </c:pt>
                <c:pt idx="856">
                  <c:v>37332</c:v>
                </c:pt>
                <c:pt idx="857">
                  <c:v>37325</c:v>
                </c:pt>
                <c:pt idx="858">
                  <c:v>37318</c:v>
                </c:pt>
                <c:pt idx="859">
                  <c:v>37311</c:v>
                </c:pt>
                <c:pt idx="860">
                  <c:v>37304</c:v>
                </c:pt>
                <c:pt idx="861">
                  <c:v>37297</c:v>
                </c:pt>
                <c:pt idx="862">
                  <c:v>37290</c:v>
                </c:pt>
                <c:pt idx="863">
                  <c:v>37283</c:v>
                </c:pt>
                <c:pt idx="864">
                  <c:v>37276</c:v>
                </c:pt>
                <c:pt idx="865">
                  <c:v>37269</c:v>
                </c:pt>
                <c:pt idx="866">
                  <c:v>37262</c:v>
                </c:pt>
                <c:pt idx="867">
                  <c:v>37255</c:v>
                </c:pt>
                <c:pt idx="868">
                  <c:v>37248</c:v>
                </c:pt>
                <c:pt idx="869">
                  <c:v>37241</c:v>
                </c:pt>
                <c:pt idx="870">
                  <c:v>37234</c:v>
                </c:pt>
                <c:pt idx="871">
                  <c:v>37227</c:v>
                </c:pt>
                <c:pt idx="872">
                  <c:v>37220</c:v>
                </c:pt>
                <c:pt idx="873">
                  <c:v>37213</c:v>
                </c:pt>
                <c:pt idx="874">
                  <c:v>37206</c:v>
                </c:pt>
                <c:pt idx="875">
                  <c:v>37199</c:v>
                </c:pt>
                <c:pt idx="876">
                  <c:v>37192</c:v>
                </c:pt>
                <c:pt idx="877">
                  <c:v>37185</c:v>
                </c:pt>
                <c:pt idx="878">
                  <c:v>37178</c:v>
                </c:pt>
                <c:pt idx="879">
                  <c:v>37171</c:v>
                </c:pt>
                <c:pt idx="880">
                  <c:v>37164</c:v>
                </c:pt>
                <c:pt idx="881">
                  <c:v>37157</c:v>
                </c:pt>
                <c:pt idx="882">
                  <c:v>37150</c:v>
                </c:pt>
                <c:pt idx="883">
                  <c:v>37143</c:v>
                </c:pt>
                <c:pt idx="884">
                  <c:v>37136</c:v>
                </c:pt>
                <c:pt idx="885">
                  <c:v>37129</c:v>
                </c:pt>
                <c:pt idx="886">
                  <c:v>37122</c:v>
                </c:pt>
                <c:pt idx="887">
                  <c:v>37115</c:v>
                </c:pt>
                <c:pt idx="888">
                  <c:v>37108</c:v>
                </c:pt>
                <c:pt idx="889">
                  <c:v>37101</c:v>
                </c:pt>
                <c:pt idx="890">
                  <c:v>37094</c:v>
                </c:pt>
                <c:pt idx="891">
                  <c:v>37087</c:v>
                </c:pt>
                <c:pt idx="892">
                  <c:v>37080</c:v>
                </c:pt>
                <c:pt idx="893">
                  <c:v>37073</c:v>
                </c:pt>
                <c:pt idx="894">
                  <c:v>37066</c:v>
                </c:pt>
                <c:pt idx="895">
                  <c:v>37059</c:v>
                </c:pt>
                <c:pt idx="896">
                  <c:v>37052</c:v>
                </c:pt>
                <c:pt idx="897">
                  <c:v>37045</c:v>
                </c:pt>
                <c:pt idx="898">
                  <c:v>37038</c:v>
                </c:pt>
                <c:pt idx="899">
                  <c:v>37031</c:v>
                </c:pt>
                <c:pt idx="900">
                  <c:v>37024</c:v>
                </c:pt>
                <c:pt idx="901">
                  <c:v>37017</c:v>
                </c:pt>
                <c:pt idx="902">
                  <c:v>37010</c:v>
                </c:pt>
                <c:pt idx="903">
                  <c:v>37003</c:v>
                </c:pt>
                <c:pt idx="904">
                  <c:v>36996</c:v>
                </c:pt>
                <c:pt idx="905">
                  <c:v>36989</c:v>
                </c:pt>
                <c:pt idx="906">
                  <c:v>36982</c:v>
                </c:pt>
                <c:pt idx="907">
                  <c:v>36975</c:v>
                </c:pt>
                <c:pt idx="908">
                  <c:v>36968</c:v>
                </c:pt>
                <c:pt idx="909">
                  <c:v>36961</c:v>
                </c:pt>
                <c:pt idx="910">
                  <c:v>36954</c:v>
                </c:pt>
                <c:pt idx="911">
                  <c:v>36947</c:v>
                </c:pt>
                <c:pt idx="912">
                  <c:v>36940</c:v>
                </c:pt>
                <c:pt idx="913">
                  <c:v>36933</c:v>
                </c:pt>
                <c:pt idx="914">
                  <c:v>36926</c:v>
                </c:pt>
                <c:pt idx="915">
                  <c:v>36919</c:v>
                </c:pt>
                <c:pt idx="916">
                  <c:v>36912</c:v>
                </c:pt>
                <c:pt idx="917">
                  <c:v>36905</c:v>
                </c:pt>
                <c:pt idx="918">
                  <c:v>36898</c:v>
                </c:pt>
                <c:pt idx="919">
                  <c:v>36891</c:v>
                </c:pt>
                <c:pt idx="920">
                  <c:v>36884</c:v>
                </c:pt>
                <c:pt idx="921">
                  <c:v>36877</c:v>
                </c:pt>
                <c:pt idx="922">
                  <c:v>36870</c:v>
                </c:pt>
                <c:pt idx="923">
                  <c:v>36863</c:v>
                </c:pt>
                <c:pt idx="924">
                  <c:v>36856</c:v>
                </c:pt>
                <c:pt idx="925">
                  <c:v>36849</c:v>
                </c:pt>
                <c:pt idx="926">
                  <c:v>36842</c:v>
                </c:pt>
                <c:pt idx="927">
                  <c:v>36835</c:v>
                </c:pt>
                <c:pt idx="928">
                  <c:v>36828</c:v>
                </c:pt>
                <c:pt idx="929">
                  <c:v>36821</c:v>
                </c:pt>
                <c:pt idx="930">
                  <c:v>36814</c:v>
                </c:pt>
                <c:pt idx="931">
                  <c:v>36807</c:v>
                </c:pt>
                <c:pt idx="932">
                  <c:v>36800</c:v>
                </c:pt>
                <c:pt idx="933">
                  <c:v>36793</c:v>
                </c:pt>
                <c:pt idx="934">
                  <c:v>36786</c:v>
                </c:pt>
                <c:pt idx="935">
                  <c:v>36779</c:v>
                </c:pt>
                <c:pt idx="936">
                  <c:v>36772</c:v>
                </c:pt>
                <c:pt idx="937">
                  <c:v>36765</c:v>
                </c:pt>
                <c:pt idx="938">
                  <c:v>36758</c:v>
                </c:pt>
                <c:pt idx="939">
                  <c:v>36751</c:v>
                </c:pt>
                <c:pt idx="940">
                  <c:v>36744</c:v>
                </c:pt>
                <c:pt idx="941">
                  <c:v>36737</c:v>
                </c:pt>
                <c:pt idx="942">
                  <c:v>36730</c:v>
                </c:pt>
                <c:pt idx="943">
                  <c:v>36723</c:v>
                </c:pt>
                <c:pt idx="944">
                  <c:v>36716</c:v>
                </c:pt>
                <c:pt idx="945">
                  <c:v>36709</c:v>
                </c:pt>
                <c:pt idx="946">
                  <c:v>36702</c:v>
                </c:pt>
                <c:pt idx="947">
                  <c:v>36695</c:v>
                </c:pt>
                <c:pt idx="948">
                  <c:v>36688</c:v>
                </c:pt>
                <c:pt idx="949">
                  <c:v>36681</c:v>
                </c:pt>
                <c:pt idx="950">
                  <c:v>36674</c:v>
                </c:pt>
                <c:pt idx="951">
                  <c:v>36667</c:v>
                </c:pt>
                <c:pt idx="952">
                  <c:v>36660</c:v>
                </c:pt>
                <c:pt idx="953">
                  <c:v>36653</c:v>
                </c:pt>
                <c:pt idx="954">
                  <c:v>36646</c:v>
                </c:pt>
                <c:pt idx="955">
                  <c:v>36639</c:v>
                </c:pt>
                <c:pt idx="956">
                  <c:v>36632</c:v>
                </c:pt>
                <c:pt idx="957">
                  <c:v>36625</c:v>
                </c:pt>
                <c:pt idx="958">
                  <c:v>36618</c:v>
                </c:pt>
                <c:pt idx="959">
                  <c:v>36611</c:v>
                </c:pt>
                <c:pt idx="960">
                  <c:v>36604</c:v>
                </c:pt>
                <c:pt idx="961">
                  <c:v>36597</c:v>
                </c:pt>
                <c:pt idx="962">
                  <c:v>36590</c:v>
                </c:pt>
                <c:pt idx="963">
                  <c:v>36583</c:v>
                </c:pt>
                <c:pt idx="964">
                  <c:v>36576</c:v>
                </c:pt>
                <c:pt idx="965">
                  <c:v>36569</c:v>
                </c:pt>
                <c:pt idx="966">
                  <c:v>36562</c:v>
                </c:pt>
                <c:pt idx="967">
                  <c:v>36555</c:v>
                </c:pt>
                <c:pt idx="968">
                  <c:v>36548</c:v>
                </c:pt>
                <c:pt idx="969">
                  <c:v>36541</c:v>
                </c:pt>
                <c:pt idx="970">
                  <c:v>36534</c:v>
                </c:pt>
                <c:pt idx="971">
                  <c:v>36527</c:v>
                </c:pt>
                <c:pt idx="972">
                  <c:v>36520</c:v>
                </c:pt>
                <c:pt idx="973">
                  <c:v>36513</c:v>
                </c:pt>
                <c:pt idx="974">
                  <c:v>36506</c:v>
                </c:pt>
                <c:pt idx="975">
                  <c:v>36499</c:v>
                </c:pt>
                <c:pt idx="976">
                  <c:v>36492</c:v>
                </c:pt>
                <c:pt idx="977">
                  <c:v>36485</c:v>
                </c:pt>
                <c:pt idx="978">
                  <c:v>36478</c:v>
                </c:pt>
                <c:pt idx="979">
                  <c:v>36471</c:v>
                </c:pt>
                <c:pt idx="980">
                  <c:v>36464</c:v>
                </c:pt>
                <c:pt idx="981">
                  <c:v>36457</c:v>
                </c:pt>
                <c:pt idx="982">
                  <c:v>36450</c:v>
                </c:pt>
                <c:pt idx="983">
                  <c:v>36443</c:v>
                </c:pt>
                <c:pt idx="984">
                  <c:v>36436</c:v>
                </c:pt>
                <c:pt idx="985">
                  <c:v>36429</c:v>
                </c:pt>
                <c:pt idx="986">
                  <c:v>36422</c:v>
                </c:pt>
                <c:pt idx="987">
                  <c:v>36415</c:v>
                </c:pt>
                <c:pt idx="988">
                  <c:v>36408</c:v>
                </c:pt>
                <c:pt idx="989">
                  <c:v>36401</c:v>
                </c:pt>
                <c:pt idx="990">
                  <c:v>36394</c:v>
                </c:pt>
                <c:pt idx="991">
                  <c:v>36387</c:v>
                </c:pt>
                <c:pt idx="992">
                  <c:v>36380</c:v>
                </c:pt>
                <c:pt idx="993">
                  <c:v>36373</c:v>
                </c:pt>
                <c:pt idx="994">
                  <c:v>36366</c:v>
                </c:pt>
                <c:pt idx="995">
                  <c:v>36359</c:v>
                </c:pt>
                <c:pt idx="996">
                  <c:v>36352</c:v>
                </c:pt>
                <c:pt idx="997">
                  <c:v>36345</c:v>
                </c:pt>
                <c:pt idx="998">
                  <c:v>36338</c:v>
                </c:pt>
                <c:pt idx="999">
                  <c:v>36331</c:v>
                </c:pt>
                <c:pt idx="1000">
                  <c:v>36324</c:v>
                </c:pt>
                <c:pt idx="1001">
                  <c:v>36317</c:v>
                </c:pt>
                <c:pt idx="1002">
                  <c:v>36310</c:v>
                </c:pt>
                <c:pt idx="1003">
                  <c:v>36303</c:v>
                </c:pt>
                <c:pt idx="1004">
                  <c:v>36296</c:v>
                </c:pt>
                <c:pt idx="1005">
                  <c:v>36289</c:v>
                </c:pt>
                <c:pt idx="1006">
                  <c:v>36282</c:v>
                </c:pt>
                <c:pt idx="1007">
                  <c:v>36275</c:v>
                </c:pt>
                <c:pt idx="1008">
                  <c:v>36268</c:v>
                </c:pt>
                <c:pt idx="1009">
                  <c:v>36261</c:v>
                </c:pt>
                <c:pt idx="1010">
                  <c:v>36254</c:v>
                </c:pt>
                <c:pt idx="1011">
                  <c:v>36247</c:v>
                </c:pt>
                <c:pt idx="1012">
                  <c:v>36240</c:v>
                </c:pt>
                <c:pt idx="1013">
                  <c:v>36233</c:v>
                </c:pt>
                <c:pt idx="1014">
                  <c:v>36226</c:v>
                </c:pt>
                <c:pt idx="1015">
                  <c:v>36219</c:v>
                </c:pt>
                <c:pt idx="1016">
                  <c:v>36212</c:v>
                </c:pt>
                <c:pt idx="1017">
                  <c:v>36205</c:v>
                </c:pt>
                <c:pt idx="1018">
                  <c:v>36198</c:v>
                </c:pt>
                <c:pt idx="1019">
                  <c:v>36191</c:v>
                </c:pt>
                <c:pt idx="1020">
                  <c:v>36184</c:v>
                </c:pt>
                <c:pt idx="1021">
                  <c:v>36177</c:v>
                </c:pt>
                <c:pt idx="1022">
                  <c:v>36170</c:v>
                </c:pt>
                <c:pt idx="1023">
                  <c:v>36163</c:v>
                </c:pt>
                <c:pt idx="1024">
                  <c:v>36156</c:v>
                </c:pt>
                <c:pt idx="1025">
                  <c:v>36149</c:v>
                </c:pt>
                <c:pt idx="1026">
                  <c:v>36142</c:v>
                </c:pt>
                <c:pt idx="1027">
                  <c:v>36135</c:v>
                </c:pt>
                <c:pt idx="1028">
                  <c:v>36128</c:v>
                </c:pt>
                <c:pt idx="1029">
                  <c:v>36121</c:v>
                </c:pt>
                <c:pt idx="1030">
                  <c:v>36114</c:v>
                </c:pt>
                <c:pt idx="1031">
                  <c:v>36107</c:v>
                </c:pt>
                <c:pt idx="1032">
                  <c:v>36100</c:v>
                </c:pt>
                <c:pt idx="1033">
                  <c:v>36093</c:v>
                </c:pt>
                <c:pt idx="1034">
                  <c:v>36086</c:v>
                </c:pt>
                <c:pt idx="1035">
                  <c:v>36079</c:v>
                </c:pt>
                <c:pt idx="1036">
                  <c:v>36072</c:v>
                </c:pt>
                <c:pt idx="1037">
                  <c:v>36065</c:v>
                </c:pt>
                <c:pt idx="1038">
                  <c:v>36058</c:v>
                </c:pt>
                <c:pt idx="1039">
                  <c:v>36051</c:v>
                </c:pt>
                <c:pt idx="1040">
                  <c:v>36044</c:v>
                </c:pt>
                <c:pt idx="1041">
                  <c:v>36037</c:v>
                </c:pt>
                <c:pt idx="1042">
                  <c:v>36030</c:v>
                </c:pt>
                <c:pt idx="1043">
                  <c:v>36023</c:v>
                </c:pt>
                <c:pt idx="1044">
                  <c:v>36016</c:v>
                </c:pt>
                <c:pt idx="1045">
                  <c:v>36009</c:v>
                </c:pt>
                <c:pt idx="1046">
                  <c:v>36002</c:v>
                </c:pt>
                <c:pt idx="1047">
                  <c:v>35995</c:v>
                </c:pt>
                <c:pt idx="1048">
                  <c:v>35988</c:v>
                </c:pt>
                <c:pt idx="1049">
                  <c:v>35981</c:v>
                </c:pt>
                <c:pt idx="1050">
                  <c:v>35974</c:v>
                </c:pt>
                <c:pt idx="1051">
                  <c:v>35967</c:v>
                </c:pt>
                <c:pt idx="1052">
                  <c:v>35960</c:v>
                </c:pt>
                <c:pt idx="1053">
                  <c:v>35953</c:v>
                </c:pt>
                <c:pt idx="1054">
                  <c:v>35946</c:v>
                </c:pt>
                <c:pt idx="1055">
                  <c:v>35939</c:v>
                </c:pt>
                <c:pt idx="1056">
                  <c:v>35932</c:v>
                </c:pt>
                <c:pt idx="1057">
                  <c:v>35925</c:v>
                </c:pt>
                <c:pt idx="1058">
                  <c:v>35918</c:v>
                </c:pt>
                <c:pt idx="1059">
                  <c:v>35911</c:v>
                </c:pt>
                <c:pt idx="1060">
                  <c:v>35904</c:v>
                </c:pt>
                <c:pt idx="1061">
                  <c:v>35897</c:v>
                </c:pt>
                <c:pt idx="1062">
                  <c:v>35890</c:v>
                </c:pt>
                <c:pt idx="1063">
                  <c:v>35883</c:v>
                </c:pt>
                <c:pt idx="1064">
                  <c:v>35876</c:v>
                </c:pt>
                <c:pt idx="1065">
                  <c:v>35869</c:v>
                </c:pt>
                <c:pt idx="1066">
                  <c:v>35862</c:v>
                </c:pt>
                <c:pt idx="1067">
                  <c:v>35855</c:v>
                </c:pt>
                <c:pt idx="1068">
                  <c:v>35848</c:v>
                </c:pt>
                <c:pt idx="1069">
                  <c:v>35841</c:v>
                </c:pt>
                <c:pt idx="1070">
                  <c:v>35834</c:v>
                </c:pt>
                <c:pt idx="1071">
                  <c:v>35827</c:v>
                </c:pt>
                <c:pt idx="1072">
                  <c:v>35820</c:v>
                </c:pt>
                <c:pt idx="1073">
                  <c:v>35813</c:v>
                </c:pt>
                <c:pt idx="1074">
                  <c:v>35806</c:v>
                </c:pt>
                <c:pt idx="1075">
                  <c:v>35799</c:v>
                </c:pt>
                <c:pt idx="1076">
                  <c:v>35792</c:v>
                </c:pt>
                <c:pt idx="1077">
                  <c:v>35785</c:v>
                </c:pt>
                <c:pt idx="1078">
                  <c:v>35778</c:v>
                </c:pt>
                <c:pt idx="1079">
                  <c:v>35771</c:v>
                </c:pt>
                <c:pt idx="1080">
                  <c:v>35764</c:v>
                </c:pt>
                <c:pt idx="1081">
                  <c:v>35757</c:v>
                </c:pt>
                <c:pt idx="1082">
                  <c:v>35750</c:v>
                </c:pt>
                <c:pt idx="1083">
                  <c:v>35743</c:v>
                </c:pt>
                <c:pt idx="1084">
                  <c:v>35736</c:v>
                </c:pt>
                <c:pt idx="1085">
                  <c:v>35729</c:v>
                </c:pt>
                <c:pt idx="1086">
                  <c:v>35722</c:v>
                </c:pt>
                <c:pt idx="1087">
                  <c:v>35715</c:v>
                </c:pt>
                <c:pt idx="1088">
                  <c:v>35708</c:v>
                </c:pt>
                <c:pt idx="1089">
                  <c:v>35701</c:v>
                </c:pt>
                <c:pt idx="1090">
                  <c:v>35694</c:v>
                </c:pt>
                <c:pt idx="1091">
                  <c:v>35687</c:v>
                </c:pt>
                <c:pt idx="1092">
                  <c:v>35680</c:v>
                </c:pt>
                <c:pt idx="1093">
                  <c:v>35673</c:v>
                </c:pt>
                <c:pt idx="1094">
                  <c:v>35666</c:v>
                </c:pt>
                <c:pt idx="1095">
                  <c:v>35659</c:v>
                </c:pt>
                <c:pt idx="1096">
                  <c:v>35652</c:v>
                </c:pt>
                <c:pt idx="1097">
                  <c:v>35645</c:v>
                </c:pt>
                <c:pt idx="1098">
                  <c:v>35638</c:v>
                </c:pt>
                <c:pt idx="1099">
                  <c:v>35631</c:v>
                </c:pt>
                <c:pt idx="1100">
                  <c:v>35624</c:v>
                </c:pt>
                <c:pt idx="1101">
                  <c:v>35617</c:v>
                </c:pt>
                <c:pt idx="1102">
                  <c:v>35610</c:v>
                </c:pt>
                <c:pt idx="1103">
                  <c:v>35603</c:v>
                </c:pt>
                <c:pt idx="1104">
                  <c:v>35596</c:v>
                </c:pt>
                <c:pt idx="1105">
                  <c:v>35589</c:v>
                </c:pt>
                <c:pt idx="1106">
                  <c:v>35582</c:v>
                </c:pt>
                <c:pt idx="1107">
                  <c:v>35575</c:v>
                </c:pt>
                <c:pt idx="1108">
                  <c:v>35568</c:v>
                </c:pt>
                <c:pt idx="1109">
                  <c:v>35561</c:v>
                </c:pt>
                <c:pt idx="1110">
                  <c:v>35554</c:v>
                </c:pt>
                <c:pt idx="1111">
                  <c:v>35547</c:v>
                </c:pt>
                <c:pt idx="1112">
                  <c:v>35540</c:v>
                </c:pt>
                <c:pt idx="1113">
                  <c:v>35533</c:v>
                </c:pt>
                <c:pt idx="1114">
                  <c:v>35526</c:v>
                </c:pt>
                <c:pt idx="1115">
                  <c:v>35519</c:v>
                </c:pt>
                <c:pt idx="1116">
                  <c:v>35512</c:v>
                </c:pt>
                <c:pt idx="1117">
                  <c:v>35505</c:v>
                </c:pt>
                <c:pt idx="1118">
                  <c:v>35498</c:v>
                </c:pt>
                <c:pt idx="1119">
                  <c:v>35491</c:v>
                </c:pt>
                <c:pt idx="1120">
                  <c:v>35484</c:v>
                </c:pt>
                <c:pt idx="1121">
                  <c:v>35477</c:v>
                </c:pt>
                <c:pt idx="1122">
                  <c:v>35470</c:v>
                </c:pt>
                <c:pt idx="1123">
                  <c:v>35463</c:v>
                </c:pt>
                <c:pt idx="1124">
                  <c:v>35456</c:v>
                </c:pt>
                <c:pt idx="1125">
                  <c:v>35449</c:v>
                </c:pt>
                <c:pt idx="1126">
                  <c:v>35442</c:v>
                </c:pt>
                <c:pt idx="1127">
                  <c:v>35435</c:v>
                </c:pt>
                <c:pt idx="1128">
                  <c:v>35428</c:v>
                </c:pt>
                <c:pt idx="1129">
                  <c:v>35421</c:v>
                </c:pt>
                <c:pt idx="1130">
                  <c:v>35414</c:v>
                </c:pt>
                <c:pt idx="1131">
                  <c:v>35407</c:v>
                </c:pt>
                <c:pt idx="1132">
                  <c:v>35400</c:v>
                </c:pt>
                <c:pt idx="1133">
                  <c:v>35393</c:v>
                </c:pt>
                <c:pt idx="1134">
                  <c:v>35386</c:v>
                </c:pt>
                <c:pt idx="1135">
                  <c:v>35379</c:v>
                </c:pt>
                <c:pt idx="1136">
                  <c:v>35372</c:v>
                </c:pt>
                <c:pt idx="1137">
                  <c:v>35365</c:v>
                </c:pt>
                <c:pt idx="1138">
                  <c:v>35358</c:v>
                </c:pt>
                <c:pt idx="1139">
                  <c:v>35351</c:v>
                </c:pt>
                <c:pt idx="1140">
                  <c:v>35344</c:v>
                </c:pt>
                <c:pt idx="1141">
                  <c:v>35337</c:v>
                </c:pt>
                <c:pt idx="1142">
                  <c:v>35330</c:v>
                </c:pt>
                <c:pt idx="1143">
                  <c:v>35323</c:v>
                </c:pt>
                <c:pt idx="1144">
                  <c:v>35316</c:v>
                </c:pt>
                <c:pt idx="1145">
                  <c:v>35309</c:v>
                </c:pt>
                <c:pt idx="1146">
                  <c:v>35302</c:v>
                </c:pt>
                <c:pt idx="1147">
                  <c:v>35295</c:v>
                </c:pt>
                <c:pt idx="1148">
                  <c:v>35288</c:v>
                </c:pt>
                <c:pt idx="1149">
                  <c:v>35281</c:v>
                </c:pt>
                <c:pt idx="1150">
                  <c:v>35274</c:v>
                </c:pt>
                <c:pt idx="1151">
                  <c:v>35267</c:v>
                </c:pt>
                <c:pt idx="1152">
                  <c:v>35260</c:v>
                </c:pt>
                <c:pt idx="1153">
                  <c:v>35253</c:v>
                </c:pt>
                <c:pt idx="1154">
                  <c:v>35246</c:v>
                </c:pt>
                <c:pt idx="1155">
                  <c:v>35239</c:v>
                </c:pt>
                <c:pt idx="1156">
                  <c:v>35232</c:v>
                </c:pt>
                <c:pt idx="1157">
                  <c:v>35225</c:v>
                </c:pt>
                <c:pt idx="1158">
                  <c:v>35218</c:v>
                </c:pt>
                <c:pt idx="1159">
                  <c:v>35211</c:v>
                </c:pt>
                <c:pt idx="1160">
                  <c:v>35204</c:v>
                </c:pt>
                <c:pt idx="1161">
                  <c:v>35197</c:v>
                </c:pt>
                <c:pt idx="1162">
                  <c:v>35190</c:v>
                </c:pt>
                <c:pt idx="1163">
                  <c:v>35183</c:v>
                </c:pt>
                <c:pt idx="1164">
                  <c:v>35176</c:v>
                </c:pt>
                <c:pt idx="1165">
                  <c:v>35169</c:v>
                </c:pt>
                <c:pt idx="1166">
                  <c:v>35162</c:v>
                </c:pt>
                <c:pt idx="1167">
                  <c:v>35155</c:v>
                </c:pt>
                <c:pt idx="1168">
                  <c:v>35148</c:v>
                </c:pt>
                <c:pt idx="1169">
                  <c:v>35141</c:v>
                </c:pt>
                <c:pt idx="1170">
                  <c:v>35134</c:v>
                </c:pt>
                <c:pt idx="1171">
                  <c:v>35127</c:v>
                </c:pt>
                <c:pt idx="1172">
                  <c:v>35120</c:v>
                </c:pt>
                <c:pt idx="1173">
                  <c:v>35113</c:v>
                </c:pt>
                <c:pt idx="1174">
                  <c:v>35106</c:v>
                </c:pt>
                <c:pt idx="1175">
                  <c:v>35099</c:v>
                </c:pt>
                <c:pt idx="1176">
                  <c:v>35092</c:v>
                </c:pt>
                <c:pt idx="1177">
                  <c:v>35085</c:v>
                </c:pt>
                <c:pt idx="1178">
                  <c:v>35078</c:v>
                </c:pt>
                <c:pt idx="1179">
                  <c:v>35071</c:v>
                </c:pt>
                <c:pt idx="1180">
                  <c:v>35064</c:v>
                </c:pt>
                <c:pt idx="1181">
                  <c:v>35057</c:v>
                </c:pt>
                <c:pt idx="1182">
                  <c:v>35050</c:v>
                </c:pt>
                <c:pt idx="1183">
                  <c:v>35043</c:v>
                </c:pt>
                <c:pt idx="1184">
                  <c:v>35036</c:v>
                </c:pt>
                <c:pt idx="1185">
                  <c:v>35029</c:v>
                </c:pt>
                <c:pt idx="1186">
                  <c:v>35022</c:v>
                </c:pt>
                <c:pt idx="1187">
                  <c:v>35015</c:v>
                </c:pt>
                <c:pt idx="1188">
                  <c:v>35008</c:v>
                </c:pt>
                <c:pt idx="1189">
                  <c:v>35001</c:v>
                </c:pt>
                <c:pt idx="1190">
                  <c:v>34994</c:v>
                </c:pt>
                <c:pt idx="1191">
                  <c:v>34987</c:v>
                </c:pt>
                <c:pt idx="1192">
                  <c:v>34980</c:v>
                </c:pt>
                <c:pt idx="1193">
                  <c:v>34973</c:v>
                </c:pt>
                <c:pt idx="1194">
                  <c:v>34966</c:v>
                </c:pt>
                <c:pt idx="1195">
                  <c:v>34959</c:v>
                </c:pt>
                <c:pt idx="1196">
                  <c:v>34952</c:v>
                </c:pt>
                <c:pt idx="1197">
                  <c:v>34945</c:v>
                </c:pt>
                <c:pt idx="1198">
                  <c:v>34938</c:v>
                </c:pt>
                <c:pt idx="1199">
                  <c:v>34931</c:v>
                </c:pt>
                <c:pt idx="1200">
                  <c:v>34924</c:v>
                </c:pt>
                <c:pt idx="1201">
                  <c:v>34917</c:v>
                </c:pt>
                <c:pt idx="1202">
                  <c:v>34910</c:v>
                </c:pt>
                <c:pt idx="1203">
                  <c:v>34903</c:v>
                </c:pt>
                <c:pt idx="1204">
                  <c:v>34896</c:v>
                </c:pt>
                <c:pt idx="1205">
                  <c:v>34889</c:v>
                </c:pt>
                <c:pt idx="1206">
                  <c:v>34882</c:v>
                </c:pt>
                <c:pt idx="1207">
                  <c:v>34875</c:v>
                </c:pt>
                <c:pt idx="1208">
                  <c:v>34868</c:v>
                </c:pt>
                <c:pt idx="1209">
                  <c:v>34861</c:v>
                </c:pt>
                <c:pt idx="1210">
                  <c:v>34854</c:v>
                </c:pt>
                <c:pt idx="1211">
                  <c:v>34847</c:v>
                </c:pt>
                <c:pt idx="1212">
                  <c:v>34840</c:v>
                </c:pt>
                <c:pt idx="1213">
                  <c:v>34833</c:v>
                </c:pt>
                <c:pt idx="1214">
                  <c:v>34826</c:v>
                </c:pt>
                <c:pt idx="1215">
                  <c:v>34819</c:v>
                </c:pt>
                <c:pt idx="1216">
                  <c:v>34812</c:v>
                </c:pt>
                <c:pt idx="1217">
                  <c:v>34805</c:v>
                </c:pt>
                <c:pt idx="1218">
                  <c:v>34798</c:v>
                </c:pt>
                <c:pt idx="1219">
                  <c:v>34791</c:v>
                </c:pt>
                <c:pt idx="1220">
                  <c:v>34784</c:v>
                </c:pt>
                <c:pt idx="1221">
                  <c:v>34777</c:v>
                </c:pt>
                <c:pt idx="1222">
                  <c:v>34770</c:v>
                </c:pt>
                <c:pt idx="1223">
                  <c:v>34763</c:v>
                </c:pt>
                <c:pt idx="1224">
                  <c:v>34756</c:v>
                </c:pt>
                <c:pt idx="1225">
                  <c:v>34749</c:v>
                </c:pt>
                <c:pt idx="1226">
                  <c:v>34742</c:v>
                </c:pt>
                <c:pt idx="1227">
                  <c:v>34735</c:v>
                </c:pt>
                <c:pt idx="1228">
                  <c:v>34728</c:v>
                </c:pt>
                <c:pt idx="1229">
                  <c:v>34721</c:v>
                </c:pt>
                <c:pt idx="1230">
                  <c:v>34714</c:v>
                </c:pt>
                <c:pt idx="1231">
                  <c:v>34707</c:v>
                </c:pt>
                <c:pt idx="1232">
                  <c:v>34700</c:v>
                </c:pt>
                <c:pt idx="1233">
                  <c:v>34693</c:v>
                </c:pt>
                <c:pt idx="1234">
                  <c:v>34686</c:v>
                </c:pt>
                <c:pt idx="1235">
                  <c:v>34679</c:v>
                </c:pt>
                <c:pt idx="1236">
                  <c:v>34672</c:v>
                </c:pt>
                <c:pt idx="1237">
                  <c:v>34665</c:v>
                </c:pt>
                <c:pt idx="1238">
                  <c:v>34658</c:v>
                </c:pt>
                <c:pt idx="1239">
                  <c:v>34651</c:v>
                </c:pt>
                <c:pt idx="1240">
                  <c:v>34644</c:v>
                </c:pt>
                <c:pt idx="1241">
                  <c:v>34637</c:v>
                </c:pt>
                <c:pt idx="1242">
                  <c:v>34630</c:v>
                </c:pt>
                <c:pt idx="1243">
                  <c:v>34623</c:v>
                </c:pt>
                <c:pt idx="1244">
                  <c:v>34616</c:v>
                </c:pt>
                <c:pt idx="1245">
                  <c:v>34609</c:v>
                </c:pt>
                <c:pt idx="1246">
                  <c:v>34602</c:v>
                </c:pt>
              </c:numCache>
            </c:numRef>
          </c:cat>
          <c:val>
            <c:numRef>
              <c:f>Summary!$AU$3:$AU$1249</c:f>
              <c:numCache>
                <c:formatCode>_(* #,##0.00_);_(* \(#,##0.00\);_(* "-"??_);_(@_)</c:formatCode>
                <c:ptCount val="1247"/>
                <c:pt idx="0">
                  <c:v>1033.9089424853448</c:v>
                </c:pt>
                <c:pt idx="1">
                  <c:v>1035.8771089924305</c:v>
                </c:pt>
                <c:pt idx="2">
                  <c:v>1029.698915499434</c:v>
                </c:pt>
                <c:pt idx="3">
                  <c:v>1024.7799716355833</c:v>
                </c:pt>
                <c:pt idx="4">
                  <c:v>1024.5750566242584</c:v>
                </c:pt>
                <c:pt idx="5">
                  <c:v>1012.8262718705598</c:v>
                </c:pt>
                <c:pt idx="6">
                  <c:v>1000.9153788621009</c:v>
                </c:pt>
                <c:pt idx="7">
                  <c:v>1011.843286354732</c:v>
                </c:pt>
                <c:pt idx="8">
                  <c:v>1019.3867482920934</c:v>
                </c:pt>
                <c:pt idx="9">
                  <c:v>1019.1829117097515</c:v>
                </c:pt>
                <c:pt idx="10">
                  <c:v>1005.0122391379069</c:v>
                </c:pt>
                <c:pt idx="11">
                  <c:v>1000.7091896225301</c:v>
                </c:pt>
                <c:pt idx="12">
                  <c:v>998.01455033662126</c:v>
                </c:pt>
                <c:pt idx="13">
                  <c:v>1002.2238906774666</c:v>
                </c:pt>
                <c:pt idx="14">
                  <c:v>983.92292428575161</c:v>
                </c:pt>
                <c:pt idx="15">
                  <c:v>985.59844163653372</c:v>
                </c:pt>
                <c:pt idx="16">
                  <c:v>985.59844163653372</c:v>
                </c:pt>
                <c:pt idx="17">
                  <c:v>981.86734572278715</c:v>
                </c:pt>
                <c:pt idx="18">
                  <c:v>968.12004113861872</c:v>
                </c:pt>
                <c:pt idx="19">
                  <c:v>978.19545431809502</c:v>
                </c:pt>
                <c:pt idx="20">
                  <c:v>962.88557369632349</c:v>
                </c:pt>
                <c:pt idx="21">
                  <c:v>1010.267100720096</c:v>
                </c:pt>
                <c:pt idx="22">
                  <c:v>1020.0596735865267</c:v>
                </c:pt>
                <c:pt idx="23">
                  <c:v>993.62913850236396</c:v>
                </c:pt>
                <c:pt idx="24">
                  <c:v>1008.1464473441192</c:v>
                </c:pt>
                <c:pt idx="25">
                  <c:v>1004.1299276335849</c:v>
                </c:pt>
                <c:pt idx="26">
                  <c:v>972.71135099640117</c:v>
                </c:pt>
                <c:pt idx="27">
                  <c:v>1015.6743771498394</c:v>
                </c:pt>
                <c:pt idx="28">
                  <c:v>1050.0096941484951</c:v>
                </c:pt>
                <c:pt idx="29">
                  <c:v>1030.2292917469535</c:v>
                </c:pt>
                <c:pt idx="30">
                  <c:v>1022.9662315032801</c:v>
                </c:pt>
                <c:pt idx="31">
                  <c:v>1010.5366309426852</c:v>
                </c:pt>
                <c:pt idx="32">
                  <c:v>991.11085812346516</c:v>
                </c:pt>
                <c:pt idx="33">
                  <c:v>993.69446372916104</c:v>
                </c:pt>
                <c:pt idx="34">
                  <c:v>991.51313483252954</c:v>
                </c:pt>
                <c:pt idx="35">
                  <c:v>984.03447283895343</c:v>
                </c:pt>
                <c:pt idx="36">
                  <c:v>981.0911992412299</c:v>
                </c:pt>
                <c:pt idx="37">
                  <c:v>968.02289022321645</c:v>
                </c:pt>
                <c:pt idx="38">
                  <c:v>960.43545016689791</c:v>
                </c:pt>
                <c:pt idx="39">
                  <c:v>961.39684701391184</c:v>
                </c:pt>
                <c:pt idx="40">
                  <c:v>962.93754708925474</c:v>
                </c:pt>
                <c:pt idx="41">
                  <c:v>961.01551605714042</c:v>
                </c:pt>
                <c:pt idx="42">
                  <c:v>959.38456230122824</c:v>
                </c:pt>
                <c:pt idx="43">
                  <c:v>953.4730295182153</c:v>
                </c:pt>
                <c:pt idx="44">
                  <c:v>952.42536162043268</c:v>
                </c:pt>
                <c:pt idx="45">
                  <c:v>943.92999169517623</c:v>
                </c:pt>
                <c:pt idx="46">
                  <c:v>939.04694756782351</c:v>
                </c:pt>
                <c:pt idx="47">
                  <c:v>938.3900745156626</c:v>
                </c:pt>
                <c:pt idx="48">
                  <c:v>927.07970214943941</c:v>
                </c:pt>
                <c:pt idx="49">
                  <c:v>931.45755264687978</c:v>
                </c:pt>
                <c:pt idx="50">
                  <c:v>921.77887446499733</c:v>
                </c:pt>
                <c:pt idx="51">
                  <c:v>916.64565877585255</c:v>
                </c:pt>
                <c:pt idx="52">
                  <c:v>921.34451580646555</c:v>
                </c:pt>
                <c:pt idx="53">
                  <c:v>932.25186259887244</c:v>
                </c:pt>
                <c:pt idx="54">
                  <c:v>930.76264237107864</c:v>
                </c:pt>
                <c:pt idx="55">
                  <c:v>930.85572794387303</c:v>
                </c:pt>
                <c:pt idx="56">
                  <c:v>926.77790516116397</c:v>
                </c:pt>
                <c:pt idx="57">
                  <c:v>916.06000312460606</c:v>
                </c:pt>
                <c:pt idx="58">
                  <c:v>915.41920967783165</c:v>
                </c:pt>
                <c:pt idx="59">
                  <c:v>920.29678262574805</c:v>
                </c:pt>
                <c:pt idx="60">
                  <c:v>918.5515347097994</c:v>
                </c:pt>
                <c:pt idx="61">
                  <c:v>918.00073426923791</c:v>
                </c:pt>
                <c:pt idx="62">
                  <c:v>920.48604659504451</c:v>
                </c:pt>
                <c:pt idx="63">
                  <c:v>912.45643001094822</c:v>
                </c:pt>
                <c:pt idx="64">
                  <c:v>901.01355782655105</c:v>
                </c:pt>
                <c:pt idx="65">
                  <c:v>903.99674709195449</c:v>
                </c:pt>
                <c:pt idx="66">
                  <c:v>906.71689778531038</c:v>
                </c:pt>
                <c:pt idx="67">
                  <c:v>901.84692439358491</c:v>
                </c:pt>
                <c:pt idx="68">
                  <c:v>890.36126408686448</c:v>
                </c:pt>
                <c:pt idx="69">
                  <c:v>883.9087303552709</c:v>
                </c:pt>
                <c:pt idx="70">
                  <c:v>892.65676666862339</c:v>
                </c:pt>
                <c:pt idx="71">
                  <c:v>894.98372435193846</c:v>
                </c:pt>
                <c:pt idx="72">
                  <c:v>888.67413797233485</c:v>
                </c:pt>
                <c:pt idx="73">
                  <c:v>900.37906582810012</c:v>
                </c:pt>
                <c:pt idx="74">
                  <c:v>898.4025801517663</c:v>
                </c:pt>
                <c:pt idx="75">
                  <c:v>902.10119505147736</c:v>
                </c:pt>
                <c:pt idx="76">
                  <c:v>896.2754049195006</c:v>
                </c:pt>
                <c:pt idx="77">
                  <c:v>890.22189602652031</c:v>
                </c:pt>
                <c:pt idx="78">
                  <c:v>877.2387623438317</c:v>
                </c:pt>
                <c:pt idx="79">
                  <c:v>870.53563793175715</c:v>
                </c:pt>
                <c:pt idx="80">
                  <c:v>869.57910092074428</c:v>
                </c:pt>
                <c:pt idx="81">
                  <c:v>861.48117784896397</c:v>
                </c:pt>
                <c:pt idx="82">
                  <c:v>862.68894236827953</c:v>
                </c:pt>
                <c:pt idx="83">
                  <c:v>863.46606182392111</c:v>
                </c:pt>
                <c:pt idx="84">
                  <c:v>850.03550090955014</c:v>
                </c:pt>
                <c:pt idx="85">
                  <c:v>858.79521207269158</c:v>
                </c:pt>
                <c:pt idx="86">
                  <c:v>856.82451568661236</c:v>
                </c:pt>
                <c:pt idx="87">
                  <c:v>857.25314225774116</c:v>
                </c:pt>
                <c:pt idx="88">
                  <c:v>835.61082196875054</c:v>
                </c:pt>
                <c:pt idx="89">
                  <c:v>842.17982460063547</c:v>
                </c:pt>
                <c:pt idx="90">
                  <c:v>832.76952892379654</c:v>
                </c:pt>
                <c:pt idx="91">
                  <c:v>827.5559265863028</c:v>
                </c:pt>
                <c:pt idx="92">
                  <c:v>803.14045670254541</c:v>
                </c:pt>
                <c:pt idx="93">
                  <c:v>816.28260666993128</c:v>
                </c:pt>
                <c:pt idx="94">
                  <c:v>821.12725748911714</c:v>
                </c:pt>
                <c:pt idx="95">
                  <c:v>818.42645020344571</c:v>
                </c:pt>
                <c:pt idx="96">
                  <c:v>825.27624302051595</c:v>
                </c:pt>
                <c:pt idx="97">
                  <c:v>830.00728454240766</c:v>
                </c:pt>
                <c:pt idx="98">
                  <c:v>828.84689888397008</c:v>
                </c:pt>
                <c:pt idx="99">
                  <c:v>820.80302919783128</c:v>
                </c:pt>
                <c:pt idx="100">
                  <c:v>817.20731700301803</c:v>
                </c:pt>
                <c:pt idx="101">
                  <c:v>834.14036644178623</c:v>
                </c:pt>
                <c:pt idx="102">
                  <c:v>830.48622704279796</c:v>
                </c:pt>
                <c:pt idx="103">
                  <c:v>835.49922237706028</c:v>
                </c:pt>
                <c:pt idx="104">
                  <c:v>835.58278065512582</c:v>
                </c:pt>
                <c:pt idx="105">
                  <c:v>835.16519805609778</c:v>
                </c:pt>
                <c:pt idx="106">
                  <c:v>832.08647808717524</c:v>
                </c:pt>
                <c:pt idx="107">
                  <c:v>832.58602970499828</c:v>
                </c:pt>
                <c:pt idx="108">
                  <c:v>828.6087079070445</c:v>
                </c:pt>
                <c:pt idx="109">
                  <c:v>819.75535012568719</c:v>
                </c:pt>
                <c:pt idx="110">
                  <c:v>812.68499070654036</c:v>
                </c:pt>
                <c:pt idx="111">
                  <c:v>795.50214438776459</c:v>
                </c:pt>
                <c:pt idx="112">
                  <c:v>804.67544445454644</c:v>
                </c:pt>
                <c:pt idx="113">
                  <c:v>811.73756123731107</c:v>
                </c:pt>
                <c:pt idx="114">
                  <c:v>812.6314558387337</c:v>
                </c:pt>
                <c:pt idx="115">
                  <c:v>812.6314558387337</c:v>
                </c:pt>
                <c:pt idx="116">
                  <c:v>798.57650927548514</c:v>
                </c:pt>
                <c:pt idx="117">
                  <c:v>796.90301294829374</c:v>
                </c:pt>
                <c:pt idx="118">
                  <c:v>799.94279557146535</c:v>
                </c:pt>
                <c:pt idx="119">
                  <c:v>802.34984510678566</c:v>
                </c:pt>
                <c:pt idx="120">
                  <c:v>810.29069390707502</c:v>
                </c:pt>
                <c:pt idx="121">
                  <c:v>806.82136205025893</c:v>
                </c:pt>
                <c:pt idx="122">
                  <c:v>795.76029396415709</c:v>
                </c:pt>
                <c:pt idx="123">
                  <c:v>804.20444059035583</c:v>
                </c:pt>
                <c:pt idx="124">
                  <c:v>792.31964590182849</c:v>
                </c:pt>
                <c:pt idx="125">
                  <c:v>796.46124437256583</c:v>
                </c:pt>
                <c:pt idx="126">
                  <c:v>788.80978941523801</c:v>
                </c:pt>
                <c:pt idx="127">
                  <c:v>782.78236520317353</c:v>
                </c:pt>
                <c:pt idx="128">
                  <c:v>769.1680900099966</c:v>
                </c:pt>
                <c:pt idx="129">
                  <c:v>761.32642780361937</c:v>
                </c:pt>
                <c:pt idx="130">
                  <c:v>747.49771998391691</c:v>
                </c:pt>
                <c:pt idx="131">
                  <c:v>751.40502611973955</c:v>
                </c:pt>
                <c:pt idx="132">
                  <c:v>766.58337698402329</c:v>
                </c:pt>
                <c:pt idx="133">
                  <c:v>758.31771390248628</c:v>
                </c:pt>
                <c:pt idx="134">
                  <c:v>751.40478983599508</c:v>
                </c:pt>
                <c:pt idx="135">
                  <c:v>763.15741401177638</c:v>
                </c:pt>
                <c:pt idx="136">
                  <c:v>798.86675809879239</c:v>
                </c:pt>
                <c:pt idx="137">
                  <c:v>803.85063201729963</c:v>
                </c:pt>
                <c:pt idx="138">
                  <c:v>787.0857064694992</c:v>
                </c:pt>
                <c:pt idx="139">
                  <c:v>789.21659126591726</c:v>
                </c:pt>
                <c:pt idx="140">
                  <c:v>815.81206457092958</c:v>
                </c:pt>
                <c:pt idx="141">
                  <c:v>815.24139559401385</c:v>
                </c:pt>
                <c:pt idx="142">
                  <c:v>814.91542942224498</c:v>
                </c:pt>
                <c:pt idx="143">
                  <c:v>791.64117876650948</c:v>
                </c:pt>
                <c:pt idx="144">
                  <c:v>818.995632905555</c:v>
                </c:pt>
                <c:pt idx="145">
                  <c:v>812.01232689426433</c:v>
                </c:pt>
                <c:pt idx="146">
                  <c:v>810.55333089864678</c:v>
                </c:pt>
                <c:pt idx="147">
                  <c:v>796.37780595268885</c:v>
                </c:pt>
                <c:pt idx="148">
                  <c:v>790.52789949641533</c:v>
                </c:pt>
                <c:pt idx="149">
                  <c:v>770.64525199494574</c:v>
                </c:pt>
                <c:pt idx="150">
                  <c:v>764.52901983625566</c:v>
                </c:pt>
                <c:pt idx="151">
                  <c:v>772.48562174017945</c:v>
                </c:pt>
                <c:pt idx="152">
                  <c:v>773.3362916610065</c:v>
                </c:pt>
                <c:pt idx="153">
                  <c:v>761.38258507532385</c:v>
                </c:pt>
                <c:pt idx="154">
                  <c:v>783.47662592644974</c:v>
                </c:pt>
                <c:pt idx="155">
                  <c:v>777.25855746671596</c:v>
                </c:pt>
                <c:pt idx="156">
                  <c:v>821.36590665403776</c:v>
                </c:pt>
                <c:pt idx="157">
                  <c:v>816.38595234473485</c:v>
                </c:pt>
                <c:pt idx="158">
                  <c:v>825.80007317897514</c:v>
                </c:pt>
                <c:pt idx="159">
                  <c:v>817.46196117499028</c:v>
                </c:pt>
                <c:pt idx="160">
                  <c:v>833.29455777267106</c:v>
                </c:pt>
                <c:pt idx="161">
                  <c:v>816.95544879673628</c:v>
                </c:pt>
                <c:pt idx="162">
                  <c:v>817.03715251198741</c:v>
                </c:pt>
                <c:pt idx="163">
                  <c:v>825.04004090880289</c:v>
                </c:pt>
                <c:pt idx="164">
                  <c:v>827.85474704876867</c:v>
                </c:pt>
                <c:pt idx="165">
                  <c:v>822.50844217463361</c:v>
                </c:pt>
                <c:pt idx="166">
                  <c:v>822.09739347789468</c:v>
                </c:pt>
                <c:pt idx="167">
                  <c:v>827.1429655678586</c:v>
                </c:pt>
                <c:pt idx="168">
                  <c:v>833.72942804944921</c:v>
                </c:pt>
                <c:pt idx="169">
                  <c:v>832.48070698896572</c:v>
                </c:pt>
                <c:pt idx="170">
                  <c:v>830.07349385678117</c:v>
                </c:pt>
                <c:pt idx="171">
                  <c:v>827.26080711259829</c:v>
                </c:pt>
                <c:pt idx="172">
                  <c:v>830.58313967128345</c:v>
                </c:pt>
                <c:pt idx="173">
                  <c:v>817.82506860110618</c:v>
                </c:pt>
                <c:pt idx="174">
                  <c:v>825.16907335395638</c:v>
                </c:pt>
                <c:pt idx="175">
                  <c:v>812.49416438948049</c:v>
                </c:pt>
                <c:pt idx="176">
                  <c:v>810.22553289736788</c:v>
                </c:pt>
                <c:pt idx="177">
                  <c:v>828.36676505200683</c:v>
                </c:pt>
                <c:pt idx="178">
                  <c:v>807.13900911235203</c:v>
                </c:pt>
                <c:pt idx="179">
                  <c:v>813.97641096445341</c:v>
                </c:pt>
                <c:pt idx="180">
                  <c:v>826.53981617024101</c:v>
                </c:pt>
                <c:pt idx="181">
                  <c:v>828.6113445315699</c:v>
                </c:pt>
                <c:pt idx="182">
                  <c:v>823.99696154690719</c:v>
                </c:pt>
                <c:pt idx="183">
                  <c:v>809.42727067476142</c:v>
                </c:pt>
                <c:pt idx="184">
                  <c:v>787.91713294535316</c:v>
                </c:pt>
                <c:pt idx="185">
                  <c:v>808.53476956937209</c:v>
                </c:pt>
                <c:pt idx="186">
                  <c:v>797.05714665750406</c:v>
                </c:pt>
                <c:pt idx="187">
                  <c:v>805.92229186805264</c:v>
                </c:pt>
                <c:pt idx="188">
                  <c:v>810.54238345373903</c:v>
                </c:pt>
                <c:pt idx="189">
                  <c:v>820.9686857629282</c:v>
                </c:pt>
                <c:pt idx="190">
                  <c:v>814.53386820411572</c:v>
                </c:pt>
                <c:pt idx="191">
                  <c:v>788.97120128256074</c:v>
                </c:pt>
                <c:pt idx="192">
                  <c:v>817.75622023482663</c:v>
                </c:pt>
                <c:pt idx="193">
                  <c:v>814.66051029570292</c:v>
                </c:pt>
                <c:pt idx="194">
                  <c:v>813.03444141287719</c:v>
                </c:pt>
                <c:pt idx="195">
                  <c:v>803.71138929703159</c:v>
                </c:pt>
                <c:pt idx="196">
                  <c:v>800.58909183885999</c:v>
                </c:pt>
                <c:pt idx="197">
                  <c:v>795.33984883653886</c:v>
                </c:pt>
                <c:pt idx="198">
                  <c:v>776.09274866953444</c:v>
                </c:pt>
                <c:pt idx="199">
                  <c:v>748.32971619856767</c:v>
                </c:pt>
                <c:pt idx="200">
                  <c:v>755.50703301218334</c:v>
                </c:pt>
                <c:pt idx="201">
                  <c:v>778.95353439754956</c:v>
                </c:pt>
                <c:pt idx="202">
                  <c:v>784.68171088702479</c:v>
                </c:pt>
                <c:pt idx="203">
                  <c:v>795.33925692988521</c:v>
                </c:pt>
                <c:pt idx="204">
                  <c:v>785.675448908313</c:v>
                </c:pt>
                <c:pt idx="205">
                  <c:v>794.25338547140416</c:v>
                </c:pt>
                <c:pt idx="206">
                  <c:v>792.58894867917786</c:v>
                </c:pt>
                <c:pt idx="207">
                  <c:v>787.00123987605775</c:v>
                </c:pt>
                <c:pt idx="208">
                  <c:v>774.6837679654077</c:v>
                </c:pt>
                <c:pt idx="209">
                  <c:v>765.87619176016574</c:v>
                </c:pt>
                <c:pt idx="210">
                  <c:v>763.50931289020605</c:v>
                </c:pt>
                <c:pt idx="211">
                  <c:v>783.72953489037786</c:v>
                </c:pt>
                <c:pt idx="212">
                  <c:v>783.65116977340051</c:v>
                </c:pt>
                <c:pt idx="213">
                  <c:v>779.59726400059731</c:v>
                </c:pt>
                <c:pt idx="214">
                  <c:v>786.51862792634915</c:v>
                </c:pt>
                <c:pt idx="215">
                  <c:v>777.11553001318953</c:v>
                </c:pt>
                <c:pt idx="216">
                  <c:v>777.89342343662611</c:v>
                </c:pt>
                <c:pt idx="217">
                  <c:v>767.83478771752641</c:v>
                </c:pt>
                <c:pt idx="218">
                  <c:v>772.70281545489217</c:v>
                </c:pt>
                <c:pt idx="219">
                  <c:v>763.38946399416341</c:v>
                </c:pt>
                <c:pt idx="220">
                  <c:v>755.00886558615696</c:v>
                </c:pt>
                <c:pt idx="221">
                  <c:v>746.49877949985853</c:v>
                </c:pt>
                <c:pt idx="222">
                  <c:v>746.72279633876008</c:v>
                </c:pt>
                <c:pt idx="223">
                  <c:v>747.6947995782117</c:v>
                </c:pt>
                <c:pt idx="224">
                  <c:v>741.46648113666379</c:v>
                </c:pt>
                <c:pt idx="225">
                  <c:v>741.98587124653636</c:v>
                </c:pt>
                <c:pt idx="226">
                  <c:v>725.30388196142371</c:v>
                </c:pt>
                <c:pt idx="227">
                  <c:v>741.99885622652039</c:v>
                </c:pt>
                <c:pt idx="228">
                  <c:v>739.48460855742508</c:v>
                </c:pt>
                <c:pt idx="229">
                  <c:v>742.52897736462</c:v>
                </c:pt>
                <c:pt idx="230">
                  <c:v>733.7967954981915</c:v>
                </c:pt>
                <c:pt idx="231">
                  <c:v>746.71496438200006</c:v>
                </c:pt>
                <c:pt idx="232">
                  <c:v>740.12782672415517</c:v>
                </c:pt>
                <c:pt idx="233">
                  <c:v>732.00259788760275</c:v>
                </c:pt>
                <c:pt idx="234">
                  <c:v>732.80868744379086</c:v>
                </c:pt>
                <c:pt idx="235">
                  <c:v>719.28610860207198</c:v>
                </c:pt>
                <c:pt idx="236">
                  <c:v>714.71195210857707</c:v>
                </c:pt>
                <c:pt idx="237">
                  <c:v>717.15026300278646</c:v>
                </c:pt>
                <c:pt idx="238">
                  <c:v>732.5334657842559</c:v>
                </c:pt>
                <c:pt idx="239">
                  <c:v>733.78089330287082</c:v>
                </c:pt>
                <c:pt idx="240">
                  <c:v>729.91235780649629</c:v>
                </c:pt>
                <c:pt idx="241">
                  <c:v>733.58025910200638</c:v>
                </c:pt>
                <c:pt idx="242">
                  <c:v>724.95331465758113</c:v>
                </c:pt>
                <c:pt idx="243">
                  <c:v>708.86214398903019</c:v>
                </c:pt>
                <c:pt idx="244">
                  <c:v>719.87625062357085</c:v>
                </c:pt>
                <c:pt idx="245">
                  <c:v>720.16431635011088</c:v>
                </c:pt>
                <c:pt idx="246">
                  <c:v>719.80441414303937</c:v>
                </c:pt>
                <c:pt idx="247">
                  <c:v>717.57991640219245</c:v>
                </c:pt>
                <c:pt idx="248">
                  <c:v>707.95177229892704</c:v>
                </c:pt>
                <c:pt idx="249">
                  <c:v>704.71010581219105</c:v>
                </c:pt>
                <c:pt idx="250">
                  <c:v>704.00609971247866</c:v>
                </c:pt>
                <c:pt idx="251">
                  <c:v>698.14170935390587</c:v>
                </c:pt>
                <c:pt idx="252">
                  <c:v>682.44546368905765</c:v>
                </c:pt>
                <c:pt idx="253">
                  <c:v>677.634260439934</c:v>
                </c:pt>
                <c:pt idx="254">
                  <c:v>678.04108509098864</c:v>
                </c:pt>
                <c:pt idx="255">
                  <c:v>684.54425551841359</c:v>
                </c:pt>
                <c:pt idx="256">
                  <c:v>676.62771129624741</c:v>
                </c:pt>
                <c:pt idx="257">
                  <c:v>664.66376355230591</c:v>
                </c:pt>
                <c:pt idx="258">
                  <c:v>656.39320911742641</c:v>
                </c:pt>
                <c:pt idx="259">
                  <c:v>668.08469121366556</c:v>
                </c:pt>
                <c:pt idx="260">
                  <c:v>665.15799603112862</c:v>
                </c:pt>
                <c:pt idx="261">
                  <c:v>678.52493729585706</c:v>
                </c:pt>
                <c:pt idx="262">
                  <c:v>685.24029215901544</c:v>
                </c:pt>
                <c:pt idx="263">
                  <c:v>678.79177034077804</c:v>
                </c:pt>
                <c:pt idx="264">
                  <c:v>678.99546898147241</c:v>
                </c:pt>
                <c:pt idx="265">
                  <c:v>674.87870885744201</c:v>
                </c:pt>
                <c:pt idx="266">
                  <c:v>658.48249473845453</c:v>
                </c:pt>
                <c:pt idx="267">
                  <c:v>649.7755029982776</c:v>
                </c:pt>
                <c:pt idx="268">
                  <c:v>644.8744571241341</c:v>
                </c:pt>
                <c:pt idx="269">
                  <c:v>657.6325281706446</c:v>
                </c:pt>
                <c:pt idx="270">
                  <c:v>664.14111105902305</c:v>
                </c:pt>
                <c:pt idx="271">
                  <c:v>659.00090400776253</c:v>
                </c:pt>
                <c:pt idx="272">
                  <c:v>666.60014566838208</c:v>
                </c:pt>
                <c:pt idx="273">
                  <c:v>673.74180884210853</c:v>
                </c:pt>
                <c:pt idx="274">
                  <c:v>660.33696838391506</c:v>
                </c:pt>
                <c:pt idx="275">
                  <c:v>652.6358651748518</c:v>
                </c:pt>
                <c:pt idx="276">
                  <c:v>639.65095087214718</c:v>
                </c:pt>
                <c:pt idx="277">
                  <c:v>628.71137298225585</c:v>
                </c:pt>
                <c:pt idx="278">
                  <c:v>642.26312491802616</c:v>
                </c:pt>
                <c:pt idx="279">
                  <c:v>627.8845683038677</c:v>
                </c:pt>
                <c:pt idx="280">
                  <c:v>634.29090645910469</c:v>
                </c:pt>
                <c:pt idx="281">
                  <c:v>629.31928411459933</c:v>
                </c:pt>
                <c:pt idx="282">
                  <c:v>630.83328399619018</c:v>
                </c:pt>
                <c:pt idx="283">
                  <c:v>627.07085884313142</c:v>
                </c:pt>
                <c:pt idx="284">
                  <c:v>613.75243108851066</c:v>
                </c:pt>
                <c:pt idx="285">
                  <c:v>612.7108226899378</c:v>
                </c:pt>
                <c:pt idx="286">
                  <c:v>614.43123013431386</c:v>
                </c:pt>
                <c:pt idx="287">
                  <c:v>613.69479637865936</c:v>
                </c:pt>
                <c:pt idx="288">
                  <c:v>611.79822189079778</c:v>
                </c:pt>
                <c:pt idx="289">
                  <c:v>607.66609246205587</c:v>
                </c:pt>
                <c:pt idx="290">
                  <c:v>600.81678115686759</c:v>
                </c:pt>
                <c:pt idx="291">
                  <c:v>595.16273517272668</c:v>
                </c:pt>
                <c:pt idx="292">
                  <c:v>593.02783496684606</c:v>
                </c:pt>
                <c:pt idx="293">
                  <c:v>569.83552893902765</c:v>
                </c:pt>
                <c:pt idx="294">
                  <c:v>579.86723205355418</c:v>
                </c:pt>
                <c:pt idx="295">
                  <c:v>573.95549050138982</c:v>
                </c:pt>
                <c:pt idx="296">
                  <c:v>575.56707832068776</c:v>
                </c:pt>
                <c:pt idx="297">
                  <c:v>574.93465020546171</c:v>
                </c:pt>
                <c:pt idx="298">
                  <c:v>572.4730162356484</c:v>
                </c:pt>
                <c:pt idx="299">
                  <c:v>554.9908058513314</c:v>
                </c:pt>
                <c:pt idx="300">
                  <c:v>562.07292470258392</c:v>
                </c:pt>
                <c:pt idx="301">
                  <c:v>574.18829778586564</c:v>
                </c:pt>
                <c:pt idx="302">
                  <c:v>573.38555800465906</c:v>
                </c:pt>
                <c:pt idx="303">
                  <c:v>581.29111719855939</c:v>
                </c:pt>
                <c:pt idx="304">
                  <c:v>579.55245981910218</c:v>
                </c:pt>
                <c:pt idx="305">
                  <c:v>591.98412647507882</c:v>
                </c:pt>
                <c:pt idx="306">
                  <c:v>584.15643030893898</c:v>
                </c:pt>
                <c:pt idx="307">
                  <c:v>591.61072544960393</c:v>
                </c:pt>
                <c:pt idx="308">
                  <c:v>593.74821903814131</c:v>
                </c:pt>
                <c:pt idx="309">
                  <c:v>582.90616438066104</c:v>
                </c:pt>
                <c:pt idx="310">
                  <c:v>570.4140956851561</c:v>
                </c:pt>
                <c:pt idx="311">
                  <c:v>572.24528058302178</c:v>
                </c:pt>
                <c:pt idx="312">
                  <c:v>575.12088500806215</c:v>
                </c:pt>
                <c:pt idx="313">
                  <c:v>570.16048875588592</c:v>
                </c:pt>
                <c:pt idx="314">
                  <c:v>564.12435812395961</c:v>
                </c:pt>
                <c:pt idx="315">
                  <c:v>562.10079526101993</c:v>
                </c:pt>
                <c:pt idx="316">
                  <c:v>552.65047218662869</c:v>
                </c:pt>
                <c:pt idx="317">
                  <c:v>550.28424991200711</c:v>
                </c:pt>
                <c:pt idx="318">
                  <c:v>549.4052015894639</c:v>
                </c:pt>
                <c:pt idx="319">
                  <c:v>552.44364161836484</c:v>
                </c:pt>
                <c:pt idx="320">
                  <c:v>541.45216271524532</c:v>
                </c:pt>
                <c:pt idx="321">
                  <c:v>544.6109059698706</c:v>
                </c:pt>
                <c:pt idx="322">
                  <c:v>537.62182228022766</c:v>
                </c:pt>
                <c:pt idx="323">
                  <c:v>518.28961947385289</c:v>
                </c:pt>
                <c:pt idx="324">
                  <c:v>534.42938696004626</c:v>
                </c:pt>
                <c:pt idx="325">
                  <c:v>525.28935223122289</c:v>
                </c:pt>
                <c:pt idx="326">
                  <c:v>548.89169512144508</c:v>
                </c:pt>
                <c:pt idx="327">
                  <c:v>555.27738504951446</c:v>
                </c:pt>
                <c:pt idx="328">
                  <c:v>569.16501132586552</c:v>
                </c:pt>
                <c:pt idx="329">
                  <c:v>559.10118990752994</c:v>
                </c:pt>
                <c:pt idx="330">
                  <c:v>555.76659036533795</c:v>
                </c:pt>
                <c:pt idx="331">
                  <c:v>567.05090334184058</c:v>
                </c:pt>
                <c:pt idx="332">
                  <c:v>571.27836322974065</c:v>
                </c:pt>
                <c:pt idx="333">
                  <c:v>566.68818889965348</c:v>
                </c:pt>
                <c:pt idx="334">
                  <c:v>569.53586824085778</c:v>
                </c:pt>
                <c:pt idx="335">
                  <c:v>556.02447353398202</c:v>
                </c:pt>
                <c:pt idx="336">
                  <c:v>555.52450148264768</c:v>
                </c:pt>
                <c:pt idx="337">
                  <c:v>553.97337602976438</c:v>
                </c:pt>
                <c:pt idx="338">
                  <c:v>552.15127681627064</c:v>
                </c:pt>
                <c:pt idx="339">
                  <c:v>544.95783341519007</c:v>
                </c:pt>
                <c:pt idx="340">
                  <c:v>545.83116327643233</c:v>
                </c:pt>
                <c:pt idx="341">
                  <c:v>535.28602851469282</c:v>
                </c:pt>
                <c:pt idx="342">
                  <c:v>534.96504948500183</c:v>
                </c:pt>
                <c:pt idx="343">
                  <c:v>525.29953798605834</c:v>
                </c:pt>
                <c:pt idx="344">
                  <c:v>521.28563856907647</c:v>
                </c:pt>
                <c:pt idx="345">
                  <c:v>514.595891973422</c:v>
                </c:pt>
                <c:pt idx="346">
                  <c:v>517.02591376813223</c:v>
                </c:pt>
                <c:pt idx="347">
                  <c:v>503.09031212234328</c:v>
                </c:pt>
                <c:pt idx="348">
                  <c:v>513.40985010954512</c:v>
                </c:pt>
                <c:pt idx="349">
                  <c:v>510.14492260487395</c:v>
                </c:pt>
                <c:pt idx="350">
                  <c:v>483.36642278271177</c:v>
                </c:pt>
                <c:pt idx="351">
                  <c:v>501.46947067404477</c:v>
                </c:pt>
                <c:pt idx="352">
                  <c:v>516.23375609846073</c:v>
                </c:pt>
                <c:pt idx="353">
                  <c:v>513.25686627407106</c:v>
                </c:pt>
                <c:pt idx="354">
                  <c:v>521.39055899438335</c:v>
                </c:pt>
                <c:pt idx="355">
                  <c:v>510.56654817311335</c:v>
                </c:pt>
                <c:pt idx="356">
                  <c:v>507.62233860918008</c:v>
                </c:pt>
                <c:pt idx="357">
                  <c:v>492.88507487055057</c:v>
                </c:pt>
                <c:pt idx="358">
                  <c:v>487.32951836123249</c:v>
                </c:pt>
                <c:pt idx="359">
                  <c:v>488.50192297637579</c:v>
                </c:pt>
                <c:pt idx="360">
                  <c:v>507.060331094432</c:v>
                </c:pt>
                <c:pt idx="361">
                  <c:v>492.57852253199138</c:v>
                </c:pt>
                <c:pt idx="362">
                  <c:v>497.25269789217782</c:v>
                </c:pt>
                <c:pt idx="363">
                  <c:v>497.94982765088906</c:v>
                </c:pt>
                <c:pt idx="364">
                  <c:v>483.49337571695219</c:v>
                </c:pt>
                <c:pt idx="365">
                  <c:v>500.8736928591652</c:v>
                </c:pt>
                <c:pt idx="366">
                  <c:v>508.14009623533042</c:v>
                </c:pt>
                <c:pt idx="367">
                  <c:v>543.69794161708796</c:v>
                </c:pt>
                <c:pt idx="368">
                  <c:v>564.70496636589939</c:v>
                </c:pt>
                <c:pt idx="369">
                  <c:v>553.09007479520028</c:v>
                </c:pt>
                <c:pt idx="370">
                  <c:v>564.26247173556453</c:v>
                </c:pt>
                <c:pt idx="371">
                  <c:v>562.63084229291508</c:v>
                </c:pt>
                <c:pt idx="372">
                  <c:v>534.71853477752813</c:v>
                </c:pt>
                <c:pt idx="373">
                  <c:v>535.89750929798367</c:v>
                </c:pt>
                <c:pt idx="374">
                  <c:v>535.68323600358224</c:v>
                </c:pt>
                <c:pt idx="375">
                  <c:v>547.34161234656403</c:v>
                </c:pt>
                <c:pt idx="376">
                  <c:v>560.05485761441116</c:v>
                </c:pt>
                <c:pt idx="377">
                  <c:v>560.95238142469066</c:v>
                </c:pt>
                <c:pt idx="378">
                  <c:v>562.86612625395412</c:v>
                </c:pt>
                <c:pt idx="379">
                  <c:v>563.88111225601494</c:v>
                </c:pt>
                <c:pt idx="380">
                  <c:v>573.74960547010062</c:v>
                </c:pt>
                <c:pt idx="381">
                  <c:v>562.72028782865891</c:v>
                </c:pt>
                <c:pt idx="382">
                  <c:v>555.27954196631026</c:v>
                </c:pt>
                <c:pt idx="383">
                  <c:v>558.85622178573897</c:v>
                </c:pt>
                <c:pt idx="384">
                  <c:v>560.65030275455354</c:v>
                </c:pt>
                <c:pt idx="385">
                  <c:v>552.80053515534757</c:v>
                </c:pt>
                <c:pt idx="386">
                  <c:v>538.26731758066956</c:v>
                </c:pt>
                <c:pt idx="387">
                  <c:v>548.58063349028703</c:v>
                </c:pt>
                <c:pt idx="388">
                  <c:v>555.41220359449937</c:v>
                </c:pt>
                <c:pt idx="389">
                  <c:v>554.91278209061784</c:v>
                </c:pt>
                <c:pt idx="390">
                  <c:v>564.05039854708059</c:v>
                </c:pt>
                <c:pt idx="391">
                  <c:v>558.74234625763302</c:v>
                </c:pt>
                <c:pt idx="392">
                  <c:v>551.84429260013144</c:v>
                </c:pt>
                <c:pt idx="393">
                  <c:v>538.70001230001117</c:v>
                </c:pt>
                <c:pt idx="394">
                  <c:v>541.40704753769967</c:v>
                </c:pt>
                <c:pt idx="395">
                  <c:v>545.11382152406327</c:v>
                </c:pt>
                <c:pt idx="396">
                  <c:v>537.05795224045653</c:v>
                </c:pt>
                <c:pt idx="397">
                  <c:v>531.95122052343152</c:v>
                </c:pt>
                <c:pt idx="398">
                  <c:v>531.63224117872437</c:v>
                </c:pt>
                <c:pt idx="399">
                  <c:v>526.99468792498453</c:v>
                </c:pt>
                <c:pt idx="400">
                  <c:v>525.73292889563504</c:v>
                </c:pt>
                <c:pt idx="401">
                  <c:v>520.06422880169657</c:v>
                </c:pt>
                <c:pt idx="402">
                  <c:v>507.28075380579071</c:v>
                </c:pt>
                <c:pt idx="403">
                  <c:v>511.06261717286992</c:v>
                </c:pt>
                <c:pt idx="404">
                  <c:v>510.90934436955905</c:v>
                </c:pt>
                <c:pt idx="405">
                  <c:v>520.75154863883301</c:v>
                </c:pt>
                <c:pt idx="406">
                  <c:v>504.75094372281961</c:v>
                </c:pt>
                <c:pt idx="407">
                  <c:v>504.65001372007561</c:v>
                </c:pt>
                <c:pt idx="408">
                  <c:v>501.98946953155831</c:v>
                </c:pt>
                <c:pt idx="409">
                  <c:v>497.75852209376137</c:v>
                </c:pt>
                <c:pt idx="410">
                  <c:v>490.54747422268787</c:v>
                </c:pt>
                <c:pt idx="411">
                  <c:v>491.43205191613691</c:v>
                </c:pt>
                <c:pt idx="412">
                  <c:v>482.74268361113644</c:v>
                </c:pt>
                <c:pt idx="413">
                  <c:v>476.64167023216476</c:v>
                </c:pt>
                <c:pt idx="414">
                  <c:v>474.69541901420649</c:v>
                </c:pt>
                <c:pt idx="415">
                  <c:v>458.86459063722231</c:v>
                </c:pt>
                <c:pt idx="416">
                  <c:v>461.77376535898389</c:v>
                </c:pt>
                <c:pt idx="417">
                  <c:v>464.93532557287949</c:v>
                </c:pt>
                <c:pt idx="418">
                  <c:v>482.64852649525534</c:v>
                </c:pt>
                <c:pt idx="419">
                  <c:v>474.53399517771646</c:v>
                </c:pt>
                <c:pt idx="420">
                  <c:v>474.9614604921594</c:v>
                </c:pt>
                <c:pt idx="421">
                  <c:v>460.59102064794359</c:v>
                </c:pt>
                <c:pt idx="422">
                  <c:v>465.33746276817902</c:v>
                </c:pt>
                <c:pt idx="423">
                  <c:v>445.98185045828922</c:v>
                </c:pt>
                <c:pt idx="424">
                  <c:v>463.45406885408835</c:v>
                </c:pt>
                <c:pt idx="425">
                  <c:v>475.24002138442205</c:v>
                </c:pt>
                <c:pt idx="426">
                  <c:v>468.35519994522724</c:v>
                </c:pt>
                <c:pt idx="427">
                  <c:v>461.61561200988297</c:v>
                </c:pt>
                <c:pt idx="428">
                  <c:v>468.16999189643303</c:v>
                </c:pt>
                <c:pt idx="429">
                  <c:v>467.70228960682624</c:v>
                </c:pt>
                <c:pt idx="430">
                  <c:v>482.81437969115956</c:v>
                </c:pt>
                <c:pt idx="431">
                  <c:v>474.13766050393752</c:v>
                </c:pt>
                <c:pt idx="432">
                  <c:v>503.06383077340854</c:v>
                </c:pt>
                <c:pt idx="433">
                  <c:v>514.95939274583736</c:v>
                </c:pt>
                <c:pt idx="434">
                  <c:v>505.06021257928342</c:v>
                </c:pt>
                <c:pt idx="435">
                  <c:v>505.97096030783752</c:v>
                </c:pt>
                <c:pt idx="436">
                  <c:v>499.62571374329769</c:v>
                </c:pt>
                <c:pt idx="437">
                  <c:v>495.16919102408104</c:v>
                </c:pt>
                <c:pt idx="438">
                  <c:v>492.60763134110726</c:v>
                </c:pt>
                <c:pt idx="439">
                  <c:v>489.03765644902933</c:v>
                </c:pt>
                <c:pt idx="440">
                  <c:v>485.15640520737037</c:v>
                </c:pt>
                <c:pt idx="441">
                  <c:v>473.6930337896606</c:v>
                </c:pt>
                <c:pt idx="442">
                  <c:v>475.21371768625664</c:v>
                </c:pt>
                <c:pt idx="443">
                  <c:v>463.89468731575232</c:v>
                </c:pt>
                <c:pt idx="444">
                  <c:v>460.71574865006693</c:v>
                </c:pt>
                <c:pt idx="445">
                  <c:v>463.54336316537569</c:v>
                </c:pt>
                <c:pt idx="446">
                  <c:v>470.50686476388114</c:v>
                </c:pt>
                <c:pt idx="447">
                  <c:v>488.43233132345182</c:v>
                </c:pt>
                <c:pt idx="448">
                  <c:v>492.17284494503411</c:v>
                </c:pt>
                <c:pt idx="449">
                  <c:v>479.46697023383746</c:v>
                </c:pt>
                <c:pt idx="450">
                  <c:v>484.26115567502018</c:v>
                </c:pt>
                <c:pt idx="451">
                  <c:v>474.53322457130838</c:v>
                </c:pt>
                <c:pt idx="452">
                  <c:v>476.056605709579</c:v>
                </c:pt>
                <c:pt idx="453">
                  <c:v>475.91383156011096</c:v>
                </c:pt>
                <c:pt idx="454">
                  <c:v>470.78230444169651</c:v>
                </c:pt>
                <c:pt idx="455">
                  <c:v>470.73523091860466</c:v>
                </c:pt>
                <c:pt idx="456">
                  <c:v>471.48961430148705</c:v>
                </c:pt>
                <c:pt idx="457">
                  <c:v>462.7891777596065</c:v>
                </c:pt>
                <c:pt idx="458">
                  <c:v>450.97366766673798</c:v>
                </c:pt>
                <c:pt idx="459">
                  <c:v>465.97816456575532</c:v>
                </c:pt>
                <c:pt idx="460">
                  <c:v>468.60233765663247</c:v>
                </c:pt>
                <c:pt idx="461">
                  <c:v>463.68725277719426</c:v>
                </c:pt>
                <c:pt idx="462">
                  <c:v>450.09440184157859</c:v>
                </c:pt>
                <c:pt idx="463">
                  <c:v>455.60724956126995</c:v>
                </c:pt>
                <c:pt idx="464">
                  <c:v>462.78034490733359</c:v>
                </c:pt>
                <c:pt idx="465">
                  <c:v>454.86568203984035</c:v>
                </c:pt>
                <c:pt idx="466">
                  <c:v>445.85932370107855</c:v>
                </c:pt>
                <c:pt idx="467">
                  <c:v>450.36295323341267</c:v>
                </c:pt>
                <c:pt idx="468">
                  <c:v>449.32949539400647</c:v>
                </c:pt>
                <c:pt idx="469">
                  <c:v>441.47130614463202</c:v>
                </c:pt>
                <c:pt idx="470">
                  <c:v>443.46690722715419</c:v>
                </c:pt>
                <c:pt idx="471">
                  <c:v>437.17163567345642</c:v>
                </c:pt>
                <c:pt idx="472">
                  <c:v>435.25650704246959</c:v>
                </c:pt>
                <c:pt idx="473">
                  <c:v>427.1408312487435</c:v>
                </c:pt>
                <c:pt idx="474">
                  <c:v>415.83024848982041</c:v>
                </c:pt>
                <c:pt idx="475">
                  <c:v>418.80375515139531</c:v>
                </c:pt>
                <c:pt idx="476">
                  <c:v>422.6498689589215</c:v>
                </c:pt>
                <c:pt idx="477">
                  <c:v>423.07294190082234</c:v>
                </c:pt>
                <c:pt idx="478">
                  <c:v>427.9515900271316</c:v>
                </c:pt>
                <c:pt idx="479">
                  <c:v>426.71411908179442</c:v>
                </c:pt>
                <c:pt idx="480">
                  <c:v>422.36377222784762</c:v>
                </c:pt>
                <c:pt idx="481">
                  <c:v>415.42615543213105</c:v>
                </c:pt>
                <c:pt idx="482">
                  <c:v>414.47286783610804</c:v>
                </c:pt>
                <c:pt idx="483">
                  <c:v>424.6648236025697</c:v>
                </c:pt>
                <c:pt idx="484">
                  <c:v>413.21866653942755</c:v>
                </c:pt>
                <c:pt idx="485">
                  <c:v>410.91752838049672</c:v>
                </c:pt>
                <c:pt idx="486">
                  <c:v>411.49361944772352</c:v>
                </c:pt>
                <c:pt idx="487">
                  <c:v>410.05841499524013</c:v>
                </c:pt>
                <c:pt idx="488">
                  <c:v>409.36249874736956</c:v>
                </c:pt>
                <c:pt idx="489">
                  <c:v>408.95354520216745</c:v>
                </c:pt>
                <c:pt idx="490">
                  <c:v>408.95354520216745</c:v>
                </c:pt>
                <c:pt idx="491">
                  <c:v>408.95354520216745</c:v>
                </c:pt>
                <c:pt idx="492">
                  <c:v>408.95354520216745</c:v>
                </c:pt>
                <c:pt idx="493">
                  <c:v>408.91265393677378</c:v>
                </c:pt>
                <c:pt idx="494">
                  <c:v>408.87176676009778</c:v>
                </c:pt>
                <c:pt idx="495">
                  <c:v>408.83088367173059</c:v>
                </c:pt>
                <c:pt idx="496">
                  <c:v>408.79000467126349</c:v>
                </c:pt>
                <c:pt idx="497">
                  <c:v>408.79000467126349</c:v>
                </c:pt>
                <c:pt idx="498">
                  <c:v>408.8308877600395</c:v>
                </c:pt>
                <c:pt idx="499">
                  <c:v>408.99448555426119</c:v>
                </c:pt>
                <c:pt idx="500">
                  <c:v>409.36291217521887</c:v>
                </c:pt>
                <c:pt idx="501">
                  <c:v>409.52672286436461</c:v>
                </c:pt>
                <c:pt idx="502">
                  <c:v>409.52672286436461</c:v>
                </c:pt>
                <c:pt idx="503">
                  <c:v>409.52672286436461</c:v>
                </c:pt>
                <c:pt idx="504">
                  <c:v>409.52672286436461</c:v>
                </c:pt>
                <c:pt idx="505">
                  <c:v>409.52672286436461</c:v>
                </c:pt>
                <c:pt idx="506">
                  <c:v>409.52672286436461</c:v>
                </c:pt>
                <c:pt idx="507">
                  <c:v>409.52672286436461</c:v>
                </c:pt>
                <c:pt idx="508">
                  <c:v>409.52672286436461</c:v>
                </c:pt>
                <c:pt idx="509">
                  <c:v>409.48577428693591</c:v>
                </c:pt>
                <c:pt idx="510">
                  <c:v>409.44482980395554</c:v>
                </c:pt>
                <c:pt idx="511">
                  <c:v>409.36295721251304</c:v>
                </c:pt>
                <c:pt idx="512">
                  <c:v>409.32202501001206</c:v>
                </c:pt>
                <c:pt idx="513">
                  <c:v>409.28109690032204</c:v>
                </c:pt>
                <c:pt idx="514">
                  <c:v>409.24017288303372</c:v>
                </c:pt>
                <c:pt idx="515">
                  <c:v>409.15834121479077</c:v>
                </c:pt>
                <c:pt idx="516">
                  <c:v>409.11742947184359</c:v>
                </c:pt>
                <c:pt idx="517">
                  <c:v>408.99473105252787</c:v>
                </c:pt>
                <c:pt idx="518">
                  <c:v>408.7903358845856</c:v>
                </c:pt>
                <c:pt idx="519">
                  <c:v>409.19953542000559</c:v>
                </c:pt>
                <c:pt idx="520">
                  <c:v>409.15861955804979</c:v>
                </c:pt>
                <c:pt idx="521">
                  <c:v>408.99502154943002</c:v>
                </c:pt>
                <c:pt idx="522">
                  <c:v>408.87235984147759</c:v>
                </c:pt>
                <c:pt idx="523">
                  <c:v>408.74973492100128</c:v>
                </c:pt>
                <c:pt idx="524">
                  <c:v>408.62714677696817</c:v>
                </c:pt>
                <c:pt idx="525">
                  <c:v>408.50459539834867</c:v>
                </c:pt>
                <c:pt idx="526">
                  <c:v>408.38208077411645</c:v>
                </c:pt>
                <c:pt idx="527">
                  <c:v>408.21879325681374</c:v>
                </c:pt>
                <c:pt idx="528">
                  <c:v>408.09636434750951</c:v>
                </c:pt>
                <c:pt idx="529">
                  <c:v>407.93319107108107</c:v>
                </c:pt>
                <c:pt idx="530">
                  <c:v>408.30066166658099</c:v>
                </c:pt>
                <c:pt idx="531">
                  <c:v>408.17820820411976</c:v>
                </c:pt>
                <c:pt idx="532">
                  <c:v>410.02331311312884</c:v>
                </c:pt>
                <c:pt idx="533">
                  <c:v>408.43043441889512</c:v>
                </c:pt>
                <c:pt idx="534">
                  <c:v>411.18537644105015</c:v>
                </c:pt>
                <c:pt idx="535">
                  <c:v>409.09897168545427</c:v>
                </c:pt>
                <c:pt idx="536">
                  <c:v>410.2476651478683</c:v>
                </c:pt>
                <c:pt idx="537">
                  <c:v>409.55142772074305</c:v>
                </c:pt>
                <c:pt idx="538">
                  <c:v>409.26494226116029</c:v>
                </c:pt>
                <c:pt idx="539">
                  <c:v>408.0815058940675</c:v>
                </c:pt>
                <c:pt idx="540">
                  <c:v>408.40823248005154</c:v>
                </c:pt>
                <c:pt idx="541">
                  <c:v>408.00023224780375</c:v>
                </c:pt>
                <c:pt idx="542">
                  <c:v>408.04103635143889</c:v>
                </c:pt>
                <c:pt idx="543">
                  <c:v>407.38921360966339</c:v>
                </c:pt>
                <c:pt idx="544">
                  <c:v>407.42995660532392</c:v>
                </c:pt>
                <c:pt idx="545">
                  <c:v>408.53299569369693</c:v>
                </c:pt>
                <c:pt idx="546">
                  <c:v>409.2696811197124</c:v>
                </c:pt>
                <c:pt idx="547">
                  <c:v>408.9833927447911</c:v>
                </c:pt>
                <c:pt idx="548">
                  <c:v>408.08560441507797</c:v>
                </c:pt>
                <c:pt idx="549">
                  <c:v>410.38375343431011</c:v>
                </c:pt>
                <c:pt idx="550">
                  <c:v>407.85505211122057</c:v>
                </c:pt>
                <c:pt idx="551">
                  <c:v>407.4476045067139</c:v>
                </c:pt>
                <c:pt idx="552">
                  <c:v>410.11334122467429</c:v>
                </c:pt>
                <c:pt idx="553">
                  <c:v>410.31850047491173</c:v>
                </c:pt>
                <c:pt idx="554">
                  <c:v>412.13188075021264</c:v>
                </c:pt>
                <c:pt idx="555">
                  <c:v>412.04947085604147</c:v>
                </c:pt>
                <c:pt idx="556">
                  <c:v>411.67895979222851</c:v>
                </c:pt>
                <c:pt idx="557">
                  <c:v>411.63779601262723</c:v>
                </c:pt>
                <c:pt idx="558">
                  <c:v>411.30874901341656</c:v>
                </c:pt>
                <c:pt idx="559">
                  <c:v>409.71087659469725</c:v>
                </c:pt>
                <c:pt idx="560">
                  <c:v>410.90249382679497</c:v>
                </c:pt>
                <c:pt idx="561">
                  <c:v>410.12325963349133</c:v>
                </c:pt>
                <c:pt idx="562">
                  <c:v>418.06652358154059</c:v>
                </c:pt>
                <c:pt idx="563">
                  <c:v>421.94844931524079</c:v>
                </c:pt>
                <c:pt idx="564">
                  <c:v>416.32802103131797</c:v>
                </c:pt>
                <c:pt idx="565">
                  <c:v>425.51923654059482</c:v>
                </c:pt>
                <c:pt idx="566">
                  <c:v>424.79708150204135</c:v>
                </c:pt>
                <c:pt idx="567">
                  <c:v>420.88287080356815</c:v>
                </c:pt>
                <c:pt idx="568">
                  <c:v>420.58845888235055</c:v>
                </c:pt>
                <c:pt idx="569">
                  <c:v>416.42421671519855</c:v>
                </c:pt>
                <c:pt idx="570">
                  <c:v>412.99634703480962</c:v>
                </c:pt>
                <c:pt idx="571">
                  <c:v>415.02999400543627</c:v>
                </c:pt>
                <c:pt idx="572">
                  <c:v>415.48702973814824</c:v>
                </c:pt>
                <c:pt idx="573">
                  <c:v>410.92575387018911</c:v>
                </c:pt>
                <c:pt idx="574">
                  <c:v>411.8317837945371</c:v>
                </c:pt>
                <c:pt idx="575">
                  <c:v>408.48222951253433</c:v>
                </c:pt>
                <c:pt idx="576">
                  <c:v>412.31677552491607</c:v>
                </c:pt>
                <c:pt idx="577">
                  <c:v>423.75824822704635</c:v>
                </c:pt>
                <c:pt idx="578">
                  <c:v>426.44485078700444</c:v>
                </c:pt>
                <c:pt idx="579">
                  <c:v>422.6410810574871</c:v>
                </c:pt>
                <c:pt idx="580">
                  <c:v>417.54700756519179</c:v>
                </c:pt>
                <c:pt idx="581">
                  <c:v>417.29662958743933</c:v>
                </c:pt>
                <c:pt idx="582">
                  <c:v>423.65140059638509</c:v>
                </c:pt>
                <c:pt idx="583">
                  <c:v>418.13205743820077</c:v>
                </c:pt>
                <c:pt idx="584">
                  <c:v>424.15505927997646</c:v>
                </c:pt>
                <c:pt idx="585">
                  <c:v>419.87236119577949</c:v>
                </c:pt>
                <c:pt idx="586">
                  <c:v>421.13576850128334</c:v>
                </c:pt>
                <c:pt idx="587">
                  <c:v>417.71054205642071</c:v>
                </c:pt>
                <c:pt idx="588">
                  <c:v>417.5435246465621</c:v>
                </c:pt>
                <c:pt idx="589">
                  <c:v>414.97070626770238</c:v>
                </c:pt>
                <c:pt idx="590">
                  <c:v>412.741900007661</c:v>
                </c:pt>
                <c:pt idx="591">
                  <c:v>405.88248599435639</c:v>
                </c:pt>
                <c:pt idx="592">
                  <c:v>403.94355692113498</c:v>
                </c:pt>
                <c:pt idx="593">
                  <c:v>399.46949853751477</c:v>
                </c:pt>
                <c:pt idx="594">
                  <c:v>402.20448906314414</c:v>
                </c:pt>
                <c:pt idx="595">
                  <c:v>392.89292670034592</c:v>
                </c:pt>
                <c:pt idx="596">
                  <c:v>395.86189088196062</c:v>
                </c:pt>
                <c:pt idx="597">
                  <c:v>392.60328362784946</c:v>
                </c:pt>
                <c:pt idx="598">
                  <c:v>405.54000994509812</c:v>
                </c:pt>
                <c:pt idx="599">
                  <c:v>406.35271537584981</c:v>
                </c:pt>
                <c:pt idx="600">
                  <c:v>402.56857081023361</c:v>
                </c:pt>
                <c:pt idx="601">
                  <c:v>404.67286973284439</c:v>
                </c:pt>
                <c:pt idx="602">
                  <c:v>399.00697074821966</c:v>
                </c:pt>
                <c:pt idx="603">
                  <c:v>400.68986819463714</c:v>
                </c:pt>
                <c:pt idx="604">
                  <c:v>400.64980321431574</c:v>
                </c:pt>
                <c:pt idx="605">
                  <c:v>396.25141253517523</c:v>
                </c:pt>
                <c:pt idx="606">
                  <c:v>397.88273173528989</c:v>
                </c:pt>
                <c:pt idx="607">
                  <c:v>396.33701736755643</c:v>
                </c:pt>
                <c:pt idx="608">
                  <c:v>399.33200742323066</c:v>
                </c:pt>
                <c:pt idx="609">
                  <c:v>395.96629392486932</c:v>
                </c:pt>
                <c:pt idx="610">
                  <c:v>393.33097638310255</c:v>
                </c:pt>
                <c:pt idx="611">
                  <c:v>394.04024883099834</c:v>
                </c:pt>
                <c:pt idx="612">
                  <c:v>394.00084874612372</c:v>
                </c:pt>
                <c:pt idx="613">
                  <c:v>389.59838697332509</c:v>
                </c:pt>
                <c:pt idx="614">
                  <c:v>385.81737668184303</c:v>
                </c:pt>
                <c:pt idx="615">
                  <c:v>388.77204421789907</c:v>
                </c:pt>
                <c:pt idx="616">
                  <c:v>386.64549400089413</c:v>
                </c:pt>
                <c:pt idx="617">
                  <c:v>385.91226070555359</c:v>
                </c:pt>
                <c:pt idx="618">
                  <c:v>382.31846711467563</c:v>
                </c:pt>
                <c:pt idx="619">
                  <c:v>379.28419356614643</c:v>
                </c:pt>
                <c:pt idx="620">
                  <c:v>374.63867400844174</c:v>
                </c:pt>
                <c:pt idx="621">
                  <c:v>375.61527372011403</c:v>
                </c:pt>
                <c:pt idx="622">
                  <c:v>370.97804811863114</c:v>
                </c:pt>
                <c:pt idx="623">
                  <c:v>373.51797031678529</c:v>
                </c:pt>
                <c:pt idx="624">
                  <c:v>370.00294236432421</c:v>
                </c:pt>
                <c:pt idx="625">
                  <c:v>371.37703740271428</c:v>
                </c:pt>
                <c:pt idx="626">
                  <c:v>363.80979369388155</c:v>
                </c:pt>
                <c:pt idx="627">
                  <c:v>366.48513518070064</c:v>
                </c:pt>
                <c:pt idx="628">
                  <c:v>366.22877503817392</c:v>
                </c:pt>
                <c:pt idx="629">
                  <c:v>357.1569875542948</c:v>
                </c:pt>
                <c:pt idx="630">
                  <c:v>356.12422729513895</c:v>
                </c:pt>
                <c:pt idx="631">
                  <c:v>363.20675909754101</c:v>
                </c:pt>
                <c:pt idx="632">
                  <c:v>364.29965807175626</c:v>
                </c:pt>
                <c:pt idx="633">
                  <c:v>358.17486783183199</c:v>
                </c:pt>
                <c:pt idx="634">
                  <c:v>359.75780216134189</c:v>
                </c:pt>
                <c:pt idx="635">
                  <c:v>359.90176286648847</c:v>
                </c:pt>
                <c:pt idx="636">
                  <c:v>369.01646966727003</c:v>
                </c:pt>
                <c:pt idx="637">
                  <c:v>366.85204261583658</c:v>
                </c:pt>
                <c:pt idx="638">
                  <c:v>363.25581009588728</c:v>
                </c:pt>
                <c:pt idx="639">
                  <c:v>370.0273098664432</c:v>
                </c:pt>
                <c:pt idx="640">
                  <c:v>379.90483559183082</c:v>
                </c:pt>
                <c:pt idx="641">
                  <c:v>375.54847330153302</c:v>
                </c:pt>
                <c:pt idx="642">
                  <c:v>375.73634147226915</c:v>
                </c:pt>
                <c:pt idx="643">
                  <c:v>369.45559633458129</c:v>
                </c:pt>
                <c:pt idx="644">
                  <c:v>371.23753650982849</c:v>
                </c:pt>
                <c:pt idx="645">
                  <c:v>371.05201050457623</c:v>
                </c:pt>
                <c:pt idx="646">
                  <c:v>373.32931935262724</c:v>
                </c:pt>
                <c:pt idx="647">
                  <c:v>374.5653851235349</c:v>
                </c:pt>
                <c:pt idx="648">
                  <c:v>367.14897581212989</c:v>
                </c:pt>
                <c:pt idx="649">
                  <c:v>368.80861457772966</c:v>
                </c:pt>
                <c:pt idx="650">
                  <c:v>369.43665689445021</c:v>
                </c:pt>
                <c:pt idx="651">
                  <c:v>368.80968043770611</c:v>
                </c:pt>
                <c:pt idx="652">
                  <c:v>363.00165397412019</c:v>
                </c:pt>
                <c:pt idx="653">
                  <c:v>362.16866604222309</c:v>
                </c:pt>
                <c:pt idx="654">
                  <c:v>367.68392491596256</c:v>
                </c:pt>
                <c:pt idx="655">
                  <c:v>361.43116574851325</c:v>
                </c:pt>
                <c:pt idx="656">
                  <c:v>368.76968242884732</c:v>
                </c:pt>
                <c:pt idx="657">
                  <c:v>368.14383790440979</c:v>
                </c:pt>
                <c:pt idx="658">
                  <c:v>357.49061750282556</c:v>
                </c:pt>
                <c:pt idx="659">
                  <c:v>363.34039790916307</c:v>
                </c:pt>
                <c:pt idx="660">
                  <c:v>362.94116263026973</c:v>
                </c:pt>
                <c:pt idx="661">
                  <c:v>360.66894825625531</c:v>
                </c:pt>
                <c:pt idx="662">
                  <c:v>362.29929508413392</c:v>
                </c:pt>
                <c:pt idx="663">
                  <c:v>363.20731336755279</c:v>
                </c:pt>
                <c:pt idx="664">
                  <c:v>357.48751315704015</c:v>
                </c:pt>
                <c:pt idx="665">
                  <c:v>353.66789983878135</c:v>
                </c:pt>
                <c:pt idx="666">
                  <c:v>349.85448594201341</c:v>
                </c:pt>
                <c:pt idx="667">
                  <c:v>344.27719537690751</c:v>
                </c:pt>
                <c:pt idx="668">
                  <c:v>339.45690729334206</c:v>
                </c:pt>
                <c:pt idx="669">
                  <c:v>341.29992689859444</c:v>
                </c:pt>
                <c:pt idx="670">
                  <c:v>343.87901954518327</c:v>
                </c:pt>
                <c:pt idx="671">
                  <c:v>353.34876648703585</c:v>
                </c:pt>
                <c:pt idx="672">
                  <c:v>349.46965333501714</c:v>
                </c:pt>
                <c:pt idx="673">
                  <c:v>355.9841635275717</c:v>
                </c:pt>
                <c:pt idx="674">
                  <c:v>357.01952013596599</c:v>
                </c:pt>
                <c:pt idx="675">
                  <c:v>350.25951156280382</c:v>
                </c:pt>
                <c:pt idx="676">
                  <c:v>346.55141146017991</c:v>
                </c:pt>
                <c:pt idx="677">
                  <c:v>350.76053791516188</c:v>
                </c:pt>
                <c:pt idx="678">
                  <c:v>353.83893666413991</c:v>
                </c:pt>
                <c:pt idx="679">
                  <c:v>352.71026381991612</c:v>
                </c:pt>
                <c:pt idx="680">
                  <c:v>354.94642630564164</c:v>
                </c:pt>
                <c:pt idx="681">
                  <c:v>354.80450450384012</c:v>
                </c:pt>
                <c:pt idx="682">
                  <c:v>353.14472429963189</c:v>
                </c:pt>
                <c:pt idx="683">
                  <c:v>348.50954732027225</c:v>
                </c:pt>
                <c:pt idx="684">
                  <c:v>343.4945272228191</c:v>
                </c:pt>
                <c:pt idx="685">
                  <c:v>342.67211414886185</c:v>
                </c:pt>
                <c:pt idx="686">
                  <c:v>349.98683908575413</c:v>
                </c:pt>
                <c:pt idx="687">
                  <c:v>344.57698049202924</c:v>
                </c:pt>
                <c:pt idx="688">
                  <c:v>343.99219376263272</c:v>
                </c:pt>
                <c:pt idx="689">
                  <c:v>344.78519972199331</c:v>
                </c:pt>
                <c:pt idx="690">
                  <c:v>342.04880924800921</c:v>
                </c:pt>
                <c:pt idx="691">
                  <c:v>331.92509388453101</c:v>
                </c:pt>
                <c:pt idx="692">
                  <c:v>336.91138234321056</c:v>
                </c:pt>
                <c:pt idx="693">
                  <c:v>332.75198256119563</c:v>
                </c:pt>
                <c:pt idx="694">
                  <c:v>331.39327015356599</c:v>
                </c:pt>
                <c:pt idx="695">
                  <c:v>328.66534776709909</c:v>
                </c:pt>
                <c:pt idx="696">
                  <c:v>339.77602374351193</c:v>
                </c:pt>
                <c:pt idx="697">
                  <c:v>337.38062133205432</c:v>
                </c:pt>
                <c:pt idx="698">
                  <c:v>336.94259595730978</c:v>
                </c:pt>
                <c:pt idx="699">
                  <c:v>342.17791810430566</c:v>
                </c:pt>
                <c:pt idx="700">
                  <c:v>345.18099274115372</c:v>
                </c:pt>
                <c:pt idx="701">
                  <c:v>351.5081392476107</c:v>
                </c:pt>
                <c:pt idx="702">
                  <c:v>348.40731415166096</c:v>
                </c:pt>
                <c:pt idx="703">
                  <c:v>345.60789024071119</c:v>
                </c:pt>
                <c:pt idx="704">
                  <c:v>346.6826063203041</c:v>
                </c:pt>
                <c:pt idx="705">
                  <c:v>346.02515851911778</c:v>
                </c:pt>
                <c:pt idx="706">
                  <c:v>336.92809982387325</c:v>
                </c:pt>
                <c:pt idx="707">
                  <c:v>335.92033880745095</c:v>
                </c:pt>
                <c:pt idx="708">
                  <c:v>340.72455503342218</c:v>
                </c:pt>
                <c:pt idx="709">
                  <c:v>341.20223816685575</c:v>
                </c:pt>
                <c:pt idx="710">
                  <c:v>348.59239698289309</c:v>
                </c:pt>
                <c:pt idx="711">
                  <c:v>348.07029154557472</c:v>
                </c:pt>
                <c:pt idx="712">
                  <c:v>343.50171868703711</c:v>
                </c:pt>
                <c:pt idx="713">
                  <c:v>341.72474998710413</c:v>
                </c:pt>
                <c:pt idx="714">
                  <c:v>342.64990472987483</c:v>
                </c:pt>
                <c:pt idx="715">
                  <c:v>340.20046140773906</c:v>
                </c:pt>
                <c:pt idx="716">
                  <c:v>336.66547393145873</c:v>
                </c:pt>
                <c:pt idx="717">
                  <c:v>340.65109170440024</c:v>
                </c:pt>
                <c:pt idx="718">
                  <c:v>335.48462842663014</c:v>
                </c:pt>
                <c:pt idx="719">
                  <c:v>325.14501688954266</c:v>
                </c:pt>
                <c:pt idx="720">
                  <c:v>315.24628358497444</c:v>
                </c:pt>
                <c:pt idx="721">
                  <c:v>318.81703436991751</c:v>
                </c:pt>
                <c:pt idx="722">
                  <c:v>322.82000239967346</c:v>
                </c:pt>
                <c:pt idx="723">
                  <c:v>325.52183361870874</c:v>
                </c:pt>
                <c:pt idx="724">
                  <c:v>319.35821997322546</c:v>
                </c:pt>
                <c:pt idx="725">
                  <c:v>324.65001522133321</c:v>
                </c:pt>
                <c:pt idx="726">
                  <c:v>323.32438524184164</c:v>
                </c:pt>
                <c:pt idx="727">
                  <c:v>320.37691759992231</c:v>
                </c:pt>
                <c:pt idx="728">
                  <c:v>318.68787187896379</c:v>
                </c:pt>
                <c:pt idx="729">
                  <c:v>316.00185610209599</c:v>
                </c:pt>
                <c:pt idx="730">
                  <c:v>306.35177518380607</c:v>
                </c:pt>
                <c:pt idx="731">
                  <c:v>306.10688967206846</c:v>
                </c:pt>
                <c:pt idx="732">
                  <c:v>316.97927893970018</c:v>
                </c:pt>
                <c:pt idx="733">
                  <c:v>312.51038049857061</c:v>
                </c:pt>
                <c:pt idx="734">
                  <c:v>316.88337101862771</c:v>
                </c:pt>
                <c:pt idx="735">
                  <c:v>320.18123776763434</c:v>
                </c:pt>
                <c:pt idx="736">
                  <c:v>323.80788609186322</c:v>
                </c:pt>
                <c:pt idx="737">
                  <c:v>326.41924001195889</c:v>
                </c:pt>
                <c:pt idx="738">
                  <c:v>326.5825312775977</c:v>
                </c:pt>
                <c:pt idx="739">
                  <c:v>327.0076412111722</c:v>
                </c:pt>
                <c:pt idx="740">
                  <c:v>323.00241131091684</c:v>
                </c:pt>
                <c:pt idx="741">
                  <c:v>322.48643301808789</c:v>
                </c:pt>
                <c:pt idx="742">
                  <c:v>314.68231168822007</c:v>
                </c:pt>
                <c:pt idx="743">
                  <c:v>315.31293756334674</c:v>
                </c:pt>
                <c:pt idx="744">
                  <c:v>316.16658734918957</c:v>
                </c:pt>
                <c:pt idx="745">
                  <c:v>318.6520735226664</c:v>
                </c:pt>
                <c:pt idx="746">
                  <c:v>328.23658170855623</c:v>
                </c:pt>
                <c:pt idx="747">
                  <c:v>326.50609938183248</c:v>
                </c:pt>
                <c:pt idx="748">
                  <c:v>327.85028555259811</c:v>
                </c:pt>
                <c:pt idx="749">
                  <c:v>328.57314647484276</c:v>
                </c:pt>
                <c:pt idx="750">
                  <c:v>318.84827411435492</c:v>
                </c:pt>
                <c:pt idx="751">
                  <c:v>319.32726501187273</c:v>
                </c:pt>
                <c:pt idx="752">
                  <c:v>322.42252121554196</c:v>
                </c:pt>
                <c:pt idx="753">
                  <c:v>332.87478960927314</c:v>
                </c:pt>
                <c:pt idx="754">
                  <c:v>329.44852494979529</c:v>
                </c:pt>
                <c:pt idx="755">
                  <c:v>329.21807229918591</c:v>
                </c:pt>
                <c:pt idx="756">
                  <c:v>329.71264126107752</c:v>
                </c:pt>
                <c:pt idx="757">
                  <c:v>328.82481426256862</c:v>
                </c:pt>
                <c:pt idx="758">
                  <c:v>325.47244804767757</c:v>
                </c:pt>
                <c:pt idx="759">
                  <c:v>328.4614472173555</c:v>
                </c:pt>
                <c:pt idx="760">
                  <c:v>327.96949297788865</c:v>
                </c:pt>
                <c:pt idx="761">
                  <c:v>322.80461907272502</c:v>
                </c:pt>
                <c:pt idx="762">
                  <c:v>318.94537997502721</c:v>
                </c:pt>
                <c:pt idx="763">
                  <c:v>315.31920907071395</c:v>
                </c:pt>
                <c:pt idx="764">
                  <c:v>313.25174753696996</c:v>
                </c:pt>
                <c:pt idx="765">
                  <c:v>309.07917862552534</c:v>
                </c:pt>
                <c:pt idx="766">
                  <c:v>305.44439038000331</c:v>
                </c:pt>
                <c:pt idx="767">
                  <c:v>304.50043901904422</c:v>
                </c:pt>
                <c:pt idx="768">
                  <c:v>297.91648470701909</c:v>
                </c:pt>
                <c:pt idx="769">
                  <c:v>302.23849518821049</c:v>
                </c:pt>
                <c:pt idx="770">
                  <c:v>303.05674840891459</c:v>
                </c:pt>
                <c:pt idx="771">
                  <c:v>302.33115364017817</c:v>
                </c:pt>
                <c:pt idx="772">
                  <c:v>296.22883954554004</c:v>
                </c:pt>
                <c:pt idx="773">
                  <c:v>299.10020147974564</c:v>
                </c:pt>
                <c:pt idx="774">
                  <c:v>298.77155277169675</c:v>
                </c:pt>
                <c:pt idx="775">
                  <c:v>296.54744691979823</c:v>
                </c:pt>
                <c:pt idx="776">
                  <c:v>287.68669666259046</c:v>
                </c:pt>
                <c:pt idx="777">
                  <c:v>298.24455386957334</c:v>
                </c:pt>
                <c:pt idx="778">
                  <c:v>293.72124667084233</c:v>
                </c:pt>
                <c:pt idx="779">
                  <c:v>294.398362905525</c:v>
                </c:pt>
                <c:pt idx="780">
                  <c:v>291.1376215442296</c:v>
                </c:pt>
                <c:pt idx="781">
                  <c:v>287.48654245505048</c:v>
                </c:pt>
                <c:pt idx="782">
                  <c:v>286.91271702100846</c:v>
                </c:pt>
                <c:pt idx="783">
                  <c:v>283.73488629450992</c:v>
                </c:pt>
                <c:pt idx="784">
                  <c:v>284.33198345977547</c:v>
                </c:pt>
                <c:pt idx="785">
                  <c:v>288.72053560090927</c:v>
                </c:pt>
                <c:pt idx="786">
                  <c:v>287.45573038720556</c:v>
                </c:pt>
                <c:pt idx="787">
                  <c:v>288.52326647315624</c:v>
                </c:pt>
                <c:pt idx="788">
                  <c:v>285.80808962174962</c:v>
                </c:pt>
                <c:pt idx="789">
                  <c:v>283.84952787938192</c:v>
                </c:pt>
                <c:pt idx="790">
                  <c:v>287.67561353945672</c:v>
                </c:pt>
                <c:pt idx="791">
                  <c:v>286.244391581549</c:v>
                </c:pt>
                <c:pt idx="792">
                  <c:v>286.04416066908067</c:v>
                </c:pt>
                <c:pt idx="793">
                  <c:v>280.68311320683023</c:v>
                </c:pt>
                <c:pt idx="794">
                  <c:v>273.38376663760619</c:v>
                </c:pt>
                <c:pt idx="795">
                  <c:v>276.14521882586484</c:v>
                </c:pt>
                <c:pt idx="796">
                  <c:v>273.35697765379615</c:v>
                </c:pt>
                <c:pt idx="797">
                  <c:v>272.51218986521394</c:v>
                </c:pt>
                <c:pt idx="798">
                  <c:v>265.03811502160471</c:v>
                </c:pt>
                <c:pt idx="799">
                  <c:v>263.85078648243376</c:v>
                </c:pt>
                <c:pt idx="800">
                  <c:v>258.4238848995434</c:v>
                </c:pt>
                <c:pt idx="801">
                  <c:v>260.58675496575921</c:v>
                </c:pt>
                <c:pt idx="802">
                  <c:v>257.36963453408316</c:v>
                </c:pt>
                <c:pt idx="803">
                  <c:v>263.91471957965871</c:v>
                </c:pt>
                <c:pt idx="804">
                  <c:v>250.72650539583768</c:v>
                </c:pt>
                <c:pt idx="805">
                  <c:v>249.77735146028857</c:v>
                </c:pt>
                <c:pt idx="806">
                  <c:v>252.35133507808504</c:v>
                </c:pt>
                <c:pt idx="807">
                  <c:v>253.77246085889487</c:v>
                </c:pt>
                <c:pt idx="808">
                  <c:v>251.11068757064604</c:v>
                </c:pt>
                <c:pt idx="809">
                  <c:v>250.11024658430881</c:v>
                </c:pt>
                <c:pt idx="810">
                  <c:v>254.90241192856587</c:v>
                </c:pt>
                <c:pt idx="811">
                  <c:v>255.92611639414244</c:v>
                </c:pt>
                <c:pt idx="812">
                  <c:v>263.70542647515964</c:v>
                </c:pt>
                <c:pt idx="813">
                  <c:v>268.6211943314247</c:v>
                </c:pt>
                <c:pt idx="814">
                  <c:v>264.93854850717497</c:v>
                </c:pt>
                <c:pt idx="815">
                  <c:v>258.55230653574216</c:v>
                </c:pt>
                <c:pt idx="816">
                  <c:v>262.40972956027827</c:v>
                </c:pt>
                <c:pt idx="817">
                  <c:v>261.15617989677378</c:v>
                </c:pt>
                <c:pt idx="818">
                  <c:v>265.6996438058539</c:v>
                </c:pt>
                <c:pt idx="819">
                  <c:v>270.68015872642002</c:v>
                </c:pt>
                <c:pt idx="820">
                  <c:v>269.44073136215411</c:v>
                </c:pt>
                <c:pt idx="821">
                  <c:v>265.19757023834063</c:v>
                </c:pt>
                <c:pt idx="822">
                  <c:v>262.15655420951032</c:v>
                </c:pt>
                <c:pt idx="823">
                  <c:v>263.26225568338049</c:v>
                </c:pt>
                <c:pt idx="824">
                  <c:v>262.68435011313159</c:v>
                </c:pt>
                <c:pt idx="825">
                  <c:v>260.65127020552848</c:v>
                </c:pt>
                <c:pt idx="826">
                  <c:v>253.03491913943159</c:v>
                </c:pt>
                <c:pt idx="827">
                  <c:v>247.51532733975506</c:v>
                </c:pt>
                <c:pt idx="828">
                  <c:v>251.97528997226414</c:v>
                </c:pt>
                <c:pt idx="829">
                  <c:v>255.03571859540904</c:v>
                </c:pt>
                <c:pt idx="830">
                  <c:v>262.86922139291801</c:v>
                </c:pt>
                <c:pt idx="831">
                  <c:v>263.58088979536552</c:v>
                </c:pt>
                <c:pt idx="832">
                  <c:v>267.62198171932738</c:v>
                </c:pt>
                <c:pt idx="833">
                  <c:v>271.89066516237671</c:v>
                </c:pt>
                <c:pt idx="834">
                  <c:v>269.94704642809438</c:v>
                </c:pt>
                <c:pt idx="835">
                  <c:v>266.8779500030592</c:v>
                </c:pt>
                <c:pt idx="836">
                  <c:v>260.14031582323736</c:v>
                </c:pt>
                <c:pt idx="837">
                  <c:v>258.2806948205295</c:v>
                </c:pt>
                <c:pt idx="838">
                  <c:v>257.37986529200748</c:v>
                </c:pt>
                <c:pt idx="839">
                  <c:v>270.52750188354793</c:v>
                </c:pt>
                <c:pt idx="840">
                  <c:v>282.88978551035024</c:v>
                </c:pt>
                <c:pt idx="841">
                  <c:v>283.00298670503224</c:v>
                </c:pt>
                <c:pt idx="842">
                  <c:v>282.83328673299246</c:v>
                </c:pt>
                <c:pt idx="843">
                  <c:v>286.47147445861691</c:v>
                </c:pt>
                <c:pt idx="844">
                  <c:v>290.45064834088708</c:v>
                </c:pt>
                <c:pt idx="845">
                  <c:v>297.83700609196791</c:v>
                </c:pt>
                <c:pt idx="846">
                  <c:v>300.57221323238258</c:v>
                </c:pt>
                <c:pt idx="847">
                  <c:v>303.97675286446457</c:v>
                </c:pt>
                <c:pt idx="848">
                  <c:v>296.53375559893141</c:v>
                </c:pt>
                <c:pt idx="849">
                  <c:v>299.10606778185536</c:v>
                </c:pt>
                <c:pt idx="850">
                  <c:v>299.49541181721776</c:v>
                </c:pt>
                <c:pt idx="851">
                  <c:v>306.92294713795633</c:v>
                </c:pt>
                <c:pt idx="852">
                  <c:v>304.72889906469055</c:v>
                </c:pt>
                <c:pt idx="853">
                  <c:v>306.59915390350193</c:v>
                </c:pt>
                <c:pt idx="854">
                  <c:v>310.63744063171424</c:v>
                </c:pt>
                <c:pt idx="855">
                  <c:v>310.76174532984618</c:v>
                </c:pt>
                <c:pt idx="856">
                  <c:v>312.38615332714733</c:v>
                </c:pt>
                <c:pt idx="857">
                  <c:v>312.23003830799337</c:v>
                </c:pt>
                <c:pt idx="858">
                  <c:v>311.32718945856357</c:v>
                </c:pt>
                <c:pt idx="859">
                  <c:v>310.64377315761681</c:v>
                </c:pt>
                <c:pt idx="860">
                  <c:v>310.79917274398878</c:v>
                </c:pt>
                <c:pt idx="861">
                  <c:v>310.58176550813312</c:v>
                </c:pt>
                <c:pt idx="862">
                  <c:v>310.70604792730404</c:v>
                </c:pt>
                <c:pt idx="863">
                  <c:v>310.64391914347533</c:v>
                </c:pt>
                <c:pt idx="864">
                  <c:v>310.55075391730014</c:v>
                </c:pt>
                <c:pt idx="865">
                  <c:v>310.89273592681963</c:v>
                </c:pt>
                <c:pt idx="866">
                  <c:v>312.26670944839253</c:v>
                </c:pt>
                <c:pt idx="867">
                  <c:v>311.08458801393954</c:v>
                </c:pt>
                <c:pt idx="868">
                  <c:v>309.50610686890809</c:v>
                </c:pt>
                <c:pt idx="869">
                  <c:v>307.78252473041772</c:v>
                </c:pt>
                <c:pt idx="870">
                  <c:v>309.01859912692544</c:v>
                </c:pt>
                <c:pt idx="871">
                  <c:v>308.58657791784043</c:v>
                </c:pt>
                <c:pt idx="872">
                  <c:v>308.49402970892777</c:v>
                </c:pt>
                <c:pt idx="873">
                  <c:v>308.37068143635327</c:v>
                </c:pt>
                <c:pt idx="874">
                  <c:v>308.24738248335996</c:v>
                </c:pt>
                <c:pt idx="875">
                  <c:v>308.12413283022789</c:v>
                </c:pt>
                <c:pt idx="876">
                  <c:v>308.00093245724503</c:v>
                </c:pt>
                <c:pt idx="877">
                  <c:v>307.87778134470716</c:v>
                </c:pt>
                <c:pt idx="878">
                  <c:v>307.75467947291799</c:v>
                </c:pt>
                <c:pt idx="879">
                  <c:v>307.63162682218911</c:v>
                </c:pt>
                <c:pt idx="880">
                  <c:v>307.47788787824999</c:v>
                </c:pt>
                <c:pt idx="881">
                  <c:v>307.10935665026966</c:v>
                </c:pt>
                <c:pt idx="882">
                  <c:v>308.03345702133367</c:v>
                </c:pt>
                <c:pt idx="883">
                  <c:v>307.78722723954206</c:v>
                </c:pt>
                <c:pt idx="884">
                  <c:v>308.24960164200508</c:v>
                </c:pt>
                <c:pt idx="885">
                  <c:v>308.61994557669709</c:v>
                </c:pt>
                <c:pt idx="886">
                  <c:v>308.18848170231382</c:v>
                </c:pt>
                <c:pt idx="887">
                  <c:v>308.12685633104763</c:v>
                </c:pt>
                <c:pt idx="888">
                  <c:v>307.97286989609961</c:v>
                </c:pt>
                <c:pt idx="889">
                  <c:v>307.75743968831779</c:v>
                </c:pt>
                <c:pt idx="890">
                  <c:v>307.5421601761945</c:v>
                </c:pt>
                <c:pt idx="891">
                  <c:v>307.32703125431652</c:v>
                </c:pt>
                <c:pt idx="892">
                  <c:v>307.11205281734442</c:v>
                </c:pt>
                <c:pt idx="893">
                  <c:v>306.89722476001242</c:v>
                </c:pt>
                <c:pt idx="894">
                  <c:v>306.68254697712848</c:v>
                </c:pt>
                <c:pt idx="895">
                  <c:v>306.37617080632219</c:v>
                </c:pt>
                <c:pt idx="896">
                  <c:v>307.02091472724942</c:v>
                </c:pt>
                <c:pt idx="897">
                  <c:v>306.74484436731888</c:v>
                </c:pt>
                <c:pt idx="898">
                  <c:v>306.71417295002385</c:v>
                </c:pt>
                <c:pt idx="899">
                  <c:v>306.56089250377198</c:v>
                </c:pt>
                <c:pt idx="900">
                  <c:v>306.34644998877985</c:v>
                </c:pt>
                <c:pt idx="901">
                  <c:v>306.13215747854491</c:v>
                </c:pt>
                <c:pt idx="902">
                  <c:v>305.91801486813722</c:v>
                </c:pt>
                <c:pt idx="903">
                  <c:v>305.70402205270034</c:v>
                </c:pt>
                <c:pt idx="904">
                  <c:v>305.45965432923697</c:v>
                </c:pt>
                <c:pt idx="905">
                  <c:v>305.21548194368205</c:v>
                </c:pt>
                <c:pt idx="906">
                  <c:v>304.97150473989018</c:v>
                </c:pt>
                <c:pt idx="907">
                  <c:v>304.72772256184072</c:v>
                </c:pt>
                <c:pt idx="908">
                  <c:v>304.4537142190436</c:v>
                </c:pt>
                <c:pt idx="909">
                  <c:v>305.00271911344782</c:v>
                </c:pt>
                <c:pt idx="910">
                  <c:v>304.75891198386074</c:v>
                </c:pt>
                <c:pt idx="911">
                  <c:v>304.91136766769455</c:v>
                </c:pt>
                <c:pt idx="912">
                  <c:v>306.50519468003068</c:v>
                </c:pt>
                <c:pt idx="913">
                  <c:v>306.62784581835803</c:v>
                </c:pt>
                <c:pt idx="914">
                  <c:v>307.18077120652981</c:v>
                </c:pt>
                <c:pt idx="915">
                  <c:v>306.96589507997385</c:v>
                </c:pt>
                <c:pt idx="916">
                  <c:v>306.59797750696544</c:v>
                </c:pt>
                <c:pt idx="917">
                  <c:v>306.23050090587833</c:v>
                </c:pt>
                <c:pt idx="918">
                  <c:v>305.89401748664301</c:v>
                </c:pt>
                <c:pt idx="919">
                  <c:v>305.618960422263</c:v>
                </c:pt>
                <c:pt idx="920">
                  <c:v>305.25265723358268</c:v>
                </c:pt>
                <c:pt idx="921">
                  <c:v>304.94770952405867</c:v>
                </c:pt>
                <c:pt idx="922">
                  <c:v>304.6126356248713</c:v>
                </c:pt>
                <c:pt idx="923">
                  <c:v>304.24753857857701</c:v>
                </c:pt>
                <c:pt idx="924">
                  <c:v>304.06509951886574</c:v>
                </c:pt>
                <c:pt idx="925">
                  <c:v>304.00429865913389</c:v>
                </c:pt>
                <c:pt idx="926">
                  <c:v>303.63993074224317</c:v>
                </c:pt>
                <c:pt idx="927">
                  <c:v>306.89299650519831</c:v>
                </c:pt>
                <c:pt idx="928">
                  <c:v>302.83500740595844</c:v>
                </c:pt>
                <c:pt idx="929">
                  <c:v>303.62443092636698</c:v>
                </c:pt>
                <c:pt idx="930">
                  <c:v>302.3244358522025</c:v>
                </c:pt>
                <c:pt idx="931">
                  <c:v>302.80893014042721</c:v>
                </c:pt>
                <c:pt idx="932">
                  <c:v>303.68963006762334</c:v>
                </c:pt>
                <c:pt idx="933">
                  <c:v>304.20678159633712</c:v>
                </c:pt>
                <c:pt idx="934">
                  <c:v>305.42849557865173</c:v>
                </c:pt>
                <c:pt idx="935">
                  <c:v>307.95371605026389</c:v>
                </c:pt>
                <c:pt idx="936">
                  <c:v>310.40592284070544</c:v>
                </c:pt>
                <c:pt idx="937">
                  <c:v>308.70802868294919</c:v>
                </c:pt>
                <c:pt idx="938">
                  <c:v>306.98889089394311</c:v>
                </c:pt>
                <c:pt idx="939">
                  <c:v>304.70361379051423</c:v>
                </c:pt>
                <c:pt idx="940">
                  <c:v>303.58036643470581</c:v>
                </c:pt>
                <c:pt idx="941">
                  <c:v>298.71137108600396</c:v>
                </c:pt>
                <c:pt idx="942">
                  <c:v>304.9942526914478</c:v>
                </c:pt>
                <c:pt idx="943">
                  <c:v>308.04388717447512</c:v>
                </c:pt>
                <c:pt idx="944">
                  <c:v>304.3911928601533</c:v>
                </c:pt>
                <c:pt idx="945">
                  <c:v>301.46696331598821</c:v>
                </c:pt>
                <c:pt idx="946">
                  <c:v>299.84778527550048</c:v>
                </c:pt>
                <c:pt idx="947">
                  <c:v>302.05277050015161</c:v>
                </c:pt>
                <c:pt idx="948">
                  <c:v>301.14932253255398</c:v>
                </c:pt>
                <c:pt idx="949">
                  <c:v>302.87571410294078</c:v>
                </c:pt>
                <c:pt idx="950">
                  <c:v>293.00156148103002</c:v>
                </c:pt>
                <c:pt idx="951">
                  <c:v>295.75205559809228</c:v>
                </c:pt>
                <c:pt idx="952">
                  <c:v>297.05911570720394</c:v>
                </c:pt>
                <c:pt idx="953">
                  <c:v>298.13239231955436</c:v>
                </c:pt>
                <c:pt idx="954">
                  <c:v>300.17357261332495</c:v>
                </c:pt>
                <c:pt idx="955">
                  <c:v>297.90946071191439</c:v>
                </c:pt>
                <c:pt idx="956">
                  <c:v>287.69624404820314</c:v>
                </c:pt>
                <c:pt idx="957">
                  <c:v>306.61434940658972</c:v>
                </c:pt>
                <c:pt idx="958">
                  <c:v>304.39228572082766</c:v>
                </c:pt>
                <c:pt idx="959">
                  <c:v>307.37381169426203</c:v>
                </c:pt>
                <c:pt idx="960">
                  <c:v>300.61008478656436</c:v>
                </c:pt>
                <c:pt idx="961">
                  <c:v>293.16372614254374</c:v>
                </c:pt>
                <c:pt idx="962">
                  <c:v>294.54810222299182</c:v>
                </c:pt>
                <c:pt idx="963">
                  <c:v>285.16613633748847</c:v>
                </c:pt>
                <c:pt idx="964">
                  <c:v>286.6567514450025</c:v>
                </c:pt>
                <c:pt idx="965">
                  <c:v>291.70321710084716</c:v>
                </c:pt>
                <c:pt idx="966">
                  <c:v>296.14539807192602</c:v>
                </c:pt>
                <c:pt idx="967">
                  <c:v>288.13523844320491</c:v>
                </c:pt>
                <c:pt idx="968">
                  <c:v>297.19983336070646</c:v>
                </c:pt>
                <c:pt idx="969">
                  <c:v>299.68723743138696</c:v>
                </c:pt>
                <c:pt idx="970">
                  <c:v>296.86700092262203</c:v>
                </c:pt>
                <c:pt idx="971">
                  <c:v>300.01718132655077</c:v>
                </c:pt>
                <c:pt idx="972">
                  <c:v>298.52455853388142</c:v>
                </c:pt>
                <c:pt idx="973">
                  <c:v>293.41906677204776</c:v>
                </c:pt>
                <c:pt idx="974">
                  <c:v>292.77496185596465</c:v>
                </c:pt>
                <c:pt idx="975">
                  <c:v>294.86852840765903</c:v>
                </c:pt>
                <c:pt idx="976">
                  <c:v>292.58635483990776</c:v>
                </c:pt>
                <c:pt idx="977">
                  <c:v>293.11395996784989</c:v>
                </c:pt>
                <c:pt idx="978">
                  <c:v>290.06824341202366</c:v>
                </c:pt>
                <c:pt idx="979">
                  <c:v>287.25316242030465</c:v>
                </c:pt>
                <c:pt idx="980">
                  <c:v>286.33688439025582</c:v>
                </c:pt>
                <c:pt idx="981">
                  <c:v>279.73513519954651</c:v>
                </c:pt>
                <c:pt idx="982">
                  <c:v>273.41915277054687</c:v>
                </c:pt>
                <c:pt idx="983">
                  <c:v>283.24785327933995</c:v>
                </c:pt>
                <c:pt idx="984">
                  <c:v>276.82550164126263</c:v>
                </c:pt>
                <c:pt idx="985">
                  <c:v>276.05255448869434</c:v>
                </c:pt>
                <c:pt idx="986">
                  <c:v>282.58015609447676</c:v>
                </c:pt>
                <c:pt idx="987">
                  <c:v>284.171516587366</c:v>
                </c:pt>
                <c:pt idx="988">
                  <c:v>284.598414208679</c:v>
                </c:pt>
                <c:pt idx="989">
                  <c:v>283.54928186577564</c:v>
                </c:pt>
                <c:pt idx="990">
                  <c:v>282.1385889211698</c:v>
                </c:pt>
                <c:pt idx="991">
                  <c:v>280.95856295675145</c:v>
                </c:pt>
                <c:pt idx="992">
                  <c:v>277.07945064768387</c:v>
                </c:pt>
                <c:pt idx="993">
                  <c:v>281.09916876096565</c:v>
                </c:pt>
                <c:pt idx="994">
                  <c:v>285.11935161879057</c:v>
                </c:pt>
                <c:pt idx="995">
                  <c:v>293.33266627447591</c:v>
                </c:pt>
                <c:pt idx="996">
                  <c:v>291.26468699679862</c:v>
                </c:pt>
                <c:pt idx="997">
                  <c:v>289.72912264677069</c:v>
                </c:pt>
                <c:pt idx="998">
                  <c:v>280.71807251891357</c:v>
                </c:pt>
                <c:pt idx="999">
                  <c:v>283.75424291813766</c:v>
                </c:pt>
                <c:pt idx="1000">
                  <c:v>277.83632910813435</c:v>
                </c:pt>
                <c:pt idx="1001">
                  <c:v>281.63844815827099</c:v>
                </c:pt>
                <c:pt idx="1002">
                  <c:v>278.51903496664454</c:v>
                </c:pt>
                <c:pt idx="1003">
                  <c:v>281.58834795940203</c:v>
                </c:pt>
                <c:pt idx="1004">
                  <c:v>282.32238616342693</c:v>
                </c:pt>
                <c:pt idx="1005">
                  <c:v>283.05833784181567</c:v>
                </c:pt>
                <c:pt idx="1006">
                  <c:v>281.76223157656352</c:v>
                </c:pt>
                <c:pt idx="1007">
                  <c:v>284.29243424131118</c:v>
                </c:pt>
                <c:pt idx="1008">
                  <c:v>279.54024999145645</c:v>
                </c:pt>
                <c:pt idx="1009">
                  <c:v>283.02141337598101</c:v>
                </c:pt>
                <c:pt idx="1010">
                  <c:v>276.17233935985661</c:v>
                </c:pt>
                <c:pt idx="1011">
                  <c:v>274.716342743317</c:v>
                </c:pt>
                <c:pt idx="1012">
                  <c:v>276.65291313526387</c:v>
                </c:pt>
                <c:pt idx="1013">
                  <c:v>275.99053584922575</c:v>
                </c:pt>
                <c:pt idx="1014">
                  <c:v>273.74582012420723</c:v>
                </c:pt>
                <c:pt idx="1015">
                  <c:v>269.72688947108804</c:v>
                </c:pt>
                <c:pt idx="1016">
                  <c:v>269.672954880112</c:v>
                </c:pt>
                <c:pt idx="1017">
                  <c:v>268.70561466730965</c:v>
                </c:pt>
                <c:pt idx="1018">
                  <c:v>269.37906232311741</c:v>
                </c:pt>
                <c:pt idx="1019">
                  <c:v>272.6784718322881</c:v>
                </c:pt>
                <c:pt idx="1020">
                  <c:v>267.33183512969418</c:v>
                </c:pt>
                <c:pt idx="1021">
                  <c:v>269.08086072440278</c:v>
                </c:pt>
                <c:pt idx="1022">
                  <c:v>272.29392908763691</c:v>
                </c:pt>
                <c:pt idx="1023">
                  <c:v>267.08575682946235</c:v>
                </c:pt>
                <c:pt idx="1024">
                  <c:v>266.63248161072414</c:v>
                </c:pt>
                <c:pt idx="1025">
                  <c:v>261.66092405370381</c:v>
                </c:pt>
                <c:pt idx="1026">
                  <c:v>258.66046268653992</c:v>
                </c:pt>
                <c:pt idx="1027">
                  <c:v>259.90802118824348</c:v>
                </c:pt>
                <c:pt idx="1028">
                  <c:v>261.68749616214609</c:v>
                </c:pt>
                <c:pt idx="1029">
                  <c:v>258.32921634960132</c:v>
                </c:pt>
                <c:pt idx="1030">
                  <c:v>254.18598479740365</c:v>
                </c:pt>
                <c:pt idx="1031">
                  <c:v>255.41196221604065</c:v>
                </c:pt>
                <c:pt idx="1032">
                  <c:v>251.98496666933764</c:v>
                </c:pt>
                <c:pt idx="1033">
                  <c:v>249.83637385419161</c:v>
                </c:pt>
                <c:pt idx="1034">
                  <c:v>248.7171466940683</c:v>
                </c:pt>
                <c:pt idx="1035">
                  <c:v>243.07774305518791</c:v>
                </c:pt>
                <c:pt idx="1036">
                  <c:v>244.32379440666188</c:v>
                </c:pt>
                <c:pt idx="1037">
                  <c:v>247.16620577305196</c:v>
                </c:pt>
                <c:pt idx="1038">
                  <c:v>245.10730441595791</c:v>
                </c:pt>
                <c:pt idx="1039">
                  <c:v>243.96068917682683</c:v>
                </c:pt>
                <c:pt idx="1040">
                  <c:v>240.11878855986893</c:v>
                </c:pt>
                <c:pt idx="1041">
                  <c:v>246.1242195160608</c:v>
                </c:pt>
                <c:pt idx="1042">
                  <c:v>252.33157629286529</c:v>
                </c:pt>
                <c:pt idx="1043">
                  <c:v>249.95698493597354</c:v>
                </c:pt>
                <c:pt idx="1044">
                  <c:v>253.27488594181128</c:v>
                </c:pt>
                <c:pt idx="1045">
                  <c:v>257.18408401889855</c:v>
                </c:pt>
                <c:pt idx="1046">
                  <c:v>259.72943245697695</c:v>
                </c:pt>
                <c:pt idx="1047">
                  <c:v>265.57201682717482</c:v>
                </c:pt>
                <c:pt idx="1048">
                  <c:v>262.52670702567696</c:v>
                </c:pt>
                <c:pt idx="1049">
                  <c:v>260.05617337858041</c:v>
                </c:pt>
                <c:pt idx="1050">
                  <c:v>258.14589376472145</c:v>
                </c:pt>
                <c:pt idx="1051">
                  <c:v>253.48182812718133</c:v>
                </c:pt>
                <c:pt idx="1052">
                  <c:v>253.12744969760467</c:v>
                </c:pt>
                <c:pt idx="1053">
                  <c:v>255.24599142644416</c:v>
                </c:pt>
                <c:pt idx="1054">
                  <c:v>251.69706284039461</c:v>
                </c:pt>
                <c:pt idx="1055">
                  <c:v>254.49652461111688</c:v>
                </c:pt>
                <c:pt idx="1056">
                  <c:v>254.14072759248739</c:v>
                </c:pt>
                <c:pt idx="1057">
                  <c:v>253.96295352501991</c:v>
                </c:pt>
                <c:pt idx="1058">
                  <c:v>255.70172525676594</c:v>
                </c:pt>
                <c:pt idx="1059">
                  <c:v>253.7226882881186</c:v>
                </c:pt>
                <c:pt idx="1060">
                  <c:v>255.74305844987259</c:v>
                </c:pt>
                <c:pt idx="1061">
                  <c:v>253.83926397009685</c:v>
                </c:pt>
                <c:pt idx="1062">
                  <c:v>255.6544102831069</c:v>
                </c:pt>
                <c:pt idx="1063">
                  <c:v>251.08466930181388</c:v>
                </c:pt>
                <c:pt idx="1064">
                  <c:v>251.63827350352162</c:v>
                </c:pt>
                <c:pt idx="1065">
                  <c:v>246.3660402423356</c:v>
                </c:pt>
                <c:pt idx="1066">
                  <c:v>244.09594792661804</c:v>
                </c:pt>
                <c:pt idx="1067">
                  <c:v>242.95406382663288</c:v>
                </c:pt>
                <c:pt idx="1068">
                  <c:v>240.28687946457606</c:v>
                </c:pt>
                <c:pt idx="1069">
                  <c:v>237.76655399225814</c:v>
                </c:pt>
                <c:pt idx="1070">
                  <c:v>236.32497166510103</c:v>
                </c:pt>
                <c:pt idx="1071">
                  <c:v>230.38113829703747</c:v>
                </c:pt>
                <c:pt idx="1072">
                  <c:v>226.10770271571056</c:v>
                </c:pt>
                <c:pt idx="1073">
                  <c:v>226.7653221499454</c:v>
                </c:pt>
                <c:pt idx="1074">
                  <c:v>220.52447938339532</c:v>
                </c:pt>
                <c:pt idx="1075">
                  <c:v>228.80730378024001</c:v>
                </c:pt>
                <c:pt idx="1076">
                  <c:v>221.88450715694339</c:v>
                </c:pt>
                <c:pt idx="1077">
                  <c:v>223.58374360836697</c:v>
                </c:pt>
                <c:pt idx="1078">
                  <c:v>224.59441849157906</c:v>
                </c:pt>
                <c:pt idx="1079">
                  <c:v>228.89769516059832</c:v>
                </c:pt>
                <c:pt idx="1080">
                  <c:v>224.80622192162474</c:v>
                </c:pt>
                <c:pt idx="1081">
                  <c:v>225.79974078106139</c:v>
                </c:pt>
                <c:pt idx="1082">
                  <c:v>220.20649578804503</c:v>
                </c:pt>
                <c:pt idx="1083">
                  <c:v>220.00848814871122</c:v>
                </c:pt>
                <c:pt idx="1084">
                  <c:v>217.50715585636303</c:v>
                </c:pt>
                <c:pt idx="1085">
                  <c:v>222.51371443106191</c:v>
                </c:pt>
                <c:pt idx="1086">
                  <c:v>222.91496136151264</c:v>
                </c:pt>
                <c:pt idx="1087">
                  <c:v>226.70086582071866</c:v>
                </c:pt>
                <c:pt idx="1088">
                  <c:v>226.31612840243452</c:v>
                </c:pt>
                <c:pt idx="1089">
                  <c:v>223.10343888252615</c:v>
                </c:pt>
                <c:pt idx="1090">
                  <c:v>223.8645784492536</c:v>
                </c:pt>
                <c:pt idx="1091">
                  <c:v>219.36754380132641</c:v>
                </c:pt>
                <c:pt idx="1092">
                  <c:v>220.18221800795584</c:v>
                </c:pt>
                <c:pt idx="1093">
                  <c:v>214.89578177625987</c:v>
                </c:pt>
                <c:pt idx="1094">
                  <c:v>219.08021386100506</c:v>
                </c:pt>
                <c:pt idx="1095">
                  <c:v>214.95311407084483</c:v>
                </c:pt>
                <c:pt idx="1096">
                  <c:v>220.8724969901817</c:v>
                </c:pt>
                <c:pt idx="1097">
                  <c:v>223.39688175400192</c:v>
                </c:pt>
                <c:pt idx="1098">
                  <c:v>221.7118715303711</c:v>
                </c:pt>
                <c:pt idx="1099">
                  <c:v>216.9392089338269</c:v>
                </c:pt>
                <c:pt idx="1100">
                  <c:v>217.1998487523297</c:v>
                </c:pt>
                <c:pt idx="1101">
                  <c:v>217.22157090942065</c:v>
                </c:pt>
                <c:pt idx="1102">
                  <c:v>211.05865809310208</c:v>
                </c:pt>
                <c:pt idx="1103">
                  <c:v>213.34141119286576</c:v>
                </c:pt>
                <c:pt idx="1104">
                  <c:v>212.23777476409245</c:v>
                </c:pt>
                <c:pt idx="1105">
                  <c:v>205.51735718417009</c:v>
                </c:pt>
                <c:pt idx="1106">
                  <c:v>203.62365717246615</c:v>
                </c:pt>
                <c:pt idx="1107">
                  <c:v>203.33898259683059</c:v>
                </c:pt>
                <c:pt idx="1108">
                  <c:v>199.86139433539469</c:v>
                </c:pt>
                <c:pt idx="1109">
                  <c:v>198.807713454088</c:v>
                </c:pt>
                <c:pt idx="1110">
                  <c:v>196.35329723860545</c:v>
                </c:pt>
                <c:pt idx="1111">
                  <c:v>186.47036774796339</c:v>
                </c:pt>
                <c:pt idx="1112">
                  <c:v>186.63834225599379</c:v>
                </c:pt>
                <c:pt idx="1113">
                  <c:v>180.90369512066857</c:v>
                </c:pt>
                <c:pt idx="1114">
                  <c:v>184.82191982087105</c:v>
                </c:pt>
                <c:pt idx="1115">
                  <c:v>187.92264343759129</c:v>
                </c:pt>
                <c:pt idx="1116">
                  <c:v>189.93596466301929</c:v>
                </c:pt>
                <c:pt idx="1117">
                  <c:v>191.73830472745738</c:v>
                </c:pt>
                <c:pt idx="1118">
                  <c:v>194.12605520649728</c:v>
                </c:pt>
                <c:pt idx="1119">
                  <c:v>191.1818546449648</c:v>
                </c:pt>
                <c:pt idx="1120">
                  <c:v>193.36690062199332</c:v>
                </c:pt>
                <c:pt idx="1121">
                  <c:v>194.67119764622302</c:v>
                </c:pt>
                <c:pt idx="1122">
                  <c:v>190.96644854446046</c:v>
                </c:pt>
                <c:pt idx="1123">
                  <c:v>190.28143537710289</c:v>
                </c:pt>
                <c:pt idx="1124">
                  <c:v>187.34019432618183</c:v>
                </c:pt>
                <c:pt idx="1125">
                  <c:v>188.31945549475455</c:v>
                </c:pt>
                <c:pt idx="1126">
                  <c:v>185.18974874103114</c:v>
                </c:pt>
                <c:pt idx="1127">
                  <c:v>183.01190704716981</c:v>
                </c:pt>
                <c:pt idx="1128">
                  <c:v>184.67397280239135</c:v>
                </c:pt>
                <c:pt idx="1129">
                  <c:v>183.02673221247906</c:v>
                </c:pt>
                <c:pt idx="1130">
                  <c:v>178.63237576857219</c:v>
                </c:pt>
                <c:pt idx="1131">
                  <c:v>181.05856047899067</c:v>
                </c:pt>
                <c:pt idx="1132">
                  <c:v>184.96124269995983</c:v>
                </c:pt>
                <c:pt idx="1133">
                  <c:v>183.09368709162524</c:v>
                </c:pt>
                <c:pt idx="1134">
                  <c:v>180.61920399686815</c:v>
                </c:pt>
                <c:pt idx="1135">
                  <c:v>179.07912353447171</c:v>
                </c:pt>
                <c:pt idx="1136">
                  <c:v>172.82293334729945</c:v>
                </c:pt>
                <c:pt idx="1137">
                  <c:v>172.13439576424247</c:v>
                </c:pt>
                <c:pt idx="1138">
                  <c:v>174.49001091154835</c:v>
                </c:pt>
                <c:pt idx="1139">
                  <c:v>172.0639097835996</c:v>
                </c:pt>
                <c:pt idx="1140">
                  <c:v>172.23614592952913</c:v>
                </c:pt>
                <c:pt idx="1141">
                  <c:v>168.57800325881288</c:v>
                </c:pt>
                <c:pt idx="1142">
                  <c:v>168.76364326640592</c:v>
                </c:pt>
                <c:pt idx="1143">
                  <c:v>167.20860325612395</c:v>
                </c:pt>
                <c:pt idx="1144">
                  <c:v>161.10280687554095</c:v>
                </c:pt>
                <c:pt idx="1145">
                  <c:v>160.18972544052991</c:v>
                </c:pt>
                <c:pt idx="1146">
                  <c:v>163.79317529706535</c:v>
                </c:pt>
                <c:pt idx="1147">
                  <c:v>163.3684174117947</c:v>
                </c:pt>
                <c:pt idx="1148">
                  <c:v>162.63655292363833</c:v>
                </c:pt>
                <c:pt idx="1149">
                  <c:v>162.71791187957811</c:v>
                </c:pt>
                <c:pt idx="1150">
                  <c:v>156.74589334320211</c:v>
                </c:pt>
                <c:pt idx="1151">
                  <c:v>157.35959576669222</c:v>
                </c:pt>
                <c:pt idx="1152">
                  <c:v>158.99726762321129</c:v>
                </c:pt>
                <c:pt idx="1153">
                  <c:v>161.40215980429528</c:v>
                </c:pt>
                <c:pt idx="1154">
                  <c:v>164.29372944248297</c:v>
                </c:pt>
                <c:pt idx="1155">
                  <c:v>163.41130837724583</c:v>
                </c:pt>
                <c:pt idx="1156">
                  <c:v>163.16655853943666</c:v>
                </c:pt>
                <c:pt idx="1157">
                  <c:v>164.99803674733204</c:v>
                </c:pt>
                <c:pt idx="1158">
                  <c:v>163.9813523626834</c:v>
                </c:pt>
                <c:pt idx="1159">
                  <c:v>166.12435656233757</c:v>
                </c:pt>
                <c:pt idx="1160">
                  <c:v>163.97626745862951</c:v>
                </c:pt>
                <c:pt idx="1161">
                  <c:v>160.47785032161823</c:v>
                </c:pt>
                <c:pt idx="1162">
                  <c:v>158.38714007265912</c:v>
                </c:pt>
                <c:pt idx="1163">
                  <c:v>160.61975466246741</c:v>
                </c:pt>
                <c:pt idx="1164">
                  <c:v>158.98223761503257</c:v>
                </c:pt>
                <c:pt idx="1165">
                  <c:v>157.3147017762048</c:v>
                </c:pt>
                <c:pt idx="1166">
                  <c:v>160.95222199325229</c:v>
                </c:pt>
                <c:pt idx="1167">
                  <c:v>158.99656425294111</c:v>
                </c:pt>
                <c:pt idx="1168">
                  <c:v>159.87588160175073</c:v>
                </c:pt>
                <c:pt idx="1169">
                  <c:v>158.19897249332155</c:v>
                </c:pt>
                <c:pt idx="1170">
                  <c:v>156.71022535247303</c:v>
                </c:pt>
                <c:pt idx="1171">
                  <c:v>158.74212454667042</c:v>
                </c:pt>
                <c:pt idx="1172">
                  <c:v>161.66832115966028</c:v>
                </c:pt>
                <c:pt idx="1173">
                  <c:v>159.31052538397742</c:v>
                </c:pt>
                <c:pt idx="1174">
                  <c:v>161.13130917768527</c:v>
                </c:pt>
                <c:pt idx="1175">
                  <c:v>156.51414198900949</c:v>
                </c:pt>
                <c:pt idx="1176">
                  <c:v>153.27993535305993</c:v>
                </c:pt>
                <c:pt idx="1177">
                  <c:v>151.01471463355659</c:v>
                </c:pt>
                <c:pt idx="1178">
                  <c:v>148.66579507142802</c:v>
                </c:pt>
                <c:pt idx="1179">
                  <c:v>152.19675990113433</c:v>
                </c:pt>
                <c:pt idx="1180">
                  <c:v>151.99916099184492</c:v>
                </c:pt>
                <c:pt idx="1181">
                  <c:v>151.0475613553065</c:v>
                </c:pt>
                <c:pt idx="1182">
                  <c:v>152.09703086829776</c:v>
                </c:pt>
                <c:pt idx="1183">
                  <c:v>152.35603612971829</c:v>
                </c:pt>
                <c:pt idx="1184">
                  <c:v>149.80927839696983</c:v>
                </c:pt>
                <c:pt idx="1185">
                  <c:v>148.10605872167062</c:v>
                </c:pt>
                <c:pt idx="1186">
                  <c:v>148.13568585884238</c:v>
                </c:pt>
                <c:pt idx="1187">
                  <c:v>146.40807062546193</c:v>
                </c:pt>
                <c:pt idx="1188">
                  <c:v>145.9119699277077</c:v>
                </c:pt>
                <c:pt idx="1189">
                  <c:v>143.37424577744687</c:v>
                </c:pt>
                <c:pt idx="1190">
                  <c:v>145.18910964804746</c:v>
                </c:pt>
                <c:pt idx="1191">
                  <c:v>144.46677576920146</c:v>
                </c:pt>
                <c:pt idx="1192">
                  <c:v>143.96290559960283</c:v>
                </c:pt>
                <c:pt idx="1193">
                  <c:v>144.43955613484783</c:v>
                </c:pt>
                <c:pt idx="1194">
                  <c:v>143.77817652284276</c:v>
                </c:pt>
                <c:pt idx="1195">
                  <c:v>144.1818858030914</c:v>
                </c:pt>
                <c:pt idx="1196">
                  <c:v>141.61858933610785</c:v>
                </c:pt>
                <c:pt idx="1197">
                  <c:v>139.56695509619379</c:v>
                </c:pt>
                <c:pt idx="1198">
                  <c:v>138.70697187059611</c:v>
                </c:pt>
                <c:pt idx="1199">
                  <c:v>138.49922303604203</c:v>
                </c:pt>
                <c:pt idx="1200">
                  <c:v>137.57745409361482</c:v>
                </c:pt>
                <c:pt idx="1201">
                  <c:v>138.40790150263061</c:v>
                </c:pt>
                <c:pt idx="1202">
                  <c:v>139.25737146858901</c:v>
                </c:pt>
                <c:pt idx="1203">
                  <c:v>137.23994428756185</c:v>
                </c:pt>
                <c:pt idx="1204">
                  <c:v>138.58421113557696</c:v>
                </c:pt>
                <c:pt idx="1205">
                  <c:v>137.78505780033501</c:v>
                </c:pt>
                <c:pt idx="1206">
                  <c:v>135.12313209800431</c:v>
                </c:pt>
                <c:pt idx="1207">
                  <c:v>136.28152506102299</c:v>
                </c:pt>
                <c:pt idx="1208">
                  <c:v>133.92445465902415</c:v>
                </c:pt>
                <c:pt idx="1209">
                  <c:v>131.0030858446876</c:v>
                </c:pt>
                <c:pt idx="1210">
                  <c:v>132.13948541929352</c:v>
                </c:pt>
                <c:pt idx="1211">
                  <c:v>129.94344126196631</c:v>
                </c:pt>
                <c:pt idx="1212">
                  <c:v>128.83545633746414</c:v>
                </c:pt>
                <c:pt idx="1213">
                  <c:v>130.41345919370801</c:v>
                </c:pt>
                <c:pt idx="1214">
                  <c:v>129.07111955038403</c:v>
                </c:pt>
                <c:pt idx="1215">
                  <c:v>127.72995502264625</c:v>
                </c:pt>
                <c:pt idx="1216">
                  <c:v>126.19043175523242</c:v>
                </c:pt>
                <c:pt idx="1217">
                  <c:v>126.38000175786922</c:v>
                </c:pt>
                <c:pt idx="1218">
                  <c:v>125.68871383179435</c:v>
                </c:pt>
                <c:pt idx="1219">
                  <c:v>124.2720128849064</c:v>
                </c:pt>
                <c:pt idx="1220">
                  <c:v>124.33417997489384</c:v>
                </c:pt>
                <c:pt idx="1221">
                  <c:v>122.98138474272389</c:v>
                </c:pt>
                <c:pt idx="1222">
                  <c:v>121.49909577427771</c:v>
                </c:pt>
                <c:pt idx="1223">
                  <c:v>120.47505778312119</c:v>
                </c:pt>
                <c:pt idx="1224">
                  <c:v>121.14133512631592</c:v>
                </c:pt>
                <c:pt idx="1225">
                  <c:v>119.62213402420848</c:v>
                </c:pt>
                <c:pt idx="1226">
                  <c:v>119.49069426052189</c:v>
                </c:pt>
                <c:pt idx="1227">
                  <c:v>118.78983423851466</c:v>
                </c:pt>
                <c:pt idx="1228">
                  <c:v>116.73529308030135</c:v>
                </c:pt>
                <c:pt idx="1229">
                  <c:v>115.33968291700558</c:v>
                </c:pt>
                <c:pt idx="1230">
                  <c:v>115.64034782134107</c:v>
                </c:pt>
                <c:pt idx="1231">
                  <c:v>114.32560338244296</c:v>
                </c:pt>
                <c:pt idx="1232">
                  <c:v>113.97228928565741</c:v>
                </c:pt>
                <c:pt idx="1233">
                  <c:v>114.10922035007751</c:v>
                </c:pt>
                <c:pt idx="1234">
                  <c:v>113.85873114156607</c:v>
                </c:pt>
                <c:pt idx="1235">
                  <c:v>110.91936789241701</c:v>
                </c:pt>
                <c:pt idx="1236">
                  <c:v>112.49428792334383</c:v>
                </c:pt>
                <c:pt idx="1237">
                  <c:v>112.24734376705631</c:v>
                </c:pt>
                <c:pt idx="1238">
                  <c:v>114.52641951541302</c:v>
                </c:pt>
                <c:pt idx="1239">
                  <c:v>114.74443393989884</c:v>
                </c:pt>
                <c:pt idx="1240">
                  <c:v>114.72148964197045</c:v>
                </c:pt>
                <c:pt idx="1241">
                  <c:v>117.57865085781536</c:v>
                </c:pt>
                <c:pt idx="1242">
                  <c:v>115.37498857601352</c:v>
                </c:pt>
                <c:pt idx="1243">
                  <c:v>116.42279371948892</c:v>
                </c:pt>
                <c:pt idx="1244">
                  <c:v>112.94411497816155</c:v>
                </c:pt>
                <c:pt idx="1245">
                  <c:v>114.82728240968031</c:v>
                </c:pt>
                <c:pt idx="1246">
                  <c:v>114.07439142626696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EE-4F97-8E95-F66AB81011F7}"/>
            </c:ext>
          </c:extLst>
        </c:ser>
        <c:ser>
          <c:idx val="3"/>
          <c:order val="3"/>
          <c:tx>
            <c:strRef>
              <c:f>Summary!$AV$2</c:f>
              <c:strCache>
                <c:ptCount val="1"/>
                <c:pt idx="0">
                  <c:v>All Price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Summary!$A$3:$A$1249</c:f>
              <c:numCache>
                <c:formatCode>m/d/yyyy</c:formatCode>
                <c:ptCount val="1247"/>
                <c:pt idx="0">
                  <c:v>43324</c:v>
                </c:pt>
                <c:pt idx="1">
                  <c:v>43317</c:v>
                </c:pt>
                <c:pt idx="2">
                  <c:v>43310</c:v>
                </c:pt>
                <c:pt idx="3">
                  <c:v>43303</c:v>
                </c:pt>
                <c:pt idx="4">
                  <c:v>43296</c:v>
                </c:pt>
                <c:pt idx="5">
                  <c:v>43289</c:v>
                </c:pt>
                <c:pt idx="6">
                  <c:v>43282</c:v>
                </c:pt>
                <c:pt idx="7">
                  <c:v>43275</c:v>
                </c:pt>
                <c:pt idx="8">
                  <c:v>43268</c:v>
                </c:pt>
                <c:pt idx="9">
                  <c:v>43261</c:v>
                </c:pt>
                <c:pt idx="10">
                  <c:v>43254</c:v>
                </c:pt>
                <c:pt idx="11">
                  <c:v>43247</c:v>
                </c:pt>
                <c:pt idx="12">
                  <c:v>43240</c:v>
                </c:pt>
                <c:pt idx="13">
                  <c:v>43233</c:v>
                </c:pt>
                <c:pt idx="14">
                  <c:v>43226</c:v>
                </c:pt>
                <c:pt idx="15">
                  <c:v>43219</c:v>
                </c:pt>
                <c:pt idx="16">
                  <c:v>43212</c:v>
                </c:pt>
                <c:pt idx="17">
                  <c:v>43205</c:v>
                </c:pt>
                <c:pt idx="18">
                  <c:v>43198</c:v>
                </c:pt>
                <c:pt idx="19">
                  <c:v>43191</c:v>
                </c:pt>
                <c:pt idx="20">
                  <c:v>43184</c:v>
                </c:pt>
                <c:pt idx="21">
                  <c:v>43177</c:v>
                </c:pt>
                <c:pt idx="22">
                  <c:v>43170</c:v>
                </c:pt>
                <c:pt idx="23">
                  <c:v>43163</c:v>
                </c:pt>
                <c:pt idx="24">
                  <c:v>43156</c:v>
                </c:pt>
                <c:pt idx="25">
                  <c:v>43149</c:v>
                </c:pt>
                <c:pt idx="26">
                  <c:v>43142</c:v>
                </c:pt>
                <c:pt idx="27">
                  <c:v>43135</c:v>
                </c:pt>
                <c:pt idx="28">
                  <c:v>43128</c:v>
                </c:pt>
                <c:pt idx="29">
                  <c:v>43121</c:v>
                </c:pt>
                <c:pt idx="30">
                  <c:v>43114</c:v>
                </c:pt>
                <c:pt idx="31">
                  <c:v>43107</c:v>
                </c:pt>
                <c:pt idx="32">
                  <c:v>43100</c:v>
                </c:pt>
                <c:pt idx="33">
                  <c:v>43093</c:v>
                </c:pt>
                <c:pt idx="34">
                  <c:v>43086</c:v>
                </c:pt>
                <c:pt idx="35">
                  <c:v>43079</c:v>
                </c:pt>
                <c:pt idx="36">
                  <c:v>43072</c:v>
                </c:pt>
                <c:pt idx="37">
                  <c:v>43065</c:v>
                </c:pt>
                <c:pt idx="38">
                  <c:v>43058</c:v>
                </c:pt>
                <c:pt idx="39">
                  <c:v>43051</c:v>
                </c:pt>
                <c:pt idx="40">
                  <c:v>43044</c:v>
                </c:pt>
                <c:pt idx="41">
                  <c:v>43037</c:v>
                </c:pt>
                <c:pt idx="42">
                  <c:v>43030</c:v>
                </c:pt>
                <c:pt idx="43">
                  <c:v>43023</c:v>
                </c:pt>
                <c:pt idx="44">
                  <c:v>43016</c:v>
                </c:pt>
                <c:pt idx="45">
                  <c:v>43009</c:v>
                </c:pt>
                <c:pt idx="46">
                  <c:v>43002</c:v>
                </c:pt>
                <c:pt idx="47">
                  <c:v>42995</c:v>
                </c:pt>
                <c:pt idx="48">
                  <c:v>42988</c:v>
                </c:pt>
                <c:pt idx="49">
                  <c:v>42981</c:v>
                </c:pt>
                <c:pt idx="50">
                  <c:v>42974</c:v>
                </c:pt>
                <c:pt idx="51">
                  <c:v>42967</c:v>
                </c:pt>
                <c:pt idx="52">
                  <c:v>42960</c:v>
                </c:pt>
                <c:pt idx="53">
                  <c:v>42953</c:v>
                </c:pt>
                <c:pt idx="54">
                  <c:v>42946</c:v>
                </c:pt>
                <c:pt idx="55">
                  <c:v>42939</c:v>
                </c:pt>
                <c:pt idx="56">
                  <c:v>42932</c:v>
                </c:pt>
                <c:pt idx="57">
                  <c:v>42925</c:v>
                </c:pt>
                <c:pt idx="58">
                  <c:v>42918</c:v>
                </c:pt>
                <c:pt idx="59">
                  <c:v>42911</c:v>
                </c:pt>
                <c:pt idx="60">
                  <c:v>42904</c:v>
                </c:pt>
                <c:pt idx="61">
                  <c:v>42897</c:v>
                </c:pt>
                <c:pt idx="62">
                  <c:v>42890</c:v>
                </c:pt>
                <c:pt idx="63">
                  <c:v>42883</c:v>
                </c:pt>
                <c:pt idx="64">
                  <c:v>42876</c:v>
                </c:pt>
                <c:pt idx="65">
                  <c:v>42869</c:v>
                </c:pt>
                <c:pt idx="66">
                  <c:v>42862</c:v>
                </c:pt>
                <c:pt idx="67">
                  <c:v>42855</c:v>
                </c:pt>
                <c:pt idx="68">
                  <c:v>42848</c:v>
                </c:pt>
                <c:pt idx="69">
                  <c:v>42841</c:v>
                </c:pt>
                <c:pt idx="70">
                  <c:v>42834</c:v>
                </c:pt>
                <c:pt idx="71">
                  <c:v>42827</c:v>
                </c:pt>
                <c:pt idx="72">
                  <c:v>42820</c:v>
                </c:pt>
                <c:pt idx="73">
                  <c:v>42813</c:v>
                </c:pt>
                <c:pt idx="74">
                  <c:v>42806</c:v>
                </c:pt>
                <c:pt idx="75">
                  <c:v>42799</c:v>
                </c:pt>
                <c:pt idx="76">
                  <c:v>42792</c:v>
                </c:pt>
                <c:pt idx="77">
                  <c:v>42785</c:v>
                </c:pt>
                <c:pt idx="78">
                  <c:v>42778</c:v>
                </c:pt>
                <c:pt idx="79">
                  <c:v>42771</c:v>
                </c:pt>
                <c:pt idx="80">
                  <c:v>42764</c:v>
                </c:pt>
                <c:pt idx="81">
                  <c:v>42757</c:v>
                </c:pt>
                <c:pt idx="82">
                  <c:v>42750</c:v>
                </c:pt>
                <c:pt idx="83">
                  <c:v>42743</c:v>
                </c:pt>
                <c:pt idx="84">
                  <c:v>42736</c:v>
                </c:pt>
                <c:pt idx="85">
                  <c:v>42729</c:v>
                </c:pt>
                <c:pt idx="86">
                  <c:v>42722</c:v>
                </c:pt>
                <c:pt idx="87">
                  <c:v>42715</c:v>
                </c:pt>
                <c:pt idx="88">
                  <c:v>42708</c:v>
                </c:pt>
                <c:pt idx="89">
                  <c:v>42701</c:v>
                </c:pt>
                <c:pt idx="90">
                  <c:v>42694</c:v>
                </c:pt>
                <c:pt idx="91">
                  <c:v>42687</c:v>
                </c:pt>
                <c:pt idx="92">
                  <c:v>42680</c:v>
                </c:pt>
                <c:pt idx="93">
                  <c:v>42673</c:v>
                </c:pt>
                <c:pt idx="94">
                  <c:v>42666</c:v>
                </c:pt>
                <c:pt idx="95">
                  <c:v>42659</c:v>
                </c:pt>
                <c:pt idx="96">
                  <c:v>42652</c:v>
                </c:pt>
                <c:pt idx="97">
                  <c:v>42645</c:v>
                </c:pt>
                <c:pt idx="98">
                  <c:v>42638</c:v>
                </c:pt>
                <c:pt idx="99">
                  <c:v>42631</c:v>
                </c:pt>
                <c:pt idx="100">
                  <c:v>42624</c:v>
                </c:pt>
                <c:pt idx="101">
                  <c:v>42617</c:v>
                </c:pt>
                <c:pt idx="102">
                  <c:v>42610</c:v>
                </c:pt>
                <c:pt idx="103">
                  <c:v>42603</c:v>
                </c:pt>
                <c:pt idx="104">
                  <c:v>42596</c:v>
                </c:pt>
                <c:pt idx="105">
                  <c:v>42589</c:v>
                </c:pt>
                <c:pt idx="106">
                  <c:v>42582</c:v>
                </c:pt>
                <c:pt idx="107">
                  <c:v>42575</c:v>
                </c:pt>
                <c:pt idx="108">
                  <c:v>42568</c:v>
                </c:pt>
                <c:pt idx="109">
                  <c:v>42561</c:v>
                </c:pt>
                <c:pt idx="110">
                  <c:v>42554</c:v>
                </c:pt>
                <c:pt idx="111">
                  <c:v>42547</c:v>
                </c:pt>
                <c:pt idx="112">
                  <c:v>42540</c:v>
                </c:pt>
                <c:pt idx="113">
                  <c:v>42533</c:v>
                </c:pt>
                <c:pt idx="114">
                  <c:v>42526</c:v>
                </c:pt>
                <c:pt idx="115">
                  <c:v>42519</c:v>
                </c:pt>
                <c:pt idx="116">
                  <c:v>42512</c:v>
                </c:pt>
                <c:pt idx="117">
                  <c:v>42505</c:v>
                </c:pt>
                <c:pt idx="118">
                  <c:v>42498</c:v>
                </c:pt>
                <c:pt idx="119">
                  <c:v>42491</c:v>
                </c:pt>
                <c:pt idx="120">
                  <c:v>42484</c:v>
                </c:pt>
                <c:pt idx="121">
                  <c:v>42477</c:v>
                </c:pt>
                <c:pt idx="122">
                  <c:v>42470</c:v>
                </c:pt>
                <c:pt idx="123">
                  <c:v>42463</c:v>
                </c:pt>
                <c:pt idx="124">
                  <c:v>42456</c:v>
                </c:pt>
                <c:pt idx="125">
                  <c:v>42449</c:v>
                </c:pt>
                <c:pt idx="126">
                  <c:v>42442</c:v>
                </c:pt>
                <c:pt idx="127">
                  <c:v>42435</c:v>
                </c:pt>
                <c:pt idx="128">
                  <c:v>42428</c:v>
                </c:pt>
                <c:pt idx="129">
                  <c:v>42421</c:v>
                </c:pt>
                <c:pt idx="130">
                  <c:v>42414</c:v>
                </c:pt>
                <c:pt idx="131">
                  <c:v>42407</c:v>
                </c:pt>
                <c:pt idx="132">
                  <c:v>42400</c:v>
                </c:pt>
                <c:pt idx="133">
                  <c:v>42393</c:v>
                </c:pt>
                <c:pt idx="134">
                  <c:v>42386</c:v>
                </c:pt>
                <c:pt idx="135">
                  <c:v>42379</c:v>
                </c:pt>
                <c:pt idx="136">
                  <c:v>42372</c:v>
                </c:pt>
                <c:pt idx="137">
                  <c:v>42365</c:v>
                </c:pt>
                <c:pt idx="138">
                  <c:v>42358</c:v>
                </c:pt>
                <c:pt idx="139">
                  <c:v>42351</c:v>
                </c:pt>
                <c:pt idx="140">
                  <c:v>42344</c:v>
                </c:pt>
                <c:pt idx="141">
                  <c:v>42337</c:v>
                </c:pt>
                <c:pt idx="142">
                  <c:v>42330</c:v>
                </c:pt>
                <c:pt idx="143">
                  <c:v>42323</c:v>
                </c:pt>
                <c:pt idx="144">
                  <c:v>42316</c:v>
                </c:pt>
                <c:pt idx="145">
                  <c:v>42309</c:v>
                </c:pt>
                <c:pt idx="146">
                  <c:v>42302</c:v>
                </c:pt>
                <c:pt idx="147">
                  <c:v>42295</c:v>
                </c:pt>
                <c:pt idx="148">
                  <c:v>42288</c:v>
                </c:pt>
                <c:pt idx="149">
                  <c:v>42281</c:v>
                </c:pt>
                <c:pt idx="150">
                  <c:v>42274</c:v>
                </c:pt>
                <c:pt idx="151">
                  <c:v>42267</c:v>
                </c:pt>
                <c:pt idx="152">
                  <c:v>42260</c:v>
                </c:pt>
                <c:pt idx="153">
                  <c:v>42253</c:v>
                </c:pt>
                <c:pt idx="154">
                  <c:v>42246</c:v>
                </c:pt>
                <c:pt idx="155">
                  <c:v>42239</c:v>
                </c:pt>
                <c:pt idx="156">
                  <c:v>42232</c:v>
                </c:pt>
                <c:pt idx="157">
                  <c:v>42225</c:v>
                </c:pt>
                <c:pt idx="158">
                  <c:v>42218</c:v>
                </c:pt>
                <c:pt idx="159">
                  <c:v>42211</c:v>
                </c:pt>
                <c:pt idx="160">
                  <c:v>42204</c:v>
                </c:pt>
                <c:pt idx="161">
                  <c:v>42197</c:v>
                </c:pt>
                <c:pt idx="162">
                  <c:v>42190</c:v>
                </c:pt>
                <c:pt idx="163">
                  <c:v>42183</c:v>
                </c:pt>
                <c:pt idx="164">
                  <c:v>42176</c:v>
                </c:pt>
                <c:pt idx="165">
                  <c:v>42169</c:v>
                </c:pt>
                <c:pt idx="166">
                  <c:v>42162</c:v>
                </c:pt>
                <c:pt idx="167">
                  <c:v>42155</c:v>
                </c:pt>
                <c:pt idx="168">
                  <c:v>42148</c:v>
                </c:pt>
                <c:pt idx="169">
                  <c:v>42141</c:v>
                </c:pt>
                <c:pt idx="170">
                  <c:v>42134</c:v>
                </c:pt>
                <c:pt idx="171">
                  <c:v>42127</c:v>
                </c:pt>
                <c:pt idx="172">
                  <c:v>42120</c:v>
                </c:pt>
                <c:pt idx="173">
                  <c:v>42113</c:v>
                </c:pt>
                <c:pt idx="174">
                  <c:v>42106</c:v>
                </c:pt>
                <c:pt idx="175">
                  <c:v>42099</c:v>
                </c:pt>
                <c:pt idx="176">
                  <c:v>42092</c:v>
                </c:pt>
                <c:pt idx="177">
                  <c:v>42085</c:v>
                </c:pt>
                <c:pt idx="178">
                  <c:v>42078</c:v>
                </c:pt>
                <c:pt idx="179">
                  <c:v>42071</c:v>
                </c:pt>
                <c:pt idx="180">
                  <c:v>42064</c:v>
                </c:pt>
                <c:pt idx="181">
                  <c:v>42057</c:v>
                </c:pt>
                <c:pt idx="182">
                  <c:v>42050</c:v>
                </c:pt>
                <c:pt idx="183">
                  <c:v>42043</c:v>
                </c:pt>
                <c:pt idx="184">
                  <c:v>42036</c:v>
                </c:pt>
                <c:pt idx="185">
                  <c:v>42029</c:v>
                </c:pt>
                <c:pt idx="186">
                  <c:v>42022</c:v>
                </c:pt>
                <c:pt idx="187">
                  <c:v>42015</c:v>
                </c:pt>
                <c:pt idx="188">
                  <c:v>42008</c:v>
                </c:pt>
                <c:pt idx="189">
                  <c:v>42001</c:v>
                </c:pt>
                <c:pt idx="190">
                  <c:v>41994</c:v>
                </c:pt>
                <c:pt idx="191">
                  <c:v>41987</c:v>
                </c:pt>
                <c:pt idx="192">
                  <c:v>41980</c:v>
                </c:pt>
                <c:pt idx="193">
                  <c:v>41973</c:v>
                </c:pt>
                <c:pt idx="194">
                  <c:v>41966</c:v>
                </c:pt>
                <c:pt idx="195">
                  <c:v>41959</c:v>
                </c:pt>
                <c:pt idx="196">
                  <c:v>41952</c:v>
                </c:pt>
                <c:pt idx="197">
                  <c:v>41945</c:v>
                </c:pt>
                <c:pt idx="198">
                  <c:v>41938</c:v>
                </c:pt>
                <c:pt idx="199">
                  <c:v>41931</c:v>
                </c:pt>
                <c:pt idx="200">
                  <c:v>41924</c:v>
                </c:pt>
                <c:pt idx="201">
                  <c:v>41917</c:v>
                </c:pt>
                <c:pt idx="202">
                  <c:v>41910</c:v>
                </c:pt>
                <c:pt idx="203">
                  <c:v>41903</c:v>
                </c:pt>
                <c:pt idx="204">
                  <c:v>41896</c:v>
                </c:pt>
                <c:pt idx="205">
                  <c:v>41889</c:v>
                </c:pt>
                <c:pt idx="206">
                  <c:v>41882</c:v>
                </c:pt>
                <c:pt idx="207">
                  <c:v>41875</c:v>
                </c:pt>
                <c:pt idx="208">
                  <c:v>41868</c:v>
                </c:pt>
                <c:pt idx="209">
                  <c:v>41861</c:v>
                </c:pt>
                <c:pt idx="210">
                  <c:v>41854</c:v>
                </c:pt>
                <c:pt idx="211">
                  <c:v>41847</c:v>
                </c:pt>
                <c:pt idx="212">
                  <c:v>41840</c:v>
                </c:pt>
                <c:pt idx="213">
                  <c:v>41833</c:v>
                </c:pt>
                <c:pt idx="214">
                  <c:v>41826</c:v>
                </c:pt>
                <c:pt idx="215">
                  <c:v>41819</c:v>
                </c:pt>
                <c:pt idx="216">
                  <c:v>41812</c:v>
                </c:pt>
                <c:pt idx="217">
                  <c:v>41805</c:v>
                </c:pt>
                <c:pt idx="218">
                  <c:v>41798</c:v>
                </c:pt>
                <c:pt idx="219">
                  <c:v>41791</c:v>
                </c:pt>
                <c:pt idx="220">
                  <c:v>41784</c:v>
                </c:pt>
                <c:pt idx="221">
                  <c:v>41777</c:v>
                </c:pt>
                <c:pt idx="222">
                  <c:v>41770</c:v>
                </c:pt>
                <c:pt idx="223">
                  <c:v>41763</c:v>
                </c:pt>
                <c:pt idx="224">
                  <c:v>41756</c:v>
                </c:pt>
                <c:pt idx="225">
                  <c:v>41749</c:v>
                </c:pt>
                <c:pt idx="226">
                  <c:v>41742</c:v>
                </c:pt>
                <c:pt idx="227">
                  <c:v>41735</c:v>
                </c:pt>
                <c:pt idx="228">
                  <c:v>41728</c:v>
                </c:pt>
                <c:pt idx="229">
                  <c:v>41721</c:v>
                </c:pt>
                <c:pt idx="230">
                  <c:v>41714</c:v>
                </c:pt>
                <c:pt idx="231">
                  <c:v>41707</c:v>
                </c:pt>
                <c:pt idx="232">
                  <c:v>41700</c:v>
                </c:pt>
                <c:pt idx="233">
                  <c:v>41693</c:v>
                </c:pt>
                <c:pt idx="234">
                  <c:v>41686</c:v>
                </c:pt>
                <c:pt idx="235">
                  <c:v>41679</c:v>
                </c:pt>
                <c:pt idx="236">
                  <c:v>41672</c:v>
                </c:pt>
                <c:pt idx="237">
                  <c:v>41665</c:v>
                </c:pt>
                <c:pt idx="238">
                  <c:v>41658</c:v>
                </c:pt>
                <c:pt idx="239">
                  <c:v>41651</c:v>
                </c:pt>
                <c:pt idx="240">
                  <c:v>41644</c:v>
                </c:pt>
                <c:pt idx="241">
                  <c:v>41637</c:v>
                </c:pt>
                <c:pt idx="242">
                  <c:v>41630</c:v>
                </c:pt>
                <c:pt idx="243">
                  <c:v>41623</c:v>
                </c:pt>
                <c:pt idx="244">
                  <c:v>41616</c:v>
                </c:pt>
                <c:pt idx="245">
                  <c:v>41609</c:v>
                </c:pt>
                <c:pt idx="246">
                  <c:v>41602</c:v>
                </c:pt>
                <c:pt idx="247">
                  <c:v>41595</c:v>
                </c:pt>
                <c:pt idx="248">
                  <c:v>41588</c:v>
                </c:pt>
                <c:pt idx="249">
                  <c:v>41581</c:v>
                </c:pt>
                <c:pt idx="250">
                  <c:v>41574</c:v>
                </c:pt>
                <c:pt idx="251">
                  <c:v>41567</c:v>
                </c:pt>
                <c:pt idx="252">
                  <c:v>41560</c:v>
                </c:pt>
                <c:pt idx="253">
                  <c:v>41553</c:v>
                </c:pt>
                <c:pt idx="254">
                  <c:v>41546</c:v>
                </c:pt>
                <c:pt idx="255">
                  <c:v>41539</c:v>
                </c:pt>
                <c:pt idx="256">
                  <c:v>41532</c:v>
                </c:pt>
                <c:pt idx="257">
                  <c:v>41525</c:v>
                </c:pt>
                <c:pt idx="258">
                  <c:v>41518</c:v>
                </c:pt>
                <c:pt idx="259">
                  <c:v>41511</c:v>
                </c:pt>
                <c:pt idx="260">
                  <c:v>41504</c:v>
                </c:pt>
                <c:pt idx="261">
                  <c:v>41497</c:v>
                </c:pt>
                <c:pt idx="262">
                  <c:v>41490</c:v>
                </c:pt>
                <c:pt idx="263">
                  <c:v>41483</c:v>
                </c:pt>
                <c:pt idx="264">
                  <c:v>41476</c:v>
                </c:pt>
                <c:pt idx="265">
                  <c:v>41469</c:v>
                </c:pt>
                <c:pt idx="266">
                  <c:v>41462</c:v>
                </c:pt>
                <c:pt idx="267">
                  <c:v>41455</c:v>
                </c:pt>
                <c:pt idx="268">
                  <c:v>41448</c:v>
                </c:pt>
                <c:pt idx="269">
                  <c:v>41441</c:v>
                </c:pt>
                <c:pt idx="270">
                  <c:v>41434</c:v>
                </c:pt>
                <c:pt idx="271">
                  <c:v>41427</c:v>
                </c:pt>
                <c:pt idx="272">
                  <c:v>41420</c:v>
                </c:pt>
                <c:pt idx="273">
                  <c:v>41413</c:v>
                </c:pt>
                <c:pt idx="274">
                  <c:v>41406</c:v>
                </c:pt>
                <c:pt idx="275">
                  <c:v>41399</c:v>
                </c:pt>
                <c:pt idx="276">
                  <c:v>41392</c:v>
                </c:pt>
                <c:pt idx="277">
                  <c:v>41385</c:v>
                </c:pt>
                <c:pt idx="278">
                  <c:v>41378</c:v>
                </c:pt>
                <c:pt idx="279">
                  <c:v>41371</c:v>
                </c:pt>
                <c:pt idx="280">
                  <c:v>41364</c:v>
                </c:pt>
                <c:pt idx="281">
                  <c:v>41357</c:v>
                </c:pt>
                <c:pt idx="282">
                  <c:v>41350</c:v>
                </c:pt>
                <c:pt idx="283">
                  <c:v>41343</c:v>
                </c:pt>
                <c:pt idx="284">
                  <c:v>41336</c:v>
                </c:pt>
                <c:pt idx="285">
                  <c:v>41329</c:v>
                </c:pt>
                <c:pt idx="286">
                  <c:v>41322</c:v>
                </c:pt>
                <c:pt idx="287">
                  <c:v>41315</c:v>
                </c:pt>
                <c:pt idx="288">
                  <c:v>41308</c:v>
                </c:pt>
                <c:pt idx="289">
                  <c:v>41301</c:v>
                </c:pt>
                <c:pt idx="290">
                  <c:v>41294</c:v>
                </c:pt>
                <c:pt idx="291">
                  <c:v>41287</c:v>
                </c:pt>
                <c:pt idx="292">
                  <c:v>41280</c:v>
                </c:pt>
                <c:pt idx="293">
                  <c:v>41273</c:v>
                </c:pt>
                <c:pt idx="294">
                  <c:v>41266</c:v>
                </c:pt>
                <c:pt idx="295">
                  <c:v>41259</c:v>
                </c:pt>
                <c:pt idx="296">
                  <c:v>41252</c:v>
                </c:pt>
                <c:pt idx="297">
                  <c:v>41245</c:v>
                </c:pt>
                <c:pt idx="298">
                  <c:v>41238</c:v>
                </c:pt>
                <c:pt idx="299">
                  <c:v>41231</c:v>
                </c:pt>
                <c:pt idx="300">
                  <c:v>41224</c:v>
                </c:pt>
                <c:pt idx="301">
                  <c:v>41217</c:v>
                </c:pt>
                <c:pt idx="302">
                  <c:v>41210</c:v>
                </c:pt>
                <c:pt idx="303">
                  <c:v>41203</c:v>
                </c:pt>
                <c:pt idx="304">
                  <c:v>41196</c:v>
                </c:pt>
                <c:pt idx="305">
                  <c:v>41189</c:v>
                </c:pt>
                <c:pt idx="306">
                  <c:v>41182</c:v>
                </c:pt>
                <c:pt idx="307">
                  <c:v>41175</c:v>
                </c:pt>
                <c:pt idx="308">
                  <c:v>41168</c:v>
                </c:pt>
                <c:pt idx="309">
                  <c:v>41161</c:v>
                </c:pt>
                <c:pt idx="310">
                  <c:v>41154</c:v>
                </c:pt>
                <c:pt idx="311">
                  <c:v>41147</c:v>
                </c:pt>
                <c:pt idx="312">
                  <c:v>41140</c:v>
                </c:pt>
                <c:pt idx="313">
                  <c:v>41133</c:v>
                </c:pt>
                <c:pt idx="314">
                  <c:v>41126</c:v>
                </c:pt>
                <c:pt idx="315">
                  <c:v>41119</c:v>
                </c:pt>
                <c:pt idx="316">
                  <c:v>41112</c:v>
                </c:pt>
                <c:pt idx="317">
                  <c:v>41105</c:v>
                </c:pt>
                <c:pt idx="318">
                  <c:v>41098</c:v>
                </c:pt>
                <c:pt idx="319">
                  <c:v>41091</c:v>
                </c:pt>
                <c:pt idx="320">
                  <c:v>41084</c:v>
                </c:pt>
                <c:pt idx="321">
                  <c:v>41077</c:v>
                </c:pt>
                <c:pt idx="322">
                  <c:v>41070</c:v>
                </c:pt>
                <c:pt idx="323">
                  <c:v>41063</c:v>
                </c:pt>
                <c:pt idx="324">
                  <c:v>41056</c:v>
                </c:pt>
                <c:pt idx="325">
                  <c:v>41049</c:v>
                </c:pt>
                <c:pt idx="326">
                  <c:v>41042</c:v>
                </c:pt>
                <c:pt idx="327">
                  <c:v>41035</c:v>
                </c:pt>
                <c:pt idx="328">
                  <c:v>41028</c:v>
                </c:pt>
                <c:pt idx="329">
                  <c:v>41021</c:v>
                </c:pt>
                <c:pt idx="330">
                  <c:v>41014</c:v>
                </c:pt>
                <c:pt idx="331">
                  <c:v>41007</c:v>
                </c:pt>
                <c:pt idx="332">
                  <c:v>41000</c:v>
                </c:pt>
                <c:pt idx="333">
                  <c:v>40993</c:v>
                </c:pt>
                <c:pt idx="334">
                  <c:v>40986</c:v>
                </c:pt>
                <c:pt idx="335">
                  <c:v>40979</c:v>
                </c:pt>
                <c:pt idx="336">
                  <c:v>40972</c:v>
                </c:pt>
                <c:pt idx="337">
                  <c:v>40965</c:v>
                </c:pt>
                <c:pt idx="338">
                  <c:v>40958</c:v>
                </c:pt>
                <c:pt idx="339">
                  <c:v>40951</c:v>
                </c:pt>
                <c:pt idx="340">
                  <c:v>40944</c:v>
                </c:pt>
                <c:pt idx="341">
                  <c:v>40937</c:v>
                </c:pt>
                <c:pt idx="342">
                  <c:v>40930</c:v>
                </c:pt>
                <c:pt idx="343">
                  <c:v>40923</c:v>
                </c:pt>
                <c:pt idx="344">
                  <c:v>40916</c:v>
                </c:pt>
                <c:pt idx="345">
                  <c:v>40909</c:v>
                </c:pt>
                <c:pt idx="346">
                  <c:v>40902</c:v>
                </c:pt>
                <c:pt idx="347">
                  <c:v>40895</c:v>
                </c:pt>
                <c:pt idx="348">
                  <c:v>40888</c:v>
                </c:pt>
                <c:pt idx="349">
                  <c:v>40881</c:v>
                </c:pt>
                <c:pt idx="350">
                  <c:v>40874</c:v>
                </c:pt>
                <c:pt idx="351">
                  <c:v>40867</c:v>
                </c:pt>
                <c:pt idx="352">
                  <c:v>40860</c:v>
                </c:pt>
                <c:pt idx="353">
                  <c:v>40853</c:v>
                </c:pt>
                <c:pt idx="354">
                  <c:v>40846</c:v>
                </c:pt>
                <c:pt idx="355">
                  <c:v>40839</c:v>
                </c:pt>
                <c:pt idx="356">
                  <c:v>40832</c:v>
                </c:pt>
                <c:pt idx="357">
                  <c:v>40825</c:v>
                </c:pt>
                <c:pt idx="358">
                  <c:v>40818</c:v>
                </c:pt>
                <c:pt idx="359">
                  <c:v>40811</c:v>
                </c:pt>
                <c:pt idx="360">
                  <c:v>40804</c:v>
                </c:pt>
                <c:pt idx="361">
                  <c:v>40797</c:v>
                </c:pt>
                <c:pt idx="362">
                  <c:v>40790</c:v>
                </c:pt>
                <c:pt idx="363">
                  <c:v>40783</c:v>
                </c:pt>
                <c:pt idx="364">
                  <c:v>40776</c:v>
                </c:pt>
                <c:pt idx="365">
                  <c:v>40769</c:v>
                </c:pt>
                <c:pt idx="366">
                  <c:v>40762</c:v>
                </c:pt>
                <c:pt idx="367">
                  <c:v>40755</c:v>
                </c:pt>
                <c:pt idx="368">
                  <c:v>40748</c:v>
                </c:pt>
                <c:pt idx="369">
                  <c:v>40741</c:v>
                </c:pt>
                <c:pt idx="370">
                  <c:v>40734</c:v>
                </c:pt>
                <c:pt idx="371">
                  <c:v>40727</c:v>
                </c:pt>
                <c:pt idx="372">
                  <c:v>40720</c:v>
                </c:pt>
                <c:pt idx="373">
                  <c:v>40713</c:v>
                </c:pt>
                <c:pt idx="374">
                  <c:v>40706</c:v>
                </c:pt>
                <c:pt idx="375">
                  <c:v>40699</c:v>
                </c:pt>
                <c:pt idx="376">
                  <c:v>40692</c:v>
                </c:pt>
                <c:pt idx="377">
                  <c:v>40685</c:v>
                </c:pt>
                <c:pt idx="378">
                  <c:v>40678</c:v>
                </c:pt>
                <c:pt idx="379">
                  <c:v>40671</c:v>
                </c:pt>
                <c:pt idx="380">
                  <c:v>40664</c:v>
                </c:pt>
                <c:pt idx="381">
                  <c:v>40657</c:v>
                </c:pt>
                <c:pt idx="382">
                  <c:v>40650</c:v>
                </c:pt>
                <c:pt idx="383">
                  <c:v>40643</c:v>
                </c:pt>
                <c:pt idx="384">
                  <c:v>40636</c:v>
                </c:pt>
                <c:pt idx="385">
                  <c:v>40629</c:v>
                </c:pt>
                <c:pt idx="386">
                  <c:v>40622</c:v>
                </c:pt>
                <c:pt idx="387">
                  <c:v>40615</c:v>
                </c:pt>
                <c:pt idx="388">
                  <c:v>40608</c:v>
                </c:pt>
                <c:pt idx="389">
                  <c:v>40601</c:v>
                </c:pt>
                <c:pt idx="390">
                  <c:v>40594</c:v>
                </c:pt>
                <c:pt idx="391">
                  <c:v>40587</c:v>
                </c:pt>
                <c:pt idx="392">
                  <c:v>40580</c:v>
                </c:pt>
                <c:pt idx="393">
                  <c:v>40573</c:v>
                </c:pt>
                <c:pt idx="394">
                  <c:v>40566</c:v>
                </c:pt>
                <c:pt idx="395">
                  <c:v>40559</c:v>
                </c:pt>
                <c:pt idx="396">
                  <c:v>40552</c:v>
                </c:pt>
                <c:pt idx="397">
                  <c:v>40545</c:v>
                </c:pt>
                <c:pt idx="398">
                  <c:v>40538</c:v>
                </c:pt>
                <c:pt idx="399">
                  <c:v>40531</c:v>
                </c:pt>
                <c:pt idx="400">
                  <c:v>40524</c:v>
                </c:pt>
                <c:pt idx="401">
                  <c:v>40517</c:v>
                </c:pt>
                <c:pt idx="402">
                  <c:v>40510</c:v>
                </c:pt>
                <c:pt idx="403">
                  <c:v>40503</c:v>
                </c:pt>
                <c:pt idx="404">
                  <c:v>40496</c:v>
                </c:pt>
                <c:pt idx="405">
                  <c:v>40489</c:v>
                </c:pt>
                <c:pt idx="406">
                  <c:v>40482</c:v>
                </c:pt>
                <c:pt idx="407">
                  <c:v>40475</c:v>
                </c:pt>
                <c:pt idx="408">
                  <c:v>40468</c:v>
                </c:pt>
                <c:pt idx="409">
                  <c:v>40461</c:v>
                </c:pt>
                <c:pt idx="410">
                  <c:v>40454</c:v>
                </c:pt>
                <c:pt idx="411">
                  <c:v>40447</c:v>
                </c:pt>
                <c:pt idx="412">
                  <c:v>40440</c:v>
                </c:pt>
                <c:pt idx="413">
                  <c:v>40433</c:v>
                </c:pt>
                <c:pt idx="414">
                  <c:v>40426</c:v>
                </c:pt>
                <c:pt idx="415">
                  <c:v>40419</c:v>
                </c:pt>
                <c:pt idx="416">
                  <c:v>40412</c:v>
                </c:pt>
                <c:pt idx="417">
                  <c:v>40405</c:v>
                </c:pt>
                <c:pt idx="418">
                  <c:v>40398</c:v>
                </c:pt>
                <c:pt idx="419">
                  <c:v>40391</c:v>
                </c:pt>
                <c:pt idx="420">
                  <c:v>40384</c:v>
                </c:pt>
                <c:pt idx="421">
                  <c:v>40377</c:v>
                </c:pt>
                <c:pt idx="422">
                  <c:v>40370</c:v>
                </c:pt>
                <c:pt idx="423">
                  <c:v>40363</c:v>
                </c:pt>
                <c:pt idx="424">
                  <c:v>40356</c:v>
                </c:pt>
                <c:pt idx="425">
                  <c:v>40349</c:v>
                </c:pt>
                <c:pt idx="426">
                  <c:v>40342</c:v>
                </c:pt>
                <c:pt idx="427">
                  <c:v>40335</c:v>
                </c:pt>
                <c:pt idx="428">
                  <c:v>40328</c:v>
                </c:pt>
                <c:pt idx="429">
                  <c:v>40321</c:v>
                </c:pt>
                <c:pt idx="430">
                  <c:v>40314</c:v>
                </c:pt>
                <c:pt idx="431">
                  <c:v>40307</c:v>
                </c:pt>
                <c:pt idx="432">
                  <c:v>40300</c:v>
                </c:pt>
                <c:pt idx="433">
                  <c:v>40293</c:v>
                </c:pt>
                <c:pt idx="434">
                  <c:v>40286</c:v>
                </c:pt>
                <c:pt idx="435">
                  <c:v>40279</c:v>
                </c:pt>
                <c:pt idx="436">
                  <c:v>40272</c:v>
                </c:pt>
                <c:pt idx="437">
                  <c:v>40265</c:v>
                </c:pt>
                <c:pt idx="438">
                  <c:v>40258</c:v>
                </c:pt>
                <c:pt idx="439">
                  <c:v>40251</c:v>
                </c:pt>
                <c:pt idx="440">
                  <c:v>40244</c:v>
                </c:pt>
                <c:pt idx="441">
                  <c:v>40237</c:v>
                </c:pt>
                <c:pt idx="442">
                  <c:v>40230</c:v>
                </c:pt>
                <c:pt idx="443">
                  <c:v>40223</c:v>
                </c:pt>
                <c:pt idx="444">
                  <c:v>40216</c:v>
                </c:pt>
                <c:pt idx="445">
                  <c:v>40209</c:v>
                </c:pt>
                <c:pt idx="446">
                  <c:v>40202</c:v>
                </c:pt>
                <c:pt idx="447">
                  <c:v>40195</c:v>
                </c:pt>
                <c:pt idx="448">
                  <c:v>40188</c:v>
                </c:pt>
                <c:pt idx="449">
                  <c:v>40181</c:v>
                </c:pt>
                <c:pt idx="450">
                  <c:v>40174</c:v>
                </c:pt>
                <c:pt idx="451">
                  <c:v>40167</c:v>
                </c:pt>
                <c:pt idx="452">
                  <c:v>40160</c:v>
                </c:pt>
                <c:pt idx="453">
                  <c:v>40153</c:v>
                </c:pt>
                <c:pt idx="454">
                  <c:v>40146</c:v>
                </c:pt>
                <c:pt idx="455">
                  <c:v>40139</c:v>
                </c:pt>
                <c:pt idx="456">
                  <c:v>40132</c:v>
                </c:pt>
                <c:pt idx="457">
                  <c:v>40125</c:v>
                </c:pt>
                <c:pt idx="458">
                  <c:v>40118</c:v>
                </c:pt>
                <c:pt idx="459">
                  <c:v>40111</c:v>
                </c:pt>
                <c:pt idx="460">
                  <c:v>40104</c:v>
                </c:pt>
                <c:pt idx="461">
                  <c:v>40097</c:v>
                </c:pt>
                <c:pt idx="462">
                  <c:v>40090</c:v>
                </c:pt>
                <c:pt idx="463">
                  <c:v>40083</c:v>
                </c:pt>
                <c:pt idx="464">
                  <c:v>40076</c:v>
                </c:pt>
                <c:pt idx="465">
                  <c:v>40069</c:v>
                </c:pt>
                <c:pt idx="466">
                  <c:v>40062</c:v>
                </c:pt>
                <c:pt idx="467">
                  <c:v>40055</c:v>
                </c:pt>
                <c:pt idx="468">
                  <c:v>40048</c:v>
                </c:pt>
                <c:pt idx="469">
                  <c:v>40041</c:v>
                </c:pt>
                <c:pt idx="470">
                  <c:v>40034</c:v>
                </c:pt>
                <c:pt idx="471">
                  <c:v>40027</c:v>
                </c:pt>
                <c:pt idx="472">
                  <c:v>40020</c:v>
                </c:pt>
                <c:pt idx="473">
                  <c:v>40013</c:v>
                </c:pt>
                <c:pt idx="474">
                  <c:v>40006</c:v>
                </c:pt>
                <c:pt idx="475">
                  <c:v>39999</c:v>
                </c:pt>
                <c:pt idx="476">
                  <c:v>39992</c:v>
                </c:pt>
                <c:pt idx="477">
                  <c:v>39985</c:v>
                </c:pt>
                <c:pt idx="478">
                  <c:v>39978</c:v>
                </c:pt>
                <c:pt idx="479">
                  <c:v>39971</c:v>
                </c:pt>
                <c:pt idx="480">
                  <c:v>39964</c:v>
                </c:pt>
                <c:pt idx="481">
                  <c:v>39957</c:v>
                </c:pt>
                <c:pt idx="482">
                  <c:v>39950</c:v>
                </c:pt>
                <c:pt idx="483">
                  <c:v>39943</c:v>
                </c:pt>
                <c:pt idx="484">
                  <c:v>39936</c:v>
                </c:pt>
                <c:pt idx="485">
                  <c:v>39929</c:v>
                </c:pt>
                <c:pt idx="486">
                  <c:v>39922</c:v>
                </c:pt>
                <c:pt idx="487">
                  <c:v>39915</c:v>
                </c:pt>
                <c:pt idx="488">
                  <c:v>39908</c:v>
                </c:pt>
                <c:pt idx="489">
                  <c:v>39901</c:v>
                </c:pt>
                <c:pt idx="490">
                  <c:v>39894</c:v>
                </c:pt>
                <c:pt idx="491">
                  <c:v>39887</c:v>
                </c:pt>
                <c:pt idx="492">
                  <c:v>39880</c:v>
                </c:pt>
                <c:pt idx="493">
                  <c:v>39873</c:v>
                </c:pt>
                <c:pt idx="494">
                  <c:v>39866</c:v>
                </c:pt>
                <c:pt idx="495">
                  <c:v>39859</c:v>
                </c:pt>
                <c:pt idx="496">
                  <c:v>39852</c:v>
                </c:pt>
                <c:pt idx="497">
                  <c:v>39845</c:v>
                </c:pt>
                <c:pt idx="498">
                  <c:v>39838</c:v>
                </c:pt>
                <c:pt idx="499">
                  <c:v>39831</c:v>
                </c:pt>
                <c:pt idx="500">
                  <c:v>39824</c:v>
                </c:pt>
                <c:pt idx="501">
                  <c:v>39817</c:v>
                </c:pt>
                <c:pt idx="502">
                  <c:v>39810</c:v>
                </c:pt>
                <c:pt idx="503">
                  <c:v>39803</c:v>
                </c:pt>
                <c:pt idx="504">
                  <c:v>39796</c:v>
                </c:pt>
                <c:pt idx="505">
                  <c:v>39789</c:v>
                </c:pt>
                <c:pt idx="506">
                  <c:v>39782</c:v>
                </c:pt>
                <c:pt idx="507">
                  <c:v>39775</c:v>
                </c:pt>
                <c:pt idx="508">
                  <c:v>39768</c:v>
                </c:pt>
                <c:pt idx="509">
                  <c:v>39761</c:v>
                </c:pt>
                <c:pt idx="510">
                  <c:v>39754</c:v>
                </c:pt>
                <c:pt idx="511">
                  <c:v>39747</c:v>
                </c:pt>
                <c:pt idx="512">
                  <c:v>39740</c:v>
                </c:pt>
                <c:pt idx="513">
                  <c:v>39733</c:v>
                </c:pt>
                <c:pt idx="514">
                  <c:v>39726</c:v>
                </c:pt>
                <c:pt idx="515">
                  <c:v>39719</c:v>
                </c:pt>
                <c:pt idx="516">
                  <c:v>39712</c:v>
                </c:pt>
                <c:pt idx="517">
                  <c:v>39705</c:v>
                </c:pt>
                <c:pt idx="518">
                  <c:v>39698</c:v>
                </c:pt>
                <c:pt idx="519">
                  <c:v>39691</c:v>
                </c:pt>
                <c:pt idx="520">
                  <c:v>39684</c:v>
                </c:pt>
                <c:pt idx="521">
                  <c:v>39677</c:v>
                </c:pt>
                <c:pt idx="522">
                  <c:v>39670</c:v>
                </c:pt>
                <c:pt idx="523">
                  <c:v>39663</c:v>
                </c:pt>
                <c:pt idx="524">
                  <c:v>39656</c:v>
                </c:pt>
                <c:pt idx="525">
                  <c:v>39649</c:v>
                </c:pt>
                <c:pt idx="526">
                  <c:v>39642</c:v>
                </c:pt>
                <c:pt idx="527">
                  <c:v>39635</c:v>
                </c:pt>
                <c:pt idx="528">
                  <c:v>39628</c:v>
                </c:pt>
                <c:pt idx="529">
                  <c:v>39621</c:v>
                </c:pt>
                <c:pt idx="530">
                  <c:v>39614</c:v>
                </c:pt>
                <c:pt idx="531">
                  <c:v>39607</c:v>
                </c:pt>
                <c:pt idx="532">
                  <c:v>39600</c:v>
                </c:pt>
                <c:pt idx="533">
                  <c:v>39593</c:v>
                </c:pt>
                <c:pt idx="534">
                  <c:v>39586</c:v>
                </c:pt>
                <c:pt idx="535">
                  <c:v>39579</c:v>
                </c:pt>
                <c:pt idx="536">
                  <c:v>39572</c:v>
                </c:pt>
                <c:pt idx="537">
                  <c:v>39565</c:v>
                </c:pt>
                <c:pt idx="538">
                  <c:v>39558</c:v>
                </c:pt>
                <c:pt idx="539">
                  <c:v>39551</c:v>
                </c:pt>
                <c:pt idx="540">
                  <c:v>39544</c:v>
                </c:pt>
                <c:pt idx="541">
                  <c:v>39537</c:v>
                </c:pt>
                <c:pt idx="542">
                  <c:v>39530</c:v>
                </c:pt>
                <c:pt idx="543">
                  <c:v>39523</c:v>
                </c:pt>
                <c:pt idx="544">
                  <c:v>39516</c:v>
                </c:pt>
                <c:pt idx="545">
                  <c:v>39509</c:v>
                </c:pt>
                <c:pt idx="546">
                  <c:v>39502</c:v>
                </c:pt>
                <c:pt idx="547">
                  <c:v>39495</c:v>
                </c:pt>
                <c:pt idx="548">
                  <c:v>39488</c:v>
                </c:pt>
                <c:pt idx="549">
                  <c:v>39481</c:v>
                </c:pt>
                <c:pt idx="550">
                  <c:v>39474</c:v>
                </c:pt>
                <c:pt idx="551">
                  <c:v>39467</c:v>
                </c:pt>
                <c:pt idx="552">
                  <c:v>39460</c:v>
                </c:pt>
                <c:pt idx="553">
                  <c:v>39453</c:v>
                </c:pt>
                <c:pt idx="554">
                  <c:v>39446</c:v>
                </c:pt>
                <c:pt idx="555">
                  <c:v>39439</c:v>
                </c:pt>
                <c:pt idx="556">
                  <c:v>39432</c:v>
                </c:pt>
                <c:pt idx="557">
                  <c:v>39425</c:v>
                </c:pt>
                <c:pt idx="558">
                  <c:v>39418</c:v>
                </c:pt>
                <c:pt idx="559">
                  <c:v>39411</c:v>
                </c:pt>
                <c:pt idx="560">
                  <c:v>39404</c:v>
                </c:pt>
                <c:pt idx="561">
                  <c:v>39397</c:v>
                </c:pt>
                <c:pt idx="562">
                  <c:v>39390</c:v>
                </c:pt>
                <c:pt idx="563">
                  <c:v>39383</c:v>
                </c:pt>
                <c:pt idx="564">
                  <c:v>39376</c:v>
                </c:pt>
                <c:pt idx="565">
                  <c:v>39369</c:v>
                </c:pt>
                <c:pt idx="566">
                  <c:v>39362</c:v>
                </c:pt>
                <c:pt idx="567">
                  <c:v>39355</c:v>
                </c:pt>
                <c:pt idx="568">
                  <c:v>39348</c:v>
                </c:pt>
                <c:pt idx="569">
                  <c:v>39341</c:v>
                </c:pt>
                <c:pt idx="570">
                  <c:v>39334</c:v>
                </c:pt>
                <c:pt idx="571">
                  <c:v>39327</c:v>
                </c:pt>
                <c:pt idx="572">
                  <c:v>39320</c:v>
                </c:pt>
                <c:pt idx="573">
                  <c:v>39313</c:v>
                </c:pt>
                <c:pt idx="574">
                  <c:v>39306</c:v>
                </c:pt>
                <c:pt idx="575">
                  <c:v>39299</c:v>
                </c:pt>
                <c:pt idx="576">
                  <c:v>39292</c:v>
                </c:pt>
                <c:pt idx="577">
                  <c:v>39285</c:v>
                </c:pt>
                <c:pt idx="578">
                  <c:v>39278</c:v>
                </c:pt>
                <c:pt idx="579">
                  <c:v>39271</c:v>
                </c:pt>
                <c:pt idx="580">
                  <c:v>39264</c:v>
                </c:pt>
                <c:pt idx="581">
                  <c:v>39257</c:v>
                </c:pt>
                <c:pt idx="582">
                  <c:v>39250</c:v>
                </c:pt>
                <c:pt idx="583">
                  <c:v>39243</c:v>
                </c:pt>
                <c:pt idx="584">
                  <c:v>39236</c:v>
                </c:pt>
                <c:pt idx="585">
                  <c:v>39229</c:v>
                </c:pt>
                <c:pt idx="586">
                  <c:v>39222</c:v>
                </c:pt>
                <c:pt idx="587">
                  <c:v>39215</c:v>
                </c:pt>
                <c:pt idx="588">
                  <c:v>39208</c:v>
                </c:pt>
                <c:pt idx="589">
                  <c:v>39201</c:v>
                </c:pt>
                <c:pt idx="590">
                  <c:v>39194</c:v>
                </c:pt>
                <c:pt idx="591">
                  <c:v>39187</c:v>
                </c:pt>
                <c:pt idx="592">
                  <c:v>39180</c:v>
                </c:pt>
                <c:pt idx="593">
                  <c:v>39173</c:v>
                </c:pt>
                <c:pt idx="594">
                  <c:v>39166</c:v>
                </c:pt>
                <c:pt idx="595">
                  <c:v>39159</c:v>
                </c:pt>
                <c:pt idx="596">
                  <c:v>39152</c:v>
                </c:pt>
                <c:pt idx="597">
                  <c:v>39145</c:v>
                </c:pt>
                <c:pt idx="598">
                  <c:v>39138</c:v>
                </c:pt>
                <c:pt idx="599">
                  <c:v>39131</c:v>
                </c:pt>
                <c:pt idx="600">
                  <c:v>39124</c:v>
                </c:pt>
                <c:pt idx="601">
                  <c:v>39117</c:v>
                </c:pt>
                <c:pt idx="602">
                  <c:v>39110</c:v>
                </c:pt>
                <c:pt idx="603">
                  <c:v>39103</c:v>
                </c:pt>
                <c:pt idx="604">
                  <c:v>39096</c:v>
                </c:pt>
                <c:pt idx="605">
                  <c:v>39089</c:v>
                </c:pt>
                <c:pt idx="606">
                  <c:v>39082</c:v>
                </c:pt>
                <c:pt idx="607">
                  <c:v>39075</c:v>
                </c:pt>
                <c:pt idx="608">
                  <c:v>39068</c:v>
                </c:pt>
                <c:pt idx="609">
                  <c:v>39061</c:v>
                </c:pt>
                <c:pt idx="610">
                  <c:v>39054</c:v>
                </c:pt>
                <c:pt idx="611">
                  <c:v>39047</c:v>
                </c:pt>
                <c:pt idx="612">
                  <c:v>39040</c:v>
                </c:pt>
                <c:pt idx="613">
                  <c:v>39033</c:v>
                </c:pt>
                <c:pt idx="614">
                  <c:v>39026</c:v>
                </c:pt>
                <c:pt idx="615">
                  <c:v>39019</c:v>
                </c:pt>
                <c:pt idx="616">
                  <c:v>39012</c:v>
                </c:pt>
                <c:pt idx="617">
                  <c:v>39005</c:v>
                </c:pt>
                <c:pt idx="618">
                  <c:v>38998</c:v>
                </c:pt>
                <c:pt idx="619">
                  <c:v>38991</c:v>
                </c:pt>
                <c:pt idx="620">
                  <c:v>38984</c:v>
                </c:pt>
                <c:pt idx="621">
                  <c:v>38977</c:v>
                </c:pt>
                <c:pt idx="622">
                  <c:v>38970</c:v>
                </c:pt>
                <c:pt idx="623">
                  <c:v>38963</c:v>
                </c:pt>
                <c:pt idx="624">
                  <c:v>38956</c:v>
                </c:pt>
                <c:pt idx="625">
                  <c:v>38949</c:v>
                </c:pt>
                <c:pt idx="626">
                  <c:v>38942</c:v>
                </c:pt>
                <c:pt idx="627">
                  <c:v>38935</c:v>
                </c:pt>
                <c:pt idx="628">
                  <c:v>38928</c:v>
                </c:pt>
                <c:pt idx="629">
                  <c:v>38921</c:v>
                </c:pt>
                <c:pt idx="630">
                  <c:v>38914</c:v>
                </c:pt>
                <c:pt idx="631">
                  <c:v>38907</c:v>
                </c:pt>
                <c:pt idx="632">
                  <c:v>38900</c:v>
                </c:pt>
                <c:pt idx="633">
                  <c:v>38893</c:v>
                </c:pt>
                <c:pt idx="634">
                  <c:v>38886</c:v>
                </c:pt>
                <c:pt idx="635">
                  <c:v>38879</c:v>
                </c:pt>
                <c:pt idx="636">
                  <c:v>38872</c:v>
                </c:pt>
                <c:pt idx="637">
                  <c:v>38865</c:v>
                </c:pt>
                <c:pt idx="638">
                  <c:v>38858</c:v>
                </c:pt>
                <c:pt idx="639">
                  <c:v>38851</c:v>
                </c:pt>
                <c:pt idx="640">
                  <c:v>38844</c:v>
                </c:pt>
                <c:pt idx="641">
                  <c:v>38837</c:v>
                </c:pt>
                <c:pt idx="642">
                  <c:v>38830</c:v>
                </c:pt>
                <c:pt idx="643">
                  <c:v>38823</c:v>
                </c:pt>
                <c:pt idx="644">
                  <c:v>38816</c:v>
                </c:pt>
                <c:pt idx="645">
                  <c:v>38809</c:v>
                </c:pt>
                <c:pt idx="646">
                  <c:v>38802</c:v>
                </c:pt>
                <c:pt idx="647">
                  <c:v>38795</c:v>
                </c:pt>
                <c:pt idx="648">
                  <c:v>38788</c:v>
                </c:pt>
                <c:pt idx="649">
                  <c:v>38781</c:v>
                </c:pt>
                <c:pt idx="650">
                  <c:v>38774</c:v>
                </c:pt>
                <c:pt idx="651">
                  <c:v>38767</c:v>
                </c:pt>
                <c:pt idx="652">
                  <c:v>38760</c:v>
                </c:pt>
                <c:pt idx="653">
                  <c:v>38753</c:v>
                </c:pt>
                <c:pt idx="654">
                  <c:v>38746</c:v>
                </c:pt>
                <c:pt idx="655">
                  <c:v>38739</c:v>
                </c:pt>
                <c:pt idx="656">
                  <c:v>38732</c:v>
                </c:pt>
                <c:pt idx="657">
                  <c:v>38725</c:v>
                </c:pt>
                <c:pt idx="658">
                  <c:v>38718</c:v>
                </c:pt>
                <c:pt idx="659">
                  <c:v>38711</c:v>
                </c:pt>
                <c:pt idx="660">
                  <c:v>38704</c:v>
                </c:pt>
                <c:pt idx="661">
                  <c:v>38697</c:v>
                </c:pt>
                <c:pt idx="662">
                  <c:v>38690</c:v>
                </c:pt>
                <c:pt idx="663">
                  <c:v>38683</c:v>
                </c:pt>
                <c:pt idx="664">
                  <c:v>38676</c:v>
                </c:pt>
                <c:pt idx="665">
                  <c:v>38669</c:v>
                </c:pt>
                <c:pt idx="666">
                  <c:v>38662</c:v>
                </c:pt>
                <c:pt idx="667">
                  <c:v>38655</c:v>
                </c:pt>
                <c:pt idx="668">
                  <c:v>38648</c:v>
                </c:pt>
                <c:pt idx="669">
                  <c:v>38641</c:v>
                </c:pt>
                <c:pt idx="670">
                  <c:v>38634</c:v>
                </c:pt>
                <c:pt idx="671">
                  <c:v>38627</c:v>
                </c:pt>
                <c:pt idx="672">
                  <c:v>38620</c:v>
                </c:pt>
                <c:pt idx="673">
                  <c:v>38613</c:v>
                </c:pt>
                <c:pt idx="674">
                  <c:v>38606</c:v>
                </c:pt>
                <c:pt idx="675">
                  <c:v>38599</c:v>
                </c:pt>
                <c:pt idx="676">
                  <c:v>38592</c:v>
                </c:pt>
                <c:pt idx="677">
                  <c:v>38585</c:v>
                </c:pt>
                <c:pt idx="678">
                  <c:v>38578</c:v>
                </c:pt>
                <c:pt idx="679">
                  <c:v>38571</c:v>
                </c:pt>
                <c:pt idx="680">
                  <c:v>38564</c:v>
                </c:pt>
                <c:pt idx="681">
                  <c:v>38557</c:v>
                </c:pt>
                <c:pt idx="682">
                  <c:v>38550</c:v>
                </c:pt>
                <c:pt idx="683">
                  <c:v>38543</c:v>
                </c:pt>
                <c:pt idx="684">
                  <c:v>38536</c:v>
                </c:pt>
                <c:pt idx="685">
                  <c:v>38529</c:v>
                </c:pt>
                <c:pt idx="686">
                  <c:v>38522</c:v>
                </c:pt>
                <c:pt idx="687">
                  <c:v>38515</c:v>
                </c:pt>
                <c:pt idx="688">
                  <c:v>38508</c:v>
                </c:pt>
                <c:pt idx="689">
                  <c:v>38501</c:v>
                </c:pt>
                <c:pt idx="690">
                  <c:v>38494</c:v>
                </c:pt>
                <c:pt idx="691">
                  <c:v>38487</c:v>
                </c:pt>
                <c:pt idx="692">
                  <c:v>38480</c:v>
                </c:pt>
                <c:pt idx="693">
                  <c:v>38473</c:v>
                </c:pt>
                <c:pt idx="694">
                  <c:v>38466</c:v>
                </c:pt>
                <c:pt idx="695">
                  <c:v>38459</c:v>
                </c:pt>
                <c:pt idx="696">
                  <c:v>38452</c:v>
                </c:pt>
                <c:pt idx="697">
                  <c:v>38445</c:v>
                </c:pt>
                <c:pt idx="698">
                  <c:v>38438</c:v>
                </c:pt>
                <c:pt idx="699">
                  <c:v>38431</c:v>
                </c:pt>
                <c:pt idx="700">
                  <c:v>38424</c:v>
                </c:pt>
                <c:pt idx="701">
                  <c:v>38417</c:v>
                </c:pt>
                <c:pt idx="702">
                  <c:v>38410</c:v>
                </c:pt>
                <c:pt idx="703">
                  <c:v>38403</c:v>
                </c:pt>
                <c:pt idx="704">
                  <c:v>38396</c:v>
                </c:pt>
                <c:pt idx="705">
                  <c:v>38389</c:v>
                </c:pt>
                <c:pt idx="706">
                  <c:v>38382</c:v>
                </c:pt>
                <c:pt idx="707">
                  <c:v>38375</c:v>
                </c:pt>
                <c:pt idx="708">
                  <c:v>38368</c:v>
                </c:pt>
                <c:pt idx="709">
                  <c:v>38361</c:v>
                </c:pt>
                <c:pt idx="710">
                  <c:v>38354</c:v>
                </c:pt>
                <c:pt idx="711">
                  <c:v>38347</c:v>
                </c:pt>
                <c:pt idx="712">
                  <c:v>38340</c:v>
                </c:pt>
                <c:pt idx="713">
                  <c:v>38333</c:v>
                </c:pt>
                <c:pt idx="714">
                  <c:v>38326</c:v>
                </c:pt>
                <c:pt idx="715">
                  <c:v>38319</c:v>
                </c:pt>
                <c:pt idx="716">
                  <c:v>38312</c:v>
                </c:pt>
                <c:pt idx="717">
                  <c:v>38305</c:v>
                </c:pt>
                <c:pt idx="718">
                  <c:v>38298</c:v>
                </c:pt>
                <c:pt idx="719">
                  <c:v>38291</c:v>
                </c:pt>
                <c:pt idx="720">
                  <c:v>38284</c:v>
                </c:pt>
                <c:pt idx="721">
                  <c:v>38277</c:v>
                </c:pt>
                <c:pt idx="722">
                  <c:v>38270</c:v>
                </c:pt>
                <c:pt idx="723">
                  <c:v>38263</c:v>
                </c:pt>
                <c:pt idx="724">
                  <c:v>38256</c:v>
                </c:pt>
                <c:pt idx="725">
                  <c:v>38249</c:v>
                </c:pt>
                <c:pt idx="726">
                  <c:v>38242</c:v>
                </c:pt>
                <c:pt idx="727">
                  <c:v>38235</c:v>
                </c:pt>
                <c:pt idx="728">
                  <c:v>38228</c:v>
                </c:pt>
                <c:pt idx="729">
                  <c:v>38221</c:v>
                </c:pt>
                <c:pt idx="730">
                  <c:v>38214</c:v>
                </c:pt>
                <c:pt idx="731">
                  <c:v>38207</c:v>
                </c:pt>
                <c:pt idx="732">
                  <c:v>38200</c:v>
                </c:pt>
                <c:pt idx="733">
                  <c:v>38193</c:v>
                </c:pt>
                <c:pt idx="734">
                  <c:v>38186</c:v>
                </c:pt>
                <c:pt idx="735">
                  <c:v>38179</c:v>
                </c:pt>
                <c:pt idx="736">
                  <c:v>38172</c:v>
                </c:pt>
                <c:pt idx="737">
                  <c:v>38165</c:v>
                </c:pt>
                <c:pt idx="738">
                  <c:v>38158</c:v>
                </c:pt>
                <c:pt idx="739">
                  <c:v>38151</c:v>
                </c:pt>
                <c:pt idx="740">
                  <c:v>38144</c:v>
                </c:pt>
                <c:pt idx="741">
                  <c:v>38137</c:v>
                </c:pt>
                <c:pt idx="742">
                  <c:v>38130</c:v>
                </c:pt>
                <c:pt idx="743">
                  <c:v>38123</c:v>
                </c:pt>
                <c:pt idx="744">
                  <c:v>38116</c:v>
                </c:pt>
                <c:pt idx="745">
                  <c:v>38109</c:v>
                </c:pt>
                <c:pt idx="746">
                  <c:v>38102</c:v>
                </c:pt>
                <c:pt idx="747">
                  <c:v>38095</c:v>
                </c:pt>
                <c:pt idx="748">
                  <c:v>38088</c:v>
                </c:pt>
                <c:pt idx="749">
                  <c:v>38081</c:v>
                </c:pt>
                <c:pt idx="750">
                  <c:v>38074</c:v>
                </c:pt>
                <c:pt idx="751">
                  <c:v>38067</c:v>
                </c:pt>
                <c:pt idx="752">
                  <c:v>38060</c:v>
                </c:pt>
                <c:pt idx="753">
                  <c:v>38053</c:v>
                </c:pt>
                <c:pt idx="754">
                  <c:v>38046</c:v>
                </c:pt>
                <c:pt idx="755">
                  <c:v>38039</c:v>
                </c:pt>
                <c:pt idx="756">
                  <c:v>38032</c:v>
                </c:pt>
                <c:pt idx="757">
                  <c:v>38025</c:v>
                </c:pt>
                <c:pt idx="758">
                  <c:v>38018</c:v>
                </c:pt>
                <c:pt idx="759">
                  <c:v>38011</c:v>
                </c:pt>
                <c:pt idx="760">
                  <c:v>38004</c:v>
                </c:pt>
                <c:pt idx="761">
                  <c:v>37997</c:v>
                </c:pt>
                <c:pt idx="762">
                  <c:v>37990</c:v>
                </c:pt>
                <c:pt idx="763">
                  <c:v>37983</c:v>
                </c:pt>
                <c:pt idx="764">
                  <c:v>37976</c:v>
                </c:pt>
                <c:pt idx="765">
                  <c:v>37969</c:v>
                </c:pt>
                <c:pt idx="766">
                  <c:v>37962</c:v>
                </c:pt>
                <c:pt idx="767">
                  <c:v>37955</c:v>
                </c:pt>
                <c:pt idx="768">
                  <c:v>37948</c:v>
                </c:pt>
                <c:pt idx="769">
                  <c:v>37941</c:v>
                </c:pt>
                <c:pt idx="770">
                  <c:v>37934</c:v>
                </c:pt>
                <c:pt idx="771">
                  <c:v>37927</c:v>
                </c:pt>
                <c:pt idx="772">
                  <c:v>37920</c:v>
                </c:pt>
                <c:pt idx="773">
                  <c:v>37913</c:v>
                </c:pt>
                <c:pt idx="774">
                  <c:v>37906</c:v>
                </c:pt>
                <c:pt idx="775">
                  <c:v>37899</c:v>
                </c:pt>
                <c:pt idx="776">
                  <c:v>37892</c:v>
                </c:pt>
                <c:pt idx="777">
                  <c:v>37885</c:v>
                </c:pt>
                <c:pt idx="778">
                  <c:v>37878</c:v>
                </c:pt>
                <c:pt idx="779">
                  <c:v>37871</c:v>
                </c:pt>
                <c:pt idx="780">
                  <c:v>37864</c:v>
                </c:pt>
                <c:pt idx="781">
                  <c:v>37857</c:v>
                </c:pt>
                <c:pt idx="782">
                  <c:v>37850</c:v>
                </c:pt>
                <c:pt idx="783">
                  <c:v>37843</c:v>
                </c:pt>
                <c:pt idx="784">
                  <c:v>37836</c:v>
                </c:pt>
                <c:pt idx="785">
                  <c:v>37829</c:v>
                </c:pt>
                <c:pt idx="786">
                  <c:v>37822</c:v>
                </c:pt>
                <c:pt idx="787">
                  <c:v>37815</c:v>
                </c:pt>
                <c:pt idx="788">
                  <c:v>37808</c:v>
                </c:pt>
                <c:pt idx="789">
                  <c:v>37801</c:v>
                </c:pt>
                <c:pt idx="790">
                  <c:v>37794</c:v>
                </c:pt>
                <c:pt idx="791">
                  <c:v>37787</c:v>
                </c:pt>
                <c:pt idx="792">
                  <c:v>37780</c:v>
                </c:pt>
                <c:pt idx="793">
                  <c:v>37773</c:v>
                </c:pt>
                <c:pt idx="794">
                  <c:v>37766</c:v>
                </c:pt>
                <c:pt idx="795">
                  <c:v>37759</c:v>
                </c:pt>
                <c:pt idx="796">
                  <c:v>37752</c:v>
                </c:pt>
                <c:pt idx="797">
                  <c:v>37745</c:v>
                </c:pt>
                <c:pt idx="798">
                  <c:v>37738</c:v>
                </c:pt>
                <c:pt idx="799">
                  <c:v>37731</c:v>
                </c:pt>
                <c:pt idx="800">
                  <c:v>37724</c:v>
                </c:pt>
                <c:pt idx="801">
                  <c:v>37717</c:v>
                </c:pt>
                <c:pt idx="802">
                  <c:v>37710</c:v>
                </c:pt>
                <c:pt idx="803">
                  <c:v>37703</c:v>
                </c:pt>
                <c:pt idx="804">
                  <c:v>37696</c:v>
                </c:pt>
                <c:pt idx="805">
                  <c:v>37689</c:v>
                </c:pt>
                <c:pt idx="806">
                  <c:v>37682</c:v>
                </c:pt>
                <c:pt idx="807">
                  <c:v>37675</c:v>
                </c:pt>
                <c:pt idx="808">
                  <c:v>37668</c:v>
                </c:pt>
                <c:pt idx="809">
                  <c:v>37661</c:v>
                </c:pt>
                <c:pt idx="810">
                  <c:v>37654</c:v>
                </c:pt>
                <c:pt idx="811">
                  <c:v>37647</c:v>
                </c:pt>
                <c:pt idx="812">
                  <c:v>37640</c:v>
                </c:pt>
                <c:pt idx="813">
                  <c:v>37633</c:v>
                </c:pt>
                <c:pt idx="814">
                  <c:v>37626</c:v>
                </c:pt>
                <c:pt idx="815">
                  <c:v>37619</c:v>
                </c:pt>
                <c:pt idx="816">
                  <c:v>37612</c:v>
                </c:pt>
                <c:pt idx="817">
                  <c:v>37605</c:v>
                </c:pt>
                <c:pt idx="818">
                  <c:v>37598</c:v>
                </c:pt>
                <c:pt idx="819">
                  <c:v>37591</c:v>
                </c:pt>
                <c:pt idx="820">
                  <c:v>37584</c:v>
                </c:pt>
                <c:pt idx="821">
                  <c:v>37577</c:v>
                </c:pt>
                <c:pt idx="822">
                  <c:v>37570</c:v>
                </c:pt>
                <c:pt idx="823">
                  <c:v>37563</c:v>
                </c:pt>
                <c:pt idx="824">
                  <c:v>37556</c:v>
                </c:pt>
                <c:pt idx="825">
                  <c:v>37549</c:v>
                </c:pt>
                <c:pt idx="826">
                  <c:v>37542</c:v>
                </c:pt>
                <c:pt idx="827">
                  <c:v>37535</c:v>
                </c:pt>
                <c:pt idx="828">
                  <c:v>37528</c:v>
                </c:pt>
                <c:pt idx="829">
                  <c:v>37521</c:v>
                </c:pt>
                <c:pt idx="830">
                  <c:v>37514</c:v>
                </c:pt>
                <c:pt idx="831">
                  <c:v>37507</c:v>
                </c:pt>
                <c:pt idx="832">
                  <c:v>37500</c:v>
                </c:pt>
                <c:pt idx="833">
                  <c:v>37493</c:v>
                </c:pt>
                <c:pt idx="834">
                  <c:v>37486</c:v>
                </c:pt>
                <c:pt idx="835">
                  <c:v>37479</c:v>
                </c:pt>
                <c:pt idx="836">
                  <c:v>37472</c:v>
                </c:pt>
                <c:pt idx="837">
                  <c:v>37465</c:v>
                </c:pt>
                <c:pt idx="838">
                  <c:v>37458</c:v>
                </c:pt>
                <c:pt idx="839">
                  <c:v>37451</c:v>
                </c:pt>
                <c:pt idx="840">
                  <c:v>37444</c:v>
                </c:pt>
                <c:pt idx="841">
                  <c:v>37437</c:v>
                </c:pt>
                <c:pt idx="842">
                  <c:v>37430</c:v>
                </c:pt>
                <c:pt idx="843">
                  <c:v>37423</c:v>
                </c:pt>
                <c:pt idx="844">
                  <c:v>37416</c:v>
                </c:pt>
                <c:pt idx="845">
                  <c:v>37409</c:v>
                </c:pt>
                <c:pt idx="846">
                  <c:v>37402</c:v>
                </c:pt>
                <c:pt idx="847">
                  <c:v>37395</c:v>
                </c:pt>
                <c:pt idx="848">
                  <c:v>37388</c:v>
                </c:pt>
                <c:pt idx="849">
                  <c:v>37381</c:v>
                </c:pt>
                <c:pt idx="850">
                  <c:v>37374</c:v>
                </c:pt>
                <c:pt idx="851">
                  <c:v>37367</c:v>
                </c:pt>
                <c:pt idx="852">
                  <c:v>37360</c:v>
                </c:pt>
                <c:pt idx="853">
                  <c:v>37353</c:v>
                </c:pt>
                <c:pt idx="854">
                  <c:v>37346</c:v>
                </c:pt>
                <c:pt idx="855">
                  <c:v>37339</c:v>
                </c:pt>
                <c:pt idx="856">
                  <c:v>37332</c:v>
                </c:pt>
                <c:pt idx="857">
                  <c:v>37325</c:v>
                </c:pt>
                <c:pt idx="858">
                  <c:v>37318</c:v>
                </c:pt>
                <c:pt idx="859">
                  <c:v>37311</c:v>
                </c:pt>
                <c:pt idx="860">
                  <c:v>37304</c:v>
                </c:pt>
                <c:pt idx="861">
                  <c:v>37297</c:v>
                </c:pt>
                <c:pt idx="862">
                  <c:v>37290</c:v>
                </c:pt>
                <c:pt idx="863">
                  <c:v>37283</c:v>
                </c:pt>
                <c:pt idx="864">
                  <c:v>37276</c:v>
                </c:pt>
                <c:pt idx="865">
                  <c:v>37269</c:v>
                </c:pt>
                <c:pt idx="866">
                  <c:v>37262</c:v>
                </c:pt>
                <c:pt idx="867">
                  <c:v>37255</c:v>
                </c:pt>
                <c:pt idx="868">
                  <c:v>37248</c:v>
                </c:pt>
                <c:pt idx="869">
                  <c:v>37241</c:v>
                </c:pt>
                <c:pt idx="870">
                  <c:v>37234</c:v>
                </c:pt>
                <c:pt idx="871">
                  <c:v>37227</c:v>
                </c:pt>
                <c:pt idx="872">
                  <c:v>37220</c:v>
                </c:pt>
                <c:pt idx="873">
                  <c:v>37213</c:v>
                </c:pt>
                <c:pt idx="874">
                  <c:v>37206</c:v>
                </c:pt>
                <c:pt idx="875">
                  <c:v>37199</c:v>
                </c:pt>
                <c:pt idx="876">
                  <c:v>37192</c:v>
                </c:pt>
                <c:pt idx="877">
                  <c:v>37185</c:v>
                </c:pt>
                <c:pt idx="878">
                  <c:v>37178</c:v>
                </c:pt>
                <c:pt idx="879">
                  <c:v>37171</c:v>
                </c:pt>
                <c:pt idx="880">
                  <c:v>37164</c:v>
                </c:pt>
                <c:pt idx="881">
                  <c:v>37157</c:v>
                </c:pt>
                <c:pt idx="882">
                  <c:v>37150</c:v>
                </c:pt>
                <c:pt idx="883">
                  <c:v>37143</c:v>
                </c:pt>
                <c:pt idx="884">
                  <c:v>37136</c:v>
                </c:pt>
                <c:pt idx="885">
                  <c:v>37129</c:v>
                </c:pt>
                <c:pt idx="886">
                  <c:v>37122</c:v>
                </c:pt>
                <c:pt idx="887">
                  <c:v>37115</c:v>
                </c:pt>
                <c:pt idx="888">
                  <c:v>37108</c:v>
                </c:pt>
                <c:pt idx="889">
                  <c:v>37101</c:v>
                </c:pt>
                <c:pt idx="890">
                  <c:v>37094</c:v>
                </c:pt>
                <c:pt idx="891">
                  <c:v>37087</c:v>
                </c:pt>
                <c:pt idx="892">
                  <c:v>37080</c:v>
                </c:pt>
                <c:pt idx="893">
                  <c:v>37073</c:v>
                </c:pt>
                <c:pt idx="894">
                  <c:v>37066</c:v>
                </c:pt>
                <c:pt idx="895">
                  <c:v>37059</c:v>
                </c:pt>
                <c:pt idx="896">
                  <c:v>37052</c:v>
                </c:pt>
                <c:pt idx="897">
                  <c:v>37045</c:v>
                </c:pt>
                <c:pt idx="898">
                  <c:v>37038</c:v>
                </c:pt>
                <c:pt idx="899">
                  <c:v>37031</c:v>
                </c:pt>
                <c:pt idx="900">
                  <c:v>37024</c:v>
                </c:pt>
                <c:pt idx="901">
                  <c:v>37017</c:v>
                </c:pt>
                <c:pt idx="902">
                  <c:v>37010</c:v>
                </c:pt>
                <c:pt idx="903">
                  <c:v>37003</c:v>
                </c:pt>
                <c:pt idx="904">
                  <c:v>36996</c:v>
                </c:pt>
                <c:pt idx="905">
                  <c:v>36989</c:v>
                </c:pt>
                <c:pt idx="906">
                  <c:v>36982</c:v>
                </c:pt>
                <c:pt idx="907">
                  <c:v>36975</c:v>
                </c:pt>
                <c:pt idx="908">
                  <c:v>36968</c:v>
                </c:pt>
                <c:pt idx="909">
                  <c:v>36961</c:v>
                </c:pt>
                <c:pt idx="910">
                  <c:v>36954</c:v>
                </c:pt>
                <c:pt idx="911">
                  <c:v>36947</c:v>
                </c:pt>
                <c:pt idx="912">
                  <c:v>36940</c:v>
                </c:pt>
                <c:pt idx="913">
                  <c:v>36933</c:v>
                </c:pt>
                <c:pt idx="914">
                  <c:v>36926</c:v>
                </c:pt>
                <c:pt idx="915">
                  <c:v>36919</c:v>
                </c:pt>
                <c:pt idx="916">
                  <c:v>36912</c:v>
                </c:pt>
                <c:pt idx="917">
                  <c:v>36905</c:v>
                </c:pt>
                <c:pt idx="918">
                  <c:v>36898</c:v>
                </c:pt>
                <c:pt idx="919">
                  <c:v>36891</c:v>
                </c:pt>
                <c:pt idx="920">
                  <c:v>36884</c:v>
                </c:pt>
                <c:pt idx="921">
                  <c:v>36877</c:v>
                </c:pt>
                <c:pt idx="922">
                  <c:v>36870</c:v>
                </c:pt>
                <c:pt idx="923">
                  <c:v>36863</c:v>
                </c:pt>
                <c:pt idx="924">
                  <c:v>36856</c:v>
                </c:pt>
                <c:pt idx="925">
                  <c:v>36849</c:v>
                </c:pt>
                <c:pt idx="926">
                  <c:v>36842</c:v>
                </c:pt>
                <c:pt idx="927">
                  <c:v>36835</c:v>
                </c:pt>
                <c:pt idx="928">
                  <c:v>36828</c:v>
                </c:pt>
                <c:pt idx="929">
                  <c:v>36821</c:v>
                </c:pt>
                <c:pt idx="930">
                  <c:v>36814</c:v>
                </c:pt>
                <c:pt idx="931">
                  <c:v>36807</c:v>
                </c:pt>
                <c:pt idx="932">
                  <c:v>36800</c:v>
                </c:pt>
                <c:pt idx="933">
                  <c:v>36793</c:v>
                </c:pt>
                <c:pt idx="934">
                  <c:v>36786</c:v>
                </c:pt>
                <c:pt idx="935">
                  <c:v>36779</c:v>
                </c:pt>
                <c:pt idx="936">
                  <c:v>36772</c:v>
                </c:pt>
                <c:pt idx="937">
                  <c:v>36765</c:v>
                </c:pt>
                <c:pt idx="938">
                  <c:v>36758</c:v>
                </c:pt>
                <c:pt idx="939">
                  <c:v>36751</c:v>
                </c:pt>
                <c:pt idx="940">
                  <c:v>36744</c:v>
                </c:pt>
                <c:pt idx="941">
                  <c:v>36737</c:v>
                </c:pt>
                <c:pt idx="942">
                  <c:v>36730</c:v>
                </c:pt>
                <c:pt idx="943">
                  <c:v>36723</c:v>
                </c:pt>
                <c:pt idx="944">
                  <c:v>36716</c:v>
                </c:pt>
                <c:pt idx="945">
                  <c:v>36709</c:v>
                </c:pt>
                <c:pt idx="946">
                  <c:v>36702</c:v>
                </c:pt>
                <c:pt idx="947">
                  <c:v>36695</c:v>
                </c:pt>
                <c:pt idx="948">
                  <c:v>36688</c:v>
                </c:pt>
                <c:pt idx="949">
                  <c:v>36681</c:v>
                </c:pt>
                <c:pt idx="950">
                  <c:v>36674</c:v>
                </c:pt>
                <c:pt idx="951">
                  <c:v>36667</c:v>
                </c:pt>
                <c:pt idx="952">
                  <c:v>36660</c:v>
                </c:pt>
                <c:pt idx="953">
                  <c:v>36653</c:v>
                </c:pt>
                <c:pt idx="954">
                  <c:v>36646</c:v>
                </c:pt>
                <c:pt idx="955">
                  <c:v>36639</c:v>
                </c:pt>
                <c:pt idx="956">
                  <c:v>36632</c:v>
                </c:pt>
                <c:pt idx="957">
                  <c:v>36625</c:v>
                </c:pt>
                <c:pt idx="958">
                  <c:v>36618</c:v>
                </c:pt>
                <c:pt idx="959">
                  <c:v>36611</c:v>
                </c:pt>
                <c:pt idx="960">
                  <c:v>36604</c:v>
                </c:pt>
                <c:pt idx="961">
                  <c:v>36597</c:v>
                </c:pt>
                <c:pt idx="962">
                  <c:v>36590</c:v>
                </c:pt>
                <c:pt idx="963">
                  <c:v>36583</c:v>
                </c:pt>
                <c:pt idx="964">
                  <c:v>36576</c:v>
                </c:pt>
                <c:pt idx="965">
                  <c:v>36569</c:v>
                </c:pt>
                <c:pt idx="966">
                  <c:v>36562</c:v>
                </c:pt>
                <c:pt idx="967">
                  <c:v>36555</c:v>
                </c:pt>
                <c:pt idx="968">
                  <c:v>36548</c:v>
                </c:pt>
                <c:pt idx="969">
                  <c:v>36541</c:v>
                </c:pt>
                <c:pt idx="970">
                  <c:v>36534</c:v>
                </c:pt>
                <c:pt idx="971">
                  <c:v>36527</c:v>
                </c:pt>
                <c:pt idx="972">
                  <c:v>36520</c:v>
                </c:pt>
                <c:pt idx="973">
                  <c:v>36513</c:v>
                </c:pt>
                <c:pt idx="974">
                  <c:v>36506</c:v>
                </c:pt>
                <c:pt idx="975">
                  <c:v>36499</c:v>
                </c:pt>
                <c:pt idx="976">
                  <c:v>36492</c:v>
                </c:pt>
                <c:pt idx="977">
                  <c:v>36485</c:v>
                </c:pt>
                <c:pt idx="978">
                  <c:v>36478</c:v>
                </c:pt>
                <c:pt idx="979">
                  <c:v>36471</c:v>
                </c:pt>
                <c:pt idx="980">
                  <c:v>36464</c:v>
                </c:pt>
                <c:pt idx="981">
                  <c:v>36457</c:v>
                </c:pt>
                <c:pt idx="982">
                  <c:v>36450</c:v>
                </c:pt>
                <c:pt idx="983">
                  <c:v>36443</c:v>
                </c:pt>
                <c:pt idx="984">
                  <c:v>36436</c:v>
                </c:pt>
                <c:pt idx="985">
                  <c:v>36429</c:v>
                </c:pt>
                <c:pt idx="986">
                  <c:v>36422</c:v>
                </c:pt>
                <c:pt idx="987">
                  <c:v>36415</c:v>
                </c:pt>
                <c:pt idx="988">
                  <c:v>36408</c:v>
                </c:pt>
                <c:pt idx="989">
                  <c:v>36401</c:v>
                </c:pt>
                <c:pt idx="990">
                  <c:v>36394</c:v>
                </c:pt>
                <c:pt idx="991">
                  <c:v>36387</c:v>
                </c:pt>
                <c:pt idx="992">
                  <c:v>36380</c:v>
                </c:pt>
                <c:pt idx="993">
                  <c:v>36373</c:v>
                </c:pt>
                <c:pt idx="994">
                  <c:v>36366</c:v>
                </c:pt>
                <c:pt idx="995">
                  <c:v>36359</c:v>
                </c:pt>
                <c:pt idx="996">
                  <c:v>36352</c:v>
                </c:pt>
                <c:pt idx="997">
                  <c:v>36345</c:v>
                </c:pt>
                <c:pt idx="998">
                  <c:v>36338</c:v>
                </c:pt>
                <c:pt idx="999">
                  <c:v>36331</c:v>
                </c:pt>
                <c:pt idx="1000">
                  <c:v>36324</c:v>
                </c:pt>
                <c:pt idx="1001">
                  <c:v>36317</c:v>
                </c:pt>
                <c:pt idx="1002">
                  <c:v>36310</c:v>
                </c:pt>
                <c:pt idx="1003">
                  <c:v>36303</c:v>
                </c:pt>
                <c:pt idx="1004">
                  <c:v>36296</c:v>
                </c:pt>
                <c:pt idx="1005">
                  <c:v>36289</c:v>
                </c:pt>
                <c:pt idx="1006">
                  <c:v>36282</c:v>
                </c:pt>
                <c:pt idx="1007">
                  <c:v>36275</c:v>
                </c:pt>
                <c:pt idx="1008">
                  <c:v>36268</c:v>
                </c:pt>
                <c:pt idx="1009">
                  <c:v>36261</c:v>
                </c:pt>
                <c:pt idx="1010">
                  <c:v>36254</c:v>
                </c:pt>
                <c:pt idx="1011">
                  <c:v>36247</c:v>
                </c:pt>
                <c:pt idx="1012">
                  <c:v>36240</c:v>
                </c:pt>
                <c:pt idx="1013">
                  <c:v>36233</c:v>
                </c:pt>
                <c:pt idx="1014">
                  <c:v>36226</c:v>
                </c:pt>
                <c:pt idx="1015">
                  <c:v>36219</c:v>
                </c:pt>
                <c:pt idx="1016">
                  <c:v>36212</c:v>
                </c:pt>
                <c:pt idx="1017">
                  <c:v>36205</c:v>
                </c:pt>
                <c:pt idx="1018">
                  <c:v>36198</c:v>
                </c:pt>
                <c:pt idx="1019">
                  <c:v>36191</c:v>
                </c:pt>
                <c:pt idx="1020">
                  <c:v>36184</c:v>
                </c:pt>
                <c:pt idx="1021">
                  <c:v>36177</c:v>
                </c:pt>
                <c:pt idx="1022">
                  <c:v>36170</c:v>
                </c:pt>
                <c:pt idx="1023">
                  <c:v>36163</c:v>
                </c:pt>
                <c:pt idx="1024">
                  <c:v>36156</c:v>
                </c:pt>
                <c:pt idx="1025">
                  <c:v>36149</c:v>
                </c:pt>
                <c:pt idx="1026">
                  <c:v>36142</c:v>
                </c:pt>
                <c:pt idx="1027">
                  <c:v>36135</c:v>
                </c:pt>
                <c:pt idx="1028">
                  <c:v>36128</c:v>
                </c:pt>
                <c:pt idx="1029">
                  <c:v>36121</c:v>
                </c:pt>
                <c:pt idx="1030">
                  <c:v>36114</c:v>
                </c:pt>
                <c:pt idx="1031">
                  <c:v>36107</c:v>
                </c:pt>
                <c:pt idx="1032">
                  <c:v>36100</c:v>
                </c:pt>
                <c:pt idx="1033">
                  <c:v>36093</c:v>
                </c:pt>
                <c:pt idx="1034">
                  <c:v>36086</c:v>
                </c:pt>
                <c:pt idx="1035">
                  <c:v>36079</c:v>
                </c:pt>
                <c:pt idx="1036">
                  <c:v>36072</c:v>
                </c:pt>
                <c:pt idx="1037">
                  <c:v>36065</c:v>
                </c:pt>
                <c:pt idx="1038">
                  <c:v>36058</c:v>
                </c:pt>
                <c:pt idx="1039">
                  <c:v>36051</c:v>
                </c:pt>
                <c:pt idx="1040">
                  <c:v>36044</c:v>
                </c:pt>
                <c:pt idx="1041">
                  <c:v>36037</c:v>
                </c:pt>
                <c:pt idx="1042">
                  <c:v>36030</c:v>
                </c:pt>
                <c:pt idx="1043">
                  <c:v>36023</c:v>
                </c:pt>
                <c:pt idx="1044">
                  <c:v>36016</c:v>
                </c:pt>
                <c:pt idx="1045">
                  <c:v>36009</c:v>
                </c:pt>
                <c:pt idx="1046">
                  <c:v>36002</c:v>
                </c:pt>
                <c:pt idx="1047">
                  <c:v>35995</c:v>
                </c:pt>
                <c:pt idx="1048">
                  <c:v>35988</c:v>
                </c:pt>
                <c:pt idx="1049">
                  <c:v>35981</c:v>
                </c:pt>
                <c:pt idx="1050">
                  <c:v>35974</c:v>
                </c:pt>
                <c:pt idx="1051">
                  <c:v>35967</c:v>
                </c:pt>
                <c:pt idx="1052">
                  <c:v>35960</c:v>
                </c:pt>
                <c:pt idx="1053">
                  <c:v>35953</c:v>
                </c:pt>
                <c:pt idx="1054">
                  <c:v>35946</c:v>
                </c:pt>
                <c:pt idx="1055">
                  <c:v>35939</c:v>
                </c:pt>
                <c:pt idx="1056">
                  <c:v>35932</c:v>
                </c:pt>
                <c:pt idx="1057">
                  <c:v>35925</c:v>
                </c:pt>
                <c:pt idx="1058">
                  <c:v>35918</c:v>
                </c:pt>
                <c:pt idx="1059">
                  <c:v>35911</c:v>
                </c:pt>
                <c:pt idx="1060">
                  <c:v>35904</c:v>
                </c:pt>
                <c:pt idx="1061">
                  <c:v>35897</c:v>
                </c:pt>
                <c:pt idx="1062">
                  <c:v>35890</c:v>
                </c:pt>
                <c:pt idx="1063">
                  <c:v>35883</c:v>
                </c:pt>
                <c:pt idx="1064">
                  <c:v>35876</c:v>
                </c:pt>
                <c:pt idx="1065">
                  <c:v>35869</c:v>
                </c:pt>
                <c:pt idx="1066">
                  <c:v>35862</c:v>
                </c:pt>
                <c:pt idx="1067">
                  <c:v>35855</c:v>
                </c:pt>
                <c:pt idx="1068">
                  <c:v>35848</c:v>
                </c:pt>
                <c:pt idx="1069">
                  <c:v>35841</c:v>
                </c:pt>
                <c:pt idx="1070">
                  <c:v>35834</c:v>
                </c:pt>
                <c:pt idx="1071">
                  <c:v>35827</c:v>
                </c:pt>
                <c:pt idx="1072">
                  <c:v>35820</c:v>
                </c:pt>
                <c:pt idx="1073">
                  <c:v>35813</c:v>
                </c:pt>
                <c:pt idx="1074">
                  <c:v>35806</c:v>
                </c:pt>
                <c:pt idx="1075">
                  <c:v>35799</c:v>
                </c:pt>
                <c:pt idx="1076">
                  <c:v>35792</c:v>
                </c:pt>
                <c:pt idx="1077">
                  <c:v>35785</c:v>
                </c:pt>
                <c:pt idx="1078">
                  <c:v>35778</c:v>
                </c:pt>
                <c:pt idx="1079">
                  <c:v>35771</c:v>
                </c:pt>
                <c:pt idx="1080">
                  <c:v>35764</c:v>
                </c:pt>
                <c:pt idx="1081">
                  <c:v>35757</c:v>
                </c:pt>
                <c:pt idx="1082">
                  <c:v>35750</c:v>
                </c:pt>
                <c:pt idx="1083">
                  <c:v>35743</c:v>
                </c:pt>
                <c:pt idx="1084">
                  <c:v>35736</c:v>
                </c:pt>
                <c:pt idx="1085">
                  <c:v>35729</c:v>
                </c:pt>
                <c:pt idx="1086">
                  <c:v>35722</c:v>
                </c:pt>
                <c:pt idx="1087">
                  <c:v>35715</c:v>
                </c:pt>
                <c:pt idx="1088">
                  <c:v>35708</c:v>
                </c:pt>
                <c:pt idx="1089">
                  <c:v>35701</c:v>
                </c:pt>
                <c:pt idx="1090">
                  <c:v>35694</c:v>
                </c:pt>
                <c:pt idx="1091">
                  <c:v>35687</c:v>
                </c:pt>
                <c:pt idx="1092">
                  <c:v>35680</c:v>
                </c:pt>
                <c:pt idx="1093">
                  <c:v>35673</c:v>
                </c:pt>
                <c:pt idx="1094">
                  <c:v>35666</c:v>
                </c:pt>
                <c:pt idx="1095">
                  <c:v>35659</c:v>
                </c:pt>
                <c:pt idx="1096">
                  <c:v>35652</c:v>
                </c:pt>
                <c:pt idx="1097">
                  <c:v>35645</c:v>
                </c:pt>
                <c:pt idx="1098">
                  <c:v>35638</c:v>
                </c:pt>
                <c:pt idx="1099">
                  <c:v>35631</c:v>
                </c:pt>
                <c:pt idx="1100">
                  <c:v>35624</c:v>
                </c:pt>
                <c:pt idx="1101">
                  <c:v>35617</c:v>
                </c:pt>
                <c:pt idx="1102">
                  <c:v>35610</c:v>
                </c:pt>
                <c:pt idx="1103">
                  <c:v>35603</c:v>
                </c:pt>
                <c:pt idx="1104">
                  <c:v>35596</c:v>
                </c:pt>
                <c:pt idx="1105">
                  <c:v>35589</c:v>
                </c:pt>
                <c:pt idx="1106">
                  <c:v>35582</c:v>
                </c:pt>
                <c:pt idx="1107">
                  <c:v>35575</c:v>
                </c:pt>
                <c:pt idx="1108">
                  <c:v>35568</c:v>
                </c:pt>
                <c:pt idx="1109">
                  <c:v>35561</c:v>
                </c:pt>
                <c:pt idx="1110">
                  <c:v>35554</c:v>
                </c:pt>
                <c:pt idx="1111">
                  <c:v>35547</c:v>
                </c:pt>
                <c:pt idx="1112">
                  <c:v>35540</c:v>
                </c:pt>
                <c:pt idx="1113">
                  <c:v>35533</c:v>
                </c:pt>
                <c:pt idx="1114">
                  <c:v>35526</c:v>
                </c:pt>
                <c:pt idx="1115">
                  <c:v>35519</c:v>
                </c:pt>
                <c:pt idx="1116">
                  <c:v>35512</c:v>
                </c:pt>
                <c:pt idx="1117">
                  <c:v>35505</c:v>
                </c:pt>
                <c:pt idx="1118">
                  <c:v>35498</c:v>
                </c:pt>
                <c:pt idx="1119">
                  <c:v>35491</c:v>
                </c:pt>
                <c:pt idx="1120">
                  <c:v>35484</c:v>
                </c:pt>
                <c:pt idx="1121">
                  <c:v>35477</c:v>
                </c:pt>
                <c:pt idx="1122">
                  <c:v>35470</c:v>
                </c:pt>
                <c:pt idx="1123">
                  <c:v>35463</c:v>
                </c:pt>
                <c:pt idx="1124">
                  <c:v>35456</c:v>
                </c:pt>
                <c:pt idx="1125">
                  <c:v>35449</c:v>
                </c:pt>
                <c:pt idx="1126">
                  <c:v>35442</c:v>
                </c:pt>
                <c:pt idx="1127">
                  <c:v>35435</c:v>
                </c:pt>
                <c:pt idx="1128">
                  <c:v>35428</c:v>
                </c:pt>
                <c:pt idx="1129">
                  <c:v>35421</c:v>
                </c:pt>
                <c:pt idx="1130">
                  <c:v>35414</c:v>
                </c:pt>
                <c:pt idx="1131">
                  <c:v>35407</c:v>
                </c:pt>
                <c:pt idx="1132">
                  <c:v>35400</c:v>
                </c:pt>
                <c:pt idx="1133">
                  <c:v>35393</c:v>
                </c:pt>
                <c:pt idx="1134">
                  <c:v>35386</c:v>
                </c:pt>
                <c:pt idx="1135">
                  <c:v>35379</c:v>
                </c:pt>
                <c:pt idx="1136">
                  <c:v>35372</c:v>
                </c:pt>
                <c:pt idx="1137">
                  <c:v>35365</c:v>
                </c:pt>
                <c:pt idx="1138">
                  <c:v>35358</c:v>
                </c:pt>
                <c:pt idx="1139">
                  <c:v>35351</c:v>
                </c:pt>
                <c:pt idx="1140">
                  <c:v>35344</c:v>
                </c:pt>
                <c:pt idx="1141">
                  <c:v>35337</c:v>
                </c:pt>
                <c:pt idx="1142">
                  <c:v>35330</c:v>
                </c:pt>
                <c:pt idx="1143">
                  <c:v>35323</c:v>
                </c:pt>
                <c:pt idx="1144">
                  <c:v>35316</c:v>
                </c:pt>
                <c:pt idx="1145">
                  <c:v>35309</c:v>
                </c:pt>
                <c:pt idx="1146">
                  <c:v>35302</c:v>
                </c:pt>
                <c:pt idx="1147">
                  <c:v>35295</c:v>
                </c:pt>
                <c:pt idx="1148">
                  <c:v>35288</c:v>
                </c:pt>
                <c:pt idx="1149">
                  <c:v>35281</c:v>
                </c:pt>
                <c:pt idx="1150">
                  <c:v>35274</c:v>
                </c:pt>
                <c:pt idx="1151">
                  <c:v>35267</c:v>
                </c:pt>
                <c:pt idx="1152">
                  <c:v>35260</c:v>
                </c:pt>
                <c:pt idx="1153">
                  <c:v>35253</c:v>
                </c:pt>
                <c:pt idx="1154">
                  <c:v>35246</c:v>
                </c:pt>
                <c:pt idx="1155">
                  <c:v>35239</c:v>
                </c:pt>
                <c:pt idx="1156">
                  <c:v>35232</c:v>
                </c:pt>
                <c:pt idx="1157">
                  <c:v>35225</c:v>
                </c:pt>
                <c:pt idx="1158">
                  <c:v>35218</c:v>
                </c:pt>
                <c:pt idx="1159">
                  <c:v>35211</c:v>
                </c:pt>
                <c:pt idx="1160">
                  <c:v>35204</c:v>
                </c:pt>
                <c:pt idx="1161">
                  <c:v>35197</c:v>
                </c:pt>
                <c:pt idx="1162">
                  <c:v>35190</c:v>
                </c:pt>
                <c:pt idx="1163">
                  <c:v>35183</c:v>
                </c:pt>
                <c:pt idx="1164">
                  <c:v>35176</c:v>
                </c:pt>
                <c:pt idx="1165">
                  <c:v>35169</c:v>
                </c:pt>
                <c:pt idx="1166">
                  <c:v>35162</c:v>
                </c:pt>
                <c:pt idx="1167">
                  <c:v>35155</c:v>
                </c:pt>
                <c:pt idx="1168">
                  <c:v>35148</c:v>
                </c:pt>
                <c:pt idx="1169">
                  <c:v>35141</c:v>
                </c:pt>
                <c:pt idx="1170">
                  <c:v>35134</c:v>
                </c:pt>
                <c:pt idx="1171">
                  <c:v>35127</c:v>
                </c:pt>
                <c:pt idx="1172">
                  <c:v>35120</c:v>
                </c:pt>
                <c:pt idx="1173">
                  <c:v>35113</c:v>
                </c:pt>
                <c:pt idx="1174">
                  <c:v>35106</c:v>
                </c:pt>
                <c:pt idx="1175">
                  <c:v>35099</c:v>
                </c:pt>
                <c:pt idx="1176">
                  <c:v>35092</c:v>
                </c:pt>
                <c:pt idx="1177">
                  <c:v>35085</c:v>
                </c:pt>
                <c:pt idx="1178">
                  <c:v>35078</c:v>
                </c:pt>
                <c:pt idx="1179">
                  <c:v>35071</c:v>
                </c:pt>
                <c:pt idx="1180">
                  <c:v>35064</c:v>
                </c:pt>
                <c:pt idx="1181">
                  <c:v>35057</c:v>
                </c:pt>
                <c:pt idx="1182">
                  <c:v>35050</c:v>
                </c:pt>
                <c:pt idx="1183">
                  <c:v>35043</c:v>
                </c:pt>
                <c:pt idx="1184">
                  <c:v>35036</c:v>
                </c:pt>
                <c:pt idx="1185">
                  <c:v>35029</c:v>
                </c:pt>
                <c:pt idx="1186">
                  <c:v>35022</c:v>
                </c:pt>
                <c:pt idx="1187">
                  <c:v>35015</c:v>
                </c:pt>
                <c:pt idx="1188">
                  <c:v>35008</c:v>
                </c:pt>
                <c:pt idx="1189">
                  <c:v>35001</c:v>
                </c:pt>
                <c:pt idx="1190">
                  <c:v>34994</c:v>
                </c:pt>
                <c:pt idx="1191">
                  <c:v>34987</c:v>
                </c:pt>
                <c:pt idx="1192">
                  <c:v>34980</c:v>
                </c:pt>
                <c:pt idx="1193">
                  <c:v>34973</c:v>
                </c:pt>
                <c:pt idx="1194">
                  <c:v>34966</c:v>
                </c:pt>
                <c:pt idx="1195">
                  <c:v>34959</c:v>
                </c:pt>
                <c:pt idx="1196">
                  <c:v>34952</c:v>
                </c:pt>
                <c:pt idx="1197">
                  <c:v>34945</c:v>
                </c:pt>
                <c:pt idx="1198">
                  <c:v>34938</c:v>
                </c:pt>
                <c:pt idx="1199">
                  <c:v>34931</c:v>
                </c:pt>
                <c:pt idx="1200">
                  <c:v>34924</c:v>
                </c:pt>
                <c:pt idx="1201">
                  <c:v>34917</c:v>
                </c:pt>
                <c:pt idx="1202">
                  <c:v>34910</c:v>
                </c:pt>
                <c:pt idx="1203">
                  <c:v>34903</c:v>
                </c:pt>
                <c:pt idx="1204">
                  <c:v>34896</c:v>
                </c:pt>
                <c:pt idx="1205">
                  <c:v>34889</c:v>
                </c:pt>
                <c:pt idx="1206">
                  <c:v>34882</c:v>
                </c:pt>
                <c:pt idx="1207">
                  <c:v>34875</c:v>
                </c:pt>
                <c:pt idx="1208">
                  <c:v>34868</c:v>
                </c:pt>
                <c:pt idx="1209">
                  <c:v>34861</c:v>
                </c:pt>
                <c:pt idx="1210">
                  <c:v>34854</c:v>
                </c:pt>
                <c:pt idx="1211">
                  <c:v>34847</c:v>
                </c:pt>
                <c:pt idx="1212">
                  <c:v>34840</c:v>
                </c:pt>
                <c:pt idx="1213">
                  <c:v>34833</c:v>
                </c:pt>
                <c:pt idx="1214">
                  <c:v>34826</c:v>
                </c:pt>
                <c:pt idx="1215">
                  <c:v>34819</c:v>
                </c:pt>
                <c:pt idx="1216">
                  <c:v>34812</c:v>
                </c:pt>
                <c:pt idx="1217">
                  <c:v>34805</c:v>
                </c:pt>
                <c:pt idx="1218">
                  <c:v>34798</c:v>
                </c:pt>
                <c:pt idx="1219">
                  <c:v>34791</c:v>
                </c:pt>
                <c:pt idx="1220">
                  <c:v>34784</c:v>
                </c:pt>
                <c:pt idx="1221">
                  <c:v>34777</c:v>
                </c:pt>
                <c:pt idx="1222">
                  <c:v>34770</c:v>
                </c:pt>
                <c:pt idx="1223">
                  <c:v>34763</c:v>
                </c:pt>
                <c:pt idx="1224">
                  <c:v>34756</c:v>
                </c:pt>
                <c:pt idx="1225">
                  <c:v>34749</c:v>
                </c:pt>
                <c:pt idx="1226">
                  <c:v>34742</c:v>
                </c:pt>
                <c:pt idx="1227">
                  <c:v>34735</c:v>
                </c:pt>
                <c:pt idx="1228">
                  <c:v>34728</c:v>
                </c:pt>
                <c:pt idx="1229">
                  <c:v>34721</c:v>
                </c:pt>
                <c:pt idx="1230">
                  <c:v>34714</c:v>
                </c:pt>
                <c:pt idx="1231">
                  <c:v>34707</c:v>
                </c:pt>
                <c:pt idx="1232">
                  <c:v>34700</c:v>
                </c:pt>
                <c:pt idx="1233">
                  <c:v>34693</c:v>
                </c:pt>
                <c:pt idx="1234">
                  <c:v>34686</c:v>
                </c:pt>
                <c:pt idx="1235">
                  <c:v>34679</c:v>
                </c:pt>
                <c:pt idx="1236">
                  <c:v>34672</c:v>
                </c:pt>
                <c:pt idx="1237">
                  <c:v>34665</c:v>
                </c:pt>
                <c:pt idx="1238">
                  <c:v>34658</c:v>
                </c:pt>
                <c:pt idx="1239">
                  <c:v>34651</c:v>
                </c:pt>
                <c:pt idx="1240">
                  <c:v>34644</c:v>
                </c:pt>
                <c:pt idx="1241">
                  <c:v>34637</c:v>
                </c:pt>
                <c:pt idx="1242">
                  <c:v>34630</c:v>
                </c:pt>
                <c:pt idx="1243">
                  <c:v>34623</c:v>
                </c:pt>
                <c:pt idx="1244">
                  <c:v>34616</c:v>
                </c:pt>
                <c:pt idx="1245">
                  <c:v>34609</c:v>
                </c:pt>
                <c:pt idx="1246">
                  <c:v>34602</c:v>
                </c:pt>
              </c:numCache>
            </c:numRef>
          </c:cat>
          <c:val>
            <c:numRef>
              <c:f>Summary!$AV$3:$AV$1249</c:f>
              <c:numCache>
                <c:formatCode>_(* #,##0.00_);_(* \(#,##0.00\);_(* "-"??_);_(@_)</c:formatCode>
                <c:ptCount val="1247"/>
                <c:pt idx="0">
                  <c:v>1654.4780428379959</c:v>
                </c:pt>
                <c:pt idx="1">
                  <c:v>1658.6246043488679</c:v>
                </c:pt>
                <c:pt idx="2">
                  <c:v>1646.1141369083643</c:v>
                </c:pt>
                <c:pt idx="3">
                  <c:v>1636.1337212089895</c:v>
                </c:pt>
                <c:pt idx="4">
                  <c:v>1635.8065598970102</c:v>
                </c:pt>
                <c:pt idx="5">
                  <c:v>1611.6320787162663</c:v>
                </c:pt>
                <c:pt idx="6">
                  <c:v>1587.5020475928548</c:v>
                </c:pt>
                <c:pt idx="7">
                  <c:v>1608.9004232217035</c:v>
                </c:pt>
                <c:pt idx="8">
                  <c:v>1623.3482224010731</c:v>
                </c:pt>
                <c:pt idx="9">
                  <c:v>1623.0236176775377</c:v>
                </c:pt>
                <c:pt idx="10">
                  <c:v>1597.1497910623279</c:v>
                </c:pt>
                <c:pt idx="11">
                  <c:v>1589.3619176657658</c:v>
                </c:pt>
                <c:pt idx="12">
                  <c:v>1584.4501222866768</c:v>
                </c:pt>
                <c:pt idx="13">
                  <c:v>1593.0526063610262</c:v>
                </c:pt>
                <c:pt idx="14">
                  <c:v>1555.5635253989124</c:v>
                </c:pt>
                <c:pt idx="15">
                  <c:v>1559.3058594616202</c:v>
                </c:pt>
                <c:pt idx="16">
                  <c:v>1559.4618056421843</c:v>
                </c:pt>
                <c:pt idx="17">
                  <c:v>1551.3945539615841</c:v>
                </c:pt>
                <c:pt idx="18">
                  <c:v>1521.1241827253496</c:v>
                </c:pt>
                <c:pt idx="19">
                  <c:v>1542.4094328993608</c:v>
                </c:pt>
                <c:pt idx="20">
                  <c:v>1511.7214867189659</c:v>
                </c:pt>
                <c:pt idx="21">
                  <c:v>1607.3593691855033</c:v>
                </c:pt>
                <c:pt idx="22">
                  <c:v>1627.5408760485047</c:v>
                </c:pt>
                <c:pt idx="23">
                  <c:v>1571.895765934426</c:v>
                </c:pt>
                <c:pt idx="24">
                  <c:v>1604.6302224728724</c:v>
                </c:pt>
                <c:pt idx="25">
                  <c:v>1595.8530308034533</c:v>
                </c:pt>
                <c:pt idx="26">
                  <c:v>1530.0604322180761</c:v>
                </c:pt>
                <c:pt idx="27">
                  <c:v>1613.3070774125645</c:v>
                </c:pt>
                <c:pt idx="28">
                  <c:v>1677.9064767681377</c:v>
                </c:pt>
                <c:pt idx="29">
                  <c:v>1641.3053670822046</c:v>
                </c:pt>
                <c:pt idx="30">
                  <c:v>1627.3104968096418</c:v>
                </c:pt>
                <c:pt idx="31">
                  <c:v>1602.1566375993323</c:v>
                </c:pt>
                <c:pt idx="32">
                  <c:v>1561.5561769973999</c:v>
                </c:pt>
                <c:pt idx="33">
                  <c:v>1567.1980901218385</c:v>
                </c:pt>
                <c:pt idx="34">
                  <c:v>1562.8221879954515</c:v>
                </c:pt>
                <c:pt idx="35">
                  <c:v>1548.5752952788855</c:v>
                </c:pt>
                <c:pt idx="36">
                  <c:v>1543.1741856291833</c:v>
                </c:pt>
                <c:pt idx="37">
                  <c:v>1519.9194185257393</c:v>
                </c:pt>
                <c:pt idx="38">
                  <c:v>1506.2128813058557</c:v>
                </c:pt>
                <c:pt idx="39">
                  <c:v>1508.1735068647799</c:v>
                </c:pt>
                <c:pt idx="40">
                  <c:v>1511.347336270949</c:v>
                </c:pt>
                <c:pt idx="41">
                  <c:v>1507.4280234100829</c:v>
                </c:pt>
                <c:pt idx="42">
                  <c:v>1503.968894951694</c:v>
                </c:pt>
                <c:pt idx="43">
                  <c:v>1491.1450475428258</c:v>
                </c:pt>
                <c:pt idx="44">
                  <c:v>1488.9116800227914</c:v>
                </c:pt>
                <c:pt idx="45">
                  <c:v>1471.4019962672116</c:v>
                </c:pt>
                <c:pt idx="46">
                  <c:v>1461.4640407898407</c:v>
                </c:pt>
                <c:pt idx="47">
                  <c:v>1460.2958041465236</c:v>
                </c:pt>
                <c:pt idx="48">
                  <c:v>1437.5820084135887</c:v>
                </c:pt>
                <c:pt idx="49">
                  <c:v>1446.4050793979161</c:v>
                </c:pt>
                <c:pt idx="50">
                  <c:v>1426.8571366261378</c:v>
                </c:pt>
                <c:pt idx="51">
                  <c:v>1416.6572047519239</c:v>
                </c:pt>
                <c:pt idx="52">
                  <c:v>1425.9257219445635</c:v>
                </c:pt>
                <c:pt idx="53">
                  <c:v>1446.6122775129993</c:v>
                </c:pt>
                <c:pt idx="54">
                  <c:v>1443.8689265525495</c:v>
                </c:pt>
                <c:pt idx="55">
                  <c:v>1444.1577581041704</c:v>
                </c:pt>
                <c:pt idx="56">
                  <c:v>1436.4011916691568</c:v>
                </c:pt>
                <c:pt idx="57">
                  <c:v>1416.4295352225192</c:v>
                </c:pt>
                <c:pt idx="58">
                  <c:v>1415.2972973846117</c:v>
                </c:pt>
                <c:pt idx="59">
                  <c:v>1423.9835973283145</c:v>
                </c:pt>
                <c:pt idx="60">
                  <c:v>1420.999498381713</c:v>
                </c:pt>
                <c:pt idx="61">
                  <c:v>1420.1474099357517</c:v>
                </c:pt>
                <c:pt idx="62">
                  <c:v>1424.4206719516067</c:v>
                </c:pt>
                <c:pt idx="63">
                  <c:v>1410.8762598569797</c:v>
                </c:pt>
                <c:pt idx="64">
                  <c:v>1390.9851718988266</c:v>
                </c:pt>
                <c:pt idx="65">
                  <c:v>1396.2910779952085</c:v>
                </c:pt>
                <c:pt idx="66">
                  <c:v>1401.195261410144</c:v>
                </c:pt>
                <c:pt idx="67">
                  <c:v>1392.4229965319926</c:v>
                </c:pt>
                <c:pt idx="68">
                  <c:v>1371.7101729208873</c:v>
                </c:pt>
                <c:pt idx="69">
                  <c:v>1360.1489072096058</c:v>
                </c:pt>
                <c:pt idx="70">
                  <c:v>1375.6942522601455</c:v>
                </c:pt>
                <c:pt idx="71">
                  <c:v>1379.8337535207077</c:v>
                </c:pt>
                <c:pt idx="72">
                  <c:v>1368.8826919848291</c:v>
                </c:pt>
                <c:pt idx="73">
                  <c:v>1388.8826014456463</c:v>
                </c:pt>
                <c:pt idx="74">
                  <c:v>1385.5572640120174</c:v>
                </c:pt>
                <c:pt idx="75">
                  <c:v>1391.6806589112268</c:v>
                </c:pt>
                <c:pt idx="76">
                  <c:v>1382.4184552609784</c:v>
                </c:pt>
                <c:pt idx="77">
                  <c:v>1372.9451338374997</c:v>
                </c:pt>
                <c:pt idx="78">
                  <c:v>1352.5220508693724</c:v>
                </c:pt>
                <c:pt idx="79">
                  <c:v>1341.6546482188</c:v>
                </c:pt>
                <c:pt idx="80">
                  <c:v>1340.0465923080303</c:v>
                </c:pt>
                <c:pt idx="81">
                  <c:v>1326.3848285737211</c:v>
                </c:pt>
                <c:pt idx="82">
                  <c:v>1328.3773946657195</c:v>
                </c:pt>
                <c:pt idx="83">
                  <c:v>1329.7071017674871</c:v>
                </c:pt>
                <c:pt idx="84">
                  <c:v>1307.4799427408921</c:v>
                </c:pt>
                <c:pt idx="85">
                  <c:v>1322.0221867956441</c:v>
                </c:pt>
                <c:pt idx="86">
                  <c:v>1318.7253733622385</c:v>
                </c:pt>
                <c:pt idx="87">
                  <c:v>1319.5170836124059</c:v>
                </c:pt>
                <c:pt idx="88">
                  <c:v>1280.0903023015192</c:v>
                </c:pt>
                <c:pt idx="89">
                  <c:v>1292.6288016777937</c:v>
                </c:pt>
                <c:pt idx="90">
                  <c:v>1274.2791814647021</c:v>
                </c:pt>
                <c:pt idx="91">
                  <c:v>1264.0404537890111</c:v>
                </c:pt>
                <c:pt idx="92">
                  <c:v>1217.7653697389317</c:v>
                </c:pt>
                <c:pt idx="93">
                  <c:v>1241.8574033641971</c:v>
                </c:pt>
                <c:pt idx="94">
                  <c:v>1250.4857550742092</c:v>
                </c:pt>
                <c:pt idx="95">
                  <c:v>1245.7518978623323</c:v>
                </c:pt>
                <c:pt idx="96">
                  <c:v>1257.8270374215795</c:v>
                </c:pt>
                <c:pt idx="97">
                  <c:v>1266.3113232876065</c:v>
                </c:pt>
                <c:pt idx="98">
                  <c:v>1264.1622474669127</c:v>
                </c:pt>
                <c:pt idx="99">
                  <c:v>1249.2956294761466</c:v>
                </c:pt>
                <c:pt idx="100">
                  <c:v>1242.7092703433268</c:v>
                </c:pt>
                <c:pt idx="101">
                  <c:v>1273.1372506334667</c:v>
                </c:pt>
                <c:pt idx="102">
                  <c:v>1266.8032344611611</c:v>
                </c:pt>
                <c:pt idx="103">
                  <c:v>1275.4764744876773</c:v>
                </c:pt>
                <c:pt idx="104">
                  <c:v>1275.6040348911663</c:v>
                </c:pt>
                <c:pt idx="105">
                  <c:v>1274.9665516153586</c:v>
                </c:pt>
                <c:pt idx="106">
                  <c:v>1269.5076686402058</c:v>
                </c:pt>
                <c:pt idx="107">
                  <c:v>1270.3969465027578</c:v>
                </c:pt>
                <c:pt idx="108">
                  <c:v>1262.6945099918078</c:v>
                </c:pt>
                <c:pt idx="109">
                  <c:v>1244.1565769945885</c:v>
                </c:pt>
                <c:pt idx="110">
                  <c:v>1228.4326392126663</c:v>
                </c:pt>
                <c:pt idx="111">
                  <c:v>1190.1110629845634</c:v>
                </c:pt>
                <c:pt idx="112">
                  <c:v>1209.8313133928671</c:v>
                </c:pt>
                <c:pt idx="113">
                  <c:v>1224.4016935460652</c:v>
                </c:pt>
                <c:pt idx="114">
                  <c:v>1226.2410551287583</c:v>
                </c:pt>
                <c:pt idx="115">
                  <c:v>1226.2410551287583</c:v>
                </c:pt>
                <c:pt idx="116">
                  <c:v>1198.9059983660131</c:v>
                </c:pt>
                <c:pt idx="117">
                  <c:v>1195.5584347487168</c:v>
                </c:pt>
                <c:pt idx="118">
                  <c:v>1201.6870386458104</c:v>
                </c:pt>
                <c:pt idx="119">
                  <c:v>1206.5130910098499</c:v>
                </c:pt>
                <c:pt idx="120">
                  <c:v>1221.909146252633</c:v>
                </c:pt>
                <c:pt idx="121">
                  <c:v>1215.5880881940241</c:v>
                </c:pt>
                <c:pt idx="122">
                  <c:v>1196.2094943849872</c:v>
                </c:pt>
                <c:pt idx="123">
                  <c:v>1210.8609114130857</c:v>
                </c:pt>
                <c:pt idx="124">
                  <c:v>1189.3339666173124</c:v>
                </c:pt>
                <c:pt idx="125">
                  <c:v>1197.3562535158687</c:v>
                </c:pt>
                <c:pt idx="126">
                  <c:v>1181.4072555657312</c:v>
                </c:pt>
                <c:pt idx="127">
                  <c:v>1168.4375982254289</c:v>
                </c:pt>
                <c:pt idx="128">
                  <c:v>1138.0516199721719</c:v>
                </c:pt>
                <c:pt idx="129">
                  <c:v>1120.3500885727228</c:v>
                </c:pt>
                <c:pt idx="130">
                  <c:v>1089.4108212492442</c:v>
                </c:pt>
                <c:pt idx="131">
                  <c:v>1098.3071088307736</c:v>
                </c:pt>
                <c:pt idx="132">
                  <c:v>1133.4438687624083</c:v>
                </c:pt>
                <c:pt idx="133">
                  <c:v>1113.949748169443</c:v>
                </c:pt>
                <c:pt idx="134">
                  <c:v>1098.4614418395058</c:v>
                </c:pt>
                <c:pt idx="135">
                  <c:v>1122.8267830312848</c:v>
                </c:pt>
                <c:pt idx="136">
                  <c:v>1193.9884974811621</c:v>
                </c:pt>
                <c:pt idx="137">
                  <c:v>1203.9815442988424</c:v>
                </c:pt>
                <c:pt idx="138">
                  <c:v>1171.6441653355803</c:v>
                </c:pt>
                <c:pt idx="139">
                  <c:v>1175.64134591168</c:v>
                </c:pt>
                <c:pt idx="140">
                  <c:v>1221.9533789748259</c:v>
                </c:pt>
                <c:pt idx="141">
                  <c:v>1220.9765976966687</c:v>
                </c:pt>
                <c:pt idx="142">
                  <c:v>1220.4884023357345</c:v>
                </c:pt>
                <c:pt idx="143">
                  <c:v>1181.8421635864574</c:v>
                </c:pt>
                <c:pt idx="144">
                  <c:v>1226.3589951089109</c:v>
                </c:pt>
                <c:pt idx="145">
                  <c:v>1214.8182219999117</c:v>
                </c:pt>
                <c:pt idx="146">
                  <c:v>1212.3934351296523</c:v>
                </c:pt>
                <c:pt idx="147">
                  <c:v>1187.8058539528288</c:v>
                </c:pt>
                <c:pt idx="148">
                  <c:v>1177.2109553546372</c:v>
                </c:pt>
                <c:pt idx="149">
                  <c:v>1140.0454729368946</c:v>
                </c:pt>
                <c:pt idx="150">
                  <c:v>1128.3110381402362</c:v>
                </c:pt>
                <c:pt idx="151">
                  <c:v>1143.867638017271</c:v>
                </c:pt>
                <c:pt idx="152">
                  <c:v>1145.5860170428352</c:v>
                </c:pt>
                <c:pt idx="153">
                  <c:v>1122.3533036571328</c:v>
                </c:pt>
                <c:pt idx="154">
                  <c:v>1161.8564220053136</c:v>
                </c:pt>
                <c:pt idx="155">
                  <c:v>1151.3788742496417</c:v>
                </c:pt>
                <c:pt idx="156">
                  <c:v>1221.8814329296845</c:v>
                </c:pt>
                <c:pt idx="157">
                  <c:v>1213.7493125356955</c:v>
                </c:pt>
                <c:pt idx="158">
                  <c:v>1229.1132278842485</c:v>
                </c:pt>
                <c:pt idx="159">
                  <c:v>1215.0190073984268</c:v>
                </c:pt>
                <c:pt idx="160">
                  <c:v>1242.4777660276375</c:v>
                </c:pt>
                <c:pt idx="161">
                  <c:v>1213.2387130432942</c:v>
                </c:pt>
                <c:pt idx="162">
                  <c:v>1213.360049048199</c:v>
                </c:pt>
                <c:pt idx="163">
                  <c:v>1227.8486632748422</c:v>
                </c:pt>
                <c:pt idx="164">
                  <c:v>1232.7797824044601</c:v>
                </c:pt>
                <c:pt idx="165">
                  <c:v>1223.4813243394799</c:v>
                </c:pt>
                <c:pt idx="166">
                  <c:v>1222.7476757340396</c:v>
                </c:pt>
                <c:pt idx="167">
                  <c:v>1231.2432541879364</c:v>
                </c:pt>
                <c:pt idx="168">
                  <c:v>1242.1743888094597</c:v>
                </c:pt>
                <c:pt idx="169">
                  <c:v>1240.1900846739813</c:v>
                </c:pt>
                <c:pt idx="170">
                  <c:v>1236.357376805883</c:v>
                </c:pt>
                <c:pt idx="171">
                  <c:v>1231.7997178498385</c:v>
                </c:pt>
                <c:pt idx="172">
                  <c:v>1237.2435896442732</c:v>
                </c:pt>
                <c:pt idx="173">
                  <c:v>1215.9642158666074</c:v>
                </c:pt>
                <c:pt idx="174">
                  <c:v>1228.1226299026437</c:v>
                </c:pt>
                <c:pt idx="175">
                  <c:v>1207.5935397272801</c:v>
                </c:pt>
                <c:pt idx="176">
                  <c:v>1204.1016449569051</c:v>
                </c:pt>
                <c:pt idx="177">
                  <c:v>1231.5655568752227</c:v>
                </c:pt>
                <c:pt idx="178">
                  <c:v>1199.6547407707214</c:v>
                </c:pt>
                <c:pt idx="179">
                  <c:v>1210.0612676727069</c:v>
                </c:pt>
                <c:pt idx="180">
                  <c:v>1229.4871648777757</c:v>
                </c:pt>
                <c:pt idx="181">
                  <c:v>1232.8157674498905</c:v>
                </c:pt>
                <c:pt idx="182">
                  <c:v>1225.0976522407736</c:v>
                </c:pt>
                <c:pt idx="183">
                  <c:v>1200.8406706927794</c:v>
                </c:pt>
                <c:pt idx="184">
                  <c:v>1165.5252554525666</c:v>
                </c:pt>
                <c:pt idx="185">
                  <c:v>1198.7300786306353</c:v>
                </c:pt>
                <c:pt idx="186">
                  <c:v>1179.8524395970819</c:v>
                </c:pt>
                <c:pt idx="187">
                  <c:v>1194.6663017386411</c:v>
                </c:pt>
                <c:pt idx="188">
                  <c:v>1202.4824375829301</c:v>
                </c:pt>
                <c:pt idx="189">
                  <c:v>1220.2988000638625</c:v>
                </c:pt>
                <c:pt idx="190">
                  <c:v>1209.6538462171516</c:v>
                </c:pt>
                <c:pt idx="191">
                  <c:v>1169.7648643430534</c:v>
                </c:pt>
                <c:pt idx="192">
                  <c:v>1212.4428527602129</c:v>
                </c:pt>
                <c:pt idx="193">
                  <c:v>1207.8530113172073</c:v>
                </c:pt>
                <c:pt idx="194">
                  <c:v>1205.4421270630812</c:v>
                </c:pt>
                <c:pt idx="195">
                  <c:v>1191.6193426879015</c:v>
                </c:pt>
                <c:pt idx="196">
                  <c:v>1186.9900813705563</c:v>
                </c:pt>
                <c:pt idx="197">
                  <c:v>1178.855975142076</c:v>
                </c:pt>
                <c:pt idx="198">
                  <c:v>1147.6401627161956</c:v>
                </c:pt>
                <c:pt idx="199">
                  <c:v>1102.2283545103685</c:v>
                </c:pt>
                <c:pt idx="200">
                  <c:v>1113.5869413117482</c:v>
                </c:pt>
                <c:pt idx="201">
                  <c:v>1149.6871167785962</c:v>
                </c:pt>
                <c:pt idx="202">
                  <c:v>1158.3749287441774</c:v>
                </c:pt>
                <c:pt idx="203">
                  <c:v>1174.4651006227086</c:v>
                </c:pt>
                <c:pt idx="204">
                  <c:v>1159.9655314792185</c:v>
                </c:pt>
                <c:pt idx="205">
                  <c:v>1172.867069240868</c:v>
                </c:pt>
                <c:pt idx="206">
                  <c:v>1170.2924259038796</c:v>
                </c:pt>
                <c:pt idx="207">
                  <c:v>1161.5805716167538</c:v>
                </c:pt>
                <c:pt idx="208">
                  <c:v>1142.0514911186253</c:v>
                </c:pt>
                <c:pt idx="209">
                  <c:v>1128.2863970743188</c:v>
                </c:pt>
                <c:pt idx="210">
                  <c:v>1124.5752985889751</c:v>
                </c:pt>
                <c:pt idx="211">
                  <c:v>1155.6626231517573</c:v>
                </c:pt>
                <c:pt idx="212">
                  <c:v>1155.5470684449128</c:v>
                </c:pt>
                <c:pt idx="213">
                  <c:v>1149.3406290480532</c:v>
                </c:pt>
                <c:pt idx="214">
                  <c:v>1159.7786367790648</c:v>
                </c:pt>
                <c:pt idx="215">
                  <c:v>1145.4603820040147</c:v>
                </c:pt>
                <c:pt idx="216">
                  <c:v>1146.6069889930077</c:v>
                </c:pt>
                <c:pt idx="217">
                  <c:v>1130.9992000325583</c:v>
                </c:pt>
                <c:pt idx="218">
                  <c:v>1138.7426500529182</c:v>
                </c:pt>
                <c:pt idx="219">
                  <c:v>1123.6852674688357</c:v>
                </c:pt>
                <c:pt idx="220">
                  <c:v>1110.2512276146979</c:v>
                </c:pt>
                <c:pt idx="221">
                  <c:v>1096.9777962797134</c:v>
                </c:pt>
                <c:pt idx="222">
                  <c:v>1097.3069883762262</c:v>
                </c:pt>
                <c:pt idx="223">
                  <c:v>1098.8453718968817</c:v>
                </c:pt>
                <c:pt idx="224">
                  <c:v>1088.504578402062</c:v>
                </c:pt>
                <c:pt idx="225">
                  <c:v>1089.3760792654743</c:v>
                </c:pt>
                <c:pt idx="226">
                  <c:v>1060.6329269452579</c:v>
                </c:pt>
                <c:pt idx="227">
                  <c:v>1089.5048042580975</c:v>
                </c:pt>
                <c:pt idx="228">
                  <c:v>1085.1641476674276</c:v>
                </c:pt>
                <c:pt idx="229">
                  <c:v>1090.3980583474956</c:v>
                </c:pt>
                <c:pt idx="230">
                  <c:v>1075.5553939115166</c:v>
                </c:pt>
                <c:pt idx="231">
                  <c:v>1097.1696357355061</c:v>
                </c:pt>
                <c:pt idx="232">
                  <c:v>1086.3065700351544</c:v>
                </c:pt>
                <c:pt idx="233">
                  <c:v>1072.789423301555</c:v>
                </c:pt>
                <c:pt idx="234">
                  <c:v>1074.1858649259586</c:v>
                </c:pt>
                <c:pt idx="235">
                  <c:v>1049.8298132583645</c:v>
                </c:pt>
                <c:pt idx="236">
                  <c:v>1041.3945176652758</c:v>
                </c:pt>
                <c:pt idx="237">
                  <c:v>1045.8918526315915</c:v>
                </c:pt>
                <c:pt idx="238">
                  <c:v>1074.1417814846375</c:v>
                </c:pt>
                <c:pt idx="239">
                  <c:v>1076.2943702250877</c:v>
                </c:pt>
                <c:pt idx="240">
                  <c:v>1069.8751195080395</c:v>
                </c:pt>
                <c:pt idx="241">
                  <c:v>1075.6838120933435</c:v>
                </c:pt>
                <c:pt idx="242">
                  <c:v>1062.193948941783</c:v>
                </c:pt>
                <c:pt idx="243">
                  <c:v>1037.0962204079115</c:v>
                </c:pt>
                <c:pt idx="244">
                  <c:v>1054.4953944157717</c:v>
                </c:pt>
                <c:pt idx="245">
                  <c:v>1054.9173613603157</c:v>
                </c:pt>
                <c:pt idx="246">
                  <c:v>1054.2847904860241</c:v>
                </c:pt>
                <c:pt idx="247">
                  <c:v>1050.3983167141816</c:v>
                </c:pt>
                <c:pt idx="248">
                  <c:v>1034.2638014121519</c:v>
                </c:pt>
                <c:pt idx="249">
                  <c:v>1029.0158207264469</c:v>
                </c:pt>
                <c:pt idx="250">
                  <c:v>1027.8851470646757</c:v>
                </c:pt>
                <c:pt idx="251">
                  <c:v>1018.9186628317563</c:v>
                </c:pt>
                <c:pt idx="252">
                  <c:v>994.84345131005296</c:v>
                </c:pt>
                <c:pt idx="253">
                  <c:v>987.43766879409714</c:v>
                </c:pt>
                <c:pt idx="254">
                  <c:v>988.12935934563916</c:v>
                </c:pt>
                <c:pt idx="255">
                  <c:v>998.71574625595235</c:v>
                </c:pt>
                <c:pt idx="256">
                  <c:v>985.89905849551076</c:v>
                </c:pt>
                <c:pt idx="257">
                  <c:v>966.75726465533512</c:v>
                </c:pt>
                <c:pt idx="258">
                  <c:v>953.78577807353497</c:v>
                </c:pt>
                <c:pt idx="259">
                  <c:v>971.66440309039831</c:v>
                </c:pt>
                <c:pt idx="260">
                  <c:v>967.2152131100919</c:v>
                </c:pt>
                <c:pt idx="261">
                  <c:v>987.96242401439417</c:v>
                </c:pt>
                <c:pt idx="262">
                  <c:v>998.64795715596301</c:v>
                </c:pt>
                <c:pt idx="263">
                  <c:v>988.07554878397457</c:v>
                </c:pt>
                <c:pt idx="264">
                  <c:v>988.37206040209514</c:v>
                </c:pt>
                <c:pt idx="265">
                  <c:v>981.40409135348534</c:v>
                </c:pt>
                <c:pt idx="266">
                  <c:v>953.18967691674948</c:v>
                </c:pt>
                <c:pt idx="267">
                  <c:v>938.2711653870947</c:v>
                </c:pt>
                <c:pt idx="268">
                  <c:v>930.17861146732901</c:v>
                </c:pt>
                <c:pt idx="269">
                  <c:v>950.22843136921949</c:v>
                </c:pt>
                <c:pt idx="270">
                  <c:v>959.92366033863971</c:v>
                </c:pt>
                <c:pt idx="271">
                  <c:v>952.49420553546304</c:v>
                </c:pt>
                <c:pt idx="272">
                  <c:v>963.47785306035098</c:v>
                </c:pt>
                <c:pt idx="273">
                  <c:v>973.89856773511679</c:v>
                </c:pt>
                <c:pt idx="274">
                  <c:v>954.14771013531583</c:v>
                </c:pt>
                <c:pt idx="275">
                  <c:v>942.92688026021915</c:v>
                </c:pt>
                <c:pt idx="276">
                  <c:v>924.1663042832688</c:v>
                </c:pt>
                <c:pt idx="277">
                  <c:v>908.36082591239312</c:v>
                </c:pt>
                <c:pt idx="278">
                  <c:v>927.9403676702351</c:v>
                </c:pt>
                <c:pt idx="279">
                  <c:v>907.16626030915552</c:v>
                </c:pt>
                <c:pt idx="280">
                  <c:v>916.42212375912266</c:v>
                </c:pt>
                <c:pt idx="281">
                  <c:v>909.2391345958157</c:v>
                </c:pt>
                <c:pt idx="282">
                  <c:v>911.4265583358216</c:v>
                </c:pt>
                <c:pt idx="283">
                  <c:v>905.90056488999267</c:v>
                </c:pt>
                <c:pt idx="284">
                  <c:v>886.66004197904726</c:v>
                </c:pt>
                <c:pt idx="285">
                  <c:v>885.15527800643633</c:v>
                </c:pt>
                <c:pt idx="286">
                  <c:v>887.64067188772196</c:v>
                </c:pt>
                <c:pt idx="287">
                  <c:v>886.57677975201943</c:v>
                </c:pt>
                <c:pt idx="288">
                  <c:v>883.83688540725689</c:v>
                </c:pt>
                <c:pt idx="289">
                  <c:v>877.86738717447054</c:v>
                </c:pt>
                <c:pt idx="290">
                  <c:v>867.9725006668682</c:v>
                </c:pt>
                <c:pt idx="291">
                  <c:v>859.80435925395557</c:v>
                </c:pt>
                <c:pt idx="292">
                  <c:v>856.54947126315551</c:v>
                </c:pt>
                <c:pt idx="293">
                  <c:v>819.11587574175712</c:v>
                </c:pt>
                <c:pt idx="294">
                  <c:v>835.32110518229365</c:v>
                </c:pt>
                <c:pt idx="295">
                  <c:v>825.66087296856142</c:v>
                </c:pt>
                <c:pt idx="296">
                  <c:v>828.31146967151028</c:v>
                </c:pt>
                <c:pt idx="297">
                  <c:v>827.23606278988336</c:v>
                </c:pt>
                <c:pt idx="298">
                  <c:v>823.12046048744617</c:v>
                </c:pt>
                <c:pt idx="299">
                  <c:v>794.36446678966047</c:v>
                </c:pt>
                <c:pt idx="300">
                  <c:v>806.05222403821449</c:v>
                </c:pt>
                <c:pt idx="301">
                  <c:v>826.1271128812283</c:v>
                </c:pt>
                <c:pt idx="302">
                  <c:v>824.80742100761609</c:v>
                </c:pt>
                <c:pt idx="303">
                  <c:v>837.19795067764528</c:v>
                </c:pt>
                <c:pt idx="304">
                  <c:v>834.52746279669577</c:v>
                </c:pt>
                <c:pt idx="305">
                  <c:v>853.38732262674694</c:v>
                </c:pt>
                <c:pt idx="306">
                  <c:v>841.5218643395591</c:v>
                </c:pt>
                <c:pt idx="307">
                  <c:v>852.86496841953897</c:v>
                </c:pt>
                <c:pt idx="308">
                  <c:v>856.11821764659601</c:v>
                </c:pt>
                <c:pt idx="309">
                  <c:v>839.82560098743966</c:v>
                </c:pt>
                <c:pt idx="310">
                  <c:v>821.50601681252044</c:v>
                </c:pt>
                <c:pt idx="311">
                  <c:v>824.14327529345951</c:v>
                </c:pt>
                <c:pt idx="312">
                  <c:v>828.28469878739645</c:v>
                </c:pt>
                <c:pt idx="313">
                  <c:v>821.14077405313424</c:v>
                </c:pt>
                <c:pt idx="314">
                  <c:v>812.44758489476033</c:v>
                </c:pt>
                <c:pt idx="315">
                  <c:v>809.53326514025537</c:v>
                </c:pt>
                <c:pt idx="316">
                  <c:v>795.92298214556627</c:v>
                </c:pt>
                <c:pt idx="317">
                  <c:v>792.51516692777682</c:v>
                </c:pt>
                <c:pt idx="318">
                  <c:v>791.24916825856303</c:v>
                </c:pt>
                <c:pt idx="319">
                  <c:v>795.62510634345199</c:v>
                </c:pt>
                <c:pt idx="320">
                  <c:v>779.7952625144095</c:v>
                </c:pt>
                <c:pt idx="321">
                  <c:v>784.34446038464046</c:v>
                </c:pt>
                <c:pt idx="322">
                  <c:v>774.27883552284356</c:v>
                </c:pt>
                <c:pt idx="323">
                  <c:v>746.43674493670437</c:v>
                </c:pt>
                <c:pt idx="324">
                  <c:v>769.68111459755039</c:v>
                </c:pt>
                <c:pt idx="325">
                  <c:v>756.51770650437425</c:v>
                </c:pt>
                <c:pt idx="326">
                  <c:v>790.50962017175993</c:v>
                </c:pt>
                <c:pt idx="327">
                  <c:v>799.70624195423363</c:v>
                </c:pt>
                <c:pt idx="328">
                  <c:v>819.70709507404024</c:v>
                </c:pt>
                <c:pt idx="329">
                  <c:v>805.21325645779984</c:v>
                </c:pt>
                <c:pt idx="330">
                  <c:v>800.41079170755449</c:v>
                </c:pt>
                <c:pt idx="331">
                  <c:v>816.66237292883841</c:v>
                </c:pt>
                <c:pt idx="332">
                  <c:v>822.75072831839452</c:v>
                </c:pt>
                <c:pt idx="333">
                  <c:v>816.13999436404572</c:v>
                </c:pt>
                <c:pt idx="334">
                  <c:v>820.2412003658751</c:v>
                </c:pt>
                <c:pt idx="335">
                  <c:v>800.78219307417271</c:v>
                </c:pt>
                <c:pt idx="336">
                  <c:v>800.06213715073716</c:v>
                </c:pt>
                <c:pt idx="337">
                  <c:v>797.82821813994542</c:v>
                </c:pt>
                <c:pt idx="338">
                  <c:v>795.2040447921313</c:v>
                </c:pt>
                <c:pt idx="339">
                  <c:v>784.3796062262096</c:v>
                </c:pt>
                <c:pt idx="340">
                  <c:v>785.71532227407556</c:v>
                </c:pt>
                <c:pt idx="341">
                  <c:v>769.02742710587802</c:v>
                </c:pt>
                <c:pt idx="342">
                  <c:v>768.48948446675138</c:v>
                </c:pt>
                <c:pt idx="343">
                  <c:v>753.12571978317465</c:v>
                </c:pt>
                <c:pt idx="344">
                  <c:v>746.55602674779414</c:v>
                </c:pt>
                <c:pt idx="345">
                  <c:v>734.72692328293886</c:v>
                </c:pt>
                <c:pt idx="346">
                  <c:v>739.23626449636674</c:v>
                </c:pt>
                <c:pt idx="347">
                  <c:v>712.58556438824621</c:v>
                </c:pt>
                <c:pt idx="348">
                  <c:v>733.33905978002076</c:v>
                </c:pt>
                <c:pt idx="349">
                  <c:v>726.94197044014754</c:v>
                </c:pt>
                <c:pt idx="350">
                  <c:v>676.91774880356411</c:v>
                </c:pt>
                <c:pt idx="351">
                  <c:v>710.22741454576021</c:v>
                </c:pt>
                <c:pt idx="352">
                  <c:v>738.35888818563285</c:v>
                </c:pt>
                <c:pt idx="353">
                  <c:v>732.13573444286851</c:v>
                </c:pt>
                <c:pt idx="354">
                  <c:v>750.7544446707019</c:v>
                </c:pt>
                <c:pt idx="355">
                  <c:v>723.40956318240683</c:v>
                </c:pt>
                <c:pt idx="356">
                  <c:v>715.39711548893069</c:v>
                </c:pt>
                <c:pt idx="357">
                  <c:v>675.03030334867958</c:v>
                </c:pt>
                <c:pt idx="358">
                  <c:v>661.01674828503678</c:v>
                </c:pt>
                <c:pt idx="359">
                  <c:v>663.93807581863882</c:v>
                </c:pt>
                <c:pt idx="360">
                  <c:v>710.39811236747141</c:v>
                </c:pt>
                <c:pt idx="361">
                  <c:v>674.32189118886697</c:v>
                </c:pt>
                <c:pt idx="362">
                  <c:v>685.84407159160594</c:v>
                </c:pt>
                <c:pt idx="363">
                  <c:v>687.49405732919593</c:v>
                </c:pt>
                <c:pt idx="364">
                  <c:v>656.38157086995977</c:v>
                </c:pt>
                <c:pt idx="365">
                  <c:v>688.68069548836399</c:v>
                </c:pt>
                <c:pt idx="366">
                  <c:v>700.73330839271875</c:v>
                </c:pt>
                <c:pt idx="367">
                  <c:v>755.01918801068712</c:v>
                </c:pt>
                <c:pt idx="368">
                  <c:v>785.82346795450371</c:v>
                </c:pt>
                <c:pt idx="369">
                  <c:v>768.98274582102329</c:v>
                </c:pt>
                <c:pt idx="370">
                  <c:v>785.15697960079967</c:v>
                </c:pt>
                <c:pt idx="371">
                  <c:v>782.7305150042863</c:v>
                </c:pt>
                <c:pt idx="372">
                  <c:v>741.15189376411922</c:v>
                </c:pt>
                <c:pt idx="373">
                  <c:v>742.93493761439379</c:v>
                </c:pt>
                <c:pt idx="374">
                  <c:v>742.63788246140928</c:v>
                </c:pt>
                <c:pt idx="375">
                  <c:v>759.65413508736629</c:v>
                </c:pt>
                <c:pt idx="376">
                  <c:v>777.69669849238971</c:v>
                </c:pt>
                <c:pt idx="377">
                  <c:v>778.94300730407622</c:v>
                </c:pt>
                <c:pt idx="378">
                  <c:v>781.60044883009857</c:v>
                </c:pt>
                <c:pt idx="379">
                  <c:v>783.00986658996055</c:v>
                </c:pt>
                <c:pt idx="380">
                  <c:v>796.71333596862087</c:v>
                </c:pt>
                <c:pt idx="381">
                  <c:v>781.39793641488905</c:v>
                </c:pt>
                <c:pt idx="382">
                  <c:v>771.06565661623154</c:v>
                </c:pt>
                <c:pt idx="383">
                  <c:v>776.03226310007199</c:v>
                </c:pt>
                <c:pt idx="384">
                  <c:v>778.52353842302568</c:v>
                </c:pt>
                <c:pt idx="385">
                  <c:v>767.62328773715808</c:v>
                </c:pt>
                <c:pt idx="386">
                  <c:v>747.44234443734967</c:v>
                </c:pt>
                <c:pt idx="387">
                  <c:v>762.07416847201227</c:v>
                </c:pt>
                <c:pt idx="388">
                  <c:v>771.95519496759755</c:v>
                </c:pt>
                <c:pt idx="389">
                  <c:v>771.18401095664103</c:v>
                </c:pt>
                <c:pt idx="390">
                  <c:v>784.68051582889802</c:v>
                </c:pt>
                <c:pt idx="391">
                  <c:v>776.60383593517224</c:v>
                </c:pt>
                <c:pt idx="392">
                  <c:v>765.95703317405287</c:v>
                </c:pt>
                <c:pt idx="393">
                  <c:v>745.74728183628952</c:v>
                </c:pt>
                <c:pt idx="394">
                  <c:v>749.87157550154802</c:v>
                </c:pt>
                <c:pt idx="395">
                  <c:v>755.6142437540791</c:v>
                </c:pt>
                <c:pt idx="396">
                  <c:v>742.91047463777329</c:v>
                </c:pt>
                <c:pt idx="397">
                  <c:v>734.82737352895481</c:v>
                </c:pt>
                <c:pt idx="398">
                  <c:v>734.3133541810281</c:v>
                </c:pt>
                <c:pt idx="399">
                  <c:v>726.82703571318234</c:v>
                </c:pt>
                <c:pt idx="400">
                  <c:v>724.79760242638849</c:v>
                </c:pt>
                <c:pt idx="401">
                  <c:v>715.63744315401709</c:v>
                </c:pt>
                <c:pt idx="402">
                  <c:v>694.99606016705548</c:v>
                </c:pt>
                <c:pt idx="403">
                  <c:v>701.02487408417949</c:v>
                </c:pt>
                <c:pt idx="404">
                  <c:v>700.74457625367802</c:v>
                </c:pt>
                <c:pt idx="405">
                  <c:v>716.2880264271472</c:v>
                </c:pt>
                <c:pt idx="406">
                  <c:v>691.39770890651278</c:v>
                </c:pt>
                <c:pt idx="407">
                  <c:v>691.25945701510977</c:v>
                </c:pt>
                <c:pt idx="408">
                  <c:v>687.2049478229543</c:v>
                </c:pt>
                <c:pt idx="409">
                  <c:v>680.73793741748807</c:v>
                </c:pt>
                <c:pt idx="410">
                  <c:v>669.68808403097694</c:v>
                </c:pt>
                <c:pt idx="411">
                  <c:v>671.09738854692546</c:v>
                </c:pt>
                <c:pt idx="412">
                  <c:v>657.61625531300876</c:v>
                </c:pt>
                <c:pt idx="413">
                  <c:v>648.21710725777109</c:v>
                </c:pt>
                <c:pt idx="414">
                  <c:v>645.24896203242201</c:v>
                </c:pt>
                <c:pt idx="415">
                  <c:v>621.9267103926959</c:v>
                </c:pt>
                <c:pt idx="416">
                  <c:v>626.05869779816385</c:v>
                </c:pt>
                <c:pt idx="417">
                  <c:v>630.47200181083974</c:v>
                </c:pt>
                <c:pt idx="418">
                  <c:v>655.24007671049651</c:v>
                </c:pt>
                <c:pt idx="419">
                  <c:v>643.52786948585401</c:v>
                </c:pt>
                <c:pt idx="420">
                  <c:v>644.17204152738134</c:v>
                </c:pt>
                <c:pt idx="421">
                  <c:v>622.08792035478632</c:v>
                </c:pt>
                <c:pt idx="422">
                  <c:v>629.70737964853356</c:v>
                </c:pt>
                <c:pt idx="423">
                  <c:v>597.33198600695653</c:v>
                </c:pt>
                <c:pt idx="424">
                  <c:v>628.9691334178757</c:v>
                </c:pt>
                <c:pt idx="425">
                  <c:v>652.79619451777444</c:v>
                </c:pt>
                <c:pt idx="426">
                  <c:v>637.68310493091178</c:v>
                </c:pt>
                <c:pt idx="427">
                  <c:v>622.06916879417793</c:v>
                </c:pt>
                <c:pt idx="428">
                  <c:v>636.38789646463215</c:v>
                </c:pt>
                <c:pt idx="429">
                  <c:v>635.37130238082284</c:v>
                </c:pt>
                <c:pt idx="430">
                  <c:v>663.43458534073602</c:v>
                </c:pt>
                <c:pt idx="431">
                  <c:v>648.96271675705373</c:v>
                </c:pt>
                <c:pt idx="432">
                  <c:v>693.26216938046548</c:v>
                </c:pt>
                <c:pt idx="433">
                  <c:v>711.11105690887837</c:v>
                </c:pt>
                <c:pt idx="434">
                  <c:v>696.41666527164671</c:v>
                </c:pt>
                <c:pt idx="435">
                  <c:v>697.74237578563941</c:v>
                </c:pt>
                <c:pt idx="436">
                  <c:v>688.24460030147895</c:v>
                </c:pt>
                <c:pt idx="437">
                  <c:v>681.49777235516285</c:v>
                </c:pt>
                <c:pt idx="438">
                  <c:v>677.56787865894103</c:v>
                </c:pt>
                <c:pt idx="439">
                  <c:v>671.79048052641394</c:v>
                </c:pt>
                <c:pt idx="440">
                  <c:v>665.20495150649958</c:v>
                </c:pt>
                <c:pt idx="441">
                  <c:v>645.20363870659514</c:v>
                </c:pt>
                <c:pt idx="442">
                  <c:v>647.92492338481134</c:v>
                </c:pt>
                <c:pt idx="443">
                  <c:v>628.26037368836546</c:v>
                </c:pt>
                <c:pt idx="444">
                  <c:v>622.84165132186524</c:v>
                </c:pt>
                <c:pt idx="445">
                  <c:v>627.35863348294242</c:v>
                </c:pt>
                <c:pt idx="446">
                  <c:v>637.81886283341032</c:v>
                </c:pt>
                <c:pt idx="447">
                  <c:v>663.70329118981306</c:v>
                </c:pt>
                <c:pt idx="448">
                  <c:v>668.92087400706816</c:v>
                </c:pt>
                <c:pt idx="449">
                  <c:v>651.46170043539951</c:v>
                </c:pt>
                <c:pt idx="450">
                  <c:v>658.10859726780438</c:v>
                </c:pt>
                <c:pt idx="451">
                  <c:v>644.06791668409119</c:v>
                </c:pt>
                <c:pt idx="452">
                  <c:v>646.39493846255641</c:v>
                </c:pt>
                <c:pt idx="453">
                  <c:v>646.13648386900888</c:v>
                </c:pt>
                <c:pt idx="454">
                  <c:v>637.65566354387533</c:v>
                </c:pt>
                <c:pt idx="455">
                  <c:v>637.59190435343999</c:v>
                </c:pt>
                <c:pt idx="456">
                  <c:v>638.8056350600541</c:v>
                </c:pt>
                <c:pt idx="457">
                  <c:v>624.68769319387263</c:v>
                </c:pt>
                <c:pt idx="458">
                  <c:v>605.31753216460527</c:v>
                </c:pt>
                <c:pt idx="459">
                  <c:v>630.6704856893158</c:v>
                </c:pt>
                <c:pt idx="460">
                  <c:v>635.37224026729371</c:v>
                </c:pt>
                <c:pt idx="461">
                  <c:v>625.92083564899394</c:v>
                </c:pt>
                <c:pt idx="462">
                  <c:v>598.90999487991007</c:v>
                </c:pt>
                <c:pt idx="463">
                  <c:v>610.13650660137534</c:v>
                </c:pt>
                <c:pt idx="464">
                  <c:v>624.116721155253</c:v>
                </c:pt>
                <c:pt idx="465">
                  <c:v>609.19152870205278</c:v>
                </c:pt>
                <c:pt idx="466">
                  <c:v>593.81180300424285</c:v>
                </c:pt>
                <c:pt idx="467">
                  <c:v>601.14578153901891</c:v>
                </c:pt>
                <c:pt idx="468">
                  <c:v>599.52705848111998</c:v>
                </c:pt>
                <c:pt idx="469">
                  <c:v>586.6213879463013</c:v>
                </c:pt>
                <c:pt idx="470">
                  <c:v>590.34053330612994</c:v>
                </c:pt>
                <c:pt idx="471">
                  <c:v>576.8987914649955</c:v>
                </c:pt>
                <c:pt idx="472">
                  <c:v>572.0932085134823</c:v>
                </c:pt>
                <c:pt idx="473">
                  <c:v>549.40286998317697</c:v>
                </c:pt>
                <c:pt idx="474">
                  <c:v>513.60462744991764</c:v>
                </c:pt>
                <c:pt idx="475">
                  <c:v>523.71227434477169</c:v>
                </c:pt>
                <c:pt idx="476">
                  <c:v>536.86547856973004</c:v>
                </c:pt>
                <c:pt idx="477">
                  <c:v>538.21100608494237</c:v>
                </c:pt>
                <c:pt idx="478">
                  <c:v>552.80505965996542</c:v>
                </c:pt>
                <c:pt idx="479">
                  <c:v>549.23503195227568</c:v>
                </c:pt>
                <c:pt idx="480">
                  <c:v>536.99162294903761</c:v>
                </c:pt>
                <c:pt idx="481">
                  <c:v>518.23163766554489</c:v>
                </c:pt>
                <c:pt idx="482">
                  <c:v>515.80734315272707</c:v>
                </c:pt>
                <c:pt idx="483">
                  <c:v>542.89795090277562</c:v>
                </c:pt>
                <c:pt idx="484">
                  <c:v>512.69992530246066</c:v>
                </c:pt>
                <c:pt idx="485">
                  <c:v>506.12036061447253</c:v>
                </c:pt>
                <c:pt idx="486">
                  <c:v>508.10195825165397</c:v>
                </c:pt>
                <c:pt idx="487">
                  <c:v>500.49444272227532</c:v>
                </c:pt>
                <c:pt idx="488">
                  <c:v>492.27347567844532</c:v>
                </c:pt>
                <c:pt idx="489">
                  <c:v>476.73201208449092</c:v>
                </c:pt>
                <c:pt idx="490">
                  <c:v>449.02704350050942</c:v>
                </c:pt>
                <c:pt idx="491">
                  <c:v>442.0427677697474</c:v>
                </c:pt>
                <c:pt idx="492">
                  <c:v>399.2798914007293</c:v>
                </c:pt>
                <c:pt idx="493">
                  <c:v>429.47175583600011</c:v>
                </c:pt>
                <c:pt idx="494">
                  <c:v>449.89708342342357</c:v>
                </c:pt>
                <c:pt idx="495">
                  <c:v>483.08502461443527</c:v>
                </c:pt>
                <c:pt idx="496">
                  <c:v>507.49556110351432</c:v>
                </c:pt>
                <c:pt idx="497">
                  <c:v>482.54783788486668</c:v>
                </c:pt>
                <c:pt idx="498">
                  <c:v>486.09634117544744</c:v>
                </c:pt>
                <c:pt idx="499">
                  <c:v>496.72628364546028</c:v>
                </c:pt>
                <c:pt idx="500">
                  <c:v>520.24118521728144</c:v>
                </c:pt>
                <c:pt idx="501">
                  <c:v>544.47010488464832</c:v>
                </c:pt>
                <c:pt idx="502">
                  <c:v>509.99447816096693</c:v>
                </c:pt>
                <c:pt idx="503">
                  <c:v>518.81432162865406</c:v>
                </c:pt>
                <c:pt idx="504">
                  <c:v>514.03380722149416</c:v>
                </c:pt>
                <c:pt idx="505">
                  <c:v>511.88389486306932</c:v>
                </c:pt>
                <c:pt idx="506">
                  <c:v>523.66638860672049</c:v>
                </c:pt>
                <c:pt idx="507">
                  <c:v>523.66638860672049</c:v>
                </c:pt>
                <c:pt idx="508">
                  <c:v>523.66638860672049</c:v>
                </c:pt>
                <c:pt idx="509">
                  <c:v>523.61402720400008</c:v>
                </c:pt>
                <c:pt idx="510">
                  <c:v>523.56167103689643</c:v>
                </c:pt>
                <c:pt idx="511">
                  <c:v>523.45697964096826</c:v>
                </c:pt>
                <c:pt idx="512">
                  <c:v>523.40463917705051</c:v>
                </c:pt>
                <c:pt idx="513">
                  <c:v>523.35230394665587</c:v>
                </c:pt>
                <c:pt idx="514">
                  <c:v>523.2999739492609</c:v>
                </c:pt>
                <c:pt idx="515">
                  <c:v>523.19533488228444</c:v>
                </c:pt>
                <c:pt idx="516">
                  <c:v>523.14302058022645</c:v>
                </c:pt>
                <c:pt idx="517">
                  <c:v>522.98612474280367</c:v>
                </c:pt>
                <c:pt idx="518">
                  <c:v>522.82927596001571</c:v>
                </c:pt>
                <c:pt idx="519">
                  <c:v>522.67247421775039</c:v>
                </c:pt>
                <c:pt idx="520">
                  <c:v>522.51571950189987</c:v>
                </c:pt>
                <c:pt idx="521">
                  <c:v>522.30679678318666</c:v>
                </c:pt>
                <c:pt idx="522">
                  <c:v>522.1501517376654</c:v>
                </c:pt>
                <c:pt idx="523">
                  <c:v>521.99355367156397</c:v>
                </c:pt>
                <c:pt idx="524">
                  <c:v>521.83700257079272</c:v>
                </c:pt>
                <c:pt idx="525">
                  <c:v>521.68049842126641</c:v>
                </c:pt>
                <c:pt idx="526">
                  <c:v>521.52404120890378</c:v>
                </c:pt>
                <c:pt idx="527">
                  <c:v>521.31551500290266</c:v>
                </c:pt>
                <c:pt idx="528">
                  <c:v>521.15916725272689</c:v>
                </c:pt>
                <c:pt idx="529">
                  <c:v>520.95078693795176</c:v>
                </c:pt>
                <c:pt idx="530">
                  <c:v>520.74248994197501</c:v>
                </c:pt>
                <c:pt idx="531">
                  <c:v>520.53427623148241</c:v>
                </c:pt>
                <c:pt idx="532">
                  <c:v>520.32614577317315</c:v>
                </c:pt>
                <c:pt idx="533">
                  <c:v>520.11809853375962</c:v>
                </c:pt>
                <c:pt idx="534">
                  <c:v>519.96210990078941</c:v>
                </c:pt>
                <c:pt idx="535">
                  <c:v>519.80616805037437</c:v>
                </c:pt>
                <c:pt idx="536">
                  <c:v>519.65027296848382</c:v>
                </c:pt>
                <c:pt idx="537">
                  <c:v>519.54636369574473</c:v>
                </c:pt>
                <c:pt idx="538">
                  <c:v>519.44247520070462</c:v>
                </c:pt>
                <c:pt idx="539">
                  <c:v>519.28668919394647</c:v>
                </c:pt>
                <c:pt idx="540">
                  <c:v>519.13094990897378</c:v>
                </c:pt>
                <c:pt idx="541">
                  <c:v>519.02714448007782</c:v>
                </c:pt>
                <c:pt idx="542">
                  <c:v>518.92335980811617</c:v>
                </c:pt>
                <c:pt idx="543">
                  <c:v>518.76772948926941</c:v>
                </c:pt>
                <c:pt idx="544">
                  <c:v>518.61214584551578</c:v>
                </c:pt>
                <c:pt idx="545">
                  <c:v>518.40478393194303</c:v>
                </c:pt>
                <c:pt idx="546">
                  <c:v>518.19750492997105</c:v>
                </c:pt>
                <c:pt idx="547">
                  <c:v>517.99030880644852</c:v>
                </c:pt>
                <c:pt idx="548">
                  <c:v>517.78319552823723</c:v>
                </c:pt>
                <c:pt idx="549">
                  <c:v>517.57616506221234</c:v>
                </c:pt>
                <c:pt idx="550">
                  <c:v>517.36921737526222</c:v>
                </c:pt>
                <c:pt idx="551">
                  <c:v>517.05898198607065</c:v>
                </c:pt>
                <c:pt idx="552">
                  <c:v>516.74893262649482</c:v>
                </c:pt>
                <c:pt idx="553">
                  <c:v>516.43906918498385</c:v>
                </c:pt>
                <c:pt idx="554">
                  <c:v>516.12939155005381</c:v>
                </c:pt>
                <c:pt idx="555">
                  <c:v>515.81989961028762</c:v>
                </c:pt>
                <c:pt idx="556">
                  <c:v>515.56211855101219</c:v>
                </c:pt>
                <c:pt idx="557">
                  <c:v>515.25296677094968</c:v>
                </c:pt>
                <c:pt idx="558">
                  <c:v>514.94400037072728</c:v>
                </c:pt>
                <c:pt idx="559">
                  <c:v>514.63521923918381</c:v>
                </c:pt>
                <c:pt idx="560">
                  <c:v>514.32662326522473</c:v>
                </c:pt>
                <c:pt idx="561">
                  <c:v>512.53275861008933</c:v>
                </c:pt>
                <c:pt idx="562">
                  <c:v>532.28035996478275</c:v>
                </c:pt>
                <c:pt idx="563">
                  <c:v>541.32041082556975</c:v>
                </c:pt>
                <c:pt idx="564">
                  <c:v>529.0982414481183</c:v>
                </c:pt>
                <c:pt idx="565">
                  <c:v>550.68509726073933</c:v>
                </c:pt>
                <c:pt idx="566">
                  <c:v>549.20225118254655</c:v>
                </c:pt>
                <c:pt idx="567">
                  <c:v>538.32802507601116</c:v>
                </c:pt>
                <c:pt idx="568">
                  <c:v>537.95145905467291</c:v>
                </c:pt>
                <c:pt idx="569">
                  <c:v>523.29908468353392</c:v>
                </c:pt>
                <c:pt idx="570">
                  <c:v>512.485637727484</c:v>
                </c:pt>
                <c:pt idx="571">
                  <c:v>519.70960118394078</c:v>
                </c:pt>
                <c:pt idx="572">
                  <c:v>521.58731551981214</c:v>
                </c:pt>
                <c:pt idx="573">
                  <c:v>509.81068861285524</c:v>
                </c:pt>
                <c:pt idx="574">
                  <c:v>512.52708214824088</c:v>
                </c:pt>
                <c:pt idx="575">
                  <c:v>505.2514611082816</c:v>
                </c:pt>
                <c:pt idx="576">
                  <c:v>514.35555442154293</c:v>
                </c:pt>
                <c:pt idx="577">
                  <c:v>540.85757562727963</c:v>
                </c:pt>
                <c:pt idx="578">
                  <c:v>547.37129402619132</c:v>
                </c:pt>
                <c:pt idx="579">
                  <c:v>539.60103906367442</c:v>
                </c:pt>
                <c:pt idx="580">
                  <c:v>530.05995978749945</c:v>
                </c:pt>
                <c:pt idx="581">
                  <c:v>529.79506225637124</c:v>
                </c:pt>
                <c:pt idx="582">
                  <c:v>540.49690089407397</c:v>
                </c:pt>
                <c:pt idx="583">
                  <c:v>531.61886583463559</c:v>
                </c:pt>
                <c:pt idx="584">
                  <c:v>541.74958303743563</c:v>
                </c:pt>
                <c:pt idx="585">
                  <c:v>534.48064624845654</c:v>
                </c:pt>
                <c:pt idx="586">
                  <c:v>536.95061909629953</c:v>
                </c:pt>
                <c:pt idx="587">
                  <c:v>531.00338122656194</c:v>
                </c:pt>
                <c:pt idx="588">
                  <c:v>530.89720178620473</c:v>
                </c:pt>
                <c:pt idx="589">
                  <c:v>526.84052970745734</c:v>
                </c:pt>
                <c:pt idx="590">
                  <c:v>523.4381815275284</c:v>
                </c:pt>
                <c:pt idx="591">
                  <c:v>512.32081973918798</c:v>
                </c:pt>
                <c:pt idx="592">
                  <c:v>509.11340528588687</c:v>
                </c:pt>
                <c:pt idx="593">
                  <c:v>501.04655573849709</c:v>
                </c:pt>
                <c:pt idx="594">
                  <c:v>506.41454996815963</c:v>
                </c:pt>
                <c:pt idx="595">
                  <c:v>489.10039595147731</c:v>
                </c:pt>
                <c:pt idx="596">
                  <c:v>494.69039744257844</c:v>
                </c:pt>
                <c:pt idx="597">
                  <c:v>489.16285715670762</c:v>
                </c:pt>
                <c:pt idx="598">
                  <c:v>511.7301570841172</c:v>
                </c:pt>
                <c:pt idx="599">
                  <c:v>513.26996698507241</c:v>
                </c:pt>
                <c:pt idx="600">
                  <c:v>507.08354770309467</c:v>
                </c:pt>
                <c:pt idx="601">
                  <c:v>510.70958576200491</c:v>
                </c:pt>
                <c:pt idx="602">
                  <c:v>501.48231123527586</c:v>
                </c:pt>
                <c:pt idx="603">
                  <c:v>504.4078769214201</c:v>
                </c:pt>
                <c:pt idx="604">
                  <c:v>504.50877867715553</c:v>
                </c:pt>
                <c:pt idx="605">
                  <c:v>497.10195948089029</c:v>
                </c:pt>
                <c:pt idx="606">
                  <c:v>500.1528921228396</c:v>
                </c:pt>
                <c:pt idx="607">
                  <c:v>497.51605702063023</c:v>
                </c:pt>
                <c:pt idx="608">
                  <c:v>503.25314284911008</c:v>
                </c:pt>
                <c:pt idx="609">
                  <c:v>497.18745588728518</c:v>
                </c:pt>
                <c:pt idx="610">
                  <c:v>492.5574161752379</c:v>
                </c:pt>
                <c:pt idx="611">
                  <c:v>494.03953477957663</c:v>
                </c:pt>
                <c:pt idx="612">
                  <c:v>494.13836245206704</c:v>
                </c:pt>
                <c:pt idx="613">
                  <c:v>486.97975998035582</c:v>
                </c:pt>
                <c:pt idx="614">
                  <c:v>481.11021535304866</c:v>
                </c:pt>
                <c:pt idx="615">
                  <c:v>485.72459904396629</c:v>
                </c:pt>
                <c:pt idx="616">
                  <c:v>482.63573036960088</c:v>
                </c:pt>
                <c:pt idx="617">
                  <c:v>481.57626259189868</c:v>
                </c:pt>
                <c:pt idx="618">
                  <c:v>475.91289909269557</c:v>
                </c:pt>
                <c:pt idx="619">
                  <c:v>471.0609710904638</c:v>
                </c:pt>
                <c:pt idx="620">
                  <c:v>463.64268808116515</c:v>
                </c:pt>
                <c:pt idx="621">
                  <c:v>465.36453686757517</c:v>
                </c:pt>
                <c:pt idx="622">
                  <c:v>458.03596148383383</c:v>
                </c:pt>
                <c:pt idx="623">
                  <c:v>462.28902047217787</c:v>
                </c:pt>
                <c:pt idx="624">
                  <c:v>456.67195542050564</c:v>
                </c:pt>
                <c:pt idx="625">
                  <c:v>459.19754190096091</c:v>
                </c:pt>
                <c:pt idx="626">
                  <c:v>446.64676772780945</c:v>
                </c:pt>
                <c:pt idx="627">
                  <c:v>451.11278429230327</c:v>
                </c:pt>
                <c:pt idx="628">
                  <c:v>450.84227892494835</c:v>
                </c:pt>
                <c:pt idx="629">
                  <c:v>437.37124459152926</c:v>
                </c:pt>
                <c:pt idx="630">
                  <c:v>435.93266679111855</c:v>
                </c:pt>
                <c:pt idx="631">
                  <c:v>446.24082996327007</c:v>
                </c:pt>
                <c:pt idx="632">
                  <c:v>447.89805275847647</c:v>
                </c:pt>
                <c:pt idx="633">
                  <c:v>438.81459073035808</c:v>
                </c:pt>
                <c:pt idx="634">
                  <c:v>441.28579116085893</c:v>
                </c:pt>
                <c:pt idx="635">
                  <c:v>441.55072159381524</c:v>
                </c:pt>
                <c:pt idx="636">
                  <c:v>454.22355888675577</c:v>
                </c:pt>
                <c:pt idx="637">
                  <c:v>451.37986573264016</c:v>
                </c:pt>
                <c:pt idx="638">
                  <c:v>446.73383386049107</c:v>
                </c:pt>
                <c:pt idx="639">
                  <c:v>455.24695186027833</c:v>
                </c:pt>
                <c:pt idx="640">
                  <c:v>467.39933455880731</c:v>
                </c:pt>
                <c:pt idx="641">
                  <c:v>462.03967433650382</c:v>
                </c:pt>
                <c:pt idx="642">
                  <c:v>462.27080974137448</c:v>
                </c:pt>
                <c:pt idx="643">
                  <c:v>454.4541975436241</c:v>
                </c:pt>
                <c:pt idx="644">
                  <c:v>456.6919882862266</c:v>
                </c:pt>
                <c:pt idx="645">
                  <c:v>456.46375640802262</c:v>
                </c:pt>
                <c:pt idx="646">
                  <c:v>459.31148763133689</c:v>
                </c:pt>
                <c:pt idx="647">
                  <c:v>460.83223400354859</c:v>
                </c:pt>
                <c:pt idx="648">
                  <c:v>451.70773770196882</c:v>
                </c:pt>
                <c:pt idx="649">
                  <c:v>453.74961095124945</c:v>
                </c:pt>
                <c:pt idx="650">
                  <c:v>454.5222988593103</c:v>
                </c:pt>
                <c:pt idx="651">
                  <c:v>453.75092229141489</c:v>
                </c:pt>
                <c:pt idx="652">
                  <c:v>446.60523847580208</c:v>
                </c:pt>
                <c:pt idx="653">
                  <c:v>445.5804035476425</c:v>
                </c:pt>
                <c:pt idx="654">
                  <c:v>452.50371031546916</c:v>
                </c:pt>
                <c:pt idx="655">
                  <c:v>444.67738828171105</c:v>
                </c:pt>
                <c:pt idx="656">
                  <c:v>453.89138336400026</c:v>
                </c:pt>
                <c:pt idx="657">
                  <c:v>453.1210775321955</c:v>
                </c:pt>
                <c:pt idx="658">
                  <c:v>440.00881484967516</c:v>
                </c:pt>
                <c:pt idx="659">
                  <c:v>447.20887778196482</c:v>
                </c:pt>
                <c:pt idx="660">
                  <c:v>446.71748854456575</c:v>
                </c:pt>
                <c:pt idx="661">
                  <c:v>443.92078758279416</c:v>
                </c:pt>
                <c:pt idx="662">
                  <c:v>445.92746115800514</c:v>
                </c:pt>
                <c:pt idx="663">
                  <c:v>447.04507384261166</c:v>
                </c:pt>
                <c:pt idx="664">
                  <c:v>440.00499393957841</c:v>
                </c:pt>
                <c:pt idx="665">
                  <c:v>435.21760033588373</c:v>
                </c:pt>
                <c:pt idx="666">
                  <c:v>430.09941727036636</c:v>
                </c:pt>
                <c:pt idx="667">
                  <c:v>422.45301765088533</c:v>
                </c:pt>
                <c:pt idx="668">
                  <c:v>415.80021422331231</c:v>
                </c:pt>
                <c:pt idx="669">
                  <c:v>418.26799539614962</c:v>
                </c:pt>
                <c:pt idx="670">
                  <c:v>421.55613323538563</c:v>
                </c:pt>
                <c:pt idx="671">
                  <c:v>433.16495400265683</c:v>
                </c:pt>
                <c:pt idx="672">
                  <c:v>428.40960736095025</c:v>
                </c:pt>
                <c:pt idx="673">
                  <c:v>436.39564771411858</c:v>
                </c:pt>
                <c:pt idx="674">
                  <c:v>437.66487585409544</c:v>
                </c:pt>
                <c:pt idx="675">
                  <c:v>429.37788271764487</c:v>
                </c:pt>
                <c:pt idx="676">
                  <c:v>424.83217840867212</c:v>
                </c:pt>
                <c:pt idx="677">
                  <c:v>429.99208340958717</c:v>
                </c:pt>
                <c:pt idx="678">
                  <c:v>433.76584627215493</c:v>
                </c:pt>
                <c:pt idx="679">
                  <c:v>432.38222315804916</c:v>
                </c:pt>
                <c:pt idx="680">
                  <c:v>435.12350121570813</c:v>
                </c:pt>
                <c:pt idx="681">
                  <c:v>434.94952140714531</c:v>
                </c:pt>
                <c:pt idx="682">
                  <c:v>432.91482174494411</c:v>
                </c:pt>
                <c:pt idx="683">
                  <c:v>427.23262779526704</c:v>
                </c:pt>
                <c:pt idx="684">
                  <c:v>421.08478986326344</c:v>
                </c:pt>
                <c:pt idx="685">
                  <c:v>420.07660600884225</c:v>
                </c:pt>
                <c:pt idx="686">
                  <c:v>429.04361761703836</c:v>
                </c:pt>
                <c:pt idx="687">
                  <c:v>422.41175309347085</c:v>
                </c:pt>
                <c:pt idx="688">
                  <c:v>421.69487181139147</c:v>
                </c:pt>
                <c:pt idx="689">
                  <c:v>422.667005925019</c:v>
                </c:pt>
                <c:pt idx="690">
                  <c:v>419.31250587799502</c:v>
                </c:pt>
                <c:pt idx="691">
                  <c:v>406.90199502959246</c:v>
                </c:pt>
                <c:pt idx="692">
                  <c:v>413.01461127648446</c:v>
                </c:pt>
                <c:pt idx="693">
                  <c:v>407.91566545825629</c:v>
                </c:pt>
                <c:pt idx="694">
                  <c:v>406.25004029305478</c:v>
                </c:pt>
                <c:pt idx="695">
                  <c:v>402.90592114753031</c:v>
                </c:pt>
                <c:pt idx="696">
                  <c:v>416.52633221082425</c:v>
                </c:pt>
                <c:pt idx="697">
                  <c:v>413.58984431617932</c:v>
                </c:pt>
                <c:pt idx="698">
                  <c:v>413.05287557792798</c:v>
                </c:pt>
                <c:pt idx="699">
                  <c:v>419.47077848880673</c:v>
                </c:pt>
                <c:pt idx="700">
                  <c:v>423.1522026518781</c:v>
                </c:pt>
                <c:pt idx="701">
                  <c:v>430.90855667197366</c:v>
                </c:pt>
                <c:pt idx="702">
                  <c:v>427.10730168695977</c:v>
                </c:pt>
                <c:pt idx="703">
                  <c:v>423.6755298948118</c:v>
                </c:pt>
                <c:pt idx="704">
                  <c:v>424.99300822029471</c:v>
                </c:pt>
                <c:pt idx="705">
                  <c:v>424.18705281993681</c:v>
                </c:pt>
                <c:pt idx="706">
                  <c:v>413.03510498533285</c:v>
                </c:pt>
                <c:pt idx="707">
                  <c:v>411.7997058677297</c:v>
                </c:pt>
                <c:pt idx="708">
                  <c:v>417.68912249490791</c:v>
                </c:pt>
                <c:pt idx="709">
                  <c:v>418.27470708482667</c:v>
                </c:pt>
                <c:pt idx="710">
                  <c:v>427.33419195425694</c:v>
                </c:pt>
                <c:pt idx="711">
                  <c:v>426.69415072816469</c:v>
                </c:pt>
                <c:pt idx="712">
                  <c:v>421.09360577140495</c:v>
                </c:pt>
                <c:pt idx="713">
                  <c:v>418.91524648965867</c:v>
                </c:pt>
                <c:pt idx="714">
                  <c:v>420.04937981515963</c:v>
                </c:pt>
                <c:pt idx="715">
                  <c:v>417.04664397851428</c:v>
                </c:pt>
                <c:pt idx="716">
                  <c:v>412.71315584217149</c:v>
                </c:pt>
                <c:pt idx="717">
                  <c:v>417.59906490151928</c:v>
                </c:pt>
                <c:pt idx="718">
                  <c:v>411.2655750458137</c:v>
                </c:pt>
                <c:pt idx="719">
                  <c:v>398.59040031577211</c:v>
                </c:pt>
                <c:pt idx="720">
                  <c:v>386.4556915995463</c:v>
                </c:pt>
                <c:pt idx="721">
                  <c:v>390.83302143967063</c:v>
                </c:pt>
                <c:pt idx="722">
                  <c:v>395.74019991866203</c:v>
                </c:pt>
                <c:pt idx="723">
                  <c:v>399.05233429329638</c:v>
                </c:pt>
                <c:pt idx="724">
                  <c:v>391.4964527551225</c:v>
                </c:pt>
                <c:pt idx="725">
                  <c:v>397.98358519378115</c:v>
                </c:pt>
                <c:pt idx="726">
                  <c:v>396.35851528112852</c:v>
                </c:pt>
                <c:pt idx="727">
                  <c:v>392.7452588992553</c:v>
                </c:pt>
                <c:pt idx="728">
                  <c:v>390.67468307893688</c:v>
                </c:pt>
                <c:pt idx="729">
                  <c:v>387.34352873184304</c:v>
                </c:pt>
                <c:pt idx="730">
                  <c:v>375.51481214914492</c:v>
                </c:pt>
                <c:pt idx="731">
                  <c:v>375.21464043679549</c:v>
                </c:pt>
                <c:pt idx="732">
                  <c:v>388.54161793185824</c:v>
                </c:pt>
                <c:pt idx="733">
                  <c:v>383.06380551302203</c:v>
                </c:pt>
                <c:pt idx="734">
                  <c:v>388.42405750661328</c:v>
                </c:pt>
                <c:pt idx="735">
                  <c:v>392.46646206589196</c:v>
                </c:pt>
                <c:pt idx="736">
                  <c:v>396.91187506663829</c:v>
                </c:pt>
                <c:pt idx="737">
                  <c:v>400.11277728491763</c:v>
                </c:pt>
                <c:pt idx="738">
                  <c:v>400.31293375179348</c:v>
                </c:pt>
                <c:pt idx="739">
                  <c:v>400.8340179751612</c:v>
                </c:pt>
                <c:pt idx="740">
                  <c:v>395.92455351161715</c:v>
                </c:pt>
                <c:pt idx="741">
                  <c:v>395.29208617373916</c:v>
                </c:pt>
                <c:pt idx="742">
                  <c:v>385.7260794045074</c:v>
                </c:pt>
                <c:pt idx="743">
                  <c:v>386.49907755962664</c:v>
                </c:pt>
                <c:pt idx="744">
                  <c:v>387.54545027537017</c:v>
                </c:pt>
                <c:pt idx="745">
                  <c:v>390.59206840896007</c:v>
                </c:pt>
                <c:pt idx="746">
                  <c:v>402.34040833226214</c:v>
                </c:pt>
                <c:pt idx="747">
                  <c:v>400.21924632673046</c:v>
                </c:pt>
                <c:pt idx="748">
                  <c:v>401.86690061926947</c:v>
                </c:pt>
                <c:pt idx="749">
                  <c:v>402.75295712494432</c:v>
                </c:pt>
                <c:pt idx="750">
                  <c:v>390.83256392522497</c:v>
                </c:pt>
                <c:pt idx="751">
                  <c:v>391.41969346542311</c:v>
                </c:pt>
                <c:pt idx="752">
                  <c:v>395.21374542146924</c:v>
                </c:pt>
                <c:pt idx="753">
                  <c:v>408.02575410021603</c:v>
                </c:pt>
                <c:pt idx="754">
                  <c:v>403.82596407384801</c:v>
                </c:pt>
                <c:pt idx="755">
                  <c:v>403.54348363530335</c:v>
                </c:pt>
                <c:pt idx="756">
                  <c:v>404.14970819759975</c:v>
                </c:pt>
                <c:pt idx="757">
                  <c:v>403.06144230338066</c:v>
                </c:pt>
                <c:pt idx="758">
                  <c:v>398.95223429019171</c:v>
                </c:pt>
                <c:pt idx="759">
                  <c:v>402.61604025652611</c:v>
                </c:pt>
                <c:pt idx="760">
                  <c:v>402.01302072543791</c:v>
                </c:pt>
                <c:pt idx="761">
                  <c:v>395.6821070132263</c:v>
                </c:pt>
                <c:pt idx="762">
                  <c:v>390.95159274105947</c:v>
                </c:pt>
                <c:pt idx="763">
                  <c:v>386.50676494420111</c:v>
                </c:pt>
                <c:pt idx="764">
                  <c:v>383.97254613967925</c:v>
                </c:pt>
                <c:pt idx="765">
                  <c:v>378.85796363066527</c:v>
                </c:pt>
                <c:pt idx="766">
                  <c:v>374.40257301182453</c:v>
                </c:pt>
                <c:pt idx="767">
                  <c:v>373.24551192485745</c:v>
                </c:pt>
                <c:pt idx="768">
                  <c:v>365.17514130208144</c:v>
                </c:pt>
                <c:pt idx="769">
                  <c:v>370.47290382680472</c:v>
                </c:pt>
                <c:pt idx="770">
                  <c:v>371.47588872636595</c:v>
                </c:pt>
                <c:pt idx="771">
                  <c:v>370.58648117155423</c:v>
                </c:pt>
                <c:pt idx="772">
                  <c:v>362.89314646646511</c:v>
                </c:pt>
                <c:pt idx="773">
                  <c:v>366.55873380451021</c:v>
                </c:pt>
                <c:pt idx="774">
                  <c:v>366.11939053586713</c:v>
                </c:pt>
                <c:pt idx="775">
                  <c:v>363.21368108716979</c:v>
                </c:pt>
                <c:pt idx="776">
                  <c:v>351.57649897122235</c:v>
                </c:pt>
                <c:pt idx="777">
                  <c:v>365.5021301291427</c:v>
                </c:pt>
                <c:pt idx="778">
                  <c:v>359.28647412674991</c:v>
                </c:pt>
                <c:pt idx="779">
                  <c:v>360.25917389626983</c:v>
                </c:pt>
                <c:pt idx="780">
                  <c:v>355.53061669423647</c:v>
                </c:pt>
                <c:pt idx="781">
                  <c:v>350.24196305214906</c:v>
                </c:pt>
                <c:pt idx="782">
                  <c:v>349.40339490437856</c:v>
                </c:pt>
                <c:pt idx="783">
                  <c:v>344.78329870177475</c:v>
                </c:pt>
                <c:pt idx="784">
                  <c:v>345.68207208920671</c:v>
                </c:pt>
                <c:pt idx="785">
                  <c:v>352.23361737233205</c:v>
                </c:pt>
                <c:pt idx="786">
                  <c:v>350.34177180458727</c:v>
                </c:pt>
                <c:pt idx="787">
                  <c:v>352.03152311554186</c:v>
                </c:pt>
                <c:pt idx="788">
                  <c:v>347.65111901594105</c:v>
                </c:pt>
                <c:pt idx="789">
                  <c:v>344.31129941164806</c:v>
                </c:pt>
                <c:pt idx="790">
                  <c:v>351.19471584215427</c:v>
                </c:pt>
                <c:pt idx="791">
                  <c:v>348.68418967648353</c:v>
                </c:pt>
                <c:pt idx="792">
                  <c:v>348.37065608600614</c:v>
                </c:pt>
                <c:pt idx="793">
                  <c:v>339.84065562970068</c:v>
                </c:pt>
                <c:pt idx="794">
                  <c:v>329.14349213530335</c:v>
                </c:pt>
                <c:pt idx="795">
                  <c:v>333.04006084721578</c:v>
                </c:pt>
                <c:pt idx="796">
                  <c:v>329.18855475656397</c:v>
                </c:pt>
                <c:pt idx="797">
                  <c:v>328.00772693958146</c:v>
                </c:pt>
                <c:pt idx="798">
                  <c:v>316.97692978312858</c:v>
                </c:pt>
                <c:pt idx="799">
                  <c:v>315.11773514576856</c:v>
                </c:pt>
                <c:pt idx="800">
                  <c:v>306.20710829440151</c:v>
                </c:pt>
                <c:pt idx="801">
                  <c:v>309.92622297004203</c:v>
                </c:pt>
                <c:pt idx="802">
                  <c:v>304.50601588724896</c:v>
                </c:pt>
                <c:pt idx="803">
                  <c:v>315.8776098415446</c:v>
                </c:pt>
                <c:pt idx="804">
                  <c:v>293.83963706190195</c:v>
                </c:pt>
                <c:pt idx="805">
                  <c:v>292.2904974255465</c:v>
                </c:pt>
                <c:pt idx="806">
                  <c:v>296.62116645580119</c:v>
                </c:pt>
                <c:pt idx="807">
                  <c:v>299.10372739316443</c:v>
                </c:pt>
                <c:pt idx="808">
                  <c:v>294.42241105735252</c:v>
                </c:pt>
                <c:pt idx="809">
                  <c:v>292.57916233464425</c:v>
                </c:pt>
                <c:pt idx="810">
                  <c:v>301.75243640124199</c:v>
                </c:pt>
                <c:pt idx="811">
                  <c:v>303.75723414660962</c:v>
                </c:pt>
                <c:pt idx="812">
                  <c:v>318.00380459234674</c:v>
                </c:pt>
                <c:pt idx="813">
                  <c:v>327.09710408593577</c:v>
                </c:pt>
                <c:pt idx="814">
                  <c:v>320.40072885290999</c:v>
                </c:pt>
                <c:pt idx="815">
                  <c:v>308.70096237875515</c:v>
                </c:pt>
                <c:pt idx="816">
                  <c:v>315.87123951576297</c:v>
                </c:pt>
                <c:pt idx="817">
                  <c:v>313.64436452761686</c:v>
                </c:pt>
                <c:pt idx="818">
                  <c:v>321.65353761421073</c:v>
                </c:pt>
                <c:pt idx="819">
                  <c:v>330.13808643560583</c:v>
                </c:pt>
                <c:pt idx="820">
                  <c:v>328.10384261141508</c:v>
                </c:pt>
                <c:pt idx="821">
                  <c:v>320.78983438738277</c:v>
                </c:pt>
                <c:pt idx="822">
                  <c:v>315.4585843125015</c:v>
                </c:pt>
                <c:pt idx="823">
                  <c:v>317.65037187846292</c:v>
                </c:pt>
                <c:pt idx="824">
                  <c:v>316.47939810547268</c:v>
                </c:pt>
                <c:pt idx="825">
                  <c:v>311.80236266549036</c:v>
                </c:pt>
                <c:pt idx="826">
                  <c:v>294.51436919381354</c:v>
                </c:pt>
                <c:pt idx="827">
                  <c:v>282.26410695209267</c:v>
                </c:pt>
                <c:pt idx="828">
                  <c:v>291.71569548583369</c:v>
                </c:pt>
                <c:pt idx="829">
                  <c:v>298.06446866847216</c:v>
                </c:pt>
                <c:pt idx="830">
                  <c:v>313.71904922478916</c:v>
                </c:pt>
                <c:pt idx="831">
                  <c:v>315.16882582357761</c:v>
                </c:pt>
                <c:pt idx="832">
                  <c:v>322.98506438161263</c:v>
                </c:pt>
                <c:pt idx="833">
                  <c:v>331.70901138093109</c:v>
                </c:pt>
                <c:pt idx="834">
                  <c:v>327.45213364356476</c:v>
                </c:pt>
                <c:pt idx="835">
                  <c:v>320.3405729246378</c:v>
                </c:pt>
                <c:pt idx="836">
                  <c:v>304.68001990169086</c:v>
                </c:pt>
                <c:pt idx="837">
                  <c:v>300.65129258110403</c:v>
                </c:pt>
                <c:pt idx="838">
                  <c:v>298.85814371879127</c:v>
                </c:pt>
                <c:pt idx="839">
                  <c:v>324.8105029005448</c:v>
                </c:pt>
                <c:pt idx="840">
                  <c:v>348.65876223759642</c:v>
                </c:pt>
                <c:pt idx="841">
                  <c:v>348.93791256765053</c:v>
                </c:pt>
                <c:pt idx="842">
                  <c:v>348.69382688882837</c:v>
                </c:pt>
                <c:pt idx="843">
                  <c:v>355.08536343057881</c:v>
                </c:pt>
                <c:pt idx="844">
                  <c:v>362.22111948442193</c:v>
                </c:pt>
                <c:pt idx="845">
                  <c:v>376.1772972109481</c:v>
                </c:pt>
                <c:pt idx="846">
                  <c:v>382.06103718357514</c:v>
                </c:pt>
                <c:pt idx="847">
                  <c:v>390.09703612780794</c:v>
                </c:pt>
                <c:pt idx="848">
                  <c:v>371.91060742473826</c:v>
                </c:pt>
                <c:pt idx="849">
                  <c:v>378.41942147409264</c:v>
                </c:pt>
                <c:pt idx="850">
                  <c:v>379.44392005824994</c:v>
                </c:pt>
                <c:pt idx="851">
                  <c:v>396.65891705859286</c:v>
                </c:pt>
                <c:pt idx="852">
                  <c:v>391.68452360876159</c:v>
                </c:pt>
                <c:pt idx="853">
                  <c:v>395.80085247449637</c:v>
                </c:pt>
                <c:pt idx="854">
                  <c:v>404.49754979509078</c:v>
                </c:pt>
                <c:pt idx="855">
                  <c:v>404.94298708087973</c:v>
                </c:pt>
                <c:pt idx="856">
                  <c:v>411.10963155419262</c:v>
                </c:pt>
                <c:pt idx="857">
                  <c:v>410.98633565349661</c:v>
                </c:pt>
                <c:pt idx="858">
                  <c:v>410.86307673047747</c:v>
                </c:pt>
                <c:pt idx="859">
                  <c:v>410.73985477404528</c:v>
                </c:pt>
                <c:pt idx="860">
                  <c:v>410.61666977311336</c:v>
                </c:pt>
                <c:pt idx="861">
                  <c:v>410.49352171659837</c:v>
                </c:pt>
                <c:pt idx="862">
                  <c:v>410.37041059342033</c:v>
                </c:pt>
                <c:pt idx="863">
                  <c:v>410.24733639250258</c:v>
                </c:pt>
                <c:pt idx="864">
                  <c:v>410.12429910277177</c:v>
                </c:pt>
                <c:pt idx="865">
                  <c:v>410.00129871315784</c:v>
                </c:pt>
                <c:pt idx="866">
                  <c:v>409.8783352125941</c:v>
                </c:pt>
                <c:pt idx="867">
                  <c:v>405.86031806376286</c:v>
                </c:pt>
                <c:pt idx="868">
                  <c:v>400.21725477148493</c:v>
                </c:pt>
                <c:pt idx="869">
                  <c:v>392.60079926572973</c:v>
                </c:pt>
                <c:pt idx="870">
                  <c:v>392.48305434942495</c:v>
                </c:pt>
                <c:pt idx="871">
                  <c:v>392.32612389986502</c:v>
                </c:pt>
                <c:pt idx="872">
                  <c:v>392.16925619738606</c:v>
                </c:pt>
                <c:pt idx="873">
                  <c:v>392.01245121689931</c:v>
                </c:pt>
                <c:pt idx="874">
                  <c:v>391.85570893332601</c:v>
                </c:pt>
                <c:pt idx="875">
                  <c:v>391.69902932159738</c:v>
                </c:pt>
                <c:pt idx="876">
                  <c:v>391.54241235665472</c:v>
                </c:pt>
                <c:pt idx="877">
                  <c:v>391.38585801344936</c:v>
                </c:pt>
                <c:pt idx="878">
                  <c:v>391.22936626694258</c:v>
                </c:pt>
                <c:pt idx="879">
                  <c:v>391.07293709210575</c:v>
                </c:pt>
                <c:pt idx="880">
                  <c:v>390.8774983429343</c:v>
                </c:pt>
                <c:pt idx="881">
                  <c:v>390.72120985899073</c:v>
                </c:pt>
                <c:pt idx="882">
                  <c:v>390.52594688554797</c:v>
                </c:pt>
                <c:pt idx="883">
                  <c:v>390.29177182245451</c:v>
                </c:pt>
                <c:pt idx="884">
                  <c:v>390.05773718014643</c:v>
                </c:pt>
                <c:pt idx="885">
                  <c:v>389.82384287442181</c:v>
                </c:pt>
                <c:pt idx="886">
                  <c:v>389.59008882112914</c:v>
                </c:pt>
                <c:pt idx="887">
                  <c:v>389.31756652456198</c:v>
                </c:pt>
                <c:pt idx="888">
                  <c:v>389.04523486015989</c:v>
                </c:pt>
                <c:pt idx="889">
                  <c:v>388.77309369457373</c:v>
                </c:pt>
                <c:pt idx="890">
                  <c:v>388.50114289454757</c:v>
                </c:pt>
                <c:pt idx="891">
                  <c:v>388.22938232691877</c:v>
                </c:pt>
                <c:pt idx="892">
                  <c:v>387.95781185861779</c:v>
                </c:pt>
                <c:pt idx="893">
                  <c:v>387.68643135666815</c:v>
                </c:pt>
                <c:pt idx="894">
                  <c:v>387.41524068818643</c:v>
                </c:pt>
                <c:pt idx="895">
                  <c:v>387.14423972038219</c:v>
                </c:pt>
                <c:pt idx="896">
                  <c:v>386.87342832055782</c:v>
                </c:pt>
                <c:pt idx="897">
                  <c:v>386.6028063561086</c:v>
                </c:pt>
                <c:pt idx="898">
                  <c:v>386.33237369452246</c:v>
                </c:pt>
                <c:pt idx="899">
                  <c:v>386.06213020338015</c:v>
                </c:pt>
                <c:pt idx="900">
                  <c:v>385.79207575035491</c:v>
                </c:pt>
                <c:pt idx="901">
                  <c:v>385.52221020321269</c:v>
                </c:pt>
                <c:pt idx="902">
                  <c:v>385.25253342981188</c:v>
                </c:pt>
                <c:pt idx="903">
                  <c:v>384.98304529810321</c:v>
                </c:pt>
                <c:pt idx="904">
                  <c:v>384.67530505406</c:v>
                </c:pt>
                <c:pt idx="905">
                  <c:v>384.36781080541573</c:v>
                </c:pt>
                <c:pt idx="906">
                  <c:v>384.06056235553132</c:v>
                </c:pt>
                <c:pt idx="907">
                  <c:v>383.75355950792499</c:v>
                </c:pt>
                <c:pt idx="908">
                  <c:v>383.40849186524633</c:v>
                </c:pt>
                <c:pt idx="909">
                  <c:v>383.06373450419261</c:v>
                </c:pt>
                <c:pt idx="910">
                  <c:v>382.71928714576148</c:v>
                </c:pt>
                <c:pt idx="911">
                  <c:v>382.37514951120141</c:v>
                </c:pt>
                <c:pt idx="912">
                  <c:v>382.03132132201165</c:v>
                </c:pt>
                <c:pt idx="913">
                  <c:v>381.64967165036131</c:v>
                </c:pt>
                <c:pt idx="914">
                  <c:v>381.30649580413763</c:v>
                </c:pt>
                <c:pt idx="915">
                  <c:v>380.92557023390378</c:v>
                </c:pt>
                <c:pt idx="916">
                  <c:v>380.54502520869511</c:v>
                </c:pt>
                <c:pt idx="917">
                  <c:v>380.16486034834679</c:v>
                </c:pt>
                <c:pt idx="918">
                  <c:v>379.78507527307374</c:v>
                </c:pt>
                <c:pt idx="919">
                  <c:v>379.36777072527588</c:v>
                </c:pt>
                <c:pt idx="920">
                  <c:v>378.95092470809692</c:v>
                </c:pt>
                <c:pt idx="921">
                  <c:v>378.5345367177074</c:v>
                </c:pt>
                <c:pt idx="922">
                  <c:v>378.11860625083142</c:v>
                </c:pt>
                <c:pt idx="923">
                  <c:v>377.66540776151754</c:v>
                </c:pt>
                <c:pt idx="924">
                  <c:v>377.21275245856725</c:v>
                </c:pt>
                <c:pt idx="925">
                  <c:v>376.76063969093809</c:v>
                </c:pt>
                <c:pt idx="926">
                  <c:v>376.30906880836801</c:v>
                </c:pt>
                <c:pt idx="927">
                  <c:v>375.85803916137434</c:v>
                </c:pt>
                <c:pt idx="928">
                  <c:v>363.46391950621251</c:v>
                </c:pt>
                <c:pt idx="929">
                  <c:v>368.02746001034075</c:v>
                </c:pt>
                <c:pt idx="930">
                  <c:v>362.01796184373478</c:v>
                </c:pt>
                <c:pt idx="931">
                  <c:v>361.58406097057008</c:v>
                </c:pt>
                <c:pt idx="932">
                  <c:v>361.15068015438476</c:v>
                </c:pt>
                <c:pt idx="933">
                  <c:v>360.7178187718585</c:v>
                </c:pt>
                <c:pt idx="934">
                  <c:v>364.98818048351563</c:v>
                </c:pt>
                <c:pt idx="935">
                  <c:v>372.13313670831531</c:v>
                </c:pt>
                <c:pt idx="936">
                  <c:v>378.68437642038799</c:v>
                </c:pt>
                <c:pt idx="937">
                  <c:v>375.12072949023076</c:v>
                </c:pt>
                <c:pt idx="938">
                  <c:v>371.44343943977697</c:v>
                </c:pt>
                <c:pt idx="939">
                  <c:v>366.49574685720467</c:v>
                </c:pt>
                <c:pt idx="940">
                  <c:v>364.27367742491271</c:v>
                </c:pt>
                <c:pt idx="941">
                  <c:v>353.56078562060827</c:v>
                </c:pt>
                <c:pt idx="942">
                  <c:v>368.56122758324636</c:v>
                </c:pt>
                <c:pt idx="943">
                  <c:v>375.96779310746342</c:v>
                </c:pt>
                <c:pt idx="944">
                  <c:v>368.23486102591914</c:v>
                </c:pt>
                <c:pt idx="945">
                  <c:v>362.18634899765829</c:v>
                </c:pt>
                <c:pt idx="946">
                  <c:v>358.92017540150454</c:v>
                </c:pt>
                <c:pt idx="947">
                  <c:v>364.64510352687654</c:v>
                </c:pt>
                <c:pt idx="948">
                  <c:v>362.75875798535264</c:v>
                </c:pt>
                <c:pt idx="949">
                  <c:v>367.79758489846159</c:v>
                </c:pt>
                <c:pt idx="950">
                  <c:v>343.094762032147</c:v>
                </c:pt>
                <c:pt idx="951">
                  <c:v>350.31117217903511</c:v>
                </c:pt>
                <c:pt idx="952">
                  <c:v>353.81393008689537</c:v>
                </c:pt>
                <c:pt idx="953">
                  <c:v>356.70322621927147</c:v>
                </c:pt>
                <c:pt idx="954">
                  <c:v>361.62127556698243</c:v>
                </c:pt>
                <c:pt idx="955">
                  <c:v>357.15681537479747</c:v>
                </c:pt>
                <c:pt idx="956">
                  <c:v>337.73694125276353</c:v>
                </c:pt>
                <c:pt idx="957">
                  <c:v>377.52843869077071</c:v>
                </c:pt>
                <c:pt idx="958">
                  <c:v>373.08868335880095</c:v>
                </c:pt>
                <c:pt idx="959">
                  <c:v>380.27589782774533</c:v>
                </c:pt>
                <c:pt idx="960">
                  <c:v>364.59817624903678</c:v>
                </c:pt>
                <c:pt idx="961">
                  <c:v>347.3355970744372</c:v>
                </c:pt>
                <c:pt idx="962">
                  <c:v>350.84403744892649</c:v>
                </c:pt>
                <c:pt idx="963">
                  <c:v>331.95575498999574</c:v>
                </c:pt>
                <c:pt idx="964">
                  <c:v>335.13958100958678</c:v>
                </c:pt>
                <c:pt idx="965">
                  <c:v>345.36230524483386</c:v>
                </c:pt>
                <c:pt idx="966">
                  <c:v>354.65424650321819</c:v>
                </c:pt>
                <c:pt idx="967">
                  <c:v>338.66906656151474</c:v>
                </c:pt>
                <c:pt idx="968">
                  <c:v>358.87365323886274</c:v>
                </c:pt>
                <c:pt idx="969">
                  <c:v>364.78314010862243</c:v>
                </c:pt>
                <c:pt idx="970">
                  <c:v>358.89722560864072</c:v>
                </c:pt>
                <c:pt idx="971">
                  <c:v>365.8110545394361</c:v>
                </c:pt>
                <c:pt idx="972">
                  <c:v>363.08789532450231</c:v>
                </c:pt>
                <c:pt idx="973">
                  <c:v>353.78339211195782</c:v>
                </c:pt>
                <c:pt idx="974">
                  <c:v>352.79556453127032</c:v>
                </c:pt>
                <c:pt idx="975">
                  <c:v>356.82771774175211</c:v>
                </c:pt>
                <c:pt idx="976">
                  <c:v>352.66625592187398</c:v>
                </c:pt>
                <c:pt idx="977">
                  <c:v>354.01149962043161</c:v>
                </c:pt>
                <c:pt idx="978">
                  <c:v>347.54712313020974</c:v>
                </c:pt>
                <c:pt idx="979">
                  <c:v>341.10032695083891</c:v>
                </c:pt>
                <c:pt idx="980">
                  <c:v>339.26827824829809</c:v>
                </c:pt>
                <c:pt idx="981">
                  <c:v>324.00752387384023</c:v>
                </c:pt>
                <c:pt idx="982">
                  <c:v>310.5007416136466</c:v>
                </c:pt>
                <c:pt idx="983">
                  <c:v>332.5487218738852</c:v>
                </c:pt>
                <c:pt idx="984">
                  <c:v>319.29786065663484</c:v>
                </c:pt>
                <c:pt idx="985">
                  <c:v>317.93075839553404</c:v>
                </c:pt>
                <c:pt idx="986">
                  <c:v>332.38971081603142</c:v>
                </c:pt>
                <c:pt idx="987">
                  <c:v>336.42683280974842</c:v>
                </c:pt>
                <c:pt idx="988">
                  <c:v>337.81186144165923</c:v>
                </c:pt>
                <c:pt idx="989">
                  <c:v>335.56358541934964</c:v>
                </c:pt>
                <c:pt idx="990">
                  <c:v>332.66936197020885</c:v>
                </c:pt>
                <c:pt idx="991">
                  <c:v>330.45531138393648</c:v>
                </c:pt>
                <c:pt idx="992">
                  <c:v>323.62678619521745</c:v>
                </c:pt>
                <c:pt idx="993">
                  <c:v>330.70384855427903</c:v>
                </c:pt>
                <c:pt idx="994">
                  <c:v>337.72860350722942</c:v>
                </c:pt>
                <c:pt idx="995">
                  <c:v>353.12484682897264</c:v>
                </c:pt>
                <c:pt idx="996">
                  <c:v>349.28273672499768</c:v>
                </c:pt>
                <c:pt idx="997">
                  <c:v>346.27018610587658</c:v>
                </c:pt>
                <c:pt idx="998">
                  <c:v>327.38034046126177</c:v>
                </c:pt>
                <c:pt idx="999">
                  <c:v>334.2320984801039</c:v>
                </c:pt>
                <c:pt idx="1000">
                  <c:v>321.99624131031203</c:v>
                </c:pt>
                <c:pt idx="1001">
                  <c:v>330.48982993976398</c:v>
                </c:pt>
                <c:pt idx="1002">
                  <c:v>324.04140596113734</c:v>
                </c:pt>
                <c:pt idx="1003">
                  <c:v>331.12753521473263</c:v>
                </c:pt>
                <c:pt idx="1004">
                  <c:v>332.99229205021385</c:v>
                </c:pt>
                <c:pt idx="1005">
                  <c:v>334.80021320150195</c:v>
                </c:pt>
                <c:pt idx="1006">
                  <c:v>332.34089061098069</c:v>
                </c:pt>
                <c:pt idx="1007">
                  <c:v>337.74480753148447</c:v>
                </c:pt>
                <c:pt idx="1008">
                  <c:v>328.32196707639201</c:v>
                </c:pt>
                <c:pt idx="1009">
                  <c:v>335.63889498711103</c:v>
                </c:pt>
                <c:pt idx="1010">
                  <c:v>322.0484503810315</c:v>
                </c:pt>
                <c:pt idx="1011">
                  <c:v>319.33411044227222</c:v>
                </c:pt>
                <c:pt idx="1012">
                  <c:v>323.44182157629115</c:v>
                </c:pt>
                <c:pt idx="1013">
                  <c:v>322.28160778825344</c:v>
                </c:pt>
                <c:pt idx="1014">
                  <c:v>317.51882540714627</c:v>
                </c:pt>
                <c:pt idx="1015">
                  <c:v>308.27070427878277</c:v>
                </c:pt>
                <c:pt idx="1016">
                  <c:v>308.48664493023392</c:v>
                </c:pt>
                <c:pt idx="1017">
                  <c:v>306.22061239848512</c:v>
                </c:pt>
                <c:pt idx="1018">
                  <c:v>308.53462206396483</c:v>
                </c:pt>
                <c:pt idx="1019">
                  <c:v>318.53667361549128</c:v>
                </c:pt>
                <c:pt idx="1020">
                  <c:v>304.9949000531322</c:v>
                </c:pt>
                <c:pt idx="1021">
                  <c:v>309.48239477740458</c:v>
                </c:pt>
                <c:pt idx="1022">
                  <c:v>317.41784079733804</c:v>
                </c:pt>
                <c:pt idx="1023">
                  <c:v>306.00389549536106</c:v>
                </c:pt>
                <c:pt idx="1024">
                  <c:v>305.27124450854058</c:v>
                </c:pt>
                <c:pt idx="1025">
                  <c:v>295.74815395130844</c:v>
                </c:pt>
                <c:pt idx="1026">
                  <c:v>290.37619435572748</c:v>
                </c:pt>
                <c:pt idx="1027">
                  <c:v>292.92463871252647</c:v>
                </c:pt>
                <c:pt idx="1028">
                  <c:v>296.81288753929118</c:v>
                </c:pt>
                <c:pt idx="1029">
                  <c:v>289.6583268657082</c:v>
                </c:pt>
                <c:pt idx="1030">
                  <c:v>280.24218930505822</c:v>
                </c:pt>
                <c:pt idx="1031">
                  <c:v>284.04843837934141</c:v>
                </c:pt>
                <c:pt idx="1032">
                  <c:v>273.51799555064173</c:v>
                </c:pt>
                <c:pt idx="1033">
                  <c:v>266.53478420448425</c:v>
                </c:pt>
                <c:pt idx="1034">
                  <c:v>262.98449354167167</c:v>
                </c:pt>
                <c:pt idx="1035">
                  <c:v>245.04704951702541</c:v>
                </c:pt>
                <c:pt idx="1036">
                  <c:v>249.58957987067163</c:v>
                </c:pt>
                <c:pt idx="1037">
                  <c:v>260.07041770414884</c:v>
                </c:pt>
                <c:pt idx="1038">
                  <c:v>253.92542248012973</c:v>
                </c:pt>
                <c:pt idx="1039">
                  <c:v>251.18747895947152</c:v>
                </c:pt>
                <c:pt idx="1040">
                  <c:v>242.43555540919942</c:v>
                </c:pt>
                <c:pt idx="1041">
                  <c:v>255.6797673583626</c:v>
                </c:pt>
                <c:pt idx="1042">
                  <c:v>269.13659721932908</c:v>
                </c:pt>
                <c:pt idx="1043">
                  <c:v>264.53371065395032</c:v>
                </c:pt>
                <c:pt idx="1044">
                  <c:v>271.17756089589989</c:v>
                </c:pt>
                <c:pt idx="1045">
                  <c:v>278.96056053482141</c:v>
                </c:pt>
                <c:pt idx="1046">
                  <c:v>283.95822530010321</c:v>
                </c:pt>
                <c:pt idx="1047">
                  <c:v>295.38981098523163</c:v>
                </c:pt>
                <c:pt idx="1048">
                  <c:v>289.79673401867126</c:v>
                </c:pt>
                <c:pt idx="1049">
                  <c:v>285.34534661153134</c:v>
                </c:pt>
                <c:pt idx="1050">
                  <c:v>282.04541525307042</c:v>
                </c:pt>
                <c:pt idx="1051">
                  <c:v>273.9368835014281</c:v>
                </c:pt>
                <c:pt idx="1052">
                  <c:v>273.49928464599452</c:v>
                </c:pt>
                <c:pt idx="1053">
                  <c:v>277.24205235275673</c:v>
                </c:pt>
                <c:pt idx="1054">
                  <c:v>271.5131254066759</c:v>
                </c:pt>
                <c:pt idx="1055">
                  <c:v>276.4055028063483</c:v>
                </c:pt>
                <c:pt idx="1056">
                  <c:v>275.96396046959694</c:v>
                </c:pt>
                <c:pt idx="1057">
                  <c:v>275.826047445874</c:v>
                </c:pt>
                <c:pt idx="1058">
                  <c:v>279.03494936355486</c:v>
                </c:pt>
                <c:pt idx="1059">
                  <c:v>275.78073667083896</c:v>
                </c:pt>
                <c:pt idx="1060">
                  <c:v>279.46973720190408</c:v>
                </c:pt>
                <c:pt idx="1061">
                  <c:v>276.48371310041955</c:v>
                </c:pt>
                <c:pt idx="1062">
                  <c:v>279.47408581867944</c:v>
                </c:pt>
                <c:pt idx="1063">
                  <c:v>272.68424804242312</c:v>
                </c:pt>
                <c:pt idx="1064">
                  <c:v>273.6145374698205</c:v>
                </c:pt>
                <c:pt idx="1065">
                  <c:v>266.00674457497621</c:v>
                </c:pt>
                <c:pt idx="1066">
                  <c:v>262.80057752912091</c:v>
                </c:pt>
                <c:pt idx="1067">
                  <c:v>261.2072135266086</c:v>
                </c:pt>
                <c:pt idx="1068">
                  <c:v>257.44846592411653</c:v>
                </c:pt>
                <c:pt idx="1069">
                  <c:v>253.94403819699795</c:v>
                </c:pt>
                <c:pt idx="1070">
                  <c:v>252.05363592754136</c:v>
                </c:pt>
                <c:pt idx="1071">
                  <c:v>244.04883416686812</c:v>
                </c:pt>
                <c:pt idx="1072">
                  <c:v>238.39878300954197</c:v>
                </c:pt>
                <c:pt idx="1073">
                  <c:v>239.38024200174914</c:v>
                </c:pt>
                <c:pt idx="1074">
                  <c:v>230.95054703497263</c:v>
                </c:pt>
                <c:pt idx="1075">
                  <c:v>242.7481049348041</c:v>
                </c:pt>
                <c:pt idx="1076">
                  <c:v>233.14262863504047</c:v>
                </c:pt>
                <c:pt idx="1077">
                  <c:v>235.71188821660144</c:v>
                </c:pt>
                <c:pt idx="1078">
                  <c:v>237.34960045977388</c:v>
                </c:pt>
                <c:pt idx="1079">
                  <c:v>244.91755284261055</c:v>
                </c:pt>
                <c:pt idx="1080">
                  <c:v>237.85330954900508</c:v>
                </c:pt>
                <c:pt idx="1081">
                  <c:v>239.77148140020674</c:v>
                </c:pt>
                <c:pt idx="1082">
                  <c:v>231.12731964546629</c:v>
                </c:pt>
                <c:pt idx="1083">
                  <c:v>230.919492102574</c:v>
                </c:pt>
                <c:pt idx="1084">
                  <c:v>227.70879805006803</c:v>
                </c:pt>
                <c:pt idx="1085">
                  <c:v>234.43714408531659</c:v>
                </c:pt>
                <c:pt idx="1086">
                  <c:v>235.07183804804632</c:v>
                </c:pt>
                <c:pt idx="1087">
                  <c:v>240.75362356416051</c:v>
                </c:pt>
                <c:pt idx="1088">
                  <c:v>240.27307740934182</c:v>
                </c:pt>
                <c:pt idx="1089">
                  <c:v>235.3311238093456</c:v>
                </c:pt>
                <c:pt idx="1090">
                  <c:v>236.65639964737088</c:v>
                </c:pt>
                <c:pt idx="1091">
                  <c:v>230.03149265879753</c:v>
                </c:pt>
                <c:pt idx="1092">
                  <c:v>231.30366280422072</c:v>
                </c:pt>
                <c:pt idx="1093">
                  <c:v>223.93616304019821</c:v>
                </c:pt>
                <c:pt idx="1094">
                  <c:v>229.93753264215854</c:v>
                </c:pt>
                <c:pt idx="1095">
                  <c:v>224.28553710706063</c:v>
                </c:pt>
                <c:pt idx="1096">
                  <c:v>232.44433320246725</c:v>
                </c:pt>
                <c:pt idx="1097">
                  <c:v>235.8404354732825</c:v>
                </c:pt>
                <c:pt idx="1098">
                  <c:v>233.75997172493064</c:v>
                </c:pt>
                <c:pt idx="1099">
                  <c:v>227.90286801689638</c:v>
                </c:pt>
                <c:pt idx="1100">
                  <c:v>228.24523587070243</c:v>
                </c:pt>
                <c:pt idx="1101">
                  <c:v>228.31372998969934</c:v>
                </c:pt>
                <c:pt idx="1102">
                  <c:v>220.93451711795947</c:v>
                </c:pt>
                <c:pt idx="1103">
                  <c:v>223.77647839355765</c:v>
                </c:pt>
                <c:pt idx="1104">
                  <c:v>222.41971811306794</c:v>
                </c:pt>
                <c:pt idx="1105">
                  <c:v>213.63914908564783</c:v>
                </c:pt>
                <c:pt idx="1106">
                  <c:v>211.21023142426873</c:v>
                </c:pt>
                <c:pt idx="1107">
                  <c:v>210.89389058838614</c:v>
                </c:pt>
                <c:pt idx="1108">
                  <c:v>206.5966796516322</c:v>
                </c:pt>
                <c:pt idx="1109">
                  <c:v>205.36449269545943</c:v>
                </c:pt>
                <c:pt idx="1110">
                  <c:v>202.4292683050364</c:v>
                </c:pt>
                <c:pt idx="1111">
                  <c:v>190.57547383264583</c:v>
                </c:pt>
                <c:pt idx="1112">
                  <c:v>190.82354444041837</c:v>
                </c:pt>
                <c:pt idx="1113">
                  <c:v>183.67845263299489</c:v>
                </c:pt>
                <c:pt idx="1114">
                  <c:v>188.7172019243757</c:v>
                </c:pt>
                <c:pt idx="1115">
                  <c:v>192.6865447461463</c:v>
                </c:pt>
                <c:pt idx="1116">
                  <c:v>195.22446276205298</c:v>
                </c:pt>
                <c:pt idx="1117">
                  <c:v>197.47568557763805</c:v>
                </c:pt>
                <c:pt idx="1118">
                  <c:v>200.42188732126058</c:v>
                </c:pt>
                <c:pt idx="1119">
                  <c:v>196.89742344165495</c:v>
                </c:pt>
                <c:pt idx="1120">
                  <c:v>199.63238714554899</c:v>
                </c:pt>
                <c:pt idx="1121">
                  <c:v>201.30320373656247</c:v>
                </c:pt>
                <c:pt idx="1122">
                  <c:v>196.58515989898677</c:v>
                </c:pt>
                <c:pt idx="1123">
                  <c:v>195.74346300805215</c:v>
                </c:pt>
                <c:pt idx="1124">
                  <c:v>191.84892973444295</c:v>
                </c:pt>
                <c:pt idx="1125">
                  <c:v>193.25972573228864</c:v>
                </c:pt>
                <c:pt idx="1126">
                  <c:v>189.11804064222395</c:v>
                </c:pt>
                <c:pt idx="1127">
                  <c:v>186.26813812885248</c:v>
                </c:pt>
                <c:pt idx="1128">
                  <c:v>188.45420692923159</c:v>
                </c:pt>
                <c:pt idx="1129">
                  <c:v>186.47754495273264</c:v>
                </c:pt>
                <c:pt idx="1130">
                  <c:v>181.43368841480117</c:v>
                </c:pt>
                <c:pt idx="1131">
                  <c:v>184.15924524441857</c:v>
                </c:pt>
                <c:pt idx="1132">
                  <c:v>188.49462153983478</c:v>
                </c:pt>
                <c:pt idx="1133">
                  <c:v>186.42530070204211</c:v>
                </c:pt>
                <c:pt idx="1134">
                  <c:v>183.65215318888988</c:v>
                </c:pt>
                <c:pt idx="1135">
                  <c:v>181.95992587822241</c:v>
                </c:pt>
                <c:pt idx="1136">
                  <c:v>175.23105342663945</c:v>
                </c:pt>
                <c:pt idx="1137">
                  <c:v>174.51553971381281</c:v>
                </c:pt>
                <c:pt idx="1138">
                  <c:v>176.97549915202598</c:v>
                </c:pt>
                <c:pt idx="1139">
                  <c:v>174.44603169248495</c:v>
                </c:pt>
                <c:pt idx="1140">
                  <c:v>174.63813363948839</c:v>
                </c:pt>
                <c:pt idx="1141">
                  <c:v>170.82865464099422</c:v>
                </c:pt>
                <c:pt idx="1142">
                  <c:v>171.03389531537266</c:v>
                </c:pt>
                <c:pt idx="1143">
                  <c:v>169.42436385871486</c:v>
                </c:pt>
                <c:pt idx="1144">
                  <c:v>163.23765667088819</c:v>
                </c:pt>
                <c:pt idx="1145">
                  <c:v>162.31247556019505</c:v>
                </c:pt>
                <c:pt idx="1146">
                  <c:v>166.04856834802561</c:v>
                </c:pt>
                <c:pt idx="1147">
                  <c:v>165.60144444801597</c:v>
                </c:pt>
                <c:pt idx="1148">
                  <c:v>164.8267586822096</c:v>
                </c:pt>
                <c:pt idx="1149">
                  <c:v>164.92571411067601</c:v>
                </c:pt>
                <c:pt idx="1150">
                  <c:v>158.30842206822422</c:v>
                </c:pt>
                <c:pt idx="1151">
                  <c:v>159.00805752131802</c:v>
                </c:pt>
                <c:pt idx="1152">
                  <c:v>160.85792364321497</c:v>
                </c:pt>
                <c:pt idx="1153">
                  <c:v>163.65644891974259</c:v>
                </c:pt>
                <c:pt idx="1154">
                  <c:v>166.94527075358829</c:v>
                </c:pt>
                <c:pt idx="1155">
                  <c:v>165.99907602027272</c:v>
                </c:pt>
                <c:pt idx="1156">
                  <c:v>165.75045034475559</c:v>
                </c:pt>
                <c:pt idx="1157">
                  <c:v>167.61093168647548</c:v>
                </c:pt>
                <c:pt idx="1158">
                  <c:v>166.56159364650253</c:v>
                </c:pt>
                <c:pt idx="1159">
                  <c:v>168.89230748986265</c:v>
                </c:pt>
                <c:pt idx="1160">
                  <c:v>166.49478262013275</c:v>
                </c:pt>
                <c:pt idx="1161">
                  <c:v>162.30725543003777</c:v>
                </c:pt>
                <c:pt idx="1162">
                  <c:v>159.7040789432626</c:v>
                </c:pt>
                <c:pt idx="1163">
                  <c:v>162.64800788599919</c:v>
                </c:pt>
                <c:pt idx="1164">
                  <c:v>160.56071854491532</c:v>
                </c:pt>
                <c:pt idx="1165">
                  <c:v>158.48457066914943</c:v>
                </c:pt>
                <c:pt idx="1166">
                  <c:v>163.25151490435664</c:v>
                </c:pt>
                <c:pt idx="1167">
                  <c:v>160.68062490586283</c:v>
                </c:pt>
                <c:pt idx="1168">
                  <c:v>161.96010977307009</c:v>
                </c:pt>
                <c:pt idx="1169">
                  <c:v>159.67673249834377</c:v>
                </c:pt>
                <c:pt idx="1170">
                  <c:v>157.70541481317903</c:v>
                </c:pt>
                <c:pt idx="1171">
                  <c:v>160.41645286662501</c:v>
                </c:pt>
                <c:pt idx="1172">
                  <c:v>164.07533278779277</c:v>
                </c:pt>
                <c:pt idx="1173">
                  <c:v>161.31681524706792</c:v>
                </c:pt>
                <c:pt idx="1174">
                  <c:v>163.4084433215842</c:v>
                </c:pt>
                <c:pt idx="1175">
                  <c:v>158.29549871314947</c:v>
                </c:pt>
                <c:pt idx="1176">
                  <c:v>154.75168512381413</c:v>
                </c:pt>
                <c:pt idx="1177">
                  <c:v>152.31465071241547</c:v>
                </c:pt>
                <c:pt idx="1178">
                  <c:v>149.82751398034179</c:v>
                </c:pt>
                <c:pt idx="1179">
                  <c:v>153.543260893976</c:v>
                </c:pt>
                <c:pt idx="1180">
                  <c:v>153.34391380602816</c:v>
                </c:pt>
                <c:pt idx="1181">
                  <c:v>152.35361530653569</c:v>
                </c:pt>
                <c:pt idx="1182">
                  <c:v>153.44306103991912</c:v>
                </c:pt>
                <c:pt idx="1183">
                  <c:v>153.71975660180237</c:v>
                </c:pt>
                <c:pt idx="1184">
                  <c:v>151.10562921635935</c:v>
                </c:pt>
                <c:pt idx="1185">
                  <c:v>149.3581389901743</c:v>
                </c:pt>
                <c:pt idx="1186">
                  <c:v>149.38801659349298</c:v>
                </c:pt>
                <c:pt idx="1187">
                  <c:v>147.55829375098082</c:v>
                </c:pt>
                <c:pt idx="1188">
                  <c:v>147.02898938917977</c:v>
                </c:pt>
                <c:pt idx="1189">
                  <c:v>144.31585138317607</c:v>
                </c:pt>
                <c:pt idx="1190">
                  <c:v>146.24630257719505</c:v>
                </c:pt>
                <c:pt idx="1191">
                  <c:v>145.50423099909963</c:v>
                </c:pt>
                <c:pt idx="1192">
                  <c:v>144.99674240069717</c:v>
                </c:pt>
                <c:pt idx="1193">
                  <c:v>145.47681589314453</c:v>
                </c:pt>
                <c:pt idx="1194">
                  <c:v>144.81068673416738</c:v>
                </c:pt>
                <c:pt idx="1195">
                  <c:v>145.21729516061711</c:v>
                </c:pt>
                <c:pt idx="1196">
                  <c:v>142.56557545711479</c:v>
                </c:pt>
                <c:pt idx="1197">
                  <c:v>140.36189372562251</c:v>
                </c:pt>
                <c:pt idx="1198">
                  <c:v>139.42772794836844</c:v>
                </c:pt>
                <c:pt idx="1199">
                  <c:v>139.2049999484509</c:v>
                </c:pt>
                <c:pt idx="1200">
                  <c:v>138.18244981978449</c:v>
                </c:pt>
                <c:pt idx="1201">
                  <c:v>139.14253329955139</c:v>
                </c:pt>
                <c:pt idx="1202">
                  <c:v>140.13750961783805</c:v>
                </c:pt>
                <c:pt idx="1203">
                  <c:v>137.822098365301</c:v>
                </c:pt>
                <c:pt idx="1204">
                  <c:v>139.38319009435781</c:v>
                </c:pt>
                <c:pt idx="1205">
                  <c:v>138.51057348142484</c:v>
                </c:pt>
                <c:pt idx="1206">
                  <c:v>135.62182853365792</c:v>
                </c:pt>
                <c:pt idx="1207">
                  <c:v>136.85351012478094</c:v>
                </c:pt>
                <c:pt idx="1208">
                  <c:v>134.39409812901988</c:v>
                </c:pt>
                <c:pt idx="1209">
                  <c:v>131.43677078632751</c:v>
                </c:pt>
                <c:pt idx="1210">
                  <c:v>132.57693240501061</c:v>
                </c:pt>
                <c:pt idx="1211">
                  <c:v>130.37361825647616</c:v>
                </c:pt>
                <c:pt idx="1212">
                  <c:v>129.2619653544281</c:v>
                </c:pt>
                <c:pt idx="1213">
                  <c:v>130.84519217980372</c:v>
                </c:pt>
                <c:pt idx="1214">
                  <c:v>129.49840872902189</c:v>
                </c:pt>
                <c:pt idx="1215">
                  <c:v>128.15280428403949</c:v>
                </c:pt>
                <c:pt idx="1216">
                  <c:v>126.60818443394537</c:v>
                </c:pt>
                <c:pt idx="1217">
                  <c:v>126.79838200695579</c:v>
                </c:pt>
                <c:pt idx="1218">
                  <c:v>126.10480557628621</c:v>
                </c:pt>
                <c:pt idx="1219">
                  <c:v>124.68341464928436</c:v>
                </c:pt>
                <c:pt idx="1220">
                  <c:v>124.74578754305588</c:v>
                </c:pt>
                <c:pt idx="1221">
                  <c:v>123.388513890263</c:v>
                </c:pt>
                <c:pt idx="1222">
                  <c:v>121.90131781294507</c:v>
                </c:pt>
                <c:pt idx="1223">
                  <c:v>120.87388975006948</c:v>
                </c:pt>
                <c:pt idx="1224">
                  <c:v>121.54237280047207</c:v>
                </c:pt>
                <c:pt idx="1225">
                  <c:v>120.0181423920925</c:v>
                </c:pt>
                <c:pt idx="1226">
                  <c:v>119.88626749784486</c:v>
                </c:pt>
                <c:pt idx="1227">
                  <c:v>119.18308728287589</c:v>
                </c:pt>
                <c:pt idx="1228">
                  <c:v>117.12174457829784</c:v>
                </c:pt>
                <c:pt idx="1229">
                  <c:v>115.72151425580262</c:v>
                </c:pt>
                <c:pt idx="1230">
                  <c:v>116.02317450952739</c:v>
                </c:pt>
                <c:pt idx="1231">
                  <c:v>114.70407761693266</c:v>
                </c:pt>
                <c:pt idx="1232">
                  <c:v>114.34959387591731</c:v>
                </c:pt>
                <c:pt idx="1233">
                  <c:v>114.48697824981708</c:v>
                </c:pt>
                <c:pt idx="1234">
                  <c:v>114.23565979826091</c:v>
                </c:pt>
                <c:pt idx="1235">
                  <c:v>111.28656580444317</c:v>
                </c:pt>
                <c:pt idx="1236">
                  <c:v>112.86669959882674</c:v>
                </c:pt>
                <c:pt idx="1237">
                  <c:v>112.61893793536893</c:v>
                </c:pt>
                <c:pt idx="1238">
                  <c:v>114.90555855052438</c:v>
                </c:pt>
                <c:pt idx="1239">
                  <c:v>115.12429471047427</c:v>
                </c:pt>
                <c:pt idx="1240">
                  <c:v>115.10127445558317</c:v>
                </c:pt>
                <c:pt idx="1241">
                  <c:v>117.96789428675122</c:v>
                </c:pt>
                <c:pt idx="1242">
                  <c:v>115.7569367939861</c:v>
                </c:pt>
                <c:pt idx="1243">
                  <c:v>116.80821069019788</c:v>
                </c:pt>
                <c:pt idx="1244">
                  <c:v>113.31801580345159</c:v>
                </c:pt>
                <c:pt idx="1245">
                  <c:v>115.20741744962544</c:v>
                </c:pt>
                <c:pt idx="1246">
                  <c:v>114.45203402506004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1EE-4F97-8E95-F66AB8101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440448"/>
        <c:axId val="423822080"/>
      </c:lineChart>
      <c:dateAx>
        <c:axId val="370440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22080"/>
        <c:crosses val="autoZero"/>
        <c:auto val="1"/>
        <c:lblOffset val="100"/>
        <c:baseTimeUnit val="days"/>
      </c:dateAx>
      <c:valAx>
        <c:axId val="42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7"/>
          <c:order val="0"/>
          <c:tx>
            <c:strRef>
              <c:f>Summary!$AH$2</c:f>
              <c:strCache>
                <c:ptCount val="1"/>
                <c:pt idx="0">
                  <c:v>EAM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Summary!$A$4:$A$1249</c:f>
              <c:numCache>
                <c:formatCode>m/d/yyyy</c:formatCode>
                <c:ptCount val="1246"/>
                <c:pt idx="0">
                  <c:v>43317</c:v>
                </c:pt>
                <c:pt idx="1">
                  <c:v>43310</c:v>
                </c:pt>
                <c:pt idx="2">
                  <c:v>43303</c:v>
                </c:pt>
                <c:pt idx="3">
                  <c:v>43296</c:v>
                </c:pt>
                <c:pt idx="4">
                  <c:v>43289</c:v>
                </c:pt>
                <c:pt idx="5">
                  <c:v>43282</c:v>
                </c:pt>
                <c:pt idx="6">
                  <c:v>43275</c:v>
                </c:pt>
                <c:pt idx="7">
                  <c:v>43268</c:v>
                </c:pt>
                <c:pt idx="8">
                  <c:v>43261</c:v>
                </c:pt>
                <c:pt idx="9">
                  <c:v>43254</c:v>
                </c:pt>
                <c:pt idx="10">
                  <c:v>43247</c:v>
                </c:pt>
                <c:pt idx="11">
                  <c:v>43240</c:v>
                </c:pt>
                <c:pt idx="12">
                  <c:v>43233</c:v>
                </c:pt>
                <c:pt idx="13">
                  <c:v>43226</c:v>
                </c:pt>
                <c:pt idx="14">
                  <c:v>43219</c:v>
                </c:pt>
                <c:pt idx="15">
                  <c:v>43212</c:v>
                </c:pt>
                <c:pt idx="16">
                  <c:v>43205</c:v>
                </c:pt>
                <c:pt idx="17">
                  <c:v>43198</c:v>
                </c:pt>
                <c:pt idx="18">
                  <c:v>43191</c:v>
                </c:pt>
                <c:pt idx="19">
                  <c:v>43184</c:v>
                </c:pt>
                <c:pt idx="20">
                  <c:v>43177</c:v>
                </c:pt>
                <c:pt idx="21">
                  <c:v>43170</c:v>
                </c:pt>
                <c:pt idx="22">
                  <c:v>43163</c:v>
                </c:pt>
                <c:pt idx="23">
                  <c:v>43156</c:v>
                </c:pt>
                <c:pt idx="24">
                  <c:v>43149</c:v>
                </c:pt>
                <c:pt idx="25">
                  <c:v>43142</c:v>
                </c:pt>
                <c:pt idx="26">
                  <c:v>43135</c:v>
                </c:pt>
                <c:pt idx="27">
                  <c:v>43128</c:v>
                </c:pt>
                <c:pt idx="28">
                  <c:v>43121</c:v>
                </c:pt>
                <c:pt idx="29">
                  <c:v>43114</c:v>
                </c:pt>
                <c:pt idx="30">
                  <c:v>43107</c:v>
                </c:pt>
                <c:pt idx="31">
                  <c:v>43100</c:v>
                </c:pt>
                <c:pt idx="32">
                  <c:v>43093</c:v>
                </c:pt>
                <c:pt idx="33">
                  <c:v>43086</c:v>
                </c:pt>
                <c:pt idx="34">
                  <c:v>43079</c:v>
                </c:pt>
                <c:pt idx="35">
                  <c:v>43072</c:v>
                </c:pt>
                <c:pt idx="36">
                  <c:v>43065</c:v>
                </c:pt>
                <c:pt idx="37">
                  <c:v>43058</c:v>
                </c:pt>
                <c:pt idx="38">
                  <c:v>43051</c:v>
                </c:pt>
                <c:pt idx="39">
                  <c:v>43044</c:v>
                </c:pt>
                <c:pt idx="40">
                  <c:v>43037</c:v>
                </c:pt>
                <c:pt idx="41">
                  <c:v>43030</c:v>
                </c:pt>
                <c:pt idx="42">
                  <c:v>43023</c:v>
                </c:pt>
                <c:pt idx="43">
                  <c:v>43016</c:v>
                </c:pt>
                <c:pt idx="44">
                  <c:v>43009</c:v>
                </c:pt>
                <c:pt idx="45">
                  <c:v>43002</c:v>
                </c:pt>
                <c:pt idx="46">
                  <c:v>42995</c:v>
                </c:pt>
                <c:pt idx="47">
                  <c:v>42988</c:v>
                </c:pt>
                <c:pt idx="48">
                  <c:v>42981</c:v>
                </c:pt>
                <c:pt idx="49">
                  <c:v>42974</c:v>
                </c:pt>
                <c:pt idx="50">
                  <c:v>42967</c:v>
                </c:pt>
                <c:pt idx="51">
                  <c:v>42960</c:v>
                </c:pt>
                <c:pt idx="52">
                  <c:v>42953</c:v>
                </c:pt>
                <c:pt idx="53">
                  <c:v>42946</c:v>
                </c:pt>
                <c:pt idx="54">
                  <c:v>42939</c:v>
                </c:pt>
                <c:pt idx="55">
                  <c:v>42932</c:v>
                </c:pt>
                <c:pt idx="56">
                  <c:v>42925</c:v>
                </c:pt>
                <c:pt idx="57">
                  <c:v>42918</c:v>
                </c:pt>
                <c:pt idx="58">
                  <c:v>42911</c:v>
                </c:pt>
                <c:pt idx="59">
                  <c:v>42904</c:v>
                </c:pt>
                <c:pt idx="60">
                  <c:v>42897</c:v>
                </c:pt>
                <c:pt idx="61">
                  <c:v>42890</c:v>
                </c:pt>
                <c:pt idx="62">
                  <c:v>42883</c:v>
                </c:pt>
                <c:pt idx="63">
                  <c:v>42876</c:v>
                </c:pt>
                <c:pt idx="64">
                  <c:v>42869</c:v>
                </c:pt>
                <c:pt idx="65">
                  <c:v>42862</c:v>
                </c:pt>
                <c:pt idx="66">
                  <c:v>42855</c:v>
                </c:pt>
                <c:pt idx="67">
                  <c:v>42848</c:v>
                </c:pt>
                <c:pt idx="68">
                  <c:v>42841</c:v>
                </c:pt>
                <c:pt idx="69">
                  <c:v>42834</c:v>
                </c:pt>
                <c:pt idx="70">
                  <c:v>42827</c:v>
                </c:pt>
                <c:pt idx="71">
                  <c:v>42820</c:v>
                </c:pt>
                <c:pt idx="72">
                  <c:v>42813</c:v>
                </c:pt>
                <c:pt idx="73">
                  <c:v>42806</c:v>
                </c:pt>
                <c:pt idx="74">
                  <c:v>42799</c:v>
                </c:pt>
                <c:pt idx="75">
                  <c:v>42792</c:v>
                </c:pt>
                <c:pt idx="76">
                  <c:v>42785</c:v>
                </c:pt>
                <c:pt idx="77">
                  <c:v>42778</c:v>
                </c:pt>
                <c:pt idx="78">
                  <c:v>42771</c:v>
                </c:pt>
                <c:pt idx="79">
                  <c:v>42764</c:v>
                </c:pt>
                <c:pt idx="80">
                  <c:v>42757</c:v>
                </c:pt>
                <c:pt idx="81">
                  <c:v>42750</c:v>
                </c:pt>
                <c:pt idx="82">
                  <c:v>42743</c:v>
                </c:pt>
                <c:pt idx="83">
                  <c:v>42736</c:v>
                </c:pt>
                <c:pt idx="84">
                  <c:v>42729</c:v>
                </c:pt>
                <c:pt idx="85">
                  <c:v>42722</c:v>
                </c:pt>
                <c:pt idx="86">
                  <c:v>42715</c:v>
                </c:pt>
                <c:pt idx="87">
                  <c:v>42708</c:v>
                </c:pt>
                <c:pt idx="88">
                  <c:v>42701</c:v>
                </c:pt>
                <c:pt idx="89">
                  <c:v>42694</c:v>
                </c:pt>
                <c:pt idx="90">
                  <c:v>42687</c:v>
                </c:pt>
                <c:pt idx="91">
                  <c:v>42680</c:v>
                </c:pt>
                <c:pt idx="92">
                  <c:v>42673</c:v>
                </c:pt>
                <c:pt idx="93">
                  <c:v>42666</c:v>
                </c:pt>
                <c:pt idx="94">
                  <c:v>42659</c:v>
                </c:pt>
                <c:pt idx="95">
                  <c:v>42652</c:v>
                </c:pt>
                <c:pt idx="96">
                  <c:v>42645</c:v>
                </c:pt>
                <c:pt idx="97">
                  <c:v>42638</c:v>
                </c:pt>
                <c:pt idx="98">
                  <c:v>42631</c:v>
                </c:pt>
                <c:pt idx="99">
                  <c:v>42624</c:v>
                </c:pt>
                <c:pt idx="100">
                  <c:v>42617</c:v>
                </c:pt>
                <c:pt idx="101">
                  <c:v>42610</c:v>
                </c:pt>
                <c:pt idx="102">
                  <c:v>42603</c:v>
                </c:pt>
                <c:pt idx="103">
                  <c:v>42596</c:v>
                </c:pt>
                <c:pt idx="104">
                  <c:v>42589</c:v>
                </c:pt>
                <c:pt idx="105">
                  <c:v>42582</c:v>
                </c:pt>
                <c:pt idx="106">
                  <c:v>42575</c:v>
                </c:pt>
                <c:pt idx="107">
                  <c:v>42568</c:v>
                </c:pt>
                <c:pt idx="108">
                  <c:v>42561</c:v>
                </c:pt>
                <c:pt idx="109">
                  <c:v>42554</c:v>
                </c:pt>
                <c:pt idx="110">
                  <c:v>42547</c:v>
                </c:pt>
                <c:pt idx="111">
                  <c:v>42540</c:v>
                </c:pt>
                <c:pt idx="112">
                  <c:v>42533</c:v>
                </c:pt>
                <c:pt idx="113">
                  <c:v>42526</c:v>
                </c:pt>
                <c:pt idx="114">
                  <c:v>42519</c:v>
                </c:pt>
                <c:pt idx="115">
                  <c:v>42512</c:v>
                </c:pt>
                <c:pt idx="116">
                  <c:v>42505</c:v>
                </c:pt>
                <c:pt idx="117">
                  <c:v>42498</c:v>
                </c:pt>
                <c:pt idx="118">
                  <c:v>42491</c:v>
                </c:pt>
                <c:pt idx="119">
                  <c:v>42484</c:v>
                </c:pt>
                <c:pt idx="120">
                  <c:v>42477</c:v>
                </c:pt>
                <c:pt idx="121">
                  <c:v>42470</c:v>
                </c:pt>
                <c:pt idx="122">
                  <c:v>42463</c:v>
                </c:pt>
                <c:pt idx="123">
                  <c:v>42456</c:v>
                </c:pt>
                <c:pt idx="124">
                  <c:v>42449</c:v>
                </c:pt>
                <c:pt idx="125">
                  <c:v>42442</c:v>
                </c:pt>
                <c:pt idx="126">
                  <c:v>42435</c:v>
                </c:pt>
                <c:pt idx="127">
                  <c:v>42428</c:v>
                </c:pt>
                <c:pt idx="128">
                  <c:v>42421</c:v>
                </c:pt>
                <c:pt idx="129">
                  <c:v>42414</c:v>
                </c:pt>
                <c:pt idx="130">
                  <c:v>42407</c:v>
                </c:pt>
                <c:pt idx="131">
                  <c:v>42400</c:v>
                </c:pt>
                <c:pt idx="132">
                  <c:v>42393</c:v>
                </c:pt>
                <c:pt idx="133">
                  <c:v>42386</c:v>
                </c:pt>
                <c:pt idx="134">
                  <c:v>42379</c:v>
                </c:pt>
                <c:pt idx="135">
                  <c:v>42372</c:v>
                </c:pt>
                <c:pt idx="136">
                  <c:v>42365</c:v>
                </c:pt>
                <c:pt idx="137">
                  <c:v>42358</c:v>
                </c:pt>
                <c:pt idx="138">
                  <c:v>42351</c:v>
                </c:pt>
                <c:pt idx="139">
                  <c:v>42344</c:v>
                </c:pt>
                <c:pt idx="140">
                  <c:v>42337</c:v>
                </c:pt>
                <c:pt idx="141">
                  <c:v>42330</c:v>
                </c:pt>
                <c:pt idx="142">
                  <c:v>42323</c:v>
                </c:pt>
                <c:pt idx="143">
                  <c:v>42316</c:v>
                </c:pt>
                <c:pt idx="144">
                  <c:v>42309</c:v>
                </c:pt>
                <c:pt idx="145">
                  <c:v>42302</c:v>
                </c:pt>
                <c:pt idx="146">
                  <c:v>42295</c:v>
                </c:pt>
                <c:pt idx="147">
                  <c:v>42288</c:v>
                </c:pt>
                <c:pt idx="148">
                  <c:v>42281</c:v>
                </c:pt>
                <c:pt idx="149">
                  <c:v>42274</c:v>
                </c:pt>
                <c:pt idx="150">
                  <c:v>42267</c:v>
                </c:pt>
                <c:pt idx="151">
                  <c:v>42260</c:v>
                </c:pt>
                <c:pt idx="152">
                  <c:v>42253</c:v>
                </c:pt>
                <c:pt idx="153">
                  <c:v>42246</c:v>
                </c:pt>
                <c:pt idx="154">
                  <c:v>42239</c:v>
                </c:pt>
                <c:pt idx="155">
                  <c:v>42232</c:v>
                </c:pt>
                <c:pt idx="156">
                  <c:v>42225</c:v>
                </c:pt>
                <c:pt idx="157">
                  <c:v>42218</c:v>
                </c:pt>
                <c:pt idx="158">
                  <c:v>42211</c:v>
                </c:pt>
                <c:pt idx="159">
                  <c:v>42204</c:v>
                </c:pt>
                <c:pt idx="160">
                  <c:v>42197</c:v>
                </c:pt>
                <c:pt idx="161">
                  <c:v>42190</c:v>
                </c:pt>
                <c:pt idx="162">
                  <c:v>42183</c:v>
                </c:pt>
                <c:pt idx="163">
                  <c:v>42176</c:v>
                </c:pt>
                <c:pt idx="164">
                  <c:v>42169</c:v>
                </c:pt>
                <c:pt idx="165">
                  <c:v>42162</c:v>
                </c:pt>
                <c:pt idx="166">
                  <c:v>42155</c:v>
                </c:pt>
                <c:pt idx="167">
                  <c:v>42148</c:v>
                </c:pt>
                <c:pt idx="168">
                  <c:v>42141</c:v>
                </c:pt>
                <c:pt idx="169">
                  <c:v>42134</c:v>
                </c:pt>
                <c:pt idx="170">
                  <c:v>42127</c:v>
                </c:pt>
                <c:pt idx="171">
                  <c:v>42120</c:v>
                </c:pt>
                <c:pt idx="172">
                  <c:v>42113</c:v>
                </c:pt>
                <c:pt idx="173">
                  <c:v>42106</c:v>
                </c:pt>
                <c:pt idx="174">
                  <c:v>42099</c:v>
                </c:pt>
                <c:pt idx="175">
                  <c:v>42092</c:v>
                </c:pt>
                <c:pt idx="176">
                  <c:v>42085</c:v>
                </c:pt>
                <c:pt idx="177">
                  <c:v>42078</c:v>
                </c:pt>
                <c:pt idx="178">
                  <c:v>42071</c:v>
                </c:pt>
                <c:pt idx="179">
                  <c:v>42064</c:v>
                </c:pt>
                <c:pt idx="180">
                  <c:v>42057</c:v>
                </c:pt>
                <c:pt idx="181">
                  <c:v>42050</c:v>
                </c:pt>
                <c:pt idx="182">
                  <c:v>42043</c:v>
                </c:pt>
                <c:pt idx="183">
                  <c:v>42036</c:v>
                </c:pt>
                <c:pt idx="184">
                  <c:v>42029</c:v>
                </c:pt>
                <c:pt idx="185">
                  <c:v>42022</c:v>
                </c:pt>
                <c:pt idx="186">
                  <c:v>42015</c:v>
                </c:pt>
                <c:pt idx="187">
                  <c:v>42008</c:v>
                </c:pt>
                <c:pt idx="188">
                  <c:v>42001</c:v>
                </c:pt>
                <c:pt idx="189">
                  <c:v>41994</c:v>
                </c:pt>
                <c:pt idx="190">
                  <c:v>41987</c:v>
                </c:pt>
                <c:pt idx="191">
                  <c:v>41980</c:v>
                </c:pt>
                <c:pt idx="192">
                  <c:v>41973</c:v>
                </c:pt>
                <c:pt idx="193">
                  <c:v>41966</c:v>
                </c:pt>
                <c:pt idx="194">
                  <c:v>41959</c:v>
                </c:pt>
                <c:pt idx="195">
                  <c:v>41952</c:v>
                </c:pt>
                <c:pt idx="196">
                  <c:v>41945</c:v>
                </c:pt>
                <c:pt idx="197">
                  <c:v>41938</c:v>
                </c:pt>
                <c:pt idx="198">
                  <c:v>41931</c:v>
                </c:pt>
                <c:pt idx="199">
                  <c:v>41924</c:v>
                </c:pt>
                <c:pt idx="200">
                  <c:v>41917</c:v>
                </c:pt>
                <c:pt idx="201">
                  <c:v>41910</c:v>
                </c:pt>
                <c:pt idx="202">
                  <c:v>41903</c:v>
                </c:pt>
                <c:pt idx="203">
                  <c:v>41896</c:v>
                </c:pt>
                <c:pt idx="204">
                  <c:v>41889</c:v>
                </c:pt>
                <c:pt idx="205">
                  <c:v>41882</c:v>
                </c:pt>
                <c:pt idx="206">
                  <c:v>41875</c:v>
                </c:pt>
                <c:pt idx="207">
                  <c:v>41868</c:v>
                </c:pt>
                <c:pt idx="208">
                  <c:v>41861</c:v>
                </c:pt>
                <c:pt idx="209">
                  <c:v>41854</c:v>
                </c:pt>
                <c:pt idx="210">
                  <c:v>41847</c:v>
                </c:pt>
                <c:pt idx="211">
                  <c:v>41840</c:v>
                </c:pt>
                <c:pt idx="212">
                  <c:v>41833</c:v>
                </c:pt>
                <c:pt idx="213">
                  <c:v>41826</c:v>
                </c:pt>
                <c:pt idx="214">
                  <c:v>41819</c:v>
                </c:pt>
                <c:pt idx="215">
                  <c:v>41812</c:v>
                </c:pt>
                <c:pt idx="216">
                  <c:v>41805</c:v>
                </c:pt>
                <c:pt idx="217">
                  <c:v>41798</c:v>
                </c:pt>
                <c:pt idx="218">
                  <c:v>41791</c:v>
                </c:pt>
                <c:pt idx="219">
                  <c:v>41784</c:v>
                </c:pt>
                <c:pt idx="220">
                  <c:v>41777</c:v>
                </c:pt>
                <c:pt idx="221">
                  <c:v>41770</c:v>
                </c:pt>
                <c:pt idx="222">
                  <c:v>41763</c:v>
                </c:pt>
                <c:pt idx="223">
                  <c:v>41756</c:v>
                </c:pt>
                <c:pt idx="224">
                  <c:v>41749</c:v>
                </c:pt>
                <c:pt idx="225">
                  <c:v>41742</c:v>
                </c:pt>
                <c:pt idx="226">
                  <c:v>41735</c:v>
                </c:pt>
                <c:pt idx="227">
                  <c:v>41728</c:v>
                </c:pt>
                <c:pt idx="228">
                  <c:v>41721</c:v>
                </c:pt>
                <c:pt idx="229">
                  <c:v>41714</c:v>
                </c:pt>
                <c:pt idx="230">
                  <c:v>41707</c:v>
                </c:pt>
                <c:pt idx="231">
                  <c:v>41700</c:v>
                </c:pt>
                <c:pt idx="232">
                  <c:v>41693</c:v>
                </c:pt>
                <c:pt idx="233">
                  <c:v>41686</c:v>
                </c:pt>
                <c:pt idx="234">
                  <c:v>41679</c:v>
                </c:pt>
                <c:pt idx="235">
                  <c:v>41672</c:v>
                </c:pt>
                <c:pt idx="236">
                  <c:v>41665</c:v>
                </c:pt>
                <c:pt idx="237">
                  <c:v>41658</c:v>
                </c:pt>
                <c:pt idx="238">
                  <c:v>41651</c:v>
                </c:pt>
                <c:pt idx="239">
                  <c:v>41644</c:v>
                </c:pt>
                <c:pt idx="240">
                  <c:v>41637</c:v>
                </c:pt>
                <c:pt idx="241">
                  <c:v>41630</c:v>
                </c:pt>
                <c:pt idx="242">
                  <c:v>41623</c:v>
                </c:pt>
                <c:pt idx="243">
                  <c:v>41616</c:v>
                </c:pt>
                <c:pt idx="244">
                  <c:v>41609</c:v>
                </c:pt>
                <c:pt idx="245">
                  <c:v>41602</c:v>
                </c:pt>
                <c:pt idx="246">
                  <c:v>41595</c:v>
                </c:pt>
                <c:pt idx="247">
                  <c:v>41588</c:v>
                </c:pt>
                <c:pt idx="248">
                  <c:v>41581</c:v>
                </c:pt>
                <c:pt idx="249">
                  <c:v>41574</c:v>
                </c:pt>
                <c:pt idx="250">
                  <c:v>41567</c:v>
                </c:pt>
                <c:pt idx="251">
                  <c:v>41560</c:v>
                </c:pt>
                <c:pt idx="252">
                  <c:v>41553</c:v>
                </c:pt>
                <c:pt idx="253">
                  <c:v>41546</c:v>
                </c:pt>
                <c:pt idx="254">
                  <c:v>41539</c:v>
                </c:pt>
                <c:pt idx="255">
                  <c:v>41532</c:v>
                </c:pt>
                <c:pt idx="256">
                  <c:v>41525</c:v>
                </c:pt>
                <c:pt idx="257">
                  <c:v>41518</c:v>
                </c:pt>
                <c:pt idx="258">
                  <c:v>41511</c:v>
                </c:pt>
                <c:pt idx="259">
                  <c:v>41504</c:v>
                </c:pt>
                <c:pt idx="260">
                  <c:v>41497</c:v>
                </c:pt>
                <c:pt idx="261">
                  <c:v>41490</c:v>
                </c:pt>
                <c:pt idx="262">
                  <c:v>41483</c:v>
                </c:pt>
                <c:pt idx="263">
                  <c:v>41476</c:v>
                </c:pt>
                <c:pt idx="264">
                  <c:v>41469</c:v>
                </c:pt>
                <c:pt idx="265">
                  <c:v>41462</c:v>
                </c:pt>
                <c:pt idx="266">
                  <c:v>41455</c:v>
                </c:pt>
                <c:pt idx="267">
                  <c:v>41448</c:v>
                </c:pt>
                <c:pt idx="268">
                  <c:v>41441</c:v>
                </c:pt>
                <c:pt idx="269">
                  <c:v>41434</c:v>
                </c:pt>
                <c:pt idx="270">
                  <c:v>41427</c:v>
                </c:pt>
                <c:pt idx="271">
                  <c:v>41420</c:v>
                </c:pt>
                <c:pt idx="272">
                  <c:v>41413</c:v>
                </c:pt>
                <c:pt idx="273">
                  <c:v>41406</c:v>
                </c:pt>
                <c:pt idx="274">
                  <c:v>41399</c:v>
                </c:pt>
                <c:pt idx="275">
                  <c:v>41392</c:v>
                </c:pt>
                <c:pt idx="276">
                  <c:v>41385</c:v>
                </c:pt>
                <c:pt idx="277">
                  <c:v>41378</c:v>
                </c:pt>
                <c:pt idx="278">
                  <c:v>41371</c:v>
                </c:pt>
                <c:pt idx="279">
                  <c:v>41364</c:v>
                </c:pt>
                <c:pt idx="280">
                  <c:v>41357</c:v>
                </c:pt>
                <c:pt idx="281">
                  <c:v>41350</c:v>
                </c:pt>
                <c:pt idx="282">
                  <c:v>41343</c:v>
                </c:pt>
                <c:pt idx="283">
                  <c:v>41336</c:v>
                </c:pt>
                <c:pt idx="284">
                  <c:v>41329</c:v>
                </c:pt>
                <c:pt idx="285">
                  <c:v>41322</c:v>
                </c:pt>
                <c:pt idx="286">
                  <c:v>41315</c:v>
                </c:pt>
                <c:pt idx="287">
                  <c:v>41308</c:v>
                </c:pt>
                <c:pt idx="288">
                  <c:v>41301</c:v>
                </c:pt>
                <c:pt idx="289">
                  <c:v>41294</c:v>
                </c:pt>
                <c:pt idx="290">
                  <c:v>41287</c:v>
                </c:pt>
                <c:pt idx="291">
                  <c:v>41280</c:v>
                </c:pt>
                <c:pt idx="292">
                  <c:v>41273</c:v>
                </c:pt>
                <c:pt idx="293">
                  <c:v>41266</c:v>
                </c:pt>
                <c:pt idx="294">
                  <c:v>41259</c:v>
                </c:pt>
                <c:pt idx="295">
                  <c:v>41252</c:v>
                </c:pt>
                <c:pt idx="296">
                  <c:v>41245</c:v>
                </c:pt>
                <c:pt idx="297">
                  <c:v>41238</c:v>
                </c:pt>
                <c:pt idx="298">
                  <c:v>41231</c:v>
                </c:pt>
                <c:pt idx="299">
                  <c:v>41224</c:v>
                </c:pt>
                <c:pt idx="300">
                  <c:v>41217</c:v>
                </c:pt>
                <c:pt idx="301">
                  <c:v>41210</c:v>
                </c:pt>
                <c:pt idx="302">
                  <c:v>41203</c:v>
                </c:pt>
                <c:pt idx="303">
                  <c:v>41196</c:v>
                </c:pt>
                <c:pt idx="304">
                  <c:v>41189</c:v>
                </c:pt>
                <c:pt idx="305">
                  <c:v>41182</c:v>
                </c:pt>
                <c:pt idx="306">
                  <c:v>41175</c:v>
                </c:pt>
                <c:pt idx="307">
                  <c:v>41168</c:v>
                </c:pt>
                <c:pt idx="308">
                  <c:v>41161</c:v>
                </c:pt>
                <c:pt idx="309">
                  <c:v>41154</c:v>
                </c:pt>
                <c:pt idx="310">
                  <c:v>41147</c:v>
                </c:pt>
                <c:pt idx="311">
                  <c:v>41140</c:v>
                </c:pt>
                <c:pt idx="312">
                  <c:v>41133</c:v>
                </c:pt>
                <c:pt idx="313">
                  <c:v>41126</c:v>
                </c:pt>
                <c:pt idx="314">
                  <c:v>41119</c:v>
                </c:pt>
                <c:pt idx="315">
                  <c:v>41112</c:v>
                </c:pt>
                <c:pt idx="316">
                  <c:v>41105</c:v>
                </c:pt>
                <c:pt idx="317">
                  <c:v>41098</c:v>
                </c:pt>
                <c:pt idx="318">
                  <c:v>41091</c:v>
                </c:pt>
                <c:pt idx="319">
                  <c:v>41084</c:v>
                </c:pt>
                <c:pt idx="320">
                  <c:v>41077</c:v>
                </c:pt>
                <c:pt idx="321">
                  <c:v>41070</c:v>
                </c:pt>
                <c:pt idx="322">
                  <c:v>41063</c:v>
                </c:pt>
                <c:pt idx="323">
                  <c:v>41056</c:v>
                </c:pt>
                <c:pt idx="324">
                  <c:v>41049</c:v>
                </c:pt>
                <c:pt idx="325">
                  <c:v>41042</c:v>
                </c:pt>
                <c:pt idx="326">
                  <c:v>41035</c:v>
                </c:pt>
                <c:pt idx="327">
                  <c:v>41028</c:v>
                </c:pt>
                <c:pt idx="328">
                  <c:v>41021</c:v>
                </c:pt>
                <c:pt idx="329">
                  <c:v>41014</c:v>
                </c:pt>
                <c:pt idx="330">
                  <c:v>41007</c:v>
                </c:pt>
                <c:pt idx="331">
                  <c:v>41000</c:v>
                </c:pt>
                <c:pt idx="332">
                  <c:v>40993</c:v>
                </c:pt>
                <c:pt idx="333">
                  <c:v>40986</c:v>
                </c:pt>
                <c:pt idx="334">
                  <c:v>40979</c:v>
                </c:pt>
                <c:pt idx="335">
                  <c:v>40972</c:v>
                </c:pt>
                <c:pt idx="336">
                  <c:v>40965</c:v>
                </c:pt>
                <c:pt idx="337">
                  <c:v>40958</c:v>
                </c:pt>
                <c:pt idx="338">
                  <c:v>40951</c:v>
                </c:pt>
                <c:pt idx="339">
                  <c:v>40944</c:v>
                </c:pt>
                <c:pt idx="340">
                  <c:v>40937</c:v>
                </c:pt>
                <c:pt idx="341">
                  <c:v>40930</c:v>
                </c:pt>
                <c:pt idx="342">
                  <c:v>40923</c:v>
                </c:pt>
                <c:pt idx="343">
                  <c:v>40916</c:v>
                </c:pt>
                <c:pt idx="344">
                  <c:v>40909</c:v>
                </c:pt>
                <c:pt idx="345">
                  <c:v>40902</c:v>
                </c:pt>
                <c:pt idx="346">
                  <c:v>40895</c:v>
                </c:pt>
                <c:pt idx="347">
                  <c:v>40888</c:v>
                </c:pt>
                <c:pt idx="348">
                  <c:v>40881</c:v>
                </c:pt>
                <c:pt idx="349">
                  <c:v>40874</c:v>
                </c:pt>
                <c:pt idx="350">
                  <c:v>40867</c:v>
                </c:pt>
                <c:pt idx="351">
                  <c:v>40860</c:v>
                </c:pt>
                <c:pt idx="352">
                  <c:v>40853</c:v>
                </c:pt>
                <c:pt idx="353">
                  <c:v>40846</c:v>
                </c:pt>
                <c:pt idx="354">
                  <c:v>40839</c:v>
                </c:pt>
                <c:pt idx="355">
                  <c:v>40832</c:v>
                </c:pt>
                <c:pt idx="356">
                  <c:v>40825</c:v>
                </c:pt>
                <c:pt idx="357">
                  <c:v>40818</c:v>
                </c:pt>
                <c:pt idx="358">
                  <c:v>40811</c:v>
                </c:pt>
                <c:pt idx="359">
                  <c:v>40804</c:v>
                </c:pt>
                <c:pt idx="360">
                  <c:v>40797</c:v>
                </c:pt>
                <c:pt idx="361">
                  <c:v>40790</c:v>
                </c:pt>
                <c:pt idx="362">
                  <c:v>40783</c:v>
                </c:pt>
                <c:pt idx="363">
                  <c:v>40776</c:v>
                </c:pt>
                <c:pt idx="364">
                  <c:v>40769</c:v>
                </c:pt>
                <c:pt idx="365">
                  <c:v>40762</c:v>
                </c:pt>
                <c:pt idx="366">
                  <c:v>40755</c:v>
                </c:pt>
                <c:pt idx="367">
                  <c:v>40748</c:v>
                </c:pt>
                <c:pt idx="368">
                  <c:v>40741</c:v>
                </c:pt>
                <c:pt idx="369">
                  <c:v>40734</c:v>
                </c:pt>
                <c:pt idx="370">
                  <c:v>40727</c:v>
                </c:pt>
                <c:pt idx="371">
                  <c:v>40720</c:v>
                </c:pt>
                <c:pt idx="372">
                  <c:v>40713</c:v>
                </c:pt>
                <c:pt idx="373">
                  <c:v>40706</c:v>
                </c:pt>
                <c:pt idx="374">
                  <c:v>40699</c:v>
                </c:pt>
                <c:pt idx="375">
                  <c:v>40692</c:v>
                </c:pt>
                <c:pt idx="376">
                  <c:v>40685</c:v>
                </c:pt>
                <c:pt idx="377">
                  <c:v>40678</c:v>
                </c:pt>
                <c:pt idx="378">
                  <c:v>40671</c:v>
                </c:pt>
                <c:pt idx="379">
                  <c:v>40664</c:v>
                </c:pt>
                <c:pt idx="380">
                  <c:v>40657</c:v>
                </c:pt>
                <c:pt idx="381">
                  <c:v>40650</c:v>
                </c:pt>
                <c:pt idx="382">
                  <c:v>40643</c:v>
                </c:pt>
                <c:pt idx="383">
                  <c:v>40636</c:v>
                </c:pt>
                <c:pt idx="384">
                  <c:v>40629</c:v>
                </c:pt>
                <c:pt idx="385">
                  <c:v>40622</c:v>
                </c:pt>
                <c:pt idx="386">
                  <c:v>40615</c:v>
                </c:pt>
                <c:pt idx="387">
                  <c:v>40608</c:v>
                </c:pt>
                <c:pt idx="388">
                  <c:v>40601</c:v>
                </c:pt>
                <c:pt idx="389">
                  <c:v>40594</c:v>
                </c:pt>
                <c:pt idx="390">
                  <c:v>40587</c:v>
                </c:pt>
                <c:pt idx="391">
                  <c:v>40580</c:v>
                </c:pt>
                <c:pt idx="392">
                  <c:v>40573</c:v>
                </c:pt>
                <c:pt idx="393">
                  <c:v>40566</c:v>
                </c:pt>
                <c:pt idx="394">
                  <c:v>40559</c:v>
                </c:pt>
                <c:pt idx="395">
                  <c:v>40552</c:v>
                </c:pt>
                <c:pt idx="396">
                  <c:v>40545</c:v>
                </c:pt>
                <c:pt idx="397">
                  <c:v>40538</c:v>
                </c:pt>
                <c:pt idx="398">
                  <c:v>40531</c:v>
                </c:pt>
                <c:pt idx="399">
                  <c:v>40524</c:v>
                </c:pt>
                <c:pt idx="400">
                  <c:v>40517</c:v>
                </c:pt>
                <c:pt idx="401">
                  <c:v>40510</c:v>
                </c:pt>
                <c:pt idx="402">
                  <c:v>40503</c:v>
                </c:pt>
                <c:pt idx="403">
                  <c:v>40496</c:v>
                </c:pt>
                <c:pt idx="404">
                  <c:v>40489</c:v>
                </c:pt>
                <c:pt idx="405">
                  <c:v>40482</c:v>
                </c:pt>
                <c:pt idx="406">
                  <c:v>40475</c:v>
                </c:pt>
                <c:pt idx="407">
                  <c:v>40468</c:v>
                </c:pt>
                <c:pt idx="408">
                  <c:v>40461</c:v>
                </c:pt>
                <c:pt idx="409">
                  <c:v>40454</c:v>
                </c:pt>
                <c:pt idx="410">
                  <c:v>40447</c:v>
                </c:pt>
                <c:pt idx="411">
                  <c:v>40440</c:v>
                </c:pt>
                <c:pt idx="412">
                  <c:v>40433</c:v>
                </c:pt>
                <c:pt idx="413">
                  <c:v>40426</c:v>
                </c:pt>
                <c:pt idx="414">
                  <c:v>40419</c:v>
                </c:pt>
                <c:pt idx="415">
                  <c:v>40412</c:v>
                </c:pt>
                <c:pt idx="416">
                  <c:v>40405</c:v>
                </c:pt>
                <c:pt idx="417">
                  <c:v>40398</c:v>
                </c:pt>
                <c:pt idx="418">
                  <c:v>40391</c:v>
                </c:pt>
                <c:pt idx="419">
                  <c:v>40384</c:v>
                </c:pt>
                <c:pt idx="420">
                  <c:v>40377</c:v>
                </c:pt>
                <c:pt idx="421">
                  <c:v>40370</c:v>
                </c:pt>
                <c:pt idx="422">
                  <c:v>40363</c:v>
                </c:pt>
                <c:pt idx="423">
                  <c:v>40356</c:v>
                </c:pt>
                <c:pt idx="424">
                  <c:v>40349</c:v>
                </c:pt>
                <c:pt idx="425">
                  <c:v>40342</c:v>
                </c:pt>
                <c:pt idx="426">
                  <c:v>40335</c:v>
                </c:pt>
                <c:pt idx="427">
                  <c:v>40328</c:v>
                </c:pt>
                <c:pt idx="428">
                  <c:v>40321</c:v>
                </c:pt>
                <c:pt idx="429">
                  <c:v>40314</c:v>
                </c:pt>
                <c:pt idx="430">
                  <c:v>40307</c:v>
                </c:pt>
                <c:pt idx="431">
                  <c:v>40300</c:v>
                </c:pt>
                <c:pt idx="432">
                  <c:v>40293</c:v>
                </c:pt>
                <c:pt idx="433">
                  <c:v>40286</c:v>
                </c:pt>
                <c:pt idx="434">
                  <c:v>40279</c:v>
                </c:pt>
                <c:pt idx="435">
                  <c:v>40272</c:v>
                </c:pt>
                <c:pt idx="436">
                  <c:v>40265</c:v>
                </c:pt>
                <c:pt idx="437">
                  <c:v>40258</c:v>
                </c:pt>
                <c:pt idx="438">
                  <c:v>40251</c:v>
                </c:pt>
                <c:pt idx="439">
                  <c:v>40244</c:v>
                </c:pt>
                <c:pt idx="440">
                  <c:v>40237</c:v>
                </c:pt>
                <c:pt idx="441">
                  <c:v>40230</c:v>
                </c:pt>
                <c:pt idx="442">
                  <c:v>40223</c:v>
                </c:pt>
                <c:pt idx="443">
                  <c:v>40216</c:v>
                </c:pt>
                <c:pt idx="444">
                  <c:v>40209</c:v>
                </c:pt>
                <c:pt idx="445">
                  <c:v>40202</c:v>
                </c:pt>
                <c:pt idx="446">
                  <c:v>40195</c:v>
                </c:pt>
                <c:pt idx="447">
                  <c:v>40188</c:v>
                </c:pt>
                <c:pt idx="448">
                  <c:v>40181</c:v>
                </c:pt>
                <c:pt idx="449">
                  <c:v>40174</c:v>
                </c:pt>
                <c:pt idx="450">
                  <c:v>40167</c:v>
                </c:pt>
                <c:pt idx="451">
                  <c:v>40160</c:v>
                </c:pt>
                <c:pt idx="452">
                  <c:v>40153</c:v>
                </c:pt>
                <c:pt idx="453">
                  <c:v>40146</c:v>
                </c:pt>
                <c:pt idx="454">
                  <c:v>40139</c:v>
                </c:pt>
                <c:pt idx="455">
                  <c:v>40132</c:v>
                </c:pt>
                <c:pt idx="456">
                  <c:v>40125</c:v>
                </c:pt>
                <c:pt idx="457">
                  <c:v>40118</c:v>
                </c:pt>
                <c:pt idx="458">
                  <c:v>40111</c:v>
                </c:pt>
                <c:pt idx="459">
                  <c:v>40104</c:v>
                </c:pt>
                <c:pt idx="460">
                  <c:v>40097</c:v>
                </c:pt>
                <c:pt idx="461">
                  <c:v>40090</c:v>
                </c:pt>
                <c:pt idx="462">
                  <c:v>40083</c:v>
                </c:pt>
                <c:pt idx="463">
                  <c:v>40076</c:v>
                </c:pt>
                <c:pt idx="464">
                  <c:v>40069</c:v>
                </c:pt>
                <c:pt idx="465">
                  <c:v>40062</c:v>
                </c:pt>
                <c:pt idx="466">
                  <c:v>40055</c:v>
                </c:pt>
                <c:pt idx="467">
                  <c:v>40048</c:v>
                </c:pt>
                <c:pt idx="468">
                  <c:v>40041</c:v>
                </c:pt>
                <c:pt idx="469">
                  <c:v>40034</c:v>
                </c:pt>
                <c:pt idx="470">
                  <c:v>40027</c:v>
                </c:pt>
                <c:pt idx="471">
                  <c:v>40020</c:v>
                </c:pt>
                <c:pt idx="472">
                  <c:v>40013</c:v>
                </c:pt>
                <c:pt idx="473">
                  <c:v>40006</c:v>
                </c:pt>
                <c:pt idx="474">
                  <c:v>39999</c:v>
                </c:pt>
                <c:pt idx="475">
                  <c:v>39992</c:v>
                </c:pt>
                <c:pt idx="476">
                  <c:v>39985</c:v>
                </c:pt>
                <c:pt idx="477">
                  <c:v>39978</c:v>
                </c:pt>
                <c:pt idx="478">
                  <c:v>39971</c:v>
                </c:pt>
                <c:pt idx="479">
                  <c:v>39964</c:v>
                </c:pt>
                <c:pt idx="480">
                  <c:v>39957</c:v>
                </c:pt>
                <c:pt idx="481">
                  <c:v>39950</c:v>
                </c:pt>
                <c:pt idx="482">
                  <c:v>39943</c:v>
                </c:pt>
                <c:pt idx="483">
                  <c:v>39936</c:v>
                </c:pt>
                <c:pt idx="484">
                  <c:v>39929</c:v>
                </c:pt>
                <c:pt idx="485">
                  <c:v>39922</c:v>
                </c:pt>
                <c:pt idx="486">
                  <c:v>39915</c:v>
                </c:pt>
                <c:pt idx="487">
                  <c:v>39908</c:v>
                </c:pt>
                <c:pt idx="488">
                  <c:v>39901</c:v>
                </c:pt>
                <c:pt idx="489">
                  <c:v>39894</c:v>
                </c:pt>
                <c:pt idx="490">
                  <c:v>39887</c:v>
                </c:pt>
                <c:pt idx="491">
                  <c:v>39880</c:v>
                </c:pt>
                <c:pt idx="492">
                  <c:v>39873</c:v>
                </c:pt>
                <c:pt idx="493">
                  <c:v>39866</c:v>
                </c:pt>
                <c:pt idx="494">
                  <c:v>39859</c:v>
                </c:pt>
                <c:pt idx="495">
                  <c:v>39852</c:v>
                </c:pt>
                <c:pt idx="496">
                  <c:v>39845</c:v>
                </c:pt>
                <c:pt idx="497">
                  <c:v>39838</c:v>
                </c:pt>
                <c:pt idx="498">
                  <c:v>39831</c:v>
                </c:pt>
                <c:pt idx="499">
                  <c:v>39824</c:v>
                </c:pt>
                <c:pt idx="500">
                  <c:v>39817</c:v>
                </c:pt>
                <c:pt idx="501">
                  <c:v>39810</c:v>
                </c:pt>
                <c:pt idx="502">
                  <c:v>39803</c:v>
                </c:pt>
                <c:pt idx="503">
                  <c:v>39796</c:v>
                </c:pt>
                <c:pt idx="504">
                  <c:v>39789</c:v>
                </c:pt>
                <c:pt idx="505">
                  <c:v>39782</c:v>
                </c:pt>
                <c:pt idx="506">
                  <c:v>39775</c:v>
                </c:pt>
                <c:pt idx="507">
                  <c:v>39768</c:v>
                </c:pt>
                <c:pt idx="508">
                  <c:v>39761</c:v>
                </c:pt>
                <c:pt idx="509">
                  <c:v>39754</c:v>
                </c:pt>
                <c:pt idx="510">
                  <c:v>39747</c:v>
                </c:pt>
                <c:pt idx="511">
                  <c:v>39740</c:v>
                </c:pt>
                <c:pt idx="512">
                  <c:v>39733</c:v>
                </c:pt>
                <c:pt idx="513">
                  <c:v>39726</c:v>
                </c:pt>
                <c:pt idx="514">
                  <c:v>39719</c:v>
                </c:pt>
                <c:pt idx="515">
                  <c:v>39712</c:v>
                </c:pt>
                <c:pt idx="516">
                  <c:v>39705</c:v>
                </c:pt>
                <c:pt idx="517">
                  <c:v>39698</c:v>
                </c:pt>
                <c:pt idx="518">
                  <c:v>39691</c:v>
                </c:pt>
                <c:pt idx="519">
                  <c:v>39684</c:v>
                </c:pt>
                <c:pt idx="520">
                  <c:v>39677</c:v>
                </c:pt>
                <c:pt idx="521">
                  <c:v>39670</c:v>
                </c:pt>
                <c:pt idx="522">
                  <c:v>39663</c:v>
                </c:pt>
                <c:pt idx="523">
                  <c:v>39656</c:v>
                </c:pt>
                <c:pt idx="524">
                  <c:v>39649</c:v>
                </c:pt>
                <c:pt idx="525">
                  <c:v>39642</c:v>
                </c:pt>
                <c:pt idx="526">
                  <c:v>39635</c:v>
                </c:pt>
                <c:pt idx="527">
                  <c:v>39628</c:v>
                </c:pt>
                <c:pt idx="528">
                  <c:v>39621</c:v>
                </c:pt>
                <c:pt idx="529">
                  <c:v>39614</c:v>
                </c:pt>
                <c:pt idx="530">
                  <c:v>39607</c:v>
                </c:pt>
                <c:pt idx="531">
                  <c:v>39600</c:v>
                </c:pt>
                <c:pt idx="532">
                  <c:v>39593</c:v>
                </c:pt>
                <c:pt idx="533">
                  <c:v>39586</c:v>
                </c:pt>
                <c:pt idx="534">
                  <c:v>39579</c:v>
                </c:pt>
                <c:pt idx="535">
                  <c:v>39572</c:v>
                </c:pt>
                <c:pt idx="536">
                  <c:v>39565</c:v>
                </c:pt>
                <c:pt idx="537">
                  <c:v>39558</c:v>
                </c:pt>
                <c:pt idx="538">
                  <c:v>39551</c:v>
                </c:pt>
                <c:pt idx="539">
                  <c:v>39544</c:v>
                </c:pt>
                <c:pt idx="540">
                  <c:v>39537</c:v>
                </c:pt>
                <c:pt idx="541">
                  <c:v>39530</c:v>
                </c:pt>
                <c:pt idx="542">
                  <c:v>39523</c:v>
                </c:pt>
                <c:pt idx="543">
                  <c:v>39516</c:v>
                </c:pt>
                <c:pt idx="544">
                  <c:v>39509</c:v>
                </c:pt>
                <c:pt idx="545">
                  <c:v>39502</c:v>
                </c:pt>
                <c:pt idx="546">
                  <c:v>39495</c:v>
                </c:pt>
                <c:pt idx="547">
                  <c:v>39488</c:v>
                </c:pt>
                <c:pt idx="548">
                  <c:v>39481</c:v>
                </c:pt>
                <c:pt idx="549">
                  <c:v>39474</c:v>
                </c:pt>
                <c:pt idx="550">
                  <c:v>39467</c:v>
                </c:pt>
                <c:pt idx="551">
                  <c:v>39460</c:v>
                </c:pt>
                <c:pt idx="552">
                  <c:v>39453</c:v>
                </c:pt>
                <c:pt idx="553">
                  <c:v>39446</c:v>
                </c:pt>
                <c:pt idx="554">
                  <c:v>39439</c:v>
                </c:pt>
                <c:pt idx="555">
                  <c:v>39432</c:v>
                </c:pt>
                <c:pt idx="556">
                  <c:v>39425</c:v>
                </c:pt>
                <c:pt idx="557">
                  <c:v>39418</c:v>
                </c:pt>
                <c:pt idx="558">
                  <c:v>39411</c:v>
                </c:pt>
                <c:pt idx="559">
                  <c:v>39404</c:v>
                </c:pt>
                <c:pt idx="560">
                  <c:v>39397</c:v>
                </c:pt>
                <c:pt idx="561">
                  <c:v>39390</c:v>
                </c:pt>
                <c:pt idx="562">
                  <c:v>39383</c:v>
                </c:pt>
                <c:pt idx="563">
                  <c:v>39376</c:v>
                </c:pt>
                <c:pt idx="564">
                  <c:v>39369</c:v>
                </c:pt>
                <c:pt idx="565">
                  <c:v>39362</c:v>
                </c:pt>
                <c:pt idx="566">
                  <c:v>39355</c:v>
                </c:pt>
                <c:pt idx="567">
                  <c:v>39348</c:v>
                </c:pt>
                <c:pt idx="568">
                  <c:v>39341</c:v>
                </c:pt>
                <c:pt idx="569">
                  <c:v>39334</c:v>
                </c:pt>
                <c:pt idx="570">
                  <c:v>39327</c:v>
                </c:pt>
                <c:pt idx="571">
                  <c:v>39320</c:v>
                </c:pt>
                <c:pt idx="572">
                  <c:v>39313</c:v>
                </c:pt>
                <c:pt idx="573">
                  <c:v>39306</c:v>
                </c:pt>
                <c:pt idx="574">
                  <c:v>39299</c:v>
                </c:pt>
                <c:pt idx="575">
                  <c:v>39292</c:v>
                </c:pt>
                <c:pt idx="576">
                  <c:v>39285</c:v>
                </c:pt>
                <c:pt idx="577">
                  <c:v>39278</c:v>
                </c:pt>
                <c:pt idx="578">
                  <c:v>39271</c:v>
                </c:pt>
                <c:pt idx="579">
                  <c:v>39264</c:v>
                </c:pt>
                <c:pt idx="580">
                  <c:v>39257</c:v>
                </c:pt>
                <c:pt idx="581">
                  <c:v>39250</c:v>
                </c:pt>
                <c:pt idx="582">
                  <c:v>39243</c:v>
                </c:pt>
                <c:pt idx="583">
                  <c:v>39236</c:v>
                </c:pt>
                <c:pt idx="584">
                  <c:v>39229</c:v>
                </c:pt>
                <c:pt idx="585">
                  <c:v>39222</c:v>
                </c:pt>
                <c:pt idx="586">
                  <c:v>39215</c:v>
                </c:pt>
                <c:pt idx="587">
                  <c:v>39208</c:v>
                </c:pt>
                <c:pt idx="588">
                  <c:v>39201</c:v>
                </c:pt>
                <c:pt idx="589">
                  <c:v>39194</c:v>
                </c:pt>
                <c:pt idx="590">
                  <c:v>39187</c:v>
                </c:pt>
                <c:pt idx="591">
                  <c:v>39180</c:v>
                </c:pt>
                <c:pt idx="592">
                  <c:v>39173</c:v>
                </c:pt>
                <c:pt idx="593">
                  <c:v>39166</c:v>
                </c:pt>
                <c:pt idx="594">
                  <c:v>39159</c:v>
                </c:pt>
                <c:pt idx="595">
                  <c:v>39152</c:v>
                </c:pt>
                <c:pt idx="596">
                  <c:v>39145</c:v>
                </c:pt>
                <c:pt idx="597">
                  <c:v>39138</c:v>
                </c:pt>
                <c:pt idx="598">
                  <c:v>39131</c:v>
                </c:pt>
                <c:pt idx="599">
                  <c:v>39124</c:v>
                </c:pt>
                <c:pt idx="600">
                  <c:v>39117</c:v>
                </c:pt>
                <c:pt idx="601">
                  <c:v>39110</c:v>
                </c:pt>
                <c:pt idx="602">
                  <c:v>39103</c:v>
                </c:pt>
                <c:pt idx="603">
                  <c:v>39096</c:v>
                </c:pt>
                <c:pt idx="604">
                  <c:v>39089</c:v>
                </c:pt>
                <c:pt idx="605">
                  <c:v>39082</c:v>
                </c:pt>
                <c:pt idx="606">
                  <c:v>39075</c:v>
                </c:pt>
                <c:pt idx="607">
                  <c:v>39068</c:v>
                </c:pt>
                <c:pt idx="608">
                  <c:v>39061</c:v>
                </c:pt>
                <c:pt idx="609">
                  <c:v>39054</c:v>
                </c:pt>
                <c:pt idx="610">
                  <c:v>39047</c:v>
                </c:pt>
                <c:pt idx="611">
                  <c:v>39040</c:v>
                </c:pt>
                <c:pt idx="612">
                  <c:v>39033</c:v>
                </c:pt>
                <c:pt idx="613">
                  <c:v>39026</c:v>
                </c:pt>
                <c:pt idx="614">
                  <c:v>39019</c:v>
                </c:pt>
                <c:pt idx="615">
                  <c:v>39012</c:v>
                </c:pt>
                <c:pt idx="616">
                  <c:v>39005</c:v>
                </c:pt>
                <c:pt idx="617">
                  <c:v>38998</c:v>
                </c:pt>
                <c:pt idx="618">
                  <c:v>38991</c:v>
                </c:pt>
                <c:pt idx="619">
                  <c:v>38984</c:v>
                </c:pt>
                <c:pt idx="620">
                  <c:v>38977</c:v>
                </c:pt>
                <c:pt idx="621">
                  <c:v>38970</c:v>
                </c:pt>
                <c:pt idx="622">
                  <c:v>38963</c:v>
                </c:pt>
                <c:pt idx="623">
                  <c:v>38956</c:v>
                </c:pt>
                <c:pt idx="624">
                  <c:v>38949</c:v>
                </c:pt>
                <c:pt idx="625">
                  <c:v>38942</c:v>
                </c:pt>
                <c:pt idx="626">
                  <c:v>38935</c:v>
                </c:pt>
                <c:pt idx="627">
                  <c:v>38928</c:v>
                </c:pt>
                <c:pt idx="628">
                  <c:v>38921</c:v>
                </c:pt>
                <c:pt idx="629">
                  <c:v>38914</c:v>
                </c:pt>
                <c:pt idx="630">
                  <c:v>38907</c:v>
                </c:pt>
                <c:pt idx="631">
                  <c:v>38900</c:v>
                </c:pt>
                <c:pt idx="632">
                  <c:v>38893</c:v>
                </c:pt>
                <c:pt idx="633">
                  <c:v>38886</c:v>
                </c:pt>
                <c:pt idx="634">
                  <c:v>38879</c:v>
                </c:pt>
                <c:pt idx="635">
                  <c:v>38872</c:v>
                </c:pt>
                <c:pt idx="636">
                  <c:v>38865</c:v>
                </c:pt>
                <c:pt idx="637">
                  <c:v>38858</c:v>
                </c:pt>
                <c:pt idx="638">
                  <c:v>38851</c:v>
                </c:pt>
                <c:pt idx="639">
                  <c:v>38844</c:v>
                </c:pt>
                <c:pt idx="640">
                  <c:v>38837</c:v>
                </c:pt>
                <c:pt idx="641">
                  <c:v>38830</c:v>
                </c:pt>
                <c:pt idx="642">
                  <c:v>38823</c:v>
                </c:pt>
                <c:pt idx="643">
                  <c:v>38816</c:v>
                </c:pt>
                <c:pt idx="644">
                  <c:v>38809</c:v>
                </c:pt>
                <c:pt idx="645">
                  <c:v>38802</c:v>
                </c:pt>
                <c:pt idx="646">
                  <c:v>38795</c:v>
                </c:pt>
                <c:pt idx="647">
                  <c:v>38788</c:v>
                </c:pt>
                <c:pt idx="648">
                  <c:v>38781</c:v>
                </c:pt>
                <c:pt idx="649">
                  <c:v>38774</c:v>
                </c:pt>
                <c:pt idx="650">
                  <c:v>38767</c:v>
                </c:pt>
                <c:pt idx="651">
                  <c:v>38760</c:v>
                </c:pt>
                <c:pt idx="652">
                  <c:v>38753</c:v>
                </c:pt>
                <c:pt idx="653">
                  <c:v>38746</c:v>
                </c:pt>
                <c:pt idx="654">
                  <c:v>38739</c:v>
                </c:pt>
                <c:pt idx="655">
                  <c:v>38732</c:v>
                </c:pt>
                <c:pt idx="656">
                  <c:v>38725</c:v>
                </c:pt>
                <c:pt idx="657">
                  <c:v>38718</c:v>
                </c:pt>
                <c:pt idx="658">
                  <c:v>38711</c:v>
                </c:pt>
                <c:pt idx="659">
                  <c:v>38704</c:v>
                </c:pt>
                <c:pt idx="660">
                  <c:v>38697</c:v>
                </c:pt>
                <c:pt idx="661">
                  <c:v>38690</c:v>
                </c:pt>
                <c:pt idx="662">
                  <c:v>38683</c:v>
                </c:pt>
                <c:pt idx="663">
                  <c:v>38676</c:v>
                </c:pt>
                <c:pt idx="664">
                  <c:v>38669</c:v>
                </c:pt>
                <c:pt idx="665">
                  <c:v>38662</c:v>
                </c:pt>
                <c:pt idx="666">
                  <c:v>38655</c:v>
                </c:pt>
                <c:pt idx="667">
                  <c:v>38648</c:v>
                </c:pt>
                <c:pt idx="668">
                  <c:v>38641</c:v>
                </c:pt>
                <c:pt idx="669">
                  <c:v>38634</c:v>
                </c:pt>
                <c:pt idx="670">
                  <c:v>38627</c:v>
                </c:pt>
                <c:pt idx="671">
                  <c:v>38620</c:v>
                </c:pt>
                <c:pt idx="672">
                  <c:v>38613</c:v>
                </c:pt>
                <c:pt idx="673">
                  <c:v>38606</c:v>
                </c:pt>
                <c:pt idx="674">
                  <c:v>38599</c:v>
                </c:pt>
                <c:pt idx="675">
                  <c:v>38592</c:v>
                </c:pt>
                <c:pt idx="676">
                  <c:v>38585</c:v>
                </c:pt>
                <c:pt idx="677">
                  <c:v>38578</c:v>
                </c:pt>
                <c:pt idx="678">
                  <c:v>38571</c:v>
                </c:pt>
                <c:pt idx="679">
                  <c:v>38564</c:v>
                </c:pt>
                <c:pt idx="680">
                  <c:v>38557</c:v>
                </c:pt>
                <c:pt idx="681">
                  <c:v>38550</c:v>
                </c:pt>
                <c:pt idx="682">
                  <c:v>38543</c:v>
                </c:pt>
                <c:pt idx="683">
                  <c:v>38536</c:v>
                </c:pt>
                <c:pt idx="684">
                  <c:v>38529</c:v>
                </c:pt>
                <c:pt idx="685">
                  <c:v>38522</c:v>
                </c:pt>
                <c:pt idx="686">
                  <c:v>38515</c:v>
                </c:pt>
                <c:pt idx="687">
                  <c:v>38508</c:v>
                </c:pt>
                <c:pt idx="688">
                  <c:v>38501</c:v>
                </c:pt>
                <c:pt idx="689">
                  <c:v>38494</c:v>
                </c:pt>
                <c:pt idx="690">
                  <c:v>38487</c:v>
                </c:pt>
                <c:pt idx="691">
                  <c:v>38480</c:v>
                </c:pt>
                <c:pt idx="692">
                  <c:v>38473</c:v>
                </c:pt>
                <c:pt idx="693">
                  <c:v>38466</c:v>
                </c:pt>
                <c:pt idx="694">
                  <c:v>38459</c:v>
                </c:pt>
                <c:pt idx="695">
                  <c:v>38452</c:v>
                </c:pt>
                <c:pt idx="696">
                  <c:v>38445</c:v>
                </c:pt>
                <c:pt idx="697">
                  <c:v>38438</c:v>
                </c:pt>
                <c:pt idx="698">
                  <c:v>38431</c:v>
                </c:pt>
                <c:pt idx="699">
                  <c:v>38424</c:v>
                </c:pt>
                <c:pt idx="700">
                  <c:v>38417</c:v>
                </c:pt>
                <c:pt idx="701">
                  <c:v>38410</c:v>
                </c:pt>
                <c:pt idx="702">
                  <c:v>38403</c:v>
                </c:pt>
                <c:pt idx="703">
                  <c:v>38396</c:v>
                </c:pt>
                <c:pt idx="704">
                  <c:v>38389</c:v>
                </c:pt>
                <c:pt idx="705">
                  <c:v>38382</c:v>
                </c:pt>
                <c:pt idx="706">
                  <c:v>38375</c:v>
                </c:pt>
                <c:pt idx="707">
                  <c:v>38368</c:v>
                </c:pt>
                <c:pt idx="708">
                  <c:v>38361</c:v>
                </c:pt>
                <c:pt idx="709">
                  <c:v>38354</c:v>
                </c:pt>
                <c:pt idx="710">
                  <c:v>38347</c:v>
                </c:pt>
                <c:pt idx="711">
                  <c:v>38340</c:v>
                </c:pt>
                <c:pt idx="712">
                  <c:v>38333</c:v>
                </c:pt>
                <c:pt idx="713">
                  <c:v>38326</c:v>
                </c:pt>
                <c:pt idx="714">
                  <c:v>38319</c:v>
                </c:pt>
                <c:pt idx="715">
                  <c:v>38312</c:v>
                </c:pt>
                <c:pt idx="716">
                  <c:v>38305</c:v>
                </c:pt>
                <c:pt idx="717">
                  <c:v>38298</c:v>
                </c:pt>
                <c:pt idx="718">
                  <c:v>38291</c:v>
                </c:pt>
                <c:pt idx="719">
                  <c:v>38284</c:v>
                </c:pt>
                <c:pt idx="720">
                  <c:v>38277</c:v>
                </c:pt>
                <c:pt idx="721">
                  <c:v>38270</c:v>
                </c:pt>
                <c:pt idx="722">
                  <c:v>38263</c:v>
                </c:pt>
                <c:pt idx="723">
                  <c:v>38256</c:v>
                </c:pt>
                <c:pt idx="724">
                  <c:v>38249</c:v>
                </c:pt>
                <c:pt idx="725">
                  <c:v>38242</c:v>
                </c:pt>
                <c:pt idx="726">
                  <c:v>38235</c:v>
                </c:pt>
                <c:pt idx="727">
                  <c:v>38228</c:v>
                </c:pt>
                <c:pt idx="728">
                  <c:v>38221</c:v>
                </c:pt>
                <c:pt idx="729">
                  <c:v>38214</c:v>
                </c:pt>
                <c:pt idx="730">
                  <c:v>38207</c:v>
                </c:pt>
                <c:pt idx="731">
                  <c:v>38200</c:v>
                </c:pt>
                <c:pt idx="732">
                  <c:v>38193</c:v>
                </c:pt>
                <c:pt idx="733">
                  <c:v>38186</c:v>
                </c:pt>
                <c:pt idx="734">
                  <c:v>38179</c:v>
                </c:pt>
                <c:pt idx="735">
                  <c:v>38172</c:v>
                </c:pt>
                <c:pt idx="736">
                  <c:v>38165</c:v>
                </c:pt>
                <c:pt idx="737">
                  <c:v>38158</c:v>
                </c:pt>
                <c:pt idx="738">
                  <c:v>38151</c:v>
                </c:pt>
                <c:pt idx="739">
                  <c:v>38144</c:v>
                </c:pt>
                <c:pt idx="740">
                  <c:v>38137</c:v>
                </c:pt>
                <c:pt idx="741">
                  <c:v>38130</c:v>
                </c:pt>
                <c:pt idx="742">
                  <c:v>38123</c:v>
                </c:pt>
                <c:pt idx="743">
                  <c:v>38116</c:v>
                </c:pt>
                <c:pt idx="744">
                  <c:v>38109</c:v>
                </c:pt>
                <c:pt idx="745">
                  <c:v>38102</c:v>
                </c:pt>
                <c:pt idx="746">
                  <c:v>38095</c:v>
                </c:pt>
                <c:pt idx="747">
                  <c:v>38088</c:v>
                </c:pt>
                <c:pt idx="748">
                  <c:v>38081</c:v>
                </c:pt>
                <c:pt idx="749">
                  <c:v>38074</c:v>
                </c:pt>
                <c:pt idx="750">
                  <c:v>38067</c:v>
                </c:pt>
                <c:pt idx="751">
                  <c:v>38060</c:v>
                </c:pt>
                <c:pt idx="752">
                  <c:v>38053</c:v>
                </c:pt>
                <c:pt idx="753">
                  <c:v>38046</c:v>
                </c:pt>
                <c:pt idx="754">
                  <c:v>38039</c:v>
                </c:pt>
                <c:pt idx="755">
                  <c:v>38032</c:v>
                </c:pt>
                <c:pt idx="756">
                  <c:v>38025</c:v>
                </c:pt>
                <c:pt idx="757">
                  <c:v>38018</c:v>
                </c:pt>
                <c:pt idx="758">
                  <c:v>38011</c:v>
                </c:pt>
                <c:pt idx="759">
                  <c:v>38004</c:v>
                </c:pt>
                <c:pt idx="760">
                  <c:v>37997</c:v>
                </c:pt>
                <c:pt idx="761">
                  <c:v>37990</c:v>
                </c:pt>
                <c:pt idx="762">
                  <c:v>37983</c:v>
                </c:pt>
                <c:pt idx="763">
                  <c:v>37976</c:v>
                </c:pt>
                <c:pt idx="764">
                  <c:v>37969</c:v>
                </c:pt>
                <c:pt idx="765">
                  <c:v>37962</c:v>
                </c:pt>
                <c:pt idx="766">
                  <c:v>37955</c:v>
                </c:pt>
                <c:pt idx="767">
                  <c:v>37948</c:v>
                </c:pt>
                <c:pt idx="768">
                  <c:v>37941</c:v>
                </c:pt>
                <c:pt idx="769">
                  <c:v>37934</c:v>
                </c:pt>
                <c:pt idx="770">
                  <c:v>37927</c:v>
                </c:pt>
                <c:pt idx="771">
                  <c:v>37920</c:v>
                </c:pt>
                <c:pt idx="772">
                  <c:v>37913</c:v>
                </c:pt>
                <c:pt idx="773">
                  <c:v>37906</c:v>
                </c:pt>
                <c:pt idx="774">
                  <c:v>37899</c:v>
                </c:pt>
                <c:pt idx="775">
                  <c:v>37892</c:v>
                </c:pt>
                <c:pt idx="776">
                  <c:v>37885</c:v>
                </c:pt>
                <c:pt idx="777">
                  <c:v>37878</c:v>
                </c:pt>
                <c:pt idx="778">
                  <c:v>37871</c:v>
                </c:pt>
                <c:pt idx="779">
                  <c:v>37864</c:v>
                </c:pt>
                <c:pt idx="780">
                  <c:v>37857</c:v>
                </c:pt>
                <c:pt idx="781">
                  <c:v>37850</c:v>
                </c:pt>
                <c:pt idx="782">
                  <c:v>37843</c:v>
                </c:pt>
                <c:pt idx="783">
                  <c:v>37836</c:v>
                </c:pt>
                <c:pt idx="784">
                  <c:v>37829</c:v>
                </c:pt>
                <c:pt idx="785">
                  <c:v>37822</c:v>
                </c:pt>
                <c:pt idx="786">
                  <c:v>37815</c:v>
                </c:pt>
                <c:pt idx="787">
                  <c:v>37808</c:v>
                </c:pt>
                <c:pt idx="788">
                  <c:v>37801</c:v>
                </c:pt>
                <c:pt idx="789">
                  <c:v>37794</c:v>
                </c:pt>
                <c:pt idx="790">
                  <c:v>37787</c:v>
                </c:pt>
                <c:pt idx="791">
                  <c:v>37780</c:v>
                </c:pt>
                <c:pt idx="792">
                  <c:v>37773</c:v>
                </c:pt>
                <c:pt idx="793">
                  <c:v>37766</c:v>
                </c:pt>
                <c:pt idx="794">
                  <c:v>37759</c:v>
                </c:pt>
                <c:pt idx="795">
                  <c:v>37752</c:v>
                </c:pt>
                <c:pt idx="796">
                  <c:v>37745</c:v>
                </c:pt>
                <c:pt idx="797">
                  <c:v>37738</c:v>
                </c:pt>
                <c:pt idx="798">
                  <c:v>37731</c:v>
                </c:pt>
                <c:pt idx="799">
                  <c:v>37724</c:v>
                </c:pt>
                <c:pt idx="800">
                  <c:v>37717</c:v>
                </c:pt>
                <c:pt idx="801">
                  <c:v>37710</c:v>
                </c:pt>
                <c:pt idx="802">
                  <c:v>37703</c:v>
                </c:pt>
                <c:pt idx="803">
                  <c:v>37696</c:v>
                </c:pt>
                <c:pt idx="804">
                  <c:v>37689</c:v>
                </c:pt>
                <c:pt idx="805">
                  <c:v>37682</c:v>
                </c:pt>
                <c:pt idx="806">
                  <c:v>37675</c:v>
                </c:pt>
                <c:pt idx="807">
                  <c:v>37668</c:v>
                </c:pt>
                <c:pt idx="808">
                  <c:v>37661</c:v>
                </c:pt>
                <c:pt idx="809">
                  <c:v>37654</c:v>
                </c:pt>
                <c:pt idx="810">
                  <c:v>37647</c:v>
                </c:pt>
                <c:pt idx="811">
                  <c:v>37640</c:v>
                </c:pt>
                <c:pt idx="812">
                  <c:v>37633</c:v>
                </c:pt>
                <c:pt idx="813">
                  <c:v>37626</c:v>
                </c:pt>
                <c:pt idx="814">
                  <c:v>37619</c:v>
                </c:pt>
                <c:pt idx="815">
                  <c:v>37612</c:v>
                </c:pt>
                <c:pt idx="816">
                  <c:v>37605</c:v>
                </c:pt>
                <c:pt idx="817">
                  <c:v>37598</c:v>
                </c:pt>
                <c:pt idx="818">
                  <c:v>37591</c:v>
                </c:pt>
                <c:pt idx="819">
                  <c:v>37584</c:v>
                </c:pt>
                <c:pt idx="820">
                  <c:v>37577</c:v>
                </c:pt>
                <c:pt idx="821">
                  <c:v>37570</c:v>
                </c:pt>
                <c:pt idx="822">
                  <c:v>37563</c:v>
                </c:pt>
                <c:pt idx="823">
                  <c:v>37556</c:v>
                </c:pt>
                <c:pt idx="824">
                  <c:v>37549</c:v>
                </c:pt>
                <c:pt idx="825">
                  <c:v>37542</c:v>
                </c:pt>
                <c:pt idx="826">
                  <c:v>37535</c:v>
                </c:pt>
                <c:pt idx="827">
                  <c:v>37528</c:v>
                </c:pt>
                <c:pt idx="828">
                  <c:v>37521</c:v>
                </c:pt>
                <c:pt idx="829">
                  <c:v>37514</c:v>
                </c:pt>
                <c:pt idx="830">
                  <c:v>37507</c:v>
                </c:pt>
                <c:pt idx="831">
                  <c:v>37500</c:v>
                </c:pt>
                <c:pt idx="832">
                  <c:v>37493</c:v>
                </c:pt>
                <c:pt idx="833">
                  <c:v>37486</c:v>
                </c:pt>
                <c:pt idx="834">
                  <c:v>37479</c:v>
                </c:pt>
                <c:pt idx="835">
                  <c:v>37472</c:v>
                </c:pt>
                <c:pt idx="836">
                  <c:v>37465</c:v>
                </c:pt>
                <c:pt idx="837">
                  <c:v>37458</c:v>
                </c:pt>
                <c:pt idx="838">
                  <c:v>37451</c:v>
                </c:pt>
                <c:pt idx="839">
                  <c:v>37444</c:v>
                </c:pt>
                <c:pt idx="840">
                  <c:v>37437</c:v>
                </c:pt>
                <c:pt idx="841">
                  <c:v>37430</c:v>
                </c:pt>
                <c:pt idx="842">
                  <c:v>37423</c:v>
                </c:pt>
                <c:pt idx="843">
                  <c:v>37416</c:v>
                </c:pt>
                <c:pt idx="844">
                  <c:v>37409</c:v>
                </c:pt>
                <c:pt idx="845">
                  <c:v>37402</c:v>
                </c:pt>
                <c:pt idx="846">
                  <c:v>37395</c:v>
                </c:pt>
                <c:pt idx="847">
                  <c:v>37388</c:v>
                </c:pt>
                <c:pt idx="848">
                  <c:v>37381</c:v>
                </c:pt>
                <c:pt idx="849">
                  <c:v>37374</c:v>
                </c:pt>
                <c:pt idx="850">
                  <c:v>37367</c:v>
                </c:pt>
                <c:pt idx="851">
                  <c:v>37360</c:v>
                </c:pt>
                <c:pt idx="852">
                  <c:v>37353</c:v>
                </c:pt>
                <c:pt idx="853">
                  <c:v>37346</c:v>
                </c:pt>
                <c:pt idx="854">
                  <c:v>37339</c:v>
                </c:pt>
                <c:pt idx="855">
                  <c:v>37332</c:v>
                </c:pt>
                <c:pt idx="856">
                  <c:v>37325</c:v>
                </c:pt>
                <c:pt idx="857">
                  <c:v>37318</c:v>
                </c:pt>
                <c:pt idx="858">
                  <c:v>37311</c:v>
                </c:pt>
                <c:pt idx="859">
                  <c:v>37304</c:v>
                </c:pt>
                <c:pt idx="860">
                  <c:v>37297</c:v>
                </c:pt>
                <c:pt idx="861">
                  <c:v>37290</c:v>
                </c:pt>
                <c:pt idx="862">
                  <c:v>37283</c:v>
                </c:pt>
                <c:pt idx="863">
                  <c:v>37276</c:v>
                </c:pt>
                <c:pt idx="864">
                  <c:v>37269</c:v>
                </c:pt>
                <c:pt idx="865">
                  <c:v>37262</c:v>
                </c:pt>
                <c:pt idx="866">
                  <c:v>37255</c:v>
                </c:pt>
                <c:pt idx="867">
                  <c:v>37248</c:v>
                </c:pt>
                <c:pt idx="868">
                  <c:v>37241</c:v>
                </c:pt>
                <c:pt idx="869">
                  <c:v>37234</c:v>
                </c:pt>
                <c:pt idx="870">
                  <c:v>37227</c:v>
                </c:pt>
                <c:pt idx="871">
                  <c:v>37220</c:v>
                </c:pt>
                <c:pt idx="872">
                  <c:v>37213</c:v>
                </c:pt>
                <c:pt idx="873">
                  <c:v>37206</c:v>
                </c:pt>
                <c:pt idx="874">
                  <c:v>37199</c:v>
                </c:pt>
                <c:pt idx="875">
                  <c:v>37192</c:v>
                </c:pt>
                <c:pt idx="876">
                  <c:v>37185</c:v>
                </c:pt>
                <c:pt idx="877">
                  <c:v>37178</c:v>
                </c:pt>
                <c:pt idx="878">
                  <c:v>37171</c:v>
                </c:pt>
                <c:pt idx="879">
                  <c:v>37164</c:v>
                </c:pt>
                <c:pt idx="880">
                  <c:v>37157</c:v>
                </c:pt>
                <c:pt idx="881">
                  <c:v>37150</c:v>
                </c:pt>
                <c:pt idx="882">
                  <c:v>37143</c:v>
                </c:pt>
                <c:pt idx="883">
                  <c:v>37136</c:v>
                </c:pt>
                <c:pt idx="884">
                  <c:v>37129</c:v>
                </c:pt>
                <c:pt idx="885">
                  <c:v>37122</c:v>
                </c:pt>
                <c:pt idx="886">
                  <c:v>37115</c:v>
                </c:pt>
                <c:pt idx="887">
                  <c:v>37108</c:v>
                </c:pt>
                <c:pt idx="888">
                  <c:v>37101</c:v>
                </c:pt>
                <c:pt idx="889">
                  <c:v>37094</c:v>
                </c:pt>
                <c:pt idx="890">
                  <c:v>37087</c:v>
                </c:pt>
                <c:pt idx="891">
                  <c:v>37080</c:v>
                </c:pt>
                <c:pt idx="892">
                  <c:v>37073</c:v>
                </c:pt>
                <c:pt idx="893">
                  <c:v>37066</c:v>
                </c:pt>
                <c:pt idx="894">
                  <c:v>37059</c:v>
                </c:pt>
                <c:pt idx="895">
                  <c:v>37052</c:v>
                </c:pt>
                <c:pt idx="896">
                  <c:v>37045</c:v>
                </c:pt>
                <c:pt idx="897">
                  <c:v>37038</c:v>
                </c:pt>
                <c:pt idx="898">
                  <c:v>37031</c:v>
                </c:pt>
                <c:pt idx="899">
                  <c:v>37024</c:v>
                </c:pt>
                <c:pt idx="900">
                  <c:v>37017</c:v>
                </c:pt>
                <c:pt idx="901">
                  <c:v>37010</c:v>
                </c:pt>
                <c:pt idx="902">
                  <c:v>37003</c:v>
                </c:pt>
                <c:pt idx="903">
                  <c:v>36996</c:v>
                </c:pt>
                <c:pt idx="904">
                  <c:v>36989</c:v>
                </c:pt>
                <c:pt idx="905">
                  <c:v>36982</c:v>
                </c:pt>
                <c:pt idx="906">
                  <c:v>36975</c:v>
                </c:pt>
                <c:pt idx="907">
                  <c:v>36968</c:v>
                </c:pt>
                <c:pt idx="908">
                  <c:v>36961</c:v>
                </c:pt>
                <c:pt idx="909">
                  <c:v>36954</c:v>
                </c:pt>
                <c:pt idx="910">
                  <c:v>36947</c:v>
                </c:pt>
                <c:pt idx="911">
                  <c:v>36940</c:v>
                </c:pt>
                <c:pt idx="912">
                  <c:v>36933</c:v>
                </c:pt>
                <c:pt idx="913">
                  <c:v>36926</c:v>
                </c:pt>
                <c:pt idx="914">
                  <c:v>36919</c:v>
                </c:pt>
                <c:pt idx="915">
                  <c:v>36912</c:v>
                </c:pt>
                <c:pt idx="916">
                  <c:v>36905</c:v>
                </c:pt>
                <c:pt idx="917">
                  <c:v>36898</c:v>
                </c:pt>
                <c:pt idx="918">
                  <c:v>36891</c:v>
                </c:pt>
                <c:pt idx="919">
                  <c:v>36884</c:v>
                </c:pt>
                <c:pt idx="920">
                  <c:v>36877</c:v>
                </c:pt>
                <c:pt idx="921">
                  <c:v>36870</c:v>
                </c:pt>
                <c:pt idx="922">
                  <c:v>36863</c:v>
                </c:pt>
                <c:pt idx="923">
                  <c:v>36856</c:v>
                </c:pt>
                <c:pt idx="924">
                  <c:v>36849</c:v>
                </c:pt>
                <c:pt idx="925">
                  <c:v>36842</c:v>
                </c:pt>
                <c:pt idx="926">
                  <c:v>36835</c:v>
                </c:pt>
                <c:pt idx="927">
                  <c:v>36828</c:v>
                </c:pt>
                <c:pt idx="928">
                  <c:v>36821</c:v>
                </c:pt>
                <c:pt idx="929">
                  <c:v>36814</c:v>
                </c:pt>
                <c:pt idx="930">
                  <c:v>36807</c:v>
                </c:pt>
                <c:pt idx="931">
                  <c:v>36800</c:v>
                </c:pt>
                <c:pt idx="932">
                  <c:v>36793</c:v>
                </c:pt>
                <c:pt idx="933">
                  <c:v>36786</c:v>
                </c:pt>
                <c:pt idx="934">
                  <c:v>36779</c:v>
                </c:pt>
                <c:pt idx="935">
                  <c:v>36772</c:v>
                </c:pt>
                <c:pt idx="936">
                  <c:v>36765</c:v>
                </c:pt>
                <c:pt idx="937">
                  <c:v>36758</c:v>
                </c:pt>
                <c:pt idx="938">
                  <c:v>36751</c:v>
                </c:pt>
                <c:pt idx="939">
                  <c:v>36744</c:v>
                </c:pt>
                <c:pt idx="940">
                  <c:v>36737</c:v>
                </c:pt>
                <c:pt idx="941">
                  <c:v>36730</c:v>
                </c:pt>
                <c:pt idx="942">
                  <c:v>36723</c:v>
                </c:pt>
                <c:pt idx="943">
                  <c:v>36716</c:v>
                </c:pt>
                <c:pt idx="944">
                  <c:v>36709</c:v>
                </c:pt>
                <c:pt idx="945">
                  <c:v>36702</c:v>
                </c:pt>
                <c:pt idx="946">
                  <c:v>36695</c:v>
                </c:pt>
                <c:pt idx="947">
                  <c:v>36688</c:v>
                </c:pt>
                <c:pt idx="948">
                  <c:v>36681</c:v>
                </c:pt>
                <c:pt idx="949">
                  <c:v>36674</c:v>
                </c:pt>
                <c:pt idx="950">
                  <c:v>36667</c:v>
                </c:pt>
                <c:pt idx="951">
                  <c:v>36660</c:v>
                </c:pt>
                <c:pt idx="952">
                  <c:v>36653</c:v>
                </c:pt>
                <c:pt idx="953">
                  <c:v>36646</c:v>
                </c:pt>
                <c:pt idx="954">
                  <c:v>36639</c:v>
                </c:pt>
                <c:pt idx="955">
                  <c:v>36632</c:v>
                </c:pt>
                <c:pt idx="956">
                  <c:v>36625</c:v>
                </c:pt>
                <c:pt idx="957">
                  <c:v>36618</c:v>
                </c:pt>
                <c:pt idx="958">
                  <c:v>36611</c:v>
                </c:pt>
                <c:pt idx="959">
                  <c:v>36604</c:v>
                </c:pt>
                <c:pt idx="960">
                  <c:v>36597</c:v>
                </c:pt>
                <c:pt idx="961">
                  <c:v>36590</c:v>
                </c:pt>
                <c:pt idx="962">
                  <c:v>36583</c:v>
                </c:pt>
                <c:pt idx="963">
                  <c:v>36576</c:v>
                </c:pt>
                <c:pt idx="964">
                  <c:v>36569</c:v>
                </c:pt>
                <c:pt idx="965">
                  <c:v>36562</c:v>
                </c:pt>
                <c:pt idx="966">
                  <c:v>36555</c:v>
                </c:pt>
                <c:pt idx="967">
                  <c:v>36548</c:v>
                </c:pt>
                <c:pt idx="968">
                  <c:v>36541</c:v>
                </c:pt>
                <c:pt idx="969">
                  <c:v>36534</c:v>
                </c:pt>
                <c:pt idx="970">
                  <c:v>36527</c:v>
                </c:pt>
                <c:pt idx="971">
                  <c:v>36520</c:v>
                </c:pt>
                <c:pt idx="972">
                  <c:v>36513</c:v>
                </c:pt>
                <c:pt idx="973">
                  <c:v>36506</c:v>
                </c:pt>
                <c:pt idx="974">
                  <c:v>36499</c:v>
                </c:pt>
                <c:pt idx="975">
                  <c:v>36492</c:v>
                </c:pt>
                <c:pt idx="976">
                  <c:v>36485</c:v>
                </c:pt>
                <c:pt idx="977">
                  <c:v>36478</c:v>
                </c:pt>
                <c:pt idx="978">
                  <c:v>36471</c:v>
                </c:pt>
                <c:pt idx="979">
                  <c:v>36464</c:v>
                </c:pt>
                <c:pt idx="980">
                  <c:v>36457</c:v>
                </c:pt>
                <c:pt idx="981">
                  <c:v>36450</c:v>
                </c:pt>
                <c:pt idx="982">
                  <c:v>36443</c:v>
                </c:pt>
                <c:pt idx="983">
                  <c:v>36436</c:v>
                </c:pt>
                <c:pt idx="984">
                  <c:v>36429</c:v>
                </c:pt>
                <c:pt idx="985">
                  <c:v>36422</c:v>
                </c:pt>
                <c:pt idx="986">
                  <c:v>36415</c:v>
                </c:pt>
                <c:pt idx="987">
                  <c:v>36408</c:v>
                </c:pt>
                <c:pt idx="988">
                  <c:v>36401</c:v>
                </c:pt>
                <c:pt idx="989">
                  <c:v>36394</c:v>
                </c:pt>
                <c:pt idx="990">
                  <c:v>36387</c:v>
                </c:pt>
                <c:pt idx="991">
                  <c:v>36380</c:v>
                </c:pt>
                <c:pt idx="992">
                  <c:v>36373</c:v>
                </c:pt>
                <c:pt idx="993">
                  <c:v>36366</c:v>
                </c:pt>
                <c:pt idx="994">
                  <c:v>36359</c:v>
                </c:pt>
                <c:pt idx="995">
                  <c:v>36352</c:v>
                </c:pt>
                <c:pt idx="996">
                  <c:v>36345</c:v>
                </c:pt>
                <c:pt idx="997">
                  <c:v>36338</c:v>
                </c:pt>
                <c:pt idx="998">
                  <c:v>36331</c:v>
                </c:pt>
                <c:pt idx="999">
                  <c:v>36324</c:v>
                </c:pt>
                <c:pt idx="1000">
                  <c:v>36317</c:v>
                </c:pt>
                <c:pt idx="1001">
                  <c:v>36310</c:v>
                </c:pt>
                <c:pt idx="1002">
                  <c:v>36303</c:v>
                </c:pt>
                <c:pt idx="1003">
                  <c:v>36296</c:v>
                </c:pt>
                <c:pt idx="1004">
                  <c:v>36289</c:v>
                </c:pt>
                <c:pt idx="1005">
                  <c:v>36282</c:v>
                </c:pt>
                <c:pt idx="1006">
                  <c:v>36275</c:v>
                </c:pt>
                <c:pt idx="1007">
                  <c:v>36268</c:v>
                </c:pt>
                <c:pt idx="1008">
                  <c:v>36261</c:v>
                </c:pt>
                <c:pt idx="1009">
                  <c:v>36254</c:v>
                </c:pt>
                <c:pt idx="1010">
                  <c:v>36247</c:v>
                </c:pt>
                <c:pt idx="1011">
                  <c:v>36240</c:v>
                </c:pt>
                <c:pt idx="1012">
                  <c:v>36233</c:v>
                </c:pt>
                <c:pt idx="1013">
                  <c:v>36226</c:v>
                </c:pt>
                <c:pt idx="1014">
                  <c:v>36219</c:v>
                </c:pt>
                <c:pt idx="1015">
                  <c:v>36212</c:v>
                </c:pt>
                <c:pt idx="1016">
                  <c:v>36205</c:v>
                </c:pt>
                <c:pt idx="1017">
                  <c:v>36198</c:v>
                </c:pt>
                <c:pt idx="1018">
                  <c:v>36191</c:v>
                </c:pt>
                <c:pt idx="1019">
                  <c:v>36184</c:v>
                </c:pt>
                <c:pt idx="1020">
                  <c:v>36177</c:v>
                </c:pt>
                <c:pt idx="1021">
                  <c:v>36170</c:v>
                </c:pt>
                <c:pt idx="1022">
                  <c:v>36163</c:v>
                </c:pt>
                <c:pt idx="1023">
                  <c:v>36156</c:v>
                </c:pt>
                <c:pt idx="1024">
                  <c:v>36149</c:v>
                </c:pt>
                <c:pt idx="1025">
                  <c:v>36142</c:v>
                </c:pt>
                <c:pt idx="1026">
                  <c:v>36135</c:v>
                </c:pt>
                <c:pt idx="1027">
                  <c:v>36128</c:v>
                </c:pt>
                <c:pt idx="1028">
                  <c:v>36121</c:v>
                </c:pt>
                <c:pt idx="1029">
                  <c:v>36114</c:v>
                </c:pt>
                <c:pt idx="1030">
                  <c:v>36107</c:v>
                </c:pt>
                <c:pt idx="1031">
                  <c:v>36100</c:v>
                </c:pt>
                <c:pt idx="1032">
                  <c:v>36093</c:v>
                </c:pt>
                <c:pt idx="1033">
                  <c:v>36086</c:v>
                </c:pt>
                <c:pt idx="1034">
                  <c:v>36079</c:v>
                </c:pt>
                <c:pt idx="1035">
                  <c:v>36072</c:v>
                </c:pt>
                <c:pt idx="1036">
                  <c:v>36065</c:v>
                </c:pt>
                <c:pt idx="1037">
                  <c:v>36058</c:v>
                </c:pt>
                <c:pt idx="1038">
                  <c:v>36051</c:v>
                </c:pt>
                <c:pt idx="1039">
                  <c:v>36044</c:v>
                </c:pt>
                <c:pt idx="1040">
                  <c:v>36037</c:v>
                </c:pt>
                <c:pt idx="1041">
                  <c:v>36030</c:v>
                </c:pt>
                <c:pt idx="1042">
                  <c:v>36023</c:v>
                </c:pt>
                <c:pt idx="1043">
                  <c:v>36016</c:v>
                </c:pt>
                <c:pt idx="1044">
                  <c:v>36009</c:v>
                </c:pt>
                <c:pt idx="1045">
                  <c:v>36002</c:v>
                </c:pt>
                <c:pt idx="1046">
                  <c:v>35995</c:v>
                </c:pt>
                <c:pt idx="1047">
                  <c:v>35988</c:v>
                </c:pt>
                <c:pt idx="1048">
                  <c:v>35981</c:v>
                </c:pt>
                <c:pt idx="1049">
                  <c:v>35974</c:v>
                </c:pt>
                <c:pt idx="1050">
                  <c:v>35967</c:v>
                </c:pt>
                <c:pt idx="1051">
                  <c:v>35960</c:v>
                </c:pt>
                <c:pt idx="1052">
                  <c:v>35953</c:v>
                </c:pt>
                <c:pt idx="1053">
                  <c:v>35946</c:v>
                </c:pt>
                <c:pt idx="1054">
                  <c:v>35939</c:v>
                </c:pt>
                <c:pt idx="1055">
                  <c:v>35932</c:v>
                </c:pt>
                <c:pt idx="1056">
                  <c:v>35925</c:v>
                </c:pt>
                <c:pt idx="1057">
                  <c:v>35918</c:v>
                </c:pt>
                <c:pt idx="1058">
                  <c:v>35911</c:v>
                </c:pt>
                <c:pt idx="1059">
                  <c:v>35904</c:v>
                </c:pt>
                <c:pt idx="1060">
                  <c:v>35897</c:v>
                </c:pt>
                <c:pt idx="1061">
                  <c:v>35890</c:v>
                </c:pt>
                <c:pt idx="1062">
                  <c:v>35883</c:v>
                </c:pt>
                <c:pt idx="1063">
                  <c:v>35876</c:v>
                </c:pt>
                <c:pt idx="1064">
                  <c:v>35869</c:v>
                </c:pt>
                <c:pt idx="1065">
                  <c:v>35862</c:v>
                </c:pt>
                <c:pt idx="1066">
                  <c:v>35855</c:v>
                </c:pt>
                <c:pt idx="1067">
                  <c:v>35848</c:v>
                </c:pt>
                <c:pt idx="1068">
                  <c:v>35841</c:v>
                </c:pt>
                <c:pt idx="1069">
                  <c:v>35834</c:v>
                </c:pt>
                <c:pt idx="1070">
                  <c:v>35827</c:v>
                </c:pt>
                <c:pt idx="1071">
                  <c:v>35820</c:v>
                </c:pt>
                <c:pt idx="1072">
                  <c:v>35813</c:v>
                </c:pt>
                <c:pt idx="1073">
                  <c:v>35806</c:v>
                </c:pt>
                <c:pt idx="1074">
                  <c:v>35799</c:v>
                </c:pt>
                <c:pt idx="1075">
                  <c:v>35792</c:v>
                </c:pt>
                <c:pt idx="1076">
                  <c:v>35785</c:v>
                </c:pt>
                <c:pt idx="1077">
                  <c:v>35778</c:v>
                </c:pt>
                <c:pt idx="1078">
                  <c:v>35771</c:v>
                </c:pt>
                <c:pt idx="1079">
                  <c:v>35764</c:v>
                </c:pt>
                <c:pt idx="1080">
                  <c:v>35757</c:v>
                </c:pt>
                <c:pt idx="1081">
                  <c:v>35750</c:v>
                </c:pt>
                <c:pt idx="1082">
                  <c:v>35743</c:v>
                </c:pt>
                <c:pt idx="1083">
                  <c:v>35736</c:v>
                </c:pt>
                <c:pt idx="1084">
                  <c:v>35729</c:v>
                </c:pt>
                <c:pt idx="1085">
                  <c:v>35722</c:v>
                </c:pt>
                <c:pt idx="1086">
                  <c:v>35715</c:v>
                </c:pt>
                <c:pt idx="1087">
                  <c:v>35708</c:v>
                </c:pt>
                <c:pt idx="1088">
                  <c:v>35701</c:v>
                </c:pt>
                <c:pt idx="1089">
                  <c:v>35694</c:v>
                </c:pt>
                <c:pt idx="1090">
                  <c:v>35687</c:v>
                </c:pt>
                <c:pt idx="1091">
                  <c:v>35680</c:v>
                </c:pt>
                <c:pt idx="1092">
                  <c:v>35673</c:v>
                </c:pt>
                <c:pt idx="1093">
                  <c:v>35666</c:v>
                </c:pt>
                <c:pt idx="1094">
                  <c:v>35659</c:v>
                </c:pt>
                <c:pt idx="1095">
                  <c:v>35652</c:v>
                </c:pt>
                <c:pt idx="1096">
                  <c:v>35645</c:v>
                </c:pt>
                <c:pt idx="1097">
                  <c:v>35638</c:v>
                </c:pt>
                <c:pt idx="1098">
                  <c:v>35631</c:v>
                </c:pt>
                <c:pt idx="1099">
                  <c:v>35624</c:v>
                </c:pt>
                <c:pt idx="1100">
                  <c:v>35617</c:v>
                </c:pt>
                <c:pt idx="1101">
                  <c:v>35610</c:v>
                </c:pt>
                <c:pt idx="1102">
                  <c:v>35603</c:v>
                </c:pt>
                <c:pt idx="1103">
                  <c:v>35596</c:v>
                </c:pt>
                <c:pt idx="1104">
                  <c:v>35589</c:v>
                </c:pt>
                <c:pt idx="1105">
                  <c:v>35582</c:v>
                </c:pt>
                <c:pt idx="1106">
                  <c:v>35575</c:v>
                </c:pt>
                <c:pt idx="1107">
                  <c:v>35568</c:v>
                </c:pt>
                <c:pt idx="1108">
                  <c:v>35561</c:v>
                </c:pt>
                <c:pt idx="1109">
                  <c:v>35554</c:v>
                </c:pt>
                <c:pt idx="1110">
                  <c:v>35547</c:v>
                </c:pt>
                <c:pt idx="1111">
                  <c:v>35540</c:v>
                </c:pt>
                <c:pt idx="1112">
                  <c:v>35533</c:v>
                </c:pt>
                <c:pt idx="1113">
                  <c:v>35526</c:v>
                </c:pt>
                <c:pt idx="1114">
                  <c:v>35519</c:v>
                </c:pt>
                <c:pt idx="1115">
                  <c:v>35512</c:v>
                </c:pt>
                <c:pt idx="1116">
                  <c:v>35505</c:v>
                </c:pt>
                <c:pt idx="1117">
                  <c:v>35498</c:v>
                </c:pt>
                <c:pt idx="1118">
                  <c:v>35491</c:v>
                </c:pt>
                <c:pt idx="1119">
                  <c:v>35484</c:v>
                </c:pt>
                <c:pt idx="1120">
                  <c:v>35477</c:v>
                </c:pt>
                <c:pt idx="1121">
                  <c:v>35470</c:v>
                </c:pt>
                <c:pt idx="1122">
                  <c:v>35463</c:v>
                </c:pt>
                <c:pt idx="1123">
                  <c:v>35456</c:v>
                </c:pt>
                <c:pt idx="1124">
                  <c:v>35449</c:v>
                </c:pt>
                <c:pt idx="1125">
                  <c:v>35442</c:v>
                </c:pt>
                <c:pt idx="1126">
                  <c:v>35435</c:v>
                </c:pt>
                <c:pt idx="1127">
                  <c:v>35428</c:v>
                </c:pt>
                <c:pt idx="1128">
                  <c:v>35421</c:v>
                </c:pt>
                <c:pt idx="1129">
                  <c:v>35414</c:v>
                </c:pt>
                <c:pt idx="1130">
                  <c:v>35407</c:v>
                </c:pt>
                <c:pt idx="1131">
                  <c:v>35400</c:v>
                </c:pt>
                <c:pt idx="1132">
                  <c:v>35393</c:v>
                </c:pt>
                <c:pt idx="1133">
                  <c:v>35386</c:v>
                </c:pt>
                <c:pt idx="1134">
                  <c:v>35379</c:v>
                </c:pt>
                <c:pt idx="1135">
                  <c:v>35372</c:v>
                </c:pt>
                <c:pt idx="1136">
                  <c:v>35365</c:v>
                </c:pt>
                <c:pt idx="1137">
                  <c:v>35358</c:v>
                </c:pt>
                <c:pt idx="1138">
                  <c:v>35351</c:v>
                </c:pt>
                <c:pt idx="1139">
                  <c:v>35344</c:v>
                </c:pt>
                <c:pt idx="1140">
                  <c:v>35337</c:v>
                </c:pt>
                <c:pt idx="1141">
                  <c:v>35330</c:v>
                </c:pt>
                <c:pt idx="1142">
                  <c:v>35323</c:v>
                </c:pt>
                <c:pt idx="1143">
                  <c:v>35316</c:v>
                </c:pt>
                <c:pt idx="1144">
                  <c:v>35309</c:v>
                </c:pt>
                <c:pt idx="1145">
                  <c:v>35302</c:v>
                </c:pt>
                <c:pt idx="1146">
                  <c:v>35295</c:v>
                </c:pt>
                <c:pt idx="1147">
                  <c:v>35288</c:v>
                </c:pt>
                <c:pt idx="1148">
                  <c:v>35281</c:v>
                </c:pt>
                <c:pt idx="1149">
                  <c:v>35274</c:v>
                </c:pt>
                <c:pt idx="1150">
                  <c:v>35267</c:v>
                </c:pt>
                <c:pt idx="1151">
                  <c:v>35260</c:v>
                </c:pt>
                <c:pt idx="1152">
                  <c:v>35253</c:v>
                </c:pt>
                <c:pt idx="1153">
                  <c:v>35246</c:v>
                </c:pt>
                <c:pt idx="1154">
                  <c:v>35239</c:v>
                </c:pt>
                <c:pt idx="1155">
                  <c:v>35232</c:v>
                </c:pt>
                <c:pt idx="1156">
                  <c:v>35225</c:v>
                </c:pt>
                <c:pt idx="1157">
                  <c:v>35218</c:v>
                </c:pt>
                <c:pt idx="1158">
                  <c:v>35211</c:v>
                </c:pt>
                <c:pt idx="1159">
                  <c:v>35204</c:v>
                </c:pt>
                <c:pt idx="1160">
                  <c:v>35197</c:v>
                </c:pt>
                <c:pt idx="1161">
                  <c:v>35190</c:v>
                </c:pt>
                <c:pt idx="1162">
                  <c:v>35183</c:v>
                </c:pt>
                <c:pt idx="1163">
                  <c:v>35176</c:v>
                </c:pt>
                <c:pt idx="1164">
                  <c:v>35169</c:v>
                </c:pt>
                <c:pt idx="1165">
                  <c:v>35162</c:v>
                </c:pt>
                <c:pt idx="1166">
                  <c:v>35155</c:v>
                </c:pt>
                <c:pt idx="1167">
                  <c:v>35148</c:v>
                </c:pt>
                <c:pt idx="1168">
                  <c:v>35141</c:v>
                </c:pt>
                <c:pt idx="1169">
                  <c:v>35134</c:v>
                </c:pt>
                <c:pt idx="1170">
                  <c:v>35127</c:v>
                </c:pt>
                <c:pt idx="1171">
                  <c:v>35120</c:v>
                </c:pt>
                <c:pt idx="1172">
                  <c:v>35113</c:v>
                </c:pt>
                <c:pt idx="1173">
                  <c:v>35106</c:v>
                </c:pt>
                <c:pt idx="1174">
                  <c:v>35099</c:v>
                </c:pt>
                <c:pt idx="1175">
                  <c:v>35092</c:v>
                </c:pt>
                <c:pt idx="1176">
                  <c:v>35085</c:v>
                </c:pt>
                <c:pt idx="1177">
                  <c:v>35078</c:v>
                </c:pt>
                <c:pt idx="1178">
                  <c:v>35071</c:v>
                </c:pt>
                <c:pt idx="1179">
                  <c:v>35064</c:v>
                </c:pt>
                <c:pt idx="1180">
                  <c:v>35057</c:v>
                </c:pt>
                <c:pt idx="1181">
                  <c:v>35050</c:v>
                </c:pt>
                <c:pt idx="1182">
                  <c:v>35043</c:v>
                </c:pt>
                <c:pt idx="1183">
                  <c:v>35036</c:v>
                </c:pt>
                <c:pt idx="1184">
                  <c:v>35029</c:v>
                </c:pt>
                <c:pt idx="1185">
                  <c:v>35022</c:v>
                </c:pt>
                <c:pt idx="1186">
                  <c:v>35015</c:v>
                </c:pt>
                <c:pt idx="1187">
                  <c:v>35008</c:v>
                </c:pt>
                <c:pt idx="1188">
                  <c:v>35001</c:v>
                </c:pt>
                <c:pt idx="1189">
                  <c:v>34994</c:v>
                </c:pt>
                <c:pt idx="1190">
                  <c:v>34987</c:v>
                </c:pt>
                <c:pt idx="1191">
                  <c:v>34980</c:v>
                </c:pt>
                <c:pt idx="1192">
                  <c:v>34973</c:v>
                </c:pt>
                <c:pt idx="1193">
                  <c:v>34966</c:v>
                </c:pt>
                <c:pt idx="1194">
                  <c:v>34959</c:v>
                </c:pt>
                <c:pt idx="1195">
                  <c:v>34952</c:v>
                </c:pt>
                <c:pt idx="1196">
                  <c:v>34945</c:v>
                </c:pt>
                <c:pt idx="1197">
                  <c:v>34938</c:v>
                </c:pt>
                <c:pt idx="1198">
                  <c:v>34931</c:v>
                </c:pt>
                <c:pt idx="1199">
                  <c:v>34924</c:v>
                </c:pt>
                <c:pt idx="1200">
                  <c:v>34917</c:v>
                </c:pt>
                <c:pt idx="1201">
                  <c:v>34910</c:v>
                </c:pt>
                <c:pt idx="1202">
                  <c:v>34903</c:v>
                </c:pt>
                <c:pt idx="1203">
                  <c:v>34896</c:v>
                </c:pt>
                <c:pt idx="1204">
                  <c:v>34889</c:v>
                </c:pt>
                <c:pt idx="1205">
                  <c:v>34882</c:v>
                </c:pt>
                <c:pt idx="1206">
                  <c:v>34875</c:v>
                </c:pt>
                <c:pt idx="1207">
                  <c:v>34868</c:v>
                </c:pt>
                <c:pt idx="1208">
                  <c:v>34861</c:v>
                </c:pt>
                <c:pt idx="1209">
                  <c:v>34854</c:v>
                </c:pt>
                <c:pt idx="1210">
                  <c:v>34847</c:v>
                </c:pt>
                <c:pt idx="1211">
                  <c:v>34840</c:v>
                </c:pt>
                <c:pt idx="1212">
                  <c:v>34833</c:v>
                </c:pt>
                <c:pt idx="1213">
                  <c:v>34826</c:v>
                </c:pt>
                <c:pt idx="1214">
                  <c:v>34819</c:v>
                </c:pt>
                <c:pt idx="1215">
                  <c:v>34812</c:v>
                </c:pt>
                <c:pt idx="1216">
                  <c:v>34805</c:v>
                </c:pt>
                <c:pt idx="1217">
                  <c:v>34798</c:v>
                </c:pt>
                <c:pt idx="1218">
                  <c:v>34791</c:v>
                </c:pt>
                <c:pt idx="1219">
                  <c:v>34784</c:v>
                </c:pt>
                <c:pt idx="1220">
                  <c:v>34777</c:v>
                </c:pt>
                <c:pt idx="1221">
                  <c:v>34770</c:v>
                </c:pt>
                <c:pt idx="1222">
                  <c:v>34763</c:v>
                </c:pt>
                <c:pt idx="1223">
                  <c:v>34756</c:v>
                </c:pt>
                <c:pt idx="1224">
                  <c:v>34749</c:v>
                </c:pt>
                <c:pt idx="1225">
                  <c:v>34742</c:v>
                </c:pt>
                <c:pt idx="1226">
                  <c:v>34735</c:v>
                </c:pt>
                <c:pt idx="1227">
                  <c:v>34728</c:v>
                </c:pt>
                <c:pt idx="1228">
                  <c:v>34721</c:v>
                </c:pt>
                <c:pt idx="1229">
                  <c:v>34714</c:v>
                </c:pt>
                <c:pt idx="1230">
                  <c:v>34707</c:v>
                </c:pt>
                <c:pt idx="1231">
                  <c:v>34700</c:v>
                </c:pt>
                <c:pt idx="1232">
                  <c:v>34693</c:v>
                </c:pt>
                <c:pt idx="1233">
                  <c:v>34686</c:v>
                </c:pt>
                <c:pt idx="1234">
                  <c:v>34679</c:v>
                </c:pt>
                <c:pt idx="1235">
                  <c:v>34672</c:v>
                </c:pt>
                <c:pt idx="1236">
                  <c:v>34665</c:v>
                </c:pt>
                <c:pt idx="1237">
                  <c:v>34658</c:v>
                </c:pt>
                <c:pt idx="1238">
                  <c:v>34651</c:v>
                </c:pt>
                <c:pt idx="1239">
                  <c:v>34644</c:v>
                </c:pt>
                <c:pt idx="1240">
                  <c:v>34637</c:v>
                </c:pt>
                <c:pt idx="1241">
                  <c:v>34630</c:v>
                </c:pt>
                <c:pt idx="1242">
                  <c:v>34623</c:v>
                </c:pt>
                <c:pt idx="1243">
                  <c:v>34616</c:v>
                </c:pt>
                <c:pt idx="1244">
                  <c:v>34609</c:v>
                </c:pt>
                <c:pt idx="1245">
                  <c:v>34602</c:v>
                </c:pt>
              </c:numCache>
            </c:numRef>
          </c:cat>
          <c:val>
            <c:numRef>
              <c:f>Summary!$AH$4:$AH$1249</c:f>
              <c:numCache>
                <c:formatCode>_(* #,##0.00_);_(* \(#,##0.00\);_(* "-"??_);_(@_)</c:formatCode>
                <c:ptCount val="1246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77</c:v>
                </c:pt>
                <c:pt idx="4">
                  <c:v>77</c:v>
                </c:pt>
                <c:pt idx="5">
                  <c:v>78</c:v>
                </c:pt>
                <c:pt idx="6">
                  <c:v>82</c:v>
                </c:pt>
                <c:pt idx="7">
                  <c:v>84</c:v>
                </c:pt>
                <c:pt idx="8">
                  <c:v>86</c:v>
                </c:pt>
                <c:pt idx="9">
                  <c:v>87</c:v>
                </c:pt>
                <c:pt idx="10">
                  <c:v>86</c:v>
                </c:pt>
                <c:pt idx="11">
                  <c:v>84</c:v>
                </c:pt>
                <c:pt idx="12">
                  <c:v>80</c:v>
                </c:pt>
                <c:pt idx="13">
                  <c:v>77</c:v>
                </c:pt>
                <c:pt idx="14">
                  <c:v>74</c:v>
                </c:pt>
                <c:pt idx="15">
                  <c:v>72</c:v>
                </c:pt>
                <c:pt idx="16">
                  <c:v>72</c:v>
                </c:pt>
                <c:pt idx="17">
                  <c:v>71</c:v>
                </c:pt>
                <c:pt idx="18">
                  <c:v>75</c:v>
                </c:pt>
                <c:pt idx="19">
                  <c:v>78</c:v>
                </c:pt>
                <c:pt idx="20">
                  <c:v>79</c:v>
                </c:pt>
                <c:pt idx="21">
                  <c:v>78</c:v>
                </c:pt>
                <c:pt idx="22">
                  <c:v>75</c:v>
                </c:pt>
                <c:pt idx="23">
                  <c:v>71</c:v>
                </c:pt>
                <c:pt idx="24">
                  <c:v>71</c:v>
                </c:pt>
                <c:pt idx="25">
                  <c:v>75</c:v>
                </c:pt>
                <c:pt idx="26">
                  <c:v>82</c:v>
                </c:pt>
                <c:pt idx="27">
                  <c:v>85</c:v>
                </c:pt>
                <c:pt idx="28">
                  <c:v>86</c:v>
                </c:pt>
                <c:pt idx="29">
                  <c:v>82</c:v>
                </c:pt>
                <c:pt idx="30">
                  <c:v>78</c:v>
                </c:pt>
                <c:pt idx="31">
                  <c:v>75</c:v>
                </c:pt>
                <c:pt idx="32">
                  <c:v>75</c:v>
                </c:pt>
                <c:pt idx="33">
                  <c:v>77</c:v>
                </c:pt>
                <c:pt idx="34">
                  <c:v>82</c:v>
                </c:pt>
                <c:pt idx="35">
                  <c:v>86</c:v>
                </c:pt>
                <c:pt idx="36">
                  <c:v>88</c:v>
                </c:pt>
                <c:pt idx="37">
                  <c:v>87</c:v>
                </c:pt>
                <c:pt idx="38">
                  <c:v>83</c:v>
                </c:pt>
                <c:pt idx="39">
                  <c:v>78</c:v>
                </c:pt>
                <c:pt idx="40">
                  <c:v>73</c:v>
                </c:pt>
                <c:pt idx="41">
                  <c:v>71</c:v>
                </c:pt>
                <c:pt idx="42">
                  <c:v>71</c:v>
                </c:pt>
                <c:pt idx="43">
                  <c:v>73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77</c:v>
                </c:pt>
                <c:pt idx="48">
                  <c:v>77</c:v>
                </c:pt>
                <c:pt idx="49">
                  <c:v>76</c:v>
                </c:pt>
                <c:pt idx="50">
                  <c:v>77</c:v>
                </c:pt>
                <c:pt idx="51">
                  <c:v>79</c:v>
                </c:pt>
                <c:pt idx="52">
                  <c:v>82</c:v>
                </c:pt>
                <c:pt idx="53">
                  <c:v>81</c:v>
                </c:pt>
                <c:pt idx="54">
                  <c:v>81</c:v>
                </c:pt>
                <c:pt idx="55">
                  <c:v>81</c:v>
                </c:pt>
                <c:pt idx="56">
                  <c:v>83</c:v>
                </c:pt>
                <c:pt idx="57">
                  <c:v>85</c:v>
                </c:pt>
                <c:pt idx="58">
                  <c:v>88</c:v>
                </c:pt>
                <c:pt idx="59">
                  <c:v>89</c:v>
                </c:pt>
                <c:pt idx="60">
                  <c:v>91</c:v>
                </c:pt>
                <c:pt idx="61">
                  <c:v>91</c:v>
                </c:pt>
                <c:pt idx="62">
                  <c:v>91</c:v>
                </c:pt>
                <c:pt idx="63">
                  <c:v>89</c:v>
                </c:pt>
                <c:pt idx="64">
                  <c:v>88</c:v>
                </c:pt>
                <c:pt idx="65">
                  <c:v>87</c:v>
                </c:pt>
                <c:pt idx="66">
                  <c:v>85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88</c:v>
                </c:pt>
                <c:pt idx="72">
                  <c:v>90</c:v>
                </c:pt>
                <c:pt idx="73">
                  <c:v>92</c:v>
                </c:pt>
                <c:pt idx="74">
                  <c:v>94</c:v>
                </c:pt>
                <c:pt idx="75">
                  <c:v>97</c:v>
                </c:pt>
                <c:pt idx="76">
                  <c:v>99</c:v>
                </c:pt>
                <c:pt idx="77">
                  <c:v>98</c:v>
                </c:pt>
                <c:pt idx="78">
                  <c:v>95</c:v>
                </c:pt>
                <c:pt idx="79">
                  <c:v>91</c:v>
                </c:pt>
                <c:pt idx="80">
                  <c:v>91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93</c:v>
                </c:pt>
                <c:pt idx="85">
                  <c:v>92</c:v>
                </c:pt>
                <c:pt idx="86">
                  <c:v>88</c:v>
                </c:pt>
                <c:pt idx="87">
                  <c:v>84</c:v>
                </c:pt>
                <c:pt idx="88">
                  <c:v>81</c:v>
                </c:pt>
                <c:pt idx="89">
                  <c:v>78</c:v>
                </c:pt>
                <c:pt idx="90">
                  <c:v>78</c:v>
                </c:pt>
                <c:pt idx="91">
                  <c:v>80</c:v>
                </c:pt>
                <c:pt idx="92">
                  <c:v>83</c:v>
                </c:pt>
                <c:pt idx="93">
                  <c:v>85</c:v>
                </c:pt>
                <c:pt idx="94">
                  <c:v>86</c:v>
                </c:pt>
                <c:pt idx="95">
                  <c:v>87</c:v>
                </c:pt>
                <c:pt idx="96">
                  <c:v>86</c:v>
                </c:pt>
                <c:pt idx="97">
                  <c:v>83</c:v>
                </c:pt>
                <c:pt idx="98">
                  <c:v>82</c:v>
                </c:pt>
                <c:pt idx="99">
                  <c:v>83</c:v>
                </c:pt>
                <c:pt idx="100">
                  <c:v>85</c:v>
                </c:pt>
                <c:pt idx="101">
                  <c:v>87</c:v>
                </c:pt>
                <c:pt idx="102">
                  <c:v>89</c:v>
                </c:pt>
                <c:pt idx="103">
                  <c:v>90</c:v>
                </c:pt>
                <c:pt idx="104">
                  <c:v>89</c:v>
                </c:pt>
                <c:pt idx="105">
                  <c:v>86</c:v>
                </c:pt>
                <c:pt idx="106">
                  <c:v>83</c:v>
                </c:pt>
                <c:pt idx="107">
                  <c:v>79</c:v>
                </c:pt>
                <c:pt idx="108">
                  <c:v>72</c:v>
                </c:pt>
                <c:pt idx="109">
                  <c:v>68</c:v>
                </c:pt>
                <c:pt idx="110">
                  <c:v>67</c:v>
                </c:pt>
                <c:pt idx="111">
                  <c:v>70</c:v>
                </c:pt>
                <c:pt idx="112">
                  <c:v>73</c:v>
                </c:pt>
                <c:pt idx="113">
                  <c:v>77</c:v>
                </c:pt>
                <c:pt idx="114">
                  <c:v>78</c:v>
                </c:pt>
                <c:pt idx="115">
                  <c:v>77</c:v>
                </c:pt>
                <c:pt idx="116">
                  <c:v>75</c:v>
                </c:pt>
                <c:pt idx="117">
                  <c:v>74</c:v>
                </c:pt>
                <c:pt idx="118">
                  <c:v>74</c:v>
                </c:pt>
                <c:pt idx="119">
                  <c:v>78</c:v>
                </c:pt>
                <c:pt idx="120">
                  <c:v>83</c:v>
                </c:pt>
                <c:pt idx="121">
                  <c:v>86</c:v>
                </c:pt>
                <c:pt idx="122">
                  <c:v>87</c:v>
                </c:pt>
                <c:pt idx="123">
                  <c:v>83</c:v>
                </c:pt>
                <c:pt idx="124">
                  <c:v>78</c:v>
                </c:pt>
                <c:pt idx="125">
                  <c:v>72</c:v>
                </c:pt>
                <c:pt idx="126">
                  <c:v>69</c:v>
                </c:pt>
                <c:pt idx="127">
                  <c:v>66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64</c:v>
                </c:pt>
                <c:pt idx="132">
                  <c:v>62</c:v>
                </c:pt>
                <c:pt idx="133">
                  <c:v>65</c:v>
                </c:pt>
                <c:pt idx="134">
                  <c:v>71</c:v>
                </c:pt>
                <c:pt idx="135">
                  <c:v>75</c:v>
                </c:pt>
                <c:pt idx="136">
                  <c:v>75</c:v>
                </c:pt>
                <c:pt idx="137">
                  <c:v>77</c:v>
                </c:pt>
                <c:pt idx="138">
                  <c:v>81</c:v>
                </c:pt>
                <c:pt idx="139">
                  <c:v>86</c:v>
                </c:pt>
                <c:pt idx="140">
                  <c:v>86</c:v>
                </c:pt>
                <c:pt idx="141">
                  <c:v>88</c:v>
                </c:pt>
                <c:pt idx="142">
                  <c:v>90</c:v>
                </c:pt>
                <c:pt idx="143">
                  <c:v>92</c:v>
                </c:pt>
                <c:pt idx="144">
                  <c:v>91</c:v>
                </c:pt>
                <c:pt idx="145">
                  <c:v>89</c:v>
                </c:pt>
                <c:pt idx="146">
                  <c:v>86</c:v>
                </c:pt>
                <c:pt idx="147">
                  <c:v>82</c:v>
                </c:pt>
                <c:pt idx="148">
                  <c:v>79</c:v>
                </c:pt>
                <c:pt idx="149">
                  <c:v>77</c:v>
                </c:pt>
                <c:pt idx="150">
                  <c:v>76</c:v>
                </c:pt>
                <c:pt idx="151">
                  <c:v>76</c:v>
                </c:pt>
                <c:pt idx="152">
                  <c:v>76</c:v>
                </c:pt>
                <c:pt idx="153">
                  <c:v>83</c:v>
                </c:pt>
                <c:pt idx="154">
                  <c:v>88</c:v>
                </c:pt>
                <c:pt idx="155">
                  <c:v>93</c:v>
                </c:pt>
                <c:pt idx="156">
                  <c:v>91</c:v>
                </c:pt>
                <c:pt idx="157">
                  <c:v>91</c:v>
                </c:pt>
                <c:pt idx="158">
                  <c:v>88</c:v>
                </c:pt>
                <c:pt idx="159">
                  <c:v>86</c:v>
                </c:pt>
                <c:pt idx="160">
                  <c:v>83</c:v>
                </c:pt>
                <c:pt idx="161">
                  <c:v>82</c:v>
                </c:pt>
                <c:pt idx="162">
                  <c:v>82</c:v>
                </c:pt>
                <c:pt idx="163">
                  <c:v>84</c:v>
                </c:pt>
                <c:pt idx="164">
                  <c:v>86</c:v>
                </c:pt>
                <c:pt idx="165">
                  <c:v>88</c:v>
                </c:pt>
                <c:pt idx="166">
                  <c:v>89</c:v>
                </c:pt>
                <c:pt idx="167">
                  <c:v>90</c:v>
                </c:pt>
                <c:pt idx="168">
                  <c:v>91</c:v>
                </c:pt>
                <c:pt idx="169">
                  <c:v>93</c:v>
                </c:pt>
                <c:pt idx="170">
                  <c:v>93</c:v>
                </c:pt>
                <c:pt idx="171">
                  <c:v>92</c:v>
                </c:pt>
                <c:pt idx="172">
                  <c:v>89</c:v>
                </c:pt>
                <c:pt idx="173">
                  <c:v>90</c:v>
                </c:pt>
                <c:pt idx="174">
                  <c:v>92</c:v>
                </c:pt>
                <c:pt idx="175">
                  <c:v>96</c:v>
                </c:pt>
                <c:pt idx="176">
                  <c:v>98</c:v>
                </c:pt>
                <c:pt idx="177">
                  <c:v>99</c:v>
                </c:pt>
                <c:pt idx="178">
                  <c:v>98</c:v>
                </c:pt>
                <c:pt idx="179">
                  <c:v>96</c:v>
                </c:pt>
                <c:pt idx="180">
                  <c:v>92</c:v>
                </c:pt>
                <c:pt idx="181">
                  <c:v>89</c:v>
                </c:pt>
                <c:pt idx="182">
                  <c:v>89</c:v>
                </c:pt>
                <c:pt idx="183">
                  <c:v>90</c:v>
                </c:pt>
                <c:pt idx="184">
                  <c:v>92</c:v>
                </c:pt>
                <c:pt idx="185">
                  <c:v>90</c:v>
                </c:pt>
                <c:pt idx="186">
                  <c:v>89</c:v>
                </c:pt>
                <c:pt idx="187">
                  <c:v>87</c:v>
                </c:pt>
                <c:pt idx="188">
                  <c:v>87</c:v>
                </c:pt>
                <c:pt idx="189">
                  <c:v>90</c:v>
                </c:pt>
                <c:pt idx="190">
                  <c:v>95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95</c:v>
                </c:pt>
                <c:pt idx="197">
                  <c:v>91</c:v>
                </c:pt>
                <c:pt idx="198">
                  <c:v>90</c:v>
                </c:pt>
                <c:pt idx="199">
                  <c:v>93</c:v>
                </c:pt>
                <c:pt idx="200">
                  <c:v>96</c:v>
                </c:pt>
                <c:pt idx="201">
                  <c:v>97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97</c:v>
                </c:pt>
                <c:pt idx="206">
                  <c:v>95</c:v>
                </c:pt>
                <c:pt idx="207">
                  <c:v>93</c:v>
                </c:pt>
                <c:pt idx="208">
                  <c:v>94</c:v>
                </c:pt>
                <c:pt idx="209">
                  <c:v>95</c:v>
                </c:pt>
                <c:pt idx="210">
                  <c:v>96</c:v>
                </c:pt>
                <c:pt idx="211">
                  <c:v>97</c:v>
                </c:pt>
                <c:pt idx="212">
                  <c:v>97</c:v>
                </c:pt>
                <c:pt idx="213">
                  <c:v>98</c:v>
                </c:pt>
                <c:pt idx="214">
                  <c:v>97</c:v>
                </c:pt>
                <c:pt idx="215">
                  <c:v>96</c:v>
                </c:pt>
                <c:pt idx="216">
                  <c:v>95</c:v>
                </c:pt>
                <c:pt idx="217">
                  <c:v>93</c:v>
                </c:pt>
                <c:pt idx="218">
                  <c:v>91</c:v>
                </c:pt>
                <c:pt idx="219">
                  <c:v>92</c:v>
                </c:pt>
                <c:pt idx="220">
                  <c:v>94</c:v>
                </c:pt>
                <c:pt idx="221">
                  <c:v>94</c:v>
                </c:pt>
                <c:pt idx="222">
                  <c:v>92</c:v>
                </c:pt>
                <c:pt idx="223">
                  <c:v>88</c:v>
                </c:pt>
                <c:pt idx="224">
                  <c:v>87</c:v>
                </c:pt>
                <c:pt idx="225">
                  <c:v>85</c:v>
                </c:pt>
                <c:pt idx="226">
                  <c:v>85</c:v>
                </c:pt>
                <c:pt idx="227">
                  <c:v>84</c:v>
                </c:pt>
                <c:pt idx="228">
                  <c:v>85</c:v>
                </c:pt>
                <c:pt idx="229">
                  <c:v>86</c:v>
                </c:pt>
                <c:pt idx="230">
                  <c:v>88</c:v>
                </c:pt>
                <c:pt idx="231">
                  <c:v>89</c:v>
                </c:pt>
                <c:pt idx="232">
                  <c:v>88</c:v>
                </c:pt>
                <c:pt idx="233">
                  <c:v>85</c:v>
                </c:pt>
                <c:pt idx="234">
                  <c:v>81</c:v>
                </c:pt>
                <c:pt idx="235">
                  <c:v>79</c:v>
                </c:pt>
                <c:pt idx="236">
                  <c:v>79</c:v>
                </c:pt>
                <c:pt idx="237">
                  <c:v>80</c:v>
                </c:pt>
                <c:pt idx="238">
                  <c:v>83</c:v>
                </c:pt>
                <c:pt idx="239">
                  <c:v>88</c:v>
                </c:pt>
                <c:pt idx="240">
                  <c:v>92</c:v>
                </c:pt>
                <c:pt idx="241">
                  <c:v>94</c:v>
                </c:pt>
                <c:pt idx="242">
                  <c:v>94</c:v>
                </c:pt>
                <c:pt idx="243">
                  <c:v>93</c:v>
                </c:pt>
                <c:pt idx="244">
                  <c:v>89</c:v>
                </c:pt>
                <c:pt idx="245">
                  <c:v>86</c:v>
                </c:pt>
                <c:pt idx="246">
                  <c:v>85</c:v>
                </c:pt>
                <c:pt idx="247">
                  <c:v>87</c:v>
                </c:pt>
                <c:pt idx="248">
                  <c:v>91</c:v>
                </c:pt>
                <c:pt idx="249">
                  <c:v>94</c:v>
                </c:pt>
                <c:pt idx="250">
                  <c:v>95</c:v>
                </c:pt>
                <c:pt idx="251">
                  <c:v>95</c:v>
                </c:pt>
                <c:pt idx="252">
                  <c:v>94</c:v>
                </c:pt>
                <c:pt idx="253">
                  <c:v>92</c:v>
                </c:pt>
                <c:pt idx="254">
                  <c:v>90</c:v>
                </c:pt>
                <c:pt idx="255">
                  <c:v>90</c:v>
                </c:pt>
                <c:pt idx="256">
                  <c:v>91</c:v>
                </c:pt>
                <c:pt idx="257">
                  <c:v>93</c:v>
                </c:pt>
                <c:pt idx="258">
                  <c:v>95</c:v>
                </c:pt>
                <c:pt idx="259">
                  <c:v>95</c:v>
                </c:pt>
                <c:pt idx="260">
                  <c:v>94</c:v>
                </c:pt>
                <c:pt idx="261">
                  <c:v>92</c:v>
                </c:pt>
                <c:pt idx="262">
                  <c:v>89</c:v>
                </c:pt>
                <c:pt idx="263">
                  <c:v>88</c:v>
                </c:pt>
                <c:pt idx="264">
                  <c:v>86</c:v>
                </c:pt>
                <c:pt idx="265">
                  <c:v>84</c:v>
                </c:pt>
                <c:pt idx="266">
                  <c:v>84</c:v>
                </c:pt>
                <c:pt idx="267">
                  <c:v>87</c:v>
                </c:pt>
                <c:pt idx="268">
                  <c:v>92</c:v>
                </c:pt>
                <c:pt idx="269">
                  <c:v>97</c:v>
                </c:pt>
                <c:pt idx="270">
                  <c:v>100</c:v>
                </c:pt>
                <c:pt idx="271">
                  <c:v>100</c:v>
                </c:pt>
                <c:pt idx="272">
                  <c:v>99</c:v>
                </c:pt>
                <c:pt idx="273">
                  <c:v>98</c:v>
                </c:pt>
                <c:pt idx="274">
                  <c:v>99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99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95</c:v>
                </c:pt>
                <c:pt idx="292">
                  <c:v>89</c:v>
                </c:pt>
                <c:pt idx="293">
                  <c:v>89</c:v>
                </c:pt>
                <c:pt idx="294">
                  <c:v>88</c:v>
                </c:pt>
                <c:pt idx="295">
                  <c:v>88</c:v>
                </c:pt>
                <c:pt idx="296">
                  <c:v>87</c:v>
                </c:pt>
                <c:pt idx="297">
                  <c:v>86</c:v>
                </c:pt>
                <c:pt idx="298">
                  <c:v>87</c:v>
                </c:pt>
                <c:pt idx="299">
                  <c:v>87</c:v>
                </c:pt>
                <c:pt idx="300">
                  <c:v>87</c:v>
                </c:pt>
                <c:pt idx="301">
                  <c:v>89</c:v>
                </c:pt>
                <c:pt idx="302">
                  <c:v>92</c:v>
                </c:pt>
                <c:pt idx="303">
                  <c:v>94</c:v>
                </c:pt>
                <c:pt idx="304">
                  <c:v>95</c:v>
                </c:pt>
                <c:pt idx="305">
                  <c:v>95</c:v>
                </c:pt>
                <c:pt idx="306">
                  <c:v>95</c:v>
                </c:pt>
                <c:pt idx="307">
                  <c:v>94</c:v>
                </c:pt>
                <c:pt idx="308">
                  <c:v>96</c:v>
                </c:pt>
                <c:pt idx="309">
                  <c:v>98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96</c:v>
                </c:pt>
                <c:pt idx="339">
                  <c:v>94</c:v>
                </c:pt>
                <c:pt idx="340">
                  <c:v>91</c:v>
                </c:pt>
                <c:pt idx="341">
                  <c:v>92</c:v>
                </c:pt>
                <c:pt idx="342">
                  <c:v>90</c:v>
                </c:pt>
                <c:pt idx="343">
                  <c:v>87</c:v>
                </c:pt>
                <c:pt idx="344">
                  <c:v>81</c:v>
                </c:pt>
                <c:pt idx="345">
                  <c:v>77</c:v>
                </c:pt>
                <c:pt idx="346">
                  <c:v>74</c:v>
                </c:pt>
                <c:pt idx="347">
                  <c:v>71</c:v>
                </c:pt>
                <c:pt idx="348">
                  <c:v>73</c:v>
                </c:pt>
                <c:pt idx="349">
                  <c:v>75</c:v>
                </c:pt>
                <c:pt idx="350">
                  <c:v>77</c:v>
                </c:pt>
                <c:pt idx="351">
                  <c:v>75</c:v>
                </c:pt>
                <c:pt idx="352">
                  <c:v>68</c:v>
                </c:pt>
                <c:pt idx="353">
                  <c:v>63</c:v>
                </c:pt>
                <c:pt idx="354">
                  <c:v>56</c:v>
                </c:pt>
                <c:pt idx="355">
                  <c:v>52</c:v>
                </c:pt>
                <c:pt idx="356">
                  <c:v>50</c:v>
                </c:pt>
                <c:pt idx="357">
                  <c:v>54</c:v>
                </c:pt>
                <c:pt idx="358">
                  <c:v>55</c:v>
                </c:pt>
                <c:pt idx="359">
                  <c:v>56</c:v>
                </c:pt>
                <c:pt idx="360">
                  <c:v>55</c:v>
                </c:pt>
                <c:pt idx="361">
                  <c:v>56</c:v>
                </c:pt>
                <c:pt idx="362">
                  <c:v>59</c:v>
                </c:pt>
                <c:pt idx="363">
                  <c:v>63</c:v>
                </c:pt>
                <c:pt idx="364">
                  <c:v>74</c:v>
                </c:pt>
                <c:pt idx="365">
                  <c:v>83</c:v>
                </c:pt>
                <c:pt idx="366">
                  <c:v>91</c:v>
                </c:pt>
                <c:pt idx="367">
                  <c:v>95</c:v>
                </c:pt>
                <c:pt idx="368">
                  <c:v>96</c:v>
                </c:pt>
                <c:pt idx="369">
                  <c:v>96</c:v>
                </c:pt>
                <c:pt idx="370">
                  <c:v>94</c:v>
                </c:pt>
                <c:pt idx="371">
                  <c:v>93</c:v>
                </c:pt>
                <c:pt idx="372">
                  <c:v>92</c:v>
                </c:pt>
                <c:pt idx="373">
                  <c:v>94</c:v>
                </c:pt>
                <c:pt idx="374">
                  <c:v>95</c:v>
                </c:pt>
                <c:pt idx="375">
                  <c:v>98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98</c:v>
                </c:pt>
                <c:pt idx="387">
                  <c:v>96</c:v>
                </c:pt>
                <c:pt idx="388">
                  <c:v>94</c:v>
                </c:pt>
                <c:pt idx="389">
                  <c:v>94</c:v>
                </c:pt>
                <c:pt idx="390">
                  <c:v>91</c:v>
                </c:pt>
                <c:pt idx="391">
                  <c:v>90</c:v>
                </c:pt>
                <c:pt idx="392">
                  <c:v>90</c:v>
                </c:pt>
                <c:pt idx="393">
                  <c:v>91</c:v>
                </c:pt>
                <c:pt idx="394">
                  <c:v>90</c:v>
                </c:pt>
                <c:pt idx="395">
                  <c:v>88</c:v>
                </c:pt>
                <c:pt idx="396">
                  <c:v>87</c:v>
                </c:pt>
                <c:pt idx="397">
                  <c:v>85</c:v>
                </c:pt>
                <c:pt idx="398">
                  <c:v>85</c:v>
                </c:pt>
                <c:pt idx="399">
                  <c:v>84</c:v>
                </c:pt>
                <c:pt idx="400">
                  <c:v>85</c:v>
                </c:pt>
                <c:pt idx="401">
                  <c:v>85</c:v>
                </c:pt>
                <c:pt idx="402">
                  <c:v>86</c:v>
                </c:pt>
                <c:pt idx="403">
                  <c:v>86</c:v>
                </c:pt>
                <c:pt idx="404">
                  <c:v>87</c:v>
                </c:pt>
                <c:pt idx="405">
                  <c:v>88</c:v>
                </c:pt>
                <c:pt idx="406">
                  <c:v>89</c:v>
                </c:pt>
                <c:pt idx="407">
                  <c:v>89</c:v>
                </c:pt>
                <c:pt idx="408">
                  <c:v>89</c:v>
                </c:pt>
                <c:pt idx="409">
                  <c:v>89</c:v>
                </c:pt>
                <c:pt idx="410">
                  <c:v>88</c:v>
                </c:pt>
                <c:pt idx="411">
                  <c:v>88</c:v>
                </c:pt>
                <c:pt idx="412">
                  <c:v>88</c:v>
                </c:pt>
                <c:pt idx="413">
                  <c:v>90</c:v>
                </c:pt>
                <c:pt idx="414">
                  <c:v>92</c:v>
                </c:pt>
                <c:pt idx="415">
                  <c:v>95</c:v>
                </c:pt>
                <c:pt idx="416">
                  <c:v>97</c:v>
                </c:pt>
                <c:pt idx="417">
                  <c:v>97</c:v>
                </c:pt>
                <c:pt idx="418">
                  <c:v>94</c:v>
                </c:pt>
                <c:pt idx="419">
                  <c:v>92</c:v>
                </c:pt>
                <c:pt idx="420">
                  <c:v>88</c:v>
                </c:pt>
                <c:pt idx="421">
                  <c:v>84</c:v>
                </c:pt>
                <c:pt idx="422">
                  <c:v>80</c:v>
                </c:pt>
                <c:pt idx="423">
                  <c:v>75</c:v>
                </c:pt>
                <c:pt idx="424">
                  <c:v>68</c:v>
                </c:pt>
                <c:pt idx="425">
                  <c:v>62</c:v>
                </c:pt>
                <c:pt idx="426">
                  <c:v>58</c:v>
                </c:pt>
                <c:pt idx="427">
                  <c:v>62</c:v>
                </c:pt>
                <c:pt idx="428">
                  <c:v>64</c:v>
                </c:pt>
                <c:pt idx="429">
                  <c:v>74</c:v>
                </c:pt>
                <c:pt idx="430">
                  <c:v>82</c:v>
                </c:pt>
                <c:pt idx="431">
                  <c:v>90</c:v>
                </c:pt>
                <c:pt idx="432">
                  <c:v>92</c:v>
                </c:pt>
                <c:pt idx="433">
                  <c:v>93</c:v>
                </c:pt>
                <c:pt idx="434">
                  <c:v>93</c:v>
                </c:pt>
                <c:pt idx="435">
                  <c:v>92</c:v>
                </c:pt>
                <c:pt idx="436">
                  <c:v>91</c:v>
                </c:pt>
                <c:pt idx="437">
                  <c:v>89</c:v>
                </c:pt>
                <c:pt idx="438">
                  <c:v>85</c:v>
                </c:pt>
                <c:pt idx="439">
                  <c:v>81</c:v>
                </c:pt>
                <c:pt idx="440">
                  <c:v>78</c:v>
                </c:pt>
                <c:pt idx="441">
                  <c:v>77</c:v>
                </c:pt>
                <c:pt idx="442">
                  <c:v>78</c:v>
                </c:pt>
                <c:pt idx="443">
                  <c:v>79</c:v>
                </c:pt>
                <c:pt idx="444">
                  <c:v>85</c:v>
                </c:pt>
                <c:pt idx="445">
                  <c:v>90</c:v>
                </c:pt>
                <c:pt idx="446">
                  <c:v>94</c:v>
                </c:pt>
                <c:pt idx="447">
                  <c:v>97</c:v>
                </c:pt>
                <c:pt idx="448">
                  <c:v>99</c:v>
                </c:pt>
                <c:pt idx="449">
                  <c:v>98</c:v>
                </c:pt>
                <c:pt idx="450">
                  <c:v>94</c:v>
                </c:pt>
                <c:pt idx="451">
                  <c:v>88</c:v>
                </c:pt>
                <c:pt idx="452">
                  <c:v>84</c:v>
                </c:pt>
                <c:pt idx="453">
                  <c:v>82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82</c:v>
                </c:pt>
                <c:pt idx="458">
                  <c:v>80</c:v>
                </c:pt>
                <c:pt idx="459">
                  <c:v>76</c:v>
                </c:pt>
                <c:pt idx="460">
                  <c:v>70</c:v>
                </c:pt>
                <c:pt idx="461">
                  <c:v>67</c:v>
                </c:pt>
                <c:pt idx="462">
                  <c:v>66</c:v>
                </c:pt>
                <c:pt idx="463">
                  <c:v>69</c:v>
                </c:pt>
                <c:pt idx="464">
                  <c:v>71</c:v>
                </c:pt>
                <c:pt idx="465">
                  <c:v>78</c:v>
                </c:pt>
                <c:pt idx="466">
                  <c:v>82</c:v>
                </c:pt>
                <c:pt idx="467">
                  <c:v>85</c:v>
                </c:pt>
                <c:pt idx="468">
                  <c:v>81</c:v>
                </c:pt>
                <c:pt idx="469">
                  <c:v>72</c:v>
                </c:pt>
                <c:pt idx="470">
                  <c:v>62</c:v>
                </c:pt>
                <c:pt idx="471">
                  <c:v>52</c:v>
                </c:pt>
                <c:pt idx="472">
                  <c:v>46</c:v>
                </c:pt>
                <c:pt idx="473">
                  <c:v>39</c:v>
                </c:pt>
                <c:pt idx="474">
                  <c:v>37</c:v>
                </c:pt>
                <c:pt idx="475">
                  <c:v>37</c:v>
                </c:pt>
                <c:pt idx="476">
                  <c:v>41</c:v>
                </c:pt>
                <c:pt idx="477">
                  <c:v>43</c:v>
                </c:pt>
                <c:pt idx="478">
                  <c:v>44</c:v>
                </c:pt>
                <c:pt idx="479">
                  <c:v>45</c:v>
                </c:pt>
                <c:pt idx="480">
                  <c:v>46</c:v>
                </c:pt>
                <c:pt idx="481">
                  <c:v>48</c:v>
                </c:pt>
                <c:pt idx="482">
                  <c:v>48</c:v>
                </c:pt>
                <c:pt idx="483">
                  <c:v>47</c:v>
                </c:pt>
                <c:pt idx="484">
                  <c:v>43</c:v>
                </c:pt>
                <c:pt idx="485">
                  <c:v>35</c:v>
                </c:pt>
                <c:pt idx="486">
                  <c:v>23</c:v>
                </c:pt>
                <c:pt idx="487">
                  <c:v>10</c:v>
                </c:pt>
                <c:pt idx="488">
                  <c:v>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4</c:v>
                </c:pt>
                <c:pt idx="530">
                  <c:v>10</c:v>
                </c:pt>
                <c:pt idx="531">
                  <c:v>17</c:v>
                </c:pt>
                <c:pt idx="532">
                  <c:v>20</c:v>
                </c:pt>
                <c:pt idx="533">
                  <c:v>20</c:v>
                </c:pt>
                <c:pt idx="534">
                  <c:v>18</c:v>
                </c:pt>
                <c:pt idx="535">
                  <c:v>17</c:v>
                </c:pt>
                <c:pt idx="536">
                  <c:v>13</c:v>
                </c:pt>
                <c:pt idx="537">
                  <c:v>9</c:v>
                </c:pt>
                <c:pt idx="538">
                  <c:v>6</c:v>
                </c:pt>
                <c:pt idx="539">
                  <c:v>4</c:v>
                </c:pt>
                <c:pt idx="540">
                  <c:v>2</c:v>
                </c:pt>
                <c:pt idx="541">
                  <c:v>3</c:v>
                </c:pt>
                <c:pt idx="542">
                  <c:v>4</c:v>
                </c:pt>
                <c:pt idx="543">
                  <c:v>9</c:v>
                </c:pt>
                <c:pt idx="544">
                  <c:v>11</c:v>
                </c:pt>
                <c:pt idx="545">
                  <c:v>13</c:v>
                </c:pt>
                <c:pt idx="546">
                  <c:v>14</c:v>
                </c:pt>
                <c:pt idx="547">
                  <c:v>13</c:v>
                </c:pt>
                <c:pt idx="548">
                  <c:v>13</c:v>
                </c:pt>
                <c:pt idx="549">
                  <c:v>12</c:v>
                </c:pt>
                <c:pt idx="550">
                  <c:v>12</c:v>
                </c:pt>
                <c:pt idx="551">
                  <c:v>13</c:v>
                </c:pt>
                <c:pt idx="552">
                  <c:v>13</c:v>
                </c:pt>
                <c:pt idx="553">
                  <c:v>11</c:v>
                </c:pt>
                <c:pt idx="554">
                  <c:v>8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12</c:v>
                </c:pt>
                <c:pt idx="559">
                  <c:v>27</c:v>
                </c:pt>
                <c:pt idx="560">
                  <c:v>44</c:v>
                </c:pt>
                <c:pt idx="561">
                  <c:v>52</c:v>
                </c:pt>
                <c:pt idx="562">
                  <c:v>57</c:v>
                </c:pt>
                <c:pt idx="563">
                  <c:v>57</c:v>
                </c:pt>
                <c:pt idx="564">
                  <c:v>56</c:v>
                </c:pt>
                <c:pt idx="565">
                  <c:v>51</c:v>
                </c:pt>
                <c:pt idx="566">
                  <c:v>44</c:v>
                </c:pt>
                <c:pt idx="567">
                  <c:v>38</c:v>
                </c:pt>
                <c:pt idx="568">
                  <c:v>34</c:v>
                </c:pt>
                <c:pt idx="569">
                  <c:v>37</c:v>
                </c:pt>
                <c:pt idx="570">
                  <c:v>39</c:v>
                </c:pt>
                <c:pt idx="571">
                  <c:v>42</c:v>
                </c:pt>
                <c:pt idx="572">
                  <c:v>46</c:v>
                </c:pt>
                <c:pt idx="573">
                  <c:v>50</c:v>
                </c:pt>
                <c:pt idx="574">
                  <c:v>54</c:v>
                </c:pt>
                <c:pt idx="575">
                  <c:v>55</c:v>
                </c:pt>
                <c:pt idx="576">
                  <c:v>56</c:v>
                </c:pt>
                <c:pt idx="577">
                  <c:v>56</c:v>
                </c:pt>
                <c:pt idx="578">
                  <c:v>60</c:v>
                </c:pt>
                <c:pt idx="579">
                  <c:v>66</c:v>
                </c:pt>
                <c:pt idx="580">
                  <c:v>73</c:v>
                </c:pt>
                <c:pt idx="581">
                  <c:v>77</c:v>
                </c:pt>
                <c:pt idx="582">
                  <c:v>78</c:v>
                </c:pt>
                <c:pt idx="583">
                  <c:v>77</c:v>
                </c:pt>
                <c:pt idx="584">
                  <c:v>73</c:v>
                </c:pt>
                <c:pt idx="585">
                  <c:v>71</c:v>
                </c:pt>
                <c:pt idx="586">
                  <c:v>71</c:v>
                </c:pt>
                <c:pt idx="587">
                  <c:v>75</c:v>
                </c:pt>
                <c:pt idx="588">
                  <c:v>78</c:v>
                </c:pt>
                <c:pt idx="589">
                  <c:v>80</c:v>
                </c:pt>
                <c:pt idx="590">
                  <c:v>77</c:v>
                </c:pt>
                <c:pt idx="591">
                  <c:v>73</c:v>
                </c:pt>
                <c:pt idx="592">
                  <c:v>68</c:v>
                </c:pt>
                <c:pt idx="593">
                  <c:v>67</c:v>
                </c:pt>
                <c:pt idx="594">
                  <c:v>66</c:v>
                </c:pt>
                <c:pt idx="595">
                  <c:v>69</c:v>
                </c:pt>
                <c:pt idx="596">
                  <c:v>71</c:v>
                </c:pt>
                <c:pt idx="597">
                  <c:v>73</c:v>
                </c:pt>
                <c:pt idx="598">
                  <c:v>74</c:v>
                </c:pt>
                <c:pt idx="599">
                  <c:v>75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75</c:v>
                </c:pt>
                <c:pt idx="604">
                  <c:v>73</c:v>
                </c:pt>
                <c:pt idx="605">
                  <c:v>71</c:v>
                </c:pt>
                <c:pt idx="606">
                  <c:v>69</c:v>
                </c:pt>
                <c:pt idx="607">
                  <c:v>68</c:v>
                </c:pt>
                <c:pt idx="608">
                  <c:v>67</c:v>
                </c:pt>
                <c:pt idx="609">
                  <c:v>68</c:v>
                </c:pt>
                <c:pt idx="610">
                  <c:v>69</c:v>
                </c:pt>
                <c:pt idx="611">
                  <c:v>72</c:v>
                </c:pt>
                <c:pt idx="612">
                  <c:v>75</c:v>
                </c:pt>
                <c:pt idx="613">
                  <c:v>79</c:v>
                </c:pt>
                <c:pt idx="614">
                  <c:v>82</c:v>
                </c:pt>
                <c:pt idx="615">
                  <c:v>83</c:v>
                </c:pt>
                <c:pt idx="616">
                  <c:v>80</c:v>
                </c:pt>
                <c:pt idx="617">
                  <c:v>77</c:v>
                </c:pt>
                <c:pt idx="618">
                  <c:v>76</c:v>
                </c:pt>
                <c:pt idx="619">
                  <c:v>76</c:v>
                </c:pt>
                <c:pt idx="620">
                  <c:v>77</c:v>
                </c:pt>
                <c:pt idx="621">
                  <c:v>77</c:v>
                </c:pt>
                <c:pt idx="622">
                  <c:v>76</c:v>
                </c:pt>
                <c:pt idx="623">
                  <c:v>75</c:v>
                </c:pt>
                <c:pt idx="624">
                  <c:v>73</c:v>
                </c:pt>
                <c:pt idx="625">
                  <c:v>73</c:v>
                </c:pt>
                <c:pt idx="626">
                  <c:v>76</c:v>
                </c:pt>
                <c:pt idx="627">
                  <c:v>79</c:v>
                </c:pt>
                <c:pt idx="628">
                  <c:v>82</c:v>
                </c:pt>
                <c:pt idx="629">
                  <c:v>84</c:v>
                </c:pt>
                <c:pt idx="630">
                  <c:v>85</c:v>
                </c:pt>
                <c:pt idx="631">
                  <c:v>84</c:v>
                </c:pt>
                <c:pt idx="632">
                  <c:v>82</c:v>
                </c:pt>
                <c:pt idx="633">
                  <c:v>81</c:v>
                </c:pt>
                <c:pt idx="634">
                  <c:v>85</c:v>
                </c:pt>
                <c:pt idx="635">
                  <c:v>89</c:v>
                </c:pt>
                <c:pt idx="636">
                  <c:v>93</c:v>
                </c:pt>
                <c:pt idx="637">
                  <c:v>95</c:v>
                </c:pt>
                <c:pt idx="638">
                  <c:v>98</c:v>
                </c:pt>
                <c:pt idx="639">
                  <c:v>100</c:v>
                </c:pt>
                <c:pt idx="640">
                  <c:v>100</c:v>
                </c:pt>
                <c:pt idx="641">
                  <c:v>99</c:v>
                </c:pt>
                <c:pt idx="642">
                  <c:v>99</c:v>
                </c:pt>
                <c:pt idx="643">
                  <c:v>99</c:v>
                </c:pt>
                <c:pt idx="644">
                  <c:v>98</c:v>
                </c:pt>
                <c:pt idx="645">
                  <c:v>99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99</c:v>
                </c:pt>
                <c:pt idx="653">
                  <c:v>98</c:v>
                </c:pt>
                <c:pt idx="654">
                  <c:v>98</c:v>
                </c:pt>
                <c:pt idx="655">
                  <c:v>98</c:v>
                </c:pt>
                <c:pt idx="656">
                  <c:v>98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98</c:v>
                </c:pt>
                <c:pt idx="665">
                  <c:v>91</c:v>
                </c:pt>
                <c:pt idx="666">
                  <c:v>89</c:v>
                </c:pt>
                <c:pt idx="667">
                  <c:v>88</c:v>
                </c:pt>
                <c:pt idx="668">
                  <c:v>92</c:v>
                </c:pt>
                <c:pt idx="669">
                  <c:v>96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99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97</c:v>
                </c:pt>
                <c:pt idx="772">
                  <c:v>96</c:v>
                </c:pt>
                <c:pt idx="773">
                  <c:v>94</c:v>
                </c:pt>
                <c:pt idx="774">
                  <c:v>94</c:v>
                </c:pt>
                <c:pt idx="775">
                  <c:v>93</c:v>
                </c:pt>
                <c:pt idx="776">
                  <c:v>93</c:v>
                </c:pt>
                <c:pt idx="777">
                  <c:v>89</c:v>
                </c:pt>
                <c:pt idx="778">
                  <c:v>86</c:v>
                </c:pt>
                <c:pt idx="779">
                  <c:v>84</c:v>
                </c:pt>
                <c:pt idx="780">
                  <c:v>84</c:v>
                </c:pt>
                <c:pt idx="781">
                  <c:v>84</c:v>
                </c:pt>
                <c:pt idx="782">
                  <c:v>83</c:v>
                </c:pt>
                <c:pt idx="783">
                  <c:v>83</c:v>
                </c:pt>
                <c:pt idx="784">
                  <c:v>82</c:v>
                </c:pt>
                <c:pt idx="785">
                  <c:v>80</c:v>
                </c:pt>
                <c:pt idx="786">
                  <c:v>78</c:v>
                </c:pt>
                <c:pt idx="787">
                  <c:v>75</c:v>
                </c:pt>
                <c:pt idx="788">
                  <c:v>71</c:v>
                </c:pt>
                <c:pt idx="789">
                  <c:v>68</c:v>
                </c:pt>
                <c:pt idx="790">
                  <c:v>68</c:v>
                </c:pt>
                <c:pt idx="791">
                  <c:v>71</c:v>
                </c:pt>
                <c:pt idx="792">
                  <c:v>76</c:v>
                </c:pt>
                <c:pt idx="793">
                  <c:v>82</c:v>
                </c:pt>
                <c:pt idx="794">
                  <c:v>86</c:v>
                </c:pt>
                <c:pt idx="795">
                  <c:v>87</c:v>
                </c:pt>
                <c:pt idx="796">
                  <c:v>86</c:v>
                </c:pt>
                <c:pt idx="797">
                  <c:v>81</c:v>
                </c:pt>
                <c:pt idx="798">
                  <c:v>75</c:v>
                </c:pt>
                <c:pt idx="799">
                  <c:v>72</c:v>
                </c:pt>
                <c:pt idx="800">
                  <c:v>70</c:v>
                </c:pt>
                <c:pt idx="801">
                  <c:v>70</c:v>
                </c:pt>
                <c:pt idx="802">
                  <c:v>69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68</c:v>
                </c:pt>
                <c:pt idx="807">
                  <c:v>66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65</c:v>
                </c:pt>
                <c:pt idx="815">
                  <c:v>65</c:v>
                </c:pt>
                <c:pt idx="816">
                  <c:v>66</c:v>
                </c:pt>
                <c:pt idx="817">
                  <c:v>69</c:v>
                </c:pt>
                <c:pt idx="818">
                  <c:v>72</c:v>
                </c:pt>
                <c:pt idx="819">
                  <c:v>73</c:v>
                </c:pt>
                <c:pt idx="820">
                  <c:v>70</c:v>
                </c:pt>
                <c:pt idx="821">
                  <c:v>68</c:v>
                </c:pt>
                <c:pt idx="822">
                  <c:v>63</c:v>
                </c:pt>
                <c:pt idx="823">
                  <c:v>57</c:v>
                </c:pt>
                <c:pt idx="824">
                  <c:v>51</c:v>
                </c:pt>
                <c:pt idx="825">
                  <c:v>51</c:v>
                </c:pt>
                <c:pt idx="826">
                  <c:v>51</c:v>
                </c:pt>
                <c:pt idx="827">
                  <c:v>55</c:v>
                </c:pt>
                <c:pt idx="828">
                  <c:v>57</c:v>
                </c:pt>
                <c:pt idx="829">
                  <c:v>60</c:v>
                </c:pt>
                <c:pt idx="830">
                  <c:v>62</c:v>
                </c:pt>
                <c:pt idx="831">
                  <c:v>63</c:v>
                </c:pt>
                <c:pt idx="832">
                  <c:v>60</c:v>
                </c:pt>
                <c:pt idx="833">
                  <c:v>54</c:v>
                </c:pt>
                <c:pt idx="834">
                  <c:v>51</c:v>
                </c:pt>
                <c:pt idx="835">
                  <c:v>50</c:v>
                </c:pt>
                <c:pt idx="836">
                  <c:v>53</c:v>
                </c:pt>
                <c:pt idx="837">
                  <c:v>56</c:v>
                </c:pt>
                <c:pt idx="838">
                  <c:v>61</c:v>
                </c:pt>
                <c:pt idx="839">
                  <c:v>64</c:v>
                </c:pt>
                <c:pt idx="840">
                  <c:v>66</c:v>
                </c:pt>
                <c:pt idx="841">
                  <c:v>68</c:v>
                </c:pt>
                <c:pt idx="842">
                  <c:v>71</c:v>
                </c:pt>
                <c:pt idx="843">
                  <c:v>70</c:v>
                </c:pt>
                <c:pt idx="844">
                  <c:v>67</c:v>
                </c:pt>
                <c:pt idx="845">
                  <c:v>60</c:v>
                </c:pt>
                <c:pt idx="846">
                  <c:v>55</c:v>
                </c:pt>
                <c:pt idx="847">
                  <c:v>51</c:v>
                </c:pt>
                <c:pt idx="848">
                  <c:v>51</c:v>
                </c:pt>
                <c:pt idx="849">
                  <c:v>52</c:v>
                </c:pt>
                <c:pt idx="850">
                  <c:v>56</c:v>
                </c:pt>
                <c:pt idx="851">
                  <c:v>56</c:v>
                </c:pt>
                <c:pt idx="852">
                  <c:v>60</c:v>
                </c:pt>
                <c:pt idx="853">
                  <c:v>61</c:v>
                </c:pt>
                <c:pt idx="854">
                  <c:v>52</c:v>
                </c:pt>
                <c:pt idx="855">
                  <c:v>36</c:v>
                </c:pt>
                <c:pt idx="856">
                  <c:v>16</c:v>
                </c:pt>
                <c:pt idx="857">
                  <c:v>9</c:v>
                </c:pt>
                <c:pt idx="858">
                  <c:v>5</c:v>
                </c:pt>
                <c:pt idx="859">
                  <c:v>6</c:v>
                </c:pt>
                <c:pt idx="860">
                  <c:v>5</c:v>
                </c:pt>
                <c:pt idx="861">
                  <c:v>3</c:v>
                </c:pt>
                <c:pt idx="862">
                  <c:v>1</c:v>
                </c:pt>
                <c:pt idx="863">
                  <c:v>0</c:v>
                </c:pt>
                <c:pt idx="864">
                  <c:v>9</c:v>
                </c:pt>
                <c:pt idx="865">
                  <c:v>20</c:v>
                </c:pt>
                <c:pt idx="866">
                  <c:v>36</c:v>
                </c:pt>
                <c:pt idx="867">
                  <c:v>35</c:v>
                </c:pt>
                <c:pt idx="868">
                  <c:v>28</c:v>
                </c:pt>
                <c:pt idx="869">
                  <c:v>14</c:v>
                </c:pt>
                <c:pt idx="870">
                  <c:v>6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3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4</c:v>
                </c:pt>
                <c:pt idx="886">
                  <c:v>2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4</c:v>
                </c:pt>
                <c:pt idx="895">
                  <c:v>7</c:v>
                </c:pt>
                <c:pt idx="896">
                  <c:v>7</c:v>
                </c:pt>
                <c:pt idx="897">
                  <c:v>4</c:v>
                </c:pt>
                <c:pt idx="898">
                  <c:v>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4</c:v>
                </c:pt>
                <c:pt idx="909">
                  <c:v>9</c:v>
                </c:pt>
                <c:pt idx="910">
                  <c:v>14</c:v>
                </c:pt>
                <c:pt idx="911">
                  <c:v>14</c:v>
                </c:pt>
                <c:pt idx="912">
                  <c:v>13</c:v>
                </c:pt>
                <c:pt idx="913">
                  <c:v>10</c:v>
                </c:pt>
                <c:pt idx="914">
                  <c:v>6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3</c:v>
                </c:pt>
                <c:pt idx="924">
                  <c:v>5</c:v>
                </c:pt>
                <c:pt idx="925">
                  <c:v>18</c:v>
                </c:pt>
                <c:pt idx="926">
                  <c:v>27</c:v>
                </c:pt>
                <c:pt idx="927">
                  <c:v>37</c:v>
                </c:pt>
                <c:pt idx="928">
                  <c:v>28</c:v>
                </c:pt>
                <c:pt idx="929">
                  <c:v>20</c:v>
                </c:pt>
                <c:pt idx="930">
                  <c:v>11</c:v>
                </c:pt>
                <c:pt idx="931">
                  <c:v>20</c:v>
                </c:pt>
                <c:pt idx="932">
                  <c:v>30</c:v>
                </c:pt>
                <c:pt idx="933">
                  <c:v>40</c:v>
                </c:pt>
                <c:pt idx="934">
                  <c:v>46</c:v>
                </c:pt>
                <c:pt idx="935">
                  <c:v>49</c:v>
                </c:pt>
                <c:pt idx="936">
                  <c:v>52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52</c:v>
                </c:pt>
                <c:pt idx="941">
                  <c:v>52</c:v>
                </c:pt>
                <c:pt idx="942">
                  <c:v>53</c:v>
                </c:pt>
                <c:pt idx="943">
                  <c:v>55</c:v>
                </c:pt>
                <c:pt idx="944">
                  <c:v>55</c:v>
                </c:pt>
                <c:pt idx="945">
                  <c:v>54</c:v>
                </c:pt>
                <c:pt idx="946">
                  <c:v>50</c:v>
                </c:pt>
                <c:pt idx="947">
                  <c:v>47</c:v>
                </c:pt>
                <c:pt idx="948">
                  <c:v>46</c:v>
                </c:pt>
                <c:pt idx="949">
                  <c:v>46</c:v>
                </c:pt>
                <c:pt idx="950">
                  <c:v>48</c:v>
                </c:pt>
                <c:pt idx="951">
                  <c:v>50</c:v>
                </c:pt>
                <c:pt idx="952">
                  <c:v>51</c:v>
                </c:pt>
                <c:pt idx="953">
                  <c:v>54</c:v>
                </c:pt>
                <c:pt idx="954">
                  <c:v>57</c:v>
                </c:pt>
                <c:pt idx="955">
                  <c:v>61</c:v>
                </c:pt>
                <c:pt idx="956">
                  <c:v>59</c:v>
                </c:pt>
                <c:pt idx="957">
                  <c:v>57</c:v>
                </c:pt>
                <c:pt idx="958">
                  <c:v>54</c:v>
                </c:pt>
                <c:pt idx="959">
                  <c:v>51</c:v>
                </c:pt>
                <c:pt idx="960">
                  <c:v>50</c:v>
                </c:pt>
                <c:pt idx="961">
                  <c:v>52</c:v>
                </c:pt>
                <c:pt idx="962">
                  <c:v>57</c:v>
                </c:pt>
                <c:pt idx="963">
                  <c:v>59</c:v>
                </c:pt>
                <c:pt idx="964">
                  <c:v>60</c:v>
                </c:pt>
                <c:pt idx="965">
                  <c:v>59</c:v>
                </c:pt>
                <c:pt idx="966">
                  <c:v>58</c:v>
                </c:pt>
                <c:pt idx="967">
                  <c:v>55</c:v>
                </c:pt>
                <c:pt idx="968">
                  <c:v>54</c:v>
                </c:pt>
                <c:pt idx="969">
                  <c:v>55</c:v>
                </c:pt>
                <c:pt idx="970">
                  <c:v>58</c:v>
                </c:pt>
                <c:pt idx="971">
                  <c:v>62</c:v>
                </c:pt>
                <c:pt idx="972">
                  <c:v>65</c:v>
                </c:pt>
                <c:pt idx="973">
                  <c:v>67</c:v>
                </c:pt>
                <c:pt idx="974">
                  <c:v>66</c:v>
                </c:pt>
                <c:pt idx="975">
                  <c:v>63</c:v>
                </c:pt>
                <c:pt idx="976">
                  <c:v>58</c:v>
                </c:pt>
                <c:pt idx="977">
                  <c:v>54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52</c:v>
                </c:pt>
                <c:pt idx="982">
                  <c:v>53</c:v>
                </c:pt>
                <c:pt idx="983">
                  <c:v>55</c:v>
                </c:pt>
                <c:pt idx="984">
                  <c:v>56</c:v>
                </c:pt>
                <c:pt idx="985">
                  <c:v>54</c:v>
                </c:pt>
                <c:pt idx="986">
                  <c:v>50</c:v>
                </c:pt>
                <c:pt idx="987">
                  <c:v>48</c:v>
                </c:pt>
                <c:pt idx="988">
                  <c:v>48</c:v>
                </c:pt>
                <c:pt idx="989">
                  <c:v>52</c:v>
                </c:pt>
                <c:pt idx="990">
                  <c:v>57</c:v>
                </c:pt>
                <c:pt idx="991">
                  <c:v>65</c:v>
                </c:pt>
                <c:pt idx="992">
                  <c:v>68</c:v>
                </c:pt>
                <c:pt idx="993">
                  <c:v>69</c:v>
                </c:pt>
                <c:pt idx="994">
                  <c:v>65</c:v>
                </c:pt>
                <c:pt idx="995">
                  <c:v>61</c:v>
                </c:pt>
                <c:pt idx="996">
                  <c:v>57</c:v>
                </c:pt>
                <c:pt idx="997">
                  <c:v>55</c:v>
                </c:pt>
                <c:pt idx="998">
                  <c:v>54</c:v>
                </c:pt>
                <c:pt idx="999">
                  <c:v>55</c:v>
                </c:pt>
                <c:pt idx="1000">
                  <c:v>54</c:v>
                </c:pt>
                <c:pt idx="1001">
                  <c:v>54</c:v>
                </c:pt>
                <c:pt idx="1002">
                  <c:v>53</c:v>
                </c:pt>
                <c:pt idx="1003">
                  <c:v>54</c:v>
                </c:pt>
                <c:pt idx="1004">
                  <c:v>55</c:v>
                </c:pt>
                <c:pt idx="1005">
                  <c:v>57</c:v>
                </c:pt>
                <c:pt idx="1006">
                  <c:v>58</c:v>
                </c:pt>
                <c:pt idx="1007">
                  <c:v>58</c:v>
                </c:pt>
                <c:pt idx="1008">
                  <c:v>58</c:v>
                </c:pt>
                <c:pt idx="1009">
                  <c:v>58</c:v>
                </c:pt>
                <c:pt idx="1010">
                  <c:v>58</c:v>
                </c:pt>
                <c:pt idx="1011">
                  <c:v>58</c:v>
                </c:pt>
                <c:pt idx="1012">
                  <c:v>56</c:v>
                </c:pt>
                <c:pt idx="1013">
                  <c:v>52</c:v>
                </c:pt>
                <c:pt idx="1014">
                  <c:v>48</c:v>
                </c:pt>
                <c:pt idx="1015">
                  <c:v>46</c:v>
                </c:pt>
                <c:pt idx="1016">
                  <c:v>42</c:v>
                </c:pt>
                <c:pt idx="1017">
                  <c:v>40</c:v>
                </c:pt>
                <c:pt idx="1018">
                  <c:v>40</c:v>
                </c:pt>
                <c:pt idx="1019">
                  <c:v>44</c:v>
                </c:pt>
                <c:pt idx="1020">
                  <c:v>48</c:v>
                </c:pt>
                <c:pt idx="1021">
                  <c:v>49</c:v>
                </c:pt>
                <c:pt idx="1022">
                  <c:v>51</c:v>
                </c:pt>
                <c:pt idx="1023">
                  <c:v>53</c:v>
                </c:pt>
                <c:pt idx="1024">
                  <c:v>58</c:v>
                </c:pt>
                <c:pt idx="1025">
                  <c:v>61</c:v>
                </c:pt>
                <c:pt idx="1026">
                  <c:v>59</c:v>
                </c:pt>
                <c:pt idx="1027">
                  <c:v>55</c:v>
                </c:pt>
                <c:pt idx="1028">
                  <c:v>51</c:v>
                </c:pt>
                <c:pt idx="1029">
                  <c:v>47</c:v>
                </c:pt>
                <c:pt idx="1030">
                  <c:v>40</c:v>
                </c:pt>
                <c:pt idx="1031">
                  <c:v>34</c:v>
                </c:pt>
                <c:pt idx="1032">
                  <c:v>31</c:v>
                </c:pt>
                <c:pt idx="1033">
                  <c:v>30</c:v>
                </c:pt>
                <c:pt idx="1034">
                  <c:v>31</c:v>
                </c:pt>
                <c:pt idx="1035">
                  <c:v>31</c:v>
                </c:pt>
                <c:pt idx="1036">
                  <c:v>30</c:v>
                </c:pt>
                <c:pt idx="1037">
                  <c:v>32</c:v>
                </c:pt>
                <c:pt idx="1038">
                  <c:v>38</c:v>
                </c:pt>
                <c:pt idx="1039">
                  <c:v>43</c:v>
                </c:pt>
                <c:pt idx="1040">
                  <c:v>48</c:v>
                </c:pt>
                <c:pt idx="1041">
                  <c:v>50</c:v>
                </c:pt>
                <c:pt idx="1042">
                  <c:v>52</c:v>
                </c:pt>
                <c:pt idx="1043">
                  <c:v>55</c:v>
                </c:pt>
                <c:pt idx="1044">
                  <c:v>56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60</c:v>
                </c:pt>
                <c:pt idx="1050">
                  <c:v>61</c:v>
                </c:pt>
                <c:pt idx="1051">
                  <c:v>64</c:v>
                </c:pt>
                <c:pt idx="1052">
                  <c:v>64</c:v>
                </c:pt>
                <c:pt idx="1053">
                  <c:v>65</c:v>
                </c:pt>
                <c:pt idx="1054">
                  <c:v>64</c:v>
                </c:pt>
                <c:pt idx="1055">
                  <c:v>63</c:v>
                </c:pt>
                <c:pt idx="1056">
                  <c:v>63</c:v>
                </c:pt>
                <c:pt idx="1057">
                  <c:v>62</c:v>
                </c:pt>
                <c:pt idx="1058">
                  <c:v>63</c:v>
                </c:pt>
                <c:pt idx="1059">
                  <c:v>63</c:v>
                </c:pt>
                <c:pt idx="1060">
                  <c:v>66</c:v>
                </c:pt>
                <c:pt idx="1061">
                  <c:v>69</c:v>
                </c:pt>
                <c:pt idx="1062">
                  <c:v>72</c:v>
                </c:pt>
                <c:pt idx="1063">
                  <c:v>73</c:v>
                </c:pt>
                <c:pt idx="1064">
                  <c:v>74</c:v>
                </c:pt>
                <c:pt idx="1065">
                  <c:v>74</c:v>
                </c:pt>
                <c:pt idx="1066">
                  <c:v>73</c:v>
                </c:pt>
                <c:pt idx="1067">
                  <c:v>74</c:v>
                </c:pt>
                <c:pt idx="1068">
                  <c:v>75</c:v>
                </c:pt>
                <c:pt idx="1069">
                  <c:v>78</c:v>
                </c:pt>
                <c:pt idx="1070">
                  <c:v>78</c:v>
                </c:pt>
                <c:pt idx="1071">
                  <c:v>79</c:v>
                </c:pt>
                <c:pt idx="1072">
                  <c:v>77</c:v>
                </c:pt>
                <c:pt idx="1073">
                  <c:v>77</c:v>
                </c:pt>
                <c:pt idx="1074">
                  <c:v>75</c:v>
                </c:pt>
                <c:pt idx="1075">
                  <c:v>75</c:v>
                </c:pt>
                <c:pt idx="1076">
                  <c:v>72</c:v>
                </c:pt>
                <c:pt idx="1077">
                  <c:v>69</c:v>
                </c:pt>
                <c:pt idx="1078">
                  <c:v>62</c:v>
                </c:pt>
                <c:pt idx="1079">
                  <c:v>60</c:v>
                </c:pt>
                <c:pt idx="1080">
                  <c:v>60</c:v>
                </c:pt>
                <c:pt idx="1081">
                  <c:v>67</c:v>
                </c:pt>
                <c:pt idx="1082">
                  <c:v>73</c:v>
                </c:pt>
                <c:pt idx="1083">
                  <c:v>80</c:v>
                </c:pt>
                <c:pt idx="1084">
                  <c:v>79</c:v>
                </c:pt>
                <c:pt idx="1085">
                  <c:v>77</c:v>
                </c:pt>
                <c:pt idx="1086">
                  <c:v>72</c:v>
                </c:pt>
                <c:pt idx="1087">
                  <c:v>69</c:v>
                </c:pt>
                <c:pt idx="1088">
                  <c:v>67</c:v>
                </c:pt>
                <c:pt idx="1089">
                  <c:v>67</c:v>
                </c:pt>
                <c:pt idx="1090">
                  <c:v>70</c:v>
                </c:pt>
                <c:pt idx="1091">
                  <c:v>72</c:v>
                </c:pt>
                <c:pt idx="1092">
                  <c:v>74</c:v>
                </c:pt>
                <c:pt idx="1093">
                  <c:v>74</c:v>
                </c:pt>
                <c:pt idx="1094">
                  <c:v>75</c:v>
                </c:pt>
                <c:pt idx="1095">
                  <c:v>77</c:v>
                </c:pt>
                <c:pt idx="1096">
                  <c:v>80</c:v>
                </c:pt>
                <c:pt idx="1097">
                  <c:v>83</c:v>
                </c:pt>
                <c:pt idx="1098">
                  <c:v>85</c:v>
                </c:pt>
                <c:pt idx="1099">
                  <c:v>86</c:v>
                </c:pt>
                <c:pt idx="1100">
                  <c:v>87</c:v>
                </c:pt>
                <c:pt idx="1101">
                  <c:v>87</c:v>
                </c:pt>
                <c:pt idx="1102">
                  <c:v>85</c:v>
                </c:pt>
                <c:pt idx="1103">
                  <c:v>83</c:v>
                </c:pt>
                <c:pt idx="1104">
                  <c:v>79</c:v>
                </c:pt>
                <c:pt idx="1105">
                  <c:v>79</c:v>
                </c:pt>
                <c:pt idx="1106">
                  <c:v>81</c:v>
                </c:pt>
                <c:pt idx="1107">
                  <c:v>83</c:v>
                </c:pt>
                <c:pt idx="1108">
                  <c:v>86</c:v>
                </c:pt>
                <c:pt idx="1109">
                  <c:v>85</c:v>
                </c:pt>
                <c:pt idx="1110">
                  <c:v>85</c:v>
                </c:pt>
                <c:pt idx="1111">
                  <c:v>82</c:v>
                </c:pt>
                <c:pt idx="1112">
                  <c:v>81</c:v>
                </c:pt>
                <c:pt idx="1113">
                  <c:v>80</c:v>
                </c:pt>
                <c:pt idx="1114">
                  <c:v>81</c:v>
                </c:pt>
                <c:pt idx="1115">
                  <c:v>83</c:v>
                </c:pt>
                <c:pt idx="1116">
                  <c:v>84</c:v>
                </c:pt>
                <c:pt idx="1117">
                  <c:v>85</c:v>
                </c:pt>
                <c:pt idx="1118">
                  <c:v>85</c:v>
                </c:pt>
                <c:pt idx="1119">
                  <c:v>84</c:v>
                </c:pt>
                <c:pt idx="1120">
                  <c:v>83</c:v>
                </c:pt>
                <c:pt idx="1121">
                  <c:v>80</c:v>
                </c:pt>
                <c:pt idx="1122">
                  <c:v>78</c:v>
                </c:pt>
                <c:pt idx="1123">
                  <c:v>76</c:v>
                </c:pt>
                <c:pt idx="1124">
                  <c:v>75</c:v>
                </c:pt>
                <c:pt idx="1125">
                  <c:v>76</c:v>
                </c:pt>
                <c:pt idx="1126">
                  <c:v>76</c:v>
                </c:pt>
                <c:pt idx="1127">
                  <c:v>79</c:v>
                </c:pt>
                <c:pt idx="1128">
                  <c:v>83</c:v>
                </c:pt>
                <c:pt idx="1129">
                  <c:v>88</c:v>
                </c:pt>
                <c:pt idx="1130">
                  <c:v>91</c:v>
                </c:pt>
                <c:pt idx="1131">
                  <c:v>92</c:v>
                </c:pt>
                <c:pt idx="1132">
                  <c:v>91</c:v>
                </c:pt>
                <c:pt idx="1133">
                  <c:v>90</c:v>
                </c:pt>
                <c:pt idx="1134">
                  <c:v>91</c:v>
                </c:pt>
                <c:pt idx="1135">
                  <c:v>94</c:v>
                </c:pt>
                <c:pt idx="1136">
                  <c:v>96</c:v>
                </c:pt>
                <c:pt idx="1137">
                  <c:v>97</c:v>
                </c:pt>
                <c:pt idx="1138">
                  <c:v>97</c:v>
                </c:pt>
                <c:pt idx="1139">
                  <c:v>97</c:v>
                </c:pt>
                <c:pt idx="1140">
                  <c:v>97</c:v>
                </c:pt>
                <c:pt idx="1141">
                  <c:v>97</c:v>
                </c:pt>
                <c:pt idx="1142">
                  <c:v>98</c:v>
                </c:pt>
                <c:pt idx="1143">
                  <c:v>100</c:v>
                </c:pt>
                <c:pt idx="1144">
                  <c:v>100</c:v>
                </c:pt>
                <c:pt idx="1145">
                  <c:v>98</c:v>
                </c:pt>
                <c:pt idx="1146">
                  <c:v>97</c:v>
                </c:pt>
                <c:pt idx="1147">
                  <c:v>94</c:v>
                </c:pt>
                <c:pt idx="1148">
                  <c:v>92</c:v>
                </c:pt>
                <c:pt idx="1149">
                  <c:v>91</c:v>
                </c:pt>
                <c:pt idx="1150">
                  <c:v>91</c:v>
                </c:pt>
                <c:pt idx="1151">
                  <c:v>90</c:v>
                </c:pt>
                <c:pt idx="1152">
                  <c:v>88</c:v>
                </c:pt>
                <c:pt idx="1153">
                  <c:v>90</c:v>
                </c:pt>
                <c:pt idx="1154">
                  <c:v>94</c:v>
                </c:pt>
                <c:pt idx="1155">
                  <c:v>99</c:v>
                </c:pt>
                <c:pt idx="1156">
                  <c:v>100</c:v>
                </c:pt>
                <c:pt idx="1157">
                  <c:v>99</c:v>
                </c:pt>
                <c:pt idx="1158">
                  <c:v>94</c:v>
                </c:pt>
                <c:pt idx="1159">
                  <c:v>90</c:v>
                </c:pt>
                <c:pt idx="1160">
                  <c:v>84</c:v>
                </c:pt>
                <c:pt idx="1161">
                  <c:v>80</c:v>
                </c:pt>
                <c:pt idx="1162">
                  <c:v>78</c:v>
                </c:pt>
                <c:pt idx="1163">
                  <c:v>78</c:v>
                </c:pt>
                <c:pt idx="1164">
                  <c:v>79</c:v>
                </c:pt>
                <c:pt idx="1165">
                  <c:v>78</c:v>
                </c:pt>
                <c:pt idx="1166">
                  <c:v>75</c:v>
                </c:pt>
                <c:pt idx="1167">
                  <c:v>73</c:v>
                </c:pt>
                <c:pt idx="1168">
                  <c:v>72</c:v>
                </c:pt>
                <c:pt idx="1169">
                  <c:v>74</c:v>
                </c:pt>
                <c:pt idx="1170">
                  <c:v>77</c:v>
                </c:pt>
                <c:pt idx="1171">
                  <c:v>82</c:v>
                </c:pt>
                <c:pt idx="1172">
                  <c:v>86</c:v>
                </c:pt>
                <c:pt idx="1173">
                  <c:v>89</c:v>
                </c:pt>
                <c:pt idx="1174">
                  <c:v>91</c:v>
                </c:pt>
                <c:pt idx="1175">
                  <c:v>92</c:v>
                </c:pt>
                <c:pt idx="1176">
                  <c:v>93</c:v>
                </c:pt>
                <c:pt idx="1177">
                  <c:v>95</c:v>
                </c:pt>
                <c:pt idx="1178">
                  <c:v>96</c:v>
                </c:pt>
                <c:pt idx="1179">
                  <c:v>97</c:v>
                </c:pt>
                <c:pt idx="1180">
                  <c:v>97</c:v>
                </c:pt>
                <c:pt idx="1181">
                  <c:v>97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97</c:v>
                </c:pt>
                <c:pt idx="1186">
                  <c:v>95</c:v>
                </c:pt>
                <c:pt idx="1187">
                  <c:v>94</c:v>
                </c:pt>
                <c:pt idx="1188">
                  <c:v>94</c:v>
                </c:pt>
                <c:pt idx="1189">
                  <c:v>95</c:v>
                </c:pt>
                <c:pt idx="1190">
                  <c:v>97</c:v>
                </c:pt>
                <c:pt idx="1191">
                  <c:v>99</c:v>
                </c:pt>
                <c:pt idx="1192">
                  <c:v>100</c:v>
                </c:pt>
                <c:pt idx="1193">
                  <c:v>99</c:v>
                </c:pt>
                <c:pt idx="1194">
                  <c:v>99</c:v>
                </c:pt>
                <c:pt idx="1195">
                  <c:v>97</c:v>
                </c:pt>
                <c:pt idx="1196">
                  <c:v>93</c:v>
                </c:pt>
                <c:pt idx="1197">
                  <c:v>91</c:v>
                </c:pt>
                <c:pt idx="1198">
                  <c:v>89</c:v>
                </c:pt>
                <c:pt idx="1199">
                  <c:v>89</c:v>
                </c:pt>
                <c:pt idx="1200">
                  <c:v>88</c:v>
                </c:pt>
                <c:pt idx="1201">
                  <c:v>88</c:v>
                </c:pt>
                <c:pt idx="1202">
                  <c:v>87</c:v>
                </c:pt>
                <c:pt idx="1203">
                  <c:v>88</c:v>
                </c:pt>
                <c:pt idx="1204">
                  <c:v>90</c:v>
                </c:pt>
                <c:pt idx="1205">
                  <c:v>92</c:v>
                </c:pt>
                <c:pt idx="1206">
                  <c:v>95</c:v>
                </c:pt>
                <c:pt idx="1207">
                  <c:v>96</c:v>
                </c:pt>
                <c:pt idx="1208">
                  <c:v>99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3E-44FF-BD66-1D077A5B1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440448"/>
        <c:axId val="423822080"/>
      </c:lineChart>
      <c:dateAx>
        <c:axId val="370440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22080"/>
        <c:crosses val="autoZero"/>
        <c:auto val="1"/>
        <c:lblOffset val="100"/>
        <c:baseTimeUnit val="days"/>
      </c:dateAx>
      <c:valAx>
        <c:axId val="42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7"/>
          <c:order val="0"/>
          <c:tx>
            <c:strRef>
              <c:f>Summary!$V$2</c:f>
              <c:strCache>
                <c:ptCount val="1"/>
                <c:pt idx="0">
                  <c:v>LessVolVal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Summary!$A$4:$A$1249</c:f>
              <c:numCache>
                <c:formatCode>m/d/yyyy</c:formatCode>
                <c:ptCount val="1246"/>
                <c:pt idx="0">
                  <c:v>43317</c:v>
                </c:pt>
                <c:pt idx="1">
                  <c:v>43310</c:v>
                </c:pt>
                <c:pt idx="2">
                  <c:v>43303</c:v>
                </c:pt>
                <c:pt idx="3">
                  <c:v>43296</c:v>
                </c:pt>
                <c:pt idx="4">
                  <c:v>43289</c:v>
                </c:pt>
                <c:pt idx="5">
                  <c:v>43282</c:v>
                </c:pt>
                <c:pt idx="6">
                  <c:v>43275</c:v>
                </c:pt>
                <c:pt idx="7">
                  <c:v>43268</c:v>
                </c:pt>
                <c:pt idx="8">
                  <c:v>43261</c:v>
                </c:pt>
                <c:pt idx="9">
                  <c:v>43254</c:v>
                </c:pt>
                <c:pt idx="10">
                  <c:v>43247</c:v>
                </c:pt>
                <c:pt idx="11">
                  <c:v>43240</c:v>
                </c:pt>
                <c:pt idx="12">
                  <c:v>43233</c:v>
                </c:pt>
                <c:pt idx="13">
                  <c:v>43226</c:v>
                </c:pt>
                <c:pt idx="14">
                  <c:v>43219</c:v>
                </c:pt>
                <c:pt idx="15">
                  <c:v>43212</c:v>
                </c:pt>
                <c:pt idx="16">
                  <c:v>43205</c:v>
                </c:pt>
                <c:pt idx="17">
                  <c:v>43198</c:v>
                </c:pt>
                <c:pt idx="18">
                  <c:v>43191</c:v>
                </c:pt>
                <c:pt idx="19">
                  <c:v>43184</c:v>
                </c:pt>
                <c:pt idx="20">
                  <c:v>43177</c:v>
                </c:pt>
                <c:pt idx="21">
                  <c:v>43170</c:v>
                </c:pt>
                <c:pt idx="22">
                  <c:v>43163</c:v>
                </c:pt>
                <c:pt idx="23">
                  <c:v>43156</c:v>
                </c:pt>
                <c:pt idx="24">
                  <c:v>43149</c:v>
                </c:pt>
                <c:pt idx="25">
                  <c:v>43142</c:v>
                </c:pt>
                <c:pt idx="26">
                  <c:v>43135</c:v>
                </c:pt>
                <c:pt idx="27">
                  <c:v>43128</c:v>
                </c:pt>
                <c:pt idx="28">
                  <c:v>43121</c:v>
                </c:pt>
                <c:pt idx="29">
                  <c:v>43114</c:v>
                </c:pt>
                <c:pt idx="30">
                  <c:v>43107</c:v>
                </c:pt>
                <c:pt idx="31">
                  <c:v>43100</c:v>
                </c:pt>
                <c:pt idx="32">
                  <c:v>43093</c:v>
                </c:pt>
                <c:pt idx="33">
                  <c:v>43086</c:v>
                </c:pt>
                <c:pt idx="34">
                  <c:v>43079</c:v>
                </c:pt>
                <c:pt idx="35">
                  <c:v>43072</c:v>
                </c:pt>
                <c:pt idx="36">
                  <c:v>43065</c:v>
                </c:pt>
                <c:pt idx="37">
                  <c:v>43058</c:v>
                </c:pt>
                <c:pt idx="38">
                  <c:v>43051</c:v>
                </c:pt>
                <c:pt idx="39">
                  <c:v>43044</c:v>
                </c:pt>
                <c:pt idx="40">
                  <c:v>43037</c:v>
                </c:pt>
                <c:pt idx="41">
                  <c:v>43030</c:v>
                </c:pt>
                <c:pt idx="42">
                  <c:v>43023</c:v>
                </c:pt>
                <c:pt idx="43">
                  <c:v>43016</c:v>
                </c:pt>
                <c:pt idx="44">
                  <c:v>43009</c:v>
                </c:pt>
                <c:pt idx="45">
                  <c:v>43002</c:v>
                </c:pt>
                <c:pt idx="46">
                  <c:v>42995</c:v>
                </c:pt>
                <c:pt idx="47">
                  <c:v>42988</c:v>
                </c:pt>
                <c:pt idx="48">
                  <c:v>42981</c:v>
                </c:pt>
                <c:pt idx="49">
                  <c:v>42974</c:v>
                </c:pt>
                <c:pt idx="50">
                  <c:v>42967</c:v>
                </c:pt>
                <c:pt idx="51">
                  <c:v>42960</c:v>
                </c:pt>
                <c:pt idx="52">
                  <c:v>42953</c:v>
                </c:pt>
                <c:pt idx="53">
                  <c:v>42946</c:v>
                </c:pt>
                <c:pt idx="54">
                  <c:v>42939</c:v>
                </c:pt>
                <c:pt idx="55">
                  <c:v>42932</c:v>
                </c:pt>
                <c:pt idx="56">
                  <c:v>42925</c:v>
                </c:pt>
                <c:pt idx="57">
                  <c:v>42918</c:v>
                </c:pt>
                <c:pt idx="58">
                  <c:v>42911</c:v>
                </c:pt>
                <c:pt idx="59">
                  <c:v>42904</c:v>
                </c:pt>
                <c:pt idx="60">
                  <c:v>42897</c:v>
                </c:pt>
                <c:pt idx="61">
                  <c:v>42890</c:v>
                </c:pt>
                <c:pt idx="62">
                  <c:v>42883</c:v>
                </c:pt>
                <c:pt idx="63">
                  <c:v>42876</c:v>
                </c:pt>
                <c:pt idx="64">
                  <c:v>42869</c:v>
                </c:pt>
                <c:pt idx="65">
                  <c:v>42862</c:v>
                </c:pt>
                <c:pt idx="66">
                  <c:v>42855</c:v>
                </c:pt>
                <c:pt idx="67">
                  <c:v>42848</c:v>
                </c:pt>
                <c:pt idx="68">
                  <c:v>42841</c:v>
                </c:pt>
                <c:pt idx="69">
                  <c:v>42834</c:v>
                </c:pt>
                <c:pt idx="70">
                  <c:v>42827</c:v>
                </c:pt>
                <c:pt idx="71">
                  <c:v>42820</c:v>
                </c:pt>
                <c:pt idx="72">
                  <c:v>42813</c:v>
                </c:pt>
                <c:pt idx="73">
                  <c:v>42806</c:v>
                </c:pt>
                <c:pt idx="74">
                  <c:v>42799</c:v>
                </c:pt>
                <c:pt idx="75">
                  <c:v>42792</c:v>
                </c:pt>
                <c:pt idx="76">
                  <c:v>42785</c:v>
                </c:pt>
                <c:pt idx="77">
                  <c:v>42778</c:v>
                </c:pt>
                <c:pt idx="78">
                  <c:v>42771</c:v>
                </c:pt>
                <c:pt idx="79">
                  <c:v>42764</c:v>
                </c:pt>
                <c:pt idx="80">
                  <c:v>42757</c:v>
                </c:pt>
                <c:pt idx="81">
                  <c:v>42750</c:v>
                </c:pt>
                <c:pt idx="82">
                  <c:v>42743</c:v>
                </c:pt>
                <c:pt idx="83">
                  <c:v>42736</c:v>
                </c:pt>
                <c:pt idx="84">
                  <c:v>42729</c:v>
                </c:pt>
                <c:pt idx="85">
                  <c:v>42722</c:v>
                </c:pt>
                <c:pt idx="86">
                  <c:v>42715</c:v>
                </c:pt>
                <c:pt idx="87">
                  <c:v>42708</c:v>
                </c:pt>
                <c:pt idx="88">
                  <c:v>42701</c:v>
                </c:pt>
                <c:pt idx="89">
                  <c:v>42694</c:v>
                </c:pt>
                <c:pt idx="90">
                  <c:v>42687</c:v>
                </c:pt>
                <c:pt idx="91">
                  <c:v>42680</c:v>
                </c:pt>
                <c:pt idx="92">
                  <c:v>42673</c:v>
                </c:pt>
                <c:pt idx="93">
                  <c:v>42666</c:v>
                </c:pt>
                <c:pt idx="94">
                  <c:v>42659</c:v>
                </c:pt>
                <c:pt idx="95">
                  <c:v>42652</c:v>
                </c:pt>
                <c:pt idx="96">
                  <c:v>42645</c:v>
                </c:pt>
                <c:pt idx="97">
                  <c:v>42638</c:v>
                </c:pt>
                <c:pt idx="98">
                  <c:v>42631</c:v>
                </c:pt>
                <c:pt idx="99">
                  <c:v>42624</c:v>
                </c:pt>
                <c:pt idx="100">
                  <c:v>42617</c:v>
                </c:pt>
                <c:pt idx="101">
                  <c:v>42610</c:v>
                </c:pt>
                <c:pt idx="102">
                  <c:v>42603</c:v>
                </c:pt>
                <c:pt idx="103">
                  <c:v>42596</c:v>
                </c:pt>
                <c:pt idx="104">
                  <c:v>42589</c:v>
                </c:pt>
                <c:pt idx="105">
                  <c:v>42582</c:v>
                </c:pt>
                <c:pt idx="106">
                  <c:v>42575</c:v>
                </c:pt>
                <c:pt idx="107">
                  <c:v>42568</c:v>
                </c:pt>
                <c:pt idx="108">
                  <c:v>42561</c:v>
                </c:pt>
                <c:pt idx="109">
                  <c:v>42554</c:v>
                </c:pt>
                <c:pt idx="110">
                  <c:v>42547</c:v>
                </c:pt>
                <c:pt idx="111">
                  <c:v>42540</c:v>
                </c:pt>
                <c:pt idx="112">
                  <c:v>42533</c:v>
                </c:pt>
                <c:pt idx="113">
                  <c:v>42526</c:v>
                </c:pt>
                <c:pt idx="114">
                  <c:v>42519</c:v>
                </c:pt>
                <c:pt idx="115">
                  <c:v>42512</c:v>
                </c:pt>
                <c:pt idx="116">
                  <c:v>42505</c:v>
                </c:pt>
                <c:pt idx="117">
                  <c:v>42498</c:v>
                </c:pt>
                <c:pt idx="118">
                  <c:v>42491</c:v>
                </c:pt>
                <c:pt idx="119">
                  <c:v>42484</c:v>
                </c:pt>
                <c:pt idx="120">
                  <c:v>42477</c:v>
                </c:pt>
                <c:pt idx="121">
                  <c:v>42470</c:v>
                </c:pt>
                <c:pt idx="122">
                  <c:v>42463</c:v>
                </c:pt>
                <c:pt idx="123">
                  <c:v>42456</c:v>
                </c:pt>
                <c:pt idx="124">
                  <c:v>42449</c:v>
                </c:pt>
                <c:pt idx="125">
                  <c:v>42442</c:v>
                </c:pt>
                <c:pt idx="126">
                  <c:v>42435</c:v>
                </c:pt>
                <c:pt idx="127">
                  <c:v>42428</c:v>
                </c:pt>
                <c:pt idx="128">
                  <c:v>42421</c:v>
                </c:pt>
                <c:pt idx="129">
                  <c:v>42414</c:v>
                </c:pt>
                <c:pt idx="130">
                  <c:v>42407</c:v>
                </c:pt>
                <c:pt idx="131">
                  <c:v>42400</c:v>
                </c:pt>
                <c:pt idx="132">
                  <c:v>42393</c:v>
                </c:pt>
                <c:pt idx="133">
                  <c:v>42386</c:v>
                </c:pt>
                <c:pt idx="134">
                  <c:v>42379</c:v>
                </c:pt>
                <c:pt idx="135">
                  <c:v>42372</c:v>
                </c:pt>
                <c:pt idx="136">
                  <c:v>42365</c:v>
                </c:pt>
                <c:pt idx="137">
                  <c:v>42358</c:v>
                </c:pt>
                <c:pt idx="138">
                  <c:v>42351</c:v>
                </c:pt>
                <c:pt idx="139">
                  <c:v>42344</c:v>
                </c:pt>
                <c:pt idx="140">
                  <c:v>42337</c:v>
                </c:pt>
                <c:pt idx="141">
                  <c:v>42330</c:v>
                </c:pt>
                <c:pt idx="142">
                  <c:v>42323</c:v>
                </c:pt>
                <c:pt idx="143">
                  <c:v>42316</c:v>
                </c:pt>
                <c:pt idx="144">
                  <c:v>42309</c:v>
                </c:pt>
                <c:pt idx="145">
                  <c:v>42302</c:v>
                </c:pt>
                <c:pt idx="146">
                  <c:v>42295</c:v>
                </c:pt>
                <c:pt idx="147">
                  <c:v>42288</c:v>
                </c:pt>
                <c:pt idx="148">
                  <c:v>42281</c:v>
                </c:pt>
                <c:pt idx="149">
                  <c:v>42274</c:v>
                </c:pt>
                <c:pt idx="150">
                  <c:v>42267</c:v>
                </c:pt>
                <c:pt idx="151">
                  <c:v>42260</c:v>
                </c:pt>
                <c:pt idx="152">
                  <c:v>42253</c:v>
                </c:pt>
                <c:pt idx="153">
                  <c:v>42246</c:v>
                </c:pt>
                <c:pt idx="154">
                  <c:v>42239</c:v>
                </c:pt>
                <c:pt idx="155">
                  <c:v>42232</c:v>
                </c:pt>
                <c:pt idx="156">
                  <c:v>42225</c:v>
                </c:pt>
                <c:pt idx="157">
                  <c:v>42218</c:v>
                </c:pt>
                <c:pt idx="158">
                  <c:v>42211</c:v>
                </c:pt>
                <c:pt idx="159">
                  <c:v>42204</c:v>
                </c:pt>
                <c:pt idx="160">
                  <c:v>42197</c:v>
                </c:pt>
                <c:pt idx="161">
                  <c:v>42190</c:v>
                </c:pt>
                <c:pt idx="162">
                  <c:v>42183</c:v>
                </c:pt>
                <c:pt idx="163">
                  <c:v>42176</c:v>
                </c:pt>
                <c:pt idx="164">
                  <c:v>42169</c:v>
                </c:pt>
                <c:pt idx="165">
                  <c:v>42162</c:v>
                </c:pt>
                <c:pt idx="166">
                  <c:v>42155</c:v>
                </c:pt>
                <c:pt idx="167">
                  <c:v>42148</c:v>
                </c:pt>
                <c:pt idx="168">
                  <c:v>42141</c:v>
                </c:pt>
                <c:pt idx="169">
                  <c:v>42134</c:v>
                </c:pt>
                <c:pt idx="170">
                  <c:v>42127</c:v>
                </c:pt>
                <c:pt idx="171">
                  <c:v>42120</c:v>
                </c:pt>
                <c:pt idx="172">
                  <c:v>42113</c:v>
                </c:pt>
                <c:pt idx="173">
                  <c:v>42106</c:v>
                </c:pt>
                <c:pt idx="174">
                  <c:v>42099</c:v>
                </c:pt>
                <c:pt idx="175">
                  <c:v>42092</c:v>
                </c:pt>
                <c:pt idx="176">
                  <c:v>42085</c:v>
                </c:pt>
                <c:pt idx="177">
                  <c:v>42078</c:v>
                </c:pt>
                <c:pt idx="178">
                  <c:v>42071</c:v>
                </c:pt>
                <c:pt idx="179">
                  <c:v>42064</c:v>
                </c:pt>
                <c:pt idx="180">
                  <c:v>42057</c:v>
                </c:pt>
                <c:pt idx="181">
                  <c:v>42050</c:v>
                </c:pt>
                <c:pt idx="182">
                  <c:v>42043</c:v>
                </c:pt>
                <c:pt idx="183">
                  <c:v>42036</c:v>
                </c:pt>
                <c:pt idx="184">
                  <c:v>42029</c:v>
                </c:pt>
                <c:pt idx="185">
                  <c:v>42022</c:v>
                </c:pt>
                <c:pt idx="186">
                  <c:v>42015</c:v>
                </c:pt>
                <c:pt idx="187">
                  <c:v>42008</c:v>
                </c:pt>
                <c:pt idx="188">
                  <c:v>42001</c:v>
                </c:pt>
                <c:pt idx="189">
                  <c:v>41994</c:v>
                </c:pt>
                <c:pt idx="190">
                  <c:v>41987</c:v>
                </c:pt>
                <c:pt idx="191">
                  <c:v>41980</c:v>
                </c:pt>
                <c:pt idx="192">
                  <c:v>41973</c:v>
                </c:pt>
                <c:pt idx="193">
                  <c:v>41966</c:v>
                </c:pt>
                <c:pt idx="194">
                  <c:v>41959</c:v>
                </c:pt>
                <c:pt idx="195">
                  <c:v>41952</c:v>
                </c:pt>
                <c:pt idx="196">
                  <c:v>41945</c:v>
                </c:pt>
                <c:pt idx="197">
                  <c:v>41938</c:v>
                </c:pt>
                <c:pt idx="198">
                  <c:v>41931</c:v>
                </c:pt>
                <c:pt idx="199">
                  <c:v>41924</c:v>
                </c:pt>
                <c:pt idx="200">
                  <c:v>41917</c:v>
                </c:pt>
                <c:pt idx="201">
                  <c:v>41910</c:v>
                </c:pt>
                <c:pt idx="202">
                  <c:v>41903</c:v>
                </c:pt>
                <c:pt idx="203">
                  <c:v>41896</c:v>
                </c:pt>
                <c:pt idx="204">
                  <c:v>41889</c:v>
                </c:pt>
                <c:pt idx="205">
                  <c:v>41882</c:v>
                </c:pt>
                <c:pt idx="206">
                  <c:v>41875</c:v>
                </c:pt>
                <c:pt idx="207">
                  <c:v>41868</c:v>
                </c:pt>
                <c:pt idx="208">
                  <c:v>41861</c:v>
                </c:pt>
                <c:pt idx="209">
                  <c:v>41854</c:v>
                </c:pt>
                <c:pt idx="210">
                  <c:v>41847</c:v>
                </c:pt>
                <c:pt idx="211">
                  <c:v>41840</c:v>
                </c:pt>
                <c:pt idx="212">
                  <c:v>41833</c:v>
                </c:pt>
                <c:pt idx="213">
                  <c:v>41826</c:v>
                </c:pt>
                <c:pt idx="214">
                  <c:v>41819</c:v>
                </c:pt>
                <c:pt idx="215">
                  <c:v>41812</c:v>
                </c:pt>
                <c:pt idx="216">
                  <c:v>41805</c:v>
                </c:pt>
                <c:pt idx="217">
                  <c:v>41798</c:v>
                </c:pt>
                <c:pt idx="218">
                  <c:v>41791</c:v>
                </c:pt>
                <c:pt idx="219">
                  <c:v>41784</c:v>
                </c:pt>
                <c:pt idx="220">
                  <c:v>41777</c:v>
                </c:pt>
                <c:pt idx="221">
                  <c:v>41770</c:v>
                </c:pt>
                <c:pt idx="222">
                  <c:v>41763</c:v>
                </c:pt>
                <c:pt idx="223">
                  <c:v>41756</c:v>
                </c:pt>
                <c:pt idx="224">
                  <c:v>41749</c:v>
                </c:pt>
                <c:pt idx="225">
                  <c:v>41742</c:v>
                </c:pt>
                <c:pt idx="226">
                  <c:v>41735</c:v>
                </c:pt>
                <c:pt idx="227">
                  <c:v>41728</c:v>
                </c:pt>
                <c:pt idx="228">
                  <c:v>41721</c:v>
                </c:pt>
                <c:pt idx="229">
                  <c:v>41714</c:v>
                </c:pt>
                <c:pt idx="230">
                  <c:v>41707</c:v>
                </c:pt>
                <c:pt idx="231">
                  <c:v>41700</c:v>
                </c:pt>
                <c:pt idx="232">
                  <c:v>41693</c:v>
                </c:pt>
                <c:pt idx="233">
                  <c:v>41686</c:v>
                </c:pt>
                <c:pt idx="234">
                  <c:v>41679</c:v>
                </c:pt>
                <c:pt idx="235">
                  <c:v>41672</c:v>
                </c:pt>
                <c:pt idx="236">
                  <c:v>41665</c:v>
                </c:pt>
                <c:pt idx="237">
                  <c:v>41658</c:v>
                </c:pt>
                <c:pt idx="238">
                  <c:v>41651</c:v>
                </c:pt>
                <c:pt idx="239">
                  <c:v>41644</c:v>
                </c:pt>
                <c:pt idx="240">
                  <c:v>41637</c:v>
                </c:pt>
                <c:pt idx="241">
                  <c:v>41630</c:v>
                </c:pt>
                <c:pt idx="242">
                  <c:v>41623</c:v>
                </c:pt>
                <c:pt idx="243">
                  <c:v>41616</c:v>
                </c:pt>
                <c:pt idx="244">
                  <c:v>41609</c:v>
                </c:pt>
                <c:pt idx="245">
                  <c:v>41602</c:v>
                </c:pt>
                <c:pt idx="246">
                  <c:v>41595</c:v>
                </c:pt>
                <c:pt idx="247">
                  <c:v>41588</c:v>
                </c:pt>
                <c:pt idx="248">
                  <c:v>41581</c:v>
                </c:pt>
                <c:pt idx="249">
                  <c:v>41574</c:v>
                </c:pt>
                <c:pt idx="250">
                  <c:v>41567</c:v>
                </c:pt>
                <c:pt idx="251">
                  <c:v>41560</c:v>
                </c:pt>
                <c:pt idx="252">
                  <c:v>41553</c:v>
                </c:pt>
                <c:pt idx="253">
                  <c:v>41546</c:v>
                </c:pt>
                <c:pt idx="254">
                  <c:v>41539</c:v>
                </c:pt>
                <c:pt idx="255">
                  <c:v>41532</c:v>
                </c:pt>
                <c:pt idx="256">
                  <c:v>41525</c:v>
                </c:pt>
                <c:pt idx="257">
                  <c:v>41518</c:v>
                </c:pt>
                <c:pt idx="258">
                  <c:v>41511</c:v>
                </c:pt>
                <c:pt idx="259">
                  <c:v>41504</c:v>
                </c:pt>
                <c:pt idx="260">
                  <c:v>41497</c:v>
                </c:pt>
                <c:pt idx="261">
                  <c:v>41490</c:v>
                </c:pt>
                <c:pt idx="262">
                  <c:v>41483</c:v>
                </c:pt>
                <c:pt idx="263">
                  <c:v>41476</c:v>
                </c:pt>
                <c:pt idx="264">
                  <c:v>41469</c:v>
                </c:pt>
                <c:pt idx="265">
                  <c:v>41462</c:v>
                </c:pt>
                <c:pt idx="266">
                  <c:v>41455</c:v>
                </c:pt>
                <c:pt idx="267">
                  <c:v>41448</c:v>
                </c:pt>
                <c:pt idx="268">
                  <c:v>41441</c:v>
                </c:pt>
                <c:pt idx="269">
                  <c:v>41434</c:v>
                </c:pt>
                <c:pt idx="270">
                  <c:v>41427</c:v>
                </c:pt>
                <c:pt idx="271">
                  <c:v>41420</c:v>
                </c:pt>
                <c:pt idx="272">
                  <c:v>41413</c:v>
                </c:pt>
                <c:pt idx="273">
                  <c:v>41406</c:v>
                </c:pt>
                <c:pt idx="274">
                  <c:v>41399</c:v>
                </c:pt>
                <c:pt idx="275">
                  <c:v>41392</c:v>
                </c:pt>
                <c:pt idx="276">
                  <c:v>41385</c:v>
                </c:pt>
                <c:pt idx="277">
                  <c:v>41378</c:v>
                </c:pt>
                <c:pt idx="278">
                  <c:v>41371</c:v>
                </c:pt>
                <c:pt idx="279">
                  <c:v>41364</c:v>
                </c:pt>
                <c:pt idx="280">
                  <c:v>41357</c:v>
                </c:pt>
                <c:pt idx="281">
                  <c:v>41350</c:v>
                </c:pt>
                <c:pt idx="282">
                  <c:v>41343</c:v>
                </c:pt>
                <c:pt idx="283">
                  <c:v>41336</c:v>
                </c:pt>
                <c:pt idx="284">
                  <c:v>41329</c:v>
                </c:pt>
                <c:pt idx="285">
                  <c:v>41322</c:v>
                </c:pt>
                <c:pt idx="286">
                  <c:v>41315</c:v>
                </c:pt>
                <c:pt idx="287">
                  <c:v>41308</c:v>
                </c:pt>
                <c:pt idx="288">
                  <c:v>41301</c:v>
                </c:pt>
                <c:pt idx="289">
                  <c:v>41294</c:v>
                </c:pt>
                <c:pt idx="290">
                  <c:v>41287</c:v>
                </c:pt>
                <c:pt idx="291">
                  <c:v>41280</c:v>
                </c:pt>
                <c:pt idx="292">
                  <c:v>41273</c:v>
                </c:pt>
                <c:pt idx="293">
                  <c:v>41266</c:v>
                </c:pt>
                <c:pt idx="294">
                  <c:v>41259</c:v>
                </c:pt>
                <c:pt idx="295">
                  <c:v>41252</c:v>
                </c:pt>
                <c:pt idx="296">
                  <c:v>41245</c:v>
                </c:pt>
                <c:pt idx="297">
                  <c:v>41238</c:v>
                </c:pt>
                <c:pt idx="298">
                  <c:v>41231</c:v>
                </c:pt>
                <c:pt idx="299">
                  <c:v>41224</c:v>
                </c:pt>
                <c:pt idx="300">
                  <c:v>41217</c:v>
                </c:pt>
                <c:pt idx="301">
                  <c:v>41210</c:v>
                </c:pt>
                <c:pt idx="302">
                  <c:v>41203</c:v>
                </c:pt>
                <c:pt idx="303">
                  <c:v>41196</c:v>
                </c:pt>
                <c:pt idx="304">
                  <c:v>41189</c:v>
                </c:pt>
                <c:pt idx="305">
                  <c:v>41182</c:v>
                </c:pt>
                <c:pt idx="306">
                  <c:v>41175</c:v>
                </c:pt>
                <c:pt idx="307">
                  <c:v>41168</c:v>
                </c:pt>
                <c:pt idx="308">
                  <c:v>41161</c:v>
                </c:pt>
                <c:pt idx="309">
                  <c:v>41154</c:v>
                </c:pt>
                <c:pt idx="310">
                  <c:v>41147</c:v>
                </c:pt>
                <c:pt idx="311">
                  <c:v>41140</c:v>
                </c:pt>
                <c:pt idx="312">
                  <c:v>41133</c:v>
                </c:pt>
                <c:pt idx="313">
                  <c:v>41126</c:v>
                </c:pt>
                <c:pt idx="314">
                  <c:v>41119</c:v>
                </c:pt>
                <c:pt idx="315">
                  <c:v>41112</c:v>
                </c:pt>
                <c:pt idx="316">
                  <c:v>41105</c:v>
                </c:pt>
                <c:pt idx="317">
                  <c:v>41098</c:v>
                </c:pt>
                <c:pt idx="318">
                  <c:v>41091</c:v>
                </c:pt>
                <c:pt idx="319">
                  <c:v>41084</c:v>
                </c:pt>
                <c:pt idx="320">
                  <c:v>41077</c:v>
                </c:pt>
                <c:pt idx="321">
                  <c:v>41070</c:v>
                </c:pt>
                <c:pt idx="322">
                  <c:v>41063</c:v>
                </c:pt>
                <c:pt idx="323">
                  <c:v>41056</c:v>
                </c:pt>
                <c:pt idx="324">
                  <c:v>41049</c:v>
                </c:pt>
                <c:pt idx="325">
                  <c:v>41042</c:v>
                </c:pt>
                <c:pt idx="326">
                  <c:v>41035</c:v>
                </c:pt>
                <c:pt idx="327">
                  <c:v>41028</c:v>
                </c:pt>
                <c:pt idx="328">
                  <c:v>41021</c:v>
                </c:pt>
                <c:pt idx="329">
                  <c:v>41014</c:v>
                </c:pt>
                <c:pt idx="330">
                  <c:v>41007</c:v>
                </c:pt>
                <c:pt idx="331">
                  <c:v>41000</c:v>
                </c:pt>
                <c:pt idx="332">
                  <c:v>40993</c:v>
                </c:pt>
                <c:pt idx="333">
                  <c:v>40986</c:v>
                </c:pt>
                <c:pt idx="334">
                  <c:v>40979</c:v>
                </c:pt>
                <c:pt idx="335">
                  <c:v>40972</c:v>
                </c:pt>
                <c:pt idx="336">
                  <c:v>40965</c:v>
                </c:pt>
                <c:pt idx="337">
                  <c:v>40958</c:v>
                </c:pt>
                <c:pt idx="338">
                  <c:v>40951</c:v>
                </c:pt>
                <c:pt idx="339">
                  <c:v>40944</c:v>
                </c:pt>
                <c:pt idx="340">
                  <c:v>40937</c:v>
                </c:pt>
                <c:pt idx="341">
                  <c:v>40930</c:v>
                </c:pt>
                <c:pt idx="342">
                  <c:v>40923</c:v>
                </c:pt>
                <c:pt idx="343">
                  <c:v>40916</c:v>
                </c:pt>
                <c:pt idx="344">
                  <c:v>40909</c:v>
                </c:pt>
                <c:pt idx="345">
                  <c:v>40902</c:v>
                </c:pt>
                <c:pt idx="346">
                  <c:v>40895</c:v>
                </c:pt>
                <c:pt idx="347">
                  <c:v>40888</c:v>
                </c:pt>
                <c:pt idx="348">
                  <c:v>40881</c:v>
                </c:pt>
                <c:pt idx="349">
                  <c:v>40874</c:v>
                </c:pt>
                <c:pt idx="350">
                  <c:v>40867</c:v>
                </c:pt>
                <c:pt idx="351">
                  <c:v>40860</c:v>
                </c:pt>
                <c:pt idx="352">
                  <c:v>40853</c:v>
                </c:pt>
                <c:pt idx="353">
                  <c:v>40846</c:v>
                </c:pt>
                <c:pt idx="354">
                  <c:v>40839</c:v>
                </c:pt>
                <c:pt idx="355">
                  <c:v>40832</c:v>
                </c:pt>
                <c:pt idx="356">
                  <c:v>40825</c:v>
                </c:pt>
                <c:pt idx="357">
                  <c:v>40818</c:v>
                </c:pt>
                <c:pt idx="358">
                  <c:v>40811</c:v>
                </c:pt>
                <c:pt idx="359">
                  <c:v>40804</c:v>
                </c:pt>
                <c:pt idx="360">
                  <c:v>40797</c:v>
                </c:pt>
                <c:pt idx="361">
                  <c:v>40790</c:v>
                </c:pt>
                <c:pt idx="362">
                  <c:v>40783</c:v>
                </c:pt>
                <c:pt idx="363">
                  <c:v>40776</c:v>
                </c:pt>
                <c:pt idx="364">
                  <c:v>40769</c:v>
                </c:pt>
                <c:pt idx="365">
                  <c:v>40762</c:v>
                </c:pt>
                <c:pt idx="366">
                  <c:v>40755</c:v>
                </c:pt>
                <c:pt idx="367">
                  <c:v>40748</c:v>
                </c:pt>
                <c:pt idx="368">
                  <c:v>40741</c:v>
                </c:pt>
                <c:pt idx="369">
                  <c:v>40734</c:v>
                </c:pt>
                <c:pt idx="370">
                  <c:v>40727</c:v>
                </c:pt>
                <c:pt idx="371">
                  <c:v>40720</c:v>
                </c:pt>
                <c:pt idx="372">
                  <c:v>40713</c:v>
                </c:pt>
                <c:pt idx="373">
                  <c:v>40706</c:v>
                </c:pt>
                <c:pt idx="374">
                  <c:v>40699</c:v>
                </c:pt>
                <c:pt idx="375">
                  <c:v>40692</c:v>
                </c:pt>
                <c:pt idx="376">
                  <c:v>40685</c:v>
                </c:pt>
                <c:pt idx="377">
                  <c:v>40678</c:v>
                </c:pt>
                <c:pt idx="378">
                  <c:v>40671</c:v>
                </c:pt>
                <c:pt idx="379">
                  <c:v>40664</c:v>
                </c:pt>
                <c:pt idx="380">
                  <c:v>40657</c:v>
                </c:pt>
                <c:pt idx="381">
                  <c:v>40650</c:v>
                </c:pt>
                <c:pt idx="382">
                  <c:v>40643</c:v>
                </c:pt>
                <c:pt idx="383">
                  <c:v>40636</c:v>
                </c:pt>
                <c:pt idx="384">
                  <c:v>40629</c:v>
                </c:pt>
                <c:pt idx="385">
                  <c:v>40622</c:v>
                </c:pt>
                <c:pt idx="386">
                  <c:v>40615</c:v>
                </c:pt>
                <c:pt idx="387">
                  <c:v>40608</c:v>
                </c:pt>
                <c:pt idx="388">
                  <c:v>40601</c:v>
                </c:pt>
                <c:pt idx="389">
                  <c:v>40594</c:v>
                </c:pt>
                <c:pt idx="390">
                  <c:v>40587</c:v>
                </c:pt>
                <c:pt idx="391">
                  <c:v>40580</c:v>
                </c:pt>
                <c:pt idx="392">
                  <c:v>40573</c:v>
                </c:pt>
                <c:pt idx="393">
                  <c:v>40566</c:v>
                </c:pt>
                <c:pt idx="394">
                  <c:v>40559</c:v>
                </c:pt>
                <c:pt idx="395">
                  <c:v>40552</c:v>
                </c:pt>
                <c:pt idx="396">
                  <c:v>40545</c:v>
                </c:pt>
                <c:pt idx="397">
                  <c:v>40538</c:v>
                </c:pt>
                <c:pt idx="398">
                  <c:v>40531</c:v>
                </c:pt>
                <c:pt idx="399">
                  <c:v>40524</c:v>
                </c:pt>
                <c:pt idx="400">
                  <c:v>40517</c:v>
                </c:pt>
                <c:pt idx="401">
                  <c:v>40510</c:v>
                </c:pt>
                <c:pt idx="402">
                  <c:v>40503</c:v>
                </c:pt>
                <c:pt idx="403">
                  <c:v>40496</c:v>
                </c:pt>
                <c:pt idx="404">
                  <c:v>40489</c:v>
                </c:pt>
                <c:pt idx="405">
                  <c:v>40482</c:v>
                </c:pt>
                <c:pt idx="406">
                  <c:v>40475</c:v>
                </c:pt>
                <c:pt idx="407">
                  <c:v>40468</c:v>
                </c:pt>
                <c:pt idx="408">
                  <c:v>40461</c:v>
                </c:pt>
                <c:pt idx="409">
                  <c:v>40454</c:v>
                </c:pt>
                <c:pt idx="410">
                  <c:v>40447</c:v>
                </c:pt>
                <c:pt idx="411">
                  <c:v>40440</c:v>
                </c:pt>
                <c:pt idx="412">
                  <c:v>40433</c:v>
                </c:pt>
                <c:pt idx="413">
                  <c:v>40426</c:v>
                </c:pt>
                <c:pt idx="414">
                  <c:v>40419</c:v>
                </c:pt>
                <c:pt idx="415">
                  <c:v>40412</c:v>
                </c:pt>
                <c:pt idx="416">
                  <c:v>40405</c:v>
                </c:pt>
                <c:pt idx="417">
                  <c:v>40398</c:v>
                </c:pt>
                <c:pt idx="418">
                  <c:v>40391</c:v>
                </c:pt>
                <c:pt idx="419">
                  <c:v>40384</c:v>
                </c:pt>
                <c:pt idx="420">
                  <c:v>40377</c:v>
                </c:pt>
                <c:pt idx="421">
                  <c:v>40370</c:v>
                </c:pt>
                <c:pt idx="422">
                  <c:v>40363</c:v>
                </c:pt>
                <c:pt idx="423">
                  <c:v>40356</c:v>
                </c:pt>
                <c:pt idx="424">
                  <c:v>40349</c:v>
                </c:pt>
                <c:pt idx="425">
                  <c:v>40342</c:v>
                </c:pt>
                <c:pt idx="426">
                  <c:v>40335</c:v>
                </c:pt>
                <c:pt idx="427">
                  <c:v>40328</c:v>
                </c:pt>
                <c:pt idx="428">
                  <c:v>40321</c:v>
                </c:pt>
                <c:pt idx="429">
                  <c:v>40314</c:v>
                </c:pt>
                <c:pt idx="430">
                  <c:v>40307</c:v>
                </c:pt>
                <c:pt idx="431">
                  <c:v>40300</c:v>
                </c:pt>
                <c:pt idx="432">
                  <c:v>40293</c:v>
                </c:pt>
                <c:pt idx="433">
                  <c:v>40286</c:v>
                </c:pt>
                <c:pt idx="434">
                  <c:v>40279</c:v>
                </c:pt>
                <c:pt idx="435">
                  <c:v>40272</c:v>
                </c:pt>
                <c:pt idx="436">
                  <c:v>40265</c:v>
                </c:pt>
                <c:pt idx="437">
                  <c:v>40258</c:v>
                </c:pt>
                <c:pt idx="438">
                  <c:v>40251</c:v>
                </c:pt>
                <c:pt idx="439">
                  <c:v>40244</c:v>
                </c:pt>
                <c:pt idx="440">
                  <c:v>40237</c:v>
                </c:pt>
                <c:pt idx="441">
                  <c:v>40230</c:v>
                </c:pt>
                <c:pt idx="442">
                  <c:v>40223</c:v>
                </c:pt>
                <c:pt idx="443">
                  <c:v>40216</c:v>
                </c:pt>
                <c:pt idx="444">
                  <c:v>40209</c:v>
                </c:pt>
                <c:pt idx="445">
                  <c:v>40202</c:v>
                </c:pt>
                <c:pt idx="446">
                  <c:v>40195</c:v>
                </c:pt>
                <c:pt idx="447">
                  <c:v>40188</c:v>
                </c:pt>
                <c:pt idx="448">
                  <c:v>40181</c:v>
                </c:pt>
                <c:pt idx="449">
                  <c:v>40174</c:v>
                </c:pt>
                <c:pt idx="450">
                  <c:v>40167</c:v>
                </c:pt>
                <c:pt idx="451">
                  <c:v>40160</c:v>
                </c:pt>
                <c:pt idx="452">
                  <c:v>40153</c:v>
                </c:pt>
                <c:pt idx="453">
                  <c:v>40146</c:v>
                </c:pt>
                <c:pt idx="454">
                  <c:v>40139</c:v>
                </c:pt>
                <c:pt idx="455">
                  <c:v>40132</c:v>
                </c:pt>
                <c:pt idx="456">
                  <c:v>40125</c:v>
                </c:pt>
                <c:pt idx="457">
                  <c:v>40118</c:v>
                </c:pt>
                <c:pt idx="458">
                  <c:v>40111</c:v>
                </c:pt>
                <c:pt idx="459">
                  <c:v>40104</c:v>
                </c:pt>
                <c:pt idx="460">
                  <c:v>40097</c:v>
                </c:pt>
                <c:pt idx="461">
                  <c:v>40090</c:v>
                </c:pt>
                <c:pt idx="462">
                  <c:v>40083</c:v>
                </c:pt>
                <c:pt idx="463">
                  <c:v>40076</c:v>
                </c:pt>
                <c:pt idx="464">
                  <c:v>40069</c:v>
                </c:pt>
                <c:pt idx="465">
                  <c:v>40062</c:v>
                </c:pt>
                <c:pt idx="466">
                  <c:v>40055</c:v>
                </c:pt>
                <c:pt idx="467">
                  <c:v>40048</c:v>
                </c:pt>
                <c:pt idx="468">
                  <c:v>40041</c:v>
                </c:pt>
                <c:pt idx="469">
                  <c:v>40034</c:v>
                </c:pt>
                <c:pt idx="470">
                  <c:v>40027</c:v>
                </c:pt>
                <c:pt idx="471">
                  <c:v>40020</c:v>
                </c:pt>
                <c:pt idx="472">
                  <c:v>40013</c:v>
                </c:pt>
                <c:pt idx="473">
                  <c:v>40006</c:v>
                </c:pt>
                <c:pt idx="474">
                  <c:v>39999</c:v>
                </c:pt>
                <c:pt idx="475">
                  <c:v>39992</c:v>
                </c:pt>
                <c:pt idx="476">
                  <c:v>39985</c:v>
                </c:pt>
                <c:pt idx="477">
                  <c:v>39978</c:v>
                </c:pt>
                <c:pt idx="478">
                  <c:v>39971</c:v>
                </c:pt>
                <c:pt idx="479">
                  <c:v>39964</c:v>
                </c:pt>
                <c:pt idx="480">
                  <c:v>39957</c:v>
                </c:pt>
                <c:pt idx="481">
                  <c:v>39950</c:v>
                </c:pt>
                <c:pt idx="482">
                  <c:v>39943</c:v>
                </c:pt>
                <c:pt idx="483">
                  <c:v>39936</c:v>
                </c:pt>
                <c:pt idx="484">
                  <c:v>39929</c:v>
                </c:pt>
                <c:pt idx="485">
                  <c:v>39922</c:v>
                </c:pt>
                <c:pt idx="486">
                  <c:v>39915</c:v>
                </c:pt>
                <c:pt idx="487">
                  <c:v>39908</c:v>
                </c:pt>
                <c:pt idx="488">
                  <c:v>39901</c:v>
                </c:pt>
                <c:pt idx="489">
                  <c:v>39894</c:v>
                </c:pt>
                <c:pt idx="490">
                  <c:v>39887</c:v>
                </c:pt>
                <c:pt idx="491">
                  <c:v>39880</c:v>
                </c:pt>
                <c:pt idx="492">
                  <c:v>39873</c:v>
                </c:pt>
                <c:pt idx="493">
                  <c:v>39866</c:v>
                </c:pt>
                <c:pt idx="494">
                  <c:v>39859</c:v>
                </c:pt>
                <c:pt idx="495">
                  <c:v>39852</c:v>
                </c:pt>
                <c:pt idx="496">
                  <c:v>39845</c:v>
                </c:pt>
                <c:pt idx="497">
                  <c:v>39838</c:v>
                </c:pt>
                <c:pt idx="498">
                  <c:v>39831</c:v>
                </c:pt>
                <c:pt idx="499">
                  <c:v>39824</c:v>
                </c:pt>
                <c:pt idx="500">
                  <c:v>39817</c:v>
                </c:pt>
                <c:pt idx="501">
                  <c:v>39810</c:v>
                </c:pt>
                <c:pt idx="502">
                  <c:v>39803</c:v>
                </c:pt>
                <c:pt idx="503">
                  <c:v>39796</c:v>
                </c:pt>
                <c:pt idx="504">
                  <c:v>39789</c:v>
                </c:pt>
                <c:pt idx="505">
                  <c:v>39782</c:v>
                </c:pt>
                <c:pt idx="506">
                  <c:v>39775</c:v>
                </c:pt>
                <c:pt idx="507">
                  <c:v>39768</c:v>
                </c:pt>
                <c:pt idx="508">
                  <c:v>39761</c:v>
                </c:pt>
                <c:pt idx="509">
                  <c:v>39754</c:v>
                </c:pt>
                <c:pt idx="510">
                  <c:v>39747</c:v>
                </c:pt>
                <c:pt idx="511">
                  <c:v>39740</c:v>
                </c:pt>
                <c:pt idx="512">
                  <c:v>39733</c:v>
                </c:pt>
                <c:pt idx="513">
                  <c:v>39726</c:v>
                </c:pt>
                <c:pt idx="514">
                  <c:v>39719</c:v>
                </c:pt>
                <c:pt idx="515">
                  <c:v>39712</c:v>
                </c:pt>
                <c:pt idx="516">
                  <c:v>39705</c:v>
                </c:pt>
                <c:pt idx="517">
                  <c:v>39698</c:v>
                </c:pt>
                <c:pt idx="518">
                  <c:v>39691</c:v>
                </c:pt>
                <c:pt idx="519">
                  <c:v>39684</c:v>
                </c:pt>
                <c:pt idx="520">
                  <c:v>39677</c:v>
                </c:pt>
                <c:pt idx="521">
                  <c:v>39670</c:v>
                </c:pt>
                <c:pt idx="522">
                  <c:v>39663</c:v>
                </c:pt>
                <c:pt idx="523">
                  <c:v>39656</c:v>
                </c:pt>
                <c:pt idx="524">
                  <c:v>39649</c:v>
                </c:pt>
                <c:pt idx="525">
                  <c:v>39642</c:v>
                </c:pt>
                <c:pt idx="526">
                  <c:v>39635</c:v>
                </c:pt>
                <c:pt idx="527">
                  <c:v>39628</c:v>
                </c:pt>
                <c:pt idx="528">
                  <c:v>39621</c:v>
                </c:pt>
                <c:pt idx="529">
                  <c:v>39614</c:v>
                </c:pt>
                <c:pt idx="530">
                  <c:v>39607</c:v>
                </c:pt>
                <c:pt idx="531">
                  <c:v>39600</c:v>
                </c:pt>
                <c:pt idx="532">
                  <c:v>39593</c:v>
                </c:pt>
                <c:pt idx="533">
                  <c:v>39586</c:v>
                </c:pt>
                <c:pt idx="534">
                  <c:v>39579</c:v>
                </c:pt>
                <c:pt idx="535">
                  <c:v>39572</c:v>
                </c:pt>
                <c:pt idx="536">
                  <c:v>39565</c:v>
                </c:pt>
                <c:pt idx="537">
                  <c:v>39558</c:v>
                </c:pt>
                <c:pt idx="538">
                  <c:v>39551</c:v>
                </c:pt>
                <c:pt idx="539">
                  <c:v>39544</c:v>
                </c:pt>
                <c:pt idx="540">
                  <c:v>39537</c:v>
                </c:pt>
                <c:pt idx="541">
                  <c:v>39530</c:v>
                </c:pt>
                <c:pt idx="542">
                  <c:v>39523</c:v>
                </c:pt>
                <c:pt idx="543">
                  <c:v>39516</c:v>
                </c:pt>
                <c:pt idx="544">
                  <c:v>39509</c:v>
                </c:pt>
                <c:pt idx="545">
                  <c:v>39502</c:v>
                </c:pt>
                <c:pt idx="546">
                  <c:v>39495</c:v>
                </c:pt>
                <c:pt idx="547">
                  <c:v>39488</c:v>
                </c:pt>
                <c:pt idx="548">
                  <c:v>39481</c:v>
                </c:pt>
                <c:pt idx="549">
                  <c:v>39474</c:v>
                </c:pt>
                <c:pt idx="550">
                  <c:v>39467</c:v>
                </c:pt>
                <c:pt idx="551">
                  <c:v>39460</c:v>
                </c:pt>
                <c:pt idx="552">
                  <c:v>39453</c:v>
                </c:pt>
                <c:pt idx="553">
                  <c:v>39446</c:v>
                </c:pt>
                <c:pt idx="554">
                  <c:v>39439</c:v>
                </c:pt>
                <c:pt idx="555">
                  <c:v>39432</c:v>
                </c:pt>
                <c:pt idx="556">
                  <c:v>39425</c:v>
                </c:pt>
                <c:pt idx="557">
                  <c:v>39418</c:v>
                </c:pt>
                <c:pt idx="558">
                  <c:v>39411</c:v>
                </c:pt>
                <c:pt idx="559">
                  <c:v>39404</c:v>
                </c:pt>
                <c:pt idx="560">
                  <c:v>39397</c:v>
                </c:pt>
                <c:pt idx="561">
                  <c:v>39390</c:v>
                </c:pt>
                <c:pt idx="562">
                  <c:v>39383</c:v>
                </c:pt>
                <c:pt idx="563">
                  <c:v>39376</c:v>
                </c:pt>
                <c:pt idx="564">
                  <c:v>39369</c:v>
                </c:pt>
                <c:pt idx="565">
                  <c:v>39362</c:v>
                </c:pt>
                <c:pt idx="566">
                  <c:v>39355</c:v>
                </c:pt>
                <c:pt idx="567">
                  <c:v>39348</c:v>
                </c:pt>
                <c:pt idx="568">
                  <c:v>39341</c:v>
                </c:pt>
                <c:pt idx="569">
                  <c:v>39334</c:v>
                </c:pt>
                <c:pt idx="570">
                  <c:v>39327</c:v>
                </c:pt>
                <c:pt idx="571">
                  <c:v>39320</c:v>
                </c:pt>
                <c:pt idx="572">
                  <c:v>39313</c:v>
                </c:pt>
                <c:pt idx="573">
                  <c:v>39306</c:v>
                </c:pt>
                <c:pt idx="574">
                  <c:v>39299</c:v>
                </c:pt>
                <c:pt idx="575">
                  <c:v>39292</c:v>
                </c:pt>
                <c:pt idx="576">
                  <c:v>39285</c:v>
                </c:pt>
                <c:pt idx="577">
                  <c:v>39278</c:v>
                </c:pt>
                <c:pt idx="578">
                  <c:v>39271</c:v>
                </c:pt>
                <c:pt idx="579">
                  <c:v>39264</c:v>
                </c:pt>
                <c:pt idx="580">
                  <c:v>39257</c:v>
                </c:pt>
                <c:pt idx="581">
                  <c:v>39250</c:v>
                </c:pt>
                <c:pt idx="582">
                  <c:v>39243</c:v>
                </c:pt>
                <c:pt idx="583">
                  <c:v>39236</c:v>
                </c:pt>
                <c:pt idx="584">
                  <c:v>39229</c:v>
                </c:pt>
                <c:pt idx="585">
                  <c:v>39222</c:v>
                </c:pt>
                <c:pt idx="586">
                  <c:v>39215</c:v>
                </c:pt>
                <c:pt idx="587">
                  <c:v>39208</c:v>
                </c:pt>
                <c:pt idx="588">
                  <c:v>39201</c:v>
                </c:pt>
                <c:pt idx="589">
                  <c:v>39194</c:v>
                </c:pt>
                <c:pt idx="590">
                  <c:v>39187</c:v>
                </c:pt>
                <c:pt idx="591">
                  <c:v>39180</c:v>
                </c:pt>
                <c:pt idx="592">
                  <c:v>39173</c:v>
                </c:pt>
                <c:pt idx="593">
                  <c:v>39166</c:v>
                </c:pt>
                <c:pt idx="594">
                  <c:v>39159</c:v>
                </c:pt>
                <c:pt idx="595">
                  <c:v>39152</c:v>
                </c:pt>
                <c:pt idx="596">
                  <c:v>39145</c:v>
                </c:pt>
                <c:pt idx="597">
                  <c:v>39138</c:v>
                </c:pt>
                <c:pt idx="598">
                  <c:v>39131</c:v>
                </c:pt>
                <c:pt idx="599">
                  <c:v>39124</c:v>
                </c:pt>
                <c:pt idx="600">
                  <c:v>39117</c:v>
                </c:pt>
                <c:pt idx="601">
                  <c:v>39110</c:v>
                </c:pt>
                <c:pt idx="602">
                  <c:v>39103</c:v>
                </c:pt>
                <c:pt idx="603">
                  <c:v>39096</c:v>
                </c:pt>
                <c:pt idx="604">
                  <c:v>39089</c:v>
                </c:pt>
                <c:pt idx="605">
                  <c:v>39082</c:v>
                </c:pt>
                <c:pt idx="606">
                  <c:v>39075</c:v>
                </c:pt>
                <c:pt idx="607">
                  <c:v>39068</c:v>
                </c:pt>
                <c:pt idx="608">
                  <c:v>39061</c:v>
                </c:pt>
                <c:pt idx="609">
                  <c:v>39054</c:v>
                </c:pt>
                <c:pt idx="610">
                  <c:v>39047</c:v>
                </c:pt>
                <c:pt idx="611">
                  <c:v>39040</c:v>
                </c:pt>
                <c:pt idx="612">
                  <c:v>39033</c:v>
                </c:pt>
                <c:pt idx="613">
                  <c:v>39026</c:v>
                </c:pt>
                <c:pt idx="614">
                  <c:v>39019</c:v>
                </c:pt>
                <c:pt idx="615">
                  <c:v>39012</c:v>
                </c:pt>
                <c:pt idx="616">
                  <c:v>39005</c:v>
                </c:pt>
                <c:pt idx="617">
                  <c:v>38998</c:v>
                </c:pt>
                <c:pt idx="618">
                  <c:v>38991</c:v>
                </c:pt>
                <c:pt idx="619">
                  <c:v>38984</c:v>
                </c:pt>
                <c:pt idx="620">
                  <c:v>38977</c:v>
                </c:pt>
                <c:pt idx="621">
                  <c:v>38970</c:v>
                </c:pt>
                <c:pt idx="622">
                  <c:v>38963</c:v>
                </c:pt>
                <c:pt idx="623">
                  <c:v>38956</c:v>
                </c:pt>
                <c:pt idx="624">
                  <c:v>38949</c:v>
                </c:pt>
                <c:pt idx="625">
                  <c:v>38942</c:v>
                </c:pt>
                <c:pt idx="626">
                  <c:v>38935</c:v>
                </c:pt>
                <c:pt idx="627">
                  <c:v>38928</c:v>
                </c:pt>
                <c:pt idx="628">
                  <c:v>38921</c:v>
                </c:pt>
                <c:pt idx="629">
                  <c:v>38914</c:v>
                </c:pt>
                <c:pt idx="630">
                  <c:v>38907</c:v>
                </c:pt>
                <c:pt idx="631">
                  <c:v>38900</c:v>
                </c:pt>
                <c:pt idx="632">
                  <c:v>38893</c:v>
                </c:pt>
                <c:pt idx="633">
                  <c:v>38886</c:v>
                </c:pt>
                <c:pt idx="634">
                  <c:v>38879</c:v>
                </c:pt>
                <c:pt idx="635">
                  <c:v>38872</c:v>
                </c:pt>
                <c:pt idx="636">
                  <c:v>38865</c:v>
                </c:pt>
                <c:pt idx="637">
                  <c:v>38858</c:v>
                </c:pt>
                <c:pt idx="638">
                  <c:v>38851</c:v>
                </c:pt>
                <c:pt idx="639">
                  <c:v>38844</c:v>
                </c:pt>
                <c:pt idx="640">
                  <c:v>38837</c:v>
                </c:pt>
                <c:pt idx="641">
                  <c:v>38830</c:v>
                </c:pt>
                <c:pt idx="642">
                  <c:v>38823</c:v>
                </c:pt>
                <c:pt idx="643">
                  <c:v>38816</c:v>
                </c:pt>
                <c:pt idx="644">
                  <c:v>38809</c:v>
                </c:pt>
                <c:pt idx="645">
                  <c:v>38802</c:v>
                </c:pt>
                <c:pt idx="646">
                  <c:v>38795</c:v>
                </c:pt>
                <c:pt idx="647">
                  <c:v>38788</c:v>
                </c:pt>
                <c:pt idx="648">
                  <c:v>38781</c:v>
                </c:pt>
                <c:pt idx="649">
                  <c:v>38774</c:v>
                </c:pt>
                <c:pt idx="650">
                  <c:v>38767</c:v>
                </c:pt>
                <c:pt idx="651">
                  <c:v>38760</c:v>
                </c:pt>
                <c:pt idx="652">
                  <c:v>38753</c:v>
                </c:pt>
                <c:pt idx="653">
                  <c:v>38746</c:v>
                </c:pt>
                <c:pt idx="654">
                  <c:v>38739</c:v>
                </c:pt>
                <c:pt idx="655">
                  <c:v>38732</c:v>
                </c:pt>
                <c:pt idx="656">
                  <c:v>38725</c:v>
                </c:pt>
                <c:pt idx="657">
                  <c:v>38718</c:v>
                </c:pt>
                <c:pt idx="658">
                  <c:v>38711</c:v>
                </c:pt>
                <c:pt idx="659">
                  <c:v>38704</c:v>
                </c:pt>
                <c:pt idx="660">
                  <c:v>38697</c:v>
                </c:pt>
                <c:pt idx="661">
                  <c:v>38690</c:v>
                </c:pt>
                <c:pt idx="662">
                  <c:v>38683</c:v>
                </c:pt>
                <c:pt idx="663">
                  <c:v>38676</c:v>
                </c:pt>
                <c:pt idx="664">
                  <c:v>38669</c:v>
                </c:pt>
                <c:pt idx="665">
                  <c:v>38662</c:v>
                </c:pt>
                <c:pt idx="666">
                  <c:v>38655</c:v>
                </c:pt>
                <c:pt idx="667">
                  <c:v>38648</c:v>
                </c:pt>
                <c:pt idx="668">
                  <c:v>38641</c:v>
                </c:pt>
                <c:pt idx="669">
                  <c:v>38634</c:v>
                </c:pt>
                <c:pt idx="670">
                  <c:v>38627</c:v>
                </c:pt>
                <c:pt idx="671">
                  <c:v>38620</c:v>
                </c:pt>
                <c:pt idx="672">
                  <c:v>38613</c:v>
                </c:pt>
                <c:pt idx="673">
                  <c:v>38606</c:v>
                </c:pt>
                <c:pt idx="674">
                  <c:v>38599</c:v>
                </c:pt>
                <c:pt idx="675">
                  <c:v>38592</c:v>
                </c:pt>
                <c:pt idx="676">
                  <c:v>38585</c:v>
                </c:pt>
                <c:pt idx="677">
                  <c:v>38578</c:v>
                </c:pt>
                <c:pt idx="678">
                  <c:v>38571</c:v>
                </c:pt>
                <c:pt idx="679">
                  <c:v>38564</c:v>
                </c:pt>
                <c:pt idx="680">
                  <c:v>38557</c:v>
                </c:pt>
                <c:pt idx="681">
                  <c:v>38550</c:v>
                </c:pt>
                <c:pt idx="682">
                  <c:v>38543</c:v>
                </c:pt>
                <c:pt idx="683">
                  <c:v>38536</c:v>
                </c:pt>
                <c:pt idx="684">
                  <c:v>38529</c:v>
                </c:pt>
                <c:pt idx="685">
                  <c:v>38522</c:v>
                </c:pt>
                <c:pt idx="686">
                  <c:v>38515</c:v>
                </c:pt>
                <c:pt idx="687">
                  <c:v>38508</c:v>
                </c:pt>
                <c:pt idx="688">
                  <c:v>38501</c:v>
                </c:pt>
                <c:pt idx="689">
                  <c:v>38494</c:v>
                </c:pt>
                <c:pt idx="690">
                  <c:v>38487</c:v>
                </c:pt>
                <c:pt idx="691">
                  <c:v>38480</c:v>
                </c:pt>
                <c:pt idx="692">
                  <c:v>38473</c:v>
                </c:pt>
                <c:pt idx="693">
                  <c:v>38466</c:v>
                </c:pt>
                <c:pt idx="694">
                  <c:v>38459</c:v>
                </c:pt>
                <c:pt idx="695">
                  <c:v>38452</c:v>
                </c:pt>
                <c:pt idx="696">
                  <c:v>38445</c:v>
                </c:pt>
                <c:pt idx="697">
                  <c:v>38438</c:v>
                </c:pt>
                <c:pt idx="698">
                  <c:v>38431</c:v>
                </c:pt>
                <c:pt idx="699">
                  <c:v>38424</c:v>
                </c:pt>
                <c:pt idx="700">
                  <c:v>38417</c:v>
                </c:pt>
                <c:pt idx="701">
                  <c:v>38410</c:v>
                </c:pt>
                <c:pt idx="702">
                  <c:v>38403</c:v>
                </c:pt>
                <c:pt idx="703">
                  <c:v>38396</c:v>
                </c:pt>
                <c:pt idx="704">
                  <c:v>38389</c:v>
                </c:pt>
                <c:pt idx="705">
                  <c:v>38382</c:v>
                </c:pt>
                <c:pt idx="706">
                  <c:v>38375</c:v>
                </c:pt>
                <c:pt idx="707">
                  <c:v>38368</c:v>
                </c:pt>
                <c:pt idx="708">
                  <c:v>38361</c:v>
                </c:pt>
                <c:pt idx="709">
                  <c:v>38354</c:v>
                </c:pt>
                <c:pt idx="710">
                  <c:v>38347</c:v>
                </c:pt>
                <c:pt idx="711">
                  <c:v>38340</c:v>
                </c:pt>
                <c:pt idx="712">
                  <c:v>38333</c:v>
                </c:pt>
                <c:pt idx="713">
                  <c:v>38326</c:v>
                </c:pt>
                <c:pt idx="714">
                  <c:v>38319</c:v>
                </c:pt>
                <c:pt idx="715">
                  <c:v>38312</c:v>
                </c:pt>
                <c:pt idx="716">
                  <c:v>38305</c:v>
                </c:pt>
                <c:pt idx="717">
                  <c:v>38298</c:v>
                </c:pt>
                <c:pt idx="718">
                  <c:v>38291</c:v>
                </c:pt>
                <c:pt idx="719">
                  <c:v>38284</c:v>
                </c:pt>
                <c:pt idx="720">
                  <c:v>38277</c:v>
                </c:pt>
                <c:pt idx="721">
                  <c:v>38270</c:v>
                </c:pt>
                <c:pt idx="722">
                  <c:v>38263</c:v>
                </c:pt>
                <c:pt idx="723">
                  <c:v>38256</c:v>
                </c:pt>
                <c:pt idx="724">
                  <c:v>38249</c:v>
                </c:pt>
                <c:pt idx="725">
                  <c:v>38242</c:v>
                </c:pt>
                <c:pt idx="726">
                  <c:v>38235</c:v>
                </c:pt>
                <c:pt idx="727">
                  <c:v>38228</c:v>
                </c:pt>
                <c:pt idx="728">
                  <c:v>38221</c:v>
                </c:pt>
                <c:pt idx="729">
                  <c:v>38214</c:v>
                </c:pt>
                <c:pt idx="730">
                  <c:v>38207</c:v>
                </c:pt>
                <c:pt idx="731">
                  <c:v>38200</c:v>
                </c:pt>
                <c:pt idx="732">
                  <c:v>38193</c:v>
                </c:pt>
                <c:pt idx="733">
                  <c:v>38186</c:v>
                </c:pt>
                <c:pt idx="734">
                  <c:v>38179</c:v>
                </c:pt>
                <c:pt idx="735">
                  <c:v>38172</c:v>
                </c:pt>
                <c:pt idx="736">
                  <c:v>38165</c:v>
                </c:pt>
                <c:pt idx="737">
                  <c:v>38158</c:v>
                </c:pt>
                <c:pt idx="738">
                  <c:v>38151</c:v>
                </c:pt>
                <c:pt idx="739">
                  <c:v>38144</c:v>
                </c:pt>
                <c:pt idx="740">
                  <c:v>38137</c:v>
                </c:pt>
                <c:pt idx="741">
                  <c:v>38130</c:v>
                </c:pt>
                <c:pt idx="742">
                  <c:v>38123</c:v>
                </c:pt>
                <c:pt idx="743">
                  <c:v>38116</c:v>
                </c:pt>
                <c:pt idx="744">
                  <c:v>38109</c:v>
                </c:pt>
                <c:pt idx="745">
                  <c:v>38102</c:v>
                </c:pt>
                <c:pt idx="746">
                  <c:v>38095</c:v>
                </c:pt>
                <c:pt idx="747">
                  <c:v>38088</c:v>
                </c:pt>
                <c:pt idx="748">
                  <c:v>38081</c:v>
                </c:pt>
                <c:pt idx="749">
                  <c:v>38074</c:v>
                </c:pt>
                <c:pt idx="750">
                  <c:v>38067</c:v>
                </c:pt>
                <c:pt idx="751">
                  <c:v>38060</c:v>
                </c:pt>
                <c:pt idx="752">
                  <c:v>38053</c:v>
                </c:pt>
                <c:pt idx="753">
                  <c:v>38046</c:v>
                </c:pt>
                <c:pt idx="754">
                  <c:v>38039</c:v>
                </c:pt>
                <c:pt idx="755">
                  <c:v>38032</c:v>
                </c:pt>
                <c:pt idx="756">
                  <c:v>38025</c:v>
                </c:pt>
                <c:pt idx="757">
                  <c:v>38018</c:v>
                </c:pt>
                <c:pt idx="758">
                  <c:v>38011</c:v>
                </c:pt>
                <c:pt idx="759">
                  <c:v>38004</c:v>
                </c:pt>
                <c:pt idx="760">
                  <c:v>37997</c:v>
                </c:pt>
                <c:pt idx="761">
                  <c:v>37990</c:v>
                </c:pt>
                <c:pt idx="762">
                  <c:v>37983</c:v>
                </c:pt>
                <c:pt idx="763">
                  <c:v>37976</c:v>
                </c:pt>
                <c:pt idx="764">
                  <c:v>37969</c:v>
                </c:pt>
                <c:pt idx="765">
                  <c:v>37962</c:v>
                </c:pt>
                <c:pt idx="766">
                  <c:v>37955</c:v>
                </c:pt>
                <c:pt idx="767">
                  <c:v>37948</c:v>
                </c:pt>
                <c:pt idx="768">
                  <c:v>37941</c:v>
                </c:pt>
                <c:pt idx="769">
                  <c:v>37934</c:v>
                </c:pt>
                <c:pt idx="770">
                  <c:v>37927</c:v>
                </c:pt>
                <c:pt idx="771">
                  <c:v>37920</c:v>
                </c:pt>
                <c:pt idx="772">
                  <c:v>37913</c:v>
                </c:pt>
                <c:pt idx="773">
                  <c:v>37906</c:v>
                </c:pt>
                <c:pt idx="774">
                  <c:v>37899</c:v>
                </c:pt>
                <c:pt idx="775">
                  <c:v>37892</c:v>
                </c:pt>
                <c:pt idx="776">
                  <c:v>37885</c:v>
                </c:pt>
                <c:pt idx="777">
                  <c:v>37878</c:v>
                </c:pt>
                <c:pt idx="778">
                  <c:v>37871</c:v>
                </c:pt>
                <c:pt idx="779">
                  <c:v>37864</c:v>
                </c:pt>
                <c:pt idx="780">
                  <c:v>37857</c:v>
                </c:pt>
                <c:pt idx="781">
                  <c:v>37850</c:v>
                </c:pt>
                <c:pt idx="782">
                  <c:v>37843</c:v>
                </c:pt>
                <c:pt idx="783">
                  <c:v>37836</c:v>
                </c:pt>
                <c:pt idx="784">
                  <c:v>37829</c:v>
                </c:pt>
                <c:pt idx="785">
                  <c:v>37822</c:v>
                </c:pt>
                <c:pt idx="786">
                  <c:v>37815</c:v>
                </c:pt>
                <c:pt idx="787">
                  <c:v>37808</c:v>
                </c:pt>
                <c:pt idx="788">
                  <c:v>37801</c:v>
                </c:pt>
                <c:pt idx="789">
                  <c:v>37794</c:v>
                </c:pt>
                <c:pt idx="790">
                  <c:v>37787</c:v>
                </c:pt>
                <c:pt idx="791">
                  <c:v>37780</c:v>
                </c:pt>
                <c:pt idx="792">
                  <c:v>37773</c:v>
                </c:pt>
                <c:pt idx="793">
                  <c:v>37766</c:v>
                </c:pt>
                <c:pt idx="794">
                  <c:v>37759</c:v>
                </c:pt>
                <c:pt idx="795">
                  <c:v>37752</c:v>
                </c:pt>
                <c:pt idx="796">
                  <c:v>37745</c:v>
                </c:pt>
                <c:pt idx="797">
                  <c:v>37738</c:v>
                </c:pt>
                <c:pt idx="798">
                  <c:v>37731</c:v>
                </c:pt>
                <c:pt idx="799">
                  <c:v>37724</c:v>
                </c:pt>
                <c:pt idx="800">
                  <c:v>37717</c:v>
                </c:pt>
                <c:pt idx="801">
                  <c:v>37710</c:v>
                </c:pt>
                <c:pt idx="802">
                  <c:v>37703</c:v>
                </c:pt>
                <c:pt idx="803">
                  <c:v>37696</c:v>
                </c:pt>
                <c:pt idx="804">
                  <c:v>37689</c:v>
                </c:pt>
                <c:pt idx="805">
                  <c:v>37682</c:v>
                </c:pt>
                <c:pt idx="806">
                  <c:v>37675</c:v>
                </c:pt>
                <c:pt idx="807">
                  <c:v>37668</c:v>
                </c:pt>
                <c:pt idx="808">
                  <c:v>37661</c:v>
                </c:pt>
                <c:pt idx="809">
                  <c:v>37654</c:v>
                </c:pt>
                <c:pt idx="810">
                  <c:v>37647</c:v>
                </c:pt>
                <c:pt idx="811">
                  <c:v>37640</c:v>
                </c:pt>
                <c:pt idx="812">
                  <c:v>37633</c:v>
                </c:pt>
                <c:pt idx="813">
                  <c:v>37626</c:v>
                </c:pt>
                <c:pt idx="814">
                  <c:v>37619</c:v>
                </c:pt>
                <c:pt idx="815">
                  <c:v>37612</c:v>
                </c:pt>
                <c:pt idx="816">
                  <c:v>37605</c:v>
                </c:pt>
                <c:pt idx="817">
                  <c:v>37598</c:v>
                </c:pt>
                <c:pt idx="818">
                  <c:v>37591</c:v>
                </c:pt>
                <c:pt idx="819">
                  <c:v>37584</c:v>
                </c:pt>
                <c:pt idx="820">
                  <c:v>37577</c:v>
                </c:pt>
                <c:pt idx="821">
                  <c:v>37570</c:v>
                </c:pt>
                <c:pt idx="822">
                  <c:v>37563</c:v>
                </c:pt>
                <c:pt idx="823">
                  <c:v>37556</c:v>
                </c:pt>
                <c:pt idx="824">
                  <c:v>37549</c:v>
                </c:pt>
                <c:pt idx="825">
                  <c:v>37542</c:v>
                </c:pt>
                <c:pt idx="826">
                  <c:v>37535</c:v>
                </c:pt>
                <c:pt idx="827">
                  <c:v>37528</c:v>
                </c:pt>
                <c:pt idx="828">
                  <c:v>37521</c:v>
                </c:pt>
                <c:pt idx="829">
                  <c:v>37514</c:v>
                </c:pt>
                <c:pt idx="830">
                  <c:v>37507</c:v>
                </c:pt>
                <c:pt idx="831">
                  <c:v>37500</c:v>
                </c:pt>
                <c:pt idx="832">
                  <c:v>37493</c:v>
                </c:pt>
                <c:pt idx="833">
                  <c:v>37486</c:v>
                </c:pt>
                <c:pt idx="834">
                  <c:v>37479</c:v>
                </c:pt>
                <c:pt idx="835">
                  <c:v>37472</c:v>
                </c:pt>
                <c:pt idx="836">
                  <c:v>37465</c:v>
                </c:pt>
                <c:pt idx="837">
                  <c:v>37458</c:v>
                </c:pt>
                <c:pt idx="838">
                  <c:v>37451</c:v>
                </c:pt>
                <c:pt idx="839">
                  <c:v>37444</c:v>
                </c:pt>
                <c:pt idx="840">
                  <c:v>37437</c:v>
                </c:pt>
                <c:pt idx="841">
                  <c:v>37430</c:v>
                </c:pt>
                <c:pt idx="842">
                  <c:v>37423</c:v>
                </c:pt>
                <c:pt idx="843">
                  <c:v>37416</c:v>
                </c:pt>
                <c:pt idx="844">
                  <c:v>37409</c:v>
                </c:pt>
                <c:pt idx="845">
                  <c:v>37402</c:v>
                </c:pt>
                <c:pt idx="846">
                  <c:v>37395</c:v>
                </c:pt>
                <c:pt idx="847">
                  <c:v>37388</c:v>
                </c:pt>
                <c:pt idx="848">
                  <c:v>37381</c:v>
                </c:pt>
                <c:pt idx="849">
                  <c:v>37374</c:v>
                </c:pt>
                <c:pt idx="850">
                  <c:v>37367</c:v>
                </c:pt>
                <c:pt idx="851">
                  <c:v>37360</c:v>
                </c:pt>
                <c:pt idx="852">
                  <c:v>37353</c:v>
                </c:pt>
                <c:pt idx="853">
                  <c:v>37346</c:v>
                </c:pt>
                <c:pt idx="854">
                  <c:v>37339</c:v>
                </c:pt>
                <c:pt idx="855">
                  <c:v>37332</c:v>
                </c:pt>
                <c:pt idx="856">
                  <c:v>37325</c:v>
                </c:pt>
                <c:pt idx="857">
                  <c:v>37318</c:v>
                </c:pt>
                <c:pt idx="858">
                  <c:v>37311</c:v>
                </c:pt>
                <c:pt idx="859">
                  <c:v>37304</c:v>
                </c:pt>
                <c:pt idx="860">
                  <c:v>37297</c:v>
                </c:pt>
                <c:pt idx="861">
                  <c:v>37290</c:v>
                </c:pt>
                <c:pt idx="862">
                  <c:v>37283</c:v>
                </c:pt>
                <c:pt idx="863">
                  <c:v>37276</c:v>
                </c:pt>
                <c:pt idx="864">
                  <c:v>37269</c:v>
                </c:pt>
                <c:pt idx="865">
                  <c:v>37262</c:v>
                </c:pt>
                <c:pt idx="866">
                  <c:v>37255</c:v>
                </c:pt>
                <c:pt idx="867">
                  <c:v>37248</c:v>
                </c:pt>
                <c:pt idx="868">
                  <c:v>37241</c:v>
                </c:pt>
                <c:pt idx="869">
                  <c:v>37234</c:v>
                </c:pt>
                <c:pt idx="870">
                  <c:v>37227</c:v>
                </c:pt>
                <c:pt idx="871">
                  <c:v>37220</c:v>
                </c:pt>
                <c:pt idx="872">
                  <c:v>37213</c:v>
                </c:pt>
                <c:pt idx="873">
                  <c:v>37206</c:v>
                </c:pt>
                <c:pt idx="874">
                  <c:v>37199</c:v>
                </c:pt>
                <c:pt idx="875">
                  <c:v>37192</c:v>
                </c:pt>
                <c:pt idx="876">
                  <c:v>37185</c:v>
                </c:pt>
                <c:pt idx="877">
                  <c:v>37178</c:v>
                </c:pt>
                <c:pt idx="878">
                  <c:v>37171</c:v>
                </c:pt>
                <c:pt idx="879">
                  <c:v>37164</c:v>
                </c:pt>
                <c:pt idx="880">
                  <c:v>37157</c:v>
                </c:pt>
                <c:pt idx="881">
                  <c:v>37150</c:v>
                </c:pt>
                <c:pt idx="882">
                  <c:v>37143</c:v>
                </c:pt>
                <c:pt idx="883">
                  <c:v>37136</c:v>
                </c:pt>
                <c:pt idx="884">
                  <c:v>37129</c:v>
                </c:pt>
                <c:pt idx="885">
                  <c:v>37122</c:v>
                </c:pt>
                <c:pt idx="886">
                  <c:v>37115</c:v>
                </c:pt>
                <c:pt idx="887">
                  <c:v>37108</c:v>
                </c:pt>
                <c:pt idx="888">
                  <c:v>37101</c:v>
                </c:pt>
                <c:pt idx="889">
                  <c:v>37094</c:v>
                </c:pt>
                <c:pt idx="890">
                  <c:v>37087</c:v>
                </c:pt>
                <c:pt idx="891">
                  <c:v>37080</c:v>
                </c:pt>
                <c:pt idx="892">
                  <c:v>37073</c:v>
                </c:pt>
                <c:pt idx="893">
                  <c:v>37066</c:v>
                </c:pt>
                <c:pt idx="894">
                  <c:v>37059</c:v>
                </c:pt>
                <c:pt idx="895">
                  <c:v>37052</c:v>
                </c:pt>
                <c:pt idx="896">
                  <c:v>37045</c:v>
                </c:pt>
                <c:pt idx="897">
                  <c:v>37038</c:v>
                </c:pt>
                <c:pt idx="898">
                  <c:v>37031</c:v>
                </c:pt>
                <c:pt idx="899">
                  <c:v>37024</c:v>
                </c:pt>
                <c:pt idx="900">
                  <c:v>37017</c:v>
                </c:pt>
                <c:pt idx="901">
                  <c:v>37010</c:v>
                </c:pt>
                <c:pt idx="902">
                  <c:v>37003</c:v>
                </c:pt>
                <c:pt idx="903">
                  <c:v>36996</c:v>
                </c:pt>
                <c:pt idx="904">
                  <c:v>36989</c:v>
                </c:pt>
                <c:pt idx="905">
                  <c:v>36982</c:v>
                </c:pt>
                <c:pt idx="906">
                  <c:v>36975</c:v>
                </c:pt>
                <c:pt idx="907">
                  <c:v>36968</c:v>
                </c:pt>
                <c:pt idx="908">
                  <c:v>36961</c:v>
                </c:pt>
                <c:pt idx="909">
                  <c:v>36954</c:v>
                </c:pt>
                <c:pt idx="910">
                  <c:v>36947</c:v>
                </c:pt>
                <c:pt idx="911">
                  <c:v>36940</c:v>
                </c:pt>
                <c:pt idx="912">
                  <c:v>36933</c:v>
                </c:pt>
                <c:pt idx="913">
                  <c:v>36926</c:v>
                </c:pt>
                <c:pt idx="914">
                  <c:v>36919</c:v>
                </c:pt>
                <c:pt idx="915">
                  <c:v>36912</c:v>
                </c:pt>
                <c:pt idx="916">
                  <c:v>36905</c:v>
                </c:pt>
                <c:pt idx="917">
                  <c:v>36898</c:v>
                </c:pt>
                <c:pt idx="918">
                  <c:v>36891</c:v>
                </c:pt>
                <c:pt idx="919">
                  <c:v>36884</c:v>
                </c:pt>
                <c:pt idx="920">
                  <c:v>36877</c:v>
                </c:pt>
                <c:pt idx="921">
                  <c:v>36870</c:v>
                </c:pt>
                <c:pt idx="922">
                  <c:v>36863</c:v>
                </c:pt>
                <c:pt idx="923">
                  <c:v>36856</c:v>
                </c:pt>
                <c:pt idx="924">
                  <c:v>36849</c:v>
                </c:pt>
                <c:pt idx="925">
                  <c:v>36842</c:v>
                </c:pt>
                <c:pt idx="926">
                  <c:v>36835</c:v>
                </c:pt>
                <c:pt idx="927">
                  <c:v>36828</c:v>
                </c:pt>
                <c:pt idx="928">
                  <c:v>36821</c:v>
                </c:pt>
                <c:pt idx="929">
                  <c:v>36814</c:v>
                </c:pt>
                <c:pt idx="930">
                  <c:v>36807</c:v>
                </c:pt>
                <c:pt idx="931">
                  <c:v>36800</c:v>
                </c:pt>
                <c:pt idx="932">
                  <c:v>36793</c:v>
                </c:pt>
                <c:pt idx="933">
                  <c:v>36786</c:v>
                </c:pt>
                <c:pt idx="934">
                  <c:v>36779</c:v>
                </c:pt>
                <c:pt idx="935">
                  <c:v>36772</c:v>
                </c:pt>
                <c:pt idx="936">
                  <c:v>36765</c:v>
                </c:pt>
                <c:pt idx="937">
                  <c:v>36758</c:v>
                </c:pt>
                <c:pt idx="938">
                  <c:v>36751</c:v>
                </c:pt>
                <c:pt idx="939">
                  <c:v>36744</c:v>
                </c:pt>
                <c:pt idx="940">
                  <c:v>36737</c:v>
                </c:pt>
                <c:pt idx="941">
                  <c:v>36730</c:v>
                </c:pt>
                <c:pt idx="942">
                  <c:v>36723</c:v>
                </c:pt>
                <c:pt idx="943">
                  <c:v>36716</c:v>
                </c:pt>
                <c:pt idx="944">
                  <c:v>36709</c:v>
                </c:pt>
                <c:pt idx="945">
                  <c:v>36702</c:v>
                </c:pt>
                <c:pt idx="946">
                  <c:v>36695</c:v>
                </c:pt>
                <c:pt idx="947">
                  <c:v>36688</c:v>
                </c:pt>
                <c:pt idx="948">
                  <c:v>36681</c:v>
                </c:pt>
                <c:pt idx="949">
                  <c:v>36674</c:v>
                </c:pt>
                <c:pt idx="950">
                  <c:v>36667</c:v>
                </c:pt>
                <c:pt idx="951">
                  <c:v>36660</c:v>
                </c:pt>
                <c:pt idx="952">
                  <c:v>36653</c:v>
                </c:pt>
                <c:pt idx="953">
                  <c:v>36646</c:v>
                </c:pt>
                <c:pt idx="954">
                  <c:v>36639</c:v>
                </c:pt>
                <c:pt idx="955">
                  <c:v>36632</c:v>
                </c:pt>
                <c:pt idx="956">
                  <c:v>36625</c:v>
                </c:pt>
                <c:pt idx="957">
                  <c:v>36618</c:v>
                </c:pt>
                <c:pt idx="958">
                  <c:v>36611</c:v>
                </c:pt>
                <c:pt idx="959">
                  <c:v>36604</c:v>
                </c:pt>
                <c:pt idx="960">
                  <c:v>36597</c:v>
                </c:pt>
                <c:pt idx="961">
                  <c:v>36590</c:v>
                </c:pt>
                <c:pt idx="962">
                  <c:v>36583</c:v>
                </c:pt>
                <c:pt idx="963">
                  <c:v>36576</c:v>
                </c:pt>
                <c:pt idx="964">
                  <c:v>36569</c:v>
                </c:pt>
                <c:pt idx="965">
                  <c:v>36562</c:v>
                </c:pt>
                <c:pt idx="966">
                  <c:v>36555</c:v>
                </c:pt>
                <c:pt idx="967">
                  <c:v>36548</c:v>
                </c:pt>
                <c:pt idx="968">
                  <c:v>36541</c:v>
                </c:pt>
                <c:pt idx="969">
                  <c:v>36534</c:v>
                </c:pt>
                <c:pt idx="970">
                  <c:v>36527</c:v>
                </c:pt>
                <c:pt idx="971">
                  <c:v>36520</c:v>
                </c:pt>
                <c:pt idx="972">
                  <c:v>36513</c:v>
                </c:pt>
                <c:pt idx="973">
                  <c:v>36506</c:v>
                </c:pt>
                <c:pt idx="974">
                  <c:v>36499</c:v>
                </c:pt>
                <c:pt idx="975">
                  <c:v>36492</c:v>
                </c:pt>
                <c:pt idx="976">
                  <c:v>36485</c:v>
                </c:pt>
                <c:pt idx="977">
                  <c:v>36478</c:v>
                </c:pt>
                <c:pt idx="978">
                  <c:v>36471</c:v>
                </c:pt>
                <c:pt idx="979">
                  <c:v>36464</c:v>
                </c:pt>
                <c:pt idx="980">
                  <c:v>36457</c:v>
                </c:pt>
                <c:pt idx="981">
                  <c:v>36450</c:v>
                </c:pt>
                <c:pt idx="982">
                  <c:v>36443</c:v>
                </c:pt>
                <c:pt idx="983">
                  <c:v>36436</c:v>
                </c:pt>
                <c:pt idx="984">
                  <c:v>36429</c:v>
                </c:pt>
                <c:pt idx="985">
                  <c:v>36422</c:v>
                </c:pt>
                <c:pt idx="986">
                  <c:v>36415</c:v>
                </c:pt>
                <c:pt idx="987">
                  <c:v>36408</c:v>
                </c:pt>
                <c:pt idx="988">
                  <c:v>36401</c:v>
                </c:pt>
                <c:pt idx="989">
                  <c:v>36394</c:v>
                </c:pt>
                <c:pt idx="990">
                  <c:v>36387</c:v>
                </c:pt>
                <c:pt idx="991">
                  <c:v>36380</c:v>
                </c:pt>
                <c:pt idx="992">
                  <c:v>36373</c:v>
                </c:pt>
                <c:pt idx="993">
                  <c:v>36366</c:v>
                </c:pt>
                <c:pt idx="994">
                  <c:v>36359</c:v>
                </c:pt>
                <c:pt idx="995">
                  <c:v>36352</c:v>
                </c:pt>
                <c:pt idx="996">
                  <c:v>36345</c:v>
                </c:pt>
                <c:pt idx="997">
                  <c:v>36338</c:v>
                </c:pt>
                <c:pt idx="998">
                  <c:v>36331</c:v>
                </c:pt>
                <c:pt idx="999">
                  <c:v>36324</c:v>
                </c:pt>
                <c:pt idx="1000">
                  <c:v>36317</c:v>
                </c:pt>
                <c:pt idx="1001">
                  <c:v>36310</c:v>
                </c:pt>
                <c:pt idx="1002">
                  <c:v>36303</c:v>
                </c:pt>
                <c:pt idx="1003">
                  <c:v>36296</c:v>
                </c:pt>
                <c:pt idx="1004">
                  <c:v>36289</c:v>
                </c:pt>
                <c:pt idx="1005">
                  <c:v>36282</c:v>
                </c:pt>
                <c:pt idx="1006">
                  <c:v>36275</c:v>
                </c:pt>
                <c:pt idx="1007">
                  <c:v>36268</c:v>
                </c:pt>
                <c:pt idx="1008">
                  <c:v>36261</c:v>
                </c:pt>
                <c:pt idx="1009">
                  <c:v>36254</c:v>
                </c:pt>
                <c:pt idx="1010">
                  <c:v>36247</c:v>
                </c:pt>
                <c:pt idx="1011">
                  <c:v>36240</c:v>
                </c:pt>
                <c:pt idx="1012">
                  <c:v>36233</c:v>
                </c:pt>
                <c:pt idx="1013">
                  <c:v>36226</c:v>
                </c:pt>
                <c:pt idx="1014">
                  <c:v>36219</c:v>
                </c:pt>
                <c:pt idx="1015">
                  <c:v>36212</c:v>
                </c:pt>
                <c:pt idx="1016">
                  <c:v>36205</c:v>
                </c:pt>
                <c:pt idx="1017">
                  <c:v>36198</c:v>
                </c:pt>
                <c:pt idx="1018">
                  <c:v>36191</c:v>
                </c:pt>
                <c:pt idx="1019">
                  <c:v>36184</c:v>
                </c:pt>
                <c:pt idx="1020">
                  <c:v>36177</c:v>
                </c:pt>
                <c:pt idx="1021">
                  <c:v>36170</c:v>
                </c:pt>
                <c:pt idx="1022">
                  <c:v>36163</c:v>
                </c:pt>
                <c:pt idx="1023">
                  <c:v>36156</c:v>
                </c:pt>
                <c:pt idx="1024">
                  <c:v>36149</c:v>
                </c:pt>
                <c:pt idx="1025">
                  <c:v>36142</c:v>
                </c:pt>
                <c:pt idx="1026">
                  <c:v>36135</c:v>
                </c:pt>
                <c:pt idx="1027">
                  <c:v>36128</c:v>
                </c:pt>
                <c:pt idx="1028">
                  <c:v>36121</c:v>
                </c:pt>
                <c:pt idx="1029">
                  <c:v>36114</c:v>
                </c:pt>
                <c:pt idx="1030">
                  <c:v>36107</c:v>
                </c:pt>
                <c:pt idx="1031">
                  <c:v>36100</c:v>
                </c:pt>
                <c:pt idx="1032">
                  <c:v>36093</c:v>
                </c:pt>
                <c:pt idx="1033">
                  <c:v>36086</c:v>
                </c:pt>
                <c:pt idx="1034">
                  <c:v>36079</c:v>
                </c:pt>
                <c:pt idx="1035">
                  <c:v>36072</c:v>
                </c:pt>
                <c:pt idx="1036">
                  <c:v>36065</c:v>
                </c:pt>
                <c:pt idx="1037">
                  <c:v>36058</c:v>
                </c:pt>
                <c:pt idx="1038">
                  <c:v>36051</c:v>
                </c:pt>
                <c:pt idx="1039">
                  <c:v>36044</c:v>
                </c:pt>
                <c:pt idx="1040">
                  <c:v>36037</c:v>
                </c:pt>
                <c:pt idx="1041">
                  <c:v>36030</c:v>
                </c:pt>
                <c:pt idx="1042">
                  <c:v>36023</c:v>
                </c:pt>
                <c:pt idx="1043">
                  <c:v>36016</c:v>
                </c:pt>
                <c:pt idx="1044">
                  <c:v>36009</c:v>
                </c:pt>
                <c:pt idx="1045">
                  <c:v>36002</c:v>
                </c:pt>
                <c:pt idx="1046">
                  <c:v>35995</c:v>
                </c:pt>
                <c:pt idx="1047">
                  <c:v>35988</c:v>
                </c:pt>
                <c:pt idx="1048">
                  <c:v>35981</c:v>
                </c:pt>
                <c:pt idx="1049">
                  <c:v>35974</c:v>
                </c:pt>
                <c:pt idx="1050">
                  <c:v>35967</c:v>
                </c:pt>
                <c:pt idx="1051">
                  <c:v>35960</c:v>
                </c:pt>
                <c:pt idx="1052">
                  <c:v>35953</c:v>
                </c:pt>
                <c:pt idx="1053">
                  <c:v>35946</c:v>
                </c:pt>
                <c:pt idx="1054">
                  <c:v>35939</c:v>
                </c:pt>
                <c:pt idx="1055">
                  <c:v>35932</c:v>
                </c:pt>
                <c:pt idx="1056">
                  <c:v>35925</c:v>
                </c:pt>
                <c:pt idx="1057">
                  <c:v>35918</c:v>
                </c:pt>
                <c:pt idx="1058">
                  <c:v>35911</c:v>
                </c:pt>
                <c:pt idx="1059">
                  <c:v>35904</c:v>
                </c:pt>
                <c:pt idx="1060">
                  <c:v>35897</c:v>
                </c:pt>
                <c:pt idx="1061">
                  <c:v>35890</c:v>
                </c:pt>
                <c:pt idx="1062">
                  <c:v>35883</c:v>
                </c:pt>
                <c:pt idx="1063">
                  <c:v>35876</c:v>
                </c:pt>
                <c:pt idx="1064">
                  <c:v>35869</c:v>
                </c:pt>
                <c:pt idx="1065">
                  <c:v>35862</c:v>
                </c:pt>
                <c:pt idx="1066">
                  <c:v>35855</c:v>
                </c:pt>
                <c:pt idx="1067">
                  <c:v>35848</c:v>
                </c:pt>
                <c:pt idx="1068">
                  <c:v>35841</c:v>
                </c:pt>
                <c:pt idx="1069">
                  <c:v>35834</c:v>
                </c:pt>
                <c:pt idx="1070">
                  <c:v>35827</c:v>
                </c:pt>
                <c:pt idx="1071">
                  <c:v>35820</c:v>
                </c:pt>
                <c:pt idx="1072">
                  <c:v>35813</c:v>
                </c:pt>
                <c:pt idx="1073">
                  <c:v>35806</c:v>
                </c:pt>
                <c:pt idx="1074">
                  <c:v>35799</c:v>
                </c:pt>
                <c:pt idx="1075">
                  <c:v>35792</c:v>
                </c:pt>
                <c:pt idx="1076">
                  <c:v>35785</c:v>
                </c:pt>
                <c:pt idx="1077">
                  <c:v>35778</c:v>
                </c:pt>
                <c:pt idx="1078">
                  <c:v>35771</c:v>
                </c:pt>
                <c:pt idx="1079">
                  <c:v>35764</c:v>
                </c:pt>
                <c:pt idx="1080">
                  <c:v>35757</c:v>
                </c:pt>
                <c:pt idx="1081">
                  <c:v>35750</c:v>
                </c:pt>
                <c:pt idx="1082">
                  <c:v>35743</c:v>
                </c:pt>
                <c:pt idx="1083">
                  <c:v>35736</c:v>
                </c:pt>
                <c:pt idx="1084">
                  <c:v>35729</c:v>
                </c:pt>
                <c:pt idx="1085">
                  <c:v>35722</c:v>
                </c:pt>
                <c:pt idx="1086">
                  <c:v>35715</c:v>
                </c:pt>
                <c:pt idx="1087">
                  <c:v>35708</c:v>
                </c:pt>
                <c:pt idx="1088">
                  <c:v>35701</c:v>
                </c:pt>
                <c:pt idx="1089">
                  <c:v>35694</c:v>
                </c:pt>
                <c:pt idx="1090">
                  <c:v>35687</c:v>
                </c:pt>
                <c:pt idx="1091">
                  <c:v>35680</c:v>
                </c:pt>
                <c:pt idx="1092">
                  <c:v>35673</c:v>
                </c:pt>
                <c:pt idx="1093">
                  <c:v>35666</c:v>
                </c:pt>
                <c:pt idx="1094">
                  <c:v>35659</c:v>
                </c:pt>
                <c:pt idx="1095">
                  <c:v>35652</c:v>
                </c:pt>
                <c:pt idx="1096">
                  <c:v>35645</c:v>
                </c:pt>
                <c:pt idx="1097">
                  <c:v>35638</c:v>
                </c:pt>
                <c:pt idx="1098">
                  <c:v>35631</c:v>
                </c:pt>
                <c:pt idx="1099">
                  <c:v>35624</c:v>
                </c:pt>
                <c:pt idx="1100">
                  <c:v>35617</c:v>
                </c:pt>
                <c:pt idx="1101">
                  <c:v>35610</c:v>
                </c:pt>
                <c:pt idx="1102">
                  <c:v>35603</c:v>
                </c:pt>
                <c:pt idx="1103">
                  <c:v>35596</c:v>
                </c:pt>
                <c:pt idx="1104">
                  <c:v>35589</c:v>
                </c:pt>
                <c:pt idx="1105">
                  <c:v>35582</c:v>
                </c:pt>
                <c:pt idx="1106">
                  <c:v>35575</c:v>
                </c:pt>
                <c:pt idx="1107">
                  <c:v>35568</c:v>
                </c:pt>
                <c:pt idx="1108">
                  <c:v>35561</c:v>
                </c:pt>
                <c:pt idx="1109">
                  <c:v>35554</c:v>
                </c:pt>
                <c:pt idx="1110">
                  <c:v>35547</c:v>
                </c:pt>
                <c:pt idx="1111">
                  <c:v>35540</c:v>
                </c:pt>
                <c:pt idx="1112">
                  <c:v>35533</c:v>
                </c:pt>
                <c:pt idx="1113">
                  <c:v>35526</c:v>
                </c:pt>
                <c:pt idx="1114">
                  <c:v>35519</c:v>
                </c:pt>
                <c:pt idx="1115">
                  <c:v>35512</c:v>
                </c:pt>
                <c:pt idx="1116">
                  <c:v>35505</c:v>
                </c:pt>
                <c:pt idx="1117">
                  <c:v>35498</c:v>
                </c:pt>
                <c:pt idx="1118">
                  <c:v>35491</c:v>
                </c:pt>
                <c:pt idx="1119">
                  <c:v>35484</c:v>
                </c:pt>
                <c:pt idx="1120">
                  <c:v>35477</c:v>
                </c:pt>
                <c:pt idx="1121">
                  <c:v>35470</c:v>
                </c:pt>
                <c:pt idx="1122">
                  <c:v>35463</c:v>
                </c:pt>
                <c:pt idx="1123">
                  <c:v>35456</c:v>
                </c:pt>
                <c:pt idx="1124">
                  <c:v>35449</c:v>
                </c:pt>
                <c:pt idx="1125">
                  <c:v>35442</c:v>
                </c:pt>
                <c:pt idx="1126">
                  <c:v>35435</c:v>
                </c:pt>
                <c:pt idx="1127">
                  <c:v>35428</c:v>
                </c:pt>
                <c:pt idx="1128">
                  <c:v>35421</c:v>
                </c:pt>
                <c:pt idx="1129">
                  <c:v>35414</c:v>
                </c:pt>
                <c:pt idx="1130">
                  <c:v>35407</c:v>
                </c:pt>
                <c:pt idx="1131">
                  <c:v>35400</c:v>
                </c:pt>
                <c:pt idx="1132">
                  <c:v>35393</c:v>
                </c:pt>
                <c:pt idx="1133">
                  <c:v>35386</c:v>
                </c:pt>
                <c:pt idx="1134">
                  <c:v>35379</c:v>
                </c:pt>
                <c:pt idx="1135">
                  <c:v>35372</c:v>
                </c:pt>
                <c:pt idx="1136">
                  <c:v>35365</c:v>
                </c:pt>
                <c:pt idx="1137">
                  <c:v>35358</c:v>
                </c:pt>
                <c:pt idx="1138">
                  <c:v>35351</c:v>
                </c:pt>
                <c:pt idx="1139">
                  <c:v>35344</c:v>
                </c:pt>
                <c:pt idx="1140">
                  <c:v>35337</c:v>
                </c:pt>
                <c:pt idx="1141">
                  <c:v>35330</c:v>
                </c:pt>
                <c:pt idx="1142">
                  <c:v>35323</c:v>
                </c:pt>
                <c:pt idx="1143">
                  <c:v>35316</c:v>
                </c:pt>
                <c:pt idx="1144">
                  <c:v>35309</c:v>
                </c:pt>
                <c:pt idx="1145">
                  <c:v>35302</c:v>
                </c:pt>
                <c:pt idx="1146">
                  <c:v>35295</c:v>
                </c:pt>
                <c:pt idx="1147">
                  <c:v>35288</c:v>
                </c:pt>
                <c:pt idx="1148">
                  <c:v>35281</c:v>
                </c:pt>
                <c:pt idx="1149">
                  <c:v>35274</c:v>
                </c:pt>
                <c:pt idx="1150">
                  <c:v>35267</c:v>
                </c:pt>
                <c:pt idx="1151">
                  <c:v>35260</c:v>
                </c:pt>
                <c:pt idx="1152">
                  <c:v>35253</c:v>
                </c:pt>
                <c:pt idx="1153">
                  <c:v>35246</c:v>
                </c:pt>
                <c:pt idx="1154">
                  <c:v>35239</c:v>
                </c:pt>
                <c:pt idx="1155">
                  <c:v>35232</c:v>
                </c:pt>
                <c:pt idx="1156">
                  <c:v>35225</c:v>
                </c:pt>
                <c:pt idx="1157">
                  <c:v>35218</c:v>
                </c:pt>
                <c:pt idx="1158">
                  <c:v>35211</c:v>
                </c:pt>
                <c:pt idx="1159">
                  <c:v>35204</c:v>
                </c:pt>
                <c:pt idx="1160">
                  <c:v>35197</c:v>
                </c:pt>
                <c:pt idx="1161">
                  <c:v>35190</c:v>
                </c:pt>
                <c:pt idx="1162">
                  <c:v>35183</c:v>
                </c:pt>
                <c:pt idx="1163">
                  <c:v>35176</c:v>
                </c:pt>
                <c:pt idx="1164">
                  <c:v>35169</c:v>
                </c:pt>
                <c:pt idx="1165">
                  <c:v>35162</c:v>
                </c:pt>
                <c:pt idx="1166">
                  <c:v>35155</c:v>
                </c:pt>
                <c:pt idx="1167">
                  <c:v>35148</c:v>
                </c:pt>
                <c:pt idx="1168">
                  <c:v>35141</c:v>
                </c:pt>
                <c:pt idx="1169">
                  <c:v>35134</c:v>
                </c:pt>
                <c:pt idx="1170">
                  <c:v>35127</c:v>
                </c:pt>
                <c:pt idx="1171">
                  <c:v>35120</c:v>
                </c:pt>
                <c:pt idx="1172">
                  <c:v>35113</c:v>
                </c:pt>
                <c:pt idx="1173">
                  <c:v>35106</c:v>
                </c:pt>
                <c:pt idx="1174">
                  <c:v>35099</c:v>
                </c:pt>
                <c:pt idx="1175">
                  <c:v>35092</c:v>
                </c:pt>
                <c:pt idx="1176">
                  <c:v>35085</c:v>
                </c:pt>
                <c:pt idx="1177">
                  <c:v>35078</c:v>
                </c:pt>
                <c:pt idx="1178">
                  <c:v>35071</c:v>
                </c:pt>
                <c:pt idx="1179">
                  <c:v>35064</c:v>
                </c:pt>
                <c:pt idx="1180">
                  <c:v>35057</c:v>
                </c:pt>
                <c:pt idx="1181">
                  <c:v>35050</c:v>
                </c:pt>
                <c:pt idx="1182">
                  <c:v>35043</c:v>
                </c:pt>
                <c:pt idx="1183">
                  <c:v>35036</c:v>
                </c:pt>
                <c:pt idx="1184">
                  <c:v>35029</c:v>
                </c:pt>
                <c:pt idx="1185">
                  <c:v>35022</c:v>
                </c:pt>
                <c:pt idx="1186">
                  <c:v>35015</c:v>
                </c:pt>
                <c:pt idx="1187">
                  <c:v>35008</c:v>
                </c:pt>
                <c:pt idx="1188">
                  <c:v>35001</c:v>
                </c:pt>
                <c:pt idx="1189">
                  <c:v>34994</c:v>
                </c:pt>
                <c:pt idx="1190">
                  <c:v>34987</c:v>
                </c:pt>
                <c:pt idx="1191">
                  <c:v>34980</c:v>
                </c:pt>
                <c:pt idx="1192">
                  <c:v>34973</c:v>
                </c:pt>
                <c:pt idx="1193">
                  <c:v>34966</c:v>
                </c:pt>
                <c:pt idx="1194">
                  <c:v>34959</c:v>
                </c:pt>
                <c:pt idx="1195">
                  <c:v>34952</c:v>
                </c:pt>
                <c:pt idx="1196">
                  <c:v>34945</c:v>
                </c:pt>
                <c:pt idx="1197">
                  <c:v>34938</c:v>
                </c:pt>
                <c:pt idx="1198">
                  <c:v>34931</c:v>
                </c:pt>
                <c:pt idx="1199">
                  <c:v>34924</c:v>
                </c:pt>
                <c:pt idx="1200">
                  <c:v>34917</c:v>
                </c:pt>
                <c:pt idx="1201">
                  <c:v>34910</c:v>
                </c:pt>
                <c:pt idx="1202">
                  <c:v>34903</c:v>
                </c:pt>
                <c:pt idx="1203">
                  <c:v>34896</c:v>
                </c:pt>
                <c:pt idx="1204">
                  <c:v>34889</c:v>
                </c:pt>
                <c:pt idx="1205">
                  <c:v>34882</c:v>
                </c:pt>
                <c:pt idx="1206">
                  <c:v>34875</c:v>
                </c:pt>
                <c:pt idx="1207">
                  <c:v>34868</c:v>
                </c:pt>
                <c:pt idx="1208">
                  <c:v>34861</c:v>
                </c:pt>
                <c:pt idx="1209">
                  <c:v>34854</c:v>
                </c:pt>
                <c:pt idx="1210">
                  <c:v>34847</c:v>
                </c:pt>
                <c:pt idx="1211">
                  <c:v>34840</c:v>
                </c:pt>
                <c:pt idx="1212">
                  <c:v>34833</c:v>
                </c:pt>
                <c:pt idx="1213">
                  <c:v>34826</c:v>
                </c:pt>
                <c:pt idx="1214">
                  <c:v>34819</c:v>
                </c:pt>
                <c:pt idx="1215">
                  <c:v>34812</c:v>
                </c:pt>
                <c:pt idx="1216">
                  <c:v>34805</c:v>
                </c:pt>
                <c:pt idx="1217">
                  <c:v>34798</c:v>
                </c:pt>
                <c:pt idx="1218">
                  <c:v>34791</c:v>
                </c:pt>
                <c:pt idx="1219">
                  <c:v>34784</c:v>
                </c:pt>
                <c:pt idx="1220">
                  <c:v>34777</c:v>
                </c:pt>
                <c:pt idx="1221">
                  <c:v>34770</c:v>
                </c:pt>
                <c:pt idx="1222">
                  <c:v>34763</c:v>
                </c:pt>
                <c:pt idx="1223">
                  <c:v>34756</c:v>
                </c:pt>
                <c:pt idx="1224">
                  <c:v>34749</c:v>
                </c:pt>
                <c:pt idx="1225">
                  <c:v>34742</c:v>
                </c:pt>
                <c:pt idx="1226">
                  <c:v>34735</c:v>
                </c:pt>
                <c:pt idx="1227">
                  <c:v>34728</c:v>
                </c:pt>
                <c:pt idx="1228">
                  <c:v>34721</c:v>
                </c:pt>
                <c:pt idx="1229">
                  <c:v>34714</c:v>
                </c:pt>
                <c:pt idx="1230">
                  <c:v>34707</c:v>
                </c:pt>
                <c:pt idx="1231">
                  <c:v>34700</c:v>
                </c:pt>
                <c:pt idx="1232">
                  <c:v>34693</c:v>
                </c:pt>
                <c:pt idx="1233">
                  <c:v>34686</c:v>
                </c:pt>
                <c:pt idx="1234">
                  <c:v>34679</c:v>
                </c:pt>
                <c:pt idx="1235">
                  <c:v>34672</c:v>
                </c:pt>
                <c:pt idx="1236">
                  <c:v>34665</c:v>
                </c:pt>
                <c:pt idx="1237">
                  <c:v>34658</c:v>
                </c:pt>
                <c:pt idx="1238">
                  <c:v>34651</c:v>
                </c:pt>
                <c:pt idx="1239">
                  <c:v>34644</c:v>
                </c:pt>
                <c:pt idx="1240">
                  <c:v>34637</c:v>
                </c:pt>
                <c:pt idx="1241">
                  <c:v>34630</c:v>
                </c:pt>
                <c:pt idx="1242">
                  <c:v>34623</c:v>
                </c:pt>
                <c:pt idx="1243">
                  <c:v>34616</c:v>
                </c:pt>
                <c:pt idx="1244">
                  <c:v>34609</c:v>
                </c:pt>
                <c:pt idx="1245">
                  <c:v>34602</c:v>
                </c:pt>
              </c:numCache>
            </c:numRef>
          </c:cat>
          <c:val>
            <c:numRef>
              <c:f>Summary!$V$4:$V$1249</c:f>
              <c:numCache>
                <c:formatCode>General</c:formatCode>
                <c:ptCount val="1246"/>
                <c:pt idx="0">
                  <c:v>83.94</c:v>
                </c:pt>
                <c:pt idx="1">
                  <c:v>84.4</c:v>
                </c:pt>
                <c:pt idx="2">
                  <c:v>84.14</c:v>
                </c:pt>
                <c:pt idx="3">
                  <c:v>84.38</c:v>
                </c:pt>
                <c:pt idx="4">
                  <c:v>84.85</c:v>
                </c:pt>
                <c:pt idx="5">
                  <c:v>84.72</c:v>
                </c:pt>
                <c:pt idx="6">
                  <c:v>85.13</c:v>
                </c:pt>
                <c:pt idx="7">
                  <c:v>84.84</c:v>
                </c:pt>
                <c:pt idx="8">
                  <c:v>85.5</c:v>
                </c:pt>
                <c:pt idx="9">
                  <c:v>86.57</c:v>
                </c:pt>
                <c:pt idx="10">
                  <c:v>87.77</c:v>
                </c:pt>
                <c:pt idx="11">
                  <c:v>87.18</c:v>
                </c:pt>
                <c:pt idx="12">
                  <c:v>86.31</c:v>
                </c:pt>
                <c:pt idx="13">
                  <c:v>85.79</c:v>
                </c:pt>
                <c:pt idx="14">
                  <c:v>86.14</c:v>
                </c:pt>
                <c:pt idx="15">
                  <c:v>86.32</c:v>
                </c:pt>
                <c:pt idx="16">
                  <c:v>86.6</c:v>
                </c:pt>
                <c:pt idx="17">
                  <c:v>86.93</c:v>
                </c:pt>
                <c:pt idx="18">
                  <c:v>87.12</c:v>
                </c:pt>
                <c:pt idx="19">
                  <c:v>87.44</c:v>
                </c:pt>
                <c:pt idx="20">
                  <c:v>87.63</c:v>
                </c:pt>
                <c:pt idx="21">
                  <c:v>87.91</c:v>
                </c:pt>
                <c:pt idx="22">
                  <c:v>87.98</c:v>
                </c:pt>
                <c:pt idx="23">
                  <c:v>86.94</c:v>
                </c:pt>
                <c:pt idx="24">
                  <c:v>86.48</c:v>
                </c:pt>
                <c:pt idx="25">
                  <c:v>85.82</c:v>
                </c:pt>
                <c:pt idx="26">
                  <c:v>85.11</c:v>
                </c:pt>
                <c:pt idx="27">
                  <c:v>83.77</c:v>
                </c:pt>
                <c:pt idx="28">
                  <c:v>84.68</c:v>
                </c:pt>
                <c:pt idx="29">
                  <c:v>85.54</c:v>
                </c:pt>
                <c:pt idx="30">
                  <c:v>85.59</c:v>
                </c:pt>
                <c:pt idx="31">
                  <c:v>81.75</c:v>
                </c:pt>
                <c:pt idx="32">
                  <c:v>80.78</c:v>
                </c:pt>
                <c:pt idx="33">
                  <c:v>80.319999999999993</c:v>
                </c:pt>
                <c:pt idx="34">
                  <c:v>80.760000000000005</c:v>
                </c:pt>
                <c:pt idx="35">
                  <c:v>82.14</c:v>
                </c:pt>
                <c:pt idx="36">
                  <c:v>82.05</c:v>
                </c:pt>
                <c:pt idx="37">
                  <c:v>83.09</c:v>
                </c:pt>
                <c:pt idx="38">
                  <c:v>83.03</c:v>
                </c:pt>
                <c:pt idx="39">
                  <c:v>81.91</c:v>
                </c:pt>
                <c:pt idx="40">
                  <c:v>79.38</c:v>
                </c:pt>
                <c:pt idx="41">
                  <c:v>77.48</c:v>
                </c:pt>
                <c:pt idx="42">
                  <c:v>76.05</c:v>
                </c:pt>
                <c:pt idx="43">
                  <c:v>75.540000000000006</c:v>
                </c:pt>
                <c:pt idx="44">
                  <c:v>76.05</c:v>
                </c:pt>
                <c:pt idx="45">
                  <c:v>77.94</c:v>
                </c:pt>
                <c:pt idx="46">
                  <c:v>79.14</c:v>
                </c:pt>
                <c:pt idx="47">
                  <c:v>79.84</c:v>
                </c:pt>
                <c:pt idx="48">
                  <c:v>79.94</c:v>
                </c:pt>
                <c:pt idx="49">
                  <c:v>80.650000000000006</c:v>
                </c:pt>
                <c:pt idx="50">
                  <c:v>80.7</c:v>
                </c:pt>
                <c:pt idx="51">
                  <c:v>80.69</c:v>
                </c:pt>
                <c:pt idx="52">
                  <c:v>80.430000000000007</c:v>
                </c:pt>
                <c:pt idx="53">
                  <c:v>81.08</c:v>
                </c:pt>
                <c:pt idx="54">
                  <c:v>80.77</c:v>
                </c:pt>
                <c:pt idx="55">
                  <c:v>80.64</c:v>
                </c:pt>
                <c:pt idx="56">
                  <c:v>80.72</c:v>
                </c:pt>
                <c:pt idx="57">
                  <c:v>81.06</c:v>
                </c:pt>
                <c:pt idx="58">
                  <c:v>83.02</c:v>
                </c:pt>
                <c:pt idx="59">
                  <c:v>84.15</c:v>
                </c:pt>
                <c:pt idx="60">
                  <c:v>84.84</c:v>
                </c:pt>
                <c:pt idx="61">
                  <c:v>84.97</c:v>
                </c:pt>
                <c:pt idx="62">
                  <c:v>85.77</c:v>
                </c:pt>
                <c:pt idx="63">
                  <c:v>85.35</c:v>
                </c:pt>
                <c:pt idx="64">
                  <c:v>85</c:v>
                </c:pt>
                <c:pt idx="65">
                  <c:v>84.68</c:v>
                </c:pt>
                <c:pt idx="66">
                  <c:v>85.36</c:v>
                </c:pt>
                <c:pt idx="67">
                  <c:v>85.07</c:v>
                </c:pt>
                <c:pt idx="68">
                  <c:v>84.68</c:v>
                </c:pt>
                <c:pt idx="69">
                  <c:v>84.46</c:v>
                </c:pt>
                <c:pt idx="70">
                  <c:v>84.7</c:v>
                </c:pt>
                <c:pt idx="71">
                  <c:v>84.89</c:v>
                </c:pt>
                <c:pt idx="72">
                  <c:v>84.99</c:v>
                </c:pt>
                <c:pt idx="73">
                  <c:v>85.14</c:v>
                </c:pt>
                <c:pt idx="74">
                  <c:v>85.39</c:v>
                </c:pt>
                <c:pt idx="75">
                  <c:v>84.73</c:v>
                </c:pt>
                <c:pt idx="76">
                  <c:v>85.53</c:v>
                </c:pt>
                <c:pt idx="77">
                  <c:v>86.15</c:v>
                </c:pt>
                <c:pt idx="78">
                  <c:v>86.3</c:v>
                </c:pt>
                <c:pt idx="79">
                  <c:v>82.9</c:v>
                </c:pt>
                <c:pt idx="80">
                  <c:v>81.88</c:v>
                </c:pt>
                <c:pt idx="81">
                  <c:v>80.930000000000007</c:v>
                </c:pt>
                <c:pt idx="82">
                  <c:v>80.569999999999993</c:v>
                </c:pt>
                <c:pt idx="83">
                  <c:v>80.92</c:v>
                </c:pt>
                <c:pt idx="84">
                  <c:v>80.12</c:v>
                </c:pt>
                <c:pt idx="85">
                  <c:v>80.55</c:v>
                </c:pt>
                <c:pt idx="86">
                  <c:v>80.400000000000006</c:v>
                </c:pt>
                <c:pt idx="87">
                  <c:v>79.84</c:v>
                </c:pt>
                <c:pt idx="88">
                  <c:v>77.180000000000007</c:v>
                </c:pt>
                <c:pt idx="89">
                  <c:v>76.739999999999995</c:v>
                </c:pt>
                <c:pt idx="90">
                  <c:v>77</c:v>
                </c:pt>
                <c:pt idx="91">
                  <c:v>77.69</c:v>
                </c:pt>
                <c:pt idx="92">
                  <c:v>78.84</c:v>
                </c:pt>
                <c:pt idx="93">
                  <c:v>79.06</c:v>
                </c:pt>
                <c:pt idx="94">
                  <c:v>78.930000000000007</c:v>
                </c:pt>
                <c:pt idx="95">
                  <c:v>78.569999999999993</c:v>
                </c:pt>
                <c:pt idx="96">
                  <c:v>78.47</c:v>
                </c:pt>
                <c:pt idx="97">
                  <c:v>77.790000000000006</c:v>
                </c:pt>
                <c:pt idx="98">
                  <c:v>77.66</c:v>
                </c:pt>
                <c:pt idx="99">
                  <c:v>77.08</c:v>
                </c:pt>
                <c:pt idx="100">
                  <c:v>76.489999999999995</c:v>
                </c:pt>
                <c:pt idx="101">
                  <c:v>75.28</c:v>
                </c:pt>
                <c:pt idx="102">
                  <c:v>75.650000000000006</c:v>
                </c:pt>
                <c:pt idx="103">
                  <c:v>76.64</c:v>
                </c:pt>
                <c:pt idx="104">
                  <c:v>77.67</c:v>
                </c:pt>
                <c:pt idx="105">
                  <c:v>75.92</c:v>
                </c:pt>
                <c:pt idx="106">
                  <c:v>75.3</c:v>
                </c:pt>
                <c:pt idx="107">
                  <c:v>74.38</c:v>
                </c:pt>
                <c:pt idx="108">
                  <c:v>73.89</c:v>
                </c:pt>
                <c:pt idx="109">
                  <c:v>74.08</c:v>
                </c:pt>
                <c:pt idx="110">
                  <c:v>73.3</c:v>
                </c:pt>
                <c:pt idx="111">
                  <c:v>72.55</c:v>
                </c:pt>
                <c:pt idx="112">
                  <c:v>71.400000000000006</c:v>
                </c:pt>
                <c:pt idx="113">
                  <c:v>71.06</c:v>
                </c:pt>
                <c:pt idx="114">
                  <c:v>71.62</c:v>
                </c:pt>
                <c:pt idx="115">
                  <c:v>72.86</c:v>
                </c:pt>
                <c:pt idx="116">
                  <c:v>73.430000000000007</c:v>
                </c:pt>
                <c:pt idx="117">
                  <c:v>72.87</c:v>
                </c:pt>
                <c:pt idx="118">
                  <c:v>71.63</c:v>
                </c:pt>
                <c:pt idx="119">
                  <c:v>70.78</c:v>
                </c:pt>
                <c:pt idx="120">
                  <c:v>71.260000000000005</c:v>
                </c:pt>
                <c:pt idx="121">
                  <c:v>72.56</c:v>
                </c:pt>
                <c:pt idx="122">
                  <c:v>73.930000000000007</c:v>
                </c:pt>
                <c:pt idx="123">
                  <c:v>73.959999999999994</c:v>
                </c:pt>
                <c:pt idx="124">
                  <c:v>73.59</c:v>
                </c:pt>
                <c:pt idx="125">
                  <c:v>72.05</c:v>
                </c:pt>
                <c:pt idx="126">
                  <c:v>70</c:v>
                </c:pt>
                <c:pt idx="127">
                  <c:v>69.27</c:v>
                </c:pt>
                <c:pt idx="128">
                  <c:v>69.31</c:v>
                </c:pt>
                <c:pt idx="129">
                  <c:v>69.63</c:v>
                </c:pt>
                <c:pt idx="130">
                  <c:v>69.400000000000006</c:v>
                </c:pt>
                <c:pt idx="131">
                  <c:v>70.81</c:v>
                </c:pt>
                <c:pt idx="132">
                  <c:v>70.819999999999993</c:v>
                </c:pt>
                <c:pt idx="133">
                  <c:v>71.010000000000005</c:v>
                </c:pt>
                <c:pt idx="134">
                  <c:v>71.23</c:v>
                </c:pt>
                <c:pt idx="135">
                  <c:v>71.67</c:v>
                </c:pt>
                <c:pt idx="136">
                  <c:v>74.11</c:v>
                </c:pt>
                <c:pt idx="137">
                  <c:v>74.569999999999993</c:v>
                </c:pt>
                <c:pt idx="138">
                  <c:v>74.52</c:v>
                </c:pt>
                <c:pt idx="139">
                  <c:v>74.33</c:v>
                </c:pt>
                <c:pt idx="140">
                  <c:v>76.53</c:v>
                </c:pt>
                <c:pt idx="141">
                  <c:v>76.94</c:v>
                </c:pt>
                <c:pt idx="142">
                  <c:v>77.209999999999994</c:v>
                </c:pt>
                <c:pt idx="143">
                  <c:v>77.319999999999993</c:v>
                </c:pt>
                <c:pt idx="144">
                  <c:v>77.11</c:v>
                </c:pt>
                <c:pt idx="145">
                  <c:v>77.67</c:v>
                </c:pt>
                <c:pt idx="146">
                  <c:v>77.34</c:v>
                </c:pt>
                <c:pt idx="147">
                  <c:v>77.34</c:v>
                </c:pt>
                <c:pt idx="148">
                  <c:v>77.459999999999994</c:v>
                </c:pt>
                <c:pt idx="149">
                  <c:v>77.66</c:v>
                </c:pt>
                <c:pt idx="150">
                  <c:v>77.14</c:v>
                </c:pt>
                <c:pt idx="151">
                  <c:v>77.28</c:v>
                </c:pt>
                <c:pt idx="152">
                  <c:v>77.959999999999994</c:v>
                </c:pt>
                <c:pt idx="153">
                  <c:v>77.45</c:v>
                </c:pt>
                <c:pt idx="154">
                  <c:v>77.52</c:v>
                </c:pt>
                <c:pt idx="155">
                  <c:v>77.28</c:v>
                </c:pt>
                <c:pt idx="156">
                  <c:v>77.099999999999994</c:v>
                </c:pt>
                <c:pt idx="157">
                  <c:v>77.11</c:v>
                </c:pt>
                <c:pt idx="158">
                  <c:v>75.64</c:v>
                </c:pt>
                <c:pt idx="159">
                  <c:v>76.069999999999993</c:v>
                </c:pt>
                <c:pt idx="160">
                  <c:v>76.27</c:v>
                </c:pt>
                <c:pt idx="161">
                  <c:v>75.959999999999994</c:v>
                </c:pt>
                <c:pt idx="162">
                  <c:v>74.03</c:v>
                </c:pt>
                <c:pt idx="163">
                  <c:v>74.349999999999994</c:v>
                </c:pt>
                <c:pt idx="164">
                  <c:v>75.239999999999995</c:v>
                </c:pt>
                <c:pt idx="165">
                  <c:v>76.040000000000006</c:v>
                </c:pt>
                <c:pt idx="166">
                  <c:v>77.48</c:v>
                </c:pt>
                <c:pt idx="167">
                  <c:v>77.16</c:v>
                </c:pt>
                <c:pt idx="168">
                  <c:v>76.959999999999994</c:v>
                </c:pt>
                <c:pt idx="169">
                  <c:v>77.14</c:v>
                </c:pt>
                <c:pt idx="170">
                  <c:v>77.42</c:v>
                </c:pt>
                <c:pt idx="171">
                  <c:v>79.64</c:v>
                </c:pt>
                <c:pt idx="172">
                  <c:v>79.040000000000006</c:v>
                </c:pt>
                <c:pt idx="173">
                  <c:v>77.98</c:v>
                </c:pt>
                <c:pt idx="174">
                  <c:v>76.989999999999995</c:v>
                </c:pt>
                <c:pt idx="175">
                  <c:v>79.42</c:v>
                </c:pt>
                <c:pt idx="176">
                  <c:v>80.09</c:v>
                </c:pt>
                <c:pt idx="177">
                  <c:v>81.14</c:v>
                </c:pt>
                <c:pt idx="178">
                  <c:v>81.78</c:v>
                </c:pt>
                <c:pt idx="179">
                  <c:v>81.64</c:v>
                </c:pt>
                <c:pt idx="180">
                  <c:v>81.2</c:v>
                </c:pt>
                <c:pt idx="181">
                  <c:v>80.02</c:v>
                </c:pt>
                <c:pt idx="182">
                  <c:v>79.31</c:v>
                </c:pt>
                <c:pt idx="183">
                  <c:v>79.63</c:v>
                </c:pt>
                <c:pt idx="184">
                  <c:v>80.56</c:v>
                </c:pt>
                <c:pt idx="185">
                  <c:v>81.680000000000007</c:v>
                </c:pt>
                <c:pt idx="186">
                  <c:v>81.569999999999993</c:v>
                </c:pt>
                <c:pt idx="187">
                  <c:v>80.38</c:v>
                </c:pt>
                <c:pt idx="188">
                  <c:v>78.739999999999995</c:v>
                </c:pt>
                <c:pt idx="189">
                  <c:v>78.510000000000005</c:v>
                </c:pt>
                <c:pt idx="190">
                  <c:v>79.069999999999993</c:v>
                </c:pt>
                <c:pt idx="191">
                  <c:v>80.099999999999994</c:v>
                </c:pt>
                <c:pt idx="192">
                  <c:v>81.48</c:v>
                </c:pt>
                <c:pt idx="193">
                  <c:v>82.85</c:v>
                </c:pt>
                <c:pt idx="194">
                  <c:v>83.76</c:v>
                </c:pt>
                <c:pt idx="195">
                  <c:v>83.77</c:v>
                </c:pt>
                <c:pt idx="196">
                  <c:v>83.1</c:v>
                </c:pt>
                <c:pt idx="197">
                  <c:v>82.13</c:v>
                </c:pt>
                <c:pt idx="198">
                  <c:v>81.25</c:v>
                </c:pt>
                <c:pt idx="199">
                  <c:v>80.510000000000005</c:v>
                </c:pt>
                <c:pt idx="200">
                  <c:v>80.33</c:v>
                </c:pt>
                <c:pt idx="201">
                  <c:v>80.319999999999993</c:v>
                </c:pt>
                <c:pt idx="202">
                  <c:v>80.680000000000007</c:v>
                </c:pt>
                <c:pt idx="203">
                  <c:v>81.09</c:v>
                </c:pt>
                <c:pt idx="204">
                  <c:v>81.34</c:v>
                </c:pt>
                <c:pt idx="205">
                  <c:v>80.91</c:v>
                </c:pt>
                <c:pt idx="206">
                  <c:v>81.19</c:v>
                </c:pt>
                <c:pt idx="207">
                  <c:v>81.55</c:v>
                </c:pt>
                <c:pt idx="208">
                  <c:v>81.849999999999994</c:v>
                </c:pt>
                <c:pt idx="209">
                  <c:v>81.89</c:v>
                </c:pt>
                <c:pt idx="210">
                  <c:v>81.67</c:v>
                </c:pt>
                <c:pt idx="211">
                  <c:v>81.64</c:v>
                </c:pt>
                <c:pt idx="212">
                  <c:v>81.73</c:v>
                </c:pt>
                <c:pt idx="213">
                  <c:v>81.98</c:v>
                </c:pt>
                <c:pt idx="214">
                  <c:v>80.25</c:v>
                </c:pt>
                <c:pt idx="215">
                  <c:v>80.48</c:v>
                </c:pt>
                <c:pt idx="216">
                  <c:v>80.040000000000006</c:v>
                </c:pt>
                <c:pt idx="217">
                  <c:v>79.069999999999993</c:v>
                </c:pt>
                <c:pt idx="218">
                  <c:v>77.959999999999994</c:v>
                </c:pt>
                <c:pt idx="219">
                  <c:v>75.760000000000005</c:v>
                </c:pt>
                <c:pt idx="220">
                  <c:v>76.41</c:v>
                </c:pt>
                <c:pt idx="221">
                  <c:v>77.59</c:v>
                </c:pt>
                <c:pt idx="222">
                  <c:v>78.59</c:v>
                </c:pt>
                <c:pt idx="223">
                  <c:v>77.290000000000006</c:v>
                </c:pt>
                <c:pt idx="224">
                  <c:v>76.709999999999994</c:v>
                </c:pt>
                <c:pt idx="225">
                  <c:v>75.8</c:v>
                </c:pt>
                <c:pt idx="226">
                  <c:v>75.11</c:v>
                </c:pt>
                <c:pt idx="227">
                  <c:v>75.47</c:v>
                </c:pt>
                <c:pt idx="228">
                  <c:v>75.55</c:v>
                </c:pt>
                <c:pt idx="229">
                  <c:v>75.760000000000005</c:v>
                </c:pt>
                <c:pt idx="230">
                  <c:v>75.790000000000006</c:v>
                </c:pt>
                <c:pt idx="231">
                  <c:v>75.69</c:v>
                </c:pt>
                <c:pt idx="232">
                  <c:v>76.08</c:v>
                </c:pt>
                <c:pt idx="233">
                  <c:v>76.400000000000006</c:v>
                </c:pt>
                <c:pt idx="234">
                  <c:v>76.81</c:v>
                </c:pt>
                <c:pt idx="235">
                  <c:v>76.459999999999994</c:v>
                </c:pt>
                <c:pt idx="236">
                  <c:v>74.64</c:v>
                </c:pt>
                <c:pt idx="237">
                  <c:v>73.13</c:v>
                </c:pt>
                <c:pt idx="238">
                  <c:v>72.47</c:v>
                </c:pt>
                <c:pt idx="239">
                  <c:v>73.239999999999995</c:v>
                </c:pt>
                <c:pt idx="240">
                  <c:v>75.08</c:v>
                </c:pt>
                <c:pt idx="241">
                  <c:v>77.22</c:v>
                </c:pt>
                <c:pt idx="242">
                  <c:v>78.37</c:v>
                </c:pt>
                <c:pt idx="243">
                  <c:v>78.05</c:v>
                </c:pt>
                <c:pt idx="244">
                  <c:v>76.459999999999994</c:v>
                </c:pt>
                <c:pt idx="245">
                  <c:v>75.650000000000006</c:v>
                </c:pt>
                <c:pt idx="246">
                  <c:v>74.28</c:v>
                </c:pt>
                <c:pt idx="247">
                  <c:v>73.73</c:v>
                </c:pt>
                <c:pt idx="248">
                  <c:v>73.95</c:v>
                </c:pt>
                <c:pt idx="249">
                  <c:v>76.569999999999993</c:v>
                </c:pt>
                <c:pt idx="250">
                  <c:v>78.180000000000007</c:v>
                </c:pt>
                <c:pt idx="251">
                  <c:v>79.569999999999993</c:v>
                </c:pt>
                <c:pt idx="252">
                  <c:v>79.77</c:v>
                </c:pt>
                <c:pt idx="253">
                  <c:v>79.2</c:v>
                </c:pt>
                <c:pt idx="254">
                  <c:v>78.22</c:v>
                </c:pt>
                <c:pt idx="255">
                  <c:v>77.53</c:v>
                </c:pt>
                <c:pt idx="256">
                  <c:v>77.36</c:v>
                </c:pt>
                <c:pt idx="257">
                  <c:v>77.47</c:v>
                </c:pt>
                <c:pt idx="258">
                  <c:v>76.59</c:v>
                </c:pt>
                <c:pt idx="259">
                  <c:v>76.75</c:v>
                </c:pt>
                <c:pt idx="260">
                  <c:v>76.86</c:v>
                </c:pt>
                <c:pt idx="261">
                  <c:v>76.709999999999994</c:v>
                </c:pt>
                <c:pt idx="262">
                  <c:v>74.53</c:v>
                </c:pt>
                <c:pt idx="263">
                  <c:v>74.17</c:v>
                </c:pt>
                <c:pt idx="264">
                  <c:v>74.180000000000007</c:v>
                </c:pt>
                <c:pt idx="265">
                  <c:v>74.16</c:v>
                </c:pt>
                <c:pt idx="266">
                  <c:v>74.34</c:v>
                </c:pt>
                <c:pt idx="267">
                  <c:v>74.14</c:v>
                </c:pt>
                <c:pt idx="268">
                  <c:v>74.36</c:v>
                </c:pt>
                <c:pt idx="269">
                  <c:v>75.23</c:v>
                </c:pt>
                <c:pt idx="270">
                  <c:v>76.489999999999995</c:v>
                </c:pt>
                <c:pt idx="271">
                  <c:v>78.53</c:v>
                </c:pt>
                <c:pt idx="272">
                  <c:v>78.510000000000005</c:v>
                </c:pt>
                <c:pt idx="273">
                  <c:v>77.650000000000006</c:v>
                </c:pt>
                <c:pt idx="274">
                  <c:v>76.489999999999995</c:v>
                </c:pt>
                <c:pt idx="275">
                  <c:v>77.239999999999995</c:v>
                </c:pt>
                <c:pt idx="276">
                  <c:v>77.59</c:v>
                </c:pt>
                <c:pt idx="277">
                  <c:v>78.41</c:v>
                </c:pt>
                <c:pt idx="278">
                  <c:v>79.12</c:v>
                </c:pt>
                <c:pt idx="279">
                  <c:v>78.099999999999994</c:v>
                </c:pt>
                <c:pt idx="280">
                  <c:v>77.510000000000005</c:v>
                </c:pt>
                <c:pt idx="281">
                  <c:v>76.680000000000007</c:v>
                </c:pt>
                <c:pt idx="282">
                  <c:v>76.23</c:v>
                </c:pt>
                <c:pt idx="283">
                  <c:v>76.2</c:v>
                </c:pt>
                <c:pt idx="284">
                  <c:v>74.95</c:v>
                </c:pt>
                <c:pt idx="285">
                  <c:v>75.349999999999994</c:v>
                </c:pt>
                <c:pt idx="286">
                  <c:v>75.94</c:v>
                </c:pt>
                <c:pt idx="287">
                  <c:v>76.680000000000007</c:v>
                </c:pt>
                <c:pt idx="288">
                  <c:v>75.55</c:v>
                </c:pt>
                <c:pt idx="289">
                  <c:v>75.86</c:v>
                </c:pt>
                <c:pt idx="290">
                  <c:v>75.849999999999994</c:v>
                </c:pt>
                <c:pt idx="291">
                  <c:v>75.31</c:v>
                </c:pt>
                <c:pt idx="292">
                  <c:v>72.010000000000005</c:v>
                </c:pt>
                <c:pt idx="293">
                  <c:v>70.2</c:v>
                </c:pt>
                <c:pt idx="294">
                  <c:v>68.819999999999993</c:v>
                </c:pt>
                <c:pt idx="295">
                  <c:v>68.48</c:v>
                </c:pt>
                <c:pt idx="296">
                  <c:v>69.19</c:v>
                </c:pt>
                <c:pt idx="297">
                  <c:v>68.34</c:v>
                </c:pt>
                <c:pt idx="298">
                  <c:v>69.099999999999994</c:v>
                </c:pt>
                <c:pt idx="299">
                  <c:v>69.569999999999993</c:v>
                </c:pt>
                <c:pt idx="300">
                  <c:v>69.83</c:v>
                </c:pt>
                <c:pt idx="301">
                  <c:v>68.75</c:v>
                </c:pt>
                <c:pt idx="302">
                  <c:v>68.7</c:v>
                </c:pt>
                <c:pt idx="303">
                  <c:v>68.67</c:v>
                </c:pt>
                <c:pt idx="304">
                  <c:v>68.58</c:v>
                </c:pt>
                <c:pt idx="305">
                  <c:v>69.55</c:v>
                </c:pt>
                <c:pt idx="306">
                  <c:v>69.25</c:v>
                </c:pt>
                <c:pt idx="307">
                  <c:v>68.94</c:v>
                </c:pt>
                <c:pt idx="308">
                  <c:v>68.63</c:v>
                </c:pt>
                <c:pt idx="309">
                  <c:v>68.459999999999994</c:v>
                </c:pt>
                <c:pt idx="310">
                  <c:v>71.87</c:v>
                </c:pt>
                <c:pt idx="311">
                  <c:v>72.02</c:v>
                </c:pt>
                <c:pt idx="312">
                  <c:v>72.19</c:v>
                </c:pt>
                <c:pt idx="313">
                  <c:v>72.31</c:v>
                </c:pt>
                <c:pt idx="314">
                  <c:v>75.47</c:v>
                </c:pt>
                <c:pt idx="315">
                  <c:v>75.09</c:v>
                </c:pt>
                <c:pt idx="316">
                  <c:v>74.56</c:v>
                </c:pt>
                <c:pt idx="317">
                  <c:v>73.83</c:v>
                </c:pt>
                <c:pt idx="318">
                  <c:v>73.27</c:v>
                </c:pt>
                <c:pt idx="319">
                  <c:v>76.17</c:v>
                </c:pt>
                <c:pt idx="320">
                  <c:v>76.73</c:v>
                </c:pt>
                <c:pt idx="321">
                  <c:v>77.569999999999993</c:v>
                </c:pt>
                <c:pt idx="322">
                  <c:v>78.41</c:v>
                </c:pt>
                <c:pt idx="323">
                  <c:v>78.959999999999994</c:v>
                </c:pt>
                <c:pt idx="324">
                  <c:v>78.81</c:v>
                </c:pt>
                <c:pt idx="325">
                  <c:v>78.37</c:v>
                </c:pt>
                <c:pt idx="326">
                  <c:v>78.239999999999995</c:v>
                </c:pt>
                <c:pt idx="327">
                  <c:v>77.31</c:v>
                </c:pt>
                <c:pt idx="328">
                  <c:v>77.569999999999993</c:v>
                </c:pt>
                <c:pt idx="329">
                  <c:v>77.349999999999994</c:v>
                </c:pt>
                <c:pt idx="330">
                  <c:v>76.84</c:v>
                </c:pt>
                <c:pt idx="331">
                  <c:v>76.38</c:v>
                </c:pt>
                <c:pt idx="332">
                  <c:v>72.41</c:v>
                </c:pt>
                <c:pt idx="333">
                  <c:v>72.63</c:v>
                </c:pt>
                <c:pt idx="334">
                  <c:v>73.2</c:v>
                </c:pt>
                <c:pt idx="335">
                  <c:v>73.98</c:v>
                </c:pt>
                <c:pt idx="336">
                  <c:v>70.67</c:v>
                </c:pt>
                <c:pt idx="337">
                  <c:v>70.67</c:v>
                </c:pt>
                <c:pt idx="338">
                  <c:v>69.66</c:v>
                </c:pt>
                <c:pt idx="339">
                  <c:v>68.09</c:v>
                </c:pt>
                <c:pt idx="340">
                  <c:v>63.87</c:v>
                </c:pt>
                <c:pt idx="341">
                  <c:v>63.96</c:v>
                </c:pt>
                <c:pt idx="342">
                  <c:v>64.34</c:v>
                </c:pt>
                <c:pt idx="343">
                  <c:v>64.38</c:v>
                </c:pt>
                <c:pt idx="344">
                  <c:v>63.87</c:v>
                </c:pt>
                <c:pt idx="345">
                  <c:v>60.34</c:v>
                </c:pt>
                <c:pt idx="346">
                  <c:v>59.63</c:v>
                </c:pt>
                <c:pt idx="347">
                  <c:v>59.31</c:v>
                </c:pt>
                <c:pt idx="348">
                  <c:v>59.52</c:v>
                </c:pt>
                <c:pt idx="349">
                  <c:v>58.44</c:v>
                </c:pt>
                <c:pt idx="350">
                  <c:v>59.14</c:v>
                </c:pt>
                <c:pt idx="351">
                  <c:v>59.52</c:v>
                </c:pt>
                <c:pt idx="352">
                  <c:v>59.23</c:v>
                </c:pt>
                <c:pt idx="353">
                  <c:v>57.95</c:v>
                </c:pt>
                <c:pt idx="354">
                  <c:v>56.66</c:v>
                </c:pt>
                <c:pt idx="355">
                  <c:v>55.76</c:v>
                </c:pt>
                <c:pt idx="356">
                  <c:v>55.77</c:v>
                </c:pt>
                <c:pt idx="357">
                  <c:v>56.34</c:v>
                </c:pt>
                <c:pt idx="358">
                  <c:v>60.07</c:v>
                </c:pt>
                <c:pt idx="359">
                  <c:v>60.89</c:v>
                </c:pt>
                <c:pt idx="360">
                  <c:v>61.41</c:v>
                </c:pt>
                <c:pt idx="361">
                  <c:v>61.41</c:v>
                </c:pt>
                <c:pt idx="362">
                  <c:v>64.62</c:v>
                </c:pt>
                <c:pt idx="363">
                  <c:v>65.19</c:v>
                </c:pt>
                <c:pt idx="364">
                  <c:v>65.94</c:v>
                </c:pt>
                <c:pt idx="365">
                  <c:v>66.06</c:v>
                </c:pt>
                <c:pt idx="366">
                  <c:v>69.92</c:v>
                </c:pt>
                <c:pt idx="367">
                  <c:v>70.099999999999994</c:v>
                </c:pt>
                <c:pt idx="368">
                  <c:v>70.260000000000005</c:v>
                </c:pt>
                <c:pt idx="369">
                  <c:v>70.37</c:v>
                </c:pt>
                <c:pt idx="370">
                  <c:v>70.75</c:v>
                </c:pt>
                <c:pt idx="371">
                  <c:v>72.16</c:v>
                </c:pt>
                <c:pt idx="372">
                  <c:v>71.94</c:v>
                </c:pt>
                <c:pt idx="373">
                  <c:v>71.02</c:v>
                </c:pt>
                <c:pt idx="374">
                  <c:v>69.94</c:v>
                </c:pt>
                <c:pt idx="375">
                  <c:v>71.66</c:v>
                </c:pt>
                <c:pt idx="376">
                  <c:v>72.56</c:v>
                </c:pt>
                <c:pt idx="377">
                  <c:v>73.73</c:v>
                </c:pt>
                <c:pt idx="378">
                  <c:v>74.489999999999995</c:v>
                </c:pt>
                <c:pt idx="379">
                  <c:v>74.489999999999995</c:v>
                </c:pt>
                <c:pt idx="380">
                  <c:v>73.400000000000006</c:v>
                </c:pt>
                <c:pt idx="381">
                  <c:v>73.290000000000006</c:v>
                </c:pt>
                <c:pt idx="382">
                  <c:v>73.400000000000006</c:v>
                </c:pt>
                <c:pt idx="383">
                  <c:v>73.81</c:v>
                </c:pt>
                <c:pt idx="384">
                  <c:v>72.44</c:v>
                </c:pt>
                <c:pt idx="385">
                  <c:v>72.739999999999995</c:v>
                </c:pt>
                <c:pt idx="386">
                  <c:v>72.58</c:v>
                </c:pt>
                <c:pt idx="387">
                  <c:v>72.09</c:v>
                </c:pt>
                <c:pt idx="388">
                  <c:v>67.44</c:v>
                </c:pt>
                <c:pt idx="389">
                  <c:v>66.959999999999994</c:v>
                </c:pt>
                <c:pt idx="390">
                  <c:v>66.69</c:v>
                </c:pt>
                <c:pt idx="391">
                  <c:v>66.569999999999993</c:v>
                </c:pt>
                <c:pt idx="392">
                  <c:v>64.010000000000005</c:v>
                </c:pt>
                <c:pt idx="393">
                  <c:v>63.98</c:v>
                </c:pt>
                <c:pt idx="394">
                  <c:v>63.81</c:v>
                </c:pt>
                <c:pt idx="395">
                  <c:v>63.58</c:v>
                </c:pt>
                <c:pt idx="396">
                  <c:v>63.19</c:v>
                </c:pt>
                <c:pt idx="397">
                  <c:v>61.5</c:v>
                </c:pt>
                <c:pt idx="398">
                  <c:v>61.24</c:v>
                </c:pt>
                <c:pt idx="399">
                  <c:v>61.07</c:v>
                </c:pt>
                <c:pt idx="400">
                  <c:v>61.19</c:v>
                </c:pt>
                <c:pt idx="401">
                  <c:v>62.37</c:v>
                </c:pt>
                <c:pt idx="402">
                  <c:v>62.26</c:v>
                </c:pt>
                <c:pt idx="403">
                  <c:v>62</c:v>
                </c:pt>
                <c:pt idx="404">
                  <c:v>61.88</c:v>
                </c:pt>
                <c:pt idx="405">
                  <c:v>63.24</c:v>
                </c:pt>
                <c:pt idx="406">
                  <c:v>63.45</c:v>
                </c:pt>
                <c:pt idx="407">
                  <c:v>63.82</c:v>
                </c:pt>
                <c:pt idx="408">
                  <c:v>64.069999999999993</c:v>
                </c:pt>
                <c:pt idx="409">
                  <c:v>63.8</c:v>
                </c:pt>
                <c:pt idx="410">
                  <c:v>66.290000000000006</c:v>
                </c:pt>
                <c:pt idx="411">
                  <c:v>65.239999999999995</c:v>
                </c:pt>
                <c:pt idx="412">
                  <c:v>64.45</c:v>
                </c:pt>
                <c:pt idx="413">
                  <c:v>64.34</c:v>
                </c:pt>
                <c:pt idx="414">
                  <c:v>67</c:v>
                </c:pt>
                <c:pt idx="415">
                  <c:v>67.36</c:v>
                </c:pt>
                <c:pt idx="416">
                  <c:v>67.56</c:v>
                </c:pt>
                <c:pt idx="417">
                  <c:v>67.67</c:v>
                </c:pt>
                <c:pt idx="418">
                  <c:v>67.7</c:v>
                </c:pt>
                <c:pt idx="419">
                  <c:v>68.03</c:v>
                </c:pt>
                <c:pt idx="420">
                  <c:v>68.13</c:v>
                </c:pt>
                <c:pt idx="421">
                  <c:v>68.12</c:v>
                </c:pt>
                <c:pt idx="422">
                  <c:v>67.88</c:v>
                </c:pt>
                <c:pt idx="423">
                  <c:v>65.09</c:v>
                </c:pt>
                <c:pt idx="424">
                  <c:v>64.62</c:v>
                </c:pt>
                <c:pt idx="425">
                  <c:v>64.8</c:v>
                </c:pt>
                <c:pt idx="426">
                  <c:v>65.319999999999993</c:v>
                </c:pt>
                <c:pt idx="427">
                  <c:v>64.14</c:v>
                </c:pt>
                <c:pt idx="428">
                  <c:v>64.98</c:v>
                </c:pt>
                <c:pt idx="429">
                  <c:v>66.02</c:v>
                </c:pt>
                <c:pt idx="430">
                  <c:v>67.28</c:v>
                </c:pt>
                <c:pt idx="431">
                  <c:v>68.12</c:v>
                </c:pt>
                <c:pt idx="432">
                  <c:v>67.64</c:v>
                </c:pt>
                <c:pt idx="433">
                  <c:v>67.78</c:v>
                </c:pt>
                <c:pt idx="434">
                  <c:v>67.819999999999993</c:v>
                </c:pt>
                <c:pt idx="435">
                  <c:v>67.88</c:v>
                </c:pt>
                <c:pt idx="436">
                  <c:v>67.38</c:v>
                </c:pt>
                <c:pt idx="437">
                  <c:v>67.349999999999994</c:v>
                </c:pt>
                <c:pt idx="438">
                  <c:v>67.33</c:v>
                </c:pt>
                <c:pt idx="439">
                  <c:v>67.22</c:v>
                </c:pt>
                <c:pt idx="440">
                  <c:v>65.760000000000005</c:v>
                </c:pt>
                <c:pt idx="441">
                  <c:v>65.44</c:v>
                </c:pt>
                <c:pt idx="442">
                  <c:v>65.319999999999993</c:v>
                </c:pt>
                <c:pt idx="443">
                  <c:v>65.540000000000006</c:v>
                </c:pt>
                <c:pt idx="444">
                  <c:v>66.16</c:v>
                </c:pt>
                <c:pt idx="445">
                  <c:v>66.45</c:v>
                </c:pt>
                <c:pt idx="446">
                  <c:v>66.91</c:v>
                </c:pt>
                <c:pt idx="447">
                  <c:v>67.5</c:v>
                </c:pt>
                <c:pt idx="448">
                  <c:v>68.06</c:v>
                </c:pt>
                <c:pt idx="449">
                  <c:v>68.16</c:v>
                </c:pt>
                <c:pt idx="450">
                  <c:v>68.180000000000007</c:v>
                </c:pt>
                <c:pt idx="451">
                  <c:v>67.849999999999994</c:v>
                </c:pt>
                <c:pt idx="452">
                  <c:v>67.069999999999993</c:v>
                </c:pt>
                <c:pt idx="453">
                  <c:v>62.75</c:v>
                </c:pt>
                <c:pt idx="454">
                  <c:v>61.92</c:v>
                </c:pt>
                <c:pt idx="455">
                  <c:v>61.85</c:v>
                </c:pt>
                <c:pt idx="456">
                  <c:v>62.52</c:v>
                </c:pt>
                <c:pt idx="457">
                  <c:v>63.24</c:v>
                </c:pt>
                <c:pt idx="458">
                  <c:v>56.32</c:v>
                </c:pt>
                <c:pt idx="459">
                  <c:v>56.06</c:v>
                </c:pt>
                <c:pt idx="460">
                  <c:v>55.24</c:v>
                </c:pt>
                <c:pt idx="461">
                  <c:v>54.22</c:v>
                </c:pt>
                <c:pt idx="462">
                  <c:v>44.31</c:v>
                </c:pt>
                <c:pt idx="463">
                  <c:v>44.07</c:v>
                </c:pt>
                <c:pt idx="464">
                  <c:v>44.59</c:v>
                </c:pt>
                <c:pt idx="465">
                  <c:v>45.63</c:v>
                </c:pt>
                <c:pt idx="466">
                  <c:v>37.67</c:v>
                </c:pt>
                <c:pt idx="467">
                  <c:v>37.909999999999997</c:v>
                </c:pt>
                <c:pt idx="468">
                  <c:v>37.07</c:v>
                </c:pt>
                <c:pt idx="469">
                  <c:v>35.340000000000003</c:v>
                </c:pt>
                <c:pt idx="470">
                  <c:v>33.590000000000003</c:v>
                </c:pt>
                <c:pt idx="471">
                  <c:v>21.91</c:v>
                </c:pt>
                <c:pt idx="472">
                  <c:v>20.94</c:v>
                </c:pt>
                <c:pt idx="473">
                  <c:v>20.28</c:v>
                </c:pt>
                <c:pt idx="474">
                  <c:v>19.47</c:v>
                </c:pt>
                <c:pt idx="475">
                  <c:v>12.92</c:v>
                </c:pt>
                <c:pt idx="476">
                  <c:v>12.38</c:v>
                </c:pt>
                <c:pt idx="477">
                  <c:v>12.31</c:v>
                </c:pt>
                <c:pt idx="478">
                  <c:v>12.55</c:v>
                </c:pt>
                <c:pt idx="479">
                  <c:v>10.62</c:v>
                </c:pt>
                <c:pt idx="480">
                  <c:v>9.73</c:v>
                </c:pt>
                <c:pt idx="481">
                  <c:v>8.68</c:v>
                </c:pt>
                <c:pt idx="482">
                  <c:v>7.93</c:v>
                </c:pt>
                <c:pt idx="483">
                  <c:v>7.67</c:v>
                </c:pt>
                <c:pt idx="484">
                  <c:v>7.28</c:v>
                </c:pt>
                <c:pt idx="485">
                  <c:v>6.57</c:v>
                </c:pt>
                <c:pt idx="486">
                  <c:v>5.95</c:v>
                </c:pt>
                <c:pt idx="487">
                  <c:v>5.66</c:v>
                </c:pt>
                <c:pt idx="488">
                  <c:v>5.66</c:v>
                </c:pt>
                <c:pt idx="489">
                  <c:v>5.66</c:v>
                </c:pt>
                <c:pt idx="490">
                  <c:v>5.66</c:v>
                </c:pt>
                <c:pt idx="491">
                  <c:v>5.66</c:v>
                </c:pt>
                <c:pt idx="492">
                  <c:v>5.66</c:v>
                </c:pt>
                <c:pt idx="493">
                  <c:v>6.01</c:v>
                </c:pt>
                <c:pt idx="494">
                  <c:v>6.01</c:v>
                </c:pt>
                <c:pt idx="495">
                  <c:v>6.34</c:v>
                </c:pt>
                <c:pt idx="496">
                  <c:v>7</c:v>
                </c:pt>
                <c:pt idx="497">
                  <c:v>9.15</c:v>
                </c:pt>
                <c:pt idx="498">
                  <c:v>8.33</c:v>
                </c:pt>
                <c:pt idx="499">
                  <c:v>7.92</c:v>
                </c:pt>
                <c:pt idx="500">
                  <c:v>7.92</c:v>
                </c:pt>
                <c:pt idx="501">
                  <c:v>15.98</c:v>
                </c:pt>
                <c:pt idx="502">
                  <c:v>15.98</c:v>
                </c:pt>
                <c:pt idx="503">
                  <c:v>15.98</c:v>
                </c:pt>
                <c:pt idx="504">
                  <c:v>15.98</c:v>
                </c:pt>
                <c:pt idx="505">
                  <c:v>23.55</c:v>
                </c:pt>
                <c:pt idx="506">
                  <c:v>23.73</c:v>
                </c:pt>
                <c:pt idx="507">
                  <c:v>23.73</c:v>
                </c:pt>
                <c:pt idx="508">
                  <c:v>23.42</c:v>
                </c:pt>
                <c:pt idx="509">
                  <c:v>23.42</c:v>
                </c:pt>
                <c:pt idx="510">
                  <c:v>28.23</c:v>
                </c:pt>
                <c:pt idx="511">
                  <c:v>28.23</c:v>
                </c:pt>
                <c:pt idx="512">
                  <c:v>28.23</c:v>
                </c:pt>
                <c:pt idx="513">
                  <c:v>28.79</c:v>
                </c:pt>
                <c:pt idx="514">
                  <c:v>30.28</c:v>
                </c:pt>
                <c:pt idx="515">
                  <c:v>32.24</c:v>
                </c:pt>
                <c:pt idx="516">
                  <c:v>32.479999999999997</c:v>
                </c:pt>
                <c:pt idx="517">
                  <c:v>31.81</c:v>
                </c:pt>
                <c:pt idx="518">
                  <c:v>31.27</c:v>
                </c:pt>
                <c:pt idx="519">
                  <c:v>31.93</c:v>
                </c:pt>
                <c:pt idx="520">
                  <c:v>33.04</c:v>
                </c:pt>
                <c:pt idx="521">
                  <c:v>33.93</c:v>
                </c:pt>
                <c:pt idx="522">
                  <c:v>34.39</c:v>
                </c:pt>
                <c:pt idx="523">
                  <c:v>35.36</c:v>
                </c:pt>
                <c:pt idx="524">
                  <c:v>35.56</c:v>
                </c:pt>
                <c:pt idx="525">
                  <c:v>35.89</c:v>
                </c:pt>
                <c:pt idx="526">
                  <c:v>36.380000000000003</c:v>
                </c:pt>
                <c:pt idx="527">
                  <c:v>40.14</c:v>
                </c:pt>
                <c:pt idx="528">
                  <c:v>40.08</c:v>
                </c:pt>
                <c:pt idx="529">
                  <c:v>40.119999999999997</c:v>
                </c:pt>
                <c:pt idx="530">
                  <c:v>40.6</c:v>
                </c:pt>
                <c:pt idx="531">
                  <c:v>41.67</c:v>
                </c:pt>
                <c:pt idx="532">
                  <c:v>46.82</c:v>
                </c:pt>
                <c:pt idx="533">
                  <c:v>47.07</c:v>
                </c:pt>
                <c:pt idx="534">
                  <c:v>46.2</c:v>
                </c:pt>
                <c:pt idx="535">
                  <c:v>44.89</c:v>
                </c:pt>
                <c:pt idx="536">
                  <c:v>47.44</c:v>
                </c:pt>
                <c:pt idx="537">
                  <c:v>46.36</c:v>
                </c:pt>
                <c:pt idx="538">
                  <c:v>45.38</c:v>
                </c:pt>
                <c:pt idx="539">
                  <c:v>45.01</c:v>
                </c:pt>
                <c:pt idx="540">
                  <c:v>46.82</c:v>
                </c:pt>
                <c:pt idx="541">
                  <c:v>47.79</c:v>
                </c:pt>
                <c:pt idx="542">
                  <c:v>48.51</c:v>
                </c:pt>
                <c:pt idx="543">
                  <c:v>49.24</c:v>
                </c:pt>
                <c:pt idx="544">
                  <c:v>49.63</c:v>
                </c:pt>
                <c:pt idx="545">
                  <c:v>51.61</c:v>
                </c:pt>
                <c:pt idx="546">
                  <c:v>52.47</c:v>
                </c:pt>
                <c:pt idx="547">
                  <c:v>53.52</c:v>
                </c:pt>
                <c:pt idx="548">
                  <c:v>53.9</c:v>
                </c:pt>
                <c:pt idx="549">
                  <c:v>54.53</c:v>
                </c:pt>
                <c:pt idx="550">
                  <c:v>53.86</c:v>
                </c:pt>
                <c:pt idx="551">
                  <c:v>53.21</c:v>
                </c:pt>
                <c:pt idx="552">
                  <c:v>52.35</c:v>
                </c:pt>
                <c:pt idx="553">
                  <c:v>52.55</c:v>
                </c:pt>
                <c:pt idx="554">
                  <c:v>52.46</c:v>
                </c:pt>
                <c:pt idx="555">
                  <c:v>52.71</c:v>
                </c:pt>
                <c:pt idx="556">
                  <c:v>52.91</c:v>
                </c:pt>
                <c:pt idx="557">
                  <c:v>53.16</c:v>
                </c:pt>
                <c:pt idx="558">
                  <c:v>54.36</c:v>
                </c:pt>
                <c:pt idx="559">
                  <c:v>55.16</c:v>
                </c:pt>
                <c:pt idx="560">
                  <c:v>56.52</c:v>
                </c:pt>
                <c:pt idx="561">
                  <c:v>58.17</c:v>
                </c:pt>
                <c:pt idx="562">
                  <c:v>61.84</c:v>
                </c:pt>
                <c:pt idx="563">
                  <c:v>62.65</c:v>
                </c:pt>
                <c:pt idx="564">
                  <c:v>62.14</c:v>
                </c:pt>
                <c:pt idx="565">
                  <c:v>60.75</c:v>
                </c:pt>
                <c:pt idx="566">
                  <c:v>61.55</c:v>
                </c:pt>
                <c:pt idx="567">
                  <c:v>60.28</c:v>
                </c:pt>
                <c:pt idx="568">
                  <c:v>59.26</c:v>
                </c:pt>
                <c:pt idx="569">
                  <c:v>58.48</c:v>
                </c:pt>
                <c:pt idx="570">
                  <c:v>58.7</c:v>
                </c:pt>
                <c:pt idx="571">
                  <c:v>62.87</c:v>
                </c:pt>
                <c:pt idx="572">
                  <c:v>64.510000000000005</c:v>
                </c:pt>
                <c:pt idx="573">
                  <c:v>65.91</c:v>
                </c:pt>
                <c:pt idx="574">
                  <c:v>66.959999999999994</c:v>
                </c:pt>
                <c:pt idx="575">
                  <c:v>68.709999999999994</c:v>
                </c:pt>
                <c:pt idx="576">
                  <c:v>67.89</c:v>
                </c:pt>
                <c:pt idx="577">
                  <c:v>66.8</c:v>
                </c:pt>
                <c:pt idx="578">
                  <c:v>66.19</c:v>
                </c:pt>
                <c:pt idx="579">
                  <c:v>66.95</c:v>
                </c:pt>
                <c:pt idx="580">
                  <c:v>69.8</c:v>
                </c:pt>
                <c:pt idx="581">
                  <c:v>72.06</c:v>
                </c:pt>
                <c:pt idx="582">
                  <c:v>73.56</c:v>
                </c:pt>
                <c:pt idx="583">
                  <c:v>74.040000000000006</c:v>
                </c:pt>
                <c:pt idx="584">
                  <c:v>73.48</c:v>
                </c:pt>
                <c:pt idx="585">
                  <c:v>71.7</c:v>
                </c:pt>
                <c:pt idx="586">
                  <c:v>70.23</c:v>
                </c:pt>
                <c:pt idx="587">
                  <c:v>69.89</c:v>
                </c:pt>
                <c:pt idx="588">
                  <c:v>70.88</c:v>
                </c:pt>
                <c:pt idx="589">
                  <c:v>71.849999999999994</c:v>
                </c:pt>
                <c:pt idx="590">
                  <c:v>72.430000000000007</c:v>
                </c:pt>
                <c:pt idx="591">
                  <c:v>72.069999999999993</c:v>
                </c:pt>
                <c:pt idx="592">
                  <c:v>71.16</c:v>
                </c:pt>
                <c:pt idx="593">
                  <c:v>69.319999999999993</c:v>
                </c:pt>
                <c:pt idx="594">
                  <c:v>69.08</c:v>
                </c:pt>
                <c:pt idx="595">
                  <c:v>69.069999999999993</c:v>
                </c:pt>
                <c:pt idx="596">
                  <c:v>69.11</c:v>
                </c:pt>
                <c:pt idx="597">
                  <c:v>68.290000000000006</c:v>
                </c:pt>
                <c:pt idx="598">
                  <c:v>68.2</c:v>
                </c:pt>
                <c:pt idx="599">
                  <c:v>68.3</c:v>
                </c:pt>
                <c:pt idx="600">
                  <c:v>68.709999999999994</c:v>
                </c:pt>
                <c:pt idx="601">
                  <c:v>67.86</c:v>
                </c:pt>
                <c:pt idx="602">
                  <c:v>68.12</c:v>
                </c:pt>
                <c:pt idx="603">
                  <c:v>68.08</c:v>
                </c:pt>
                <c:pt idx="604">
                  <c:v>67.680000000000007</c:v>
                </c:pt>
                <c:pt idx="605">
                  <c:v>66.44</c:v>
                </c:pt>
                <c:pt idx="606">
                  <c:v>65.349999999999994</c:v>
                </c:pt>
                <c:pt idx="607">
                  <c:v>64.599999999999994</c:v>
                </c:pt>
                <c:pt idx="608">
                  <c:v>64</c:v>
                </c:pt>
                <c:pt idx="609">
                  <c:v>63.91</c:v>
                </c:pt>
                <c:pt idx="610">
                  <c:v>63.44</c:v>
                </c:pt>
                <c:pt idx="611">
                  <c:v>64.36</c:v>
                </c:pt>
                <c:pt idx="612">
                  <c:v>65.48</c:v>
                </c:pt>
                <c:pt idx="613">
                  <c:v>66.739999999999995</c:v>
                </c:pt>
                <c:pt idx="614">
                  <c:v>67.94</c:v>
                </c:pt>
                <c:pt idx="615">
                  <c:v>69.13</c:v>
                </c:pt>
                <c:pt idx="616">
                  <c:v>69.599999999999994</c:v>
                </c:pt>
                <c:pt idx="617">
                  <c:v>69.06</c:v>
                </c:pt>
                <c:pt idx="618">
                  <c:v>67.819999999999993</c:v>
                </c:pt>
                <c:pt idx="619">
                  <c:v>67.099999999999994</c:v>
                </c:pt>
                <c:pt idx="620">
                  <c:v>66.52</c:v>
                </c:pt>
                <c:pt idx="621">
                  <c:v>66.69</c:v>
                </c:pt>
                <c:pt idx="622">
                  <c:v>67.11</c:v>
                </c:pt>
                <c:pt idx="623">
                  <c:v>69.349999999999994</c:v>
                </c:pt>
                <c:pt idx="624">
                  <c:v>68.83</c:v>
                </c:pt>
                <c:pt idx="625">
                  <c:v>68.03</c:v>
                </c:pt>
                <c:pt idx="626">
                  <c:v>67.47</c:v>
                </c:pt>
                <c:pt idx="627">
                  <c:v>71.95</c:v>
                </c:pt>
                <c:pt idx="628">
                  <c:v>72.8</c:v>
                </c:pt>
                <c:pt idx="629">
                  <c:v>73.73</c:v>
                </c:pt>
                <c:pt idx="630">
                  <c:v>74.209999999999994</c:v>
                </c:pt>
                <c:pt idx="631">
                  <c:v>74.23</c:v>
                </c:pt>
                <c:pt idx="632">
                  <c:v>77.45</c:v>
                </c:pt>
                <c:pt idx="633">
                  <c:v>76.12</c:v>
                </c:pt>
                <c:pt idx="634">
                  <c:v>75.09</c:v>
                </c:pt>
                <c:pt idx="635">
                  <c:v>75.08</c:v>
                </c:pt>
                <c:pt idx="636">
                  <c:v>78.41</c:v>
                </c:pt>
                <c:pt idx="637">
                  <c:v>79.150000000000006</c:v>
                </c:pt>
                <c:pt idx="638">
                  <c:v>79.92</c:v>
                </c:pt>
                <c:pt idx="639">
                  <c:v>80.5</c:v>
                </c:pt>
                <c:pt idx="640">
                  <c:v>81.28</c:v>
                </c:pt>
                <c:pt idx="641">
                  <c:v>81.41</c:v>
                </c:pt>
                <c:pt idx="642">
                  <c:v>81.37</c:v>
                </c:pt>
                <c:pt idx="643">
                  <c:v>80.86</c:v>
                </c:pt>
                <c:pt idx="644">
                  <c:v>80.42</c:v>
                </c:pt>
                <c:pt idx="645">
                  <c:v>79.62</c:v>
                </c:pt>
                <c:pt idx="646">
                  <c:v>79.510000000000005</c:v>
                </c:pt>
                <c:pt idx="647">
                  <c:v>79.78</c:v>
                </c:pt>
                <c:pt idx="648">
                  <c:v>80.239999999999995</c:v>
                </c:pt>
                <c:pt idx="649">
                  <c:v>79.73</c:v>
                </c:pt>
                <c:pt idx="650">
                  <c:v>80.86</c:v>
                </c:pt>
                <c:pt idx="651">
                  <c:v>81.599999999999994</c:v>
                </c:pt>
                <c:pt idx="652">
                  <c:v>81.400000000000006</c:v>
                </c:pt>
                <c:pt idx="653">
                  <c:v>78.099999999999994</c:v>
                </c:pt>
                <c:pt idx="654">
                  <c:v>77.05</c:v>
                </c:pt>
                <c:pt idx="655">
                  <c:v>76.31</c:v>
                </c:pt>
                <c:pt idx="656">
                  <c:v>76</c:v>
                </c:pt>
                <c:pt idx="657">
                  <c:v>76.11</c:v>
                </c:pt>
                <c:pt idx="658">
                  <c:v>75.44</c:v>
                </c:pt>
                <c:pt idx="659">
                  <c:v>76.040000000000006</c:v>
                </c:pt>
                <c:pt idx="660">
                  <c:v>76.83</c:v>
                </c:pt>
                <c:pt idx="661">
                  <c:v>77.59</c:v>
                </c:pt>
                <c:pt idx="662">
                  <c:v>78.22</c:v>
                </c:pt>
                <c:pt idx="663">
                  <c:v>77.87</c:v>
                </c:pt>
                <c:pt idx="664">
                  <c:v>76.86</c:v>
                </c:pt>
                <c:pt idx="665">
                  <c:v>75.010000000000005</c:v>
                </c:pt>
                <c:pt idx="666">
                  <c:v>74.94</c:v>
                </c:pt>
                <c:pt idx="667">
                  <c:v>72.78</c:v>
                </c:pt>
                <c:pt idx="668">
                  <c:v>71.88</c:v>
                </c:pt>
                <c:pt idx="669">
                  <c:v>72.52</c:v>
                </c:pt>
                <c:pt idx="670">
                  <c:v>74.22</c:v>
                </c:pt>
                <c:pt idx="671">
                  <c:v>76.650000000000006</c:v>
                </c:pt>
                <c:pt idx="672">
                  <c:v>77.95</c:v>
                </c:pt>
                <c:pt idx="673">
                  <c:v>78.67</c:v>
                </c:pt>
                <c:pt idx="674">
                  <c:v>79.069999999999993</c:v>
                </c:pt>
                <c:pt idx="675">
                  <c:v>78.260000000000005</c:v>
                </c:pt>
                <c:pt idx="676">
                  <c:v>78.25</c:v>
                </c:pt>
                <c:pt idx="677">
                  <c:v>78.209999999999994</c:v>
                </c:pt>
                <c:pt idx="678">
                  <c:v>78.099999999999994</c:v>
                </c:pt>
                <c:pt idx="679">
                  <c:v>76.8</c:v>
                </c:pt>
                <c:pt idx="680">
                  <c:v>76.78</c:v>
                </c:pt>
                <c:pt idx="681">
                  <c:v>76.56</c:v>
                </c:pt>
                <c:pt idx="682">
                  <c:v>76.12</c:v>
                </c:pt>
                <c:pt idx="683">
                  <c:v>75.86</c:v>
                </c:pt>
                <c:pt idx="684">
                  <c:v>77.31</c:v>
                </c:pt>
                <c:pt idx="685">
                  <c:v>77.25</c:v>
                </c:pt>
                <c:pt idx="686">
                  <c:v>76.91</c:v>
                </c:pt>
                <c:pt idx="687">
                  <c:v>76.67</c:v>
                </c:pt>
                <c:pt idx="688">
                  <c:v>78.86</c:v>
                </c:pt>
                <c:pt idx="689">
                  <c:v>79.77</c:v>
                </c:pt>
                <c:pt idx="690">
                  <c:v>80.3</c:v>
                </c:pt>
                <c:pt idx="691">
                  <c:v>80.010000000000005</c:v>
                </c:pt>
                <c:pt idx="692">
                  <c:v>79.03</c:v>
                </c:pt>
                <c:pt idx="693">
                  <c:v>80.05</c:v>
                </c:pt>
                <c:pt idx="694">
                  <c:v>79.53</c:v>
                </c:pt>
                <c:pt idx="695">
                  <c:v>79.64</c:v>
                </c:pt>
                <c:pt idx="696">
                  <c:v>80.45</c:v>
                </c:pt>
                <c:pt idx="697">
                  <c:v>81.16</c:v>
                </c:pt>
                <c:pt idx="698">
                  <c:v>82.61</c:v>
                </c:pt>
                <c:pt idx="699">
                  <c:v>83.84</c:v>
                </c:pt>
                <c:pt idx="700">
                  <c:v>84.42</c:v>
                </c:pt>
                <c:pt idx="701">
                  <c:v>83.02</c:v>
                </c:pt>
                <c:pt idx="702">
                  <c:v>81.400000000000006</c:v>
                </c:pt>
                <c:pt idx="703">
                  <c:v>79.66</c:v>
                </c:pt>
                <c:pt idx="704">
                  <c:v>78.709999999999994</c:v>
                </c:pt>
                <c:pt idx="705">
                  <c:v>76.61</c:v>
                </c:pt>
                <c:pt idx="706">
                  <c:v>77.430000000000007</c:v>
                </c:pt>
                <c:pt idx="707">
                  <c:v>78.14</c:v>
                </c:pt>
                <c:pt idx="708">
                  <c:v>78.33</c:v>
                </c:pt>
                <c:pt idx="709">
                  <c:v>78.02</c:v>
                </c:pt>
                <c:pt idx="710">
                  <c:v>76.97</c:v>
                </c:pt>
                <c:pt idx="711">
                  <c:v>76.87</c:v>
                </c:pt>
                <c:pt idx="712">
                  <c:v>76.87</c:v>
                </c:pt>
                <c:pt idx="713">
                  <c:v>77.099999999999994</c:v>
                </c:pt>
                <c:pt idx="714">
                  <c:v>77.5</c:v>
                </c:pt>
                <c:pt idx="715">
                  <c:v>77.55</c:v>
                </c:pt>
                <c:pt idx="716">
                  <c:v>77.180000000000007</c:v>
                </c:pt>
                <c:pt idx="717">
                  <c:v>76.489999999999995</c:v>
                </c:pt>
                <c:pt idx="718">
                  <c:v>76.650000000000006</c:v>
                </c:pt>
                <c:pt idx="719">
                  <c:v>76.59</c:v>
                </c:pt>
                <c:pt idx="720">
                  <c:v>77.19</c:v>
                </c:pt>
                <c:pt idx="721">
                  <c:v>77.95</c:v>
                </c:pt>
                <c:pt idx="722">
                  <c:v>78.349999999999994</c:v>
                </c:pt>
                <c:pt idx="723">
                  <c:v>79.91</c:v>
                </c:pt>
                <c:pt idx="724">
                  <c:v>79.78</c:v>
                </c:pt>
                <c:pt idx="725">
                  <c:v>79.430000000000007</c:v>
                </c:pt>
                <c:pt idx="726">
                  <c:v>78.790000000000006</c:v>
                </c:pt>
                <c:pt idx="727">
                  <c:v>78.66</c:v>
                </c:pt>
                <c:pt idx="728">
                  <c:v>78.489999999999995</c:v>
                </c:pt>
                <c:pt idx="729">
                  <c:v>78.87</c:v>
                </c:pt>
                <c:pt idx="730">
                  <c:v>79.58</c:v>
                </c:pt>
                <c:pt idx="731">
                  <c:v>79.959999999999994</c:v>
                </c:pt>
                <c:pt idx="732">
                  <c:v>81.05</c:v>
                </c:pt>
                <c:pt idx="733">
                  <c:v>80.819999999999993</c:v>
                </c:pt>
                <c:pt idx="734">
                  <c:v>80.67</c:v>
                </c:pt>
                <c:pt idx="735">
                  <c:v>80.77</c:v>
                </c:pt>
                <c:pt idx="736">
                  <c:v>80.97</c:v>
                </c:pt>
                <c:pt idx="737">
                  <c:v>81.22</c:v>
                </c:pt>
                <c:pt idx="738">
                  <c:v>81.42</c:v>
                </c:pt>
                <c:pt idx="739">
                  <c:v>81.62</c:v>
                </c:pt>
                <c:pt idx="740">
                  <c:v>81.81</c:v>
                </c:pt>
                <c:pt idx="741">
                  <c:v>81.84</c:v>
                </c:pt>
                <c:pt idx="742">
                  <c:v>81.84</c:v>
                </c:pt>
                <c:pt idx="743">
                  <c:v>81.81</c:v>
                </c:pt>
                <c:pt idx="744">
                  <c:v>81.89</c:v>
                </c:pt>
                <c:pt idx="745">
                  <c:v>83.49</c:v>
                </c:pt>
                <c:pt idx="746">
                  <c:v>84.13</c:v>
                </c:pt>
                <c:pt idx="747">
                  <c:v>84.85</c:v>
                </c:pt>
                <c:pt idx="748">
                  <c:v>85.31</c:v>
                </c:pt>
                <c:pt idx="749">
                  <c:v>86.48</c:v>
                </c:pt>
                <c:pt idx="750">
                  <c:v>86.07</c:v>
                </c:pt>
                <c:pt idx="751">
                  <c:v>85.37</c:v>
                </c:pt>
                <c:pt idx="752">
                  <c:v>84.75</c:v>
                </c:pt>
                <c:pt idx="753">
                  <c:v>84.27</c:v>
                </c:pt>
                <c:pt idx="754">
                  <c:v>83.86</c:v>
                </c:pt>
                <c:pt idx="755">
                  <c:v>83.84</c:v>
                </c:pt>
                <c:pt idx="756">
                  <c:v>84.21</c:v>
                </c:pt>
                <c:pt idx="757">
                  <c:v>84.54</c:v>
                </c:pt>
                <c:pt idx="758">
                  <c:v>84.16</c:v>
                </c:pt>
                <c:pt idx="759">
                  <c:v>84.46</c:v>
                </c:pt>
                <c:pt idx="760">
                  <c:v>84.68</c:v>
                </c:pt>
                <c:pt idx="761">
                  <c:v>84.58</c:v>
                </c:pt>
                <c:pt idx="762">
                  <c:v>82.12</c:v>
                </c:pt>
                <c:pt idx="763">
                  <c:v>81.5</c:v>
                </c:pt>
                <c:pt idx="764">
                  <c:v>81.48</c:v>
                </c:pt>
                <c:pt idx="765">
                  <c:v>81.61</c:v>
                </c:pt>
                <c:pt idx="766">
                  <c:v>79.98</c:v>
                </c:pt>
                <c:pt idx="767">
                  <c:v>80.08</c:v>
                </c:pt>
                <c:pt idx="768">
                  <c:v>80.040000000000006</c:v>
                </c:pt>
                <c:pt idx="769">
                  <c:v>80.06</c:v>
                </c:pt>
                <c:pt idx="770">
                  <c:v>80</c:v>
                </c:pt>
                <c:pt idx="771">
                  <c:v>76.790000000000006</c:v>
                </c:pt>
                <c:pt idx="772">
                  <c:v>76.61</c:v>
                </c:pt>
                <c:pt idx="773">
                  <c:v>76.5</c:v>
                </c:pt>
                <c:pt idx="774">
                  <c:v>76.319999999999993</c:v>
                </c:pt>
                <c:pt idx="775">
                  <c:v>73.06</c:v>
                </c:pt>
                <c:pt idx="776">
                  <c:v>73.16</c:v>
                </c:pt>
                <c:pt idx="777">
                  <c:v>73.34</c:v>
                </c:pt>
                <c:pt idx="778">
                  <c:v>73.11</c:v>
                </c:pt>
                <c:pt idx="779">
                  <c:v>69.209999999999994</c:v>
                </c:pt>
                <c:pt idx="780">
                  <c:v>68.459999999999994</c:v>
                </c:pt>
                <c:pt idx="781">
                  <c:v>68.23</c:v>
                </c:pt>
                <c:pt idx="782">
                  <c:v>68.42</c:v>
                </c:pt>
                <c:pt idx="783">
                  <c:v>68.66</c:v>
                </c:pt>
                <c:pt idx="784">
                  <c:v>66.02</c:v>
                </c:pt>
                <c:pt idx="785">
                  <c:v>65.61</c:v>
                </c:pt>
                <c:pt idx="786">
                  <c:v>64.94</c:v>
                </c:pt>
                <c:pt idx="787">
                  <c:v>64.42</c:v>
                </c:pt>
                <c:pt idx="788">
                  <c:v>61.93</c:v>
                </c:pt>
                <c:pt idx="789">
                  <c:v>62.06</c:v>
                </c:pt>
                <c:pt idx="790">
                  <c:v>61.88</c:v>
                </c:pt>
                <c:pt idx="791">
                  <c:v>61.4</c:v>
                </c:pt>
                <c:pt idx="792">
                  <c:v>60.86</c:v>
                </c:pt>
                <c:pt idx="793">
                  <c:v>61.07</c:v>
                </c:pt>
                <c:pt idx="794">
                  <c:v>62.28</c:v>
                </c:pt>
                <c:pt idx="795">
                  <c:v>64</c:v>
                </c:pt>
                <c:pt idx="796">
                  <c:v>65.22</c:v>
                </c:pt>
                <c:pt idx="797">
                  <c:v>66.12</c:v>
                </c:pt>
                <c:pt idx="798">
                  <c:v>64.510000000000005</c:v>
                </c:pt>
                <c:pt idx="799">
                  <c:v>62.35</c:v>
                </c:pt>
                <c:pt idx="800">
                  <c:v>60.74</c:v>
                </c:pt>
                <c:pt idx="801">
                  <c:v>61.58</c:v>
                </c:pt>
                <c:pt idx="802">
                  <c:v>61.78</c:v>
                </c:pt>
                <c:pt idx="803">
                  <c:v>62</c:v>
                </c:pt>
                <c:pt idx="804">
                  <c:v>62.19</c:v>
                </c:pt>
                <c:pt idx="805">
                  <c:v>62.48</c:v>
                </c:pt>
                <c:pt idx="806">
                  <c:v>62.01</c:v>
                </c:pt>
                <c:pt idx="807">
                  <c:v>62.92</c:v>
                </c:pt>
                <c:pt idx="808">
                  <c:v>63.37</c:v>
                </c:pt>
                <c:pt idx="809">
                  <c:v>62.51</c:v>
                </c:pt>
                <c:pt idx="810">
                  <c:v>60.05</c:v>
                </c:pt>
                <c:pt idx="811">
                  <c:v>58.54</c:v>
                </c:pt>
                <c:pt idx="812">
                  <c:v>58.44</c:v>
                </c:pt>
                <c:pt idx="813">
                  <c:v>59.69</c:v>
                </c:pt>
                <c:pt idx="814">
                  <c:v>61.11</c:v>
                </c:pt>
                <c:pt idx="815">
                  <c:v>61.83</c:v>
                </c:pt>
                <c:pt idx="816">
                  <c:v>61.74</c:v>
                </c:pt>
                <c:pt idx="817">
                  <c:v>61.25</c:v>
                </c:pt>
                <c:pt idx="818">
                  <c:v>60.95</c:v>
                </c:pt>
                <c:pt idx="819">
                  <c:v>62.68</c:v>
                </c:pt>
                <c:pt idx="820">
                  <c:v>63.61</c:v>
                </c:pt>
                <c:pt idx="821">
                  <c:v>64.45</c:v>
                </c:pt>
                <c:pt idx="822">
                  <c:v>64.73</c:v>
                </c:pt>
                <c:pt idx="823">
                  <c:v>65.39</c:v>
                </c:pt>
                <c:pt idx="824">
                  <c:v>64.17</c:v>
                </c:pt>
                <c:pt idx="825">
                  <c:v>63.09</c:v>
                </c:pt>
                <c:pt idx="826">
                  <c:v>62.54</c:v>
                </c:pt>
                <c:pt idx="827">
                  <c:v>64.97</c:v>
                </c:pt>
                <c:pt idx="828">
                  <c:v>65.400000000000006</c:v>
                </c:pt>
                <c:pt idx="829">
                  <c:v>65.739999999999995</c:v>
                </c:pt>
                <c:pt idx="830">
                  <c:v>65.87</c:v>
                </c:pt>
                <c:pt idx="831">
                  <c:v>65.849999999999994</c:v>
                </c:pt>
                <c:pt idx="832">
                  <c:v>67.83</c:v>
                </c:pt>
                <c:pt idx="833">
                  <c:v>67.84</c:v>
                </c:pt>
                <c:pt idx="834">
                  <c:v>67.86</c:v>
                </c:pt>
                <c:pt idx="835">
                  <c:v>67.73</c:v>
                </c:pt>
                <c:pt idx="836">
                  <c:v>68.099999999999994</c:v>
                </c:pt>
                <c:pt idx="837">
                  <c:v>68.41</c:v>
                </c:pt>
                <c:pt idx="838">
                  <c:v>69.2</c:v>
                </c:pt>
                <c:pt idx="839">
                  <c:v>70.2</c:v>
                </c:pt>
                <c:pt idx="840">
                  <c:v>70.3</c:v>
                </c:pt>
                <c:pt idx="841">
                  <c:v>70.59</c:v>
                </c:pt>
                <c:pt idx="842">
                  <c:v>70.7</c:v>
                </c:pt>
                <c:pt idx="843">
                  <c:v>71.010000000000005</c:v>
                </c:pt>
                <c:pt idx="844">
                  <c:v>71.209999999999994</c:v>
                </c:pt>
                <c:pt idx="845">
                  <c:v>68.099999999999994</c:v>
                </c:pt>
                <c:pt idx="846">
                  <c:v>66.92</c:v>
                </c:pt>
                <c:pt idx="847">
                  <c:v>65.12</c:v>
                </c:pt>
                <c:pt idx="848">
                  <c:v>63.65</c:v>
                </c:pt>
                <c:pt idx="849">
                  <c:v>60.02</c:v>
                </c:pt>
                <c:pt idx="850">
                  <c:v>61.21</c:v>
                </c:pt>
                <c:pt idx="851">
                  <c:v>62.83</c:v>
                </c:pt>
                <c:pt idx="852">
                  <c:v>63.9</c:v>
                </c:pt>
                <c:pt idx="853">
                  <c:v>57.95</c:v>
                </c:pt>
                <c:pt idx="854">
                  <c:v>58.17</c:v>
                </c:pt>
                <c:pt idx="855">
                  <c:v>58.57</c:v>
                </c:pt>
                <c:pt idx="856">
                  <c:v>58.66</c:v>
                </c:pt>
                <c:pt idx="857">
                  <c:v>57.89</c:v>
                </c:pt>
                <c:pt idx="858">
                  <c:v>50.78</c:v>
                </c:pt>
                <c:pt idx="859">
                  <c:v>49.78</c:v>
                </c:pt>
                <c:pt idx="860">
                  <c:v>49.94</c:v>
                </c:pt>
                <c:pt idx="861">
                  <c:v>51.46</c:v>
                </c:pt>
                <c:pt idx="862">
                  <c:v>48.53</c:v>
                </c:pt>
                <c:pt idx="863">
                  <c:v>48.95</c:v>
                </c:pt>
                <c:pt idx="864">
                  <c:v>47.87</c:v>
                </c:pt>
                <c:pt idx="865">
                  <c:v>46.6</c:v>
                </c:pt>
                <c:pt idx="866">
                  <c:v>46.56</c:v>
                </c:pt>
                <c:pt idx="867">
                  <c:v>47.23</c:v>
                </c:pt>
                <c:pt idx="868">
                  <c:v>48.1</c:v>
                </c:pt>
                <c:pt idx="869">
                  <c:v>48.16</c:v>
                </c:pt>
                <c:pt idx="870">
                  <c:v>46.88</c:v>
                </c:pt>
                <c:pt idx="871">
                  <c:v>47.33</c:v>
                </c:pt>
                <c:pt idx="872">
                  <c:v>43.7</c:v>
                </c:pt>
                <c:pt idx="873">
                  <c:v>40.6</c:v>
                </c:pt>
                <c:pt idx="874">
                  <c:v>39.15</c:v>
                </c:pt>
                <c:pt idx="875">
                  <c:v>43.07</c:v>
                </c:pt>
                <c:pt idx="876">
                  <c:v>43.67</c:v>
                </c:pt>
                <c:pt idx="877">
                  <c:v>44.82</c:v>
                </c:pt>
                <c:pt idx="878">
                  <c:v>46.4</c:v>
                </c:pt>
                <c:pt idx="879">
                  <c:v>49.58</c:v>
                </c:pt>
                <c:pt idx="880">
                  <c:v>51.75</c:v>
                </c:pt>
                <c:pt idx="881">
                  <c:v>53.06</c:v>
                </c:pt>
                <c:pt idx="882">
                  <c:v>53.84</c:v>
                </c:pt>
                <c:pt idx="883">
                  <c:v>54.13</c:v>
                </c:pt>
                <c:pt idx="884">
                  <c:v>53.81</c:v>
                </c:pt>
                <c:pt idx="885">
                  <c:v>53.77</c:v>
                </c:pt>
                <c:pt idx="886">
                  <c:v>53.68</c:v>
                </c:pt>
                <c:pt idx="887">
                  <c:v>53.64</c:v>
                </c:pt>
                <c:pt idx="888">
                  <c:v>53.12</c:v>
                </c:pt>
                <c:pt idx="889">
                  <c:v>52.99</c:v>
                </c:pt>
                <c:pt idx="890">
                  <c:v>52.32</c:v>
                </c:pt>
                <c:pt idx="891">
                  <c:v>51.31</c:v>
                </c:pt>
                <c:pt idx="892">
                  <c:v>50.74</c:v>
                </c:pt>
                <c:pt idx="893">
                  <c:v>51.83</c:v>
                </c:pt>
                <c:pt idx="894">
                  <c:v>52.88</c:v>
                </c:pt>
                <c:pt idx="895">
                  <c:v>53.92</c:v>
                </c:pt>
                <c:pt idx="896">
                  <c:v>54.5</c:v>
                </c:pt>
                <c:pt idx="897">
                  <c:v>55.13</c:v>
                </c:pt>
                <c:pt idx="898">
                  <c:v>53.98</c:v>
                </c:pt>
                <c:pt idx="899">
                  <c:v>52.49</c:v>
                </c:pt>
                <c:pt idx="900">
                  <c:v>51.14</c:v>
                </c:pt>
                <c:pt idx="901">
                  <c:v>51.98</c:v>
                </c:pt>
                <c:pt idx="902">
                  <c:v>50.7</c:v>
                </c:pt>
                <c:pt idx="903">
                  <c:v>49.77</c:v>
                </c:pt>
                <c:pt idx="904">
                  <c:v>49.76</c:v>
                </c:pt>
                <c:pt idx="905">
                  <c:v>50.63</c:v>
                </c:pt>
                <c:pt idx="906">
                  <c:v>55.59</c:v>
                </c:pt>
                <c:pt idx="907">
                  <c:v>56.64</c:v>
                </c:pt>
                <c:pt idx="908">
                  <c:v>57.43</c:v>
                </c:pt>
                <c:pt idx="909">
                  <c:v>58.57</c:v>
                </c:pt>
                <c:pt idx="910">
                  <c:v>64.78</c:v>
                </c:pt>
                <c:pt idx="911">
                  <c:v>66.31</c:v>
                </c:pt>
                <c:pt idx="912">
                  <c:v>66.87</c:v>
                </c:pt>
                <c:pt idx="913">
                  <c:v>66.14</c:v>
                </c:pt>
                <c:pt idx="914">
                  <c:v>67.790000000000006</c:v>
                </c:pt>
                <c:pt idx="915">
                  <c:v>66.13</c:v>
                </c:pt>
                <c:pt idx="916">
                  <c:v>65.06</c:v>
                </c:pt>
                <c:pt idx="917">
                  <c:v>64.62</c:v>
                </c:pt>
                <c:pt idx="918">
                  <c:v>65.2</c:v>
                </c:pt>
                <c:pt idx="919">
                  <c:v>64.760000000000005</c:v>
                </c:pt>
                <c:pt idx="920">
                  <c:v>64.77</c:v>
                </c:pt>
                <c:pt idx="921">
                  <c:v>65.489999999999995</c:v>
                </c:pt>
                <c:pt idx="922">
                  <c:v>66.58</c:v>
                </c:pt>
                <c:pt idx="923">
                  <c:v>66.97</c:v>
                </c:pt>
                <c:pt idx="924">
                  <c:v>68.06</c:v>
                </c:pt>
                <c:pt idx="925">
                  <c:v>69.239999999999995</c:v>
                </c:pt>
                <c:pt idx="926">
                  <c:v>70.040000000000006</c:v>
                </c:pt>
                <c:pt idx="927">
                  <c:v>72.34</c:v>
                </c:pt>
                <c:pt idx="928">
                  <c:v>72.569999999999993</c:v>
                </c:pt>
                <c:pt idx="929">
                  <c:v>72.12</c:v>
                </c:pt>
                <c:pt idx="930">
                  <c:v>71.09</c:v>
                </c:pt>
                <c:pt idx="931">
                  <c:v>70.069999999999993</c:v>
                </c:pt>
                <c:pt idx="932">
                  <c:v>71.040000000000006</c:v>
                </c:pt>
                <c:pt idx="933">
                  <c:v>71.209999999999994</c:v>
                </c:pt>
                <c:pt idx="934">
                  <c:v>71.77</c:v>
                </c:pt>
                <c:pt idx="935">
                  <c:v>72.709999999999994</c:v>
                </c:pt>
                <c:pt idx="936">
                  <c:v>77.62</c:v>
                </c:pt>
                <c:pt idx="937">
                  <c:v>78.06</c:v>
                </c:pt>
                <c:pt idx="938">
                  <c:v>78.02</c:v>
                </c:pt>
                <c:pt idx="939">
                  <c:v>77.75</c:v>
                </c:pt>
                <c:pt idx="940">
                  <c:v>79.97</c:v>
                </c:pt>
                <c:pt idx="941">
                  <c:v>79.22</c:v>
                </c:pt>
                <c:pt idx="942">
                  <c:v>78.92</c:v>
                </c:pt>
                <c:pt idx="943">
                  <c:v>79.39</c:v>
                </c:pt>
                <c:pt idx="944">
                  <c:v>80.13</c:v>
                </c:pt>
                <c:pt idx="945">
                  <c:v>82.74</c:v>
                </c:pt>
                <c:pt idx="946">
                  <c:v>82.1</c:v>
                </c:pt>
                <c:pt idx="947">
                  <c:v>81.22</c:v>
                </c:pt>
                <c:pt idx="948">
                  <c:v>80.94</c:v>
                </c:pt>
                <c:pt idx="949">
                  <c:v>81.459999999999994</c:v>
                </c:pt>
                <c:pt idx="950">
                  <c:v>82.5</c:v>
                </c:pt>
                <c:pt idx="951">
                  <c:v>83.74</c:v>
                </c:pt>
                <c:pt idx="952">
                  <c:v>84.53</c:v>
                </c:pt>
                <c:pt idx="953">
                  <c:v>84.66</c:v>
                </c:pt>
                <c:pt idx="954">
                  <c:v>84.65</c:v>
                </c:pt>
                <c:pt idx="955">
                  <c:v>85</c:v>
                </c:pt>
                <c:pt idx="956">
                  <c:v>85.38</c:v>
                </c:pt>
                <c:pt idx="957">
                  <c:v>85.26</c:v>
                </c:pt>
                <c:pt idx="958">
                  <c:v>83.6</c:v>
                </c:pt>
                <c:pt idx="959">
                  <c:v>82.25</c:v>
                </c:pt>
                <c:pt idx="960">
                  <c:v>81.319999999999993</c:v>
                </c:pt>
                <c:pt idx="961">
                  <c:v>81.34</c:v>
                </c:pt>
                <c:pt idx="962">
                  <c:v>82.8</c:v>
                </c:pt>
                <c:pt idx="963">
                  <c:v>84.21</c:v>
                </c:pt>
                <c:pt idx="964">
                  <c:v>85.37</c:v>
                </c:pt>
                <c:pt idx="965">
                  <c:v>85.61</c:v>
                </c:pt>
                <c:pt idx="966">
                  <c:v>84.46</c:v>
                </c:pt>
                <c:pt idx="967">
                  <c:v>83.7</c:v>
                </c:pt>
                <c:pt idx="968">
                  <c:v>83.09</c:v>
                </c:pt>
                <c:pt idx="969">
                  <c:v>82.92</c:v>
                </c:pt>
                <c:pt idx="970">
                  <c:v>83.04</c:v>
                </c:pt>
                <c:pt idx="971">
                  <c:v>83.1</c:v>
                </c:pt>
                <c:pt idx="972">
                  <c:v>83.94</c:v>
                </c:pt>
                <c:pt idx="973">
                  <c:v>84.9</c:v>
                </c:pt>
                <c:pt idx="974">
                  <c:v>85.71</c:v>
                </c:pt>
                <c:pt idx="975">
                  <c:v>85.3</c:v>
                </c:pt>
                <c:pt idx="976">
                  <c:v>84.64</c:v>
                </c:pt>
                <c:pt idx="977">
                  <c:v>83.13</c:v>
                </c:pt>
                <c:pt idx="978">
                  <c:v>81.17</c:v>
                </c:pt>
                <c:pt idx="979">
                  <c:v>79.599999999999994</c:v>
                </c:pt>
                <c:pt idx="980">
                  <c:v>79.319999999999993</c:v>
                </c:pt>
                <c:pt idx="981">
                  <c:v>80.260000000000005</c:v>
                </c:pt>
                <c:pt idx="982">
                  <c:v>81.19</c:v>
                </c:pt>
                <c:pt idx="983">
                  <c:v>81.44</c:v>
                </c:pt>
                <c:pt idx="984">
                  <c:v>82.33</c:v>
                </c:pt>
                <c:pt idx="985">
                  <c:v>82.6</c:v>
                </c:pt>
                <c:pt idx="986">
                  <c:v>82.42</c:v>
                </c:pt>
                <c:pt idx="987">
                  <c:v>81.56</c:v>
                </c:pt>
                <c:pt idx="988">
                  <c:v>80.95</c:v>
                </c:pt>
                <c:pt idx="989">
                  <c:v>80.92</c:v>
                </c:pt>
                <c:pt idx="990">
                  <c:v>82.17</c:v>
                </c:pt>
                <c:pt idx="991">
                  <c:v>84.32</c:v>
                </c:pt>
                <c:pt idx="992">
                  <c:v>86.28</c:v>
                </c:pt>
                <c:pt idx="993">
                  <c:v>87.25</c:v>
                </c:pt>
                <c:pt idx="994">
                  <c:v>86.95</c:v>
                </c:pt>
                <c:pt idx="995">
                  <c:v>86.04</c:v>
                </c:pt>
                <c:pt idx="996">
                  <c:v>84.97</c:v>
                </c:pt>
                <c:pt idx="997">
                  <c:v>83.89</c:v>
                </c:pt>
                <c:pt idx="998">
                  <c:v>83.4</c:v>
                </c:pt>
                <c:pt idx="999">
                  <c:v>83.28</c:v>
                </c:pt>
                <c:pt idx="1000">
                  <c:v>83.35</c:v>
                </c:pt>
                <c:pt idx="1001">
                  <c:v>84.05</c:v>
                </c:pt>
                <c:pt idx="1002">
                  <c:v>83.91</c:v>
                </c:pt>
                <c:pt idx="1003">
                  <c:v>83.42</c:v>
                </c:pt>
                <c:pt idx="1004">
                  <c:v>83.01</c:v>
                </c:pt>
                <c:pt idx="1005">
                  <c:v>82.94</c:v>
                </c:pt>
                <c:pt idx="1006">
                  <c:v>82.83</c:v>
                </c:pt>
                <c:pt idx="1007">
                  <c:v>83.19</c:v>
                </c:pt>
                <c:pt idx="1008">
                  <c:v>83.55</c:v>
                </c:pt>
                <c:pt idx="1009">
                  <c:v>83.86</c:v>
                </c:pt>
                <c:pt idx="1010">
                  <c:v>83.17</c:v>
                </c:pt>
                <c:pt idx="1011">
                  <c:v>83.47</c:v>
                </c:pt>
                <c:pt idx="1012">
                  <c:v>83.75</c:v>
                </c:pt>
                <c:pt idx="1013">
                  <c:v>83.87</c:v>
                </c:pt>
                <c:pt idx="1014">
                  <c:v>82.52</c:v>
                </c:pt>
                <c:pt idx="1015">
                  <c:v>81.739999999999995</c:v>
                </c:pt>
                <c:pt idx="1016">
                  <c:v>80.489999999999995</c:v>
                </c:pt>
                <c:pt idx="1017">
                  <c:v>79.400000000000006</c:v>
                </c:pt>
                <c:pt idx="1018">
                  <c:v>77.11</c:v>
                </c:pt>
                <c:pt idx="1019">
                  <c:v>77.58</c:v>
                </c:pt>
                <c:pt idx="1020">
                  <c:v>78.27</c:v>
                </c:pt>
                <c:pt idx="1021">
                  <c:v>78.48</c:v>
                </c:pt>
                <c:pt idx="1022">
                  <c:v>78.489999999999995</c:v>
                </c:pt>
                <c:pt idx="1023">
                  <c:v>77.489999999999995</c:v>
                </c:pt>
                <c:pt idx="1024">
                  <c:v>77.989999999999995</c:v>
                </c:pt>
                <c:pt idx="1025">
                  <c:v>78.16</c:v>
                </c:pt>
                <c:pt idx="1026">
                  <c:v>77.89</c:v>
                </c:pt>
                <c:pt idx="1027">
                  <c:v>75.680000000000007</c:v>
                </c:pt>
                <c:pt idx="1028">
                  <c:v>75.569999999999993</c:v>
                </c:pt>
                <c:pt idx="1029">
                  <c:v>75.25</c:v>
                </c:pt>
                <c:pt idx="1030">
                  <c:v>74.069999999999993</c:v>
                </c:pt>
                <c:pt idx="1031">
                  <c:v>72.8</c:v>
                </c:pt>
                <c:pt idx="1032">
                  <c:v>72.3</c:v>
                </c:pt>
                <c:pt idx="1033">
                  <c:v>72.739999999999995</c:v>
                </c:pt>
                <c:pt idx="1034">
                  <c:v>73.63</c:v>
                </c:pt>
                <c:pt idx="1035">
                  <c:v>74.47</c:v>
                </c:pt>
                <c:pt idx="1036">
                  <c:v>76.11</c:v>
                </c:pt>
                <c:pt idx="1037">
                  <c:v>77.02</c:v>
                </c:pt>
                <c:pt idx="1038">
                  <c:v>77.67</c:v>
                </c:pt>
                <c:pt idx="1039">
                  <c:v>77.94</c:v>
                </c:pt>
                <c:pt idx="1040">
                  <c:v>79.37</c:v>
                </c:pt>
                <c:pt idx="1041">
                  <c:v>79.23</c:v>
                </c:pt>
                <c:pt idx="1042">
                  <c:v>78.959999999999994</c:v>
                </c:pt>
                <c:pt idx="1043">
                  <c:v>78.34</c:v>
                </c:pt>
                <c:pt idx="1044">
                  <c:v>77.510000000000005</c:v>
                </c:pt>
                <c:pt idx="1045">
                  <c:v>78.819999999999993</c:v>
                </c:pt>
                <c:pt idx="1046">
                  <c:v>79.28</c:v>
                </c:pt>
                <c:pt idx="1047">
                  <c:v>80.22</c:v>
                </c:pt>
                <c:pt idx="1048">
                  <c:v>80.92</c:v>
                </c:pt>
                <c:pt idx="1049">
                  <c:v>81.209999999999994</c:v>
                </c:pt>
                <c:pt idx="1050">
                  <c:v>81.39</c:v>
                </c:pt>
                <c:pt idx="1051">
                  <c:v>82.05</c:v>
                </c:pt>
                <c:pt idx="1052">
                  <c:v>82.87</c:v>
                </c:pt>
                <c:pt idx="1053">
                  <c:v>83.61</c:v>
                </c:pt>
                <c:pt idx="1054">
                  <c:v>83.34</c:v>
                </c:pt>
                <c:pt idx="1055">
                  <c:v>83.16</c:v>
                </c:pt>
                <c:pt idx="1056">
                  <c:v>83.02</c:v>
                </c:pt>
                <c:pt idx="1057">
                  <c:v>82.87</c:v>
                </c:pt>
                <c:pt idx="1058">
                  <c:v>82.67</c:v>
                </c:pt>
                <c:pt idx="1059">
                  <c:v>82.21</c:v>
                </c:pt>
                <c:pt idx="1060">
                  <c:v>82</c:v>
                </c:pt>
                <c:pt idx="1061">
                  <c:v>81.790000000000006</c:v>
                </c:pt>
                <c:pt idx="1062">
                  <c:v>82.91</c:v>
                </c:pt>
                <c:pt idx="1063">
                  <c:v>82.99</c:v>
                </c:pt>
                <c:pt idx="1064">
                  <c:v>83.33</c:v>
                </c:pt>
                <c:pt idx="1065">
                  <c:v>83.59</c:v>
                </c:pt>
                <c:pt idx="1066">
                  <c:v>83.3</c:v>
                </c:pt>
                <c:pt idx="1067">
                  <c:v>84.04</c:v>
                </c:pt>
                <c:pt idx="1068">
                  <c:v>83.75</c:v>
                </c:pt>
                <c:pt idx="1069">
                  <c:v>84.1</c:v>
                </c:pt>
                <c:pt idx="1070">
                  <c:v>84.93</c:v>
                </c:pt>
                <c:pt idx="1071">
                  <c:v>86.75</c:v>
                </c:pt>
                <c:pt idx="1072">
                  <c:v>87.23</c:v>
                </c:pt>
                <c:pt idx="1073">
                  <c:v>86.97</c:v>
                </c:pt>
                <c:pt idx="1074">
                  <c:v>86.3</c:v>
                </c:pt>
                <c:pt idx="1075">
                  <c:v>85.76</c:v>
                </c:pt>
                <c:pt idx="1076">
                  <c:v>85.78</c:v>
                </c:pt>
                <c:pt idx="1077">
                  <c:v>85.91</c:v>
                </c:pt>
                <c:pt idx="1078">
                  <c:v>85.69</c:v>
                </c:pt>
                <c:pt idx="1079">
                  <c:v>83.23</c:v>
                </c:pt>
                <c:pt idx="1080">
                  <c:v>82.76</c:v>
                </c:pt>
                <c:pt idx="1081">
                  <c:v>82.71</c:v>
                </c:pt>
                <c:pt idx="1082">
                  <c:v>83.27</c:v>
                </c:pt>
                <c:pt idx="1083">
                  <c:v>84.5</c:v>
                </c:pt>
                <c:pt idx="1084">
                  <c:v>84.86</c:v>
                </c:pt>
                <c:pt idx="1085">
                  <c:v>85.21</c:v>
                </c:pt>
                <c:pt idx="1086">
                  <c:v>84.81</c:v>
                </c:pt>
                <c:pt idx="1087">
                  <c:v>83.97</c:v>
                </c:pt>
                <c:pt idx="1088">
                  <c:v>82.38</c:v>
                </c:pt>
                <c:pt idx="1089">
                  <c:v>81.55</c:v>
                </c:pt>
                <c:pt idx="1090">
                  <c:v>81.34</c:v>
                </c:pt>
                <c:pt idx="1091">
                  <c:v>81.78</c:v>
                </c:pt>
                <c:pt idx="1092">
                  <c:v>83.76</c:v>
                </c:pt>
                <c:pt idx="1093">
                  <c:v>84.34</c:v>
                </c:pt>
                <c:pt idx="1094">
                  <c:v>84.44</c:v>
                </c:pt>
                <c:pt idx="1095">
                  <c:v>84.08</c:v>
                </c:pt>
                <c:pt idx="1096">
                  <c:v>83.7</c:v>
                </c:pt>
                <c:pt idx="1097">
                  <c:v>83.14</c:v>
                </c:pt>
                <c:pt idx="1098">
                  <c:v>83.13</c:v>
                </c:pt>
                <c:pt idx="1099">
                  <c:v>83.29</c:v>
                </c:pt>
                <c:pt idx="1100">
                  <c:v>83.34</c:v>
                </c:pt>
                <c:pt idx="1101">
                  <c:v>83</c:v>
                </c:pt>
                <c:pt idx="1102">
                  <c:v>82.7</c:v>
                </c:pt>
                <c:pt idx="1103">
                  <c:v>82.13</c:v>
                </c:pt>
                <c:pt idx="1104">
                  <c:v>81.349999999999994</c:v>
                </c:pt>
                <c:pt idx="1105">
                  <c:v>80.47</c:v>
                </c:pt>
                <c:pt idx="1106">
                  <c:v>78.41</c:v>
                </c:pt>
                <c:pt idx="1107">
                  <c:v>78.540000000000006</c:v>
                </c:pt>
                <c:pt idx="1108">
                  <c:v>79.45</c:v>
                </c:pt>
                <c:pt idx="1109">
                  <c:v>80.62</c:v>
                </c:pt>
                <c:pt idx="1110">
                  <c:v>80.27</c:v>
                </c:pt>
                <c:pt idx="1111">
                  <c:v>80.63</c:v>
                </c:pt>
                <c:pt idx="1112">
                  <c:v>80.510000000000005</c:v>
                </c:pt>
                <c:pt idx="1113">
                  <c:v>80.319999999999993</c:v>
                </c:pt>
                <c:pt idx="1114">
                  <c:v>79.13</c:v>
                </c:pt>
                <c:pt idx="1115">
                  <c:v>79.77</c:v>
                </c:pt>
                <c:pt idx="1116">
                  <c:v>80.72</c:v>
                </c:pt>
                <c:pt idx="1117">
                  <c:v>81.63</c:v>
                </c:pt>
                <c:pt idx="1118">
                  <c:v>81.87</c:v>
                </c:pt>
                <c:pt idx="1119">
                  <c:v>81.06</c:v>
                </c:pt>
                <c:pt idx="1120">
                  <c:v>80.3</c:v>
                </c:pt>
                <c:pt idx="1121">
                  <c:v>79.27</c:v>
                </c:pt>
                <c:pt idx="1122">
                  <c:v>78.150000000000006</c:v>
                </c:pt>
                <c:pt idx="1123">
                  <c:v>76.63</c:v>
                </c:pt>
                <c:pt idx="1124">
                  <c:v>76.02</c:v>
                </c:pt>
                <c:pt idx="1125">
                  <c:v>75.73</c:v>
                </c:pt>
                <c:pt idx="1126">
                  <c:v>75.87</c:v>
                </c:pt>
                <c:pt idx="1127">
                  <c:v>76.400000000000006</c:v>
                </c:pt>
                <c:pt idx="1128">
                  <c:v>77.459999999999994</c:v>
                </c:pt>
                <c:pt idx="1129">
                  <c:v>78.33</c:v>
                </c:pt>
                <c:pt idx="1130">
                  <c:v>78.84</c:v>
                </c:pt>
                <c:pt idx="1131">
                  <c:v>79.010000000000005</c:v>
                </c:pt>
                <c:pt idx="1132">
                  <c:v>80.08</c:v>
                </c:pt>
                <c:pt idx="1133">
                  <c:v>79.8</c:v>
                </c:pt>
                <c:pt idx="1134">
                  <c:v>79.31</c:v>
                </c:pt>
                <c:pt idx="1135">
                  <c:v>78.790000000000006</c:v>
                </c:pt>
                <c:pt idx="1136">
                  <c:v>79.430000000000007</c:v>
                </c:pt>
                <c:pt idx="1137">
                  <c:v>79.41</c:v>
                </c:pt>
                <c:pt idx="1138">
                  <c:v>79.81</c:v>
                </c:pt>
                <c:pt idx="1139">
                  <c:v>79.97</c:v>
                </c:pt>
                <c:pt idx="1140">
                  <c:v>80.41</c:v>
                </c:pt>
                <c:pt idx="1141">
                  <c:v>79.81</c:v>
                </c:pt>
                <c:pt idx="1142">
                  <c:v>79.650000000000006</c:v>
                </c:pt>
                <c:pt idx="1143">
                  <c:v>80.209999999999994</c:v>
                </c:pt>
                <c:pt idx="1144">
                  <c:v>80.95</c:v>
                </c:pt>
                <c:pt idx="1145">
                  <c:v>80.36</c:v>
                </c:pt>
                <c:pt idx="1146">
                  <c:v>80.39</c:v>
                </c:pt>
                <c:pt idx="1147">
                  <c:v>80.040000000000006</c:v>
                </c:pt>
                <c:pt idx="1148">
                  <c:v>79.709999999999994</c:v>
                </c:pt>
                <c:pt idx="1149">
                  <c:v>77.400000000000006</c:v>
                </c:pt>
                <c:pt idx="1150">
                  <c:v>77.41</c:v>
                </c:pt>
                <c:pt idx="1151">
                  <c:v>77.61</c:v>
                </c:pt>
                <c:pt idx="1152">
                  <c:v>77.739999999999995</c:v>
                </c:pt>
                <c:pt idx="1153">
                  <c:v>76.22</c:v>
                </c:pt>
                <c:pt idx="1154">
                  <c:v>76.92</c:v>
                </c:pt>
                <c:pt idx="1155">
                  <c:v>77.94</c:v>
                </c:pt>
                <c:pt idx="1156">
                  <c:v>78.94</c:v>
                </c:pt>
                <c:pt idx="1157">
                  <c:v>79.62</c:v>
                </c:pt>
                <c:pt idx="1158">
                  <c:v>77.55</c:v>
                </c:pt>
                <c:pt idx="1159">
                  <c:v>76.89</c:v>
                </c:pt>
                <c:pt idx="1160">
                  <c:v>75.14</c:v>
                </c:pt>
                <c:pt idx="1161">
                  <c:v>72.680000000000007</c:v>
                </c:pt>
                <c:pt idx="1162">
                  <c:v>69.63</c:v>
                </c:pt>
                <c:pt idx="1163">
                  <c:v>69.44</c:v>
                </c:pt>
                <c:pt idx="1164">
                  <c:v>70.38</c:v>
                </c:pt>
                <c:pt idx="1165">
                  <c:v>71.47</c:v>
                </c:pt>
                <c:pt idx="1166">
                  <c:v>71.2</c:v>
                </c:pt>
                <c:pt idx="1167">
                  <c:v>71.22</c:v>
                </c:pt>
                <c:pt idx="1168">
                  <c:v>70.55</c:v>
                </c:pt>
                <c:pt idx="1169">
                  <c:v>69.53</c:v>
                </c:pt>
                <c:pt idx="1170">
                  <c:v>69.03</c:v>
                </c:pt>
                <c:pt idx="1171">
                  <c:v>69.88</c:v>
                </c:pt>
                <c:pt idx="1172">
                  <c:v>70.900000000000006</c:v>
                </c:pt>
                <c:pt idx="1173">
                  <c:v>71.849999999999994</c:v>
                </c:pt>
                <c:pt idx="1174">
                  <c:v>72.17</c:v>
                </c:pt>
                <c:pt idx="1175">
                  <c:v>73.06</c:v>
                </c:pt>
                <c:pt idx="1176">
                  <c:v>72.84</c:v>
                </c:pt>
                <c:pt idx="1177">
                  <c:v>72.569999999999993</c:v>
                </c:pt>
                <c:pt idx="1178">
                  <c:v>72.37</c:v>
                </c:pt>
                <c:pt idx="1179">
                  <c:v>73.239999999999995</c:v>
                </c:pt>
                <c:pt idx="1180">
                  <c:v>73.05</c:v>
                </c:pt>
                <c:pt idx="1181">
                  <c:v>72.67</c:v>
                </c:pt>
                <c:pt idx="1182">
                  <c:v>72.47</c:v>
                </c:pt>
                <c:pt idx="1183">
                  <c:v>72.62</c:v>
                </c:pt>
                <c:pt idx="1184">
                  <c:v>72.95</c:v>
                </c:pt>
                <c:pt idx="1185">
                  <c:v>73.27</c:v>
                </c:pt>
                <c:pt idx="1186">
                  <c:v>73.33</c:v>
                </c:pt>
                <c:pt idx="1187">
                  <c:v>73</c:v>
                </c:pt>
                <c:pt idx="1188">
                  <c:v>71.52</c:v>
                </c:pt>
                <c:pt idx="1189">
                  <c:v>70.97</c:v>
                </c:pt>
                <c:pt idx="1190">
                  <c:v>70.86</c:v>
                </c:pt>
                <c:pt idx="1191">
                  <c:v>71.349999999999994</c:v>
                </c:pt>
                <c:pt idx="1192">
                  <c:v>71.989999999999995</c:v>
                </c:pt>
                <c:pt idx="1193">
                  <c:v>69.739999999999995</c:v>
                </c:pt>
                <c:pt idx="1194">
                  <c:v>69.959999999999994</c:v>
                </c:pt>
                <c:pt idx="1195">
                  <c:v>69.94</c:v>
                </c:pt>
                <c:pt idx="1196">
                  <c:v>69.86</c:v>
                </c:pt>
                <c:pt idx="1197">
                  <c:v>67.209999999999994</c:v>
                </c:pt>
                <c:pt idx="1198">
                  <c:v>66.75</c:v>
                </c:pt>
                <c:pt idx="1199">
                  <c:v>66.63</c:v>
                </c:pt>
                <c:pt idx="1200">
                  <c:v>66.84</c:v>
                </c:pt>
                <c:pt idx="1201">
                  <c:v>67</c:v>
                </c:pt>
                <c:pt idx="1202">
                  <c:v>66.569999999999993</c:v>
                </c:pt>
                <c:pt idx="1203">
                  <c:v>65.91</c:v>
                </c:pt>
                <c:pt idx="1204">
                  <c:v>65.489999999999995</c:v>
                </c:pt>
                <c:pt idx="1205">
                  <c:v>65.62</c:v>
                </c:pt>
                <c:pt idx="1206">
                  <c:v>68.53</c:v>
                </c:pt>
                <c:pt idx="1207">
                  <c:v>69.2</c:v>
                </c:pt>
                <c:pt idx="1208">
                  <c:v>69.52</c:v>
                </c:pt>
                <c:pt idx="1209">
                  <c:v>69.58</c:v>
                </c:pt>
                <c:pt idx="1210">
                  <c:v>74.349999999999994</c:v>
                </c:pt>
                <c:pt idx="1211">
                  <c:v>74.58</c:v>
                </c:pt>
                <c:pt idx="1212">
                  <c:v>74.72</c:v>
                </c:pt>
                <c:pt idx="1213">
                  <c:v>74.650000000000006</c:v>
                </c:pt>
                <c:pt idx="1214">
                  <c:v>78.239999999999995</c:v>
                </c:pt>
                <c:pt idx="1215">
                  <c:v>77.77</c:v>
                </c:pt>
                <c:pt idx="1216">
                  <c:v>77.239999999999995</c:v>
                </c:pt>
                <c:pt idx="1217">
                  <c:v>76.739999999999995</c:v>
                </c:pt>
                <c:pt idx="1218">
                  <c:v>76.099999999999994</c:v>
                </c:pt>
                <c:pt idx="1219">
                  <c:v>78.11</c:v>
                </c:pt>
                <c:pt idx="1220">
                  <c:v>79.040000000000006</c:v>
                </c:pt>
                <c:pt idx="1221">
                  <c:v>80.849999999999994</c:v>
                </c:pt>
                <c:pt idx="1222">
                  <c:v>82.49</c:v>
                </c:pt>
                <c:pt idx="1223">
                  <c:v>84.49</c:v>
                </c:pt>
                <c:pt idx="1224">
                  <c:v>84.53</c:v>
                </c:pt>
                <c:pt idx="1225">
                  <c:v>83.63</c:v>
                </c:pt>
                <c:pt idx="1226">
                  <c:v>82.23</c:v>
                </c:pt>
                <c:pt idx="1227">
                  <c:v>80.099999999999994</c:v>
                </c:pt>
                <c:pt idx="1228">
                  <c:v>79.27</c:v>
                </c:pt>
                <c:pt idx="1229">
                  <c:v>78.959999999999994</c:v>
                </c:pt>
                <c:pt idx="1230">
                  <c:v>79.180000000000007</c:v>
                </c:pt>
                <c:pt idx="1231">
                  <c:v>79.33</c:v>
                </c:pt>
                <c:pt idx="1232">
                  <c:v>79.430000000000007</c:v>
                </c:pt>
                <c:pt idx="1233">
                  <c:v>79.67</c:v>
                </c:pt>
                <c:pt idx="1234">
                  <c:v>80.08</c:v>
                </c:pt>
                <c:pt idx="1235">
                  <c:v>80.540000000000006</c:v>
                </c:pt>
                <c:pt idx="1236">
                  <c:v>80.180000000000007</c:v>
                </c:pt>
                <c:pt idx="1237">
                  <c:v>80.13</c:v>
                </c:pt>
                <c:pt idx="1238">
                  <c:v>80.17</c:v>
                </c:pt>
                <c:pt idx="1239">
                  <c:v>80.19</c:v>
                </c:pt>
                <c:pt idx="1240">
                  <c:v>80.849999999999994</c:v>
                </c:pt>
                <c:pt idx="1241">
                  <c:v>80.72</c:v>
                </c:pt>
                <c:pt idx="1242">
                  <c:v>80.48</c:v>
                </c:pt>
                <c:pt idx="1243">
                  <c:v>79.900000000000006</c:v>
                </c:pt>
                <c:pt idx="1244">
                  <c:v>79.36</c:v>
                </c:pt>
                <c:pt idx="1245">
                  <c:v>80.010000000000005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F-48BF-8A00-A91FFA510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89024"/>
        <c:axId val="153903104"/>
      </c:lineChart>
      <c:dateAx>
        <c:axId val="153889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3104"/>
        <c:crosses val="autoZero"/>
        <c:auto val="1"/>
        <c:lblOffset val="100"/>
        <c:baseTimeUnit val="days"/>
      </c:dateAx>
      <c:valAx>
        <c:axId val="15390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6BF0A3-8CA0-4FD4-A74D-0B2F0F0B7EB0}">
  <sheetPr/>
  <sheetViews>
    <sheetView zoomScale="11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 codeName="Chart3"/>
  <sheetViews>
    <sheetView zoomScale="11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4BC82-B532-499B-89BE-F08B80FC248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F2626-642C-43A7-A579-25386CE2EA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C12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13.28515625" customWidth="1"/>
    <col min="2" max="2" width="15.28515625" bestFit="1" customWidth="1"/>
    <col min="3" max="3" width="16.140625" customWidth="1"/>
  </cols>
  <sheetData>
    <row r="1" spans="1:3" ht="18" thickBot="1" x14ac:dyDescent="0.35">
      <c r="A1" s="16">
        <v>43324</v>
      </c>
      <c r="B1" s="7" t="s">
        <v>255</v>
      </c>
      <c r="C1" s="7" t="s">
        <v>255</v>
      </c>
    </row>
    <row r="2" spans="1:3" ht="15.75" thickBot="1" x14ac:dyDescent="0.3">
      <c r="A2" s="9" t="s">
        <v>19</v>
      </c>
      <c r="B2" s="8" t="s">
        <v>46</v>
      </c>
      <c r="C2" s="8" t="s">
        <v>256</v>
      </c>
    </row>
    <row r="3" spans="1:3" x14ac:dyDescent="0.25">
      <c r="A3" s="20" t="s">
        <v>9</v>
      </c>
      <c r="B3" s="20">
        <f>VLOOKUP($A$1,Summary!$A:$AF,32,FALSE)</f>
        <v>5</v>
      </c>
      <c r="C3" s="20">
        <f>VLOOKUP($A$1,Summary!$A:$AF,32,FALSE)</f>
        <v>5</v>
      </c>
    </row>
    <row r="4" spans="1:3" x14ac:dyDescent="0.25">
      <c r="A4" s="20" t="s">
        <v>46</v>
      </c>
      <c r="B4" s="20" t="str">
        <f>INDEX(Summary!$AM:$AM,MATCH($A$1,Summary!$A:$A,0))</f>
        <v>Stocks</v>
      </c>
      <c r="C4" s="20" t="str">
        <f>INDEX(Summary!$AM:$AM,MATCH($A$1,Summary!$A:$A,0))</f>
        <v>Stocks</v>
      </c>
    </row>
    <row r="5" spans="1:3" x14ac:dyDescent="0.25">
      <c r="A5" s="20" t="s">
        <v>186</v>
      </c>
      <c r="B5" s="21" t="str">
        <f>IF(B3&gt;2,"Strong Market","Weak Market")</f>
        <v>Strong Market</v>
      </c>
      <c r="C5" s="21" t="str">
        <f>IF(C3&gt;2,"Strong Market","Weak Market")</f>
        <v>Strong Market</v>
      </c>
    </row>
    <row r="6" spans="1:3" x14ac:dyDescent="0.25">
      <c r="A6" s="20" t="s">
        <v>187</v>
      </c>
      <c r="B6" s="21" t="str">
        <f>IF(INDEX(Summary!$AK:$AK,MATCH($A$1,Summary!$A:$A,0))="","Stable Rates",INDEX(Summary!$AK:$AK,MATCH($A$1,Summary!$A:$A,0)))</f>
        <v>Rising Rates</v>
      </c>
      <c r="C6" s="21" t="str">
        <f>IF(INDEX(Summary!$AK:$AK,MATCH($A$1,Summary!$A:$A,0))="","Stable Rates",INDEX(Summary!$AK:$AK,MATCH($A$1,Summary!$A:$A,0)))</f>
        <v>Rising Rates</v>
      </c>
    </row>
    <row r="7" spans="1:3" x14ac:dyDescent="0.25">
      <c r="A7" s="20" t="s">
        <v>210</v>
      </c>
      <c r="B7" s="21">
        <v>33</v>
      </c>
      <c r="C7" s="21">
        <v>33</v>
      </c>
    </row>
    <row r="8" spans="1:3" x14ac:dyDescent="0.25">
      <c r="A8" s="20" t="s">
        <v>208</v>
      </c>
      <c r="B8" s="21">
        <f>VLOOKUP($A$1,Summary!$A:$C,3,FALSE)</f>
        <v>2.02</v>
      </c>
      <c r="C8" s="21">
        <f>VLOOKUP($A$1,Summary!$A:$C,3,FALSE)</f>
        <v>2.02</v>
      </c>
    </row>
    <row r="9" spans="1:3" x14ac:dyDescent="0.25">
      <c r="A9" s="20" t="s">
        <v>207</v>
      </c>
      <c r="B9" s="21">
        <f>ROUND(B7*0.09,2)</f>
        <v>2.97</v>
      </c>
      <c r="C9" s="21">
        <f>ROUND(C7*0.09,2)</f>
        <v>2.97</v>
      </c>
    </row>
    <row r="10" spans="1:3" x14ac:dyDescent="0.25">
      <c r="A10" s="12" t="s">
        <v>37</v>
      </c>
      <c r="B10" s="17">
        <f>ROUND(IF(VLOOKUP($A1,Summary!$A:$AH,34,FALSE)-((B8*(B9-2))*1.75)&lt;0,0,VLOOKUP($A1,Summary!$A:$AH,34,FALSE)-((B8*(B9-2))*1.75)),1)</f>
        <v>74.599999999999994</v>
      </c>
      <c r="C10" s="17">
        <f>IF(C4="Stocks",100,0)</f>
        <v>100</v>
      </c>
    </row>
    <row r="11" spans="1:3" x14ac:dyDescent="0.25">
      <c r="A11" s="20" t="s">
        <v>209</v>
      </c>
      <c r="B11" s="17">
        <f>IF((+B10+ROUND((B8*B9)+(B7*0.15),1))&gt;100,100-B10,ROUND((B8*B9)+(B7*0.15),1))</f>
        <v>10.9</v>
      </c>
      <c r="C11" s="17">
        <f>IF(C4="Stocks",0,100)</f>
        <v>0</v>
      </c>
    </row>
    <row r="12" spans="1:3" x14ac:dyDescent="0.25">
      <c r="A12" s="12" t="s">
        <v>38</v>
      </c>
      <c r="B12" s="17">
        <f>100-B10-B11</f>
        <v>14.500000000000005</v>
      </c>
      <c r="C12" s="17">
        <v>0</v>
      </c>
    </row>
  </sheetData>
  <pageMargins left="0.25" right="0.25" top="0.75" bottom="0.75" header="0.3" footer="0.3"/>
  <pageSetup scale="9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19E5D-F99B-4EE3-9F12-33E80C24A14A}">
  <dimension ref="A1:E32"/>
  <sheetViews>
    <sheetView tabSelected="1" workbookViewId="0">
      <selection activeCell="B7" sqref="B7"/>
    </sheetView>
  </sheetViews>
  <sheetFormatPr defaultRowHeight="15" x14ac:dyDescent="0.25"/>
  <cols>
    <col min="1" max="1" width="17.7109375" bestFit="1" customWidth="1"/>
    <col min="2" max="2" width="13" bestFit="1" customWidth="1"/>
    <col min="3" max="3" width="14" bestFit="1" customWidth="1"/>
    <col min="4" max="4" width="17.85546875" bestFit="1" customWidth="1"/>
    <col min="5" max="5" width="20.28515625" bestFit="1" customWidth="1"/>
  </cols>
  <sheetData>
    <row r="1" spans="1:5" ht="17.25" x14ac:dyDescent="0.3">
      <c r="B1" s="25" t="s">
        <v>257</v>
      </c>
      <c r="C1" s="25" t="s">
        <v>258</v>
      </c>
      <c r="D1" s="25" t="s">
        <v>259</v>
      </c>
      <c r="E1" s="25" t="s">
        <v>268</v>
      </c>
    </row>
    <row r="2" spans="1:5" x14ac:dyDescent="0.25">
      <c r="A2" t="s">
        <v>265</v>
      </c>
      <c r="B2" s="13">
        <f>ROUND((Summary!AS3/Summary!AS1360)^(1/26)-1,4)</f>
        <v>7.6300000000000007E-2</v>
      </c>
      <c r="C2" s="13">
        <f>ROUND((Summary!AT3/Summary!AT1360)^(1/26)-1,4)</f>
        <v>2.46E-2</v>
      </c>
      <c r="D2" s="13">
        <f>ROUND((Summary!AU3/Summary!AU1360)^(1/26)-1,4)</f>
        <v>9.2299999999999993E-2</v>
      </c>
      <c r="E2" s="13">
        <f>ROUND((Summary!AV3/Summary!AV1360)^(1/26)-1,4)</f>
        <v>0.11219999999999999</v>
      </c>
    </row>
    <row r="3" spans="1:5" x14ac:dyDescent="0.25">
      <c r="A3" t="s">
        <v>266</v>
      </c>
      <c r="B3" s="6">
        <f>ROUND(SLOPE(Summary!AO:AO,Summary!$AO:$AO),2)</f>
        <v>1</v>
      </c>
      <c r="C3" s="6">
        <f>ROUND(SLOPE(Summary!AP:AP,Summary!$AO:$AO),2)</f>
        <v>0</v>
      </c>
      <c r="D3" s="6">
        <f>ROUND(SLOPE(Summary!AQ:AQ,Summary!$AO:$AO),2)</f>
        <v>0.51</v>
      </c>
      <c r="E3" s="6">
        <f>ROUND(SLOPE(Summary!AR:AR,Summary!$AO:$AO),2)</f>
        <v>0.75</v>
      </c>
    </row>
    <row r="4" spans="1:5" x14ac:dyDescent="0.25">
      <c r="A4" t="s">
        <v>267</v>
      </c>
      <c r="B4">
        <f>ROUND(_xlfn.STDEV.P(Summary!AO:AO)*52,3)</f>
        <v>1.1719999999999999</v>
      </c>
      <c r="C4">
        <f>ROUND(_xlfn.STDEV.P(Summary!AP:AP)*52,3)</f>
        <v>2.1000000000000001E-2</v>
      </c>
      <c r="D4">
        <f>ROUND(_xlfn.STDEV.P(Summary!AQ:AQ)*52,3)</f>
        <v>0.73199999999999998</v>
      </c>
      <c r="E4">
        <f>ROUND(_xlfn.STDEV.P(Summary!AR:AR)*52,3)</f>
        <v>1.012</v>
      </c>
    </row>
    <row r="6" spans="1:5" x14ac:dyDescent="0.25">
      <c r="A6" t="s">
        <v>269</v>
      </c>
    </row>
    <row r="7" spans="1:5" x14ac:dyDescent="0.25">
      <c r="A7">
        <v>2018</v>
      </c>
      <c r="B7" s="13">
        <f>ROUND((SUMIFS(Summary!AS:AS,Summary!$AW:$AW,$A7,Summary!$AX:$AX,1)/SUMIFS(Summary!AS:AS,Summary!$AW:$AW,$A7-1,Summary!$AX:$AX,1))-1,4)</f>
        <v>5.9499999999999997E-2</v>
      </c>
      <c r="C7" s="13">
        <f>ROUND((SUMIFS(Summary!AT:AT,Summary!$AW:$AW,$A7,Summary!$AX:$AX,1)/SUMIFS(Summary!AT:AT,Summary!$AW:$AW,$A7-1,Summary!$AX:$AX,1))-1,4)</f>
        <v>1.0999999999999999E-2</v>
      </c>
      <c r="D7" s="13">
        <f>ROUND((SUMIFS(Summary!AU:AU,Summary!$AW:$AW,$A7,Summary!$AX:$AX,1)/SUMIFS(Summary!AU:AU,Summary!$AW:$AW,$A7-1,Summary!$AX:$AX,1))-1,4)</f>
        <v>4.3200000000000002E-2</v>
      </c>
      <c r="E7" s="13">
        <f>ROUND((SUMIFS(Summary!AV:AV,Summary!$AW:$AW,$A7,Summary!$AX:$AX,1)/SUMIFS(Summary!AV:AV,Summary!$AW:$AW,$A7-1,Summary!$AX:$AX,1))-1,4)</f>
        <v>5.9499999999999997E-2</v>
      </c>
    </row>
    <row r="8" spans="1:5" x14ac:dyDescent="0.25">
      <c r="A8">
        <v>2017</v>
      </c>
      <c r="B8" s="13">
        <f>ROUND((SUMIFS(Summary!AS:AS,Summary!$AW:$AW,$A8,Summary!$AX:$AX,1)/SUMIFS(Summary!AS:AS,Summary!$AW:$AW,$A8-1,Summary!$AX:$AX,1))-1,4)</f>
        <v>0.1812</v>
      </c>
      <c r="C8" s="13">
        <f>ROUND((SUMIFS(Summary!AT:AT,Summary!$AW:$AW,$A8,Summary!$AX:$AX,1)/SUMIFS(Summary!AT:AT,Summary!$AW:$AW,$A8-1,Summary!$AX:$AX,1))-1,4)</f>
        <v>9.2999999999999992E-3</v>
      </c>
      <c r="D8" s="13">
        <f>ROUND((SUMIFS(Summary!AU:AU,Summary!$AW:$AW,$A8,Summary!$AX:$AX,1)/SUMIFS(Summary!AU:AU,Summary!$AW:$AW,$A8-1,Summary!$AX:$AX,1))-1,4)</f>
        <v>0.15409999999999999</v>
      </c>
      <c r="E8" s="13">
        <f>ROUND((SUMIFS(Summary!AV:AV,Summary!$AW:$AW,$A8,Summary!$AX:$AX,1)/SUMIFS(Summary!AV:AV,Summary!$AW:$AW,$A8-1,Summary!$AX:$AX,1))-1,4)</f>
        <v>0.1812</v>
      </c>
    </row>
    <row r="9" spans="1:5" x14ac:dyDescent="0.25">
      <c r="A9">
        <v>2016</v>
      </c>
      <c r="B9" s="13">
        <f>ROUND((SUMIFS(Summary!AS:AS,Summary!$AW:$AW,$A9,Summary!$AX:$AX,1)/SUMIFS(Summary!AS:AS,Summary!$AW:$AW,$A9-1,Summary!$AX:$AX,1))-1,4)</f>
        <v>9.8000000000000004E-2</v>
      </c>
      <c r="C9" s="13">
        <f>ROUND((SUMIFS(Summary!AT:AT,Summary!$AW:$AW,$A9,Summary!$AX:$AX,1)/SUMIFS(Summary!AT:AT,Summary!$AW:$AW,$A9-1,Summary!$AX:$AX,1))-1,4)</f>
        <v>4.1000000000000003E-3</v>
      </c>
      <c r="D9" s="13">
        <f>ROUND((SUMIFS(Summary!AU:AU,Summary!$AW:$AW,$A9,Summary!$AX:$AX,1)/SUMIFS(Summary!AU:AU,Summary!$AW:$AW,$A9-1,Summary!$AX:$AX,1))-1,4)</f>
        <v>6.8400000000000002E-2</v>
      </c>
      <c r="E9" s="13">
        <f>ROUND((SUMIFS(Summary!AV:AV,Summary!$AW:$AW,$A9,Summary!$AX:$AX,1)/SUMIFS(Summary!AV:AV,Summary!$AW:$AW,$A9-1,Summary!$AX:$AX,1))-1,4)</f>
        <v>9.8000000000000004E-2</v>
      </c>
    </row>
    <row r="10" spans="1:5" x14ac:dyDescent="0.25">
      <c r="A10">
        <v>2015</v>
      </c>
      <c r="B10" s="13">
        <f>ROUND((SUMIFS(Summary!AS:AS,Summary!$AW:$AW,$A10,Summary!$AX:$AX,1)/SUMIFS(Summary!AS:AS,Summary!$AW:$AW,$A10-1,Summary!$AX:$AX,1))-1,4)</f>
        <v>-1.34E-2</v>
      </c>
      <c r="C10" s="13">
        <f>ROUND((SUMIFS(Summary!AT:AT,Summary!$AW:$AW,$A10,Summary!$AX:$AX,1)/SUMIFS(Summary!AT:AT,Summary!$AW:$AW,$A10-1,Summary!$AX:$AX,1))-1,4)</f>
        <v>1E-4</v>
      </c>
      <c r="D10" s="13">
        <f>ROUND((SUMIFS(Summary!AU:AU,Summary!$AW:$AW,$A10,Summary!$AX:$AX,1)/SUMIFS(Summary!AU:AU,Summary!$AW:$AW,$A10-1,Summary!$AX:$AX,1))-1,4)</f>
        <v>-2.0899999999999998E-2</v>
      </c>
      <c r="E10" s="13">
        <f>ROUND((SUMIFS(Summary!AV:AV,Summary!$AW:$AW,$A10,Summary!$AX:$AX,1)/SUMIFS(Summary!AV:AV,Summary!$AW:$AW,$A10-1,Summary!$AX:$AX,1))-1,4)</f>
        <v>-1.34E-2</v>
      </c>
    </row>
    <row r="11" spans="1:5" x14ac:dyDescent="0.25">
      <c r="A11">
        <v>2014</v>
      </c>
      <c r="B11" s="13">
        <f>ROUND((SUMIFS(Summary!AS:AS,Summary!$AW:$AW,$A11,Summary!$AX:$AX,1)/SUMIFS(Summary!AS:AS,Summary!$AW:$AW,$A11-1,Summary!$AX:$AX,1))-1,4)</f>
        <v>0.13439999999999999</v>
      </c>
      <c r="C11" s="13">
        <f>ROUND((SUMIFS(Summary!AT:AT,Summary!$AW:$AW,$A11,Summary!$AX:$AX,1)/SUMIFS(Summary!AT:AT,Summary!$AW:$AW,$A11-1,Summary!$AX:$AX,1))-1,4)</f>
        <v>0</v>
      </c>
      <c r="D11" s="13">
        <f>ROUND((SUMIFS(Summary!AU:AU,Summary!$AW:$AW,$A11,Summary!$AX:$AX,1)/SUMIFS(Summary!AU:AU,Summary!$AW:$AW,$A11-1,Summary!$AX:$AX,1))-1,4)</f>
        <v>0.1191</v>
      </c>
      <c r="E11" s="13">
        <f>ROUND((SUMIFS(Summary!AV:AV,Summary!$AW:$AW,$A11,Summary!$AX:$AX,1)/SUMIFS(Summary!AV:AV,Summary!$AW:$AW,$A11-1,Summary!$AX:$AX,1))-1,4)</f>
        <v>0.13439999999999999</v>
      </c>
    </row>
    <row r="12" spans="1:5" x14ac:dyDescent="0.25">
      <c r="A12">
        <v>2013</v>
      </c>
      <c r="B12" s="13">
        <f>ROUND((SUMIFS(Summary!AS:AS,Summary!$AW:$AW,$A12,Summary!$AX:$AX,1)/SUMIFS(Summary!AS:AS,Summary!$AW:$AW,$A12-1,Summary!$AX:$AX,1))-1,4)</f>
        <v>0.31319999999999998</v>
      </c>
      <c r="C12" s="13">
        <f>ROUND((SUMIFS(Summary!AT:AT,Summary!$AW:$AW,$A12,Summary!$AX:$AX,1)/SUMIFS(Summary!AT:AT,Summary!$AW:$AW,$A12-1,Summary!$AX:$AX,1))-1,4)</f>
        <v>0</v>
      </c>
      <c r="D12" s="13">
        <f>ROUND((SUMIFS(Summary!AU:AU,Summary!$AW:$AW,$A12,Summary!$AX:$AX,1)/SUMIFS(Summary!AU:AU,Summary!$AW:$AW,$A12-1,Summary!$AX:$AX,1))-1,4)</f>
        <v>0.28739999999999999</v>
      </c>
      <c r="E12" s="13">
        <f>ROUND((SUMIFS(Summary!AV:AV,Summary!$AW:$AW,$A12,Summary!$AX:$AX,1)/SUMIFS(Summary!AV:AV,Summary!$AW:$AW,$A12-1,Summary!$AX:$AX,1))-1,4)</f>
        <v>0.31319999999999998</v>
      </c>
    </row>
    <row r="13" spans="1:5" x14ac:dyDescent="0.25">
      <c r="A13">
        <v>2012</v>
      </c>
      <c r="B13" s="13">
        <f>ROUND((SUMIFS(Summary!AS:AS,Summary!$AW:$AW,$A13,Summary!$AX:$AX,1)/SUMIFS(Summary!AS:AS,Summary!$AW:$AW,$A13-1,Summary!$AX:$AX,1))-1,4)</f>
        <v>0.1081</v>
      </c>
      <c r="C13" s="13">
        <f>ROUND((SUMIFS(Summary!AT:AT,Summary!$AW:$AW,$A13,Summary!$AX:$AX,1)/SUMIFS(Summary!AT:AT,Summary!$AW:$AW,$A13-1,Summary!$AX:$AX,1))-1,4)</f>
        <v>0</v>
      </c>
      <c r="D13" s="13">
        <f>ROUND((SUMIFS(Summary!AU:AU,Summary!$AW:$AW,$A13,Summary!$AX:$AX,1)/SUMIFS(Summary!AU:AU,Summary!$AW:$AW,$A13-1,Summary!$AX:$AX,1))-1,4)</f>
        <v>0.1021</v>
      </c>
      <c r="E13" s="13">
        <f>ROUND((SUMIFS(Summary!AV:AV,Summary!$AW:$AW,$A13,Summary!$AX:$AX,1)/SUMIFS(Summary!AV:AV,Summary!$AW:$AW,$A13-1,Summary!$AX:$AX,1))-1,4)</f>
        <v>0.1081</v>
      </c>
    </row>
    <row r="14" spans="1:5" x14ac:dyDescent="0.25">
      <c r="A14">
        <v>2011</v>
      </c>
      <c r="B14" s="13">
        <f>ROUND((SUMIFS(Summary!AS:AS,Summary!$AW:$AW,$A14,Summary!$AX:$AX,1)/SUMIFS(Summary!AS:AS,Summary!$AW:$AW,$A14-1,Summary!$AX:$AX,1))-1,4)</f>
        <v>6.7000000000000002E-3</v>
      </c>
      <c r="C14" s="13">
        <f>ROUND((SUMIFS(Summary!AT:AT,Summary!$AW:$AW,$A14,Summary!$AX:$AX,1)/SUMIFS(Summary!AT:AT,Summary!$AW:$AW,$A14-1,Summary!$AX:$AX,1))-1,4)</f>
        <v>0</v>
      </c>
      <c r="D14" s="13">
        <f>ROUND((SUMIFS(Summary!AU:AU,Summary!$AW:$AW,$A14,Summary!$AX:$AX,1)/SUMIFS(Summary!AU:AU,Summary!$AW:$AW,$A14-1,Summary!$AX:$AX,1))-1,4)</f>
        <v>-2.75E-2</v>
      </c>
      <c r="E14" s="13">
        <f>ROUND((SUMIFS(Summary!AV:AV,Summary!$AW:$AW,$A14,Summary!$AX:$AX,1)/SUMIFS(Summary!AV:AV,Summary!$AW:$AW,$A14-1,Summary!$AX:$AX,1))-1,4)</f>
        <v>6.7000000000000002E-3</v>
      </c>
    </row>
    <row r="15" spans="1:5" x14ac:dyDescent="0.25">
      <c r="A15">
        <v>2010</v>
      </c>
      <c r="B15" s="13">
        <f>ROUND((SUMIFS(Summary!AS:AS,Summary!$AW:$AW,$A15,Summary!$AX:$AX,1)/SUMIFS(Summary!AS:AS,Summary!$AW:$AW,$A15-1,Summary!$AX:$AX,1))-1,4)</f>
        <v>0.1158</v>
      </c>
      <c r="C15" s="13">
        <f>ROUND((SUMIFS(Summary!AT:AT,Summary!$AW:$AW,$A15,Summary!$AX:$AX,1)/SUMIFS(Summary!AT:AT,Summary!$AW:$AW,$A15-1,Summary!$AX:$AX,1))-1,4)</f>
        <v>0</v>
      </c>
      <c r="D15" s="13">
        <f>ROUND((SUMIFS(Summary!AU:AU,Summary!$AW:$AW,$A15,Summary!$AX:$AX,1)/SUMIFS(Summary!AU:AU,Summary!$AW:$AW,$A15-1,Summary!$AX:$AX,1))-1,4)</f>
        <v>9.7799999999999998E-2</v>
      </c>
      <c r="E15" s="13">
        <f>ROUND((SUMIFS(Summary!AV:AV,Summary!$AW:$AW,$A15,Summary!$AX:$AX,1)/SUMIFS(Summary!AV:AV,Summary!$AW:$AW,$A15-1,Summary!$AX:$AX,1))-1,4)</f>
        <v>0.1158</v>
      </c>
    </row>
    <row r="16" spans="1:5" x14ac:dyDescent="0.25">
      <c r="A16">
        <v>2009</v>
      </c>
      <c r="B16" s="13">
        <f>ROUND((SUMIFS(Summary!AS:AS,Summary!$AW:$AW,$A16,Summary!$AX:$AX,1)/SUMIFS(Summary!AS:AS,Summary!$AW:$AW,$A16-1,Summary!$AX:$AX,1))-1,4)</f>
        <v>0.29039999999999999</v>
      </c>
      <c r="C16" s="13">
        <f>ROUND((SUMIFS(Summary!AT:AT,Summary!$AW:$AW,$A16,Summary!$AX:$AX,1)/SUMIFS(Summary!AT:AT,Summary!$AW:$AW,$A16-1,Summary!$AX:$AX,1))-1,4)</f>
        <v>4.0000000000000002E-4</v>
      </c>
      <c r="D16" s="13">
        <f>ROUND((SUMIFS(Summary!AU:AU,Summary!$AW:$AW,$A16,Summary!$AX:$AX,1)/SUMIFS(Summary!AU:AU,Summary!$AW:$AW,$A16-1,Summary!$AX:$AX,1))-1,4)</f>
        <v>0.1825</v>
      </c>
      <c r="E16" s="13">
        <f>ROUND((SUMIFS(Summary!AV:AV,Summary!$AW:$AW,$A16,Summary!$AX:$AX,1)/SUMIFS(Summary!AV:AV,Summary!$AW:$AW,$A16-1,Summary!$AX:$AX,1))-1,4)</f>
        <v>0.29039999999999999</v>
      </c>
    </row>
    <row r="17" spans="1:5" x14ac:dyDescent="0.25">
      <c r="A17">
        <v>2008</v>
      </c>
      <c r="B17" s="13">
        <f>ROUND((SUMIFS(Summary!AS:AS,Summary!$AW:$AW,$A17,Summary!$AX:$AX,1)/SUMIFS(Summary!AS:AS,Summary!$AW:$AW,$A17-1,Summary!$AX:$AX,1))-1,4)</f>
        <v>-0.40949999999999998</v>
      </c>
      <c r="C17" s="13">
        <f>ROUND((SUMIFS(Summary!AT:AT,Summary!$AW:$AW,$A17,Summary!$AX:$AX,1)/SUMIFS(Summary!AT:AT,Summary!$AW:$AW,$A17-1,Summary!$AX:$AX,1))-1,4)</f>
        <v>1.46E-2</v>
      </c>
      <c r="D17" s="13">
        <f>ROUND((SUMIFS(Summary!AU:AU,Summary!$AW:$AW,$A17,Summary!$AX:$AX,1)/SUMIFS(Summary!AU:AU,Summary!$AW:$AW,$A17-1,Summary!$AX:$AX,1))-1,4)</f>
        <v>-6.3E-3</v>
      </c>
      <c r="E17" s="13">
        <f>ROUND((SUMIFS(Summary!AV:AV,Summary!$AW:$AW,$A17,Summary!$AX:$AX,1)/SUMIFS(Summary!AV:AV,Summary!$AW:$AW,$A17-1,Summary!$AX:$AX,1))-1,4)</f>
        <v>-1.1900000000000001E-2</v>
      </c>
    </row>
    <row r="18" spans="1:5" x14ac:dyDescent="0.25">
      <c r="A18">
        <v>2007</v>
      </c>
      <c r="B18" s="13">
        <f>ROUND((SUMIFS(Summary!AS:AS,Summary!$AW:$AW,$A18,Summary!$AX:$AX,1)/SUMIFS(Summary!AS:AS,Summary!$AW:$AW,$A18-1,Summary!$AX:$AX,1))-1,4)</f>
        <v>4.2200000000000001E-2</v>
      </c>
      <c r="C18" s="13">
        <f>ROUND((SUMIFS(Summary!AT:AT,Summary!$AW:$AW,$A18,Summary!$AX:$AX,1)/SUMIFS(Summary!AT:AT,Summary!$AW:$AW,$A18-1,Summary!$AX:$AX,1))-1,4)</f>
        <v>4.48E-2</v>
      </c>
      <c r="D18" s="13">
        <f>ROUND((SUMIFS(Summary!AU:AU,Summary!$AW:$AW,$A18,Summary!$AX:$AX,1)/SUMIFS(Summary!AU:AU,Summary!$AW:$AW,$A18-1,Summary!$AX:$AX,1))-1,4)</f>
        <v>3.5799999999999998E-2</v>
      </c>
      <c r="E18" s="13">
        <f>ROUND((SUMIFS(Summary!AV:AV,Summary!$AW:$AW,$A18,Summary!$AX:$AX,1)/SUMIFS(Summary!AV:AV,Summary!$AW:$AW,$A18-1,Summary!$AX:$AX,1))-1,4)</f>
        <v>3.1899999999999998E-2</v>
      </c>
    </row>
    <row r="19" spans="1:5" x14ac:dyDescent="0.25">
      <c r="A19">
        <v>2006</v>
      </c>
      <c r="B19" s="13">
        <f>ROUND((SUMIFS(Summary!AS:AS,Summary!$AW:$AW,$A19,Summary!$AX:$AX,1)/SUMIFS(Summary!AS:AS,Summary!$AW:$AW,$A19-1,Summary!$AX:$AX,1))-1,4)</f>
        <v>0.11840000000000001</v>
      </c>
      <c r="C19" s="13">
        <f>ROUND((SUMIFS(Summary!AT:AT,Summary!$AW:$AW,$A19,Summary!$AX:$AX,1)/SUMIFS(Summary!AT:AT,Summary!$AW:$AW,$A19-1,Summary!$AX:$AX,1))-1,4)</f>
        <v>4.9000000000000002E-2</v>
      </c>
      <c r="D19" s="13">
        <f>ROUND((SUMIFS(Summary!AU:AU,Summary!$AW:$AW,$A19,Summary!$AX:$AX,1)/SUMIFS(Summary!AU:AU,Summary!$AW:$AW,$A19-1,Summary!$AX:$AX,1))-1,4)</f>
        <v>9.5100000000000004E-2</v>
      </c>
      <c r="E19" s="13">
        <f>ROUND((SUMIFS(Summary!AV:AV,Summary!$AW:$AW,$A19,Summary!$AX:$AX,1)/SUMIFS(Summary!AV:AV,Summary!$AW:$AW,$A19-1,Summary!$AX:$AX,1))-1,4)</f>
        <v>0.11840000000000001</v>
      </c>
    </row>
    <row r="20" spans="1:5" x14ac:dyDescent="0.25">
      <c r="A20">
        <v>2005</v>
      </c>
      <c r="B20" s="13">
        <f>ROUND((SUMIFS(Summary!AS:AS,Summary!$AW:$AW,$A20,Summary!$AX:$AX,1)/SUMIFS(Summary!AS:AS,Summary!$AW:$AW,$A20-1,Summary!$AX:$AX,1))-1,4)</f>
        <v>4.8099999999999997E-2</v>
      </c>
      <c r="C20" s="13">
        <f>ROUND((SUMIFS(Summary!AT:AT,Summary!$AW:$AW,$A20,Summary!$AX:$AX,1)/SUMIFS(Summary!AT:AT,Summary!$AW:$AW,$A20-1,Summary!$AX:$AX,1))-1,4)</f>
        <v>3.1199999999999999E-2</v>
      </c>
      <c r="D20" s="13">
        <f>ROUND((SUMIFS(Summary!AU:AU,Summary!$AW:$AW,$A20,Summary!$AX:$AX,1)/SUMIFS(Summary!AU:AU,Summary!$AW:$AW,$A20-1,Summary!$AX:$AX,1))-1,4)</f>
        <v>4.3900000000000002E-2</v>
      </c>
      <c r="E20" s="13">
        <f>ROUND((SUMIFS(Summary!AV:AV,Summary!$AW:$AW,$A20,Summary!$AX:$AX,1)/SUMIFS(Summary!AV:AV,Summary!$AW:$AW,$A20-1,Summary!$AX:$AX,1))-1,4)</f>
        <v>4.8099999999999997E-2</v>
      </c>
    </row>
    <row r="21" spans="1:5" x14ac:dyDescent="0.25">
      <c r="A21">
        <v>2004</v>
      </c>
      <c r="B21" s="13">
        <f>ROUND((SUMIFS(Summary!AS:AS,Summary!$AW:$AW,$A21,Summary!$AX:$AX,1)/SUMIFS(Summary!AS:AS,Summary!$AW:$AW,$A21-1,Summary!$AX:$AX,1))-1,4)</f>
        <v>0.104</v>
      </c>
      <c r="C21" s="13">
        <f>ROUND((SUMIFS(Summary!AT:AT,Summary!$AW:$AW,$A21,Summary!$AX:$AX,1)/SUMIFS(Summary!AT:AT,Summary!$AW:$AW,$A21-1,Summary!$AX:$AX,1))-1,4)</f>
        <v>1.38E-2</v>
      </c>
      <c r="D21" s="13">
        <f>ROUND((SUMIFS(Summary!AU:AU,Summary!$AW:$AW,$A21,Summary!$AX:$AX,1)/SUMIFS(Summary!AU:AU,Summary!$AW:$AW,$A21-1,Summary!$AX:$AX,1))-1,4)</f>
        <v>0.10390000000000001</v>
      </c>
      <c r="E21" s="13">
        <f>ROUND((SUMIFS(Summary!AV:AV,Summary!$AW:$AW,$A21,Summary!$AX:$AX,1)/SUMIFS(Summary!AV:AV,Summary!$AW:$AW,$A21-1,Summary!$AX:$AX,1))-1,4)</f>
        <v>0.104</v>
      </c>
    </row>
    <row r="22" spans="1:5" x14ac:dyDescent="0.25">
      <c r="A22">
        <v>2003</v>
      </c>
      <c r="B22" s="13">
        <f>ROUND((SUMIFS(Summary!AS:AS,Summary!$AW:$AW,$A22,Summary!$AX:$AX,1)/SUMIFS(Summary!AS:AS,Summary!$AW:$AW,$A22-1,Summary!$AX:$AX,1))-1,4)</f>
        <v>0.252</v>
      </c>
      <c r="C22" s="13">
        <f>ROUND((SUMIFS(Summary!AT:AT,Summary!$AW:$AW,$A22,Summary!$AX:$AX,1)/SUMIFS(Summary!AT:AT,Summary!$AW:$AW,$A22-1,Summary!$AX:$AX,1))-1,4)</f>
        <v>1.0500000000000001E-2</v>
      </c>
      <c r="D22" s="13">
        <f>ROUND((SUMIFS(Summary!AU:AU,Summary!$AW:$AW,$A22,Summary!$AX:$AX,1)/SUMIFS(Summary!AU:AU,Summary!$AW:$AW,$A22-1,Summary!$AX:$AX,1))-1,4)</f>
        <v>0.21959999999999999</v>
      </c>
      <c r="E22" s="13">
        <f>ROUND((SUMIFS(Summary!AV:AV,Summary!$AW:$AW,$A22,Summary!$AX:$AX,1)/SUMIFS(Summary!AV:AV,Summary!$AW:$AW,$A22-1,Summary!$AX:$AX,1))-1,4)</f>
        <v>0.252</v>
      </c>
    </row>
    <row r="23" spans="1:5" x14ac:dyDescent="0.25">
      <c r="A23">
        <v>2002</v>
      </c>
      <c r="B23" s="13">
        <f>ROUND((SUMIFS(Summary!AS:AS,Summary!$AW:$AW,$A23,Summary!$AX:$AX,1)/SUMIFS(Summary!AS:AS,Summary!$AW:$AW,$A23-1,Summary!$AX:$AX,1))-1,4)</f>
        <v>-0.24579999999999999</v>
      </c>
      <c r="C23" s="13">
        <f>ROUND((SUMIFS(Summary!AT:AT,Summary!$AW:$AW,$A23,Summary!$AX:$AX,1)/SUMIFS(Summary!AT:AT,Summary!$AW:$AW,$A23-1,Summary!$AX:$AX,1))-1,4)</f>
        <v>1.4999999999999999E-2</v>
      </c>
      <c r="D23" s="13">
        <f>ROUND((SUMIFS(Summary!AU:AU,Summary!$AW:$AW,$A23,Summary!$AX:$AX,1)/SUMIFS(Summary!AU:AU,Summary!$AW:$AW,$A23-1,Summary!$AX:$AX,1))-1,4)</f>
        <v>-0.16889999999999999</v>
      </c>
      <c r="E23" s="13">
        <f>ROUND((SUMIFS(Summary!AV:AV,Summary!$AW:$AW,$A23,Summary!$AX:$AX,1)/SUMIFS(Summary!AV:AV,Summary!$AW:$AW,$A23-1,Summary!$AX:$AX,1))-1,4)</f>
        <v>-0.2394</v>
      </c>
    </row>
    <row r="24" spans="1:5" x14ac:dyDescent="0.25">
      <c r="A24">
        <v>2001</v>
      </c>
      <c r="B24" s="13">
        <f>ROUND((SUMIFS(Summary!AS:AS,Summary!$AW:$AW,$A24,Summary!$AX:$AX,1)/SUMIFS(Summary!AS:AS,Summary!$AW:$AW,$A24-1,Summary!$AX:$AX,1))-1,4)</f>
        <v>-0.1205</v>
      </c>
      <c r="C24" s="13">
        <f>ROUND((SUMIFS(Summary!AT:AT,Summary!$AW:$AW,$A24,Summary!$AX:$AX,1)/SUMIFS(Summary!AT:AT,Summary!$AW:$AW,$A24-1,Summary!$AX:$AX,1))-1,4)</f>
        <v>3.5499999999999997E-2</v>
      </c>
      <c r="D24" s="13">
        <f>ROUND((SUMIFS(Summary!AU:AU,Summary!$AW:$AW,$A24,Summary!$AX:$AX,1)/SUMIFS(Summary!AU:AU,Summary!$AW:$AW,$A24-1,Summary!$AX:$AX,1))-1,4)</f>
        <v>1.7899999999999999E-2</v>
      </c>
      <c r="E24" s="13">
        <f>ROUND((SUMIFS(Summary!AV:AV,Summary!$AW:$AW,$A24,Summary!$AX:$AX,1)/SUMIFS(Summary!AV:AV,Summary!$AW:$AW,$A24-1,Summary!$AX:$AX,1))-1,4)</f>
        <v>6.9800000000000001E-2</v>
      </c>
    </row>
    <row r="25" spans="1:5" x14ac:dyDescent="0.25">
      <c r="A25">
        <v>2000</v>
      </c>
      <c r="B25" s="13">
        <f>ROUND((SUMIFS(Summary!AS:AS,Summary!$AW:$AW,$A25,Summary!$AX:$AX,1)/SUMIFS(Summary!AS:AS,Summary!$AW:$AW,$A25-1,Summary!$AX:$AX,1))-1,4)</f>
        <v>-9.4500000000000001E-2</v>
      </c>
      <c r="C25" s="13">
        <f>ROUND((SUMIFS(Summary!AT:AT,Summary!$AW:$AW,$A25,Summary!$AX:$AX,1)/SUMIFS(Summary!AT:AT,Summary!$AW:$AW,$A25-1,Summary!$AX:$AX,1))-1,4)</f>
        <v>6.1400000000000003E-2</v>
      </c>
      <c r="D25" s="13">
        <f>ROUND((SUMIFS(Summary!AU:AU,Summary!$AW:$AW,$A25,Summary!$AX:$AX,1)/SUMIFS(Summary!AU:AU,Summary!$AW:$AW,$A25-1,Summary!$AX:$AX,1))-1,4)</f>
        <v>2.3800000000000002E-2</v>
      </c>
      <c r="E25" s="13">
        <f>ROUND((SUMIFS(Summary!AV:AV,Summary!$AW:$AW,$A25,Summary!$AX:$AX,1)/SUMIFS(Summary!AV:AV,Summary!$AW:$AW,$A25-1,Summary!$AX:$AX,1))-1,4)</f>
        <v>4.48E-2</v>
      </c>
    </row>
    <row r="26" spans="1:5" x14ac:dyDescent="0.25">
      <c r="A26">
        <v>1999</v>
      </c>
      <c r="B26" s="13">
        <f>ROUND((SUMIFS(Summary!AS:AS,Summary!$AW:$AW,$A26,Summary!$AX:$AX,1)/SUMIFS(Summary!AS:AS,Summary!$AW:$AW,$A26-1,Summary!$AX:$AX,1))-1,4)</f>
        <v>0.18940000000000001</v>
      </c>
      <c r="C26" s="13">
        <f>ROUND((SUMIFS(Summary!AT:AT,Summary!$AW:$AW,$A26,Summary!$AX:$AX,1)/SUMIFS(Summary!AT:AT,Summary!$AW:$AW,$A26-1,Summary!$AX:$AX,1))-1,4)</f>
        <v>4.7600000000000003E-2</v>
      </c>
      <c r="D26" s="13">
        <f>ROUND((SUMIFS(Summary!AU:AU,Summary!$AW:$AW,$A26,Summary!$AX:$AX,1)/SUMIFS(Summary!AU:AU,Summary!$AW:$AW,$A26-1,Summary!$AX:$AX,1))-1,4)</f>
        <v>0.1196</v>
      </c>
      <c r="E26" s="13">
        <f>ROUND((SUMIFS(Summary!AV:AV,Summary!$AW:$AW,$A26,Summary!$AX:$AX,1)/SUMIFS(Summary!AV:AV,Summary!$AW:$AW,$A26-1,Summary!$AX:$AX,1))-1,4)</f>
        <v>0.18940000000000001</v>
      </c>
    </row>
    <row r="27" spans="1:5" x14ac:dyDescent="0.25">
      <c r="A27">
        <v>1998</v>
      </c>
      <c r="B27" s="13">
        <f>ROUND((SUMIFS(Summary!AS:AS,Summary!$AW:$AW,$A27,Summary!$AX:$AX,1)/SUMIFS(Summary!AS:AS,Summary!$AW:$AW,$A27-1,Summary!$AX:$AX,1))-1,4)</f>
        <v>0.30940000000000001</v>
      </c>
      <c r="C27" s="13">
        <f>ROUND((SUMIFS(Summary!AT:AT,Summary!$AW:$AW,$A27,Summary!$AX:$AX,1)/SUMIFS(Summary!AT:AT,Summary!$AW:$AW,$A27-1,Summary!$AX:$AX,1))-1,4)</f>
        <v>4.99E-2</v>
      </c>
      <c r="D27" s="13">
        <f>ROUND((SUMIFS(Summary!AU:AU,Summary!$AW:$AW,$A27,Summary!$AX:$AX,1)/SUMIFS(Summary!AU:AU,Summary!$AW:$AW,$A27-1,Summary!$AX:$AX,1))-1,4)</f>
        <v>0.20169999999999999</v>
      </c>
      <c r="E27" s="13">
        <f>ROUND((SUMIFS(Summary!AV:AV,Summary!$AW:$AW,$A27,Summary!$AX:$AX,1)/SUMIFS(Summary!AV:AV,Summary!$AW:$AW,$A27-1,Summary!$AX:$AX,1))-1,4)</f>
        <v>0.30940000000000001</v>
      </c>
    </row>
    <row r="28" spans="1:5" x14ac:dyDescent="0.25">
      <c r="A28">
        <v>1997</v>
      </c>
      <c r="B28" s="13">
        <f>ROUND((SUMIFS(Summary!AS:AS,Summary!$AW:$AW,$A28,Summary!$AX:$AX,1)/SUMIFS(Summary!AS:AS,Summary!$AW:$AW,$A28-1,Summary!$AX:$AX,1))-1,4)</f>
        <v>0.23710000000000001</v>
      </c>
      <c r="C28" s="13">
        <f>ROUND((SUMIFS(Summary!AT:AT,Summary!$AW:$AW,$A28,Summary!$AX:$AX,1)/SUMIFS(Summary!AT:AT,Summary!$AW:$AW,$A28-1,Summary!$AX:$AX,1))-1,4)</f>
        <v>5.28E-2</v>
      </c>
      <c r="D28" s="13">
        <f>ROUND((SUMIFS(Summary!AU:AU,Summary!$AW:$AW,$A28,Summary!$AX:$AX,1)/SUMIFS(Summary!AU:AU,Summary!$AW:$AW,$A28-1,Summary!$AX:$AX,1))-1,4)</f>
        <v>0.20150000000000001</v>
      </c>
      <c r="E28" s="13">
        <f>ROUND((SUMIFS(Summary!AV:AV,Summary!$AW:$AW,$A28,Summary!$AX:$AX,1)/SUMIFS(Summary!AV:AV,Summary!$AW:$AW,$A28-1,Summary!$AX:$AX,1))-1,4)</f>
        <v>0.23710000000000001</v>
      </c>
    </row>
    <row r="29" spans="1:5" x14ac:dyDescent="0.25">
      <c r="A29">
        <v>1996</v>
      </c>
      <c r="B29" s="13">
        <f>ROUND((SUMIFS(Summary!AS:AS,Summary!$AW:$AW,$A29,Summary!$AX:$AX,1)/SUMIFS(Summary!AS:AS,Summary!$AW:$AW,$A29-1,Summary!$AX:$AX,1))-1,4)</f>
        <v>0.22900000000000001</v>
      </c>
      <c r="C29" s="13">
        <f>ROUND((SUMIFS(Summary!AT:AT,Summary!$AW:$AW,$A29,Summary!$AX:$AX,1)/SUMIFS(Summary!AT:AT,Summary!$AW:$AW,$A29-1,Summary!$AX:$AX,1))-1,4)</f>
        <v>5.21E-2</v>
      </c>
      <c r="D29" s="13">
        <f>ROUND((SUMIFS(Summary!AU:AU,Summary!$AW:$AW,$A29,Summary!$AX:$AX,1)/SUMIFS(Summary!AU:AU,Summary!$AW:$AW,$A29-1,Summary!$AX:$AX,1))-1,4)</f>
        <v>0.215</v>
      </c>
      <c r="E29" s="13">
        <f>ROUND((SUMIFS(Summary!AV:AV,Summary!$AW:$AW,$A29,Summary!$AX:$AX,1)/SUMIFS(Summary!AV:AV,Summary!$AW:$AW,$A29-1,Summary!$AX:$AX,1))-1,4)</f>
        <v>0.22900000000000001</v>
      </c>
    </row>
    <row r="30" spans="1:5" x14ac:dyDescent="0.25">
      <c r="A30">
        <v>1995</v>
      </c>
      <c r="B30" s="13">
        <f>ROUND((SUMIFS(Summary!AS:AS,Summary!$AW:$AW,$A30,Summary!$AX:$AX,1)/SUMIFS(Summary!AS:AS,Summary!$AW:$AW,$A30-1,Summary!$AX:$AX,1))-1,4)</f>
        <v>0.33939999999999998</v>
      </c>
      <c r="C30" s="13">
        <f>ROUND((SUMIFS(Summary!AT:AT,Summary!$AW:$AW,$A30,Summary!$AX:$AX,1)/SUMIFS(Summary!AT:AT,Summary!$AW:$AW,$A30-1,Summary!$AX:$AX,1))-1,4)</f>
        <v>5.7099999999999998E-2</v>
      </c>
      <c r="D30" s="13">
        <f>ROUND((SUMIFS(Summary!AU:AU,Summary!$AW:$AW,$A30,Summary!$AX:$AX,1)/SUMIFS(Summary!AU:AU,Summary!$AW:$AW,$A30-1,Summary!$AX:$AX,1))-1,4)</f>
        <v>0.33200000000000002</v>
      </c>
      <c r="E30" s="13">
        <f>ROUND((SUMIFS(Summary!AV:AV,Summary!$AW:$AW,$A30,Summary!$AX:$AX,1)/SUMIFS(Summary!AV:AV,Summary!$AW:$AW,$A30-1,Summary!$AX:$AX,1))-1,4)</f>
        <v>0.33939999999999998</v>
      </c>
    </row>
    <row r="31" spans="1:5" x14ac:dyDescent="0.25">
      <c r="A31">
        <v>1994</v>
      </c>
      <c r="B31" s="13">
        <f>ROUND((SUMIFS(Summary!AS:AS,Summary!$AW:$AW,$A31,Summary!$AX:$AX,1)/SUMIFS(Summary!AS:AS,Summary!$AW:$AW,$A31-1,Summary!$AX:$AX,1))-1,4)</f>
        <v>-1.6299999999999999E-2</v>
      </c>
      <c r="C31" s="13">
        <f>ROUND((SUMIFS(Summary!AT:AT,Summary!$AW:$AW,$A31,Summary!$AX:$AX,1)/SUMIFS(Summary!AT:AT,Summary!$AW:$AW,$A31-1,Summary!$AX:$AX,1))-1,4)</f>
        <v>4.2599999999999999E-2</v>
      </c>
      <c r="D31" s="13">
        <f>ROUND((SUMIFS(Summary!AU:AU,Summary!$AW:$AW,$A31,Summary!$AX:$AX,1)/SUMIFS(Summary!AU:AU,Summary!$AW:$AW,$A31-1,Summary!$AX:$AX,1))-1,4)</f>
        <v>-1.6299999999999999E-2</v>
      </c>
      <c r="E31" s="13">
        <f>ROUND((SUMIFS(Summary!AV:AV,Summary!$AW:$AW,$A31,Summary!$AX:$AX,1)/SUMIFS(Summary!AV:AV,Summary!$AW:$AW,$A31-1,Summary!$AX:$AX,1))-1,4)</f>
        <v>-1.6299999999999999E-2</v>
      </c>
    </row>
    <row r="32" spans="1:5" x14ac:dyDescent="0.25">
      <c r="A32">
        <v>1993</v>
      </c>
      <c r="B32" s="13">
        <f>ROUND((SUMIFS(Summary!AS:AS,Summary!$AW:$AW,$A32,Summary!$AX:$AX,1)/SUMIFS(Summary!AS:AS,Summary!$AW:$AW,$A32-1,Summary!$AX:$AX,1))-1,4)</f>
        <v>6.2700000000000006E-2</v>
      </c>
      <c r="C32" s="13">
        <f>ROUND((SUMIFS(Summary!AT:AT,Summary!$AW:$AW,$A32,Summary!$AX:$AX,1)/SUMIFS(Summary!AT:AT,Summary!$AW:$AW,$A32-1,Summary!$AX:$AX,1))-1,4)</f>
        <v>3.15E-2</v>
      </c>
      <c r="D32" s="13">
        <f>ROUND((SUMIFS(Summary!AU:AU,Summary!$AW:$AW,$A32,Summary!$AX:$AX,1)/SUMIFS(Summary!AU:AU,Summary!$AW:$AW,$A32-1,Summary!$AX:$AX,1))-1,4)</f>
        <v>6.2700000000000006E-2</v>
      </c>
      <c r="E32" s="13">
        <f>ROUND((SUMIFS(Summary!AV:AV,Summary!$AW:$AW,$A32,Summary!$AX:$AX,1)/SUMIFS(Summary!AV:AV,Summary!$AW:$AW,$A32-1,Summary!$AX:$AX,1))-1,4)</f>
        <v>6.2700000000000006E-2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378"/>
  <sheetViews>
    <sheetView zoomScaleNormal="100" workbookViewId="0">
      <pane xSplit="1" ySplit="2" topLeftCell="Y1216" activePane="bottomRight" state="frozen"/>
      <selection pane="topRight" activeCell="B1" sqref="B1"/>
      <selection pane="bottomLeft" activeCell="A3" sqref="A3"/>
      <selection pane="bottomRight" activeCell="AW3" sqref="AW3:AX1378"/>
    </sheetView>
  </sheetViews>
  <sheetFormatPr defaultRowHeight="15" x14ac:dyDescent="0.25"/>
  <cols>
    <col min="1" max="1" width="10.7109375" customWidth="1"/>
    <col min="2" max="2" width="15.5703125" bestFit="1" customWidth="1"/>
    <col min="3" max="3" width="15.5703125" customWidth="1"/>
    <col min="4" max="4" width="7" bestFit="1" customWidth="1"/>
    <col min="5" max="5" width="7" customWidth="1"/>
    <col min="6" max="6" width="9.7109375" bestFit="1" customWidth="1"/>
    <col min="7" max="7" width="9.5703125" bestFit="1" customWidth="1"/>
    <col min="8" max="8" width="13.140625" bestFit="1" customWidth="1"/>
    <col min="10" max="10" width="11.28515625" bestFit="1" customWidth="1"/>
    <col min="12" max="12" width="12.140625" bestFit="1" customWidth="1"/>
    <col min="13" max="13" width="14.140625" bestFit="1" customWidth="1"/>
    <col min="14" max="14" width="17.7109375" bestFit="1" customWidth="1"/>
    <col min="16" max="16" width="11.5703125" bestFit="1" customWidth="1"/>
    <col min="17" max="17" width="9.28515625" bestFit="1" customWidth="1"/>
    <col min="18" max="18" width="12.7109375" bestFit="1" customWidth="1"/>
    <col min="20" max="20" width="15.85546875" bestFit="1" customWidth="1"/>
    <col min="22" max="22" width="12.85546875" bestFit="1" customWidth="1"/>
    <col min="23" max="24" width="12.85546875" customWidth="1"/>
    <col min="25" max="25" width="10.7109375" bestFit="1" customWidth="1"/>
    <col min="26" max="28" width="10.7109375" customWidth="1"/>
    <col min="29" max="29" width="9.7109375" bestFit="1" customWidth="1"/>
    <col min="30" max="31" width="9.7109375" customWidth="1"/>
    <col min="32" max="32" width="12.5703125" bestFit="1" customWidth="1"/>
    <col min="33" max="33" width="10.85546875" bestFit="1" customWidth="1"/>
    <col min="34" max="34" width="10.7109375" customWidth="1"/>
    <col min="39" max="39" width="13.5703125" bestFit="1" customWidth="1"/>
    <col min="40" max="40" width="15.85546875" bestFit="1" customWidth="1"/>
    <col min="41" max="41" width="13.28515625" customWidth="1"/>
    <col min="42" max="42" width="14" bestFit="1" customWidth="1"/>
    <col min="43" max="43" width="17.85546875" bestFit="1" customWidth="1"/>
    <col min="44" max="44" width="11.42578125" bestFit="1" customWidth="1"/>
    <col min="45" max="45" width="11" bestFit="1" customWidth="1"/>
    <col min="46" max="46" width="11.5703125" customWidth="1"/>
    <col min="47" max="47" width="15.7109375" bestFit="1" customWidth="1"/>
    <col min="48" max="49" width="9.5703125" bestFit="1" customWidth="1"/>
  </cols>
  <sheetData>
    <row r="1" spans="1:50" ht="17.45" customHeight="1" thickBot="1" x14ac:dyDescent="0.35">
      <c r="A1" s="1"/>
      <c r="B1" s="2" t="s">
        <v>1</v>
      </c>
      <c r="C1" s="24" t="s">
        <v>47</v>
      </c>
      <c r="D1" s="60" t="s">
        <v>2</v>
      </c>
      <c r="E1" s="60"/>
      <c r="F1" s="60"/>
      <c r="G1" s="60" t="s">
        <v>10</v>
      </c>
      <c r="H1" s="60"/>
      <c r="I1" s="60" t="s">
        <v>8</v>
      </c>
      <c r="J1" s="60"/>
      <c r="K1" s="60" t="s">
        <v>3</v>
      </c>
      <c r="L1" s="60"/>
      <c r="M1" s="60" t="s">
        <v>4</v>
      </c>
      <c r="N1" s="60"/>
      <c r="O1" s="60" t="s">
        <v>5</v>
      </c>
      <c r="P1" s="60"/>
      <c r="Q1" s="60" t="s">
        <v>6</v>
      </c>
      <c r="R1" s="60"/>
      <c r="S1" s="60" t="s">
        <v>7</v>
      </c>
      <c r="T1" s="60"/>
      <c r="U1" s="2" t="s">
        <v>9</v>
      </c>
      <c r="V1" s="59" t="s">
        <v>251</v>
      </c>
      <c r="W1" s="59"/>
      <c r="X1" s="59"/>
      <c r="Y1" s="59" t="s">
        <v>39</v>
      </c>
      <c r="Z1" s="59"/>
      <c r="AA1" s="59"/>
      <c r="AB1" s="59"/>
      <c r="AC1" s="59"/>
      <c r="AD1" s="59"/>
      <c r="AE1" s="19" t="s">
        <v>41</v>
      </c>
      <c r="AF1" s="14" t="s">
        <v>44</v>
      </c>
      <c r="AG1" s="23" t="s">
        <v>46</v>
      </c>
      <c r="AH1" s="26" t="s">
        <v>49</v>
      </c>
      <c r="AI1" s="24" t="s">
        <v>47</v>
      </c>
      <c r="AJ1" s="24" t="s">
        <v>47</v>
      </c>
      <c r="AK1" s="25" t="s">
        <v>52</v>
      </c>
      <c r="AL1" s="25" t="s">
        <v>211</v>
      </c>
      <c r="AM1" s="47" t="s">
        <v>46</v>
      </c>
      <c r="AN1" s="57" t="s">
        <v>252</v>
      </c>
      <c r="AO1" s="25" t="s">
        <v>257</v>
      </c>
      <c r="AP1" s="25" t="s">
        <v>258</v>
      </c>
      <c r="AQ1" s="25" t="s">
        <v>259</v>
      </c>
      <c r="AR1" s="25" t="s">
        <v>260</v>
      </c>
      <c r="AS1" s="25" t="s">
        <v>261</v>
      </c>
      <c r="AT1" s="25" t="s">
        <v>262</v>
      </c>
      <c r="AU1" s="25" t="s">
        <v>263</v>
      </c>
      <c r="AV1" s="25" t="s">
        <v>264</v>
      </c>
      <c r="AW1" s="25" t="s">
        <v>269</v>
      </c>
      <c r="AX1" s="25" t="s">
        <v>270</v>
      </c>
    </row>
    <row r="2" spans="1:50" ht="16.5" thickTop="1" thickBot="1" x14ac:dyDescent="0.3">
      <c r="A2" s="3" t="s">
        <v>0</v>
      </c>
      <c r="B2" s="4" t="s">
        <v>1</v>
      </c>
      <c r="C2" s="4" t="s">
        <v>48</v>
      </c>
      <c r="D2" s="4" t="s">
        <v>2</v>
      </c>
      <c r="E2" s="4" t="s">
        <v>188</v>
      </c>
      <c r="F2" s="4" t="s">
        <v>11</v>
      </c>
      <c r="G2" s="4" t="s">
        <v>10</v>
      </c>
      <c r="H2" s="4" t="s">
        <v>12</v>
      </c>
      <c r="I2" s="4" t="s">
        <v>8</v>
      </c>
      <c r="J2" s="4" t="s">
        <v>18</v>
      </c>
      <c r="K2" s="4" t="s">
        <v>3</v>
      </c>
      <c r="L2" s="4" t="s">
        <v>13</v>
      </c>
      <c r="M2" s="4" t="s">
        <v>4</v>
      </c>
      <c r="N2" s="4" t="s">
        <v>14</v>
      </c>
      <c r="O2" s="4" t="s">
        <v>5</v>
      </c>
      <c r="P2" s="4" t="s">
        <v>15</v>
      </c>
      <c r="Q2" s="4" t="s">
        <v>6</v>
      </c>
      <c r="R2" s="4" t="s">
        <v>16</v>
      </c>
      <c r="S2" s="4" t="s">
        <v>7</v>
      </c>
      <c r="T2" s="4" t="s">
        <v>17</v>
      </c>
      <c r="U2" s="4" t="s">
        <v>9</v>
      </c>
      <c r="V2" s="4" t="s">
        <v>251</v>
      </c>
      <c r="W2" s="4" t="s">
        <v>34</v>
      </c>
      <c r="X2" s="4" t="s">
        <v>45</v>
      </c>
      <c r="Y2" s="4" t="s">
        <v>39</v>
      </c>
      <c r="Z2" s="4" t="s">
        <v>34</v>
      </c>
      <c r="AA2" s="4" t="s">
        <v>45</v>
      </c>
      <c r="AB2" s="4" t="s">
        <v>35</v>
      </c>
      <c r="AC2" s="4" t="s">
        <v>40</v>
      </c>
      <c r="AD2" s="4" t="s">
        <v>42</v>
      </c>
      <c r="AE2" s="4" t="s">
        <v>41</v>
      </c>
      <c r="AF2" s="4" t="s">
        <v>43</v>
      </c>
      <c r="AG2" s="4" t="s">
        <v>46</v>
      </c>
      <c r="AH2" s="4" t="s">
        <v>254</v>
      </c>
      <c r="AI2" s="4" t="s">
        <v>50</v>
      </c>
      <c r="AJ2" s="4" t="s">
        <v>51</v>
      </c>
      <c r="AK2" s="4" t="s">
        <v>48</v>
      </c>
      <c r="AL2" s="4" t="s">
        <v>212</v>
      </c>
      <c r="AM2" s="4" t="s">
        <v>213</v>
      </c>
      <c r="AN2" s="4" t="s">
        <v>252</v>
      </c>
      <c r="AO2" s="4" t="s">
        <v>257</v>
      </c>
      <c r="AP2" s="4" t="s">
        <v>258</v>
      </c>
      <c r="AQ2" s="4" t="s">
        <v>259</v>
      </c>
      <c r="AR2" s="4" t="s">
        <v>260</v>
      </c>
      <c r="AS2" s="4" t="s">
        <v>261</v>
      </c>
      <c r="AT2" s="4" t="s">
        <v>262</v>
      </c>
      <c r="AU2" s="4" t="s">
        <v>263</v>
      </c>
      <c r="AV2" s="4" t="s">
        <v>264</v>
      </c>
      <c r="AW2" s="4" t="s">
        <v>269</v>
      </c>
      <c r="AX2" s="4" t="s">
        <v>270</v>
      </c>
    </row>
    <row r="3" spans="1:50" x14ac:dyDescent="0.25">
      <c r="A3" s="5">
        <v>43324</v>
      </c>
      <c r="B3" s="18">
        <v>2833.28</v>
      </c>
      <c r="C3" s="18">
        <v>2.02</v>
      </c>
      <c r="D3" s="18">
        <v>11.27</v>
      </c>
      <c r="E3" s="18">
        <f t="shared" ref="E3" si="0">ROUND(AVERAGE(D3:D5),2)</f>
        <v>12.16</v>
      </c>
      <c r="F3">
        <f t="shared" ref="F3" si="1">IF(E3&lt;11,3,IF(AND(E3&lt;14,E3&gt;=11),2,IF(AND(E3&lt;16,E3&gt;=14),1,IF(E3&gt;35,-3,IF(AND(E3&gt;25,E3&lt;=35),-2,IF(AND(E3&gt;18,E3&lt;=25),-1,0))))))</f>
        <v>2</v>
      </c>
      <c r="G3" s="18">
        <f>ROUND(INDEX(Valuation!U:U,MATCH(A3,Valuation!A:A,0)),2)</f>
        <v>32.909999999999997</v>
      </c>
      <c r="H3">
        <f t="shared" ref="H3" si="2">IF(G3&gt;200,3,IF(AND(G3&gt;160,G3&lt;=200),2,IF(AND(G3&gt;120,G3&lt;=160),1,IF(G3&lt;25,-3,IF(AND(G3&lt;50,G3&gt;=25),-2,IF(AND(G3&lt;90,G3&gt;=50),-1,0))))))</f>
        <v>-2</v>
      </c>
      <c r="I3" s="18">
        <f>INDEX(WeeklyIndicators!Y:Y,MATCH(A3,WeeklyIndicators!A:A,0))</f>
        <v>165.38</v>
      </c>
      <c r="J3">
        <f t="shared" ref="J3" si="3">IF(I3&gt;170,3,IF(AND(I3&gt;152,I3&lt;=170),2,IF(AND(I3&gt;135,I3&lt;=152),1,IF(I3&lt;60,-3,IF(AND(I3&lt;95,I3&gt;=60),-2,IF(AND(I3&lt;120,I3&gt;=95),-1,0))))))</f>
        <v>2</v>
      </c>
      <c r="K3">
        <f>ROUND(INDEX(Economic!AF:AF,MATCH(EOMONTH($A3,-1),Economic!A:A,0)),2)</f>
        <v>122.93</v>
      </c>
      <c r="L3" s="11">
        <f t="shared" ref="L3" si="4">IF(K3&gt;138,3,IF(AND(K3&gt;125,K3&lt;=138),2,IF(AND(K3&gt;111,K3&lt;=125),1,IF(K3&lt;50,-3,IF(AND(K3&lt;80,K3&gt;=50),-2,IF(AND(K3&lt;100,K3&gt;=80),-1,0))))))</f>
        <v>1</v>
      </c>
      <c r="M3">
        <f>ROUND(INDEX(Manufacturing!P:P,MATCH(EOMONTH($A3,-1),Manufacturing!A:A,0)),2)</f>
        <v>103.5</v>
      </c>
      <c r="N3">
        <f t="shared" ref="N3" si="5">IF(M3&gt;108,3,IF(AND(M3&gt;100,M3&lt;=108),2,IF(AND(M3&gt;90,M3&lt;=100),1,IF(M3&lt;63,-3,IF(AND(M3&lt;74,M3&gt;=63),-2,IF(AND(M3&lt;84,M3&gt;=74),-1,0))))))</f>
        <v>2</v>
      </c>
      <c r="O3">
        <f>ROUND(INDEX(Housing!AC:AC,MATCH(EOMONTH($A3,-1),Housing!B:B,0)),2)</f>
        <v>135.31</v>
      </c>
      <c r="P3">
        <f t="shared" ref="P3" si="6">IF(O3&gt;140,3,IF(AND(O3&gt;128,O3&lt;=140),2,IF(AND(O3&gt;115,O3&lt;=128),1,IF(O3&lt;50,-3,IF(AND(O3&lt;75,O3&gt;=50),-2,IF(AND(O3&lt;100,O3&gt;=75),-1,0))))))</f>
        <v>2</v>
      </c>
      <c r="Q3">
        <f>ROUND(INDEX(Spending!AJ:AJ,MATCH(EOMONTH($A3,-1),Spending!B:B,0)),2)</f>
        <v>58.22</v>
      </c>
      <c r="R3">
        <f t="shared" ref="R3" si="7">IF(Q3&gt;60,2,IF(AND(Q3&gt;50,Q3&lt;=60),1,IF(Q3&lt;30,-2,IF(AND(Q3&lt;40,Q3&gt;=30),-1,0))))</f>
        <v>1</v>
      </c>
      <c r="S3">
        <f>ROUND(INDEX(Employment!V:V,MATCH(EOMONTH($A3,-1),Employment!A:A,0)),2)</f>
        <v>179.31</v>
      </c>
      <c r="T3" s="11">
        <f t="shared" ref="T3" si="8">IF(S3&gt;190,3,IF(AND(S3&gt;175,S3&lt;=190),2,IF(AND(S3&gt;160,S3&lt;=175),1,IF(S3&lt;120,-3,IF(AND(S3&lt;140,S3&gt;=120),-2,IF(AND(S3&lt;150,S3&gt;=140),-1,0))))))</f>
        <v>2</v>
      </c>
      <c r="U3">
        <f t="shared" ref="U3" si="9">F3+H3+J3+L3+N3+P3+R3+T3+20</f>
        <v>30</v>
      </c>
      <c r="V3">
        <f>ROUND(((K3*0.745)+(M3*0.745)+(O3*0.36)+(Q3*0.45)+(S3*0.45)+(I3*0.55)+(60)-(30))/5.3,2)</f>
        <v>84.01</v>
      </c>
      <c r="W3" s="13">
        <f t="shared" ref="W3" si="10">ROUND((AVERAGE(V3:V5)-AVERAGE(V4:V6))/AVERAGE(V4:V6),4)</f>
        <v>-5.0000000000000001E-4</v>
      </c>
      <c r="X3" s="13">
        <f t="shared" ref="X3" si="11">SUM(W3:W6)</f>
        <v>-6.3E-3</v>
      </c>
      <c r="Y3">
        <f>ROUND(((K3*0.745)+(M3*0.745)+(O3*0.36)+(Q3*0.45)+(S3*0.45)+(I3*0.55)+(G3*0.59)-(E3*1.85))/5.3,2)</f>
        <v>77.77</v>
      </c>
      <c r="Z3" s="13">
        <f t="shared" ref="Z3" si="12">ROUND((AVERAGE(Y3:Y5)-AVERAGE(Y4:Y6))/AVERAGE(Y4:Y6),4)</f>
        <v>-1.2999999999999999E-3</v>
      </c>
      <c r="AA3" s="13">
        <f t="shared" ref="AA3" si="13">SUM(Z3:Z6)</f>
        <v>-8.8999999999999999E-3</v>
      </c>
      <c r="AB3" s="6">
        <f>IF(ROUND(Y3+(X3*10)+(V3/30)+(AA3*67),2)+5+((G3-125)*0.1)&lt;0,0,ROUND(Y3+(X3*10)+(V3/30)+(AA3*67),2)+5+((G3-125)*0.1))</f>
        <v>75.700999999999993</v>
      </c>
      <c r="AC3">
        <f t="shared" ref="AC3" si="14">IF(ROUND(AB3/2,0)&lt;0,0,ROUND(AB3/2,0))</f>
        <v>38</v>
      </c>
      <c r="AD3" s="11">
        <f t="shared" ref="AD3" si="15">IF(AC3&gt;47,2,IF(AND(AC3&gt;41,AC3&lt;=47),1,IF(AC3&lt;15,-2,IF(AND(AC3&lt;32,AC3&gt;=15),-1,0))))</f>
        <v>0</v>
      </c>
      <c r="AE3">
        <f t="shared" ref="AE3" si="16">IF(AND(AA3&gt;=0.2,AC3&gt;=20,U3+AD3+2&lt;30),U3+AD3+2+12,U3+AD3+2)</f>
        <v>32</v>
      </c>
      <c r="AF3">
        <f>IF(AND(AE3&lt;15,OR(AC3&gt;=30,AA3&gt;0.15,X3&gt;=0.15)),2,VLOOKUP(AE3,Table!P:Q,2,FALSE))</f>
        <v>5</v>
      </c>
      <c r="AG3" s="22">
        <f>IF((AB3*0.98)-(D3*0.8)+((AF3-3)*3)+VLOOKUP(AM3,Table!$A$11:$B$15,2,FALSE)&lt;0,0,(AB3*0.98)-(D3*0.8)+((AF3-3)*3)+VLOOKUP(AM3,Table!$A$11:$B$15,2,FALSE))</f>
        <v>79.170979999999986</v>
      </c>
      <c r="AH3" s="22">
        <f>IF(ROUND(AVERAGE(AG3:AG5),0)&lt;0,0,IF(ROUND(AVERAGE(AG3:AG5),0)&gt;100,100,ROUND(AVERAGE(AG3:AG5),0)))</f>
        <v>78</v>
      </c>
      <c r="AI3" s="18">
        <f t="shared" ref="AI3" si="17">ROUND(AVERAGE(C3:C15),2)</f>
        <v>1.92</v>
      </c>
      <c r="AJ3" s="18">
        <f t="shared" ref="AJ3" si="18">ROUND(AVERAGE(C3:C41),2)</f>
        <v>1.67</v>
      </c>
      <c r="AK3" t="str">
        <f>IF(AND(C3&gt;AI3,AI3&gt;AJ3,C3-AJ3&gt;0.15),"Rising Rates",IF(AND(C3&lt;AI3,AI3&lt;AJ3,AJ3-C3&gt;0.15),"Falling Rates",""))</f>
        <v>Rising Rates</v>
      </c>
      <c r="AL3">
        <f t="shared" ref="AL3:AL8" si="19">ROUND(AVERAGE(AE3:AE6),2)</f>
        <v>33</v>
      </c>
      <c r="AM3" s="11" t="str">
        <f>IF(OR(AND(AL3&lt;=18,G3&lt;=25),AND(AL3&lt;=14,G3&lt;200)),"Cash","Stocks")</f>
        <v>Stocks</v>
      </c>
      <c r="AN3" t="str">
        <f>IF(AND(V3&gt;AG3,V3&lt;65),"Sell","Buy")</f>
        <v>Buy</v>
      </c>
      <c r="AO3" s="13">
        <v>0</v>
      </c>
      <c r="AP3" s="13">
        <v>0</v>
      </c>
      <c r="AQ3" s="13">
        <v>0</v>
      </c>
      <c r="AR3" s="13">
        <v>0</v>
      </c>
      <c r="AS3" s="6">
        <f t="shared" ref="AS3:AS66" si="20">AS4*(1+AO4)</f>
        <v>705.42603873283463</v>
      </c>
      <c r="AT3" s="6">
        <f t="shared" ref="AT3:AT66" si="21">AT4*(1+AP4)</f>
        <v>190.56727107194905</v>
      </c>
      <c r="AU3" s="6">
        <f t="shared" ref="AU3:AU66" si="22">AU4*(1+AQ4)</f>
        <v>1033.9089424853448</v>
      </c>
      <c r="AV3" s="6">
        <f t="shared" ref="AV3:AV66" si="23">AV4*(1+AR4)</f>
        <v>1654.4780428379959</v>
      </c>
      <c r="AW3" s="58">
        <f>YEAR(A3)</f>
        <v>2018</v>
      </c>
      <c r="AX3" s="58">
        <f>COUNTIF(AW$3:AW3,AW3)</f>
        <v>1</v>
      </c>
    </row>
    <row r="4" spans="1:50" x14ac:dyDescent="0.25">
      <c r="A4" s="5">
        <v>43317</v>
      </c>
      <c r="B4" s="18">
        <v>2840.35</v>
      </c>
      <c r="C4" s="18">
        <v>1.98</v>
      </c>
      <c r="D4" s="18">
        <v>12.19</v>
      </c>
      <c r="E4" s="18">
        <f t="shared" ref="E4" si="24">ROUND(AVERAGE(D4:D6),2)</f>
        <v>12.7</v>
      </c>
      <c r="F4">
        <f t="shared" ref="F4" si="25">IF(E4&lt;11,3,IF(AND(E4&lt;14,E4&gt;=11),2,IF(AND(E4&lt;16,E4&gt;=14),1,IF(E4&gt;35,-3,IF(AND(E4&gt;25,E4&lt;=35),-2,IF(AND(E4&gt;18,E4&lt;=25),-1,0))))))</f>
        <v>2</v>
      </c>
      <c r="G4" s="18">
        <f>ROUND(INDEX(Valuation!U:U,MATCH(A4,Valuation!A:A,0)),2)</f>
        <v>33.57</v>
      </c>
      <c r="H4">
        <f t="shared" ref="H4" si="26">IF(G4&gt;200,3,IF(AND(G4&gt;160,G4&lt;=200),2,IF(AND(G4&gt;120,G4&lt;=160),1,IF(G4&lt;25,-3,IF(AND(G4&lt;50,G4&gt;=25),-2,IF(AND(G4&lt;90,G4&gt;=50),-1,0))))))</f>
        <v>-2</v>
      </c>
      <c r="I4" s="18">
        <f>INDEX(WeeklyIndicators!Y:Y,MATCH(A4,WeeklyIndicators!A:A,0))</f>
        <v>164.76</v>
      </c>
      <c r="J4">
        <f t="shared" ref="J4" si="27">IF(I4&gt;170,3,IF(AND(I4&gt;152,I4&lt;=170),2,IF(AND(I4&gt;135,I4&lt;=152),1,IF(I4&lt;60,-3,IF(AND(I4&lt;95,I4&gt;=60),-2,IF(AND(I4&lt;120,I4&gt;=95),-1,0))))))</f>
        <v>2</v>
      </c>
      <c r="K4">
        <f>ROUND(INDEX(Economic!AF:AF,MATCH(EOMONTH($A4,-1),Economic!A:A,0)),2)</f>
        <v>122.93</v>
      </c>
      <c r="L4" s="11">
        <f t="shared" ref="L4" si="28">IF(K4&gt;138,3,IF(AND(K4&gt;125,K4&lt;=138),2,IF(AND(K4&gt;111,K4&lt;=125),1,IF(K4&lt;50,-3,IF(AND(K4&lt;80,K4&gt;=50),-2,IF(AND(K4&lt;100,K4&gt;=80),-1,0))))))</f>
        <v>1</v>
      </c>
      <c r="M4">
        <f>ROUND(INDEX(Manufacturing!P:P,MATCH(EOMONTH($A4,-1),Manufacturing!A:A,0)),2)</f>
        <v>103.5</v>
      </c>
      <c r="N4">
        <f t="shared" ref="N4" si="29">IF(M4&gt;108,3,IF(AND(M4&gt;100,M4&lt;=108),2,IF(AND(M4&gt;90,M4&lt;=100),1,IF(M4&lt;63,-3,IF(AND(M4&lt;74,M4&gt;=63),-2,IF(AND(M4&lt;84,M4&gt;=74),-1,0))))))</f>
        <v>2</v>
      </c>
      <c r="O4">
        <f>ROUND(INDEX(Housing!AC:AC,MATCH(EOMONTH($A4,-1),Housing!B:B,0)),2)</f>
        <v>135.31</v>
      </c>
      <c r="P4">
        <f t="shared" ref="P4" si="30">IF(O4&gt;140,3,IF(AND(O4&gt;128,O4&lt;=140),2,IF(AND(O4&gt;115,O4&lt;=128),1,IF(O4&lt;50,-3,IF(AND(O4&lt;75,O4&gt;=50),-2,IF(AND(O4&lt;100,O4&gt;=75),-1,0))))))</f>
        <v>2</v>
      </c>
      <c r="Q4">
        <f>ROUND(INDEX(Spending!AJ:AJ,MATCH(EOMONTH($A4,-1),Spending!B:B,0)),2)</f>
        <v>58.22</v>
      </c>
      <c r="R4">
        <f t="shared" ref="R4" si="31">IF(Q4&gt;60,2,IF(AND(Q4&gt;50,Q4&lt;=60),1,IF(Q4&lt;30,-2,IF(AND(Q4&lt;40,Q4&gt;=30),-1,0))))</f>
        <v>1</v>
      </c>
      <c r="S4">
        <f>ROUND(INDEX(Employment!V:V,MATCH(EOMONTH($A4,-1),Employment!A:A,0)),2)</f>
        <v>179.31</v>
      </c>
      <c r="T4" s="11">
        <f t="shared" ref="T4" si="32">IF(S4&gt;190,3,IF(AND(S4&gt;175,S4&lt;=190),2,IF(AND(S4&gt;160,S4&lt;=175),1,IF(S4&lt;120,-3,IF(AND(S4&lt;140,S4&gt;=120),-2,IF(AND(S4&lt;150,S4&gt;=140),-1,0))))))</f>
        <v>2</v>
      </c>
      <c r="U4">
        <f t="shared" ref="U4" si="33">F4+H4+J4+L4+N4+P4+R4+T4+20</f>
        <v>30</v>
      </c>
      <c r="V4">
        <f>ROUND(((K4*0.745)+(M4*0.745)+(O4*0.36)+(Q4*0.45)+(S4*0.45)+(I4*0.55)+(60)-(30))/5.3,2)</f>
        <v>83.94</v>
      </c>
      <c r="W4" s="13">
        <f t="shared" ref="W4" si="34">ROUND((AVERAGE(V4:V6)-AVERAGE(V5:V7))/AVERAGE(V5:V7),4)</f>
        <v>-1.6999999999999999E-3</v>
      </c>
      <c r="X4" s="13">
        <f t="shared" ref="X4" si="35">SUM(W4:W7)</f>
        <v>-8.6999999999999994E-3</v>
      </c>
      <c r="Y4">
        <f t="shared" ref="Y4:Y67" si="36">ROUND(((K4*0.745)+(M4*0.745)+(O4*0.36)+(Q4*0.45)+(S4*0.45)+(I4*0.55)+(G4*0.59)-(E4*1.85))/5.3,2)</f>
        <v>77.59</v>
      </c>
      <c r="Z4" s="13">
        <f t="shared" ref="Z4" si="37">ROUND((AVERAGE(Y4:Y6)-AVERAGE(Y5:Y7))/AVERAGE(Y5:Y7),4)</f>
        <v>-2.7000000000000001E-3</v>
      </c>
      <c r="AA4" s="13">
        <f t="shared" ref="AA4" si="38">SUM(Z4:Z7)</f>
        <v>-1.3899999999999999E-2</v>
      </c>
      <c r="AB4" s="6">
        <f t="shared" ref="AB4:AB67" si="39">IF(ROUND(Y4+(X4*10)+(V4/30)+(AA4*67),2)+5+((G4-125)*0.1)&lt;0,0,ROUND(Y4+(X4*10)+(V4/30)+(AA4*67),2)+5+((G4-125)*0.1))</f>
        <v>75.227000000000004</v>
      </c>
      <c r="AC4">
        <f t="shared" ref="AC4" si="40">IF(ROUND(AB4/2,0)&lt;0,0,ROUND(AB4/2,0))</f>
        <v>38</v>
      </c>
      <c r="AD4" s="11">
        <f t="shared" ref="AD4" si="41">IF(AC4&gt;47,2,IF(AND(AC4&gt;41,AC4&lt;=47),1,IF(AC4&lt;15,-2,IF(AND(AC4&lt;32,AC4&gt;=15),-1,0))))</f>
        <v>0</v>
      </c>
      <c r="AE4">
        <f t="shared" ref="AE4" si="42">IF(AND(AA4&gt;=0.2,AC4&gt;=20,U4+AD4+2&lt;30),U4+AD4+2+12,U4+AD4+2)</f>
        <v>32</v>
      </c>
      <c r="AF4">
        <f>IF(AND(AE4&lt;15,OR(AC4&gt;=30,AA4&gt;0.15,X4&gt;=0.15)),2,VLOOKUP(AE4,Table!P:Q,2,FALSE))</f>
        <v>5</v>
      </c>
      <c r="AG4" s="22">
        <f>IF((AB4*0.98)-(D4*0.8)+((AF4-3)*3)+VLOOKUP(AM4,Table!$A$11:$B$15,2,FALSE)&lt;0,0,(AB4*0.98)-(D4*0.8)+((AF4-3)*3)+VLOOKUP(AM4,Table!$A$11:$B$15,2,FALSE))</f>
        <v>77.970460000000003</v>
      </c>
      <c r="AH4" s="22">
        <f>IF(ROUND(AVERAGE(AG4:AG6),0)&lt;0,0,IF(ROUND(AVERAGE(AG4:AG6),0)&gt;100,100,ROUND(AVERAGE(AG4:AG6),0)))</f>
        <v>78</v>
      </c>
      <c r="AI4" s="18">
        <f t="shared" ref="AI4" si="43">ROUND(AVERAGE(C4:C16),2)</f>
        <v>1.91</v>
      </c>
      <c r="AJ4" s="18">
        <f t="shared" ref="AJ4" si="44">ROUND(AVERAGE(C4:C42),2)</f>
        <v>1.65</v>
      </c>
      <c r="AK4" t="str">
        <f t="shared" ref="AK4:AK67" si="45">IF(AND(C4&gt;AI4,AI4&gt;AJ4,C4-AJ4&gt;0.15),"Rising Rates",IF(AND(C4&lt;AI4,AI4&lt;AJ4,AJ4-C4&gt;0.15),"Falling Rates",""))</f>
        <v>Rising Rates</v>
      </c>
      <c r="AL4">
        <f t="shared" si="19"/>
        <v>33.25</v>
      </c>
      <c r="AM4" s="11" t="str">
        <f t="shared" ref="AM4:AM67" si="46">IF(OR(AND(AL4&lt;=18,G4&lt;=25),AND(AL4&lt;=14,G4&lt;200)),"Cash","Stocks")</f>
        <v>Stocks</v>
      </c>
      <c r="AN4" t="str">
        <f>IF(AND(V4&gt;AG4,V4&lt;65),"Sell","Buy")</f>
        <v>Buy</v>
      </c>
      <c r="AO4" s="13">
        <f>ROUND((B3/B4)-1,4)</f>
        <v>-2.5000000000000001E-3</v>
      </c>
      <c r="AP4" s="13">
        <f>ROUND((C4*0.01)/52,4)</f>
        <v>4.0000000000000002E-4</v>
      </c>
      <c r="AQ4" s="13">
        <f>ROUND(((AH4*0.01)*AO4)+(((100-AH4)*0.01)*AP4),4)</f>
        <v>-1.9E-3</v>
      </c>
      <c r="AR4" s="13">
        <f t="shared" ref="AR4:AR67" si="47">IF(AM4="Stocks",AO4,AP4)</f>
        <v>-2.5000000000000001E-3</v>
      </c>
      <c r="AS4" s="6">
        <f t="shared" si="20"/>
        <v>707.19402379231542</v>
      </c>
      <c r="AT4" s="6">
        <f t="shared" si="21"/>
        <v>190.49107464209223</v>
      </c>
      <c r="AU4" s="6">
        <f t="shared" si="22"/>
        <v>1035.8771089924305</v>
      </c>
      <c r="AV4" s="6">
        <f t="shared" si="23"/>
        <v>1658.6246043488679</v>
      </c>
      <c r="AW4" s="58">
        <f t="shared" ref="AW4:AW67" si="48">YEAR(A4)</f>
        <v>2018</v>
      </c>
      <c r="AX4" s="58">
        <f>COUNTIF(AW$3:AW4,AW4)</f>
        <v>2</v>
      </c>
    </row>
    <row r="5" spans="1:50" x14ac:dyDescent="0.25">
      <c r="A5" s="5">
        <v>43310</v>
      </c>
      <c r="B5" s="18">
        <v>2818.82</v>
      </c>
      <c r="C5" s="18">
        <v>1.95</v>
      </c>
      <c r="D5" s="18">
        <v>13.03</v>
      </c>
      <c r="E5" s="18">
        <f t="shared" ref="E5" si="49">ROUND(AVERAGE(D5:D7),2)</f>
        <v>12.69</v>
      </c>
      <c r="F5">
        <f t="shared" ref="F5" si="50">IF(E5&lt;11,3,IF(AND(E5&lt;14,E5&gt;=11),2,IF(AND(E5&lt;16,E5&gt;=14),1,IF(E5&gt;35,-3,IF(AND(E5&gt;25,E5&lt;=35),-2,IF(AND(E5&gt;18,E5&lt;=25),-1,0))))))</f>
        <v>2</v>
      </c>
      <c r="G5" s="18">
        <f>ROUND(INDEX(Valuation!U:U,MATCH(A5,Valuation!A:A,0)),2)</f>
        <v>35.26</v>
      </c>
      <c r="H5">
        <f t="shared" ref="H5" si="51">IF(G5&gt;200,3,IF(AND(G5&gt;160,G5&lt;=200),2,IF(AND(G5&gt;120,G5&lt;=160),1,IF(G5&lt;25,-3,IF(AND(G5&lt;50,G5&gt;=25),-2,IF(AND(G5&lt;90,G5&gt;=50),-1,0))))))</f>
        <v>-2</v>
      </c>
      <c r="I5" s="18">
        <f>INDEX(WeeklyIndicators!Y:Y,MATCH(A5,WeeklyIndicators!A:A,0))</f>
        <v>161.72</v>
      </c>
      <c r="J5">
        <f t="shared" ref="J5" si="52">IF(I5&gt;170,3,IF(AND(I5&gt;152,I5&lt;=170),2,IF(AND(I5&gt;135,I5&lt;=152),1,IF(I5&lt;60,-3,IF(AND(I5&lt;95,I5&gt;=60),-2,IF(AND(I5&lt;120,I5&gt;=95),-1,0))))))</f>
        <v>2</v>
      </c>
      <c r="K5">
        <f>ROUND(INDEX(Economic!AF:AF,MATCH(EOMONTH($A5,-1),Economic!A:A,0)),2)</f>
        <v>125.93</v>
      </c>
      <c r="L5" s="11">
        <f t="shared" ref="L5" si="53">IF(K5&gt;138,3,IF(AND(K5&gt;125,K5&lt;=138),2,IF(AND(K5&gt;111,K5&lt;=125),1,IF(K5&lt;50,-3,IF(AND(K5&lt;80,K5&gt;=50),-2,IF(AND(K5&lt;100,K5&gt;=80),-1,0))))))</f>
        <v>2</v>
      </c>
      <c r="M5">
        <f>ROUND(INDEX(Manufacturing!P:P,MATCH(EOMONTH($A5,-1),Manufacturing!A:A,0)),2)</f>
        <v>104.85</v>
      </c>
      <c r="N5">
        <f t="shared" ref="N5" si="54">IF(M5&gt;108,3,IF(AND(M5&gt;100,M5&lt;=108),2,IF(AND(M5&gt;90,M5&lt;=100),1,IF(M5&lt;63,-3,IF(AND(M5&lt;74,M5&gt;=63),-2,IF(AND(M5&lt;84,M5&gt;=74),-1,0))))))</f>
        <v>2</v>
      </c>
      <c r="O5">
        <f>ROUND(INDEX(Housing!AC:AC,MATCH(EOMONTH($A5,-1),Housing!B:B,0)),2)</f>
        <v>143.06</v>
      </c>
      <c r="P5">
        <f t="shared" ref="P5" si="55">IF(O5&gt;140,3,IF(AND(O5&gt;128,O5&lt;=140),2,IF(AND(O5&gt;115,O5&lt;=128),1,IF(O5&lt;50,-3,IF(AND(O5&lt;75,O5&gt;=50),-2,IF(AND(O5&lt;100,O5&gt;=75),-1,0))))))</f>
        <v>3</v>
      </c>
      <c r="Q5">
        <f>ROUND(INDEX(Spending!AJ:AJ,MATCH(EOMONTH($A5,-1),Spending!B:B,0)),2)</f>
        <v>55.69</v>
      </c>
      <c r="R5">
        <f t="shared" ref="R5" si="56">IF(Q5&gt;60,2,IF(AND(Q5&gt;50,Q5&lt;=60),1,IF(Q5&lt;30,-2,IF(AND(Q5&lt;40,Q5&gt;=30),-1,0))))</f>
        <v>1</v>
      </c>
      <c r="S5">
        <f>ROUND(INDEX(Employment!V:V,MATCH(EOMONTH($A5,-1),Employment!A:A,0)),2)</f>
        <v>177.51</v>
      </c>
      <c r="T5" s="11">
        <f t="shared" ref="T5" si="57">IF(S5&gt;190,3,IF(AND(S5&gt;175,S5&lt;=190),2,IF(AND(S5&gt;160,S5&lt;=175),1,IF(S5&lt;120,-3,IF(AND(S5&lt;140,S5&gt;=120),-2,IF(AND(S5&lt;150,S5&gt;=140),-1,0))))))</f>
        <v>2</v>
      </c>
      <c r="U5">
        <f t="shared" ref="U5" si="58">F5+H5+J5+L5+N5+P5+R5+T5+20</f>
        <v>32</v>
      </c>
      <c r="V5">
        <f t="shared" ref="V5:V68" si="59">ROUND(((K5*0.745)+(M5*0.745)+(O5*0.36)+(Q5*0.45)+(S5*0.45)+(I5*0.55)+(60)-(30))/5.3,2)</f>
        <v>84.4</v>
      </c>
      <c r="W5" s="13">
        <f t="shared" ref="W5:W68" si="60">ROUND((AVERAGE(V5:V7)-AVERAGE(V6:V8))/AVERAGE(V6:V8),4)</f>
        <v>-1.8E-3</v>
      </c>
      <c r="X5" s="13">
        <f t="shared" ref="X5:X68" si="61">SUM(W5:W8)</f>
        <v>-6.9999999999999993E-3</v>
      </c>
      <c r="Y5">
        <f t="shared" si="36"/>
        <v>78.239999999999995</v>
      </c>
      <c r="Z5" s="13">
        <f t="shared" ref="Z5" si="62">ROUND((AVERAGE(Y5:Y7)-AVERAGE(Y6:Y8))/AVERAGE(Y6:Y8),4)</f>
        <v>-2E-3</v>
      </c>
      <c r="AA5" s="13">
        <f t="shared" ref="AA5" si="63">SUM(Z5:Z8)</f>
        <v>-1.52E-2</v>
      </c>
      <c r="AB5" s="6">
        <f t="shared" si="39"/>
        <v>75.98599999999999</v>
      </c>
      <c r="AC5">
        <f t="shared" ref="AC5" si="64">IF(ROUND(AB5/2,0)&lt;0,0,ROUND(AB5/2,0))</f>
        <v>38</v>
      </c>
      <c r="AD5" s="11">
        <f t="shared" ref="AD5" si="65">IF(AC5&gt;47,2,IF(AND(AC5&gt;41,AC5&lt;=47),1,IF(AC5&lt;15,-2,IF(AND(AC5&lt;32,AC5&gt;=15),-1,0))))</f>
        <v>0</v>
      </c>
      <c r="AE5">
        <f t="shared" ref="AE5" si="66">IF(AND(AA5&gt;=0.2,AC5&gt;=20,U5+AD5+2&lt;30),U5+AD5+2+12,U5+AD5+2)</f>
        <v>34</v>
      </c>
      <c r="AF5">
        <f>IF(AND(AE5&lt;15,OR(AC5&gt;=30,AA5&gt;0.15,X5&gt;=0.15)),2,VLOOKUP(AE5,Table!P:Q,2,FALSE))</f>
        <v>5</v>
      </c>
      <c r="AG5" s="22">
        <f>IF((AB5*0.98)-(D5*0.8)+((AF5-3)*3)+VLOOKUP(AM5,Table!$A$11:$B$13,2,FALSE)&lt;0,0,(AB5*0.98)-(D5*0.8)+((AF5-3)*3)+VLOOKUP(AM5,Table!$A$11:$B$13,2,FALSE))</f>
        <v>78.042279999999977</v>
      </c>
      <c r="AH5" s="22">
        <f>IF(ROUND(AVERAGE(AG5:AG7),0)&lt;0,0,IF(ROUND(AVERAGE(AG5:AG7),0)&gt;100,100,ROUND(AVERAGE(AG5:AG7),0)))</f>
        <v>78</v>
      </c>
      <c r="AI5" s="18">
        <f t="shared" ref="AI5" si="67">ROUND(AVERAGE(C5:C17),2)</f>
        <v>1.9</v>
      </c>
      <c r="AJ5" s="18">
        <f t="shared" ref="AJ5" si="68">ROUND(AVERAGE(C5:C43),2)</f>
        <v>1.62</v>
      </c>
      <c r="AK5" t="str">
        <f t="shared" si="45"/>
        <v>Rising Rates</v>
      </c>
      <c r="AL5">
        <f t="shared" si="19"/>
        <v>33.5</v>
      </c>
      <c r="AM5" s="11" t="str">
        <f t="shared" si="46"/>
        <v>Stocks</v>
      </c>
      <c r="AN5" t="str">
        <f t="shared" ref="AN5:AN68" si="69">IF(AND(V5&gt;AG5,V5&lt;65),"Sell","Buy")</f>
        <v>Buy</v>
      </c>
      <c r="AO5" s="13">
        <f t="shared" ref="AO5:AO68" si="70">ROUND((B4/B5)-1,4)</f>
        <v>7.6E-3</v>
      </c>
      <c r="AP5" s="13">
        <f t="shared" ref="AP5:AP68" si="71">ROUND((C5*0.01)/52,4)</f>
        <v>4.0000000000000002E-4</v>
      </c>
      <c r="AQ5" s="13">
        <f t="shared" ref="AQ5:AQ68" si="72">ROUND(((AH5*0.01)*AO5)+(((100-AH5)*0.01)*AP5),4)</f>
        <v>6.0000000000000001E-3</v>
      </c>
      <c r="AR5" s="13">
        <f t="shared" si="47"/>
        <v>7.6E-3</v>
      </c>
      <c r="AS5" s="6">
        <f t="shared" si="20"/>
        <v>701.85988863866157</v>
      </c>
      <c r="AT5" s="6">
        <f t="shared" si="21"/>
        <v>190.41490867862078</v>
      </c>
      <c r="AU5" s="6">
        <f t="shared" si="22"/>
        <v>1029.698915499434</v>
      </c>
      <c r="AV5" s="6">
        <f t="shared" si="23"/>
        <v>1646.1141369083643</v>
      </c>
      <c r="AW5" s="58">
        <f t="shared" si="48"/>
        <v>2018</v>
      </c>
      <c r="AX5" s="58">
        <f>COUNTIF(AW$3:AW5,AW5)</f>
        <v>3</v>
      </c>
    </row>
    <row r="6" spans="1:50" x14ac:dyDescent="0.25">
      <c r="A6" s="5">
        <v>43303</v>
      </c>
      <c r="B6" s="18">
        <v>2801.83</v>
      </c>
      <c r="C6" s="18">
        <v>1.96</v>
      </c>
      <c r="D6" s="18">
        <v>12.87</v>
      </c>
      <c r="E6" s="18">
        <f t="shared" ref="E6" si="73">ROUND(AVERAGE(D6:D8),2)</f>
        <v>12.81</v>
      </c>
      <c r="F6">
        <f t="shared" ref="F6" si="74">IF(E6&lt;11,3,IF(AND(E6&lt;14,E6&gt;=11),2,IF(AND(E6&lt;16,E6&gt;=14),1,IF(E6&gt;35,-3,IF(AND(E6&gt;25,E6&lt;=35),-2,IF(AND(E6&gt;18,E6&lt;=25),-1,0))))))</f>
        <v>2</v>
      </c>
      <c r="G6" s="18">
        <f>ROUND(INDEX(Valuation!U:U,MATCH(A6,Valuation!A:A,0)),2)</f>
        <v>36.520000000000003</v>
      </c>
      <c r="H6">
        <f t="shared" ref="H6" si="75">IF(G6&gt;200,3,IF(AND(G6&gt;160,G6&lt;=200),2,IF(AND(G6&gt;120,G6&lt;=160),1,IF(G6&lt;25,-3,IF(AND(G6&lt;50,G6&gt;=25),-2,IF(AND(G6&lt;90,G6&gt;=50),-1,0))))))</f>
        <v>-2</v>
      </c>
      <c r="I6" s="18">
        <f>INDEX(WeeklyIndicators!Y:Y,MATCH(A6,WeeklyIndicators!A:A,0))</f>
        <v>159.22999999999999</v>
      </c>
      <c r="J6">
        <f t="shared" ref="J6" si="76">IF(I6&gt;170,3,IF(AND(I6&gt;152,I6&lt;=170),2,IF(AND(I6&gt;135,I6&lt;=152),1,IF(I6&lt;60,-3,IF(AND(I6&lt;95,I6&gt;=60),-2,IF(AND(I6&lt;120,I6&gt;=95),-1,0))))))</f>
        <v>2</v>
      </c>
      <c r="K6">
        <f>ROUND(INDEX(Economic!AF:AF,MATCH(EOMONTH($A6,-1),Economic!A:A,0)),2)</f>
        <v>125.93</v>
      </c>
      <c r="L6" s="11">
        <f t="shared" ref="L6" si="77">IF(K6&gt;138,3,IF(AND(K6&gt;125,K6&lt;=138),2,IF(AND(K6&gt;111,K6&lt;=125),1,IF(K6&lt;50,-3,IF(AND(K6&lt;80,K6&gt;=50),-2,IF(AND(K6&lt;100,K6&gt;=80),-1,0))))))</f>
        <v>2</v>
      </c>
      <c r="M6">
        <f>ROUND(INDEX(Manufacturing!P:P,MATCH(EOMONTH($A6,-1),Manufacturing!A:A,0)),2)</f>
        <v>104.85</v>
      </c>
      <c r="N6">
        <f t="shared" ref="N6" si="78">IF(M6&gt;108,3,IF(AND(M6&gt;100,M6&lt;=108),2,IF(AND(M6&gt;90,M6&lt;=100),1,IF(M6&lt;63,-3,IF(AND(M6&lt;74,M6&gt;=63),-2,IF(AND(M6&lt;84,M6&gt;=74),-1,0))))))</f>
        <v>2</v>
      </c>
      <c r="O6">
        <f>ROUND(INDEX(Housing!AC:AC,MATCH(EOMONTH($A6,-1),Housing!B:B,0)),2)</f>
        <v>143.06</v>
      </c>
      <c r="P6">
        <f t="shared" ref="P6" si="79">IF(O6&gt;140,3,IF(AND(O6&gt;128,O6&lt;=140),2,IF(AND(O6&gt;115,O6&lt;=128),1,IF(O6&lt;50,-3,IF(AND(O6&lt;75,O6&gt;=50),-2,IF(AND(O6&lt;100,O6&gt;=75),-1,0))))))</f>
        <v>3</v>
      </c>
      <c r="Q6">
        <f>ROUND(INDEX(Spending!AJ:AJ,MATCH(EOMONTH($A6,-1),Spending!B:B,0)),2)</f>
        <v>55.69</v>
      </c>
      <c r="R6">
        <f t="shared" ref="R6" si="80">IF(Q6&gt;60,2,IF(AND(Q6&gt;50,Q6&lt;=60),1,IF(Q6&lt;30,-2,IF(AND(Q6&lt;40,Q6&gt;=30),-1,0))))</f>
        <v>1</v>
      </c>
      <c r="S6">
        <f>ROUND(INDEX(Employment!V:V,MATCH(EOMONTH($A6,-1),Employment!A:A,0)),2)</f>
        <v>177.51</v>
      </c>
      <c r="T6" s="11">
        <f t="shared" ref="T6" si="81">IF(S6&gt;190,3,IF(AND(S6&gt;175,S6&lt;=190),2,IF(AND(S6&gt;160,S6&lt;=175),1,IF(S6&lt;120,-3,IF(AND(S6&lt;140,S6&gt;=120),-2,IF(AND(S6&lt;150,S6&gt;=140),-1,0))))))</f>
        <v>2</v>
      </c>
      <c r="U6">
        <f t="shared" ref="U6" si="82">F6+H6+J6+L6+N6+P6+R6+T6+20</f>
        <v>32</v>
      </c>
      <c r="V6">
        <f t="shared" si="59"/>
        <v>84.14</v>
      </c>
      <c r="W6" s="13">
        <f t="shared" si="60"/>
        <v>-2.3E-3</v>
      </c>
      <c r="X6" s="13">
        <f t="shared" si="61"/>
        <v>-8.3000000000000001E-3</v>
      </c>
      <c r="Y6">
        <f t="shared" si="36"/>
        <v>78.08</v>
      </c>
      <c r="Z6" s="13">
        <f t="shared" ref="Z6" si="83">ROUND((AVERAGE(Y6:Y8)-AVERAGE(Y7:Y9))/AVERAGE(Y7:Y9),4)</f>
        <v>-2.8999999999999998E-3</v>
      </c>
      <c r="AA6" s="13">
        <f t="shared" ref="AA6" si="84">SUM(Z6:Z9)</f>
        <v>-2.0199999999999999E-2</v>
      </c>
      <c r="AB6" s="6">
        <f t="shared" si="39"/>
        <v>75.602000000000004</v>
      </c>
      <c r="AC6">
        <f t="shared" ref="AC6" si="85">IF(ROUND(AB6/2,0)&lt;0,0,ROUND(AB6/2,0))</f>
        <v>38</v>
      </c>
      <c r="AD6" s="11">
        <f t="shared" ref="AD6" si="86">IF(AC6&gt;47,2,IF(AND(AC6&gt;41,AC6&lt;=47),1,IF(AC6&lt;15,-2,IF(AND(AC6&lt;32,AC6&gt;=15),-1,0))))</f>
        <v>0</v>
      </c>
      <c r="AE6">
        <f t="shared" ref="AE6" si="87">IF(AND(AA6&gt;=0.2,AC6&gt;=20,U6+AD6+2&lt;30),U6+AD6+2+12,U6+AD6+2)</f>
        <v>34</v>
      </c>
      <c r="AF6">
        <f>IF(AND(AE6&lt;15,OR(AC6&gt;=30,AA6&gt;0.15,X6&gt;=0.15)),2,VLOOKUP(AE6,Table!P:Q,2,FALSE))</f>
        <v>5</v>
      </c>
      <c r="AG6" s="22">
        <f>IF((AB6*0.98)-(D6*0.8)+((AF6-3)*3)+VLOOKUP(AM6,Table!$A$11:$B$13,2,FALSE)&lt;0,0,(AB6*0.98)-(D6*0.8)+((AF6-3)*3)+VLOOKUP(AM6,Table!$A$11:$B$13,2,FALSE))</f>
        <v>77.793959999999998</v>
      </c>
      <c r="AH6" s="22">
        <f>IF(ROUND(AVERAGE(AG6:AG8),0)&lt;0,0,IF(ROUND(AVERAGE(AG6:AG8),0)&gt;100,100,ROUND(AVERAGE(AG6:AG8),0)))</f>
        <v>78</v>
      </c>
      <c r="AI6" s="18">
        <f t="shared" ref="AI6" si="88">ROUND(AVERAGE(C6:C18),2)</f>
        <v>1.89</v>
      </c>
      <c r="AJ6" s="18">
        <f t="shared" ref="AJ6" si="89">ROUND(AVERAGE(C6:C44),2)</f>
        <v>1.6</v>
      </c>
      <c r="AK6" t="str">
        <f t="shared" si="45"/>
        <v>Rising Rates</v>
      </c>
      <c r="AL6">
        <f t="shared" si="19"/>
        <v>33.25</v>
      </c>
      <c r="AM6" s="11" t="str">
        <f t="shared" si="46"/>
        <v>Stocks</v>
      </c>
      <c r="AN6" t="str">
        <f t="shared" si="69"/>
        <v>Buy</v>
      </c>
      <c r="AO6" s="13">
        <f t="shared" si="70"/>
        <v>6.1000000000000004E-3</v>
      </c>
      <c r="AP6" s="13">
        <f t="shared" si="71"/>
        <v>4.0000000000000002E-4</v>
      </c>
      <c r="AQ6" s="13">
        <f t="shared" si="72"/>
        <v>4.7999999999999996E-3</v>
      </c>
      <c r="AR6" s="13">
        <f t="shared" si="47"/>
        <v>6.1000000000000004E-3</v>
      </c>
      <c r="AS6" s="6">
        <f t="shared" si="20"/>
        <v>697.60450118145468</v>
      </c>
      <c r="AT6" s="6">
        <f t="shared" si="21"/>
        <v>190.33877316935303</v>
      </c>
      <c r="AU6" s="6">
        <f t="shared" si="22"/>
        <v>1024.7799716355833</v>
      </c>
      <c r="AV6" s="6">
        <f t="shared" si="23"/>
        <v>1636.1337212089895</v>
      </c>
      <c r="AW6" s="58">
        <f t="shared" si="48"/>
        <v>2018</v>
      </c>
      <c r="AX6" s="58">
        <f>COUNTIF(AW$3:AW6,AW6)</f>
        <v>4</v>
      </c>
    </row>
    <row r="7" spans="1:50" x14ac:dyDescent="0.25">
      <c r="A7" s="5">
        <v>43296</v>
      </c>
      <c r="B7" s="18">
        <v>2801.31</v>
      </c>
      <c r="C7" s="18">
        <v>1.94</v>
      </c>
      <c r="D7" s="18">
        <v>12.18</v>
      </c>
      <c r="E7" s="18">
        <f t="shared" ref="E7" si="90">ROUND(AVERAGE(D7:D9),2)</f>
        <v>14.13</v>
      </c>
      <c r="F7">
        <f t="shared" ref="F7" si="91">IF(E7&lt;11,3,IF(AND(E7&lt;14,E7&gt;=11),2,IF(AND(E7&lt;16,E7&gt;=14),1,IF(E7&gt;35,-3,IF(AND(E7&gt;25,E7&lt;=35),-2,IF(AND(E7&gt;18,E7&lt;=25),-1,0))))))</f>
        <v>1</v>
      </c>
      <c r="G7" s="18">
        <f>ROUND(INDEX(Valuation!U:U,MATCH(A7,Valuation!A:A,0)),2)</f>
        <v>39.840000000000003</v>
      </c>
      <c r="H7">
        <f t="shared" ref="H7" si="92">IF(G7&gt;200,3,IF(AND(G7&gt;160,G7&lt;=200),2,IF(AND(G7&gt;120,G7&lt;=160),1,IF(G7&lt;25,-3,IF(AND(G7&lt;50,G7&gt;=25),-2,IF(AND(G7&lt;90,G7&gt;=50),-1,0))))))</f>
        <v>-2</v>
      </c>
      <c r="I7" s="18">
        <f>INDEX(WeeklyIndicators!Y:Y,MATCH(A7,WeeklyIndicators!A:A,0))</f>
        <v>161.56</v>
      </c>
      <c r="J7">
        <f t="shared" ref="J7" si="93">IF(I7&gt;170,3,IF(AND(I7&gt;152,I7&lt;=170),2,IF(AND(I7&gt;135,I7&lt;=152),1,IF(I7&lt;60,-3,IF(AND(I7&lt;95,I7&gt;=60),-2,IF(AND(I7&lt;120,I7&gt;=95),-1,0))))))</f>
        <v>2</v>
      </c>
      <c r="K7">
        <f>ROUND(INDEX(Economic!AF:AF,MATCH(EOMONTH($A7,-1),Economic!A:A,0)),2)</f>
        <v>125.93</v>
      </c>
      <c r="L7" s="11">
        <f t="shared" ref="L7" si="94">IF(K7&gt;138,3,IF(AND(K7&gt;125,K7&lt;=138),2,IF(AND(K7&gt;111,K7&lt;=125),1,IF(K7&lt;50,-3,IF(AND(K7&lt;80,K7&gt;=50),-2,IF(AND(K7&lt;100,K7&gt;=80),-1,0))))))</f>
        <v>2</v>
      </c>
      <c r="M7">
        <f>ROUND(INDEX(Manufacturing!P:P,MATCH(EOMONTH($A7,-1),Manufacturing!A:A,0)),2)</f>
        <v>104.85</v>
      </c>
      <c r="N7">
        <f t="shared" ref="N7" si="95">IF(M7&gt;108,3,IF(AND(M7&gt;100,M7&lt;=108),2,IF(AND(M7&gt;90,M7&lt;=100),1,IF(M7&lt;63,-3,IF(AND(M7&lt;74,M7&gt;=63),-2,IF(AND(M7&lt;84,M7&gt;=74),-1,0))))))</f>
        <v>2</v>
      </c>
      <c r="O7">
        <f>ROUND(INDEX(Housing!AC:AC,MATCH(EOMONTH($A7,-1),Housing!B:B,0)),2)</f>
        <v>143.06</v>
      </c>
      <c r="P7">
        <f t="shared" ref="P7" si="96">IF(O7&gt;140,3,IF(AND(O7&gt;128,O7&lt;=140),2,IF(AND(O7&gt;115,O7&lt;=128),1,IF(O7&lt;50,-3,IF(AND(O7&lt;75,O7&gt;=50),-2,IF(AND(O7&lt;100,O7&gt;=75),-1,0))))))</f>
        <v>3</v>
      </c>
      <c r="Q7">
        <f>ROUND(INDEX(Spending!AJ:AJ,MATCH(EOMONTH($A7,-1),Spending!B:B,0)),2)</f>
        <v>55.69</v>
      </c>
      <c r="R7">
        <f t="shared" ref="R7" si="97">IF(Q7&gt;60,2,IF(AND(Q7&gt;50,Q7&lt;=60),1,IF(Q7&lt;30,-2,IF(AND(Q7&lt;40,Q7&gt;=30),-1,0))))</f>
        <v>1</v>
      </c>
      <c r="S7">
        <f>ROUND(INDEX(Employment!V:V,MATCH(EOMONTH($A7,-1),Employment!A:A,0)),2)</f>
        <v>177.51</v>
      </c>
      <c r="T7" s="11">
        <f t="shared" ref="T7" si="98">IF(S7&gt;190,3,IF(AND(S7&gt;175,S7&lt;=190),2,IF(AND(S7&gt;160,S7&lt;=175),1,IF(S7&lt;120,-3,IF(AND(S7&lt;140,S7&gt;=120),-2,IF(AND(S7&lt;150,S7&gt;=140),-1,0))))))</f>
        <v>2</v>
      </c>
      <c r="U7">
        <f t="shared" ref="U7" si="99">F7+H7+J7+L7+N7+P7+R7+T7+20</f>
        <v>31</v>
      </c>
      <c r="V7">
        <f t="shared" si="59"/>
        <v>84.38</v>
      </c>
      <c r="W7" s="13">
        <f t="shared" si="60"/>
        <v>-2.8999999999999998E-3</v>
      </c>
      <c r="X7" s="13">
        <f t="shared" si="61"/>
        <v>-1.1599999999999999E-2</v>
      </c>
      <c r="Y7">
        <f t="shared" si="36"/>
        <v>78.23</v>
      </c>
      <c r="Z7" s="13">
        <f t="shared" ref="Z7" si="100">ROUND((AVERAGE(Y7:Y9)-AVERAGE(Y8:Y10))/AVERAGE(Y8:Y10),4)</f>
        <v>-6.3E-3</v>
      </c>
      <c r="AA7" s="13">
        <f t="shared" ref="AA7" si="101">SUM(Z7:Z10)</f>
        <v>-2.5000000000000001E-2</v>
      </c>
      <c r="AB7" s="6">
        <f t="shared" si="39"/>
        <v>75.733999999999995</v>
      </c>
      <c r="AC7">
        <f t="shared" ref="AC7" si="102">IF(ROUND(AB7/2,0)&lt;0,0,ROUND(AB7/2,0))</f>
        <v>38</v>
      </c>
      <c r="AD7" s="11">
        <f t="shared" ref="AD7" si="103">IF(AC7&gt;47,2,IF(AND(AC7&gt;41,AC7&lt;=47),1,IF(AC7&lt;15,-2,IF(AND(AC7&lt;32,AC7&gt;=15),-1,0))))</f>
        <v>0</v>
      </c>
      <c r="AE7">
        <f t="shared" ref="AE7" si="104">IF(AND(AA7&gt;=0.2,AC7&gt;=20,U7+AD7+2&lt;30),U7+AD7+2+12,U7+AD7+2)</f>
        <v>33</v>
      </c>
      <c r="AF7">
        <f>IF(AND(AE7&lt;15,OR(AC7&gt;=30,AA7&gt;0.15,X7&gt;=0.15)),2,VLOOKUP(AE7,Table!P:Q,2,FALSE))</f>
        <v>5</v>
      </c>
      <c r="AG7" s="22">
        <f>IF((AB7*0.98)-(D7*0.8)+((AF7-3)*3)+VLOOKUP(AM7,Table!$A$11:$B$13,2,FALSE)&lt;0,0,(AB7*0.98)-(D7*0.8)+((AF7-3)*3)+VLOOKUP(AM7,Table!$A$11:$B$13,2,FALSE))</f>
        <v>78.475319999999996</v>
      </c>
      <c r="AH7" s="22">
        <f t="shared" ref="AH7" si="105">IF(ROUND(AVERAGE(AG7:AG9),0)&lt;0,0,IF(ROUND(AVERAGE(AG7:AG9),0)&gt;100,100,ROUND(AVERAGE(AG7:AG9),0)))</f>
        <v>77</v>
      </c>
      <c r="AI7" s="18">
        <f t="shared" ref="AI7" si="106">ROUND(AVERAGE(C7:C19),2)</f>
        <v>1.87</v>
      </c>
      <c r="AJ7" s="18">
        <f t="shared" ref="AJ7" si="107">ROUND(AVERAGE(C7:C45),2)</f>
        <v>1.58</v>
      </c>
      <c r="AK7" t="str">
        <f t="shared" si="45"/>
        <v>Rising Rates</v>
      </c>
      <c r="AL7">
        <f t="shared" si="19"/>
        <v>33.25</v>
      </c>
      <c r="AM7" s="11" t="str">
        <f t="shared" si="46"/>
        <v>Stocks</v>
      </c>
      <c r="AN7" t="str">
        <f t="shared" si="69"/>
        <v>Buy</v>
      </c>
      <c r="AO7" s="13">
        <f t="shared" si="70"/>
        <v>2.0000000000000001E-4</v>
      </c>
      <c r="AP7" s="13">
        <f t="shared" si="71"/>
        <v>4.0000000000000002E-4</v>
      </c>
      <c r="AQ7" s="13">
        <f t="shared" si="72"/>
        <v>2.0000000000000001E-4</v>
      </c>
      <c r="AR7" s="13">
        <f t="shared" si="47"/>
        <v>2.0000000000000001E-4</v>
      </c>
      <c r="AS7" s="6">
        <f t="shared" si="20"/>
        <v>697.46500817981871</v>
      </c>
      <c r="AT7" s="6">
        <f t="shared" si="21"/>
        <v>190.2626681021122</v>
      </c>
      <c r="AU7" s="6">
        <f t="shared" si="22"/>
        <v>1024.5750566242584</v>
      </c>
      <c r="AV7" s="6">
        <f t="shared" si="23"/>
        <v>1635.8065598970102</v>
      </c>
      <c r="AW7" s="58">
        <f t="shared" si="48"/>
        <v>2018</v>
      </c>
      <c r="AX7" s="58">
        <f>COUNTIF(AW$3:AW7,AW7)</f>
        <v>5</v>
      </c>
    </row>
    <row r="8" spans="1:50" x14ac:dyDescent="0.25">
      <c r="A8" s="5">
        <v>43289</v>
      </c>
      <c r="B8" s="18">
        <v>2759.82</v>
      </c>
      <c r="C8" s="18">
        <v>1.92</v>
      </c>
      <c r="D8" s="18">
        <v>13.37</v>
      </c>
      <c r="E8" s="18">
        <f t="shared" ref="E8" si="108">ROUND(AVERAGE(D8:D10),2)</f>
        <v>14.66</v>
      </c>
      <c r="F8">
        <f t="shared" ref="F8" si="109">IF(E8&lt;11,3,IF(AND(E8&lt;14,E8&gt;=11),2,IF(AND(E8&lt;16,E8&gt;=14),1,IF(E8&gt;35,-3,IF(AND(E8&gt;25,E8&lt;=35),-2,IF(AND(E8&gt;18,E8&lt;=25),-1,0))))))</f>
        <v>1</v>
      </c>
      <c r="G8" s="18">
        <f>ROUND(INDEX(Valuation!U:U,MATCH(A8,Valuation!A:A,0)),2)</f>
        <v>41.61</v>
      </c>
      <c r="H8">
        <f t="shared" ref="H8" si="110">IF(G8&gt;200,3,IF(AND(G8&gt;160,G8&lt;=200),2,IF(AND(G8&gt;120,G8&lt;=160),1,IF(G8&lt;25,-3,IF(AND(G8&lt;50,G8&gt;=25),-2,IF(AND(G8&lt;90,G8&gt;=50),-1,0))))))</f>
        <v>-2</v>
      </c>
      <c r="I8" s="18">
        <f>INDEX(WeeklyIndicators!Y:Y,MATCH(A8,WeeklyIndicators!A:A,0))</f>
        <v>166.07</v>
      </c>
      <c r="J8">
        <f t="shared" ref="J8" si="111">IF(I8&gt;170,3,IF(AND(I8&gt;152,I8&lt;=170),2,IF(AND(I8&gt;135,I8&lt;=152),1,IF(I8&lt;60,-3,IF(AND(I8&lt;95,I8&gt;=60),-2,IF(AND(I8&lt;120,I8&gt;=95),-1,0))))))</f>
        <v>2</v>
      </c>
      <c r="K8">
        <f>ROUND(INDEX(Economic!AF:AF,MATCH(EOMONTH($A8,-1),Economic!A:A,0)),2)</f>
        <v>125.93</v>
      </c>
      <c r="L8" s="11">
        <f t="shared" ref="L8" si="112">IF(K8&gt;138,3,IF(AND(K8&gt;125,K8&lt;=138),2,IF(AND(K8&gt;111,K8&lt;=125),1,IF(K8&lt;50,-3,IF(AND(K8&lt;80,K8&gt;=50),-2,IF(AND(K8&lt;100,K8&gt;=80),-1,0))))))</f>
        <v>2</v>
      </c>
      <c r="M8">
        <f>ROUND(INDEX(Manufacturing!P:P,MATCH(EOMONTH($A8,-1),Manufacturing!A:A,0)),2)</f>
        <v>104.85</v>
      </c>
      <c r="N8">
        <f t="shared" ref="N8" si="113">IF(M8&gt;108,3,IF(AND(M8&gt;100,M8&lt;=108),2,IF(AND(M8&gt;90,M8&lt;=100),1,IF(M8&lt;63,-3,IF(AND(M8&lt;74,M8&gt;=63),-2,IF(AND(M8&lt;84,M8&gt;=74),-1,0))))))</f>
        <v>2</v>
      </c>
      <c r="O8">
        <f>ROUND(INDEX(Housing!AC:AC,MATCH(EOMONTH($A8,-1),Housing!B:B,0)),2)</f>
        <v>143.06</v>
      </c>
      <c r="P8">
        <f t="shared" ref="P8" si="114">IF(O8&gt;140,3,IF(AND(O8&gt;128,O8&lt;=140),2,IF(AND(O8&gt;115,O8&lt;=128),1,IF(O8&lt;50,-3,IF(AND(O8&lt;75,O8&gt;=50),-2,IF(AND(O8&lt;100,O8&gt;=75),-1,0))))))</f>
        <v>3</v>
      </c>
      <c r="Q8">
        <f>ROUND(INDEX(Spending!AJ:AJ,MATCH(EOMONTH($A8,-1),Spending!B:B,0)),2)</f>
        <v>55.69</v>
      </c>
      <c r="R8">
        <f t="shared" ref="R8" si="115">IF(Q8&gt;60,2,IF(AND(Q8&gt;50,Q8&lt;=60),1,IF(Q8&lt;30,-2,IF(AND(Q8&lt;40,Q8&gt;=30),-1,0))))</f>
        <v>1</v>
      </c>
      <c r="S8">
        <f>ROUND(INDEX(Employment!V:V,MATCH(EOMONTH($A8,-1),Employment!A:A,0)),2)</f>
        <v>177.51</v>
      </c>
      <c r="T8" s="11">
        <f t="shared" ref="T8" si="116">IF(S8&gt;190,3,IF(AND(S8&gt;175,S8&lt;=190),2,IF(AND(S8&gt;160,S8&lt;=175),1,IF(S8&lt;120,-3,IF(AND(S8&lt;140,S8&gt;=120),-2,IF(AND(S8&lt;150,S8&gt;=140),-1,0))))))</f>
        <v>2</v>
      </c>
      <c r="U8">
        <f t="shared" ref="U8" si="117">F8+H8+J8+L8+N8+P8+R8+T8+20</f>
        <v>31</v>
      </c>
      <c r="V8">
        <f t="shared" si="59"/>
        <v>84.85</v>
      </c>
      <c r="W8" s="13">
        <f t="shared" si="60"/>
        <v>0</v>
      </c>
      <c r="X8" s="13">
        <f t="shared" si="61"/>
        <v>-1.9999999999999997E-2</v>
      </c>
      <c r="Y8">
        <f t="shared" si="36"/>
        <v>78.709999999999994</v>
      </c>
      <c r="Z8" s="13">
        <f t="shared" ref="Z8" si="118">ROUND((AVERAGE(Y8:Y10)-AVERAGE(Y9:Y11))/AVERAGE(Y9:Y11),4)</f>
        <v>-4.0000000000000001E-3</v>
      </c>
      <c r="AA8" s="13">
        <f t="shared" ref="AA8" si="119">SUM(Z8:Z11)</f>
        <v>-3.2300000000000002E-2</v>
      </c>
      <c r="AB8" s="6">
        <f t="shared" si="39"/>
        <v>75.831000000000003</v>
      </c>
      <c r="AC8">
        <f t="shared" ref="AC8" si="120">IF(ROUND(AB8/2,0)&lt;0,0,ROUND(AB8/2,0))</f>
        <v>38</v>
      </c>
      <c r="AD8" s="11">
        <f t="shared" ref="AD8" si="121">IF(AC8&gt;47,2,IF(AND(AC8&gt;41,AC8&lt;=47),1,IF(AC8&lt;15,-2,IF(AND(AC8&lt;32,AC8&gt;=15),-1,0))))</f>
        <v>0</v>
      </c>
      <c r="AE8">
        <f t="shared" ref="AE8" si="122">IF(AND(AA8&gt;=0.2,AC8&gt;=20,U8+AD8+2&lt;30),U8+AD8+2+12,U8+AD8+2)</f>
        <v>33</v>
      </c>
      <c r="AF8">
        <f>IF(AND(AE8&lt;15,OR(AC8&gt;=30,AA8&gt;0.15,X8&gt;=0.15)),2,VLOOKUP(AE8,Table!P:Q,2,FALSE))</f>
        <v>5</v>
      </c>
      <c r="AG8" s="22">
        <f>IF((AB8*0.98)-(D8*0.8)+((AF8-3)*3)+VLOOKUP(AM8,Table!$A$11:$B$13,2,FALSE)&lt;0,0,(AB8*0.98)-(D8*0.8)+((AF8-3)*3)+VLOOKUP(AM8,Table!$A$11:$B$13,2,FALSE))</f>
        <v>77.618380000000002</v>
      </c>
      <c r="AH8" s="22">
        <f t="shared" ref="AH8" si="123">IF(ROUND(AVERAGE(AG8:AG10),0)&lt;0,0,IF(ROUND(AVERAGE(AG8:AG10),0)&gt;100,100,ROUND(AVERAGE(AG8:AG10),0)))</f>
        <v>77</v>
      </c>
      <c r="AI8" s="18">
        <f t="shared" ref="AI8" si="124">ROUND(AVERAGE(C8:C20),2)</f>
        <v>1.86</v>
      </c>
      <c r="AJ8" s="18">
        <f t="shared" ref="AJ8" si="125">ROUND(AVERAGE(C8:C46),2)</f>
        <v>1.56</v>
      </c>
      <c r="AK8" t="str">
        <f t="shared" si="45"/>
        <v>Rising Rates</v>
      </c>
      <c r="AL8">
        <f t="shared" si="19"/>
        <v>33.5</v>
      </c>
      <c r="AM8" s="11" t="str">
        <f t="shared" si="46"/>
        <v>Stocks</v>
      </c>
      <c r="AN8" t="str">
        <f t="shared" si="69"/>
        <v>Buy</v>
      </c>
      <c r="AO8" s="13">
        <f t="shared" si="70"/>
        <v>1.4999999999999999E-2</v>
      </c>
      <c r="AP8" s="13">
        <f t="shared" si="71"/>
        <v>4.0000000000000002E-4</v>
      </c>
      <c r="AQ8" s="13">
        <f t="shared" si="72"/>
        <v>1.1599999999999999E-2</v>
      </c>
      <c r="AR8" s="13">
        <f t="shared" si="47"/>
        <v>1.4999999999999999E-2</v>
      </c>
      <c r="AS8" s="6">
        <f t="shared" si="20"/>
        <v>687.15764352691508</v>
      </c>
      <c r="AT8" s="6">
        <f t="shared" si="21"/>
        <v>190.18659346472631</v>
      </c>
      <c r="AU8" s="6">
        <f t="shared" si="22"/>
        <v>1012.8262718705598</v>
      </c>
      <c r="AV8" s="6">
        <f t="shared" si="23"/>
        <v>1611.6320787162663</v>
      </c>
      <c r="AW8" s="58">
        <f t="shared" si="48"/>
        <v>2018</v>
      </c>
      <c r="AX8" s="58">
        <f>COUNTIF(AW$3:AW8,AW8)</f>
        <v>6</v>
      </c>
    </row>
    <row r="9" spans="1:50" x14ac:dyDescent="0.25">
      <c r="A9" s="5">
        <v>43282</v>
      </c>
      <c r="B9" s="18">
        <v>2718.37</v>
      </c>
      <c r="C9" s="18">
        <v>1.89</v>
      </c>
      <c r="D9" s="18">
        <v>16.850000000000001</v>
      </c>
      <c r="E9" s="18">
        <f t="shared" ref="E9" si="126">ROUND(AVERAGE(D9:D11),2)</f>
        <v>14.25</v>
      </c>
      <c r="F9">
        <f t="shared" ref="F9" si="127">IF(E9&lt;11,3,IF(AND(E9&lt;14,E9&gt;=11),2,IF(AND(E9&lt;16,E9&gt;=14),1,IF(E9&gt;35,-3,IF(AND(E9&gt;25,E9&lt;=35),-2,IF(AND(E9&gt;18,E9&lt;=25),-1,0))))))</f>
        <v>1</v>
      </c>
      <c r="G9" s="18">
        <f>ROUND(INDEX(Valuation!U:U,MATCH(A9,Valuation!A:A,0)),2)</f>
        <v>42.01</v>
      </c>
      <c r="H9">
        <f t="shared" ref="H9" si="128">IF(G9&gt;200,3,IF(AND(G9&gt;160,G9&lt;=200),2,IF(AND(G9&gt;120,G9&lt;=160),1,IF(G9&lt;25,-3,IF(AND(G9&lt;50,G9&gt;=25),-2,IF(AND(G9&lt;90,G9&gt;=50),-1,0))))))</f>
        <v>-2</v>
      </c>
      <c r="I9" s="18">
        <f>INDEX(WeeklyIndicators!Y:Y,MATCH(A9,WeeklyIndicators!A:A,0))</f>
        <v>164.82</v>
      </c>
      <c r="J9">
        <f t="shared" ref="J9:J14" si="129">IF(I9&gt;170,3,IF(AND(I9&gt;152,I9&lt;=170),2,IF(AND(I9&gt;135,I9&lt;=152),1,IF(I9&lt;60,-3,IF(AND(I9&lt;95,I9&gt;=60),-2,IF(AND(I9&lt;120,I9&gt;=95),-1,0))))))</f>
        <v>2</v>
      </c>
      <c r="K9">
        <f>ROUND(INDEX(Economic!AF:AF,MATCH(EOMONTH($A9,-1),Economic!A:A,0)),2)</f>
        <v>125.93</v>
      </c>
      <c r="L9" s="11">
        <f t="shared" ref="L9" si="130">IF(K9&gt;138,3,IF(AND(K9&gt;125,K9&lt;=138),2,IF(AND(K9&gt;111,K9&lt;=125),1,IF(K9&lt;50,-3,IF(AND(K9&lt;80,K9&gt;=50),-2,IF(AND(K9&lt;100,K9&gt;=80),-1,0))))))</f>
        <v>2</v>
      </c>
      <c r="M9">
        <f>ROUND(INDEX(Manufacturing!P:P,MATCH(EOMONTH($A9,-1),Manufacturing!A:A,0)),2)</f>
        <v>104.85</v>
      </c>
      <c r="N9">
        <f t="shared" ref="N9" si="131">IF(M9&gt;108,3,IF(AND(M9&gt;100,M9&lt;=108),2,IF(AND(M9&gt;90,M9&lt;=100),1,IF(M9&lt;63,-3,IF(AND(M9&lt;74,M9&gt;=63),-2,IF(AND(M9&lt;84,M9&gt;=74),-1,0))))))</f>
        <v>2</v>
      </c>
      <c r="O9">
        <f>ROUND(INDEX(Housing!AC:AC,MATCH(EOMONTH($A9,-1),Housing!B:B,0)),2)</f>
        <v>143.06</v>
      </c>
      <c r="P9">
        <f t="shared" ref="P9" si="132">IF(O9&gt;140,3,IF(AND(O9&gt;128,O9&lt;=140),2,IF(AND(O9&gt;115,O9&lt;=128),1,IF(O9&lt;50,-3,IF(AND(O9&lt;75,O9&gt;=50),-2,IF(AND(O9&lt;100,O9&gt;=75),-1,0))))))</f>
        <v>3</v>
      </c>
      <c r="Q9">
        <f>ROUND(INDEX(Spending!AJ:AJ,MATCH(EOMONTH($A9,-1),Spending!B:B,0)),2)</f>
        <v>55.69</v>
      </c>
      <c r="R9">
        <f t="shared" ref="R9" si="133">IF(Q9&gt;60,2,IF(AND(Q9&gt;50,Q9&lt;=60),1,IF(Q9&lt;30,-2,IF(AND(Q9&lt;40,Q9&gt;=30),-1,0))))</f>
        <v>1</v>
      </c>
      <c r="S9">
        <f>ROUND(INDEX(Employment!V:V,MATCH(EOMONTH($A9,-1),Employment!A:A,0)),2)</f>
        <v>177.51</v>
      </c>
      <c r="T9" s="11">
        <f t="shared" ref="T9" si="134">IF(S9&gt;190,3,IF(AND(S9&gt;175,S9&lt;=190),2,IF(AND(S9&gt;160,S9&lt;=175),1,IF(S9&lt;120,-3,IF(AND(S9&lt;140,S9&gt;=120),-2,IF(AND(S9&lt;150,S9&gt;=140),-1,0))))))</f>
        <v>2</v>
      </c>
      <c r="U9">
        <f t="shared" ref="U9" si="135">F9+H9+J9+L9+N9+P9+R9+T9+20</f>
        <v>31</v>
      </c>
      <c r="V9">
        <f t="shared" si="59"/>
        <v>84.72</v>
      </c>
      <c r="W9" s="13">
        <f t="shared" si="60"/>
        <v>-3.0999999999999999E-3</v>
      </c>
      <c r="X9" s="13">
        <f t="shared" si="61"/>
        <v>-2.6399999999999996E-2</v>
      </c>
      <c r="Y9">
        <f t="shared" si="36"/>
        <v>78.760000000000005</v>
      </c>
      <c r="Z9" s="13">
        <f t="shared" ref="Z9" si="136">ROUND((AVERAGE(Y9:Y11)-AVERAGE(Y10:Y12))/AVERAGE(Y10:Y12),4)</f>
        <v>-7.0000000000000001E-3</v>
      </c>
      <c r="AA9" s="13">
        <f t="shared" ref="AA9" si="137">SUM(Z9:Z12)</f>
        <v>-3.61E-2</v>
      </c>
      <c r="AB9" s="6">
        <f t="shared" si="39"/>
        <v>75.600999999999999</v>
      </c>
      <c r="AC9">
        <f t="shared" ref="AC9" si="138">IF(ROUND(AB9/2,0)&lt;0,0,ROUND(AB9/2,0))</f>
        <v>38</v>
      </c>
      <c r="AD9" s="11">
        <f t="shared" ref="AD9" si="139">IF(AC9&gt;47,2,IF(AND(AC9&gt;41,AC9&lt;=47),1,IF(AC9&lt;15,-2,IF(AND(AC9&lt;32,AC9&gt;=15),-1,0))))</f>
        <v>0</v>
      </c>
      <c r="AE9">
        <f t="shared" ref="AE9" si="140">IF(AND(AA9&gt;=0.2,AC9&gt;=20,U9+AD9+2&lt;30),U9+AD9+2+12,U9+AD9+2)</f>
        <v>33</v>
      </c>
      <c r="AF9">
        <f>IF(AND(AE9&lt;15,OR(AC9&gt;=30,AA9&gt;0.15,X9&gt;=0.15)),2,VLOOKUP(AE9,Table!P:Q,2,FALSE))</f>
        <v>5</v>
      </c>
      <c r="AG9" s="22">
        <f>IF((AB9*0.98)-(D9*0.8)+((AF9-3)*3)+VLOOKUP(AM9,Table!$A$11:$B$13,2,FALSE)&lt;0,0,(AB9*0.98)-(D9*0.8)+((AF9-3)*3)+VLOOKUP(AM9,Table!$A$11:$B$13,2,FALSE))</f>
        <v>74.608979999999988</v>
      </c>
      <c r="AH9" s="22">
        <f t="shared" ref="AH9" si="141">IF(ROUND(AVERAGE(AG9:AG11),0)&lt;0,0,IF(ROUND(AVERAGE(AG9:AG11),0)&gt;100,100,ROUND(AVERAGE(AG9:AG11),0)))</f>
        <v>78</v>
      </c>
      <c r="AI9" s="18">
        <f t="shared" ref="AI9" si="142">ROUND(AVERAGE(C9:C21),2)</f>
        <v>1.84</v>
      </c>
      <c r="AJ9" s="18">
        <f t="shared" ref="AJ9" si="143">ROUND(AVERAGE(C9:C47),2)</f>
        <v>1.54</v>
      </c>
      <c r="AK9" t="str">
        <f t="shared" si="45"/>
        <v>Rising Rates</v>
      </c>
      <c r="AL9">
        <f t="shared" ref="AL9:AL72" si="144">ROUND(AVERAGE(AE9:AE12),2)</f>
        <v>33.75</v>
      </c>
      <c r="AM9" s="11" t="str">
        <f t="shared" si="46"/>
        <v>Stocks</v>
      </c>
      <c r="AN9" t="str">
        <f t="shared" si="69"/>
        <v>Buy</v>
      </c>
      <c r="AO9" s="13">
        <f t="shared" si="70"/>
        <v>1.52E-2</v>
      </c>
      <c r="AP9" s="13">
        <f t="shared" si="71"/>
        <v>4.0000000000000002E-4</v>
      </c>
      <c r="AQ9" s="13">
        <f t="shared" si="72"/>
        <v>1.1900000000000001E-2</v>
      </c>
      <c r="AR9" s="13">
        <f t="shared" si="47"/>
        <v>1.52E-2</v>
      </c>
      <c r="AS9" s="6">
        <f t="shared" si="20"/>
        <v>676.86923121248526</v>
      </c>
      <c r="AT9" s="6">
        <f t="shared" si="21"/>
        <v>190.11054924502832</v>
      </c>
      <c r="AU9" s="6">
        <f t="shared" si="22"/>
        <v>1000.9153788621009</v>
      </c>
      <c r="AV9" s="6">
        <f t="shared" si="23"/>
        <v>1587.5020475928548</v>
      </c>
      <c r="AW9" s="58">
        <f t="shared" si="48"/>
        <v>2018</v>
      </c>
      <c r="AX9" s="58">
        <f>COUNTIF(AW$3:AW9,AW9)</f>
        <v>7</v>
      </c>
    </row>
    <row r="10" spans="1:50" x14ac:dyDescent="0.25">
      <c r="A10" s="5">
        <v>43275</v>
      </c>
      <c r="B10" s="18">
        <v>2754.88</v>
      </c>
      <c r="C10" s="18">
        <v>1.9</v>
      </c>
      <c r="D10" s="18">
        <v>13.77</v>
      </c>
      <c r="E10" s="18">
        <f t="shared" ref="E10" si="145">ROUND(AVERAGE(D10:D12),2)</f>
        <v>12.69</v>
      </c>
      <c r="F10">
        <f t="shared" ref="F10" si="146">IF(E10&lt;11,3,IF(AND(E10&lt;14,E10&gt;=11),2,IF(AND(E10&lt;16,E10&gt;=14),1,IF(E10&gt;35,-3,IF(AND(E10&gt;25,E10&lt;=35),-2,IF(AND(E10&gt;18,E10&lt;=25),-1,0))))))</f>
        <v>2</v>
      </c>
      <c r="G10" s="18">
        <f>ROUND(INDEX(Valuation!U:U,MATCH(A10,Valuation!A:A,0)),2)</f>
        <v>42.15</v>
      </c>
      <c r="H10">
        <f t="shared" ref="H10" si="147">IF(G10&gt;200,3,IF(AND(G10&gt;160,G10&lt;=200),2,IF(AND(G10&gt;120,G10&lt;=160),1,IF(G10&lt;25,-3,IF(AND(G10&lt;50,G10&gt;=25),-2,IF(AND(G10&lt;90,G10&gt;=50),-1,0))))))</f>
        <v>-2</v>
      </c>
      <c r="I10" s="18">
        <f>INDEX(WeeklyIndicators!Y:Y,MATCH(A10,WeeklyIndicators!A:A,0))</f>
        <v>155.82</v>
      </c>
      <c r="J10">
        <f t="shared" si="129"/>
        <v>2</v>
      </c>
      <c r="K10">
        <f>ROUND(INDEX(Economic!AF:AF,MATCH(EOMONTH($A10,-1),Economic!A:A,0)),2)</f>
        <v>132.63</v>
      </c>
      <c r="L10" s="11">
        <f t="shared" ref="L10" si="148">IF(K10&gt;138,3,IF(AND(K10&gt;125,K10&lt;=138),2,IF(AND(K10&gt;111,K10&lt;=125),1,IF(K10&lt;50,-3,IF(AND(K10&lt;80,K10&gt;=50),-2,IF(AND(K10&lt;100,K10&gt;=80),-1,0))))))</f>
        <v>2</v>
      </c>
      <c r="M10">
        <f>ROUND(INDEX(Manufacturing!P:P,MATCH(EOMONTH($A10,-1),Manufacturing!A:A,0)),2)</f>
        <v>106.34</v>
      </c>
      <c r="N10">
        <f t="shared" ref="N10" si="149">IF(M10&gt;108,3,IF(AND(M10&gt;100,M10&lt;=108),2,IF(AND(M10&gt;90,M10&lt;=100),1,IF(M10&lt;63,-3,IF(AND(M10&lt;74,M10&gt;=63),-2,IF(AND(M10&lt;84,M10&gt;=74),-1,0))))))</f>
        <v>2</v>
      </c>
      <c r="O10">
        <f>ROUND(INDEX(Housing!AC:AC,MATCH(EOMONTH($A10,-1),Housing!B:B,0)),2)</f>
        <v>147.28</v>
      </c>
      <c r="P10">
        <f t="shared" ref="P10" si="150">IF(O10&gt;140,3,IF(AND(O10&gt;128,O10&lt;=140),2,IF(AND(O10&gt;115,O10&lt;=128),1,IF(O10&lt;50,-3,IF(AND(O10&lt;75,O10&gt;=50),-2,IF(AND(O10&lt;100,O10&gt;=75),-1,0))))))</f>
        <v>3</v>
      </c>
      <c r="Q10">
        <f>ROUND(INDEX(Spending!AJ:AJ,MATCH(EOMONTH($A10,-1),Spending!B:B,0)),2)</f>
        <v>56.56</v>
      </c>
      <c r="R10">
        <f t="shared" ref="R10" si="151">IF(Q10&gt;60,2,IF(AND(Q10&gt;50,Q10&lt;=60),1,IF(Q10&lt;30,-2,IF(AND(Q10&lt;40,Q10&gt;=30),-1,0))))</f>
        <v>1</v>
      </c>
      <c r="S10">
        <f>ROUND(INDEX(Employment!V:V,MATCH(EOMONTH($A10,-1),Employment!A:A,0)),2)</f>
        <v>175.49</v>
      </c>
      <c r="T10" s="11">
        <f t="shared" ref="T10" si="152">IF(S10&gt;190,3,IF(AND(S10&gt;175,S10&lt;=190),2,IF(AND(S10&gt;160,S10&lt;=175),1,IF(S10&lt;120,-3,IF(AND(S10&lt;140,S10&gt;=120),-2,IF(AND(S10&lt;150,S10&gt;=140),-1,0))))))</f>
        <v>2</v>
      </c>
      <c r="U10">
        <f t="shared" ref="U10" si="153">F10+H10+J10+L10+N10+P10+R10+T10+20</f>
        <v>32</v>
      </c>
      <c r="V10">
        <f t="shared" si="59"/>
        <v>85.13</v>
      </c>
      <c r="W10" s="13">
        <f t="shared" si="60"/>
        <v>-5.5999999999999999E-3</v>
      </c>
      <c r="X10" s="13">
        <f t="shared" si="61"/>
        <v>-2.2299999999999997E-2</v>
      </c>
      <c r="Y10">
        <f t="shared" si="36"/>
        <v>79.73</v>
      </c>
      <c r="Z10" s="13">
        <f t="shared" ref="Z10" si="154">ROUND((AVERAGE(Y10:Y12)-AVERAGE(Y11:Y13))/AVERAGE(Y11:Y13),4)</f>
        <v>-7.7000000000000002E-3</v>
      </c>
      <c r="AA10" s="13">
        <f t="shared" ref="AA10" si="155">SUM(Z10:Z13)</f>
        <v>-2.6700000000000002E-2</v>
      </c>
      <c r="AB10" s="6">
        <f t="shared" si="39"/>
        <v>77.275000000000006</v>
      </c>
      <c r="AC10">
        <f t="shared" ref="AC10" si="156">IF(ROUND(AB10/2,0)&lt;0,0,ROUND(AB10/2,0))</f>
        <v>39</v>
      </c>
      <c r="AD10" s="11">
        <f t="shared" ref="AD10" si="157">IF(AC10&gt;47,2,IF(AND(AC10&gt;41,AC10&lt;=47),1,IF(AC10&lt;15,-2,IF(AND(AC10&lt;32,AC10&gt;=15),-1,0))))</f>
        <v>0</v>
      </c>
      <c r="AE10">
        <f t="shared" ref="AE10" si="158">IF(AND(AA10&gt;=0.2,AC10&gt;=20,U10+AD10+2&lt;30),U10+AD10+2+12,U10+AD10+2)</f>
        <v>34</v>
      </c>
      <c r="AF10">
        <f>IF(AND(AE10&lt;15,OR(AC10&gt;=30,AA10&gt;0.15,X10&gt;=0.15)),2,VLOOKUP(AE10,Table!P:Q,2,FALSE))</f>
        <v>5</v>
      </c>
      <c r="AG10" s="22">
        <f>IF((AB10*0.98)-(D10*0.8)+((AF10-3)*3)+VLOOKUP(AM10,Table!$A$11:$B$13,2,FALSE)&lt;0,0,(AB10*0.98)-(D10*0.8)+((AF10-3)*3)+VLOOKUP(AM10,Table!$A$11:$B$13,2,FALSE))</f>
        <v>78.713499999999996</v>
      </c>
      <c r="AH10" s="22">
        <f t="shared" ref="AH10" si="159">IF(ROUND(AVERAGE(AG10:AG12),0)&lt;0,0,IF(ROUND(AVERAGE(AG10:AG12),0)&gt;100,100,ROUND(AVERAGE(AG10:AG12),0)))</f>
        <v>82</v>
      </c>
      <c r="AI10" s="18">
        <f t="shared" ref="AI10" si="160">ROUND(AVERAGE(C10:C22),2)</f>
        <v>1.83</v>
      </c>
      <c r="AJ10" s="18">
        <f t="shared" ref="AJ10" si="161">ROUND(AVERAGE(C10:C48),2)</f>
        <v>1.51</v>
      </c>
      <c r="AK10" t="str">
        <f t="shared" si="45"/>
        <v>Rising Rates</v>
      </c>
      <c r="AL10">
        <f t="shared" si="144"/>
        <v>34.25</v>
      </c>
      <c r="AM10" s="11" t="str">
        <f t="shared" si="46"/>
        <v>Stocks</v>
      </c>
      <c r="AN10" t="str">
        <f t="shared" si="69"/>
        <v>Buy</v>
      </c>
      <c r="AO10" s="13">
        <f t="shared" si="70"/>
        <v>-1.3299999999999999E-2</v>
      </c>
      <c r="AP10" s="13">
        <f t="shared" si="71"/>
        <v>4.0000000000000002E-4</v>
      </c>
      <c r="AQ10" s="13">
        <f t="shared" si="72"/>
        <v>-1.0800000000000001E-2</v>
      </c>
      <c r="AR10" s="13">
        <f t="shared" si="47"/>
        <v>-1.3299999999999999E-2</v>
      </c>
      <c r="AS10" s="6">
        <f t="shared" si="20"/>
        <v>685.99293727828649</v>
      </c>
      <c r="AT10" s="6">
        <f t="shared" si="21"/>
        <v>190.03453543085598</v>
      </c>
      <c r="AU10" s="6">
        <f t="shared" si="22"/>
        <v>1011.843286354732</v>
      </c>
      <c r="AV10" s="6">
        <f t="shared" si="23"/>
        <v>1608.9004232217035</v>
      </c>
      <c r="AW10" s="58">
        <f t="shared" si="48"/>
        <v>2018</v>
      </c>
      <c r="AX10" s="58">
        <f>COUNTIF(AW$3:AW10,AW10)</f>
        <v>8</v>
      </c>
    </row>
    <row r="11" spans="1:50" x14ac:dyDescent="0.25">
      <c r="A11" s="5">
        <v>43268</v>
      </c>
      <c r="B11" s="18">
        <v>2779.66</v>
      </c>
      <c r="C11" s="18">
        <v>1.9</v>
      </c>
      <c r="D11" s="18">
        <v>12.12</v>
      </c>
      <c r="E11" s="18">
        <f t="shared" ref="E11:E16" si="162">ROUND(AVERAGE(D11:D13),2)</f>
        <v>12.59</v>
      </c>
      <c r="F11">
        <f t="shared" ref="F11:F16" si="163">IF(E11&lt;11,3,IF(AND(E11&lt;14,E11&gt;=11),2,IF(AND(E11&lt;16,E11&gt;=14),1,IF(E11&gt;35,-3,IF(AND(E11&gt;25,E11&lt;=35),-2,IF(AND(E11&gt;18,E11&lt;=25),-1,0))))))</f>
        <v>2</v>
      </c>
      <c r="G11" s="18">
        <f>ROUND(INDEX(Valuation!U:U,MATCH(A11,Valuation!A:A,0)),2)</f>
        <v>43.78</v>
      </c>
      <c r="H11">
        <f t="shared" ref="H11" si="164">IF(G11&gt;200,3,IF(AND(G11&gt;160,G11&lt;=200),2,IF(AND(G11&gt;120,G11&lt;=160),1,IF(G11&lt;25,-3,IF(AND(G11&lt;50,G11&gt;=25),-2,IF(AND(G11&lt;90,G11&gt;=50),-1,0))))))</f>
        <v>-2</v>
      </c>
      <c r="I11" s="18">
        <f>INDEX(WeeklyIndicators!Y:Y,MATCH(A11,WeeklyIndicators!A:A,0))</f>
        <v>153.03</v>
      </c>
      <c r="J11">
        <f t="shared" si="129"/>
        <v>2</v>
      </c>
      <c r="K11">
        <f>ROUND(INDEX(Economic!AF:AF,MATCH(EOMONTH($A11,-1),Economic!A:A,0)),2)</f>
        <v>132.63</v>
      </c>
      <c r="L11" s="11">
        <f t="shared" ref="L11" si="165">IF(K11&gt;138,3,IF(AND(K11&gt;125,K11&lt;=138),2,IF(AND(K11&gt;111,K11&lt;=125),1,IF(K11&lt;50,-3,IF(AND(K11&lt;80,K11&gt;=50),-2,IF(AND(K11&lt;100,K11&gt;=80),-1,0))))))</f>
        <v>2</v>
      </c>
      <c r="M11">
        <f>ROUND(INDEX(Manufacturing!P:P,MATCH(EOMONTH($A11,-1),Manufacturing!A:A,0)),2)</f>
        <v>106.34</v>
      </c>
      <c r="N11">
        <f t="shared" ref="N11" si="166">IF(M11&gt;108,3,IF(AND(M11&gt;100,M11&lt;=108),2,IF(AND(M11&gt;90,M11&lt;=100),1,IF(M11&lt;63,-3,IF(AND(M11&lt;74,M11&gt;=63),-2,IF(AND(M11&lt;84,M11&gt;=74),-1,0))))))</f>
        <v>2</v>
      </c>
      <c r="O11">
        <f>ROUND(INDEX(Housing!AC:AC,MATCH(EOMONTH($A11,-1),Housing!B:B,0)),2)</f>
        <v>147.28</v>
      </c>
      <c r="P11">
        <f t="shared" ref="P11" si="167">IF(O11&gt;140,3,IF(AND(O11&gt;128,O11&lt;=140),2,IF(AND(O11&gt;115,O11&lt;=128),1,IF(O11&lt;50,-3,IF(AND(O11&lt;75,O11&gt;=50),-2,IF(AND(O11&lt;100,O11&gt;=75),-1,0))))))</f>
        <v>3</v>
      </c>
      <c r="Q11">
        <f>ROUND(INDEX(Spending!AJ:AJ,MATCH(EOMONTH($A11,-1),Spending!B:B,0)),2)</f>
        <v>56.56</v>
      </c>
      <c r="R11">
        <f t="shared" ref="R11" si="168">IF(Q11&gt;60,2,IF(AND(Q11&gt;50,Q11&lt;=60),1,IF(Q11&lt;30,-2,IF(AND(Q11&lt;40,Q11&gt;=30),-1,0))))</f>
        <v>1</v>
      </c>
      <c r="S11">
        <f>ROUND(INDEX(Employment!V:V,MATCH(EOMONTH($A11,-1),Employment!A:A,0)),2)</f>
        <v>175.49</v>
      </c>
      <c r="T11" s="11">
        <f t="shared" ref="T11" si="169">IF(S11&gt;190,3,IF(AND(S11&gt;175,S11&lt;=190),2,IF(AND(S11&gt;160,S11&lt;=175),1,IF(S11&lt;120,-3,IF(AND(S11&lt;140,S11&gt;=120),-2,IF(AND(S11&lt;150,S11&gt;=140),-1,0))))))</f>
        <v>2</v>
      </c>
      <c r="U11">
        <f t="shared" ref="U11" si="170">F11+H11+J11+L11+N11+P11+R11+T11+20</f>
        <v>32</v>
      </c>
      <c r="V11">
        <f t="shared" si="59"/>
        <v>84.84</v>
      </c>
      <c r="W11" s="13">
        <f t="shared" si="60"/>
        <v>-1.1299999999999999E-2</v>
      </c>
      <c r="X11" s="13">
        <f t="shared" si="61"/>
        <v>-9.1000000000000004E-3</v>
      </c>
      <c r="Y11">
        <f t="shared" si="36"/>
        <v>79.66</v>
      </c>
      <c r="Z11" s="13">
        <f t="shared" ref="Z11" si="171">ROUND((AVERAGE(Y11:Y13)-AVERAGE(Y12:Y14))/AVERAGE(Y12:Y14),4)</f>
        <v>-1.3599999999999999E-2</v>
      </c>
      <c r="AA11" s="13">
        <f t="shared" ref="AA11" si="172">SUM(Z11:Z14)</f>
        <v>-5.4000000000000003E-3</v>
      </c>
      <c r="AB11" s="6">
        <f t="shared" si="39"/>
        <v>78.918000000000006</v>
      </c>
      <c r="AC11">
        <f t="shared" ref="AC11" si="173">IF(ROUND(AB11/2,0)&lt;0,0,ROUND(AB11/2,0))</f>
        <v>39</v>
      </c>
      <c r="AD11" s="11">
        <f t="shared" ref="AD11" si="174">IF(AC11&gt;47,2,IF(AND(AC11&gt;41,AC11&lt;=47),1,IF(AC11&lt;15,-2,IF(AND(AC11&lt;32,AC11&gt;=15),-1,0))))</f>
        <v>0</v>
      </c>
      <c r="AE11">
        <f t="shared" ref="AE11" si="175">IF(AND(AA11&gt;=0.2,AC11&gt;=20,U11+AD11+2&lt;30),U11+AD11+2+12,U11+AD11+2)</f>
        <v>34</v>
      </c>
      <c r="AF11">
        <f>IF(AND(AE11&lt;15,OR(AC11&gt;=30,AA11&gt;0.15,X11&gt;=0.15)),2,VLOOKUP(AE11,Table!P:Q,2,FALSE))</f>
        <v>5</v>
      </c>
      <c r="AG11" s="22">
        <f>IF((AB11*0.98)-(D11*0.8)+((AF11-3)*3)+VLOOKUP(AM11,Table!$A$11:$B$13,2,FALSE)&lt;0,0,(AB11*0.98)-(D11*0.8)+((AF11-3)*3)+VLOOKUP(AM11,Table!$A$11:$B$13,2,FALSE))</f>
        <v>81.643640000000005</v>
      </c>
      <c r="AH11" s="22">
        <f t="shared" ref="AH11" si="176">IF(ROUND(AVERAGE(AG11:AG13),0)&lt;0,0,IF(ROUND(AVERAGE(AG11:AG13),0)&gt;100,100,ROUND(AVERAGE(AG11:AG13),0)))</f>
        <v>84</v>
      </c>
      <c r="AI11" s="18">
        <f t="shared" ref="AI11" si="177">ROUND(AVERAGE(C11:C23),2)</f>
        <v>1.81</v>
      </c>
      <c r="AJ11" s="18">
        <f t="shared" ref="AJ11" si="178">ROUND(AVERAGE(C11:C49),2)</f>
        <v>1.49</v>
      </c>
      <c r="AK11" t="str">
        <f t="shared" si="45"/>
        <v>Rising Rates</v>
      </c>
      <c r="AL11">
        <f t="shared" si="144"/>
        <v>34.5</v>
      </c>
      <c r="AM11" s="11" t="str">
        <f t="shared" si="46"/>
        <v>Stocks</v>
      </c>
      <c r="AN11" t="str">
        <f t="shared" si="69"/>
        <v>Buy</v>
      </c>
      <c r="AO11" s="13">
        <f t="shared" si="70"/>
        <v>-8.8999999999999999E-3</v>
      </c>
      <c r="AP11" s="13">
        <f t="shared" si="71"/>
        <v>4.0000000000000002E-4</v>
      </c>
      <c r="AQ11" s="13">
        <f t="shared" si="72"/>
        <v>-7.4000000000000003E-3</v>
      </c>
      <c r="AR11" s="13">
        <f t="shared" si="47"/>
        <v>-8.8999999999999999E-3</v>
      </c>
      <c r="AS11" s="6">
        <f t="shared" si="20"/>
        <v>692.15309986710372</v>
      </c>
      <c r="AT11" s="6">
        <f t="shared" si="21"/>
        <v>189.95855201005196</v>
      </c>
      <c r="AU11" s="6">
        <f t="shared" si="22"/>
        <v>1019.3867482920934</v>
      </c>
      <c r="AV11" s="6">
        <f t="shared" si="23"/>
        <v>1623.3482224010731</v>
      </c>
      <c r="AW11" s="58">
        <f t="shared" si="48"/>
        <v>2018</v>
      </c>
      <c r="AX11" s="58">
        <f>COUNTIF(AW$3:AW11,AW11)</f>
        <v>9</v>
      </c>
    </row>
    <row r="12" spans="1:50" x14ac:dyDescent="0.25">
      <c r="A12" s="5">
        <v>43261</v>
      </c>
      <c r="B12" s="18">
        <v>2779.03</v>
      </c>
      <c r="C12" s="18">
        <v>1.9</v>
      </c>
      <c r="D12" s="18">
        <v>12.18</v>
      </c>
      <c r="E12" s="18">
        <f t="shared" si="162"/>
        <v>12.95</v>
      </c>
      <c r="F12">
        <f t="shared" si="163"/>
        <v>2</v>
      </c>
      <c r="G12" s="18">
        <f>ROUND(INDEX(Valuation!U:U,MATCH(A12,Valuation!A:A,0)),2)</f>
        <v>46.05</v>
      </c>
      <c r="H12">
        <f t="shared" ref="H12" si="179">IF(G12&gt;200,3,IF(AND(G12&gt;160,G12&lt;=200),2,IF(AND(G12&gt;120,G12&lt;=160),1,IF(G12&lt;25,-3,IF(AND(G12&lt;50,G12&gt;=25),-2,IF(AND(G12&lt;90,G12&gt;=50),-1,0))))))</f>
        <v>-2</v>
      </c>
      <c r="I12" s="18">
        <f>INDEX(WeeklyIndicators!Y:Y,MATCH(A12,WeeklyIndicators!A:A,0))</f>
        <v>159.44</v>
      </c>
      <c r="J12">
        <f t="shared" si="129"/>
        <v>2</v>
      </c>
      <c r="K12">
        <f>ROUND(INDEX(Economic!AF:AF,MATCH(EOMONTH($A12,-1),Economic!A:A,0)),2)</f>
        <v>132.63</v>
      </c>
      <c r="L12" s="11">
        <f t="shared" ref="L12" si="180">IF(K12&gt;138,3,IF(AND(K12&gt;125,K12&lt;=138),2,IF(AND(K12&gt;111,K12&lt;=125),1,IF(K12&lt;50,-3,IF(AND(K12&lt;80,K12&gt;=50),-2,IF(AND(K12&lt;100,K12&gt;=80),-1,0))))))</f>
        <v>2</v>
      </c>
      <c r="M12">
        <f>ROUND(INDEX(Manufacturing!P:P,MATCH(EOMONTH($A12,-1),Manufacturing!A:A,0)),2)</f>
        <v>106.34</v>
      </c>
      <c r="N12">
        <f t="shared" ref="N12" si="181">IF(M12&gt;108,3,IF(AND(M12&gt;100,M12&lt;=108),2,IF(AND(M12&gt;90,M12&lt;=100),1,IF(M12&lt;63,-3,IF(AND(M12&lt;74,M12&gt;=63),-2,IF(AND(M12&lt;84,M12&gt;=74),-1,0))))))</f>
        <v>2</v>
      </c>
      <c r="O12">
        <f>ROUND(INDEX(Housing!AC:AC,MATCH(EOMONTH($A12,-1),Housing!B:B,0)),2)</f>
        <v>147.28</v>
      </c>
      <c r="P12">
        <f t="shared" ref="P12" si="182">IF(O12&gt;140,3,IF(AND(O12&gt;128,O12&lt;=140),2,IF(AND(O12&gt;115,O12&lt;=128),1,IF(O12&lt;50,-3,IF(AND(O12&lt;75,O12&gt;=50),-2,IF(AND(O12&lt;100,O12&gt;=75),-1,0))))))</f>
        <v>3</v>
      </c>
      <c r="Q12">
        <f>ROUND(INDEX(Spending!AJ:AJ,MATCH(EOMONTH($A12,-1),Spending!B:B,0)),2)</f>
        <v>56.56</v>
      </c>
      <c r="R12">
        <f t="shared" ref="R12" si="183">IF(Q12&gt;60,2,IF(AND(Q12&gt;50,Q12&lt;=60),1,IF(Q12&lt;30,-2,IF(AND(Q12&lt;40,Q12&gt;=30),-1,0))))</f>
        <v>1</v>
      </c>
      <c r="S12">
        <f>ROUND(INDEX(Employment!V:V,MATCH(EOMONTH($A12,-1),Employment!A:A,0)),2)</f>
        <v>175.49</v>
      </c>
      <c r="T12" s="11">
        <f t="shared" ref="T12" si="184">IF(S12&gt;190,3,IF(AND(S12&gt;175,S12&lt;=190),2,IF(AND(S12&gt;160,S12&lt;=175),1,IF(S12&lt;120,-3,IF(AND(S12&lt;140,S12&gt;=120),-2,IF(AND(S12&lt;150,S12&gt;=140),-1,0))))))</f>
        <v>2</v>
      </c>
      <c r="U12">
        <f t="shared" ref="U12" si="185">F12+H12+J12+L12+N12+P12+R12+T12+20</f>
        <v>32</v>
      </c>
      <c r="V12">
        <f t="shared" si="59"/>
        <v>85.5</v>
      </c>
      <c r="W12" s="13">
        <f t="shared" si="60"/>
        <v>-6.4000000000000003E-3</v>
      </c>
      <c r="X12" s="13">
        <f t="shared" si="61"/>
        <v>6.1999999999999998E-3</v>
      </c>
      <c r="Y12">
        <f t="shared" si="36"/>
        <v>80.45</v>
      </c>
      <c r="Z12" s="13">
        <f t="shared" ref="Z12" si="186">ROUND((AVERAGE(Y12:Y14)-AVERAGE(Y13:Y15))/AVERAGE(Y13:Y15),4)</f>
        <v>-7.7999999999999996E-3</v>
      </c>
      <c r="AA12" s="13">
        <f t="shared" ref="AA12" si="187">SUM(Z12:Z15)</f>
        <v>2.1100000000000001E-2</v>
      </c>
      <c r="AB12" s="6">
        <f t="shared" si="39"/>
        <v>81.885000000000005</v>
      </c>
      <c r="AC12">
        <f t="shared" ref="AC12" si="188">IF(ROUND(AB12/2,0)&lt;0,0,ROUND(AB12/2,0))</f>
        <v>41</v>
      </c>
      <c r="AD12" s="11">
        <f t="shared" ref="AD12" si="189">IF(AC12&gt;47,2,IF(AND(AC12&gt;41,AC12&lt;=47),1,IF(AC12&lt;15,-2,IF(AND(AC12&lt;32,AC12&gt;=15),-1,0))))</f>
        <v>0</v>
      </c>
      <c r="AE12">
        <f t="shared" ref="AE12" si="190">IF(AND(AA12&gt;=0.2,AC12&gt;=20,U12+AD12+2&lt;30),U12+AD12+2+12,U12+AD12+2)</f>
        <v>34</v>
      </c>
      <c r="AF12">
        <f>IF(AND(AE12&lt;15,OR(AC12&gt;=30,AA12&gt;0.15,X12&gt;=0.15)),2,VLOOKUP(AE12,Table!P:Q,2,FALSE))</f>
        <v>5</v>
      </c>
      <c r="AG12" s="22">
        <f>IF((AB12*0.98)-(D12*0.8)+((AF12-3)*3)+VLOOKUP(AM12,Table!$A$11:$B$13,2,FALSE)&lt;0,0,(AB12*0.98)-(D12*0.8)+((AF12-3)*3)+VLOOKUP(AM12,Table!$A$11:$B$13,2,FALSE))</f>
        <v>84.50330000000001</v>
      </c>
      <c r="AH12" s="22">
        <f t="shared" ref="AH12" si="191">IF(ROUND(AVERAGE(AG12:AG14),0)&lt;0,0,IF(ROUND(AVERAGE(AG12:AG14),0)&gt;100,100,ROUND(AVERAGE(AG12:AG14),0)))</f>
        <v>86</v>
      </c>
      <c r="AI12" s="18">
        <f t="shared" ref="AI12" si="192">ROUND(AVERAGE(C12:C24),2)</f>
        <v>1.8</v>
      </c>
      <c r="AJ12" s="18">
        <f t="shared" ref="AJ12" si="193">ROUND(AVERAGE(C12:C50),2)</f>
        <v>1.47</v>
      </c>
      <c r="AK12" t="str">
        <f t="shared" si="45"/>
        <v>Rising Rates</v>
      </c>
      <c r="AL12">
        <f t="shared" si="144"/>
        <v>34.75</v>
      </c>
      <c r="AM12" s="11" t="str">
        <f t="shared" si="46"/>
        <v>Stocks</v>
      </c>
      <c r="AN12" t="str">
        <f t="shared" si="69"/>
        <v>Buy</v>
      </c>
      <c r="AO12" s="13">
        <f t="shared" si="70"/>
        <v>2.0000000000000001E-4</v>
      </c>
      <c r="AP12" s="13">
        <f t="shared" si="71"/>
        <v>4.0000000000000002E-4</v>
      </c>
      <c r="AQ12" s="13">
        <f t="shared" si="72"/>
        <v>2.0000000000000001E-4</v>
      </c>
      <c r="AR12" s="13">
        <f t="shared" si="47"/>
        <v>2.0000000000000001E-4</v>
      </c>
      <c r="AS12" s="6">
        <f t="shared" si="20"/>
        <v>692.01469692771821</v>
      </c>
      <c r="AT12" s="6">
        <f t="shared" si="21"/>
        <v>189.88259897046379</v>
      </c>
      <c r="AU12" s="6">
        <f t="shared" si="22"/>
        <v>1019.1829117097515</v>
      </c>
      <c r="AV12" s="6">
        <f t="shared" si="23"/>
        <v>1623.0236176775377</v>
      </c>
      <c r="AW12" s="58">
        <f t="shared" si="48"/>
        <v>2018</v>
      </c>
      <c r="AX12" s="58">
        <f>COUNTIF(AW$3:AW12,AW12)</f>
        <v>10</v>
      </c>
    </row>
    <row r="13" spans="1:50" x14ac:dyDescent="0.25">
      <c r="A13" s="5">
        <v>43254</v>
      </c>
      <c r="B13" s="18">
        <v>2734.62</v>
      </c>
      <c r="C13" s="18">
        <v>1.9</v>
      </c>
      <c r="D13" s="18">
        <v>13.46</v>
      </c>
      <c r="E13" s="18">
        <f t="shared" si="162"/>
        <v>13.37</v>
      </c>
      <c r="F13">
        <f t="shared" si="163"/>
        <v>2</v>
      </c>
      <c r="G13" s="18">
        <f>ROUND(INDEX(Valuation!U:U,MATCH(A13,Valuation!A:A,0)),2)</f>
        <v>48</v>
      </c>
      <c r="H13">
        <f t="shared" ref="H13" si="194">IF(G13&gt;200,3,IF(AND(G13&gt;160,G13&lt;=200),2,IF(AND(G13&gt;120,G13&lt;=160),1,IF(G13&lt;25,-3,IF(AND(G13&lt;50,G13&gt;=25),-2,IF(AND(G13&lt;90,G13&gt;=50),-1,0))))))</f>
        <v>-2</v>
      </c>
      <c r="I13" s="18">
        <f>INDEX(WeeklyIndicators!Y:Y,MATCH(A13,WeeklyIndicators!A:A,0))</f>
        <v>169.68</v>
      </c>
      <c r="J13">
        <f t="shared" si="129"/>
        <v>2</v>
      </c>
      <c r="K13">
        <f>ROUND(INDEX(Economic!AF:AF,MATCH(EOMONTH($A13,-1),Economic!A:A,0)),2)</f>
        <v>132.63</v>
      </c>
      <c r="L13" s="11">
        <f t="shared" ref="L13:L18" si="195">IF(K13&gt;138,3,IF(AND(K13&gt;125,K13&lt;=138),2,IF(AND(K13&gt;111,K13&lt;=125),1,IF(K13&lt;50,-3,IF(AND(K13&lt;80,K13&gt;=50),-2,IF(AND(K13&lt;100,K13&gt;=80),-1,0))))))</f>
        <v>2</v>
      </c>
      <c r="M13">
        <f>ROUND(INDEX(Manufacturing!P:P,MATCH(EOMONTH($A13,-1),Manufacturing!A:A,0)),2)</f>
        <v>106.34</v>
      </c>
      <c r="N13">
        <f t="shared" ref="N13" si="196">IF(M13&gt;108,3,IF(AND(M13&gt;100,M13&lt;=108),2,IF(AND(M13&gt;90,M13&lt;=100),1,IF(M13&lt;63,-3,IF(AND(M13&lt;74,M13&gt;=63),-2,IF(AND(M13&lt;84,M13&gt;=74),-1,0))))))</f>
        <v>2</v>
      </c>
      <c r="O13">
        <f>ROUND(INDEX(Housing!AC:AC,MATCH(EOMONTH($A13,-1),Housing!B:B,0)),2)</f>
        <v>147.28</v>
      </c>
      <c r="P13">
        <f t="shared" ref="P13" si="197">IF(O13&gt;140,3,IF(AND(O13&gt;128,O13&lt;=140),2,IF(AND(O13&gt;115,O13&lt;=128),1,IF(O13&lt;50,-3,IF(AND(O13&lt;75,O13&gt;=50),-2,IF(AND(O13&lt;100,O13&gt;=75),-1,0))))))</f>
        <v>3</v>
      </c>
      <c r="Q13">
        <f>ROUND(INDEX(Spending!AJ:AJ,MATCH(EOMONTH($A13,-1),Spending!B:B,0)),2)</f>
        <v>56.56</v>
      </c>
      <c r="R13">
        <f t="shared" ref="R13:R18" si="198">IF(Q13&gt;60,2,IF(AND(Q13&gt;50,Q13&lt;=60),1,IF(Q13&lt;30,-2,IF(AND(Q13&lt;40,Q13&gt;=30),-1,0))))</f>
        <v>1</v>
      </c>
      <c r="S13">
        <f>ROUND(INDEX(Employment!V:V,MATCH(EOMONTH($A13,-1),Employment!A:A,0)),2)</f>
        <v>175.49</v>
      </c>
      <c r="T13" s="11">
        <f t="shared" ref="T13" si="199">IF(S13&gt;190,3,IF(AND(S13&gt;175,S13&lt;=190),2,IF(AND(S13&gt;160,S13&lt;=175),1,IF(S13&lt;120,-3,IF(AND(S13&lt;140,S13&gt;=120),-2,IF(AND(S13&lt;150,S13&gt;=140),-1,0))))))</f>
        <v>2</v>
      </c>
      <c r="U13">
        <f t="shared" ref="U13" si="200">F13+H13+J13+L13+N13+P13+R13+T13+20</f>
        <v>32</v>
      </c>
      <c r="V13">
        <f t="shared" si="59"/>
        <v>86.57</v>
      </c>
      <c r="W13" s="13">
        <f t="shared" si="60"/>
        <v>1E-3</v>
      </c>
      <c r="X13" s="13">
        <f t="shared" si="61"/>
        <v>1.26E-2</v>
      </c>
      <c r="Y13">
        <f t="shared" si="36"/>
        <v>81.58</v>
      </c>
      <c r="Z13" s="13">
        <f t="shared" ref="Z13" si="201">ROUND((AVERAGE(Y13:Y15)-AVERAGE(Y14:Y16))/AVERAGE(Y14:Y16),4)</f>
        <v>2.3999999999999998E-3</v>
      </c>
      <c r="AA13" s="13">
        <f t="shared" ref="AA13" si="202">SUM(Z13:Z16)</f>
        <v>3.7900000000000003E-2</v>
      </c>
      <c r="AB13" s="6">
        <f t="shared" si="39"/>
        <v>84.429999999999993</v>
      </c>
      <c r="AC13">
        <f t="shared" ref="AC13" si="203">IF(ROUND(AB13/2,0)&lt;0,0,ROUND(AB13/2,0))</f>
        <v>42</v>
      </c>
      <c r="AD13" s="11">
        <f t="shared" ref="AD13" si="204">IF(AC13&gt;47,2,IF(AND(AC13&gt;41,AC13&lt;=47),1,IF(AC13&lt;15,-2,IF(AND(AC13&lt;32,AC13&gt;=15),-1,0))))</f>
        <v>1</v>
      </c>
      <c r="AE13">
        <f t="shared" ref="AE13" si="205">IF(AND(AA13&gt;=0.2,AC13&gt;=20,U13+AD13+2&lt;30),U13+AD13+2+12,U13+AD13+2)</f>
        <v>35</v>
      </c>
      <c r="AF13">
        <f>IF(AND(AE13&lt;15,OR(AC13&gt;=30,AA13&gt;0.15,X13&gt;=0.15)),2,VLOOKUP(AE13,Table!P:Q,2,FALSE))</f>
        <v>5</v>
      </c>
      <c r="AG13" s="22">
        <f>IF((AB13*0.98)-(D13*0.8)+((AF13-3)*3)+VLOOKUP(AM13,Table!$A$11:$B$13,2,FALSE)&lt;0,0,(AB13*0.98)-(D13*0.8)+((AF13-3)*3)+VLOOKUP(AM13,Table!$A$11:$B$13,2,FALSE))</f>
        <v>85.973399999999984</v>
      </c>
      <c r="AH13" s="22">
        <f t="shared" ref="AH13" si="206">IF(ROUND(AVERAGE(AG13:AG15),0)&lt;0,0,IF(ROUND(AVERAGE(AG13:AG15),0)&gt;100,100,ROUND(AVERAGE(AG13:AG15),0)))</f>
        <v>87</v>
      </c>
      <c r="AI13" s="18">
        <f t="shared" ref="AI13" si="207">ROUND(AVERAGE(C13:C25),2)</f>
        <v>1.78</v>
      </c>
      <c r="AJ13" s="18">
        <f t="shared" ref="AJ13" si="208">ROUND(AVERAGE(C13:C51),2)</f>
        <v>1.45</v>
      </c>
      <c r="AK13" t="str">
        <f t="shared" si="45"/>
        <v>Rising Rates</v>
      </c>
      <c r="AL13">
        <f t="shared" si="144"/>
        <v>34.25</v>
      </c>
      <c r="AM13" s="11" t="str">
        <f t="shared" si="46"/>
        <v>Stocks</v>
      </c>
      <c r="AN13" t="str">
        <f t="shared" si="69"/>
        <v>Buy</v>
      </c>
      <c r="AO13" s="13">
        <f t="shared" si="70"/>
        <v>1.6199999999999999E-2</v>
      </c>
      <c r="AP13" s="13">
        <f t="shared" si="71"/>
        <v>4.0000000000000002E-4</v>
      </c>
      <c r="AQ13" s="13">
        <f t="shared" si="72"/>
        <v>1.41E-2</v>
      </c>
      <c r="AR13" s="13">
        <f t="shared" si="47"/>
        <v>1.6199999999999999E-2</v>
      </c>
      <c r="AS13" s="6">
        <f t="shared" si="20"/>
        <v>680.9827759572114</v>
      </c>
      <c r="AT13" s="6">
        <f t="shared" si="21"/>
        <v>189.80667629994383</v>
      </c>
      <c r="AU13" s="6">
        <f t="shared" si="22"/>
        <v>1005.0122391379069</v>
      </c>
      <c r="AV13" s="6">
        <f t="shared" si="23"/>
        <v>1597.1497910623279</v>
      </c>
      <c r="AW13" s="58">
        <f t="shared" si="48"/>
        <v>2018</v>
      </c>
      <c r="AX13" s="58">
        <f>COUNTIF(AW$3:AW13,AW13)</f>
        <v>11</v>
      </c>
    </row>
    <row r="14" spans="1:50" x14ac:dyDescent="0.25">
      <c r="A14" s="5">
        <v>43247</v>
      </c>
      <c r="B14" s="18">
        <v>2721.33</v>
      </c>
      <c r="C14" s="18">
        <v>1.88</v>
      </c>
      <c r="D14" s="18">
        <v>13.22</v>
      </c>
      <c r="E14" s="18">
        <f t="shared" si="162"/>
        <v>13.1</v>
      </c>
      <c r="F14">
        <f t="shared" si="163"/>
        <v>2</v>
      </c>
      <c r="G14" s="18">
        <f>ROUND(INDEX(Valuation!U:U,MATCH(A14,Valuation!A:A,0)),2)</f>
        <v>48.91</v>
      </c>
      <c r="H14">
        <f t="shared" ref="H14" si="209">IF(G14&gt;200,3,IF(AND(G14&gt;160,G14&lt;=200),2,IF(AND(G14&gt;120,G14&lt;=160),1,IF(G14&lt;25,-3,IF(AND(G14&lt;50,G14&gt;=25),-2,IF(AND(G14&lt;90,G14&gt;=50),-1,0))))))</f>
        <v>-2</v>
      </c>
      <c r="I14" s="18">
        <f>INDEX(WeeklyIndicators!Y:Y,MATCH(A14,WeeklyIndicators!A:A,0))</f>
        <v>171.84</v>
      </c>
      <c r="J14">
        <f t="shared" si="129"/>
        <v>3</v>
      </c>
      <c r="K14">
        <f>ROUND(INDEX(Economic!AF:AF,MATCH(EOMONTH($A14,-1),Economic!A:A,0)),2)</f>
        <v>136.6</v>
      </c>
      <c r="L14" s="11">
        <f t="shared" si="195"/>
        <v>2</v>
      </c>
      <c r="M14">
        <f>ROUND(INDEX(Manufacturing!P:P,MATCH(EOMONTH($A14,-1),Manufacturing!A:A,0)),2)</f>
        <v>105.79</v>
      </c>
      <c r="N14">
        <f t="shared" ref="N14" si="210">IF(M14&gt;108,3,IF(AND(M14&gt;100,M14&lt;=108),2,IF(AND(M14&gt;90,M14&lt;=100),1,IF(M14&lt;63,-3,IF(AND(M14&lt;74,M14&gt;=63),-2,IF(AND(M14&lt;84,M14&gt;=74),-1,0))))))</f>
        <v>2</v>
      </c>
      <c r="O14">
        <f>ROUND(INDEX(Housing!AC:AC,MATCH(EOMONTH($A14,-1),Housing!B:B,0)),2)</f>
        <v>155.09</v>
      </c>
      <c r="P14">
        <f t="shared" ref="P14" si="211">IF(O14&gt;140,3,IF(AND(O14&gt;128,O14&lt;=140),2,IF(AND(O14&gt;115,O14&lt;=128),1,IF(O14&lt;50,-3,IF(AND(O14&lt;75,O14&gt;=50),-2,IF(AND(O14&lt;100,O14&gt;=75),-1,0))))))</f>
        <v>3</v>
      </c>
      <c r="Q14">
        <f>ROUND(INDEX(Spending!AJ:AJ,MATCH(EOMONTH($A14,-1),Spending!B:B,0)),2)</f>
        <v>59.76</v>
      </c>
      <c r="R14">
        <f t="shared" si="198"/>
        <v>1</v>
      </c>
      <c r="S14">
        <f>ROUND(INDEX(Employment!V:V,MATCH(EOMONTH($A14,-1),Employment!A:A,0)),2)</f>
        <v>171.93</v>
      </c>
      <c r="T14" s="11">
        <f t="shared" ref="T14" si="212">IF(S14&gt;190,3,IF(AND(S14&gt;175,S14&lt;=190),2,IF(AND(S14&gt;160,S14&lt;=175),1,IF(S14&lt;120,-3,IF(AND(S14&lt;140,S14&gt;=120),-2,IF(AND(S14&lt;150,S14&gt;=140),-1,0))))))</f>
        <v>1</v>
      </c>
      <c r="U14">
        <f t="shared" ref="U14" si="213">F14+H14+J14+L14+N14+P14+R14+T14+20</f>
        <v>32</v>
      </c>
      <c r="V14">
        <f t="shared" si="59"/>
        <v>87.77</v>
      </c>
      <c r="W14" s="13">
        <f t="shared" si="60"/>
        <v>7.6E-3</v>
      </c>
      <c r="X14" s="13">
        <f t="shared" si="61"/>
        <v>8.4999999999999989E-3</v>
      </c>
      <c r="Y14">
        <f t="shared" si="36"/>
        <v>82.98</v>
      </c>
      <c r="Z14" s="13">
        <f t="shared" ref="Z14" si="214">ROUND((AVERAGE(Y14:Y16)-AVERAGE(Y15:Y17))/AVERAGE(Y15:Y17),4)</f>
        <v>1.3599999999999999E-2</v>
      </c>
      <c r="AA14" s="13">
        <f t="shared" ref="AA14" si="215">SUM(Z14:Z17)</f>
        <v>3.9199999999999999E-2</v>
      </c>
      <c r="AB14" s="6">
        <f t="shared" si="39"/>
        <v>86.01100000000001</v>
      </c>
      <c r="AC14">
        <f t="shared" ref="AC14" si="216">IF(ROUND(AB14/2,0)&lt;0,0,ROUND(AB14/2,0))</f>
        <v>43</v>
      </c>
      <c r="AD14" s="11">
        <f t="shared" ref="AD14" si="217">IF(AC14&gt;47,2,IF(AND(AC14&gt;41,AC14&lt;=47),1,IF(AC14&lt;15,-2,IF(AND(AC14&lt;32,AC14&gt;=15),-1,0))))</f>
        <v>1</v>
      </c>
      <c r="AE14">
        <f t="shared" ref="AE14" si="218">IF(AND(AA14&gt;=0.2,AC14&gt;=20,U14+AD14+2&lt;30),U14+AD14+2+12,U14+AD14+2)</f>
        <v>35</v>
      </c>
      <c r="AF14">
        <f>IF(AND(AE14&lt;15,OR(AC14&gt;=30,AA14&gt;0.15,X14&gt;=0.15)),2,VLOOKUP(AE14,Table!P:Q,2,FALSE))</f>
        <v>5</v>
      </c>
      <c r="AG14" s="22">
        <f>IF((AB14*0.98)-(D14*0.8)+((AF14-3)*3)+VLOOKUP(AM14,Table!$A$11:$B$13,2,FALSE)&lt;0,0,(AB14*0.98)-(D14*0.8)+((AF14-3)*3)+VLOOKUP(AM14,Table!$A$11:$B$13,2,FALSE))</f>
        <v>87.714780000000019</v>
      </c>
      <c r="AH14" s="22">
        <f t="shared" ref="AH14" si="219">IF(ROUND(AVERAGE(AG14:AG16),0)&lt;0,0,IF(ROUND(AVERAGE(AG14:AG16),0)&gt;100,100,ROUND(AVERAGE(AG14:AG16),0)))</f>
        <v>86</v>
      </c>
      <c r="AI14" s="18">
        <f t="shared" ref="AI14" si="220">ROUND(AVERAGE(C14:C26),2)</f>
        <v>1.76</v>
      </c>
      <c r="AJ14" s="18">
        <f t="shared" ref="AJ14" si="221">ROUND(AVERAGE(C14:C52),2)</f>
        <v>1.42</v>
      </c>
      <c r="AK14" t="str">
        <f t="shared" si="45"/>
        <v>Rising Rates</v>
      </c>
      <c r="AL14">
        <f t="shared" si="144"/>
        <v>33.5</v>
      </c>
      <c r="AM14" s="11" t="str">
        <f t="shared" si="46"/>
        <v>Stocks</v>
      </c>
      <c r="AN14" t="str">
        <f t="shared" si="69"/>
        <v>Buy</v>
      </c>
      <c r="AO14" s="13">
        <f t="shared" si="70"/>
        <v>4.8999999999999998E-3</v>
      </c>
      <c r="AP14" s="13">
        <f t="shared" si="71"/>
        <v>4.0000000000000002E-4</v>
      </c>
      <c r="AQ14" s="13">
        <f t="shared" si="72"/>
        <v>4.3E-3</v>
      </c>
      <c r="AR14" s="13">
        <f t="shared" si="47"/>
        <v>4.8999999999999998E-3</v>
      </c>
      <c r="AS14" s="6">
        <f t="shared" si="20"/>
        <v>677.66223102518802</v>
      </c>
      <c r="AT14" s="6">
        <f t="shared" si="21"/>
        <v>189.73078398634931</v>
      </c>
      <c r="AU14" s="6">
        <f t="shared" si="22"/>
        <v>1000.7091896225301</v>
      </c>
      <c r="AV14" s="6">
        <f t="shared" si="23"/>
        <v>1589.3619176657658</v>
      </c>
      <c r="AW14" s="58">
        <f t="shared" si="48"/>
        <v>2018</v>
      </c>
      <c r="AX14" s="58">
        <f>COUNTIF(AW$3:AW14,AW14)</f>
        <v>12</v>
      </c>
    </row>
    <row r="15" spans="1:50" x14ac:dyDescent="0.25">
      <c r="A15" s="5">
        <v>43240</v>
      </c>
      <c r="B15" s="18">
        <v>2712.97</v>
      </c>
      <c r="C15" s="18">
        <v>1.88</v>
      </c>
      <c r="D15" s="18">
        <v>13.42</v>
      </c>
      <c r="E15" s="18">
        <f t="shared" si="162"/>
        <v>13.61</v>
      </c>
      <c r="F15">
        <f t="shared" si="163"/>
        <v>2</v>
      </c>
      <c r="G15" s="18">
        <f>ROUND(INDEX(Valuation!U:U,MATCH(A15,Valuation!A:A,0)),2)</f>
        <v>50.29</v>
      </c>
      <c r="H15">
        <f t="shared" ref="H15" si="222">IF(G15&gt;200,3,IF(AND(G15&gt;160,G15&lt;=200),2,IF(AND(G15&gt;120,G15&lt;=160),1,IF(G15&lt;25,-3,IF(AND(G15&lt;50,G15&gt;=25),-2,IF(AND(G15&lt;90,G15&gt;=50),-1,0))))))</f>
        <v>-1</v>
      </c>
      <c r="I15" s="18">
        <f>INDEX(WeeklyIndicators!Y:Y,MATCH(A15,WeeklyIndicators!A:A,0))</f>
        <v>166.13</v>
      </c>
      <c r="J15">
        <f t="shared" ref="J15:J78" si="223">IF(I15&gt;170,3,IF(AND(I15&gt;152,I15&lt;=170),2,IF(AND(I15&gt;135,I15&lt;=152),1,IF(I15&lt;60,-3,IF(AND(I15&lt;95,I15&gt;=60),-2,IF(AND(I15&lt;120,I15&gt;=95),-1,0))))))</f>
        <v>2</v>
      </c>
      <c r="K15">
        <f>ROUND(INDEX(Economic!AF:AF,MATCH(EOMONTH($A15,-1),Economic!A:A,0)),2)</f>
        <v>136.6</v>
      </c>
      <c r="L15" s="11">
        <f t="shared" si="195"/>
        <v>2</v>
      </c>
      <c r="M15">
        <f>ROUND(INDEX(Manufacturing!P:P,MATCH(EOMONTH($A15,-1),Manufacturing!A:A,0)),2)</f>
        <v>105.79</v>
      </c>
      <c r="N15">
        <f t="shared" ref="N15" si="224">IF(M15&gt;108,3,IF(AND(M15&gt;100,M15&lt;=108),2,IF(AND(M15&gt;90,M15&lt;=100),1,IF(M15&lt;63,-3,IF(AND(M15&lt;74,M15&gt;=63),-2,IF(AND(M15&lt;84,M15&gt;=74),-1,0))))))</f>
        <v>2</v>
      </c>
      <c r="O15">
        <f>ROUND(INDEX(Housing!AC:AC,MATCH(EOMONTH($A15,-1),Housing!B:B,0)),2)</f>
        <v>155.09</v>
      </c>
      <c r="P15">
        <f t="shared" ref="P15" si="225">IF(O15&gt;140,3,IF(AND(O15&gt;128,O15&lt;=140),2,IF(AND(O15&gt;115,O15&lt;=128),1,IF(O15&lt;50,-3,IF(AND(O15&lt;75,O15&gt;=50),-2,IF(AND(O15&lt;100,O15&gt;=75),-1,0))))))</f>
        <v>3</v>
      </c>
      <c r="Q15">
        <f>ROUND(INDEX(Spending!AJ:AJ,MATCH(EOMONTH($A15,-1),Spending!B:B,0)),2)</f>
        <v>59.76</v>
      </c>
      <c r="R15">
        <f t="shared" si="198"/>
        <v>1</v>
      </c>
      <c r="S15">
        <f>ROUND(INDEX(Employment!V:V,MATCH(EOMONTH($A15,-1),Employment!A:A,0)),2)</f>
        <v>171.93</v>
      </c>
      <c r="T15" s="11">
        <f t="shared" ref="T15" si="226">IF(S15&gt;190,3,IF(AND(S15&gt;175,S15&lt;=190),2,IF(AND(S15&gt;160,S15&lt;=175),1,IF(S15&lt;120,-3,IF(AND(S15&lt;140,S15&gt;=120),-2,IF(AND(S15&lt;150,S15&gt;=140),-1,0))))))</f>
        <v>1</v>
      </c>
      <c r="U15">
        <f t="shared" ref="U15" si="227">F15+H15+J15+L15+N15+P15+R15+T15+20</f>
        <v>32</v>
      </c>
      <c r="V15">
        <f t="shared" si="59"/>
        <v>87.18</v>
      </c>
      <c r="W15" s="13">
        <f t="shared" si="60"/>
        <v>4.0000000000000001E-3</v>
      </c>
      <c r="X15" s="13">
        <f t="shared" si="61"/>
        <v>-2.0999999999999999E-3</v>
      </c>
      <c r="Y15">
        <f t="shared" si="36"/>
        <v>82.37</v>
      </c>
      <c r="Z15" s="13">
        <f t="shared" ref="Z15" si="228">ROUND((AVERAGE(Y15:Y17)-AVERAGE(Y16:Y18))/AVERAGE(Y16:Y18),4)</f>
        <v>1.29E-2</v>
      </c>
      <c r="AA15" s="13">
        <f t="shared" ref="AA15" si="229">SUM(Z15:Z18)</f>
        <v>2.93E-2</v>
      </c>
      <c r="AB15" s="6">
        <f t="shared" si="39"/>
        <v>84.748999999999995</v>
      </c>
      <c r="AC15">
        <f t="shared" ref="AC15" si="230">IF(ROUND(AB15/2,0)&lt;0,0,ROUND(AB15/2,0))</f>
        <v>42</v>
      </c>
      <c r="AD15" s="11">
        <f t="shared" ref="AD15" si="231">IF(AC15&gt;47,2,IF(AND(AC15&gt;41,AC15&lt;=47),1,IF(AC15&lt;15,-2,IF(AND(AC15&lt;32,AC15&gt;=15),-1,0))))</f>
        <v>1</v>
      </c>
      <c r="AE15">
        <f t="shared" ref="AE15" si="232">IF(AND(AA15&gt;=0.2,AC15&gt;=20,U15+AD15+2&lt;30),U15+AD15+2+12,U15+AD15+2)</f>
        <v>35</v>
      </c>
      <c r="AF15">
        <f>IF(AND(AE15&lt;15,OR(AC15&gt;=30,AA15&gt;0.15,X15&gt;=0.15)),2,VLOOKUP(AE15,Table!P:Q,2,FALSE))</f>
        <v>5</v>
      </c>
      <c r="AG15" s="22">
        <f>IF((AB15*0.98)-(D15*0.8)+((AF15-3)*3)+VLOOKUP(AM15,Table!$A$11:$B$13,2,FALSE)&lt;0,0,(AB15*0.98)-(D15*0.8)+((AF15-3)*3)+VLOOKUP(AM15,Table!$A$11:$B$13,2,FALSE))</f>
        <v>86.31801999999999</v>
      </c>
      <c r="AH15" s="22">
        <f t="shared" ref="AH15" si="233">IF(ROUND(AVERAGE(AG15:AG17),0)&lt;0,0,IF(ROUND(AVERAGE(AG15:AG17),0)&gt;100,100,ROUND(AVERAGE(AG15:AG17),0)))</f>
        <v>84</v>
      </c>
      <c r="AI15" s="18">
        <f t="shared" ref="AI15:AI78" si="234">ROUND(AVERAGE(C15:C27),2)</f>
        <v>1.74</v>
      </c>
      <c r="AJ15" s="18">
        <f t="shared" ref="AJ15:AJ78" si="235">ROUND(AVERAGE(C15:C53),2)</f>
        <v>1.4</v>
      </c>
      <c r="AK15" t="str">
        <f t="shared" si="45"/>
        <v>Rising Rates</v>
      </c>
      <c r="AL15">
        <f t="shared" si="144"/>
        <v>32.5</v>
      </c>
      <c r="AM15" s="11" t="str">
        <f t="shared" si="46"/>
        <v>Stocks</v>
      </c>
      <c r="AN15" t="str">
        <f t="shared" si="69"/>
        <v>Buy</v>
      </c>
      <c r="AO15" s="13">
        <f t="shared" si="70"/>
        <v>3.0999999999999999E-3</v>
      </c>
      <c r="AP15" s="13">
        <f t="shared" si="71"/>
        <v>4.0000000000000002E-4</v>
      </c>
      <c r="AQ15" s="13">
        <f t="shared" si="72"/>
        <v>2.7000000000000001E-3</v>
      </c>
      <c r="AR15" s="13">
        <f t="shared" si="47"/>
        <v>3.0999999999999999E-3</v>
      </c>
      <c r="AS15" s="6">
        <f t="shared" si="20"/>
        <v>675.56797031720464</v>
      </c>
      <c r="AT15" s="6">
        <f t="shared" si="21"/>
        <v>189.6549220175423</v>
      </c>
      <c r="AU15" s="6">
        <f t="shared" si="22"/>
        <v>998.01455033662126</v>
      </c>
      <c r="AV15" s="6">
        <f t="shared" si="23"/>
        <v>1584.4501222866768</v>
      </c>
      <c r="AW15" s="58">
        <f t="shared" si="48"/>
        <v>2018</v>
      </c>
      <c r="AX15" s="58">
        <f>COUNTIF(AW$3:AW15,AW15)</f>
        <v>13</v>
      </c>
    </row>
    <row r="16" spans="1:50" x14ac:dyDescent="0.25">
      <c r="A16" s="5">
        <v>43233</v>
      </c>
      <c r="B16" s="18">
        <v>2727.72</v>
      </c>
      <c r="C16" s="18">
        <v>1.86</v>
      </c>
      <c r="D16" s="18">
        <v>12.65</v>
      </c>
      <c r="E16" s="18">
        <f t="shared" si="162"/>
        <v>14.27</v>
      </c>
      <c r="F16">
        <f t="shared" si="163"/>
        <v>1</v>
      </c>
      <c r="G16" s="18">
        <f>ROUND(INDEX(Valuation!U:U,MATCH(A16,Valuation!A:A,0)),2)</f>
        <v>47.94</v>
      </c>
      <c r="H16">
        <f t="shared" ref="H16" si="236">IF(G16&gt;200,3,IF(AND(G16&gt;160,G16&lt;=200),2,IF(AND(G16&gt;120,G16&lt;=160),1,IF(G16&lt;25,-3,IF(AND(G16&lt;50,G16&gt;=25),-2,IF(AND(G16&lt;90,G16&gt;=50),-1,0))))))</f>
        <v>-2</v>
      </c>
      <c r="I16" s="18">
        <f>INDEX(WeeklyIndicators!Y:Y,MATCH(A16,WeeklyIndicators!A:A,0))</f>
        <v>157.72999999999999</v>
      </c>
      <c r="J16">
        <f t="shared" si="223"/>
        <v>2</v>
      </c>
      <c r="K16">
        <f>ROUND(INDEX(Economic!AF:AF,MATCH(EOMONTH($A16,-1),Economic!A:A,0)),2)</f>
        <v>136.6</v>
      </c>
      <c r="L16" s="11">
        <f t="shared" si="195"/>
        <v>2</v>
      </c>
      <c r="M16">
        <f>ROUND(INDEX(Manufacturing!P:P,MATCH(EOMONTH($A16,-1),Manufacturing!A:A,0)),2)</f>
        <v>105.79</v>
      </c>
      <c r="N16">
        <f t="shared" ref="N16" si="237">IF(M16&gt;108,3,IF(AND(M16&gt;100,M16&lt;=108),2,IF(AND(M16&gt;90,M16&lt;=100),1,IF(M16&lt;63,-3,IF(AND(M16&lt;74,M16&gt;=63),-2,IF(AND(M16&lt;84,M16&gt;=74),-1,0))))))</f>
        <v>2</v>
      </c>
      <c r="O16">
        <f>ROUND(INDEX(Housing!AC:AC,MATCH(EOMONTH($A16,-1),Housing!B:B,0)),2)</f>
        <v>155.09</v>
      </c>
      <c r="P16">
        <f t="shared" ref="P16" si="238">IF(O16&gt;140,3,IF(AND(O16&gt;128,O16&lt;=140),2,IF(AND(O16&gt;115,O16&lt;=128),1,IF(O16&lt;50,-3,IF(AND(O16&lt;75,O16&gt;=50),-2,IF(AND(O16&lt;100,O16&gt;=75),-1,0))))))</f>
        <v>3</v>
      </c>
      <c r="Q16">
        <f>ROUND(INDEX(Spending!AJ:AJ,MATCH(EOMONTH($A16,-1),Spending!B:B,0)),2)</f>
        <v>59.76</v>
      </c>
      <c r="R16">
        <f t="shared" si="198"/>
        <v>1</v>
      </c>
      <c r="S16">
        <f>ROUND(INDEX(Employment!V:V,MATCH(EOMONTH($A16,-1),Employment!A:A,0)),2)</f>
        <v>171.93</v>
      </c>
      <c r="T16" s="11">
        <f t="shared" ref="T16" si="239">IF(S16&gt;190,3,IF(AND(S16&gt;175,S16&lt;=190),2,IF(AND(S16&gt;160,S16&lt;=175),1,IF(S16&lt;120,-3,IF(AND(S16&lt;140,S16&gt;=120),-2,IF(AND(S16&lt;150,S16&gt;=140),-1,0))))))</f>
        <v>1</v>
      </c>
      <c r="U16">
        <f t="shared" ref="U16" si="240">F16+H16+J16+L16+N16+P16+R16+T16+20</f>
        <v>30</v>
      </c>
      <c r="V16">
        <f t="shared" si="59"/>
        <v>86.31</v>
      </c>
      <c r="W16" s="13">
        <f t="shared" si="60"/>
        <v>0</v>
      </c>
      <c r="X16" s="13">
        <f t="shared" si="61"/>
        <v>-9.1999999999999998E-3</v>
      </c>
      <c r="Y16">
        <f t="shared" si="36"/>
        <v>81</v>
      </c>
      <c r="Z16" s="13">
        <f t="shared" ref="Z16" si="241">ROUND((AVERAGE(Y16:Y18)-AVERAGE(Y17:Y19))/AVERAGE(Y17:Y19),4)</f>
        <v>8.9999999999999993E-3</v>
      </c>
      <c r="AA16" s="13">
        <f t="shared" ref="AA16" si="242">SUM(Z16:Z19)</f>
        <v>1.7099999999999997E-2</v>
      </c>
      <c r="AB16" s="6">
        <f t="shared" si="39"/>
        <v>82.224000000000004</v>
      </c>
      <c r="AC16">
        <f t="shared" ref="AC16" si="243">IF(ROUND(AB16/2,0)&lt;0,0,ROUND(AB16/2,0))</f>
        <v>41</v>
      </c>
      <c r="AD16" s="11">
        <f t="shared" ref="AD16" si="244">IF(AC16&gt;47,2,IF(AND(AC16&gt;41,AC16&lt;=47),1,IF(AC16&lt;15,-2,IF(AND(AC16&lt;32,AC16&gt;=15),-1,0))))</f>
        <v>0</v>
      </c>
      <c r="AE16">
        <f t="shared" ref="AE16" si="245">IF(AND(AA16&gt;=0.2,AC16&gt;=20,U16+AD16+2&lt;30),U16+AD16+2+12,U16+AD16+2)</f>
        <v>32</v>
      </c>
      <c r="AF16">
        <f>IF(AND(AE16&lt;15,OR(AC16&gt;=30,AA16&gt;0.15,X16&gt;=0.15)),2,VLOOKUP(AE16,Table!P:Q,2,FALSE))</f>
        <v>5</v>
      </c>
      <c r="AG16" s="22">
        <f>IF((AB16*0.98)-(D16*0.8)+((AF16-3)*3)+VLOOKUP(AM16,Table!$A$11:$B$13,2,FALSE)&lt;0,0,(AB16*0.98)-(D16*0.8)+((AF16-3)*3)+VLOOKUP(AM16,Table!$A$11:$B$13,2,FALSE))</f>
        <v>84.459519999999998</v>
      </c>
      <c r="AH16" s="22">
        <f t="shared" ref="AH16" si="246">IF(ROUND(AVERAGE(AG16:AG18),0)&lt;0,0,IF(ROUND(AVERAGE(AG16:AG18),0)&gt;100,100,ROUND(AVERAGE(AG16:AG18),0)))</f>
        <v>80</v>
      </c>
      <c r="AI16" s="18">
        <f t="shared" si="234"/>
        <v>1.72</v>
      </c>
      <c r="AJ16" s="18">
        <f t="shared" si="235"/>
        <v>1.38</v>
      </c>
      <c r="AK16" t="str">
        <f t="shared" si="45"/>
        <v>Rising Rates</v>
      </c>
      <c r="AL16">
        <f t="shared" si="144"/>
        <v>31.5</v>
      </c>
      <c r="AM16" s="11" t="str">
        <f t="shared" si="46"/>
        <v>Stocks</v>
      </c>
      <c r="AN16" t="str">
        <f t="shared" si="69"/>
        <v>Buy</v>
      </c>
      <c r="AO16" s="13">
        <f t="shared" si="70"/>
        <v>-5.4000000000000003E-3</v>
      </c>
      <c r="AP16" s="13">
        <f t="shared" si="71"/>
        <v>4.0000000000000002E-4</v>
      </c>
      <c r="AQ16" s="13">
        <f t="shared" si="72"/>
        <v>-4.1999999999999997E-3</v>
      </c>
      <c r="AR16" s="13">
        <f t="shared" si="47"/>
        <v>-5.4000000000000003E-3</v>
      </c>
      <c r="AS16" s="6">
        <f t="shared" si="20"/>
        <v>679.23584387412484</v>
      </c>
      <c r="AT16" s="6">
        <f t="shared" si="21"/>
        <v>189.57909038138976</v>
      </c>
      <c r="AU16" s="6">
        <f t="shared" si="22"/>
        <v>1002.2238906774666</v>
      </c>
      <c r="AV16" s="6">
        <f t="shared" si="23"/>
        <v>1593.0526063610262</v>
      </c>
      <c r="AW16" s="58">
        <f t="shared" si="48"/>
        <v>2018</v>
      </c>
      <c r="AX16" s="58">
        <f>COUNTIF(AW$3:AW16,AW16)</f>
        <v>14</v>
      </c>
    </row>
    <row r="17" spans="1:50" x14ac:dyDescent="0.25">
      <c r="A17" s="5">
        <v>43226</v>
      </c>
      <c r="B17" s="18">
        <v>2663.42</v>
      </c>
      <c r="C17" s="18">
        <v>1.81</v>
      </c>
      <c r="D17" s="18">
        <v>14.75</v>
      </c>
      <c r="E17" s="18">
        <f t="shared" ref="E17:E80" si="247">ROUND(AVERAGE(D17:D19),2)</f>
        <v>15.68</v>
      </c>
      <c r="F17">
        <f t="shared" ref="F17:F80" si="248">IF(E17&lt;11,3,IF(AND(E17&lt;14,E17&gt;=11),2,IF(AND(E17&lt;16,E17&gt;=14),1,IF(E17&gt;35,-3,IF(AND(E17&gt;25,E17&lt;=35),-2,IF(AND(E17&gt;18,E17&lt;=25),-1,0))))))</f>
        <v>1</v>
      </c>
      <c r="G17" s="18">
        <f>ROUND(INDEX(Valuation!U:U,MATCH(A17,Valuation!A:A,0)),2)</f>
        <v>45.08</v>
      </c>
      <c r="H17">
        <f t="shared" ref="H17" si="249">IF(G17&gt;200,3,IF(AND(G17&gt;160,G17&lt;=200),2,IF(AND(G17&gt;120,G17&lt;=160),1,IF(G17&lt;25,-3,IF(AND(G17&lt;50,G17&gt;=25),-2,IF(AND(G17&lt;90,G17&gt;=50),-1,0))))))</f>
        <v>-2</v>
      </c>
      <c r="I17" s="18">
        <f>INDEX(WeeklyIndicators!Y:Y,MATCH(A17,WeeklyIndicators!A:A,0))</f>
        <v>152.78</v>
      </c>
      <c r="J17">
        <f t="shared" si="223"/>
        <v>2</v>
      </c>
      <c r="K17">
        <f>ROUND(INDEX(Economic!AF:AF,MATCH(EOMONTH($A17,-1),Economic!A:A,0)),2)</f>
        <v>136.6</v>
      </c>
      <c r="L17" s="11">
        <f t="shared" si="195"/>
        <v>2</v>
      </c>
      <c r="M17">
        <f>ROUND(INDEX(Manufacturing!P:P,MATCH(EOMONTH($A17,-1),Manufacturing!A:A,0)),2)</f>
        <v>105.79</v>
      </c>
      <c r="N17">
        <f t="shared" ref="N17" si="250">IF(M17&gt;108,3,IF(AND(M17&gt;100,M17&lt;=108),2,IF(AND(M17&gt;90,M17&lt;=100),1,IF(M17&lt;63,-3,IF(AND(M17&lt;74,M17&gt;=63),-2,IF(AND(M17&lt;84,M17&gt;=74),-1,0))))))</f>
        <v>2</v>
      </c>
      <c r="O17">
        <f>ROUND(INDEX(Housing!AC:AC,MATCH(EOMONTH($A17,-1),Housing!B:B,0)),2)</f>
        <v>155.09</v>
      </c>
      <c r="P17">
        <f t="shared" ref="P17" si="251">IF(O17&gt;140,3,IF(AND(O17&gt;128,O17&lt;=140),2,IF(AND(O17&gt;115,O17&lt;=128),1,IF(O17&lt;50,-3,IF(AND(O17&lt;75,O17&gt;=50),-2,IF(AND(O17&lt;100,O17&gt;=75),-1,0))))))</f>
        <v>3</v>
      </c>
      <c r="Q17">
        <f>ROUND(INDEX(Spending!AJ:AJ,MATCH(EOMONTH($A17,-1),Spending!B:B,0)),2)</f>
        <v>59.76</v>
      </c>
      <c r="R17">
        <f t="shared" si="198"/>
        <v>1</v>
      </c>
      <c r="S17">
        <f>ROUND(INDEX(Employment!V:V,MATCH(EOMONTH($A17,-1),Employment!A:A,0)),2)</f>
        <v>171.93</v>
      </c>
      <c r="T17" s="11">
        <f t="shared" ref="T17" si="252">IF(S17&gt;190,3,IF(AND(S17&gt;175,S17&lt;=190),2,IF(AND(S17&gt;160,S17&lt;=175),1,IF(S17&lt;120,-3,IF(AND(S17&lt;140,S17&gt;=120),-2,IF(AND(S17&lt;150,S17&gt;=140),-1,0))))))</f>
        <v>1</v>
      </c>
      <c r="U17">
        <f t="shared" ref="U17" si="253">F17+H17+J17+L17+N17+P17+R17+T17+20</f>
        <v>30</v>
      </c>
      <c r="V17">
        <f t="shared" si="59"/>
        <v>85.79</v>
      </c>
      <c r="W17" s="13">
        <f t="shared" si="60"/>
        <v>-3.0999999999999999E-3</v>
      </c>
      <c r="X17" s="13">
        <f t="shared" si="61"/>
        <v>-1.24E-2</v>
      </c>
      <c r="Y17">
        <f t="shared" si="36"/>
        <v>79.680000000000007</v>
      </c>
      <c r="Z17" s="13">
        <f t="shared" ref="Z17" si="254">ROUND((AVERAGE(Y17:Y19)-AVERAGE(Y18:Y20))/AVERAGE(Y18:Y20),4)</f>
        <v>3.7000000000000002E-3</v>
      </c>
      <c r="AA17" s="13">
        <f t="shared" ref="AA17" si="255">SUM(Z17:Z20)</f>
        <v>6.6E-3</v>
      </c>
      <c r="AB17" s="6">
        <f t="shared" si="39"/>
        <v>79.867999999999995</v>
      </c>
      <c r="AC17">
        <f t="shared" ref="AC17" si="256">IF(ROUND(AB17/2,0)&lt;0,0,ROUND(AB17/2,0))</f>
        <v>40</v>
      </c>
      <c r="AD17" s="11">
        <f t="shared" ref="AD17" si="257">IF(AC17&gt;47,2,IF(AND(AC17&gt;41,AC17&lt;=47),1,IF(AC17&lt;15,-2,IF(AND(AC17&lt;32,AC17&gt;=15),-1,0))))</f>
        <v>0</v>
      </c>
      <c r="AE17">
        <f t="shared" ref="AE17" si="258">IF(AND(AA17&gt;=0.2,AC17&gt;=20,U17+AD17+2&lt;30),U17+AD17+2+12,U17+AD17+2)</f>
        <v>32</v>
      </c>
      <c r="AF17">
        <f>IF(AND(AE17&lt;15,OR(AC17&gt;=30,AA17&gt;0.15,X17&gt;=0.15)),2,VLOOKUP(AE17,Table!P:Q,2,FALSE))</f>
        <v>5</v>
      </c>
      <c r="AG17" s="22">
        <f>IF((AB17*0.98)-(D17*0.8)+((AF17-3)*3)+VLOOKUP(AM17,Table!$A$11:$B$13,2,FALSE)&lt;0,0,(AB17*0.98)-(D17*0.8)+((AF17-3)*3)+VLOOKUP(AM17,Table!$A$11:$B$13,2,FALSE))</f>
        <v>80.470640000000003</v>
      </c>
      <c r="AH17" s="22">
        <f t="shared" ref="AH17" si="259">IF(ROUND(AVERAGE(AG17:AG19),0)&lt;0,0,IF(ROUND(AVERAGE(AG17:AG19),0)&gt;100,100,ROUND(AVERAGE(AG17:AG19),0)))</f>
        <v>77</v>
      </c>
      <c r="AI17" s="18">
        <f t="shared" si="234"/>
        <v>1.69</v>
      </c>
      <c r="AJ17" s="18">
        <f t="shared" si="235"/>
        <v>1.36</v>
      </c>
      <c r="AK17" t="str">
        <f t="shared" si="45"/>
        <v>Rising Rates</v>
      </c>
      <c r="AL17">
        <f t="shared" si="144"/>
        <v>31.25</v>
      </c>
      <c r="AM17" s="11" t="str">
        <f t="shared" si="46"/>
        <v>Stocks</v>
      </c>
      <c r="AN17" t="str">
        <f t="shared" si="69"/>
        <v>Buy</v>
      </c>
      <c r="AO17" s="13">
        <f t="shared" si="70"/>
        <v>2.41E-2</v>
      </c>
      <c r="AP17" s="13">
        <f t="shared" si="71"/>
        <v>2.9999999999999997E-4</v>
      </c>
      <c r="AQ17" s="13">
        <f t="shared" si="72"/>
        <v>1.8599999999999998E-2</v>
      </c>
      <c r="AR17" s="13">
        <f t="shared" si="47"/>
        <v>2.41E-2</v>
      </c>
      <c r="AS17" s="6">
        <f t="shared" si="20"/>
        <v>663.25148313067552</v>
      </c>
      <c r="AT17" s="6">
        <f t="shared" si="21"/>
        <v>189.52223371127639</v>
      </c>
      <c r="AU17" s="6">
        <f t="shared" si="22"/>
        <v>983.92292428575161</v>
      </c>
      <c r="AV17" s="6">
        <f t="shared" si="23"/>
        <v>1555.5635253989124</v>
      </c>
      <c r="AW17" s="58">
        <f t="shared" si="48"/>
        <v>2018</v>
      </c>
      <c r="AX17" s="58">
        <f>COUNTIF(AW$3:AW17,AW17)</f>
        <v>15</v>
      </c>
    </row>
    <row r="18" spans="1:50" x14ac:dyDescent="0.25">
      <c r="A18" s="5">
        <v>43219</v>
      </c>
      <c r="B18" s="18">
        <v>2669.91</v>
      </c>
      <c r="C18" s="18">
        <v>1.79</v>
      </c>
      <c r="D18" s="18">
        <v>15.41</v>
      </c>
      <c r="E18" s="18">
        <f t="shared" si="247"/>
        <v>16.57</v>
      </c>
      <c r="F18">
        <f t="shared" si="248"/>
        <v>0</v>
      </c>
      <c r="G18" s="18">
        <f>ROUND(INDEX(Valuation!U:U,MATCH(A18,Valuation!A:A,0)),2)</f>
        <v>41.18</v>
      </c>
      <c r="H18">
        <f t="shared" ref="H18:H27" si="260">IF(G18&gt;200,3,IF(AND(G18&gt;160,G18&lt;=200),2,IF(AND(G18&gt;120,G18&lt;=160),1,IF(G18&lt;25,-3,IF(AND(G18&lt;50,G18&gt;=25),-2,IF(AND(G18&lt;90,G18&gt;=50),-1,0))))))</f>
        <v>-2</v>
      </c>
      <c r="I18" s="18">
        <f>INDEX(WeeklyIndicators!Y:Y,MATCH(A18,WeeklyIndicators!A:A,0))</f>
        <v>151.69</v>
      </c>
      <c r="J18">
        <f t="shared" si="223"/>
        <v>1</v>
      </c>
      <c r="K18">
        <f>ROUND(INDEX(Economic!AF:AF,MATCH(EOMONTH($A18,-1),Economic!A:A,0)),2)</f>
        <v>137.9</v>
      </c>
      <c r="L18" s="11">
        <f t="shared" si="195"/>
        <v>2</v>
      </c>
      <c r="M18">
        <f>ROUND(INDEX(Manufacturing!P:P,MATCH(EOMONTH($A18,-1),Manufacturing!A:A,0)),2)</f>
        <v>105.49</v>
      </c>
      <c r="N18">
        <f t="shared" ref="N18:N81" si="261">IF(M18&gt;108,3,IF(AND(M18&gt;100,M18&lt;=108),2,IF(AND(M18&gt;90,M18&lt;=100),1,IF(M18&lt;63,-3,IF(AND(M18&lt;74,M18&gt;=63),-2,IF(AND(M18&lt;84,M18&gt;=74),-1,0))))))</f>
        <v>2</v>
      </c>
      <c r="O18">
        <f>ROUND(INDEX(Housing!AC:AC,MATCH(EOMONTH($A18,-1),Housing!B:B,0)),2)</f>
        <v>155.28</v>
      </c>
      <c r="P18">
        <f t="shared" ref="P18:P81" si="262">IF(O18&gt;140,3,IF(AND(O18&gt;128,O18&lt;=140),2,IF(AND(O18&gt;115,O18&lt;=128),1,IF(O18&lt;50,-3,IF(AND(O18&lt;75,O18&gt;=50),-2,IF(AND(O18&lt;100,O18&gt;=75),-1,0))))))</f>
        <v>3</v>
      </c>
      <c r="Q18">
        <f>ROUND(INDEX(Spending!AJ:AJ,MATCH(EOMONTH($A18,-1),Spending!B:B,0)),2)</f>
        <v>64.040000000000006</v>
      </c>
      <c r="R18">
        <f t="shared" si="198"/>
        <v>2</v>
      </c>
      <c r="S18">
        <f>ROUND(INDEX(Employment!V:V,MATCH(EOMONTH($A18,-1),Employment!A:A,0)),2)</f>
        <v>171.25</v>
      </c>
      <c r="T18" s="11">
        <f t="shared" ref="T18:T81" si="263">IF(S18&gt;190,3,IF(AND(S18&gt;175,S18&lt;=190),2,IF(AND(S18&gt;160,S18&lt;=175),1,IF(S18&lt;120,-3,IF(AND(S18&lt;140,S18&gt;=120),-2,IF(AND(S18&lt;150,S18&gt;=140),-1,0))))))</f>
        <v>1</v>
      </c>
      <c r="U18">
        <f t="shared" ref="U18" si="264">F18+H18+J18+L18+N18+P18+R18+T18+20</f>
        <v>29</v>
      </c>
      <c r="V18">
        <f t="shared" si="59"/>
        <v>86.14</v>
      </c>
      <c r="W18" s="13">
        <f t="shared" si="60"/>
        <v>-3.0000000000000001E-3</v>
      </c>
      <c r="X18" s="13">
        <f t="shared" si="61"/>
        <v>-1.2E-2</v>
      </c>
      <c r="Y18">
        <f t="shared" si="36"/>
        <v>79.28</v>
      </c>
      <c r="Z18" s="13">
        <f t="shared" ref="Z18" si="265">ROUND((AVERAGE(Y18:Y20)-AVERAGE(Y19:Y21))/AVERAGE(Y19:Y21),4)</f>
        <v>3.7000000000000002E-3</v>
      </c>
      <c r="AA18" s="13">
        <f t="shared" ref="AA18" si="266">SUM(Z18:Z21)</f>
        <v>-2.3999999999999998E-3</v>
      </c>
      <c r="AB18" s="6">
        <f t="shared" si="39"/>
        <v>78.488</v>
      </c>
      <c r="AC18">
        <f t="shared" ref="AC18" si="267">IF(ROUND(AB18/2,0)&lt;0,0,ROUND(AB18/2,0))</f>
        <v>39</v>
      </c>
      <c r="AD18" s="11">
        <f t="shared" ref="AD18" si="268">IF(AC18&gt;47,2,IF(AND(AC18&gt;41,AC18&lt;=47),1,IF(AC18&lt;15,-2,IF(AND(AC18&lt;32,AC18&gt;=15),-1,0))))</f>
        <v>0</v>
      </c>
      <c r="AE18">
        <f t="shared" ref="AE18" si="269">IF(AND(AA18&gt;=0.2,AC18&gt;=20,U18+AD18+2&lt;30),U18+AD18+2+12,U18+AD18+2)</f>
        <v>31</v>
      </c>
      <c r="AF18">
        <f>IF(AND(AE18&lt;15,OR(AC18&gt;=30,AA18&gt;0.15,X18&gt;=0.15)),2,VLOOKUP(AE18,Table!P:Q,2,FALSE))</f>
        <v>4</v>
      </c>
      <c r="AG18" s="22">
        <f>IF((AB18*0.98)-(D18*0.8)+((AF18-3)*3)+VLOOKUP(AM18,Table!$A$11:$B$13,2,FALSE)&lt;0,0,(AB18*0.98)-(D18*0.8)+((AF18-3)*3)+VLOOKUP(AM18,Table!$A$11:$B$13,2,FALSE))</f>
        <v>75.590239999999994</v>
      </c>
      <c r="AH18" s="22">
        <f t="shared" ref="AH18:AH81" si="270">IF(ROUND(AVERAGE(AG18:AG20),0)&lt;0,0,IF(ROUND(AVERAGE(AG18:AG20),0)&gt;100,100,ROUND(AVERAGE(AG18:AG20),0)))</f>
        <v>74</v>
      </c>
      <c r="AI18" s="18">
        <f t="shared" si="234"/>
        <v>1.66</v>
      </c>
      <c r="AJ18" s="18">
        <f t="shared" si="235"/>
        <v>1.34</v>
      </c>
      <c r="AK18" t="str">
        <f t="shared" si="45"/>
        <v>Rising Rates</v>
      </c>
      <c r="AL18">
        <f t="shared" si="144"/>
        <v>31</v>
      </c>
      <c r="AM18" s="11" t="str">
        <f t="shared" si="46"/>
        <v>Stocks</v>
      </c>
      <c r="AN18" t="str">
        <f t="shared" si="69"/>
        <v>Buy</v>
      </c>
      <c r="AO18" s="13">
        <f t="shared" si="70"/>
        <v>-2.3999999999999998E-3</v>
      </c>
      <c r="AP18" s="13">
        <f t="shared" si="71"/>
        <v>2.9999999999999997E-4</v>
      </c>
      <c r="AQ18" s="13">
        <f t="shared" si="72"/>
        <v>-1.6999999999999999E-3</v>
      </c>
      <c r="AR18" s="13">
        <f t="shared" si="47"/>
        <v>-2.3999999999999998E-3</v>
      </c>
      <c r="AS18" s="6">
        <f t="shared" si="20"/>
        <v>664.84711620957853</v>
      </c>
      <c r="AT18" s="6">
        <f t="shared" si="21"/>
        <v>189.46539409304847</v>
      </c>
      <c r="AU18" s="6">
        <f t="shared" si="22"/>
        <v>985.59844163653372</v>
      </c>
      <c r="AV18" s="6">
        <f t="shared" si="23"/>
        <v>1559.3058594616202</v>
      </c>
      <c r="AW18" s="58">
        <f t="shared" si="48"/>
        <v>2018</v>
      </c>
      <c r="AX18" s="58">
        <f>COUNTIF(AW$3:AW18,AW18)</f>
        <v>16</v>
      </c>
    </row>
    <row r="19" spans="1:50" x14ac:dyDescent="0.25">
      <c r="A19" s="5">
        <v>43212</v>
      </c>
      <c r="B19" s="18">
        <v>2670.14</v>
      </c>
      <c r="C19" s="18">
        <v>1.78</v>
      </c>
      <c r="D19" s="18">
        <v>16.88</v>
      </c>
      <c r="E19" s="18">
        <f t="shared" si="247"/>
        <v>18.59</v>
      </c>
      <c r="F19">
        <f t="shared" si="248"/>
        <v>-1</v>
      </c>
      <c r="G19" s="18">
        <f>ROUND(INDEX(Valuation!U:U,MATCH(A19,Valuation!A:A,0)),2)</f>
        <v>42.23</v>
      </c>
      <c r="H19">
        <f t="shared" si="260"/>
        <v>-2</v>
      </c>
      <c r="I19" s="18">
        <f>INDEX(WeeklyIndicators!Y:Y,MATCH(A19,WeeklyIndicators!A:A,0))</f>
        <v>153.38999999999999</v>
      </c>
      <c r="J19">
        <f t="shared" si="223"/>
        <v>2</v>
      </c>
      <c r="K19">
        <f>ROUND(INDEX(Economic!AF:AF,MATCH(EOMONTH($A19,-1),Economic!A:A,0)),2)</f>
        <v>137.9</v>
      </c>
      <c r="L19" s="11">
        <f t="shared" ref="L19:L82" si="271">IF(K19&gt;138,3,IF(AND(K19&gt;125,K19&lt;=138),2,IF(AND(K19&gt;111,K19&lt;=125),1,IF(K19&lt;50,-3,IF(AND(K19&lt;80,K19&gt;=50),-2,IF(AND(K19&lt;100,K19&gt;=80),-1,0))))))</f>
        <v>2</v>
      </c>
      <c r="M19">
        <f>ROUND(INDEX(Manufacturing!P:P,MATCH(EOMONTH($A19,-1),Manufacturing!A:A,0)),2)</f>
        <v>105.49</v>
      </c>
      <c r="N19">
        <f t="shared" si="261"/>
        <v>2</v>
      </c>
      <c r="O19">
        <f>ROUND(INDEX(Housing!AC:AC,MATCH(EOMONTH($A19,-1),Housing!B:B,0)),2)</f>
        <v>155.28</v>
      </c>
      <c r="P19">
        <f t="shared" si="262"/>
        <v>3</v>
      </c>
      <c r="Q19">
        <f>ROUND(INDEX(Spending!AJ:AJ,MATCH(EOMONTH($A19,-1),Spending!B:B,0)),2)</f>
        <v>64.040000000000006</v>
      </c>
      <c r="R19">
        <f t="shared" ref="R19:R82" si="272">IF(Q19&gt;60,2,IF(AND(Q19&gt;50,Q19&lt;=60),1,IF(Q19&lt;30,-2,IF(AND(Q19&lt;40,Q19&gt;=30),-1,0))))</f>
        <v>2</v>
      </c>
      <c r="S19">
        <f>ROUND(INDEX(Employment!V:V,MATCH(EOMONTH($A19,-1),Employment!A:A,0)),2)</f>
        <v>171.25</v>
      </c>
      <c r="T19" s="11">
        <f t="shared" si="263"/>
        <v>1</v>
      </c>
      <c r="U19">
        <f t="shared" ref="U19" si="273">F19+H19+J19+L19+N19+P19+R19+T19+20</f>
        <v>29</v>
      </c>
      <c r="V19">
        <f t="shared" si="59"/>
        <v>86.32</v>
      </c>
      <c r="W19" s="13">
        <f t="shared" si="60"/>
        <v>-3.0999999999999999E-3</v>
      </c>
      <c r="X19" s="13">
        <f t="shared" si="61"/>
        <v>-1.2E-2</v>
      </c>
      <c r="Y19">
        <f t="shared" si="36"/>
        <v>78.87</v>
      </c>
      <c r="Z19" s="13">
        <f t="shared" ref="Z19" si="274">ROUND((AVERAGE(Y19:Y21)-AVERAGE(Y20:Y22))/AVERAGE(Y20:Y22),4)</f>
        <v>6.9999999999999999E-4</v>
      </c>
      <c r="AA19" s="13">
        <f t="shared" ref="AA19" si="275">SUM(Z19:Z22)</f>
        <v>-1.2E-2</v>
      </c>
      <c r="AB19" s="6">
        <f t="shared" si="39"/>
        <v>77.542999999999992</v>
      </c>
      <c r="AC19">
        <f t="shared" ref="AC19" si="276">IF(ROUND(AB19/2,0)&lt;0,0,ROUND(AB19/2,0))</f>
        <v>39</v>
      </c>
      <c r="AD19" s="11">
        <f t="shared" ref="AD19" si="277">IF(AC19&gt;47,2,IF(AND(AC19&gt;41,AC19&lt;=47),1,IF(AC19&lt;15,-2,IF(AND(AC19&lt;32,AC19&gt;=15),-1,0))))</f>
        <v>0</v>
      </c>
      <c r="AE19">
        <f t="shared" ref="AE19" si="278">IF(AND(AA19&gt;=0.2,AC19&gt;=20,U19+AD19+2&lt;30),U19+AD19+2+12,U19+AD19+2)</f>
        <v>31</v>
      </c>
      <c r="AF19">
        <f>IF(AND(AE19&lt;15,OR(AC19&gt;=30,AA19&gt;0.15,X19&gt;=0.15)),2,VLOOKUP(AE19,Table!P:Q,2,FALSE))</f>
        <v>4</v>
      </c>
      <c r="AG19" s="22">
        <f>IF((AB19*0.98)-(D19*0.8)+((AF19-3)*3)+VLOOKUP(AM19,Table!$A$11:$B$13,2,FALSE)&lt;0,0,(AB19*0.98)-(D19*0.8)+((AF19-3)*3)+VLOOKUP(AM19,Table!$A$11:$B$13,2,FALSE))</f>
        <v>73.488139999999987</v>
      </c>
      <c r="AH19" s="22">
        <f t="shared" si="270"/>
        <v>72</v>
      </c>
      <c r="AI19" s="18">
        <f t="shared" si="234"/>
        <v>1.63</v>
      </c>
      <c r="AJ19" s="18">
        <f t="shared" si="235"/>
        <v>1.32</v>
      </c>
      <c r="AK19" t="str">
        <f t="shared" si="45"/>
        <v>Rising Rates</v>
      </c>
      <c r="AL19">
        <f t="shared" si="144"/>
        <v>31</v>
      </c>
      <c r="AM19" s="11" t="str">
        <f t="shared" si="46"/>
        <v>Stocks</v>
      </c>
      <c r="AN19" t="str">
        <f t="shared" si="69"/>
        <v>Buy</v>
      </c>
      <c r="AO19" s="13">
        <f t="shared" si="70"/>
        <v>-1E-4</v>
      </c>
      <c r="AP19" s="13">
        <f t="shared" si="71"/>
        <v>2.9999999999999997E-4</v>
      </c>
      <c r="AQ19" s="13">
        <f t="shared" si="72"/>
        <v>0</v>
      </c>
      <c r="AR19" s="13">
        <f t="shared" si="47"/>
        <v>-1E-4</v>
      </c>
      <c r="AS19" s="6">
        <f t="shared" si="20"/>
        <v>664.91360757033556</v>
      </c>
      <c r="AT19" s="6">
        <f t="shared" si="21"/>
        <v>189.40857152159199</v>
      </c>
      <c r="AU19" s="6">
        <f t="shared" si="22"/>
        <v>985.59844163653372</v>
      </c>
      <c r="AV19" s="6">
        <f t="shared" si="23"/>
        <v>1559.4618056421843</v>
      </c>
      <c r="AW19" s="58">
        <f t="shared" si="48"/>
        <v>2018</v>
      </c>
      <c r="AX19" s="58">
        <f>COUNTIF(AW$3:AW19,AW19)</f>
        <v>17</v>
      </c>
    </row>
    <row r="20" spans="1:50" x14ac:dyDescent="0.25">
      <c r="A20" s="5">
        <v>43205</v>
      </c>
      <c r="B20" s="18">
        <v>2656.3</v>
      </c>
      <c r="C20">
        <v>1.72</v>
      </c>
      <c r="D20" s="18">
        <v>17.41</v>
      </c>
      <c r="E20" s="18">
        <f t="shared" si="247"/>
        <v>19.62</v>
      </c>
      <c r="F20">
        <f t="shared" si="248"/>
        <v>-1</v>
      </c>
      <c r="G20" s="18">
        <f>ROUND(INDEX(Valuation!U:U,MATCH(A20,Valuation!A:A,0)),2)</f>
        <v>42.31</v>
      </c>
      <c r="H20">
        <f t="shared" si="260"/>
        <v>-2</v>
      </c>
      <c r="I20" s="18">
        <f>INDEX(WeeklyIndicators!Y:Y,MATCH(A20,WeeklyIndicators!A:A,0))</f>
        <v>156.13</v>
      </c>
      <c r="J20">
        <f t="shared" si="223"/>
        <v>2</v>
      </c>
      <c r="K20">
        <f>ROUND(INDEX(Economic!AF:AF,MATCH(EOMONTH($A20,-1),Economic!A:A,0)),2)</f>
        <v>137.9</v>
      </c>
      <c r="L20" s="11">
        <f t="shared" si="271"/>
        <v>2</v>
      </c>
      <c r="M20">
        <f>ROUND(INDEX(Manufacturing!P:P,MATCH(EOMONTH($A20,-1),Manufacturing!A:A,0)),2)</f>
        <v>105.49</v>
      </c>
      <c r="N20">
        <f t="shared" si="261"/>
        <v>2</v>
      </c>
      <c r="O20">
        <f>ROUND(INDEX(Housing!AC:AC,MATCH(EOMONTH($A20,-1),Housing!B:B,0)),2)</f>
        <v>155.28</v>
      </c>
      <c r="P20">
        <f t="shared" si="262"/>
        <v>3</v>
      </c>
      <c r="Q20">
        <f>ROUND(INDEX(Spending!AJ:AJ,MATCH(EOMONTH($A20,-1),Spending!B:B,0)),2)</f>
        <v>64.040000000000006</v>
      </c>
      <c r="R20">
        <f t="shared" si="272"/>
        <v>2</v>
      </c>
      <c r="S20">
        <f>ROUND(INDEX(Employment!V:V,MATCH(EOMONTH($A20,-1),Employment!A:A,0)),2)</f>
        <v>171.25</v>
      </c>
      <c r="T20" s="11">
        <f t="shared" si="263"/>
        <v>1</v>
      </c>
      <c r="U20">
        <f t="shared" ref="U20" si="279">F20+H20+J20+L20+N20+P20+R20+T20+20</f>
        <v>29</v>
      </c>
      <c r="V20">
        <f t="shared" si="59"/>
        <v>86.6</v>
      </c>
      <c r="W20" s="13">
        <f t="shared" si="60"/>
        <v>-3.2000000000000002E-3</v>
      </c>
      <c r="X20" s="13">
        <f t="shared" si="61"/>
        <v>-1.0900000000000002E-2</v>
      </c>
      <c r="Y20">
        <f t="shared" si="36"/>
        <v>78.8</v>
      </c>
      <c r="Z20" s="13">
        <f t="shared" ref="Z20" si="280">ROUND((AVERAGE(Y20:Y22)-AVERAGE(Y21:Y23))/AVERAGE(Y21:Y23),4)</f>
        <v>-1.5E-3</v>
      </c>
      <c r="AA20" s="13">
        <f t="shared" ref="AA20" si="281">SUM(Z20:Z23)</f>
        <v>-1.6E-2</v>
      </c>
      <c r="AB20" s="6">
        <f t="shared" si="39"/>
        <v>77.241</v>
      </c>
      <c r="AC20">
        <f t="shared" ref="AC20" si="282">IF(ROUND(AB20/2,0)&lt;0,0,ROUND(AB20/2,0))</f>
        <v>39</v>
      </c>
      <c r="AD20" s="11">
        <f t="shared" ref="AD20" si="283">IF(AC20&gt;47,2,IF(AND(AC20&gt;41,AC20&lt;=47),1,IF(AC20&lt;15,-2,IF(AND(AC20&lt;32,AC20&gt;=15),-1,0))))</f>
        <v>0</v>
      </c>
      <c r="AE20">
        <f t="shared" ref="AE20" si="284">IF(AND(AA20&gt;=0.2,AC20&gt;=20,U20+AD20+2&lt;30),U20+AD20+2+12,U20+AD20+2)</f>
        <v>31</v>
      </c>
      <c r="AF20">
        <f>IF(AND(AE20&lt;15,OR(AC20&gt;=30,AA20&gt;0.15,X20&gt;=0.15)),2,VLOOKUP(AE20,Table!P:Q,2,FALSE))</f>
        <v>4</v>
      </c>
      <c r="AG20" s="22">
        <f>IF((AB20*0.98)-(D20*0.8)+((AF20-3)*3)+VLOOKUP(AM20,Table!$A$11:$B$13,2,FALSE)&lt;0,0,(AB20*0.98)-(D20*0.8)+((AF20-3)*3)+VLOOKUP(AM20,Table!$A$11:$B$13,2,FALSE))</f>
        <v>72.768180000000001</v>
      </c>
      <c r="AH20" s="22">
        <f t="shared" si="270"/>
        <v>72</v>
      </c>
      <c r="AI20" s="18">
        <f t="shared" si="234"/>
        <v>1.61</v>
      </c>
      <c r="AJ20" s="18">
        <f t="shared" si="235"/>
        <v>1.3</v>
      </c>
      <c r="AK20" t="str">
        <f t="shared" si="45"/>
        <v>Rising Rates</v>
      </c>
      <c r="AL20">
        <f t="shared" si="144"/>
        <v>31.25</v>
      </c>
      <c r="AM20" s="11" t="str">
        <f t="shared" si="46"/>
        <v>Stocks</v>
      </c>
      <c r="AN20" t="str">
        <f t="shared" si="69"/>
        <v>Buy</v>
      </c>
      <c r="AO20" s="13">
        <f t="shared" si="70"/>
        <v>5.1999999999999998E-3</v>
      </c>
      <c r="AP20" s="13">
        <f t="shared" si="71"/>
        <v>2.9999999999999997E-4</v>
      </c>
      <c r="AQ20" s="13">
        <f t="shared" si="72"/>
        <v>3.8E-3</v>
      </c>
      <c r="AR20" s="13">
        <f t="shared" si="47"/>
        <v>5.1999999999999998E-3</v>
      </c>
      <c r="AS20" s="6">
        <f t="shared" si="20"/>
        <v>661.47394306639023</v>
      </c>
      <c r="AT20" s="6">
        <f t="shared" si="21"/>
        <v>189.35176599179445</v>
      </c>
      <c r="AU20" s="6">
        <f t="shared" si="22"/>
        <v>981.86734572278715</v>
      </c>
      <c r="AV20" s="6">
        <f t="shared" si="23"/>
        <v>1551.3945539615841</v>
      </c>
      <c r="AW20" s="58">
        <f t="shared" si="48"/>
        <v>2018</v>
      </c>
      <c r="AX20" s="58">
        <f>COUNTIF(AW$3:AW20,AW20)</f>
        <v>18</v>
      </c>
    </row>
    <row r="21" spans="1:50" x14ac:dyDescent="0.25">
      <c r="A21" s="5">
        <v>43198</v>
      </c>
      <c r="B21" s="18">
        <v>2604.4699999999998</v>
      </c>
      <c r="C21">
        <v>1.71</v>
      </c>
      <c r="D21" s="18">
        <v>21.49</v>
      </c>
      <c r="E21" s="18">
        <f t="shared" si="247"/>
        <v>22.11</v>
      </c>
      <c r="F21">
        <f t="shared" si="248"/>
        <v>-1</v>
      </c>
      <c r="G21" s="18">
        <f>ROUND(INDEX(Valuation!U:U,MATCH(A21,Valuation!A:A,0)),2)</f>
        <v>43.63</v>
      </c>
      <c r="H21">
        <f t="shared" si="260"/>
        <v>-2</v>
      </c>
      <c r="I21" s="18">
        <f>INDEX(WeeklyIndicators!Y:Y,MATCH(A21,WeeklyIndicators!A:A,0))</f>
        <v>159.31</v>
      </c>
      <c r="J21">
        <f t="shared" si="223"/>
        <v>2</v>
      </c>
      <c r="K21">
        <f>ROUND(INDEX(Economic!AF:AF,MATCH(EOMONTH($A21,-1),Economic!A:A,0)),2)</f>
        <v>137.9</v>
      </c>
      <c r="L21" s="11">
        <f t="shared" si="271"/>
        <v>2</v>
      </c>
      <c r="M21">
        <f>ROUND(INDEX(Manufacturing!P:P,MATCH(EOMONTH($A21,-1),Manufacturing!A:A,0)),2)</f>
        <v>105.49</v>
      </c>
      <c r="N21">
        <f t="shared" si="261"/>
        <v>2</v>
      </c>
      <c r="O21">
        <f>ROUND(INDEX(Housing!AC:AC,MATCH(EOMONTH($A21,-1),Housing!B:B,0)),2)</f>
        <v>155.28</v>
      </c>
      <c r="P21">
        <f t="shared" si="262"/>
        <v>3</v>
      </c>
      <c r="Q21">
        <f>ROUND(INDEX(Spending!AJ:AJ,MATCH(EOMONTH($A21,-1),Spending!B:B,0)),2)</f>
        <v>64.040000000000006</v>
      </c>
      <c r="R21">
        <f t="shared" si="272"/>
        <v>2</v>
      </c>
      <c r="S21">
        <f>ROUND(INDEX(Employment!V:V,MATCH(EOMONTH($A21,-1),Employment!A:A,0)),2)</f>
        <v>171.25</v>
      </c>
      <c r="T21" s="11">
        <f t="shared" si="263"/>
        <v>1</v>
      </c>
      <c r="U21">
        <f t="shared" ref="U21" si="285">F21+H21+J21+L21+N21+P21+R21+T21+20</f>
        <v>29</v>
      </c>
      <c r="V21">
        <f t="shared" si="59"/>
        <v>86.93</v>
      </c>
      <c r="W21" s="13">
        <f t="shared" si="60"/>
        <v>-2.7000000000000001E-3</v>
      </c>
      <c r="X21" s="13">
        <f t="shared" si="61"/>
        <v>-5.1000000000000004E-3</v>
      </c>
      <c r="Y21">
        <f t="shared" si="36"/>
        <v>78.41</v>
      </c>
      <c r="Z21" s="13">
        <f t="shared" ref="Z21" si="286">ROUND((AVERAGE(Y21:Y23)-AVERAGE(Y22:Y24))/AVERAGE(Y22:Y24),4)</f>
        <v>-5.3E-3</v>
      </c>
      <c r="AA21" s="13">
        <f t="shared" ref="AA21" si="287">SUM(Z21:Z24)</f>
        <v>-8.0000000000000002E-3</v>
      </c>
      <c r="AB21" s="6">
        <f t="shared" si="39"/>
        <v>77.582999999999998</v>
      </c>
      <c r="AC21">
        <f t="shared" ref="AC21" si="288">IF(ROUND(AB21/2,0)&lt;0,0,ROUND(AB21/2,0))</f>
        <v>39</v>
      </c>
      <c r="AD21" s="11">
        <f t="shared" ref="AD21" si="289">IF(AC21&gt;47,2,IF(AND(AC21&gt;41,AC21&lt;=47),1,IF(AC21&lt;15,-2,IF(AND(AC21&lt;32,AC21&gt;=15),-1,0))))</f>
        <v>0</v>
      </c>
      <c r="AE21">
        <f t="shared" ref="AE21" si="290">IF(AND(AA21&gt;=0.2,AC21&gt;=20,U21+AD21+2&lt;30),U21+AD21+2+12,U21+AD21+2)</f>
        <v>31</v>
      </c>
      <c r="AF21">
        <f>IF(AND(AE21&lt;15,OR(AC21&gt;=30,AA21&gt;0.15,X21&gt;=0.15)),2,VLOOKUP(AE21,Table!P:Q,2,FALSE))</f>
        <v>4</v>
      </c>
      <c r="AG21" s="22">
        <f>IF((AB21*0.98)-(D21*0.8)+((AF21-3)*3)+VLOOKUP(AM21,Table!$A$11:$B$13,2,FALSE)&lt;0,0,(AB21*0.98)-(D21*0.8)+((AF21-3)*3)+VLOOKUP(AM21,Table!$A$11:$B$13,2,FALSE))</f>
        <v>69.839339999999993</v>
      </c>
      <c r="AH21" s="22">
        <f t="shared" si="270"/>
        <v>71</v>
      </c>
      <c r="AI21" s="18">
        <f t="shared" si="234"/>
        <v>1.58</v>
      </c>
      <c r="AJ21" s="18">
        <f t="shared" si="235"/>
        <v>1.28</v>
      </c>
      <c r="AK21" t="str">
        <f t="shared" si="45"/>
        <v>Rising Rates</v>
      </c>
      <c r="AL21">
        <f t="shared" si="144"/>
        <v>31.75</v>
      </c>
      <c r="AM21" s="11" t="str">
        <f t="shared" si="46"/>
        <v>Stocks</v>
      </c>
      <c r="AN21" t="str">
        <f t="shared" si="69"/>
        <v>Buy</v>
      </c>
      <c r="AO21" s="13">
        <f t="shared" si="70"/>
        <v>1.9900000000000001E-2</v>
      </c>
      <c r="AP21" s="13">
        <f t="shared" si="71"/>
        <v>2.9999999999999997E-4</v>
      </c>
      <c r="AQ21" s="13">
        <f t="shared" si="72"/>
        <v>1.4200000000000001E-2</v>
      </c>
      <c r="AR21" s="13">
        <f t="shared" si="47"/>
        <v>1.9900000000000001E-2</v>
      </c>
      <c r="AS21" s="6">
        <f t="shared" si="20"/>
        <v>648.56745079555856</v>
      </c>
      <c r="AT21" s="6">
        <f t="shared" si="21"/>
        <v>189.29497749854488</v>
      </c>
      <c r="AU21" s="6">
        <f t="shared" si="22"/>
        <v>968.12004113861872</v>
      </c>
      <c r="AV21" s="6">
        <f t="shared" si="23"/>
        <v>1521.1241827253496</v>
      </c>
      <c r="AW21" s="58">
        <f t="shared" si="48"/>
        <v>2018</v>
      </c>
      <c r="AX21" s="58">
        <f>COUNTIF(AW$3:AW21,AW21)</f>
        <v>19</v>
      </c>
    </row>
    <row r="22" spans="1:50" x14ac:dyDescent="0.25">
      <c r="A22" s="5">
        <v>43191</v>
      </c>
      <c r="B22" s="18">
        <v>2640.87</v>
      </c>
      <c r="C22">
        <v>1.73</v>
      </c>
      <c r="D22" s="18">
        <v>19.97</v>
      </c>
      <c r="E22" s="18">
        <f t="shared" si="247"/>
        <v>20.21</v>
      </c>
      <c r="F22">
        <f t="shared" si="248"/>
        <v>-1</v>
      </c>
      <c r="G22" s="18">
        <f>ROUND(INDEX(Valuation!U:U,MATCH(A22,Valuation!A:A,0)),2)</f>
        <v>38.56</v>
      </c>
      <c r="H22">
        <f t="shared" si="260"/>
        <v>-2</v>
      </c>
      <c r="I22" s="18">
        <f>INDEX(WeeklyIndicators!Y:Y,MATCH(A22,WeeklyIndicators!A:A,0))</f>
        <v>161.19</v>
      </c>
      <c r="J22">
        <f t="shared" si="223"/>
        <v>2</v>
      </c>
      <c r="K22">
        <f>ROUND(INDEX(Economic!AF:AF,MATCH(EOMONTH($A22,-1),Economic!A:A,0)),2)</f>
        <v>137.9</v>
      </c>
      <c r="L22" s="11">
        <f t="shared" si="271"/>
        <v>2</v>
      </c>
      <c r="M22">
        <f>ROUND(INDEX(Manufacturing!P:P,MATCH(EOMONTH($A22,-1),Manufacturing!A:A,0)),2)</f>
        <v>105.49</v>
      </c>
      <c r="N22">
        <f t="shared" si="261"/>
        <v>2</v>
      </c>
      <c r="O22">
        <f>ROUND(INDEX(Housing!AC:AC,MATCH(EOMONTH($A22,-1),Housing!B:B,0)),2)</f>
        <v>155.28</v>
      </c>
      <c r="P22">
        <f t="shared" si="262"/>
        <v>3</v>
      </c>
      <c r="Q22">
        <f>ROUND(INDEX(Spending!AJ:AJ,MATCH(EOMONTH($A22,-1),Spending!B:B,0)),2)</f>
        <v>64.040000000000006</v>
      </c>
      <c r="R22">
        <f t="shared" si="272"/>
        <v>2</v>
      </c>
      <c r="S22">
        <f>ROUND(INDEX(Employment!V:V,MATCH(EOMONTH($A22,-1),Employment!A:A,0)),2)</f>
        <v>171.25</v>
      </c>
      <c r="T22" s="11">
        <f t="shared" si="263"/>
        <v>1</v>
      </c>
      <c r="U22">
        <f t="shared" ref="U22" si="291">F22+H22+J22+L22+N22+P22+R22+T22+20</f>
        <v>29</v>
      </c>
      <c r="V22">
        <f t="shared" si="59"/>
        <v>87.12</v>
      </c>
      <c r="W22" s="13">
        <f t="shared" si="60"/>
        <v>-3.0000000000000001E-3</v>
      </c>
      <c r="X22" s="13">
        <f t="shared" si="61"/>
        <v>3.0999999999999995E-3</v>
      </c>
      <c r="Y22">
        <f t="shared" si="36"/>
        <v>78.7</v>
      </c>
      <c r="Z22" s="13">
        <f t="shared" ref="Z22" si="292">ROUND((AVERAGE(Y22:Y24)-AVERAGE(Y23:Y25))/AVERAGE(Y23:Y25),4)</f>
        <v>-5.8999999999999999E-3</v>
      </c>
      <c r="AA22" s="13">
        <f t="shared" ref="AA22" si="293">SUM(Z22:Z25)</f>
        <v>8.0000000000000002E-3</v>
      </c>
      <c r="AB22" s="6">
        <f t="shared" si="39"/>
        <v>78.525999999999996</v>
      </c>
      <c r="AC22">
        <f t="shared" ref="AC22" si="294">IF(ROUND(AB22/2,0)&lt;0,0,ROUND(AB22/2,0))</f>
        <v>39</v>
      </c>
      <c r="AD22" s="11">
        <f t="shared" ref="AD22" si="295">IF(AC22&gt;47,2,IF(AND(AC22&gt;41,AC22&lt;=47),1,IF(AC22&lt;15,-2,IF(AND(AC22&lt;32,AC22&gt;=15),-1,0))))</f>
        <v>0</v>
      </c>
      <c r="AE22">
        <f t="shared" ref="AE22" si="296">IF(AND(AA22&gt;=0.2,AC22&gt;=20,U22+AD22+2&lt;30),U22+AD22+2+12,U22+AD22+2)</f>
        <v>31</v>
      </c>
      <c r="AF22">
        <f>IF(AND(AE22&lt;15,OR(AC22&gt;=30,AA22&gt;0.15,X22&gt;=0.15)),2,VLOOKUP(AE22,Table!P:Q,2,FALSE))</f>
        <v>4</v>
      </c>
      <c r="AG22" s="22">
        <f>IF((AB22*0.98)-(D22*0.8)+((AF22-3)*3)+VLOOKUP(AM22,Table!$A$11:$B$13,2,FALSE)&lt;0,0,(AB22*0.98)-(D22*0.8)+((AF22-3)*3)+VLOOKUP(AM22,Table!$A$11:$B$13,2,FALSE))</f>
        <v>71.979479999999995</v>
      </c>
      <c r="AH22" s="22">
        <f t="shared" si="270"/>
        <v>75</v>
      </c>
      <c r="AI22" s="18">
        <f t="shared" si="234"/>
        <v>1.56</v>
      </c>
      <c r="AJ22" s="18">
        <f t="shared" si="235"/>
        <v>1.27</v>
      </c>
      <c r="AK22" t="str">
        <f t="shared" si="45"/>
        <v>Rising Rates</v>
      </c>
      <c r="AL22">
        <f t="shared" si="144"/>
        <v>32.25</v>
      </c>
      <c r="AM22" s="11" t="str">
        <f t="shared" si="46"/>
        <v>Stocks</v>
      </c>
      <c r="AN22" t="str">
        <f t="shared" si="69"/>
        <v>Buy</v>
      </c>
      <c r="AO22" s="13">
        <f t="shared" si="70"/>
        <v>-1.38E-2</v>
      </c>
      <c r="AP22" s="13">
        <f t="shared" si="71"/>
        <v>2.9999999999999997E-4</v>
      </c>
      <c r="AQ22" s="13">
        <f t="shared" si="72"/>
        <v>-1.03E-2</v>
      </c>
      <c r="AR22" s="13">
        <f t="shared" si="47"/>
        <v>-1.38E-2</v>
      </c>
      <c r="AS22" s="6">
        <f t="shared" si="20"/>
        <v>657.64292313481906</v>
      </c>
      <c r="AT22" s="6">
        <f t="shared" si="21"/>
        <v>189.23820603673386</v>
      </c>
      <c r="AU22" s="6">
        <f t="shared" si="22"/>
        <v>978.19545431809502</v>
      </c>
      <c r="AV22" s="6">
        <f t="shared" si="23"/>
        <v>1542.4094328993608</v>
      </c>
      <c r="AW22" s="58">
        <f t="shared" si="48"/>
        <v>2018</v>
      </c>
      <c r="AX22" s="58">
        <f>COUNTIF(AW$3:AW22,AW22)</f>
        <v>20</v>
      </c>
    </row>
    <row r="23" spans="1:50" x14ac:dyDescent="0.25">
      <c r="A23" s="5">
        <v>43184</v>
      </c>
      <c r="B23" s="18">
        <v>2588.2600000000002</v>
      </c>
      <c r="C23">
        <v>1.73</v>
      </c>
      <c r="D23" s="18">
        <v>24.87</v>
      </c>
      <c r="E23" s="18">
        <f t="shared" si="247"/>
        <v>18.440000000000001</v>
      </c>
      <c r="F23">
        <f t="shared" si="248"/>
        <v>-1</v>
      </c>
      <c r="G23" s="18">
        <f>ROUND(INDEX(Valuation!U:U,MATCH(A23,Valuation!A:A,0)),2)</f>
        <v>34.26</v>
      </c>
      <c r="H23">
        <f t="shared" si="260"/>
        <v>-2</v>
      </c>
      <c r="I23" s="18">
        <f>INDEX(WeeklyIndicators!Y:Y,MATCH(A23,WeeklyIndicators!A:A,0))</f>
        <v>162.85</v>
      </c>
      <c r="J23">
        <f t="shared" si="223"/>
        <v>2</v>
      </c>
      <c r="K23">
        <f>ROUND(INDEX(Economic!AF:AF,MATCH(EOMONTH($A23,-1),Economic!A:A,0)),2)</f>
        <v>135.46</v>
      </c>
      <c r="L23" s="11">
        <f t="shared" si="271"/>
        <v>2</v>
      </c>
      <c r="M23">
        <f>ROUND(INDEX(Manufacturing!P:P,MATCH(EOMONTH($A23,-1),Manufacturing!A:A,0)),2)</f>
        <v>103.36</v>
      </c>
      <c r="N23">
        <f t="shared" si="261"/>
        <v>2</v>
      </c>
      <c r="O23">
        <f>ROUND(INDEX(Housing!AC:AC,MATCH(EOMONTH($A23,-1),Housing!B:B,0)),2)</f>
        <v>158.47999999999999</v>
      </c>
      <c r="P23">
        <f t="shared" si="262"/>
        <v>3</v>
      </c>
      <c r="Q23">
        <f>ROUND(INDEX(Spending!AJ:AJ,MATCH(EOMONTH($A23,-1),Spending!B:B,0)),2)</f>
        <v>66.83</v>
      </c>
      <c r="R23">
        <f t="shared" si="272"/>
        <v>2</v>
      </c>
      <c r="S23">
        <f>ROUND(INDEX(Employment!V:V,MATCH(EOMONTH($A23,-1),Employment!A:A,0)),2)</f>
        <v>175.12</v>
      </c>
      <c r="T23" s="11">
        <f t="shared" si="263"/>
        <v>2</v>
      </c>
      <c r="U23">
        <f t="shared" ref="U23" si="297">F23+H23+J23+L23+N23+P23+R23+T23+20</f>
        <v>30</v>
      </c>
      <c r="V23">
        <f t="shared" si="59"/>
        <v>87.44</v>
      </c>
      <c r="W23" s="13">
        <f t="shared" si="60"/>
        <v>-2E-3</v>
      </c>
      <c r="X23" s="13">
        <f t="shared" si="61"/>
        <v>1.44E-2</v>
      </c>
      <c r="Y23">
        <f t="shared" si="36"/>
        <v>79.150000000000006</v>
      </c>
      <c r="Z23" s="13">
        <f t="shared" ref="Z23" si="298">ROUND((AVERAGE(Y23:Y25)-AVERAGE(Y24:Y26))/AVERAGE(Y24:Y26),4)</f>
        <v>-3.3E-3</v>
      </c>
      <c r="AA23" s="13">
        <f t="shared" ref="AA23" si="299">SUM(Z23:Z26)</f>
        <v>2.4199999999999999E-2</v>
      </c>
      <c r="AB23" s="6">
        <f t="shared" si="39"/>
        <v>79.756</v>
      </c>
      <c r="AC23">
        <f t="shared" ref="AC23" si="300">IF(ROUND(AB23/2,0)&lt;0,0,ROUND(AB23/2,0))</f>
        <v>40</v>
      </c>
      <c r="AD23" s="11">
        <f t="shared" ref="AD23" si="301">IF(AC23&gt;47,2,IF(AND(AC23&gt;41,AC23&lt;=47),1,IF(AC23&lt;15,-2,IF(AND(AC23&lt;32,AC23&gt;=15),-1,0))))</f>
        <v>0</v>
      </c>
      <c r="AE23">
        <f t="shared" ref="AE23" si="302">IF(AND(AA23&gt;=0.2,AC23&gt;=20,U23+AD23+2&lt;30),U23+AD23+2+12,U23+AD23+2)</f>
        <v>32</v>
      </c>
      <c r="AF23">
        <f>IF(AND(AE23&lt;15,OR(AC23&gt;=30,AA23&gt;0.15,X23&gt;=0.15)),2,VLOOKUP(AE23,Table!P:Q,2,FALSE))</f>
        <v>5</v>
      </c>
      <c r="AG23" s="22">
        <f>IF((AB23*0.98)-(D23*0.8)+((AF23-3)*3)+VLOOKUP(AM23,Table!$A$11:$B$13,2,FALSE)&lt;0,0,(AB23*0.98)-(D23*0.8)+((AF23-3)*3)+VLOOKUP(AM23,Table!$A$11:$B$13,2,FALSE))</f>
        <v>72.264880000000005</v>
      </c>
      <c r="AH23" s="22">
        <f t="shared" si="270"/>
        <v>78</v>
      </c>
      <c r="AI23" s="18">
        <f t="shared" si="234"/>
        <v>1.53</v>
      </c>
      <c r="AJ23" s="18">
        <f t="shared" si="235"/>
        <v>1.25</v>
      </c>
      <c r="AK23" t="str">
        <f t="shared" si="45"/>
        <v>Rising Rates</v>
      </c>
      <c r="AL23">
        <f t="shared" si="144"/>
        <v>32.5</v>
      </c>
      <c r="AM23" s="11" t="str">
        <f t="shared" si="46"/>
        <v>Stocks</v>
      </c>
      <c r="AN23" t="str">
        <f t="shared" si="69"/>
        <v>Buy</v>
      </c>
      <c r="AO23" s="13">
        <f t="shared" si="70"/>
        <v>2.0299999999999999E-2</v>
      </c>
      <c r="AP23" s="13">
        <f t="shared" si="71"/>
        <v>2.9999999999999997E-4</v>
      </c>
      <c r="AQ23" s="13">
        <f t="shared" si="72"/>
        <v>1.5900000000000001E-2</v>
      </c>
      <c r="AR23" s="13">
        <f t="shared" si="47"/>
        <v>2.0299999999999999E-2</v>
      </c>
      <c r="AS23" s="6">
        <f t="shared" si="20"/>
        <v>644.55838786123593</v>
      </c>
      <c r="AT23" s="6">
        <f t="shared" si="21"/>
        <v>189.18145160125349</v>
      </c>
      <c r="AU23" s="6">
        <f t="shared" si="22"/>
        <v>962.88557369632349</v>
      </c>
      <c r="AV23" s="6">
        <f t="shared" si="23"/>
        <v>1511.7214867189659</v>
      </c>
      <c r="AW23" s="58">
        <f t="shared" si="48"/>
        <v>2018</v>
      </c>
      <c r="AX23" s="58">
        <f>COUNTIF(AW$3:AW23,AW23)</f>
        <v>21</v>
      </c>
    </row>
    <row r="24" spans="1:50" x14ac:dyDescent="0.25">
      <c r="A24" s="5">
        <v>43177</v>
      </c>
      <c r="B24" s="18">
        <v>2752.01</v>
      </c>
      <c r="C24">
        <v>1.72</v>
      </c>
      <c r="D24" s="18">
        <v>15.8</v>
      </c>
      <c r="E24" s="18">
        <f t="shared" si="247"/>
        <v>16.68</v>
      </c>
      <c r="F24">
        <f t="shared" si="248"/>
        <v>0</v>
      </c>
      <c r="G24" s="18">
        <f>ROUND(INDEX(Valuation!U:U,MATCH(A24,Valuation!A:A,0)),2)</f>
        <v>31.77</v>
      </c>
      <c r="H24">
        <f t="shared" si="260"/>
        <v>-2</v>
      </c>
      <c r="I24" s="18">
        <f>INDEX(WeeklyIndicators!Y:Y,MATCH(A24,WeeklyIndicators!A:A,0))</f>
        <v>164.69</v>
      </c>
      <c r="J24">
        <f t="shared" si="223"/>
        <v>2</v>
      </c>
      <c r="K24">
        <f>ROUND(INDEX(Economic!AF:AF,MATCH(EOMONTH($A24,-1),Economic!A:A,0)),2)</f>
        <v>135.46</v>
      </c>
      <c r="L24" s="11">
        <f t="shared" si="271"/>
        <v>2</v>
      </c>
      <c r="M24">
        <f>ROUND(INDEX(Manufacturing!P:P,MATCH(EOMONTH($A24,-1),Manufacturing!A:A,0)),2)</f>
        <v>103.36</v>
      </c>
      <c r="N24">
        <f t="shared" si="261"/>
        <v>2</v>
      </c>
      <c r="O24">
        <f>ROUND(INDEX(Housing!AC:AC,MATCH(EOMONTH($A24,-1),Housing!B:B,0)),2)</f>
        <v>158.47999999999999</v>
      </c>
      <c r="P24">
        <f t="shared" si="262"/>
        <v>3</v>
      </c>
      <c r="Q24">
        <f>ROUND(INDEX(Spending!AJ:AJ,MATCH(EOMONTH($A24,-1),Spending!B:B,0)),2)</f>
        <v>66.83</v>
      </c>
      <c r="R24">
        <f t="shared" si="272"/>
        <v>2</v>
      </c>
      <c r="S24">
        <f>ROUND(INDEX(Employment!V:V,MATCH(EOMONTH($A24,-1),Employment!A:A,0)),2)</f>
        <v>175.12</v>
      </c>
      <c r="T24" s="11">
        <f t="shared" si="263"/>
        <v>2</v>
      </c>
      <c r="U24">
        <f t="shared" ref="U24" si="303">F24+H24+J24+L24+N24+P24+R24+T24+20</f>
        <v>31</v>
      </c>
      <c r="V24">
        <f t="shared" si="59"/>
        <v>87.63</v>
      </c>
      <c r="W24" s="13">
        <f t="shared" si="60"/>
        <v>2.5999999999999999E-3</v>
      </c>
      <c r="X24" s="13">
        <f t="shared" si="61"/>
        <v>2.35E-2</v>
      </c>
      <c r="Y24">
        <f t="shared" si="36"/>
        <v>79.680000000000007</v>
      </c>
      <c r="Z24" s="13">
        <f t="shared" ref="Z24" si="304">ROUND((AVERAGE(Y24:Y26)-AVERAGE(Y25:Y27))/AVERAGE(Y25:Y27),4)</f>
        <v>6.4999999999999997E-3</v>
      </c>
      <c r="AA24" s="13">
        <f t="shared" ref="AA24" si="305">SUM(Z24:Z27)</f>
        <v>2.5899999999999999E-2</v>
      </c>
      <c r="AB24" s="6">
        <f t="shared" si="39"/>
        <v>80.246999999999986</v>
      </c>
      <c r="AC24">
        <f t="shared" ref="AC24" si="306">IF(ROUND(AB24/2,0)&lt;0,0,ROUND(AB24/2,0))</f>
        <v>40</v>
      </c>
      <c r="AD24" s="11">
        <f t="shared" ref="AD24" si="307">IF(AC24&gt;47,2,IF(AND(AC24&gt;41,AC24&lt;=47),1,IF(AC24&lt;15,-2,IF(AND(AC24&lt;32,AC24&gt;=15),-1,0))))</f>
        <v>0</v>
      </c>
      <c r="AE24">
        <f t="shared" ref="AE24" si="308">IF(AND(AA24&gt;=0.2,AC24&gt;=20,U24+AD24+2&lt;30),U24+AD24+2+12,U24+AD24+2)</f>
        <v>33</v>
      </c>
      <c r="AF24">
        <f>IF(AND(AE24&lt;15,OR(AC24&gt;=30,AA24&gt;0.15,X24&gt;=0.15)),2,VLOOKUP(AE24,Table!P:Q,2,FALSE))</f>
        <v>5</v>
      </c>
      <c r="AG24" s="22">
        <f>IF((AB24*0.98)-(D24*0.8)+((AF24-3)*3)+VLOOKUP(AM24,Table!$A$11:$B$13,2,FALSE)&lt;0,0,(AB24*0.98)-(D24*0.8)+((AF24-3)*3)+VLOOKUP(AM24,Table!$A$11:$B$13,2,FALSE))</f>
        <v>80.002059999999986</v>
      </c>
      <c r="AH24" s="22">
        <f t="shared" si="270"/>
        <v>79</v>
      </c>
      <c r="AI24" s="18">
        <f t="shared" si="234"/>
        <v>1.5</v>
      </c>
      <c r="AJ24" s="18">
        <f t="shared" si="235"/>
        <v>1.23</v>
      </c>
      <c r="AK24" t="str">
        <f t="shared" si="45"/>
        <v>Rising Rates</v>
      </c>
      <c r="AL24">
        <f t="shared" si="144"/>
        <v>32.5</v>
      </c>
      <c r="AM24" s="11" t="str">
        <f t="shared" si="46"/>
        <v>Stocks</v>
      </c>
      <c r="AN24" t="str">
        <f t="shared" si="69"/>
        <v>Buy</v>
      </c>
      <c r="AO24" s="13">
        <f t="shared" si="70"/>
        <v>-5.9499999999999997E-2</v>
      </c>
      <c r="AP24" s="13">
        <f t="shared" si="71"/>
        <v>2.9999999999999997E-4</v>
      </c>
      <c r="AQ24" s="13">
        <f t="shared" si="72"/>
        <v>-4.6899999999999997E-2</v>
      </c>
      <c r="AR24" s="13">
        <f t="shared" si="47"/>
        <v>-5.9499999999999997E-2</v>
      </c>
      <c r="AS24" s="6">
        <f t="shared" si="20"/>
        <v>685.33587226075053</v>
      </c>
      <c r="AT24" s="6">
        <f t="shared" si="21"/>
        <v>189.12471418699738</v>
      </c>
      <c r="AU24" s="6">
        <f t="shared" si="22"/>
        <v>1010.267100720096</v>
      </c>
      <c r="AV24" s="6">
        <f t="shared" si="23"/>
        <v>1607.3593691855033</v>
      </c>
      <c r="AW24" s="58">
        <f t="shared" si="48"/>
        <v>2018</v>
      </c>
      <c r="AX24" s="58">
        <f>COUNTIF(AW$3:AW24,AW24)</f>
        <v>22</v>
      </c>
    </row>
    <row r="25" spans="1:50" x14ac:dyDescent="0.25">
      <c r="A25" s="5">
        <v>43170</v>
      </c>
      <c r="B25" s="18">
        <v>2786.57</v>
      </c>
      <c r="C25">
        <v>1.65</v>
      </c>
      <c r="D25" s="18">
        <v>14.64</v>
      </c>
      <c r="E25" s="18">
        <f t="shared" si="247"/>
        <v>16.91</v>
      </c>
      <c r="F25">
        <f t="shared" si="248"/>
        <v>0</v>
      </c>
      <c r="G25" s="18">
        <f>ROUND(INDEX(Valuation!U:U,MATCH(A25,Valuation!A:A,0)),2)</f>
        <v>33.72</v>
      </c>
      <c r="H25">
        <f t="shared" si="260"/>
        <v>-2</v>
      </c>
      <c r="I25" s="18">
        <f>INDEX(WeeklyIndicators!Y:Y,MATCH(A25,WeeklyIndicators!A:A,0))</f>
        <v>167.43</v>
      </c>
      <c r="J25">
        <f t="shared" si="223"/>
        <v>2</v>
      </c>
      <c r="K25">
        <f>ROUND(INDEX(Economic!AF:AF,MATCH(EOMONTH($A25,-1),Economic!A:A,0)),2)</f>
        <v>135.46</v>
      </c>
      <c r="L25" s="11">
        <f t="shared" si="271"/>
        <v>2</v>
      </c>
      <c r="M25">
        <f>ROUND(INDEX(Manufacturing!P:P,MATCH(EOMONTH($A25,-1),Manufacturing!A:A,0)),2)</f>
        <v>103.36</v>
      </c>
      <c r="N25">
        <f t="shared" si="261"/>
        <v>2</v>
      </c>
      <c r="O25">
        <f>ROUND(INDEX(Housing!AC:AC,MATCH(EOMONTH($A25,-1),Housing!B:B,0)),2)</f>
        <v>158.47999999999999</v>
      </c>
      <c r="P25">
        <f t="shared" si="262"/>
        <v>3</v>
      </c>
      <c r="Q25">
        <f>ROUND(INDEX(Spending!AJ:AJ,MATCH(EOMONTH($A25,-1),Spending!B:B,0)),2)</f>
        <v>66.83</v>
      </c>
      <c r="R25">
        <f t="shared" si="272"/>
        <v>2</v>
      </c>
      <c r="S25">
        <f>ROUND(INDEX(Employment!V:V,MATCH(EOMONTH($A25,-1),Employment!A:A,0)),2)</f>
        <v>175.12</v>
      </c>
      <c r="T25" s="11">
        <f t="shared" si="263"/>
        <v>2</v>
      </c>
      <c r="U25">
        <f t="shared" ref="U25" si="309">F25+H25+J25+L25+N25+P25+R25+T25+20</f>
        <v>31</v>
      </c>
      <c r="V25">
        <f t="shared" si="59"/>
        <v>87.91</v>
      </c>
      <c r="W25" s="13">
        <f t="shared" si="60"/>
        <v>5.4999999999999997E-3</v>
      </c>
      <c r="X25" s="13">
        <f t="shared" si="61"/>
        <v>3.15E-2</v>
      </c>
      <c r="Y25">
        <f t="shared" si="36"/>
        <v>80.099999999999994</v>
      </c>
      <c r="Z25" s="13">
        <f t="shared" ref="Z25" si="310">ROUND((AVERAGE(Y25:Y27)-AVERAGE(Y26:Y28))/AVERAGE(Y26:Y28),4)</f>
        <v>1.0699999999999999E-2</v>
      </c>
      <c r="AA25" s="13">
        <f t="shared" ref="AA25" si="311">SUM(Z25:Z28)</f>
        <v>1.7399999999999999E-2</v>
      </c>
      <c r="AB25" s="6">
        <f t="shared" si="39"/>
        <v>80.382000000000005</v>
      </c>
      <c r="AC25">
        <f t="shared" ref="AC25" si="312">IF(ROUND(AB25/2,0)&lt;0,0,ROUND(AB25/2,0))</f>
        <v>40</v>
      </c>
      <c r="AD25" s="11">
        <f t="shared" ref="AD25" si="313">IF(AC25&gt;47,2,IF(AND(AC25&gt;41,AC25&lt;=47),1,IF(AC25&lt;15,-2,IF(AND(AC25&lt;32,AC25&gt;=15),-1,0))))</f>
        <v>0</v>
      </c>
      <c r="AE25">
        <f t="shared" ref="AE25" si="314">IF(AND(AA25&gt;=0.2,AC25&gt;=20,U25+AD25+2&lt;30),U25+AD25+2+12,U25+AD25+2)</f>
        <v>33</v>
      </c>
      <c r="AF25">
        <f>IF(AND(AE25&lt;15,OR(AC25&gt;=30,AA25&gt;0.15,X25&gt;=0.15)),2,VLOOKUP(AE25,Table!P:Q,2,FALSE))</f>
        <v>5</v>
      </c>
      <c r="AG25" s="22">
        <f>IF((AB25*0.98)-(D25*0.8)+((AF25-3)*3)+VLOOKUP(AM25,Table!$A$11:$B$13,2,FALSE)&lt;0,0,(AB25*0.98)-(D25*0.8)+((AF25-3)*3)+VLOOKUP(AM25,Table!$A$11:$B$13,2,FALSE))</f>
        <v>81.062359999999998</v>
      </c>
      <c r="AH25" s="22">
        <f t="shared" si="270"/>
        <v>78</v>
      </c>
      <c r="AI25" s="18">
        <f t="shared" si="234"/>
        <v>1.47</v>
      </c>
      <c r="AJ25" s="18">
        <f t="shared" si="235"/>
        <v>1.21</v>
      </c>
      <c r="AK25" t="str">
        <f t="shared" si="45"/>
        <v>Rising Rates</v>
      </c>
      <c r="AL25">
        <f t="shared" si="144"/>
        <v>32.25</v>
      </c>
      <c r="AM25" s="11" t="str">
        <f t="shared" si="46"/>
        <v>Stocks</v>
      </c>
      <c r="AN25" t="str">
        <f t="shared" si="69"/>
        <v>Buy</v>
      </c>
      <c r="AO25" s="13">
        <f t="shared" si="70"/>
        <v>-1.24E-2</v>
      </c>
      <c r="AP25" s="13">
        <f t="shared" si="71"/>
        <v>2.9999999999999997E-4</v>
      </c>
      <c r="AQ25" s="13">
        <f t="shared" si="72"/>
        <v>-9.5999999999999992E-3</v>
      </c>
      <c r="AR25" s="13">
        <f t="shared" si="47"/>
        <v>-1.24E-2</v>
      </c>
      <c r="AS25" s="6">
        <f t="shared" si="20"/>
        <v>693.94073740456713</v>
      </c>
      <c r="AT25" s="6">
        <f t="shared" si="21"/>
        <v>189.06799378886072</v>
      </c>
      <c r="AU25" s="6">
        <f t="shared" si="22"/>
        <v>1020.0596735865267</v>
      </c>
      <c r="AV25" s="6">
        <f t="shared" si="23"/>
        <v>1627.5408760485047</v>
      </c>
      <c r="AW25" s="58">
        <f t="shared" si="48"/>
        <v>2018</v>
      </c>
      <c r="AX25" s="58">
        <f>COUNTIF(AW$3:AW25,AW25)</f>
        <v>23</v>
      </c>
    </row>
    <row r="26" spans="1:50" x14ac:dyDescent="0.25">
      <c r="A26" s="5">
        <v>43163</v>
      </c>
      <c r="B26" s="18">
        <v>2691.25</v>
      </c>
      <c r="C26">
        <v>1.63</v>
      </c>
      <c r="D26" s="18">
        <v>19.59</v>
      </c>
      <c r="E26" s="18">
        <f t="shared" si="247"/>
        <v>18.510000000000002</v>
      </c>
      <c r="F26">
        <f t="shared" si="248"/>
        <v>-1</v>
      </c>
      <c r="G26" s="18">
        <f>ROUND(INDEX(Valuation!U:U,MATCH(A26,Valuation!A:A,0)),2)</f>
        <v>36.799999999999997</v>
      </c>
      <c r="H26">
        <f t="shared" si="260"/>
        <v>-2</v>
      </c>
      <c r="I26" s="18">
        <f>INDEX(WeeklyIndicators!Y:Y,MATCH(A26,WeeklyIndicators!A:A,0))</f>
        <v>168.05</v>
      </c>
      <c r="J26">
        <f t="shared" si="223"/>
        <v>2</v>
      </c>
      <c r="K26">
        <f>ROUND(INDEX(Economic!AF:AF,MATCH(EOMONTH($A26,-1),Economic!A:A,0)),2)</f>
        <v>135.46</v>
      </c>
      <c r="L26" s="11">
        <f t="shared" si="271"/>
        <v>2</v>
      </c>
      <c r="M26">
        <f>ROUND(INDEX(Manufacturing!P:P,MATCH(EOMONTH($A26,-1),Manufacturing!A:A,0)),2)</f>
        <v>103.36</v>
      </c>
      <c r="N26">
        <f t="shared" si="261"/>
        <v>2</v>
      </c>
      <c r="O26">
        <f>ROUND(INDEX(Housing!AC:AC,MATCH(EOMONTH($A26,-1),Housing!B:B,0)),2)</f>
        <v>158.47999999999999</v>
      </c>
      <c r="P26">
        <f t="shared" si="262"/>
        <v>3</v>
      </c>
      <c r="Q26">
        <f>ROUND(INDEX(Spending!AJ:AJ,MATCH(EOMONTH($A26,-1),Spending!B:B,0)),2)</f>
        <v>66.83</v>
      </c>
      <c r="R26">
        <f t="shared" si="272"/>
        <v>2</v>
      </c>
      <c r="S26">
        <f>ROUND(INDEX(Employment!V:V,MATCH(EOMONTH($A26,-1),Employment!A:A,0)),2)</f>
        <v>175.12</v>
      </c>
      <c r="T26" s="11">
        <f t="shared" si="263"/>
        <v>2</v>
      </c>
      <c r="U26">
        <f t="shared" ref="U26" si="315">F26+H26+J26+L26+N26+P26+R26+T26+20</f>
        <v>30</v>
      </c>
      <c r="V26">
        <f t="shared" si="59"/>
        <v>87.98</v>
      </c>
      <c r="W26" s="13">
        <f t="shared" si="60"/>
        <v>8.3000000000000001E-3</v>
      </c>
      <c r="X26" s="13">
        <f t="shared" si="61"/>
        <v>3.0500000000000003E-2</v>
      </c>
      <c r="Y26">
        <f t="shared" si="36"/>
        <v>79.95</v>
      </c>
      <c r="Z26" s="13">
        <f t="shared" ref="Z26" si="316">ROUND((AVERAGE(Y26:Y28)-AVERAGE(Y27:Y29))/AVERAGE(Y27:Y29),4)</f>
        <v>1.03E-2</v>
      </c>
      <c r="AA26" s="13">
        <f t="shared" ref="AA26" si="317">SUM(Z26:Z29)</f>
        <v>-1.1000000000000003E-3</v>
      </c>
      <c r="AB26" s="6">
        <f t="shared" si="39"/>
        <v>79.289999999999992</v>
      </c>
      <c r="AC26">
        <f t="shared" ref="AC26" si="318">IF(ROUND(AB26/2,0)&lt;0,0,ROUND(AB26/2,0))</f>
        <v>40</v>
      </c>
      <c r="AD26" s="11">
        <f t="shared" ref="AD26" si="319">IF(AC26&gt;47,2,IF(AND(AC26&gt;41,AC26&lt;=47),1,IF(AC26&lt;15,-2,IF(AND(AC26&lt;32,AC26&gt;=15),-1,0))))</f>
        <v>0</v>
      </c>
      <c r="AE26">
        <f t="shared" ref="AE26" si="320">IF(AND(AA26&gt;=0.2,AC26&gt;=20,U26+AD26+2&lt;30),U26+AD26+2+12,U26+AD26+2)</f>
        <v>32</v>
      </c>
      <c r="AF26">
        <f>IF(AND(AE26&lt;15,OR(AC26&gt;=30,AA26&gt;0.15,X26&gt;=0.15)),2,VLOOKUP(AE26,Table!P:Q,2,FALSE))</f>
        <v>5</v>
      </c>
      <c r="AG26" s="22">
        <f>IF((AB26*0.98)-(D26*0.8)+((AF26-3)*3)+VLOOKUP(AM26,Table!$A$11:$B$13,2,FALSE)&lt;0,0,(AB26*0.98)-(D26*0.8)+((AF26-3)*3)+VLOOKUP(AM26,Table!$A$11:$B$13,2,FALSE))</f>
        <v>76.032199999999989</v>
      </c>
      <c r="AH26" s="22">
        <f t="shared" si="270"/>
        <v>75</v>
      </c>
      <c r="AI26" s="18">
        <f t="shared" si="234"/>
        <v>1.44</v>
      </c>
      <c r="AJ26" s="18">
        <f t="shared" si="235"/>
        <v>1.19</v>
      </c>
      <c r="AK26" t="str">
        <f t="shared" si="45"/>
        <v>Rising Rates</v>
      </c>
      <c r="AL26">
        <f t="shared" si="144"/>
        <v>32</v>
      </c>
      <c r="AM26" s="11" t="str">
        <f t="shared" si="46"/>
        <v>Stocks</v>
      </c>
      <c r="AN26" t="str">
        <f t="shared" si="69"/>
        <v>Buy</v>
      </c>
      <c r="AO26" s="13">
        <f t="shared" si="70"/>
        <v>3.5400000000000001E-2</v>
      </c>
      <c r="AP26" s="13">
        <f t="shared" si="71"/>
        <v>2.9999999999999997E-4</v>
      </c>
      <c r="AQ26" s="13">
        <f t="shared" si="72"/>
        <v>2.6599999999999999E-2</v>
      </c>
      <c r="AR26" s="13">
        <f t="shared" si="47"/>
        <v>3.5400000000000001E-2</v>
      </c>
      <c r="AS26" s="6">
        <f t="shared" si="20"/>
        <v>670.21512208283468</v>
      </c>
      <c r="AT26" s="6">
        <f t="shared" si="21"/>
        <v>189.01129040174021</v>
      </c>
      <c r="AU26" s="6">
        <f t="shared" si="22"/>
        <v>993.62913850236396</v>
      </c>
      <c r="AV26" s="6">
        <f t="shared" si="23"/>
        <v>1571.895765934426</v>
      </c>
      <c r="AW26" s="58">
        <f t="shared" si="48"/>
        <v>2018</v>
      </c>
      <c r="AX26" s="58">
        <f>COUNTIF(AW$3:AW26,AW26)</f>
        <v>24</v>
      </c>
    </row>
    <row r="27" spans="1:50" x14ac:dyDescent="0.25">
      <c r="A27" s="5">
        <v>43156</v>
      </c>
      <c r="B27" s="18">
        <v>2747.3</v>
      </c>
      <c r="C27">
        <v>1.62</v>
      </c>
      <c r="D27" s="18">
        <v>16.489999999999998</v>
      </c>
      <c r="E27" s="18">
        <f t="shared" si="247"/>
        <v>21.67</v>
      </c>
      <c r="F27">
        <f t="shared" si="248"/>
        <v>-1</v>
      </c>
      <c r="G27" s="18">
        <f>ROUND(INDEX(Valuation!U:U,MATCH(A27,Valuation!A:A,0)),2)</f>
        <v>39.67</v>
      </c>
      <c r="H27">
        <f t="shared" si="260"/>
        <v>-2</v>
      </c>
      <c r="I27" s="18">
        <f>INDEX(WeeklyIndicators!Y:Y,MATCH(A27,WeeklyIndicators!A:A,0))</f>
        <v>166.21</v>
      </c>
      <c r="J27">
        <f t="shared" si="223"/>
        <v>2</v>
      </c>
      <c r="K27">
        <f>ROUND(INDEX(Economic!AF:AF,MATCH(EOMONTH($A27,-1),Economic!A:A,0)),2)</f>
        <v>133.25</v>
      </c>
      <c r="L27" s="11">
        <f t="shared" si="271"/>
        <v>2</v>
      </c>
      <c r="M27">
        <f>ROUND(INDEX(Manufacturing!P:P,MATCH(EOMONTH($A27,-1),Manufacturing!A:A,0)),2)</f>
        <v>100.55</v>
      </c>
      <c r="N27">
        <f t="shared" si="261"/>
        <v>2</v>
      </c>
      <c r="O27">
        <f>ROUND(INDEX(Housing!AC:AC,MATCH(EOMONTH($A27,-1),Housing!B:B,0)),2)</f>
        <v>154.93</v>
      </c>
      <c r="P27">
        <f t="shared" si="262"/>
        <v>3</v>
      </c>
      <c r="Q27">
        <f>ROUND(INDEX(Spending!AJ:AJ,MATCH(EOMONTH($A27,-1),Spending!B:B,0)),2)</f>
        <v>65.42</v>
      </c>
      <c r="R27">
        <f t="shared" si="272"/>
        <v>2</v>
      </c>
      <c r="S27">
        <f>ROUND(INDEX(Employment!V:V,MATCH(EOMONTH($A27,-1),Employment!A:A,0)),2)</f>
        <v>177.67</v>
      </c>
      <c r="T27" s="11">
        <f t="shared" si="263"/>
        <v>2</v>
      </c>
      <c r="U27">
        <f t="shared" ref="U27" si="321">F27+H27+J27+L27+N27+P27+R27+T27+20</f>
        <v>30</v>
      </c>
      <c r="V27">
        <f t="shared" si="59"/>
        <v>86.94</v>
      </c>
      <c r="W27" s="13">
        <f t="shared" si="60"/>
        <v>7.1000000000000004E-3</v>
      </c>
      <c r="X27" s="13">
        <f t="shared" si="61"/>
        <v>2.0500000000000001E-2</v>
      </c>
      <c r="Y27">
        <f t="shared" si="36"/>
        <v>78.13</v>
      </c>
      <c r="Z27" s="13">
        <f t="shared" ref="Z27" si="322">ROUND((AVERAGE(Y27:Y29)-AVERAGE(Y28:Y30))/AVERAGE(Y28:Y30),4)</f>
        <v>-1.6000000000000001E-3</v>
      </c>
      <c r="AA27" s="13">
        <f t="shared" ref="AA27" si="323">SUM(Z27:Z30)</f>
        <v>-1.95E-2</v>
      </c>
      <c r="AB27" s="6">
        <f t="shared" si="39"/>
        <v>76.397000000000006</v>
      </c>
      <c r="AC27">
        <f t="shared" ref="AC27" si="324">IF(ROUND(AB27/2,0)&lt;0,0,ROUND(AB27/2,0))</f>
        <v>38</v>
      </c>
      <c r="AD27" s="11">
        <f t="shared" ref="AD27" si="325">IF(AC27&gt;47,2,IF(AND(AC27&gt;41,AC27&lt;=47),1,IF(AC27&lt;15,-2,IF(AND(AC27&lt;32,AC27&gt;=15),-1,0))))</f>
        <v>0</v>
      </c>
      <c r="AE27">
        <f t="shared" ref="AE27" si="326">IF(AND(AA27&gt;=0.2,AC27&gt;=20,U27+AD27+2&lt;30),U27+AD27+2+12,U27+AD27+2)</f>
        <v>32</v>
      </c>
      <c r="AF27">
        <f>IF(AND(AE27&lt;15,OR(AC27&gt;=30,AA27&gt;0.15,X27&gt;=0.15)),2,VLOOKUP(AE27,Table!P:Q,2,FALSE))</f>
        <v>5</v>
      </c>
      <c r="AG27" s="22">
        <f>IF((AB27*0.98)-(D27*0.8)+((AF27-3)*3)+VLOOKUP(AM27,Table!$A$11:$B$13,2,FALSE)&lt;0,0,(AB27*0.98)-(D27*0.8)+((AF27-3)*3)+VLOOKUP(AM27,Table!$A$11:$B$13,2,FALSE))</f>
        <v>75.677060000000012</v>
      </c>
      <c r="AH27" s="22">
        <f t="shared" si="270"/>
        <v>71</v>
      </c>
      <c r="AI27" s="18">
        <f t="shared" si="234"/>
        <v>1.41</v>
      </c>
      <c r="AJ27" s="18">
        <f t="shared" si="235"/>
        <v>1.18</v>
      </c>
      <c r="AK27" t="str">
        <f t="shared" si="45"/>
        <v>Rising Rates</v>
      </c>
      <c r="AL27">
        <f t="shared" si="144"/>
        <v>32.5</v>
      </c>
      <c r="AM27" s="11" t="str">
        <f t="shared" si="46"/>
        <v>Stocks</v>
      </c>
      <c r="AN27" t="str">
        <f t="shared" si="69"/>
        <v>Buy</v>
      </c>
      <c r="AO27" s="13">
        <f t="shared" si="70"/>
        <v>-2.0400000000000001E-2</v>
      </c>
      <c r="AP27" s="13">
        <f t="shared" si="71"/>
        <v>2.9999999999999997E-4</v>
      </c>
      <c r="AQ27" s="13">
        <f t="shared" si="72"/>
        <v>-1.44E-2</v>
      </c>
      <c r="AR27" s="13">
        <f t="shared" si="47"/>
        <v>-2.0400000000000001E-2</v>
      </c>
      <c r="AS27" s="6">
        <f t="shared" si="20"/>
        <v>684.1722356909296</v>
      </c>
      <c r="AT27" s="6">
        <f t="shared" si="21"/>
        <v>188.95460402053405</v>
      </c>
      <c r="AU27" s="6">
        <f t="shared" si="22"/>
        <v>1008.1464473441192</v>
      </c>
      <c r="AV27" s="6">
        <f t="shared" si="23"/>
        <v>1604.6302224728724</v>
      </c>
      <c r="AW27" s="58">
        <f t="shared" si="48"/>
        <v>2018</v>
      </c>
      <c r="AX27" s="58">
        <f>COUNTIF(AW$3:AW27,AW27)</f>
        <v>25</v>
      </c>
    </row>
    <row r="28" spans="1:50" x14ac:dyDescent="0.25">
      <c r="A28" s="5">
        <v>43149</v>
      </c>
      <c r="B28" s="18">
        <v>2732.22</v>
      </c>
      <c r="C28">
        <v>1.58</v>
      </c>
      <c r="D28" s="18">
        <v>19.46</v>
      </c>
      <c r="E28" s="18">
        <f t="shared" si="247"/>
        <v>21.94</v>
      </c>
      <c r="F28">
        <f t="shared" si="248"/>
        <v>-1</v>
      </c>
      <c r="G28" s="18">
        <f>ROUND(INDEX(Valuation!U:U,MATCH(A28,Valuation!A:A,0)),2)</f>
        <v>39.6</v>
      </c>
      <c r="H28">
        <f t="shared" ref="H28:H91" si="327">IF(G28&gt;200,3,IF(AND(G28&gt;160,G28&lt;=200),2,IF(AND(G28&gt;120,G28&lt;=160),1,IF(G28&lt;25,-3,IF(AND(G28&lt;50,G28&gt;=25),-2,IF(AND(G28&lt;90,G28&gt;=50),-1,0))))))</f>
        <v>-2</v>
      </c>
      <c r="I28" s="18">
        <f>INDEX(WeeklyIndicators!Y:Y,MATCH(A28,WeeklyIndicators!A:A,0))</f>
        <v>161.82</v>
      </c>
      <c r="J28">
        <f t="shared" si="223"/>
        <v>2</v>
      </c>
      <c r="K28">
        <f>ROUND(INDEX(Economic!AF:AF,MATCH(EOMONTH($A28,-1),Economic!A:A,0)),2)</f>
        <v>133.25</v>
      </c>
      <c r="L28" s="11">
        <f t="shared" si="271"/>
        <v>2</v>
      </c>
      <c r="M28">
        <f>ROUND(INDEX(Manufacturing!P:P,MATCH(EOMONTH($A28,-1),Manufacturing!A:A,0)),2)</f>
        <v>100.55</v>
      </c>
      <c r="N28">
        <f t="shared" si="261"/>
        <v>2</v>
      </c>
      <c r="O28">
        <f>ROUND(INDEX(Housing!AC:AC,MATCH(EOMONTH($A28,-1),Housing!B:B,0)),2)</f>
        <v>154.93</v>
      </c>
      <c r="P28">
        <f t="shared" si="262"/>
        <v>3</v>
      </c>
      <c r="Q28">
        <f>ROUND(INDEX(Spending!AJ:AJ,MATCH(EOMONTH($A28,-1),Spending!B:B,0)),2)</f>
        <v>65.42</v>
      </c>
      <c r="R28">
        <f t="shared" si="272"/>
        <v>2</v>
      </c>
      <c r="S28">
        <f>ROUND(INDEX(Employment!V:V,MATCH(EOMONTH($A28,-1),Employment!A:A,0)),2)</f>
        <v>177.67</v>
      </c>
      <c r="T28" s="11">
        <f t="shared" si="263"/>
        <v>2</v>
      </c>
      <c r="U28">
        <f t="shared" ref="U28" si="328">F28+H28+J28+L28+N28+P28+R28+T28+20</f>
        <v>30</v>
      </c>
      <c r="V28">
        <f t="shared" si="59"/>
        <v>86.48</v>
      </c>
      <c r="W28" s="13">
        <f t="shared" si="60"/>
        <v>1.06E-2</v>
      </c>
      <c r="X28" s="13">
        <f t="shared" si="61"/>
        <v>6.2999999999999983E-3</v>
      </c>
      <c r="Y28">
        <f t="shared" si="36"/>
        <v>77.569999999999993</v>
      </c>
      <c r="Z28" s="13">
        <f t="shared" ref="Z28" si="329">ROUND((AVERAGE(Y28:Y30)-AVERAGE(Y29:Y31))/AVERAGE(Y29:Y31),4)</f>
        <v>-2E-3</v>
      </c>
      <c r="AA28" s="13">
        <f t="shared" ref="AA28" si="330">SUM(Z28:Z31)</f>
        <v>-2.81E-2</v>
      </c>
      <c r="AB28" s="6">
        <f t="shared" si="39"/>
        <v>75.089999999999989</v>
      </c>
      <c r="AC28">
        <f t="shared" ref="AC28" si="331">IF(ROUND(AB28/2,0)&lt;0,0,ROUND(AB28/2,0))</f>
        <v>38</v>
      </c>
      <c r="AD28" s="11">
        <f t="shared" ref="AD28" si="332">IF(AC28&gt;47,2,IF(AND(AC28&gt;41,AC28&lt;=47),1,IF(AC28&lt;15,-2,IF(AND(AC28&lt;32,AC28&gt;=15),-1,0))))</f>
        <v>0</v>
      </c>
      <c r="AE28">
        <f t="shared" ref="AE28" si="333">IF(AND(AA28&gt;=0.2,AC28&gt;=20,U28+AD28+2&lt;30),U28+AD28+2+12,U28+AD28+2)</f>
        <v>32</v>
      </c>
      <c r="AF28">
        <f>IF(AND(AE28&lt;15,OR(AC28&gt;=30,AA28&gt;0.15,X28&gt;=0.15)),2,VLOOKUP(AE28,Table!P:Q,2,FALSE))</f>
        <v>5</v>
      </c>
      <c r="AG28" s="22">
        <f>IF((AB28*0.98)-(D28*0.8)+((AF28-3)*3)+VLOOKUP(AM28,Table!$A$11:$B$13,2,FALSE)&lt;0,0,(AB28*0.98)-(D28*0.8)+((AF28-3)*3)+VLOOKUP(AM28,Table!$A$11:$B$13,2,FALSE))</f>
        <v>72.020199999999988</v>
      </c>
      <c r="AH28" s="22">
        <f t="shared" si="270"/>
        <v>71</v>
      </c>
      <c r="AI28" s="18">
        <f t="shared" si="234"/>
        <v>1.39</v>
      </c>
      <c r="AJ28" s="18">
        <f t="shared" si="235"/>
        <v>1.1599999999999999</v>
      </c>
      <c r="AK28" t="str">
        <f t="shared" si="45"/>
        <v>Rising Rates</v>
      </c>
      <c r="AL28">
        <f t="shared" si="144"/>
        <v>33</v>
      </c>
      <c r="AM28" s="11" t="str">
        <f t="shared" si="46"/>
        <v>Stocks</v>
      </c>
      <c r="AN28" t="str">
        <f t="shared" si="69"/>
        <v>Buy</v>
      </c>
      <c r="AO28" s="13">
        <f t="shared" si="70"/>
        <v>5.4999999999999997E-3</v>
      </c>
      <c r="AP28" s="13">
        <f t="shared" si="71"/>
        <v>2.9999999999999997E-4</v>
      </c>
      <c r="AQ28" s="13">
        <f t="shared" si="72"/>
        <v>4.0000000000000001E-3</v>
      </c>
      <c r="AR28" s="13">
        <f t="shared" si="47"/>
        <v>5.4999999999999997E-3</v>
      </c>
      <c r="AS28" s="6">
        <f t="shared" si="20"/>
        <v>680.42987139823924</v>
      </c>
      <c r="AT28" s="6">
        <f t="shared" si="21"/>
        <v>188.89793464014201</v>
      </c>
      <c r="AU28" s="6">
        <f t="shared" si="22"/>
        <v>1004.1299276335849</v>
      </c>
      <c r="AV28" s="6">
        <f t="shared" si="23"/>
        <v>1595.8530308034533</v>
      </c>
      <c r="AW28" s="58">
        <f t="shared" si="48"/>
        <v>2018</v>
      </c>
      <c r="AX28" s="58">
        <f>COUNTIF(AW$3:AW28,AW28)</f>
        <v>26</v>
      </c>
    </row>
    <row r="29" spans="1:50" x14ac:dyDescent="0.25">
      <c r="A29" s="5">
        <v>43142</v>
      </c>
      <c r="B29" s="18">
        <v>2619.5500000000002</v>
      </c>
      <c r="C29">
        <v>1.52</v>
      </c>
      <c r="D29" s="18">
        <v>29.06</v>
      </c>
      <c r="E29" s="18">
        <f t="shared" si="247"/>
        <v>19.149999999999999</v>
      </c>
      <c r="F29">
        <f t="shared" si="248"/>
        <v>-1</v>
      </c>
      <c r="G29" s="18">
        <f>ROUND(INDEX(Valuation!U:U,MATCH(A29,Valuation!A:A,0)),2)</f>
        <v>36.479999999999997</v>
      </c>
      <c r="H29">
        <f t="shared" si="327"/>
        <v>-2</v>
      </c>
      <c r="I29" s="18">
        <f>INDEX(WeeklyIndicators!Y:Y,MATCH(A29,WeeklyIndicators!A:A,0))</f>
        <v>155.44999999999999</v>
      </c>
      <c r="J29">
        <f t="shared" si="223"/>
        <v>2</v>
      </c>
      <c r="K29">
        <f>ROUND(INDEX(Economic!AF:AF,MATCH(EOMONTH($A29,-1),Economic!A:A,0)),2)</f>
        <v>133.25</v>
      </c>
      <c r="L29" s="11">
        <f t="shared" si="271"/>
        <v>2</v>
      </c>
      <c r="M29">
        <f>ROUND(INDEX(Manufacturing!P:P,MATCH(EOMONTH($A29,-1),Manufacturing!A:A,0)),2)</f>
        <v>100.55</v>
      </c>
      <c r="N29">
        <f t="shared" si="261"/>
        <v>2</v>
      </c>
      <c r="O29">
        <f>ROUND(INDEX(Housing!AC:AC,MATCH(EOMONTH($A29,-1),Housing!B:B,0)),2)</f>
        <v>154.93</v>
      </c>
      <c r="P29">
        <f t="shared" si="262"/>
        <v>3</v>
      </c>
      <c r="Q29">
        <f>ROUND(INDEX(Spending!AJ:AJ,MATCH(EOMONTH($A29,-1),Spending!B:B,0)),2)</f>
        <v>65.42</v>
      </c>
      <c r="R29">
        <f t="shared" si="272"/>
        <v>2</v>
      </c>
      <c r="S29">
        <f>ROUND(INDEX(Employment!V:V,MATCH(EOMONTH($A29,-1),Employment!A:A,0)),2)</f>
        <v>177.67</v>
      </c>
      <c r="T29" s="11">
        <f t="shared" si="263"/>
        <v>2</v>
      </c>
      <c r="U29">
        <f t="shared" ref="U29" si="334">F29+H29+J29+L29+N29+P29+R29+T29+20</f>
        <v>30</v>
      </c>
      <c r="V29">
        <f t="shared" si="59"/>
        <v>85.82</v>
      </c>
      <c r="W29" s="13">
        <f t="shared" si="60"/>
        <v>4.4999999999999997E-3</v>
      </c>
      <c r="X29" s="13">
        <f t="shared" si="61"/>
        <v>7.2999999999999983E-3</v>
      </c>
      <c r="Y29">
        <f t="shared" si="36"/>
        <v>77.540000000000006</v>
      </c>
      <c r="Z29" s="13">
        <f t="shared" ref="Z29" si="335">ROUND((AVERAGE(Y29:Y31)-AVERAGE(Y30:Y32))/AVERAGE(Y30:Y32),4)</f>
        <v>-7.7999999999999996E-3</v>
      </c>
      <c r="AA29" s="13">
        <f t="shared" ref="AA29" si="336">SUM(Z29:Z32)</f>
        <v>-1.5599999999999998E-2</v>
      </c>
      <c r="AB29" s="6">
        <f t="shared" si="39"/>
        <v>75.578000000000003</v>
      </c>
      <c r="AC29">
        <f t="shared" ref="AC29" si="337">IF(ROUND(AB29/2,0)&lt;0,0,ROUND(AB29/2,0))</f>
        <v>38</v>
      </c>
      <c r="AD29" s="11">
        <f t="shared" ref="AD29" si="338">IF(AC29&gt;47,2,IF(AND(AC29&gt;41,AC29&lt;=47),1,IF(AC29&lt;15,-2,IF(AND(AC29&lt;32,AC29&gt;=15),-1,0))))</f>
        <v>0</v>
      </c>
      <c r="AE29">
        <f t="shared" ref="AE29" si="339">IF(AND(AA29&gt;=0.2,AC29&gt;=20,U29+AD29+2&lt;30),U29+AD29+2+12,U29+AD29+2)</f>
        <v>32</v>
      </c>
      <c r="AF29">
        <f>IF(AND(AE29&lt;15,OR(AC29&gt;=30,AA29&gt;0.15,X29&gt;=0.15)),2,VLOOKUP(AE29,Table!P:Q,2,FALSE))</f>
        <v>5</v>
      </c>
      <c r="AG29" s="22">
        <f>IF((AB29*0.98)-(D29*0.8)+((AF29-3)*3)+VLOOKUP(AM29,Table!$A$11:$B$13,2,FALSE)&lt;0,0,(AB29*0.98)-(D29*0.8)+((AF29-3)*3)+VLOOKUP(AM29,Table!$A$11:$B$13,2,FALSE))</f>
        <v>64.818439999999995</v>
      </c>
      <c r="AH29" s="22">
        <f t="shared" si="270"/>
        <v>75</v>
      </c>
      <c r="AI29" s="18">
        <f t="shared" si="234"/>
        <v>1.36</v>
      </c>
      <c r="AJ29" s="18">
        <f t="shared" si="235"/>
        <v>1.1399999999999999</v>
      </c>
      <c r="AK29" t="str">
        <f t="shared" si="45"/>
        <v>Rising Rates</v>
      </c>
      <c r="AL29">
        <f t="shared" si="144"/>
        <v>33.75</v>
      </c>
      <c r="AM29" s="11" t="str">
        <f t="shared" si="46"/>
        <v>Stocks</v>
      </c>
      <c r="AN29" t="str">
        <f t="shared" si="69"/>
        <v>Buy</v>
      </c>
      <c r="AO29" s="13">
        <f t="shared" si="70"/>
        <v>4.2999999999999997E-2</v>
      </c>
      <c r="AP29" s="13">
        <f t="shared" si="71"/>
        <v>2.9999999999999997E-4</v>
      </c>
      <c r="AQ29" s="13">
        <f t="shared" si="72"/>
        <v>3.2300000000000002E-2</v>
      </c>
      <c r="AR29" s="13">
        <f t="shared" si="47"/>
        <v>4.2999999999999997E-2</v>
      </c>
      <c r="AS29" s="6">
        <f t="shared" si="20"/>
        <v>652.37763317184977</v>
      </c>
      <c r="AT29" s="6">
        <f t="shared" si="21"/>
        <v>188.84128225546539</v>
      </c>
      <c r="AU29" s="6">
        <f t="shared" si="22"/>
        <v>972.71135099640117</v>
      </c>
      <c r="AV29" s="6">
        <f t="shared" si="23"/>
        <v>1530.0604322180761</v>
      </c>
      <c r="AW29" s="58">
        <f t="shared" si="48"/>
        <v>2018</v>
      </c>
      <c r="AX29" s="58">
        <f>COUNTIF(AW$3:AW29,AW29)</f>
        <v>27</v>
      </c>
    </row>
    <row r="30" spans="1:50" x14ac:dyDescent="0.25">
      <c r="A30" s="5">
        <v>43135</v>
      </c>
      <c r="B30" s="18">
        <v>2762.13</v>
      </c>
      <c r="C30">
        <v>1.44</v>
      </c>
      <c r="D30" s="18">
        <v>17.309999999999999</v>
      </c>
      <c r="E30" s="18">
        <f t="shared" si="247"/>
        <v>13.22</v>
      </c>
      <c r="F30">
        <f t="shared" si="248"/>
        <v>2</v>
      </c>
      <c r="G30" s="18">
        <f>ROUND(INDEX(Valuation!U:U,MATCH(A30,Valuation!A:A,0)),2)</f>
        <v>32.950000000000003</v>
      </c>
      <c r="H30">
        <f t="shared" si="327"/>
        <v>-2</v>
      </c>
      <c r="I30" s="18">
        <f>INDEX(WeeklyIndicators!Y:Y,MATCH(A30,WeeklyIndicators!A:A,0))</f>
        <v>148.59</v>
      </c>
      <c r="J30">
        <f t="shared" si="223"/>
        <v>1</v>
      </c>
      <c r="K30">
        <f>ROUND(INDEX(Economic!AF:AF,MATCH(EOMONTH($A30,-1),Economic!A:A,0)),2)</f>
        <v>133.25</v>
      </c>
      <c r="L30" s="11">
        <f t="shared" si="271"/>
        <v>2</v>
      </c>
      <c r="M30">
        <f>ROUND(INDEX(Manufacturing!P:P,MATCH(EOMONTH($A30,-1),Manufacturing!A:A,0)),2)</f>
        <v>100.55</v>
      </c>
      <c r="N30">
        <f t="shared" si="261"/>
        <v>2</v>
      </c>
      <c r="O30">
        <f>ROUND(INDEX(Housing!AC:AC,MATCH(EOMONTH($A30,-1),Housing!B:B,0)),2)</f>
        <v>154.93</v>
      </c>
      <c r="P30">
        <f t="shared" si="262"/>
        <v>3</v>
      </c>
      <c r="Q30">
        <f>ROUND(INDEX(Spending!AJ:AJ,MATCH(EOMONTH($A30,-1),Spending!B:B,0)),2)</f>
        <v>65.42</v>
      </c>
      <c r="R30">
        <f t="shared" si="272"/>
        <v>2</v>
      </c>
      <c r="S30">
        <f>ROUND(INDEX(Employment!V:V,MATCH(EOMONTH($A30,-1),Employment!A:A,0)),2)</f>
        <v>177.67</v>
      </c>
      <c r="T30" s="11">
        <f t="shared" si="263"/>
        <v>2</v>
      </c>
      <c r="U30">
        <f t="shared" ref="U30" si="340">F30+H30+J30+L30+N30+P30+R30+T30+20</f>
        <v>32</v>
      </c>
      <c r="V30">
        <f t="shared" si="59"/>
        <v>85.11</v>
      </c>
      <c r="W30" s="13">
        <f t="shared" si="60"/>
        <v>-1.6999999999999999E-3</v>
      </c>
      <c r="X30" s="13">
        <f t="shared" si="61"/>
        <v>2.1999999999999999E-2</v>
      </c>
      <c r="Y30">
        <f t="shared" si="36"/>
        <v>78.5</v>
      </c>
      <c r="Z30" s="13">
        <f t="shared" ref="Z30" si="341">ROUND((AVERAGE(Y30:Y32)-AVERAGE(Y31:Y33))/AVERAGE(Y31:Y33),4)</f>
        <v>-8.0999999999999996E-3</v>
      </c>
      <c r="AA30" s="13">
        <f t="shared" ref="AA30" si="342">SUM(Z30:Z33)</f>
        <v>1.06E-2</v>
      </c>
      <c r="AB30" s="6">
        <f t="shared" si="39"/>
        <v>78.064999999999998</v>
      </c>
      <c r="AC30">
        <f t="shared" ref="AC30" si="343">IF(ROUND(AB30/2,0)&lt;0,0,ROUND(AB30/2,0))</f>
        <v>39</v>
      </c>
      <c r="AD30" s="11">
        <f t="shared" ref="AD30" si="344">IF(AC30&gt;47,2,IF(AND(AC30&gt;41,AC30&lt;=47),1,IF(AC30&lt;15,-2,IF(AND(AC30&lt;32,AC30&gt;=15),-1,0))))</f>
        <v>0</v>
      </c>
      <c r="AE30">
        <f t="shared" ref="AE30" si="345">IF(AND(AA30&gt;=0.2,AC30&gt;=20,U30+AD30+2&lt;30),U30+AD30+2+12,U30+AD30+2)</f>
        <v>34</v>
      </c>
      <c r="AF30">
        <f>IF(AND(AE30&lt;15,OR(AC30&gt;=30,AA30&gt;0.15,X30&gt;=0.15)),2,VLOOKUP(AE30,Table!P:Q,2,FALSE))</f>
        <v>5</v>
      </c>
      <c r="AG30" s="22">
        <f>IF((AB30*0.98)-(D30*0.8)+((AF30-3)*3)+VLOOKUP(AM30,Table!$A$11:$B$13,2,FALSE)&lt;0,0,(AB30*0.98)-(D30*0.8)+((AF30-3)*3)+VLOOKUP(AM30,Table!$A$11:$B$13,2,FALSE))</f>
        <v>76.655699999999996</v>
      </c>
      <c r="AH30" s="22">
        <f t="shared" si="270"/>
        <v>82</v>
      </c>
      <c r="AI30" s="18">
        <f t="shared" si="234"/>
        <v>1.34</v>
      </c>
      <c r="AJ30" s="18">
        <f t="shared" si="235"/>
        <v>1.1200000000000001</v>
      </c>
      <c r="AK30" t="str">
        <f t="shared" si="45"/>
        <v>Rising Rates</v>
      </c>
      <c r="AL30">
        <f t="shared" si="144"/>
        <v>34.5</v>
      </c>
      <c r="AM30" s="11" t="str">
        <f t="shared" si="46"/>
        <v>Stocks</v>
      </c>
      <c r="AN30" t="str">
        <f t="shared" si="69"/>
        <v>Buy</v>
      </c>
      <c r="AO30" s="13">
        <f t="shared" si="70"/>
        <v>-5.16E-2</v>
      </c>
      <c r="AP30" s="13">
        <f t="shared" si="71"/>
        <v>2.9999999999999997E-4</v>
      </c>
      <c r="AQ30" s="13">
        <f t="shared" si="72"/>
        <v>-4.2299999999999997E-2</v>
      </c>
      <c r="AR30" s="13">
        <f t="shared" si="47"/>
        <v>-5.16E-2</v>
      </c>
      <c r="AS30" s="6">
        <f t="shared" si="20"/>
        <v>687.87181903400437</v>
      </c>
      <c r="AT30" s="6">
        <f t="shared" si="21"/>
        <v>188.78464686140697</v>
      </c>
      <c r="AU30" s="6">
        <f t="shared" si="22"/>
        <v>1015.6743771498394</v>
      </c>
      <c r="AV30" s="6">
        <f t="shared" si="23"/>
        <v>1613.3070774125645</v>
      </c>
      <c r="AW30" s="58">
        <f t="shared" si="48"/>
        <v>2018</v>
      </c>
      <c r="AX30" s="58">
        <f>COUNTIF(AW$3:AW30,AW30)</f>
        <v>28</v>
      </c>
    </row>
    <row r="31" spans="1:50" x14ac:dyDescent="0.25">
      <c r="A31" s="5">
        <v>43128</v>
      </c>
      <c r="B31" s="18">
        <v>2872.87</v>
      </c>
      <c r="C31">
        <v>1.41</v>
      </c>
      <c r="D31" s="18">
        <v>11.08</v>
      </c>
      <c r="E31" s="18">
        <f t="shared" si="247"/>
        <v>10.84</v>
      </c>
      <c r="F31">
        <f t="shared" si="248"/>
        <v>3</v>
      </c>
      <c r="G31" s="18">
        <f>ROUND(INDEX(Valuation!U:U,MATCH(A31,Valuation!A:A,0)),2)</f>
        <v>33.380000000000003</v>
      </c>
      <c r="H31">
        <f t="shared" si="327"/>
        <v>-2</v>
      </c>
      <c r="I31" s="18">
        <f>INDEX(WeeklyIndicators!Y:Y,MATCH(A31,WeeklyIndicators!A:A,0))</f>
        <v>150.51</v>
      </c>
      <c r="J31">
        <f t="shared" si="223"/>
        <v>1</v>
      </c>
      <c r="K31">
        <f>ROUND(INDEX(Economic!AF:AF,MATCH(EOMONTH($A31,-1),Economic!A:A,0)),2)</f>
        <v>128.69999999999999</v>
      </c>
      <c r="L31" s="11">
        <f t="shared" si="271"/>
        <v>2</v>
      </c>
      <c r="M31">
        <f>ROUND(INDEX(Manufacturing!P:P,MATCH(EOMONTH($A31,-1),Manufacturing!A:A,0)),2)</f>
        <v>97.03</v>
      </c>
      <c r="N31">
        <f t="shared" si="261"/>
        <v>1</v>
      </c>
      <c r="O31">
        <f>ROUND(INDEX(Housing!AC:AC,MATCH(EOMONTH($A31,-1),Housing!B:B,0)),2)</f>
        <v>150.55000000000001</v>
      </c>
      <c r="P31">
        <f t="shared" si="262"/>
        <v>3</v>
      </c>
      <c r="Q31">
        <f>ROUND(INDEX(Spending!AJ:AJ,MATCH(EOMONTH($A31,-1),Spending!B:B,0)),2)</f>
        <v>61.3</v>
      </c>
      <c r="R31">
        <f t="shared" si="272"/>
        <v>2</v>
      </c>
      <c r="S31">
        <f>ROUND(INDEX(Employment!V:V,MATCH(EOMONTH($A31,-1),Employment!A:A,0)),2)</f>
        <v>180.53</v>
      </c>
      <c r="T31" s="11">
        <f t="shared" si="263"/>
        <v>2</v>
      </c>
      <c r="U31">
        <f t="shared" ref="U31" si="346">F31+H31+J31+L31+N31+P31+R31+T31+20</f>
        <v>32</v>
      </c>
      <c r="V31">
        <f t="shared" si="59"/>
        <v>83.77</v>
      </c>
      <c r="W31" s="13">
        <f t="shared" si="60"/>
        <v>-7.1000000000000004E-3</v>
      </c>
      <c r="X31" s="13">
        <f t="shared" si="61"/>
        <v>4.5399999999999996E-2</v>
      </c>
      <c r="Y31">
        <f t="shared" si="36"/>
        <v>78.040000000000006</v>
      </c>
      <c r="Z31" s="13">
        <f t="shared" ref="Z31" si="347">ROUND((AVERAGE(Y31:Y33)-AVERAGE(Y32:Y34))/AVERAGE(Y32:Y34),4)</f>
        <v>-1.0200000000000001E-2</v>
      </c>
      <c r="AA31" s="13">
        <f t="shared" ref="AA31" si="348">SUM(Z31:Z34)</f>
        <v>3.9900000000000005E-2</v>
      </c>
      <c r="AB31" s="6">
        <f t="shared" si="39"/>
        <v>79.797999999999988</v>
      </c>
      <c r="AC31">
        <f t="shared" ref="AC31" si="349">IF(ROUND(AB31/2,0)&lt;0,0,ROUND(AB31/2,0))</f>
        <v>40</v>
      </c>
      <c r="AD31" s="11">
        <f t="shared" ref="AD31" si="350">IF(AC31&gt;47,2,IF(AND(AC31&gt;41,AC31&lt;=47),1,IF(AC31&lt;15,-2,IF(AND(AC31&lt;32,AC31&gt;=15),-1,0))))</f>
        <v>0</v>
      </c>
      <c r="AE31">
        <f t="shared" ref="AE31" si="351">IF(AND(AA31&gt;=0.2,AC31&gt;=20,U31+AD31+2&lt;30),U31+AD31+2+12,U31+AD31+2)</f>
        <v>34</v>
      </c>
      <c r="AF31">
        <f>IF(AND(AE31&lt;15,OR(AC31&gt;=30,AA31&gt;0.15,X31&gt;=0.15)),2,VLOOKUP(AE31,Table!P:Q,2,FALSE))</f>
        <v>5</v>
      </c>
      <c r="AG31" s="22">
        <f>IF((AB31*0.98)-(D31*0.8)+((AF31-3)*3)+VLOOKUP(AM31,Table!$A$11:$B$13,2,FALSE)&lt;0,0,(AB31*0.98)-(D31*0.8)+((AF31-3)*3)+VLOOKUP(AM31,Table!$A$11:$B$13,2,FALSE))</f>
        <v>83.338039999999978</v>
      </c>
      <c r="AH31" s="22">
        <f t="shared" si="270"/>
        <v>85</v>
      </c>
      <c r="AI31" s="18">
        <f t="shared" si="234"/>
        <v>1.31</v>
      </c>
      <c r="AJ31" s="18">
        <f t="shared" si="235"/>
        <v>1.1100000000000001</v>
      </c>
      <c r="AK31" t="str">
        <f t="shared" si="45"/>
        <v>Rising Rates</v>
      </c>
      <c r="AL31">
        <f t="shared" si="144"/>
        <v>34.75</v>
      </c>
      <c r="AM31" s="11" t="str">
        <f t="shared" si="46"/>
        <v>Stocks</v>
      </c>
      <c r="AN31" t="str">
        <f t="shared" si="69"/>
        <v>Buy</v>
      </c>
      <c r="AO31" s="13">
        <f t="shared" si="70"/>
        <v>-3.85E-2</v>
      </c>
      <c r="AP31" s="13">
        <f t="shared" si="71"/>
        <v>2.9999999999999997E-4</v>
      </c>
      <c r="AQ31" s="13">
        <f t="shared" si="72"/>
        <v>-3.27E-2</v>
      </c>
      <c r="AR31" s="13">
        <f t="shared" si="47"/>
        <v>-3.85E-2</v>
      </c>
      <c r="AS31" s="6">
        <f t="shared" si="20"/>
        <v>715.41530840770088</v>
      </c>
      <c r="AT31" s="6">
        <f t="shared" si="21"/>
        <v>188.72802845287111</v>
      </c>
      <c r="AU31" s="6">
        <f t="shared" si="22"/>
        <v>1050.0096941484951</v>
      </c>
      <c r="AV31" s="6">
        <f t="shared" si="23"/>
        <v>1677.9064767681377</v>
      </c>
      <c r="AW31" s="58">
        <f t="shared" si="48"/>
        <v>2018</v>
      </c>
      <c r="AX31" s="58">
        <f>COUNTIF(AW$3:AW31,AW31)</f>
        <v>29</v>
      </c>
    </row>
    <row r="32" spans="1:50" x14ac:dyDescent="0.25">
      <c r="A32" s="5">
        <v>43121</v>
      </c>
      <c r="B32" s="18">
        <v>2810.3</v>
      </c>
      <c r="C32">
        <v>1.43</v>
      </c>
      <c r="D32" s="18">
        <v>11.27</v>
      </c>
      <c r="E32" s="18">
        <f t="shared" si="247"/>
        <v>10.220000000000001</v>
      </c>
      <c r="F32">
        <f t="shared" si="248"/>
        <v>3</v>
      </c>
      <c r="G32" s="18">
        <f>ROUND(INDEX(Valuation!U:U,MATCH(A32,Valuation!A:A,0)),2)</f>
        <v>35.159999999999997</v>
      </c>
      <c r="H32">
        <f t="shared" si="327"/>
        <v>-2</v>
      </c>
      <c r="I32" s="18">
        <f>INDEX(WeeklyIndicators!Y:Y,MATCH(A32,WeeklyIndicators!A:A,0))</f>
        <v>159.34</v>
      </c>
      <c r="J32">
        <f t="shared" si="223"/>
        <v>2</v>
      </c>
      <c r="K32">
        <f>ROUND(INDEX(Economic!AF:AF,MATCH(EOMONTH($A32,-1),Economic!A:A,0)),2)</f>
        <v>128.69999999999999</v>
      </c>
      <c r="L32" s="11">
        <f t="shared" si="271"/>
        <v>2</v>
      </c>
      <c r="M32">
        <f>ROUND(INDEX(Manufacturing!P:P,MATCH(EOMONTH($A32,-1),Manufacturing!A:A,0)),2)</f>
        <v>97.03</v>
      </c>
      <c r="N32">
        <f t="shared" si="261"/>
        <v>1</v>
      </c>
      <c r="O32">
        <f>ROUND(INDEX(Housing!AC:AC,MATCH(EOMONTH($A32,-1),Housing!B:B,0)),2)</f>
        <v>150.55000000000001</v>
      </c>
      <c r="P32">
        <f t="shared" si="262"/>
        <v>3</v>
      </c>
      <c r="Q32">
        <f>ROUND(INDEX(Spending!AJ:AJ,MATCH(EOMONTH($A32,-1),Spending!B:B,0)),2)</f>
        <v>61.3</v>
      </c>
      <c r="R32">
        <f t="shared" si="272"/>
        <v>2</v>
      </c>
      <c r="S32">
        <f>ROUND(INDEX(Employment!V:V,MATCH(EOMONTH($A32,-1),Employment!A:A,0)),2)</f>
        <v>180.53</v>
      </c>
      <c r="T32" s="11">
        <f t="shared" si="263"/>
        <v>2</v>
      </c>
      <c r="U32">
        <f t="shared" ref="U32" si="352">F32+H32+J32+L32+N32+P32+R32+T32+20</f>
        <v>33</v>
      </c>
      <c r="V32">
        <f t="shared" si="59"/>
        <v>84.68</v>
      </c>
      <c r="W32" s="13">
        <f t="shared" si="60"/>
        <v>1.1599999999999999E-2</v>
      </c>
      <c r="X32" s="13">
        <f t="shared" si="61"/>
        <v>5.6599999999999998E-2</v>
      </c>
      <c r="Y32">
        <f t="shared" si="36"/>
        <v>79.37</v>
      </c>
      <c r="Z32" s="13">
        <f t="shared" ref="Z32" si="353">ROUND((AVERAGE(Y32:Y34)-AVERAGE(Y33:Y35))/AVERAGE(Y33:Y35),4)</f>
        <v>1.0500000000000001E-2</v>
      </c>
      <c r="AA32" s="13">
        <f t="shared" ref="AA32" si="354">SUM(Z32:Z35)</f>
        <v>5.3000000000000005E-2</v>
      </c>
      <c r="AB32" s="6">
        <f t="shared" si="39"/>
        <v>82.326000000000008</v>
      </c>
      <c r="AC32">
        <f t="shared" ref="AC32" si="355">IF(ROUND(AB32/2,0)&lt;0,0,ROUND(AB32/2,0))</f>
        <v>41</v>
      </c>
      <c r="AD32" s="11">
        <f t="shared" ref="AD32" si="356">IF(AC32&gt;47,2,IF(AND(AC32&gt;41,AC32&lt;=47),1,IF(AC32&lt;15,-2,IF(AND(AC32&lt;32,AC32&gt;=15),-1,0))))</f>
        <v>0</v>
      </c>
      <c r="AE32">
        <f t="shared" ref="AE32" si="357">IF(AND(AA32&gt;=0.2,AC32&gt;=20,U32+AD32+2&lt;30),U32+AD32+2+12,U32+AD32+2)</f>
        <v>35</v>
      </c>
      <c r="AF32">
        <f>IF(AND(AE32&lt;15,OR(AC32&gt;=30,AA32&gt;0.15,X32&gt;=0.15)),2,VLOOKUP(AE32,Table!P:Q,2,FALSE))</f>
        <v>5</v>
      </c>
      <c r="AG32" s="22">
        <f>IF((AB32*0.98)-(D32*0.8)+((AF32-3)*3)+VLOOKUP(AM32,Table!$A$11:$B$13,2,FALSE)&lt;0,0,(AB32*0.98)-(D32*0.8)+((AF32-3)*3)+VLOOKUP(AM32,Table!$A$11:$B$13,2,FALSE))</f>
        <v>85.663480000000007</v>
      </c>
      <c r="AH32" s="22">
        <f t="shared" si="270"/>
        <v>86</v>
      </c>
      <c r="AI32" s="18">
        <f t="shared" si="234"/>
        <v>1.29</v>
      </c>
      <c r="AJ32" s="18">
        <f t="shared" si="235"/>
        <v>1.0900000000000001</v>
      </c>
      <c r="AK32" t="str">
        <f t="shared" si="45"/>
        <v>Rising Rates</v>
      </c>
      <c r="AL32">
        <f t="shared" si="144"/>
        <v>34</v>
      </c>
      <c r="AM32" s="11" t="str">
        <f t="shared" si="46"/>
        <v>Stocks</v>
      </c>
      <c r="AN32" t="str">
        <f t="shared" si="69"/>
        <v>Buy</v>
      </c>
      <c r="AO32" s="13">
        <f t="shared" si="70"/>
        <v>2.23E-2</v>
      </c>
      <c r="AP32" s="13">
        <f t="shared" si="71"/>
        <v>2.9999999999999997E-4</v>
      </c>
      <c r="AQ32" s="13">
        <f t="shared" si="72"/>
        <v>1.9199999999999998E-2</v>
      </c>
      <c r="AR32" s="13">
        <f t="shared" si="47"/>
        <v>2.23E-2</v>
      </c>
      <c r="AS32" s="6">
        <f t="shared" si="20"/>
        <v>699.80955532397627</v>
      </c>
      <c r="AT32" s="6">
        <f t="shared" si="21"/>
        <v>188.67142702476369</v>
      </c>
      <c r="AU32" s="6">
        <f t="shared" si="22"/>
        <v>1030.2292917469535</v>
      </c>
      <c r="AV32" s="6">
        <f t="shared" si="23"/>
        <v>1641.3053670822046</v>
      </c>
      <c r="AW32" s="58">
        <f t="shared" si="48"/>
        <v>2018</v>
      </c>
      <c r="AX32" s="58">
        <f>COUNTIF(AW$3:AW32,AW32)</f>
        <v>30</v>
      </c>
    </row>
    <row r="33" spans="1:50" x14ac:dyDescent="0.25">
      <c r="A33" s="5">
        <v>43114</v>
      </c>
      <c r="B33" s="18">
        <v>2786.24</v>
      </c>
      <c r="C33">
        <v>1.41</v>
      </c>
      <c r="D33" s="18">
        <v>10.16</v>
      </c>
      <c r="E33" s="18">
        <f t="shared" si="247"/>
        <v>10.14</v>
      </c>
      <c r="F33">
        <f t="shared" si="248"/>
        <v>3</v>
      </c>
      <c r="G33" s="18">
        <f>ROUND(INDEX(Valuation!U:U,MATCH(A33,Valuation!A:A,0)),2)</f>
        <v>36.57</v>
      </c>
      <c r="H33">
        <f t="shared" si="327"/>
        <v>-2</v>
      </c>
      <c r="I33" s="18">
        <f>INDEX(WeeklyIndicators!Y:Y,MATCH(A33,WeeklyIndicators!A:A,0))</f>
        <v>167.63</v>
      </c>
      <c r="J33">
        <f t="shared" si="223"/>
        <v>2</v>
      </c>
      <c r="K33">
        <f>ROUND(INDEX(Economic!AF:AF,MATCH(EOMONTH($A33,-1),Economic!A:A,0)),2)</f>
        <v>128.69999999999999</v>
      </c>
      <c r="L33" s="11">
        <f t="shared" si="271"/>
        <v>2</v>
      </c>
      <c r="M33">
        <f>ROUND(INDEX(Manufacturing!P:P,MATCH(EOMONTH($A33,-1),Manufacturing!A:A,0)),2)</f>
        <v>97.03</v>
      </c>
      <c r="N33">
        <f t="shared" si="261"/>
        <v>1</v>
      </c>
      <c r="O33">
        <f>ROUND(INDEX(Housing!AC:AC,MATCH(EOMONTH($A33,-1),Housing!B:B,0)),2)</f>
        <v>150.55000000000001</v>
      </c>
      <c r="P33">
        <f t="shared" si="262"/>
        <v>3</v>
      </c>
      <c r="Q33">
        <f>ROUND(INDEX(Spending!AJ:AJ,MATCH(EOMONTH($A33,-1),Spending!B:B,0)),2)</f>
        <v>61.3</v>
      </c>
      <c r="R33">
        <f t="shared" si="272"/>
        <v>2</v>
      </c>
      <c r="S33">
        <f>ROUND(INDEX(Employment!V:V,MATCH(EOMONTH($A33,-1),Employment!A:A,0)),2)</f>
        <v>180.53</v>
      </c>
      <c r="T33" s="11">
        <f t="shared" si="263"/>
        <v>2</v>
      </c>
      <c r="U33">
        <f t="shared" ref="U33" si="358">F33+H33+J33+L33+N33+P33+R33+T33+20</f>
        <v>33</v>
      </c>
      <c r="V33">
        <f t="shared" si="59"/>
        <v>85.54</v>
      </c>
      <c r="W33" s="13">
        <f t="shared" si="60"/>
        <v>1.9199999999999998E-2</v>
      </c>
      <c r="X33" s="13">
        <f t="shared" si="61"/>
        <v>3.9399999999999998E-2</v>
      </c>
      <c r="Y33">
        <f t="shared" si="36"/>
        <v>80.42</v>
      </c>
      <c r="Z33" s="13">
        <f t="shared" ref="Z33" si="359">ROUND((AVERAGE(Y33:Y35)-AVERAGE(Y34:Y36))/AVERAGE(Y34:Y36),4)</f>
        <v>1.84E-2</v>
      </c>
      <c r="AA33" s="13">
        <f t="shared" ref="AA33" si="360">SUM(Z33:Z36)</f>
        <v>3.5499999999999997E-2</v>
      </c>
      <c r="AB33" s="6">
        <f t="shared" si="39"/>
        <v>82.197000000000003</v>
      </c>
      <c r="AC33">
        <f t="shared" ref="AC33" si="361">IF(ROUND(AB33/2,0)&lt;0,0,ROUND(AB33/2,0))</f>
        <v>41</v>
      </c>
      <c r="AD33" s="11">
        <f t="shared" ref="AD33" si="362">IF(AC33&gt;47,2,IF(AND(AC33&gt;41,AC33&lt;=47),1,IF(AC33&lt;15,-2,IF(AND(AC33&lt;32,AC33&gt;=15),-1,0))))</f>
        <v>0</v>
      </c>
      <c r="AE33">
        <f t="shared" ref="AE33" si="363">IF(AND(AA33&gt;=0.2,AC33&gt;=20,U33+AD33+2&lt;30),U33+AD33+2+12,U33+AD33+2)</f>
        <v>35</v>
      </c>
      <c r="AF33">
        <f>IF(AND(AE33&lt;15,OR(AC33&gt;=30,AA33&gt;0.15,X33&gt;=0.15)),2,VLOOKUP(AE33,Table!P:Q,2,FALSE))</f>
        <v>5</v>
      </c>
      <c r="AG33" s="22">
        <f>IF((AB33*0.98)-(D33*0.8)+((AF33-3)*3)+VLOOKUP(AM33,Table!$A$11:$B$13,2,FALSE)&lt;0,0,(AB33*0.98)-(D33*0.8)+((AF33-3)*3)+VLOOKUP(AM33,Table!$A$11:$B$13,2,FALSE))</f>
        <v>86.425060000000002</v>
      </c>
      <c r="AH33" s="22">
        <f t="shared" si="270"/>
        <v>82</v>
      </c>
      <c r="AI33" s="18">
        <f t="shared" si="234"/>
        <v>1.26</v>
      </c>
      <c r="AJ33" s="18">
        <f t="shared" si="235"/>
        <v>1.08</v>
      </c>
      <c r="AK33" t="str">
        <f t="shared" si="45"/>
        <v>Rising Rates</v>
      </c>
      <c r="AL33">
        <f t="shared" si="144"/>
        <v>32.75</v>
      </c>
      <c r="AM33" s="11" t="str">
        <f t="shared" si="46"/>
        <v>Stocks</v>
      </c>
      <c r="AN33" t="str">
        <f t="shared" si="69"/>
        <v>Buy</v>
      </c>
      <c r="AO33" s="13">
        <f t="shared" si="70"/>
        <v>8.6E-3</v>
      </c>
      <c r="AP33" s="13">
        <f t="shared" si="71"/>
        <v>2.9999999999999997E-4</v>
      </c>
      <c r="AQ33" s="13">
        <f t="shared" si="72"/>
        <v>7.1000000000000004E-3</v>
      </c>
      <c r="AR33" s="13">
        <f t="shared" si="47"/>
        <v>8.6E-3</v>
      </c>
      <c r="AS33" s="6">
        <f t="shared" si="20"/>
        <v>693.84250974021052</v>
      </c>
      <c r="AT33" s="6">
        <f t="shared" si="21"/>
        <v>188.61484257199209</v>
      </c>
      <c r="AU33" s="6">
        <f t="shared" si="22"/>
        <v>1022.9662315032801</v>
      </c>
      <c r="AV33" s="6">
        <f t="shared" si="23"/>
        <v>1627.3104968096418</v>
      </c>
      <c r="AW33" s="58">
        <f t="shared" si="48"/>
        <v>2018</v>
      </c>
      <c r="AX33" s="58">
        <f>COUNTIF(AW$3:AW33,AW33)</f>
        <v>31</v>
      </c>
    </row>
    <row r="34" spans="1:50" x14ac:dyDescent="0.25">
      <c r="A34" s="5">
        <v>43107</v>
      </c>
      <c r="B34" s="18">
        <v>2743.15</v>
      </c>
      <c r="C34">
        <v>1.39</v>
      </c>
      <c r="D34" s="18">
        <v>9.2200000000000006</v>
      </c>
      <c r="E34" s="18">
        <f t="shared" si="247"/>
        <v>10.050000000000001</v>
      </c>
      <c r="F34">
        <f t="shared" si="248"/>
        <v>3</v>
      </c>
      <c r="G34" s="18">
        <f>ROUND(INDEX(Valuation!U:U,MATCH(A34,Valuation!A:A,0)),2)</f>
        <v>36.46</v>
      </c>
      <c r="H34">
        <f t="shared" si="327"/>
        <v>-2</v>
      </c>
      <c r="I34" s="18">
        <f>INDEX(WeeklyIndicators!Y:Y,MATCH(A34,WeeklyIndicators!A:A,0))</f>
        <v>168.06</v>
      </c>
      <c r="J34">
        <f t="shared" si="223"/>
        <v>2</v>
      </c>
      <c r="K34">
        <f>ROUND(INDEX(Economic!AF:AF,MATCH(EOMONTH($A34,-1),Economic!A:A,0)),2)</f>
        <v>128.69999999999999</v>
      </c>
      <c r="L34" s="11">
        <f t="shared" si="271"/>
        <v>2</v>
      </c>
      <c r="M34">
        <f>ROUND(INDEX(Manufacturing!P:P,MATCH(EOMONTH($A34,-1),Manufacturing!A:A,0)),2)</f>
        <v>97.03</v>
      </c>
      <c r="N34">
        <f t="shared" si="261"/>
        <v>1</v>
      </c>
      <c r="O34">
        <f>ROUND(INDEX(Housing!AC:AC,MATCH(EOMONTH($A34,-1),Housing!B:B,0)),2)</f>
        <v>150.55000000000001</v>
      </c>
      <c r="P34">
        <f t="shared" si="262"/>
        <v>3</v>
      </c>
      <c r="Q34">
        <f>ROUND(INDEX(Spending!AJ:AJ,MATCH(EOMONTH($A34,-1),Spending!B:B,0)),2)</f>
        <v>61.3</v>
      </c>
      <c r="R34">
        <f t="shared" si="272"/>
        <v>2</v>
      </c>
      <c r="S34">
        <f>ROUND(INDEX(Employment!V:V,MATCH(EOMONTH($A34,-1),Employment!A:A,0)),2)</f>
        <v>180.53</v>
      </c>
      <c r="T34" s="11">
        <f t="shared" si="263"/>
        <v>2</v>
      </c>
      <c r="U34">
        <f t="shared" ref="U34" si="364">F34+H34+J34+L34+N34+P34+R34+T34+20</f>
        <v>33</v>
      </c>
      <c r="V34">
        <f t="shared" si="59"/>
        <v>85.59</v>
      </c>
      <c r="W34" s="13">
        <f t="shared" si="60"/>
        <v>2.1700000000000001E-2</v>
      </c>
      <c r="X34" s="13">
        <f t="shared" si="61"/>
        <v>1.3099999999999999E-2</v>
      </c>
      <c r="Y34">
        <f t="shared" si="36"/>
        <v>80.48</v>
      </c>
      <c r="Z34" s="13">
        <f t="shared" ref="Z34" si="365">ROUND((AVERAGE(Y34:Y36)-AVERAGE(Y35:Y37))/AVERAGE(Y35:Y37),4)</f>
        <v>2.12E-2</v>
      </c>
      <c r="AA34" s="13">
        <f t="shared" ref="AA34" si="366">SUM(Z34:Z37)</f>
        <v>7.000000000000001E-3</v>
      </c>
      <c r="AB34" s="6">
        <f t="shared" si="39"/>
        <v>80.076000000000008</v>
      </c>
      <c r="AC34">
        <f t="shared" ref="AC34" si="367">IF(ROUND(AB34/2,0)&lt;0,0,ROUND(AB34/2,0))</f>
        <v>40</v>
      </c>
      <c r="AD34" s="11">
        <f t="shared" ref="AD34" si="368">IF(AC34&gt;47,2,IF(AND(AC34&gt;41,AC34&lt;=47),1,IF(AC34&lt;15,-2,IF(AND(AC34&lt;32,AC34&gt;=15),-1,0))))</f>
        <v>0</v>
      </c>
      <c r="AE34">
        <f t="shared" ref="AE34" si="369">IF(AND(AA34&gt;=0.2,AC34&gt;=20,U34+AD34+2&lt;30),U34+AD34+2+12,U34+AD34+2)</f>
        <v>35</v>
      </c>
      <c r="AF34">
        <f>IF(AND(AE34&lt;15,OR(AC34&gt;=30,AA34&gt;0.15,X34&gt;=0.15)),2,VLOOKUP(AE34,Table!P:Q,2,FALSE))</f>
        <v>5</v>
      </c>
      <c r="AG34" s="22">
        <f>IF((AB34*0.98)-(D34*0.8)+((AF34-3)*3)+VLOOKUP(AM34,Table!$A$11:$B$13,2,FALSE)&lt;0,0,(AB34*0.98)-(D34*0.8)+((AF34-3)*3)+VLOOKUP(AM34,Table!$A$11:$B$13,2,FALSE))</f>
        <v>85.098479999999995</v>
      </c>
      <c r="AH34" s="22">
        <f t="shared" si="270"/>
        <v>78</v>
      </c>
      <c r="AI34" s="18">
        <f t="shared" si="234"/>
        <v>1.23</v>
      </c>
      <c r="AJ34" s="18">
        <f t="shared" si="235"/>
        <v>1.06</v>
      </c>
      <c r="AK34" t="str">
        <f t="shared" si="45"/>
        <v>Rising Rates</v>
      </c>
      <c r="AL34">
        <f t="shared" si="144"/>
        <v>31.5</v>
      </c>
      <c r="AM34" s="11" t="str">
        <f t="shared" si="46"/>
        <v>Stocks</v>
      </c>
      <c r="AN34" t="str">
        <f t="shared" si="69"/>
        <v>Buy</v>
      </c>
      <c r="AO34" s="13">
        <f t="shared" si="70"/>
        <v>1.5699999999999999E-2</v>
      </c>
      <c r="AP34" s="13">
        <f t="shared" si="71"/>
        <v>2.9999999999999997E-4</v>
      </c>
      <c r="AQ34" s="13">
        <f t="shared" si="72"/>
        <v>1.23E-2</v>
      </c>
      <c r="AR34" s="13">
        <f t="shared" si="47"/>
        <v>1.5699999999999999E-2</v>
      </c>
      <c r="AS34" s="6">
        <f t="shared" si="20"/>
        <v>683.11756398563602</v>
      </c>
      <c r="AT34" s="6">
        <f t="shared" si="21"/>
        <v>188.55827508946524</v>
      </c>
      <c r="AU34" s="6">
        <f t="shared" si="22"/>
        <v>1010.5366309426852</v>
      </c>
      <c r="AV34" s="6">
        <f t="shared" si="23"/>
        <v>1602.1566375993323</v>
      </c>
      <c r="AW34" s="58">
        <f t="shared" si="48"/>
        <v>2018</v>
      </c>
      <c r="AX34" s="58">
        <f>COUNTIF(AW$3:AW34,AW34)</f>
        <v>32</v>
      </c>
    </row>
    <row r="35" spans="1:50" x14ac:dyDescent="0.25">
      <c r="A35" s="5">
        <v>43100</v>
      </c>
      <c r="B35" s="18">
        <v>2673.61</v>
      </c>
      <c r="C35">
        <v>1.4</v>
      </c>
      <c r="D35" s="18">
        <v>11.04</v>
      </c>
      <c r="E35" s="18">
        <f t="shared" si="247"/>
        <v>10.119999999999999</v>
      </c>
      <c r="F35">
        <f t="shared" si="248"/>
        <v>3</v>
      </c>
      <c r="G35" s="18">
        <f>ROUND(INDEX(Valuation!U:U,MATCH(A35,Valuation!A:A,0)),2)</f>
        <v>38.72</v>
      </c>
      <c r="H35">
        <f t="shared" si="327"/>
        <v>-2</v>
      </c>
      <c r="I35" s="18">
        <f>INDEX(WeeklyIndicators!Y:Y,MATCH(A35,WeeklyIndicators!A:A,0))</f>
        <v>160.66</v>
      </c>
      <c r="J35">
        <f t="shared" si="223"/>
        <v>2</v>
      </c>
      <c r="K35">
        <f>ROUND(INDEX(Economic!AF:AF,MATCH(EOMONTH($A35,-1),Economic!A:A,0)),2)</f>
        <v>121.38</v>
      </c>
      <c r="L35" s="11">
        <f t="shared" si="271"/>
        <v>1</v>
      </c>
      <c r="M35">
        <f>ROUND(INDEX(Manufacturing!P:P,MATCH(EOMONTH($A35,-1),Manufacturing!A:A,0)),2)</f>
        <v>94.7</v>
      </c>
      <c r="N35">
        <f t="shared" si="261"/>
        <v>1</v>
      </c>
      <c r="O35">
        <f>ROUND(INDEX(Housing!AC:AC,MATCH(EOMONTH($A35,-1),Housing!B:B,0)),2)</f>
        <v>139.28</v>
      </c>
      <c r="P35">
        <f t="shared" si="262"/>
        <v>2</v>
      </c>
      <c r="Q35">
        <f>ROUND(INDEX(Spending!AJ:AJ,MATCH(EOMONTH($A35,-1),Spending!B:B,0)),2)</f>
        <v>56.36</v>
      </c>
      <c r="R35">
        <f t="shared" si="272"/>
        <v>1</v>
      </c>
      <c r="S35">
        <f>ROUND(INDEX(Employment!V:V,MATCH(EOMONTH($A35,-1),Employment!A:A,0)),2)</f>
        <v>174.33</v>
      </c>
      <c r="T35" s="11">
        <f t="shared" si="263"/>
        <v>1</v>
      </c>
      <c r="U35">
        <f t="shared" ref="U35" si="370">F35+H35+J35+L35+N35+P35+R35+T35+20</f>
        <v>29</v>
      </c>
      <c r="V35">
        <f t="shared" si="59"/>
        <v>81.75</v>
      </c>
      <c r="W35" s="13">
        <f t="shared" si="60"/>
        <v>4.1000000000000003E-3</v>
      </c>
      <c r="X35" s="13">
        <f t="shared" si="61"/>
        <v>-1.8000000000000002E-2</v>
      </c>
      <c r="Y35">
        <f t="shared" si="36"/>
        <v>76.87</v>
      </c>
      <c r="Z35" s="13">
        <f t="shared" ref="Z35" si="371">ROUND((AVERAGE(Y35:Y37)-AVERAGE(Y36:Y38))/AVERAGE(Y36:Y38),4)</f>
        <v>2.8999999999999998E-3</v>
      </c>
      <c r="AA35" s="13">
        <f t="shared" ref="AA35" si="372">SUM(Z35:Z38)</f>
        <v>-2.6800000000000001E-2</v>
      </c>
      <c r="AB35" s="6">
        <f t="shared" si="39"/>
        <v>73.992000000000004</v>
      </c>
      <c r="AC35">
        <f t="shared" ref="AC35" si="373">IF(ROUND(AB35/2,0)&lt;0,0,ROUND(AB35/2,0))</f>
        <v>37</v>
      </c>
      <c r="AD35" s="11">
        <f t="shared" ref="AD35" si="374">IF(AC35&gt;47,2,IF(AND(AC35&gt;41,AC35&lt;=47),1,IF(AC35&lt;15,-2,IF(AND(AC35&lt;32,AC35&gt;=15),-1,0))))</f>
        <v>0</v>
      </c>
      <c r="AE35">
        <f t="shared" ref="AE35" si="375">IF(AND(AA35&gt;=0.2,AC35&gt;=20,U35+AD35+2&lt;30),U35+AD35+2+12,U35+AD35+2)</f>
        <v>31</v>
      </c>
      <c r="AF35">
        <f>IF(AND(AE35&lt;15,OR(AC35&gt;=30,AA35&gt;0.15,X35&gt;=0.15)),2,VLOOKUP(AE35,Table!P:Q,2,FALSE))</f>
        <v>4</v>
      </c>
      <c r="AG35" s="22">
        <f>IF((AB35*0.98)-(D35*0.8)+((AF35-3)*3)+VLOOKUP(AM35,Table!$A$11:$B$13,2,FALSE)&lt;0,0,(AB35*0.98)-(D35*0.8)+((AF35-3)*3)+VLOOKUP(AM35,Table!$A$11:$B$13,2,FALSE))</f>
        <v>74.680160000000001</v>
      </c>
      <c r="AH35" s="22">
        <f t="shared" si="270"/>
        <v>75</v>
      </c>
      <c r="AI35" s="18">
        <f t="shared" si="234"/>
        <v>1.21</v>
      </c>
      <c r="AJ35" s="18">
        <f t="shared" si="235"/>
        <v>1.05</v>
      </c>
      <c r="AK35" t="str">
        <f t="shared" si="45"/>
        <v>Rising Rates</v>
      </c>
      <c r="AL35">
        <f t="shared" si="144"/>
        <v>30.25</v>
      </c>
      <c r="AM35" s="11" t="str">
        <f t="shared" si="46"/>
        <v>Stocks</v>
      </c>
      <c r="AN35" t="str">
        <f t="shared" si="69"/>
        <v>Buy</v>
      </c>
      <c r="AO35" s="13">
        <f t="shared" si="70"/>
        <v>2.5999999999999999E-2</v>
      </c>
      <c r="AP35" s="13">
        <f t="shared" si="71"/>
        <v>2.9999999999999997E-4</v>
      </c>
      <c r="AQ35" s="13">
        <f t="shared" si="72"/>
        <v>1.9599999999999999E-2</v>
      </c>
      <c r="AR35" s="13">
        <f t="shared" si="47"/>
        <v>2.5999999999999999E-2</v>
      </c>
      <c r="AS35" s="6">
        <f t="shared" si="20"/>
        <v>665.80659257859259</v>
      </c>
      <c r="AT35" s="6">
        <f t="shared" si="21"/>
        <v>188.50172457209362</v>
      </c>
      <c r="AU35" s="6">
        <f t="shared" si="22"/>
        <v>991.11085812346516</v>
      </c>
      <c r="AV35" s="6">
        <f t="shared" si="23"/>
        <v>1561.5561769973999</v>
      </c>
      <c r="AW35" s="58">
        <f t="shared" si="48"/>
        <v>2017</v>
      </c>
      <c r="AX35" s="58">
        <f>COUNTIF(AW$3:AW35,AW35)</f>
        <v>1</v>
      </c>
    </row>
    <row r="36" spans="1:50" x14ac:dyDescent="0.25">
      <c r="A36" s="5">
        <v>43093</v>
      </c>
      <c r="B36" s="18">
        <v>2683.34</v>
      </c>
      <c r="C36">
        <v>1.34</v>
      </c>
      <c r="D36" s="18">
        <v>9.9</v>
      </c>
      <c r="E36" s="18">
        <f t="shared" si="247"/>
        <v>9.6300000000000008</v>
      </c>
      <c r="F36">
        <f t="shared" si="248"/>
        <v>3</v>
      </c>
      <c r="G36" s="18">
        <f>ROUND(INDEX(Valuation!U:U,MATCH(A36,Valuation!A:A,0)),2)</f>
        <v>39.25</v>
      </c>
      <c r="H36">
        <f t="shared" si="327"/>
        <v>-2</v>
      </c>
      <c r="I36" s="18">
        <f>INDEX(WeeklyIndicators!Y:Y,MATCH(A36,WeeklyIndicators!A:A,0))</f>
        <v>151.24</v>
      </c>
      <c r="J36">
        <f t="shared" si="223"/>
        <v>1</v>
      </c>
      <c r="K36">
        <f>ROUND(INDEX(Economic!AF:AF,MATCH(EOMONTH($A36,-1),Economic!A:A,0)),2)</f>
        <v>121.38</v>
      </c>
      <c r="L36" s="11">
        <f t="shared" si="271"/>
        <v>1</v>
      </c>
      <c r="M36">
        <f>ROUND(INDEX(Manufacturing!P:P,MATCH(EOMONTH($A36,-1),Manufacturing!A:A,0)),2)</f>
        <v>94.7</v>
      </c>
      <c r="N36">
        <f t="shared" si="261"/>
        <v>1</v>
      </c>
      <c r="O36">
        <f>ROUND(INDEX(Housing!AC:AC,MATCH(EOMONTH($A36,-1),Housing!B:B,0)),2)</f>
        <v>139.28</v>
      </c>
      <c r="P36">
        <f t="shared" si="262"/>
        <v>2</v>
      </c>
      <c r="Q36">
        <f>ROUND(INDEX(Spending!AJ:AJ,MATCH(EOMONTH($A36,-1),Spending!B:B,0)),2)</f>
        <v>56.36</v>
      </c>
      <c r="R36">
        <f t="shared" si="272"/>
        <v>1</v>
      </c>
      <c r="S36">
        <f>ROUND(INDEX(Employment!V:V,MATCH(EOMONTH($A36,-1),Employment!A:A,0)),2)</f>
        <v>174.33</v>
      </c>
      <c r="T36" s="11">
        <f t="shared" si="263"/>
        <v>1</v>
      </c>
      <c r="U36">
        <f t="shared" ref="U36" si="376">F36+H36+J36+L36+N36+P36+R36+T36+20</f>
        <v>28</v>
      </c>
      <c r="V36">
        <f t="shared" si="59"/>
        <v>80.78</v>
      </c>
      <c r="W36" s="13">
        <f t="shared" si="60"/>
        <v>-5.5999999999999999E-3</v>
      </c>
      <c r="X36" s="13">
        <f t="shared" si="61"/>
        <v>-2.5700000000000001E-2</v>
      </c>
      <c r="Y36">
        <f t="shared" si="36"/>
        <v>76.12</v>
      </c>
      <c r="Z36" s="13">
        <f t="shared" ref="Z36" si="377">ROUND((AVERAGE(Y36:Y38)-AVERAGE(Y37:Y39))/AVERAGE(Y37:Y39),4)</f>
        <v>-7.0000000000000001E-3</v>
      </c>
      <c r="AA36" s="13">
        <f t="shared" ref="AA36" si="378">SUM(Z36:Z39)</f>
        <v>-3.6000000000000004E-2</v>
      </c>
      <c r="AB36" s="6">
        <f t="shared" si="39"/>
        <v>72.564999999999998</v>
      </c>
      <c r="AC36">
        <f t="shared" ref="AC36" si="379">IF(ROUND(AB36/2,0)&lt;0,0,ROUND(AB36/2,0))</f>
        <v>36</v>
      </c>
      <c r="AD36" s="11">
        <f t="shared" ref="AD36" si="380">IF(AC36&gt;47,2,IF(AND(AC36&gt;41,AC36&lt;=47),1,IF(AC36&lt;15,-2,IF(AND(AC36&lt;32,AC36&gt;=15),-1,0))))</f>
        <v>0</v>
      </c>
      <c r="AE36">
        <f t="shared" ref="AE36" si="381">IF(AND(AA36&gt;=0.2,AC36&gt;=20,U36+AD36+2&lt;30),U36+AD36+2+12,U36+AD36+2)</f>
        <v>30</v>
      </c>
      <c r="AF36">
        <f>IF(AND(AE36&lt;15,OR(AC36&gt;=30,AA36&gt;0.15,X36&gt;=0.15)),2,VLOOKUP(AE36,Table!P:Q,2,FALSE))</f>
        <v>4</v>
      </c>
      <c r="AG36" s="22">
        <f>IF((AB36*0.98)-(D36*0.8)+((AF36-3)*3)+VLOOKUP(AM36,Table!$A$11:$B$13,2,FALSE)&lt;0,0,(AB36*0.98)-(D36*0.8)+((AF36-3)*3)+VLOOKUP(AM36,Table!$A$11:$B$13,2,FALSE))</f>
        <v>74.193699999999993</v>
      </c>
      <c r="AH36" s="22">
        <f t="shared" si="270"/>
        <v>75</v>
      </c>
      <c r="AI36" s="18">
        <f t="shared" si="234"/>
        <v>1.18</v>
      </c>
      <c r="AJ36" s="18">
        <f t="shared" si="235"/>
        <v>1.03</v>
      </c>
      <c r="AK36" t="str">
        <f t="shared" si="45"/>
        <v>Rising Rates</v>
      </c>
      <c r="AL36">
        <f t="shared" si="144"/>
        <v>30.25</v>
      </c>
      <c r="AM36" s="11" t="str">
        <f t="shared" si="46"/>
        <v>Stocks</v>
      </c>
      <c r="AN36" t="str">
        <f t="shared" si="69"/>
        <v>Buy</v>
      </c>
      <c r="AO36" s="13">
        <f t="shared" si="70"/>
        <v>-3.5999999999999999E-3</v>
      </c>
      <c r="AP36" s="13">
        <f t="shared" si="71"/>
        <v>2.9999999999999997E-4</v>
      </c>
      <c r="AQ36" s="13">
        <f t="shared" si="72"/>
        <v>-2.5999999999999999E-3</v>
      </c>
      <c r="AR36" s="13">
        <f t="shared" si="47"/>
        <v>-3.5999999999999999E-3</v>
      </c>
      <c r="AS36" s="6">
        <f t="shared" si="20"/>
        <v>668.21215634142175</v>
      </c>
      <c r="AT36" s="6">
        <f t="shared" si="21"/>
        <v>188.4451910147892</v>
      </c>
      <c r="AU36" s="6">
        <f t="shared" si="22"/>
        <v>993.69446372916104</v>
      </c>
      <c r="AV36" s="6">
        <f t="shared" si="23"/>
        <v>1567.1980901218385</v>
      </c>
      <c r="AW36" s="58">
        <f t="shared" si="48"/>
        <v>2017</v>
      </c>
      <c r="AX36" s="58">
        <f>COUNTIF(AW$3:AW36,AW36)</f>
        <v>2</v>
      </c>
    </row>
    <row r="37" spans="1:50" x14ac:dyDescent="0.25">
      <c r="A37" s="5">
        <v>43086</v>
      </c>
      <c r="B37" s="18">
        <v>2675.81</v>
      </c>
      <c r="C37">
        <v>1.3</v>
      </c>
      <c r="D37" s="18">
        <v>9.42</v>
      </c>
      <c r="E37" s="18">
        <f t="shared" si="247"/>
        <v>10.14</v>
      </c>
      <c r="F37">
        <f t="shared" si="248"/>
        <v>3</v>
      </c>
      <c r="G37" s="18">
        <f>ROUND(INDEX(Valuation!U:U,MATCH(A37,Valuation!A:A,0)),2)</f>
        <v>40.630000000000003</v>
      </c>
      <c r="H37">
        <f t="shared" si="327"/>
        <v>-2</v>
      </c>
      <c r="I37" s="18">
        <f>INDEX(WeeklyIndicators!Y:Y,MATCH(A37,WeeklyIndicators!A:A,0))</f>
        <v>146.81</v>
      </c>
      <c r="J37">
        <f t="shared" si="223"/>
        <v>1</v>
      </c>
      <c r="K37">
        <f>ROUND(INDEX(Economic!AF:AF,MATCH(EOMONTH($A37,-1),Economic!A:A,0)),2)</f>
        <v>121.38</v>
      </c>
      <c r="L37" s="11">
        <f t="shared" si="271"/>
        <v>1</v>
      </c>
      <c r="M37">
        <f>ROUND(INDEX(Manufacturing!P:P,MATCH(EOMONTH($A37,-1),Manufacturing!A:A,0)),2)</f>
        <v>94.7</v>
      </c>
      <c r="N37">
        <f t="shared" si="261"/>
        <v>1</v>
      </c>
      <c r="O37">
        <f>ROUND(INDEX(Housing!AC:AC,MATCH(EOMONTH($A37,-1),Housing!B:B,0)),2)</f>
        <v>139.28</v>
      </c>
      <c r="P37">
        <f t="shared" si="262"/>
        <v>2</v>
      </c>
      <c r="Q37">
        <f>ROUND(INDEX(Spending!AJ:AJ,MATCH(EOMONTH($A37,-1),Spending!B:B,0)),2)</f>
        <v>56.36</v>
      </c>
      <c r="R37">
        <f t="shared" si="272"/>
        <v>1</v>
      </c>
      <c r="S37">
        <f>ROUND(INDEX(Employment!V:V,MATCH(EOMONTH($A37,-1),Employment!A:A,0)),2)</f>
        <v>174.33</v>
      </c>
      <c r="T37" s="11">
        <f t="shared" si="263"/>
        <v>1</v>
      </c>
      <c r="U37">
        <f t="shared" ref="U37" si="382">F37+H37+J37+L37+N37+P37+R37+T37+20</f>
        <v>28</v>
      </c>
      <c r="V37">
        <f t="shared" si="59"/>
        <v>80.319999999999993</v>
      </c>
      <c r="W37" s="13">
        <f t="shared" si="60"/>
        <v>-7.1000000000000004E-3</v>
      </c>
      <c r="X37" s="13">
        <f t="shared" si="61"/>
        <v>-1.95E-2</v>
      </c>
      <c r="Y37">
        <f t="shared" si="36"/>
        <v>75.64</v>
      </c>
      <c r="Z37" s="13">
        <f t="shared" ref="Z37" si="383">ROUND((AVERAGE(Y37:Y39)-AVERAGE(Y38:Y40))/AVERAGE(Y38:Y40),4)</f>
        <v>-1.01E-2</v>
      </c>
      <c r="AA37" s="13">
        <f t="shared" ref="AA37" si="384">SUM(Z37:Z40)</f>
        <v>-2.93E-2</v>
      </c>
      <c r="AB37" s="6">
        <f t="shared" si="39"/>
        <v>72.722999999999999</v>
      </c>
      <c r="AC37">
        <f t="shared" ref="AC37" si="385">IF(ROUND(AB37/2,0)&lt;0,0,ROUND(AB37/2,0))</f>
        <v>36</v>
      </c>
      <c r="AD37" s="11">
        <f t="shared" ref="AD37" si="386">IF(AC37&gt;47,2,IF(AND(AC37&gt;41,AC37&lt;=47),1,IF(AC37&lt;15,-2,IF(AND(AC37&lt;32,AC37&gt;=15),-1,0))))</f>
        <v>0</v>
      </c>
      <c r="AE37">
        <f t="shared" ref="AE37" si="387">IF(AND(AA37&gt;=0.2,AC37&gt;=20,U37+AD37+2&lt;30),U37+AD37+2+12,U37+AD37+2)</f>
        <v>30</v>
      </c>
      <c r="AF37">
        <f>IF(AND(AE37&lt;15,OR(AC37&gt;=30,AA37&gt;0.15,X37&gt;=0.15)),2,VLOOKUP(AE37,Table!P:Q,2,FALSE))</f>
        <v>4</v>
      </c>
      <c r="AG37" s="22">
        <f>IF((AB37*0.98)-(D37*0.8)+((AF37-3)*3)+VLOOKUP(AM37,Table!$A$11:$B$13,2,FALSE)&lt;0,0,(AB37*0.98)-(D37*0.8)+((AF37-3)*3)+VLOOKUP(AM37,Table!$A$11:$B$13,2,FALSE))</f>
        <v>74.73254</v>
      </c>
      <c r="AH37" s="22">
        <f t="shared" si="270"/>
        <v>77</v>
      </c>
      <c r="AI37" s="18">
        <f t="shared" si="234"/>
        <v>1.1599999999999999</v>
      </c>
      <c r="AJ37" s="18">
        <f t="shared" si="235"/>
        <v>1.01</v>
      </c>
      <c r="AK37" t="str">
        <f t="shared" si="45"/>
        <v>Rising Rates</v>
      </c>
      <c r="AL37">
        <f t="shared" si="144"/>
        <v>31</v>
      </c>
      <c r="AM37" s="11" t="str">
        <f t="shared" si="46"/>
        <v>Stocks</v>
      </c>
      <c r="AN37" t="str">
        <f t="shared" si="69"/>
        <v>Buy</v>
      </c>
      <c r="AO37" s="13">
        <f t="shared" si="70"/>
        <v>2.8E-3</v>
      </c>
      <c r="AP37" s="13">
        <f t="shared" si="71"/>
        <v>2.9999999999999997E-4</v>
      </c>
      <c r="AQ37" s="13">
        <f t="shared" si="72"/>
        <v>2.2000000000000001E-3</v>
      </c>
      <c r="AR37" s="13">
        <f t="shared" si="47"/>
        <v>2.8E-3</v>
      </c>
      <c r="AS37" s="6">
        <f t="shared" si="20"/>
        <v>666.34638645933569</v>
      </c>
      <c r="AT37" s="6">
        <f t="shared" si="21"/>
        <v>188.38867441246546</v>
      </c>
      <c r="AU37" s="6">
        <f t="shared" si="22"/>
        <v>991.51313483252954</v>
      </c>
      <c r="AV37" s="6">
        <f t="shared" si="23"/>
        <v>1562.8221879954515</v>
      </c>
      <c r="AW37" s="58">
        <f t="shared" si="48"/>
        <v>2017</v>
      </c>
      <c r="AX37" s="58">
        <f>COUNTIF(AW$3:AW37,AW37)</f>
        <v>3</v>
      </c>
    </row>
    <row r="38" spans="1:50" x14ac:dyDescent="0.25">
      <c r="A38" s="5">
        <v>43079</v>
      </c>
      <c r="B38" s="18">
        <v>2651.5</v>
      </c>
      <c r="C38">
        <v>1.27</v>
      </c>
      <c r="D38" s="18">
        <v>9.58</v>
      </c>
      <c r="E38" s="18">
        <f t="shared" si="247"/>
        <v>10.220000000000001</v>
      </c>
      <c r="F38">
        <f t="shared" si="248"/>
        <v>3</v>
      </c>
      <c r="G38" s="18">
        <f>ROUND(INDEX(Valuation!U:U,MATCH(A38,Valuation!A:A,0)),2)</f>
        <v>42.12</v>
      </c>
      <c r="H38">
        <f t="shared" si="327"/>
        <v>-2</v>
      </c>
      <c r="I38" s="18">
        <f>INDEX(WeeklyIndicators!Y:Y,MATCH(A38,WeeklyIndicators!A:A,0))</f>
        <v>151.08000000000001</v>
      </c>
      <c r="J38">
        <f t="shared" si="223"/>
        <v>1</v>
      </c>
      <c r="K38">
        <f>ROUND(INDEX(Economic!AF:AF,MATCH(EOMONTH($A38,-1),Economic!A:A,0)),2)</f>
        <v>121.38</v>
      </c>
      <c r="L38" s="11">
        <f t="shared" si="271"/>
        <v>1</v>
      </c>
      <c r="M38">
        <f>ROUND(INDEX(Manufacturing!P:P,MATCH(EOMONTH($A38,-1),Manufacturing!A:A,0)),2)</f>
        <v>94.7</v>
      </c>
      <c r="N38">
        <f t="shared" si="261"/>
        <v>1</v>
      </c>
      <c r="O38">
        <f>ROUND(INDEX(Housing!AC:AC,MATCH(EOMONTH($A38,-1),Housing!B:B,0)),2)</f>
        <v>139.28</v>
      </c>
      <c r="P38">
        <f t="shared" si="262"/>
        <v>2</v>
      </c>
      <c r="Q38">
        <f>ROUND(INDEX(Spending!AJ:AJ,MATCH(EOMONTH($A38,-1),Spending!B:B,0)),2)</f>
        <v>56.36</v>
      </c>
      <c r="R38">
        <f t="shared" si="272"/>
        <v>1</v>
      </c>
      <c r="S38">
        <f>ROUND(INDEX(Employment!V:V,MATCH(EOMONTH($A38,-1),Employment!A:A,0)),2)</f>
        <v>174.33</v>
      </c>
      <c r="T38" s="11">
        <f t="shared" si="263"/>
        <v>1</v>
      </c>
      <c r="U38">
        <f t="shared" ref="U38" si="388">F38+H38+J38+L38+N38+P38+R38+T38+20</f>
        <v>28</v>
      </c>
      <c r="V38">
        <f t="shared" si="59"/>
        <v>80.760000000000005</v>
      </c>
      <c r="W38" s="13">
        <f t="shared" si="60"/>
        <v>-9.4000000000000004E-3</v>
      </c>
      <c r="X38" s="13">
        <f t="shared" si="61"/>
        <v>2.7999999999999987E-3</v>
      </c>
      <c r="Y38">
        <f t="shared" si="36"/>
        <v>76.22</v>
      </c>
      <c r="Z38" s="13">
        <f t="shared" ref="Z38" si="389">ROUND((AVERAGE(Y38:Y40)-AVERAGE(Y39:Y41))/AVERAGE(Y39:Y41),4)</f>
        <v>-1.26E-2</v>
      </c>
      <c r="AA38" s="13">
        <f t="shared" ref="AA38" si="390">SUM(Z38:Z41)</f>
        <v>-3.0000000000000027E-3</v>
      </c>
      <c r="AB38" s="6">
        <f t="shared" si="39"/>
        <v>75.451999999999998</v>
      </c>
      <c r="AC38">
        <f t="shared" ref="AC38" si="391">IF(ROUND(AB38/2,0)&lt;0,0,ROUND(AB38/2,0))</f>
        <v>38</v>
      </c>
      <c r="AD38" s="11">
        <f t="shared" ref="AD38" si="392">IF(AC38&gt;47,2,IF(AND(AC38&gt;41,AC38&lt;=47),1,IF(AC38&lt;15,-2,IF(AND(AC38&lt;32,AC38&gt;=15),-1,0))))</f>
        <v>0</v>
      </c>
      <c r="AE38">
        <f t="shared" ref="AE38" si="393">IF(AND(AA38&gt;=0.2,AC38&gt;=20,U38+AD38+2&lt;30),U38+AD38+2+12,U38+AD38+2)</f>
        <v>30</v>
      </c>
      <c r="AF38">
        <f>IF(AND(AE38&lt;15,OR(AC38&gt;=30,AA38&gt;0.15,X38&gt;=0.15)),2,VLOOKUP(AE38,Table!P:Q,2,FALSE))</f>
        <v>4</v>
      </c>
      <c r="AG38" s="22">
        <f>IF((AB38*0.98)-(D38*0.8)+((AF38-3)*3)+VLOOKUP(AM38,Table!$A$11:$B$13,2,FALSE)&lt;0,0,(AB38*0.98)-(D38*0.8)+((AF38-3)*3)+VLOOKUP(AM38,Table!$A$11:$B$13,2,FALSE))</f>
        <v>77.278959999999998</v>
      </c>
      <c r="AH38" s="22">
        <f t="shared" si="270"/>
        <v>82</v>
      </c>
      <c r="AI38" s="18">
        <f t="shared" si="234"/>
        <v>1.1299999999999999</v>
      </c>
      <c r="AJ38" s="18">
        <f t="shared" si="235"/>
        <v>1</v>
      </c>
      <c r="AK38" t="str">
        <f t="shared" si="45"/>
        <v>Rising Rates</v>
      </c>
      <c r="AL38">
        <f t="shared" si="144"/>
        <v>31.75</v>
      </c>
      <c r="AM38" s="11" t="str">
        <f t="shared" si="46"/>
        <v>Stocks</v>
      </c>
      <c r="AN38" t="str">
        <f t="shared" si="69"/>
        <v>Buy</v>
      </c>
      <c r="AO38" s="13">
        <f t="shared" si="70"/>
        <v>9.1999999999999998E-3</v>
      </c>
      <c r="AP38" s="13">
        <f t="shared" si="71"/>
        <v>2.0000000000000001E-4</v>
      </c>
      <c r="AQ38" s="13">
        <f t="shared" si="72"/>
        <v>7.6E-3</v>
      </c>
      <c r="AR38" s="13">
        <f t="shared" si="47"/>
        <v>9.1999999999999998E-3</v>
      </c>
      <c r="AS38" s="6">
        <f t="shared" si="20"/>
        <v>660.27188511626593</v>
      </c>
      <c r="AT38" s="6">
        <f t="shared" si="21"/>
        <v>188.35100421162315</v>
      </c>
      <c r="AU38" s="6">
        <f t="shared" si="22"/>
        <v>984.03447283895343</v>
      </c>
      <c r="AV38" s="6">
        <f t="shared" si="23"/>
        <v>1548.5752952788855</v>
      </c>
      <c r="AW38" s="58">
        <f t="shared" si="48"/>
        <v>2017</v>
      </c>
      <c r="AX38" s="58">
        <f>COUNTIF(AW$3:AW38,AW38)</f>
        <v>4</v>
      </c>
    </row>
    <row r="39" spans="1:50" x14ac:dyDescent="0.25">
      <c r="A39" s="5">
        <v>43072</v>
      </c>
      <c r="B39" s="18">
        <v>2642.22</v>
      </c>
      <c r="C39">
        <v>1.26</v>
      </c>
      <c r="D39" s="18">
        <v>11.43</v>
      </c>
      <c r="E39" s="18">
        <f t="shared" si="247"/>
        <v>10.84</v>
      </c>
      <c r="F39">
        <f t="shared" si="248"/>
        <v>3</v>
      </c>
      <c r="G39" s="18">
        <f>ROUND(INDEX(Valuation!U:U,MATCH(A39,Valuation!A:A,0)),2)</f>
        <v>45.17</v>
      </c>
      <c r="H39">
        <f t="shared" si="327"/>
        <v>-2</v>
      </c>
      <c r="I39" s="18">
        <f>INDEX(WeeklyIndicators!Y:Y,MATCH(A39,WeeklyIndicators!A:A,0))</f>
        <v>164.42</v>
      </c>
      <c r="J39">
        <f t="shared" si="223"/>
        <v>2</v>
      </c>
      <c r="K39">
        <f>ROUND(INDEX(Economic!AF:AF,MATCH(EOMONTH($A39,-1),Economic!A:A,0)),2)</f>
        <v>121.38</v>
      </c>
      <c r="L39" s="11">
        <f t="shared" si="271"/>
        <v>1</v>
      </c>
      <c r="M39">
        <f>ROUND(INDEX(Manufacturing!P:P,MATCH(EOMONTH($A39,-1),Manufacturing!A:A,0)),2)</f>
        <v>94.7</v>
      </c>
      <c r="N39">
        <f t="shared" si="261"/>
        <v>1</v>
      </c>
      <c r="O39">
        <f>ROUND(INDEX(Housing!AC:AC,MATCH(EOMONTH($A39,-1),Housing!B:B,0)),2)</f>
        <v>139.28</v>
      </c>
      <c r="P39">
        <f t="shared" si="262"/>
        <v>2</v>
      </c>
      <c r="Q39">
        <f>ROUND(INDEX(Spending!AJ:AJ,MATCH(EOMONTH($A39,-1),Spending!B:B,0)),2)</f>
        <v>56.36</v>
      </c>
      <c r="R39">
        <f t="shared" si="272"/>
        <v>1</v>
      </c>
      <c r="S39">
        <f>ROUND(INDEX(Employment!V:V,MATCH(EOMONTH($A39,-1),Employment!A:A,0)),2)</f>
        <v>174.33</v>
      </c>
      <c r="T39" s="11">
        <f t="shared" si="263"/>
        <v>1</v>
      </c>
      <c r="U39">
        <f t="shared" ref="U39" si="394">F39+H39+J39+L39+N39+P39+R39+T39+20</f>
        <v>29</v>
      </c>
      <c r="V39">
        <f t="shared" si="59"/>
        <v>82.14</v>
      </c>
      <c r="W39" s="13">
        <f t="shared" si="60"/>
        <v>-3.5999999999999999E-3</v>
      </c>
      <c r="X39" s="13">
        <f t="shared" si="61"/>
        <v>3.5400000000000001E-2</v>
      </c>
      <c r="Y39">
        <f t="shared" si="36"/>
        <v>77.73</v>
      </c>
      <c r="Z39" s="13">
        <f t="shared" ref="Z39" si="395">ROUND((AVERAGE(Y39:Y41)-AVERAGE(Y40:Y42))/AVERAGE(Y40:Y42),4)</f>
        <v>-6.3E-3</v>
      </c>
      <c r="AA39" s="13">
        <f t="shared" ref="AA39" si="396">SUM(Z39:Z42)</f>
        <v>3.44E-2</v>
      </c>
      <c r="AB39" s="6">
        <f t="shared" si="39"/>
        <v>80.146999999999991</v>
      </c>
      <c r="AC39">
        <f t="shared" ref="AC39" si="397">IF(ROUND(AB39/2,0)&lt;0,0,ROUND(AB39/2,0))</f>
        <v>40</v>
      </c>
      <c r="AD39" s="11">
        <f t="shared" ref="AD39" si="398">IF(AC39&gt;47,2,IF(AND(AC39&gt;41,AC39&lt;=47),1,IF(AC39&lt;15,-2,IF(AND(AC39&lt;32,AC39&gt;=15),-1,0))))</f>
        <v>0</v>
      </c>
      <c r="AE39">
        <f t="shared" ref="AE39" si="399">IF(AND(AA39&gt;=0.2,AC39&gt;=20,U39+AD39+2&lt;30),U39+AD39+2+12,U39+AD39+2)</f>
        <v>31</v>
      </c>
      <c r="AF39">
        <f>IF(AND(AE39&lt;15,OR(AC39&gt;=30,AA39&gt;0.15,X39&gt;=0.15)),2,VLOOKUP(AE39,Table!P:Q,2,FALSE))</f>
        <v>4</v>
      </c>
      <c r="AG39" s="22">
        <f>IF((AB39*0.98)-(D39*0.8)+((AF39-3)*3)+VLOOKUP(AM39,Table!$A$11:$B$13,2,FALSE)&lt;0,0,(AB39*0.98)-(D39*0.8)+((AF39-3)*3)+VLOOKUP(AM39,Table!$A$11:$B$13,2,FALSE))</f>
        <v>80.400059999999982</v>
      </c>
      <c r="AH39" s="22">
        <f t="shared" si="270"/>
        <v>86</v>
      </c>
      <c r="AI39" s="18">
        <f t="shared" si="234"/>
        <v>1.1200000000000001</v>
      </c>
      <c r="AJ39" s="18">
        <f t="shared" si="235"/>
        <v>0.99</v>
      </c>
      <c r="AK39" t="str">
        <f t="shared" si="45"/>
        <v>Rising Rates</v>
      </c>
      <c r="AL39">
        <f t="shared" si="144"/>
        <v>32.5</v>
      </c>
      <c r="AM39" s="11" t="str">
        <f t="shared" si="46"/>
        <v>Stocks</v>
      </c>
      <c r="AN39" t="str">
        <f t="shared" si="69"/>
        <v>Buy</v>
      </c>
      <c r="AO39" s="13">
        <f t="shared" si="70"/>
        <v>3.5000000000000001E-3</v>
      </c>
      <c r="AP39" s="13">
        <f t="shared" si="71"/>
        <v>2.0000000000000001E-4</v>
      </c>
      <c r="AQ39" s="13">
        <f t="shared" si="72"/>
        <v>3.0000000000000001E-3</v>
      </c>
      <c r="AR39" s="13">
        <f t="shared" si="47"/>
        <v>3.5000000000000001E-3</v>
      </c>
      <c r="AS39" s="6">
        <f t="shared" si="20"/>
        <v>657.96899363853106</v>
      </c>
      <c r="AT39" s="6">
        <f t="shared" si="21"/>
        <v>188.31334154331449</v>
      </c>
      <c r="AU39" s="6">
        <f t="shared" si="22"/>
        <v>981.0911992412299</v>
      </c>
      <c r="AV39" s="6">
        <f t="shared" si="23"/>
        <v>1543.1741856291833</v>
      </c>
      <c r="AW39" s="58">
        <f t="shared" si="48"/>
        <v>2017</v>
      </c>
      <c r="AX39" s="58">
        <f>COUNTIF(AW$3:AW39,AW39)</f>
        <v>5</v>
      </c>
    </row>
    <row r="40" spans="1:50" x14ac:dyDescent="0.25">
      <c r="A40" s="5">
        <v>43065</v>
      </c>
      <c r="B40" s="18">
        <v>2602.42</v>
      </c>
      <c r="C40">
        <v>1.27</v>
      </c>
      <c r="D40" s="18">
        <v>9.65</v>
      </c>
      <c r="E40" s="18">
        <f t="shared" si="247"/>
        <v>10.79</v>
      </c>
      <c r="F40">
        <f t="shared" si="248"/>
        <v>3</v>
      </c>
      <c r="G40" s="18">
        <f>ROUND(INDEX(Valuation!U:U,MATCH(A40,Valuation!A:A,0)),2)</f>
        <v>48.04</v>
      </c>
      <c r="H40">
        <f t="shared" si="327"/>
        <v>-2</v>
      </c>
      <c r="I40" s="18">
        <f>INDEX(WeeklyIndicators!Y:Y,MATCH(A40,WeeklyIndicators!A:A,0))</f>
        <v>178.46</v>
      </c>
      <c r="J40">
        <f t="shared" si="223"/>
        <v>3</v>
      </c>
      <c r="K40">
        <f>ROUND(INDEX(Economic!AF:AF,MATCH(EOMONTH($A40,-1),Economic!A:A,0)),2)</f>
        <v>116.77</v>
      </c>
      <c r="L40" s="11">
        <f t="shared" si="271"/>
        <v>1</v>
      </c>
      <c r="M40">
        <f>ROUND(INDEX(Manufacturing!P:P,MATCH(EOMONTH($A40,-1),Manufacturing!A:A,0)),2)</f>
        <v>93.82</v>
      </c>
      <c r="N40">
        <f t="shared" si="261"/>
        <v>1</v>
      </c>
      <c r="O40">
        <f>ROUND(INDEX(Housing!AC:AC,MATCH(EOMONTH($A40,-1),Housing!B:B,0)),2)</f>
        <v>137.02000000000001</v>
      </c>
      <c r="P40">
        <f t="shared" si="262"/>
        <v>2</v>
      </c>
      <c r="Q40">
        <f>ROUND(INDEX(Spending!AJ:AJ,MATCH(EOMONTH($A40,-1),Spending!B:B,0)),2)</f>
        <v>53.35</v>
      </c>
      <c r="R40">
        <f t="shared" si="272"/>
        <v>1</v>
      </c>
      <c r="S40">
        <f>ROUND(INDEX(Employment!V:V,MATCH(EOMONTH($A40,-1),Employment!A:A,0)),2)</f>
        <v>170.02</v>
      </c>
      <c r="T40" s="11">
        <f t="shared" si="263"/>
        <v>1</v>
      </c>
      <c r="U40">
        <f t="shared" ref="U40" si="400">F40+H40+J40+L40+N40+P40+R40+T40+20</f>
        <v>30</v>
      </c>
      <c r="V40">
        <f t="shared" si="59"/>
        <v>82.05</v>
      </c>
      <c r="W40" s="13">
        <f t="shared" si="60"/>
        <v>5.9999999999999995E-4</v>
      </c>
      <c r="X40" s="13">
        <f t="shared" si="61"/>
        <v>6.4200000000000007E-2</v>
      </c>
      <c r="Y40">
        <f t="shared" si="36"/>
        <v>77.98</v>
      </c>
      <c r="Z40" s="13">
        <f t="shared" ref="Z40" si="401">ROUND((AVERAGE(Y40:Y42)-AVERAGE(Y41:Y43))/AVERAGE(Y41:Y43),4)</f>
        <v>-2.9999999999999997E-4</v>
      </c>
      <c r="AA40" s="13">
        <f t="shared" ref="AA40" si="402">SUM(Z40:Z43)</f>
        <v>6.6400000000000001E-2</v>
      </c>
      <c r="AB40" s="6">
        <f t="shared" si="39"/>
        <v>83.114000000000004</v>
      </c>
      <c r="AC40">
        <f t="shared" ref="AC40" si="403">IF(ROUND(AB40/2,0)&lt;0,0,ROUND(AB40/2,0))</f>
        <v>42</v>
      </c>
      <c r="AD40" s="11">
        <f t="shared" ref="AD40" si="404">IF(AC40&gt;47,2,IF(AND(AC40&gt;41,AC40&lt;=47),1,IF(AC40&lt;15,-2,IF(AND(AC40&lt;32,AC40&gt;=15),-1,0))))</f>
        <v>1</v>
      </c>
      <c r="AE40">
        <f t="shared" ref="AE40" si="405">IF(AND(AA40&gt;=0.2,AC40&gt;=20,U40+AD40+2&lt;30),U40+AD40+2+12,U40+AD40+2)</f>
        <v>33</v>
      </c>
      <c r="AF40">
        <f>IF(AND(AE40&lt;15,OR(AC40&gt;=30,AA40&gt;0.15,X40&gt;=0.15)),2,VLOOKUP(AE40,Table!P:Q,2,FALSE))</f>
        <v>5</v>
      </c>
      <c r="AG40" s="22">
        <f>IF((AB40*0.98)-(D40*0.8)+((AF40-3)*3)+VLOOKUP(AM40,Table!$A$11:$B$13,2,FALSE)&lt;0,0,(AB40*0.98)-(D40*0.8)+((AF40-3)*3)+VLOOKUP(AM40,Table!$A$11:$B$13,2,FALSE))</f>
        <v>87.73172000000001</v>
      </c>
      <c r="AH40" s="22">
        <f t="shared" si="270"/>
        <v>88</v>
      </c>
      <c r="AI40" s="18">
        <f t="shared" si="234"/>
        <v>1.1000000000000001</v>
      </c>
      <c r="AJ40" s="18">
        <f t="shared" si="235"/>
        <v>0.97</v>
      </c>
      <c r="AK40" t="str">
        <f t="shared" si="45"/>
        <v>Rising Rates</v>
      </c>
      <c r="AL40">
        <f t="shared" si="144"/>
        <v>32.75</v>
      </c>
      <c r="AM40" s="11" t="str">
        <f t="shared" si="46"/>
        <v>Stocks</v>
      </c>
      <c r="AN40" t="str">
        <f t="shared" si="69"/>
        <v>Buy</v>
      </c>
      <c r="AO40" s="13">
        <f t="shared" si="70"/>
        <v>1.5299999999999999E-2</v>
      </c>
      <c r="AP40" s="13">
        <f t="shared" si="71"/>
        <v>2.0000000000000001E-4</v>
      </c>
      <c r="AQ40" s="13">
        <f t="shared" si="72"/>
        <v>1.35E-2</v>
      </c>
      <c r="AR40" s="13">
        <f t="shared" si="47"/>
        <v>1.5299999999999999E-2</v>
      </c>
      <c r="AS40" s="6">
        <f t="shared" si="20"/>
        <v>648.05377094310154</v>
      </c>
      <c r="AT40" s="6">
        <f t="shared" si="21"/>
        <v>188.27568640603329</v>
      </c>
      <c r="AU40" s="6">
        <f t="shared" si="22"/>
        <v>968.02289022321645</v>
      </c>
      <c r="AV40" s="6">
        <f t="shared" si="23"/>
        <v>1519.9194185257393</v>
      </c>
      <c r="AW40" s="58">
        <f t="shared" si="48"/>
        <v>2017</v>
      </c>
      <c r="AX40" s="58">
        <f>COUNTIF(AW$3:AW40,AW40)</f>
        <v>6</v>
      </c>
    </row>
    <row r="41" spans="1:50" x14ac:dyDescent="0.25">
      <c r="A41" s="5">
        <v>43058</v>
      </c>
      <c r="B41" s="18">
        <v>2578.85</v>
      </c>
      <c r="C41">
        <v>1.24</v>
      </c>
      <c r="D41" s="18">
        <v>11.43</v>
      </c>
      <c r="E41" s="18">
        <f t="shared" si="247"/>
        <v>10.62</v>
      </c>
      <c r="F41">
        <f t="shared" si="248"/>
        <v>3</v>
      </c>
      <c r="G41" s="18">
        <f>ROUND(INDEX(Valuation!U:U,MATCH(A41,Valuation!A:A,0)),2)</f>
        <v>48.95</v>
      </c>
      <c r="H41">
        <f t="shared" si="327"/>
        <v>-2</v>
      </c>
      <c r="I41" s="18">
        <f>INDEX(WeeklyIndicators!Y:Y,MATCH(A41,WeeklyIndicators!A:A,0))</f>
        <v>188.49</v>
      </c>
      <c r="J41">
        <f t="shared" si="223"/>
        <v>3</v>
      </c>
      <c r="K41">
        <f>ROUND(INDEX(Economic!AF:AF,MATCH(EOMONTH($A41,-1),Economic!A:A,0)),2)</f>
        <v>116.77</v>
      </c>
      <c r="L41" s="11">
        <f t="shared" si="271"/>
        <v>1</v>
      </c>
      <c r="M41">
        <f>ROUND(INDEX(Manufacturing!P:P,MATCH(EOMONTH($A41,-1),Manufacturing!A:A,0)),2)</f>
        <v>93.82</v>
      </c>
      <c r="N41">
        <f t="shared" si="261"/>
        <v>1</v>
      </c>
      <c r="O41">
        <f>ROUND(INDEX(Housing!AC:AC,MATCH(EOMONTH($A41,-1),Housing!B:B,0)),2)</f>
        <v>137.02000000000001</v>
      </c>
      <c r="P41">
        <f t="shared" si="262"/>
        <v>2</v>
      </c>
      <c r="Q41">
        <f>ROUND(INDEX(Spending!AJ:AJ,MATCH(EOMONTH($A41,-1),Spending!B:B,0)),2)</f>
        <v>53.35</v>
      </c>
      <c r="R41">
        <f t="shared" si="272"/>
        <v>1</v>
      </c>
      <c r="S41">
        <f>ROUND(INDEX(Employment!V:V,MATCH(EOMONTH($A41,-1),Employment!A:A,0)),2)</f>
        <v>170.02</v>
      </c>
      <c r="T41" s="11">
        <f t="shared" si="263"/>
        <v>1</v>
      </c>
      <c r="U41">
        <f t="shared" ref="U41" si="406">F41+H41+J41+L41+N41+P41+R41+T41+20</f>
        <v>30</v>
      </c>
      <c r="V41">
        <f t="shared" si="59"/>
        <v>83.09</v>
      </c>
      <c r="W41" s="13">
        <f t="shared" si="60"/>
        <v>1.52E-2</v>
      </c>
      <c r="X41" s="13">
        <f t="shared" si="61"/>
        <v>8.0399999999999985E-2</v>
      </c>
      <c r="Y41">
        <f t="shared" si="36"/>
        <v>79.180000000000007</v>
      </c>
      <c r="Z41" s="13">
        <f t="shared" ref="Z41" si="407">ROUND((AVERAGE(Y41:Y43)-AVERAGE(Y42:Y44))/AVERAGE(Y42:Y44),4)</f>
        <v>1.6199999999999999E-2</v>
      </c>
      <c r="AA41" s="13">
        <f t="shared" ref="AA41" si="408">SUM(Z41:Z44)</f>
        <v>8.1799999999999998E-2</v>
      </c>
      <c r="AB41" s="6">
        <f t="shared" si="39"/>
        <v>85.625</v>
      </c>
      <c r="AC41">
        <f t="shared" ref="AC41" si="409">IF(ROUND(AB41/2,0)&lt;0,0,ROUND(AB41/2,0))</f>
        <v>43</v>
      </c>
      <c r="AD41" s="11">
        <f t="shared" ref="AD41" si="410">IF(AC41&gt;47,2,IF(AND(AC41&gt;41,AC41&lt;=47),1,IF(AC41&lt;15,-2,IF(AND(AC41&lt;32,AC41&gt;=15),-1,0))))</f>
        <v>1</v>
      </c>
      <c r="AE41">
        <f t="shared" ref="AE41" si="411">IF(AND(AA41&gt;=0.2,AC41&gt;=20,U41+AD41+2&lt;30),U41+AD41+2+12,U41+AD41+2)</f>
        <v>33</v>
      </c>
      <c r="AF41">
        <f>IF(AND(AE41&lt;15,OR(AC41&gt;=30,AA41&gt;0.15,X41&gt;=0.15)),2,VLOOKUP(AE41,Table!P:Q,2,FALSE))</f>
        <v>5</v>
      </c>
      <c r="AG41" s="22">
        <f>IF((AB41*0.98)-(D41*0.8)+((AF41-3)*3)+VLOOKUP(AM41,Table!$A$11:$B$13,2,FALSE)&lt;0,0,(AB41*0.98)-(D41*0.8)+((AF41-3)*3)+VLOOKUP(AM41,Table!$A$11:$B$13,2,FALSE))</f>
        <v>88.768499999999989</v>
      </c>
      <c r="AH41" s="22">
        <f t="shared" si="270"/>
        <v>87</v>
      </c>
      <c r="AI41" s="18">
        <f t="shared" si="234"/>
        <v>1.07</v>
      </c>
      <c r="AJ41" s="18">
        <f t="shared" si="235"/>
        <v>0.95</v>
      </c>
      <c r="AK41" t="str">
        <f t="shared" si="45"/>
        <v>Rising Rates</v>
      </c>
      <c r="AL41">
        <f t="shared" si="144"/>
        <v>32.25</v>
      </c>
      <c r="AM41" s="11" t="str">
        <f t="shared" si="46"/>
        <v>Stocks</v>
      </c>
      <c r="AN41" t="str">
        <f t="shared" si="69"/>
        <v>Buy</v>
      </c>
      <c r="AO41" s="13">
        <f t="shared" si="70"/>
        <v>9.1000000000000004E-3</v>
      </c>
      <c r="AP41" s="13">
        <f t="shared" si="71"/>
        <v>2.0000000000000001E-4</v>
      </c>
      <c r="AQ41" s="13">
        <f t="shared" si="72"/>
        <v>7.9000000000000008E-3</v>
      </c>
      <c r="AR41" s="13">
        <f t="shared" si="47"/>
        <v>9.1000000000000004E-3</v>
      </c>
      <c r="AS41" s="6">
        <f t="shared" si="20"/>
        <v>642.20966300971304</v>
      </c>
      <c r="AT41" s="6">
        <f t="shared" si="21"/>
        <v>188.23803879827364</v>
      </c>
      <c r="AU41" s="6">
        <f t="shared" si="22"/>
        <v>960.43545016689791</v>
      </c>
      <c r="AV41" s="6">
        <f t="shared" si="23"/>
        <v>1506.2128813058557</v>
      </c>
      <c r="AW41" s="58">
        <f t="shared" si="48"/>
        <v>2017</v>
      </c>
      <c r="AX41" s="58">
        <f>COUNTIF(AW$3:AW41,AW41)</f>
        <v>7</v>
      </c>
    </row>
    <row r="42" spans="1:50" x14ac:dyDescent="0.25">
      <c r="A42" s="5">
        <v>43051</v>
      </c>
      <c r="B42" s="18">
        <v>2582.3000000000002</v>
      </c>
      <c r="C42">
        <v>1.2</v>
      </c>
      <c r="D42" s="18">
        <v>11.29</v>
      </c>
      <c r="E42" s="18">
        <f t="shared" si="247"/>
        <v>10.08</v>
      </c>
      <c r="F42">
        <f t="shared" si="248"/>
        <v>3</v>
      </c>
      <c r="G42" s="18">
        <f>ROUND(INDEX(Valuation!U:U,MATCH(A42,Valuation!A:A,0)),2)</f>
        <v>48.17</v>
      </c>
      <c r="H42">
        <f t="shared" si="327"/>
        <v>-2</v>
      </c>
      <c r="I42" s="18">
        <f>INDEX(WeeklyIndicators!Y:Y,MATCH(A42,WeeklyIndicators!A:A,0))</f>
        <v>187.87</v>
      </c>
      <c r="J42">
        <f t="shared" si="223"/>
        <v>3</v>
      </c>
      <c r="K42">
        <f>ROUND(INDEX(Economic!AF:AF,MATCH(EOMONTH($A42,-1),Economic!A:A,0)),2)</f>
        <v>116.77</v>
      </c>
      <c r="L42" s="11">
        <f t="shared" si="271"/>
        <v>1</v>
      </c>
      <c r="M42">
        <f>ROUND(INDEX(Manufacturing!P:P,MATCH(EOMONTH($A42,-1),Manufacturing!A:A,0)),2)</f>
        <v>93.82</v>
      </c>
      <c r="N42">
        <f t="shared" si="261"/>
        <v>1</v>
      </c>
      <c r="O42">
        <f>ROUND(INDEX(Housing!AC:AC,MATCH(EOMONTH($A42,-1),Housing!B:B,0)),2)</f>
        <v>137.02000000000001</v>
      </c>
      <c r="P42">
        <f t="shared" si="262"/>
        <v>2</v>
      </c>
      <c r="Q42">
        <f>ROUND(INDEX(Spending!AJ:AJ,MATCH(EOMONTH($A42,-1),Spending!B:B,0)),2)</f>
        <v>53.35</v>
      </c>
      <c r="R42">
        <f t="shared" si="272"/>
        <v>1</v>
      </c>
      <c r="S42">
        <f>ROUND(INDEX(Employment!V:V,MATCH(EOMONTH($A42,-1),Employment!A:A,0)),2)</f>
        <v>170.02</v>
      </c>
      <c r="T42" s="11">
        <f t="shared" si="263"/>
        <v>1</v>
      </c>
      <c r="U42">
        <f t="shared" ref="U42" si="412">F42+H42+J42+L42+N42+P42+R42+T42+20</f>
        <v>30</v>
      </c>
      <c r="V42">
        <f t="shared" si="59"/>
        <v>83.03</v>
      </c>
      <c r="W42" s="13">
        <f t="shared" si="60"/>
        <v>2.3199999999999998E-2</v>
      </c>
      <c r="X42" s="13">
        <f t="shared" si="61"/>
        <v>7.1499999999999994E-2</v>
      </c>
      <c r="Y42">
        <f t="shared" si="36"/>
        <v>79.209999999999994</v>
      </c>
      <c r="Z42" s="13">
        <f t="shared" ref="Z42" si="413">ROUND((AVERAGE(Y42:Y44)-AVERAGE(Y43:Y45))/AVERAGE(Y43:Y45),4)</f>
        <v>2.4799999999999999E-2</v>
      </c>
      <c r="AA42" s="13">
        <f t="shared" ref="AA42" si="414">SUM(Z42:Z45)</f>
        <v>6.9400000000000003E-2</v>
      </c>
      <c r="AB42" s="6">
        <f t="shared" si="39"/>
        <v>84.657000000000011</v>
      </c>
      <c r="AC42">
        <f t="shared" ref="AC42" si="415">IF(ROUND(AB42/2,0)&lt;0,0,ROUND(AB42/2,0))</f>
        <v>42</v>
      </c>
      <c r="AD42" s="11">
        <f t="shared" ref="AD42" si="416">IF(AC42&gt;47,2,IF(AND(AC42&gt;41,AC42&lt;=47),1,IF(AC42&lt;15,-2,IF(AND(AC42&lt;32,AC42&gt;=15),-1,0))))</f>
        <v>1</v>
      </c>
      <c r="AE42">
        <f t="shared" ref="AE42" si="417">IF(AND(AA42&gt;=0.2,AC42&gt;=20,U42+AD42+2&lt;30),U42+AD42+2+12,U42+AD42+2)</f>
        <v>33</v>
      </c>
      <c r="AF42">
        <f>IF(AND(AE42&lt;15,OR(AC42&gt;=30,AA42&gt;0.15,X42&gt;=0.15)),2,VLOOKUP(AE42,Table!P:Q,2,FALSE))</f>
        <v>5</v>
      </c>
      <c r="AG42" s="22">
        <f>IF((AB42*0.98)-(D42*0.8)+((AF42-3)*3)+VLOOKUP(AM42,Table!$A$11:$B$13,2,FALSE)&lt;0,0,(AB42*0.98)-(D42*0.8)+((AF42-3)*3)+VLOOKUP(AM42,Table!$A$11:$B$13,2,FALSE))</f>
        <v>87.931860000000015</v>
      </c>
      <c r="AH42" s="22">
        <f t="shared" si="270"/>
        <v>83</v>
      </c>
      <c r="AI42" s="18">
        <f t="shared" si="234"/>
        <v>1.06</v>
      </c>
      <c r="AJ42" s="18">
        <f t="shared" si="235"/>
        <v>0.93</v>
      </c>
      <c r="AK42" t="str">
        <f t="shared" si="45"/>
        <v>Rising Rates</v>
      </c>
      <c r="AL42">
        <f t="shared" si="144"/>
        <v>31.5</v>
      </c>
      <c r="AM42" s="11" t="str">
        <f t="shared" si="46"/>
        <v>Stocks</v>
      </c>
      <c r="AN42" t="str">
        <f t="shared" si="69"/>
        <v>Buy</v>
      </c>
      <c r="AO42" s="13">
        <f t="shared" si="70"/>
        <v>-1.2999999999999999E-3</v>
      </c>
      <c r="AP42" s="13">
        <f t="shared" si="71"/>
        <v>2.0000000000000001E-4</v>
      </c>
      <c r="AQ42" s="13">
        <f t="shared" si="72"/>
        <v>-1E-3</v>
      </c>
      <c r="AR42" s="13">
        <f t="shared" si="47"/>
        <v>-1.2999999999999999E-3</v>
      </c>
      <c r="AS42" s="6">
        <f t="shared" si="20"/>
        <v>643.0456223187274</v>
      </c>
      <c r="AT42" s="6">
        <f t="shared" si="21"/>
        <v>188.20039871852993</v>
      </c>
      <c r="AU42" s="6">
        <f t="shared" si="22"/>
        <v>961.39684701391184</v>
      </c>
      <c r="AV42" s="6">
        <f t="shared" si="23"/>
        <v>1508.1735068647799</v>
      </c>
      <c r="AW42" s="58">
        <f t="shared" si="48"/>
        <v>2017</v>
      </c>
      <c r="AX42" s="58">
        <f>COUNTIF(AW$3:AW42,AW42)</f>
        <v>8</v>
      </c>
    </row>
    <row r="43" spans="1:50" x14ac:dyDescent="0.25">
      <c r="A43" s="5">
        <v>43044</v>
      </c>
      <c r="B43" s="18">
        <v>2587.84</v>
      </c>
      <c r="C43">
        <v>1.1399999999999999</v>
      </c>
      <c r="D43" s="18">
        <v>9.14</v>
      </c>
      <c r="E43" s="18">
        <f t="shared" si="247"/>
        <v>9.64</v>
      </c>
      <c r="F43">
        <f t="shared" si="248"/>
        <v>3</v>
      </c>
      <c r="G43" s="18">
        <f>ROUND(INDEX(Valuation!U:U,MATCH(A43,Valuation!A:A,0)),2)</f>
        <v>46.52</v>
      </c>
      <c r="H43">
        <f t="shared" si="327"/>
        <v>-2</v>
      </c>
      <c r="I43" s="18">
        <f>INDEX(WeeklyIndicators!Y:Y,MATCH(A43,WeeklyIndicators!A:A,0))</f>
        <v>177.05</v>
      </c>
      <c r="J43">
        <f t="shared" si="223"/>
        <v>3</v>
      </c>
      <c r="K43">
        <f>ROUND(INDEX(Economic!AF:AF,MATCH(EOMONTH($A43,-1),Economic!A:A,0)),2)</f>
        <v>116.77</v>
      </c>
      <c r="L43" s="11">
        <f t="shared" si="271"/>
        <v>1</v>
      </c>
      <c r="M43">
        <f>ROUND(INDEX(Manufacturing!P:P,MATCH(EOMONTH($A43,-1),Manufacturing!A:A,0)),2)</f>
        <v>93.82</v>
      </c>
      <c r="N43">
        <f t="shared" si="261"/>
        <v>1</v>
      </c>
      <c r="O43">
        <f>ROUND(INDEX(Housing!AC:AC,MATCH(EOMONTH($A43,-1),Housing!B:B,0)),2)</f>
        <v>137.02000000000001</v>
      </c>
      <c r="P43">
        <f t="shared" si="262"/>
        <v>2</v>
      </c>
      <c r="Q43">
        <f>ROUND(INDEX(Spending!AJ:AJ,MATCH(EOMONTH($A43,-1),Spending!B:B,0)),2)</f>
        <v>53.35</v>
      </c>
      <c r="R43">
        <f t="shared" si="272"/>
        <v>1</v>
      </c>
      <c r="S43">
        <f>ROUND(INDEX(Employment!V:V,MATCH(EOMONTH($A43,-1),Employment!A:A,0)),2)</f>
        <v>170.02</v>
      </c>
      <c r="T43" s="11">
        <f t="shared" si="263"/>
        <v>1</v>
      </c>
      <c r="U43">
        <f t="shared" ref="U43" si="418">F43+H43+J43+L43+N43+P43+R43+T43+20</f>
        <v>30</v>
      </c>
      <c r="V43">
        <f t="shared" si="59"/>
        <v>81.91</v>
      </c>
      <c r="W43" s="13">
        <f t="shared" si="60"/>
        <v>2.52E-2</v>
      </c>
      <c r="X43" s="13">
        <f t="shared" si="61"/>
        <v>4.0099999999999997E-2</v>
      </c>
      <c r="Y43">
        <f t="shared" si="36"/>
        <v>78.06</v>
      </c>
      <c r="Z43" s="13">
        <f t="shared" ref="Z43" si="419">ROUND((AVERAGE(Y43:Y45)-AVERAGE(Y44:Y46))/AVERAGE(Y44:Y46),4)</f>
        <v>2.5700000000000001E-2</v>
      </c>
      <c r="AA43" s="13">
        <f t="shared" ref="AA43" si="420">SUM(Z43:Z46)</f>
        <v>3.5000000000000003E-2</v>
      </c>
      <c r="AB43" s="6">
        <f t="shared" si="39"/>
        <v>80.692000000000007</v>
      </c>
      <c r="AC43">
        <f t="shared" ref="AC43" si="421">IF(ROUND(AB43/2,0)&lt;0,0,ROUND(AB43/2,0))</f>
        <v>40</v>
      </c>
      <c r="AD43" s="11">
        <f t="shared" ref="AD43" si="422">IF(AC43&gt;47,2,IF(AND(AC43&gt;41,AC43&lt;=47),1,IF(AC43&lt;15,-2,IF(AND(AC43&lt;32,AC43&gt;=15),-1,0))))</f>
        <v>0</v>
      </c>
      <c r="AE43">
        <f t="shared" ref="AE43" si="423">IF(AND(AA43&gt;=0.2,AC43&gt;=20,U43+AD43+2&lt;30),U43+AD43+2+12,U43+AD43+2)</f>
        <v>32</v>
      </c>
      <c r="AF43">
        <f>IF(AND(AE43&lt;15,OR(AC43&gt;=30,AA43&gt;0.15,X43&gt;=0.15)),2,VLOOKUP(AE43,Table!P:Q,2,FALSE))</f>
        <v>5</v>
      </c>
      <c r="AG43" s="22">
        <f>IF((AB43*0.98)-(D43*0.8)+((AF43-3)*3)+VLOOKUP(AM43,Table!$A$11:$B$13,2,FALSE)&lt;0,0,(AB43*0.98)-(D43*0.8)+((AF43-3)*3)+VLOOKUP(AM43,Table!$A$11:$B$13,2,FALSE))</f>
        <v>85.766160000000013</v>
      </c>
      <c r="AH43" s="22">
        <f t="shared" si="270"/>
        <v>78</v>
      </c>
      <c r="AI43" s="18">
        <f t="shared" si="234"/>
        <v>1.04</v>
      </c>
      <c r="AJ43" s="18">
        <f t="shared" si="235"/>
        <v>0.91</v>
      </c>
      <c r="AK43" t="str">
        <f t="shared" si="45"/>
        <v>Rising Rates</v>
      </c>
      <c r="AL43">
        <f t="shared" si="144"/>
        <v>30.5</v>
      </c>
      <c r="AM43" s="11" t="str">
        <f t="shared" si="46"/>
        <v>Stocks</v>
      </c>
      <c r="AN43" t="str">
        <f t="shared" si="69"/>
        <v>Buy</v>
      </c>
      <c r="AO43" s="13">
        <f t="shared" si="70"/>
        <v>-2.0999999999999999E-3</v>
      </c>
      <c r="AP43" s="13">
        <f t="shared" si="71"/>
        <v>2.0000000000000001E-4</v>
      </c>
      <c r="AQ43" s="13">
        <f t="shared" si="72"/>
        <v>-1.6000000000000001E-3</v>
      </c>
      <c r="AR43" s="13">
        <f t="shared" si="47"/>
        <v>-2.0999999999999999E-3</v>
      </c>
      <c r="AS43" s="6">
        <f t="shared" si="20"/>
        <v>644.39885992456902</v>
      </c>
      <c r="AT43" s="6">
        <f t="shared" si="21"/>
        <v>188.16276616529686</v>
      </c>
      <c r="AU43" s="6">
        <f t="shared" si="22"/>
        <v>962.93754708925474</v>
      </c>
      <c r="AV43" s="6">
        <f t="shared" si="23"/>
        <v>1511.347336270949</v>
      </c>
      <c r="AW43" s="58">
        <f t="shared" si="48"/>
        <v>2017</v>
      </c>
      <c r="AX43" s="58">
        <f>COUNTIF(AW$3:AW43,AW43)</f>
        <v>9</v>
      </c>
    </row>
    <row r="44" spans="1:50" x14ac:dyDescent="0.25">
      <c r="A44" s="5">
        <v>43037</v>
      </c>
      <c r="B44" s="18">
        <v>2581.0700000000002</v>
      </c>
      <c r="C44">
        <v>1.0900000000000001</v>
      </c>
      <c r="D44" s="18">
        <v>9.8000000000000007</v>
      </c>
      <c r="E44" s="18">
        <f t="shared" si="247"/>
        <v>9.7899999999999991</v>
      </c>
      <c r="F44">
        <f t="shared" si="248"/>
        <v>3</v>
      </c>
      <c r="G44" s="18">
        <f>ROUND(INDEX(Valuation!U:U,MATCH(A44,Valuation!A:A,0)),2)</f>
        <v>46</v>
      </c>
      <c r="H44">
        <f t="shared" si="327"/>
        <v>-2</v>
      </c>
      <c r="I44" s="18">
        <f>INDEX(WeeklyIndicators!Y:Y,MATCH(A44,WeeklyIndicators!A:A,0))</f>
        <v>160.33000000000001</v>
      </c>
      <c r="J44">
        <f t="shared" si="223"/>
        <v>2</v>
      </c>
      <c r="K44">
        <f>ROUND(INDEX(Economic!AF:AF,MATCH(EOMONTH($A44,-1),Economic!A:A,0)),2)</f>
        <v>113.42</v>
      </c>
      <c r="L44" s="11">
        <f t="shared" si="271"/>
        <v>1</v>
      </c>
      <c r="M44">
        <f>ROUND(INDEX(Manufacturing!P:P,MATCH(EOMONTH($A44,-1),Manufacturing!A:A,0)),2)</f>
        <v>93.69</v>
      </c>
      <c r="N44">
        <f t="shared" si="261"/>
        <v>1</v>
      </c>
      <c r="O44">
        <f>ROUND(INDEX(Housing!AC:AC,MATCH(EOMONTH($A44,-1),Housing!B:B,0)),2)</f>
        <v>136.11000000000001</v>
      </c>
      <c r="P44">
        <f t="shared" si="262"/>
        <v>2</v>
      </c>
      <c r="Q44">
        <f>ROUND(INDEX(Spending!AJ:AJ,MATCH(EOMONTH($A44,-1),Spending!B:B,0)),2)</f>
        <v>52.4</v>
      </c>
      <c r="R44">
        <f t="shared" si="272"/>
        <v>1</v>
      </c>
      <c r="S44">
        <f>ROUND(INDEX(Employment!V:V,MATCH(EOMONTH($A44,-1),Employment!A:A,0)),2)</f>
        <v>168.13</v>
      </c>
      <c r="T44" s="11">
        <f t="shared" si="263"/>
        <v>1</v>
      </c>
      <c r="U44">
        <f t="shared" ref="U44" si="424">F44+H44+J44+L44+N44+P44+R44+T44+20</f>
        <v>29</v>
      </c>
      <c r="V44">
        <f t="shared" si="59"/>
        <v>79.38</v>
      </c>
      <c r="W44" s="13">
        <f t="shared" si="60"/>
        <v>1.6799999999999999E-2</v>
      </c>
      <c r="X44" s="13">
        <f t="shared" si="61"/>
        <v>-5.0000000000000218E-4</v>
      </c>
      <c r="Y44">
        <f t="shared" si="36"/>
        <v>75.42</v>
      </c>
      <c r="Z44" s="13">
        <f t="shared" ref="Z44" si="425">ROUND((AVERAGE(Y44:Y46)-AVERAGE(Y45:Y47))/AVERAGE(Y45:Y47),4)</f>
        <v>1.5100000000000001E-2</v>
      </c>
      <c r="AA44" s="13">
        <f t="shared" ref="AA44" si="426">SUM(Z44:Z47)</f>
        <v>-6.7999999999999988E-3</v>
      </c>
      <c r="AB44" s="6">
        <f t="shared" si="39"/>
        <v>74.709999999999994</v>
      </c>
      <c r="AC44">
        <f t="shared" ref="AC44" si="427">IF(ROUND(AB44/2,0)&lt;0,0,ROUND(AB44/2,0))</f>
        <v>37</v>
      </c>
      <c r="AD44" s="11">
        <f t="shared" ref="AD44" si="428">IF(AC44&gt;47,2,IF(AND(AC44&gt;41,AC44&lt;=47),1,IF(AC44&lt;15,-2,IF(AND(AC44&lt;32,AC44&gt;=15),-1,0))))</f>
        <v>0</v>
      </c>
      <c r="AE44">
        <f t="shared" ref="AE44" si="429">IF(AND(AA44&gt;=0.2,AC44&gt;=20,U44+AD44+2&lt;30),U44+AD44+2+12,U44+AD44+2)</f>
        <v>31</v>
      </c>
      <c r="AF44">
        <f>IF(AND(AE44&lt;15,OR(AC44&gt;=30,AA44&gt;0.15,X44&gt;=0.15)),2,VLOOKUP(AE44,Table!P:Q,2,FALSE))</f>
        <v>4</v>
      </c>
      <c r="AG44" s="22">
        <f>IF((AB44*0.98)-(D44*0.8)+((AF44-3)*3)+VLOOKUP(AM44,Table!$A$11:$B$13,2,FALSE)&lt;0,0,(AB44*0.98)-(D44*0.8)+((AF44-3)*3)+VLOOKUP(AM44,Table!$A$11:$B$13,2,FALSE))</f>
        <v>76.375799999999984</v>
      </c>
      <c r="AH44" s="22">
        <f t="shared" si="270"/>
        <v>73</v>
      </c>
      <c r="AI44" s="18">
        <f t="shared" si="234"/>
        <v>1.04</v>
      </c>
      <c r="AJ44" s="18">
        <f t="shared" si="235"/>
        <v>0.9</v>
      </c>
      <c r="AK44" t="str">
        <f t="shared" si="45"/>
        <v>Rising Rates</v>
      </c>
      <c r="AL44">
        <f t="shared" si="144"/>
        <v>30</v>
      </c>
      <c r="AM44" s="11" t="str">
        <f t="shared" si="46"/>
        <v>Stocks</v>
      </c>
      <c r="AN44" t="str">
        <f t="shared" si="69"/>
        <v>Buy</v>
      </c>
      <c r="AO44" s="13">
        <f t="shared" si="70"/>
        <v>2.5999999999999999E-3</v>
      </c>
      <c r="AP44" s="13">
        <f t="shared" si="71"/>
        <v>2.0000000000000001E-4</v>
      </c>
      <c r="AQ44" s="13">
        <f t="shared" si="72"/>
        <v>2E-3</v>
      </c>
      <c r="AR44" s="13">
        <f t="shared" si="47"/>
        <v>2.5999999999999999E-3</v>
      </c>
      <c r="AS44" s="6">
        <f t="shared" si="20"/>
        <v>642.72776772847499</v>
      </c>
      <c r="AT44" s="6">
        <f t="shared" si="21"/>
        <v>188.12514113706945</v>
      </c>
      <c r="AU44" s="6">
        <f t="shared" si="22"/>
        <v>961.01551605714042</v>
      </c>
      <c r="AV44" s="6">
        <f t="shared" si="23"/>
        <v>1507.4280234100829</v>
      </c>
      <c r="AW44" s="58">
        <f t="shared" si="48"/>
        <v>2017</v>
      </c>
      <c r="AX44" s="58">
        <f>COUNTIF(AW$3:AW44,AW44)</f>
        <v>10</v>
      </c>
    </row>
    <row r="45" spans="1:50" x14ac:dyDescent="0.25">
      <c r="A45" s="5">
        <v>43030</v>
      </c>
      <c r="B45" s="18">
        <v>2575.21</v>
      </c>
      <c r="C45">
        <v>1.08</v>
      </c>
      <c r="D45" s="18">
        <v>9.9700000000000006</v>
      </c>
      <c r="E45" s="18">
        <f t="shared" si="247"/>
        <v>9.74</v>
      </c>
      <c r="F45">
        <f t="shared" si="248"/>
        <v>3</v>
      </c>
      <c r="G45" s="18">
        <f>ROUND(INDEX(Valuation!U:U,MATCH(A45,Valuation!A:A,0)),2)</f>
        <v>46.37</v>
      </c>
      <c r="H45">
        <f t="shared" si="327"/>
        <v>-2</v>
      </c>
      <c r="I45" s="18">
        <f>INDEX(WeeklyIndicators!Y:Y,MATCH(A45,WeeklyIndicators!A:A,0))</f>
        <v>142.03</v>
      </c>
      <c r="J45">
        <f t="shared" si="223"/>
        <v>1</v>
      </c>
      <c r="K45">
        <f>ROUND(INDEX(Economic!AF:AF,MATCH(EOMONTH($A45,-1),Economic!A:A,0)),2)</f>
        <v>113.42</v>
      </c>
      <c r="L45" s="11">
        <f t="shared" si="271"/>
        <v>1</v>
      </c>
      <c r="M45">
        <f>ROUND(INDEX(Manufacturing!P:P,MATCH(EOMONTH($A45,-1),Manufacturing!A:A,0)),2)</f>
        <v>93.69</v>
      </c>
      <c r="N45">
        <f t="shared" si="261"/>
        <v>1</v>
      </c>
      <c r="O45">
        <f>ROUND(INDEX(Housing!AC:AC,MATCH(EOMONTH($A45,-1),Housing!B:B,0)),2)</f>
        <v>136.11000000000001</v>
      </c>
      <c r="P45">
        <f t="shared" si="262"/>
        <v>2</v>
      </c>
      <c r="Q45">
        <f>ROUND(INDEX(Spending!AJ:AJ,MATCH(EOMONTH($A45,-1),Spending!B:B,0)),2)</f>
        <v>52.4</v>
      </c>
      <c r="R45">
        <f t="shared" si="272"/>
        <v>1</v>
      </c>
      <c r="S45">
        <f>ROUND(INDEX(Employment!V:V,MATCH(EOMONTH($A45,-1),Employment!A:A,0)),2)</f>
        <v>168.13</v>
      </c>
      <c r="T45" s="11">
        <f t="shared" si="263"/>
        <v>1</v>
      </c>
      <c r="U45">
        <f t="shared" ref="U45" si="430">F45+H45+J45+L45+N45+P45+R45+T45+20</f>
        <v>28</v>
      </c>
      <c r="V45">
        <f t="shared" si="59"/>
        <v>77.48</v>
      </c>
      <c r="W45" s="13">
        <f t="shared" si="60"/>
        <v>6.3E-3</v>
      </c>
      <c r="X45" s="13">
        <f t="shared" si="61"/>
        <v>-3.3300000000000003E-2</v>
      </c>
      <c r="Y45">
        <f t="shared" si="36"/>
        <v>73.58</v>
      </c>
      <c r="Z45" s="13">
        <f t="shared" ref="Z45" si="431">ROUND((AVERAGE(Y45:Y47)-AVERAGE(Y46:Y48))/AVERAGE(Y46:Y48),4)</f>
        <v>3.8E-3</v>
      </c>
      <c r="AA45" s="13">
        <f t="shared" ref="AA45:AA50" si="432">SUM(Z45:Z48)</f>
        <v>-3.8300000000000001E-2</v>
      </c>
      <c r="AB45" s="6">
        <f t="shared" si="39"/>
        <v>70.397000000000006</v>
      </c>
      <c r="AC45">
        <f t="shared" ref="AC45" si="433">IF(ROUND(AB45/2,0)&lt;0,0,ROUND(AB45/2,0))</f>
        <v>35</v>
      </c>
      <c r="AD45" s="11">
        <f t="shared" ref="AD45" si="434">IF(AC45&gt;47,2,IF(AND(AC45&gt;41,AC45&lt;=47),1,IF(AC45&lt;15,-2,IF(AND(AC45&lt;32,AC45&gt;=15),-1,0))))</f>
        <v>0</v>
      </c>
      <c r="AE45">
        <f t="shared" ref="AE45" si="435">IF(AND(AA45&gt;=0.2,AC45&gt;=20,U45+AD45+2&lt;30),U45+AD45+2+12,U45+AD45+2)</f>
        <v>30</v>
      </c>
      <c r="AF45">
        <f>IF(AND(AE45&lt;15,OR(AC45&gt;=30,AA45&gt;0.15,X45&gt;=0.15)),2,VLOOKUP(AE45,Table!P:Q,2,FALSE))</f>
        <v>4</v>
      </c>
      <c r="AG45" s="22">
        <f>IF((AB45*0.98)-(D45*0.8)+((AF45-3)*3)+VLOOKUP(AM45,Table!$A$11:$B$13,2,FALSE)&lt;0,0,(AB45*0.98)-(D45*0.8)+((AF45-3)*3)+VLOOKUP(AM45,Table!$A$11:$B$13,2,FALSE))</f>
        <v>72.01306000000001</v>
      </c>
      <c r="AH45" s="22">
        <f t="shared" si="270"/>
        <v>71</v>
      </c>
      <c r="AI45" s="18">
        <f t="shared" si="234"/>
        <v>1.04</v>
      </c>
      <c r="AJ45" s="18">
        <f t="shared" si="235"/>
        <v>0.88</v>
      </c>
      <c r="AK45" t="str">
        <f t="shared" si="45"/>
        <v>Rising Rates</v>
      </c>
      <c r="AL45">
        <f t="shared" si="144"/>
        <v>29.75</v>
      </c>
      <c r="AM45" s="11" t="str">
        <f t="shared" si="46"/>
        <v>Stocks</v>
      </c>
      <c r="AN45" t="str">
        <f t="shared" si="69"/>
        <v>Buy</v>
      </c>
      <c r="AO45" s="13">
        <f t="shared" si="70"/>
        <v>2.3E-3</v>
      </c>
      <c r="AP45" s="13">
        <f t="shared" si="71"/>
        <v>2.0000000000000001E-4</v>
      </c>
      <c r="AQ45" s="13">
        <f t="shared" si="72"/>
        <v>1.6999999999999999E-3</v>
      </c>
      <c r="AR45" s="13">
        <f t="shared" si="47"/>
        <v>2.3E-3</v>
      </c>
      <c r="AS45" s="6">
        <f t="shared" si="20"/>
        <v>641.25288609046697</v>
      </c>
      <c r="AT45" s="6">
        <f t="shared" si="21"/>
        <v>188.08752363234299</v>
      </c>
      <c r="AU45" s="6">
        <f t="shared" si="22"/>
        <v>959.38456230122824</v>
      </c>
      <c r="AV45" s="6">
        <f t="shared" si="23"/>
        <v>1503.968894951694</v>
      </c>
      <c r="AW45" s="58">
        <f t="shared" si="48"/>
        <v>2017</v>
      </c>
      <c r="AX45" s="58">
        <f>COUNTIF(AW$3:AW45,AW45)</f>
        <v>11</v>
      </c>
    </row>
    <row r="46" spans="1:50" x14ac:dyDescent="0.25">
      <c r="A46" s="5">
        <v>43023</v>
      </c>
      <c r="B46" s="18">
        <v>2553.17</v>
      </c>
      <c r="C46">
        <v>1.07</v>
      </c>
      <c r="D46" s="18">
        <v>9.61</v>
      </c>
      <c r="E46" s="18">
        <f t="shared" si="247"/>
        <v>9.59</v>
      </c>
      <c r="F46">
        <f t="shared" si="248"/>
        <v>3</v>
      </c>
      <c r="G46" s="18">
        <f>ROUND(INDEX(Valuation!U:U,MATCH(A46,Valuation!A:A,0)),2)</f>
        <v>47.86</v>
      </c>
      <c r="H46">
        <f t="shared" si="327"/>
        <v>-2</v>
      </c>
      <c r="I46" s="18">
        <f>INDEX(WeeklyIndicators!Y:Y,MATCH(A46,WeeklyIndicators!A:A,0))</f>
        <v>128.19999999999999</v>
      </c>
      <c r="J46">
        <f t="shared" si="223"/>
        <v>0</v>
      </c>
      <c r="K46">
        <f>ROUND(INDEX(Economic!AF:AF,MATCH(EOMONTH($A46,-1),Economic!A:A,0)),2)</f>
        <v>113.42</v>
      </c>
      <c r="L46" s="11">
        <f t="shared" si="271"/>
        <v>1</v>
      </c>
      <c r="M46">
        <f>ROUND(INDEX(Manufacturing!P:P,MATCH(EOMONTH($A46,-1),Manufacturing!A:A,0)),2)</f>
        <v>93.69</v>
      </c>
      <c r="N46">
        <f t="shared" si="261"/>
        <v>1</v>
      </c>
      <c r="O46">
        <f>ROUND(INDEX(Housing!AC:AC,MATCH(EOMONTH($A46,-1),Housing!B:B,0)),2)</f>
        <v>136.11000000000001</v>
      </c>
      <c r="P46">
        <f t="shared" si="262"/>
        <v>2</v>
      </c>
      <c r="Q46">
        <f>ROUND(INDEX(Spending!AJ:AJ,MATCH(EOMONTH($A46,-1),Spending!B:B,0)),2)</f>
        <v>52.4</v>
      </c>
      <c r="R46">
        <f t="shared" si="272"/>
        <v>1</v>
      </c>
      <c r="S46">
        <f>ROUND(INDEX(Employment!V:V,MATCH(EOMONTH($A46,-1),Employment!A:A,0)),2)</f>
        <v>168.13</v>
      </c>
      <c r="T46" s="11">
        <f t="shared" si="263"/>
        <v>1</v>
      </c>
      <c r="U46">
        <f t="shared" ref="U46" si="436">F46+H46+J46+L46+N46+P46+R46+T46+20</f>
        <v>27</v>
      </c>
      <c r="V46">
        <f t="shared" si="59"/>
        <v>76.05</v>
      </c>
      <c r="W46" s="13">
        <f t="shared" si="60"/>
        <v>-8.2000000000000007E-3</v>
      </c>
      <c r="X46" s="13">
        <f t="shared" si="61"/>
        <v>-4.8000000000000001E-2</v>
      </c>
      <c r="Y46">
        <f t="shared" si="36"/>
        <v>72.37</v>
      </c>
      <c r="Z46" s="13">
        <f t="shared" ref="Z46" si="437">ROUND((AVERAGE(Y46:Y48)-AVERAGE(Y47:Y49))/AVERAGE(Y47:Y49),4)</f>
        <v>-9.5999999999999992E-3</v>
      </c>
      <c r="AA46" s="13">
        <f t="shared" si="432"/>
        <v>-5.1499999999999997E-2</v>
      </c>
      <c r="AB46" s="6">
        <f t="shared" si="39"/>
        <v>68.256</v>
      </c>
      <c r="AC46">
        <f t="shared" ref="AC46" si="438">IF(ROUND(AB46/2,0)&lt;0,0,ROUND(AB46/2,0))</f>
        <v>34</v>
      </c>
      <c r="AD46" s="11">
        <f t="shared" ref="AD46" si="439">IF(AC46&gt;47,2,IF(AND(AC46&gt;41,AC46&lt;=47),1,IF(AC46&lt;15,-2,IF(AND(AC46&lt;32,AC46&gt;=15),-1,0))))</f>
        <v>0</v>
      </c>
      <c r="AE46">
        <f t="shared" ref="AE46" si="440">IF(AND(AA46&gt;=0.2,AC46&gt;=20,U46+AD46+2&lt;30),U46+AD46+2+12,U46+AD46+2)</f>
        <v>29</v>
      </c>
      <c r="AF46">
        <f>IF(AND(AE46&lt;15,OR(AC46&gt;=30,AA46&gt;0.15,X46&gt;=0.15)),2,VLOOKUP(AE46,Table!P:Q,2,FALSE))</f>
        <v>4</v>
      </c>
      <c r="AG46" s="22">
        <f>IF((AB46*0.98)-(D46*0.8)+((AF46-3)*3)+VLOOKUP(AM46,Table!$A$11:$B$13,2,FALSE)&lt;0,0,(AB46*0.98)-(D46*0.8)+((AF46-3)*3)+VLOOKUP(AM46,Table!$A$11:$B$13,2,FALSE))</f>
        <v>70.202879999999993</v>
      </c>
      <c r="AH46" s="22">
        <f t="shared" si="270"/>
        <v>71</v>
      </c>
      <c r="AI46" s="18">
        <f t="shared" si="234"/>
        <v>1.04</v>
      </c>
      <c r="AJ46" s="18">
        <f t="shared" si="235"/>
        <v>0.87</v>
      </c>
      <c r="AK46" t="str">
        <f t="shared" si="45"/>
        <v>Rising Rates</v>
      </c>
      <c r="AL46">
        <f t="shared" si="144"/>
        <v>30</v>
      </c>
      <c r="AM46" s="11" t="str">
        <f t="shared" si="46"/>
        <v>Stocks</v>
      </c>
      <c r="AN46" t="str">
        <f t="shared" si="69"/>
        <v>Buy</v>
      </c>
      <c r="AO46" s="13">
        <f t="shared" si="70"/>
        <v>8.6E-3</v>
      </c>
      <c r="AP46" s="13">
        <f t="shared" si="71"/>
        <v>2.0000000000000001E-4</v>
      </c>
      <c r="AQ46" s="13">
        <f t="shared" si="72"/>
        <v>6.1999999999999998E-3</v>
      </c>
      <c r="AR46" s="13">
        <f t="shared" si="47"/>
        <v>8.6E-3</v>
      </c>
      <c r="AS46" s="6">
        <f t="shared" si="20"/>
        <v>635.7851339385951</v>
      </c>
      <c r="AT46" s="6">
        <f t="shared" si="21"/>
        <v>188.04991364961307</v>
      </c>
      <c r="AU46" s="6">
        <f t="shared" si="22"/>
        <v>953.4730295182153</v>
      </c>
      <c r="AV46" s="6">
        <f t="shared" si="23"/>
        <v>1491.1450475428258</v>
      </c>
      <c r="AW46" s="58">
        <f t="shared" si="48"/>
        <v>2017</v>
      </c>
      <c r="AX46" s="58">
        <f>COUNTIF(AW$3:AW46,AW46)</f>
        <v>12</v>
      </c>
    </row>
    <row r="47" spans="1:50" x14ac:dyDescent="0.25">
      <c r="A47" s="5">
        <v>43016</v>
      </c>
      <c r="B47" s="18">
        <v>2549.33</v>
      </c>
      <c r="C47">
        <v>1.04</v>
      </c>
      <c r="D47" s="18">
        <v>9.65</v>
      </c>
      <c r="E47" s="18">
        <f t="shared" si="247"/>
        <v>9.58</v>
      </c>
      <c r="F47">
        <f t="shared" si="248"/>
        <v>3</v>
      </c>
      <c r="G47" s="18">
        <f>ROUND(INDEX(Valuation!U:U,MATCH(A47,Valuation!A:A,0)),2)</f>
        <v>50.15</v>
      </c>
      <c r="H47">
        <f t="shared" si="327"/>
        <v>-1</v>
      </c>
      <c r="I47" s="18">
        <f>INDEX(WeeklyIndicators!Y:Y,MATCH(A47,WeeklyIndicators!A:A,0))</f>
        <v>123.29</v>
      </c>
      <c r="J47">
        <f t="shared" si="223"/>
        <v>0</v>
      </c>
      <c r="K47">
        <f>ROUND(INDEX(Economic!AF:AF,MATCH(EOMONTH($A47,-1),Economic!A:A,0)),2)</f>
        <v>113.42</v>
      </c>
      <c r="L47" s="11">
        <f t="shared" si="271"/>
        <v>1</v>
      </c>
      <c r="M47">
        <f>ROUND(INDEX(Manufacturing!P:P,MATCH(EOMONTH($A47,-1),Manufacturing!A:A,0)),2)</f>
        <v>93.69</v>
      </c>
      <c r="N47">
        <f t="shared" si="261"/>
        <v>1</v>
      </c>
      <c r="O47">
        <f>ROUND(INDEX(Housing!AC:AC,MATCH(EOMONTH($A47,-1),Housing!B:B,0)),2)</f>
        <v>136.11000000000001</v>
      </c>
      <c r="P47">
        <f t="shared" si="262"/>
        <v>2</v>
      </c>
      <c r="Q47">
        <f>ROUND(INDEX(Spending!AJ:AJ,MATCH(EOMONTH($A47,-1),Spending!B:B,0)),2)</f>
        <v>52.4</v>
      </c>
      <c r="R47">
        <f t="shared" si="272"/>
        <v>1</v>
      </c>
      <c r="S47">
        <f>ROUND(INDEX(Employment!V:V,MATCH(EOMONTH($A47,-1),Employment!A:A,0)),2)</f>
        <v>168.13</v>
      </c>
      <c r="T47" s="11">
        <f t="shared" si="263"/>
        <v>1</v>
      </c>
      <c r="U47">
        <f t="shared" ref="U47" si="441">F47+H47+J47+L47+N47+P47+R47+T47+20</f>
        <v>28</v>
      </c>
      <c r="V47">
        <f t="shared" si="59"/>
        <v>75.540000000000006</v>
      </c>
      <c r="W47" s="13">
        <f t="shared" si="60"/>
        <v>-1.54E-2</v>
      </c>
      <c r="X47" s="13">
        <f t="shared" si="61"/>
        <v>-4.6099999999999995E-2</v>
      </c>
      <c r="Y47">
        <f t="shared" si="36"/>
        <v>72.12</v>
      </c>
      <c r="Z47" s="13">
        <f t="shared" ref="Z47" si="442">ROUND((AVERAGE(Y47:Y49)-AVERAGE(Y48:Y50))/AVERAGE(Y48:Y50),4)</f>
        <v>-1.61E-2</v>
      </c>
      <c r="AA47" s="13">
        <f t="shared" si="432"/>
        <v>-4.6800000000000001E-2</v>
      </c>
      <c r="AB47" s="6">
        <f t="shared" si="39"/>
        <v>68.555000000000007</v>
      </c>
      <c r="AC47">
        <f t="shared" ref="AC47" si="443">IF(ROUND(AB47/2,0)&lt;0,0,ROUND(AB47/2,0))</f>
        <v>34</v>
      </c>
      <c r="AD47" s="11">
        <f t="shared" ref="AD47" si="444">IF(AC47&gt;47,2,IF(AND(AC47&gt;41,AC47&lt;=47),1,IF(AC47&lt;15,-2,IF(AND(AC47&lt;32,AC47&gt;=15),-1,0))))</f>
        <v>0</v>
      </c>
      <c r="AE47">
        <f t="shared" ref="AE47" si="445">IF(AND(AA47&gt;=0.2,AC47&gt;=20,U47+AD47+2&lt;30),U47+AD47+2+12,U47+AD47+2)</f>
        <v>30</v>
      </c>
      <c r="AF47">
        <f>IF(AND(AE47&lt;15,OR(AC47&gt;=30,AA47&gt;0.15,X47&gt;=0.15)),2,VLOOKUP(AE47,Table!P:Q,2,FALSE))</f>
        <v>4</v>
      </c>
      <c r="AG47" s="22">
        <f>IF((AB47*0.98)-(D47*0.8)+((AF47-3)*3)+VLOOKUP(AM47,Table!$A$11:$B$13,2,FALSE)&lt;0,0,(AB47*0.98)-(D47*0.8)+((AF47-3)*3)+VLOOKUP(AM47,Table!$A$11:$B$13,2,FALSE))</f>
        <v>70.46390000000001</v>
      </c>
      <c r="AH47" s="22">
        <f t="shared" si="270"/>
        <v>73</v>
      </c>
      <c r="AI47" s="18">
        <f t="shared" si="234"/>
        <v>1.04</v>
      </c>
      <c r="AJ47" s="18">
        <f t="shared" si="235"/>
        <v>0.85</v>
      </c>
      <c r="AK47" t="str">
        <f t="shared" si="45"/>
        <v/>
      </c>
      <c r="AL47">
        <f t="shared" si="144"/>
        <v>30.5</v>
      </c>
      <c r="AM47" s="11" t="str">
        <f t="shared" si="46"/>
        <v>Stocks</v>
      </c>
      <c r="AN47" t="str">
        <f t="shared" si="69"/>
        <v>Buy</v>
      </c>
      <c r="AO47" s="13">
        <f t="shared" si="70"/>
        <v>1.5E-3</v>
      </c>
      <c r="AP47" s="13">
        <f t="shared" si="71"/>
        <v>2.0000000000000001E-4</v>
      </c>
      <c r="AQ47" s="13">
        <f t="shared" si="72"/>
        <v>1.1000000000000001E-3</v>
      </c>
      <c r="AR47" s="13">
        <f t="shared" si="47"/>
        <v>1.5E-3</v>
      </c>
      <c r="AS47" s="6">
        <f t="shared" si="20"/>
        <v>634.83288461167751</v>
      </c>
      <c r="AT47" s="6">
        <f t="shared" si="21"/>
        <v>188.01231118737562</v>
      </c>
      <c r="AU47" s="6">
        <f t="shared" si="22"/>
        <v>952.42536162043268</v>
      </c>
      <c r="AV47" s="6">
        <f t="shared" si="23"/>
        <v>1488.9116800227914</v>
      </c>
      <c r="AW47" s="58">
        <f t="shared" si="48"/>
        <v>2017</v>
      </c>
      <c r="AX47" s="58">
        <f>COUNTIF(AW$3:AW47,AW47)</f>
        <v>13</v>
      </c>
    </row>
    <row r="48" spans="1:50" x14ac:dyDescent="0.25">
      <c r="A48" s="5">
        <v>43009</v>
      </c>
      <c r="B48" s="18">
        <v>2519.36</v>
      </c>
      <c r="C48">
        <v>1.04</v>
      </c>
      <c r="D48" s="18">
        <v>9.51</v>
      </c>
      <c r="E48" s="18">
        <f t="shared" si="247"/>
        <v>9.76</v>
      </c>
      <c r="F48">
        <f t="shared" si="248"/>
        <v>3</v>
      </c>
      <c r="G48" s="18">
        <f>ROUND(INDEX(Valuation!U:U,MATCH(A48,Valuation!A:A,0)),2)</f>
        <v>51.91</v>
      </c>
      <c r="H48">
        <f t="shared" si="327"/>
        <v>-1</v>
      </c>
      <c r="I48" s="18">
        <f>INDEX(WeeklyIndicators!Y:Y,MATCH(A48,WeeklyIndicators!A:A,0))</f>
        <v>128.24</v>
      </c>
      <c r="J48">
        <f t="shared" si="223"/>
        <v>0</v>
      </c>
      <c r="K48">
        <f>ROUND(INDEX(Economic!AF:AF,MATCH(EOMONTH($A48,-1),Economic!A:A,0)),2)</f>
        <v>113.42</v>
      </c>
      <c r="L48" s="11">
        <f t="shared" si="271"/>
        <v>1</v>
      </c>
      <c r="M48">
        <f>ROUND(INDEX(Manufacturing!P:P,MATCH(EOMONTH($A48,-1),Manufacturing!A:A,0)),2)</f>
        <v>93.69</v>
      </c>
      <c r="N48">
        <f t="shared" si="261"/>
        <v>1</v>
      </c>
      <c r="O48">
        <f>ROUND(INDEX(Housing!AC:AC,MATCH(EOMONTH($A48,-1),Housing!B:B,0)),2)</f>
        <v>136.11000000000001</v>
      </c>
      <c r="P48">
        <f t="shared" si="262"/>
        <v>2</v>
      </c>
      <c r="Q48">
        <f>ROUND(INDEX(Spending!AJ:AJ,MATCH(EOMONTH($A48,-1),Spending!B:B,0)),2)</f>
        <v>52.4</v>
      </c>
      <c r="R48">
        <f t="shared" si="272"/>
        <v>1</v>
      </c>
      <c r="S48">
        <f>ROUND(INDEX(Employment!V:V,MATCH(EOMONTH($A48,-1),Employment!A:A,0)),2)</f>
        <v>168.13</v>
      </c>
      <c r="T48" s="11">
        <f t="shared" si="263"/>
        <v>1</v>
      </c>
      <c r="U48">
        <f t="shared" ref="U48" si="446">F48+H48+J48+L48+N48+P48+R48+T48+20</f>
        <v>28</v>
      </c>
      <c r="V48">
        <f t="shared" si="59"/>
        <v>76.05</v>
      </c>
      <c r="W48" s="13">
        <f t="shared" si="60"/>
        <v>-1.6E-2</v>
      </c>
      <c r="X48" s="13">
        <f t="shared" si="61"/>
        <v>-3.4299999999999997E-2</v>
      </c>
      <c r="Y48">
        <f t="shared" si="36"/>
        <v>72.760000000000005</v>
      </c>
      <c r="Z48" s="13">
        <f t="shared" ref="Z48" si="447">ROUND((AVERAGE(Y48:Y50)-AVERAGE(Y49:Y51))/AVERAGE(Y49:Y51),4)</f>
        <v>-1.6400000000000001E-2</v>
      </c>
      <c r="AA48" s="13">
        <f t="shared" si="432"/>
        <v>-3.2800000000000003E-2</v>
      </c>
      <c r="AB48" s="6">
        <f t="shared" si="39"/>
        <v>70.441000000000003</v>
      </c>
      <c r="AC48">
        <f t="shared" ref="AC48" si="448">IF(ROUND(AB48/2,0)&lt;0,0,ROUND(AB48/2,0))</f>
        <v>35</v>
      </c>
      <c r="AD48" s="11">
        <f t="shared" ref="AD48" si="449">IF(AC48&gt;47,2,IF(AND(AC48&gt;41,AC48&lt;=47),1,IF(AC48&lt;15,-2,IF(AND(AC48&lt;32,AC48&gt;=15),-1,0))))</f>
        <v>0</v>
      </c>
      <c r="AE48">
        <f t="shared" ref="AE48" si="450">IF(AND(AA48&gt;=0.2,AC48&gt;=20,U48+AD48+2&lt;30),U48+AD48+2+12,U48+AD48+2)</f>
        <v>30</v>
      </c>
      <c r="AF48">
        <f>IF(AND(AE48&lt;15,OR(AC48&gt;=30,AA48&gt;0.15,X48&gt;=0.15)),2,VLOOKUP(AE48,Table!P:Q,2,FALSE))</f>
        <v>4</v>
      </c>
      <c r="AG48" s="22">
        <f>IF((AB48*0.98)-(D48*0.8)+((AF48-3)*3)+VLOOKUP(AM48,Table!$A$11:$B$13,2,FALSE)&lt;0,0,(AB48*0.98)-(D48*0.8)+((AF48-3)*3)+VLOOKUP(AM48,Table!$A$11:$B$13,2,FALSE))</f>
        <v>72.424179999999993</v>
      </c>
      <c r="AH48" s="22">
        <f t="shared" si="270"/>
        <v>75</v>
      </c>
      <c r="AI48" s="18">
        <f t="shared" si="234"/>
        <v>1.04</v>
      </c>
      <c r="AJ48" s="18">
        <f t="shared" si="235"/>
        <v>0.84</v>
      </c>
      <c r="AK48" t="str">
        <f t="shared" si="45"/>
        <v/>
      </c>
      <c r="AL48">
        <f t="shared" si="144"/>
        <v>30.75</v>
      </c>
      <c r="AM48" s="11" t="str">
        <f t="shared" si="46"/>
        <v>Stocks</v>
      </c>
      <c r="AN48" t="str">
        <f t="shared" si="69"/>
        <v>Buy</v>
      </c>
      <c r="AO48" s="13">
        <f t="shared" si="70"/>
        <v>1.1900000000000001E-2</v>
      </c>
      <c r="AP48" s="13">
        <f t="shared" si="71"/>
        <v>2.0000000000000001E-4</v>
      </c>
      <c r="AQ48" s="13">
        <f t="shared" si="72"/>
        <v>8.9999999999999993E-3</v>
      </c>
      <c r="AR48" s="13">
        <f t="shared" si="47"/>
        <v>1.1900000000000001E-2</v>
      </c>
      <c r="AS48" s="6">
        <f t="shared" si="20"/>
        <v>627.3672147560801</v>
      </c>
      <c r="AT48" s="6">
        <f t="shared" si="21"/>
        <v>187.9747162441268</v>
      </c>
      <c r="AU48" s="6">
        <f t="shared" si="22"/>
        <v>943.92999169517623</v>
      </c>
      <c r="AV48" s="6">
        <f t="shared" si="23"/>
        <v>1471.4019962672116</v>
      </c>
      <c r="AW48" s="58">
        <f t="shared" si="48"/>
        <v>2017</v>
      </c>
      <c r="AX48" s="58">
        <f>COUNTIF(AW$3:AW48,AW48)</f>
        <v>14</v>
      </c>
    </row>
    <row r="49" spans="1:50" x14ac:dyDescent="0.25">
      <c r="A49" s="5">
        <v>43002</v>
      </c>
      <c r="B49" s="18">
        <v>2502.2199999999998</v>
      </c>
      <c r="C49">
        <v>1.02</v>
      </c>
      <c r="D49" s="18">
        <v>9.59</v>
      </c>
      <c r="E49" s="18">
        <f t="shared" si="247"/>
        <v>10.63</v>
      </c>
      <c r="F49">
        <f t="shared" si="248"/>
        <v>3</v>
      </c>
      <c r="G49" s="18">
        <f>ROUND(INDEX(Valuation!U:U,MATCH(A49,Valuation!A:A,0)),2)</f>
        <v>53.16</v>
      </c>
      <c r="H49">
        <f t="shared" si="327"/>
        <v>-1</v>
      </c>
      <c r="I49" s="18">
        <f>INDEX(WeeklyIndicators!Y:Y,MATCH(A49,WeeklyIndicators!A:A,0))</f>
        <v>138.93</v>
      </c>
      <c r="J49">
        <f t="shared" si="223"/>
        <v>1</v>
      </c>
      <c r="K49">
        <f>ROUND(INDEX(Economic!AF:AF,MATCH(EOMONTH($A49,-1),Economic!A:A,0)),2)</f>
        <v>115.11</v>
      </c>
      <c r="L49" s="11">
        <f t="shared" si="271"/>
        <v>1</v>
      </c>
      <c r="M49">
        <f>ROUND(INDEX(Manufacturing!P:P,MATCH(EOMONTH($A49,-1),Manufacturing!A:A,0)),2)</f>
        <v>92.93</v>
      </c>
      <c r="N49">
        <f t="shared" si="261"/>
        <v>1</v>
      </c>
      <c r="O49">
        <f>ROUND(INDEX(Housing!AC:AC,MATCH(EOMONTH($A49,-1),Housing!B:B,0)),2)</f>
        <v>138.72999999999999</v>
      </c>
      <c r="P49">
        <f t="shared" si="262"/>
        <v>2</v>
      </c>
      <c r="Q49">
        <f>ROUND(INDEX(Spending!AJ:AJ,MATCH(EOMONTH($A49,-1),Spending!B:B,0)),2)</f>
        <v>53.4</v>
      </c>
      <c r="R49">
        <f t="shared" si="272"/>
        <v>1</v>
      </c>
      <c r="S49">
        <f>ROUND(INDEX(Employment!V:V,MATCH(EOMONTH($A49,-1),Employment!A:A,0)),2)</f>
        <v>172.66</v>
      </c>
      <c r="T49" s="11">
        <f t="shared" si="263"/>
        <v>1</v>
      </c>
      <c r="U49">
        <f t="shared" ref="U49" si="451">F49+H49+J49+L49+N49+P49+R49+T49+20</f>
        <v>29</v>
      </c>
      <c r="V49">
        <f t="shared" si="59"/>
        <v>77.94</v>
      </c>
      <c r="W49" s="13">
        <f t="shared" si="60"/>
        <v>-8.3999999999999995E-3</v>
      </c>
      <c r="X49" s="13">
        <f t="shared" si="61"/>
        <v>-2.1399999999999999E-2</v>
      </c>
      <c r="Y49">
        <f t="shared" si="36"/>
        <v>74.48</v>
      </c>
      <c r="Z49" s="13">
        <f t="shared" ref="Z49" si="452">ROUND((AVERAGE(Y49:Y51)-AVERAGE(Y50:Y52))/AVERAGE(Y50:Y52),4)</f>
        <v>-9.4000000000000004E-3</v>
      </c>
      <c r="AA49" s="13">
        <f t="shared" si="432"/>
        <v>-1.9300000000000001E-2</v>
      </c>
      <c r="AB49" s="6">
        <f t="shared" si="39"/>
        <v>73.385999999999996</v>
      </c>
      <c r="AC49">
        <f t="shared" ref="AC49" si="453">IF(ROUND(AB49/2,0)&lt;0,0,ROUND(AB49/2,0))</f>
        <v>37</v>
      </c>
      <c r="AD49" s="11">
        <f t="shared" ref="AD49" si="454">IF(AC49&gt;47,2,IF(AND(AC49&gt;41,AC49&lt;=47),1,IF(AC49&lt;15,-2,IF(AND(AC49&lt;32,AC49&gt;=15),-1,0))))</f>
        <v>0</v>
      </c>
      <c r="AE49">
        <f t="shared" ref="AE49" si="455">IF(AND(AA49&gt;=0.2,AC49&gt;=20,U49+AD49+2&lt;30),U49+AD49+2+12,U49+AD49+2)</f>
        <v>31</v>
      </c>
      <c r="AF49">
        <f>IF(AND(AE49&lt;15,OR(AC49&gt;=30,AA49&gt;0.15,X49&gt;=0.15)),2,VLOOKUP(AE49,Table!P:Q,2,FALSE))</f>
        <v>4</v>
      </c>
      <c r="AG49" s="22">
        <f>IF((AB49*0.98)-(D49*0.8)+((AF49-3)*3)+VLOOKUP(AM49,Table!$A$11:$B$13,2,FALSE)&lt;0,0,(AB49*0.98)-(D49*0.8)+((AF49-3)*3)+VLOOKUP(AM49,Table!$A$11:$B$13,2,FALSE))</f>
        <v>75.246279999999999</v>
      </c>
      <c r="AH49" s="22">
        <f t="shared" si="270"/>
        <v>76</v>
      </c>
      <c r="AI49" s="18">
        <f t="shared" si="234"/>
        <v>1.03</v>
      </c>
      <c r="AJ49" s="18">
        <f t="shared" si="235"/>
        <v>0.83</v>
      </c>
      <c r="AK49" t="str">
        <f t="shared" si="45"/>
        <v/>
      </c>
      <c r="AL49">
        <f t="shared" si="144"/>
        <v>31</v>
      </c>
      <c r="AM49" s="11" t="str">
        <f t="shared" si="46"/>
        <v>Stocks</v>
      </c>
      <c r="AN49" t="str">
        <f t="shared" si="69"/>
        <v>Buy</v>
      </c>
      <c r="AO49" s="13">
        <f t="shared" si="70"/>
        <v>6.7999999999999996E-3</v>
      </c>
      <c r="AP49" s="13">
        <f t="shared" si="71"/>
        <v>2.0000000000000001E-4</v>
      </c>
      <c r="AQ49" s="13">
        <f t="shared" si="72"/>
        <v>5.1999999999999998E-3</v>
      </c>
      <c r="AR49" s="13">
        <f t="shared" si="47"/>
        <v>6.7999999999999996E-3</v>
      </c>
      <c r="AS49" s="6">
        <f t="shared" si="20"/>
        <v>623.1299312237586</v>
      </c>
      <c r="AT49" s="6">
        <f t="shared" si="21"/>
        <v>187.93712881836313</v>
      </c>
      <c r="AU49" s="6">
        <f t="shared" si="22"/>
        <v>939.04694756782351</v>
      </c>
      <c r="AV49" s="6">
        <f t="shared" si="23"/>
        <v>1461.4640407898407</v>
      </c>
      <c r="AW49" s="58">
        <f t="shared" si="48"/>
        <v>2017</v>
      </c>
      <c r="AX49" s="58">
        <f>COUNTIF(AW$3:AW49,AW49)</f>
        <v>15</v>
      </c>
    </row>
    <row r="50" spans="1:50" x14ac:dyDescent="0.25">
      <c r="A50" s="5">
        <v>42995</v>
      </c>
      <c r="B50" s="18">
        <v>2500.23</v>
      </c>
      <c r="C50">
        <v>1.03</v>
      </c>
      <c r="D50" s="18">
        <v>10.17</v>
      </c>
      <c r="E50" s="18">
        <f t="shared" si="247"/>
        <v>10.81</v>
      </c>
      <c r="F50">
        <f t="shared" si="248"/>
        <v>3</v>
      </c>
      <c r="G50" s="18">
        <f>ROUND(INDEX(Valuation!U:U,MATCH(A50,Valuation!A:A,0)),2)</f>
        <v>54.01</v>
      </c>
      <c r="H50">
        <f t="shared" si="327"/>
        <v>-1</v>
      </c>
      <c r="I50" s="18">
        <f>INDEX(WeeklyIndicators!Y:Y,MATCH(A50,WeeklyIndicators!A:A,0))</f>
        <v>150.52000000000001</v>
      </c>
      <c r="J50">
        <f t="shared" si="223"/>
        <v>1</v>
      </c>
      <c r="K50">
        <f>ROUND(INDEX(Economic!AF:AF,MATCH(EOMONTH($A50,-1),Economic!A:A,0)),2)</f>
        <v>115.11</v>
      </c>
      <c r="L50" s="11">
        <f t="shared" si="271"/>
        <v>1</v>
      </c>
      <c r="M50">
        <f>ROUND(INDEX(Manufacturing!P:P,MATCH(EOMONTH($A50,-1),Manufacturing!A:A,0)),2)</f>
        <v>92.93</v>
      </c>
      <c r="N50">
        <f t="shared" si="261"/>
        <v>1</v>
      </c>
      <c r="O50">
        <f>ROUND(INDEX(Housing!AC:AC,MATCH(EOMONTH($A50,-1),Housing!B:B,0)),2)</f>
        <v>138.72999999999999</v>
      </c>
      <c r="P50">
        <f t="shared" si="262"/>
        <v>2</v>
      </c>
      <c r="Q50">
        <f>ROUND(INDEX(Spending!AJ:AJ,MATCH(EOMONTH($A50,-1),Spending!B:B,0)),2)</f>
        <v>53.4</v>
      </c>
      <c r="R50">
        <f t="shared" si="272"/>
        <v>1</v>
      </c>
      <c r="S50">
        <f>ROUND(INDEX(Employment!V:V,MATCH(EOMONTH($A50,-1),Employment!A:A,0)),2)</f>
        <v>172.66</v>
      </c>
      <c r="T50" s="11">
        <f t="shared" si="263"/>
        <v>1</v>
      </c>
      <c r="U50">
        <f t="shared" ref="U50" si="456">F50+H50+J50+L50+N50+P50+R50+T50+20</f>
        <v>29</v>
      </c>
      <c r="V50">
        <f t="shared" si="59"/>
        <v>79.14</v>
      </c>
      <c r="W50" s="13">
        <f t="shared" si="60"/>
        <v>-6.3E-3</v>
      </c>
      <c r="X50" s="13">
        <f t="shared" si="61"/>
        <v>-1.21E-2</v>
      </c>
      <c r="Y50">
        <f t="shared" si="36"/>
        <v>75.72</v>
      </c>
      <c r="Z50" s="13">
        <f t="shared" ref="Z50" si="457">ROUND((AVERAGE(Y50:Y52)-AVERAGE(Y51:Y53))/AVERAGE(Y51:Y53),4)</f>
        <v>-4.8999999999999998E-3</v>
      </c>
      <c r="AA50" s="13">
        <f t="shared" si="432"/>
        <v>-1.3699999999999999E-2</v>
      </c>
      <c r="AB50" s="6">
        <f t="shared" si="39"/>
        <v>75.220999999999989</v>
      </c>
      <c r="AC50">
        <f t="shared" ref="AC50" si="458">IF(ROUND(AB50/2,0)&lt;0,0,ROUND(AB50/2,0))</f>
        <v>38</v>
      </c>
      <c r="AD50" s="11">
        <f t="shared" ref="AD50" si="459">IF(AC50&gt;47,2,IF(AND(AC50&gt;41,AC50&lt;=47),1,IF(AC50&lt;15,-2,IF(AND(AC50&lt;32,AC50&gt;=15),-1,0))))</f>
        <v>0</v>
      </c>
      <c r="AE50">
        <f t="shared" ref="AE50:AE55" si="460">IF(AND(AA50&gt;=0.2,AC50&gt;=20,U50+AD50+2&lt;30),U50+AD50+2+12,U50+AD50+2)</f>
        <v>31</v>
      </c>
      <c r="AF50">
        <f>IF(AND(AE50&lt;15,OR(AC50&gt;=30,AA50&gt;0.15,X50&gt;=0.15)),2,VLOOKUP(AE50,Table!P:Q,2,FALSE))</f>
        <v>4</v>
      </c>
      <c r="AG50" s="22">
        <f>IF((AB50*0.98)-(D50*0.8)+((AF50-3)*3)+VLOOKUP(AM50,Table!$A$11:$B$13,2,FALSE)&lt;0,0,(AB50*0.98)-(D50*0.8)+((AF50-3)*3)+VLOOKUP(AM50,Table!$A$11:$B$13,2,FALSE))</f>
        <v>76.580579999999998</v>
      </c>
      <c r="AH50" s="22">
        <f t="shared" si="270"/>
        <v>77</v>
      </c>
      <c r="AI50" s="18">
        <f t="shared" si="234"/>
        <v>1.03</v>
      </c>
      <c r="AJ50" s="18">
        <f t="shared" si="235"/>
        <v>0.81</v>
      </c>
      <c r="AK50" t="str">
        <f t="shared" si="45"/>
        <v/>
      </c>
      <c r="AL50">
        <f t="shared" si="144"/>
        <v>31</v>
      </c>
      <c r="AM50" s="11" t="str">
        <f t="shared" si="46"/>
        <v>Stocks</v>
      </c>
      <c r="AN50" t="str">
        <f t="shared" si="69"/>
        <v>Buy</v>
      </c>
      <c r="AO50" s="13">
        <f t="shared" si="70"/>
        <v>8.0000000000000004E-4</v>
      </c>
      <c r="AP50" s="13">
        <f t="shared" si="71"/>
        <v>2.0000000000000001E-4</v>
      </c>
      <c r="AQ50" s="13">
        <f t="shared" si="72"/>
        <v>6.9999999999999999E-4</v>
      </c>
      <c r="AR50" s="13">
        <f t="shared" si="47"/>
        <v>8.0000000000000004E-4</v>
      </c>
      <c r="AS50" s="6">
        <f t="shared" si="20"/>
        <v>622.63182576314819</v>
      </c>
      <c r="AT50" s="6">
        <f t="shared" si="21"/>
        <v>187.89954890858144</v>
      </c>
      <c r="AU50" s="6">
        <f t="shared" si="22"/>
        <v>938.3900745156626</v>
      </c>
      <c r="AV50" s="6">
        <f t="shared" si="23"/>
        <v>1460.2958041465236</v>
      </c>
      <c r="AW50" s="58">
        <f t="shared" si="48"/>
        <v>2017</v>
      </c>
      <c r="AX50" s="58">
        <f>COUNTIF(AW$3:AW50,AW50)</f>
        <v>16</v>
      </c>
    </row>
    <row r="51" spans="1:50" x14ac:dyDescent="0.25">
      <c r="A51" s="5">
        <v>42988</v>
      </c>
      <c r="B51" s="18">
        <v>2461.4299999999998</v>
      </c>
      <c r="C51">
        <v>1.03</v>
      </c>
      <c r="D51" s="18">
        <v>12.12</v>
      </c>
      <c r="E51" s="18">
        <f t="shared" si="247"/>
        <v>11.18</v>
      </c>
      <c r="F51">
        <f t="shared" si="248"/>
        <v>2</v>
      </c>
      <c r="G51" s="18">
        <f>ROUND(INDEX(Valuation!U:U,MATCH(A51,Valuation!A:A,0)),2)</f>
        <v>55.75</v>
      </c>
      <c r="H51">
        <f t="shared" si="327"/>
        <v>-1</v>
      </c>
      <c r="I51" s="18">
        <f>INDEX(WeeklyIndicators!Y:Y,MATCH(A51,WeeklyIndicators!A:A,0))</f>
        <v>157.27000000000001</v>
      </c>
      <c r="J51">
        <f t="shared" si="223"/>
        <v>2</v>
      </c>
      <c r="K51">
        <f>ROUND(INDEX(Economic!AF:AF,MATCH(EOMONTH($A51,-1),Economic!A:A,0)),2)</f>
        <v>115.11</v>
      </c>
      <c r="L51" s="11">
        <f t="shared" si="271"/>
        <v>1</v>
      </c>
      <c r="M51">
        <f>ROUND(INDEX(Manufacturing!P:P,MATCH(EOMONTH($A51,-1),Manufacturing!A:A,0)),2)</f>
        <v>92.93</v>
      </c>
      <c r="N51">
        <f t="shared" si="261"/>
        <v>1</v>
      </c>
      <c r="O51">
        <f>ROUND(INDEX(Housing!AC:AC,MATCH(EOMONTH($A51,-1),Housing!B:B,0)),2)</f>
        <v>138.72999999999999</v>
      </c>
      <c r="P51">
        <f t="shared" si="262"/>
        <v>2</v>
      </c>
      <c r="Q51">
        <f>ROUND(INDEX(Spending!AJ:AJ,MATCH(EOMONTH($A51,-1),Spending!B:B,0)),2)</f>
        <v>53.4</v>
      </c>
      <c r="R51">
        <f t="shared" si="272"/>
        <v>1</v>
      </c>
      <c r="S51">
        <f>ROUND(INDEX(Employment!V:V,MATCH(EOMONTH($A51,-1),Employment!A:A,0)),2)</f>
        <v>172.66</v>
      </c>
      <c r="T51" s="11">
        <f t="shared" si="263"/>
        <v>1</v>
      </c>
      <c r="U51">
        <f t="shared" ref="U51" si="461">F51+H51+J51+L51+N51+P51+R51+T51+20</f>
        <v>29</v>
      </c>
      <c r="V51">
        <f t="shared" si="59"/>
        <v>79.84</v>
      </c>
      <c r="W51" s="13">
        <f t="shared" si="60"/>
        <v>-3.5999999999999999E-3</v>
      </c>
      <c r="X51" s="13">
        <f t="shared" si="61"/>
        <v>-7.3999999999999995E-3</v>
      </c>
      <c r="Y51">
        <f t="shared" si="36"/>
        <v>76.48</v>
      </c>
      <c r="Z51" s="13">
        <f t="shared" ref="Z51" si="462">ROUND((AVERAGE(Y51:Y53)-AVERAGE(Y52:Y54))/AVERAGE(Y52:Y54),4)</f>
        <v>-2.0999999999999999E-3</v>
      </c>
      <c r="AA51" s="13">
        <f t="shared" ref="AA51:AA114" si="463">SUM(Z51:Z54)</f>
        <v>-1.5199999999999998E-2</v>
      </c>
      <c r="AB51" s="6">
        <f t="shared" si="39"/>
        <v>76.125</v>
      </c>
      <c r="AC51">
        <f t="shared" ref="AC51" si="464">IF(ROUND(AB51/2,0)&lt;0,0,ROUND(AB51/2,0))</f>
        <v>38</v>
      </c>
      <c r="AD51" s="11">
        <f t="shared" ref="AD51" si="465">IF(AC51&gt;47,2,IF(AND(AC51&gt;41,AC51&lt;=47),1,IF(AC51&lt;15,-2,IF(AND(AC51&lt;32,AC51&gt;=15),-1,0))))</f>
        <v>0</v>
      </c>
      <c r="AE51">
        <f t="shared" si="460"/>
        <v>31</v>
      </c>
      <c r="AF51">
        <f>IF(AND(AE51&lt;15,OR(AC51&gt;=30,AA51&gt;0.15,X51&gt;=0.15)),2,VLOOKUP(AE51,Table!P:Q,2,FALSE))</f>
        <v>4</v>
      </c>
      <c r="AG51" s="22">
        <f>IF((AB51*0.98)-(D51*0.8)+((AF51-3)*3)+VLOOKUP(AM51,Table!$A$11:$B$13,2,FALSE)&lt;0,0,(AB51*0.98)-(D51*0.8)+((AF51-3)*3)+VLOOKUP(AM51,Table!$A$11:$B$13,2,FALSE))</f>
        <v>75.906499999999994</v>
      </c>
      <c r="AH51" s="22">
        <f t="shared" si="270"/>
        <v>77</v>
      </c>
      <c r="AI51" s="18">
        <f t="shared" si="234"/>
        <v>1.03</v>
      </c>
      <c r="AJ51" s="18">
        <f t="shared" si="235"/>
        <v>0.8</v>
      </c>
      <c r="AK51" t="str">
        <f t="shared" si="45"/>
        <v/>
      </c>
      <c r="AL51">
        <f t="shared" si="144"/>
        <v>31</v>
      </c>
      <c r="AM51" s="11" t="str">
        <f t="shared" si="46"/>
        <v>Stocks</v>
      </c>
      <c r="AN51" t="str">
        <f t="shared" si="69"/>
        <v>Buy</v>
      </c>
      <c r="AO51" s="13">
        <f t="shared" si="70"/>
        <v>1.5800000000000002E-2</v>
      </c>
      <c r="AP51" s="13">
        <f t="shared" si="71"/>
        <v>2.0000000000000001E-4</v>
      </c>
      <c r="AQ51" s="13">
        <f t="shared" si="72"/>
        <v>1.2200000000000001E-2</v>
      </c>
      <c r="AR51" s="13">
        <f t="shared" si="47"/>
        <v>1.5800000000000002E-2</v>
      </c>
      <c r="AS51" s="6">
        <f t="shared" si="20"/>
        <v>612.94725906984456</v>
      </c>
      <c r="AT51" s="6">
        <f t="shared" si="21"/>
        <v>187.86197651327879</v>
      </c>
      <c r="AU51" s="6">
        <f t="shared" si="22"/>
        <v>927.07970214943941</v>
      </c>
      <c r="AV51" s="6">
        <f t="shared" si="23"/>
        <v>1437.5820084135887</v>
      </c>
      <c r="AW51" s="58">
        <f t="shared" si="48"/>
        <v>2017</v>
      </c>
      <c r="AX51" s="58">
        <f>COUNTIF(AW$3:AW51,AW51)</f>
        <v>17</v>
      </c>
    </row>
    <row r="52" spans="1:50" x14ac:dyDescent="0.25">
      <c r="A52" s="5">
        <v>42981</v>
      </c>
      <c r="B52" s="18">
        <v>2476.5500000000002</v>
      </c>
      <c r="C52">
        <v>1</v>
      </c>
      <c r="D52" s="18">
        <v>10.130000000000001</v>
      </c>
      <c r="E52" s="18">
        <f t="shared" si="247"/>
        <v>11.89</v>
      </c>
      <c r="F52">
        <f t="shared" si="248"/>
        <v>2</v>
      </c>
      <c r="G52" s="18">
        <f>ROUND(INDEX(Valuation!U:U,MATCH(A52,Valuation!A:A,0)),2)</f>
        <v>58.25</v>
      </c>
      <c r="H52">
        <f t="shared" si="327"/>
        <v>-1</v>
      </c>
      <c r="I52" s="18">
        <f>INDEX(WeeklyIndicators!Y:Y,MATCH(A52,WeeklyIndicators!A:A,0))</f>
        <v>158.26</v>
      </c>
      <c r="J52">
        <f t="shared" si="223"/>
        <v>2</v>
      </c>
      <c r="K52">
        <f>ROUND(INDEX(Economic!AF:AF,MATCH(EOMONTH($A52,-1),Economic!A:A,0)),2)</f>
        <v>115.11</v>
      </c>
      <c r="L52" s="11">
        <f t="shared" si="271"/>
        <v>1</v>
      </c>
      <c r="M52">
        <f>ROUND(INDEX(Manufacturing!P:P,MATCH(EOMONTH($A52,-1),Manufacturing!A:A,0)),2)</f>
        <v>92.93</v>
      </c>
      <c r="N52">
        <f t="shared" si="261"/>
        <v>1</v>
      </c>
      <c r="O52">
        <f>ROUND(INDEX(Housing!AC:AC,MATCH(EOMONTH($A52,-1),Housing!B:B,0)),2)</f>
        <v>138.72999999999999</v>
      </c>
      <c r="P52">
        <f t="shared" si="262"/>
        <v>2</v>
      </c>
      <c r="Q52">
        <f>ROUND(INDEX(Spending!AJ:AJ,MATCH(EOMONTH($A52,-1),Spending!B:B,0)),2)</f>
        <v>53.4</v>
      </c>
      <c r="R52">
        <f t="shared" si="272"/>
        <v>1</v>
      </c>
      <c r="S52">
        <f>ROUND(INDEX(Employment!V:V,MATCH(EOMONTH($A52,-1),Employment!A:A,0)),2)</f>
        <v>172.66</v>
      </c>
      <c r="T52" s="11">
        <f t="shared" si="263"/>
        <v>1</v>
      </c>
      <c r="U52">
        <f t="shared" ref="U52" si="466">F52+H52+J52+L52+N52+P52+R52+T52+20</f>
        <v>29</v>
      </c>
      <c r="V52">
        <f t="shared" si="59"/>
        <v>79.94</v>
      </c>
      <c r="W52" s="13">
        <f t="shared" si="60"/>
        <v>-3.0999999999999999E-3</v>
      </c>
      <c r="X52" s="13">
        <f t="shared" si="61"/>
        <v>-4.0999999999999995E-3</v>
      </c>
      <c r="Y52">
        <f t="shared" si="36"/>
        <v>76.62</v>
      </c>
      <c r="Z52" s="13">
        <f t="shared" ref="Z52" si="467">ROUND((AVERAGE(Y52:Y54)-AVERAGE(Y53:Y55))/AVERAGE(Y53:Y55),4)</f>
        <v>-2.8999999999999998E-3</v>
      </c>
      <c r="AA52" s="13">
        <f t="shared" si="463"/>
        <v>-1.7600000000000001E-2</v>
      </c>
      <c r="AB52" s="6">
        <f t="shared" si="39"/>
        <v>76.385000000000005</v>
      </c>
      <c r="AC52">
        <f t="shared" ref="AC52" si="468">IF(ROUND(AB52/2,0)&lt;0,0,ROUND(AB52/2,0))</f>
        <v>38</v>
      </c>
      <c r="AD52" s="11">
        <f t="shared" ref="AD52" si="469">IF(AC52&gt;47,2,IF(AND(AC52&gt;41,AC52&lt;=47),1,IF(AC52&lt;15,-2,IF(AND(AC52&lt;32,AC52&gt;=15),-1,0))))</f>
        <v>0</v>
      </c>
      <c r="AE52">
        <f t="shared" si="460"/>
        <v>31</v>
      </c>
      <c r="AF52">
        <f>IF(AND(AE52&lt;15,OR(AC52&gt;=30,AA52&gt;0.15,X52&gt;=0.15)),2,VLOOKUP(AE52,Table!P:Q,2,FALSE))</f>
        <v>4</v>
      </c>
      <c r="AG52" s="22">
        <f>IF((AB52*0.98)-(D52*0.8)+((AF52-3)*3)+VLOOKUP(AM52,Table!$A$11:$B$13,2,FALSE)&lt;0,0,(AB52*0.98)-(D52*0.8)+((AF52-3)*3)+VLOOKUP(AM52,Table!$A$11:$B$13,2,FALSE))</f>
        <v>77.75330000000001</v>
      </c>
      <c r="AH52" s="22">
        <f t="shared" si="270"/>
        <v>77</v>
      </c>
      <c r="AI52" s="18">
        <f t="shared" si="234"/>
        <v>1.02</v>
      </c>
      <c r="AJ52" s="18">
        <f t="shared" si="235"/>
        <v>0.79</v>
      </c>
      <c r="AK52" t="str">
        <f t="shared" si="45"/>
        <v/>
      </c>
      <c r="AL52">
        <f t="shared" si="144"/>
        <v>31</v>
      </c>
      <c r="AM52" s="11" t="str">
        <f t="shared" si="46"/>
        <v>Stocks</v>
      </c>
      <c r="AN52" t="str">
        <f t="shared" si="69"/>
        <v>Buy</v>
      </c>
      <c r="AO52" s="13">
        <f t="shared" si="70"/>
        <v>-6.1000000000000004E-3</v>
      </c>
      <c r="AP52" s="13">
        <f t="shared" si="71"/>
        <v>2.0000000000000001E-4</v>
      </c>
      <c r="AQ52" s="13">
        <f t="shared" si="72"/>
        <v>-4.7000000000000002E-3</v>
      </c>
      <c r="AR52" s="13">
        <f t="shared" si="47"/>
        <v>-6.1000000000000004E-3</v>
      </c>
      <c r="AS52" s="6">
        <f t="shared" si="20"/>
        <v>616.70918509894818</v>
      </c>
      <c r="AT52" s="6">
        <f t="shared" si="21"/>
        <v>187.8244116309526</v>
      </c>
      <c r="AU52" s="6">
        <f t="shared" si="22"/>
        <v>931.45755264687978</v>
      </c>
      <c r="AV52" s="6">
        <f t="shared" si="23"/>
        <v>1446.4050793979161</v>
      </c>
      <c r="AW52" s="58">
        <f t="shared" si="48"/>
        <v>2017</v>
      </c>
      <c r="AX52" s="58">
        <f>COUNTIF(AW$3:AW52,AW52)</f>
        <v>18</v>
      </c>
    </row>
    <row r="53" spans="1:50" x14ac:dyDescent="0.25">
      <c r="A53" s="5">
        <v>42974</v>
      </c>
      <c r="B53" s="18">
        <v>2443.0500000000002</v>
      </c>
      <c r="C53">
        <v>0.99</v>
      </c>
      <c r="D53" s="18">
        <v>11.28</v>
      </c>
      <c r="E53" s="18">
        <f t="shared" si="247"/>
        <v>13.68</v>
      </c>
      <c r="F53">
        <f t="shared" si="248"/>
        <v>2</v>
      </c>
      <c r="G53" s="18">
        <f>ROUND(INDEX(Valuation!U:U,MATCH(A53,Valuation!A:A,0)),2)</f>
        <v>59.51</v>
      </c>
      <c r="H53">
        <f t="shared" si="327"/>
        <v>-1</v>
      </c>
      <c r="I53" s="18">
        <f>INDEX(WeeklyIndicators!Y:Y,MATCH(A53,WeeklyIndicators!A:A,0))</f>
        <v>157.65</v>
      </c>
      <c r="J53">
        <f t="shared" si="223"/>
        <v>2</v>
      </c>
      <c r="K53">
        <f>ROUND(INDEX(Economic!AF:AF,MATCH(EOMONTH($A53,-1),Economic!A:A,0)),2)</f>
        <v>120.03</v>
      </c>
      <c r="L53" s="11">
        <f t="shared" si="271"/>
        <v>1</v>
      </c>
      <c r="M53">
        <f>ROUND(INDEX(Manufacturing!P:P,MATCH(EOMONTH($A53,-1),Manufacturing!A:A,0)),2)</f>
        <v>89.36</v>
      </c>
      <c r="N53">
        <f t="shared" si="261"/>
        <v>0</v>
      </c>
      <c r="O53">
        <f>ROUND(INDEX(Housing!AC:AC,MATCH(EOMONTH($A53,-1),Housing!B:B,0)),2)</f>
        <v>139.08000000000001</v>
      </c>
      <c r="P53">
        <f t="shared" si="262"/>
        <v>2</v>
      </c>
      <c r="Q53">
        <f>ROUND(INDEX(Spending!AJ:AJ,MATCH(EOMONTH($A53,-1),Spending!B:B,0)),2)</f>
        <v>55.19</v>
      </c>
      <c r="R53">
        <f t="shared" si="272"/>
        <v>1</v>
      </c>
      <c r="S53">
        <f>ROUND(INDEX(Employment!V:V,MATCH(EOMONTH($A53,-1),Employment!A:A,0)),2)</f>
        <v>177.45</v>
      </c>
      <c r="T53" s="11">
        <f t="shared" si="263"/>
        <v>2</v>
      </c>
      <c r="U53">
        <f t="shared" ref="U53" si="470">F53+H53+J53+L53+N53+P53+R53+T53+20</f>
        <v>29</v>
      </c>
      <c r="V53">
        <f t="shared" si="59"/>
        <v>80.650000000000006</v>
      </c>
      <c r="W53" s="13">
        <f t="shared" si="60"/>
        <v>8.9999999999999998E-4</v>
      </c>
      <c r="X53" s="13">
        <f t="shared" si="61"/>
        <v>-1.9E-3</v>
      </c>
      <c r="Y53">
        <f t="shared" si="36"/>
        <v>76.84</v>
      </c>
      <c r="Z53" s="13">
        <f t="shared" ref="Z53" si="471">ROUND((AVERAGE(Y53:Y55)-AVERAGE(Y54:Y56))/AVERAGE(Y54:Y56),4)</f>
        <v>-3.8E-3</v>
      </c>
      <c r="AA53" s="13">
        <f t="shared" si="463"/>
        <v>-1.72E-2</v>
      </c>
      <c r="AB53" s="6">
        <f t="shared" si="39"/>
        <v>76.810999999999993</v>
      </c>
      <c r="AC53">
        <f t="shared" ref="AC53" si="472">IF(ROUND(AB53/2,0)&lt;0,0,ROUND(AB53/2,0))</f>
        <v>38</v>
      </c>
      <c r="AD53" s="11">
        <f t="shared" ref="AD53" si="473">IF(AC53&gt;47,2,IF(AND(AC53&gt;41,AC53&lt;=47),1,IF(AC53&lt;15,-2,IF(AND(AC53&lt;32,AC53&gt;=15),-1,0))))</f>
        <v>0</v>
      </c>
      <c r="AE53">
        <f t="shared" si="460"/>
        <v>31</v>
      </c>
      <c r="AF53">
        <f>IF(AND(AE53&lt;15,OR(AC53&gt;=30,AA53&gt;0.15,X53&gt;=0.15)),2,VLOOKUP(AE53,Table!P:Q,2,FALSE))</f>
        <v>4</v>
      </c>
      <c r="AG53" s="22">
        <f>IF((AB53*0.98)-(D53*0.8)+((AF53-3)*3)+VLOOKUP(AM53,Table!$A$11:$B$13,2,FALSE)&lt;0,0,(AB53*0.98)-(D53*0.8)+((AF53-3)*3)+VLOOKUP(AM53,Table!$A$11:$B$13,2,FALSE))</f>
        <v>77.250779999999992</v>
      </c>
      <c r="AH53" s="22">
        <f t="shared" si="270"/>
        <v>76</v>
      </c>
      <c r="AI53" s="18">
        <f t="shared" si="234"/>
        <v>1.02</v>
      </c>
      <c r="AJ53" s="18">
        <f t="shared" si="235"/>
        <v>0.77</v>
      </c>
      <c r="AK53" t="str">
        <f t="shared" si="45"/>
        <v/>
      </c>
      <c r="AL53">
        <f t="shared" si="144"/>
        <v>31.25</v>
      </c>
      <c r="AM53" s="11" t="str">
        <f t="shared" si="46"/>
        <v>Stocks</v>
      </c>
      <c r="AN53" t="str">
        <f t="shared" si="69"/>
        <v>Buy</v>
      </c>
      <c r="AO53" s="13">
        <f t="shared" si="70"/>
        <v>1.37E-2</v>
      </c>
      <c r="AP53" s="13">
        <f t="shared" si="71"/>
        <v>2.0000000000000001E-4</v>
      </c>
      <c r="AQ53" s="13">
        <f t="shared" si="72"/>
        <v>1.0500000000000001E-2</v>
      </c>
      <c r="AR53" s="13">
        <f t="shared" si="47"/>
        <v>1.37E-2</v>
      </c>
      <c r="AS53" s="6">
        <f t="shared" si="20"/>
        <v>608.37445506456368</v>
      </c>
      <c r="AT53" s="6">
        <f t="shared" si="21"/>
        <v>187.78685426010057</v>
      </c>
      <c r="AU53" s="6">
        <f t="shared" si="22"/>
        <v>921.77887446499733</v>
      </c>
      <c r="AV53" s="6">
        <f t="shared" si="23"/>
        <v>1426.8571366261378</v>
      </c>
      <c r="AW53" s="58">
        <f t="shared" si="48"/>
        <v>2017</v>
      </c>
      <c r="AX53" s="58">
        <f>COUNTIF(AW$3:AW53,AW53)</f>
        <v>19</v>
      </c>
    </row>
    <row r="54" spans="1:50" x14ac:dyDescent="0.25">
      <c r="A54" s="5">
        <v>42967</v>
      </c>
      <c r="B54" s="18">
        <v>2425.5500000000002</v>
      </c>
      <c r="C54">
        <v>1</v>
      </c>
      <c r="D54" s="18">
        <v>14.26</v>
      </c>
      <c r="E54" s="18">
        <f t="shared" si="247"/>
        <v>13.27</v>
      </c>
      <c r="F54">
        <f t="shared" si="248"/>
        <v>2</v>
      </c>
      <c r="G54" s="18">
        <f>ROUND(INDEX(Valuation!U:U,MATCH(A54,Valuation!A:A,0)),2)</f>
        <v>58.94</v>
      </c>
      <c r="H54">
        <f t="shared" si="327"/>
        <v>-1</v>
      </c>
      <c r="I54" s="18">
        <f>INDEX(WeeklyIndicators!Y:Y,MATCH(A54,WeeklyIndicators!A:A,0))</f>
        <v>158.11000000000001</v>
      </c>
      <c r="J54">
        <f t="shared" si="223"/>
        <v>2</v>
      </c>
      <c r="K54">
        <f>ROUND(INDEX(Economic!AF:AF,MATCH(EOMONTH($A54,-1),Economic!A:A,0)),2)</f>
        <v>120.03</v>
      </c>
      <c r="L54" s="11">
        <f t="shared" si="271"/>
        <v>1</v>
      </c>
      <c r="M54">
        <f>ROUND(INDEX(Manufacturing!P:P,MATCH(EOMONTH($A54,-1),Manufacturing!A:A,0)),2)</f>
        <v>89.36</v>
      </c>
      <c r="N54">
        <f t="shared" si="261"/>
        <v>0</v>
      </c>
      <c r="O54">
        <f>ROUND(INDEX(Housing!AC:AC,MATCH(EOMONTH($A54,-1),Housing!B:B,0)),2)</f>
        <v>139.08000000000001</v>
      </c>
      <c r="P54">
        <f t="shared" si="262"/>
        <v>2</v>
      </c>
      <c r="Q54">
        <f>ROUND(INDEX(Spending!AJ:AJ,MATCH(EOMONTH($A54,-1),Spending!B:B,0)),2)</f>
        <v>55.19</v>
      </c>
      <c r="R54">
        <f t="shared" si="272"/>
        <v>1</v>
      </c>
      <c r="S54">
        <f>ROUND(INDEX(Employment!V:V,MATCH(EOMONTH($A54,-1),Employment!A:A,0)),2)</f>
        <v>177.45</v>
      </c>
      <c r="T54" s="11">
        <f t="shared" si="263"/>
        <v>2</v>
      </c>
      <c r="U54">
        <f t="shared" ref="U54" si="474">F54+H54+J54+L54+N54+P54+R54+T54+20</f>
        <v>29</v>
      </c>
      <c r="V54">
        <f t="shared" si="59"/>
        <v>80.7</v>
      </c>
      <c r="W54" s="13">
        <f t="shared" si="60"/>
        <v>-1.6000000000000001E-3</v>
      </c>
      <c r="X54" s="13">
        <f t="shared" si="61"/>
        <v>-1.2999999999999999E-3</v>
      </c>
      <c r="Y54">
        <f t="shared" si="36"/>
        <v>76.97</v>
      </c>
      <c r="Z54" s="13">
        <f t="shared" ref="Z54" si="475">ROUND((AVERAGE(Y54:Y56)-AVERAGE(Y55:Y57))/AVERAGE(Y55:Y57),4)</f>
        <v>-6.4000000000000003E-3</v>
      </c>
      <c r="AA54" s="13">
        <f t="shared" si="463"/>
        <v>-1.37E-2</v>
      </c>
      <c r="AB54" s="6">
        <f t="shared" si="39"/>
        <v>77.124000000000009</v>
      </c>
      <c r="AC54">
        <f t="shared" ref="AC54" si="476">IF(ROUND(AB54/2,0)&lt;0,0,ROUND(AB54/2,0))</f>
        <v>39</v>
      </c>
      <c r="AD54" s="11">
        <f t="shared" ref="AD54" si="477">IF(AC54&gt;47,2,IF(AND(AC54&gt;41,AC54&lt;=47),1,IF(AC54&lt;15,-2,IF(AND(AC54&lt;32,AC54&gt;=15),-1,0))))</f>
        <v>0</v>
      </c>
      <c r="AE54">
        <f t="shared" si="460"/>
        <v>31</v>
      </c>
      <c r="AF54">
        <f>IF(AND(AE54&lt;15,OR(AC54&gt;=30,AA54&gt;0.15,X54&gt;=0.15)),2,VLOOKUP(AE54,Table!P:Q,2,FALSE))</f>
        <v>4</v>
      </c>
      <c r="AG54" s="22">
        <f>IF((AB54*0.98)-(D54*0.8)+((AF54-3)*3)+VLOOKUP(AM54,Table!$A$11:$B$13,2,FALSE)&lt;0,0,(AB54*0.98)-(D54*0.8)+((AF54-3)*3)+VLOOKUP(AM54,Table!$A$11:$B$13,2,FALSE))</f>
        <v>75.173520000000011</v>
      </c>
      <c r="AH54" s="22">
        <f t="shared" si="270"/>
        <v>77</v>
      </c>
      <c r="AI54" s="18">
        <f t="shared" si="234"/>
        <v>1.01</v>
      </c>
      <c r="AJ54" s="18">
        <f t="shared" si="235"/>
        <v>0.76</v>
      </c>
      <c r="AK54" t="str">
        <f t="shared" si="45"/>
        <v/>
      </c>
      <c r="AL54">
        <f t="shared" si="144"/>
        <v>31.75</v>
      </c>
      <c r="AM54" s="11" t="str">
        <f t="shared" si="46"/>
        <v>Stocks</v>
      </c>
      <c r="AN54" t="str">
        <f t="shared" si="69"/>
        <v>Buy</v>
      </c>
      <c r="AO54" s="13">
        <f t="shared" si="70"/>
        <v>7.1999999999999998E-3</v>
      </c>
      <c r="AP54" s="13">
        <f t="shared" si="71"/>
        <v>2.0000000000000001E-4</v>
      </c>
      <c r="AQ54" s="13">
        <f t="shared" si="72"/>
        <v>5.5999999999999999E-3</v>
      </c>
      <c r="AR54" s="13">
        <f t="shared" si="47"/>
        <v>7.1999999999999998E-3</v>
      </c>
      <c r="AS54" s="6">
        <f t="shared" si="20"/>
        <v>604.02547166855004</v>
      </c>
      <c r="AT54" s="6">
        <f t="shared" si="21"/>
        <v>187.74930439922073</v>
      </c>
      <c r="AU54" s="6">
        <f t="shared" si="22"/>
        <v>916.64565877585255</v>
      </c>
      <c r="AV54" s="6">
        <f t="shared" si="23"/>
        <v>1416.6572047519239</v>
      </c>
      <c r="AW54" s="58">
        <f t="shared" si="48"/>
        <v>2017</v>
      </c>
      <c r="AX54" s="58">
        <f>COUNTIF(AW$3:AW54,AW54)</f>
        <v>20</v>
      </c>
    </row>
    <row r="55" spans="1:50" x14ac:dyDescent="0.25">
      <c r="A55" s="5">
        <v>42960</v>
      </c>
      <c r="B55" s="18">
        <v>2441.3200000000002</v>
      </c>
      <c r="C55">
        <v>1.03</v>
      </c>
      <c r="D55" s="18">
        <v>15.51</v>
      </c>
      <c r="E55" s="18">
        <f t="shared" si="247"/>
        <v>11.94</v>
      </c>
      <c r="F55">
        <f t="shared" si="248"/>
        <v>2</v>
      </c>
      <c r="G55" s="18">
        <f>ROUND(INDEX(Valuation!U:U,MATCH(A55,Valuation!A:A,0)),2)</f>
        <v>57.87</v>
      </c>
      <c r="H55">
        <f t="shared" si="327"/>
        <v>-1</v>
      </c>
      <c r="I55" s="18">
        <f>INDEX(WeeklyIndicators!Y:Y,MATCH(A55,WeeklyIndicators!A:A,0))</f>
        <v>157.97999999999999</v>
      </c>
      <c r="J55">
        <f t="shared" si="223"/>
        <v>2</v>
      </c>
      <c r="K55">
        <f>ROUND(INDEX(Economic!AF:AF,MATCH(EOMONTH($A55,-1),Economic!A:A,0)),2)</f>
        <v>120.03</v>
      </c>
      <c r="L55" s="11">
        <f t="shared" si="271"/>
        <v>1</v>
      </c>
      <c r="M55">
        <f>ROUND(INDEX(Manufacturing!P:P,MATCH(EOMONTH($A55,-1),Manufacturing!A:A,0)),2)</f>
        <v>89.36</v>
      </c>
      <c r="N55">
        <f t="shared" si="261"/>
        <v>0</v>
      </c>
      <c r="O55">
        <f>ROUND(INDEX(Housing!AC:AC,MATCH(EOMONTH($A55,-1),Housing!B:B,0)),2)</f>
        <v>139.08000000000001</v>
      </c>
      <c r="P55">
        <f t="shared" si="262"/>
        <v>2</v>
      </c>
      <c r="Q55">
        <f>ROUND(INDEX(Spending!AJ:AJ,MATCH(EOMONTH($A55,-1),Spending!B:B,0)),2)</f>
        <v>55.19</v>
      </c>
      <c r="R55">
        <f t="shared" si="272"/>
        <v>1</v>
      </c>
      <c r="S55">
        <f>ROUND(INDEX(Employment!V:V,MATCH(EOMONTH($A55,-1),Employment!A:A,0)),2)</f>
        <v>177.45</v>
      </c>
      <c r="T55" s="11">
        <f t="shared" si="263"/>
        <v>2</v>
      </c>
      <c r="U55">
        <f t="shared" ref="U55" si="478">F55+H55+J55+L55+N55+P55+R55+T55+20</f>
        <v>29</v>
      </c>
      <c r="V55">
        <f t="shared" si="59"/>
        <v>80.69</v>
      </c>
      <c r="W55" s="13">
        <f t="shared" si="60"/>
        <v>-2.9999999999999997E-4</v>
      </c>
      <c r="X55" s="13">
        <f t="shared" si="61"/>
        <v>-8.9999999999999976E-4</v>
      </c>
      <c r="Y55">
        <f t="shared" si="36"/>
        <v>77.3</v>
      </c>
      <c r="Z55" s="13">
        <f t="shared" ref="Z55" si="479">ROUND((AVERAGE(Y55:Y57)-AVERAGE(Y56:Y58))/AVERAGE(Y56:Y58),4)</f>
        <v>-4.4999999999999997E-3</v>
      </c>
      <c r="AA55" s="13">
        <f t="shared" si="463"/>
        <v>-9.8999999999999991E-3</v>
      </c>
      <c r="AB55" s="6">
        <f t="shared" si="39"/>
        <v>77.606999999999999</v>
      </c>
      <c r="AC55">
        <f t="shared" ref="AC55:AC60" si="480">IF(ROUND(AB55/2,0)&lt;0,0,ROUND(AB55/2,0))</f>
        <v>39</v>
      </c>
      <c r="AD55" s="11">
        <f t="shared" ref="AD55" si="481">IF(AC55&gt;47,2,IF(AND(AC55&gt;41,AC55&lt;=47),1,IF(AC55&lt;15,-2,IF(AND(AC55&lt;32,AC55&gt;=15),-1,0))))</f>
        <v>0</v>
      </c>
      <c r="AE55">
        <f t="shared" si="460"/>
        <v>31</v>
      </c>
      <c r="AF55">
        <f>IF(AND(AE55&lt;15,OR(AC55&gt;=30,AA55&gt;0.15,X55&gt;=0.15)),2,VLOOKUP(AE55,Table!P:Q,2,FALSE))</f>
        <v>4</v>
      </c>
      <c r="AG55" s="22">
        <f>IF((AB55*0.98)-(D55*0.8)+((AF55-3)*3)+VLOOKUP(AM55,Table!$A$11:$B$13,2,FALSE)&lt;0,0,(AB55*0.98)-(D55*0.8)+((AF55-3)*3)+VLOOKUP(AM55,Table!$A$11:$B$13,2,FALSE))</f>
        <v>74.646860000000004</v>
      </c>
      <c r="AH55" s="22">
        <f t="shared" si="270"/>
        <v>79</v>
      </c>
      <c r="AI55" s="18">
        <f t="shared" si="234"/>
        <v>1</v>
      </c>
      <c r="AJ55" s="18">
        <f t="shared" si="235"/>
        <v>0.75</v>
      </c>
      <c r="AK55" t="str">
        <f t="shared" si="45"/>
        <v>Rising Rates</v>
      </c>
      <c r="AL55">
        <f t="shared" si="144"/>
        <v>32.25</v>
      </c>
      <c r="AM55" s="11" t="str">
        <f t="shared" si="46"/>
        <v>Stocks</v>
      </c>
      <c r="AN55" t="str">
        <f t="shared" si="69"/>
        <v>Buy</v>
      </c>
      <c r="AO55" s="13">
        <f t="shared" si="70"/>
        <v>-6.4999999999999997E-3</v>
      </c>
      <c r="AP55" s="13">
        <f t="shared" si="71"/>
        <v>2.0000000000000001E-4</v>
      </c>
      <c r="AQ55" s="13">
        <f t="shared" si="72"/>
        <v>-5.1000000000000004E-3</v>
      </c>
      <c r="AR55" s="13">
        <f t="shared" si="47"/>
        <v>-6.4999999999999997E-3</v>
      </c>
      <c r="AS55" s="6">
        <f t="shared" si="20"/>
        <v>607.97732427634628</v>
      </c>
      <c r="AT55" s="6">
        <f t="shared" si="21"/>
        <v>187.71176204681137</v>
      </c>
      <c r="AU55" s="6">
        <f t="shared" si="22"/>
        <v>921.34451580646555</v>
      </c>
      <c r="AV55" s="6">
        <f t="shared" si="23"/>
        <v>1425.9257219445635</v>
      </c>
      <c r="AW55" s="58">
        <f t="shared" si="48"/>
        <v>2017</v>
      </c>
      <c r="AX55" s="58">
        <f>COUNTIF(AW$3:AW55,AW55)</f>
        <v>21</v>
      </c>
    </row>
    <row r="56" spans="1:50" x14ac:dyDescent="0.25">
      <c r="A56" s="5">
        <v>42953</v>
      </c>
      <c r="B56" s="18">
        <v>2476.83</v>
      </c>
      <c r="C56">
        <v>1.06</v>
      </c>
      <c r="D56" s="18">
        <v>10.029999999999999</v>
      </c>
      <c r="E56" s="18">
        <f t="shared" si="247"/>
        <v>9.89</v>
      </c>
      <c r="F56">
        <f t="shared" si="248"/>
        <v>3</v>
      </c>
      <c r="G56" s="18">
        <f>ROUND(INDEX(Valuation!U:U,MATCH(A56,Valuation!A:A,0)),2)</f>
        <v>57.42</v>
      </c>
      <c r="H56">
        <f t="shared" si="327"/>
        <v>-1</v>
      </c>
      <c r="I56" s="18">
        <f>INDEX(WeeklyIndicators!Y:Y,MATCH(A56,WeeklyIndicators!A:A,0))</f>
        <v>155.46</v>
      </c>
      <c r="J56">
        <f t="shared" si="223"/>
        <v>2</v>
      </c>
      <c r="K56">
        <f>ROUND(INDEX(Economic!AF:AF,MATCH(EOMONTH($A56,-1),Economic!A:A,0)),2)</f>
        <v>120.03</v>
      </c>
      <c r="L56" s="11">
        <f t="shared" si="271"/>
        <v>1</v>
      </c>
      <c r="M56">
        <f>ROUND(INDEX(Manufacturing!P:P,MATCH(EOMONTH($A56,-1),Manufacturing!A:A,0)),2)</f>
        <v>89.36</v>
      </c>
      <c r="N56">
        <f t="shared" si="261"/>
        <v>0</v>
      </c>
      <c r="O56">
        <f>ROUND(INDEX(Housing!AC:AC,MATCH(EOMONTH($A56,-1),Housing!B:B,0)),2)</f>
        <v>139.08000000000001</v>
      </c>
      <c r="P56">
        <f t="shared" si="262"/>
        <v>2</v>
      </c>
      <c r="Q56">
        <f>ROUND(INDEX(Spending!AJ:AJ,MATCH(EOMONTH($A56,-1),Spending!B:B,0)),2)</f>
        <v>55.19</v>
      </c>
      <c r="R56">
        <f t="shared" si="272"/>
        <v>1</v>
      </c>
      <c r="S56">
        <f>ROUND(INDEX(Employment!V:V,MATCH(EOMONTH($A56,-1),Employment!A:A,0)),2)</f>
        <v>177.45</v>
      </c>
      <c r="T56" s="11">
        <f t="shared" si="263"/>
        <v>2</v>
      </c>
      <c r="U56">
        <f t="shared" ref="U56" si="482">F56+H56+J56+L56+N56+P56+R56+T56+20</f>
        <v>30</v>
      </c>
      <c r="V56">
        <f t="shared" si="59"/>
        <v>80.430000000000007</v>
      </c>
      <c r="W56" s="13">
        <f t="shared" si="60"/>
        <v>-8.9999999999999998E-4</v>
      </c>
      <c r="X56" s="13">
        <f t="shared" si="61"/>
        <v>-1.03E-2</v>
      </c>
      <c r="Y56">
        <f t="shared" si="36"/>
        <v>77.709999999999994</v>
      </c>
      <c r="Z56" s="13">
        <f t="shared" ref="Z56" si="483">ROUND((AVERAGE(Y56:Y58)-AVERAGE(Y57:Y59))/AVERAGE(Y57:Y59),4)</f>
        <v>-2.5000000000000001E-3</v>
      </c>
      <c r="AA56" s="13">
        <f t="shared" si="463"/>
        <v>-1.66E-2</v>
      </c>
      <c r="AB56" s="6">
        <f t="shared" si="39"/>
        <v>77.422000000000011</v>
      </c>
      <c r="AC56">
        <f t="shared" si="480"/>
        <v>39</v>
      </c>
      <c r="AD56" s="11">
        <f t="shared" ref="AD56:AD61" si="484">IF(AC56&gt;47,2,IF(AND(AC56&gt;41,AC56&lt;=47),1,IF(AC56&lt;15,-2,IF(AND(AC56&lt;32,AC56&gt;=15),-1,0))))</f>
        <v>0</v>
      </c>
      <c r="AE56">
        <f t="shared" ref="AE56:AE119" si="485">IF(AND(AA56&gt;=0.2,AC56&gt;=20,U56+AD56+2&lt;30),U56+AD56+2+12,U56+AD56+2)</f>
        <v>32</v>
      </c>
      <c r="AF56">
        <f>IF(AND(AE56&lt;15,OR(AC56&gt;=30,AA56&gt;0.15,X56&gt;=0.15)),2,VLOOKUP(AE56,Table!P:Q,2,FALSE))</f>
        <v>5</v>
      </c>
      <c r="AG56" s="22">
        <f>IF((AB56*0.98)-(D56*0.8)+((AF56-3)*3)+VLOOKUP(AM56,Table!$A$11:$B$13,2,FALSE)&lt;0,0,(AB56*0.98)-(D56*0.8)+((AF56-3)*3)+VLOOKUP(AM56,Table!$A$11:$B$13,2,FALSE))</f>
        <v>81.849560000000011</v>
      </c>
      <c r="AH56" s="22">
        <f t="shared" si="270"/>
        <v>82</v>
      </c>
      <c r="AI56" s="18">
        <f t="shared" si="234"/>
        <v>0.99</v>
      </c>
      <c r="AJ56" s="18">
        <f t="shared" si="235"/>
        <v>0.73</v>
      </c>
      <c r="AK56" t="str">
        <f t="shared" si="45"/>
        <v>Rising Rates</v>
      </c>
      <c r="AL56">
        <f t="shared" si="144"/>
        <v>32.75</v>
      </c>
      <c r="AM56" s="11" t="str">
        <f t="shared" si="46"/>
        <v>Stocks</v>
      </c>
      <c r="AN56" t="str">
        <f t="shared" si="69"/>
        <v>Buy</v>
      </c>
      <c r="AO56" s="13">
        <f t="shared" si="70"/>
        <v>-1.43E-2</v>
      </c>
      <c r="AP56" s="13">
        <f t="shared" si="71"/>
        <v>2.0000000000000001E-4</v>
      </c>
      <c r="AQ56" s="13">
        <f t="shared" si="72"/>
        <v>-1.17E-2</v>
      </c>
      <c r="AR56" s="13">
        <f t="shared" si="47"/>
        <v>-1.43E-2</v>
      </c>
      <c r="AS56" s="6">
        <f t="shared" si="20"/>
        <v>616.797528940191</v>
      </c>
      <c r="AT56" s="6">
        <f t="shared" si="21"/>
        <v>187.67422720137111</v>
      </c>
      <c r="AU56" s="6">
        <f t="shared" si="22"/>
        <v>932.25186259887244</v>
      </c>
      <c r="AV56" s="6">
        <f t="shared" si="23"/>
        <v>1446.6122775129993</v>
      </c>
      <c r="AW56" s="58">
        <f t="shared" si="48"/>
        <v>2017</v>
      </c>
      <c r="AX56" s="58">
        <f>COUNTIF(AW$3:AW56,AW56)</f>
        <v>22</v>
      </c>
    </row>
    <row r="57" spans="1:50" x14ac:dyDescent="0.25">
      <c r="A57" s="5">
        <v>42946</v>
      </c>
      <c r="B57" s="18">
        <v>2472.1</v>
      </c>
      <c r="C57">
        <v>1.1100000000000001</v>
      </c>
      <c r="D57" s="18">
        <v>10.29</v>
      </c>
      <c r="E57" s="18">
        <f t="shared" si="247"/>
        <v>9.7200000000000006</v>
      </c>
      <c r="F57">
        <f t="shared" si="248"/>
        <v>3</v>
      </c>
      <c r="G57" s="18">
        <f>ROUND(INDEX(Valuation!U:U,MATCH(A57,Valuation!A:A,0)),2)</f>
        <v>57.86</v>
      </c>
      <c r="H57">
        <f t="shared" si="327"/>
        <v>-1</v>
      </c>
      <c r="I57" s="18">
        <f>INDEX(WeeklyIndicators!Y:Y,MATCH(A57,WeeklyIndicators!A:A,0))</f>
        <v>151.08000000000001</v>
      </c>
      <c r="J57">
        <f t="shared" si="223"/>
        <v>1</v>
      </c>
      <c r="K57">
        <f>ROUND(INDEX(Economic!AF:AF,MATCH(EOMONTH($A57,-1),Economic!A:A,0)),2)</f>
        <v>127.67</v>
      </c>
      <c r="L57" s="11">
        <f t="shared" si="271"/>
        <v>2</v>
      </c>
      <c r="M57">
        <f>ROUND(INDEX(Manufacturing!P:P,MATCH(EOMONTH($A57,-1),Manufacturing!A:A,0)),2)</f>
        <v>85.74</v>
      </c>
      <c r="N57">
        <f t="shared" si="261"/>
        <v>0</v>
      </c>
      <c r="O57">
        <f>ROUND(INDEX(Housing!AC:AC,MATCH(EOMONTH($A57,-1),Housing!B:B,0)),2)</f>
        <v>142.61000000000001</v>
      </c>
      <c r="P57">
        <f t="shared" si="262"/>
        <v>3</v>
      </c>
      <c r="Q57">
        <f>ROUND(INDEX(Spending!AJ:AJ,MATCH(EOMONTH($A57,-1),Spending!B:B,0)),2)</f>
        <v>56.35</v>
      </c>
      <c r="R57">
        <f t="shared" si="272"/>
        <v>1</v>
      </c>
      <c r="S57">
        <f>ROUND(INDEX(Employment!V:V,MATCH(EOMONTH($A57,-1),Employment!A:A,0)),2)</f>
        <v>179.89</v>
      </c>
      <c r="T57" s="11">
        <f t="shared" si="263"/>
        <v>2</v>
      </c>
      <c r="U57">
        <f t="shared" ref="U57" si="486">F57+H57+J57+L57+N57+P57+R57+T57+20</f>
        <v>31</v>
      </c>
      <c r="V57">
        <f t="shared" si="59"/>
        <v>81.08</v>
      </c>
      <c r="W57" s="13">
        <f t="shared" si="60"/>
        <v>1.5E-3</v>
      </c>
      <c r="X57" s="13">
        <f t="shared" si="61"/>
        <v>-2.3199999999999998E-2</v>
      </c>
      <c r="Y57">
        <f t="shared" si="36"/>
        <v>78.47</v>
      </c>
      <c r="Z57" s="13">
        <f t="shared" ref="Z57" si="487">ROUND((AVERAGE(Y57:Y59)-AVERAGE(Y58:Y60))/AVERAGE(Y58:Y60),4)</f>
        <v>-2.9999999999999997E-4</v>
      </c>
      <c r="AA57" s="13">
        <f t="shared" si="463"/>
        <v>-2.8900000000000002E-2</v>
      </c>
      <c r="AB57" s="6">
        <f t="shared" si="39"/>
        <v>77.286000000000001</v>
      </c>
      <c r="AC57">
        <f t="shared" si="480"/>
        <v>39</v>
      </c>
      <c r="AD57" s="11">
        <f t="shared" si="484"/>
        <v>0</v>
      </c>
      <c r="AE57">
        <f t="shared" si="485"/>
        <v>33</v>
      </c>
      <c r="AF57">
        <f>IF(AND(AE57&lt;15,OR(AC57&gt;=30,AA57&gt;0.15,X57&gt;=0.15)),2,VLOOKUP(AE57,Table!P:Q,2,FALSE))</f>
        <v>5</v>
      </c>
      <c r="AG57" s="22">
        <f>IF((AB57*0.98)-(D57*0.8)+((AF57-3)*3)+VLOOKUP(AM57,Table!$A$11:$B$13,2,FALSE)&lt;0,0,(AB57*0.98)-(D57*0.8)+((AF57-3)*3)+VLOOKUP(AM57,Table!$A$11:$B$13,2,FALSE))</f>
        <v>81.508279999999999</v>
      </c>
      <c r="AH57" s="22">
        <f t="shared" si="270"/>
        <v>81</v>
      </c>
      <c r="AI57" s="18">
        <f t="shared" si="234"/>
        <v>0.98</v>
      </c>
      <c r="AJ57" s="18">
        <f t="shared" si="235"/>
        <v>0.71</v>
      </c>
      <c r="AK57" t="str">
        <f t="shared" si="45"/>
        <v>Rising Rates</v>
      </c>
      <c r="AL57">
        <f t="shared" si="144"/>
        <v>33</v>
      </c>
      <c r="AM57" s="11" t="str">
        <f t="shared" si="46"/>
        <v>Stocks</v>
      </c>
      <c r="AN57" t="str">
        <f t="shared" si="69"/>
        <v>Buy</v>
      </c>
      <c r="AO57" s="13">
        <f t="shared" si="70"/>
        <v>1.9E-3</v>
      </c>
      <c r="AP57" s="13">
        <f t="shared" si="71"/>
        <v>2.0000000000000001E-4</v>
      </c>
      <c r="AQ57" s="13">
        <f t="shared" si="72"/>
        <v>1.6000000000000001E-3</v>
      </c>
      <c r="AR57" s="13">
        <f t="shared" si="47"/>
        <v>1.9E-3</v>
      </c>
      <c r="AS57" s="6">
        <f t="shared" si="20"/>
        <v>615.62783605169273</v>
      </c>
      <c r="AT57" s="6">
        <f t="shared" si="21"/>
        <v>187.63669986139882</v>
      </c>
      <c r="AU57" s="6">
        <f t="shared" si="22"/>
        <v>930.76264237107864</v>
      </c>
      <c r="AV57" s="6">
        <f t="shared" si="23"/>
        <v>1443.8689265525495</v>
      </c>
      <c r="AW57" s="58">
        <f t="shared" si="48"/>
        <v>2017</v>
      </c>
      <c r="AX57" s="58">
        <f>COUNTIF(AW$3:AW57,AW57)</f>
        <v>23</v>
      </c>
    </row>
    <row r="58" spans="1:50" x14ac:dyDescent="0.25">
      <c r="A58" s="5">
        <v>42939</v>
      </c>
      <c r="B58" s="18">
        <v>2472.54</v>
      </c>
      <c r="C58">
        <v>1.0900000000000001</v>
      </c>
      <c r="D58" s="18">
        <v>9.36</v>
      </c>
      <c r="E58" s="18">
        <f t="shared" si="247"/>
        <v>10.02</v>
      </c>
      <c r="F58">
        <f t="shared" si="248"/>
        <v>3</v>
      </c>
      <c r="G58" s="18">
        <f>ROUND(INDEX(Valuation!U:U,MATCH(A58,Valuation!A:A,0)),2)</f>
        <v>60.52</v>
      </c>
      <c r="H58">
        <f t="shared" si="327"/>
        <v>-1</v>
      </c>
      <c r="I58" s="18">
        <f>INDEX(WeeklyIndicators!Y:Y,MATCH(A58,WeeklyIndicators!A:A,0))</f>
        <v>148.06</v>
      </c>
      <c r="J58">
        <f t="shared" si="223"/>
        <v>1</v>
      </c>
      <c r="K58">
        <f>ROUND(INDEX(Economic!AF:AF,MATCH(EOMONTH($A58,-1),Economic!A:A,0)),2)</f>
        <v>127.67</v>
      </c>
      <c r="L58" s="11">
        <f t="shared" si="271"/>
        <v>2</v>
      </c>
      <c r="M58">
        <f>ROUND(INDEX(Manufacturing!P:P,MATCH(EOMONTH($A58,-1),Manufacturing!A:A,0)),2)</f>
        <v>85.74</v>
      </c>
      <c r="N58">
        <f t="shared" si="261"/>
        <v>0</v>
      </c>
      <c r="O58">
        <f>ROUND(INDEX(Housing!AC:AC,MATCH(EOMONTH($A58,-1),Housing!B:B,0)),2)</f>
        <v>142.61000000000001</v>
      </c>
      <c r="P58">
        <f t="shared" si="262"/>
        <v>3</v>
      </c>
      <c r="Q58">
        <f>ROUND(INDEX(Spending!AJ:AJ,MATCH(EOMONTH($A58,-1),Spending!B:B,0)),2)</f>
        <v>56.35</v>
      </c>
      <c r="R58">
        <f t="shared" si="272"/>
        <v>1</v>
      </c>
      <c r="S58">
        <f>ROUND(INDEX(Employment!V:V,MATCH(EOMONTH($A58,-1),Employment!A:A,0)),2)</f>
        <v>179.89</v>
      </c>
      <c r="T58" s="11">
        <f t="shared" si="263"/>
        <v>2</v>
      </c>
      <c r="U58">
        <f t="shared" ref="U58" si="488">F58+H58+J58+L58+N58+P58+R58+T58+20</f>
        <v>31</v>
      </c>
      <c r="V58">
        <f t="shared" si="59"/>
        <v>80.77</v>
      </c>
      <c r="W58" s="13">
        <f t="shared" si="60"/>
        <v>-1.1999999999999999E-3</v>
      </c>
      <c r="X58" s="13">
        <f t="shared" si="61"/>
        <v>-3.9699999999999999E-2</v>
      </c>
      <c r="Y58">
        <f t="shared" si="36"/>
        <v>78.349999999999994</v>
      </c>
      <c r="Z58" s="13">
        <f t="shared" ref="Z58" si="489">ROUND((AVERAGE(Y58:Y60)-AVERAGE(Y59:Y61))/AVERAGE(Y59:Y61),4)</f>
        <v>-2.5999999999999999E-3</v>
      </c>
      <c r="AA58" s="13">
        <f t="shared" si="463"/>
        <v>-4.4899999999999995E-2</v>
      </c>
      <c r="AB58" s="6">
        <f t="shared" si="39"/>
        <v>76.192000000000007</v>
      </c>
      <c r="AC58">
        <f t="shared" si="480"/>
        <v>38</v>
      </c>
      <c r="AD58" s="11">
        <f t="shared" si="484"/>
        <v>0</v>
      </c>
      <c r="AE58">
        <f t="shared" si="485"/>
        <v>33</v>
      </c>
      <c r="AF58">
        <f>IF(AND(AE58&lt;15,OR(AC58&gt;=30,AA58&gt;0.15,X58&gt;=0.15)),2,VLOOKUP(AE58,Table!P:Q,2,FALSE))</f>
        <v>5</v>
      </c>
      <c r="AG58" s="22">
        <f>IF((AB58*0.98)-(D58*0.8)+((AF58-3)*3)+VLOOKUP(AM58,Table!$A$11:$B$13,2,FALSE)&lt;0,0,(AB58*0.98)-(D58*0.8)+((AF58-3)*3)+VLOOKUP(AM58,Table!$A$11:$B$13,2,FALSE))</f>
        <v>81.180160000000001</v>
      </c>
      <c r="AH58" s="22">
        <f t="shared" si="270"/>
        <v>81</v>
      </c>
      <c r="AI58" s="18">
        <f t="shared" si="234"/>
        <v>0.95</v>
      </c>
      <c r="AJ58" s="18">
        <f t="shared" si="235"/>
        <v>0.69</v>
      </c>
      <c r="AK58" t="str">
        <f t="shared" si="45"/>
        <v>Rising Rates</v>
      </c>
      <c r="AL58">
        <f t="shared" si="144"/>
        <v>33</v>
      </c>
      <c r="AM58" s="11" t="str">
        <f t="shared" si="46"/>
        <v>Stocks</v>
      </c>
      <c r="AN58" t="str">
        <f t="shared" si="69"/>
        <v>Buy</v>
      </c>
      <c r="AO58" s="13">
        <f t="shared" si="70"/>
        <v>-2.0000000000000001E-4</v>
      </c>
      <c r="AP58" s="13">
        <f t="shared" si="71"/>
        <v>2.0000000000000001E-4</v>
      </c>
      <c r="AQ58" s="13">
        <f t="shared" si="72"/>
        <v>-1E-4</v>
      </c>
      <c r="AR58" s="13">
        <f t="shared" si="47"/>
        <v>-2.0000000000000001E-4</v>
      </c>
      <c r="AS58" s="6">
        <f t="shared" si="20"/>
        <v>615.75098624894247</v>
      </c>
      <c r="AT58" s="6">
        <f t="shared" si="21"/>
        <v>187.59918002539374</v>
      </c>
      <c r="AU58" s="6">
        <f t="shared" si="22"/>
        <v>930.85572794387303</v>
      </c>
      <c r="AV58" s="6">
        <f t="shared" si="23"/>
        <v>1444.1577581041704</v>
      </c>
      <c r="AW58" s="58">
        <f t="shared" si="48"/>
        <v>2017</v>
      </c>
      <c r="AX58" s="58">
        <f>COUNTIF(AW$3:AW58,AW58)</f>
        <v>24</v>
      </c>
    </row>
    <row r="59" spans="1:50" x14ac:dyDescent="0.25">
      <c r="A59" s="5">
        <v>42932</v>
      </c>
      <c r="B59" s="18">
        <v>2459.27</v>
      </c>
      <c r="C59">
        <v>1.03</v>
      </c>
      <c r="D59" s="18">
        <v>9.51</v>
      </c>
      <c r="E59" s="18">
        <f t="shared" si="247"/>
        <v>10.63</v>
      </c>
      <c r="F59">
        <f t="shared" si="248"/>
        <v>3</v>
      </c>
      <c r="G59" s="18">
        <f>ROUND(INDEX(Valuation!U:U,MATCH(A59,Valuation!A:A,0)),2)</f>
        <v>63.18</v>
      </c>
      <c r="H59">
        <f t="shared" si="327"/>
        <v>-1</v>
      </c>
      <c r="I59" s="18">
        <f>INDEX(WeeklyIndicators!Y:Y,MATCH(A59,WeeklyIndicators!A:A,0))</f>
        <v>146.85</v>
      </c>
      <c r="J59">
        <f t="shared" si="223"/>
        <v>1</v>
      </c>
      <c r="K59">
        <f>ROUND(INDEX(Economic!AF:AF,MATCH(EOMONTH($A59,-1),Economic!A:A,0)),2)</f>
        <v>127.67</v>
      </c>
      <c r="L59" s="11">
        <f t="shared" si="271"/>
        <v>2</v>
      </c>
      <c r="M59">
        <f>ROUND(INDEX(Manufacturing!P:P,MATCH(EOMONTH($A59,-1),Manufacturing!A:A,0)),2)</f>
        <v>85.74</v>
      </c>
      <c r="N59">
        <f t="shared" si="261"/>
        <v>0</v>
      </c>
      <c r="O59">
        <f>ROUND(INDEX(Housing!AC:AC,MATCH(EOMONTH($A59,-1),Housing!B:B,0)),2)</f>
        <v>142.61000000000001</v>
      </c>
      <c r="P59">
        <f t="shared" si="262"/>
        <v>3</v>
      </c>
      <c r="Q59">
        <f>ROUND(INDEX(Spending!AJ:AJ,MATCH(EOMONTH($A59,-1),Spending!B:B,0)),2)</f>
        <v>56.35</v>
      </c>
      <c r="R59">
        <f t="shared" si="272"/>
        <v>1</v>
      </c>
      <c r="S59">
        <f>ROUND(INDEX(Employment!V:V,MATCH(EOMONTH($A59,-1),Employment!A:A,0)),2)</f>
        <v>179.89</v>
      </c>
      <c r="T59" s="11">
        <f t="shared" si="263"/>
        <v>2</v>
      </c>
      <c r="U59">
        <f t="shared" ref="U59" si="490">F59+H59+J59+L59+N59+P59+R59+T59+20</f>
        <v>31</v>
      </c>
      <c r="V59">
        <f t="shared" si="59"/>
        <v>80.64</v>
      </c>
      <c r="W59" s="13">
        <f t="shared" si="60"/>
        <v>-9.7000000000000003E-3</v>
      </c>
      <c r="X59" s="13">
        <f t="shared" si="61"/>
        <v>-4.6199999999999998E-2</v>
      </c>
      <c r="Y59">
        <f t="shared" si="36"/>
        <v>78.3</v>
      </c>
      <c r="Z59" s="13">
        <f t="shared" ref="Z59" si="491">ROUND((AVERAGE(Y59:Y61)-AVERAGE(Y60:Y62))/AVERAGE(Y60:Y62),4)</f>
        <v>-1.12E-2</v>
      </c>
      <c r="AA59" s="13">
        <f t="shared" si="463"/>
        <v>-5.0900000000000001E-2</v>
      </c>
      <c r="AB59" s="6">
        <f t="shared" si="39"/>
        <v>75.938000000000002</v>
      </c>
      <c r="AC59">
        <f t="shared" si="480"/>
        <v>38</v>
      </c>
      <c r="AD59" s="11">
        <f t="shared" si="484"/>
        <v>0</v>
      </c>
      <c r="AE59">
        <f t="shared" si="485"/>
        <v>33</v>
      </c>
      <c r="AF59">
        <f>IF(AND(AE59&lt;15,OR(AC59&gt;=30,AA59&gt;0.15,X59&gt;=0.15)),2,VLOOKUP(AE59,Table!P:Q,2,FALSE))</f>
        <v>5</v>
      </c>
      <c r="AG59" s="22">
        <f>IF((AB59*0.98)-(D59*0.8)+((AF59-3)*3)+VLOOKUP(AM59,Table!$A$11:$B$13,2,FALSE)&lt;0,0,(AB59*0.98)-(D59*0.8)+((AF59-3)*3)+VLOOKUP(AM59,Table!$A$11:$B$13,2,FALSE))</f>
        <v>80.811239999999998</v>
      </c>
      <c r="AH59" s="22">
        <f t="shared" si="270"/>
        <v>81</v>
      </c>
      <c r="AI59" s="18">
        <f t="shared" si="234"/>
        <v>0.93</v>
      </c>
      <c r="AJ59" s="18">
        <f t="shared" si="235"/>
        <v>0.68</v>
      </c>
      <c r="AK59" t="str">
        <f t="shared" si="45"/>
        <v>Rising Rates</v>
      </c>
      <c r="AL59">
        <f t="shared" si="144"/>
        <v>33.25</v>
      </c>
      <c r="AM59" s="11" t="str">
        <f t="shared" si="46"/>
        <v>Stocks</v>
      </c>
      <c r="AN59" t="str">
        <f t="shared" si="69"/>
        <v>Buy</v>
      </c>
      <c r="AO59" s="13">
        <f t="shared" si="70"/>
        <v>5.4000000000000003E-3</v>
      </c>
      <c r="AP59" s="13">
        <f t="shared" si="71"/>
        <v>2.0000000000000001E-4</v>
      </c>
      <c r="AQ59" s="13">
        <f t="shared" si="72"/>
        <v>4.4000000000000003E-3</v>
      </c>
      <c r="AR59" s="13">
        <f t="shared" si="47"/>
        <v>5.4000000000000003E-3</v>
      </c>
      <c r="AS59" s="6">
        <f t="shared" si="20"/>
        <v>612.44378978410828</v>
      </c>
      <c r="AT59" s="6">
        <f t="shared" si="21"/>
        <v>187.56166769185538</v>
      </c>
      <c r="AU59" s="6">
        <f t="shared" si="22"/>
        <v>926.77790516116397</v>
      </c>
      <c r="AV59" s="6">
        <f t="shared" si="23"/>
        <v>1436.4011916691568</v>
      </c>
      <c r="AW59" s="58">
        <f t="shared" si="48"/>
        <v>2017</v>
      </c>
      <c r="AX59" s="58">
        <f>COUNTIF(AW$3:AW59,AW59)</f>
        <v>25</v>
      </c>
    </row>
    <row r="60" spans="1:50" x14ac:dyDescent="0.25">
      <c r="A60" s="5">
        <v>42925</v>
      </c>
      <c r="B60" s="18">
        <v>2425.1799999999998</v>
      </c>
      <c r="C60">
        <v>1.03</v>
      </c>
      <c r="D60" s="18">
        <v>11.19</v>
      </c>
      <c r="E60" s="18">
        <f t="shared" si="247"/>
        <v>10.8</v>
      </c>
      <c r="F60">
        <f t="shared" si="248"/>
        <v>3</v>
      </c>
      <c r="G60" s="18">
        <f>ROUND(INDEX(Valuation!U:U,MATCH(A60,Valuation!A:A,0)),2)</f>
        <v>65.180000000000007</v>
      </c>
      <c r="H60">
        <f t="shared" si="327"/>
        <v>-1</v>
      </c>
      <c r="I60" s="18">
        <f>INDEX(WeeklyIndicators!Y:Y,MATCH(A60,WeeklyIndicators!A:A,0))</f>
        <v>147.62</v>
      </c>
      <c r="J60">
        <f t="shared" si="223"/>
        <v>1</v>
      </c>
      <c r="K60">
        <f>ROUND(INDEX(Economic!AF:AF,MATCH(EOMONTH($A60,-1),Economic!A:A,0)),2)</f>
        <v>127.67</v>
      </c>
      <c r="L60" s="11">
        <f t="shared" si="271"/>
        <v>2</v>
      </c>
      <c r="M60">
        <f>ROUND(INDEX(Manufacturing!P:P,MATCH(EOMONTH($A60,-1),Manufacturing!A:A,0)),2)</f>
        <v>85.74</v>
      </c>
      <c r="N60">
        <f t="shared" si="261"/>
        <v>0</v>
      </c>
      <c r="O60">
        <f>ROUND(INDEX(Housing!AC:AC,MATCH(EOMONTH($A60,-1),Housing!B:B,0)),2)</f>
        <v>142.61000000000001</v>
      </c>
      <c r="P60">
        <f t="shared" si="262"/>
        <v>3</v>
      </c>
      <c r="Q60">
        <f>ROUND(INDEX(Spending!AJ:AJ,MATCH(EOMONTH($A60,-1),Spending!B:B,0)),2)</f>
        <v>56.35</v>
      </c>
      <c r="R60">
        <f t="shared" si="272"/>
        <v>1</v>
      </c>
      <c r="S60">
        <f>ROUND(INDEX(Employment!V:V,MATCH(EOMONTH($A60,-1),Employment!A:A,0)),2)</f>
        <v>179.89</v>
      </c>
      <c r="T60" s="11">
        <f t="shared" si="263"/>
        <v>2</v>
      </c>
      <c r="U60">
        <f t="shared" ref="U60" si="492">F60+H60+J60+L60+N60+P60+R60+T60+20</f>
        <v>31</v>
      </c>
      <c r="V60">
        <f t="shared" si="59"/>
        <v>80.72</v>
      </c>
      <c r="W60" s="13">
        <f t="shared" si="60"/>
        <v>-1.38E-2</v>
      </c>
      <c r="X60" s="13">
        <f t="shared" si="61"/>
        <v>-4.2799999999999998E-2</v>
      </c>
      <c r="Y60">
        <f t="shared" si="36"/>
        <v>78.55</v>
      </c>
      <c r="Z60" s="13">
        <f t="shared" ref="Z60" si="493">ROUND((AVERAGE(Y60:Y62)-AVERAGE(Y61:Y63))/AVERAGE(Y61:Y63),4)</f>
        <v>-1.4800000000000001E-2</v>
      </c>
      <c r="AA60" s="13">
        <f t="shared" si="463"/>
        <v>-4.6800000000000001E-2</v>
      </c>
      <c r="AB60" s="6">
        <f t="shared" si="39"/>
        <v>76.698000000000008</v>
      </c>
      <c r="AC60">
        <f t="shared" si="480"/>
        <v>38</v>
      </c>
      <c r="AD60" s="11">
        <f t="shared" si="484"/>
        <v>0</v>
      </c>
      <c r="AE60">
        <f t="shared" si="485"/>
        <v>33</v>
      </c>
      <c r="AF60">
        <f>IF(AND(AE60&lt;15,OR(AC60&gt;=30,AA60&gt;0.15,X60&gt;=0.15)),2,VLOOKUP(AE60,Table!P:Q,2,FALSE))</f>
        <v>5</v>
      </c>
      <c r="AG60" s="22">
        <f>IF((AB60*0.98)-(D60*0.8)+((AF60-3)*3)+VLOOKUP(AM60,Table!$A$11:$B$13,2,FALSE)&lt;0,0,(AB60*0.98)-(D60*0.8)+((AF60-3)*3)+VLOOKUP(AM60,Table!$A$11:$B$13,2,FALSE))</f>
        <v>80.212040000000002</v>
      </c>
      <c r="AH60" s="22">
        <f t="shared" si="270"/>
        <v>83</v>
      </c>
      <c r="AI60" s="18">
        <f t="shared" si="234"/>
        <v>0.91</v>
      </c>
      <c r="AJ60" s="18">
        <f t="shared" si="235"/>
        <v>0.66</v>
      </c>
      <c r="AK60" t="str">
        <f t="shared" si="45"/>
        <v>Rising Rates</v>
      </c>
      <c r="AL60">
        <f t="shared" si="144"/>
        <v>33.75</v>
      </c>
      <c r="AM60" s="11" t="str">
        <f t="shared" si="46"/>
        <v>Stocks</v>
      </c>
      <c r="AN60" t="str">
        <f t="shared" si="69"/>
        <v>Buy</v>
      </c>
      <c r="AO60" s="13">
        <f t="shared" si="70"/>
        <v>1.41E-2</v>
      </c>
      <c r="AP60" s="13">
        <f t="shared" si="71"/>
        <v>2.0000000000000001E-4</v>
      </c>
      <c r="AQ60" s="13">
        <f t="shared" si="72"/>
        <v>1.17E-2</v>
      </c>
      <c r="AR60" s="13">
        <f t="shared" si="47"/>
        <v>1.41E-2</v>
      </c>
      <c r="AS60" s="6">
        <f t="shared" si="20"/>
        <v>603.92839935322775</v>
      </c>
      <c r="AT60" s="6">
        <f t="shared" si="21"/>
        <v>187.52416285928354</v>
      </c>
      <c r="AU60" s="6">
        <f t="shared" si="22"/>
        <v>916.06000312460606</v>
      </c>
      <c r="AV60" s="6">
        <f t="shared" si="23"/>
        <v>1416.4295352225192</v>
      </c>
      <c r="AW60" s="58">
        <f t="shared" si="48"/>
        <v>2017</v>
      </c>
      <c r="AX60" s="58">
        <f>COUNTIF(AW$3:AW60,AW60)</f>
        <v>26</v>
      </c>
    </row>
    <row r="61" spans="1:50" x14ac:dyDescent="0.25">
      <c r="A61" s="5">
        <v>42918</v>
      </c>
      <c r="B61" s="18">
        <v>2423.31</v>
      </c>
      <c r="C61">
        <v>1</v>
      </c>
      <c r="D61" s="18">
        <v>11.18</v>
      </c>
      <c r="E61" s="18">
        <f t="shared" si="247"/>
        <v>10.53</v>
      </c>
      <c r="F61">
        <f t="shared" si="248"/>
        <v>3</v>
      </c>
      <c r="G61" s="18">
        <f>ROUND(INDEX(Valuation!U:U,MATCH(A61,Valuation!A:A,0)),2)</f>
        <v>65.14</v>
      </c>
      <c r="H61">
        <f t="shared" si="327"/>
        <v>-1</v>
      </c>
      <c r="I61" s="18">
        <f>INDEX(WeeklyIndicators!Y:Y,MATCH(A61,WeeklyIndicators!A:A,0))</f>
        <v>150.84</v>
      </c>
      <c r="J61">
        <f t="shared" si="223"/>
        <v>1</v>
      </c>
      <c r="K61">
        <f>ROUND(INDEX(Economic!AF:AF,MATCH(EOMONTH($A61,-1),Economic!A:A,0)),2)</f>
        <v>127.67</v>
      </c>
      <c r="L61" s="11">
        <f t="shared" si="271"/>
        <v>2</v>
      </c>
      <c r="M61">
        <f>ROUND(INDEX(Manufacturing!P:P,MATCH(EOMONTH($A61,-1),Manufacturing!A:A,0)),2)</f>
        <v>85.74</v>
      </c>
      <c r="N61">
        <f t="shared" si="261"/>
        <v>0</v>
      </c>
      <c r="O61">
        <f>ROUND(INDEX(Housing!AC:AC,MATCH(EOMONTH($A61,-1),Housing!B:B,0)),2)</f>
        <v>142.61000000000001</v>
      </c>
      <c r="P61">
        <f t="shared" si="262"/>
        <v>3</v>
      </c>
      <c r="Q61">
        <f>ROUND(INDEX(Spending!AJ:AJ,MATCH(EOMONTH($A61,-1),Spending!B:B,0)),2)</f>
        <v>56.35</v>
      </c>
      <c r="R61">
        <f t="shared" si="272"/>
        <v>1</v>
      </c>
      <c r="S61">
        <f>ROUND(INDEX(Employment!V:V,MATCH(EOMONTH($A61,-1),Employment!A:A,0)),2)</f>
        <v>179.89</v>
      </c>
      <c r="T61" s="11">
        <f t="shared" si="263"/>
        <v>2</v>
      </c>
      <c r="U61">
        <f t="shared" ref="U61" si="494">F61+H61+J61+L61+N61+P61+R61+T61+20</f>
        <v>31</v>
      </c>
      <c r="V61">
        <f t="shared" si="59"/>
        <v>81.06</v>
      </c>
      <c r="W61" s="13">
        <f t="shared" si="60"/>
        <v>-1.4999999999999999E-2</v>
      </c>
      <c r="X61" s="13">
        <f t="shared" si="61"/>
        <v>-3.1E-2</v>
      </c>
      <c r="Y61">
        <f t="shared" si="36"/>
        <v>78.97</v>
      </c>
      <c r="Z61" s="13">
        <f t="shared" ref="Z61" si="495">ROUND((AVERAGE(Y61:Y63)-AVERAGE(Y62:Y64))/AVERAGE(Y62:Y64),4)</f>
        <v>-1.6299999999999999E-2</v>
      </c>
      <c r="AA61" s="13">
        <f t="shared" si="463"/>
        <v>-3.39E-2</v>
      </c>
      <c r="AB61" s="6">
        <f t="shared" si="39"/>
        <v>78.103999999999999</v>
      </c>
      <c r="AC61">
        <f t="shared" ref="AC61:AC124" si="496">IF(ROUND(AB61/2,0)&lt;0,0,ROUND(AB61/2,0))</f>
        <v>39</v>
      </c>
      <c r="AD61" s="11">
        <f t="shared" si="484"/>
        <v>0</v>
      </c>
      <c r="AE61">
        <f t="shared" si="485"/>
        <v>33</v>
      </c>
      <c r="AF61">
        <f>IF(AND(AE61&lt;15,OR(AC61&gt;=30,AA61&gt;0.15,X61&gt;=0.15)),2,VLOOKUP(AE61,Table!P:Q,2,FALSE))</f>
        <v>5</v>
      </c>
      <c r="AG61" s="22">
        <f>IF((AB61*0.98)-(D61*0.8)+((AF61-3)*3)+VLOOKUP(AM61,Table!$A$11:$B$13,2,FALSE)&lt;0,0,(AB61*0.98)-(D61*0.8)+((AF61-3)*3)+VLOOKUP(AM61,Table!$A$11:$B$13,2,FALSE))</f>
        <v>81.597920000000002</v>
      </c>
      <c r="AH61" s="22">
        <f t="shared" si="270"/>
        <v>85</v>
      </c>
      <c r="AI61" s="18">
        <f t="shared" si="234"/>
        <v>0.89</v>
      </c>
      <c r="AJ61" s="18">
        <f t="shared" si="235"/>
        <v>0.64</v>
      </c>
      <c r="AK61" t="str">
        <f t="shared" si="45"/>
        <v>Rising Rates</v>
      </c>
      <c r="AL61">
        <f t="shared" si="144"/>
        <v>34.5</v>
      </c>
      <c r="AM61" s="11" t="str">
        <f t="shared" si="46"/>
        <v>Stocks</v>
      </c>
      <c r="AN61" t="str">
        <f t="shared" si="69"/>
        <v>Buy</v>
      </c>
      <c r="AO61" s="13">
        <f t="shared" si="70"/>
        <v>8.0000000000000004E-4</v>
      </c>
      <c r="AP61" s="13">
        <f t="shared" si="71"/>
        <v>2.0000000000000001E-4</v>
      </c>
      <c r="AQ61" s="13">
        <f t="shared" si="72"/>
        <v>6.9999999999999999E-4</v>
      </c>
      <c r="AR61" s="13">
        <f t="shared" si="47"/>
        <v>8.0000000000000004E-4</v>
      </c>
      <c r="AS61" s="6">
        <f t="shared" si="20"/>
        <v>603.44564283895659</v>
      </c>
      <c r="AT61" s="6">
        <f t="shared" si="21"/>
        <v>187.48666552617831</v>
      </c>
      <c r="AU61" s="6">
        <f t="shared" si="22"/>
        <v>915.41920967783165</v>
      </c>
      <c r="AV61" s="6">
        <f t="shared" si="23"/>
        <v>1415.2972973846117</v>
      </c>
      <c r="AW61" s="58">
        <f t="shared" si="48"/>
        <v>2017</v>
      </c>
      <c r="AX61" s="58">
        <f>COUNTIF(AW$3:AW61,AW61)</f>
        <v>27</v>
      </c>
    </row>
    <row r="62" spans="1:50" x14ac:dyDescent="0.25">
      <c r="A62" s="5">
        <v>42911</v>
      </c>
      <c r="B62" s="18">
        <v>2438.3000000000002</v>
      </c>
      <c r="C62">
        <v>0.97</v>
      </c>
      <c r="D62" s="18">
        <v>10.02</v>
      </c>
      <c r="E62" s="18">
        <f t="shared" si="247"/>
        <v>10.37</v>
      </c>
      <c r="F62">
        <f t="shared" si="248"/>
        <v>3</v>
      </c>
      <c r="G62" s="18">
        <f>ROUND(INDEX(Valuation!U:U,MATCH(A62,Valuation!A:A,0)),2)</f>
        <v>64.959999999999994</v>
      </c>
      <c r="H62">
        <f t="shared" si="327"/>
        <v>-1</v>
      </c>
      <c r="I62" s="18">
        <f>INDEX(WeeklyIndicators!Y:Y,MATCH(A62,WeeklyIndicators!A:A,0))</f>
        <v>158.07</v>
      </c>
      <c r="J62">
        <f t="shared" si="223"/>
        <v>2</v>
      </c>
      <c r="K62">
        <f>ROUND(INDEX(Economic!AF:AF,MATCH(EOMONTH($A62,-1),Economic!A:A,0)),2)</f>
        <v>132.9</v>
      </c>
      <c r="L62" s="11">
        <f t="shared" si="271"/>
        <v>2</v>
      </c>
      <c r="M62">
        <f>ROUND(INDEX(Manufacturing!P:P,MATCH(EOMONTH($A62,-1),Manufacturing!A:A,0)),2)</f>
        <v>85.84</v>
      </c>
      <c r="N62">
        <f t="shared" si="261"/>
        <v>0</v>
      </c>
      <c r="O62">
        <f>ROUND(INDEX(Housing!AC:AC,MATCH(EOMONTH($A62,-1),Housing!B:B,0)),2)</f>
        <v>149.11000000000001</v>
      </c>
      <c r="P62">
        <f t="shared" si="262"/>
        <v>3</v>
      </c>
      <c r="Q62">
        <f>ROUND(INDEX(Spending!AJ:AJ,MATCH(EOMONTH($A62,-1),Spending!B:B,0)),2)</f>
        <v>58</v>
      </c>
      <c r="R62">
        <f t="shared" si="272"/>
        <v>1</v>
      </c>
      <c r="S62">
        <f>ROUND(INDEX(Employment!V:V,MATCH(EOMONTH($A62,-1),Employment!A:A,0)),2)</f>
        <v>178.5</v>
      </c>
      <c r="T62" s="11">
        <f t="shared" si="263"/>
        <v>2</v>
      </c>
      <c r="U62">
        <f t="shared" ref="U62" si="497">F62+H62+J62+L62+N62+P62+R62+T62+20</f>
        <v>32</v>
      </c>
      <c r="V62">
        <f t="shared" si="59"/>
        <v>83.02</v>
      </c>
      <c r="W62" s="13">
        <f t="shared" si="60"/>
        <v>-7.7000000000000002E-3</v>
      </c>
      <c r="X62" s="13">
        <f t="shared" si="61"/>
        <v>-1.61E-2</v>
      </c>
      <c r="Y62">
        <f t="shared" si="36"/>
        <v>80.97</v>
      </c>
      <c r="Z62" s="13">
        <f t="shared" ref="Z62" si="498">ROUND((AVERAGE(Y62:Y64)-AVERAGE(Y63:Y65))/AVERAGE(Y63:Y65),4)</f>
        <v>-8.6E-3</v>
      </c>
      <c r="AA62" s="13">
        <f t="shared" si="463"/>
        <v>-1.7899999999999999E-2</v>
      </c>
      <c r="AB62" s="6">
        <f t="shared" si="39"/>
        <v>81.375999999999991</v>
      </c>
      <c r="AC62">
        <f t="shared" si="496"/>
        <v>41</v>
      </c>
      <c r="AD62" s="11">
        <f t="shared" ref="AD62:AD125" si="499">IF(AC62&gt;47,2,IF(AND(AC62&gt;41,AC62&lt;=47),1,IF(AC62&lt;15,-2,IF(AND(AC62&lt;32,AC62&gt;=15),-1,0))))</f>
        <v>0</v>
      </c>
      <c r="AE62">
        <f t="shared" si="485"/>
        <v>34</v>
      </c>
      <c r="AF62">
        <f>IF(AND(AE62&lt;15,OR(AC62&gt;=30,AA62&gt;0.15,X62&gt;=0.15)),2,VLOOKUP(AE62,Table!P:Q,2,FALSE))</f>
        <v>5</v>
      </c>
      <c r="AG62" s="22">
        <f>IF((AB62*0.98)-(D62*0.8)+((AF62-3)*3)+VLOOKUP(AM62,Table!$A$11:$B$13,2,FALSE)&lt;0,0,(AB62*0.98)-(D62*0.8)+((AF62-3)*3)+VLOOKUP(AM62,Table!$A$11:$B$13,2,FALSE))</f>
        <v>85.732479999999981</v>
      </c>
      <c r="AH62" s="22">
        <f t="shared" si="270"/>
        <v>88</v>
      </c>
      <c r="AI62" s="18">
        <f t="shared" si="234"/>
        <v>0.88</v>
      </c>
      <c r="AJ62" s="18">
        <f t="shared" si="235"/>
        <v>0.62</v>
      </c>
      <c r="AK62" t="str">
        <f t="shared" si="45"/>
        <v>Rising Rates</v>
      </c>
      <c r="AL62">
        <f t="shared" si="144"/>
        <v>35.25</v>
      </c>
      <c r="AM62" s="11" t="str">
        <f t="shared" si="46"/>
        <v>Stocks</v>
      </c>
      <c r="AN62" t="str">
        <f t="shared" si="69"/>
        <v>Buy</v>
      </c>
      <c r="AO62" s="13">
        <f t="shared" si="70"/>
        <v>-6.1000000000000004E-3</v>
      </c>
      <c r="AP62" s="13">
        <f t="shared" si="71"/>
        <v>2.0000000000000001E-4</v>
      </c>
      <c r="AQ62" s="13">
        <f t="shared" si="72"/>
        <v>-5.3E-3</v>
      </c>
      <c r="AR62" s="13">
        <f t="shared" si="47"/>
        <v>-6.1000000000000004E-3</v>
      </c>
      <c r="AS62" s="6">
        <f t="shared" si="20"/>
        <v>607.14925328398897</v>
      </c>
      <c r="AT62" s="6">
        <f t="shared" si="21"/>
        <v>187.4491756910401</v>
      </c>
      <c r="AU62" s="6">
        <f t="shared" si="22"/>
        <v>920.29678262574805</v>
      </c>
      <c r="AV62" s="6">
        <f t="shared" si="23"/>
        <v>1423.9835973283145</v>
      </c>
      <c r="AW62" s="58">
        <f t="shared" si="48"/>
        <v>2017</v>
      </c>
      <c r="AX62" s="58">
        <f>COUNTIF(AW$3:AW62,AW62)</f>
        <v>28</v>
      </c>
    </row>
    <row r="63" spans="1:50" x14ac:dyDescent="0.25">
      <c r="A63" s="5">
        <v>42904</v>
      </c>
      <c r="B63" s="18">
        <v>2433.15</v>
      </c>
      <c r="C63">
        <v>0.99</v>
      </c>
      <c r="D63" s="18">
        <v>10.38</v>
      </c>
      <c r="E63" s="18">
        <f t="shared" si="247"/>
        <v>10.28</v>
      </c>
      <c r="F63">
        <f t="shared" si="248"/>
        <v>3</v>
      </c>
      <c r="G63" s="18">
        <f>ROUND(INDEX(Valuation!U:U,MATCH(A63,Valuation!A:A,0)),2)</f>
        <v>65.05</v>
      </c>
      <c r="H63">
        <f t="shared" si="327"/>
        <v>-1</v>
      </c>
      <c r="I63" s="18">
        <f>INDEX(WeeklyIndicators!Y:Y,MATCH(A63,WeeklyIndicators!A:A,0))</f>
        <v>168.98</v>
      </c>
      <c r="J63">
        <f t="shared" si="223"/>
        <v>2</v>
      </c>
      <c r="K63">
        <f>ROUND(INDEX(Economic!AF:AF,MATCH(EOMONTH($A63,-1),Economic!A:A,0)),2)</f>
        <v>132.9</v>
      </c>
      <c r="L63" s="11">
        <f t="shared" si="271"/>
        <v>2</v>
      </c>
      <c r="M63">
        <f>ROUND(INDEX(Manufacturing!P:P,MATCH(EOMONTH($A63,-1),Manufacturing!A:A,0)),2)</f>
        <v>85.84</v>
      </c>
      <c r="N63">
        <f t="shared" si="261"/>
        <v>0</v>
      </c>
      <c r="O63">
        <f>ROUND(INDEX(Housing!AC:AC,MATCH(EOMONTH($A63,-1),Housing!B:B,0)),2)</f>
        <v>149.11000000000001</v>
      </c>
      <c r="P63">
        <f t="shared" si="262"/>
        <v>3</v>
      </c>
      <c r="Q63">
        <f>ROUND(INDEX(Spending!AJ:AJ,MATCH(EOMONTH($A63,-1),Spending!B:B,0)),2)</f>
        <v>58</v>
      </c>
      <c r="R63">
        <f t="shared" si="272"/>
        <v>1</v>
      </c>
      <c r="S63">
        <f>ROUND(INDEX(Employment!V:V,MATCH(EOMONTH($A63,-1),Employment!A:A,0)),2)</f>
        <v>178.5</v>
      </c>
      <c r="T63" s="11">
        <f t="shared" si="263"/>
        <v>2</v>
      </c>
      <c r="U63">
        <f t="shared" ref="U63" si="500">F63+H63+J63+L63+N63+P63+R63+T63+20</f>
        <v>32</v>
      </c>
      <c r="V63">
        <f t="shared" si="59"/>
        <v>84.15</v>
      </c>
      <c r="W63" s="13">
        <f t="shared" si="60"/>
        <v>-6.3E-3</v>
      </c>
      <c r="X63" s="13">
        <f t="shared" si="61"/>
        <v>-4.0999999999999995E-3</v>
      </c>
      <c r="Y63">
        <f t="shared" si="36"/>
        <v>82.14</v>
      </c>
      <c r="Z63" s="13">
        <f t="shared" ref="Z63" si="501">ROUND((AVERAGE(Y63:Y65)-AVERAGE(Y64:Y66))/AVERAGE(Y64:Y66),4)</f>
        <v>-7.1000000000000004E-3</v>
      </c>
      <c r="AA63" s="13">
        <f t="shared" si="463"/>
        <v>-3.3000000000000008E-3</v>
      </c>
      <c r="AB63" s="6">
        <f t="shared" si="39"/>
        <v>83.685000000000002</v>
      </c>
      <c r="AC63">
        <f t="shared" si="496"/>
        <v>42</v>
      </c>
      <c r="AD63" s="11">
        <f t="shared" si="499"/>
        <v>1</v>
      </c>
      <c r="AE63">
        <f t="shared" si="485"/>
        <v>35</v>
      </c>
      <c r="AF63">
        <f>IF(AND(AE63&lt;15,OR(AC63&gt;=30,AA63&gt;0.15,X63&gt;=0.15)),2,VLOOKUP(AE63,Table!P:Q,2,FALSE))</f>
        <v>5</v>
      </c>
      <c r="AG63" s="22">
        <f>IF((AB63*0.98)-(D63*0.8)+((AF63-3)*3)+VLOOKUP(AM63,Table!$A$11:$B$13,2,FALSE)&lt;0,0,(AB63*0.98)-(D63*0.8)+((AF63-3)*3)+VLOOKUP(AM63,Table!$A$11:$B$13,2,FALSE))</f>
        <v>87.707300000000004</v>
      </c>
      <c r="AH63" s="22">
        <f t="shared" si="270"/>
        <v>89</v>
      </c>
      <c r="AI63" s="18">
        <f t="shared" si="234"/>
        <v>0.86</v>
      </c>
      <c r="AJ63" s="18">
        <f t="shared" si="235"/>
        <v>0.6</v>
      </c>
      <c r="AK63" t="str">
        <f t="shared" si="45"/>
        <v>Rising Rates</v>
      </c>
      <c r="AL63">
        <f t="shared" si="144"/>
        <v>36</v>
      </c>
      <c r="AM63" s="11" t="str">
        <f t="shared" si="46"/>
        <v>Stocks</v>
      </c>
      <c r="AN63" t="str">
        <f t="shared" si="69"/>
        <v>Buy</v>
      </c>
      <c r="AO63" s="13">
        <f t="shared" si="70"/>
        <v>2.0999999999999999E-3</v>
      </c>
      <c r="AP63" s="13">
        <f t="shared" si="71"/>
        <v>2.0000000000000001E-4</v>
      </c>
      <c r="AQ63" s="13">
        <f t="shared" si="72"/>
        <v>1.9E-3</v>
      </c>
      <c r="AR63" s="13">
        <f t="shared" si="47"/>
        <v>2.0999999999999999E-3</v>
      </c>
      <c r="AS63" s="6">
        <f t="shared" si="20"/>
        <v>605.87691176927353</v>
      </c>
      <c r="AT63" s="6">
        <f t="shared" si="21"/>
        <v>187.41169335236964</v>
      </c>
      <c r="AU63" s="6">
        <f t="shared" si="22"/>
        <v>918.5515347097994</v>
      </c>
      <c r="AV63" s="6">
        <f t="shared" si="23"/>
        <v>1420.999498381713</v>
      </c>
      <c r="AW63" s="58">
        <f t="shared" si="48"/>
        <v>2017</v>
      </c>
      <c r="AX63" s="58">
        <f>COUNTIF(AW$3:AW63,AW63)</f>
        <v>29</v>
      </c>
    </row>
    <row r="64" spans="1:50" x14ac:dyDescent="0.25">
      <c r="A64" s="5">
        <v>42897</v>
      </c>
      <c r="B64" s="18">
        <v>2431.77</v>
      </c>
      <c r="C64">
        <v>0.97</v>
      </c>
      <c r="D64" s="18">
        <v>10.7</v>
      </c>
      <c r="E64" s="18">
        <f t="shared" si="247"/>
        <v>10.09</v>
      </c>
      <c r="F64">
        <f t="shared" si="248"/>
        <v>3</v>
      </c>
      <c r="G64" s="18">
        <f>ROUND(INDEX(Valuation!U:U,MATCH(A64,Valuation!A:A,0)),2)</f>
        <v>65.63</v>
      </c>
      <c r="H64">
        <f t="shared" si="327"/>
        <v>-1</v>
      </c>
      <c r="I64" s="18">
        <f>INDEX(WeeklyIndicators!Y:Y,MATCH(A64,WeeklyIndicators!A:A,0))</f>
        <v>175.65</v>
      </c>
      <c r="J64">
        <f t="shared" si="223"/>
        <v>3</v>
      </c>
      <c r="K64">
        <f>ROUND(INDEX(Economic!AF:AF,MATCH(EOMONTH($A64,-1),Economic!A:A,0)),2)</f>
        <v>132.9</v>
      </c>
      <c r="L64" s="11">
        <f t="shared" si="271"/>
        <v>2</v>
      </c>
      <c r="M64">
        <f>ROUND(INDEX(Manufacturing!P:P,MATCH(EOMONTH($A64,-1),Manufacturing!A:A,0)),2)</f>
        <v>85.84</v>
      </c>
      <c r="N64">
        <f t="shared" si="261"/>
        <v>0</v>
      </c>
      <c r="O64">
        <f>ROUND(INDEX(Housing!AC:AC,MATCH(EOMONTH($A64,-1),Housing!B:B,0)),2)</f>
        <v>149.11000000000001</v>
      </c>
      <c r="P64">
        <f t="shared" si="262"/>
        <v>3</v>
      </c>
      <c r="Q64">
        <f>ROUND(INDEX(Spending!AJ:AJ,MATCH(EOMONTH($A64,-1),Spending!B:B,0)),2)</f>
        <v>58</v>
      </c>
      <c r="R64">
        <f t="shared" si="272"/>
        <v>1</v>
      </c>
      <c r="S64">
        <f>ROUND(INDEX(Employment!V:V,MATCH(EOMONTH($A64,-1),Employment!A:A,0)),2)</f>
        <v>178.5</v>
      </c>
      <c r="T64" s="11">
        <f t="shared" si="263"/>
        <v>2</v>
      </c>
      <c r="U64">
        <f t="shared" ref="U64:U65" si="502">F64+H64+J64+L64+N64+P64+R64+T64+20</f>
        <v>33</v>
      </c>
      <c r="V64">
        <f t="shared" si="59"/>
        <v>84.84</v>
      </c>
      <c r="W64" s="13">
        <f t="shared" si="60"/>
        <v>-2E-3</v>
      </c>
      <c r="X64" s="13">
        <f t="shared" si="61"/>
        <v>2.2000000000000001E-3</v>
      </c>
      <c r="Y64">
        <f t="shared" si="36"/>
        <v>82.97</v>
      </c>
      <c r="Z64" s="13">
        <f t="shared" ref="Z64:Z127" si="503">ROUND((AVERAGE(Y64:Y66)-AVERAGE(Y65:Y67))/AVERAGE(Y65:Y67),4)</f>
        <v>-1.9E-3</v>
      </c>
      <c r="AA64" s="13">
        <f t="shared" si="463"/>
        <v>7.1000000000000004E-3</v>
      </c>
      <c r="AB64" s="6">
        <f t="shared" si="39"/>
        <v>85.363</v>
      </c>
      <c r="AC64">
        <f t="shared" si="496"/>
        <v>43</v>
      </c>
      <c r="AD64" s="11">
        <f t="shared" si="499"/>
        <v>1</v>
      </c>
      <c r="AE64">
        <f t="shared" si="485"/>
        <v>36</v>
      </c>
      <c r="AF64">
        <f>IF(AND(AE64&lt;15,OR(AC64&gt;=30,AA64&gt;0.15,X64&gt;=0.15)),2,VLOOKUP(AE64,Table!P:Q,2,FALSE))</f>
        <v>5</v>
      </c>
      <c r="AG64" s="22">
        <f>IF((AB64*0.98)-(D64*0.8)+((AF64-3)*3)+VLOOKUP(AM64,Table!$A$11:$B$13,2,FALSE)&lt;0,0,(AB64*0.98)-(D64*0.8)+((AF64-3)*3)+VLOOKUP(AM64,Table!$A$11:$B$13,2,FALSE))</f>
        <v>89.095739999999992</v>
      </c>
      <c r="AH64" s="22">
        <f t="shared" si="270"/>
        <v>91</v>
      </c>
      <c r="AI64" s="18">
        <f t="shared" si="234"/>
        <v>0.84</v>
      </c>
      <c r="AJ64" s="18">
        <f t="shared" si="235"/>
        <v>0.57999999999999996</v>
      </c>
      <c r="AK64" t="str">
        <f t="shared" si="45"/>
        <v>Rising Rates</v>
      </c>
      <c r="AL64">
        <f t="shared" si="144"/>
        <v>36</v>
      </c>
      <c r="AM64" s="11" t="str">
        <f t="shared" si="46"/>
        <v>Stocks</v>
      </c>
      <c r="AN64" t="str">
        <f t="shared" si="69"/>
        <v>Buy</v>
      </c>
      <c r="AO64" s="13">
        <f t="shared" si="70"/>
        <v>5.9999999999999995E-4</v>
      </c>
      <c r="AP64" s="13">
        <f t="shared" si="71"/>
        <v>2.0000000000000001E-4</v>
      </c>
      <c r="AQ64" s="13">
        <f t="shared" si="72"/>
        <v>5.9999999999999995E-4</v>
      </c>
      <c r="AR64" s="13">
        <f t="shared" si="47"/>
        <v>5.9999999999999995E-4</v>
      </c>
      <c r="AS64" s="6">
        <f t="shared" si="20"/>
        <v>605.5136036071093</v>
      </c>
      <c r="AT64" s="6">
        <f t="shared" si="21"/>
        <v>187.37421850866792</v>
      </c>
      <c r="AU64" s="6">
        <f t="shared" si="22"/>
        <v>918.00073426923791</v>
      </c>
      <c r="AV64" s="6">
        <f t="shared" si="23"/>
        <v>1420.1474099357517</v>
      </c>
      <c r="AW64" s="58">
        <f t="shared" si="48"/>
        <v>2017</v>
      </c>
      <c r="AX64" s="58">
        <f>COUNTIF(AW$3:AW64,AW64)</f>
        <v>30</v>
      </c>
    </row>
    <row r="65" spans="1:50" x14ac:dyDescent="0.25">
      <c r="A65" s="5">
        <v>42890</v>
      </c>
      <c r="B65">
        <v>2439.0700000000002</v>
      </c>
      <c r="C65">
        <v>0.95</v>
      </c>
      <c r="D65" s="18">
        <v>9.75</v>
      </c>
      <c r="E65" s="18">
        <f t="shared" si="247"/>
        <v>10.53</v>
      </c>
      <c r="F65">
        <f t="shared" si="248"/>
        <v>3</v>
      </c>
      <c r="G65" s="18">
        <f>ROUND(INDEX(Valuation!U:U,MATCH(A65,Valuation!A:A,0)),2)</f>
        <v>67.02</v>
      </c>
      <c r="H65">
        <f t="shared" si="327"/>
        <v>-1</v>
      </c>
      <c r="I65" s="18">
        <f>INDEX(WeeklyIndicators!Y:Y,MATCH(A65,WeeklyIndicators!A:A,0))</f>
        <v>176.91</v>
      </c>
      <c r="J65">
        <f t="shared" si="223"/>
        <v>3</v>
      </c>
      <c r="K65">
        <f>ROUND(INDEX(Economic!AF:AF,MATCH(EOMONTH($A65,-1),Economic!A:A,0)),2)</f>
        <v>132.9</v>
      </c>
      <c r="L65" s="11">
        <f t="shared" si="271"/>
        <v>2</v>
      </c>
      <c r="M65">
        <f>ROUND(INDEX(Manufacturing!P:P,MATCH(EOMONTH($A65,-1),Manufacturing!A:A,0)),2)</f>
        <v>85.84</v>
      </c>
      <c r="N65">
        <f t="shared" si="261"/>
        <v>0</v>
      </c>
      <c r="O65">
        <f>ROUND(INDEX(Housing!AC:AC,MATCH(EOMONTH($A65,-1),Housing!B:B,0)),2)</f>
        <v>149.11000000000001</v>
      </c>
      <c r="P65">
        <f t="shared" si="262"/>
        <v>3</v>
      </c>
      <c r="Q65">
        <f>ROUND(INDEX(Spending!AJ:AJ,MATCH(EOMONTH($A65,-1),Spending!B:B,0)),2)</f>
        <v>58</v>
      </c>
      <c r="R65">
        <f t="shared" si="272"/>
        <v>1</v>
      </c>
      <c r="S65">
        <f>ROUND(INDEX(Employment!V:V,MATCH(EOMONTH($A65,-1),Employment!A:A,0)),2)</f>
        <v>178.5</v>
      </c>
      <c r="T65" s="11">
        <f t="shared" si="263"/>
        <v>2</v>
      </c>
      <c r="U65">
        <f t="shared" si="502"/>
        <v>33</v>
      </c>
      <c r="V65">
        <f t="shared" si="59"/>
        <v>84.97</v>
      </c>
      <c r="W65" s="13">
        <f t="shared" si="60"/>
        <v>-1E-4</v>
      </c>
      <c r="X65" s="13">
        <f t="shared" si="61"/>
        <v>3.8999999999999998E-3</v>
      </c>
      <c r="Y65">
        <f t="shared" si="36"/>
        <v>83.1</v>
      </c>
      <c r="Z65" s="13">
        <f t="shared" si="503"/>
        <v>-2.9999999999999997E-4</v>
      </c>
      <c r="AA65" s="13">
        <f t="shared" si="463"/>
        <v>1.26E-2</v>
      </c>
      <c r="AB65" s="6">
        <f t="shared" si="39"/>
        <v>86.021999999999991</v>
      </c>
      <c r="AC65">
        <f t="shared" si="496"/>
        <v>43</v>
      </c>
      <c r="AD65" s="11">
        <f t="shared" si="499"/>
        <v>1</v>
      </c>
      <c r="AE65">
        <f t="shared" si="485"/>
        <v>36</v>
      </c>
      <c r="AF65">
        <f>IF(AND(AE65&lt;15,OR(AC65&gt;=30,AA65&gt;0.15,X65&gt;=0.15)),2,VLOOKUP(AE65,Table!P:Q,2,FALSE))</f>
        <v>5</v>
      </c>
      <c r="AG65" s="22">
        <f>IF((AB65*0.98)-(D65*0.8)+((AF65-3)*3)+VLOOKUP(AM65,Table!$A$11:$B$13,2,FALSE)&lt;0,0,(AB65*0.98)-(D65*0.8)+((AF65-3)*3)+VLOOKUP(AM65,Table!$A$11:$B$13,2,FALSE))</f>
        <v>90.501559999999998</v>
      </c>
      <c r="AH65" s="22">
        <f t="shared" si="270"/>
        <v>91</v>
      </c>
      <c r="AI65" s="18">
        <f t="shared" si="234"/>
        <v>0.82</v>
      </c>
      <c r="AJ65" s="18">
        <f t="shared" si="235"/>
        <v>0.56999999999999995</v>
      </c>
      <c r="AK65" t="str">
        <f t="shared" si="45"/>
        <v>Rising Rates</v>
      </c>
      <c r="AL65">
        <f t="shared" si="144"/>
        <v>36</v>
      </c>
      <c r="AM65" s="11" t="str">
        <f t="shared" si="46"/>
        <v>Stocks</v>
      </c>
      <c r="AN65" t="str">
        <f t="shared" si="69"/>
        <v>Buy</v>
      </c>
      <c r="AO65" s="13">
        <f t="shared" si="70"/>
        <v>-3.0000000000000001E-3</v>
      </c>
      <c r="AP65" s="13">
        <f t="shared" si="71"/>
        <v>2.0000000000000001E-4</v>
      </c>
      <c r="AQ65" s="13">
        <f t="shared" si="72"/>
        <v>-2.7000000000000001E-3</v>
      </c>
      <c r="AR65" s="13">
        <f t="shared" si="47"/>
        <v>-3.0000000000000001E-3</v>
      </c>
      <c r="AS65" s="6">
        <f t="shared" si="20"/>
        <v>607.33561043842462</v>
      </c>
      <c r="AT65" s="6">
        <f t="shared" si="21"/>
        <v>187.33675115843624</v>
      </c>
      <c r="AU65" s="6">
        <f t="shared" si="22"/>
        <v>920.48604659504451</v>
      </c>
      <c r="AV65" s="6">
        <f t="shared" si="23"/>
        <v>1424.4206719516067</v>
      </c>
      <c r="AW65" s="58">
        <f t="shared" si="48"/>
        <v>2017</v>
      </c>
      <c r="AX65" s="58">
        <f>COUNTIF(AW$3:AW65,AW65)</f>
        <v>31</v>
      </c>
    </row>
    <row r="66" spans="1:50" x14ac:dyDescent="0.25">
      <c r="A66" s="5">
        <v>42883</v>
      </c>
      <c r="B66">
        <v>2415.8200000000002</v>
      </c>
      <c r="C66">
        <v>0.92</v>
      </c>
      <c r="D66" s="6">
        <v>9.81</v>
      </c>
      <c r="E66" s="18">
        <f t="shared" si="247"/>
        <v>10.75</v>
      </c>
      <c r="F66">
        <f t="shared" si="248"/>
        <v>3</v>
      </c>
      <c r="G66" s="18">
        <f>ROUND(INDEX(Valuation!U:U,MATCH(A66,Valuation!A:A,0)),2)</f>
        <v>67.89</v>
      </c>
      <c r="H66">
        <f t="shared" si="327"/>
        <v>-1</v>
      </c>
      <c r="I66" s="18">
        <f>INDEX(WeeklyIndicators!Y:Y,MATCH(A66,WeeklyIndicators!A:A,0))</f>
        <v>172.18</v>
      </c>
      <c r="J66">
        <f t="shared" si="223"/>
        <v>3</v>
      </c>
      <c r="K66">
        <f>ROUND(INDEX(Economic!AF:AF,MATCH(EOMONTH($A66,-1),Economic!A:A,0)),2)</f>
        <v>134.62</v>
      </c>
      <c r="L66" s="11">
        <f t="shared" si="271"/>
        <v>2</v>
      </c>
      <c r="M66">
        <f>ROUND(INDEX(Manufacturing!P:P,MATCH(EOMONTH($A66,-1),Manufacturing!A:A,0)),2)</f>
        <v>91.49</v>
      </c>
      <c r="N66">
        <f t="shared" si="261"/>
        <v>1</v>
      </c>
      <c r="O66">
        <f>ROUND(INDEX(Housing!AC:AC,MATCH(EOMONTH($A66,-1),Housing!B:B,0)),2)</f>
        <v>153.21</v>
      </c>
      <c r="P66">
        <f t="shared" si="262"/>
        <v>3</v>
      </c>
      <c r="Q66">
        <f>ROUND(INDEX(Spending!AJ:AJ,MATCH(EOMONTH($A66,-1),Spending!B:B,0)),2)</f>
        <v>59.37</v>
      </c>
      <c r="R66">
        <f t="shared" si="272"/>
        <v>1</v>
      </c>
      <c r="S66">
        <f>ROUND(INDEX(Employment!V:V,MATCH(EOMONTH($A66,-1),Employment!A:A,0)),2)</f>
        <v>176.83</v>
      </c>
      <c r="T66" s="11">
        <f t="shared" si="263"/>
        <v>2</v>
      </c>
      <c r="U66">
        <f t="shared" ref="U66" si="504">F66+H66+J66+L66+N66+P66+R66+T66+20</f>
        <v>34</v>
      </c>
      <c r="V66">
        <f t="shared" si="59"/>
        <v>85.77</v>
      </c>
      <c r="W66" s="13">
        <f t="shared" si="60"/>
        <v>4.3E-3</v>
      </c>
      <c r="X66" s="13">
        <f t="shared" si="61"/>
        <v>4.0000000000000001E-3</v>
      </c>
      <c r="Y66">
        <f t="shared" si="36"/>
        <v>83.92</v>
      </c>
      <c r="Z66" s="13">
        <f t="shared" si="503"/>
        <v>6.0000000000000001E-3</v>
      </c>
      <c r="AA66" s="13">
        <f t="shared" si="463"/>
        <v>1.2999999999999998E-2</v>
      </c>
      <c r="AB66" s="6">
        <f t="shared" si="39"/>
        <v>86.978999999999999</v>
      </c>
      <c r="AC66">
        <f t="shared" si="496"/>
        <v>43</v>
      </c>
      <c r="AD66" s="11">
        <f t="shared" si="499"/>
        <v>1</v>
      </c>
      <c r="AE66">
        <f t="shared" si="485"/>
        <v>37</v>
      </c>
      <c r="AF66">
        <f>IF(AND(AE66&lt;15,OR(AC66&gt;=30,AA66&gt;0.15,X66&gt;=0.15)),2,VLOOKUP(AE66,Table!P:Q,2,FALSE))</f>
        <v>6</v>
      </c>
      <c r="AG66" s="22">
        <f>IF((AB66*0.98)-(D66*0.8)+((AF66-3)*3)+VLOOKUP(AM66,Table!$A$11:$B$13,2,FALSE)&lt;0,0,(AB66*0.98)-(D66*0.8)+((AF66-3)*3)+VLOOKUP(AM66,Table!$A$11:$B$13,2,FALSE))</f>
        <v>94.391419999999997</v>
      </c>
      <c r="AH66" s="22">
        <f t="shared" si="270"/>
        <v>91</v>
      </c>
      <c r="AI66" s="18">
        <f t="shared" si="234"/>
        <v>0.8</v>
      </c>
      <c r="AJ66" s="18">
        <f t="shared" si="235"/>
        <v>0.55000000000000004</v>
      </c>
      <c r="AK66" t="str">
        <f t="shared" si="45"/>
        <v>Rising Rates</v>
      </c>
      <c r="AL66">
        <f t="shared" si="144"/>
        <v>35.75</v>
      </c>
      <c r="AM66" s="11" t="str">
        <f t="shared" si="46"/>
        <v>Stocks</v>
      </c>
      <c r="AN66" t="str">
        <f t="shared" si="69"/>
        <v>Buy</v>
      </c>
      <c r="AO66" s="13">
        <f t="shared" si="70"/>
        <v>9.5999999999999992E-3</v>
      </c>
      <c r="AP66" s="13">
        <f t="shared" si="71"/>
        <v>2.0000000000000001E-4</v>
      </c>
      <c r="AQ66" s="13">
        <f t="shared" si="72"/>
        <v>8.8000000000000005E-3</v>
      </c>
      <c r="AR66" s="13">
        <f t="shared" si="47"/>
        <v>9.5999999999999992E-3</v>
      </c>
      <c r="AS66" s="6">
        <f t="shared" si="20"/>
        <v>601.56062840572963</v>
      </c>
      <c r="AT66" s="6">
        <f t="shared" si="21"/>
        <v>187.29929130017621</v>
      </c>
      <c r="AU66" s="6">
        <f t="shared" si="22"/>
        <v>912.45643001094822</v>
      </c>
      <c r="AV66" s="6">
        <f t="shared" si="23"/>
        <v>1410.8762598569797</v>
      </c>
      <c r="AW66" s="58">
        <f t="shared" si="48"/>
        <v>2017</v>
      </c>
      <c r="AX66" s="58">
        <f>COUNTIF(AW$3:AW66,AW66)</f>
        <v>32</v>
      </c>
    </row>
    <row r="67" spans="1:50" x14ac:dyDescent="0.25">
      <c r="A67" s="5">
        <v>42876</v>
      </c>
      <c r="B67">
        <v>2381.73</v>
      </c>
      <c r="C67">
        <v>0.9</v>
      </c>
      <c r="D67" s="6">
        <v>12.04</v>
      </c>
      <c r="E67" s="18">
        <f t="shared" si="247"/>
        <v>11</v>
      </c>
      <c r="F67">
        <f t="shared" si="248"/>
        <v>2</v>
      </c>
      <c r="G67" s="18">
        <f>ROUND(INDEX(Valuation!U:U,MATCH(A67,Valuation!A:A,0)),2)</f>
        <v>68.28</v>
      </c>
      <c r="H67">
        <f t="shared" si="327"/>
        <v>-1</v>
      </c>
      <c r="I67" s="18">
        <f>INDEX(WeeklyIndicators!Y:Y,MATCH(A67,WeeklyIndicators!A:A,0))</f>
        <v>168.11</v>
      </c>
      <c r="J67">
        <f t="shared" si="223"/>
        <v>2</v>
      </c>
      <c r="K67">
        <f>ROUND(INDEX(Economic!AF:AF,MATCH(EOMONTH($A67,-1),Economic!A:A,0)),2)</f>
        <v>134.62</v>
      </c>
      <c r="L67" s="11">
        <f t="shared" si="271"/>
        <v>2</v>
      </c>
      <c r="M67">
        <f>ROUND(INDEX(Manufacturing!P:P,MATCH(EOMONTH($A67,-1),Manufacturing!A:A,0)),2)</f>
        <v>91.49</v>
      </c>
      <c r="N67">
        <f t="shared" si="261"/>
        <v>1</v>
      </c>
      <c r="O67">
        <f>ROUND(INDEX(Housing!AC:AC,MATCH(EOMONTH($A67,-1),Housing!B:B,0)),2)</f>
        <v>153.21</v>
      </c>
      <c r="P67">
        <f t="shared" si="262"/>
        <v>3</v>
      </c>
      <c r="Q67">
        <f>ROUND(INDEX(Spending!AJ:AJ,MATCH(EOMONTH($A67,-1),Spending!B:B,0)),2)</f>
        <v>59.37</v>
      </c>
      <c r="R67">
        <f t="shared" si="272"/>
        <v>1</v>
      </c>
      <c r="S67">
        <f>ROUND(INDEX(Employment!V:V,MATCH(EOMONTH($A67,-1),Employment!A:A,0)),2)</f>
        <v>176.83</v>
      </c>
      <c r="T67" s="11">
        <f t="shared" si="263"/>
        <v>2</v>
      </c>
      <c r="U67">
        <f t="shared" ref="U67" si="505">F67+H67+J67+L67+N67+P67+R67+T67+20</f>
        <v>32</v>
      </c>
      <c r="V67">
        <f t="shared" si="59"/>
        <v>85.35</v>
      </c>
      <c r="W67" s="13">
        <f t="shared" si="60"/>
        <v>0</v>
      </c>
      <c r="X67" s="13">
        <f t="shared" si="61"/>
        <v>3.2000000000000002E-3</v>
      </c>
      <c r="Y67">
        <f t="shared" si="36"/>
        <v>83.45</v>
      </c>
      <c r="Z67" s="13">
        <f t="shared" si="503"/>
        <v>3.3E-3</v>
      </c>
      <c r="AA67" s="13">
        <f t="shared" si="463"/>
        <v>6.5000000000000006E-3</v>
      </c>
      <c r="AB67" s="6">
        <f t="shared" si="39"/>
        <v>86.088000000000008</v>
      </c>
      <c r="AC67">
        <f t="shared" si="496"/>
        <v>43</v>
      </c>
      <c r="AD67" s="11">
        <f t="shared" si="499"/>
        <v>1</v>
      </c>
      <c r="AE67">
        <f t="shared" si="485"/>
        <v>35</v>
      </c>
      <c r="AF67">
        <f>IF(AND(AE67&lt;15,OR(AC67&gt;=30,AA67&gt;0.15,X67&gt;=0.15)),2,VLOOKUP(AE67,Table!P:Q,2,FALSE))</f>
        <v>5</v>
      </c>
      <c r="AG67" s="22">
        <f>IF((AB67*0.98)-(D67*0.8)+((AF67-3)*3)+VLOOKUP(AM67,Table!$A$11:$B$13,2,FALSE)&lt;0,0,(AB67*0.98)-(D67*0.8)+((AF67-3)*3)+VLOOKUP(AM67,Table!$A$11:$B$13,2,FALSE))</f>
        <v>88.73424</v>
      </c>
      <c r="AH67" s="22">
        <f t="shared" si="270"/>
        <v>89</v>
      </c>
      <c r="AI67" s="18">
        <f t="shared" si="234"/>
        <v>0.76</v>
      </c>
      <c r="AJ67" s="18">
        <f t="shared" si="235"/>
        <v>0.54</v>
      </c>
      <c r="AK67" t="str">
        <f t="shared" si="45"/>
        <v>Rising Rates</v>
      </c>
      <c r="AL67">
        <f t="shared" si="144"/>
        <v>35</v>
      </c>
      <c r="AM67" s="11" t="str">
        <f t="shared" si="46"/>
        <v>Stocks</v>
      </c>
      <c r="AN67" t="str">
        <f t="shared" si="69"/>
        <v>Buy</v>
      </c>
      <c r="AO67" s="13">
        <f t="shared" si="70"/>
        <v>1.43E-2</v>
      </c>
      <c r="AP67" s="13">
        <f t="shared" si="71"/>
        <v>2.0000000000000001E-4</v>
      </c>
      <c r="AQ67" s="13">
        <f t="shared" si="72"/>
        <v>1.2699999999999999E-2</v>
      </c>
      <c r="AR67" s="13">
        <f t="shared" si="47"/>
        <v>1.43E-2</v>
      </c>
      <c r="AS67" s="6">
        <f t="shared" ref="AS67:AS130" si="506">AS68*(1+AO68)</f>
        <v>593.07959026494098</v>
      </c>
      <c r="AT67" s="6">
        <f t="shared" ref="AT67:AT130" si="507">AT68*(1+AP68)</f>
        <v>187.26183893238974</v>
      </c>
      <c r="AU67" s="6">
        <f t="shared" ref="AU67:AU130" si="508">AU68*(1+AQ68)</f>
        <v>901.01355782655105</v>
      </c>
      <c r="AV67" s="6">
        <f t="shared" ref="AV67:AV130" si="509">AV68*(1+AR68)</f>
        <v>1390.9851718988266</v>
      </c>
      <c r="AW67" s="58">
        <f t="shared" si="48"/>
        <v>2017</v>
      </c>
      <c r="AX67" s="58">
        <f>COUNTIF(AW$3:AW67,AW67)</f>
        <v>33</v>
      </c>
    </row>
    <row r="68" spans="1:50" x14ac:dyDescent="0.25">
      <c r="A68" s="5">
        <v>42869</v>
      </c>
      <c r="B68">
        <v>2390.9</v>
      </c>
      <c r="C68">
        <v>0.88</v>
      </c>
      <c r="D68" s="6">
        <v>10.4</v>
      </c>
      <c r="E68" s="18">
        <f t="shared" si="247"/>
        <v>10.6</v>
      </c>
      <c r="F68">
        <f t="shared" si="248"/>
        <v>3</v>
      </c>
      <c r="G68" s="18">
        <f>ROUND(INDEX(Valuation!U:U,MATCH(A68,Valuation!A:A,0)),2)</f>
        <v>67.790000000000006</v>
      </c>
      <c r="H68">
        <f t="shared" si="327"/>
        <v>-1</v>
      </c>
      <c r="I68" s="18">
        <f>INDEX(WeeklyIndicators!Y:Y,MATCH(A68,WeeklyIndicators!A:A,0))</f>
        <v>164.7</v>
      </c>
      <c r="J68">
        <f t="shared" si="223"/>
        <v>2</v>
      </c>
      <c r="K68">
        <f>ROUND(INDEX(Economic!AF:AF,MATCH(EOMONTH($A68,-1),Economic!A:A,0)),2)</f>
        <v>134.62</v>
      </c>
      <c r="L68" s="11">
        <f t="shared" si="271"/>
        <v>2</v>
      </c>
      <c r="M68">
        <f>ROUND(INDEX(Manufacturing!P:P,MATCH(EOMONTH($A68,-1),Manufacturing!A:A,0)),2)</f>
        <v>91.49</v>
      </c>
      <c r="N68">
        <f t="shared" si="261"/>
        <v>1</v>
      </c>
      <c r="O68">
        <f>ROUND(INDEX(Housing!AC:AC,MATCH(EOMONTH($A68,-1),Housing!B:B,0)),2)</f>
        <v>153.21</v>
      </c>
      <c r="P68">
        <f t="shared" si="262"/>
        <v>3</v>
      </c>
      <c r="Q68">
        <f>ROUND(INDEX(Spending!AJ:AJ,MATCH(EOMONTH($A68,-1),Spending!B:B,0)),2)</f>
        <v>59.37</v>
      </c>
      <c r="R68">
        <f t="shared" si="272"/>
        <v>1</v>
      </c>
      <c r="S68">
        <f>ROUND(INDEX(Employment!V:V,MATCH(EOMONTH($A68,-1),Employment!A:A,0)),2)</f>
        <v>176.83</v>
      </c>
      <c r="T68" s="11">
        <f t="shared" si="263"/>
        <v>2</v>
      </c>
      <c r="U68">
        <f t="shared" ref="U68:U73" si="510">F68+H68+J68+L68+N68+P68+R68+T68+20</f>
        <v>33</v>
      </c>
      <c r="V68">
        <f t="shared" si="59"/>
        <v>85</v>
      </c>
      <c r="W68" s="13">
        <f t="shared" si="60"/>
        <v>-2.9999999999999997E-4</v>
      </c>
      <c r="X68" s="13">
        <f t="shared" si="61"/>
        <v>4.7000000000000002E-3</v>
      </c>
      <c r="Y68">
        <f t="shared" ref="Y68:Y131" si="511">ROUND(((K68*0.745)+(M68*0.745)+(O68*0.36)+(Q68*0.45)+(S68*0.45)+(I68*0.55)+(G68*0.59)-(E68*1.85))/5.3,2)</f>
        <v>83.18</v>
      </c>
      <c r="Z68" s="13">
        <f t="shared" si="503"/>
        <v>3.5999999999999999E-3</v>
      </c>
      <c r="AA68" s="13">
        <f t="shared" si="463"/>
        <v>-7.000000000000001E-4</v>
      </c>
      <c r="AB68" s="6">
        <f t="shared" ref="AB68:AB131" si="512">IF(ROUND(Y68+(X68*10)+(V68/30)+(AA68*67),2)+5+((G68-125)*0.1)&lt;0,0,ROUND(Y68+(X68*10)+(V68/30)+(AA68*67),2)+5+((G68-125)*0.1))</f>
        <v>85.289000000000001</v>
      </c>
      <c r="AC68">
        <f t="shared" si="496"/>
        <v>43</v>
      </c>
      <c r="AD68" s="11">
        <f t="shared" si="499"/>
        <v>1</v>
      </c>
      <c r="AE68">
        <f t="shared" si="485"/>
        <v>36</v>
      </c>
      <c r="AF68">
        <f>IF(AND(AE68&lt;15,OR(AC68&gt;=30,AA68&gt;0.15,X68&gt;=0.15)),2,VLOOKUP(AE68,Table!P:Q,2,FALSE))</f>
        <v>5</v>
      </c>
      <c r="AG68" s="22">
        <f>IF((AB68*0.98)-(D68*0.8)+((AF68-3)*3)+VLOOKUP(AM68,Table!$A$11:$B$13,2,FALSE)&lt;0,0,(AB68*0.98)-(D68*0.8)+((AF68-3)*3)+VLOOKUP(AM68,Table!$A$11:$B$13,2,FALSE))</f>
        <v>89.26321999999999</v>
      </c>
      <c r="AH68" s="22">
        <f t="shared" si="270"/>
        <v>88</v>
      </c>
      <c r="AI68" s="18">
        <f t="shared" si="234"/>
        <v>0.74</v>
      </c>
      <c r="AJ68" s="18">
        <f t="shared" si="235"/>
        <v>0.52</v>
      </c>
      <c r="AK68" t="str">
        <f t="shared" ref="AK68:AK131" si="513">IF(AND(C68&gt;AI68,AI68&gt;AJ68,C68-AJ68&gt;0.15),"Rising Rates",IF(AND(C68&lt;AI68,AI68&lt;AJ68,AJ68-C68&gt;0.15),"Falling Rates",""))</f>
        <v>Rising Rates</v>
      </c>
      <c r="AL68">
        <f t="shared" si="144"/>
        <v>34.5</v>
      </c>
      <c r="AM68" s="11" t="str">
        <f t="shared" ref="AM68:AM131" si="514">IF(OR(AND(AL68&lt;=18,G68&lt;=25),AND(AL68&lt;=14,G68&lt;200)),"Cash","Stocks")</f>
        <v>Stocks</v>
      </c>
      <c r="AN68" t="str">
        <f t="shared" si="69"/>
        <v>Buy</v>
      </c>
      <c r="AO68" s="13">
        <f t="shared" si="70"/>
        <v>-3.8E-3</v>
      </c>
      <c r="AP68" s="13">
        <f t="shared" si="71"/>
        <v>2.0000000000000001E-4</v>
      </c>
      <c r="AQ68" s="13">
        <f t="shared" si="72"/>
        <v>-3.3E-3</v>
      </c>
      <c r="AR68" s="13">
        <f t="shared" ref="AR68:AR131" si="515">IF(AM68="Stocks",AO68,AP68)</f>
        <v>-3.8E-3</v>
      </c>
      <c r="AS68" s="6">
        <f t="shared" si="506"/>
        <v>595.34188944483139</v>
      </c>
      <c r="AT68" s="6">
        <f t="shared" si="507"/>
        <v>187.22439405357903</v>
      </c>
      <c r="AU68" s="6">
        <f t="shared" si="508"/>
        <v>903.99674709195449</v>
      </c>
      <c r="AV68" s="6">
        <f t="shared" si="509"/>
        <v>1396.2910779952085</v>
      </c>
      <c r="AW68" s="58">
        <f t="shared" ref="AW68:AW131" si="516">YEAR(A68)</f>
        <v>2017</v>
      </c>
      <c r="AX68" s="58">
        <f>COUNTIF(AW$3:AW68,AW68)</f>
        <v>34</v>
      </c>
    </row>
    <row r="69" spans="1:50" x14ac:dyDescent="0.25">
      <c r="A69" s="5">
        <v>42862</v>
      </c>
      <c r="B69">
        <v>2399.29</v>
      </c>
      <c r="C69">
        <v>0.84</v>
      </c>
      <c r="D69" s="6">
        <v>10.57</v>
      </c>
      <c r="E69" s="18">
        <f t="shared" si="247"/>
        <v>12.01</v>
      </c>
      <c r="F69">
        <f t="shared" si="248"/>
        <v>2</v>
      </c>
      <c r="G69" s="18">
        <f>ROUND(INDEX(Valuation!U:U,MATCH(A69,Valuation!A:A,0)),2)</f>
        <v>68.22</v>
      </c>
      <c r="H69">
        <f t="shared" si="327"/>
        <v>-1</v>
      </c>
      <c r="I69" s="18">
        <f>INDEX(WeeklyIndicators!Y:Y,MATCH(A69,WeeklyIndicators!A:A,0))</f>
        <v>161.63999999999999</v>
      </c>
      <c r="J69">
        <f t="shared" si="223"/>
        <v>2</v>
      </c>
      <c r="K69">
        <f>ROUND(INDEX(Economic!AF:AF,MATCH(EOMONTH($A69,-1),Economic!A:A,0)),2)</f>
        <v>134.62</v>
      </c>
      <c r="L69" s="11">
        <f t="shared" si="271"/>
        <v>2</v>
      </c>
      <c r="M69">
        <f>ROUND(INDEX(Manufacturing!P:P,MATCH(EOMONTH($A69,-1),Manufacturing!A:A,0)),2)</f>
        <v>91.49</v>
      </c>
      <c r="N69">
        <f t="shared" si="261"/>
        <v>1</v>
      </c>
      <c r="O69">
        <f>ROUND(INDEX(Housing!AC:AC,MATCH(EOMONTH($A69,-1),Housing!B:B,0)),2)</f>
        <v>153.21</v>
      </c>
      <c r="P69">
        <f t="shared" si="262"/>
        <v>3</v>
      </c>
      <c r="Q69">
        <f>ROUND(INDEX(Spending!AJ:AJ,MATCH(EOMONTH($A69,-1),Spending!B:B,0)),2)</f>
        <v>59.37</v>
      </c>
      <c r="R69">
        <f t="shared" si="272"/>
        <v>1</v>
      </c>
      <c r="S69">
        <f>ROUND(INDEX(Employment!V:V,MATCH(EOMONTH($A69,-1),Employment!A:A,0)),2)</f>
        <v>176.83</v>
      </c>
      <c r="T69" s="11">
        <f t="shared" si="263"/>
        <v>2</v>
      </c>
      <c r="U69">
        <f t="shared" si="510"/>
        <v>32</v>
      </c>
      <c r="V69">
        <f t="shared" ref="V69:V132" si="517">ROUND(((K69*0.745)+(M69*0.745)+(O69*0.36)+(Q69*0.45)+(S69*0.45)+(I69*0.55)+(60)-(30))/5.3,2)</f>
        <v>84.68</v>
      </c>
      <c r="W69" s="13">
        <f t="shared" ref="W69:W132" si="518">ROUND((AVERAGE(V69:V71)-AVERAGE(V70:V72))/AVERAGE(V70:V72),4)</f>
        <v>0</v>
      </c>
      <c r="X69" s="13">
        <f t="shared" ref="X69:X132" si="519">SUM(W69:W72)</f>
        <v>4.1999999999999997E-3</v>
      </c>
      <c r="Y69">
        <f t="shared" si="511"/>
        <v>82.42</v>
      </c>
      <c r="Z69" s="13">
        <f t="shared" si="503"/>
        <v>1E-4</v>
      </c>
      <c r="AA69" s="13">
        <f t="shared" si="463"/>
        <v>-9.1999999999999998E-3</v>
      </c>
      <c r="AB69" s="6">
        <f t="shared" si="512"/>
        <v>83.992000000000004</v>
      </c>
      <c r="AC69">
        <f t="shared" si="496"/>
        <v>42</v>
      </c>
      <c r="AD69" s="11">
        <f t="shared" si="499"/>
        <v>1</v>
      </c>
      <c r="AE69">
        <f t="shared" si="485"/>
        <v>35</v>
      </c>
      <c r="AF69">
        <f>IF(AND(AE69&lt;15,OR(AC69&gt;=30,AA69&gt;0.15,X69&gt;=0.15)),2,VLOOKUP(AE69,Table!P:Q,2,FALSE))</f>
        <v>5</v>
      </c>
      <c r="AG69" s="22">
        <f>IF((AB69*0.98)-(D69*0.8)+((AF69-3)*3)+VLOOKUP(AM69,Table!$A$11:$B$13,2,FALSE)&lt;0,0,(AB69*0.98)-(D69*0.8)+((AF69-3)*3)+VLOOKUP(AM69,Table!$A$11:$B$13,2,FALSE))</f>
        <v>87.856160000000003</v>
      </c>
      <c r="AH69" s="22">
        <f t="shared" si="270"/>
        <v>87</v>
      </c>
      <c r="AI69" s="18">
        <f t="shared" si="234"/>
        <v>0.71</v>
      </c>
      <c r="AJ69" s="18">
        <f t="shared" si="235"/>
        <v>0.51</v>
      </c>
      <c r="AK69" t="str">
        <f t="shared" si="513"/>
        <v>Rising Rates</v>
      </c>
      <c r="AL69">
        <f t="shared" si="144"/>
        <v>34</v>
      </c>
      <c r="AM69" s="11" t="str">
        <f t="shared" si="514"/>
        <v>Stocks</v>
      </c>
      <c r="AN69" t="str">
        <f t="shared" ref="AN69:AN132" si="520">IF(AND(V69&gt;AG69,V69&lt;65),"Sell","Buy")</f>
        <v>Buy</v>
      </c>
      <c r="AO69" s="13">
        <f t="shared" ref="AO69:AO132" si="521">ROUND((B68/B69)-1,4)</f>
        <v>-3.5000000000000001E-3</v>
      </c>
      <c r="AP69" s="13">
        <f t="shared" ref="AP69:AP132" si="522">ROUND((C69*0.01)/52,4)</f>
        <v>2.0000000000000001E-4</v>
      </c>
      <c r="AQ69" s="13">
        <f t="shared" ref="AQ69:AQ132" si="523">ROUND(((AH69*0.01)*AO69)+(((100-AH69)*0.01)*AP69),4)</f>
        <v>-3.0000000000000001E-3</v>
      </c>
      <c r="AR69" s="13">
        <f t="shared" si="515"/>
        <v>-3.5000000000000001E-3</v>
      </c>
      <c r="AS69" s="6">
        <f t="shared" si="506"/>
        <v>597.43290461096979</v>
      </c>
      <c r="AT69" s="6">
        <f t="shared" si="507"/>
        <v>187.18695666224659</v>
      </c>
      <c r="AU69" s="6">
        <f t="shared" si="508"/>
        <v>906.71689778531038</v>
      </c>
      <c r="AV69" s="6">
        <f t="shared" si="509"/>
        <v>1401.195261410144</v>
      </c>
      <c r="AW69" s="58">
        <f t="shared" si="516"/>
        <v>2017</v>
      </c>
      <c r="AX69" s="58">
        <f>COUNTIF(AW$3:AW69,AW69)</f>
        <v>35</v>
      </c>
    </row>
    <row r="70" spans="1:50" x14ac:dyDescent="0.25">
      <c r="A70" s="5">
        <v>42855</v>
      </c>
      <c r="B70">
        <v>2384.1999999999998</v>
      </c>
      <c r="C70">
        <v>0.8</v>
      </c>
      <c r="D70" s="6">
        <v>10.82</v>
      </c>
      <c r="E70" s="18">
        <f t="shared" si="247"/>
        <v>13.8</v>
      </c>
      <c r="F70">
        <f t="shared" si="248"/>
        <v>2</v>
      </c>
      <c r="G70" s="18">
        <f>ROUND(INDEX(Valuation!U:U,MATCH(A70,Valuation!A:A,0)),2)</f>
        <v>69.56</v>
      </c>
      <c r="H70">
        <f t="shared" si="327"/>
        <v>-1</v>
      </c>
      <c r="I70" s="18">
        <f>INDEX(WeeklyIndicators!Y:Y,MATCH(A70,WeeklyIndicators!A:A,0))</f>
        <v>158.72</v>
      </c>
      <c r="J70">
        <f t="shared" si="223"/>
        <v>2</v>
      </c>
      <c r="K70">
        <f>ROUND(INDEX(Economic!AF:AF,MATCH(EOMONTH($A70,-1),Economic!A:A,0)),2)</f>
        <v>134.99</v>
      </c>
      <c r="L70" s="11">
        <f t="shared" si="271"/>
        <v>2</v>
      </c>
      <c r="M70">
        <f>ROUND(INDEX(Manufacturing!P:P,MATCH(EOMONTH($A70,-1),Manufacturing!A:A,0)),2)</f>
        <v>97.54</v>
      </c>
      <c r="N70">
        <f t="shared" si="261"/>
        <v>1</v>
      </c>
      <c r="O70">
        <f>ROUND(INDEX(Housing!AC:AC,MATCH(EOMONTH($A70,-1),Housing!B:B,0)),2)</f>
        <v>157.31</v>
      </c>
      <c r="P70">
        <f t="shared" si="262"/>
        <v>3</v>
      </c>
      <c r="Q70">
        <f>ROUND(INDEX(Spending!AJ:AJ,MATCH(EOMONTH($A70,-1),Spending!B:B,0)),2)</f>
        <v>59.73</v>
      </c>
      <c r="R70">
        <f t="shared" si="272"/>
        <v>1</v>
      </c>
      <c r="S70">
        <f>ROUND(INDEX(Employment!V:V,MATCH(EOMONTH($A70,-1),Employment!A:A,0)),2)</f>
        <v>174.17</v>
      </c>
      <c r="T70" s="11">
        <f t="shared" si="263"/>
        <v>1</v>
      </c>
      <c r="U70">
        <f t="shared" si="510"/>
        <v>31</v>
      </c>
      <c r="V70">
        <f t="shared" si="517"/>
        <v>85.36</v>
      </c>
      <c r="W70" s="13">
        <f t="shared" si="518"/>
        <v>3.5000000000000001E-3</v>
      </c>
      <c r="X70" s="13">
        <f t="shared" si="519"/>
        <v>2.0999999999999999E-3</v>
      </c>
      <c r="Y70">
        <f t="shared" si="511"/>
        <v>82.63</v>
      </c>
      <c r="Z70" s="13">
        <f t="shared" si="503"/>
        <v>-5.0000000000000001E-4</v>
      </c>
      <c r="AA70" s="13">
        <f t="shared" si="463"/>
        <v>-1.38E-2</v>
      </c>
      <c r="AB70" s="6">
        <f t="shared" si="512"/>
        <v>84.025999999999996</v>
      </c>
      <c r="AC70">
        <f t="shared" si="496"/>
        <v>42</v>
      </c>
      <c r="AD70" s="11">
        <f t="shared" si="499"/>
        <v>1</v>
      </c>
      <c r="AE70">
        <f t="shared" si="485"/>
        <v>34</v>
      </c>
      <c r="AF70">
        <f>IF(AND(AE70&lt;15,OR(AC70&gt;=30,AA70&gt;0.15,X70&gt;=0.15)),2,VLOOKUP(AE70,Table!P:Q,2,FALSE))</f>
        <v>5</v>
      </c>
      <c r="AG70" s="22">
        <f>IF((AB70*0.98)-(D70*0.8)+((AF70-3)*3)+VLOOKUP(AM70,Table!$A$11:$B$13,2,FALSE)&lt;0,0,(AB70*0.98)-(D70*0.8)+((AF70-3)*3)+VLOOKUP(AM70,Table!$A$11:$B$13,2,FALSE))</f>
        <v>87.689479999999989</v>
      </c>
      <c r="AH70" s="22">
        <f t="shared" si="270"/>
        <v>85</v>
      </c>
      <c r="AI70" s="18">
        <f t="shared" si="234"/>
        <v>0.68</v>
      </c>
      <c r="AJ70" s="18">
        <f t="shared" si="235"/>
        <v>0.49</v>
      </c>
      <c r="AK70" t="str">
        <f t="shared" si="513"/>
        <v>Rising Rates</v>
      </c>
      <c r="AL70">
        <f t="shared" si="144"/>
        <v>33.5</v>
      </c>
      <c r="AM70" s="11" t="str">
        <f t="shared" si="514"/>
        <v>Stocks</v>
      </c>
      <c r="AN70" t="str">
        <f t="shared" si="520"/>
        <v>Buy</v>
      </c>
      <c r="AO70" s="13">
        <f t="shared" si="521"/>
        <v>6.3E-3</v>
      </c>
      <c r="AP70" s="13">
        <f t="shared" si="522"/>
        <v>2.0000000000000001E-4</v>
      </c>
      <c r="AQ70" s="13">
        <f t="shared" si="523"/>
        <v>5.4000000000000003E-3</v>
      </c>
      <c r="AR70" s="13">
        <f t="shared" si="515"/>
        <v>6.3E-3</v>
      </c>
      <c r="AS70" s="6">
        <f t="shared" si="506"/>
        <v>593.69264097284088</v>
      </c>
      <c r="AT70" s="6">
        <f t="shared" si="507"/>
        <v>187.1495267568952</v>
      </c>
      <c r="AU70" s="6">
        <f t="shared" si="508"/>
        <v>901.84692439358491</v>
      </c>
      <c r="AV70" s="6">
        <f t="shared" si="509"/>
        <v>1392.4229965319926</v>
      </c>
      <c r="AW70" s="58">
        <f t="shared" si="516"/>
        <v>2017</v>
      </c>
      <c r="AX70" s="58">
        <f>COUNTIF(AW$3:AW70,AW70)</f>
        <v>36</v>
      </c>
    </row>
    <row r="71" spans="1:50" x14ac:dyDescent="0.25">
      <c r="A71" s="5">
        <v>42848</v>
      </c>
      <c r="B71">
        <v>2348.69</v>
      </c>
      <c r="C71">
        <v>0.8</v>
      </c>
      <c r="D71" s="6">
        <v>14.63</v>
      </c>
      <c r="E71" s="18">
        <f t="shared" si="247"/>
        <v>14.49</v>
      </c>
      <c r="F71">
        <f t="shared" si="248"/>
        <v>1</v>
      </c>
      <c r="G71" s="18">
        <f>ROUND(INDEX(Valuation!U:U,MATCH(A71,Valuation!A:A,0)),2)</f>
        <v>71.400000000000006</v>
      </c>
      <c r="H71">
        <f t="shared" si="327"/>
        <v>-1</v>
      </c>
      <c r="I71" s="18">
        <f>INDEX(WeeklyIndicators!Y:Y,MATCH(A71,WeeklyIndicators!A:A,0))</f>
        <v>155.91999999999999</v>
      </c>
      <c r="J71">
        <f t="shared" si="223"/>
        <v>2</v>
      </c>
      <c r="K71">
        <f>ROUND(INDEX(Economic!AF:AF,MATCH(EOMONTH($A71,-1),Economic!A:A,0)),2)</f>
        <v>134.99</v>
      </c>
      <c r="L71" s="11">
        <f t="shared" si="271"/>
        <v>2</v>
      </c>
      <c r="M71">
        <f>ROUND(INDEX(Manufacturing!P:P,MATCH(EOMONTH($A71,-1),Manufacturing!A:A,0)),2)</f>
        <v>97.54</v>
      </c>
      <c r="N71">
        <f t="shared" si="261"/>
        <v>1</v>
      </c>
      <c r="O71">
        <f>ROUND(INDEX(Housing!AC:AC,MATCH(EOMONTH($A71,-1),Housing!B:B,0)),2)</f>
        <v>157.31</v>
      </c>
      <c r="P71">
        <f t="shared" si="262"/>
        <v>3</v>
      </c>
      <c r="Q71">
        <f>ROUND(INDEX(Spending!AJ:AJ,MATCH(EOMONTH($A71,-1),Spending!B:B,0)),2)</f>
        <v>59.73</v>
      </c>
      <c r="R71">
        <f t="shared" si="272"/>
        <v>1</v>
      </c>
      <c r="S71">
        <f>ROUND(INDEX(Employment!V:V,MATCH(EOMONTH($A71,-1),Employment!A:A,0)),2)</f>
        <v>174.17</v>
      </c>
      <c r="T71" s="11">
        <f t="shared" si="263"/>
        <v>1</v>
      </c>
      <c r="U71">
        <f t="shared" si="510"/>
        <v>30</v>
      </c>
      <c r="V71">
        <f t="shared" si="517"/>
        <v>85.07</v>
      </c>
      <c r="W71" s="13">
        <f t="shared" si="518"/>
        <v>1.5E-3</v>
      </c>
      <c r="X71" s="13">
        <f t="shared" si="519"/>
        <v>-3.0999999999999995E-3</v>
      </c>
      <c r="Y71">
        <f t="shared" si="511"/>
        <v>82.3</v>
      </c>
      <c r="Z71" s="13">
        <f t="shared" si="503"/>
        <v>-3.8999999999999998E-3</v>
      </c>
      <c r="AA71" s="13">
        <f t="shared" si="463"/>
        <v>-1.7000000000000001E-2</v>
      </c>
      <c r="AB71" s="6">
        <f t="shared" si="512"/>
        <v>83.61</v>
      </c>
      <c r="AC71">
        <f t="shared" si="496"/>
        <v>42</v>
      </c>
      <c r="AD71" s="11">
        <f t="shared" si="499"/>
        <v>1</v>
      </c>
      <c r="AE71">
        <f t="shared" si="485"/>
        <v>33</v>
      </c>
      <c r="AF71">
        <f>IF(AND(AE71&lt;15,OR(AC71&gt;=30,AA71&gt;0.15,X71&gt;=0.15)),2,VLOOKUP(AE71,Table!P:Q,2,FALSE))</f>
        <v>5</v>
      </c>
      <c r="AG71" s="22">
        <f>IF((AB71*0.98)-(D71*0.8)+((AF71-3)*3)+VLOOKUP(AM71,Table!$A$11:$B$13,2,FALSE)&lt;0,0,(AB71*0.98)-(D71*0.8)+((AF71-3)*3)+VLOOKUP(AM71,Table!$A$11:$B$13,2,FALSE))</f>
        <v>84.233800000000002</v>
      </c>
      <c r="AH71" s="22">
        <f t="shared" si="270"/>
        <v>85</v>
      </c>
      <c r="AI71" s="18">
        <f t="shared" si="234"/>
        <v>0.66</v>
      </c>
      <c r="AJ71" s="18">
        <f t="shared" si="235"/>
        <v>0.48</v>
      </c>
      <c r="AK71" t="str">
        <f t="shared" si="513"/>
        <v>Rising Rates</v>
      </c>
      <c r="AL71">
        <f t="shared" si="144"/>
        <v>33.5</v>
      </c>
      <c r="AM71" s="11" t="str">
        <f t="shared" si="514"/>
        <v>Stocks</v>
      </c>
      <c r="AN71" t="str">
        <f t="shared" si="520"/>
        <v>Buy</v>
      </c>
      <c r="AO71" s="13">
        <f t="shared" si="521"/>
        <v>1.5100000000000001E-2</v>
      </c>
      <c r="AP71" s="13">
        <f t="shared" si="522"/>
        <v>2.0000000000000001E-4</v>
      </c>
      <c r="AQ71" s="13">
        <f t="shared" si="523"/>
        <v>1.29E-2</v>
      </c>
      <c r="AR71" s="13">
        <f t="shared" si="515"/>
        <v>1.5100000000000001E-2</v>
      </c>
      <c r="AS71" s="6">
        <f t="shared" si="506"/>
        <v>584.8612363046409</v>
      </c>
      <c r="AT71" s="6">
        <f t="shared" si="507"/>
        <v>187.11210433602801</v>
      </c>
      <c r="AU71" s="6">
        <f t="shared" si="508"/>
        <v>890.36126408686448</v>
      </c>
      <c r="AV71" s="6">
        <f t="shared" si="509"/>
        <v>1371.7101729208873</v>
      </c>
      <c r="AW71" s="58">
        <f t="shared" si="516"/>
        <v>2017</v>
      </c>
      <c r="AX71" s="58">
        <f>COUNTIF(AW$3:AW71,AW71)</f>
        <v>37</v>
      </c>
    </row>
    <row r="72" spans="1:50" x14ac:dyDescent="0.25">
      <c r="A72" s="5">
        <v>42841</v>
      </c>
      <c r="B72">
        <v>2328.9499999999998</v>
      </c>
      <c r="C72">
        <v>0.81</v>
      </c>
      <c r="D72" s="6">
        <v>15.96</v>
      </c>
      <c r="E72" s="18">
        <f t="shared" si="247"/>
        <v>13.73</v>
      </c>
      <c r="F72">
        <f t="shared" si="248"/>
        <v>2</v>
      </c>
      <c r="G72" s="18">
        <f>ROUND(INDEX(Valuation!U:U,MATCH(A72,Valuation!A:A,0)),2)</f>
        <v>73.459999999999994</v>
      </c>
      <c r="H72">
        <f t="shared" si="327"/>
        <v>-1</v>
      </c>
      <c r="I72" s="18">
        <f>INDEX(WeeklyIndicators!Y:Y,MATCH(A72,WeeklyIndicators!A:A,0))</f>
        <v>152.11000000000001</v>
      </c>
      <c r="J72">
        <f t="shared" si="223"/>
        <v>2</v>
      </c>
      <c r="K72">
        <f>ROUND(INDEX(Economic!AF:AF,MATCH(EOMONTH($A72,-1),Economic!A:A,0)),2)</f>
        <v>134.99</v>
      </c>
      <c r="L72" s="11">
        <f t="shared" si="271"/>
        <v>2</v>
      </c>
      <c r="M72">
        <f>ROUND(INDEX(Manufacturing!P:P,MATCH(EOMONTH($A72,-1),Manufacturing!A:A,0)),2)</f>
        <v>97.54</v>
      </c>
      <c r="N72">
        <f t="shared" si="261"/>
        <v>1</v>
      </c>
      <c r="O72">
        <f>ROUND(INDEX(Housing!AC:AC,MATCH(EOMONTH($A72,-1),Housing!B:B,0)),2)</f>
        <v>157.31</v>
      </c>
      <c r="P72">
        <f t="shared" si="262"/>
        <v>3</v>
      </c>
      <c r="Q72">
        <f>ROUND(INDEX(Spending!AJ:AJ,MATCH(EOMONTH($A72,-1),Spending!B:B,0)),2)</f>
        <v>59.73</v>
      </c>
      <c r="R72">
        <f t="shared" si="272"/>
        <v>1</v>
      </c>
      <c r="S72">
        <f>ROUND(INDEX(Employment!V:V,MATCH(EOMONTH($A72,-1),Employment!A:A,0)),2)</f>
        <v>174.17</v>
      </c>
      <c r="T72" s="11">
        <f t="shared" si="263"/>
        <v>1</v>
      </c>
      <c r="U72">
        <f t="shared" si="510"/>
        <v>31</v>
      </c>
      <c r="V72">
        <f t="shared" si="517"/>
        <v>84.68</v>
      </c>
      <c r="W72" s="13">
        <f t="shared" si="518"/>
        <v>-8.0000000000000004E-4</v>
      </c>
      <c r="X72" s="13">
        <f t="shared" si="519"/>
        <v>-6.6E-3</v>
      </c>
      <c r="Y72">
        <f t="shared" si="511"/>
        <v>82.4</v>
      </c>
      <c r="Z72" s="13">
        <f t="shared" si="503"/>
        <v>-4.8999999999999998E-3</v>
      </c>
      <c r="AA72" s="13">
        <f t="shared" si="463"/>
        <v>-1.72E-2</v>
      </c>
      <c r="AB72" s="6">
        <f t="shared" si="512"/>
        <v>83.846000000000004</v>
      </c>
      <c r="AC72">
        <f t="shared" si="496"/>
        <v>42</v>
      </c>
      <c r="AD72" s="11">
        <f t="shared" si="499"/>
        <v>1</v>
      </c>
      <c r="AE72">
        <f t="shared" si="485"/>
        <v>34</v>
      </c>
      <c r="AF72">
        <f>IF(AND(AE72&lt;15,OR(AC72&gt;=30,AA72&gt;0.15,X72&gt;=0.15)),2,VLOOKUP(AE72,Table!P:Q,2,FALSE))</f>
        <v>5</v>
      </c>
      <c r="AG72" s="22">
        <f>IF((AB72*0.98)-(D72*0.8)+((AF72-3)*3)+VLOOKUP(AM72,Table!$A$11:$B$13,2,FALSE)&lt;0,0,(AB72*0.98)-(D72*0.8)+((AF72-3)*3)+VLOOKUP(AM72,Table!$A$11:$B$13,2,FALSE))</f>
        <v>83.401080000000007</v>
      </c>
      <c r="AH72" s="22">
        <f t="shared" si="270"/>
        <v>86</v>
      </c>
      <c r="AI72" s="18">
        <f t="shared" si="234"/>
        <v>0.64</v>
      </c>
      <c r="AJ72" s="18">
        <f t="shared" si="235"/>
        <v>0.47</v>
      </c>
      <c r="AK72" t="str">
        <f t="shared" si="513"/>
        <v>Rising Rates</v>
      </c>
      <c r="AL72">
        <f t="shared" si="144"/>
        <v>34.25</v>
      </c>
      <c r="AM72" s="11" t="str">
        <f t="shared" si="514"/>
        <v>Stocks</v>
      </c>
      <c r="AN72" t="str">
        <f t="shared" si="520"/>
        <v>Buy</v>
      </c>
      <c r="AO72" s="13">
        <f t="shared" si="521"/>
        <v>8.5000000000000006E-3</v>
      </c>
      <c r="AP72" s="13">
        <f t="shared" si="522"/>
        <v>2.0000000000000001E-4</v>
      </c>
      <c r="AQ72" s="13">
        <f t="shared" si="523"/>
        <v>7.3000000000000001E-3</v>
      </c>
      <c r="AR72" s="13">
        <f t="shared" si="515"/>
        <v>8.5000000000000006E-3</v>
      </c>
      <c r="AS72" s="6">
        <f t="shared" si="506"/>
        <v>579.93181586974811</v>
      </c>
      <c r="AT72" s="6">
        <f t="shared" si="507"/>
        <v>187.07468939814839</v>
      </c>
      <c r="AU72" s="6">
        <f t="shared" si="508"/>
        <v>883.9087303552709</v>
      </c>
      <c r="AV72" s="6">
        <f t="shared" si="509"/>
        <v>1360.1489072096058</v>
      </c>
      <c r="AW72" s="58">
        <f t="shared" si="516"/>
        <v>2017</v>
      </c>
      <c r="AX72" s="58">
        <f>COUNTIF(AW$3:AW72,AW72)</f>
        <v>38</v>
      </c>
    </row>
    <row r="73" spans="1:50" x14ac:dyDescent="0.25">
      <c r="A73" s="5">
        <v>42834</v>
      </c>
      <c r="B73">
        <v>2355.54</v>
      </c>
      <c r="C73">
        <v>0.79</v>
      </c>
      <c r="D73" s="6">
        <v>12.87</v>
      </c>
      <c r="E73" s="18">
        <f t="shared" si="247"/>
        <v>12.73</v>
      </c>
      <c r="F73">
        <f t="shared" si="248"/>
        <v>2</v>
      </c>
      <c r="G73" s="18">
        <f>ROUND(INDEX(Valuation!U:U,MATCH(A73,Valuation!A:A,0)),2)</f>
        <v>75.42</v>
      </c>
      <c r="H73">
        <f t="shared" si="327"/>
        <v>-1</v>
      </c>
      <c r="I73" s="18">
        <f>INDEX(WeeklyIndicators!Y:Y,MATCH(A73,WeeklyIndicators!A:A,0))</f>
        <v>150.02000000000001</v>
      </c>
      <c r="J73">
        <f t="shared" si="223"/>
        <v>1</v>
      </c>
      <c r="K73">
        <f>ROUND(INDEX(Economic!AF:AF,MATCH(EOMONTH($A73,-1),Economic!A:A,0)),2)</f>
        <v>134.99</v>
      </c>
      <c r="L73" s="11">
        <f t="shared" si="271"/>
        <v>2</v>
      </c>
      <c r="M73">
        <f>ROUND(INDEX(Manufacturing!P:P,MATCH(EOMONTH($A73,-1),Manufacturing!A:A,0)),2)</f>
        <v>97.54</v>
      </c>
      <c r="N73">
        <f t="shared" si="261"/>
        <v>1</v>
      </c>
      <c r="O73">
        <f>ROUND(INDEX(Housing!AC:AC,MATCH(EOMONTH($A73,-1),Housing!B:B,0)),2)</f>
        <v>157.31</v>
      </c>
      <c r="P73">
        <f t="shared" si="262"/>
        <v>3</v>
      </c>
      <c r="Q73">
        <f>ROUND(INDEX(Spending!AJ:AJ,MATCH(EOMONTH($A73,-1),Spending!B:B,0)),2)</f>
        <v>59.73</v>
      </c>
      <c r="R73">
        <f t="shared" si="272"/>
        <v>1</v>
      </c>
      <c r="S73">
        <f>ROUND(INDEX(Employment!V:V,MATCH(EOMONTH($A73,-1),Employment!A:A,0)),2)</f>
        <v>174.17</v>
      </c>
      <c r="T73" s="11">
        <f t="shared" si="263"/>
        <v>1</v>
      </c>
      <c r="U73">
        <f t="shared" si="510"/>
        <v>30</v>
      </c>
      <c r="V73">
        <f t="shared" si="517"/>
        <v>84.46</v>
      </c>
      <c r="W73" s="13">
        <f t="shared" si="518"/>
        <v>-2.0999999999999999E-3</v>
      </c>
      <c r="X73" s="13">
        <f t="shared" si="519"/>
        <v>-4.7999999999999996E-3</v>
      </c>
      <c r="Y73">
        <f t="shared" si="511"/>
        <v>82.75</v>
      </c>
      <c r="Z73" s="13">
        <f t="shared" si="503"/>
        <v>-4.4999999999999997E-3</v>
      </c>
      <c r="AA73" s="13">
        <f t="shared" si="463"/>
        <v>-1.4599999999999998E-2</v>
      </c>
      <c r="AB73" s="6">
        <f t="shared" si="512"/>
        <v>84.582000000000008</v>
      </c>
      <c r="AC73">
        <f t="shared" si="496"/>
        <v>42</v>
      </c>
      <c r="AD73" s="11">
        <f t="shared" si="499"/>
        <v>1</v>
      </c>
      <c r="AE73">
        <f t="shared" si="485"/>
        <v>33</v>
      </c>
      <c r="AF73">
        <f>IF(AND(AE73&lt;15,OR(AC73&gt;=30,AA73&gt;0.15,X73&gt;=0.15)),2,VLOOKUP(AE73,Table!P:Q,2,FALSE))</f>
        <v>5</v>
      </c>
      <c r="AG73" s="22">
        <f>IF((AB73*0.98)-(D73*0.8)+((AF73-3)*3)+VLOOKUP(AM73,Table!$A$11:$B$13,2,FALSE)&lt;0,0,(AB73*0.98)-(D73*0.8)+((AF73-3)*3)+VLOOKUP(AM73,Table!$A$11:$B$13,2,FALSE))</f>
        <v>86.594359999999995</v>
      </c>
      <c r="AH73" s="22">
        <f t="shared" si="270"/>
        <v>87</v>
      </c>
      <c r="AI73" s="18">
        <f t="shared" si="234"/>
        <v>0.62</v>
      </c>
      <c r="AJ73" s="18">
        <f t="shared" si="235"/>
        <v>0.45</v>
      </c>
      <c r="AK73" t="str">
        <f t="shared" si="513"/>
        <v>Rising Rates</v>
      </c>
      <c r="AL73">
        <f t="shared" ref="AL73:AL136" si="524">ROUND(AVERAGE(AE73:AE76),2)</f>
        <v>34.75</v>
      </c>
      <c r="AM73" s="11" t="str">
        <f t="shared" si="514"/>
        <v>Stocks</v>
      </c>
      <c r="AN73" t="str">
        <f t="shared" si="520"/>
        <v>Buy</v>
      </c>
      <c r="AO73" s="13">
        <f t="shared" si="521"/>
        <v>-1.1299999999999999E-2</v>
      </c>
      <c r="AP73" s="13">
        <f t="shared" si="522"/>
        <v>2.0000000000000001E-4</v>
      </c>
      <c r="AQ73" s="13">
        <f t="shared" si="523"/>
        <v>-9.7999999999999997E-3</v>
      </c>
      <c r="AR73" s="13">
        <f t="shared" si="515"/>
        <v>-1.1299999999999999E-2</v>
      </c>
      <c r="AS73" s="6">
        <f t="shared" si="506"/>
        <v>586.5599432282271</v>
      </c>
      <c r="AT73" s="6">
        <f t="shared" si="507"/>
        <v>187.03728194176006</v>
      </c>
      <c r="AU73" s="6">
        <f t="shared" si="508"/>
        <v>892.65676666862339</v>
      </c>
      <c r="AV73" s="6">
        <f t="shared" si="509"/>
        <v>1375.6942522601455</v>
      </c>
      <c r="AW73" s="58">
        <f t="shared" si="516"/>
        <v>2017</v>
      </c>
      <c r="AX73" s="58">
        <f>COUNTIF(AW$3:AW73,AW73)</f>
        <v>39</v>
      </c>
    </row>
    <row r="74" spans="1:50" x14ac:dyDescent="0.25">
      <c r="A74" s="5">
        <v>42827</v>
      </c>
      <c r="B74">
        <v>2362.7199999999998</v>
      </c>
      <c r="C74">
        <v>0.77</v>
      </c>
      <c r="D74" s="6">
        <v>12.37</v>
      </c>
      <c r="E74" s="18">
        <f t="shared" si="247"/>
        <v>12.2</v>
      </c>
      <c r="F74">
        <f t="shared" si="248"/>
        <v>2</v>
      </c>
      <c r="G74" s="18">
        <f>ROUND(INDEX(Valuation!U:U,MATCH(A74,Valuation!A:A,0)),2)</f>
        <v>76.209999999999994</v>
      </c>
      <c r="H74">
        <f t="shared" si="327"/>
        <v>-1</v>
      </c>
      <c r="I74" s="18">
        <f>INDEX(WeeklyIndicators!Y:Y,MATCH(A74,WeeklyIndicators!A:A,0))</f>
        <v>152.38</v>
      </c>
      <c r="J74">
        <f t="shared" si="223"/>
        <v>2</v>
      </c>
      <c r="K74">
        <f>ROUND(INDEX(Economic!AF:AF,MATCH(EOMONTH($A74,-1),Economic!A:A,0)),2)</f>
        <v>134.99</v>
      </c>
      <c r="L74" s="11">
        <f t="shared" si="271"/>
        <v>2</v>
      </c>
      <c r="M74">
        <f>ROUND(INDEX(Manufacturing!P:P,MATCH(EOMONTH($A74,-1),Manufacturing!A:A,0)),2)</f>
        <v>97.54</v>
      </c>
      <c r="N74">
        <f t="shared" si="261"/>
        <v>1</v>
      </c>
      <c r="O74">
        <f>ROUND(INDEX(Housing!AC:AC,MATCH(EOMONTH($A74,-1),Housing!B:B,0)),2)</f>
        <v>157.31</v>
      </c>
      <c r="P74">
        <f t="shared" si="262"/>
        <v>3</v>
      </c>
      <c r="Q74">
        <f>ROUND(INDEX(Spending!AJ:AJ,MATCH(EOMONTH($A74,-1),Spending!B:B,0)),2)</f>
        <v>59.73</v>
      </c>
      <c r="R74">
        <f t="shared" si="272"/>
        <v>1</v>
      </c>
      <c r="S74">
        <f>ROUND(INDEX(Employment!V:V,MATCH(EOMONTH($A74,-1),Employment!A:A,0)),2)</f>
        <v>174.17</v>
      </c>
      <c r="T74" s="11">
        <f t="shared" si="263"/>
        <v>1</v>
      </c>
      <c r="U74">
        <f t="shared" ref="U74:U137" si="525">F74+H74+J74+L74+N74+P74+R74+T74+20</f>
        <v>31</v>
      </c>
      <c r="V74">
        <f t="shared" si="517"/>
        <v>84.7</v>
      </c>
      <c r="W74" s="13">
        <f t="shared" si="518"/>
        <v>-1.6999999999999999E-3</v>
      </c>
      <c r="X74" s="13">
        <f t="shared" si="519"/>
        <v>-4.2000000000000006E-3</v>
      </c>
      <c r="Y74">
        <f t="shared" si="511"/>
        <v>83.27</v>
      </c>
      <c r="Z74" s="13">
        <f t="shared" si="503"/>
        <v>-3.7000000000000002E-3</v>
      </c>
      <c r="AA74" s="13">
        <f t="shared" si="463"/>
        <v>-1.6E-2</v>
      </c>
      <c r="AB74" s="6">
        <f t="shared" si="512"/>
        <v>85.100999999999999</v>
      </c>
      <c r="AC74">
        <f t="shared" si="496"/>
        <v>43</v>
      </c>
      <c r="AD74" s="11">
        <f t="shared" si="499"/>
        <v>1</v>
      </c>
      <c r="AE74">
        <f t="shared" si="485"/>
        <v>34</v>
      </c>
      <c r="AF74">
        <f>IF(AND(AE74&lt;15,OR(AC74&gt;=30,AA74&gt;0.15,X74&gt;=0.15)),2,VLOOKUP(AE74,Table!P:Q,2,FALSE))</f>
        <v>5</v>
      </c>
      <c r="AG74" s="22">
        <f>IF((AB74*0.98)-(D74*0.8)+((AF74-3)*3)+VLOOKUP(AM74,Table!$A$11:$B$13,2,FALSE)&lt;0,0,(AB74*0.98)-(D74*0.8)+((AF74-3)*3)+VLOOKUP(AM74,Table!$A$11:$B$13,2,FALSE))</f>
        <v>87.502979999999994</v>
      </c>
      <c r="AH74" s="22">
        <f t="shared" si="270"/>
        <v>88</v>
      </c>
      <c r="AI74" s="18">
        <f t="shared" si="234"/>
        <v>0.6</v>
      </c>
      <c r="AJ74" s="18">
        <f t="shared" si="235"/>
        <v>0.44</v>
      </c>
      <c r="AK74" t="str">
        <f t="shared" si="513"/>
        <v>Rising Rates</v>
      </c>
      <c r="AL74">
        <f t="shared" si="524"/>
        <v>35.5</v>
      </c>
      <c r="AM74" s="11" t="str">
        <f t="shared" si="514"/>
        <v>Stocks</v>
      </c>
      <c r="AN74" t="str">
        <f t="shared" si="520"/>
        <v>Buy</v>
      </c>
      <c r="AO74" s="13">
        <f t="shared" si="521"/>
        <v>-3.0000000000000001E-3</v>
      </c>
      <c r="AP74" s="13">
        <f t="shared" si="522"/>
        <v>1E-4</v>
      </c>
      <c r="AQ74" s="13">
        <f t="shared" si="523"/>
        <v>-2.5999999999999999E-3</v>
      </c>
      <c r="AR74" s="13">
        <f t="shared" si="515"/>
        <v>-3.0000000000000001E-3</v>
      </c>
      <c r="AS74" s="6">
        <f t="shared" si="506"/>
        <v>588.32491798217359</v>
      </c>
      <c r="AT74" s="6">
        <f t="shared" si="507"/>
        <v>187.01858008375169</v>
      </c>
      <c r="AU74" s="6">
        <f t="shared" si="508"/>
        <v>894.98372435193846</v>
      </c>
      <c r="AV74" s="6">
        <f t="shared" si="509"/>
        <v>1379.8337535207077</v>
      </c>
      <c r="AW74" s="58">
        <f t="shared" si="516"/>
        <v>2017</v>
      </c>
      <c r="AX74" s="58">
        <f>COUNTIF(AW$3:AW74,AW74)</f>
        <v>40</v>
      </c>
    </row>
    <row r="75" spans="1:50" x14ac:dyDescent="0.25">
      <c r="A75" s="5">
        <v>42820</v>
      </c>
      <c r="B75">
        <v>2343.98</v>
      </c>
      <c r="C75">
        <v>0.76</v>
      </c>
      <c r="D75" s="6">
        <v>12.96</v>
      </c>
      <c r="E75" s="18">
        <f t="shared" si="247"/>
        <v>11.94</v>
      </c>
      <c r="F75">
        <f t="shared" si="248"/>
        <v>2</v>
      </c>
      <c r="G75" s="18">
        <f>ROUND(INDEX(Valuation!U:U,MATCH(A75,Valuation!A:A,0)),2)</f>
        <v>76.849999999999994</v>
      </c>
      <c r="H75">
        <f t="shared" si="327"/>
        <v>-1</v>
      </c>
      <c r="I75" s="18">
        <f>INDEX(WeeklyIndicators!Y:Y,MATCH(A75,WeeklyIndicators!A:A,0))</f>
        <v>155.41999999999999</v>
      </c>
      <c r="J75">
        <f t="shared" si="223"/>
        <v>2</v>
      </c>
      <c r="K75">
        <f>ROUND(INDEX(Economic!AF:AF,MATCH(EOMONTH($A75,-1),Economic!A:A,0)),2)</f>
        <v>131.9</v>
      </c>
      <c r="L75" s="11">
        <f t="shared" si="271"/>
        <v>2</v>
      </c>
      <c r="M75">
        <f>ROUND(INDEX(Manufacturing!P:P,MATCH(EOMONTH($A75,-1),Manufacturing!A:A,0)),2)</f>
        <v>97.89</v>
      </c>
      <c r="N75">
        <f t="shared" si="261"/>
        <v>1</v>
      </c>
      <c r="O75">
        <f>ROUND(INDEX(Housing!AC:AC,MATCH(EOMONTH($A75,-1),Housing!B:B,0)),2)</f>
        <v>157.38999999999999</v>
      </c>
      <c r="P75">
        <f t="shared" si="262"/>
        <v>3</v>
      </c>
      <c r="Q75">
        <f>ROUND(INDEX(Spending!AJ:AJ,MATCH(EOMONTH($A75,-1),Spending!B:B,0)),2)</f>
        <v>60.71</v>
      </c>
      <c r="R75">
        <f t="shared" si="272"/>
        <v>2</v>
      </c>
      <c r="S75">
        <f>ROUND(INDEX(Employment!V:V,MATCH(EOMONTH($A75,-1),Employment!A:A,0)),2)</f>
        <v>176.14</v>
      </c>
      <c r="T75" s="11">
        <f t="shared" si="263"/>
        <v>2</v>
      </c>
      <c r="U75">
        <f t="shared" si="525"/>
        <v>33</v>
      </c>
      <c r="V75">
        <f t="shared" si="517"/>
        <v>84.89</v>
      </c>
      <c r="W75" s="13">
        <f t="shared" si="518"/>
        <v>-2E-3</v>
      </c>
      <c r="X75" s="13">
        <f t="shared" si="519"/>
        <v>-5.4999999999999997E-3</v>
      </c>
      <c r="Y75">
        <f t="shared" si="511"/>
        <v>83.62</v>
      </c>
      <c r="Z75" s="13">
        <f t="shared" si="503"/>
        <v>-4.1000000000000003E-3</v>
      </c>
      <c r="AA75" s="13">
        <f t="shared" si="463"/>
        <v>-0.02</v>
      </c>
      <c r="AB75" s="6">
        <f t="shared" si="512"/>
        <v>85.234999999999999</v>
      </c>
      <c r="AC75">
        <f t="shared" si="496"/>
        <v>43</v>
      </c>
      <c r="AD75" s="11">
        <f t="shared" si="499"/>
        <v>1</v>
      </c>
      <c r="AE75">
        <f t="shared" si="485"/>
        <v>36</v>
      </c>
      <c r="AF75">
        <f>IF(AND(AE75&lt;15,OR(AC75&gt;=30,AA75&gt;0.15,X75&gt;=0.15)),2,VLOOKUP(AE75,Table!P:Q,2,FALSE))</f>
        <v>5</v>
      </c>
      <c r="AG75" s="22">
        <f>IF((AB75*0.98)-(D75*0.8)+((AF75-3)*3)+VLOOKUP(AM75,Table!$A$11:$B$13,2,FALSE)&lt;0,0,(AB75*0.98)-(D75*0.8)+((AF75-3)*3)+VLOOKUP(AM75,Table!$A$11:$B$13,2,FALSE))</f>
        <v>87.162299999999988</v>
      </c>
      <c r="AH75" s="22">
        <f t="shared" si="270"/>
        <v>88</v>
      </c>
      <c r="AI75" s="18">
        <f t="shared" si="234"/>
        <v>0.56999999999999995</v>
      </c>
      <c r="AJ75" s="18">
        <f t="shared" si="235"/>
        <v>0.43</v>
      </c>
      <c r="AK75" t="str">
        <f t="shared" si="513"/>
        <v>Rising Rates</v>
      </c>
      <c r="AL75">
        <f t="shared" si="524"/>
        <v>36</v>
      </c>
      <c r="AM75" s="11" t="str">
        <f t="shared" si="514"/>
        <v>Stocks</v>
      </c>
      <c r="AN75" t="str">
        <f t="shared" si="520"/>
        <v>Buy</v>
      </c>
      <c r="AO75" s="13">
        <f t="shared" si="521"/>
        <v>8.0000000000000002E-3</v>
      </c>
      <c r="AP75" s="13">
        <f t="shared" si="522"/>
        <v>1E-4</v>
      </c>
      <c r="AQ75" s="13">
        <f t="shared" si="523"/>
        <v>7.1000000000000004E-3</v>
      </c>
      <c r="AR75" s="13">
        <f t="shared" si="515"/>
        <v>8.0000000000000002E-3</v>
      </c>
      <c r="AS75" s="6">
        <f t="shared" si="506"/>
        <v>583.65567260136265</v>
      </c>
      <c r="AT75" s="6">
        <f t="shared" si="507"/>
        <v>186.99988009574213</v>
      </c>
      <c r="AU75" s="6">
        <f t="shared" si="508"/>
        <v>888.67413797233485</v>
      </c>
      <c r="AV75" s="6">
        <f t="shared" si="509"/>
        <v>1368.8826919848291</v>
      </c>
      <c r="AW75" s="58">
        <f t="shared" si="516"/>
        <v>2017</v>
      </c>
      <c r="AX75" s="58">
        <f>COUNTIF(AW$3:AW75,AW75)</f>
        <v>41</v>
      </c>
    </row>
    <row r="76" spans="1:50" x14ac:dyDescent="0.25">
      <c r="A76" s="5">
        <v>42813</v>
      </c>
      <c r="B76">
        <v>2378.25</v>
      </c>
      <c r="C76">
        <v>0.74</v>
      </c>
      <c r="D76" s="6">
        <v>11.28</v>
      </c>
      <c r="E76" s="18">
        <f t="shared" si="247"/>
        <v>11.56</v>
      </c>
      <c r="F76">
        <f t="shared" si="248"/>
        <v>2</v>
      </c>
      <c r="G76" s="18">
        <f>ROUND(INDEX(Valuation!U:U,MATCH(A76,Valuation!A:A,0)),2)</f>
        <v>77.010000000000005</v>
      </c>
      <c r="H76">
        <f t="shared" si="327"/>
        <v>-1</v>
      </c>
      <c r="I76" s="18">
        <f>INDEX(WeeklyIndicators!Y:Y,MATCH(A76,WeeklyIndicators!A:A,0))</f>
        <v>156.41</v>
      </c>
      <c r="J76">
        <f t="shared" si="223"/>
        <v>2</v>
      </c>
      <c r="K76">
        <f>ROUND(INDEX(Economic!AF:AF,MATCH(EOMONTH($A76,-1),Economic!A:A,0)),2)</f>
        <v>131.9</v>
      </c>
      <c r="L76" s="11">
        <f t="shared" si="271"/>
        <v>2</v>
      </c>
      <c r="M76">
        <f>ROUND(INDEX(Manufacturing!P:P,MATCH(EOMONTH($A76,-1),Manufacturing!A:A,0)),2)</f>
        <v>97.89</v>
      </c>
      <c r="N76">
        <f t="shared" si="261"/>
        <v>1</v>
      </c>
      <c r="O76">
        <f>ROUND(INDEX(Housing!AC:AC,MATCH(EOMONTH($A76,-1),Housing!B:B,0)),2)</f>
        <v>157.38999999999999</v>
      </c>
      <c r="P76">
        <f t="shared" si="262"/>
        <v>3</v>
      </c>
      <c r="Q76">
        <f>ROUND(INDEX(Spending!AJ:AJ,MATCH(EOMONTH($A76,-1),Spending!B:B,0)),2)</f>
        <v>60.71</v>
      </c>
      <c r="R76">
        <f t="shared" si="272"/>
        <v>2</v>
      </c>
      <c r="S76">
        <f>ROUND(INDEX(Employment!V:V,MATCH(EOMONTH($A76,-1),Employment!A:A,0)),2)</f>
        <v>176.14</v>
      </c>
      <c r="T76" s="11">
        <f t="shared" si="263"/>
        <v>2</v>
      </c>
      <c r="U76">
        <f t="shared" si="525"/>
        <v>33</v>
      </c>
      <c r="V76">
        <f t="shared" si="517"/>
        <v>84.99</v>
      </c>
      <c r="W76" s="13">
        <f t="shared" si="518"/>
        <v>1E-3</v>
      </c>
      <c r="X76" s="13">
        <f t="shared" si="519"/>
        <v>-9.6000000000000009E-3</v>
      </c>
      <c r="Y76">
        <f t="shared" si="511"/>
        <v>83.87</v>
      </c>
      <c r="Z76" s="13">
        <f t="shared" si="503"/>
        <v>-2.3E-3</v>
      </c>
      <c r="AA76" s="13">
        <f t="shared" si="463"/>
        <v>-2.5299999999999996E-2</v>
      </c>
      <c r="AB76" s="6">
        <f t="shared" si="512"/>
        <v>85.11099999999999</v>
      </c>
      <c r="AC76">
        <f t="shared" si="496"/>
        <v>43</v>
      </c>
      <c r="AD76" s="11">
        <f t="shared" si="499"/>
        <v>1</v>
      </c>
      <c r="AE76">
        <f t="shared" si="485"/>
        <v>36</v>
      </c>
      <c r="AF76">
        <f>IF(AND(AE76&lt;15,OR(AC76&gt;=30,AA76&gt;0.15,X76&gt;=0.15)),2,VLOOKUP(AE76,Table!P:Q,2,FALSE))</f>
        <v>5</v>
      </c>
      <c r="AG76" s="22">
        <f>IF((AB76*0.98)-(D76*0.8)+((AF76-3)*3)+VLOOKUP(AM76,Table!$A$11:$B$13,2,FALSE)&lt;0,0,(AB76*0.98)-(D76*0.8)+((AF76-3)*3)+VLOOKUP(AM76,Table!$A$11:$B$13,2,FALSE))</f>
        <v>88.384779999999992</v>
      </c>
      <c r="AH76" s="22">
        <f t="shared" si="270"/>
        <v>90</v>
      </c>
      <c r="AI76" s="18">
        <f t="shared" si="234"/>
        <v>0.56000000000000005</v>
      </c>
      <c r="AJ76" s="18">
        <f t="shared" si="235"/>
        <v>0.42</v>
      </c>
      <c r="AK76" t="str">
        <f t="shared" si="513"/>
        <v>Rising Rates</v>
      </c>
      <c r="AL76">
        <f t="shared" si="524"/>
        <v>35.75</v>
      </c>
      <c r="AM76" s="11" t="str">
        <f t="shared" si="514"/>
        <v>Stocks</v>
      </c>
      <c r="AN76" t="str">
        <f t="shared" si="520"/>
        <v>Buy</v>
      </c>
      <c r="AO76" s="13">
        <f t="shared" si="521"/>
        <v>-1.44E-2</v>
      </c>
      <c r="AP76" s="13">
        <f t="shared" si="522"/>
        <v>1E-4</v>
      </c>
      <c r="AQ76" s="13">
        <f t="shared" si="523"/>
        <v>-1.2999999999999999E-2</v>
      </c>
      <c r="AR76" s="13">
        <f t="shared" si="515"/>
        <v>-1.44E-2</v>
      </c>
      <c r="AS76" s="6">
        <f t="shared" si="506"/>
        <v>592.1831093763825</v>
      </c>
      <c r="AT76" s="6">
        <f t="shared" si="507"/>
        <v>186.98118197754437</v>
      </c>
      <c r="AU76" s="6">
        <f t="shared" si="508"/>
        <v>900.37906582810012</v>
      </c>
      <c r="AV76" s="6">
        <f t="shared" si="509"/>
        <v>1388.8826014456463</v>
      </c>
      <c r="AW76" s="58">
        <f t="shared" si="516"/>
        <v>2017</v>
      </c>
      <c r="AX76" s="58">
        <f>COUNTIF(AW$3:AW76,AW76)</f>
        <v>42</v>
      </c>
    </row>
    <row r="77" spans="1:50" x14ac:dyDescent="0.25">
      <c r="A77" s="5">
        <v>42806</v>
      </c>
      <c r="B77">
        <v>2372.6</v>
      </c>
      <c r="C77">
        <v>0.73</v>
      </c>
      <c r="D77" s="6">
        <v>11.59</v>
      </c>
      <c r="E77" s="18">
        <f t="shared" si="247"/>
        <v>11.62</v>
      </c>
      <c r="F77">
        <f t="shared" si="248"/>
        <v>2</v>
      </c>
      <c r="G77" s="18">
        <f>ROUND(INDEX(Valuation!U:U,MATCH(A77,Valuation!A:A,0)),2)</f>
        <v>78.69</v>
      </c>
      <c r="H77">
        <f t="shared" si="327"/>
        <v>-1</v>
      </c>
      <c r="I77" s="18">
        <f>INDEX(WeeklyIndicators!Y:Y,MATCH(A77,WeeklyIndicators!A:A,0))</f>
        <v>157.86000000000001</v>
      </c>
      <c r="J77">
        <f t="shared" si="223"/>
        <v>2</v>
      </c>
      <c r="K77">
        <f>ROUND(INDEX(Economic!AF:AF,MATCH(EOMONTH($A77,-1),Economic!A:A,0)),2)</f>
        <v>131.9</v>
      </c>
      <c r="L77" s="11">
        <f t="shared" si="271"/>
        <v>2</v>
      </c>
      <c r="M77">
        <f>ROUND(INDEX(Manufacturing!P:P,MATCH(EOMONTH($A77,-1),Manufacturing!A:A,0)),2)</f>
        <v>97.89</v>
      </c>
      <c r="N77">
        <f t="shared" si="261"/>
        <v>1</v>
      </c>
      <c r="O77">
        <f>ROUND(INDEX(Housing!AC:AC,MATCH(EOMONTH($A77,-1),Housing!B:B,0)),2)</f>
        <v>157.38999999999999</v>
      </c>
      <c r="P77">
        <f t="shared" si="262"/>
        <v>3</v>
      </c>
      <c r="Q77">
        <f>ROUND(INDEX(Spending!AJ:AJ,MATCH(EOMONTH($A77,-1),Spending!B:B,0)),2)</f>
        <v>60.71</v>
      </c>
      <c r="R77">
        <f t="shared" si="272"/>
        <v>2</v>
      </c>
      <c r="S77">
        <f>ROUND(INDEX(Employment!V:V,MATCH(EOMONTH($A77,-1),Employment!A:A,0)),2)</f>
        <v>176.14</v>
      </c>
      <c r="T77" s="11">
        <f t="shared" si="263"/>
        <v>2</v>
      </c>
      <c r="U77">
        <f t="shared" si="525"/>
        <v>33</v>
      </c>
      <c r="V77">
        <f t="shared" si="517"/>
        <v>85.14</v>
      </c>
      <c r="W77" s="13">
        <f t="shared" si="518"/>
        <v>-1.5E-3</v>
      </c>
      <c r="X77" s="13">
        <f t="shared" si="519"/>
        <v>-3.0000000000000165E-4</v>
      </c>
      <c r="Y77">
        <f t="shared" si="511"/>
        <v>84.19</v>
      </c>
      <c r="Z77" s="13">
        <f t="shared" si="503"/>
        <v>-5.8999999999999999E-3</v>
      </c>
      <c r="AA77" s="13">
        <f t="shared" si="463"/>
        <v>-1.49E-2</v>
      </c>
      <c r="AB77" s="6">
        <f t="shared" si="512"/>
        <v>86.399000000000001</v>
      </c>
      <c r="AC77">
        <f t="shared" si="496"/>
        <v>43</v>
      </c>
      <c r="AD77" s="11">
        <f t="shared" si="499"/>
        <v>1</v>
      </c>
      <c r="AE77">
        <f t="shared" si="485"/>
        <v>36</v>
      </c>
      <c r="AF77">
        <f>IF(AND(AE77&lt;15,OR(AC77&gt;=30,AA77&gt;0.15,X77&gt;=0.15)),2,VLOOKUP(AE77,Table!P:Q,2,FALSE))</f>
        <v>5</v>
      </c>
      <c r="AG77" s="22">
        <f>IF((AB77*0.98)-(D77*0.8)+((AF77-3)*3)+VLOOKUP(AM77,Table!$A$11:$B$13,2,FALSE)&lt;0,0,(AB77*0.98)-(D77*0.8)+((AF77-3)*3)+VLOOKUP(AM77,Table!$A$11:$B$13,2,FALSE))</f>
        <v>89.399019999999993</v>
      </c>
      <c r="AH77" s="22">
        <f t="shared" si="270"/>
        <v>92</v>
      </c>
      <c r="AI77" s="18">
        <f t="shared" si="234"/>
        <v>0.54</v>
      </c>
      <c r="AJ77" s="18">
        <f t="shared" si="235"/>
        <v>0.4</v>
      </c>
      <c r="AK77" t="str">
        <f t="shared" si="513"/>
        <v>Rising Rates</v>
      </c>
      <c r="AL77">
        <f t="shared" si="524"/>
        <v>35.75</v>
      </c>
      <c r="AM77" s="11" t="str">
        <f t="shared" si="514"/>
        <v>Stocks</v>
      </c>
      <c r="AN77" t="str">
        <f t="shared" si="520"/>
        <v>Buy</v>
      </c>
      <c r="AO77" s="13">
        <f t="shared" si="521"/>
        <v>2.3999999999999998E-3</v>
      </c>
      <c r="AP77" s="13">
        <f t="shared" si="522"/>
        <v>1E-4</v>
      </c>
      <c r="AQ77" s="13">
        <f t="shared" si="523"/>
        <v>2.2000000000000001E-3</v>
      </c>
      <c r="AR77" s="13">
        <f t="shared" si="515"/>
        <v>2.3999999999999998E-3</v>
      </c>
      <c r="AS77" s="6">
        <f t="shared" si="506"/>
        <v>590.76527272185012</v>
      </c>
      <c r="AT77" s="6">
        <f t="shared" si="507"/>
        <v>186.96248572897147</v>
      </c>
      <c r="AU77" s="6">
        <f t="shared" si="508"/>
        <v>898.4025801517663</v>
      </c>
      <c r="AV77" s="6">
        <f t="shared" si="509"/>
        <v>1385.5572640120174</v>
      </c>
      <c r="AW77" s="58">
        <f t="shared" si="516"/>
        <v>2017</v>
      </c>
      <c r="AX77" s="58">
        <f>COUNTIF(AW$3:AW77,AW77)</f>
        <v>43</v>
      </c>
    </row>
    <row r="78" spans="1:50" x14ac:dyDescent="0.25">
      <c r="A78" s="5">
        <v>42799</v>
      </c>
      <c r="B78">
        <v>2383.12</v>
      </c>
      <c r="C78">
        <v>0.6</v>
      </c>
      <c r="D78" s="6">
        <v>11.81</v>
      </c>
      <c r="E78" s="18">
        <f t="shared" si="247"/>
        <v>11.59</v>
      </c>
      <c r="F78">
        <f t="shared" si="248"/>
        <v>2</v>
      </c>
      <c r="G78" s="18">
        <f>ROUND(INDEX(Valuation!U:U,MATCH(A78,Valuation!A:A,0)),2)</f>
        <v>80.540000000000006</v>
      </c>
      <c r="H78">
        <f t="shared" si="327"/>
        <v>-1</v>
      </c>
      <c r="I78" s="18">
        <f>INDEX(WeeklyIndicators!Y:Y,MATCH(A78,WeeklyIndicators!A:A,0))</f>
        <v>160.28</v>
      </c>
      <c r="J78">
        <f t="shared" si="223"/>
        <v>2</v>
      </c>
      <c r="K78">
        <f>ROUND(INDEX(Economic!AF:AF,MATCH(EOMONTH($A78,-1),Economic!A:A,0)),2)</f>
        <v>131.9</v>
      </c>
      <c r="L78" s="11">
        <f t="shared" si="271"/>
        <v>2</v>
      </c>
      <c r="M78">
        <f>ROUND(INDEX(Manufacturing!P:P,MATCH(EOMONTH($A78,-1),Manufacturing!A:A,0)),2)</f>
        <v>97.89</v>
      </c>
      <c r="N78">
        <f t="shared" si="261"/>
        <v>1</v>
      </c>
      <c r="O78">
        <f>ROUND(INDEX(Housing!AC:AC,MATCH(EOMONTH($A78,-1),Housing!B:B,0)),2)</f>
        <v>157.38999999999999</v>
      </c>
      <c r="P78">
        <f t="shared" si="262"/>
        <v>3</v>
      </c>
      <c r="Q78">
        <f>ROUND(INDEX(Spending!AJ:AJ,MATCH(EOMONTH($A78,-1),Spending!B:B,0)),2)</f>
        <v>60.71</v>
      </c>
      <c r="R78">
        <f t="shared" si="272"/>
        <v>2</v>
      </c>
      <c r="S78">
        <f>ROUND(INDEX(Employment!V:V,MATCH(EOMONTH($A78,-1),Employment!A:A,0)),2)</f>
        <v>176.14</v>
      </c>
      <c r="T78" s="11">
        <f t="shared" si="263"/>
        <v>2</v>
      </c>
      <c r="U78">
        <f t="shared" si="525"/>
        <v>33</v>
      </c>
      <c r="V78">
        <f t="shared" si="517"/>
        <v>85.39</v>
      </c>
      <c r="W78" s="13">
        <f t="shared" si="518"/>
        <v>-3.0000000000000001E-3</v>
      </c>
      <c r="X78" s="13">
        <f t="shared" si="519"/>
        <v>1.8200000000000001E-2</v>
      </c>
      <c r="Y78">
        <f t="shared" si="511"/>
        <v>84.65</v>
      </c>
      <c r="Z78" s="13">
        <f t="shared" si="503"/>
        <v>-7.7000000000000002E-3</v>
      </c>
      <c r="AA78" s="13">
        <f t="shared" si="463"/>
        <v>5.9999999999999984E-3</v>
      </c>
      <c r="AB78" s="6">
        <f t="shared" si="512"/>
        <v>88.634</v>
      </c>
      <c r="AC78">
        <f t="shared" si="496"/>
        <v>44</v>
      </c>
      <c r="AD78" s="11">
        <f t="shared" si="499"/>
        <v>1</v>
      </c>
      <c r="AE78">
        <f t="shared" si="485"/>
        <v>36</v>
      </c>
      <c r="AF78">
        <f>IF(AND(AE78&lt;15,OR(AC78&gt;=30,AA78&gt;0.15,X78&gt;=0.15)),2,VLOOKUP(AE78,Table!P:Q,2,FALSE))</f>
        <v>5</v>
      </c>
      <c r="AG78" s="22">
        <f>IF((AB78*0.98)-(D78*0.8)+((AF78-3)*3)+VLOOKUP(AM78,Table!$A$11:$B$13,2,FALSE)&lt;0,0,(AB78*0.98)-(D78*0.8)+((AF78-3)*3)+VLOOKUP(AM78,Table!$A$11:$B$13,2,FALSE))</f>
        <v>91.413319999999999</v>
      </c>
      <c r="AH78" s="22">
        <f t="shared" si="270"/>
        <v>94</v>
      </c>
      <c r="AI78" s="18">
        <f t="shared" si="234"/>
        <v>0.52</v>
      </c>
      <c r="AJ78" s="18">
        <f t="shared" si="235"/>
        <v>0.39</v>
      </c>
      <c r="AK78" t="str">
        <f t="shared" si="513"/>
        <v>Rising Rates</v>
      </c>
      <c r="AL78">
        <f t="shared" si="524"/>
        <v>36</v>
      </c>
      <c r="AM78" s="11" t="str">
        <f t="shared" si="514"/>
        <v>Stocks</v>
      </c>
      <c r="AN78" t="str">
        <f t="shared" si="520"/>
        <v>Buy</v>
      </c>
      <c r="AO78" s="13">
        <f t="shared" si="521"/>
        <v>-4.4000000000000003E-3</v>
      </c>
      <c r="AP78" s="13">
        <f t="shared" si="522"/>
        <v>1E-4</v>
      </c>
      <c r="AQ78" s="13">
        <f t="shared" si="523"/>
        <v>-4.1000000000000003E-3</v>
      </c>
      <c r="AR78" s="13">
        <f t="shared" si="515"/>
        <v>-4.4000000000000003E-3</v>
      </c>
      <c r="AS78" s="6">
        <f t="shared" si="506"/>
        <v>593.37612768365818</v>
      </c>
      <c r="AT78" s="6">
        <f t="shared" si="507"/>
        <v>186.94379134983649</v>
      </c>
      <c r="AU78" s="6">
        <f t="shared" si="508"/>
        <v>902.10119505147736</v>
      </c>
      <c r="AV78" s="6">
        <f t="shared" si="509"/>
        <v>1391.6806589112268</v>
      </c>
      <c r="AW78" s="58">
        <f t="shared" si="516"/>
        <v>2017</v>
      </c>
      <c r="AX78" s="58">
        <f>COUNTIF(AW$3:AW78,AW78)</f>
        <v>44</v>
      </c>
    </row>
    <row r="79" spans="1:50" x14ac:dyDescent="0.25">
      <c r="A79" s="5">
        <v>42792</v>
      </c>
      <c r="B79">
        <v>2367.34</v>
      </c>
      <c r="C79">
        <v>0.52</v>
      </c>
      <c r="D79" s="6">
        <v>11.47</v>
      </c>
      <c r="E79" s="18">
        <f t="shared" si="247"/>
        <v>11.27</v>
      </c>
      <c r="F79">
        <f t="shared" si="248"/>
        <v>2</v>
      </c>
      <c r="G79" s="18">
        <f>ROUND(INDEX(Valuation!U:U,MATCH(A79,Valuation!A:A,0)),2)</f>
        <v>83.58</v>
      </c>
      <c r="H79">
        <f t="shared" si="327"/>
        <v>-1</v>
      </c>
      <c r="I79" s="18">
        <f>INDEX(WeeklyIndicators!Y:Y,MATCH(A79,WeeklyIndicators!A:A,0))</f>
        <v>165.49</v>
      </c>
      <c r="J79">
        <f t="shared" ref="J79:J142" si="526">IF(I79&gt;170,3,IF(AND(I79&gt;152,I79&lt;=170),2,IF(AND(I79&gt;135,I79&lt;=152),1,IF(I79&lt;60,-3,IF(AND(I79&lt;95,I79&gt;=60),-2,IF(AND(I79&lt;120,I79&gt;=95),-1,0))))))</f>
        <v>2</v>
      </c>
      <c r="K79">
        <f>ROUND(INDEX(Economic!AF:AF,MATCH(EOMONTH($A79,-1),Economic!A:A,0)),2)</f>
        <v>123.78</v>
      </c>
      <c r="L79" s="11">
        <f t="shared" si="271"/>
        <v>1</v>
      </c>
      <c r="M79">
        <f>ROUND(INDEX(Manufacturing!P:P,MATCH(EOMONTH($A79,-1),Manufacturing!A:A,0)),2)</f>
        <v>96.03</v>
      </c>
      <c r="N79">
        <f t="shared" si="261"/>
        <v>1</v>
      </c>
      <c r="O79">
        <f>ROUND(INDEX(Housing!AC:AC,MATCH(EOMONTH($A79,-1),Housing!B:B,0)),2)</f>
        <v>159.99</v>
      </c>
      <c r="P79">
        <f t="shared" si="262"/>
        <v>3</v>
      </c>
      <c r="Q79">
        <f>ROUND(INDEX(Spending!AJ:AJ,MATCH(EOMONTH($A79,-1),Spending!B:B,0)),2)</f>
        <v>60.25</v>
      </c>
      <c r="R79">
        <f t="shared" si="272"/>
        <v>2</v>
      </c>
      <c r="S79">
        <f>ROUND(INDEX(Employment!V:V,MATCH(EOMONTH($A79,-1),Employment!A:A,0)),2)</f>
        <v>176.82</v>
      </c>
      <c r="T79" s="11">
        <f t="shared" si="263"/>
        <v>2</v>
      </c>
      <c r="U79">
        <f t="shared" si="525"/>
        <v>32</v>
      </c>
      <c r="V79">
        <f t="shared" si="517"/>
        <v>84.73</v>
      </c>
      <c r="W79" s="13">
        <f t="shared" si="518"/>
        <v>-6.1000000000000004E-3</v>
      </c>
      <c r="X79" s="13">
        <f t="shared" si="519"/>
        <v>4.3099999999999999E-2</v>
      </c>
      <c r="Y79">
        <f t="shared" si="511"/>
        <v>84.44</v>
      </c>
      <c r="Z79" s="13">
        <f t="shared" si="503"/>
        <v>-9.4000000000000004E-3</v>
      </c>
      <c r="AA79" s="13">
        <f t="shared" si="463"/>
        <v>3.3799999999999997E-2</v>
      </c>
      <c r="AB79" s="6">
        <f t="shared" si="512"/>
        <v>90.817999999999998</v>
      </c>
      <c r="AC79">
        <f t="shared" si="496"/>
        <v>45</v>
      </c>
      <c r="AD79" s="11">
        <f t="shared" si="499"/>
        <v>1</v>
      </c>
      <c r="AE79">
        <f t="shared" si="485"/>
        <v>35</v>
      </c>
      <c r="AF79">
        <f>IF(AND(AE79&lt;15,OR(AC79&gt;=30,AA79&gt;0.15,X79&gt;=0.15)),2,VLOOKUP(AE79,Table!P:Q,2,FALSE))</f>
        <v>5</v>
      </c>
      <c r="AG79" s="22">
        <f>IF((AB79*0.98)-(D79*0.8)+((AF79-3)*3)+VLOOKUP(AM79,Table!$A$11:$B$13,2,FALSE)&lt;0,0,(AB79*0.98)-(D79*0.8)+((AF79-3)*3)+VLOOKUP(AM79,Table!$A$11:$B$13,2,FALSE))</f>
        <v>93.825639999999993</v>
      </c>
      <c r="AH79" s="22">
        <f t="shared" si="270"/>
        <v>97</v>
      </c>
      <c r="AI79" s="18">
        <f t="shared" ref="AI79:AI142" si="527">ROUND(AVERAGE(C79:C91),2)</f>
        <v>0.51</v>
      </c>
      <c r="AJ79" s="18">
        <f t="shared" ref="AJ79:AJ142" si="528">ROUND(AVERAGE(C79:C117),2)</f>
        <v>0.38</v>
      </c>
      <c r="AK79" t="str">
        <f t="shared" si="513"/>
        <v/>
      </c>
      <c r="AL79">
        <f t="shared" si="524"/>
        <v>36.25</v>
      </c>
      <c r="AM79" s="11" t="str">
        <f t="shared" si="514"/>
        <v>Stocks</v>
      </c>
      <c r="AN79" t="str">
        <f t="shared" si="520"/>
        <v>Buy</v>
      </c>
      <c r="AO79" s="13">
        <f t="shared" si="521"/>
        <v>6.7000000000000002E-3</v>
      </c>
      <c r="AP79" s="13">
        <f t="shared" si="522"/>
        <v>1E-4</v>
      </c>
      <c r="AQ79" s="13">
        <f t="shared" si="523"/>
        <v>6.4999999999999997E-3</v>
      </c>
      <c r="AR79" s="13">
        <f t="shared" si="515"/>
        <v>6.7000000000000002E-3</v>
      </c>
      <c r="AS79" s="6">
        <f t="shared" si="506"/>
        <v>589.42696700472652</v>
      </c>
      <c r="AT79" s="6">
        <f t="shared" si="507"/>
        <v>186.92509883995248</v>
      </c>
      <c r="AU79" s="6">
        <f t="shared" si="508"/>
        <v>896.2754049195006</v>
      </c>
      <c r="AV79" s="6">
        <f t="shared" si="509"/>
        <v>1382.4184552609784</v>
      </c>
      <c r="AW79" s="58">
        <f t="shared" si="516"/>
        <v>2017</v>
      </c>
      <c r="AX79" s="58">
        <f>COUNTIF(AW$3:AW79,AW79)</f>
        <v>45</v>
      </c>
    </row>
    <row r="80" spans="1:50" x14ac:dyDescent="0.25">
      <c r="A80" s="5">
        <v>42785</v>
      </c>
      <c r="B80">
        <v>2351.16</v>
      </c>
      <c r="C80">
        <v>0.53</v>
      </c>
      <c r="D80" s="6">
        <v>11.49</v>
      </c>
      <c r="E80" s="18">
        <f t="shared" si="247"/>
        <v>11.1</v>
      </c>
      <c r="F80">
        <f t="shared" si="248"/>
        <v>2</v>
      </c>
      <c r="G80" s="18">
        <f>ROUND(INDEX(Valuation!U:U,MATCH(A80,Valuation!A:A,0)),2)</f>
        <v>87.2</v>
      </c>
      <c r="H80">
        <f t="shared" si="327"/>
        <v>-1</v>
      </c>
      <c r="I80" s="18">
        <f>INDEX(WeeklyIndicators!Y:Y,MATCH(A80,WeeklyIndicators!A:A,0))</f>
        <v>173.21</v>
      </c>
      <c r="J80">
        <f t="shared" si="526"/>
        <v>3</v>
      </c>
      <c r="K80">
        <f>ROUND(INDEX(Economic!AF:AF,MATCH(EOMONTH($A80,-1),Economic!A:A,0)),2)</f>
        <v>123.78</v>
      </c>
      <c r="L80" s="11">
        <f t="shared" si="271"/>
        <v>1</v>
      </c>
      <c r="M80">
        <f>ROUND(INDEX(Manufacturing!P:P,MATCH(EOMONTH($A80,-1),Manufacturing!A:A,0)),2)</f>
        <v>96.03</v>
      </c>
      <c r="N80">
        <f t="shared" si="261"/>
        <v>1</v>
      </c>
      <c r="O80">
        <f>ROUND(INDEX(Housing!AC:AC,MATCH(EOMONTH($A80,-1),Housing!B:B,0)),2)</f>
        <v>159.99</v>
      </c>
      <c r="P80">
        <f t="shared" si="262"/>
        <v>3</v>
      </c>
      <c r="Q80">
        <f>ROUND(INDEX(Spending!AJ:AJ,MATCH(EOMONTH($A80,-1),Spending!B:B,0)),2)</f>
        <v>60.25</v>
      </c>
      <c r="R80">
        <f t="shared" si="272"/>
        <v>2</v>
      </c>
      <c r="S80">
        <f>ROUND(INDEX(Employment!V:V,MATCH(EOMONTH($A80,-1),Employment!A:A,0)),2)</f>
        <v>176.82</v>
      </c>
      <c r="T80" s="11">
        <f t="shared" si="263"/>
        <v>2</v>
      </c>
      <c r="U80">
        <f t="shared" si="525"/>
        <v>33</v>
      </c>
      <c r="V80">
        <f t="shared" si="517"/>
        <v>85.53</v>
      </c>
      <c r="W80" s="13">
        <f t="shared" si="518"/>
        <v>1.03E-2</v>
      </c>
      <c r="X80" s="13">
        <f t="shared" si="519"/>
        <v>5.8799999999999998E-2</v>
      </c>
      <c r="Y80">
        <f t="shared" si="511"/>
        <v>85.7</v>
      </c>
      <c r="Z80" s="13">
        <f t="shared" si="503"/>
        <v>8.0999999999999996E-3</v>
      </c>
      <c r="AA80" s="13">
        <f t="shared" si="463"/>
        <v>5.1200000000000002E-2</v>
      </c>
      <c r="AB80" s="6">
        <f t="shared" si="512"/>
        <v>93.789999999999992</v>
      </c>
      <c r="AC80">
        <f t="shared" si="496"/>
        <v>47</v>
      </c>
      <c r="AD80" s="11">
        <f t="shared" si="499"/>
        <v>1</v>
      </c>
      <c r="AE80">
        <f t="shared" si="485"/>
        <v>36</v>
      </c>
      <c r="AF80">
        <f>IF(AND(AE80&lt;15,OR(AC80&gt;=30,AA80&gt;0.15,X80&gt;=0.15)),2,VLOOKUP(AE80,Table!P:Q,2,FALSE))</f>
        <v>5</v>
      </c>
      <c r="AG80" s="22">
        <f>IF((AB80*0.98)-(D80*0.8)+((AF80-3)*3)+VLOOKUP(AM80,Table!$A$11:$B$13,2,FALSE)&lt;0,0,(AB80*0.98)-(D80*0.8)+((AF80-3)*3)+VLOOKUP(AM80,Table!$A$11:$B$13,2,FALSE))</f>
        <v>96.722199999999987</v>
      </c>
      <c r="AH80" s="22">
        <f t="shared" si="270"/>
        <v>99</v>
      </c>
      <c r="AI80" s="18">
        <f t="shared" si="527"/>
        <v>0.51</v>
      </c>
      <c r="AJ80" s="18">
        <f t="shared" si="528"/>
        <v>0.38</v>
      </c>
      <c r="AK80" t="str">
        <f t="shared" si="513"/>
        <v/>
      </c>
      <c r="AL80">
        <f t="shared" si="524"/>
        <v>36.5</v>
      </c>
      <c r="AM80" s="11" t="str">
        <f t="shared" si="514"/>
        <v>Stocks</v>
      </c>
      <c r="AN80" t="str">
        <f t="shared" si="520"/>
        <v>Buy</v>
      </c>
      <c r="AO80" s="13">
        <f t="shared" si="521"/>
        <v>6.8999999999999999E-3</v>
      </c>
      <c r="AP80" s="13">
        <f t="shared" si="522"/>
        <v>1E-4</v>
      </c>
      <c r="AQ80" s="13">
        <f t="shared" si="523"/>
        <v>6.7999999999999996E-3</v>
      </c>
      <c r="AR80" s="13">
        <f t="shared" si="515"/>
        <v>6.8999999999999999E-3</v>
      </c>
      <c r="AS80" s="6">
        <f t="shared" si="506"/>
        <v>585.38779124513519</v>
      </c>
      <c r="AT80" s="6">
        <f t="shared" si="507"/>
        <v>186.90640819913258</v>
      </c>
      <c r="AU80" s="6">
        <f t="shared" si="508"/>
        <v>890.22189602652031</v>
      </c>
      <c r="AV80" s="6">
        <f t="shared" si="509"/>
        <v>1372.9451338374997</v>
      </c>
      <c r="AW80" s="58">
        <f t="shared" si="516"/>
        <v>2017</v>
      </c>
      <c r="AX80" s="58">
        <f>COUNTIF(AW$3:AW80,AW80)</f>
        <v>46</v>
      </c>
    </row>
    <row r="81" spans="1:50" x14ac:dyDescent="0.25">
      <c r="A81" s="5">
        <v>42778</v>
      </c>
      <c r="B81">
        <v>2316.1</v>
      </c>
      <c r="C81">
        <v>0.53</v>
      </c>
      <c r="D81" s="6">
        <v>10.85</v>
      </c>
      <c r="E81" s="18">
        <f t="shared" ref="E81:E144" si="529">ROUND(AVERAGE(D81:D83),2)</f>
        <v>10.8</v>
      </c>
      <c r="F81">
        <f t="shared" ref="F81:F144" si="530">IF(E81&lt;11,3,IF(AND(E81&lt;14,E81&gt;=11),2,IF(AND(E81&lt;16,E81&gt;=14),1,IF(E81&gt;35,-3,IF(AND(E81&gt;25,E81&lt;=35),-2,IF(AND(E81&gt;18,E81&lt;=25),-1,0))))))</f>
        <v>3</v>
      </c>
      <c r="G81" s="18">
        <f>ROUND(INDEX(Valuation!U:U,MATCH(A81,Valuation!A:A,0)),2)</f>
        <v>89.05</v>
      </c>
      <c r="H81">
        <f t="shared" si="327"/>
        <v>-1</v>
      </c>
      <c r="I81" s="18">
        <f>INDEX(WeeklyIndicators!Y:Y,MATCH(A81,WeeklyIndicators!A:A,0))</f>
        <v>179.16</v>
      </c>
      <c r="J81">
        <f t="shared" si="526"/>
        <v>3</v>
      </c>
      <c r="K81">
        <f>ROUND(INDEX(Economic!AF:AF,MATCH(EOMONTH($A81,-1),Economic!A:A,0)),2)</f>
        <v>123.78</v>
      </c>
      <c r="L81" s="11">
        <f t="shared" si="271"/>
        <v>1</v>
      </c>
      <c r="M81">
        <f>ROUND(INDEX(Manufacturing!P:P,MATCH(EOMONTH($A81,-1),Manufacturing!A:A,0)),2)</f>
        <v>96.03</v>
      </c>
      <c r="N81">
        <f t="shared" si="261"/>
        <v>1</v>
      </c>
      <c r="O81">
        <f>ROUND(INDEX(Housing!AC:AC,MATCH(EOMONTH($A81,-1),Housing!B:B,0)),2)</f>
        <v>159.99</v>
      </c>
      <c r="P81">
        <f t="shared" si="262"/>
        <v>3</v>
      </c>
      <c r="Q81">
        <f>ROUND(INDEX(Spending!AJ:AJ,MATCH(EOMONTH($A81,-1),Spending!B:B,0)),2)</f>
        <v>60.25</v>
      </c>
      <c r="R81">
        <f t="shared" si="272"/>
        <v>2</v>
      </c>
      <c r="S81">
        <f>ROUND(INDEX(Employment!V:V,MATCH(EOMONTH($A81,-1),Employment!A:A,0)),2)</f>
        <v>176.82</v>
      </c>
      <c r="T81" s="11">
        <f t="shared" si="263"/>
        <v>2</v>
      </c>
      <c r="U81">
        <f t="shared" si="525"/>
        <v>34</v>
      </c>
      <c r="V81">
        <f t="shared" si="517"/>
        <v>86.15</v>
      </c>
      <c r="W81" s="13">
        <f t="shared" si="518"/>
        <v>1.7000000000000001E-2</v>
      </c>
      <c r="X81" s="13">
        <f t="shared" si="519"/>
        <v>5.2500000000000005E-2</v>
      </c>
      <c r="Y81">
        <f t="shared" si="511"/>
        <v>86.63</v>
      </c>
      <c r="Z81" s="13">
        <f t="shared" si="503"/>
        <v>1.4999999999999999E-2</v>
      </c>
      <c r="AA81" s="13">
        <f t="shared" si="463"/>
        <v>4.6600000000000003E-2</v>
      </c>
      <c r="AB81" s="6">
        <f t="shared" si="512"/>
        <v>94.555000000000007</v>
      </c>
      <c r="AC81">
        <f t="shared" si="496"/>
        <v>47</v>
      </c>
      <c r="AD81" s="11">
        <f t="shared" si="499"/>
        <v>1</v>
      </c>
      <c r="AE81">
        <f t="shared" si="485"/>
        <v>37</v>
      </c>
      <c r="AF81">
        <f>IF(AND(AE81&lt;15,OR(AC81&gt;=30,AA81&gt;0.15,X81&gt;=0.15)),2,VLOOKUP(AE81,Table!P:Q,2,FALSE))</f>
        <v>6</v>
      </c>
      <c r="AG81" s="22">
        <f>IF((AB81*0.98)-(D81*0.8)+((AF81-3)*3)+VLOOKUP(AM81,Table!$A$11:$B$13,2,FALSE)&lt;0,0,(AB81*0.98)-(D81*0.8)+((AF81-3)*3)+VLOOKUP(AM81,Table!$A$11:$B$13,2,FALSE))</f>
        <v>100.98390000000001</v>
      </c>
      <c r="AH81" s="22">
        <f t="shared" si="270"/>
        <v>98</v>
      </c>
      <c r="AI81" s="18">
        <f t="shared" si="527"/>
        <v>0.5</v>
      </c>
      <c r="AJ81" s="18">
        <f t="shared" si="528"/>
        <v>0.37</v>
      </c>
      <c r="AK81" t="str">
        <f t="shared" si="513"/>
        <v>Rising Rates</v>
      </c>
      <c r="AL81">
        <f t="shared" si="524"/>
        <v>36.25</v>
      </c>
      <c r="AM81" s="11" t="str">
        <f t="shared" si="514"/>
        <v>Stocks</v>
      </c>
      <c r="AN81" t="str">
        <f t="shared" si="520"/>
        <v>Buy</v>
      </c>
      <c r="AO81" s="13">
        <f t="shared" si="521"/>
        <v>1.5100000000000001E-2</v>
      </c>
      <c r="AP81" s="13">
        <f t="shared" si="522"/>
        <v>1E-4</v>
      </c>
      <c r="AQ81" s="13">
        <f t="shared" si="523"/>
        <v>1.4800000000000001E-2</v>
      </c>
      <c r="AR81" s="13">
        <f t="shared" si="515"/>
        <v>1.5100000000000001E-2</v>
      </c>
      <c r="AS81" s="6">
        <f t="shared" si="506"/>
        <v>576.67992438689316</v>
      </c>
      <c r="AT81" s="6">
        <f t="shared" si="507"/>
        <v>186.88771942718986</v>
      </c>
      <c r="AU81" s="6">
        <f t="shared" si="508"/>
        <v>877.2387623438317</v>
      </c>
      <c r="AV81" s="6">
        <f t="shared" si="509"/>
        <v>1352.5220508693724</v>
      </c>
      <c r="AW81" s="58">
        <f t="shared" si="516"/>
        <v>2017</v>
      </c>
      <c r="AX81" s="58">
        <f>COUNTIF(AW$3:AW81,AW81)</f>
        <v>47</v>
      </c>
    </row>
    <row r="82" spans="1:50" x14ac:dyDescent="0.25">
      <c r="A82" s="5">
        <v>42771</v>
      </c>
      <c r="B82">
        <v>2297.42</v>
      </c>
      <c r="C82">
        <v>0.51</v>
      </c>
      <c r="D82" s="6">
        <v>10.97</v>
      </c>
      <c r="E82" s="18">
        <f t="shared" si="529"/>
        <v>11.03</v>
      </c>
      <c r="F82">
        <f t="shared" si="530"/>
        <v>2</v>
      </c>
      <c r="G82" s="18">
        <f>ROUND(INDEX(Valuation!U:U,MATCH(A82,Valuation!A:A,0)),2)</f>
        <v>90.63</v>
      </c>
      <c r="H82">
        <f t="shared" si="327"/>
        <v>0</v>
      </c>
      <c r="I82" s="18">
        <f>INDEX(WeeklyIndicators!Y:Y,MATCH(A82,WeeklyIndicators!A:A,0))</f>
        <v>180.63</v>
      </c>
      <c r="J82">
        <f t="shared" si="526"/>
        <v>3</v>
      </c>
      <c r="K82">
        <f>ROUND(INDEX(Economic!AF:AF,MATCH(EOMONTH($A82,-1),Economic!A:A,0)),2)</f>
        <v>123.78</v>
      </c>
      <c r="L82" s="11">
        <f t="shared" si="271"/>
        <v>1</v>
      </c>
      <c r="M82">
        <f>ROUND(INDEX(Manufacturing!P:P,MATCH(EOMONTH($A82,-1),Manufacturing!A:A,0)),2)</f>
        <v>96.03</v>
      </c>
      <c r="N82">
        <f t="shared" ref="N82:N145" si="531">IF(M82&gt;108,3,IF(AND(M82&gt;100,M82&lt;=108),2,IF(AND(M82&gt;90,M82&lt;=100),1,IF(M82&lt;63,-3,IF(AND(M82&lt;74,M82&gt;=63),-2,IF(AND(M82&lt;84,M82&gt;=74),-1,0))))))</f>
        <v>1</v>
      </c>
      <c r="O82">
        <f>ROUND(INDEX(Housing!AC:AC,MATCH(EOMONTH($A82,-1),Housing!B:B,0)),2)</f>
        <v>159.99</v>
      </c>
      <c r="P82">
        <f t="shared" ref="P82:P145" si="532">IF(O82&gt;140,3,IF(AND(O82&gt;128,O82&lt;=140),2,IF(AND(O82&gt;115,O82&lt;=128),1,IF(O82&lt;50,-3,IF(AND(O82&lt;75,O82&gt;=50),-2,IF(AND(O82&lt;100,O82&gt;=75),-1,0))))))</f>
        <v>3</v>
      </c>
      <c r="Q82">
        <f>ROUND(INDEX(Spending!AJ:AJ,MATCH(EOMONTH($A82,-1),Spending!B:B,0)),2)</f>
        <v>60.25</v>
      </c>
      <c r="R82">
        <f t="shared" si="272"/>
        <v>2</v>
      </c>
      <c r="S82">
        <f>ROUND(INDEX(Employment!V:V,MATCH(EOMONTH($A82,-1),Employment!A:A,0)),2)</f>
        <v>176.82</v>
      </c>
      <c r="T82" s="11">
        <f t="shared" ref="T82:T145" si="533">IF(S82&gt;190,3,IF(AND(S82&gt;175,S82&lt;=190),2,IF(AND(S82&gt;160,S82&lt;=175),1,IF(S82&lt;120,-3,IF(AND(S82&lt;140,S82&gt;=120),-2,IF(AND(S82&lt;150,S82&gt;=140),-1,0))))))</f>
        <v>2</v>
      </c>
      <c r="U82">
        <f t="shared" si="525"/>
        <v>34</v>
      </c>
      <c r="V82">
        <f t="shared" si="517"/>
        <v>86.3</v>
      </c>
      <c r="W82" s="13">
        <f t="shared" si="518"/>
        <v>2.1899999999999999E-2</v>
      </c>
      <c r="X82" s="13">
        <f t="shared" si="519"/>
        <v>3.8900000000000004E-2</v>
      </c>
      <c r="Y82">
        <f t="shared" si="511"/>
        <v>86.88</v>
      </c>
      <c r="Z82" s="13">
        <f t="shared" si="503"/>
        <v>2.01E-2</v>
      </c>
      <c r="AA82" s="13">
        <f t="shared" si="463"/>
        <v>3.2900000000000006E-2</v>
      </c>
      <c r="AB82" s="6">
        <f t="shared" si="512"/>
        <v>93.912999999999997</v>
      </c>
      <c r="AC82">
        <f t="shared" si="496"/>
        <v>47</v>
      </c>
      <c r="AD82" s="11">
        <f t="shared" si="499"/>
        <v>1</v>
      </c>
      <c r="AE82">
        <f t="shared" si="485"/>
        <v>37</v>
      </c>
      <c r="AF82">
        <f>IF(AND(AE82&lt;15,OR(AC82&gt;=30,AA82&gt;0.15,X82&gt;=0.15)),2,VLOOKUP(AE82,Table!P:Q,2,FALSE))</f>
        <v>6</v>
      </c>
      <c r="AG82" s="22">
        <f>IF((AB82*0.98)-(D82*0.8)+((AF82-3)*3)+VLOOKUP(AM82,Table!$A$11:$B$13,2,FALSE)&lt;0,0,(AB82*0.98)-(D82*0.8)+((AF82-3)*3)+VLOOKUP(AM82,Table!$A$11:$B$13,2,FALSE))</f>
        <v>100.25874</v>
      </c>
      <c r="AH82" s="22">
        <f t="shared" ref="AH82:AH145" si="534">IF(ROUND(AVERAGE(AG82:AG84),0)&lt;0,0,IF(ROUND(AVERAGE(AG82:AG84),0)&gt;100,100,ROUND(AVERAGE(AG82:AG84),0)))</f>
        <v>95</v>
      </c>
      <c r="AI82" s="18">
        <f t="shared" si="527"/>
        <v>0.5</v>
      </c>
      <c r="AJ82" s="18">
        <f t="shared" si="528"/>
        <v>0.37</v>
      </c>
      <c r="AK82" t="str">
        <f t="shared" si="513"/>
        <v/>
      </c>
      <c r="AL82">
        <f t="shared" si="524"/>
        <v>35.75</v>
      </c>
      <c r="AM82" s="11" t="str">
        <f t="shared" si="514"/>
        <v>Stocks</v>
      </c>
      <c r="AN82" t="str">
        <f t="shared" si="520"/>
        <v>Buy</v>
      </c>
      <c r="AO82" s="13">
        <f t="shared" si="521"/>
        <v>8.0999999999999996E-3</v>
      </c>
      <c r="AP82" s="13">
        <f t="shared" si="522"/>
        <v>1E-4</v>
      </c>
      <c r="AQ82" s="13">
        <f t="shared" si="523"/>
        <v>7.7000000000000002E-3</v>
      </c>
      <c r="AR82" s="13">
        <f t="shared" si="515"/>
        <v>8.0999999999999996E-3</v>
      </c>
      <c r="AS82" s="6">
        <f t="shared" si="506"/>
        <v>572.04634896031462</v>
      </c>
      <c r="AT82" s="6">
        <f t="shared" si="507"/>
        <v>186.86903252393748</v>
      </c>
      <c r="AU82" s="6">
        <f t="shared" si="508"/>
        <v>870.53563793175715</v>
      </c>
      <c r="AV82" s="6">
        <f t="shared" si="509"/>
        <v>1341.6546482188</v>
      </c>
      <c r="AW82" s="58">
        <f t="shared" si="516"/>
        <v>2017</v>
      </c>
      <c r="AX82" s="58">
        <f>COUNTIF(AW$3:AW82,AW82)</f>
        <v>48</v>
      </c>
    </row>
    <row r="83" spans="1:50" x14ac:dyDescent="0.25">
      <c r="A83" s="5">
        <v>42764</v>
      </c>
      <c r="B83">
        <v>2294.69</v>
      </c>
      <c r="C83">
        <v>0.5</v>
      </c>
      <c r="D83" s="6">
        <v>10.58</v>
      </c>
      <c r="E83" s="18">
        <f t="shared" si="529"/>
        <v>11.12</v>
      </c>
      <c r="F83">
        <f t="shared" si="530"/>
        <v>2</v>
      </c>
      <c r="G83" s="18">
        <f>ROUND(INDEX(Valuation!U:U,MATCH(A83,Valuation!A:A,0)),2)</f>
        <v>92.05</v>
      </c>
      <c r="H83">
        <f t="shared" si="327"/>
        <v>0</v>
      </c>
      <c r="I83" s="18">
        <f>INDEX(WeeklyIndicators!Y:Y,MATCH(A83,WeeklyIndicators!A:A,0))</f>
        <v>175.42</v>
      </c>
      <c r="J83">
        <f t="shared" si="526"/>
        <v>3</v>
      </c>
      <c r="K83">
        <f>ROUND(INDEX(Economic!AF:AF,MATCH(EOMONTH($A83,-1),Economic!A:A,0)),2)</f>
        <v>114.72</v>
      </c>
      <c r="L83" s="11">
        <f t="shared" ref="L83:L146" si="535">IF(K83&gt;138,3,IF(AND(K83&gt;125,K83&lt;=138),2,IF(AND(K83&gt;111,K83&lt;=125),1,IF(K83&lt;50,-3,IF(AND(K83&lt;80,K83&gt;=50),-2,IF(AND(K83&lt;100,K83&gt;=80),-1,0))))))</f>
        <v>1</v>
      </c>
      <c r="M83">
        <f>ROUND(INDEX(Manufacturing!P:P,MATCH(EOMONTH($A83,-1),Manufacturing!A:A,0)),2)</f>
        <v>90.33</v>
      </c>
      <c r="N83">
        <f t="shared" si="531"/>
        <v>1</v>
      </c>
      <c r="O83">
        <f>ROUND(INDEX(Housing!AC:AC,MATCH(EOMONTH($A83,-1),Housing!B:B,0)),2)</f>
        <v>153.93</v>
      </c>
      <c r="P83">
        <f t="shared" si="532"/>
        <v>3</v>
      </c>
      <c r="Q83">
        <f>ROUND(INDEX(Spending!AJ:AJ,MATCH(EOMONTH($A83,-1),Spending!B:B,0)),2)</f>
        <v>60.7</v>
      </c>
      <c r="R83">
        <f t="shared" ref="R83:R146" si="536">IF(Q83&gt;60,2,IF(AND(Q83&gt;50,Q83&lt;=60),1,IF(Q83&lt;30,-2,IF(AND(Q83&lt;40,Q83&gt;=30),-1,0))))</f>
        <v>2</v>
      </c>
      <c r="S83">
        <f>ROUND(INDEX(Employment!V:V,MATCH(EOMONTH($A83,-1),Employment!A:A,0)),2)</f>
        <v>172</v>
      </c>
      <c r="T83" s="11">
        <f t="shared" si="533"/>
        <v>1</v>
      </c>
      <c r="U83">
        <f t="shared" si="525"/>
        <v>33</v>
      </c>
      <c r="V83">
        <f t="shared" si="517"/>
        <v>82.9</v>
      </c>
      <c r="W83" s="13">
        <f t="shared" si="518"/>
        <v>9.5999999999999992E-3</v>
      </c>
      <c r="X83" s="13">
        <f t="shared" si="519"/>
        <v>1.7099999999999997E-2</v>
      </c>
      <c r="Y83">
        <f t="shared" si="511"/>
        <v>83.61</v>
      </c>
      <c r="Z83" s="13">
        <f t="shared" si="503"/>
        <v>8.0000000000000002E-3</v>
      </c>
      <c r="AA83" s="13">
        <f t="shared" si="463"/>
        <v>1.1699999999999999E-2</v>
      </c>
      <c r="AB83" s="6">
        <f t="shared" si="512"/>
        <v>89.034999999999997</v>
      </c>
      <c r="AC83">
        <f t="shared" si="496"/>
        <v>45</v>
      </c>
      <c r="AD83" s="11">
        <f t="shared" si="499"/>
        <v>1</v>
      </c>
      <c r="AE83">
        <f t="shared" si="485"/>
        <v>36</v>
      </c>
      <c r="AF83">
        <f>IF(AND(AE83&lt;15,OR(AC83&gt;=30,AA83&gt;0.15,X83&gt;=0.15)),2,VLOOKUP(AE83,Table!P:Q,2,FALSE))</f>
        <v>5</v>
      </c>
      <c r="AG83" s="22">
        <f>IF((AB83*0.98)-(D83*0.8)+((AF83-3)*3)+VLOOKUP(AM83,Table!$A$11:$B$13,2,FALSE)&lt;0,0,(AB83*0.98)-(D83*0.8)+((AF83-3)*3)+VLOOKUP(AM83,Table!$A$11:$B$13,2,FALSE))</f>
        <v>92.790300000000002</v>
      </c>
      <c r="AH83" s="22">
        <f t="shared" si="534"/>
        <v>91</v>
      </c>
      <c r="AI83" s="18">
        <f t="shared" si="527"/>
        <v>0.49</v>
      </c>
      <c r="AJ83" s="18">
        <f t="shared" si="528"/>
        <v>0.36</v>
      </c>
      <c r="AK83" t="str">
        <f t="shared" si="513"/>
        <v/>
      </c>
      <c r="AL83">
        <f t="shared" si="524"/>
        <v>35.25</v>
      </c>
      <c r="AM83" s="11" t="str">
        <f t="shared" si="514"/>
        <v>Stocks</v>
      </c>
      <c r="AN83" t="str">
        <f t="shared" si="520"/>
        <v>Buy</v>
      </c>
      <c r="AO83" s="13">
        <f t="shared" si="521"/>
        <v>1.1999999999999999E-3</v>
      </c>
      <c r="AP83" s="13">
        <f t="shared" si="522"/>
        <v>1E-4</v>
      </c>
      <c r="AQ83" s="13">
        <f t="shared" si="523"/>
        <v>1.1000000000000001E-3</v>
      </c>
      <c r="AR83" s="13">
        <f t="shared" si="515"/>
        <v>1.1999999999999999E-3</v>
      </c>
      <c r="AS83" s="6">
        <f t="shared" si="506"/>
        <v>571.36071610099339</v>
      </c>
      <c r="AT83" s="6">
        <f t="shared" si="507"/>
        <v>186.85034748918855</v>
      </c>
      <c r="AU83" s="6">
        <f t="shared" si="508"/>
        <v>869.57910092074428</v>
      </c>
      <c r="AV83" s="6">
        <f t="shared" si="509"/>
        <v>1340.0465923080303</v>
      </c>
      <c r="AW83" s="58">
        <f t="shared" si="516"/>
        <v>2017</v>
      </c>
      <c r="AX83" s="58">
        <f>COUNTIF(AW$3:AW83,AW83)</f>
        <v>49</v>
      </c>
    </row>
    <row r="84" spans="1:50" x14ac:dyDescent="0.25">
      <c r="A84" s="5">
        <v>42757</v>
      </c>
      <c r="B84">
        <v>2271.31</v>
      </c>
      <c r="C84">
        <v>0.52</v>
      </c>
      <c r="D84" s="6">
        <v>11.54</v>
      </c>
      <c r="E84" s="18">
        <f t="shared" si="529"/>
        <v>11.36</v>
      </c>
      <c r="F84">
        <f t="shared" si="530"/>
        <v>2</v>
      </c>
      <c r="G84" s="18">
        <f>ROUND(INDEX(Valuation!U:U,MATCH(A84,Valuation!A:A,0)),2)</f>
        <v>95.1</v>
      </c>
      <c r="H84">
        <f t="shared" si="327"/>
        <v>0</v>
      </c>
      <c r="I84" s="18">
        <f>INDEX(WeeklyIndicators!Y:Y,MATCH(A84,WeeklyIndicators!A:A,0))</f>
        <v>165.54</v>
      </c>
      <c r="J84">
        <f t="shared" si="526"/>
        <v>2</v>
      </c>
      <c r="K84">
        <f>ROUND(INDEX(Economic!AF:AF,MATCH(EOMONTH($A84,-1),Economic!A:A,0)),2)</f>
        <v>114.72</v>
      </c>
      <c r="L84" s="11">
        <f t="shared" si="535"/>
        <v>1</v>
      </c>
      <c r="M84">
        <f>ROUND(INDEX(Manufacturing!P:P,MATCH(EOMONTH($A84,-1),Manufacturing!A:A,0)),2)</f>
        <v>90.33</v>
      </c>
      <c r="N84">
        <f t="shared" si="531"/>
        <v>1</v>
      </c>
      <c r="O84">
        <f>ROUND(INDEX(Housing!AC:AC,MATCH(EOMONTH($A84,-1),Housing!B:B,0)),2)</f>
        <v>153.93</v>
      </c>
      <c r="P84">
        <f t="shared" si="532"/>
        <v>3</v>
      </c>
      <c r="Q84">
        <f>ROUND(INDEX(Spending!AJ:AJ,MATCH(EOMONTH($A84,-1),Spending!B:B,0)),2)</f>
        <v>60.7</v>
      </c>
      <c r="R84">
        <f t="shared" si="536"/>
        <v>2</v>
      </c>
      <c r="S84">
        <f>ROUND(INDEX(Employment!V:V,MATCH(EOMONTH($A84,-1),Employment!A:A,0)),2)</f>
        <v>172</v>
      </c>
      <c r="T84" s="11">
        <f t="shared" si="533"/>
        <v>1</v>
      </c>
      <c r="U84">
        <f t="shared" si="525"/>
        <v>32</v>
      </c>
      <c r="V84">
        <f t="shared" si="517"/>
        <v>81.88</v>
      </c>
      <c r="W84" s="13">
        <f t="shared" si="518"/>
        <v>4.0000000000000001E-3</v>
      </c>
      <c r="X84" s="13">
        <f t="shared" si="519"/>
        <v>9.7000000000000003E-3</v>
      </c>
      <c r="Y84">
        <f t="shared" si="511"/>
        <v>82.84</v>
      </c>
      <c r="Z84" s="13">
        <f t="shared" si="503"/>
        <v>3.5000000000000001E-3</v>
      </c>
      <c r="AA84" s="13">
        <f t="shared" si="463"/>
        <v>3.8E-3</v>
      </c>
      <c r="AB84" s="6">
        <f t="shared" si="512"/>
        <v>87.93</v>
      </c>
      <c r="AC84">
        <f t="shared" si="496"/>
        <v>44</v>
      </c>
      <c r="AD84" s="11">
        <f t="shared" si="499"/>
        <v>1</v>
      </c>
      <c r="AE84">
        <f t="shared" si="485"/>
        <v>35</v>
      </c>
      <c r="AF84">
        <f>IF(AND(AE84&lt;15,OR(AC84&gt;=30,AA84&gt;0.15,X84&gt;=0.15)),2,VLOOKUP(AE84,Table!P:Q,2,FALSE))</f>
        <v>5</v>
      </c>
      <c r="AG84" s="22">
        <f>IF((AB84*0.98)-(D84*0.8)+((AF84-3)*3)+VLOOKUP(AM84,Table!$A$11:$B$13,2,FALSE)&lt;0,0,(AB84*0.98)-(D84*0.8)+((AF84-3)*3)+VLOOKUP(AM84,Table!$A$11:$B$13,2,FALSE))</f>
        <v>90.939400000000006</v>
      </c>
      <c r="AH84" s="22">
        <f t="shared" si="534"/>
        <v>91</v>
      </c>
      <c r="AI84" s="18">
        <f t="shared" si="527"/>
        <v>0.47</v>
      </c>
      <c r="AJ84" s="18">
        <f t="shared" si="528"/>
        <v>0.35</v>
      </c>
      <c r="AK84" t="str">
        <f t="shared" si="513"/>
        <v>Rising Rates</v>
      </c>
      <c r="AL84">
        <f t="shared" si="524"/>
        <v>35</v>
      </c>
      <c r="AM84" s="11" t="str">
        <f t="shared" si="514"/>
        <v>Stocks</v>
      </c>
      <c r="AN84" t="str">
        <f t="shared" si="520"/>
        <v>Buy</v>
      </c>
      <c r="AO84" s="13">
        <f t="shared" si="521"/>
        <v>1.03E-2</v>
      </c>
      <c r="AP84" s="13">
        <f t="shared" si="522"/>
        <v>1E-4</v>
      </c>
      <c r="AQ84" s="13">
        <f t="shared" si="523"/>
        <v>9.4000000000000004E-3</v>
      </c>
      <c r="AR84" s="13">
        <f t="shared" si="515"/>
        <v>1.03E-2</v>
      </c>
      <c r="AS84" s="6">
        <f t="shared" si="506"/>
        <v>565.53569840739726</v>
      </c>
      <c r="AT84" s="6">
        <f t="shared" si="507"/>
        <v>186.83166432275627</v>
      </c>
      <c r="AU84" s="6">
        <f t="shared" si="508"/>
        <v>861.48117784896397</v>
      </c>
      <c r="AV84" s="6">
        <f t="shared" si="509"/>
        <v>1326.3848285737211</v>
      </c>
      <c r="AW84" s="58">
        <f t="shared" si="516"/>
        <v>2017</v>
      </c>
      <c r="AX84" s="58">
        <f>COUNTIF(AW$3:AW84,AW84)</f>
        <v>50</v>
      </c>
    </row>
    <row r="85" spans="1:50" x14ac:dyDescent="0.25">
      <c r="A85" s="5">
        <v>42750</v>
      </c>
      <c r="B85">
        <v>2274.64</v>
      </c>
      <c r="C85">
        <v>0.51</v>
      </c>
      <c r="D85" s="6">
        <v>11.23</v>
      </c>
      <c r="E85" s="18">
        <f t="shared" si="529"/>
        <v>12.2</v>
      </c>
      <c r="F85">
        <f t="shared" si="530"/>
        <v>2</v>
      </c>
      <c r="G85" s="18">
        <f>ROUND(INDEX(Valuation!U:U,MATCH(A85,Valuation!A:A,0)),2)</f>
        <v>97.71</v>
      </c>
      <c r="H85">
        <f t="shared" si="327"/>
        <v>0</v>
      </c>
      <c r="I85" s="18">
        <f>INDEX(WeeklyIndicators!Y:Y,MATCH(A85,WeeklyIndicators!A:A,0))</f>
        <v>156.4</v>
      </c>
      <c r="J85">
        <f t="shared" si="526"/>
        <v>2</v>
      </c>
      <c r="K85">
        <f>ROUND(INDEX(Economic!AF:AF,MATCH(EOMONTH($A85,-1),Economic!A:A,0)),2)</f>
        <v>114.72</v>
      </c>
      <c r="L85" s="11">
        <f t="shared" si="535"/>
        <v>1</v>
      </c>
      <c r="M85">
        <f>ROUND(INDEX(Manufacturing!P:P,MATCH(EOMONTH($A85,-1),Manufacturing!A:A,0)),2)</f>
        <v>90.33</v>
      </c>
      <c r="N85">
        <f t="shared" si="531"/>
        <v>1</v>
      </c>
      <c r="O85">
        <f>ROUND(INDEX(Housing!AC:AC,MATCH(EOMONTH($A85,-1),Housing!B:B,0)),2)</f>
        <v>153.93</v>
      </c>
      <c r="P85">
        <f t="shared" si="532"/>
        <v>3</v>
      </c>
      <c r="Q85">
        <f>ROUND(INDEX(Spending!AJ:AJ,MATCH(EOMONTH($A85,-1),Spending!B:B,0)),2)</f>
        <v>60.7</v>
      </c>
      <c r="R85">
        <f t="shared" si="536"/>
        <v>2</v>
      </c>
      <c r="S85">
        <f>ROUND(INDEX(Employment!V:V,MATCH(EOMONTH($A85,-1),Employment!A:A,0)),2)</f>
        <v>172</v>
      </c>
      <c r="T85" s="11">
        <f t="shared" si="533"/>
        <v>1</v>
      </c>
      <c r="U85">
        <f t="shared" si="525"/>
        <v>32</v>
      </c>
      <c r="V85">
        <f t="shared" si="517"/>
        <v>80.930000000000007</v>
      </c>
      <c r="W85" s="13">
        <f t="shared" si="518"/>
        <v>3.3999999999999998E-3</v>
      </c>
      <c r="X85" s="13">
        <f t="shared" si="519"/>
        <v>6.8999999999999999E-3</v>
      </c>
      <c r="Y85">
        <f t="shared" si="511"/>
        <v>81.89</v>
      </c>
      <c r="Z85" s="13">
        <f t="shared" si="503"/>
        <v>1.2999999999999999E-3</v>
      </c>
      <c r="AA85" s="13">
        <f t="shared" si="463"/>
        <v>8.9999999999999976E-4</v>
      </c>
      <c r="AB85" s="6">
        <f t="shared" si="512"/>
        <v>86.991</v>
      </c>
      <c r="AC85">
        <f t="shared" si="496"/>
        <v>43</v>
      </c>
      <c r="AD85" s="11">
        <f t="shared" si="499"/>
        <v>1</v>
      </c>
      <c r="AE85">
        <f t="shared" si="485"/>
        <v>35</v>
      </c>
      <c r="AF85">
        <f>IF(AND(AE85&lt;15,OR(AC85&gt;=30,AA85&gt;0.15,X85&gt;=0.15)),2,VLOOKUP(AE85,Table!P:Q,2,FALSE))</f>
        <v>5</v>
      </c>
      <c r="AG85" s="22">
        <f>IF((AB85*0.98)-(D85*0.8)+((AF85-3)*3)+VLOOKUP(AM85,Table!$A$11:$B$13,2,FALSE)&lt;0,0,(AB85*0.98)-(D85*0.8)+((AF85-3)*3)+VLOOKUP(AM85,Table!$A$11:$B$13,2,FALSE))</f>
        <v>90.26718000000001</v>
      </c>
      <c r="AH85" s="22">
        <f t="shared" si="534"/>
        <v>91</v>
      </c>
      <c r="AI85" s="18">
        <f t="shared" si="527"/>
        <v>0.46</v>
      </c>
      <c r="AJ85" s="18">
        <f t="shared" si="528"/>
        <v>0.34</v>
      </c>
      <c r="AK85" t="str">
        <f t="shared" si="513"/>
        <v>Rising Rates</v>
      </c>
      <c r="AL85">
        <f t="shared" si="524"/>
        <v>34.75</v>
      </c>
      <c r="AM85" s="11" t="str">
        <f t="shared" si="514"/>
        <v>Stocks</v>
      </c>
      <c r="AN85" t="str">
        <f t="shared" si="520"/>
        <v>Buy</v>
      </c>
      <c r="AO85" s="13">
        <f t="shared" si="521"/>
        <v>-1.5E-3</v>
      </c>
      <c r="AP85" s="13">
        <f t="shared" si="522"/>
        <v>1E-4</v>
      </c>
      <c r="AQ85" s="13">
        <f t="shared" si="523"/>
        <v>-1.4E-3</v>
      </c>
      <c r="AR85" s="13">
        <f t="shared" si="515"/>
        <v>-1.5E-3</v>
      </c>
      <c r="AS85" s="6">
        <f t="shared" si="506"/>
        <v>566.38527632188004</v>
      </c>
      <c r="AT85" s="6">
        <f t="shared" si="507"/>
        <v>186.81298302445381</v>
      </c>
      <c r="AU85" s="6">
        <f t="shared" si="508"/>
        <v>862.68894236827953</v>
      </c>
      <c r="AV85" s="6">
        <f t="shared" si="509"/>
        <v>1328.3773946657195</v>
      </c>
      <c r="AW85" s="58">
        <f t="shared" si="516"/>
        <v>2017</v>
      </c>
      <c r="AX85" s="58">
        <f>COUNTIF(AW$3:AW85,AW85)</f>
        <v>51</v>
      </c>
    </row>
    <row r="86" spans="1:50" x14ac:dyDescent="0.25">
      <c r="A86" s="5">
        <v>42743</v>
      </c>
      <c r="B86">
        <v>2276.98</v>
      </c>
      <c r="C86">
        <v>0.52</v>
      </c>
      <c r="D86" s="6">
        <v>11.32</v>
      </c>
      <c r="E86" s="18">
        <f t="shared" si="529"/>
        <v>12.27</v>
      </c>
      <c r="F86">
        <f t="shared" si="530"/>
        <v>2</v>
      </c>
      <c r="G86" s="18">
        <f>ROUND(INDEX(Valuation!U:U,MATCH(A86,Valuation!A:A,0)),2)</f>
        <v>98.87</v>
      </c>
      <c r="H86">
        <f t="shared" si="327"/>
        <v>0</v>
      </c>
      <c r="I86" s="18">
        <f>INDEX(WeeklyIndicators!Y:Y,MATCH(A86,WeeklyIndicators!A:A,0))</f>
        <v>153</v>
      </c>
      <c r="J86">
        <f t="shared" si="526"/>
        <v>2</v>
      </c>
      <c r="K86">
        <f>ROUND(INDEX(Economic!AF:AF,MATCH(EOMONTH($A86,-1),Economic!A:A,0)),2)</f>
        <v>114.72</v>
      </c>
      <c r="L86" s="11">
        <f t="shared" si="535"/>
        <v>1</v>
      </c>
      <c r="M86">
        <f>ROUND(INDEX(Manufacturing!P:P,MATCH(EOMONTH($A86,-1),Manufacturing!A:A,0)),2)</f>
        <v>90.33</v>
      </c>
      <c r="N86">
        <f t="shared" si="531"/>
        <v>1</v>
      </c>
      <c r="O86">
        <f>ROUND(INDEX(Housing!AC:AC,MATCH(EOMONTH($A86,-1),Housing!B:B,0)),2)</f>
        <v>153.93</v>
      </c>
      <c r="P86">
        <f t="shared" si="532"/>
        <v>3</v>
      </c>
      <c r="Q86">
        <f>ROUND(INDEX(Spending!AJ:AJ,MATCH(EOMONTH($A86,-1),Spending!B:B,0)),2)</f>
        <v>60.7</v>
      </c>
      <c r="R86">
        <f t="shared" si="536"/>
        <v>2</v>
      </c>
      <c r="S86">
        <f>ROUND(INDEX(Employment!V:V,MATCH(EOMONTH($A86,-1),Employment!A:A,0)),2)</f>
        <v>172</v>
      </c>
      <c r="T86" s="11">
        <f t="shared" si="533"/>
        <v>1</v>
      </c>
      <c r="U86">
        <f t="shared" si="525"/>
        <v>32</v>
      </c>
      <c r="V86">
        <f t="shared" si="517"/>
        <v>80.569999999999993</v>
      </c>
      <c r="W86" s="13">
        <f t="shared" si="518"/>
        <v>1E-4</v>
      </c>
      <c r="X86" s="13">
        <f t="shared" si="519"/>
        <v>1.77E-2</v>
      </c>
      <c r="Y86">
        <f t="shared" si="511"/>
        <v>81.64</v>
      </c>
      <c r="Z86" s="13">
        <f t="shared" si="503"/>
        <v>-1.1000000000000001E-3</v>
      </c>
      <c r="AA86" s="13">
        <f t="shared" si="463"/>
        <v>1.2100000000000001E-2</v>
      </c>
      <c r="AB86" s="6">
        <f t="shared" si="512"/>
        <v>87.697000000000003</v>
      </c>
      <c r="AC86">
        <f t="shared" si="496"/>
        <v>44</v>
      </c>
      <c r="AD86" s="11">
        <f t="shared" si="499"/>
        <v>1</v>
      </c>
      <c r="AE86">
        <f t="shared" si="485"/>
        <v>35</v>
      </c>
      <c r="AF86">
        <f>IF(AND(AE86&lt;15,OR(AC86&gt;=30,AA86&gt;0.15,X86&gt;=0.15)),2,VLOOKUP(AE86,Table!P:Q,2,FALSE))</f>
        <v>5</v>
      </c>
      <c r="AG86" s="22">
        <f>IF((AB86*0.98)-(D86*0.8)+((AF86-3)*3)+VLOOKUP(AM86,Table!$A$11:$B$13,2,FALSE)&lt;0,0,(AB86*0.98)-(D86*0.8)+((AF86-3)*3)+VLOOKUP(AM86,Table!$A$11:$B$13,2,FALSE))</f>
        <v>90.887060000000005</v>
      </c>
      <c r="AH86" s="22">
        <f t="shared" si="534"/>
        <v>92</v>
      </c>
      <c r="AI86" s="18">
        <f t="shared" si="527"/>
        <v>0.44</v>
      </c>
      <c r="AJ86" s="18">
        <f t="shared" si="528"/>
        <v>0.34</v>
      </c>
      <c r="AK86" t="str">
        <f t="shared" si="513"/>
        <v>Rising Rates</v>
      </c>
      <c r="AL86">
        <f t="shared" si="524"/>
        <v>34.5</v>
      </c>
      <c r="AM86" s="11" t="str">
        <f t="shared" si="514"/>
        <v>Stocks</v>
      </c>
      <c r="AN86" t="str">
        <f t="shared" si="520"/>
        <v>Buy</v>
      </c>
      <c r="AO86" s="13">
        <f t="shared" si="521"/>
        <v>-1E-3</v>
      </c>
      <c r="AP86" s="13">
        <f t="shared" si="522"/>
        <v>1E-4</v>
      </c>
      <c r="AQ86" s="13">
        <f t="shared" si="523"/>
        <v>-8.9999999999999998E-4</v>
      </c>
      <c r="AR86" s="13">
        <f t="shared" si="515"/>
        <v>-1E-3</v>
      </c>
      <c r="AS86" s="6">
        <f t="shared" si="506"/>
        <v>566.9522285504305</v>
      </c>
      <c r="AT86" s="6">
        <f t="shared" si="507"/>
        <v>186.7943035940944</v>
      </c>
      <c r="AU86" s="6">
        <f t="shared" si="508"/>
        <v>863.46606182392111</v>
      </c>
      <c r="AV86" s="6">
        <f t="shared" si="509"/>
        <v>1329.7071017674871</v>
      </c>
      <c r="AW86" s="58">
        <f t="shared" si="516"/>
        <v>2017</v>
      </c>
      <c r="AX86" s="58">
        <f>COUNTIF(AW$3:AW86,AW86)</f>
        <v>52</v>
      </c>
    </row>
    <row r="87" spans="1:50" x14ac:dyDescent="0.25">
      <c r="A87" s="5">
        <v>42736</v>
      </c>
      <c r="B87">
        <v>2238.83</v>
      </c>
      <c r="C87">
        <v>0.5</v>
      </c>
      <c r="D87" s="6">
        <v>14.04</v>
      </c>
      <c r="E87" s="18">
        <f t="shared" si="529"/>
        <v>12.56</v>
      </c>
      <c r="F87">
        <f t="shared" si="530"/>
        <v>2</v>
      </c>
      <c r="G87" s="18">
        <f>ROUND(INDEX(Valuation!U:U,MATCH(A87,Valuation!A:A,0)),2)</f>
        <v>99.85</v>
      </c>
      <c r="H87">
        <f t="shared" si="327"/>
        <v>0</v>
      </c>
      <c r="I87" s="18">
        <f>INDEX(WeeklyIndicators!Y:Y,MATCH(A87,WeeklyIndicators!A:A,0))</f>
        <v>156.35</v>
      </c>
      <c r="J87">
        <f t="shared" si="526"/>
        <v>2</v>
      </c>
      <c r="K87">
        <f>ROUND(INDEX(Economic!AF:AF,MATCH(EOMONTH($A87,-1),Economic!A:A,0)),2)</f>
        <v>114.72</v>
      </c>
      <c r="L87" s="11">
        <f t="shared" si="535"/>
        <v>1</v>
      </c>
      <c r="M87">
        <f>ROUND(INDEX(Manufacturing!P:P,MATCH(EOMONTH($A87,-1),Manufacturing!A:A,0)),2)</f>
        <v>90.33</v>
      </c>
      <c r="N87">
        <f t="shared" si="531"/>
        <v>1</v>
      </c>
      <c r="O87">
        <f>ROUND(INDEX(Housing!AC:AC,MATCH(EOMONTH($A87,-1),Housing!B:B,0)),2)</f>
        <v>153.93</v>
      </c>
      <c r="P87">
        <f t="shared" si="532"/>
        <v>3</v>
      </c>
      <c r="Q87">
        <f>ROUND(INDEX(Spending!AJ:AJ,MATCH(EOMONTH($A87,-1),Spending!B:B,0)),2)</f>
        <v>60.7</v>
      </c>
      <c r="R87">
        <f t="shared" si="536"/>
        <v>2</v>
      </c>
      <c r="S87">
        <f>ROUND(INDEX(Employment!V:V,MATCH(EOMONTH($A87,-1),Employment!A:A,0)),2)</f>
        <v>172</v>
      </c>
      <c r="T87" s="11">
        <f t="shared" si="533"/>
        <v>1</v>
      </c>
      <c r="U87">
        <f t="shared" si="525"/>
        <v>32</v>
      </c>
      <c r="V87">
        <f t="shared" si="517"/>
        <v>80.92</v>
      </c>
      <c r="W87" s="13">
        <f t="shared" si="518"/>
        <v>2.2000000000000001E-3</v>
      </c>
      <c r="X87" s="13">
        <f t="shared" si="519"/>
        <v>3.3299999999999996E-2</v>
      </c>
      <c r="Y87">
        <f t="shared" si="511"/>
        <v>81.99</v>
      </c>
      <c r="Z87" s="13">
        <f t="shared" si="503"/>
        <v>1E-4</v>
      </c>
      <c r="AA87" s="13">
        <f t="shared" si="463"/>
        <v>3.2199999999999999E-2</v>
      </c>
      <c r="AB87" s="6">
        <f t="shared" si="512"/>
        <v>89.665000000000006</v>
      </c>
      <c r="AC87">
        <f t="shared" si="496"/>
        <v>45</v>
      </c>
      <c r="AD87" s="11">
        <f t="shared" si="499"/>
        <v>1</v>
      </c>
      <c r="AE87">
        <f t="shared" si="485"/>
        <v>35</v>
      </c>
      <c r="AF87">
        <f>IF(AND(AE87&lt;15,OR(AC87&gt;=30,AA87&gt;0.15,X87&gt;=0.15)),2,VLOOKUP(AE87,Table!P:Q,2,FALSE))</f>
        <v>5</v>
      </c>
      <c r="AG87" s="22">
        <f>IF((AB87*0.98)-(D87*0.8)+((AF87-3)*3)+VLOOKUP(AM87,Table!$A$11:$B$13,2,FALSE)&lt;0,0,(AB87*0.98)-(D87*0.8)+((AF87-3)*3)+VLOOKUP(AM87,Table!$A$11:$B$13,2,FALSE))</f>
        <v>90.639700000000005</v>
      </c>
      <c r="AH87" s="22">
        <f t="shared" si="534"/>
        <v>93</v>
      </c>
      <c r="AI87" s="18">
        <f t="shared" si="527"/>
        <v>0.43</v>
      </c>
      <c r="AJ87" s="18">
        <f t="shared" si="528"/>
        <v>0.33</v>
      </c>
      <c r="AK87" t="str">
        <f t="shared" si="513"/>
        <v>Rising Rates</v>
      </c>
      <c r="AL87">
        <f t="shared" si="524"/>
        <v>34.25</v>
      </c>
      <c r="AM87" s="11" t="str">
        <f t="shared" si="514"/>
        <v>Stocks</v>
      </c>
      <c r="AN87" t="str">
        <f t="shared" si="520"/>
        <v>Buy</v>
      </c>
      <c r="AO87" s="13">
        <f t="shared" si="521"/>
        <v>1.7000000000000001E-2</v>
      </c>
      <c r="AP87" s="13">
        <f t="shared" si="522"/>
        <v>1E-4</v>
      </c>
      <c r="AQ87" s="13">
        <f t="shared" si="523"/>
        <v>1.5800000000000002E-2</v>
      </c>
      <c r="AR87" s="13">
        <f t="shared" si="515"/>
        <v>1.7000000000000001E-2</v>
      </c>
      <c r="AS87" s="6">
        <f t="shared" si="506"/>
        <v>557.47515098370752</v>
      </c>
      <c r="AT87" s="6">
        <f t="shared" si="507"/>
        <v>186.77562603149124</v>
      </c>
      <c r="AU87" s="6">
        <f t="shared" si="508"/>
        <v>850.03550090955014</v>
      </c>
      <c r="AV87" s="6">
        <f t="shared" si="509"/>
        <v>1307.4799427408921</v>
      </c>
      <c r="AW87" s="58">
        <f t="shared" si="516"/>
        <v>2017</v>
      </c>
      <c r="AX87" s="58">
        <f>COUNTIF(AW$3:AW87,AW87)</f>
        <v>53</v>
      </c>
    </row>
    <row r="88" spans="1:50" x14ac:dyDescent="0.25">
      <c r="A88" s="5">
        <v>42729</v>
      </c>
      <c r="B88">
        <v>2263.79</v>
      </c>
      <c r="C88">
        <v>0.51</v>
      </c>
      <c r="D88" s="6">
        <v>11.44</v>
      </c>
      <c r="E88" s="18">
        <f t="shared" si="529"/>
        <v>11.8</v>
      </c>
      <c r="F88">
        <f t="shared" si="530"/>
        <v>2</v>
      </c>
      <c r="G88" s="18">
        <f>ROUND(INDEX(Valuation!U:U,MATCH(A88,Valuation!A:A,0)),2)</f>
        <v>100.89</v>
      </c>
      <c r="H88">
        <f t="shared" si="327"/>
        <v>0</v>
      </c>
      <c r="I88" s="18">
        <f>INDEX(WeeklyIndicators!Y:Y,MATCH(A88,WeeklyIndicators!A:A,0))</f>
        <v>161.44999999999999</v>
      </c>
      <c r="J88">
        <f t="shared" si="526"/>
        <v>2</v>
      </c>
      <c r="K88">
        <f>ROUND(INDEX(Economic!AF:AF,MATCH(EOMONTH($A88,-1),Economic!A:A,0)),2)</f>
        <v>111.07</v>
      </c>
      <c r="L88" s="11">
        <f t="shared" si="535"/>
        <v>1</v>
      </c>
      <c r="M88">
        <f>ROUND(INDEX(Manufacturing!P:P,MATCH(EOMONTH($A88,-1),Manufacturing!A:A,0)),2)</f>
        <v>86.1</v>
      </c>
      <c r="N88">
        <f t="shared" si="531"/>
        <v>0</v>
      </c>
      <c r="O88">
        <f>ROUND(INDEX(Housing!AC:AC,MATCH(EOMONTH($A88,-1),Housing!B:B,0)),2)</f>
        <v>151.72</v>
      </c>
      <c r="P88">
        <f t="shared" si="532"/>
        <v>3</v>
      </c>
      <c r="Q88">
        <f>ROUND(INDEX(Spending!AJ:AJ,MATCH(EOMONTH($A88,-1),Spending!B:B,0)),2)</f>
        <v>61.32</v>
      </c>
      <c r="R88">
        <f t="shared" si="536"/>
        <v>2</v>
      </c>
      <c r="S88">
        <f>ROUND(INDEX(Employment!V:V,MATCH(EOMONTH($A88,-1),Employment!A:A,0)),2)</f>
        <v>170.48</v>
      </c>
      <c r="T88" s="11">
        <f t="shared" si="533"/>
        <v>1</v>
      </c>
      <c r="U88">
        <f t="shared" si="525"/>
        <v>31</v>
      </c>
      <c r="V88">
        <f t="shared" si="517"/>
        <v>80.12</v>
      </c>
      <c r="W88" s="13">
        <f t="shared" si="518"/>
        <v>1.1999999999999999E-3</v>
      </c>
      <c r="X88" s="13">
        <f t="shared" si="519"/>
        <v>4.3400000000000001E-2</v>
      </c>
      <c r="Y88">
        <f t="shared" si="511"/>
        <v>81.569999999999993</v>
      </c>
      <c r="Z88" s="13">
        <f t="shared" si="503"/>
        <v>5.9999999999999995E-4</v>
      </c>
      <c r="AA88" s="13">
        <f t="shared" si="463"/>
        <v>0.05</v>
      </c>
      <c r="AB88" s="6">
        <f t="shared" si="512"/>
        <v>90.608999999999995</v>
      </c>
      <c r="AC88">
        <f t="shared" si="496"/>
        <v>45</v>
      </c>
      <c r="AD88" s="11">
        <f t="shared" si="499"/>
        <v>1</v>
      </c>
      <c r="AE88">
        <f t="shared" si="485"/>
        <v>34</v>
      </c>
      <c r="AF88">
        <f>IF(AND(AE88&lt;15,OR(AC88&gt;=30,AA88&gt;0.15,X88&gt;=0.15)),2,VLOOKUP(AE88,Table!P:Q,2,FALSE))</f>
        <v>5</v>
      </c>
      <c r="AG88" s="22">
        <f>IF((AB88*0.98)-(D88*0.8)+((AF88-3)*3)+VLOOKUP(AM88,Table!$A$11:$B$13,2,FALSE)&lt;0,0,(AB88*0.98)-(D88*0.8)+((AF88-3)*3)+VLOOKUP(AM88,Table!$A$11:$B$13,2,FALSE))</f>
        <v>93.644819999999996</v>
      </c>
      <c r="AH88" s="22">
        <f t="shared" si="534"/>
        <v>93</v>
      </c>
      <c r="AI88" s="18">
        <f t="shared" si="527"/>
        <v>0.41</v>
      </c>
      <c r="AJ88" s="18">
        <f t="shared" si="528"/>
        <v>0.32</v>
      </c>
      <c r="AK88" t="str">
        <f t="shared" si="513"/>
        <v>Rising Rates</v>
      </c>
      <c r="AL88">
        <f t="shared" si="524"/>
        <v>34</v>
      </c>
      <c r="AM88" s="11" t="str">
        <f t="shared" si="514"/>
        <v>Stocks</v>
      </c>
      <c r="AN88" t="str">
        <f t="shared" si="520"/>
        <v>Buy</v>
      </c>
      <c r="AO88" s="13">
        <f t="shared" si="521"/>
        <v>-1.0999999999999999E-2</v>
      </c>
      <c r="AP88" s="13">
        <f t="shared" si="522"/>
        <v>1E-4</v>
      </c>
      <c r="AQ88" s="13">
        <f t="shared" si="523"/>
        <v>-1.0200000000000001E-2</v>
      </c>
      <c r="AR88" s="13">
        <f t="shared" si="515"/>
        <v>-1.0999999999999999E-2</v>
      </c>
      <c r="AS88" s="6">
        <f t="shared" si="506"/>
        <v>563.67558238999754</v>
      </c>
      <c r="AT88" s="6">
        <f t="shared" si="507"/>
        <v>186.75695033645761</v>
      </c>
      <c r="AU88" s="6">
        <f t="shared" si="508"/>
        <v>858.79521207269158</v>
      </c>
      <c r="AV88" s="6">
        <f t="shared" si="509"/>
        <v>1322.0221867956441</v>
      </c>
      <c r="AW88" s="58">
        <f t="shared" si="516"/>
        <v>2016</v>
      </c>
      <c r="AX88" s="58">
        <f>COUNTIF(AW$3:AW88,AW88)</f>
        <v>1</v>
      </c>
    </row>
    <row r="89" spans="1:50" x14ac:dyDescent="0.25">
      <c r="A89" s="5">
        <v>42722</v>
      </c>
      <c r="B89">
        <v>2258.0700000000002</v>
      </c>
      <c r="C89">
        <v>0.52</v>
      </c>
      <c r="D89" s="6">
        <v>12.2</v>
      </c>
      <c r="E89" s="18">
        <f t="shared" si="529"/>
        <v>12.69</v>
      </c>
      <c r="F89">
        <f t="shared" si="530"/>
        <v>2</v>
      </c>
      <c r="G89" s="18">
        <f>ROUND(INDEX(Valuation!U:U,MATCH(A89,Valuation!A:A,0)),2)</f>
        <v>102.94</v>
      </c>
      <c r="H89">
        <f t="shared" si="327"/>
        <v>0</v>
      </c>
      <c r="I89" s="18">
        <f>INDEX(WeeklyIndicators!Y:Y,MATCH(A89,WeeklyIndicators!A:A,0))</f>
        <v>165.65</v>
      </c>
      <c r="J89">
        <f t="shared" si="526"/>
        <v>2</v>
      </c>
      <c r="K89">
        <f>ROUND(INDEX(Economic!AF:AF,MATCH(EOMONTH($A89,-1),Economic!A:A,0)),2)</f>
        <v>111.07</v>
      </c>
      <c r="L89" s="11">
        <f t="shared" si="535"/>
        <v>1</v>
      </c>
      <c r="M89">
        <f>ROUND(INDEX(Manufacturing!P:P,MATCH(EOMONTH($A89,-1),Manufacturing!A:A,0)),2)</f>
        <v>86.1</v>
      </c>
      <c r="N89">
        <f t="shared" si="531"/>
        <v>0</v>
      </c>
      <c r="O89">
        <f>ROUND(INDEX(Housing!AC:AC,MATCH(EOMONTH($A89,-1),Housing!B:B,0)),2)</f>
        <v>151.72</v>
      </c>
      <c r="P89">
        <f t="shared" si="532"/>
        <v>3</v>
      </c>
      <c r="Q89">
        <f>ROUND(INDEX(Spending!AJ:AJ,MATCH(EOMONTH($A89,-1),Spending!B:B,0)),2)</f>
        <v>61.32</v>
      </c>
      <c r="R89">
        <f t="shared" si="536"/>
        <v>2</v>
      </c>
      <c r="S89">
        <f>ROUND(INDEX(Employment!V:V,MATCH(EOMONTH($A89,-1),Employment!A:A,0)),2)</f>
        <v>170.48</v>
      </c>
      <c r="T89" s="11">
        <f t="shared" si="533"/>
        <v>1</v>
      </c>
      <c r="U89">
        <f t="shared" si="525"/>
        <v>31</v>
      </c>
      <c r="V89">
        <f t="shared" si="517"/>
        <v>80.55</v>
      </c>
      <c r="W89" s="13">
        <f t="shared" si="518"/>
        <v>1.4200000000000001E-2</v>
      </c>
      <c r="X89" s="13">
        <f t="shared" si="519"/>
        <v>0.04</v>
      </c>
      <c r="Y89">
        <f t="shared" si="511"/>
        <v>81.92</v>
      </c>
      <c r="Z89" s="13">
        <f t="shared" si="503"/>
        <v>1.2500000000000001E-2</v>
      </c>
      <c r="AA89" s="13">
        <f t="shared" si="463"/>
        <v>5.4300000000000001E-2</v>
      </c>
      <c r="AB89" s="6">
        <f t="shared" si="512"/>
        <v>91.433999999999997</v>
      </c>
      <c r="AC89">
        <f t="shared" si="496"/>
        <v>46</v>
      </c>
      <c r="AD89" s="11">
        <f t="shared" si="499"/>
        <v>1</v>
      </c>
      <c r="AE89">
        <f t="shared" si="485"/>
        <v>34</v>
      </c>
      <c r="AF89">
        <f>IF(AND(AE89&lt;15,OR(AC89&gt;=30,AA89&gt;0.15,X89&gt;=0.15)),2,VLOOKUP(AE89,Table!P:Q,2,FALSE))</f>
        <v>5</v>
      </c>
      <c r="AG89" s="22">
        <f>IF((AB89*0.98)-(D89*0.8)+((AF89-3)*3)+VLOOKUP(AM89,Table!$A$11:$B$13,2,FALSE)&lt;0,0,(AB89*0.98)-(D89*0.8)+((AF89-3)*3)+VLOOKUP(AM89,Table!$A$11:$B$13,2,FALSE))</f>
        <v>93.845319999999987</v>
      </c>
      <c r="AH89" s="22">
        <f t="shared" si="534"/>
        <v>92</v>
      </c>
      <c r="AI89" s="18">
        <f t="shared" si="527"/>
        <v>0.39</v>
      </c>
      <c r="AJ89" s="18">
        <f t="shared" si="528"/>
        <v>0.32</v>
      </c>
      <c r="AK89" t="str">
        <f t="shared" si="513"/>
        <v>Rising Rates</v>
      </c>
      <c r="AL89">
        <f t="shared" si="524"/>
        <v>33</v>
      </c>
      <c r="AM89" s="11" t="str">
        <f t="shared" si="514"/>
        <v>Stocks</v>
      </c>
      <c r="AN89" t="str">
        <f t="shared" si="520"/>
        <v>Buy</v>
      </c>
      <c r="AO89" s="13">
        <f t="shared" si="521"/>
        <v>2.5000000000000001E-3</v>
      </c>
      <c r="AP89" s="13">
        <f t="shared" si="522"/>
        <v>1E-4</v>
      </c>
      <c r="AQ89" s="13">
        <f t="shared" si="523"/>
        <v>2.3E-3</v>
      </c>
      <c r="AR89" s="13">
        <f t="shared" si="515"/>
        <v>2.5000000000000001E-3</v>
      </c>
      <c r="AS89" s="6">
        <f t="shared" si="506"/>
        <v>562.26990762094522</v>
      </c>
      <c r="AT89" s="6">
        <f t="shared" si="507"/>
        <v>186.73827650880673</v>
      </c>
      <c r="AU89" s="6">
        <f t="shared" si="508"/>
        <v>856.82451568661236</v>
      </c>
      <c r="AV89" s="6">
        <f t="shared" si="509"/>
        <v>1318.7253733622385</v>
      </c>
      <c r="AW89" s="58">
        <f t="shared" si="516"/>
        <v>2016</v>
      </c>
      <c r="AX89" s="58">
        <f>COUNTIF(AW$3:AW89,AW89)</f>
        <v>2</v>
      </c>
    </row>
    <row r="90" spans="1:50" x14ac:dyDescent="0.25">
      <c r="A90" s="5">
        <v>42715</v>
      </c>
      <c r="B90">
        <v>2259.5300000000002</v>
      </c>
      <c r="C90">
        <v>0.5</v>
      </c>
      <c r="D90" s="6">
        <v>11.75</v>
      </c>
      <c r="E90" s="18">
        <f t="shared" si="529"/>
        <v>12.74</v>
      </c>
      <c r="F90">
        <f t="shared" si="530"/>
        <v>2</v>
      </c>
      <c r="G90" s="18">
        <f>ROUND(INDEX(Valuation!U:U,MATCH(A90,Valuation!A:A,0)),2)</f>
        <v>104.83</v>
      </c>
      <c r="H90">
        <f t="shared" si="327"/>
        <v>0</v>
      </c>
      <c r="I90" s="18">
        <f>INDEX(WeeklyIndicators!Y:Y,MATCH(A90,WeeklyIndicators!A:A,0))</f>
        <v>164.2</v>
      </c>
      <c r="J90">
        <f t="shared" si="526"/>
        <v>2</v>
      </c>
      <c r="K90">
        <f>ROUND(INDEX(Economic!AF:AF,MATCH(EOMONTH($A90,-1),Economic!A:A,0)),2)</f>
        <v>111.07</v>
      </c>
      <c r="L90" s="11">
        <f t="shared" si="535"/>
        <v>1</v>
      </c>
      <c r="M90">
        <f>ROUND(INDEX(Manufacturing!P:P,MATCH(EOMONTH($A90,-1),Manufacturing!A:A,0)),2)</f>
        <v>86.1</v>
      </c>
      <c r="N90">
        <f t="shared" si="531"/>
        <v>0</v>
      </c>
      <c r="O90">
        <f>ROUND(INDEX(Housing!AC:AC,MATCH(EOMONTH($A90,-1),Housing!B:B,0)),2)</f>
        <v>151.72</v>
      </c>
      <c r="P90">
        <f t="shared" si="532"/>
        <v>3</v>
      </c>
      <c r="Q90">
        <f>ROUND(INDEX(Spending!AJ:AJ,MATCH(EOMONTH($A90,-1),Spending!B:B,0)),2)</f>
        <v>61.32</v>
      </c>
      <c r="R90">
        <f t="shared" si="536"/>
        <v>2</v>
      </c>
      <c r="S90">
        <f>ROUND(INDEX(Employment!V:V,MATCH(EOMONTH($A90,-1),Employment!A:A,0)),2)</f>
        <v>170.48</v>
      </c>
      <c r="T90" s="11">
        <f t="shared" si="533"/>
        <v>1</v>
      </c>
      <c r="U90">
        <f t="shared" si="525"/>
        <v>31</v>
      </c>
      <c r="V90">
        <f t="shared" si="517"/>
        <v>80.400000000000006</v>
      </c>
      <c r="W90" s="13">
        <f t="shared" si="518"/>
        <v>1.5699999999999999E-2</v>
      </c>
      <c r="X90" s="13">
        <f t="shared" si="519"/>
        <v>1.6799999999999995E-2</v>
      </c>
      <c r="Y90">
        <f t="shared" si="511"/>
        <v>81.96</v>
      </c>
      <c r="Z90" s="13">
        <f t="shared" si="503"/>
        <v>1.9E-2</v>
      </c>
      <c r="AA90" s="13">
        <f t="shared" si="463"/>
        <v>3.3400000000000006E-2</v>
      </c>
      <c r="AB90" s="6">
        <f t="shared" si="512"/>
        <v>90.033000000000001</v>
      </c>
      <c r="AC90">
        <f t="shared" si="496"/>
        <v>45</v>
      </c>
      <c r="AD90" s="11">
        <f t="shared" si="499"/>
        <v>1</v>
      </c>
      <c r="AE90">
        <f t="shared" si="485"/>
        <v>34</v>
      </c>
      <c r="AF90">
        <f>IF(AND(AE90&lt;15,OR(AC90&gt;=30,AA90&gt;0.15,X90&gt;=0.15)),2,VLOOKUP(AE90,Table!P:Q,2,FALSE))</f>
        <v>5</v>
      </c>
      <c r="AG90" s="22">
        <f>IF((AB90*0.98)-(D90*0.8)+((AF90-3)*3)+VLOOKUP(AM90,Table!$A$11:$B$13,2,FALSE)&lt;0,0,(AB90*0.98)-(D90*0.8)+((AF90-3)*3)+VLOOKUP(AM90,Table!$A$11:$B$13,2,FALSE))</f>
        <v>92.832339999999988</v>
      </c>
      <c r="AH90" s="22">
        <f t="shared" si="534"/>
        <v>88</v>
      </c>
      <c r="AI90" s="18">
        <f t="shared" si="527"/>
        <v>0.37</v>
      </c>
      <c r="AJ90" s="18">
        <f t="shared" si="528"/>
        <v>0.31</v>
      </c>
      <c r="AK90" t="str">
        <f t="shared" si="513"/>
        <v>Rising Rates</v>
      </c>
      <c r="AL90">
        <f t="shared" si="524"/>
        <v>31.5</v>
      </c>
      <c r="AM90" s="11" t="str">
        <f t="shared" si="514"/>
        <v>Stocks</v>
      </c>
      <c r="AN90" t="str">
        <f t="shared" si="520"/>
        <v>Buy</v>
      </c>
      <c r="AO90" s="13">
        <f t="shared" si="521"/>
        <v>-5.9999999999999995E-4</v>
      </c>
      <c r="AP90" s="13">
        <f t="shared" si="522"/>
        <v>1E-4</v>
      </c>
      <c r="AQ90" s="13">
        <f t="shared" si="523"/>
        <v>-5.0000000000000001E-4</v>
      </c>
      <c r="AR90" s="13">
        <f t="shared" si="515"/>
        <v>-5.9999999999999995E-4</v>
      </c>
      <c r="AS90" s="6">
        <f t="shared" si="506"/>
        <v>562.60747210420777</v>
      </c>
      <c r="AT90" s="6">
        <f t="shared" si="507"/>
        <v>186.7196045483519</v>
      </c>
      <c r="AU90" s="6">
        <f t="shared" si="508"/>
        <v>857.25314225774116</v>
      </c>
      <c r="AV90" s="6">
        <f t="shared" si="509"/>
        <v>1319.5170836124059</v>
      </c>
      <c r="AW90" s="58">
        <f t="shared" si="516"/>
        <v>2016</v>
      </c>
      <c r="AX90" s="58">
        <f>COUNTIF(AW$3:AW90,AW90)</f>
        <v>3</v>
      </c>
    </row>
    <row r="91" spans="1:50" x14ac:dyDescent="0.25">
      <c r="A91" s="5">
        <v>42708</v>
      </c>
      <c r="B91">
        <v>2191.9499999999998</v>
      </c>
      <c r="C91">
        <v>0.48</v>
      </c>
      <c r="D91" s="6">
        <v>14.12</v>
      </c>
      <c r="E91" s="18">
        <f t="shared" si="529"/>
        <v>13.1</v>
      </c>
      <c r="F91">
        <f t="shared" si="530"/>
        <v>2</v>
      </c>
      <c r="G91" s="18">
        <f>ROUND(INDEX(Valuation!U:U,MATCH(A91,Valuation!A:A,0)),2)</f>
        <v>106.22</v>
      </c>
      <c r="H91">
        <f t="shared" si="327"/>
        <v>0</v>
      </c>
      <c r="I91" s="18">
        <f>INDEX(WeeklyIndicators!Y:Y,MATCH(A91,WeeklyIndicators!A:A,0))</f>
        <v>158.77000000000001</v>
      </c>
      <c r="J91">
        <f t="shared" si="526"/>
        <v>2</v>
      </c>
      <c r="K91">
        <f>ROUND(INDEX(Economic!AF:AF,MATCH(EOMONTH($A91,-1),Economic!A:A,0)),2)</f>
        <v>111.07</v>
      </c>
      <c r="L91" s="11">
        <f t="shared" si="535"/>
        <v>1</v>
      </c>
      <c r="M91">
        <f>ROUND(INDEX(Manufacturing!P:P,MATCH(EOMONTH($A91,-1),Manufacturing!A:A,0)),2)</f>
        <v>86.1</v>
      </c>
      <c r="N91">
        <f t="shared" si="531"/>
        <v>0</v>
      </c>
      <c r="O91">
        <f>ROUND(INDEX(Housing!AC:AC,MATCH(EOMONTH($A91,-1),Housing!B:B,0)),2)</f>
        <v>151.72</v>
      </c>
      <c r="P91">
        <f t="shared" si="532"/>
        <v>3</v>
      </c>
      <c r="Q91">
        <f>ROUND(INDEX(Spending!AJ:AJ,MATCH(EOMONTH($A91,-1),Spending!B:B,0)),2)</f>
        <v>61.32</v>
      </c>
      <c r="R91">
        <f t="shared" si="536"/>
        <v>2</v>
      </c>
      <c r="S91">
        <f>ROUND(INDEX(Employment!V:V,MATCH(EOMONTH($A91,-1),Employment!A:A,0)),2)</f>
        <v>170.48</v>
      </c>
      <c r="T91" s="11">
        <f t="shared" si="533"/>
        <v>1</v>
      </c>
      <c r="U91">
        <f t="shared" si="525"/>
        <v>31</v>
      </c>
      <c r="V91">
        <f t="shared" si="517"/>
        <v>79.84</v>
      </c>
      <c r="W91" s="13">
        <f t="shared" si="518"/>
        <v>1.23E-2</v>
      </c>
      <c r="X91" s="13">
        <f t="shared" si="519"/>
        <v>-7.5999999999999991E-3</v>
      </c>
      <c r="Y91">
        <f t="shared" si="511"/>
        <v>81.430000000000007</v>
      </c>
      <c r="Z91" s="13">
        <f t="shared" si="503"/>
        <v>1.7899999999999999E-2</v>
      </c>
      <c r="AA91" s="13">
        <f t="shared" si="463"/>
        <v>3.6000000000000008E-3</v>
      </c>
      <c r="AB91" s="6">
        <f t="shared" si="512"/>
        <v>87.382000000000005</v>
      </c>
      <c r="AC91">
        <f t="shared" si="496"/>
        <v>44</v>
      </c>
      <c r="AD91" s="11">
        <f t="shared" si="499"/>
        <v>1</v>
      </c>
      <c r="AE91">
        <f t="shared" si="485"/>
        <v>34</v>
      </c>
      <c r="AF91">
        <f>IF(AND(AE91&lt;15,OR(AC91&gt;=30,AA91&gt;0.15,X91&gt;=0.15)),2,VLOOKUP(AE91,Table!P:Q,2,FALSE))</f>
        <v>5</v>
      </c>
      <c r="AG91" s="22">
        <f>IF((AB91*0.98)-(D91*0.8)+((AF91-3)*3)+VLOOKUP(AM91,Table!$A$11:$B$13,2,FALSE)&lt;0,0,(AB91*0.98)-(D91*0.8)+((AF91-3)*3)+VLOOKUP(AM91,Table!$A$11:$B$13,2,FALSE))</f>
        <v>88.338359999999994</v>
      </c>
      <c r="AH91" s="22">
        <f t="shared" si="534"/>
        <v>84</v>
      </c>
      <c r="AI91" s="18">
        <f t="shared" si="527"/>
        <v>0.36</v>
      </c>
      <c r="AJ91" s="18">
        <f t="shared" si="528"/>
        <v>0.31</v>
      </c>
      <c r="AK91" t="str">
        <f t="shared" si="513"/>
        <v>Rising Rates</v>
      </c>
      <c r="AL91">
        <f t="shared" si="524"/>
        <v>30</v>
      </c>
      <c r="AM91" s="11" t="str">
        <f t="shared" si="514"/>
        <v>Stocks</v>
      </c>
      <c r="AN91" t="str">
        <f t="shared" si="520"/>
        <v>Buy</v>
      </c>
      <c r="AO91" s="13">
        <f t="shared" si="521"/>
        <v>3.0800000000000001E-2</v>
      </c>
      <c r="AP91" s="13">
        <f t="shared" si="522"/>
        <v>1E-4</v>
      </c>
      <c r="AQ91" s="13">
        <f t="shared" si="523"/>
        <v>2.5899999999999999E-2</v>
      </c>
      <c r="AR91" s="13">
        <f t="shared" si="515"/>
        <v>3.0800000000000001E-2</v>
      </c>
      <c r="AS91" s="6">
        <f t="shared" si="506"/>
        <v>545.79692675999979</v>
      </c>
      <c r="AT91" s="6">
        <f t="shared" si="507"/>
        <v>186.70093445490642</v>
      </c>
      <c r="AU91" s="6">
        <f t="shared" si="508"/>
        <v>835.61082196875054</v>
      </c>
      <c r="AV91" s="6">
        <f t="shared" si="509"/>
        <v>1280.0903023015192</v>
      </c>
      <c r="AW91" s="58">
        <f t="shared" si="516"/>
        <v>2016</v>
      </c>
      <c r="AX91" s="58">
        <f>COUNTIF(AW$3:AW91,AW91)</f>
        <v>4</v>
      </c>
    </row>
    <row r="92" spans="1:50" x14ac:dyDescent="0.25">
      <c r="A92" s="5">
        <v>42701</v>
      </c>
      <c r="B92">
        <v>2213.35</v>
      </c>
      <c r="C92">
        <v>0.48</v>
      </c>
      <c r="D92" s="6">
        <v>12.34</v>
      </c>
      <c r="E92" s="18">
        <f t="shared" si="529"/>
        <v>13.12</v>
      </c>
      <c r="F92">
        <f t="shared" si="530"/>
        <v>2</v>
      </c>
      <c r="G92" s="18">
        <f>ROUND(INDEX(Valuation!U:U,MATCH(A92,Valuation!A:A,0)),2)</f>
        <v>107.43</v>
      </c>
      <c r="H92">
        <f t="shared" ref="H92:H155" si="537">IF(G92&gt;200,3,IF(AND(G92&gt;160,G92&lt;=200),2,IF(AND(G92&gt;120,G92&lt;=160),1,IF(G92&lt;25,-3,IF(AND(G92&lt;50,G92&gt;=25),-2,IF(AND(G92&lt;90,G92&gt;=50),-1,0))))))</f>
        <v>0</v>
      </c>
      <c r="I92" s="18">
        <f>INDEX(WeeklyIndicators!Y:Y,MATCH(A92,WeeklyIndicators!A:A,0))</f>
        <v>149.71</v>
      </c>
      <c r="J92">
        <f t="shared" si="526"/>
        <v>1</v>
      </c>
      <c r="K92">
        <f>ROUND(INDEX(Economic!AF:AF,MATCH(EOMONTH($A92,-1),Economic!A:A,0)),2)</f>
        <v>110.8</v>
      </c>
      <c r="L92" s="11">
        <f t="shared" si="535"/>
        <v>0</v>
      </c>
      <c r="M92">
        <f>ROUND(INDEX(Manufacturing!P:P,MATCH(EOMONTH($A92,-1),Manufacturing!A:A,0)),2)</f>
        <v>79.73</v>
      </c>
      <c r="N92">
        <f t="shared" si="531"/>
        <v>-1</v>
      </c>
      <c r="O92">
        <f>ROUND(INDEX(Housing!AC:AC,MATCH(EOMONTH($A92,-1),Housing!B:B,0)),2)</f>
        <v>144.93</v>
      </c>
      <c r="P92">
        <f t="shared" si="532"/>
        <v>3</v>
      </c>
      <c r="Q92">
        <f>ROUND(INDEX(Spending!AJ:AJ,MATCH(EOMONTH($A92,-1),Spending!B:B,0)),2)</f>
        <v>62.74</v>
      </c>
      <c r="R92">
        <f t="shared" si="536"/>
        <v>2</v>
      </c>
      <c r="S92">
        <f>ROUND(INDEX(Employment!V:V,MATCH(EOMONTH($A92,-1),Employment!A:A,0)),2)</f>
        <v>165.2</v>
      </c>
      <c r="T92" s="11">
        <f t="shared" si="533"/>
        <v>1</v>
      </c>
      <c r="U92">
        <f t="shared" si="525"/>
        <v>28</v>
      </c>
      <c r="V92">
        <f t="shared" si="517"/>
        <v>77.180000000000007</v>
      </c>
      <c r="W92" s="13">
        <f t="shared" si="518"/>
        <v>-2.2000000000000001E-3</v>
      </c>
      <c r="X92" s="13">
        <f t="shared" si="519"/>
        <v>-2.5100000000000001E-2</v>
      </c>
      <c r="Y92">
        <f t="shared" si="511"/>
        <v>78.900000000000006</v>
      </c>
      <c r="Z92" s="13">
        <f t="shared" si="503"/>
        <v>4.8999999999999998E-3</v>
      </c>
      <c r="AA92" s="13">
        <f t="shared" si="463"/>
        <v>-2.24E-2</v>
      </c>
      <c r="AB92" s="6">
        <f t="shared" si="512"/>
        <v>82.962999999999994</v>
      </c>
      <c r="AC92">
        <f t="shared" si="496"/>
        <v>41</v>
      </c>
      <c r="AD92" s="11">
        <f t="shared" si="499"/>
        <v>0</v>
      </c>
      <c r="AE92">
        <f t="shared" si="485"/>
        <v>30</v>
      </c>
      <c r="AF92">
        <f>IF(AND(AE92&lt;15,OR(AC92&gt;=30,AA92&gt;0.15,X92&gt;=0.15)),2,VLOOKUP(AE92,Table!P:Q,2,FALSE))</f>
        <v>4</v>
      </c>
      <c r="AG92" s="22">
        <f>IF((AB92*0.98)-(D92*0.8)+((AF92-3)*3)+VLOOKUP(AM92,Table!$A$11:$B$13,2,FALSE)&lt;0,0,(AB92*0.98)-(D92*0.8)+((AF92-3)*3)+VLOOKUP(AM92,Table!$A$11:$B$13,2,FALSE))</f>
        <v>82.431739999999991</v>
      </c>
      <c r="AH92" s="22">
        <f t="shared" si="534"/>
        <v>81</v>
      </c>
      <c r="AI92" s="18">
        <f t="shared" si="527"/>
        <v>0.35</v>
      </c>
      <c r="AJ92" s="18">
        <f t="shared" si="528"/>
        <v>0.3</v>
      </c>
      <c r="AK92" t="str">
        <f t="shared" si="513"/>
        <v>Rising Rates</v>
      </c>
      <c r="AL92">
        <f t="shared" si="524"/>
        <v>28.75</v>
      </c>
      <c r="AM92" s="11" t="str">
        <f t="shared" si="514"/>
        <v>Stocks</v>
      </c>
      <c r="AN92" t="str">
        <f t="shared" si="520"/>
        <v>Buy</v>
      </c>
      <c r="AO92" s="13">
        <f t="shared" si="521"/>
        <v>-9.7000000000000003E-3</v>
      </c>
      <c r="AP92" s="13">
        <f t="shared" si="522"/>
        <v>1E-4</v>
      </c>
      <c r="AQ92" s="13">
        <f t="shared" si="523"/>
        <v>-7.7999999999999996E-3</v>
      </c>
      <c r="AR92" s="13">
        <f t="shared" si="515"/>
        <v>-9.7000000000000003E-3</v>
      </c>
      <c r="AS92" s="6">
        <f t="shared" si="506"/>
        <v>551.14301399575868</v>
      </c>
      <c r="AT92" s="6">
        <f t="shared" si="507"/>
        <v>186.68226622828359</v>
      </c>
      <c r="AU92" s="6">
        <f t="shared" si="508"/>
        <v>842.17982460063547</v>
      </c>
      <c r="AV92" s="6">
        <f t="shared" si="509"/>
        <v>1292.6288016777937</v>
      </c>
      <c r="AW92" s="58">
        <f t="shared" si="516"/>
        <v>2016</v>
      </c>
      <c r="AX92" s="58">
        <f>COUNTIF(AW$3:AW92,AW92)</f>
        <v>5</v>
      </c>
    </row>
    <row r="93" spans="1:50" x14ac:dyDescent="0.25">
      <c r="A93" s="5">
        <v>42694</v>
      </c>
      <c r="B93">
        <v>2181.9</v>
      </c>
      <c r="C93">
        <v>0.47</v>
      </c>
      <c r="D93" s="6">
        <v>12.85</v>
      </c>
      <c r="E93" s="18">
        <f t="shared" si="529"/>
        <v>16.510000000000002</v>
      </c>
      <c r="F93">
        <f t="shared" si="530"/>
        <v>0</v>
      </c>
      <c r="G93" s="18">
        <f>ROUND(INDEX(Valuation!U:U,MATCH(A93,Valuation!A:A,0)),2)</f>
        <v>108.94</v>
      </c>
      <c r="H93">
        <f t="shared" si="537"/>
        <v>0</v>
      </c>
      <c r="I93" s="18">
        <f>INDEX(WeeklyIndicators!Y:Y,MATCH(A93,WeeklyIndicators!A:A,0))</f>
        <v>145.5</v>
      </c>
      <c r="J93">
        <f t="shared" si="526"/>
        <v>1</v>
      </c>
      <c r="K93">
        <f>ROUND(INDEX(Economic!AF:AF,MATCH(EOMONTH($A93,-1),Economic!A:A,0)),2)</f>
        <v>110.8</v>
      </c>
      <c r="L93" s="11">
        <f t="shared" si="535"/>
        <v>0</v>
      </c>
      <c r="M93">
        <f>ROUND(INDEX(Manufacturing!P:P,MATCH(EOMONTH($A93,-1),Manufacturing!A:A,0)),2)</f>
        <v>79.73</v>
      </c>
      <c r="N93">
        <f t="shared" si="531"/>
        <v>-1</v>
      </c>
      <c r="O93">
        <f>ROUND(INDEX(Housing!AC:AC,MATCH(EOMONTH($A93,-1),Housing!B:B,0)),2)</f>
        <v>144.93</v>
      </c>
      <c r="P93">
        <f t="shared" si="532"/>
        <v>3</v>
      </c>
      <c r="Q93">
        <f>ROUND(INDEX(Spending!AJ:AJ,MATCH(EOMONTH($A93,-1),Spending!B:B,0)),2)</f>
        <v>62.74</v>
      </c>
      <c r="R93">
        <f t="shared" si="536"/>
        <v>2</v>
      </c>
      <c r="S93">
        <f>ROUND(INDEX(Employment!V:V,MATCH(EOMONTH($A93,-1),Employment!A:A,0)),2)</f>
        <v>165.2</v>
      </c>
      <c r="T93" s="11">
        <f t="shared" si="533"/>
        <v>1</v>
      </c>
      <c r="U93">
        <f t="shared" si="525"/>
        <v>26</v>
      </c>
      <c r="V93">
        <f t="shared" si="517"/>
        <v>76.739999999999995</v>
      </c>
      <c r="W93" s="13">
        <f t="shared" si="518"/>
        <v>-8.9999999999999993E-3</v>
      </c>
      <c r="X93" s="13">
        <f t="shared" si="519"/>
        <v>-2.18E-2</v>
      </c>
      <c r="Y93">
        <f t="shared" si="511"/>
        <v>77.44</v>
      </c>
      <c r="Z93" s="13">
        <f t="shared" si="503"/>
        <v>-8.3999999999999995E-3</v>
      </c>
      <c r="AA93" s="13">
        <f t="shared" si="463"/>
        <v>-2.92E-2</v>
      </c>
      <c r="AB93" s="6">
        <f t="shared" si="512"/>
        <v>81.213999999999999</v>
      </c>
      <c r="AC93">
        <f t="shared" si="496"/>
        <v>41</v>
      </c>
      <c r="AD93" s="11">
        <f t="shared" si="499"/>
        <v>0</v>
      </c>
      <c r="AE93">
        <f t="shared" si="485"/>
        <v>28</v>
      </c>
      <c r="AF93">
        <f>IF(AND(AE93&lt;15,OR(AC93&gt;=30,AA93&gt;0.15,X93&gt;=0.15)),2,VLOOKUP(AE93,Table!P:Q,2,FALSE))</f>
        <v>4</v>
      </c>
      <c r="AG93" s="22">
        <f>IF((AB93*0.98)-(D93*0.8)+((AF93-3)*3)+VLOOKUP(AM93,Table!$A$11:$B$13,2,FALSE)&lt;0,0,(AB93*0.98)-(D93*0.8)+((AF93-3)*3)+VLOOKUP(AM93,Table!$A$11:$B$13,2,FALSE))</f>
        <v>80.309719999999999</v>
      </c>
      <c r="AH93" s="22">
        <f t="shared" si="534"/>
        <v>78</v>
      </c>
      <c r="AI93" s="18">
        <f t="shared" si="527"/>
        <v>0.34</v>
      </c>
      <c r="AJ93" s="18">
        <f t="shared" si="528"/>
        <v>0.3</v>
      </c>
      <c r="AK93" t="str">
        <f t="shared" si="513"/>
        <v>Rising Rates</v>
      </c>
      <c r="AL93">
        <f t="shared" si="524"/>
        <v>29</v>
      </c>
      <c r="AM93" s="11" t="str">
        <f t="shared" si="514"/>
        <v>Stocks</v>
      </c>
      <c r="AN93" t="str">
        <f t="shared" si="520"/>
        <v>Buy</v>
      </c>
      <c r="AO93" s="13">
        <f t="shared" si="521"/>
        <v>1.44E-2</v>
      </c>
      <c r="AP93" s="13">
        <f t="shared" si="522"/>
        <v>1E-4</v>
      </c>
      <c r="AQ93" s="13">
        <f t="shared" si="523"/>
        <v>1.1299999999999999E-2</v>
      </c>
      <c r="AR93" s="13">
        <f t="shared" si="515"/>
        <v>1.44E-2</v>
      </c>
      <c r="AS93" s="6">
        <f t="shared" si="506"/>
        <v>543.31921726711232</v>
      </c>
      <c r="AT93" s="6">
        <f t="shared" si="507"/>
        <v>186.66359986829676</v>
      </c>
      <c r="AU93" s="6">
        <f t="shared" si="508"/>
        <v>832.76952892379654</v>
      </c>
      <c r="AV93" s="6">
        <f t="shared" si="509"/>
        <v>1274.2791814647021</v>
      </c>
      <c r="AW93" s="58">
        <f t="shared" si="516"/>
        <v>2016</v>
      </c>
      <c r="AX93" s="58">
        <f>COUNTIF(AW$3:AW93,AW93)</f>
        <v>6</v>
      </c>
    </row>
    <row r="94" spans="1:50" x14ac:dyDescent="0.25">
      <c r="A94" s="5">
        <v>42687</v>
      </c>
      <c r="B94">
        <v>2164.4499999999998</v>
      </c>
      <c r="C94">
        <v>0.44</v>
      </c>
      <c r="D94" s="6">
        <v>14.17</v>
      </c>
      <c r="E94" s="18">
        <f t="shared" si="529"/>
        <v>17.62</v>
      </c>
      <c r="F94">
        <f t="shared" si="530"/>
        <v>0</v>
      </c>
      <c r="G94" s="18">
        <f>ROUND(INDEX(Valuation!U:U,MATCH(A94,Valuation!A:A,0)),2)</f>
        <v>108.39</v>
      </c>
      <c r="H94">
        <f t="shared" si="537"/>
        <v>0</v>
      </c>
      <c r="I94" s="18">
        <f>INDEX(WeeklyIndicators!Y:Y,MATCH(A94,WeeklyIndicators!A:A,0))</f>
        <v>147.99</v>
      </c>
      <c r="J94">
        <f t="shared" si="526"/>
        <v>1</v>
      </c>
      <c r="K94">
        <f>ROUND(INDEX(Economic!AF:AF,MATCH(EOMONTH($A94,-1),Economic!A:A,0)),2)</f>
        <v>110.8</v>
      </c>
      <c r="L94" s="11">
        <f t="shared" si="535"/>
        <v>0</v>
      </c>
      <c r="M94">
        <f>ROUND(INDEX(Manufacturing!P:P,MATCH(EOMONTH($A94,-1),Manufacturing!A:A,0)),2)</f>
        <v>79.73</v>
      </c>
      <c r="N94">
        <f t="shared" si="531"/>
        <v>-1</v>
      </c>
      <c r="O94">
        <f>ROUND(INDEX(Housing!AC:AC,MATCH(EOMONTH($A94,-1),Housing!B:B,0)),2)</f>
        <v>144.93</v>
      </c>
      <c r="P94">
        <f t="shared" si="532"/>
        <v>3</v>
      </c>
      <c r="Q94">
        <f>ROUND(INDEX(Spending!AJ:AJ,MATCH(EOMONTH($A94,-1),Spending!B:B,0)),2)</f>
        <v>62.74</v>
      </c>
      <c r="R94">
        <f t="shared" si="536"/>
        <v>2</v>
      </c>
      <c r="S94">
        <f>ROUND(INDEX(Employment!V:V,MATCH(EOMONTH($A94,-1),Employment!A:A,0)),2)</f>
        <v>165.2</v>
      </c>
      <c r="T94" s="11">
        <f t="shared" si="533"/>
        <v>1</v>
      </c>
      <c r="U94">
        <f t="shared" si="525"/>
        <v>26</v>
      </c>
      <c r="V94">
        <f t="shared" si="517"/>
        <v>77</v>
      </c>
      <c r="W94" s="13">
        <f t="shared" si="518"/>
        <v>-8.6999999999999994E-3</v>
      </c>
      <c r="X94" s="13">
        <f t="shared" si="519"/>
        <v>-1.0299999999999998E-2</v>
      </c>
      <c r="Y94">
        <f t="shared" si="511"/>
        <v>77.25</v>
      </c>
      <c r="Z94" s="13">
        <f t="shared" si="503"/>
        <v>-1.0800000000000001E-2</v>
      </c>
      <c r="AA94" s="13">
        <f t="shared" si="463"/>
        <v>-2.1100000000000001E-2</v>
      </c>
      <c r="AB94" s="6">
        <f t="shared" si="512"/>
        <v>81.638999999999996</v>
      </c>
      <c r="AC94">
        <f t="shared" si="496"/>
        <v>41</v>
      </c>
      <c r="AD94" s="11">
        <f t="shared" si="499"/>
        <v>0</v>
      </c>
      <c r="AE94">
        <f t="shared" si="485"/>
        <v>28</v>
      </c>
      <c r="AF94">
        <f>IF(AND(AE94&lt;15,OR(AC94&gt;=30,AA94&gt;0.15,X94&gt;=0.15)),2,VLOOKUP(AE94,Table!P:Q,2,FALSE))</f>
        <v>4</v>
      </c>
      <c r="AG94" s="22">
        <f>IF((AB94*0.98)-(D94*0.8)+((AF94-3)*3)+VLOOKUP(AM94,Table!$A$11:$B$13,2,FALSE)&lt;0,0,(AB94*0.98)-(D94*0.8)+((AF94-3)*3)+VLOOKUP(AM94,Table!$A$11:$B$13,2,FALSE))</f>
        <v>79.67022</v>
      </c>
      <c r="AH94" s="22">
        <f t="shared" si="534"/>
        <v>78</v>
      </c>
      <c r="AI94" s="18">
        <f t="shared" si="527"/>
        <v>0.32</v>
      </c>
      <c r="AJ94" s="18">
        <f t="shared" si="528"/>
        <v>0.28999999999999998</v>
      </c>
      <c r="AK94" t="str">
        <f t="shared" si="513"/>
        <v/>
      </c>
      <c r="AL94">
        <f t="shared" si="524"/>
        <v>29.75</v>
      </c>
      <c r="AM94" s="11" t="str">
        <f t="shared" si="514"/>
        <v>Stocks</v>
      </c>
      <c r="AN94" t="str">
        <f t="shared" si="520"/>
        <v>Buy</v>
      </c>
      <c r="AO94" s="13">
        <f t="shared" si="521"/>
        <v>8.0999999999999996E-3</v>
      </c>
      <c r="AP94" s="13">
        <f t="shared" si="522"/>
        <v>1E-4</v>
      </c>
      <c r="AQ94" s="13">
        <f t="shared" si="523"/>
        <v>6.3E-3</v>
      </c>
      <c r="AR94" s="13">
        <f t="shared" si="515"/>
        <v>8.0999999999999996E-3</v>
      </c>
      <c r="AS94" s="6">
        <f t="shared" si="506"/>
        <v>538.95369235900444</v>
      </c>
      <c r="AT94" s="6">
        <f t="shared" si="507"/>
        <v>186.64493537475929</v>
      </c>
      <c r="AU94" s="6">
        <f t="shared" si="508"/>
        <v>827.5559265863028</v>
      </c>
      <c r="AV94" s="6">
        <f t="shared" si="509"/>
        <v>1264.0404537890111</v>
      </c>
      <c r="AW94" s="58">
        <f t="shared" si="516"/>
        <v>2016</v>
      </c>
      <c r="AX94" s="58">
        <f>COUNTIF(AW$3:AW94,AW94)</f>
        <v>7</v>
      </c>
    </row>
    <row r="95" spans="1:50" x14ac:dyDescent="0.25">
      <c r="A95" s="5">
        <v>42680</v>
      </c>
      <c r="B95">
        <v>2085.1799999999998</v>
      </c>
      <c r="C95">
        <v>0.36</v>
      </c>
      <c r="D95" s="6">
        <v>22.51</v>
      </c>
      <c r="E95" s="18">
        <f t="shared" si="529"/>
        <v>17.350000000000001</v>
      </c>
      <c r="F95">
        <f t="shared" si="530"/>
        <v>0</v>
      </c>
      <c r="G95" s="18">
        <f>ROUND(INDEX(Valuation!U:U,MATCH(A95,Valuation!A:A,0)),2)</f>
        <v>105.99</v>
      </c>
      <c r="H95">
        <f t="shared" si="537"/>
        <v>0</v>
      </c>
      <c r="I95" s="18">
        <f>INDEX(WeeklyIndicators!Y:Y,MATCH(A95,WeeklyIndicators!A:A,0))</f>
        <v>154.66999999999999</v>
      </c>
      <c r="J95">
        <f t="shared" si="526"/>
        <v>2</v>
      </c>
      <c r="K95">
        <f>ROUND(INDEX(Economic!AF:AF,MATCH(EOMONTH($A95,-1),Economic!A:A,0)),2)</f>
        <v>110.8</v>
      </c>
      <c r="L95" s="11">
        <f t="shared" si="535"/>
        <v>0</v>
      </c>
      <c r="M95">
        <f>ROUND(INDEX(Manufacturing!P:P,MATCH(EOMONTH($A95,-1),Manufacturing!A:A,0)),2)</f>
        <v>79.73</v>
      </c>
      <c r="N95">
        <f t="shared" si="531"/>
        <v>-1</v>
      </c>
      <c r="O95">
        <f>ROUND(INDEX(Housing!AC:AC,MATCH(EOMONTH($A95,-1),Housing!B:B,0)),2)</f>
        <v>144.93</v>
      </c>
      <c r="P95">
        <f t="shared" si="532"/>
        <v>3</v>
      </c>
      <c r="Q95">
        <f>ROUND(INDEX(Spending!AJ:AJ,MATCH(EOMONTH($A95,-1),Spending!B:B,0)),2)</f>
        <v>62.74</v>
      </c>
      <c r="R95">
        <f t="shared" si="536"/>
        <v>2</v>
      </c>
      <c r="S95">
        <f>ROUND(INDEX(Employment!V:V,MATCH(EOMONTH($A95,-1),Employment!A:A,0)),2)</f>
        <v>165.2</v>
      </c>
      <c r="T95" s="11">
        <f t="shared" si="533"/>
        <v>1</v>
      </c>
      <c r="U95">
        <f t="shared" si="525"/>
        <v>27</v>
      </c>
      <c r="V95">
        <f t="shared" si="517"/>
        <v>77.69</v>
      </c>
      <c r="W95" s="13">
        <f t="shared" si="518"/>
        <v>-5.1999999999999998E-3</v>
      </c>
      <c r="X95" s="13">
        <f t="shared" si="519"/>
        <v>3.3000000000000004E-3</v>
      </c>
      <c r="Y95">
        <f t="shared" si="511"/>
        <v>77.77</v>
      </c>
      <c r="Z95" s="13">
        <f t="shared" si="503"/>
        <v>-8.0999999999999996E-3</v>
      </c>
      <c r="AA95" s="13">
        <f t="shared" si="463"/>
        <v>-8.0000000000000002E-3</v>
      </c>
      <c r="AB95" s="6">
        <f t="shared" si="512"/>
        <v>82.959000000000003</v>
      </c>
      <c r="AC95">
        <f t="shared" si="496"/>
        <v>41</v>
      </c>
      <c r="AD95" s="11">
        <f t="shared" si="499"/>
        <v>0</v>
      </c>
      <c r="AE95">
        <f t="shared" si="485"/>
        <v>29</v>
      </c>
      <c r="AF95">
        <f>IF(AND(AE95&lt;15,OR(AC95&gt;=30,AA95&gt;0.15,X95&gt;=0.15)),2,VLOOKUP(AE95,Table!P:Q,2,FALSE))</f>
        <v>4</v>
      </c>
      <c r="AG95" s="22">
        <f>IF((AB95*0.98)-(D95*0.8)+((AF95-3)*3)+VLOOKUP(AM95,Table!$A$11:$B$13,2,FALSE)&lt;0,0,(AB95*0.98)-(D95*0.8)+((AF95-3)*3)+VLOOKUP(AM95,Table!$A$11:$B$13,2,FALSE))</f>
        <v>74.291820000000001</v>
      </c>
      <c r="AH95" s="22">
        <f t="shared" si="534"/>
        <v>80</v>
      </c>
      <c r="AI95" s="18">
        <f t="shared" si="527"/>
        <v>0.31</v>
      </c>
      <c r="AJ95" s="18">
        <f t="shared" si="528"/>
        <v>0.28999999999999998</v>
      </c>
      <c r="AK95" t="str">
        <f t="shared" si="513"/>
        <v/>
      </c>
      <c r="AL95">
        <f t="shared" si="524"/>
        <v>30.5</v>
      </c>
      <c r="AM95" s="11" t="str">
        <f t="shared" si="514"/>
        <v>Stocks</v>
      </c>
      <c r="AN95" t="str">
        <f t="shared" si="520"/>
        <v>Buy</v>
      </c>
      <c r="AO95" s="13">
        <f t="shared" si="521"/>
        <v>3.7999999999999999E-2</v>
      </c>
      <c r="AP95" s="13">
        <f t="shared" si="522"/>
        <v>1E-4</v>
      </c>
      <c r="AQ95" s="13">
        <f t="shared" si="523"/>
        <v>3.04E-2</v>
      </c>
      <c r="AR95" s="13">
        <f t="shared" si="515"/>
        <v>3.7999999999999999E-2</v>
      </c>
      <c r="AS95" s="6">
        <f t="shared" si="506"/>
        <v>519.22321036512949</v>
      </c>
      <c r="AT95" s="6">
        <f t="shared" si="507"/>
        <v>186.62627274748453</v>
      </c>
      <c r="AU95" s="6">
        <f t="shared" si="508"/>
        <v>803.14045670254541</v>
      </c>
      <c r="AV95" s="6">
        <f t="shared" si="509"/>
        <v>1217.7653697389317</v>
      </c>
      <c r="AW95" s="58">
        <f t="shared" si="516"/>
        <v>2016</v>
      </c>
      <c r="AX95" s="58">
        <f>COUNTIF(AW$3:AW95,AW95)</f>
        <v>8</v>
      </c>
    </row>
    <row r="96" spans="1:50" x14ac:dyDescent="0.25">
      <c r="A96" s="5">
        <v>42673</v>
      </c>
      <c r="B96">
        <v>2126.41</v>
      </c>
      <c r="C96">
        <v>0.32</v>
      </c>
      <c r="D96" s="6">
        <v>16.190000000000001</v>
      </c>
      <c r="E96" s="18">
        <f t="shared" si="529"/>
        <v>15.22</v>
      </c>
      <c r="F96">
        <f t="shared" si="530"/>
        <v>1</v>
      </c>
      <c r="G96" s="18">
        <f>ROUND(INDEX(Valuation!U:U,MATCH(A96,Valuation!A:A,0)),2)</f>
        <v>103.66</v>
      </c>
      <c r="H96">
        <f t="shared" si="537"/>
        <v>0</v>
      </c>
      <c r="I96" s="18">
        <f>INDEX(WeeklyIndicators!Y:Y,MATCH(A96,WeeklyIndicators!A:A,0))</f>
        <v>159.66</v>
      </c>
      <c r="J96">
        <f t="shared" si="526"/>
        <v>2</v>
      </c>
      <c r="K96">
        <f>ROUND(INDEX(Economic!AF:AF,MATCH(EOMONTH($A96,-1),Economic!A:A,0)),2)</f>
        <v>110.72</v>
      </c>
      <c r="L96" s="11">
        <f t="shared" si="535"/>
        <v>0</v>
      </c>
      <c r="M96">
        <f>ROUND(INDEX(Manufacturing!P:P,MATCH(EOMONTH($A96,-1),Manufacturing!A:A,0)),2)</f>
        <v>80.7</v>
      </c>
      <c r="N96">
        <f t="shared" si="531"/>
        <v>-1</v>
      </c>
      <c r="O96">
        <f>ROUND(INDEX(Housing!AC:AC,MATCH(EOMONTH($A96,-1),Housing!B:B,0)),2)</f>
        <v>145.91999999999999</v>
      </c>
      <c r="P96">
        <f t="shared" si="532"/>
        <v>3</v>
      </c>
      <c r="Q96">
        <f>ROUND(INDEX(Spending!AJ:AJ,MATCH(EOMONTH($A96,-1),Spending!B:B,0)),2)</f>
        <v>62.71</v>
      </c>
      <c r="R96">
        <f t="shared" si="536"/>
        <v>2</v>
      </c>
      <c r="S96">
        <f>ROUND(INDEX(Employment!V:V,MATCH(EOMONTH($A96,-1),Employment!A:A,0)),2)</f>
        <v>170.41</v>
      </c>
      <c r="T96" s="11">
        <f t="shared" si="533"/>
        <v>1</v>
      </c>
      <c r="U96">
        <f t="shared" si="525"/>
        <v>28</v>
      </c>
      <c r="V96">
        <f t="shared" si="517"/>
        <v>78.84</v>
      </c>
      <c r="W96" s="13">
        <f t="shared" si="518"/>
        <v>1.1000000000000001E-3</v>
      </c>
      <c r="X96" s="13">
        <f t="shared" si="519"/>
        <v>1.2400000000000001E-2</v>
      </c>
      <c r="Y96">
        <f t="shared" si="511"/>
        <v>79.41</v>
      </c>
      <c r="Z96" s="13">
        <f t="shared" si="503"/>
        <v>-1.9E-3</v>
      </c>
      <c r="AA96" s="13">
        <f t="shared" si="463"/>
        <v>2.3E-3</v>
      </c>
      <c r="AB96" s="6">
        <f t="shared" si="512"/>
        <v>85.185999999999993</v>
      </c>
      <c r="AC96">
        <f t="shared" si="496"/>
        <v>43</v>
      </c>
      <c r="AD96" s="11">
        <f t="shared" si="499"/>
        <v>1</v>
      </c>
      <c r="AE96">
        <f t="shared" si="485"/>
        <v>31</v>
      </c>
      <c r="AF96">
        <f>IF(AND(AE96&lt;15,OR(AC96&gt;=30,AA96&gt;0.15,X96&gt;=0.15)),2,VLOOKUP(AE96,Table!P:Q,2,FALSE))</f>
        <v>4</v>
      </c>
      <c r="AG96" s="22">
        <f>IF((AB96*0.98)-(D96*0.8)+((AF96-3)*3)+VLOOKUP(AM96,Table!$A$11:$B$13,2,FALSE)&lt;0,0,(AB96*0.98)-(D96*0.8)+((AF96-3)*3)+VLOOKUP(AM96,Table!$A$11:$B$13,2,FALSE))</f>
        <v>81.530279999999991</v>
      </c>
      <c r="AH96" s="22">
        <f t="shared" si="534"/>
        <v>83</v>
      </c>
      <c r="AI96" s="18">
        <f t="shared" si="527"/>
        <v>0.31</v>
      </c>
      <c r="AJ96" s="18">
        <f t="shared" si="528"/>
        <v>0.28999999999999998</v>
      </c>
      <c r="AK96" t="str">
        <f t="shared" si="513"/>
        <v/>
      </c>
      <c r="AL96">
        <f t="shared" si="524"/>
        <v>31.25</v>
      </c>
      <c r="AM96" s="11" t="str">
        <f t="shared" si="514"/>
        <v>Stocks</v>
      </c>
      <c r="AN96" t="str">
        <f t="shared" si="520"/>
        <v>Buy</v>
      </c>
      <c r="AO96" s="13">
        <f t="shared" si="521"/>
        <v>-1.9400000000000001E-2</v>
      </c>
      <c r="AP96" s="13">
        <f t="shared" si="522"/>
        <v>1E-4</v>
      </c>
      <c r="AQ96" s="13">
        <f t="shared" si="523"/>
        <v>-1.61E-2</v>
      </c>
      <c r="AR96" s="13">
        <f t="shared" si="515"/>
        <v>-1.9400000000000001E-2</v>
      </c>
      <c r="AS96" s="6">
        <f t="shared" si="506"/>
        <v>529.49542154306494</v>
      </c>
      <c r="AT96" s="6">
        <f t="shared" si="507"/>
        <v>186.60761198628592</v>
      </c>
      <c r="AU96" s="6">
        <f t="shared" si="508"/>
        <v>816.28260666993128</v>
      </c>
      <c r="AV96" s="6">
        <f t="shared" si="509"/>
        <v>1241.8574033641971</v>
      </c>
      <c r="AW96" s="58">
        <f t="shared" si="516"/>
        <v>2016</v>
      </c>
      <c r="AX96" s="58">
        <f>COUNTIF(AW$3:AW96,AW96)</f>
        <v>9</v>
      </c>
    </row>
    <row r="97" spans="1:50" x14ac:dyDescent="0.25">
      <c r="A97" s="5">
        <v>42666</v>
      </c>
      <c r="B97">
        <v>2141.16</v>
      </c>
      <c r="C97">
        <v>0.34</v>
      </c>
      <c r="D97" s="6">
        <v>13.34</v>
      </c>
      <c r="E97" s="18">
        <f t="shared" si="529"/>
        <v>14.31</v>
      </c>
      <c r="F97">
        <f t="shared" si="530"/>
        <v>1</v>
      </c>
      <c r="G97" s="18">
        <f>ROUND(INDEX(Valuation!U:U,MATCH(A97,Valuation!A:A,0)),2)</f>
        <v>102.34</v>
      </c>
      <c r="H97">
        <f t="shared" si="537"/>
        <v>0</v>
      </c>
      <c r="I97" s="18">
        <f>INDEX(WeeklyIndicators!Y:Y,MATCH(A97,WeeklyIndicators!A:A,0))</f>
        <v>161.78</v>
      </c>
      <c r="J97">
        <f t="shared" si="526"/>
        <v>2</v>
      </c>
      <c r="K97">
        <f>ROUND(INDEX(Economic!AF:AF,MATCH(EOMONTH($A97,-1),Economic!A:A,0)),2)</f>
        <v>110.72</v>
      </c>
      <c r="L97" s="11">
        <f t="shared" si="535"/>
        <v>0</v>
      </c>
      <c r="M97">
        <f>ROUND(INDEX(Manufacturing!P:P,MATCH(EOMONTH($A97,-1),Manufacturing!A:A,0)),2)</f>
        <v>80.7</v>
      </c>
      <c r="N97">
        <f t="shared" si="531"/>
        <v>-1</v>
      </c>
      <c r="O97">
        <f>ROUND(INDEX(Housing!AC:AC,MATCH(EOMONTH($A97,-1),Housing!B:B,0)),2)</f>
        <v>145.91999999999999</v>
      </c>
      <c r="P97">
        <f t="shared" si="532"/>
        <v>3</v>
      </c>
      <c r="Q97">
        <f>ROUND(INDEX(Spending!AJ:AJ,MATCH(EOMONTH($A97,-1),Spending!B:B,0)),2)</f>
        <v>62.71</v>
      </c>
      <c r="R97">
        <f t="shared" si="536"/>
        <v>2</v>
      </c>
      <c r="S97">
        <f>ROUND(INDEX(Employment!V:V,MATCH(EOMONTH($A97,-1),Employment!A:A,0)),2)</f>
        <v>170.41</v>
      </c>
      <c r="T97" s="11">
        <f t="shared" si="533"/>
        <v>1</v>
      </c>
      <c r="U97">
        <f t="shared" si="525"/>
        <v>28</v>
      </c>
      <c r="V97">
        <f t="shared" si="517"/>
        <v>79.06</v>
      </c>
      <c r="W97" s="13">
        <f t="shared" si="518"/>
        <v>2.5000000000000001E-3</v>
      </c>
      <c r="X97" s="13">
        <f t="shared" si="519"/>
        <v>1.7300000000000003E-2</v>
      </c>
      <c r="Y97">
        <f t="shared" si="511"/>
        <v>79.8</v>
      </c>
      <c r="Z97" s="13">
        <f t="shared" si="503"/>
        <v>-2.9999999999999997E-4</v>
      </c>
      <c r="AA97" s="13">
        <f t="shared" si="463"/>
        <v>7.6000000000000009E-3</v>
      </c>
      <c r="AB97" s="6">
        <f t="shared" si="512"/>
        <v>85.853999999999999</v>
      </c>
      <c r="AC97">
        <f t="shared" si="496"/>
        <v>43</v>
      </c>
      <c r="AD97" s="11">
        <f t="shared" si="499"/>
        <v>1</v>
      </c>
      <c r="AE97">
        <f t="shared" si="485"/>
        <v>31</v>
      </c>
      <c r="AF97">
        <f>IF(AND(AE97&lt;15,OR(AC97&gt;=30,AA97&gt;0.15,X97&gt;=0.15)),2,VLOOKUP(AE97,Table!P:Q,2,FALSE))</f>
        <v>4</v>
      </c>
      <c r="AG97" s="22">
        <f>IF((AB97*0.98)-(D97*0.8)+((AF97-3)*3)+VLOOKUP(AM97,Table!$A$11:$B$13,2,FALSE)&lt;0,0,(AB97*0.98)-(D97*0.8)+((AF97-3)*3)+VLOOKUP(AM97,Table!$A$11:$B$13,2,FALSE))</f>
        <v>84.464920000000006</v>
      </c>
      <c r="AH97" s="22">
        <f t="shared" si="534"/>
        <v>85</v>
      </c>
      <c r="AI97" s="18">
        <f t="shared" si="527"/>
        <v>0.3</v>
      </c>
      <c r="AJ97" s="18">
        <f t="shared" si="528"/>
        <v>0.28999999999999998</v>
      </c>
      <c r="AK97" t="str">
        <f t="shared" si="513"/>
        <v/>
      </c>
      <c r="AL97">
        <f t="shared" si="524"/>
        <v>31.5</v>
      </c>
      <c r="AM97" s="11" t="str">
        <f t="shared" si="514"/>
        <v>Stocks</v>
      </c>
      <c r="AN97" t="str">
        <f t="shared" si="520"/>
        <v>Buy</v>
      </c>
      <c r="AO97" s="13">
        <f t="shared" si="521"/>
        <v>-6.8999999999999999E-3</v>
      </c>
      <c r="AP97" s="13">
        <f t="shared" si="522"/>
        <v>1E-4</v>
      </c>
      <c r="AQ97" s="13">
        <f t="shared" si="523"/>
        <v>-5.8999999999999999E-3</v>
      </c>
      <c r="AR97" s="13">
        <f t="shared" si="515"/>
        <v>-6.8999999999999999E-3</v>
      </c>
      <c r="AS97" s="6">
        <f t="shared" si="506"/>
        <v>533.17432438129583</v>
      </c>
      <c r="AT97" s="6">
        <f t="shared" si="507"/>
        <v>186.58895309097682</v>
      </c>
      <c r="AU97" s="6">
        <f t="shared" si="508"/>
        <v>821.12725748911714</v>
      </c>
      <c r="AV97" s="6">
        <f t="shared" si="509"/>
        <v>1250.4857550742092</v>
      </c>
      <c r="AW97" s="58">
        <f t="shared" si="516"/>
        <v>2016</v>
      </c>
      <c r="AX97" s="58">
        <f>COUNTIF(AW$3:AW97,AW97)</f>
        <v>10</v>
      </c>
    </row>
    <row r="98" spans="1:50" x14ac:dyDescent="0.25">
      <c r="A98" s="5">
        <v>42659</v>
      </c>
      <c r="B98">
        <v>2132.98</v>
      </c>
      <c r="C98">
        <v>0.33</v>
      </c>
      <c r="D98" s="6">
        <v>16.12</v>
      </c>
      <c r="E98" s="18">
        <f t="shared" si="529"/>
        <v>14.3</v>
      </c>
      <c r="F98">
        <f t="shared" si="530"/>
        <v>1</v>
      </c>
      <c r="G98" s="18">
        <f>ROUND(INDEX(Valuation!U:U,MATCH(A98,Valuation!A:A,0)),2)</f>
        <v>102.73</v>
      </c>
      <c r="H98">
        <f t="shared" si="537"/>
        <v>0</v>
      </c>
      <c r="I98" s="18">
        <f>INDEX(WeeklyIndicators!Y:Y,MATCH(A98,WeeklyIndicators!A:A,0))</f>
        <v>160.47999999999999</v>
      </c>
      <c r="J98">
        <f t="shared" si="526"/>
        <v>2</v>
      </c>
      <c r="K98">
        <f>ROUND(INDEX(Economic!AF:AF,MATCH(EOMONTH($A98,-1),Economic!A:A,0)),2)</f>
        <v>110.72</v>
      </c>
      <c r="L98" s="11">
        <f t="shared" si="535"/>
        <v>0</v>
      </c>
      <c r="M98">
        <f>ROUND(INDEX(Manufacturing!P:P,MATCH(EOMONTH($A98,-1),Manufacturing!A:A,0)),2)</f>
        <v>80.7</v>
      </c>
      <c r="N98">
        <f t="shared" si="531"/>
        <v>-1</v>
      </c>
      <c r="O98">
        <f>ROUND(INDEX(Housing!AC:AC,MATCH(EOMONTH($A98,-1),Housing!B:B,0)),2)</f>
        <v>145.91999999999999</v>
      </c>
      <c r="P98">
        <f t="shared" si="532"/>
        <v>3</v>
      </c>
      <c r="Q98">
        <f>ROUND(INDEX(Spending!AJ:AJ,MATCH(EOMONTH($A98,-1),Spending!B:B,0)),2)</f>
        <v>62.71</v>
      </c>
      <c r="R98">
        <f t="shared" si="536"/>
        <v>2</v>
      </c>
      <c r="S98">
        <f>ROUND(INDEX(Employment!V:V,MATCH(EOMONTH($A98,-1),Employment!A:A,0)),2)</f>
        <v>170.41</v>
      </c>
      <c r="T98" s="11">
        <f t="shared" si="533"/>
        <v>1</v>
      </c>
      <c r="U98">
        <f t="shared" si="525"/>
        <v>28</v>
      </c>
      <c r="V98">
        <f t="shared" si="517"/>
        <v>78.930000000000007</v>
      </c>
      <c r="W98" s="13">
        <f t="shared" si="518"/>
        <v>4.8999999999999998E-3</v>
      </c>
      <c r="X98" s="13">
        <f t="shared" si="519"/>
        <v>2.0399999999999998E-2</v>
      </c>
      <c r="Y98">
        <f t="shared" si="511"/>
        <v>79.709999999999994</v>
      </c>
      <c r="Z98" s="13">
        <f t="shared" si="503"/>
        <v>2.3E-3</v>
      </c>
      <c r="AA98" s="13">
        <f t="shared" si="463"/>
        <v>8.8000000000000005E-3</v>
      </c>
      <c r="AB98" s="6">
        <f t="shared" si="512"/>
        <v>85.902999999999992</v>
      </c>
      <c r="AC98">
        <f t="shared" si="496"/>
        <v>43</v>
      </c>
      <c r="AD98" s="11">
        <f t="shared" si="499"/>
        <v>1</v>
      </c>
      <c r="AE98">
        <f t="shared" si="485"/>
        <v>31</v>
      </c>
      <c r="AF98">
        <f>IF(AND(AE98&lt;15,OR(AC98&gt;=30,AA98&gt;0.15,X98&gt;=0.15)),2,VLOOKUP(AE98,Table!P:Q,2,FALSE))</f>
        <v>4</v>
      </c>
      <c r="AG98" s="22">
        <f>IF((AB98*0.98)-(D98*0.8)+((AF98-3)*3)+VLOOKUP(AM98,Table!$A$11:$B$13,2,FALSE)&lt;0,0,(AB98*0.98)-(D98*0.8)+((AF98-3)*3)+VLOOKUP(AM98,Table!$A$11:$B$13,2,FALSE))</f>
        <v>82.288939999999982</v>
      </c>
      <c r="AH98" s="22">
        <f t="shared" si="534"/>
        <v>86</v>
      </c>
      <c r="AI98" s="18">
        <f t="shared" si="527"/>
        <v>0.3</v>
      </c>
      <c r="AJ98" s="18">
        <f t="shared" si="528"/>
        <v>0.28999999999999998</v>
      </c>
      <c r="AK98" t="str">
        <f t="shared" si="513"/>
        <v/>
      </c>
      <c r="AL98">
        <f t="shared" si="524"/>
        <v>31.5</v>
      </c>
      <c r="AM98" s="11" t="str">
        <f t="shared" si="514"/>
        <v>Stocks</v>
      </c>
      <c r="AN98" t="str">
        <f t="shared" si="520"/>
        <v>Buy</v>
      </c>
      <c r="AO98" s="13">
        <f t="shared" si="521"/>
        <v>3.8E-3</v>
      </c>
      <c r="AP98" s="13">
        <f t="shared" si="522"/>
        <v>1E-4</v>
      </c>
      <c r="AQ98" s="13">
        <f t="shared" si="523"/>
        <v>3.3E-3</v>
      </c>
      <c r="AR98" s="13">
        <f t="shared" si="515"/>
        <v>3.8E-3</v>
      </c>
      <c r="AS98" s="6">
        <f t="shared" si="506"/>
        <v>531.15593184030263</v>
      </c>
      <c r="AT98" s="6">
        <f t="shared" si="507"/>
        <v>186.57029606137067</v>
      </c>
      <c r="AU98" s="6">
        <f t="shared" si="508"/>
        <v>818.42645020344571</v>
      </c>
      <c r="AV98" s="6">
        <f t="shared" si="509"/>
        <v>1245.7518978623323</v>
      </c>
      <c r="AW98" s="58">
        <f t="shared" si="516"/>
        <v>2016</v>
      </c>
      <c r="AX98" s="58">
        <f>COUNTIF(AW$3:AW98,AW98)</f>
        <v>11</v>
      </c>
    </row>
    <row r="99" spans="1:50" x14ac:dyDescent="0.25">
      <c r="A99" s="5">
        <v>42652</v>
      </c>
      <c r="B99">
        <v>2153.7399999999998</v>
      </c>
      <c r="C99">
        <v>0.32</v>
      </c>
      <c r="D99" s="6">
        <v>13.48</v>
      </c>
      <c r="E99" s="18">
        <f t="shared" si="529"/>
        <v>13.02</v>
      </c>
      <c r="F99">
        <f t="shared" si="530"/>
        <v>2</v>
      </c>
      <c r="G99" s="18">
        <f>ROUND(INDEX(Valuation!U:U,MATCH(A99,Valuation!A:A,0)),2)</f>
        <v>103.19</v>
      </c>
      <c r="H99">
        <f t="shared" si="537"/>
        <v>0</v>
      </c>
      <c r="I99" s="18">
        <f>INDEX(WeeklyIndicators!Y:Y,MATCH(A99,WeeklyIndicators!A:A,0))</f>
        <v>157.09</v>
      </c>
      <c r="J99">
        <f t="shared" si="526"/>
        <v>2</v>
      </c>
      <c r="K99">
        <f>ROUND(INDEX(Economic!AF:AF,MATCH(EOMONTH($A99,-1),Economic!A:A,0)),2)</f>
        <v>110.72</v>
      </c>
      <c r="L99" s="11">
        <f t="shared" si="535"/>
        <v>0</v>
      </c>
      <c r="M99">
        <f>ROUND(INDEX(Manufacturing!P:P,MATCH(EOMONTH($A99,-1),Manufacturing!A:A,0)),2)</f>
        <v>80.7</v>
      </c>
      <c r="N99">
        <f t="shared" si="531"/>
        <v>-1</v>
      </c>
      <c r="O99">
        <f>ROUND(INDEX(Housing!AC:AC,MATCH(EOMONTH($A99,-1),Housing!B:B,0)),2)</f>
        <v>145.91999999999999</v>
      </c>
      <c r="P99">
        <f t="shared" si="532"/>
        <v>3</v>
      </c>
      <c r="Q99">
        <f>ROUND(INDEX(Spending!AJ:AJ,MATCH(EOMONTH($A99,-1),Spending!B:B,0)),2)</f>
        <v>62.71</v>
      </c>
      <c r="R99">
        <f t="shared" si="536"/>
        <v>2</v>
      </c>
      <c r="S99">
        <f>ROUND(INDEX(Employment!V:V,MATCH(EOMONTH($A99,-1),Employment!A:A,0)),2)</f>
        <v>170.41</v>
      </c>
      <c r="T99" s="11">
        <f t="shared" si="533"/>
        <v>1</v>
      </c>
      <c r="U99">
        <f t="shared" si="525"/>
        <v>29</v>
      </c>
      <c r="V99">
        <f t="shared" si="517"/>
        <v>78.569999999999993</v>
      </c>
      <c r="W99" s="13">
        <f t="shared" si="518"/>
        <v>3.8999999999999998E-3</v>
      </c>
      <c r="X99" s="13">
        <f t="shared" si="519"/>
        <v>2.5899999999999999E-2</v>
      </c>
      <c r="Y99">
        <f t="shared" si="511"/>
        <v>79.86</v>
      </c>
      <c r="Z99" s="13">
        <f t="shared" si="503"/>
        <v>2.2000000000000001E-3</v>
      </c>
      <c r="AA99" s="13">
        <f t="shared" si="463"/>
        <v>1.32E-2</v>
      </c>
      <c r="AB99" s="6">
        <f t="shared" si="512"/>
        <v>86.439000000000007</v>
      </c>
      <c r="AC99">
        <f t="shared" si="496"/>
        <v>43</v>
      </c>
      <c r="AD99" s="11">
        <f t="shared" si="499"/>
        <v>1</v>
      </c>
      <c r="AE99">
        <f t="shared" si="485"/>
        <v>32</v>
      </c>
      <c r="AF99">
        <f>IF(AND(AE99&lt;15,OR(AC99&gt;=30,AA99&gt;0.15,X99&gt;=0.15)),2,VLOOKUP(AE99,Table!P:Q,2,FALSE))</f>
        <v>5</v>
      </c>
      <c r="AG99" s="22">
        <f>IF((AB99*0.98)-(D99*0.8)+((AF99-3)*3)+VLOOKUP(AM99,Table!$A$11:$B$13,2,FALSE)&lt;0,0,(AB99*0.98)-(D99*0.8)+((AF99-3)*3)+VLOOKUP(AM99,Table!$A$11:$B$13,2,FALSE))</f>
        <v>87.926220000000001</v>
      </c>
      <c r="AH99" s="22">
        <f t="shared" si="534"/>
        <v>87</v>
      </c>
      <c r="AI99" s="18">
        <f t="shared" si="527"/>
        <v>0.3</v>
      </c>
      <c r="AJ99" s="18">
        <f t="shared" si="528"/>
        <v>0.28000000000000003</v>
      </c>
      <c r="AK99" t="str">
        <f t="shared" si="513"/>
        <v/>
      </c>
      <c r="AL99">
        <f t="shared" si="524"/>
        <v>31.5</v>
      </c>
      <c r="AM99" s="11" t="str">
        <f t="shared" si="514"/>
        <v>Stocks</v>
      </c>
      <c r="AN99" t="str">
        <f t="shared" si="520"/>
        <v>Buy</v>
      </c>
      <c r="AO99" s="13">
        <f t="shared" si="521"/>
        <v>-9.5999999999999992E-3</v>
      </c>
      <c r="AP99" s="13">
        <f t="shared" si="522"/>
        <v>1E-4</v>
      </c>
      <c r="AQ99" s="13">
        <f t="shared" si="523"/>
        <v>-8.3000000000000001E-3</v>
      </c>
      <c r="AR99" s="13">
        <f t="shared" si="515"/>
        <v>-9.5999999999999992E-3</v>
      </c>
      <c r="AS99" s="6">
        <f t="shared" si="506"/>
        <v>536.30445460450596</v>
      </c>
      <c r="AT99" s="6">
        <f t="shared" si="507"/>
        <v>186.55164089728095</v>
      </c>
      <c r="AU99" s="6">
        <f t="shared" si="508"/>
        <v>825.27624302051595</v>
      </c>
      <c r="AV99" s="6">
        <f t="shared" si="509"/>
        <v>1257.8270374215795</v>
      </c>
      <c r="AW99" s="58">
        <f t="shared" si="516"/>
        <v>2016</v>
      </c>
      <c r="AX99" s="58">
        <f>COUNTIF(AW$3:AW99,AW99)</f>
        <v>12</v>
      </c>
    </row>
    <row r="100" spans="1:50" x14ac:dyDescent="0.25">
      <c r="A100" s="5">
        <v>42645</v>
      </c>
      <c r="B100">
        <v>2168.27</v>
      </c>
      <c r="C100">
        <v>0.26</v>
      </c>
      <c r="D100" s="6">
        <v>13.29</v>
      </c>
      <c r="E100" s="18">
        <f t="shared" si="529"/>
        <v>13.65</v>
      </c>
      <c r="F100">
        <f t="shared" si="530"/>
        <v>2</v>
      </c>
      <c r="G100" s="18">
        <f>ROUND(INDEX(Valuation!U:U,MATCH(A100,Valuation!A:A,0)),2)</f>
        <v>106.26</v>
      </c>
      <c r="H100">
        <f t="shared" si="537"/>
        <v>0</v>
      </c>
      <c r="I100" s="18">
        <f>INDEX(WeeklyIndicators!Y:Y,MATCH(A100,WeeklyIndicators!A:A,0))</f>
        <v>156.08000000000001</v>
      </c>
      <c r="J100">
        <f t="shared" si="526"/>
        <v>2</v>
      </c>
      <c r="K100">
        <f>ROUND(INDEX(Economic!AF:AF,MATCH(EOMONTH($A100,-1),Economic!A:A,0)),2)</f>
        <v>110.72</v>
      </c>
      <c r="L100" s="11">
        <f t="shared" si="535"/>
        <v>0</v>
      </c>
      <c r="M100">
        <f>ROUND(INDEX(Manufacturing!P:P,MATCH(EOMONTH($A100,-1),Manufacturing!A:A,0)),2)</f>
        <v>80.7</v>
      </c>
      <c r="N100">
        <f t="shared" si="531"/>
        <v>-1</v>
      </c>
      <c r="O100">
        <f>ROUND(INDEX(Housing!AC:AC,MATCH(EOMONTH($A100,-1),Housing!B:B,0)),2)</f>
        <v>145.91999999999999</v>
      </c>
      <c r="P100">
        <f t="shared" si="532"/>
        <v>3</v>
      </c>
      <c r="Q100">
        <f>ROUND(INDEX(Spending!AJ:AJ,MATCH(EOMONTH($A100,-1),Spending!B:B,0)),2)</f>
        <v>62.71</v>
      </c>
      <c r="R100">
        <f t="shared" si="536"/>
        <v>2</v>
      </c>
      <c r="S100">
        <f>ROUND(INDEX(Employment!V:V,MATCH(EOMONTH($A100,-1),Employment!A:A,0)),2)</f>
        <v>170.41</v>
      </c>
      <c r="T100" s="11">
        <f t="shared" si="533"/>
        <v>1</v>
      </c>
      <c r="U100">
        <f t="shared" si="525"/>
        <v>29</v>
      </c>
      <c r="V100">
        <f t="shared" si="517"/>
        <v>78.47</v>
      </c>
      <c r="W100" s="13">
        <f t="shared" si="518"/>
        <v>6.0000000000000001E-3</v>
      </c>
      <c r="X100" s="13">
        <f t="shared" si="519"/>
        <v>2.8299999999999999E-2</v>
      </c>
      <c r="Y100">
        <f t="shared" si="511"/>
        <v>79.87</v>
      </c>
      <c r="Z100" s="13">
        <f t="shared" si="503"/>
        <v>3.3999999999999998E-3</v>
      </c>
      <c r="AA100" s="13">
        <f t="shared" si="463"/>
        <v>1.3999999999999999E-2</v>
      </c>
      <c r="AB100" s="6">
        <f t="shared" si="512"/>
        <v>86.835999999999999</v>
      </c>
      <c r="AC100">
        <f t="shared" si="496"/>
        <v>43</v>
      </c>
      <c r="AD100" s="11">
        <f t="shared" si="499"/>
        <v>1</v>
      </c>
      <c r="AE100">
        <f t="shared" si="485"/>
        <v>32</v>
      </c>
      <c r="AF100">
        <f>IF(AND(AE100&lt;15,OR(AC100&gt;=30,AA100&gt;0.15,X100&gt;=0.15)),2,VLOOKUP(AE100,Table!P:Q,2,FALSE))</f>
        <v>5</v>
      </c>
      <c r="AG100" s="22">
        <f>IF((AB100*0.98)-(D100*0.8)+((AF100-3)*3)+VLOOKUP(AM100,Table!$A$11:$B$13,2,FALSE)&lt;0,0,(AB100*0.98)-(D100*0.8)+((AF100-3)*3)+VLOOKUP(AM100,Table!$A$11:$B$13,2,FALSE))</f>
        <v>88.467279999999988</v>
      </c>
      <c r="AH100" s="22">
        <f t="shared" si="534"/>
        <v>86</v>
      </c>
      <c r="AI100" s="18">
        <f t="shared" si="527"/>
        <v>0.3</v>
      </c>
      <c r="AJ100" s="18">
        <f t="shared" si="528"/>
        <v>0.28000000000000003</v>
      </c>
      <c r="AK100" t="str">
        <f t="shared" si="513"/>
        <v/>
      </c>
      <c r="AL100">
        <f t="shared" si="524"/>
        <v>31</v>
      </c>
      <c r="AM100" s="11" t="str">
        <f t="shared" si="514"/>
        <v>Stocks</v>
      </c>
      <c r="AN100" t="str">
        <f t="shared" si="520"/>
        <v>Buy</v>
      </c>
      <c r="AO100" s="13">
        <f t="shared" si="521"/>
        <v>-6.7000000000000002E-3</v>
      </c>
      <c r="AP100" s="13">
        <f t="shared" si="522"/>
        <v>1E-4</v>
      </c>
      <c r="AQ100" s="13">
        <f t="shared" si="523"/>
        <v>-5.7000000000000002E-3</v>
      </c>
      <c r="AR100" s="13">
        <f t="shared" si="515"/>
        <v>-6.7000000000000002E-3</v>
      </c>
      <c r="AS100" s="6">
        <f t="shared" si="506"/>
        <v>539.92193154586323</v>
      </c>
      <c r="AT100" s="6">
        <f t="shared" si="507"/>
        <v>186.53298759852109</v>
      </c>
      <c r="AU100" s="6">
        <f t="shared" si="508"/>
        <v>830.00728454240766</v>
      </c>
      <c r="AV100" s="6">
        <f t="shared" si="509"/>
        <v>1266.3113232876065</v>
      </c>
      <c r="AW100" s="58">
        <f t="shared" si="516"/>
        <v>2016</v>
      </c>
      <c r="AX100" s="58">
        <f>COUNTIF(AW$3:AW100,AW100)</f>
        <v>13</v>
      </c>
    </row>
    <row r="101" spans="1:50" x14ac:dyDescent="0.25">
      <c r="A101" s="5">
        <v>42638</v>
      </c>
      <c r="B101">
        <v>2164.69</v>
      </c>
      <c r="C101">
        <v>0.24</v>
      </c>
      <c r="D101" s="6">
        <v>12.29</v>
      </c>
      <c r="E101" s="18">
        <f t="shared" si="529"/>
        <v>15.05</v>
      </c>
      <c r="F101">
        <f t="shared" si="530"/>
        <v>1</v>
      </c>
      <c r="G101" s="18">
        <f>ROUND(INDEX(Valuation!U:U,MATCH(A101,Valuation!A:A,0)),2)</f>
        <v>110.29</v>
      </c>
      <c r="H101">
        <f t="shared" si="537"/>
        <v>0</v>
      </c>
      <c r="I101" s="18">
        <f>INDEX(WeeklyIndicators!Y:Y,MATCH(A101,WeeklyIndicators!A:A,0))</f>
        <v>156.38999999999999</v>
      </c>
      <c r="J101">
        <f t="shared" si="526"/>
        <v>2</v>
      </c>
      <c r="K101">
        <f>ROUND(INDEX(Economic!AF:AF,MATCH(EOMONTH($A101,-1),Economic!A:A,0)),2)</f>
        <v>108</v>
      </c>
      <c r="L101" s="11">
        <f t="shared" si="535"/>
        <v>0</v>
      </c>
      <c r="M101">
        <f>ROUND(INDEX(Manufacturing!P:P,MATCH(EOMONTH($A101,-1),Manufacturing!A:A,0)),2)</f>
        <v>80.37</v>
      </c>
      <c r="N101">
        <f t="shared" si="531"/>
        <v>-1</v>
      </c>
      <c r="O101">
        <f>ROUND(INDEX(Housing!AC:AC,MATCH(EOMONTH($A101,-1),Housing!B:B,0)),2)</f>
        <v>141.36000000000001</v>
      </c>
      <c r="P101">
        <f t="shared" si="532"/>
        <v>3</v>
      </c>
      <c r="Q101">
        <f>ROUND(INDEX(Spending!AJ:AJ,MATCH(EOMONTH($A101,-1),Spending!B:B,0)),2)</f>
        <v>61.86</v>
      </c>
      <c r="R101">
        <f t="shared" si="536"/>
        <v>2</v>
      </c>
      <c r="S101">
        <f>ROUND(INDEX(Employment!V:V,MATCH(EOMONTH($A101,-1),Employment!A:A,0)),2)</f>
        <v>171.63</v>
      </c>
      <c r="T101" s="11">
        <f t="shared" si="533"/>
        <v>1</v>
      </c>
      <c r="U101">
        <f t="shared" si="525"/>
        <v>28</v>
      </c>
      <c r="V101">
        <f t="shared" si="517"/>
        <v>77.790000000000006</v>
      </c>
      <c r="W101" s="13">
        <f t="shared" si="518"/>
        <v>5.5999999999999999E-3</v>
      </c>
      <c r="X101" s="13">
        <f t="shared" si="519"/>
        <v>2.1600000000000001E-2</v>
      </c>
      <c r="Y101">
        <f t="shared" si="511"/>
        <v>79.16</v>
      </c>
      <c r="Z101" s="13">
        <f t="shared" si="503"/>
        <v>8.9999999999999998E-4</v>
      </c>
      <c r="AA101" s="13">
        <f t="shared" si="463"/>
        <v>8.9999999999999993E-3</v>
      </c>
      <c r="AB101" s="6">
        <f t="shared" si="512"/>
        <v>86.09899999999999</v>
      </c>
      <c r="AC101">
        <f t="shared" si="496"/>
        <v>43</v>
      </c>
      <c r="AD101" s="11">
        <f t="shared" si="499"/>
        <v>1</v>
      </c>
      <c r="AE101">
        <f t="shared" si="485"/>
        <v>31</v>
      </c>
      <c r="AF101">
        <f>IF(AND(AE101&lt;15,OR(AC101&gt;=30,AA101&gt;0.15,X101&gt;=0.15)),2,VLOOKUP(AE101,Table!P:Q,2,FALSE))</f>
        <v>4</v>
      </c>
      <c r="AG101" s="22">
        <f>IF((AB101*0.98)-(D101*0.8)+((AF101-3)*3)+VLOOKUP(AM101,Table!$A$11:$B$13,2,FALSE)&lt;0,0,(AB101*0.98)-(D101*0.8)+((AF101-3)*3)+VLOOKUP(AM101,Table!$A$11:$B$13,2,FALSE))</f>
        <v>85.545019999999994</v>
      </c>
      <c r="AH101" s="22">
        <f t="shared" si="534"/>
        <v>83</v>
      </c>
      <c r="AI101" s="18">
        <f t="shared" si="527"/>
        <v>0.3</v>
      </c>
      <c r="AJ101" s="18">
        <f t="shared" si="528"/>
        <v>0.28000000000000003</v>
      </c>
      <c r="AK101" t="str">
        <f t="shared" si="513"/>
        <v/>
      </c>
      <c r="AL101">
        <f t="shared" si="524"/>
        <v>30.75</v>
      </c>
      <c r="AM101" s="11" t="str">
        <f t="shared" si="514"/>
        <v>Stocks</v>
      </c>
      <c r="AN101" t="str">
        <f t="shared" si="520"/>
        <v>Buy</v>
      </c>
      <c r="AO101" s="13">
        <f t="shared" si="521"/>
        <v>1.6999999999999999E-3</v>
      </c>
      <c r="AP101" s="13">
        <f t="shared" si="522"/>
        <v>0</v>
      </c>
      <c r="AQ101" s="13">
        <f t="shared" si="523"/>
        <v>1.4E-3</v>
      </c>
      <c r="AR101" s="13">
        <f t="shared" si="515"/>
        <v>1.6999999999999999E-3</v>
      </c>
      <c r="AS101" s="6">
        <f t="shared" si="506"/>
        <v>539.00562198848274</v>
      </c>
      <c r="AT101" s="6">
        <f t="shared" si="507"/>
        <v>186.53298759852109</v>
      </c>
      <c r="AU101" s="6">
        <f t="shared" si="508"/>
        <v>828.84689888397008</v>
      </c>
      <c r="AV101" s="6">
        <f t="shared" si="509"/>
        <v>1264.1622474669127</v>
      </c>
      <c r="AW101" s="58">
        <f t="shared" si="516"/>
        <v>2016</v>
      </c>
      <c r="AX101" s="58">
        <f>COUNTIF(AW$3:AW101,AW101)</f>
        <v>14</v>
      </c>
    </row>
    <row r="102" spans="1:50" x14ac:dyDescent="0.25">
      <c r="A102" s="5">
        <v>42631</v>
      </c>
      <c r="B102">
        <v>2139.16</v>
      </c>
      <c r="C102">
        <v>0.33</v>
      </c>
      <c r="D102" s="6">
        <v>15.37</v>
      </c>
      <c r="E102" s="18">
        <f t="shared" si="529"/>
        <v>14.95</v>
      </c>
      <c r="F102">
        <f t="shared" si="530"/>
        <v>1</v>
      </c>
      <c r="G102" s="18">
        <f>ROUND(INDEX(Valuation!U:U,MATCH(A102,Valuation!A:A,0)),2)</f>
        <v>112.7</v>
      </c>
      <c r="H102">
        <f t="shared" si="537"/>
        <v>0</v>
      </c>
      <c r="I102" s="18">
        <f>INDEX(WeeklyIndicators!Y:Y,MATCH(A102,WeeklyIndicators!A:A,0))</f>
        <v>155.13999999999999</v>
      </c>
      <c r="J102">
        <f t="shared" si="526"/>
        <v>2</v>
      </c>
      <c r="K102">
        <f>ROUND(INDEX(Economic!AF:AF,MATCH(EOMONTH($A102,-1),Economic!A:A,0)),2)</f>
        <v>108</v>
      </c>
      <c r="L102" s="11">
        <f t="shared" si="535"/>
        <v>0</v>
      </c>
      <c r="M102">
        <f>ROUND(INDEX(Manufacturing!P:P,MATCH(EOMONTH($A102,-1),Manufacturing!A:A,0)),2)</f>
        <v>80.37</v>
      </c>
      <c r="N102">
        <f t="shared" si="531"/>
        <v>-1</v>
      </c>
      <c r="O102">
        <f>ROUND(INDEX(Housing!AC:AC,MATCH(EOMONTH($A102,-1),Housing!B:B,0)),2)</f>
        <v>141.36000000000001</v>
      </c>
      <c r="P102">
        <f t="shared" si="532"/>
        <v>3</v>
      </c>
      <c r="Q102">
        <f>ROUND(INDEX(Spending!AJ:AJ,MATCH(EOMONTH($A102,-1),Spending!B:B,0)),2)</f>
        <v>61.86</v>
      </c>
      <c r="R102">
        <f t="shared" si="536"/>
        <v>2</v>
      </c>
      <c r="S102">
        <f>ROUND(INDEX(Employment!V:V,MATCH(EOMONTH($A102,-1),Employment!A:A,0)),2)</f>
        <v>171.63</v>
      </c>
      <c r="T102" s="11">
        <f t="shared" si="533"/>
        <v>1</v>
      </c>
      <c r="U102">
        <f t="shared" si="525"/>
        <v>28</v>
      </c>
      <c r="V102">
        <f t="shared" si="517"/>
        <v>77.66</v>
      </c>
      <c r="W102" s="13">
        <f t="shared" si="518"/>
        <v>1.04E-2</v>
      </c>
      <c r="X102" s="13">
        <f t="shared" si="519"/>
        <v>5.6000000000000008E-3</v>
      </c>
      <c r="Y102">
        <f t="shared" si="511"/>
        <v>79.33</v>
      </c>
      <c r="Z102" s="13">
        <f t="shared" si="503"/>
        <v>6.7000000000000002E-3</v>
      </c>
      <c r="AA102" s="13">
        <f t="shared" si="463"/>
        <v>-2.2000000000000006E-3</v>
      </c>
      <c r="AB102" s="6">
        <f t="shared" si="512"/>
        <v>85.6</v>
      </c>
      <c r="AC102">
        <f t="shared" si="496"/>
        <v>43</v>
      </c>
      <c r="AD102" s="11">
        <f t="shared" si="499"/>
        <v>1</v>
      </c>
      <c r="AE102">
        <f t="shared" si="485"/>
        <v>31</v>
      </c>
      <c r="AF102">
        <f>IF(AND(AE102&lt;15,OR(AC102&gt;=30,AA102&gt;0.15,X102&gt;=0.15)),2,VLOOKUP(AE102,Table!P:Q,2,FALSE))</f>
        <v>4</v>
      </c>
      <c r="AG102" s="22">
        <f>IF((AB102*0.98)-(D102*0.8)+((AF102-3)*3)+VLOOKUP(AM102,Table!$A$11:$B$13,2,FALSE)&lt;0,0,(AB102*0.98)-(D102*0.8)+((AF102-3)*3)+VLOOKUP(AM102,Table!$A$11:$B$13,2,FALSE))</f>
        <v>82.591999999999985</v>
      </c>
      <c r="AH102" s="22">
        <f t="shared" si="534"/>
        <v>82</v>
      </c>
      <c r="AI102" s="18">
        <f t="shared" si="527"/>
        <v>0.3</v>
      </c>
      <c r="AJ102" s="18">
        <f t="shared" si="528"/>
        <v>0.28000000000000003</v>
      </c>
      <c r="AK102" t="str">
        <f t="shared" si="513"/>
        <v/>
      </c>
      <c r="AL102">
        <f t="shared" si="524"/>
        <v>30.5</v>
      </c>
      <c r="AM102" s="11" t="str">
        <f t="shared" si="514"/>
        <v>Stocks</v>
      </c>
      <c r="AN102" t="str">
        <f t="shared" si="520"/>
        <v>Buy</v>
      </c>
      <c r="AO102" s="13">
        <f t="shared" si="521"/>
        <v>1.1900000000000001E-2</v>
      </c>
      <c r="AP102" s="13">
        <f t="shared" si="522"/>
        <v>1E-4</v>
      </c>
      <c r="AQ102" s="13">
        <f t="shared" si="523"/>
        <v>9.7999999999999997E-3</v>
      </c>
      <c r="AR102" s="13">
        <f t="shared" si="515"/>
        <v>1.1900000000000001E-2</v>
      </c>
      <c r="AS102" s="6">
        <f t="shared" si="506"/>
        <v>532.6668860445526</v>
      </c>
      <c r="AT102" s="6">
        <f t="shared" si="507"/>
        <v>186.51433616490459</v>
      </c>
      <c r="AU102" s="6">
        <f t="shared" si="508"/>
        <v>820.80302919783128</v>
      </c>
      <c r="AV102" s="6">
        <f t="shared" si="509"/>
        <v>1249.2956294761466</v>
      </c>
      <c r="AW102" s="58">
        <f t="shared" si="516"/>
        <v>2016</v>
      </c>
      <c r="AX102" s="58">
        <f>COUNTIF(AW$3:AW102,AW102)</f>
        <v>15</v>
      </c>
    </row>
    <row r="103" spans="1:50" x14ac:dyDescent="0.25">
      <c r="A103" s="5">
        <v>42624</v>
      </c>
      <c r="B103">
        <v>2127.81</v>
      </c>
      <c r="C103">
        <v>0.34</v>
      </c>
      <c r="D103" s="6">
        <v>17.5</v>
      </c>
      <c r="E103" s="18">
        <f t="shared" si="529"/>
        <v>14.38</v>
      </c>
      <c r="F103">
        <f t="shared" si="530"/>
        <v>1</v>
      </c>
      <c r="G103" s="18">
        <f>ROUND(INDEX(Valuation!U:U,MATCH(A103,Valuation!A:A,0)),2)</f>
        <v>113.79</v>
      </c>
      <c r="H103">
        <f t="shared" si="537"/>
        <v>0</v>
      </c>
      <c r="I103" s="18">
        <f>INDEX(WeeklyIndicators!Y:Y,MATCH(A103,WeeklyIndicators!A:A,0))</f>
        <v>149.49</v>
      </c>
      <c r="J103">
        <f t="shared" si="526"/>
        <v>1</v>
      </c>
      <c r="K103">
        <f>ROUND(INDEX(Economic!AF:AF,MATCH(EOMONTH($A103,-1),Economic!A:A,0)),2)</f>
        <v>108</v>
      </c>
      <c r="L103" s="11">
        <f t="shared" si="535"/>
        <v>0</v>
      </c>
      <c r="M103">
        <f>ROUND(INDEX(Manufacturing!P:P,MATCH(EOMONTH($A103,-1),Manufacturing!A:A,0)),2)</f>
        <v>80.37</v>
      </c>
      <c r="N103">
        <f t="shared" si="531"/>
        <v>-1</v>
      </c>
      <c r="O103">
        <f>ROUND(INDEX(Housing!AC:AC,MATCH(EOMONTH($A103,-1),Housing!B:B,0)),2)</f>
        <v>141.36000000000001</v>
      </c>
      <c r="P103">
        <f t="shared" si="532"/>
        <v>3</v>
      </c>
      <c r="Q103">
        <f>ROUND(INDEX(Spending!AJ:AJ,MATCH(EOMONTH($A103,-1),Spending!B:B,0)),2)</f>
        <v>61.86</v>
      </c>
      <c r="R103">
        <f t="shared" si="536"/>
        <v>2</v>
      </c>
      <c r="S103">
        <f>ROUND(INDEX(Employment!V:V,MATCH(EOMONTH($A103,-1),Employment!A:A,0)),2)</f>
        <v>171.63</v>
      </c>
      <c r="T103" s="11">
        <f t="shared" si="533"/>
        <v>1</v>
      </c>
      <c r="U103">
        <f t="shared" si="525"/>
        <v>27</v>
      </c>
      <c r="V103">
        <f t="shared" si="517"/>
        <v>77.08</v>
      </c>
      <c r="W103" s="13">
        <f t="shared" si="518"/>
        <v>6.3E-3</v>
      </c>
      <c r="X103" s="13">
        <f t="shared" si="519"/>
        <v>-5.9999999999999993E-3</v>
      </c>
      <c r="Y103">
        <f t="shared" si="511"/>
        <v>79.069999999999993</v>
      </c>
      <c r="Z103" s="13">
        <f t="shared" si="503"/>
        <v>3.0000000000000001E-3</v>
      </c>
      <c r="AA103" s="13">
        <f t="shared" si="463"/>
        <v>-8.3000000000000001E-3</v>
      </c>
      <c r="AB103" s="6">
        <f t="shared" si="512"/>
        <v>84.899000000000001</v>
      </c>
      <c r="AC103">
        <f t="shared" si="496"/>
        <v>42</v>
      </c>
      <c r="AD103" s="11">
        <f t="shared" si="499"/>
        <v>1</v>
      </c>
      <c r="AE103">
        <f t="shared" si="485"/>
        <v>30</v>
      </c>
      <c r="AF103">
        <f>IF(AND(AE103&lt;15,OR(AC103&gt;=30,AA103&gt;0.15,X103&gt;=0.15)),2,VLOOKUP(AE103,Table!P:Q,2,FALSE))</f>
        <v>4</v>
      </c>
      <c r="AG103" s="22">
        <f>IF((AB103*0.98)-(D103*0.8)+((AF103-3)*3)+VLOOKUP(AM103,Table!$A$11:$B$13,2,FALSE)&lt;0,0,(AB103*0.98)-(D103*0.8)+((AF103-3)*3)+VLOOKUP(AM103,Table!$A$11:$B$13,2,FALSE))</f>
        <v>80.20102</v>
      </c>
      <c r="AH103" s="22">
        <f t="shared" si="534"/>
        <v>83</v>
      </c>
      <c r="AI103" s="18">
        <f t="shared" si="527"/>
        <v>0.3</v>
      </c>
      <c r="AJ103" s="18">
        <f t="shared" si="528"/>
        <v>0.28000000000000003</v>
      </c>
      <c r="AK103" t="str">
        <f t="shared" si="513"/>
        <v/>
      </c>
      <c r="AL103">
        <f t="shared" si="524"/>
        <v>30.25</v>
      </c>
      <c r="AM103" s="11" t="str">
        <f t="shared" si="514"/>
        <v>Stocks</v>
      </c>
      <c r="AN103" t="str">
        <f t="shared" si="520"/>
        <v>Buy</v>
      </c>
      <c r="AO103" s="13">
        <f t="shared" si="521"/>
        <v>5.3E-3</v>
      </c>
      <c r="AP103" s="13">
        <f t="shared" si="522"/>
        <v>1E-4</v>
      </c>
      <c r="AQ103" s="13">
        <f t="shared" si="523"/>
        <v>4.4000000000000003E-3</v>
      </c>
      <c r="AR103" s="13">
        <f t="shared" si="515"/>
        <v>5.3E-3</v>
      </c>
      <c r="AS103" s="6">
        <f t="shared" si="506"/>
        <v>529.85863527758136</v>
      </c>
      <c r="AT103" s="6">
        <f t="shared" si="507"/>
        <v>186.49568659624498</v>
      </c>
      <c r="AU103" s="6">
        <f t="shared" si="508"/>
        <v>817.20731700301803</v>
      </c>
      <c r="AV103" s="6">
        <f t="shared" si="509"/>
        <v>1242.7092703433268</v>
      </c>
      <c r="AW103" s="58">
        <f t="shared" si="516"/>
        <v>2016</v>
      </c>
      <c r="AX103" s="58">
        <f>COUNTIF(AW$3:AW103,AW103)</f>
        <v>16</v>
      </c>
    </row>
    <row r="104" spans="1:50" x14ac:dyDescent="0.25">
      <c r="A104" s="5">
        <v>42617</v>
      </c>
      <c r="B104">
        <v>2179.98</v>
      </c>
      <c r="C104">
        <v>0.33</v>
      </c>
      <c r="D104" s="6">
        <v>11.98</v>
      </c>
      <c r="E104" s="18">
        <f t="shared" si="529"/>
        <v>12.32</v>
      </c>
      <c r="F104">
        <f t="shared" si="530"/>
        <v>2</v>
      </c>
      <c r="G104" s="18">
        <f>ROUND(INDEX(Valuation!U:U,MATCH(A104,Valuation!A:A,0)),2)</f>
        <v>111.58</v>
      </c>
      <c r="H104">
        <f t="shared" si="537"/>
        <v>0</v>
      </c>
      <c r="I104" s="18">
        <f>INDEX(WeeklyIndicators!Y:Y,MATCH(A104,WeeklyIndicators!A:A,0))</f>
        <v>143.85</v>
      </c>
      <c r="J104">
        <f t="shared" si="526"/>
        <v>1</v>
      </c>
      <c r="K104">
        <f>ROUND(INDEX(Economic!AF:AF,MATCH(EOMONTH($A104,-1),Economic!A:A,0)),2)</f>
        <v>108</v>
      </c>
      <c r="L104" s="11">
        <f t="shared" si="535"/>
        <v>0</v>
      </c>
      <c r="M104">
        <f>ROUND(INDEX(Manufacturing!P:P,MATCH(EOMONTH($A104,-1),Manufacturing!A:A,0)),2)</f>
        <v>80.37</v>
      </c>
      <c r="N104">
        <f t="shared" si="531"/>
        <v>-1</v>
      </c>
      <c r="O104">
        <f>ROUND(INDEX(Housing!AC:AC,MATCH(EOMONTH($A104,-1),Housing!B:B,0)),2)</f>
        <v>141.36000000000001</v>
      </c>
      <c r="P104">
        <f t="shared" si="532"/>
        <v>3</v>
      </c>
      <c r="Q104">
        <f>ROUND(INDEX(Spending!AJ:AJ,MATCH(EOMONTH($A104,-1),Spending!B:B,0)),2)</f>
        <v>61.86</v>
      </c>
      <c r="R104">
        <f t="shared" si="536"/>
        <v>2</v>
      </c>
      <c r="S104">
        <f>ROUND(INDEX(Employment!V:V,MATCH(EOMONTH($A104,-1),Employment!A:A,0)),2)</f>
        <v>171.63</v>
      </c>
      <c r="T104" s="11">
        <f t="shared" si="533"/>
        <v>1</v>
      </c>
      <c r="U104">
        <f t="shared" si="525"/>
        <v>28</v>
      </c>
      <c r="V104">
        <f t="shared" si="517"/>
        <v>76.489999999999995</v>
      </c>
      <c r="W104" s="13">
        <f t="shared" si="518"/>
        <v>-6.9999999999999999E-4</v>
      </c>
      <c r="X104" s="13">
        <f t="shared" si="519"/>
        <v>-6.3999999999999986E-3</v>
      </c>
      <c r="Y104">
        <f t="shared" si="511"/>
        <v>78.95</v>
      </c>
      <c r="Z104" s="13">
        <f t="shared" si="503"/>
        <v>-1.6000000000000001E-3</v>
      </c>
      <c r="AA104" s="13">
        <f t="shared" si="463"/>
        <v>-3.8000000000000013E-3</v>
      </c>
      <c r="AB104" s="6">
        <f t="shared" si="512"/>
        <v>84.838000000000008</v>
      </c>
      <c r="AC104">
        <f t="shared" si="496"/>
        <v>42</v>
      </c>
      <c r="AD104" s="11">
        <f t="shared" si="499"/>
        <v>1</v>
      </c>
      <c r="AE104">
        <f t="shared" si="485"/>
        <v>31</v>
      </c>
      <c r="AF104">
        <f>IF(AND(AE104&lt;15,OR(AC104&gt;=30,AA104&gt;0.15,X104&gt;=0.15)),2,VLOOKUP(AE104,Table!P:Q,2,FALSE))</f>
        <v>4</v>
      </c>
      <c r="AG104" s="22">
        <f>IF((AB104*0.98)-(D104*0.8)+((AF104-3)*3)+VLOOKUP(AM104,Table!$A$11:$B$13,2,FALSE)&lt;0,0,(AB104*0.98)-(D104*0.8)+((AF104-3)*3)+VLOOKUP(AM104,Table!$A$11:$B$13,2,FALSE))</f>
        <v>84.557240000000007</v>
      </c>
      <c r="AH104" s="22">
        <f t="shared" si="534"/>
        <v>85</v>
      </c>
      <c r="AI104" s="18">
        <f t="shared" si="527"/>
        <v>0.28999999999999998</v>
      </c>
      <c r="AJ104" s="18">
        <f t="shared" si="528"/>
        <v>0.27</v>
      </c>
      <c r="AK104" t="str">
        <f t="shared" si="513"/>
        <v/>
      </c>
      <c r="AL104">
        <f t="shared" si="524"/>
        <v>30.5</v>
      </c>
      <c r="AM104" s="11" t="str">
        <f t="shared" si="514"/>
        <v>Stocks</v>
      </c>
      <c r="AN104" t="str">
        <f t="shared" si="520"/>
        <v>Buy</v>
      </c>
      <c r="AO104" s="13">
        <f t="shared" si="521"/>
        <v>-2.3900000000000001E-2</v>
      </c>
      <c r="AP104" s="13">
        <f t="shared" si="522"/>
        <v>1E-4</v>
      </c>
      <c r="AQ104" s="13">
        <f t="shared" si="523"/>
        <v>-2.0299999999999999E-2</v>
      </c>
      <c r="AR104" s="13">
        <f t="shared" si="515"/>
        <v>-2.3900000000000001E-2</v>
      </c>
      <c r="AS104" s="6">
        <f t="shared" si="506"/>
        <v>542.8323279147437</v>
      </c>
      <c r="AT104" s="6">
        <f t="shared" si="507"/>
        <v>186.47703889235575</v>
      </c>
      <c r="AU104" s="6">
        <f t="shared" si="508"/>
        <v>834.14036644178623</v>
      </c>
      <c r="AV104" s="6">
        <f t="shared" si="509"/>
        <v>1273.1372506334667</v>
      </c>
      <c r="AW104" s="58">
        <f t="shared" si="516"/>
        <v>2016</v>
      </c>
      <c r="AX104" s="58">
        <f>COUNTIF(AW$3:AW104,AW104)</f>
        <v>17</v>
      </c>
    </row>
    <row r="105" spans="1:50" x14ac:dyDescent="0.25">
      <c r="A105" s="5">
        <v>42610</v>
      </c>
      <c r="B105">
        <v>2169.04</v>
      </c>
      <c r="C105">
        <v>0.31</v>
      </c>
      <c r="D105" s="6">
        <v>13.65</v>
      </c>
      <c r="E105" s="18">
        <f t="shared" si="529"/>
        <v>12.18</v>
      </c>
      <c r="F105">
        <f t="shared" si="530"/>
        <v>2</v>
      </c>
      <c r="G105" s="18">
        <f>ROUND(INDEX(Valuation!U:U,MATCH(A105,Valuation!A:A,0)),2)</f>
        <v>111.2</v>
      </c>
      <c r="H105">
        <f t="shared" si="537"/>
        <v>0</v>
      </c>
      <c r="I105" s="18">
        <f>INDEX(WeeklyIndicators!Y:Y,MATCH(A105,WeeklyIndicators!A:A,0))</f>
        <v>140.96</v>
      </c>
      <c r="J105">
        <f t="shared" si="526"/>
        <v>1</v>
      </c>
      <c r="K105">
        <f>ROUND(INDEX(Economic!AF:AF,MATCH(EOMONTH($A105,-1),Economic!A:A,0)),2)</f>
        <v>104.89</v>
      </c>
      <c r="L105" s="11">
        <f t="shared" si="535"/>
        <v>0</v>
      </c>
      <c r="M105">
        <f>ROUND(INDEX(Manufacturing!P:P,MATCH(EOMONTH($A105,-1),Manufacturing!A:A,0)),2)</f>
        <v>82.29</v>
      </c>
      <c r="N105">
        <f t="shared" si="531"/>
        <v>-1</v>
      </c>
      <c r="O105">
        <f>ROUND(INDEX(Housing!AC:AC,MATCH(EOMONTH($A105,-1),Housing!B:B,0)),2)</f>
        <v>141.11000000000001</v>
      </c>
      <c r="P105">
        <f t="shared" si="532"/>
        <v>3</v>
      </c>
      <c r="Q105">
        <f>ROUND(INDEX(Spending!AJ:AJ,MATCH(EOMONTH($A105,-1),Spending!B:B,0)),2)</f>
        <v>59.16</v>
      </c>
      <c r="R105">
        <f t="shared" si="536"/>
        <v>1</v>
      </c>
      <c r="S105">
        <f>ROUND(INDEX(Employment!V:V,MATCH(EOMONTH($A105,-1),Employment!A:A,0)),2)</f>
        <v>165.74</v>
      </c>
      <c r="T105" s="11">
        <f t="shared" si="533"/>
        <v>1</v>
      </c>
      <c r="U105">
        <f t="shared" si="525"/>
        <v>27</v>
      </c>
      <c r="V105">
        <f t="shared" si="517"/>
        <v>75.28</v>
      </c>
      <c r="W105" s="13">
        <f t="shared" si="518"/>
        <v>-1.04E-2</v>
      </c>
      <c r="X105" s="13">
        <f t="shared" si="519"/>
        <v>8.9000000000000017E-3</v>
      </c>
      <c r="Y105">
        <f t="shared" si="511"/>
        <v>77.75</v>
      </c>
      <c r="Z105" s="13">
        <f t="shared" si="503"/>
        <v>-1.03E-2</v>
      </c>
      <c r="AA105" s="13">
        <f t="shared" si="463"/>
        <v>1.3899999999999999E-2</v>
      </c>
      <c r="AB105" s="6">
        <f t="shared" si="512"/>
        <v>84.9</v>
      </c>
      <c r="AC105">
        <f t="shared" si="496"/>
        <v>42</v>
      </c>
      <c r="AD105" s="11">
        <f t="shared" si="499"/>
        <v>1</v>
      </c>
      <c r="AE105">
        <f t="shared" si="485"/>
        <v>30</v>
      </c>
      <c r="AF105">
        <f>IF(AND(AE105&lt;15,OR(AC105&gt;=30,AA105&gt;0.15,X105&gt;=0.15)),2,VLOOKUP(AE105,Table!P:Q,2,FALSE))</f>
        <v>4</v>
      </c>
      <c r="AG105" s="22">
        <f>IF((AB105*0.98)-(D105*0.8)+((AF105-3)*3)+VLOOKUP(AM105,Table!$A$11:$B$13,2,FALSE)&lt;0,0,(AB105*0.98)-(D105*0.8)+((AF105-3)*3)+VLOOKUP(AM105,Table!$A$11:$B$13,2,FALSE))</f>
        <v>83.281999999999996</v>
      </c>
      <c r="AH105" s="22">
        <f t="shared" si="534"/>
        <v>87</v>
      </c>
      <c r="AI105" s="18">
        <f t="shared" si="527"/>
        <v>0.28999999999999998</v>
      </c>
      <c r="AJ105" s="18">
        <f t="shared" si="528"/>
        <v>0.27</v>
      </c>
      <c r="AK105" t="str">
        <f t="shared" si="513"/>
        <v/>
      </c>
      <c r="AL105">
        <f t="shared" si="524"/>
        <v>30.5</v>
      </c>
      <c r="AM105" s="11" t="str">
        <f t="shared" si="514"/>
        <v>Stocks</v>
      </c>
      <c r="AN105" t="str">
        <f t="shared" si="520"/>
        <v>Buy</v>
      </c>
      <c r="AO105" s="13">
        <f t="shared" si="521"/>
        <v>5.0000000000000001E-3</v>
      </c>
      <c r="AP105" s="13">
        <f t="shared" si="522"/>
        <v>1E-4</v>
      </c>
      <c r="AQ105" s="13">
        <f t="shared" si="523"/>
        <v>4.4000000000000003E-3</v>
      </c>
      <c r="AR105" s="13">
        <f t="shared" si="515"/>
        <v>5.0000000000000001E-3</v>
      </c>
      <c r="AS105" s="6">
        <f t="shared" si="506"/>
        <v>540.13166956690918</v>
      </c>
      <c r="AT105" s="6">
        <f t="shared" si="507"/>
        <v>186.45839305305046</v>
      </c>
      <c r="AU105" s="6">
        <f t="shared" si="508"/>
        <v>830.48622704279796</v>
      </c>
      <c r="AV105" s="6">
        <f t="shared" si="509"/>
        <v>1266.8032344611611</v>
      </c>
      <c r="AW105" s="58">
        <f t="shared" si="516"/>
        <v>2016</v>
      </c>
      <c r="AX105" s="58">
        <f>COUNTIF(AW$3:AW105,AW105)</f>
        <v>18</v>
      </c>
    </row>
    <row r="106" spans="1:50" x14ac:dyDescent="0.25">
      <c r="A106" s="5">
        <v>42603</v>
      </c>
      <c r="B106">
        <v>2183.87</v>
      </c>
      <c r="C106">
        <v>0.28999999999999998</v>
      </c>
      <c r="D106" s="6">
        <v>11.34</v>
      </c>
      <c r="E106" s="18">
        <f t="shared" si="529"/>
        <v>11.43</v>
      </c>
      <c r="F106">
        <f t="shared" si="530"/>
        <v>2</v>
      </c>
      <c r="G106" s="18">
        <f>ROUND(INDEX(Valuation!U:U,MATCH(A106,Valuation!A:A,0)),2)</f>
        <v>111.01</v>
      </c>
      <c r="H106">
        <f t="shared" si="537"/>
        <v>0</v>
      </c>
      <c r="I106" s="18">
        <f>INDEX(WeeklyIndicators!Y:Y,MATCH(A106,WeeklyIndicators!A:A,0))</f>
        <v>144.52000000000001</v>
      </c>
      <c r="J106">
        <f t="shared" si="526"/>
        <v>1</v>
      </c>
      <c r="K106">
        <f>ROUND(INDEX(Economic!AF:AF,MATCH(EOMONTH($A106,-1),Economic!A:A,0)),2)</f>
        <v>104.89</v>
      </c>
      <c r="L106" s="11">
        <f t="shared" si="535"/>
        <v>0</v>
      </c>
      <c r="M106">
        <f>ROUND(INDEX(Manufacturing!P:P,MATCH(EOMONTH($A106,-1),Manufacturing!A:A,0)),2)</f>
        <v>82.29</v>
      </c>
      <c r="N106">
        <f t="shared" si="531"/>
        <v>-1</v>
      </c>
      <c r="O106">
        <f>ROUND(INDEX(Housing!AC:AC,MATCH(EOMONTH($A106,-1),Housing!B:B,0)),2)</f>
        <v>141.11000000000001</v>
      </c>
      <c r="P106">
        <f t="shared" si="532"/>
        <v>3</v>
      </c>
      <c r="Q106">
        <f>ROUND(INDEX(Spending!AJ:AJ,MATCH(EOMONTH($A106,-1),Spending!B:B,0)),2)</f>
        <v>59.16</v>
      </c>
      <c r="R106">
        <f t="shared" si="536"/>
        <v>1</v>
      </c>
      <c r="S106">
        <f>ROUND(INDEX(Employment!V:V,MATCH(EOMONTH($A106,-1),Employment!A:A,0)),2)</f>
        <v>165.74</v>
      </c>
      <c r="T106" s="11">
        <f t="shared" si="533"/>
        <v>1</v>
      </c>
      <c r="U106">
        <f t="shared" si="525"/>
        <v>27</v>
      </c>
      <c r="V106">
        <f t="shared" si="517"/>
        <v>75.650000000000006</v>
      </c>
      <c r="W106" s="13">
        <f t="shared" si="518"/>
        <v>-1.1999999999999999E-3</v>
      </c>
      <c r="X106" s="13">
        <f t="shared" si="519"/>
        <v>2.8400000000000002E-2</v>
      </c>
      <c r="Y106">
        <f t="shared" si="511"/>
        <v>78.36</v>
      </c>
      <c r="Z106" s="13">
        <f t="shared" si="503"/>
        <v>5.9999999999999995E-4</v>
      </c>
      <c r="AA106" s="13">
        <f t="shared" si="463"/>
        <v>4.0300000000000002E-2</v>
      </c>
      <c r="AB106" s="6">
        <f t="shared" si="512"/>
        <v>87.471000000000004</v>
      </c>
      <c r="AC106">
        <f t="shared" si="496"/>
        <v>44</v>
      </c>
      <c r="AD106" s="11">
        <f t="shared" si="499"/>
        <v>1</v>
      </c>
      <c r="AE106">
        <f t="shared" si="485"/>
        <v>30</v>
      </c>
      <c r="AF106">
        <f>IF(AND(AE106&lt;15,OR(AC106&gt;=30,AA106&gt;0.15,X106&gt;=0.15)),2,VLOOKUP(AE106,Table!P:Q,2,FALSE))</f>
        <v>4</v>
      </c>
      <c r="AG106" s="22">
        <f>IF((AB106*0.98)-(D106*0.8)+((AF106-3)*3)+VLOOKUP(AM106,Table!$A$11:$B$13,2,FALSE)&lt;0,0,(AB106*0.98)-(D106*0.8)+((AF106-3)*3)+VLOOKUP(AM106,Table!$A$11:$B$13,2,FALSE))</f>
        <v>87.64958</v>
      </c>
      <c r="AH106" s="22">
        <f t="shared" si="534"/>
        <v>89</v>
      </c>
      <c r="AI106" s="18">
        <f t="shared" si="527"/>
        <v>0.28999999999999998</v>
      </c>
      <c r="AJ106" s="18">
        <f t="shared" si="528"/>
        <v>0.27</v>
      </c>
      <c r="AK106" t="str">
        <f t="shared" si="513"/>
        <v/>
      </c>
      <c r="AL106">
        <f t="shared" si="524"/>
        <v>30</v>
      </c>
      <c r="AM106" s="11" t="str">
        <f t="shared" si="514"/>
        <v>Stocks</v>
      </c>
      <c r="AN106" t="str">
        <f t="shared" si="520"/>
        <v>Buy</v>
      </c>
      <c r="AO106" s="13">
        <f t="shared" si="521"/>
        <v>-6.7999999999999996E-3</v>
      </c>
      <c r="AP106" s="13">
        <f t="shared" si="522"/>
        <v>1E-4</v>
      </c>
      <c r="AQ106" s="13">
        <f t="shared" si="523"/>
        <v>-6.0000000000000001E-3</v>
      </c>
      <c r="AR106" s="13">
        <f t="shared" si="515"/>
        <v>-6.7999999999999996E-3</v>
      </c>
      <c r="AS106" s="6">
        <f t="shared" si="506"/>
        <v>543.82971160582883</v>
      </c>
      <c r="AT106" s="6">
        <f t="shared" si="507"/>
        <v>186.43974907814265</v>
      </c>
      <c r="AU106" s="6">
        <f t="shared" si="508"/>
        <v>835.49922237706028</v>
      </c>
      <c r="AV106" s="6">
        <f t="shared" si="509"/>
        <v>1275.4764744876773</v>
      </c>
      <c r="AW106" s="58">
        <f t="shared" si="516"/>
        <v>2016</v>
      </c>
      <c r="AX106" s="58">
        <f>COUNTIF(AW$3:AW106,AW106)</f>
        <v>19</v>
      </c>
    </row>
    <row r="107" spans="1:50" x14ac:dyDescent="0.25">
      <c r="A107" s="5">
        <v>42596</v>
      </c>
      <c r="B107">
        <v>2184.0500000000002</v>
      </c>
      <c r="C107">
        <v>0.28999999999999998</v>
      </c>
      <c r="D107" s="6">
        <v>11.55</v>
      </c>
      <c r="E107" s="18">
        <f t="shared" si="529"/>
        <v>11.6</v>
      </c>
      <c r="F107">
        <f t="shared" si="530"/>
        <v>2</v>
      </c>
      <c r="G107" s="18">
        <f>ROUND(INDEX(Valuation!U:U,MATCH(A107,Valuation!A:A,0)),2)</f>
        <v>111.32</v>
      </c>
      <c r="H107">
        <f t="shared" si="537"/>
        <v>0</v>
      </c>
      <c r="I107" s="18">
        <f>INDEX(WeeklyIndicators!Y:Y,MATCH(A107,WeeklyIndicators!A:A,0))</f>
        <v>154.04</v>
      </c>
      <c r="J107">
        <f t="shared" si="526"/>
        <v>2</v>
      </c>
      <c r="K107">
        <f>ROUND(INDEX(Economic!AF:AF,MATCH(EOMONTH($A107,-1),Economic!A:A,0)),2)</f>
        <v>104.89</v>
      </c>
      <c r="L107" s="11">
        <f t="shared" si="535"/>
        <v>0</v>
      </c>
      <c r="M107">
        <f>ROUND(INDEX(Manufacturing!P:P,MATCH(EOMONTH($A107,-1),Manufacturing!A:A,0)),2)</f>
        <v>82.29</v>
      </c>
      <c r="N107">
        <f t="shared" si="531"/>
        <v>-1</v>
      </c>
      <c r="O107">
        <f>ROUND(INDEX(Housing!AC:AC,MATCH(EOMONTH($A107,-1),Housing!B:B,0)),2)</f>
        <v>141.11000000000001</v>
      </c>
      <c r="P107">
        <f t="shared" si="532"/>
        <v>3</v>
      </c>
      <c r="Q107">
        <f>ROUND(INDEX(Spending!AJ:AJ,MATCH(EOMONTH($A107,-1),Spending!B:B,0)),2)</f>
        <v>59.16</v>
      </c>
      <c r="R107">
        <f t="shared" si="536"/>
        <v>1</v>
      </c>
      <c r="S107">
        <f>ROUND(INDEX(Employment!V:V,MATCH(EOMONTH($A107,-1),Employment!A:A,0)),2)</f>
        <v>165.74</v>
      </c>
      <c r="T107" s="11">
        <f t="shared" si="533"/>
        <v>1</v>
      </c>
      <c r="U107">
        <f t="shared" si="525"/>
        <v>28</v>
      </c>
      <c r="V107">
        <f t="shared" si="517"/>
        <v>76.64</v>
      </c>
      <c r="W107" s="13">
        <f t="shared" si="518"/>
        <v>5.8999999999999999E-3</v>
      </c>
      <c r="X107" s="13">
        <f t="shared" si="519"/>
        <v>3.5099999999999999E-2</v>
      </c>
      <c r="Y107">
        <f t="shared" si="511"/>
        <v>79.319999999999993</v>
      </c>
      <c r="Z107" s="13">
        <f t="shared" si="503"/>
        <v>7.4999999999999997E-3</v>
      </c>
      <c r="AA107" s="13">
        <f t="shared" si="463"/>
        <v>5.5999999999999994E-2</v>
      </c>
      <c r="AB107" s="6">
        <f t="shared" si="512"/>
        <v>89.612000000000009</v>
      </c>
      <c r="AC107">
        <f t="shared" si="496"/>
        <v>45</v>
      </c>
      <c r="AD107" s="11">
        <f t="shared" si="499"/>
        <v>1</v>
      </c>
      <c r="AE107">
        <f t="shared" si="485"/>
        <v>31</v>
      </c>
      <c r="AF107">
        <f>IF(AND(AE107&lt;15,OR(AC107&gt;=30,AA107&gt;0.15,X107&gt;=0.15)),2,VLOOKUP(AE107,Table!P:Q,2,FALSE))</f>
        <v>4</v>
      </c>
      <c r="AG107" s="22">
        <f>IF((AB107*0.98)-(D107*0.8)+((AF107-3)*3)+VLOOKUP(AM107,Table!$A$11:$B$13,2,FALSE)&lt;0,0,(AB107*0.98)-(D107*0.8)+((AF107-3)*3)+VLOOKUP(AM107,Table!$A$11:$B$13,2,FALSE))</f>
        <v>89.579760000000007</v>
      </c>
      <c r="AH107" s="22">
        <f t="shared" si="534"/>
        <v>90</v>
      </c>
      <c r="AI107" s="18">
        <f t="shared" si="527"/>
        <v>0.28999999999999998</v>
      </c>
      <c r="AJ107" s="18">
        <f t="shared" si="528"/>
        <v>0.26</v>
      </c>
      <c r="AK107" t="str">
        <f t="shared" si="513"/>
        <v/>
      </c>
      <c r="AL107">
        <f t="shared" si="524"/>
        <v>29.5</v>
      </c>
      <c r="AM107" s="11" t="str">
        <f t="shared" si="514"/>
        <v>Stocks</v>
      </c>
      <c r="AN107" t="str">
        <f t="shared" si="520"/>
        <v>Buy</v>
      </c>
      <c r="AO107" s="13">
        <f t="shared" si="521"/>
        <v>-1E-4</v>
      </c>
      <c r="AP107" s="13">
        <f t="shared" si="522"/>
        <v>1E-4</v>
      </c>
      <c r="AQ107" s="13">
        <f t="shared" si="523"/>
        <v>-1E-4</v>
      </c>
      <c r="AR107" s="13">
        <f t="shared" si="515"/>
        <v>-1E-4</v>
      </c>
      <c r="AS107" s="6">
        <f t="shared" si="506"/>
        <v>543.88410001583043</v>
      </c>
      <c r="AT107" s="6">
        <f t="shared" si="507"/>
        <v>186.42110696744592</v>
      </c>
      <c r="AU107" s="6">
        <f t="shared" si="508"/>
        <v>835.58278065512582</v>
      </c>
      <c r="AV107" s="6">
        <f t="shared" si="509"/>
        <v>1275.6040348911663</v>
      </c>
      <c r="AW107" s="58">
        <f t="shared" si="516"/>
        <v>2016</v>
      </c>
      <c r="AX107" s="58">
        <f>COUNTIF(AW$3:AW107,AW107)</f>
        <v>20</v>
      </c>
    </row>
    <row r="108" spans="1:50" x14ac:dyDescent="0.25">
      <c r="A108" s="5">
        <v>42589</v>
      </c>
      <c r="B108">
        <v>2182.87</v>
      </c>
      <c r="C108">
        <v>0.28000000000000003</v>
      </c>
      <c r="D108" s="6">
        <v>11.39</v>
      </c>
      <c r="E108" s="18">
        <f t="shared" si="529"/>
        <v>11.76</v>
      </c>
      <c r="F108">
        <f t="shared" si="530"/>
        <v>2</v>
      </c>
      <c r="G108" s="18">
        <f>ROUND(INDEX(Valuation!U:U,MATCH(A108,Valuation!A:A,0)),2)</f>
        <v>110.5</v>
      </c>
      <c r="H108">
        <f t="shared" si="537"/>
        <v>0</v>
      </c>
      <c r="I108" s="18">
        <f>INDEX(WeeklyIndicators!Y:Y,MATCH(A108,WeeklyIndicators!A:A,0))</f>
        <v>164.03</v>
      </c>
      <c r="J108">
        <f t="shared" si="526"/>
        <v>2</v>
      </c>
      <c r="K108">
        <f>ROUND(INDEX(Economic!AF:AF,MATCH(EOMONTH($A108,-1),Economic!A:A,0)),2)</f>
        <v>104.89</v>
      </c>
      <c r="L108" s="11">
        <f t="shared" si="535"/>
        <v>0</v>
      </c>
      <c r="M108">
        <f>ROUND(INDEX(Manufacturing!P:P,MATCH(EOMONTH($A108,-1),Manufacturing!A:A,0)),2)</f>
        <v>82.29</v>
      </c>
      <c r="N108">
        <f t="shared" si="531"/>
        <v>-1</v>
      </c>
      <c r="O108">
        <f>ROUND(INDEX(Housing!AC:AC,MATCH(EOMONTH($A108,-1),Housing!B:B,0)),2)</f>
        <v>141.11000000000001</v>
      </c>
      <c r="P108">
        <f t="shared" si="532"/>
        <v>3</v>
      </c>
      <c r="Q108">
        <f>ROUND(INDEX(Spending!AJ:AJ,MATCH(EOMONTH($A108,-1),Spending!B:B,0)),2)</f>
        <v>59.16</v>
      </c>
      <c r="R108">
        <f t="shared" si="536"/>
        <v>1</v>
      </c>
      <c r="S108">
        <f>ROUND(INDEX(Employment!V:V,MATCH(EOMONTH($A108,-1),Employment!A:A,0)),2)</f>
        <v>165.74</v>
      </c>
      <c r="T108" s="11">
        <f t="shared" si="533"/>
        <v>1</v>
      </c>
      <c r="U108">
        <f t="shared" si="525"/>
        <v>28</v>
      </c>
      <c r="V108">
        <f t="shared" si="517"/>
        <v>77.67</v>
      </c>
      <c r="W108" s="13">
        <f t="shared" si="518"/>
        <v>1.46E-2</v>
      </c>
      <c r="X108" s="13">
        <f t="shared" si="519"/>
        <v>3.4099999999999998E-2</v>
      </c>
      <c r="Y108">
        <f t="shared" si="511"/>
        <v>80.209999999999994</v>
      </c>
      <c r="Z108" s="13">
        <f t="shared" si="503"/>
        <v>1.61E-2</v>
      </c>
      <c r="AA108" s="13">
        <f t="shared" si="463"/>
        <v>6.5600000000000006E-2</v>
      </c>
      <c r="AB108" s="6">
        <f t="shared" si="512"/>
        <v>91.09</v>
      </c>
      <c r="AC108">
        <f t="shared" si="496"/>
        <v>46</v>
      </c>
      <c r="AD108" s="11">
        <f t="shared" si="499"/>
        <v>1</v>
      </c>
      <c r="AE108">
        <f t="shared" si="485"/>
        <v>31</v>
      </c>
      <c r="AF108">
        <f>IF(AND(AE108&lt;15,OR(AC108&gt;=30,AA108&gt;0.15,X108&gt;=0.15)),2,VLOOKUP(AE108,Table!P:Q,2,FALSE))</f>
        <v>4</v>
      </c>
      <c r="AG108" s="22">
        <f>IF((AB108*0.98)-(D108*0.8)+((AF108-3)*3)+VLOOKUP(AM108,Table!$A$11:$B$13,2,FALSE)&lt;0,0,(AB108*0.98)-(D108*0.8)+((AF108-3)*3)+VLOOKUP(AM108,Table!$A$11:$B$13,2,FALSE))</f>
        <v>91.156200000000013</v>
      </c>
      <c r="AH108" s="22">
        <f t="shared" si="534"/>
        <v>89</v>
      </c>
      <c r="AI108" s="18">
        <f t="shared" si="527"/>
        <v>0.28999999999999998</v>
      </c>
      <c r="AJ108" s="18">
        <f t="shared" si="528"/>
        <v>0.26</v>
      </c>
      <c r="AK108" t="str">
        <f t="shared" si="513"/>
        <v/>
      </c>
      <c r="AL108">
        <f t="shared" si="524"/>
        <v>28.5</v>
      </c>
      <c r="AM108" s="11" t="str">
        <f t="shared" si="514"/>
        <v>Stocks</v>
      </c>
      <c r="AN108" t="str">
        <f t="shared" si="520"/>
        <v>Buy</v>
      </c>
      <c r="AO108" s="13">
        <f t="shared" si="521"/>
        <v>5.0000000000000001E-4</v>
      </c>
      <c r="AP108" s="13">
        <f t="shared" si="522"/>
        <v>1E-4</v>
      </c>
      <c r="AQ108" s="13">
        <f t="shared" si="523"/>
        <v>5.0000000000000001E-4</v>
      </c>
      <c r="AR108" s="13">
        <f t="shared" si="515"/>
        <v>5.0000000000000001E-4</v>
      </c>
      <c r="AS108" s="6">
        <f t="shared" si="506"/>
        <v>543.61229386889602</v>
      </c>
      <c r="AT108" s="6">
        <f t="shared" si="507"/>
        <v>186.40246672077384</v>
      </c>
      <c r="AU108" s="6">
        <f t="shared" si="508"/>
        <v>835.16519805609778</v>
      </c>
      <c r="AV108" s="6">
        <f t="shared" si="509"/>
        <v>1274.9665516153586</v>
      </c>
      <c r="AW108" s="58">
        <f t="shared" si="516"/>
        <v>2016</v>
      </c>
      <c r="AX108" s="58">
        <f>COUNTIF(AW$3:AW108,AW108)</f>
        <v>21</v>
      </c>
    </row>
    <row r="109" spans="1:50" x14ac:dyDescent="0.25">
      <c r="A109" s="5">
        <v>42582</v>
      </c>
      <c r="B109">
        <v>2173.6</v>
      </c>
      <c r="C109">
        <v>0.28999999999999998</v>
      </c>
      <c r="D109" s="6">
        <v>11.87</v>
      </c>
      <c r="E109" s="18">
        <f t="shared" si="529"/>
        <v>12.19</v>
      </c>
      <c r="F109">
        <f t="shared" si="530"/>
        <v>2</v>
      </c>
      <c r="G109" s="18">
        <f>ROUND(INDEX(Valuation!U:U,MATCH(A109,Valuation!A:A,0)),2)</f>
        <v>109.64</v>
      </c>
      <c r="H109">
        <f t="shared" si="537"/>
        <v>0</v>
      </c>
      <c r="I109" s="18">
        <f>INDEX(WeeklyIndicators!Y:Y,MATCH(A109,WeeklyIndicators!A:A,0))</f>
        <v>166.71</v>
      </c>
      <c r="J109">
        <f t="shared" si="526"/>
        <v>2</v>
      </c>
      <c r="K109">
        <f>ROUND(INDEX(Economic!AF:AF,MATCH(EOMONTH($A109,-1),Economic!A:A,0)),2)</f>
        <v>99.93</v>
      </c>
      <c r="L109" s="11">
        <f t="shared" si="535"/>
        <v>-1</v>
      </c>
      <c r="M109">
        <f>ROUND(INDEX(Manufacturing!P:P,MATCH(EOMONTH($A109,-1),Manufacturing!A:A,0)),2)</f>
        <v>80.510000000000005</v>
      </c>
      <c r="N109">
        <f t="shared" si="531"/>
        <v>-1</v>
      </c>
      <c r="O109">
        <f>ROUND(INDEX(Housing!AC:AC,MATCH(EOMONTH($A109,-1),Housing!B:B,0)),2)</f>
        <v>137.94</v>
      </c>
      <c r="P109">
        <f t="shared" si="532"/>
        <v>2</v>
      </c>
      <c r="Q109">
        <f>ROUND(INDEX(Spending!AJ:AJ,MATCH(EOMONTH($A109,-1),Spending!B:B,0)),2)</f>
        <v>55.74</v>
      </c>
      <c r="R109">
        <f t="shared" si="536"/>
        <v>1</v>
      </c>
      <c r="S109">
        <f>ROUND(INDEX(Employment!V:V,MATCH(EOMONTH($A109,-1),Employment!A:A,0)),2)</f>
        <v>158.88</v>
      </c>
      <c r="T109" s="11">
        <f t="shared" si="533"/>
        <v>0</v>
      </c>
      <c r="U109">
        <f t="shared" si="525"/>
        <v>25</v>
      </c>
      <c r="V109">
        <f t="shared" si="517"/>
        <v>75.92</v>
      </c>
      <c r="W109" s="13">
        <f t="shared" si="518"/>
        <v>9.1000000000000004E-3</v>
      </c>
      <c r="X109" s="13">
        <f t="shared" si="519"/>
        <v>2.5600000000000001E-2</v>
      </c>
      <c r="Y109">
        <f t="shared" si="511"/>
        <v>78.209999999999994</v>
      </c>
      <c r="Z109" s="13">
        <f t="shared" si="503"/>
        <v>1.61E-2</v>
      </c>
      <c r="AA109" s="13">
        <f t="shared" si="463"/>
        <v>5.5199999999999999E-2</v>
      </c>
      <c r="AB109" s="6">
        <f t="shared" si="512"/>
        <v>88.164000000000001</v>
      </c>
      <c r="AC109">
        <f t="shared" si="496"/>
        <v>44</v>
      </c>
      <c r="AD109" s="11">
        <f t="shared" si="499"/>
        <v>1</v>
      </c>
      <c r="AE109">
        <f t="shared" si="485"/>
        <v>28</v>
      </c>
      <c r="AF109">
        <f>IF(AND(AE109&lt;15,OR(AC109&gt;=30,AA109&gt;0.15,X109&gt;=0.15)),2,VLOOKUP(AE109,Table!P:Q,2,FALSE))</f>
        <v>4</v>
      </c>
      <c r="AG109" s="22">
        <f>IF((AB109*0.98)-(D109*0.8)+((AF109-3)*3)+VLOOKUP(AM109,Table!$A$11:$B$13,2,FALSE)&lt;0,0,(AB109*0.98)-(D109*0.8)+((AF109-3)*3)+VLOOKUP(AM109,Table!$A$11:$B$13,2,FALSE))</f>
        <v>87.904720000000012</v>
      </c>
      <c r="AH109" s="22">
        <f t="shared" si="534"/>
        <v>86</v>
      </c>
      <c r="AI109" s="18">
        <f t="shared" si="527"/>
        <v>0.28000000000000003</v>
      </c>
      <c r="AJ109" s="18">
        <f t="shared" si="528"/>
        <v>0.25</v>
      </c>
      <c r="AK109" t="str">
        <f t="shared" si="513"/>
        <v/>
      </c>
      <c r="AL109">
        <f t="shared" si="524"/>
        <v>26.75</v>
      </c>
      <c r="AM109" s="11" t="str">
        <f t="shared" si="514"/>
        <v>Stocks</v>
      </c>
      <c r="AN109" t="str">
        <f t="shared" si="520"/>
        <v>Buy</v>
      </c>
      <c r="AO109" s="13">
        <f t="shared" si="521"/>
        <v>4.3E-3</v>
      </c>
      <c r="AP109" s="13">
        <f t="shared" si="522"/>
        <v>1E-4</v>
      </c>
      <c r="AQ109" s="13">
        <f t="shared" si="523"/>
        <v>3.7000000000000002E-3</v>
      </c>
      <c r="AR109" s="13">
        <f t="shared" si="515"/>
        <v>4.3E-3</v>
      </c>
      <c r="AS109" s="6">
        <f t="shared" si="506"/>
        <v>541.28476936064521</v>
      </c>
      <c r="AT109" s="6">
        <f t="shared" si="507"/>
        <v>186.38382833794006</v>
      </c>
      <c r="AU109" s="6">
        <f t="shared" si="508"/>
        <v>832.08647808717524</v>
      </c>
      <c r="AV109" s="6">
        <f t="shared" si="509"/>
        <v>1269.5076686402058</v>
      </c>
      <c r="AW109" s="58">
        <f t="shared" si="516"/>
        <v>2016</v>
      </c>
      <c r="AX109" s="58">
        <f>COUNTIF(AW$3:AW109,AW109)</f>
        <v>22</v>
      </c>
    </row>
    <row r="110" spans="1:50" x14ac:dyDescent="0.25">
      <c r="A110" s="5">
        <v>42575</v>
      </c>
      <c r="B110">
        <v>2175.0300000000002</v>
      </c>
      <c r="C110">
        <v>0.32</v>
      </c>
      <c r="D110" s="6">
        <v>12.02</v>
      </c>
      <c r="E110" s="18">
        <f t="shared" si="529"/>
        <v>12.63</v>
      </c>
      <c r="F110">
        <f t="shared" si="530"/>
        <v>2</v>
      </c>
      <c r="G110" s="18">
        <f>ROUND(INDEX(Valuation!U:U,MATCH(A110,Valuation!A:A,0)),2)</f>
        <v>110.68</v>
      </c>
      <c r="H110">
        <f t="shared" si="537"/>
        <v>0</v>
      </c>
      <c r="I110" s="18">
        <f>INDEX(WeeklyIndicators!Y:Y,MATCH(A110,WeeklyIndicators!A:A,0))</f>
        <v>160.77000000000001</v>
      </c>
      <c r="J110">
        <f t="shared" si="526"/>
        <v>2</v>
      </c>
      <c r="K110">
        <f>ROUND(INDEX(Economic!AF:AF,MATCH(EOMONTH($A110,-1),Economic!A:A,0)),2)</f>
        <v>99.93</v>
      </c>
      <c r="L110" s="11">
        <f t="shared" si="535"/>
        <v>-1</v>
      </c>
      <c r="M110">
        <f>ROUND(INDEX(Manufacturing!P:P,MATCH(EOMONTH($A110,-1),Manufacturing!A:A,0)),2)</f>
        <v>80.510000000000005</v>
      </c>
      <c r="N110">
        <f t="shared" si="531"/>
        <v>-1</v>
      </c>
      <c r="O110">
        <f>ROUND(INDEX(Housing!AC:AC,MATCH(EOMONTH($A110,-1),Housing!B:B,0)),2)</f>
        <v>137.94</v>
      </c>
      <c r="P110">
        <f t="shared" si="532"/>
        <v>2</v>
      </c>
      <c r="Q110">
        <f>ROUND(INDEX(Spending!AJ:AJ,MATCH(EOMONTH($A110,-1),Spending!B:B,0)),2)</f>
        <v>55.74</v>
      </c>
      <c r="R110">
        <f t="shared" si="536"/>
        <v>1</v>
      </c>
      <c r="S110">
        <f>ROUND(INDEX(Employment!V:V,MATCH(EOMONTH($A110,-1),Employment!A:A,0)),2)</f>
        <v>158.88</v>
      </c>
      <c r="T110" s="11">
        <f t="shared" si="533"/>
        <v>0</v>
      </c>
      <c r="U110">
        <f t="shared" si="525"/>
        <v>25</v>
      </c>
      <c r="V110">
        <f t="shared" si="517"/>
        <v>75.3</v>
      </c>
      <c r="W110" s="13">
        <f t="shared" si="518"/>
        <v>5.4999999999999997E-3</v>
      </c>
      <c r="X110" s="13">
        <f t="shared" si="519"/>
        <v>2.8799999999999999E-2</v>
      </c>
      <c r="Y110">
        <f t="shared" si="511"/>
        <v>77.55</v>
      </c>
      <c r="Z110" s="13">
        <f t="shared" si="503"/>
        <v>1.6299999999999999E-2</v>
      </c>
      <c r="AA110" s="13">
        <f t="shared" si="463"/>
        <v>4.3799999999999999E-2</v>
      </c>
      <c r="AB110" s="6">
        <f t="shared" si="512"/>
        <v>86.847999999999999</v>
      </c>
      <c r="AC110">
        <f t="shared" si="496"/>
        <v>43</v>
      </c>
      <c r="AD110" s="11">
        <f t="shared" si="499"/>
        <v>1</v>
      </c>
      <c r="AE110">
        <f t="shared" si="485"/>
        <v>28</v>
      </c>
      <c r="AF110">
        <f>IF(AND(AE110&lt;15,OR(AC110&gt;=30,AA110&gt;0.15,X110&gt;=0.15)),2,VLOOKUP(AE110,Table!P:Q,2,FALSE))</f>
        <v>4</v>
      </c>
      <c r="AG110" s="22">
        <f>IF((AB110*0.98)-(D110*0.8)+((AF110-3)*3)+VLOOKUP(AM110,Table!$A$11:$B$13,2,FALSE)&lt;0,0,(AB110*0.98)-(D110*0.8)+((AF110-3)*3)+VLOOKUP(AM110,Table!$A$11:$B$13,2,FALSE))</f>
        <v>86.495040000000003</v>
      </c>
      <c r="AH110" s="22">
        <f t="shared" si="534"/>
        <v>83</v>
      </c>
      <c r="AI110" s="18">
        <f t="shared" si="527"/>
        <v>0.28000000000000003</v>
      </c>
      <c r="AJ110" s="18">
        <f t="shared" si="528"/>
        <v>0.25</v>
      </c>
      <c r="AK110" t="str">
        <f t="shared" si="513"/>
        <v/>
      </c>
      <c r="AL110">
        <f t="shared" si="524"/>
        <v>25.5</v>
      </c>
      <c r="AM110" s="11" t="str">
        <f t="shared" si="514"/>
        <v>Stocks</v>
      </c>
      <c r="AN110" t="str">
        <f t="shared" si="520"/>
        <v>Buy</v>
      </c>
      <c r="AO110" s="13">
        <f t="shared" si="521"/>
        <v>-6.9999999999999999E-4</v>
      </c>
      <c r="AP110" s="13">
        <f t="shared" si="522"/>
        <v>1E-4</v>
      </c>
      <c r="AQ110" s="13">
        <f t="shared" si="523"/>
        <v>-5.9999999999999995E-4</v>
      </c>
      <c r="AR110" s="13">
        <f t="shared" si="515"/>
        <v>-6.9999999999999999E-4</v>
      </c>
      <c r="AS110" s="6">
        <f t="shared" si="506"/>
        <v>541.66393411452543</v>
      </c>
      <c r="AT110" s="6">
        <f t="shared" si="507"/>
        <v>186.36519181875818</v>
      </c>
      <c r="AU110" s="6">
        <f t="shared" si="508"/>
        <v>832.58602970499828</v>
      </c>
      <c r="AV110" s="6">
        <f t="shared" si="509"/>
        <v>1270.3969465027578</v>
      </c>
      <c r="AW110" s="58">
        <f t="shared" si="516"/>
        <v>2016</v>
      </c>
      <c r="AX110" s="58">
        <f>COUNTIF(AW$3:AW110,AW110)</f>
        <v>23</v>
      </c>
    </row>
    <row r="111" spans="1:50" x14ac:dyDescent="0.25">
      <c r="A111" s="5">
        <v>42568</v>
      </c>
      <c r="B111">
        <v>2161.7399999999998</v>
      </c>
      <c r="C111">
        <v>0.31</v>
      </c>
      <c r="D111" s="6">
        <v>12.67</v>
      </c>
      <c r="E111" s="18">
        <f t="shared" si="529"/>
        <v>13.55</v>
      </c>
      <c r="F111">
        <f t="shared" si="530"/>
        <v>2</v>
      </c>
      <c r="G111" s="18">
        <f>ROUND(INDEX(Valuation!U:U,MATCH(A111,Valuation!A:A,0)),2)</f>
        <v>112.13</v>
      </c>
      <c r="H111">
        <f t="shared" si="537"/>
        <v>0</v>
      </c>
      <c r="I111" s="18">
        <f>INDEX(WeeklyIndicators!Y:Y,MATCH(A111,WeeklyIndicators!A:A,0))</f>
        <v>151.91</v>
      </c>
      <c r="J111">
        <f t="shared" si="526"/>
        <v>1</v>
      </c>
      <c r="K111">
        <f>ROUND(INDEX(Economic!AF:AF,MATCH(EOMONTH($A111,-1),Economic!A:A,0)),2)</f>
        <v>99.93</v>
      </c>
      <c r="L111" s="11">
        <f t="shared" si="535"/>
        <v>-1</v>
      </c>
      <c r="M111">
        <f>ROUND(INDEX(Manufacturing!P:P,MATCH(EOMONTH($A111,-1),Manufacturing!A:A,0)),2)</f>
        <v>80.510000000000005</v>
      </c>
      <c r="N111">
        <f t="shared" si="531"/>
        <v>-1</v>
      </c>
      <c r="O111">
        <f>ROUND(INDEX(Housing!AC:AC,MATCH(EOMONTH($A111,-1),Housing!B:B,0)),2)</f>
        <v>137.94</v>
      </c>
      <c r="P111">
        <f t="shared" si="532"/>
        <v>2</v>
      </c>
      <c r="Q111">
        <f>ROUND(INDEX(Spending!AJ:AJ,MATCH(EOMONTH($A111,-1),Spending!B:B,0)),2)</f>
        <v>55.74</v>
      </c>
      <c r="R111">
        <f t="shared" si="536"/>
        <v>1</v>
      </c>
      <c r="S111">
        <f>ROUND(INDEX(Employment!V:V,MATCH(EOMONTH($A111,-1),Employment!A:A,0)),2)</f>
        <v>158.88</v>
      </c>
      <c r="T111" s="11">
        <f t="shared" si="533"/>
        <v>0</v>
      </c>
      <c r="U111">
        <f t="shared" si="525"/>
        <v>24</v>
      </c>
      <c r="V111">
        <f t="shared" si="517"/>
        <v>74.38</v>
      </c>
      <c r="W111" s="13">
        <f t="shared" si="518"/>
        <v>4.8999999999999998E-3</v>
      </c>
      <c r="X111" s="13">
        <f t="shared" si="519"/>
        <v>3.3700000000000001E-2</v>
      </c>
      <c r="Y111">
        <f t="shared" si="511"/>
        <v>76.47</v>
      </c>
      <c r="Z111" s="13">
        <f t="shared" si="503"/>
        <v>1.7100000000000001E-2</v>
      </c>
      <c r="AA111" s="13">
        <f t="shared" si="463"/>
        <v>2.6800000000000001E-2</v>
      </c>
      <c r="AB111" s="6">
        <f t="shared" si="512"/>
        <v>84.792999999999992</v>
      </c>
      <c r="AC111">
        <f t="shared" si="496"/>
        <v>42</v>
      </c>
      <c r="AD111" s="11">
        <f t="shared" si="499"/>
        <v>1</v>
      </c>
      <c r="AE111">
        <f t="shared" si="485"/>
        <v>27</v>
      </c>
      <c r="AF111">
        <f>IF(AND(AE111&lt;15,OR(AC111&gt;=30,AA111&gt;0.15,X111&gt;=0.15)),2,VLOOKUP(AE111,Table!P:Q,2,FALSE))</f>
        <v>4</v>
      </c>
      <c r="AG111" s="22">
        <f>IF((AB111*0.98)-(D111*0.8)+((AF111-3)*3)+VLOOKUP(AM111,Table!$A$11:$B$13,2,FALSE)&lt;0,0,(AB111*0.98)-(D111*0.8)+((AF111-3)*3)+VLOOKUP(AM111,Table!$A$11:$B$13,2,FALSE))</f>
        <v>83.96114</v>
      </c>
      <c r="AH111" s="22">
        <f t="shared" si="534"/>
        <v>79</v>
      </c>
      <c r="AI111" s="18">
        <f t="shared" si="527"/>
        <v>0.27</v>
      </c>
      <c r="AJ111" s="18">
        <f t="shared" si="528"/>
        <v>0.24</v>
      </c>
      <c r="AK111" t="str">
        <f t="shared" si="513"/>
        <v/>
      </c>
      <c r="AL111">
        <f t="shared" si="524"/>
        <v>24.25</v>
      </c>
      <c r="AM111" s="11" t="str">
        <f t="shared" si="514"/>
        <v>Stocks</v>
      </c>
      <c r="AN111" t="str">
        <f t="shared" si="520"/>
        <v>Buy</v>
      </c>
      <c r="AO111" s="13">
        <f t="shared" si="521"/>
        <v>6.1000000000000004E-3</v>
      </c>
      <c r="AP111" s="13">
        <f t="shared" si="522"/>
        <v>1E-4</v>
      </c>
      <c r="AQ111" s="13">
        <f t="shared" si="523"/>
        <v>4.7999999999999996E-3</v>
      </c>
      <c r="AR111" s="13">
        <f t="shared" si="515"/>
        <v>6.1000000000000004E-3</v>
      </c>
      <c r="AS111" s="6">
        <f t="shared" si="506"/>
        <v>538.37981722942595</v>
      </c>
      <c r="AT111" s="6">
        <f t="shared" si="507"/>
        <v>186.34655716304187</v>
      </c>
      <c r="AU111" s="6">
        <f t="shared" si="508"/>
        <v>828.6087079070445</v>
      </c>
      <c r="AV111" s="6">
        <f t="shared" si="509"/>
        <v>1262.6945099918078</v>
      </c>
      <c r="AW111" s="58">
        <f t="shared" si="516"/>
        <v>2016</v>
      </c>
      <c r="AX111" s="58">
        <f>COUNTIF(AW$3:AW111,AW111)</f>
        <v>24</v>
      </c>
    </row>
    <row r="112" spans="1:50" x14ac:dyDescent="0.25">
      <c r="A112" s="5">
        <v>42561</v>
      </c>
      <c r="B112">
        <v>2129.9</v>
      </c>
      <c r="C112">
        <v>0.28000000000000003</v>
      </c>
      <c r="D112" s="6">
        <v>13.2</v>
      </c>
      <c r="E112" s="18">
        <f t="shared" si="529"/>
        <v>17.91</v>
      </c>
      <c r="F112">
        <f t="shared" si="530"/>
        <v>0</v>
      </c>
      <c r="G112" s="18">
        <f>ROUND(INDEX(Valuation!U:U,MATCH(A112,Valuation!A:A,0)),2)</f>
        <v>112.68</v>
      </c>
      <c r="H112">
        <f t="shared" si="537"/>
        <v>0</v>
      </c>
      <c r="I112" s="18">
        <f>INDEX(WeeklyIndicators!Y:Y,MATCH(A112,WeeklyIndicators!A:A,0))</f>
        <v>147.16</v>
      </c>
      <c r="J112">
        <f t="shared" si="526"/>
        <v>1</v>
      </c>
      <c r="K112">
        <f>ROUND(INDEX(Economic!AF:AF,MATCH(EOMONTH($A112,-1),Economic!A:A,0)),2)</f>
        <v>99.93</v>
      </c>
      <c r="L112" s="11">
        <f t="shared" si="535"/>
        <v>-1</v>
      </c>
      <c r="M112">
        <f>ROUND(INDEX(Manufacturing!P:P,MATCH(EOMONTH($A112,-1),Manufacturing!A:A,0)),2)</f>
        <v>80.510000000000005</v>
      </c>
      <c r="N112">
        <f t="shared" si="531"/>
        <v>-1</v>
      </c>
      <c r="O112">
        <f>ROUND(INDEX(Housing!AC:AC,MATCH(EOMONTH($A112,-1),Housing!B:B,0)),2)</f>
        <v>137.94</v>
      </c>
      <c r="P112">
        <f t="shared" si="532"/>
        <v>2</v>
      </c>
      <c r="Q112">
        <f>ROUND(INDEX(Spending!AJ:AJ,MATCH(EOMONTH($A112,-1),Spending!B:B,0)),2)</f>
        <v>55.74</v>
      </c>
      <c r="R112">
        <f t="shared" si="536"/>
        <v>1</v>
      </c>
      <c r="S112">
        <f>ROUND(INDEX(Employment!V:V,MATCH(EOMONTH($A112,-1),Employment!A:A,0)),2)</f>
        <v>158.88</v>
      </c>
      <c r="T112" s="11">
        <f t="shared" si="533"/>
        <v>0</v>
      </c>
      <c r="U112">
        <f t="shared" si="525"/>
        <v>22</v>
      </c>
      <c r="V112">
        <f t="shared" si="517"/>
        <v>73.89</v>
      </c>
      <c r="W112" s="13">
        <f t="shared" si="518"/>
        <v>6.1000000000000004E-3</v>
      </c>
      <c r="X112" s="13">
        <f t="shared" si="519"/>
        <v>3.3099999999999997E-2</v>
      </c>
      <c r="Y112">
        <f t="shared" si="511"/>
        <v>74.52</v>
      </c>
      <c r="Z112" s="13">
        <f t="shared" si="503"/>
        <v>5.7000000000000002E-3</v>
      </c>
      <c r="AA112" s="13">
        <f t="shared" si="463"/>
        <v>8.2000000000000007E-3</v>
      </c>
      <c r="AB112" s="6">
        <f t="shared" si="512"/>
        <v>81.628</v>
      </c>
      <c r="AC112">
        <f t="shared" si="496"/>
        <v>41</v>
      </c>
      <c r="AD112" s="11">
        <f t="shared" si="499"/>
        <v>0</v>
      </c>
      <c r="AE112">
        <f t="shared" si="485"/>
        <v>24</v>
      </c>
      <c r="AF112">
        <f>IF(AND(AE112&lt;15,OR(AC112&gt;=30,AA112&gt;0.15,X112&gt;=0.15)),2,VLOOKUP(AE112,Table!P:Q,2,FALSE))</f>
        <v>3</v>
      </c>
      <c r="AG112" s="22">
        <f>IF((AB112*0.98)-(D112*0.8)+((AF112-3)*3)+VLOOKUP(AM112,Table!$A$11:$B$13,2,FALSE)&lt;0,0,(AB112*0.98)-(D112*0.8)+((AF112-3)*3)+VLOOKUP(AM112,Table!$A$11:$B$13,2,FALSE))</f>
        <v>77.43544</v>
      </c>
      <c r="AH112" s="22">
        <f t="shared" si="534"/>
        <v>72</v>
      </c>
      <c r="AI112" s="18">
        <f t="shared" si="527"/>
        <v>0.26</v>
      </c>
      <c r="AJ112" s="18">
        <f t="shared" si="528"/>
        <v>0.23</v>
      </c>
      <c r="AK112" t="str">
        <f t="shared" si="513"/>
        <v/>
      </c>
      <c r="AL112">
        <f t="shared" si="524"/>
        <v>23.5</v>
      </c>
      <c r="AM112" s="11" t="str">
        <f t="shared" si="514"/>
        <v>Stocks</v>
      </c>
      <c r="AN112" t="str">
        <f t="shared" si="520"/>
        <v>Buy</v>
      </c>
      <c r="AO112" s="13">
        <f t="shared" si="521"/>
        <v>1.49E-2</v>
      </c>
      <c r="AP112" s="13">
        <f t="shared" si="522"/>
        <v>1E-4</v>
      </c>
      <c r="AQ112" s="13">
        <f t="shared" si="523"/>
        <v>1.0800000000000001E-2</v>
      </c>
      <c r="AR112" s="13">
        <f t="shared" si="515"/>
        <v>1.49E-2</v>
      </c>
      <c r="AS112" s="6">
        <f t="shared" si="506"/>
        <v>530.47572886927378</v>
      </c>
      <c r="AT112" s="6">
        <f t="shared" si="507"/>
        <v>186.32792437060482</v>
      </c>
      <c r="AU112" s="6">
        <f t="shared" si="508"/>
        <v>819.75535012568719</v>
      </c>
      <c r="AV112" s="6">
        <f t="shared" si="509"/>
        <v>1244.1565769945885</v>
      </c>
      <c r="AW112" s="58">
        <f t="shared" si="516"/>
        <v>2016</v>
      </c>
      <c r="AX112" s="58">
        <f>COUNTIF(AW$3:AW112,AW112)</f>
        <v>25</v>
      </c>
    </row>
    <row r="113" spans="1:50" x14ac:dyDescent="0.25">
      <c r="A113" s="5">
        <v>42554</v>
      </c>
      <c r="B113">
        <v>2102.9499999999998</v>
      </c>
      <c r="C113">
        <v>0.26</v>
      </c>
      <c r="D113" s="6">
        <v>14.77</v>
      </c>
      <c r="E113" s="18">
        <f t="shared" si="529"/>
        <v>19.98</v>
      </c>
      <c r="F113">
        <f t="shared" si="530"/>
        <v>-1</v>
      </c>
      <c r="G113" s="18">
        <f>ROUND(INDEX(Valuation!U:U,MATCH(A113,Valuation!A:A,0)),2)</f>
        <v>111.71</v>
      </c>
      <c r="H113">
        <f t="shared" si="537"/>
        <v>0</v>
      </c>
      <c r="I113" s="18">
        <f>INDEX(WeeklyIndicators!Y:Y,MATCH(A113,WeeklyIndicators!A:A,0))</f>
        <v>148.97999999999999</v>
      </c>
      <c r="J113">
        <f t="shared" si="526"/>
        <v>1</v>
      </c>
      <c r="K113">
        <f>ROUND(INDEX(Economic!AF:AF,MATCH(EOMONTH($A113,-1),Economic!A:A,0)),2)</f>
        <v>99.93</v>
      </c>
      <c r="L113" s="11">
        <f t="shared" si="535"/>
        <v>-1</v>
      </c>
      <c r="M113">
        <f>ROUND(INDEX(Manufacturing!P:P,MATCH(EOMONTH($A113,-1),Manufacturing!A:A,0)),2)</f>
        <v>80.510000000000005</v>
      </c>
      <c r="N113">
        <f t="shared" si="531"/>
        <v>-1</v>
      </c>
      <c r="O113">
        <f>ROUND(INDEX(Housing!AC:AC,MATCH(EOMONTH($A113,-1),Housing!B:B,0)),2)</f>
        <v>137.94</v>
      </c>
      <c r="P113">
        <f t="shared" si="532"/>
        <v>2</v>
      </c>
      <c r="Q113">
        <f>ROUND(INDEX(Spending!AJ:AJ,MATCH(EOMONTH($A113,-1),Spending!B:B,0)),2)</f>
        <v>55.74</v>
      </c>
      <c r="R113">
        <f t="shared" si="536"/>
        <v>1</v>
      </c>
      <c r="S113">
        <f>ROUND(INDEX(Employment!V:V,MATCH(EOMONTH($A113,-1),Employment!A:A,0)),2)</f>
        <v>158.88</v>
      </c>
      <c r="T113" s="11">
        <f t="shared" si="533"/>
        <v>0</v>
      </c>
      <c r="U113">
        <f t="shared" si="525"/>
        <v>21</v>
      </c>
      <c r="V113">
        <f t="shared" si="517"/>
        <v>74.08</v>
      </c>
      <c r="W113" s="13">
        <f t="shared" si="518"/>
        <v>1.23E-2</v>
      </c>
      <c r="X113" s="13">
        <f t="shared" si="519"/>
        <v>2.0199999999999996E-2</v>
      </c>
      <c r="Y113">
        <f t="shared" si="511"/>
        <v>73.88</v>
      </c>
      <c r="Z113" s="13">
        <f t="shared" si="503"/>
        <v>4.7000000000000002E-3</v>
      </c>
      <c r="AA113" s="13">
        <f t="shared" si="463"/>
        <v>-7.2999999999999992E-3</v>
      </c>
      <c r="AB113" s="6">
        <f t="shared" si="512"/>
        <v>79.730999999999995</v>
      </c>
      <c r="AC113">
        <f t="shared" si="496"/>
        <v>40</v>
      </c>
      <c r="AD113" s="11">
        <f t="shared" si="499"/>
        <v>0</v>
      </c>
      <c r="AE113">
        <f t="shared" si="485"/>
        <v>23</v>
      </c>
      <c r="AF113">
        <f>IF(AND(AE113&lt;15,OR(AC113&gt;=30,AA113&gt;0.15,X113&gt;=0.15)),2,VLOOKUP(AE113,Table!P:Q,2,FALSE))</f>
        <v>3</v>
      </c>
      <c r="AG113" s="22">
        <f>IF((AB113*0.98)-(D113*0.8)+((AF113-3)*3)+VLOOKUP(AM113,Table!$A$11:$B$13,2,FALSE)&lt;0,0,(AB113*0.98)-(D113*0.8)+((AF113-3)*3)+VLOOKUP(AM113,Table!$A$11:$B$13,2,FALSE))</f>
        <v>74.320379999999986</v>
      </c>
      <c r="AH113" s="22">
        <f t="shared" si="534"/>
        <v>68</v>
      </c>
      <c r="AI113" s="18">
        <f t="shared" si="527"/>
        <v>0.26</v>
      </c>
      <c r="AJ113" s="18">
        <f t="shared" si="528"/>
        <v>0.23</v>
      </c>
      <c r="AK113" t="str">
        <f t="shared" si="513"/>
        <v/>
      </c>
      <c r="AL113">
        <f t="shared" si="524"/>
        <v>23.5</v>
      </c>
      <c r="AM113" s="11" t="str">
        <f t="shared" si="514"/>
        <v>Stocks</v>
      </c>
      <c r="AN113" t="str">
        <f t="shared" si="520"/>
        <v>Buy</v>
      </c>
      <c r="AO113" s="13">
        <f t="shared" si="521"/>
        <v>1.2800000000000001E-2</v>
      </c>
      <c r="AP113" s="13">
        <f t="shared" si="522"/>
        <v>1E-4</v>
      </c>
      <c r="AQ113" s="13">
        <f t="shared" si="523"/>
        <v>8.6999999999999994E-3</v>
      </c>
      <c r="AR113" s="13">
        <f t="shared" si="515"/>
        <v>1.2800000000000001E-2</v>
      </c>
      <c r="AS113" s="6">
        <f t="shared" si="506"/>
        <v>523.77145425481217</v>
      </c>
      <c r="AT113" s="6">
        <f t="shared" si="507"/>
        <v>186.30929344126071</v>
      </c>
      <c r="AU113" s="6">
        <f t="shared" si="508"/>
        <v>812.68499070654036</v>
      </c>
      <c r="AV113" s="6">
        <f t="shared" si="509"/>
        <v>1228.4326392126663</v>
      </c>
      <c r="AW113" s="58">
        <f t="shared" si="516"/>
        <v>2016</v>
      </c>
      <c r="AX113" s="58">
        <f>COUNTIF(AW$3:AW113,AW113)</f>
        <v>26</v>
      </c>
    </row>
    <row r="114" spans="1:50" x14ac:dyDescent="0.25">
      <c r="A114" s="5">
        <v>42547</v>
      </c>
      <c r="B114">
        <v>2037.41</v>
      </c>
      <c r="C114">
        <v>0.28000000000000003</v>
      </c>
      <c r="D114" s="6">
        <v>25.76</v>
      </c>
      <c r="E114" s="18">
        <f t="shared" si="529"/>
        <v>20.73</v>
      </c>
      <c r="F114">
        <f t="shared" si="530"/>
        <v>-1</v>
      </c>
      <c r="G114" s="18">
        <f>ROUND(INDEX(Valuation!U:U,MATCH(A114,Valuation!A:A,0)),2)</f>
        <v>110.5</v>
      </c>
      <c r="H114">
        <f t="shared" si="537"/>
        <v>0</v>
      </c>
      <c r="I114" s="18">
        <f>INDEX(WeeklyIndicators!Y:Y,MATCH(A114,WeeklyIndicators!A:A,0))</f>
        <v>147.79</v>
      </c>
      <c r="J114">
        <f t="shared" si="526"/>
        <v>1</v>
      </c>
      <c r="K114">
        <f>ROUND(INDEX(Economic!AF:AF,MATCH(EOMONTH($A114,-1),Economic!A:A,0)),2)</f>
        <v>98.42</v>
      </c>
      <c r="L114" s="11">
        <f t="shared" si="535"/>
        <v>-1</v>
      </c>
      <c r="M114">
        <f>ROUND(INDEX(Manufacturing!P:P,MATCH(EOMONTH($A114,-1),Manufacturing!A:A,0)),2)</f>
        <v>82.63</v>
      </c>
      <c r="N114">
        <f t="shared" si="531"/>
        <v>-1</v>
      </c>
      <c r="O114">
        <f>ROUND(INDEX(Housing!AC:AC,MATCH(EOMONTH($A114,-1),Housing!B:B,0)),2)</f>
        <v>135.9</v>
      </c>
      <c r="P114">
        <f t="shared" si="532"/>
        <v>2</v>
      </c>
      <c r="Q114">
        <f>ROUND(INDEX(Spending!AJ:AJ,MATCH(EOMONTH($A114,-1),Spending!B:B,0)),2)</f>
        <v>52.66</v>
      </c>
      <c r="R114">
        <f t="shared" si="536"/>
        <v>1</v>
      </c>
      <c r="S114">
        <f>ROUND(INDEX(Employment!V:V,MATCH(EOMONTH($A114,-1),Employment!A:A,0)),2)</f>
        <v>154.87</v>
      </c>
      <c r="T114" s="11">
        <f t="shared" si="533"/>
        <v>0</v>
      </c>
      <c r="U114">
        <f t="shared" si="525"/>
        <v>21</v>
      </c>
      <c r="V114">
        <f t="shared" si="517"/>
        <v>73.3</v>
      </c>
      <c r="W114" s="13">
        <f t="shared" si="518"/>
        <v>1.04E-2</v>
      </c>
      <c r="X114" s="13">
        <f t="shared" si="519"/>
        <v>-2.9999999999999992E-3</v>
      </c>
      <c r="Y114">
        <f t="shared" si="511"/>
        <v>72.7</v>
      </c>
      <c r="Z114" s="13">
        <f t="shared" si="503"/>
        <v>-6.9999999999999999E-4</v>
      </c>
      <c r="AA114" s="13">
        <f t="shared" si="463"/>
        <v>-2.5000000000000001E-2</v>
      </c>
      <c r="AB114" s="6">
        <f t="shared" si="512"/>
        <v>76.989999999999995</v>
      </c>
      <c r="AC114">
        <f t="shared" si="496"/>
        <v>38</v>
      </c>
      <c r="AD114" s="11">
        <f t="shared" si="499"/>
        <v>0</v>
      </c>
      <c r="AE114">
        <f t="shared" si="485"/>
        <v>23</v>
      </c>
      <c r="AF114">
        <f>IF(AND(AE114&lt;15,OR(AC114&gt;=30,AA114&gt;0.15,X114&gt;=0.15)),2,VLOOKUP(AE114,Table!P:Q,2,FALSE))</f>
        <v>3</v>
      </c>
      <c r="AG114" s="22">
        <f>IF((AB114*0.98)-(D114*0.8)+((AF114-3)*3)+VLOOKUP(AM114,Table!$A$11:$B$13,2,FALSE)&lt;0,0,(AB114*0.98)-(D114*0.8)+((AF114-3)*3)+VLOOKUP(AM114,Table!$A$11:$B$13,2,FALSE))</f>
        <v>62.842199999999991</v>
      </c>
      <c r="AH114" s="22">
        <f t="shared" si="534"/>
        <v>67</v>
      </c>
      <c r="AI114" s="18">
        <f t="shared" si="527"/>
        <v>0.26</v>
      </c>
      <c r="AJ114" s="18">
        <f t="shared" si="528"/>
        <v>0.22</v>
      </c>
      <c r="AK114" t="str">
        <f t="shared" si="513"/>
        <v/>
      </c>
      <c r="AL114">
        <f t="shared" si="524"/>
        <v>24</v>
      </c>
      <c r="AM114" s="11" t="str">
        <f t="shared" si="514"/>
        <v>Stocks</v>
      </c>
      <c r="AN114" t="str">
        <f t="shared" si="520"/>
        <v>Buy</v>
      </c>
      <c r="AO114" s="13">
        <f t="shared" si="521"/>
        <v>3.2199999999999999E-2</v>
      </c>
      <c r="AP114" s="13">
        <f t="shared" si="522"/>
        <v>1E-4</v>
      </c>
      <c r="AQ114" s="13">
        <f t="shared" si="523"/>
        <v>2.1600000000000001E-2</v>
      </c>
      <c r="AR114" s="13">
        <f t="shared" si="515"/>
        <v>3.2199999999999999E-2</v>
      </c>
      <c r="AS114" s="6">
        <f t="shared" si="506"/>
        <v>507.43213936718865</v>
      </c>
      <c r="AT114" s="6">
        <f t="shared" si="507"/>
        <v>186.29066437482322</v>
      </c>
      <c r="AU114" s="6">
        <f t="shared" si="508"/>
        <v>795.50214438776459</v>
      </c>
      <c r="AV114" s="6">
        <f t="shared" si="509"/>
        <v>1190.1110629845634</v>
      </c>
      <c r="AW114" s="58">
        <f t="shared" si="516"/>
        <v>2016</v>
      </c>
      <c r="AX114" s="58">
        <f>COUNTIF(AW$3:AW114,AW114)</f>
        <v>27</v>
      </c>
    </row>
    <row r="115" spans="1:50" x14ac:dyDescent="0.25">
      <c r="A115" s="5">
        <v>42540</v>
      </c>
      <c r="B115">
        <v>2071.2199999999998</v>
      </c>
      <c r="C115">
        <v>0.27</v>
      </c>
      <c r="D115" s="6">
        <v>19.41</v>
      </c>
      <c r="E115" s="18">
        <f t="shared" si="529"/>
        <v>16.64</v>
      </c>
      <c r="F115">
        <f t="shared" si="530"/>
        <v>0</v>
      </c>
      <c r="G115" s="18">
        <f>ROUND(INDEX(Valuation!U:U,MATCH(A115,Valuation!A:A,0)),2)</f>
        <v>109.39</v>
      </c>
      <c r="H115">
        <f t="shared" si="537"/>
        <v>0</v>
      </c>
      <c r="I115" s="18">
        <f>INDEX(WeeklyIndicators!Y:Y,MATCH(A115,WeeklyIndicators!A:A,0))</f>
        <v>140.63</v>
      </c>
      <c r="J115">
        <f t="shared" si="526"/>
        <v>1</v>
      </c>
      <c r="K115">
        <f>ROUND(INDEX(Economic!AF:AF,MATCH(EOMONTH($A115,-1),Economic!A:A,0)),2)</f>
        <v>98.42</v>
      </c>
      <c r="L115" s="11">
        <f t="shared" si="535"/>
        <v>-1</v>
      </c>
      <c r="M115">
        <f>ROUND(INDEX(Manufacturing!P:P,MATCH(EOMONTH($A115,-1),Manufacturing!A:A,0)),2)</f>
        <v>82.63</v>
      </c>
      <c r="N115">
        <f t="shared" si="531"/>
        <v>-1</v>
      </c>
      <c r="O115">
        <f>ROUND(INDEX(Housing!AC:AC,MATCH(EOMONTH($A115,-1),Housing!B:B,0)),2)</f>
        <v>135.9</v>
      </c>
      <c r="P115">
        <f t="shared" si="532"/>
        <v>2</v>
      </c>
      <c r="Q115">
        <f>ROUND(INDEX(Spending!AJ:AJ,MATCH(EOMONTH($A115,-1),Spending!B:B,0)),2)</f>
        <v>52.66</v>
      </c>
      <c r="R115">
        <f t="shared" si="536"/>
        <v>1</v>
      </c>
      <c r="S115">
        <f>ROUND(INDEX(Employment!V:V,MATCH(EOMONTH($A115,-1),Employment!A:A,0)),2)</f>
        <v>154.87</v>
      </c>
      <c r="T115" s="11">
        <f t="shared" si="533"/>
        <v>0</v>
      </c>
      <c r="U115">
        <f t="shared" si="525"/>
        <v>22</v>
      </c>
      <c r="V115">
        <f t="shared" si="517"/>
        <v>72.55</v>
      </c>
      <c r="W115" s="13">
        <f t="shared" si="518"/>
        <v>4.3E-3</v>
      </c>
      <c r="X115" s="13">
        <f t="shared" si="519"/>
        <v>-1.9099999999999999E-2</v>
      </c>
      <c r="Y115">
        <f t="shared" si="511"/>
        <v>73.260000000000005</v>
      </c>
      <c r="Z115" s="13">
        <f t="shared" si="503"/>
        <v>-1.5E-3</v>
      </c>
      <c r="AA115" s="13">
        <f t="shared" ref="AA115:AA178" si="538">SUM(Z115:Z118)</f>
        <v>-3.2500000000000001E-2</v>
      </c>
      <c r="AB115" s="6">
        <f t="shared" si="512"/>
        <v>76.748999999999995</v>
      </c>
      <c r="AC115">
        <f t="shared" si="496"/>
        <v>38</v>
      </c>
      <c r="AD115" s="11">
        <f t="shared" si="499"/>
        <v>0</v>
      </c>
      <c r="AE115">
        <f t="shared" si="485"/>
        <v>24</v>
      </c>
      <c r="AF115">
        <f>IF(AND(AE115&lt;15,OR(AC115&gt;=30,AA115&gt;0.15,X115&gt;=0.15)),2,VLOOKUP(AE115,Table!P:Q,2,FALSE))</f>
        <v>3</v>
      </c>
      <c r="AG115" s="22">
        <f>IF((AB115*0.98)-(D115*0.8)+((AF115-3)*3)+VLOOKUP(AM115,Table!$A$11:$B$13,2,FALSE)&lt;0,0,(AB115*0.98)-(D115*0.8)+((AF115-3)*3)+VLOOKUP(AM115,Table!$A$11:$B$13,2,FALSE))</f>
        <v>67.686019999999985</v>
      </c>
      <c r="AH115" s="22">
        <f t="shared" si="534"/>
        <v>70</v>
      </c>
      <c r="AI115" s="18">
        <f t="shared" si="527"/>
        <v>0.26</v>
      </c>
      <c r="AJ115" s="18">
        <f t="shared" si="528"/>
        <v>0.21</v>
      </c>
      <c r="AK115" t="str">
        <f t="shared" si="513"/>
        <v/>
      </c>
      <c r="AL115">
        <f t="shared" si="524"/>
        <v>24.25</v>
      </c>
      <c r="AM115" s="11" t="str">
        <f t="shared" si="514"/>
        <v>Stocks</v>
      </c>
      <c r="AN115" t="str">
        <f t="shared" si="520"/>
        <v>Buy</v>
      </c>
      <c r="AO115" s="13">
        <f t="shared" si="521"/>
        <v>-1.6299999999999999E-2</v>
      </c>
      <c r="AP115" s="13">
        <f t="shared" si="522"/>
        <v>1E-4</v>
      </c>
      <c r="AQ115" s="13">
        <f t="shared" si="523"/>
        <v>-1.14E-2</v>
      </c>
      <c r="AR115" s="13">
        <f t="shared" si="515"/>
        <v>-1.6299999999999999E-2</v>
      </c>
      <c r="AS115" s="6">
        <f t="shared" si="506"/>
        <v>515.84033685797363</v>
      </c>
      <c r="AT115" s="6">
        <f t="shared" si="507"/>
        <v>186.27203717110612</v>
      </c>
      <c r="AU115" s="6">
        <f t="shared" si="508"/>
        <v>804.67544445454644</v>
      </c>
      <c r="AV115" s="6">
        <f t="shared" si="509"/>
        <v>1209.8313133928671</v>
      </c>
      <c r="AW115" s="58">
        <f t="shared" si="516"/>
        <v>2016</v>
      </c>
      <c r="AX115" s="58">
        <f>COUNTIF(AW$3:AW115,AW115)</f>
        <v>28</v>
      </c>
    </row>
    <row r="116" spans="1:50" x14ac:dyDescent="0.25">
      <c r="A116" s="5">
        <v>42533</v>
      </c>
      <c r="B116">
        <v>2096.0700000000002</v>
      </c>
      <c r="C116">
        <v>0.26</v>
      </c>
      <c r="D116" s="6">
        <v>17.03</v>
      </c>
      <c r="E116" s="18">
        <f t="shared" si="529"/>
        <v>14.54</v>
      </c>
      <c r="F116">
        <f t="shared" si="530"/>
        <v>1</v>
      </c>
      <c r="G116" s="18">
        <f>ROUND(INDEX(Valuation!U:U,MATCH(A116,Valuation!A:A,0)),2)</f>
        <v>109.58</v>
      </c>
      <c r="H116">
        <f t="shared" si="537"/>
        <v>0</v>
      </c>
      <c r="I116" s="18">
        <f>INDEX(WeeklyIndicators!Y:Y,MATCH(A116,WeeklyIndicators!A:A,0))</f>
        <v>129.49</v>
      </c>
      <c r="J116">
        <f t="shared" si="526"/>
        <v>0</v>
      </c>
      <c r="K116">
        <f>ROUND(INDEX(Economic!AF:AF,MATCH(EOMONTH($A116,-1),Economic!A:A,0)),2)</f>
        <v>98.42</v>
      </c>
      <c r="L116" s="11">
        <f t="shared" si="535"/>
        <v>-1</v>
      </c>
      <c r="M116">
        <f>ROUND(INDEX(Manufacturing!P:P,MATCH(EOMONTH($A116,-1),Manufacturing!A:A,0)),2)</f>
        <v>82.63</v>
      </c>
      <c r="N116">
        <f t="shared" si="531"/>
        <v>-1</v>
      </c>
      <c r="O116">
        <f>ROUND(INDEX(Housing!AC:AC,MATCH(EOMONTH($A116,-1),Housing!B:B,0)),2)</f>
        <v>135.9</v>
      </c>
      <c r="P116">
        <f t="shared" si="532"/>
        <v>2</v>
      </c>
      <c r="Q116">
        <f>ROUND(INDEX(Spending!AJ:AJ,MATCH(EOMONTH($A116,-1),Spending!B:B,0)),2)</f>
        <v>52.66</v>
      </c>
      <c r="R116">
        <f t="shared" si="536"/>
        <v>1</v>
      </c>
      <c r="S116">
        <f>ROUND(INDEX(Employment!V:V,MATCH(EOMONTH($A116,-1),Employment!A:A,0)),2)</f>
        <v>154.87</v>
      </c>
      <c r="T116" s="11">
        <f t="shared" si="533"/>
        <v>0</v>
      </c>
      <c r="U116">
        <f t="shared" si="525"/>
        <v>22</v>
      </c>
      <c r="V116">
        <f t="shared" si="517"/>
        <v>71.400000000000006</v>
      </c>
      <c r="W116" s="13">
        <f t="shared" si="518"/>
        <v>-6.7999999999999996E-3</v>
      </c>
      <c r="X116" s="13">
        <f t="shared" si="519"/>
        <v>-1.78E-2</v>
      </c>
      <c r="Y116">
        <f t="shared" si="511"/>
        <v>72.86</v>
      </c>
      <c r="Z116" s="13">
        <f t="shared" si="503"/>
        <v>-9.7999999999999997E-3</v>
      </c>
      <c r="AA116" s="13">
        <f t="shared" si="538"/>
        <v>-2.7199999999999998E-2</v>
      </c>
      <c r="AB116" s="6">
        <f t="shared" si="512"/>
        <v>76.697999999999993</v>
      </c>
      <c r="AC116">
        <f t="shared" si="496"/>
        <v>38</v>
      </c>
      <c r="AD116" s="11">
        <f t="shared" si="499"/>
        <v>0</v>
      </c>
      <c r="AE116">
        <f t="shared" si="485"/>
        <v>24</v>
      </c>
      <c r="AF116">
        <f>IF(AND(AE116&lt;15,OR(AC116&gt;=30,AA116&gt;0.15,X116&gt;=0.15)),2,VLOOKUP(AE116,Table!P:Q,2,FALSE))</f>
        <v>3</v>
      </c>
      <c r="AG116" s="22">
        <f>IF((AB116*0.98)-(D116*0.8)+((AF116-3)*3)+VLOOKUP(AM116,Table!$A$11:$B$13,2,FALSE)&lt;0,0,(AB116*0.98)-(D116*0.8)+((AF116-3)*3)+VLOOKUP(AM116,Table!$A$11:$B$13,2,FALSE))</f>
        <v>69.540039999999976</v>
      </c>
      <c r="AH116" s="22">
        <f t="shared" si="534"/>
        <v>73</v>
      </c>
      <c r="AI116" s="18">
        <f t="shared" si="527"/>
        <v>0.26</v>
      </c>
      <c r="AJ116" s="18">
        <f t="shared" si="528"/>
        <v>0.21</v>
      </c>
      <c r="AK116" t="str">
        <f t="shared" si="513"/>
        <v/>
      </c>
      <c r="AL116">
        <f t="shared" si="524"/>
        <v>24.75</v>
      </c>
      <c r="AM116" s="11" t="str">
        <f t="shared" si="514"/>
        <v>Stocks</v>
      </c>
      <c r="AN116" t="str">
        <f t="shared" si="520"/>
        <v>Buy</v>
      </c>
      <c r="AO116" s="13">
        <f t="shared" si="521"/>
        <v>-1.1900000000000001E-2</v>
      </c>
      <c r="AP116" s="13">
        <f t="shared" si="522"/>
        <v>1E-4</v>
      </c>
      <c r="AQ116" s="13">
        <f t="shared" si="523"/>
        <v>-8.6999999999999994E-3</v>
      </c>
      <c r="AR116" s="13">
        <f t="shared" si="515"/>
        <v>-1.1900000000000001E-2</v>
      </c>
      <c r="AS116" s="6">
        <f t="shared" si="506"/>
        <v>522.05276475860103</v>
      </c>
      <c r="AT116" s="6">
        <f t="shared" si="507"/>
        <v>186.25341182992312</v>
      </c>
      <c r="AU116" s="6">
        <f t="shared" si="508"/>
        <v>811.73756123731107</v>
      </c>
      <c r="AV116" s="6">
        <f t="shared" si="509"/>
        <v>1224.4016935460652</v>
      </c>
      <c r="AW116" s="58">
        <f t="shared" si="516"/>
        <v>2016</v>
      </c>
      <c r="AX116" s="58">
        <f>COUNTIF(AW$3:AW116,AW116)</f>
        <v>29</v>
      </c>
    </row>
    <row r="117" spans="1:50" x14ac:dyDescent="0.25">
      <c r="A117" s="5">
        <v>42526</v>
      </c>
      <c r="B117">
        <v>2099.13</v>
      </c>
      <c r="C117">
        <v>0.3</v>
      </c>
      <c r="D117" s="6">
        <v>13.47</v>
      </c>
      <c r="E117" s="18">
        <f t="shared" si="529"/>
        <v>13.93</v>
      </c>
      <c r="F117">
        <f t="shared" si="530"/>
        <v>2</v>
      </c>
      <c r="G117" s="18">
        <f>ROUND(INDEX(Valuation!U:U,MATCH(A117,Valuation!A:A,0)),2)</f>
        <v>110.69</v>
      </c>
      <c r="H117">
        <f t="shared" si="537"/>
        <v>0</v>
      </c>
      <c r="I117" s="18">
        <f>INDEX(WeeklyIndicators!Y:Y,MATCH(A117,WeeklyIndicators!A:A,0))</f>
        <v>126.23</v>
      </c>
      <c r="J117">
        <f t="shared" si="526"/>
        <v>0</v>
      </c>
      <c r="K117">
        <f>ROUND(INDEX(Economic!AF:AF,MATCH(EOMONTH($A117,-1),Economic!A:A,0)),2)</f>
        <v>98.42</v>
      </c>
      <c r="L117" s="11">
        <f t="shared" si="535"/>
        <v>-1</v>
      </c>
      <c r="M117">
        <f>ROUND(INDEX(Manufacturing!P:P,MATCH(EOMONTH($A117,-1),Manufacturing!A:A,0)),2)</f>
        <v>82.63</v>
      </c>
      <c r="N117">
        <f t="shared" si="531"/>
        <v>-1</v>
      </c>
      <c r="O117">
        <f>ROUND(INDEX(Housing!AC:AC,MATCH(EOMONTH($A117,-1),Housing!B:B,0)),2)</f>
        <v>135.9</v>
      </c>
      <c r="P117">
        <f t="shared" si="532"/>
        <v>2</v>
      </c>
      <c r="Q117">
        <f>ROUND(INDEX(Spending!AJ:AJ,MATCH(EOMONTH($A117,-1),Spending!B:B,0)),2)</f>
        <v>52.66</v>
      </c>
      <c r="R117">
        <f t="shared" si="536"/>
        <v>1</v>
      </c>
      <c r="S117">
        <f>ROUND(INDEX(Employment!V:V,MATCH(EOMONTH($A117,-1),Employment!A:A,0)),2)</f>
        <v>154.87</v>
      </c>
      <c r="T117" s="11">
        <f t="shared" si="533"/>
        <v>0</v>
      </c>
      <c r="U117">
        <f t="shared" si="525"/>
        <v>23</v>
      </c>
      <c r="V117">
        <f t="shared" si="517"/>
        <v>71.06</v>
      </c>
      <c r="W117" s="13">
        <f t="shared" si="518"/>
        <v>-1.09E-2</v>
      </c>
      <c r="X117" s="13">
        <f t="shared" si="519"/>
        <v>1.3000000000000008E-3</v>
      </c>
      <c r="Y117">
        <f t="shared" si="511"/>
        <v>72.86</v>
      </c>
      <c r="Z117" s="13">
        <f t="shared" si="503"/>
        <v>-1.2999999999999999E-2</v>
      </c>
      <c r="AA117" s="13">
        <f t="shared" si="538"/>
        <v>-6.6999999999999994E-3</v>
      </c>
      <c r="AB117" s="6">
        <f t="shared" si="512"/>
        <v>78.359000000000009</v>
      </c>
      <c r="AC117">
        <f t="shared" si="496"/>
        <v>39</v>
      </c>
      <c r="AD117" s="11">
        <f t="shared" si="499"/>
        <v>0</v>
      </c>
      <c r="AE117">
        <f t="shared" si="485"/>
        <v>25</v>
      </c>
      <c r="AF117">
        <f>IF(AND(AE117&lt;15,OR(AC117&gt;=30,AA117&gt;0.15,X117&gt;=0.15)),2,VLOOKUP(AE117,Table!P:Q,2,FALSE))</f>
        <v>3</v>
      </c>
      <c r="AG117" s="22">
        <f>IF((AB117*0.98)-(D117*0.8)+((AF117-3)*3)+VLOOKUP(AM117,Table!$A$11:$B$13,2,FALSE)&lt;0,0,(AB117*0.98)-(D117*0.8)+((AF117-3)*3)+VLOOKUP(AM117,Table!$A$11:$B$13,2,FALSE))</f>
        <v>74.015820000000005</v>
      </c>
      <c r="AH117" s="22">
        <f t="shared" si="534"/>
        <v>77</v>
      </c>
      <c r="AI117" s="18">
        <f t="shared" si="527"/>
        <v>0.26</v>
      </c>
      <c r="AJ117" s="18">
        <f t="shared" si="528"/>
        <v>0.2</v>
      </c>
      <c r="AK117" t="str">
        <f t="shared" si="513"/>
        <v/>
      </c>
      <c r="AL117">
        <f t="shared" si="524"/>
        <v>25</v>
      </c>
      <c r="AM117" s="11" t="str">
        <f t="shared" si="514"/>
        <v>Stocks</v>
      </c>
      <c r="AN117" t="str">
        <f t="shared" si="520"/>
        <v>Buy</v>
      </c>
      <c r="AO117" s="13">
        <f t="shared" si="521"/>
        <v>-1.5E-3</v>
      </c>
      <c r="AP117" s="13">
        <f t="shared" si="522"/>
        <v>1E-4</v>
      </c>
      <c r="AQ117" s="13">
        <f t="shared" si="523"/>
        <v>-1.1000000000000001E-3</v>
      </c>
      <c r="AR117" s="13">
        <f t="shared" si="515"/>
        <v>-1.5E-3</v>
      </c>
      <c r="AS117" s="6">
        <f t="shared" si="506"/>
        <v>522.83702028903451</v>
      </c>
      <c r="AT117" s="6">
        <f t="shared" si="507"/>
        <v>186.23478835108801</v>
      </c>
      <c r="AU117" s="6">
        <f t="shared" si="508"/>
        <v>812.6314558387337</v>
      </c>
      <c r="AV117" s="6">
        <f t="shared" si="509"/>
        <v>1226.2410551287583</v>
      </c>
      <c r="AW117" s="58">
        <f t="shared" si="516"/>
        <v>2016</v>
      </c>
      <c r="AX117" s="58">
        <f>COUNTIF(AW$3:AW117,AW117)</f>
        <v>30</v>
      </c>
    </row>
    <row r="118" spans="1:50" x14ac:dyDescent="0.25">
      <c r="A118" s="5">
        <v>42519</v>
      </c>
      <c r="B118">
        <v>2099.06</v>
      </c>
      <c r="C118">
        <v>0.33</v>
      </c>
      <c r="D118" s="6">
        <v>13.12</v>
      </c>
      <c r="E118" s="18">
        <f t="shared" si="529"/>
        <v>14.45</v>
      </c>
      <c r="F118">
        <f t="shared" si="530"/>
        <v>1</v>
      </c>
      <c r="G118" s="18">
        <f>ROUND(INDEX(Valuation!U:U,MATCH(A118,Valuation!A:A,0)),2)</f>
        <v>113.73</v>
      </c>
      <c r="H118">
        <f t="shared" si="537"/>
        <v>0</v>
      </c>
      <c r="I118" s="18">
        <f>INDEX(WeeklyIndicators!Y:Y,MATCH(A118,WeeklyIndicators!A:A,0))</f>
        <v>133.1</v>
      </c>
      <c r="J118">
        <f t="shared" si="526"/>
        <v>0</v>
      </c>
      <c r="K118">
        <f>ROUND(INDEX(Economic!AF:AF,MATCH(EOMONTH($A118,-1),Economic!A:A,0)),2)</f>
        <v>97.45</v>
      </c>
      <c r="L118" s="11">
        <f t="shared" si="535"/>
        <v>-1</v>
      </c>
      <c r="M118">
        <f>ROUND(INDEX(Manufacturing!P:P,MATCH(EOMONTH($A118,-1),Manufacturing!A:A,0)),2)</f>
        <v>80.790000000000006</v>
      </c>
      <c r="N118">
        <f t="shared" si="531"/>
        <v>-1</v>
      </c>
      <c r="O118">
        <f>ROUND(INDEX(Housing!AC:AC,MATCH(EOMONTH($A118,-1),Housing!B:B,0)),2)</f>
        <v>132.69999999999999</v>
      </c>
      <c r="P118">
        <f t="shared" si="532"/>
        <v>2</v>
      </c>
      <c r="Q118">
        <f>ROUND(INDEX(Spending!AJ:AJ,MATCH(EOMONTH($A118,-1),Spending!B:B,0)),2)</f>
        <v>49.74</v>
      </c>
      <c r="R118">
        <f t="shared" si="536"/>
        <v>0</v>
      </c>
      <c r="S118">
        <f>ROUND(INDEX(Employment!V:V,MATCH(EOMONTH($A118,-1),Employment!A:A,0)),2)</f>
        <v>163.22</v>
      </c>
      <c r="T118" s="11">
        <f t="shared" si="533"/>
        <v>1</v>
      </c>
      <c r="U118">
        <f t="shared" si="525"/>
        <v>22</v>
      </c>
      <c r="V118">
        <f t="shared" si="517"/>
        <v>71.62</v>
      </c>
      <c r="W118" s="13">
        <f t="shared" si="518"/>
        <v>-5.7000000000000002E-3</v>
      </c>
      <c r="X118" s="13">
        <f t="shared" si="519"/>
        <v>1.9699999999999999E-2</v>
      </c>
      <c r="Y118">
        <f t="shared" si="511"/>
        <v>73.58</v>
      </c>
      <c r="Z118" s="13">
        <f t="shared" si="503"/>
        <v>-8.2000000000000007E-3</v>
      </c>
      <c r="AA118" s="13">
        <f t="shared" si="538"/>
        <v>1.3399999999999999E-2</v>
      </c>
      <c r="AB118" s="6">
        <f t="shared" si="512"/>
        <v>80.933000000000007</v>
      </c>
      <c r="AC118">
        <f t="shared" si="496"/>
        <v>40</v>
      </c>
      <c r="AD118" s="11">
        <f t="shared" si="499"/>
        <v>0</v>
      </c>
      <c r="AE118">
        <f t="shared" si="485"/>
        <v>24</v>
      </c>
      <c r="AF118">
        <f>IF(AND(AE118&lt;15,OR(AC118&gt;=30,AA118&gt;0.15,X118&gt;=0.15)),2,VLOOKUP(AE118,Table!P:Q,2,FALSE))</f>
        <v>3</v>
      </c>
      <c r="AG118" s="22">
        <f>IF((AB118*0.98)-(D118*0.8)+((AF118-3)*3)+VLOOKUP(AM118,Table!$A$11:$B$13,2,FALSE)&lt;0,0,(AB118*0.98)-(D118*0.8)+((AF118-3)*3)+VLOOKUP(AM118,Table!$A$11:$B$13,2,FALSE))</f>
        <v>76.818340000000006</v>
      </c>
      <c r="AH118" s="22">
        <f t="shared" si="534"/>
        <v>78</v>
      </c>
      <c r="AI118" s="18">
        <f t="shared" si="527"/>
        <v>0.27</v>
      </c>
      <c r="AJ118" s="18">
        <f t="shared" si="528"/>
        <v>0.19</v>
      </c>
      <c r="AK118" t="str">
        <f t="shared" si="513"/>
        <v/>
      </c>
      <c r="AL118">
        <f t="shared" si="524"/>
        <v>25</v>
      </c>
      <c r="AM118" s="11" t="str">
        <f t="shared" si="514"/>
        <v>Stocks</v>
      </c>
      <c r="AN118" t="str">
        <f t="shared" si="520"/>
        <v>Buy</v>
      </c>
      <c r="AO118" s="13">
        <f t="shared" si="521"/>
        <v>0</v>
      </c>
      <c r="AP118" s="13">
        <f t="shared" si="522"/>
        <v>1E-4</v>
      </c>
      <c r="AQ118" s="13">
        <f t="shared" si="523"/>
        <v>0</v>
      </c>
      <c r="AR118" s="13">
        <f t="shared" si="515"/>
        <v>0</v>
      </c>
      <c r="AS118" s="6">
        <f t="shared" si="506"/>
        <v>522.83702028903451</v>
      </c>
      <c r="AT118" s="6">
        <f t="shared" si="507"/>
        <v>186.21616673441457</v>
      </c>
      <c r="AU118" s="6">
        <f t="shared" si="508"/>
        <v>812.6314558387337</v>
      </c>
      <c r="AV118" s="6">
        <f t="shared" si="509"/>
        <v>1226.2410551287583</v>
      </c>
      <c r="AW118" s="58">
        <f t="shared" si="516"/>
        <v>2016</v>
      </c>
      <c r="AX118" s="58">
        <f>COUNTIF(AW$3:AW118,AW118)</f>
        <v>31</v>
      </c>
    </row>
    <row r="119" spans="1:50" x14ac:dyDescent="0.25">
      <c r="A119" s="5">
        <v>42512</v>
      </c>
      <c r="B119">
        <v>2052.3200000000002</v>
      </c>
      <c r="C119">
        <v>0.3</v>
      </c>
      <c r="D119" s="6">
        <v>15.2</v>
      </c>
      <c r="E119" s="18">
        <f t="shared" si="529"/>
        <v>14.99</v>
      </c>
      <c r="F119">
        <f t="shared" si="530"/>
        <v>1</v>
      </c>
      <c r="G119" s="18">
        <f>ROUND(INDEX(Valuation!U:U,MATCH(A119,Valuation!A:A,0)),2)</f>
        <v>117.48</v>
      </c>
      <c r="H119">
        <f t="shared" si="537"/>
        <v>0</v>
      </c>
      <c r="I119" s="18">
        <f>INDEX(WeeklyIndicators!Y:Y,MATCH(A119,WeeklyIndicators!A:A,0))</f>
        <v>145.01</v>
      </c>
      <c r="J119">
        <f t="shared" si="526"/>
        <v>1</v>
      </c>
      <c r="K119">
        <f>ROUND(INDEX(Economic!AF:AF,MATCH(EOMONTH($A119,-1),Economic!A:A,0)),2)</f>
        <v>97.45</v>
      </c>
      <c r="L119" s="11">
        <f t="shared" si="535"/>
        <v>-1</v>
      </c>
      <c r="M119">
        <f>ROUND(INDEX(Manufacturing!P:P,MATCH(EOMONTH($A119,-1),Manufacturing!A:A,0)),2)</f>
        <v>80.790000000000006</v>
      </c>
      <c r="N119">
        <f t="shared" si="531"/>
        <v>-1</v>
      </c>
      <c r="O119">
        <f>ROUND(INDEX(Housing!AC:AC,MATCH(EOMONTH($A119,-1),Housing!B:B,0)),2)</f>
        <v>132.69999999999999</v>
      </c>
      <c r="P119">
        <f t="shared" si="532"/>
        <v>2</v>
      </c>
      <c r="Q119">
        <f>ROUND(INDEX(Spending!AJ:AJ,MATCH(EOMONTH($A119,-1),Spending!B:B,0)),2)</f>
        <v>49.74</v>
      </c>
      <c r="R119">
        <f t="shared" si="536"/>
        <v>0</v>
      </c>
      <c r="S119">
        <f>ROUND(INDEX(Employment!V:V,MATCH(EOMONTH($A119,-1),Employment!A:A,0)),2)</f>
        <v>163.22</v>
      </c>
      <c r="T119" s="11">
        <f t="shared" si="533"/>
        <v>1</v>
      </c>
      <c r="U119">
        <f t="shared" si="525"/>
        <v>23</v>
      </c>
      <c r="V119">
        <f t="shared" si="517"/>
        <v>72.86</v>
      </c>
      <c r="W119" s="13">
        <f t="shared" si="518"/>
        <v>5.5999999999999999E-3</v>
      </c>
      <c r="X119" s="13">
        <f t="shared" si="519"/>
        <v>2.1100000000000001E-2</v>
      </c>
      <c r="Y119">
        <f t="shared" si="511"/>
        <v>75.040000000000006</v>
      </c>
      <c r="Z119" s="13">
        <f t="shared" si="503"/>
        <v>3.8E-3</v>
      </c>
      <c r="AA119" s="13">
        <f t="shared" si="538"/>
        <v>1.7100000000000001E-2</v>
      </c>
      <c r="AB119" s="6">
        <f t="shared" si="512"/>
        <v>83.078000000000003</v>
      </c>
      <c r="AC119">
        <f t="shared" si="496"/>
        <v>42</v>
      </c>
      <c r="AD119" s="11">
        <f t="shared" si="499"/>
        <v>1</v>
      </c>
      <c r="AE119">
        <f t="shared" si="485"/>
        <v>26</v>
      </c>
      <c r="AF119">
        <f>IF(AND(AE119&lt;15,OR(AC119&gt;=30,AA119&gt;0.15,X119&gt;=0.15)),2,VLOOKUP(AE119,Table!P:Q,2,FALSE))</f>
        <v>4</v>
      </c>
      <c r="AG119" s="22">
        <f>IF((AB119*0.98)-(D119*0.8)+((AF119-3)*3)+VLOOKUP(AM119,Table!$A$11:$B$13,2,FALSE)&lt;0,0,(AB119*0.98)-(D119*0.8)+((AF119-3)*3)+VLOOKUP(AM119,Table!$A$11:$B$13,2,FALSE))</f>
        <v>80.256439999999998</v>
      </c>
      <c r="AH119" s="22">
        <f t="shared" si="534"/>
        <v>77</v>
      </c>
      <c r="AI119" s="18">
        <f t="shared" si="527"/>
        <v>0.26</v>
      </c>
      <c r="AJ119" s="18">
        <f t="shared" si="528"/>
        <v>0.19</v>
      </c>
      <c r="AK119" t="str">
        <f t="shared" si="513"/>
        <v/>
      </c>
      <c r="AL119">
        <f t="shared" si="524"/>
        <v>25</v>
      </c>
      <c r="AM119" s="11" t="str">
        <f t="shared" si="514"/>
        <v>Stocks</v>
      </c>
      <c r="AN119" t="str">
        <f t="shared" si="520"/>
        <v>Buy</v>
      </c>
      <c r="AO119" s="13">
        <f t="shared" si="521"/>
        <v>2.2800000000000001E-2</v>
      </c>
      <c r="AP119" s="13">
        <f t="shared" si="522"/>
        <v>1E-4</v>
      </c>
      <c r="AQ119" s="13">
        <f t="shared" si="523"/>
        <v>1.7600000000000001E-2</v>
      </c>
      <c r="AR119" s="13">
        <f t="shared" si="515"/>
        <v>2.2800000000000001E-2</v>
      </c>
      <c r="AS119" s="6">
        <f t="shared" si="506"/>
        <v>511.1820691132524</v>
      </c>
      <c r="AT119" s="6">
        <f t="shared" si="507"/>
        <v>186.19754697971661</v>
      </c>
      <c r="AU119" s="6">
        <f t="shared" si="508"/>
        <v>798.57650927548514</v>
      </c>
      <c r="AV119" s="6">
        <f t="shared" si="509"/>
        <v>1198.9059983660131</v>
      </c>
      <c r="AW119" s="58">
        <f t="shared" si="516"/>
        <v>2016</v>
      </c>
      <c r="AX119" s="58">
        <f>COUNTIF(AW$3:AW119,AW119)</f>
        <v>32</v>
      </c>
    </row>
    <row r="120" spans="1:50" x14ac:dyDescent="0.25">
      <c r="A120" s="5">
        <v>42505</v>
      </c>
      <c r="B120">
        <v>2046.61</v>
      </c>
      <c r="C120">
        <v>0.26</v>
      </c>
      <c r="D120" s="6">
        <v>15.04</v>
      </c>
      <c r="E120" s="18">
        <f t="shared" si="529"/>
        <v>15.15</v>
      </c>
      <c r="F120">
        <f t="shared" si="530"/>
        <v>1</v>
      </c>
      <c r="G120" s="18">
        <f>ROUND(INDEX(Valuation!U:U,MATCH(A120,Valuation!A:A,0)),2)</f>
        <v>119.47</v>
      </c>
      <c r="H120">
        <f t="shared" si="537"/>
        <v>0</v>
      </c>
      <c r="I120" s="18">
        <f>INDEX(WeeklyIndicators!Y:Y,MATCH(A120,WeeklyIndicators!A:A,0))</f>
        <v>150.5</v>
      </c>
      <c r="J120">
        <f t="shared" si="526"/>
        <v>1</v>
      </c>
      <c r="K120">
        <f>ROUND(INDEX(Economic!AF:AF,MATCH(EOMONTH($A120,-1),Economic!A:A,0)),2)</f>
        <v>97.45</v>
      </c>
      <c r="L120" s="11">
        <f t="shared" si="535"/>
        <v>-1</v>
      </c>
      <c r="M120">
        <f>ROUND(INDEX(Manufacturing!P:P,MATCH(EOMONTH($A120,-1),Manufacturing!A:A,0)),2)</f>
        <v>80.790000000000006</v>
      </c>
      <c r="N120">
        <f t="shared" si="531"/>
        <v>-1</v>
      </c>
      <c r="O120">
        <f>ROUND(INDEX(Housing!AC:AC,MATCH(EOMONTH($A120,-1),Housing!B:B,0)),2)</f>
        <v>132.69999999999999</v>
      </c>
      <c r="P120">
        <f t="shared" si="532"/>
        <v>2</v>
      </c>
      <c r="Q120">
        <f>ROUND(INDEX(Spending!AJ:AJ,MATCH(EOMONTH($A120,-1),Spending!B:B,0)),2)</f>
        <v>49.74</v>
      </c>
      <c r="R120">
        <f t="shared" si="536"/>
        <v>0</v>
      </c>
      <c r="S120">
        <f>ROUND(INDEX(Employment!V:V,MATCH(EOMONTH($A120,-1),Employment!A:A,0)),2)</f>
        <v>163.22</v>
      </c>
      <c r="T120" s="11">
        <f t="shared" si="533"/>
        <v>1</v>
      </c>
      <c r="U120">
        <f t="shared" si="525"/>
        <v>23</v>
      </c>
      <c r="V120">
        <f t="shared" si="517"/>
        <v>73.430000000000007</v>
      </c>
      <c r="W120" s="13">
        <f t="shared" si="518"/>
        <v>1.23E-2</v>
      </c>
      <c r="X120" s="13">
        <f t="shared" si="519"/>
        <v>9.9999999999999742E-4</v>
      </c>
      <c r="Y120">
        <f t="shared" si="511"/>
        <v>75.78</v>
      </c>
      <c r="Z120" s="13">
        <f t="shared" si="503"/>
        <v>1.0699999999999999E-2</v>
      </c>
      <c r="AA120" s="13">
        <f t="shared" si="538"/>
        <v>-1.8000000000000013E-3</v>
      </c>
      <c r="AB120" s="6">
        <f t="shared" si="512"/>
        <v>82.567000000000007</v>
      </c>
      <c r="AC120">
        <f t="shared" si="496"/>
        <v>41</v>
      </c>
      <c r="AD120" s="11">
        <f t="shared" si="499"/>
        <v>0</v>
      </c>
      <c r="AE120">
        <f t="shared" ref="AE120:AE183" si="539">IF(AND(AA120&gt;=0.2,AC120&gt;=20,U120+AD120+2&lt;30),U120+AD120+2+12,U120+AD120+2)</f>
        <v>25</v>
      </c>
      <c r="AF120">
        <f>IF(AND(AE120&lt;15,OR(AC120&gt;=30,AA120&gt;0.15,X120&gt;=0.15)),2,VLOOKUP(AE120,Table!P:Q,2,FALSE))</f>
        <v>3</v>
      </c>
      <c r="AG120" s="22">
        <f>IF((AB120*0.98)-(D120*0.8)+((AF120-3)*3)+VLOOKUP(AM120,Table!$A$11:$B$13,2,FALSE)&lt;0,0,(AB120*0.98)-(D120*0.8)+((AF120-3)*3)+VLOOKUP(AM120,Table!$A$11:$B$13,2,FALSE))</f>
        <v>76.883660000000006</v>
      </c>
      <c r="AH120" s="22">
        <f t="shared" si="534"/>
        <v>75</v>
      </c>
      <c r="AI120" s="18">
        <f t="shared" si="527"/>
        <v>0.26</v>
      </c>
      <c r="AJ120" s="18">
        <f t="shared" si="528"/>
        <v>0.18</v>
      </c>
      <c r="AK120" t="str">
        <f t="shared" si="513"/>
        <v/>
      </c>
      <c r="AL120">
        <f t="shared" si="524"/>
        <v>24.5</v>
      </c>
      <c r="AM120" s="11" t="str">
        <f t="shared" si="514"/>
        <v>Stocks</v>
      </c>
      <c r="AN120" t="str">
        <f t="shared" si="520"/>
        <v>Buy</v>
      </c>
      <c r="AO120" s="13">
        <f t="shared" si="521"/>
        <v>2.8E-3</v>
      </c>
      <c r="AP120" s="13">
        <f t="shared" si="522"/>
        <v>1E-4</v>
      </c>
      <c r="AQ120" s="13">
        <f t="shared" si="523"/>
        <v>2.0999999999999999E-3</v>
      </c>
      <c r="AR120" s="13">
        <f t="shared" si="515"/>
        <v>2.8E-3</v>
      </c>
      <c r="AS120" s="6">
        <f t="shared" si="506"/>
        <v>509.75475579702078</v>
      </c>
      <c r="AT120" s="6">
        <f t="shared" si="507"/>
        <v>186.17892908680793</v>
      </c>
      <c r="AU120" s="6">
        <f t="shared" si="508"/>
        <v>796.90301294829374</v>
      </c>
      <c r="AV120" s="6">
        <f t="shared" si="509"/>
        <v>1195.5584347487168</v>
      </c>
      <c r="AW120" s="58">
        <f t="shared" si="516"/>
        <v>2016</v>
      </c>
      <c r="AX120" s="58">
        <f>COUNTIF(AW$3:AW120,AW120)</f>
        <v>33</v>
      </c>
    </row>
    <row r="121" spans="1:50" x14ac:dyDescent="0.25">
      <c r="A121" s="5">
        <v>42498</v>
      </c>
      <c r="B121">
        <v>2057.14</v>
      </c>
      <c r="C121">
        <v>0.2</v>
      </c>
      <c r="D121" s="6">
        <v>14.72</v>
      </c>
      <c r="E121" s="18">
        <f t="shared" si="529"/>
        <v>14.55</v>
      </c>
      <c r="F121">
        <f t="shared" si="530"/>
        <v>1</v>
      </c>
      <c r="G121" s="18">
        <f>ROUND(INDEX(Valuation!U:U,MATCH(A121,Valuation!A:A,0)),2)</f>
        <v>119.5</v>
      </c>
      <c r="H121">
        <f t="shared" si="537"/>
        <v>0</v>
      </c>
      <c r="I121" s="18">
        <f>INDEX(WeeklyIndicators!Y:Y,MATCH(A121,WeeklyIndicators!A:A,0))</f>
        <v>145.13</v>
      </c>
      <c r="J121">
        <f t="shared" si="526"/>
        <v>1</v>
      </c>
      <c r="K121">
        <f>ROUND(INDEX(Economic!AF:AF,MATCH(EOMONTH($A121,-1),Economic!A:A,0)),2)</f>
        <v>97.45</v>
      </c>
      <c r="L121" s="11">
        <f t="shared" si="535"/>
        <v>-1</v>
      </c>
      <c r="M121">
        <f>ROUND(INDEX(Manufacturing!P:P,MATCH(EOMONTH($A121,-1),Manufacturing!A:A,0)),2)</f>
        <v>80.790000000000006</v>
      </c>
      <c r="N121">
        <f t="shared" si="531"/>
        <v>-1</v>
      </c>
      <c r="O121">
        <f>ROUND(INDEX(Housing!AC:AC,MATCH(EOMONTH($A121,-1),Housing!B:B,0)),2)</f>
        <v>132.69999999999999</v>
      </c>
      <c r="P121">
        <f t="shared" si="532"/>
        <v>2</v>
      </c>
      <c r="Q121">
        <f>ROUND(INDEX(Spending!AJ:AJ,MATCH(EOMONTH($A121,-1),Spending!B:B,0)),2)</f>
        <v>49.74</v>
      </c>
      <c r="R121">
        <f t="shared" si="536"/>
        <v>0</v>
      </c>
      <c r="S121">
        <f>ROUND(INDEX(Employment!V:V,MATCH(EOMONTH($A121,-1),Employment!A:A,0)),2)</f>
        <v>163.22</v>
      </c>
      <c r="T121" s="11">
        <f t="shared" si="533"/>
        <v>1</v>
      </c>
      <c r="U121">
        <f t="shared" si="525"/>
        <v>23</v>
      </c>
      <c r="V121">
        <f t="shared" si="517"/>
        <v>72.87</v>
      </c>
      <c r="W121" s="13">
        <f t="shared" si="518"/>
        <v>7.4999999999999997E-3</v>
      </c>
      <c r="X121" s="13">
        <f t="shared" si="519"/>
        <v>-2.35E-2</v>
      </c>
      <c r="Y121">
        <f t="shared" si="511"/>
        <v>75.430000000000007</v>
      </c>
      <c r="Z121" s="13">
        <f t="shared" si="503"/>
        <v>7.1000000000000004E-3</v>
      </c>
      <c r="AA121" s="13">
        <f t="shared" si="538"/>
        <v>-2.5300000000000003E-2</v>
      </c>
      <c r="AB121" s="6">
        <f t="shared" si="512"/>
        <v>80.38000000000001</v>
      </c>
      <c r="AC121">
        <f t="shared" si="496"/>
        <v>40</v>
      </c>
      <c r="AD121" s="11">
        <f t="shared" si="499"/>
        <v>0</v>
      </c>
      <c r="AE121">
        <f t="shared" si="539"/>
        <v>25</v>
      </c>
      <c r="AF121">
        <f>IF(AND(AE121&lt;15,OR(AC121&gt;=30,AA121&gt;0.15,X121&gt;=0.15)),2,VLOOKUP(AE121,Table!P:Q,2,FALSE))</f>
        <v>3</v>
      </c>
      <c r="AG121" s="22">
        <f>IF((AB121*0.98)-(D121*0.8)+((AF121-3)*3)+VLOOKUP(AM121,Table!$A$11:$B$13,2,FALSE)&lt;0,0,(AB121*0.98)-(D121*0.8)+((AF121-3)*3)+VLOOKUP(AM121,Table!$A$11:$B$13,2,FALSE))</f>
        <v>74.996400000000008</v>
      </c>
      <c r="AH121" s="22">
        <f t="shared" si="534"/>
        <v>74</v>
      </c>
      <c r="AI121" s="18">
        <f t="shared" si="527"/>
        <v>0.27</v>
      </c>
      <c r="AJ121" s="18">
        <f t="shared" si="528"/>
        <v>0.18</v>
      </c>
      <c r="AK121" t="str">
        <f t="shared" si="513"/>
        <v/>
      </c>
      <c r="AL121">
        <f t="shared" si="524"/>
        <v>24.25</v>
      </c>
      <c r="AM121" s="11" t="str">
        <f t="shared" si="514"/>
        <v>Stocks</v>
      </c>
      <c r="AN121" t="str">
        <f t="shared" si="520"/>
        <v>Buy</v>
      </c>
      <c r="AO121" s="13">
        <f t="shared" si="521"/>
        <v>-5.1000000000000004E-3</v>
      </c>
      <c r="AP121" s="13">
        <f t="shared" si="522"/>
        <v>0</v>
      </c>
      <c r="AQ121" s="13">
        <f t="shared" si="523"/>
        <v>-3.8E-3</v>
      </c>
      <c r="AR121" s="13">
        <f t="shared" si="515"/>
        <v>-5.1000000000000004E-3</v>
      </c>
      <c r="AS121" s="6">
        <f t="shared" si="506"/>
        <v>512.36783173888909</v>
      </c>
      <c r="AT121" s="6">
        <f t="shared" si="507"/>
        <v>186.17892908680793</v>
      </c>
      <c r="AU121" s="6">
        <f t="shared" si="508"/>
        <v>799.94279557146535</v>
      </c>
      <c r="AV121" s="6">
        <f t="shared" si="509"/>
        <v>1201.6870386458104</v>
      </c>
      <c r="AW121" s="58">
        <f t="shared" si="516"/>
        <v>2016</v>
      </c>
      <c r="AX121" s="58">
        <f>COUNTIF(AW$3:AW121,AW121)</f>
        <v>34</v>
      </c>
    </row>
    <row r="122" spans="1:50" x14ac:dyDescent="0.25">
      <c r="A122" s="5">
        <v>42491</v>
      </c>
      <c r="B122">
        <v>2065.3000000000002</v>
      </c>
      <c r="C122">
        <v>0.23</v>
      </c>
      <c r="D122" s="6">
        <v>15.7</v>
      </c>
      <c r="E122" s="18">
        <f t="shared" si="529"/>
        <v>14.18</v>
      </c>
      <c r="F122">
        <f t="shared" si="530"/>
        <v>1</v>
      </c>
      <c r="G122" s="18">
        <f>ROUND(INDEX(Valuation!U:U,MATCH(A122,Valuation!A:A,0)),2)</f>
        <v>118.22</v>
      </c>
      <c r="H122">
        <f t="shared" si="537"/>
        <v>0</v>
      </c>
      <c r="I122" s="18">
        <f>INDEX(WeeklyIndicators!Y:Y,MATCH(A122,WeeklyIndicators!A:A,0))</f>
        <v>133.16</v>
      </c>
      <c r="J122">
        <f t="shared" si="526"/>
        <v>0</v>
      </c>
      <c r="K122">
        <f>ROUND(INDEX(Economic!AF:AF,MATCH(EOMONTH($A122,-1),Economic!A:A,0)),2)</f>
        <v>97.45</v>
      </c>
      <c r="L122" s="11">
        <f t="shared" si="535"/>
        <v>-1</v>
      </c>
      <c r="M122">
        <f>ROUND(INDEX(Manufacturing!P:P,MATCH(EOMONTH($A122,-1),Manufacturing!A:A,0)),2)</f>
        <v>80.790000000000006</v>
      </c>
      <c r="N122">
        <f t="shared" si="531"/>
        <v>-1</v>
      </c>
      <c r="O122">
        <f>ROUND(INDEX(Housing!AC:AC,MATCH(EOMONTH($A122,-1),Housing!B:B,0)),2)</f>
        <v>132.69999999999999</v>
      </c>
      <c r="P122">
        <f t="shared" si="532"/>
        <v>2</v>
      </c>
      <c r="Q122">
        <f>ROUND(INDEX(Spending!AJ:AJ,MATCH(EOMONTH($A122,-1),Spending!B:B,0)),2)</f>
        <v>49.74</v>
      </c>
      <c r="R122">
        <f t="shared" si="536"/>
        <v>0</v>
      </c>
      <c r="S122">
        <f>ROUND(INDEX(Employment!V:V,MATCH(EOMONTH($A122,-1),Employment!A:A,0)),2)</f>
        <v>163.22</v>
      </c>
      <c r="T122" s="11">
        <f t="shared" si="533"/>
        <v>1</v>
      </c>
      <c r="U122">
        <f t="shared" si="525"/>
        <v>22</v>
      </c>
      <c r="V122">
        <f t="shared" si="517"/>
        <v>71.63</v>
      </c>
      <c r="W122" s="13">
        <f t="shared" si="518"/>
        <v>-4.3E-3</v>
      </c>
      <c r="X122" s="13">
        <f t="shared" si="519"/>
        <v>-3.5700000000000003E-2</v>
      </c>
      <c r="Y122">
        <f t="shared" si="511"/>
        <v>74.180000000000007</v>
      </c>
      <c r="Z122" s="13">
        <f t="shared" si="503"/>
        <v>-4.4999999999999997E-3</v>
      </c>
      <c r="AA122" s="13">
        <f t="shared" si="538"/>
        <v>-3.7899999999999996E-2</v>
      </c>
      <c r="AB122" s="6">
        <f t="shared" si="512"/>
        <v>77.992000000000004</v>
      </c>
      <c r="AC122">
        <f t="shared" si="496"/>
        <v>39</v>
      </c>
      <c r="AD122" s="11">
        <f t="shared" si="499"/>
        <v>0</v>
      </c>
      <c r="AE122">
        <f t="shared" si="539"/>
        <v>24</v>
      </c>
      <c r="AF122">
        <f>IF(AND(AE122&lt;15,OR(AC122&gt;=30,AA122&gt;0.15,X122&gt;=0.15)),2,VLOOKUP(AE122,Table!P:Q,2,FALSE))</f>
        <v>3</v>
      </c>
      <c r="AG122" s="22">
        <f>IF((AB122*0.98)-(D122*0.8)+((AF122-3)*3)+VLOOKUP(AM122,Table!$A$11:$B$13,2,FALSE)&lt;0,0,(AB122*0.98)-(D122*0.8)+((AF122-3)*3)+VLOOKUP(AM122,Table!$A$11:$B$13,2,FALSE))</f>
        <v>71.872159999999994</v>
      </c>
      <c r="AH122" s="22">
        <f t="shared" si="534"/>
        <v>74</v>
      </c>
      <c r="AI122" s="18">
        <f t="shared" si="527"/>
        <v>0.28000000000000003</v>
      </c>
      <c r="AJ122" s="18">
        <f t="shared" si="528"/>
        <v>0.17</v>
      </c>
      <c r="AK122" t="str">
        <f t="shared" si="513"/>
        <v/>
      </c>
      <c r="AL122">
        <f t="shared" si="524"/>
        <v>24.5</v>
      </c>
      <c r="AM122" s="11" t="str">
        <f t="shared" si="514"/>
        <v>Stocks</v>
      </c>
      <c r="AN122" t="str">
        <f t="shared" si="520"/>
        <v>Buy</v>
      </c>
      <c r="AO122" s="13">
        <f t="shared" si="521"/>
        <v>-4.0000000000000001E-3</v>
      </c>
      <c r="AP122" s="13">
        <f t="shared" si="522"/>
        <v>0</v>
      </c>
      <c r="AQ122" s="13">
        <f t="shared" si="523"/>
        <v>-3.0000000000000001E-3</v>
      </c>
      <c r="AR122" s="13">
        <f t="shared" si="515"/>
        <v>-4.0000000000000001E-3</v>
      </c>
      <c r="AS122" s="6">
        <f t="shared" si="506"/>
        <v>514.42553387438659</v>
      </c>
      <c r="AT122" s="6">
        <f t="shared" si="507"/>
        <v>186.17892908680793</v>
      </c>
      <c r="AU122" s="6">
        <f t="shared" si="508"/>
        <v>802.34984510678566</v>
      </c>
      <c r="AV122" s="6">
        <f t="shared" si="509"/>
        <v>1206.5130910098499</v>
      </c>
      <c r="AW122" s="58">
        <f t="shared" si="516"/>
        <v>2016</v>
      </c>
      <c r="AX122" s="58">
        <f>COUNTIF(AW$3:AW122,AW122)</f>
        <v>35</v>
      </c>
    </row>
    <row r="123" spans="1:50" x14ac:dyDescent="0.25">
      <c r="A123" s="5">
        <v>42484</v>
      </c>
      <c r="B123">
        <v>2091.58</v>
      </c>
      <c r="C123">
        <v>0.22</v>
      </c>
      <c r="D123" s="6">
        <v>13.22</v>
      </c>
      <c r="E123" s="18">
        <f t="shared" si="529"/>
        <v>14.07</v>
      </c>
      <c r="F123">
        <f t="shared" si="530"/>
        <v>1</v>
      </c>
      <c r="G123" s="18">
        <f>ROUND(INDEX(Valuation!U:U,MATCH(A123,Valuation!A:A,0)),2)</f>
        <v>118.53</v>
      </c>
      <c r="H123">
        <f t="shared" si="537"/>
        <v>0</v>
      </c>
      <c r="I123" s="18">
        <f>INDEX(WeeklyIndicators!Y:Y,MATCH(A123,WeeklyIndicators!A:A,0))</f>
        <v>125.69</v>
      </c>
      <c r="J123">
        <f t="shared" si="526"/>
        <v>0</v>
      </c>
      <c r="K123">
        <f>ROUND(INDEX(Economic!AF:AF,MATCH(EOMONTH($A123,-1),Economic!A:A,0)),2)</f>
        <v>99.33</v>
      </c>
      <c r="L123" s="11">
        <f t="shared" si="535"/>
        <v>-1</v>
      </c>
      <c r="M123">
        <f>ROUND(INDEX(Manufacturing!P:P,MATCH(EOMONTH($A123,-1),Manufacturing!A:A,0)),2)</f>
        <v>76.040000000000006</v>
      </c>
      <c r="N123">
        <f t="shared" si="531"/>
        <v>-1</v>
      </c>
      <c r="O123">
        <f>ROUND(INDEX(Housing!AC:AC,MATCH(EOMONTH($A123,-1),Housing!B:B,0)),2)</f>
        <v>133.31</v>
      </c>
      <c r="P123">
        <f t="shared" si="532"/>
        <v>2</v>
      </c>
      <c r="Q123">
        <f>ROUND(INDEX(Spending!AJ:AJ,MATCH(EOMONTH($A123,-1),Spending!B:B,0)),2)</f>
        <v>48.88</v>
      </c>
      <c r="R123">
        <f t="shared" si="536"/>
        <v>0</v>
      </c>
      <c r="S123">
        <f>ROUND(INDEX(Employment!V:V,MATCH(EOMONTH($A123,-1),Employment!A:A,0)),2)</f>
        <v>167.47</v>
      </c>
      <c r="T123" s="11">
        <f t="shared" si="533"/>
        <v>1</v>
      </c>
      <c r="U123">
        <f t="shared" si="525"/>
        <v>22</v>
      </c>
      <c r="V123">
        <f t="shared" si="517"/>
        <v>70.78</v>
      </c>
      <c r="W123" s="13">
        <f t="shared" si="518"/>
        <v>-1.4500000000000001E-2</v>
      </c>
      <c r="X123" s="13">
        <f t="shared" si="519"/>
        <v>-2.2800000000000004E-2</v>
      </c>
      <c r="Y123">
        <f t="shared" si="511"/>
        <v>73.400000000000006</v>
      </c>
      <c r="Z123" s="13">
        <f t="shared" si="503"/>
        <v>-1.5100000000000001E-2</v>
      </c>
      <c r="AA123" s="13">
        <f t="shared" si="538"/>
        <v>-2.3699999999999999E-2</v>
      </c>
      <c r="AB123" s="6">
        <f t="shared" si="512"/>
        <v>78.292999999999992</v>
      </c>
      <c r="AC123">
        <f t="shared" si="496"/>
        <v>39</v>
      </c>
      <c r="AD123" s="11">
        <f t="shared" si="499"/>
        <v>0</v>
      </c>
      <c r="AE123">
        <f t="shared" si="539"/>
        <v>24</v>
      </c>
      <c r="AF123">
        <f>IF(AND(AE123&lt;15,OR(AC123&gt;=30,AA123&gt;0.15,X123&gt;=0.15)),2,VLOOKUP(AE123,Table!P:Q,2,FALSE))</f>
        <v>3</v>
      </c>
      <c r="AG123" s="22">
        <f>IF((AB123*0.98)-(D123*0.8)+((AF123-3)*3)+VLOOKUP(AM123,Table!$A$11:$B$13,2,FALSE)&lt;0,0,(AB123*0.98)-(D123*0.8)+((AF123-3)*3)+VLOOKUP(AM123,Table!$A$11:$B$13,2,FALSE))</f>
        <v>74.151139999999998</v>
      </c>
      <c r="AH123" s="22">
        <f t="shared" si="534"/>
        <v>78</v>
      </c>
      <c r="AI123" s="18">
        <f t="shared" si="527"/>
        <v>0.28000000000000003</v>
      </c>
      <c r="AJ123" s="18">
        <f t="shared" si="528"/>
        <v>0.17</v>
      </c>
      <c r="AK123" t="str">
        <f t="shared" si="513"/>
        <v/>
      </c>
      <c r="AL123">
        <f t="shared" si="524"/>
        <v>25.75</v>
      </c>
      <c r="AM123" s="11" t="str">
        <f t="shared" si="514"/>
        <v>Stocks</v>
      </c>
      <c r="AN123" t="str">
        <f t="shared" si="520"/>
        <v>Buy</v>
      </c>
      <c r="AO123" s="13">
        <f t="shared" si="521"/>
        <v>-1.26E-2</v>
      </c>
      <c r="AP123" s="13">
        <f t="shared" si="522"/>
        <v>0</v>
      </c>
      <c r="AQ123" s="13">
        <f t="shared" si="523"/>
        <v>-9.7999999999999997E-3</v>
      </c>
      <c r="AR123" s="13">
        <f t="shared" si="515"/>
        <v>-1.26E-2</v>
      </c>
      <c r="AS123" s="6">
        <f t="shared" si="506"/>
        <v>520.99000797486997</v>
      </c>
      <c r="AT123" s="6">
        <f t="shared" si="507"/>
        <v>186.17892908680793</v>
      </c>
      <c r="AU123" s="6">
        <f t="shared" si="508"/>
        <v>810.29069390707502</v>
      </c>
      <c r="AV123" s="6">
        <f t="shared" si="509"/>
        <v>1221.909146252633</v>
      </c>
      <c r="AW123" s="58">
        <f t="shared" si="516"/>
        <v>2016</v>
      </c>
      <c r="AX123" s="58">
        <f>COUNTIF(AW$3:AW123,AW123)</f>
        <v>36</v>
      </c>
    </row>
    <row r="124" spans="1:50" x14ac:dyDescent="0.25">
      <c r="A124" s="5">
        <v>42477</v>
      </c>
      <c r="B124">
        <v>2080.73</v>
      </c>
      <c r="C124">
        <v>0.22</v>
      </c>
      <c r="D124" s="6">
        <v>13.62</v>
      </c>
      <c r="E124" s="18">
        <f t="shared" si="529"/>
        <v>14.03</v>
      </c>
      <c r="F124">
        <f t="shared" si="530"/>
        <v>1</v>
      </c>
      <c r="G124" s="18">
        <f>ROUND(INDEX(Valuation!U:U,MATCH(A124,Valuation!A:A,0)),2)</f>
        <v>118.18</v>
      </c>
      <c r="H124">
        <f t="shared" si="537"/>
        <v>0</v>
      </c>
      <c r="I124" s="18">
        <f>INDEX(WeeklyIndicators!Y:Y,MATCH(A124,WeeklyIndicators!A:A,0))</f>
        <v>130.29</v>
      </c>
      <c r="J124">
        <f t="shared" si="526"/>
        <v>0</v>
      </c>
      <c r="K124">
        <f>ROUND(INDEX(Economic!AF:AF,MATCH(EOMONTH($A124,-1),Economic!A:A,0)),2)</f>
        <v>99.33</v>
      </c>
      <c r="L124" s="11">
        <f t="shared" si="535"/>
        <v>-1</v>
      </c>
      <c r="M124">
        <f>ROUND(INDEX(Manufacturing!P:P,MATCH(EOMONTH($A124,-1),Manufacturing!A:A,0)),2)</f>
        <v>76.040000000000006</v>
      </c>
      <c r="N124">
        <f t="shared" si="531"/>
        <v>-1</v>
      </c>
      <c r="O124">
        <f>ROUND(INDEX(Housing!AC:AC,MATCH(EOMONTH($A124,-1),Housing!B:B,0)),2)</f>
        <v>133.31</v>
      </c>
      <c r="P124">
        <f t="shared" si="532"/>
        <v>2</v>
      </c>
      <c r="Q124">
        <f>ROUND(INDEX(Spending!AJ:AJ,MATCH(EOMONTH($A124,-1),Spending!B:B,0)),2)</f>
        <v>48.88</v>
      </c>
      <c r="R124">
        <f t="shared" si="536"/>
        <v>0</v>
      </c>
      <c r="S124">
        <f>ROUND(INDEX(Employment!V:V,MATCH(EOMONTH($A124,-1),Employment!A:A,0)),2)</f>
        <v>167.47</v>
      </c>
      <c r="T124" s="11">
        <f t="shared" si="533"/>
        <v>1</v>
      </c>
      <c r="U124">
        <f t="shared" si="525"/>
        <v>22</v>
      </c>
      <c r="V124">
        <f t="shared" si="517"/>
        <v>71.260000000000005</v>
      </c>
      <c r="W124" s="13">
        <f t="shared" si="518"/>
        <v>-1.2200000000000001E-2</v>
      </c>
      <c r="X124" s="13">
        <f t="shared" si="519"/>
        <v>1.0099999999999998E-2</v>
      </c>
      <c r="Y124">
        <f t="shared" si="511"/>
        <v>73.849999999999994</v>
      </c>
      <c r="Z124" s="13">
        <f t="shared" si="503"/>
        <v>-1.2800000000000001E-2</v>
      </c>
      <c r="AA124" s="13">
        <f t="shared" si="538"/>
        <v>1.14E-2</v>
      </c>
      <c r="AB124" s="6">
        <f t="shared" si="512"/>
        <v>81.408000000000001</v>
      </c>
      <c r="AC124">
        <f t="shared" si="496"/>
        <v>41</v>
      </c>
      <c r="AD124" s="11">
        <f t="shared" si="499"/>
        <v>0</v>
      </c>
      <c r="AE124">
        <f t="shared" si="539"/>
        <v>24</v>
      </c>
      <c r="AF124">
        <f>IF(AND(AE124&lt;15,OR(AC124&gt;=30,AA124&gt;0.15,X124&gt;=0.15)),2,VLOOKUP(AE124,Table!P:Q,2,FALSE))</f>
        <v>3</v>
      </c>
      <c r="AG124" s="22">
        <f>IF((AB124*0.98)-(D124*0.8)+((AF124-3)*3)+VLOOKUP(AM124,Table!$A$11:$B$13,2,FALSE)&lt;0,0,(AB124*0.98)-(D124*0.8)+((AF124-3)*3)+VLOOKUP(AM124,Table!$A$11:$B$13,2,FALSE))</f>
        <v>76.883839999999992</v>
      </c>
      <c r="AH124" s="22">
        <f t="shared" si="534"/>
        <v>83</v>
      </c>
      <c r="AI124" s="18">
        <f t="shared" si="527"/>
        <v>0.28999999999999998</v>
      </c>
      <c r="AJ124" s="18">
        <f t="shared" si="528"/>
        <v>0.16</v>
      </c>
      <c r="AK124" t="str">
        <f t="shared" si="513"/>
        <v/>
      </c>
      <c r="AL124">
        <f t="shared" si="524"/>
        <v>26.5</v>
      </c>
      <c r="AM124" s="11" t="str">
        <f t="shared" si="514"/>
        <v>Stocks</v>
      </c>
      <c r="AN124" t="str">
        <f t="shared" si="520"/>
        <v>Buy</v>
      </c>
      <c r="AO124" s="13">
        <f t="shared" si="521"/>
        <v>5.1999999999999998E-3</v>
      </c>
      <c r="AP124" s="13">
        <f t="shared" si="522"/>
        <v>0</v>
      </c>
      <c r="AQ124" s="13">
        <f t="shared" si="523"/>
        <v>4.3E-3</v>
      </c>
      <c r="AR124" s="13">
        <f t="shared" si="515"/>
        <v>5.1999999999999998E-3</v>
      </c>
      <c r="AS124" s="6">
        <f t="shared" si="506"/>
        <v>518.2948746268105</v>
      </c>
      <c r="AT124" s="6">
        <f t="shared" si="507"/>
        <v>186.17892908680793</v>
      </c>
      <c r="AU124" s="6">
        <f t="shared" si="508"/>
        <v>806.82136205025893</v>
      </c>
      <c r="AV124" s="6">
        <f t="shared" si="509"/>
        <v>1215.5880881940241</v>
      </c>
      <c r="AW124" s="58">
        <f t="shared" si="516"/>
        <v>2016</v>
      </c>
      <c r="AX124" s="58">
        <f>COUNTIF(AW$3:AW124,AW124)</f>
        <v>37</v>
      </c>
    </row>
    <row r="125" spans="1:50" x14ac:dyDescent="0.25">
      <c r="A125" s="5">
        <v>42470</v>
      </c>
      <c r="B125">
        <v>2047.6</v>
      </c>
      <c r="C125">
        <v>0.23</v>
      </c>
      <c r="D125" s="6">
        <v>15.36</v>
      </c>
      <c r="E125" s="18">
        <f t="shared" si="529"/>
        <v>14.4</v>
      </c>
      <c r="F125">
        <f t="shared" si="530"/>
        <v>1</v>
      </c>
      <c r="G125" s="18">
        <f>ROUND(INDEX(Valuation!U:U,MATCH(A125,Valuation!A:A,0)),2)</f>
        <v>119.58</v>
      </c>
      <c r="H125">
        <f t="shared" si="537"/>
        <v>0</v>
      </c>
      <c r="I125" s="18">
        <f>INDEX(WeeklyIndicators!Y:Y,MATCH(A125,WeeklyIndicators!A:A,0))</f>
        <v>142.85</v>
      </c>
      <c r="J125">
        <f t="shared" si="526"/>
        <v>1</v>
      </c>
      <c r="K125">
        <f>ROUND(INDEX(Economic!AF:AF,MATCH(EOMONTH($A125,-1),Economic!A:A,0)),2)</f>
        <v>99.33</v>
      </c>
      <c r="L125" s="11">
        <f t="shared" si="535"/>
        <v>-1</v>
      </c>
      <c r="M125">
        <f>ROUND(INDEX(Manufacturing!P:P,MATCH(EOMONTH($A125,-1),Manufacturing!A:A,0)),2)</f>
        <v>76.040000000000006</v>
      </c>
      <c r="N125">
        <f t="shared" si="531"/>
        <v>-1</v>
      </c>
      <c r="O125">
        <f>ROUND(INDEX(Housing!AC:AC,MATCH(EOMONTH($A125,-1),Housing!B:B,0)),2)</f>
        <v>133.31</v>
      </c>
      <c r="P125">
        <f t="shared" si="532"/>
        <v>2</v>
      </c>
      <c r="Q125">
        <f>ROUND(INDEX(Spending!AJ:AJ,MATCH(EOMONTH($A125,-1),Spending!B:B,0)),2)</f>
        <v>48.88</v>
      </c>
      <c r="R125">
        <f t="shared" si="536"/>
        <v>0</v>
      </c>
      <c r="S125">
        <f>ROUND(INDEX(Employment!V:V,MATCH(EOMONTH($A125,-1),Employment!A:A,0)),2)</f>
        <v>167.47</v>
      </c>
      <c r="T125" s="11">
        <f t="shared" si="533"/>
        <v>1</v>
      </c>
      <c r="U125">
        <f t="shared" si="525"/>
        <v>23</v>
      </c>
      <c r="V125">
        <f t="shared" si="517"/>
        <v>72.56</v>
      </c>
      <c r="W125" s="13">
        <f t="shared" si="518"/>
        <v>-4.7000000000000002E-3</v>
      </c>
      <c r="X125" s="13">
        <f t="shared" si="519"/>
        <v>4.2700000000000002E-2</v>
      </c>
      <c r="Y125">
        <f t="shared" si="511"/>
        <v>75.180000000000007</v>
      </c>
      <c r="Z125" s="13">
        <f t="shared" si="503"/>
        <v>-5.4999999999999997E-3</v>
      </c>
      <c r="AA125" s="13">
        <f t="shared" si="538"/>
        <v>5.0199999999999995E-2</v>
      </c>
      <c r="AB125" s="6">
        <f t="shared" si="512"/>
        <v>85.847999999999999</v>
      </c>
      <c r="AC125">
        <f t="shared" ref="AC125:AC188" si="540">IF(ROUND(AB125/2,0)&lt;0,0,ROUND(AB125/2,0))</f>
        <v>43</v>
      </c>
      <c r="AD125" s="11">
        <f t="shared" si="499"/>
        <v>1</v>
      </c>
      <c r="AE125">
        <f t="shared" si="539"/>
        <v>26</v>
      </c>
      <c r="AF125">
        <f>IF(AND(AE125&lt;15,OR(AC125&gt;=30,AA125&gt;0.15,X125&gt;=0.15)),2,VLOOKUP(AE125,Table!P:Q,2,FALSE))</f>
        <v>4</v>
      </c>
      <c r="AG125" s="22">
        <f>IF((AB125*0.98)-(D125*0.8)+((AF125-3)*3)+VLOOKUP(AM125,Table!$A$11:$B$13,2,FALSE)&lt;0,0,(AB125*0.98)-(D125*0.8)+((AF125-3)*3)+VLOOKUP(AM125,Table!$A$11:$B$13,2,FALSE))</f>
        <v>82.843040000000002</v>
      </c>
      <c r="AH125" s="22">
        <f t="shared" si="534"/>
        <v>86</v>
      </c>
      <c r="AI125" s="18">
        <f t="shared" si="527"/>
        <v>0.28999999999999998</v>
      </c>
      <c r="AJ125" s="18">
        <f t="shared" si="528"/>
        <v>0.16</v>
      </c>
      <c r="AK125" t="str">
        <f t="shared" si="513"/>
        <v/>
      </c>
      <c r="AL125">
        <f t="shared" si="524"/>
        <v>27.25</v>
      </c>
      <c r="AM125" s="11" t="str">
        <f t="shared" si="514"/>
        <v>Stocks</v>
      </c>
      <c r="AN125" t="str">
        <f t="shared" si="520"/>
        <v>Buy</v>
      </c>
      <c r="AO125" s="13">
        <f t="shared" si="521"/>
        <v>1.6199999999999999E-2</v>
      </c>
      <c r="AP125" s="13">
        <f t="shared" si="522"/>
        <v>0</v>
      </c>
      <c r="AQ125" s="13">
        <f t="shared" si="523"/>
        <v>1.3899999999999999E-2</v>
      </c>
      <c r="AR125" s="13">
        <f t="shared" si="515"/>
        <v>1.6199999999999999E-2</v>
      </c>
      <c r="AS125" s="6">
        <f t="shared" si="506"/>
        <v>510.03235054793396</v>
      </c>
      <c r="AT125" s="6">
        <f t="shared" si="507"/>
        <v>186.17892908680793</v>
      </c>
      <c r="AU125" s="6">
        <f t="shared" si="508"/>
        <v>795.76029396415709</v>
      </c>
      <c r="AV125" s="6">
        <f t="shared" si="509"/>
        <v>1196.2094943849872</v>
      </c>
      <c r="AW125" s="58">
        <f t="shared" si="516"/>
        <v>2016</v>
      </c>
      <c r="AX125" s="58">
        <f>COUNTIF(AW$3:AW125,AW125)</f>
        <v>38</v>
      </c>
    </row>
    <row r="126" spans="1:50" x14ac:dyDescent="0.25">
      <c r="A126" s="5">
        <v>42463</v>
      </c>
      <c r="B126">
        <v>2072.7800000000002</v>
      </c>
      <c r="C126">
        <v>0.23</v>
      </c>
      <c r="D126" s="6">
        <v>13.1</v>
      </c>
      <c r="E126" s="18">
        <f t="shared" si="529"/>
        <v>13.95</v>
      </c>
      <c r="F126">
        <f t="shared" si="530"/>
        <v>2</v>
      </c>
      <c r="G126" s="18">
        <f>ROUND(INDEX(Valuation!U:U,MATCH(A126,Valuation!A:A,0)),2)</f>
        <v>120.54</v>
      </c>
      <c r="H126">
        <f t="shared" si="537"/>
        <v>1</v>
      </c>
      <c r="I126" s="18">
        <f>INDEX(WeeklyIndicators!Y:Y,MATCH(A126,WeeklyIndicators!A:A,0))</f>
        <v>156.1</v>
      </c>
      <c r="J126">
        <f t="shared" si="526"/>
        <v>2</v>
      </c>
      <c r="K126">
        <f>ROUND(INDEX(Economic!AF:AF,MATCH(EOMONTH($A126,-1),Economic!A:A,0)),2)</f>
        <v>99.33</v>
      </c>
      <c r="L126" s="11">
        <f t="shared" si="535"/>
        <v>-1</v>
      </c>
      <c r="M126">
        <f>ROUND(INDEX(Manufacturing!P:P,MATCH(EOMONTH($A126,-1),Manufacturing!A:A,0)),2)</f>
        <v>76.040000000000006</v>
      </c>
      <c r="N126">
        <f t="shared" si="531"/>
        <v>-1</v>
      </c>
      <c r="O126">
        <f>ROUND(INDEX(Housing!AC:AC,MATCH(EOMONTH($A126,-1),Housing!B:B,0)),2)</f>
        <v>133.31</v>
      </c>
      <c r="P126">
        <f t="shared" si="532"/>
        <v>2</v>
      </c>
      <c r="Q126">
        <f>ROUND(INDEX(Spending!AJ:AJ,MATCH(EOMONTH($A126,-1),Spending!B:B,0)),2)</f>
        <v>48.88</v>
      </c>
      <c r="R126">
        <f t="shared" si="536"/>
        <v>0</v>
      </c>
      <c r="S126">
        <f>ROUND(INDEX(Employment!V:V,MATCH(EOMONTH($A126,-1),Employment!A:A,0)),2)</f>
        <v>167.47</v>
      </c>
      <c r="T126" s="11">
        <f t="shared" si="533"/>
        <v>1</v>
      </c>
      <c r="U126">
        <f t="shared" si="525"/>
        <v>26</v>
      </c>
      <c r="V126">
        <f t="shared" si="517"/>
        <v>73.930000000000007</v>
      </c>
      <c r="W126" s="13">
        <f t="shared" si="518"/>
        <v>8.6E-3</v>
      </c>
      <c r="X126" s="13">
        <f t="shared" si="519"/>
        <v>6.0499999999999998E-2</v>
      </c>
      <c r="Y126">
        <f t="shared" si="511"/>
        <v>76.819999999999993</v>
      </c>
      <c r="Z126" s="13">
        <f t="shared" si="503"/>
        <v>9.7000000000000003E-3</v>
      </c>
      <c r="AA126" s="13">
        <f t="shared" si="538"/>
        <v>7.4800000000000005E-2</v>
      </c>
      <c r="AB126" s="6">
        <f t="shared" si="512"/>
        <v>89.454000000000008</v>
      </c>
      <c r="AC126">
        <f t="shared" si="540"/>
        <v>45</v>
      </c>
      <c r="AD126" s="11">
        <f t="shared" ref="AD126:AD189" si="541">IF(AC126&gt;47,2,IF(AND(AC126&gt;41,AC126&lt;=47),1,IF(AC126&lt;15,-2,IF(AND(AC126&lt;32,AC126&gt;=15),-1,0))))</f>
        <v>1</v>
      </c>
      <c r="AE126">
        <f t="shared" si="539"/>
        <v>29</v>
      </c>
      <c r="AF126">
        <f>IF(AND(AE126&lt;15,OR(AC126&gt;=30,AA126&gt;0.15,X126&gt;=0.15)),2,VLOOKUP(AE126,Table!P:Q,2,FALSE))</f>
        <v>4</v>
      </c>
      <c r="AG126" s="22">
        <f>IF((AB126*0.98)-(D126*0.8)+((AF126-3)*3)+VLOOKUP(AM126,Table!$A$11:$B$13,2,FALSE)&lt;0,0,(AB126*0.98)-(D126*0.8)+((AF126-3)*3)+VLOOKUP(AM126,Table!$A$11:$B$13,2,FALSE))</f>
        <v>88.184920000000005</v>
      </c>
      <c r="AH126" s="22">
        <f t="shared" si="534"/>
        <v>87</v>
      </c>
      <c r="AI126" s="18">
        <f t="shared" si="527"/>
        <v>0.28999999999999998</v>
      </c>
      <c r="AJ126" s="18">
        <f t="shared" si="528"/>
        <v>0.15</v>
      </c>
      <c r="AK126" t="str">
        <f t="shared" si="513"/>
        <v/>
      </c>
      <c r="AL126">
        <f t="shared" si="524"/>
        <v>27</v>
      </c>
      <c r="AM126" s="11" t="str">
        <f t="shared" si="514"/>
        <v>Stocks</v>
      </c>
      <c r="AN126" t="str">
        <f t="shared" si="520"/>
        <v>Buy</v>
      </c>
      <c r="AO126" s="13">
        <f t="shared" si="521"/>
        <v>-1.21E-2</v>
      </c>
      <c r="AP126" s="13">
        <f t="shared" si="522"/>
        <v>0</v>
      </c>
      <c r="AQ126" s="13">
        <f t="shared" si="523"/>
        <v>-1.0500000000000001E-2</v>
      </c>
      <c r="AR126" s="13">
        <f t="shared" si="515"/>
        <v>-1.21E-2</v>
      </c>
      <c r="AS126" s="6">
        <f t="shared" si="506"/>
        <v>516.2793304463346</v>
      </c>
      <c r="AT126" s="6">
        <f t="shared" si="507"/>
        <v>186.17892908680793</v>
      </c>
      <c r="AU126" s="6">
        <f t="shared" si="508"/>
        <v>804.20444059035583</v>
      </c>
      <c r="AV126" s="6">
        <f t="shared" si="509"/>
        <v>1210.8609114130857</v>
      </c>
      <c r="AW126" s="58">
        <f t="shared" si="516"/>
        <v>2016</v>
      </c>
      <c r="AX126" s="58">
        <f>COUNTIF(AW$3:AW126,AW126)</f>
        <v>39</v>
      </c>
    </row>
    <row r="127" spans="1:50" x14ac:dyDescent="0.25">
      <c r="A127" s="5">
        <v>42456</v>
      </c>
      <c r="B127">
        <v>2035.94</v>
      </c>
      <c r="C127">
        <v>0.3</v>
      </c>
      <c r="D127" s="6">
        <v>14.74</v>
      </c>
      <c r="E127" s="18">
        <f t="shared" si="529"/>
        <v>15.09</v>
      </c>
      <c r="F127">
        <f t="shared" si="530"/>
        <v>1</v>
      </c>
      <c r="G127" s="18">
        <f>ROUND(INDEX(Valuation!U:U,MATCH(A127,Valuation!A:A,0)),2)</f>
        <v>123.43</v>
      </c>
      <c r="H127">
        <f t="shared" si="537"/>
        <v>1</v>
      </c>
      <c r="I127" s="18">
        <f>INDEX(WeeklyIndicators!Y:Y,MATCH(A127,WeeklyIndicators!A:A,0))</f>
        <v>163.25</v>
      </c>
      <c r="J127">
        <f t="shared" si="526"/>
        <v>2</v>
      </c>
      <c r="K127">
        <f>ROUND(INDEX(Economic!AF:AF,MATCH(EOMONTH($A127,-1),Economic!A:A,0)),2)</f>
        <v>99.03</v>
      </c>
      <c r="L127" s="11">
        <f t="shared" si="535"/>
        <v>-1</v>
      </c>
      <c r="M127">
        <f>ROUND(INDEX(Manufacturing!P:P,MATCH(EOMONTH($A127,-1),Manufacturing!A:A,0)),2)</f>
        <v>69.010000000000005</v>
      </c>
      <c r="N127">
        <f t="shared" si="531"/>
        <v>-2</v>
      </c>
      <c r="O127">
        <f>ROUND(INDEX(Housing!AC:AC,MATCH(EOMONTH($A127,-1),Housing!B:B,0)),2)</f>
        <v>133.72999999999999</v>
      </c>
      <c r="P127">
        <f t="shared" si="532"/>
        <v>2</v>
      </c>
      <c r="Q127">
        <f>ROUND(INDEX(Spending!AJ:AJ,MATCH(EOMONTH($A127,-1),Spending!B:B,0)),2)</f>
        <v>48.69</v>
      </c>
      <c r="R127">
        <f t="shared" si="536"/>
        <v>0</v>
      </c>
      <c r="S127">
        <f>ROUND(INDEX(Employment!V:V,MATCH(EOMONTH($A127,-1),Employment!A:A,0)),2)</f>
        <v>171.05</v>
      </c>
      <c r="T127" s="11">
        <f t="shared" si="533"/>
        <v>1</v>
      </c>
      <c r="U127">
        <f t="shared" si="525"/>
        <v>24</v>
      </c>
      <c r="V127">
        <f t="shared" si="517"/>
        <v>73.959999999999994</v>
      </c>
      <c r="W127" s="13">
        <f t="shared" si="518"/>
        <v>1.84E-2</v>
      </c>
      <c r="X127" s="13">
        <f t="shared" si="519"/>
        <v>5.3700000000000005E-2</v>
      </c>
      <c r="Y127">
        <f t="shared" si="511"/>
        <v>76.78</v>
      </c>
      <c r="Z127" s="13">
        <f t="shared" si="503"/>
        <v>0.02</v>
      </c>
      <c r="AA127" s="13">
        <f t="shared" si="538"/>
        <v>7.1699999999999986E-2</v>
      </c>
      <c r="AB127" s="6">
        <f t="shared" si="512"/>
        <v>89.433000000000007</v>
      </c>
      <c r="AC127">
        <f t="shared" si="540"/>
        <v>45</v>
      </c>
      <c r="AD127" s="11">
        <f t="shared" si="541"/>
        <v>1</v>
      </c>
      <c r="AE127">
        <f t="shared" si="539"/>
        <v>27</v>
      </c>
      <c r="AF127">
        <f>IF(AND(AE127&lt;15,OR(AC127&gt;=30,AA127&gt;0.15,X127&gt;=0.15)),2,VLOOKUP(AE127,Table!P:Q,2,FALSE))</f>
        <v>4</v>
      </c>
      <c r="AG127" s="22">
        <f>IF((AB127*0.98)-(D127*0.8)+((AF127-3)*3)+VLOOKUP(AM127,Table!$A$11:$B$13,2,FALSE)&lt;0,0,(AB127*0.98)-(D127*0.8)+((AF127-3)*3)+VLOOKUP(AM127,Table!$A$11:$B$13,2,FALSE))</f>
        <v>86.852339999999998</v>
      </c>
      <c r="AH127" s="22">
        <f t="shared" si="534"/>
        <v>83</v>
      </c>
      <c r="AI127" s="18">
        <f t="shared" si="527"/>
        <v>0.28999999999999998</v>
      </c>
      <c r="AJ127" s="18">
        <f t="shared" si="528"/>
        <v>0.15</v>
      </c>
      <c r="AK127" t="str">
        <f t="shared" si="513"/>
        <v/>
      </c>
      <c r="AL127">
        <f t="shared" si="524"/>
        <v>25.25</v>
      </c>
      <c r="AM127" s="11" t="str">
        <f t="shared" si="514"/>
        <v>Stocks</v>
      </c>
      <c r="AN127" t="str">
        <f t="shared" si="520"/>
        <v>Buy</v>
      </c>
      <c r="AO127" s="13">
        <f t="shared" si="521"/>
        <v>1.8100000000000002E-2</v>
      </c>
      <c r="AP127" s="13">
        <f t="shared" si="522"/>
        <v>1E-4</v>
      </c>
      <c r="AQ127" s="13">
        <f t="shared" si="523"/>
        <v>1.4999999999999999E-2</v>
      </c>
      <c r="AR127" s="13">
        <f t="shared" si="515"/>
        <v>1.8100000000000002E-2</v>
      </c>
      <c r="AS127" s="6">
        <f t="shared" si="506"/>
        <v>507.10080586026379</v>
      </c>
      <c r="AT127" s="6">
        <f t="shared" si="507"/>
        <v>186.16031305550237</v>
      </c>
      <c r="AU127" s="6">
        <f t="shared" si="508"/>
        <v>792.31964590182849</v>
      </c>
      <c r="AV127" s="6">
        <f t="shared" si="509"/>
        <v>1189.3339666173124</v>
      </c>
      <c r="AW127" s="58">
        <f t="shared" si="516"/>
        <v>2016</v>
      </c>
      <c r="AX127" s="58">
        <f>COUNTIF(AW$3:AW127,AW127)</f>
        <v>40</v>
      </c>
    </row>
    <row r="128" spans="1:50" x14ac:dyDescent="0.25">
      <c r="A128" s="5">
        <v>42449</v>
      </c>
      <c r="B128">
        <v>2049.58</v>
      </c>
      <c r="C128">
        <v>0.31</v>
      </c>
      <c r="D128" s="6">
        <v>14.02</v>
      </c>
      <c r="E128" s="18">
        <f t="shared" si="529"/>
        <v>15.79</v>
      </c>
      <c r="F128">
        <f t="shared" si="530"/>
        <v>1</v>
      </c>
      <c r="G128" s="18">
        <f>ROUND(INDEX(Valuation!U:U,MATCH(A128,Valuation!A:A,0)),2)</f>
        <v>125.92</v>
      </c>
      <c r="H128">
        <f t="shared" si="537"/>
        <v>1</v>
      </c>
      <c r="I128" s="18">
        <f>INDEX(WeeklyIndicators!Y:Y,MATCH(A128,WeeklyIndicators!A:A,0))</f>
        <v>159.68</v>
      </c>
      <c r="J128">
        <f t="shared" si="526"/>
        <v>2</v>
      </c>
      <c r="K128">
        <f>ROUND(INDEX(Economic!AF:AF,MATCH(EOMONTH($A128,-1),Economic!A:A,0)),2)</f>
        <v>99.03</v>
      </c>
      <c r="L128" s="11">
        <f t="shared" si="535"/>
        <v>-1</v>
      </c>
      <c r="M128">
        <f>ROUND(INDEX(Manufacturing!P:P,MATCH(EOMONTH($A128,-1),Manufacturing!A:A,0)),2)</f>
        <v>69.010000000000005</v>
      </c>
      <c r="N128">
        <f t="shared" si="531"/>
        <v>-2</v>
      </c>
      <c r="O128">
        <f>ROUND(INDEX(Housing!AC:AC,MATCH(EOMONTH($A128,-1),Housing!B:B,0)),2)</f>
        <v>133.72999999999999</v>
      </c>
      <c r="P128">
        <f t="shared" si="532"/>
        <v>2</v>
      </c>
      <c r="Q128">
        <f>ROUND(INDEX(Spending!AJ:AJ,MATCH(EOMONTH($A128,-1),Spending!B:B,0)),2)</f>
        <v>48.69</v>
      </c>
      <c r="R128">
        <f t="shared" si="536"/>
        <v>0</v>
      </c>
      <c r="S128">
        <f>ROUND(INDEX(Employment!V:V,MATCH(EOMONTH($A128,-1),Employment!A:A,0)),2)</f>
        <v>171.05</v>
      </c>
      <c r="T128" s="11">
        <f t="shared" si="533"/>
        <v>1</v>
      </c>
      <c r="U128">
        <f t="shared" si="525"/>
        <v>24</v>
      </c>
      <c r="V128">
        <f t="shared" si="517"/>
        <v>73.59</v>
      </c>
      <c r="W128" s="13">
        <f t="shared" si="518"/>
        <v>2.0400000000000001E-2</v>
      </c>
      <c r="X128" s="13">
        <f t="shared" si="519"/>
        <v>3.4700000000000002E-2</v>
      </c>
      <c r="Y128">
        <f t="shared" si="511"/>
        <v>76.44</v>
      </c>
      <c r="Z128" s="13">
        <f t="shared" ref="Z128:Z191" si="542">ROUND((AVERAGE(Y128:Y130)-AVERAGE(Y129:Y131))/AVERAGE(Y129:Y131),4)</f>
        <v>2.5999999999999999E-2</v>
      </c>
      <c r="AA128" s="13">
        <f t="shared" si="538"/>
        <v>4.9700000000000001E-2</v>
      </c>
      <c r="AB128" s="6">
        <f t="shared" si="512"/>
        <v>87.661999999999992</v>
      </c>
      <c r="AC128">
        <f t="shared" si="540"/>
        <v>44</v>
      </c>
      <c r="AD128" s="11">
        <f t="shared" si="541"/>
        <v>1</v>
      </c>
      <c r="AE128">
        <f t="shared" si="539"/>
        <v>27</v>
      </c>
      <c r="AF128">
        <f>IF(AND(AE128&lt;15,OR(AC128&gt;=30,AA128&gt;0.15,X128&gt;=0.15)),2,VLOOKUP(AE128,Table!P:Q,2,FALSE))</f>
        <v>4</v>
      </c>
      <c r="AG128" s="22">
        <f>IF((AB128*0.98)-(D128*0.8)+((AF128-3)*3)+VLOOKUP(AM128,Table!$A$11:$B$13,2,FALSE)&lt;0,0,(AB128*0.98)-(D128*0.8)+((AF128-3)*3)+VLOOKUP(AM128,Table!$A$11:$B$13,2,FALSE))</f>
        <v>85.692759999999993</v>
      </c>
      <c r="AH128" s="22">
        <f t="shared" si="534"/>
        <v>78</v>
      </c>
      <c r="AI128" s="18">
        <f t="shared" si="527"/>
        <v>0.28000000000000003</v>
      </c>
      <c r="AJ128" s="18">
        <f t="shared" si="528"/>
        <v>0.14000000000000001</v>
      </c>
      <c r="AK128" t="str">
        <f t="shared" si="513"/>
        <v>Rising Rates</v>
      </c>
      <c r="AL128">
        <f t="shared" si="524"/>
        <v>24</v>
      </c>
      <c r="AM128" s="11" t="str">
        <f t="shared" si="514"/>
        <v>Stocks</v>
      </c>
      <c r="AN128" t="str">
        <f t="shared" si="520"/>
        <v>Buy</v>
      </c>
      <c r="AO128" s="13">
        <f t="shared" si="521"/>
        <v>-6.7000000000000002E-3</v>
      </c>
      <c r="AP128" s="13">
        <f t="shared" si="522"/>
        <v>1E-4</v>
      </c>
      <c r="AQ128" s="13">
        <f t="shared" si="523"/>
        <v>-5.1999999999999998E-3</v>
      </c>
      <c r="AR128" s="13">
        <f t="shared" si="515"/>
        <v>-6.7000000000000002E-3</v>
      </c>
      <c r="AS128" s="6">
        <f t="shared" si="506"/>
        <v>510.52129856061998</v>
      </c>
      <c r="AT128" s="6">
        <f t="shared" si="507"/>
        <v>186.14169888561381</v>
      </c>
      <c r="AU128" s="6">
        <f t="shared" si="508"/>
        <v>796.46124437256583</v>
      </c>
      <c r="AV128" s="6">
        <f t="shared" si="509"/>
        <v>1197.3562535158687</v>
      </c>
      <c r="AW128" s="58">
        <f t="shared" si="516"/>
        <v>2016</v>
      </c>
      <c r="AX128" s="58">
        <f>COUNTIF(AW$3:AW128,AW128)</f>
        <v>41</v>
      </c>
    </row>
    <row r="129" spans="1:50" x14ac:dyDescent="0.25">
      <c r="A129" s="5">
        <v>42442</v>
      </c>
      <c r="B129">
        <v>2022.19</v>
      </c>
      <c r="C129">
        <v>0.31</v>
      </c>
      <c r="D129" s="6">
        <v>16.5</v>
      </c>
      <c r="E129" s="18">
        <f t="shared" si="529"/>
        <v>17.72</v>
      </c>
      <c r="F129">
        <f t="shared" si="530"/>
        <v>0</v>
      </c>
      <c r="G129" s="18">
        <f>ROUND(INDEX(Valuation!U:U,MATCH(A129,Valuation!A:A,0)),2)</f>
        <v>129.37</v>
      </c>
      <c r="H129">
        <f t="shared" si="537"/>
        <v>1</v>
      </c>
      <c r="I129" s="18">
        <f>INDEX(WeeklyIndicators!Y:Y,MATCH(A129,WeeklyIndicators!A:A,0))</f>
        <v>144.79</v>
      </c>
      <c r="J129">
        <f t="shared" si="526"/>
        <v>1</v>
      </c>
      <c r="K129">
        <f>ROUND(INDEX(Economic!AF:AF,MATCH(EOMONTH($A129,-1),Economic!A:A,0)),2)</f>
        <v>99.03</v>
      </c>
      <c r="L129" s="11">
        <f t="shared" si="535"/>
        <v>-1</v>
      </c>
      <c r="M129">
        <f>ROUND(INDEX(Manufacturing!P:P,MATCH(EOMONTH($A129,-1),Manufacturing!A:A,0)),2)</f>
        <v>69.010000000000005</v>
      </c>
      <c r="N129">
        <f t="shared" si="531"/>
        <v>-2</v>
      </c>
      <c r="O129">
        <f>ROUND(INDEX(Housing!AC:AC,MATCH(EOMONTH($A129,-1),Housing!B:B,0)),2)</f>
        <v>133.72999999999999</v>
      </c>
      <c r="P129">
        <f t="shared" si="532"/>
        <v>2</v>
      </c>
      <c r="Q129">
        <f>ROUND(INDEX(Spending!AJ:AJ,MATCH(EOMONTH($A129,-1),Spending!B:B,0)),2)</f>
        <v>48.69</v>
      </c>
      <c r="R129">
        <f t="shared" si="536"/>
        <v>0</v>
      </c>
      <c r="S129">
        <f>ROUND(INDEX(Employment!V:V,MATCH(EOMONTH($A129,-1),Employment!A:A,0)),2)</f>
        <v>171.05</v>
      </c>
      <c r="T129" s="11">
        <f t="shared" si="533"/>
        <v>1</v>
      </c>
      <c r="U129">
        <f t="shared" si="525"/>
        <v>22</v>
      </c>
      <c r="V129">
        <f t="shared" si="517"/>
        <v>72.05</v>
      </c>
      <c r="W129" s="13">
        <f t="shared" si="518"/>
        <v>1.3100000000000001E-2</v>
      </c>
      <c r="X129" s="13">
        <f t="shared" si="519"/>
        <v>7.1999999999999998E-3</v>
      </c>
      <c r="Y129">
        <f t="shared" si="511"/>
        <v>74.599999999999994</v>
      </c>
      <c r="Z129" s="13">
        <f t="shared" si="542"/>
        <v>1.9099999999999999E-2</v>
      </c>
      <c r="AA129" s="13">
        <f t="shared" si="538"/>
        <v>1.5599999999999999E-2</v>
      </c>
      <c r="AB129" s="6">
        <f t="shared" si="512"/>
        <v>83.557000000000002</v>
      </c>
      <c r="AC129">
        <f t="shared" si="540"/>
        <v>42</v>
      </c>
      <c r="AD129" s="11">
        <f t="shared" si="541"/>
        <v>1</v>
      </c>
      <c r="AE129">
        <f t="shared" si="539"/>
        <v>25</v>
      </c>
      <c r="AF129">
        <f>IF(AND(AE129&lt;15,OR(AC129&gt;=30,AA129&gt;0.15,X129&gt;=0.15)),2,VLOOKUP(AE129,Table!P:Q,2,FALSE))</f>
        <v>3</v>
      </c>
      <c r="AG129" s="22">
        <f>IF((AB129*0.98)-(D129*0.8)+((AF129-3)*3)+VLOOKUP(AM129,Table!$A$11:$B$13,2,FALSE)&lt;0,0,(AB129*0.98)-(D129*0.8)+((AF129-3)*3)+VLOOKUP(AM129,Table!$A$11:$B$13,2,FALSE))</f>
        <v>76.685859999999991</v>
      </c>
      <c r="AH129" s="22">
        <f t="shared" si="534"/>
        <v>72</v>
      </c>
      <c r="AI129" s="18">
        <f t="shared" si="527"/>
        <v>0.27</v>
      </c>
      <c r="AJ129" s="18">
        <f t="shared" si="528"/>
        <v>0.13</v>
      </c>
      <c r="AK129" t="str">
        <f t="shared" si="513"/>
        <v>Rising Rates</v>
      </c>
      <c r="AL129">
        <f t="shared" si="524"/>
        <v>22.75</v>
      </c>
      <c r="AM129" s="11" t="str">
        <f t="shared" si="514"/>
        <v>Stocks</v>
      </c>
      <c r="AN129" t="str">
        <f t="shared" si="520"/>
        <v>Buy</v>
      </c>
      <c r="AO129" s="13">
        <f t="shared" si="521"/>
        <v>1.35E-2</v>
      </c>
      <c r="AP129" s="13">
        <f t="shared" si="522"/>
        <v>1E-4</v>
      </c>
      <c r="AQ129" s="13">
        <f t="shared" si="523"/>
        <v>9.7000000000000003E-3</v>
      </c>
      <c r="AR129" s="13">
        <f t="shared" si="515"/>
        <v>1.35E-2</v>
      </c>
      <c r="AS129" s="6">
        <f t="shared" si="506"/>
        <v>503.72106419400092</v>
      </c>
      <c r="AT129" s="6">
        <f t="shared" si="507"/>
        <v>186.12308657695613</v>
      </c>
      <c r="AU129" s="6">
        <f t="shared" si="508"/>
        <v>788.80978941523801</v>
      </c>
      <c r="AV129" s="6">
        <f t="shared" si="509"/>
        <v>1181.4072555657312</v>
      </c>
      <c r="AW129" s="58">
        <f t="shared" si="516"/>
        <v>2016</v>
      </c>
      <c r="AX129" s="58">
        <f>COUNTIF(AW$3:AW129,AW129)</f>
        <v>42</v>
      </c>
    </row>
    <row r="130" spans="1:50" x14ac:dyDescent="0.25">
      <c r="A130" s="5">
        <v>42435</v>
      </c>
      <c r="B130">
        <v>1999.99</v>
      </c>
      <c r="C130">
        <v>0.31</v>
      </c>
      <c r="D130" s="6">
        <v>16.86</v>
      </c>
      <c r="E130" s="18">
        <f t="shared" si="529"/>
        <v>19.07</v>
      </c>
      <c r="F130">
        <f t="shared" si="530"/>
        <v>-1</v>
      </c>
      <c r="G130" s="18">
        <f>ROUND(INDEX(Valuation!U:U,MATCH(A130,Valuation!A:A,0)),2)</f>
        <v>131.44</v>
      </c>
      <c r="H130">
        <f t="shared" si="537"/>
        <v>1</v>
      </c>
      <c r="I130" s="18">
        <f>INDEX(WeeklyIndicators!Y:Y,MATCH(A130,WeeklyIndicators!A:A,0))</f>
        <v>125.04</v>
      </c>
      <c r="J130">
        <f t="shared" si="526"/>
        <v>0</v>
      </c>
      <c r="K130">
        <f>ROUND(INDEX(Economic!AF:AF,MATCH(EOMONTH($A130,-1),Economic!A:A,0)),2)</f>
        <v>99.03</v>
      </c>
      <c r="L130" s="11">
        <f t="shared" si="535"/>
        <v>-1</v>
      </c>
      <c r="M130">
        <f>ROUND(INDEX(Manufacturing!P:P,MATCH(EOMONTH($A130,-1),Manufacturing!A:A,0)),2)</f>
        <v>69.010000000000005</v>
      </c>
      <c r="N130">
        <f t="shared" si="531"/>
        <v>-2</v>
      </c>
      <c r="O130">
        <f>ROUND(INDEX(Housing!AC:AC,MATCH(EOMONTH($A130,-1),Housing!B:B,0)),2)</f>
        <v>133.72999999999999</v>
      </c>
      <c r="P130">
        <f t="shared" si="532"/>
        <v>2</v>
      </c>
      <c r="Q130">
        <f>ROUND(INDEX(Spending!AJ:AJ,MATCH(EOMONTH($A130,-1),Spending!B:B,0)),2)</f>
        <v>48.69</v>
      </c>
      <c r="R130">
        <f t="shared" si="536"/>
        <v>0</v>
      </c>
      <c r="S130">
        <f>ROUND(INDEX(Employment!V:V,MATCH(EOMONTH($A130,-1),Employment!A:A,0)),2)</f>
        <v>171.05</v>
      </c>
      <c r="T130" s="11">
        <f t="shared" si="533"/>
        <v>1</v>
      </c>
      <c r="U130">
        <f t="shared" si="525"/>
        <v>20</v>
      </c>
      <c r="V130">
        <f t="shared" si="517"/>
        <v>70</v>
      </c>
      <c r="W130" s="13">
        <f t="shared" si="518"/>
        <v>1.8E-3</v>
      </c>
      <c r="X130" s="13">
        <f t="shared" si="519"/>
        <v>-1.15E-2</v>
      </c>
      <c r="Y130">
        <f t="shared" si="511"/>
        <v>72.31</v>
      </c>
      <c r="Z130" s="13">
        <f t="shared" si="542"/>
        <v>6.6E-3</v>
      </c>
      <c r="AA130" s="13">
        <f t="shared" si="538"/>
        <v>-6.7999999999999996E-3</v>
      </c>
      <c r="AB130" s="6">
        <f t="shared" si="512"/>
        <v>79.713999999999999</v>
      </c>
      <c r="AC130">
        <f t="shared" si="540"/>
        <v>40</v>
      </c>
      <c r="AD130" s="11">
        <f t="shared" si="541"/>
        <v>0</v>
      </c>
      <c r="AE130">
        <f t="shared" si="539"/>
        <v>22</v>
      </c>
      <c r="AF130">
        <f>IF(AND(AE130&lt;15,OR(AC130&gt;=30,AA130&gt;0.15,X130&gt;=0.15)),2,VLOOKUP(AE130,Table!P:Q,2,FALSE))</f>
        <v>3</v>
      </c>
      <c r="AG130" s="22">
        <f>IF((AB130*0.98)-(D130*0.8)+((AF130-3)*3)+VLOOKUP(AM130,Table!$A$11:$B$13,2,FALSE)&lt;0,0,(AB130*0.98)-(D130*0.8)+((AF130-3)*3)+VLOOKUP(AM130,Table!$A$11:$B$13,2,FALSE))</f>
        <v>72.631720000000001</v>
      </c>
      <c r="AH130" s="22">
        <f t="shared" si="534"/>
        <v>69</v>
      </c>
      <c r="AI130" s="18">
        <f t="shared" si="527"/>
        <v>0.27</v>
      </c>
      <c r="AJ130" s="18">
        <f t="shared" si="528"/>
        <v>0.12</v>
      </c>
      <c r="AK130" t="str">
        <f t="shared" si="513"/>
        <v>Rising Rates</v>
      </c>
      <c r="AL130">
        <f t="shared" si="524"/>
        <v>22</v>
      </c>
      <c r="AM130" s="11" t="str">
        <f t="shared" si="514"/>
        <v>Stocks</v>
      </c>
      <c r="AN130" t="str">
        <f t="shared" si="520"/>
        <v>Buy</v>
      </c>
      <c r="AO130" s="13">
        <f t="shared" si="521"/>
        <v>1.11E-2</v>
      </c>
      <c r="AP130" s="13">
        <f t="shared" si="522"/>
        <v>1E-4</v>
      </c>
      <c r="AQ130" s="13">
        <f t="shared" si="523"/>
        <v>7.7000000000000002E-3</v>
      </c>
      <c r="AR130" s="13">
        <f t="shared" si="515"/>
        <v>1.11E-2</v>
      </c>
      <c r="AS130" s="6">
        <f t="shared" si="506"/>
        <v>498.19114251211636</v>
      </c>
      <c r="AT130" s="6">
        <f t="shared" si="507"/>
        <v>186.1044761293432</v>
      </c>
      <c r="AU130" s="6">
        <f t="shared" si="508"/>
        <v>782.78236520317353</v>
      </c>
      <c r="AV130" s="6">
        <f t="shared" si="509"/>
        <v>1168.4375982254289</v>
      </c>
      <c r="AW130" s="58">
        <f t="shared" si="516"/>
        <v>2016</v>
      </c>
      <c r="AX130" s="58">
        <f>COUNTIF(AW$3:AW130,AW130)</f>
        <v>43</v>
      </c>
    </row>
    <row r="131" spans="1:50" x14ac:dyDescent="0.25">
      <c r="A131" s="5">
        <v>42428</v>
      </c>
      <c r="B131">
        <v>1948.05</v>
      </c>
      <c r="C131">
        <v>0.32</v>
      </c>
      <c r="D131" s="6">
        <v>19.809999999999999</v>
      </c>
      <c r="E131" s="18">
        <f t="shared" si="529"/>
        <v>21.91</v>
      </c>
      <c r="F131">
        <f t="shared" si="530"/>
        <v>-1</v>
      </c>
      <c r="G131" s="18">
        <f>ROUND(INDEX(Valuation!U:U,MATCH(A131,Valuation!A:A,0)),2)</f>
        <v>133.1</v>
      </c>
      <c r="H131">
        <f t="shared" si="537"/>
        <v>1</v>
      </c>
      <c r="I131" s="18">
        <f>INDEX(WeeklyIndicators!Y:Y,MATCH(A131,WeeklyIndicators!A:A,0))</f>
        <v>115.67</v>
      </c>
      <c r="J131">
        <f t="shared" si="526"/>
        <v>-1</v>
      </c>
      <c r="K131">
        <f>ROUND(INDEX(Economic!AF:AF,MATCH(EOMONTH($A131,-1),Economic!A:A,0)),2)</f>
        <v>99.89</v>
      </c>
      <c r="L131" s="11">
        <f t="shared" si="535"/>
        <v>-1</v>
      </c>
      <c r="M131">
        <f>ROUND(INDEX(Manufacturing!P:P,MATCH(EOMONTH($A131,-1),Manufacturing!A:A,0)),2)</f>
        <v>66.89</v>
      </c>
      <c r="N131">
        <f t="shared" si="531"/>
        <v>-2</v>
      </c>
      <c r="O131">
        <f>ROUND(INDEX(Housing!AC:AC,MATCH(EOMONTH($A131,-1),Housing!B:B,0)),2)</f>
        <v>135.96</v>
      </c>
      <c r="P131">
        <f t="shared" si="532"/>
        <v>2</v>
      </c>
      <c r="Q131">
        <f>ROUND(INDEX(Spending!AJ:AJ,MATCH(EOMONTH($A131,-1),Spending!B:B,0)),2)</f>
        <v>51.36</v>
      </c>
      <c r="R131">
        <f t="shared" si="536"/>
        <v>1</v>
      </c>
      <c r="S131">
        <f>ROUND(INDEX(Employment!V:V,MATCH(EOMONTH($A131,-1),Employment!A:A,0)),2)</f>
        <v>171.54</v>
      </c>
      <c r="T131" s="11">
        <f t="shared" si="533"/>
        <v>1</v>
      </c>
      <c r="U131">
        <f t="shared" si="525"/>
        <v>20</v>
      </c>
      <c r="V131">
        <f t="shared" si="517"/>
        <v>69.27</v>
      </c>
      <c r="W131" s="13">
        <f t="shared" si="518"/>
        <v>-5.9999999999999995E-4</v>
      </c>
      <c r="X131" s="13">
        <f t="shared" si="519"/>
        <v>-2.0899999999999998E-2</v>
      </c>
      <c r="Y131">
        <f t="shared" si="511"/>
        <v>70.78</v>
      </c>
      <c r="Z131" s="13">
        <f t="shared" si="542"/>
        <v>-2E-3</v>
      </c>
      <c r="AA131" s="13">
        <f t="shared" si="538"/>
        <v>-1.6999999999999998E-2</v>
      </c>
      <c r="AB131" s="6">
        <f t="shared" si="512"/>
        <v>77.55</v>
      </c>
      <c r="AC131">
        <f t="shared" si="540"/>
        <v>39</v>
      </c>
      <c r="AD131" s="11">
        <f t="shared" si="541"/>
        <v>0</v>
      </c>
      <c r="AE131">
        <f t="shared" si="539"/>
        <v>22</v>
      </c>
      <c r="AF131">
        <f>IF(AND(AE131&lt;15,OR(AC131&gt;=30,AA131&gt;0.15,X131&gt;=0.15)),2,VLOOKUP(AE131,Table!P:Q,2,FALSE))</f>
        <v>3</v>
      </c>
      <c r="AG131" s="22">
        <f>IF((AB131*0.98)-(D131*0.8)+((AF131-3)*3)+VLOOKUP(AM131,Table!$A$11:$B$13,2,FALSE)&lt;0,0,(AB131*0.98)-(D131*0.8)+((AF131-3)*3)+VLOOKUP(AM131,Table!$A$11:$B$13,2,FALSE))</f>
        <v>68.150999999999996</v>
      </c>
      <c r="AH131" s="22">
        <f t="shared" si="534"/>
        <v>66</v>
      </c>
      <c r="AI131" s="18">
        <f t="shared" si="527"/>
        <v>0.26</v>
      </c>
      <c r="AJ131" s="18">
        <f t="shared" si="528"/>
        <v>0.12</v>
      </c>
      <c r="AK131" t="str">
        <f t="shared" si="513"/>
        <v>Rising Rates</v>
      </c>
      <c r="AL131">
        <f t="shared" si="524"/>
        <v>22</v>
      </c>
      <c r="AM131" s="11" t="str">
        <f t="shared" si="514"/>
        <v>Stocks</v>
      </c>
      <c r="AN131" t="str">
        <f t="shared" si="520"/>
        <v>Buy</v>
      </c>
      <c r="AO131" s="13">
        <f t="shared" si="521"/>
        <v>2.6700000000000002E-2</v>
      </c>
      <c r="AP131" s="13">
        <f t="shared" si="522"/>
        <v>1E-4</v>
      </c>
      <c r="AQ131" s="13">
        <f t="shared" si="523"/>
        <v>1.77E-2</v>
      </c>
      <c r="AR131" s="13">
        <f t="shared" si="515"/>
        <v>2.6700000000000002E-2</v>
      </c>
      <c r="AS131" s="6">
        <f t="shared" ref="AS131:AS194" si="543">AS132*(1+AO132)</f>
        <v>485.23535844172238</v>
      </c>
      <c r="AT131" s="6">
        <f t="shared" ref="AT131:AT194" si="544">AT132*(1+AP132)</f>
        <v>186.08586754258894</v>
      </c>
      <c r="AU131" s="6">
        <f t="shared" ref="AU131:AU194" si="545">AU132*(1+AQ132)</f>
        <v>769.1680900099966</v>
      </c>
      <c r="AV131" s="6">
        <f t="shared" ref="AV131:AV194" si="546">AV132*(1+AR132)</f>
        <v>1138.0516199721719</v>
      </c>
      <c r="AW131" s="58">
        <f t="shared" si="516"/>
        <v>2016</v>
      </c>
      <c r="AX131" s="58">
        <f>COUNTIF(AW$3:AW131,AW131)</f>
        <v>44</v>
      </c>
    </row>
    <row r="132" spans="1:50" x14ac:dyDescent="0.25">
      <c r="A132" s="5">
        <v>42421</v>
      </c>
      <c r="B132">
        <v>1917.78</v>
      </c>
      <c r="C132">
        <v>0.3</v>
      </c>
      <c r="D132" s="6">
        <v>20.53</v>
      </c>
      <c r="E132" s="18">
        <f t="shared" si="529"/>
        <v>23.1</v>
      </c>
      <c r="F132">
        <f t="shared" si="530"/>
        <v>-1</v>
      </c>
      <c r="G132" s="18">
        <f>ROUND(INDEX(Valuation!U:U,MATCH(A132,Valuation!A:A,0)),2)</f>
        <v>134.19</v>
      </c>
      <c r="H132">
        <f t="shared" si="537"/>
        <v>1</v>
      </c>
      <c r="I132" s="18">
        <f>INDEX(WeeklyIndicators!Y:Y,MATCH(A132,WeeklyIndicators!A:A,0))</f>
        <v>116.12</v>
      </c>
      <c r="J132">
        <f t="shared" si="526"/>
        <v>-1</v>
      </c>
      <c r="K132">
        <f>ROUND(INDEX(Economic!AF:AF,MATCH(EOMONTH($A132,-1),Economic!A:A,0)),2)</f>
        <v>99.89</v>
      </c>
      <c r="L132" s="11">
        <f t="shared" si="535"/>
        <v>-1</v>
      </c>
      <c r="M132">
        <f>ROUND(INDEX(Manufacturing!P:P,MATCH(EOMONTH($A132,-1),Manufacturing!A:A,0)),2)</f>
        <v>66.89</v>
      </c>
      <c r="N132">
        <f t="shared" si="531"/>
        <v>-2</v>
      </c>
      <c r="O132">
        <f>ROUND(INDEX(Housing!AC:AC,MATCH(EOMONTH($A132,-1),Housing!B:B,0)),2)</f>
        <v>135.96</v>
      </c>
      <c r="P132">
        <f t="shared" si="532"/>
        <v>2</v>
      </c>
      <c r="Q132">
        <f>ROUND(INDEX(Spending!AJ:AJ,MATCH(EOMONTH($A132,-1),Spending!B:B,0)),2)</f>
        <v>51.36</v>
      </c>
      <c r="R132">
        <f t="shared" si="536"/>
        <v>1</v>
      </c>
      <c r="S132">
        <f>ROUND(INDEX(Employment!V:V,MATCH(EOMONTH($A132,-1),Employment!A:A,0)),2)</f>
        <v>171.54</v>
      </c>
      <c r="T132" s="11">
        <f t="shared" si="533"/>
        <v>1</v>
      </c>
      <c r="U132">
        <f t="shared" si="525"/>
        <v>20</v>
      </c>
      <c r="V132">
        <f t="shared" si="517"/>
        <v>69.31</v>
      </c>
      <c r="W132" s="13">
        <f t="shared" si="518"/>
        <v>-7.1000000000000004E-3</v>
      </c>
      <c r="X132" s="13">
        <f t="shared" si="519"/>
        <v>-2.23E-2</v>
      </c>
      <c r="Y132">
        <f t="shared" ref="Y132:Y195" si="547">ROUND(((K132*0.745)+(M132*0.745)+(O132*0.36)+(Q132*0.45)+(S132*0.45)+(I132*0.55)+(G132*0.59)-(E132*1.85))/5.3,2)</f>
        <v>70.53</v>
      </c>
      <c r="Z132" s="13">
        <f t="shared" si="542"/>
        <v>-8.0999999999999996E-3</v>
      </c>
      <c r="AA132" s="13">
        <f t="shared" si="538"/>
        <v>-1.9599999999999999E-2</v>
      </c>
      <c r="AB132" s="6">
        <f t="shared" ref="AB132:AB195" si="548">IF(ROUND(Y132+(X132*10)+(V132/30)+(AA132*67),2)+5+((G132-125)*0.1)&lt;0,0,ROUND(Y132+(X132*10)+(V132/30)+(AA132*67),2)+5+((G132-125)*0.1))</f>
        <v>77.218999999999994</v>
      </c>
      <c r="AC132">
        <f t="shared" si="540"/>
        <v>39</v>
      </c>
      <c r="AD132" s="11">
        <f t="shared" si="541"/>
        <v>0</v>
      </c>
      <c r="AE132">
        <f t="shared" si="539"/>
        <v>22</v>
      </c>
      <c r="AF132">
        <f>IF(AND(AE132&lt;15,OR(AC132&gt;=30,AA132&gt;0.15,X132&gt;=0.15)),2,VLOOKUP(AE132,Table!P:Q,2,FALSE))</f>
        <v>3</v>
      </c>
      <c r="AG132" s="22">
        <f>IF((AB132*0.98)-(D132*0.8)+((AF132-3)*3)+VLOOKUP(AM132,Table!$A$11:$B$13,2,FALSE)&lt;0,0,(AB132*0.98)-(D132*0.8)+((AF132-3)*3)+VLOOKUP(AM132,Table!$A$11:$B$13,2,FALSE))</f>
        <v>67.250619999999984</v>
      </c>
      <c r="AH132" s="22">
        <f t="shared" si="534"/>
        <v>65</v>
      </c>
      <c r="AI132" s="18">
        <f t="shared" si="527"/>
        <v>0.25</v>
      </c>
      <c r="AJ132" s="18">
        <f t="shared" si="528"/>
        <v>0.11</v>
      </c>
      <c r="AK132" t="str">
        <f t="shared" ref="AK132:AK195" si="549">IF(AND(C132&gt;AI132,AI132&gt;AJ132,C132-AJ132&gt;0.15),"Rising Rates",IF(AND(C132&lt;AI132,AI132&lt;AJ132,AJ132-C132&gt;0.15),"Falling Rates",""))</f>
        <v>Rising Rates</v>
      </c>
      <c r="AL132">
        <f t="shared" si="524"/>
        <v>22.75</v>
      </c>
      <c r="AM132" s="11" t="str">
        <f t="shared" ref="AM132:AM195" si="550">IF(OR(AND(AL132&lt;=18,G132&lt;=25),AND(AL132&lt;=14,G132&lt;200)),"Cash","Stocks")</f>
        <v>Stocks</v>
      </c>
      <c r="AN132" t="str">
        <f t="shared" si="520"/>
        <v>Buy</v>
      </c>
      <c r="AO132" s="13">
        <f t="shared" si="521"/>
        <v>1.5800000000000002E-2</v>
      </c>
      <c r="AP132" s="13">
        <f t="shared" si="522"/>
        <v>1E-4</v>
      </c>
      <c r="AQ132" s="13">
        <f t="shared" si="523"/>
        <v>1.03E-2</v>
      </c>
      <c r="AR132" s="13">
        <f t="shared" ref="AR132:AR195" si="551">IF(AM132="Stocks",AO132,AP132)</f>
        <v>1.5800000000000002E-2</v>
      </c>
      <c r="AS132" s="6">
        <f t="shared" si="543"/>
        <v>477.68788978314859</v>
      </c>
      <c r="AT132" s="6">
        <f t="shared" si="544"/>
        <v>186.06726081650729</v>
      </c>
      <c r="AU132" s="6">
        <f t="shared" si="545"/>
        <v>761.32642780361937</v>
      </c>
      <c r="AV132" s="6">
        <f t="shared" si="546"/>
        <v>1120.3500885727228</v>
      </c>
      <c r="AW132" s="58">
        <f t="shared" ref="AW132:AW195" si="552">YEAR(A132)</f>
        <v>2016</v>
      </c>
      <c r="AX132" s="58">
        <f>COUNTIF(AW$3:AW132,AW132)</f>
        <v>45</v>
      </c>
    </row>
    <row r="133" spans="1:50" x14ac:dyDescent="0.25">
      <c r="A133" s="5">
        <v>42414</v>
      </c>
      <c r="B133">
        <v>1864.78</v>
      </c>
      <c r="C133">
        <v>0.3</v>
      </c>
      <c r="D133" s="6">
        <v>25.4</v>
      </c>
      <c r="E133" s="18">
        <f t="shared" si="529"/>
        <v>22.99</v>
      </c>
      <c r="F133">
        <f t="shared" si="530"/>
        <v>-1</v>
      </c>
      <c r="G133" s="18">
        <f>ROUND(INDEX(Valuation!U:U,MATCH(A133,Valuation!A:A,0)),2)</f>
        <v>134.41</v>
      </c>
      <c r="H133">
        <f t="shared" si="537"/>
        <v>1</v>
      </c>
      <c r="I133" s="18">
        <f>INDEX(WeeklyIndicators!Y:Y,MATCH(A133,WeeklyIndicators!A:A,0))</f>
        <v>119.17</v>
      </c>
      <c r="J133">
        <f t="shared" si="526"/>
        <v>-1</v>
      </c>
      <c r="K133">
        <f>ROUND(INDEX(Economic!AF:AF,MATCH(EOMONTH($A133,-1),Economic!A:A,0)),2)</f>
        <v>99.89</v>
      </c>
      <c r="L133" s="11">
        <f t="shared" si="535"/>
        <v>-1</v>
      </c>
      <c r="M133">
        <f>ROUND(INDEX(Manufacturing!P:P,MATCH(EOMONTH($A133,-1),Manufacturing!A:A,0)),2)</f>
        <v>66.89</v>
      </c>
      <c r="N133">
        <f t="shared" si="531"/>
        <v>-2</v>
      </c>
      <c r="O133">
        <f>ROUND(INDEX(Housing!AC:AC,MATCH(EOMONTH($A133,-1),Housing!B:B,0)),2)</f>
        <v>135.96</v>
      </c>
      <c r="P133">
        <f t="shared" si="532"/>
        <v>2</v>
      </c>
      <c r="Q133">
        <f>ROUND(INDEX(Spending!AJ:AJ,MATCH(EOMONTH($A133,-1),Spending!B:B,0)),2)</f>
        <v>51.36</v>
      </c>
      <c r="R133">
        <f t="shared" si="536"/>
        <v>1</v>
      </c>
      <c r="S133">
        <f>ROUND(INDEX(Employment!V:V,MATCH(EOMONTH($A133,-1),Employment!A:A,0)),2)</f>
        <v>171.54</v>
      </c>
      <c r="T133" s="11">
        <f t="shared" si="533"/>
        <v>1</v>
      </c>
      <c r="U133">
        <f t="shared" si="525"/>
        <v>20</v>
      </c>
      <c r="V133">
        <f t="shared" ref="V133:V196" si="553">ROUND(((K133*0.745)+(M133*0.745)+(O133*0.36)+(Q133*0.45)+(S133*0.45)+(I133*0.55)+(60)-(30))/5.3,2)</f>
        <v>69.63</v>
      </c>
      <c r="W133" s="13">
        <f t="shared" ref="W133:W196" si="554">ROUND((AVERAGE(V133:V135)-AVERAGE(V134:V136))/AVERAGE(V134:V136),4)</f>
        <v>-5.5999999999999999E-3</v>
      </c>
      <c r="X133" s="13">
        <f t="shared" ref="X133:X196" si="555">SUM(W133:W136)</f>
        <v>-1.9200000000000002E-2</v>
      </c>
      <c r="Y133">
        <f t="shared" si="547"/>
        <v>70.91</v>
      </c>
      <c r="Z133" s="13">
        <f t="shared" si="542"/>
        <v>-3.3E-3</v>
      </c>
      <c r="AA133" s="13">
        <f t="shared" si="538"/>
        <v>-2.4E-2</v>
      </c>
      <c r="AB133" s="6">
        <f t="shared" si="548"/>
        <v>77.371000000000009</v>
      </c>
      <c r="AC133">
        <f t="shared" si="540"/>
        <v>39</v>
      </c>
      <c r="AD133" s="11">
        <f t="shared" si="541"/>
        <v>0</v>
      </c>
      <c r="AE133">
        <f t="shared" si="539"/>
        <v>22</v>
      </c>
      <c r="AF133">
        <f>IF(AND(AE133&lt;15,OR(AC133&gt;=30,AA133&gt;0.15,X133&gt;=0.15)),2,VLOOKUP(AE133,Table!P:Q,2,FALSE))</f>
        <v>3</v>
      </c>
      <c r="AG133" s="22">
        <f>IF((AB133*0.98)-(D133*0.8)+((AF133-3)*3)+VLOOKUP(AM133,Table!$A$11:$B$13,2,FALSE)&lt;0,0,(AB133*0.98)-(D133*0.8)+((AF133-3)*3)+VLOOKUP(AM133,Table!$A$11:$B$13,2,FALSE))</f>
        <v>63.503580000000007</v>
      </c>
      <c r="AH133" s="22">
        <f t="shared" si="534"/>
        <v>65</v>
      </c>
      <c r="AI133" s="18">
        <f t="shared" si="527"/>
        <v>0.24</v>
      </c>
      <c r="AJ133" s="18">
        <f t="shared" si="528"/>
        <v>0.1</v>
      </c>
      <c r="AK133" t="str">
        <f t="shared" si="549"/>
        <v>Rising Rates</v>
      </c>
      <c r="AL133">
        <f t="shared" si="524"/>
        <v>23.25</v>
      </c>
      <c r="AM133" s="11" t="str">
        <f t="shared" si="550"/>
        <v>Stocks</v>
      </c>
      <c r="AN133" t="str">
        <f t="shared" ref="AN133:AN196" si="556">IF(AND(V133&gt;AG133,V133&lt;65),"Sell","Buy")</f>
        <v>Buy</v>
      </c>
      <c r="AO133" s="13">
        <f t="shared" ref="AO133:AO196" si="557">ROUND((B132/B133)-1,4)</f>
        <v>2.8400000000000002E-2</v>
      </c>
      <c r="AP133" s="13">
        <f t="shared" ref="AP133:AP196" si="558">ROUND((C133*0.01)/52,4)</f>
        <v>1E-4</v>
      </c>
      <c r="AQ133" s="13">
        <f t="shared" ref="AQ133:AQ196" si="559">ROUND(((AH133*0.01)*AO133)+(((100-AH133)*0.01)*AP133),4)</f>
        <v>1.8499999999999999E-2</v>
      </c>
      <c r="AR133" s="13">
        <f t="shared" si="551"/>
        <v>2.8400000000000002E-2</v>
      </c>
      <c r="AS133" s="6">
        <f t="shared" si="543"/>
        <v>464.49619776657778</v>
      </c>
      <c r="AT133" s="6">
        <f t="shared" si="544"/>
        <v>186.04865595091221</v>
      </c>
      <c r="AU133" s="6">
        <f t="shared" si="545"/>
        <v>747.49771998391691</v>
      </c>
      <c r="AV133" s="6">
        <f t="shared" si="546"/>
        <v>1089.4108212492442</v>
      </c>
      <c r="AW133" s="58">
        <f t="shared" si="552"/>
        <v>2016</v>
      </c>
      <c r="AX133" s="58">
        <f>COUNTIF(AW$3:AW133,AW133)</f>
        <v>46</v>
      </c>
    </row>
    <row r="134" spans="1:50" x14ac:dyDescent="0.25">
      <c r="A134" s="5">
        <v>42407</v>
      </c>
      <c r="B134">
        <v>1880.05</v>
      </c>
      <c r="C134">
        <v>0.32</v>
      </c>
      <c r="D134" s="6">
        <v>23.38</v>
      </c>
      <c r="E134" s="18">
        <f t="shared" si="529"/>
        <v>21.97</v>
      </c>
      <c r="F134">
        <f t="shared" si="530"/>
        <v>-1</v>
      </c>
      <c r="G134" s="18">
        <f>ROUND(INDEX(Valuation!U:U,MATCH(A134,Valuation!A:A,0)),2)</f>
        <v>135.88999999999999</v>
      </c>
      <c r="H134">
        <f t="shared" si="537"/>
        <v>1</v>
      </c>
      <c r="I134" s="18">
        <f>INDEX(WeeklyIndicators!Y:Y,MATCH(A134,WeeklyIndicators!A:A,0))</f>
        <v>116.93</v>
      </c>
      <c r="J134">
        <f t="shared" si="526"/>
        <v>-1</v>
      </c>
      <c r="K134">
        <f>ROUND(INDEX(Economic!AF:AF,MATCH(EOMONTH($A134,-1),Economic!A:A,0)),2)</f>
        <v>99.89</v>
      </c>
      <c r="L134" s="11">
        <f t="shared" si="535"/>
        <v>-1</v>
      </c>
      <c r="M134">
        <f>ROUND(INDEX(Manufacturing!P:P,MATCH(EOMONTH($A134,-1),Manufacturing!A:A,0)),2)</f>
        <v>66.89</v>
      </c>
      <c r="N134">
        <f t="shared" si="531"/>
        <v>-2</v>
      </c>
      <c r="O134">
        <f>ROUND(INDEX(Housing!AC:AC,MATCH(EOMONTH($A134,-1),Housing!B:B,0)),2)</f>
        <v>135.96</v>
      </c>
      <c r="P134">
        <f t="shared" si="532"/>
        <v>2</v>
      </c>
      <c r="Q134">
        <f>ROUND(INDEX(Spending!AJ:AJ,MATCH(EOMONTH($A134,-1),Spending!B:B,0)),2)</f>
        <v>51.36</v>
      </c>
      <c r="R134">
        <f t="shared" si="536"/>
        <v>1</v>
      </c>
      <c r="S134">
        <f>ROUND(INDEX(Employment!V:V,MATCH(EOMONTH($A134,-1),Employment!A:A,0)),2)</f>
        <v>171.54</v>
      </c>
      <c r="T134" s="11">
        <f t="shared" si="533"/>
        <v>1</v>
      </c>
      <c r="U134">
        <f t="shared" si="525"/>
        <v>20</v>
      </c>
      <c r="V134">
        <f t="shared" si="553"/>
        <v>69.400000000000006</v>
      </c>
      <c r="W134" s="13">
        <f t="shared" si="554"/>
        <v>-7.6E-3</v>
      </c>
      <c r="X134" s="13">
        <f t="shared" si="555"/>
        <v>-2.7900000000000001E-2</v>
      </c>
      <c r="Y134">
        <f t="shared" si="547"/>
        <v>71.2</v>
      </c>
      <c r="Z134" s="13">
        <f t="shared" si="542"/>
        <v>-3.5999999999999999E-3</v>
      </c>
      <c r="AA134" s="13">
        <f t="shared" si="538"/>
        <v>-3.9800000000000002E-2</v>
      </c>
      <c r="AB134" s="6">
        <f t="shared" si="548"/>
        <v>76.658999999999992</v>
      </c>
      <c r="AC134">
        <f t="shared" si="540"/>
        <v>38</v>
      </c>
      <c r="AD134" s="11">
        <f t="shared" si="541"/>
        <v>0</v>
      </c>
      <c r="AE134">
        <f t="shared" si="539"/>
        <v>22</v>
      </c>
      <c r="AF134">
        <f>IF(AND(AE134&lt;15,OR(AC134&gt;=30,AA134&gt;0.15,X134&gt;=0.15)),2,VLOOKUP(AE134,Table!P:Q,2,FALSE))</f>
        <v>3</v>
      </c>
      <c r="AG134" s="22">
        <f>IF((AB134*0.98)-(D134*0.8)+((AF134-3)*3)+VLOOKUP(AM134,Table!$A$11:$B$13,2,FALSE)&lt;0,0,(AB134*0.98)-(D134*0.8)+((AF134-3)*3)+VLOOKUP(AM134,Table!$A$11:$B$13,2,FALSE))</f>
        <v>64.421819999999997</v>
      </c>
      <c r="AH134" s="22">
        <f t="shared" si="534"/>
        <v>65</v>
      </c>
      <c r="AI134" s="18">
        <f t="shared" si="527"/>
        <v>0.22</v>
      </c>
      <c r="AJ134" s="18">
        <f t="shared" si="528"/>
        <v>0.1</v>
      </c>
      <c r="AK134" t="str">
        <f t="shared" si="549"/>
        <v>Rising Rates</v>
      </c>
      <c r="AL134">
        <f t="shared" si="524"/>
        <v>24</v>
      </c>
      <c r="AM134" s="11" t="str">
        <f t="shared" si="550"/>
        <v>Stocks</v>
      </c>
      <c r="AN134" t="str">
        <f t="shared" si="556"/>
        <v>Buy</v>
      </c>
      <c r="AO134" s="13">
        <f t="shared" si="557"/>
        <v>-8.0999999999999996E-3</v>
      </c>
      <c r="AP134" s="13">
        <f t="shared" si="558"/>
        <v>1E-4</v>
      </c>
      <c r="AQ134" s="13">
        <f t="shared" si="559"/>
        <v>-5.1999999999999998E-3</v>
      </c>
      <c r="AR134" s="13">
        <f t="shared" si="551"/>
        <v>-8.0999999999999996E-3</v>
      </c>
      <c r="AS134" s="6">
        <f t="shared" si="543"/>
        <v>468.28934143217845</v>
      </c>
      <c r="AT134" s="6">
        <f t="shared" si="544"/>
        <v>186.03005294561765</v>
      </c>
      <c r="AU134" s="6">
        <f t="shared" si="545"/>
        <v>751.40502611973955</v>
      </c>
      <c r="AV134" s="6">
        <f t="shared" si="546"/>
        <v>1098.3071088307736</v>
      </c>
      <c r="AW134" s="58">
        <f t="shared" si="552"/>
        <v>2016</v>
      </c>
      <c r="AX134" s="58">
        <f>COUNTIF(AW$3:AW134,AW134)</f>
        <v>47</v>
      </c>
    </row>
    <row r="135" spans="1:50" x14ac:dyDescent="0.25">
      <c r="A135" s="5">
        <v>42400</v>
      </c>
      <c r="B135">
        <v>1940.24</v>
      </c>
      <c r="C135">
        <v>0.32</v>
      </c>
      <c r="D135" s="6">
        <v>20.2</v>
      </c>
      <c r="E135" s="18">
        <f t="shared" si="529"/>
        <v>23.19</v>
      </c>
      <c r="F135">
        <f t="shared" si="530"/>
        <v>-1</v>
      </c>
      <c r="G135" s="18">
        <f>ROUND(INDEX(Valuation!U:U,MATCH(A135,Valuation!A:A,0)),2)</f>
        <v>136.66</v>
      </c>
      <c r="H135">
        <f t="shared" si="537"/>
        <v>1</v>
      </c>
      <c r="I135" s="18">
        <f>INDEX(WeeklyIndicators!Y:Y,MATCH(A135,WeeklyIndicators!A:A,0))</f>
        <v>114.16</v>
      </c>
      <c r="J135">
        <f t="shared" si="526"/>
        <v>-1</v>
      </c>
      <c r="K135">
        <f>ROUND(INDEX(Economic!AF:AF,MATCH(EOMONTH($A135,-1),Economic!A:A,0)),2)</f>
        <v>100.12</v>
      </c>
      <c r="L135" s="11">
        <f t="shared" si="535"/>
        <v>0</v>
      </c>
      <c r="M135">
        <f>ROUND(INDEX(Manufacturing!P:P,MATCH(EOMONTH($A135,-1),Manufacturing!A:A,0)),2)</f>
        <v>70.19</v>
      </c>
      <c r="N135">
        <f t="shared" si="531"/>
        <v>-2</v>
      </c>
      <c r="O135">
        <f>ROUND(INDEX(Housing!AC:AC,MATCH(EOMONTH($A135,-1),Housing!B:B,0)),2)</f>
        <v>141.46</v>
      </c>
      <c r="P135">
        <f t="shared" si="532"/>
        <v>3</v>
      </c>
      <c r="Q135">
        <f>ROUND(INDEX(Spending!AJ:AJ,MATCH(EOMONTH($A135,-1),Spending!B:B,0)),2)</f>
        <v>55.81</v>
      </c>
      <c r="R135">
        <f t="shared" si="536"/>
        <v>1</v>
      </c>
      <c r="S135">
        <f>ROUND(INDEX(Employment!V:V,MATCH(EOMONTH($A135,-1),Employment!A:A,0)),2)</f>
        <v>176.84</v>
      </c>
      <c r="T135" s="11">
        <f t="shared" si="533"/>
        <v>2</v>
      </c>
      <c r="U135">
        <f t="shared" si="525"/>
        <v>23</v>
      </c>
      <c r="V135">
        <f t="shared" si="553"/>
        <v>70.81</v>
      </c>
      <c r="W135" s="13">
        <f t="shared" si="554"/>
        <v>-2E-3</v>
      </c>
      <c r="X135" s="13">
        <f t="shared" si="555"/>
        <v>-3.5499999999999997E-2</v>
      </c>
      <c r="Y135">
        <f t="shared" si="547"/>
        <v>72.27</v>
      </c>
      <c r="Z135" s="13">
        <f t="shared" si="542"/>
        <v>-4.5999999999999999E-3</v>
      </c>
      <c r="AA135" s="13">
        <f t="shared" si="538"/>
        <v>-5.2099999999999994E-2</v>
      </c>
      <c r="AB135" s="6">
        <f t="shared" si="548"/>
        <v>76.945999999999998</v>
      </c>
      <c r="AC135">
        <f t="shared" si="540"/>
        <v>38</v>
      </c>
      <c r="AD135" s="11">
        <f t="shared" si="541"/>
        <v>0</v>
      </c>
      <c r="AE135">
        <f t="shared" si="539"/>
        <v>25</v>
      </c>
      <c r="AF135">
        <f>IF(AND(AE135&lt;15,OR(AC135&gt;=30,AA135&gt;0.15,X135&gt;=0.15)),2,VLOOKUP(AE135,Table!P:Q,2,FALSE))</f>
        <v>3</v>
      </c>
      <c r="AG135" s="22">
        <f>IF((AB135*0.98)-(D135*0.8)+((AF135-3)*3)+VLOOKUP(AM135,Table!$A$11:$B$13,2,FALSE)&lt;0,0,(AB135*0.98)-(D135*0.8)+((AF135-3)*3)+VLOOKUP(AM135,Table!$A$11:$B$13,2,FALSE))</f>
        <v>67.247079999999997</v>
      </c>
      <c r="AH135" s="22">
        <f t="shared" si="534"/>
        <v>64</v>
      </c>
      <c r="AI135" s="18">
        <f t="shared" si="527"/>
        <v>0.2</v>
      </c>
      <c r="AJ135" s="18">
        <f t="shared" si="528"/>
        <v>0.09</v>
      </c>
      <c r="AK135" t="str">
        <f t="shared" si="549"/>
        <v>Rising Rates</v>
      </c>
      <c r="AL135">
        <f t="shared" si="524"/>
        <v>24.75</v>
      </c>
      <c r="AM135" s="11" t="str">
        <f t="shared" si="550"/>
        <v>Stocks</v>
      </c>
      <c r="AN135" t="str">
        <f t="shared" si="556"/>
        <v>Buy</v>
      </c>
      <c r="AO135" s="13">
        <f t="shared" si="557"/>
        <v>-3.1E-2</v>
      </c>
      <c r="AP135" s="13">
        <f t="shared" si="558"/>
        <v>1E-4</v>
      </c>
      <c r="AQ135" s="13">
        <f t="shared" si="559"/>
        <v>-1.9800000000000002E-2</v>
      </c>
      <c r="AR135" s="13">
        <f t="shared" si="551"/>
        <v>-3.1E-2</v>
      </c>
      <c r="AS135" s="6">
        <f t="shared" si="543"/>
        <v>483.27073419213463</v>
      </c>
      <c r="AT135" s="6">
        <f t="shared" si="544"/>
        <v>186.01145180043761</v>
      </c>
      <c r="AU135" s="6">
        <f t="shared" si="545"/>
        <v>766.58337698402329</v>
      </c>
      <c r="AV135" s="6">
        <f t="shared" si="546"/>
        <v>1133.4438687624083</v>
      </c>
      <c r="AW135" s="58">
        <f t="shared" si="552"/>
        <v>2016</v>
      </c>
      <c r="AX135" s="58">
        <f>COUNTIF(AW$3:AW135,AW135)</f>
        <v>48</v>
      </c>
    </row>
    <row r="136" spans="1:50" x14ac:dyDescent="0.25">
      <c r="A136" s="5">
        <v>42393</v>
      </c>
      <c r="B136">
        <v>1906.9</v>
      </c>
      <c r="C136">
        <v>0.28000000000000003</v>
      </c>
      <c r="D136" s="6">
        <v>22.34</v>
      </c>
      <c r="E136" s="18">
        <f t="shared" si="529"/>
        <v>25.46</v>
      </c>
      <c r="F136">
        <f t="shared" si="530"/>
        <v>-2</v>
      </c>
      <c r="G136" s="18">
        <f>ROUND(INDEX(Valuation!U:U,MATCH(A136,Valuation!A:A,0)),2)</f>
        <v>137.80000000000001</v>
      </c>
      <c r="H136">
        <f t="shared" si="537"/>
        <v>1</v>
      </c>
      <c r="I136" s="18">
        <f>INDEX(WeeklyIndicators!Y:Y,MATCH(A136,WeeklyIndicators!A:A,0))</f>
        <v>114.3</v>
      </c>
      <c r="J136">
        <f t="shared" si="526"/>
        <v>-1</v>
      </c>
      <c r="K136">
        <f>ROUND(INDEX(Economic!AF:AF,MATCH(EOMONTH($A136,-1),Economic!A:A,0)),2)</f>
        <v>100.12</v>
      </c>
      <c r="L136" s="11">
        <f t="shared" si="535"/>
        <v>0</v>
      </c>
      <c r="M136">
        <f>ROUND(INDEX(Manufacturing!P:P,MATCH(EOMONTH($A136,-1),Manufacturing!A:A,0)),2)</f>
        <v>70.19</v>
      </c>
      <c r="N136">
        <f t="shared" si="531"/>
        <v>-2</v>
      </c>
      <c r="O136">
        <f>ROUND(INDEX(Housing!AC:AC,MATCH(EOMONTH($A136,-1),Housing!B:B,0)),2)</f>
        <v>141.46</v>
      </c>
      <c r="P136">
        <f t="shared" si="532"/>
        <v>3</v>
      </c>
      <c r="Q136">
        <f>ROUND(INDEX(Spending!AJ:AJ,MATCH(EOMONTH($A136,-1),Spending!B:B,0)),2)</f>
        <v>55.81</v>
      </c>
      <c r="R136">
        <f t="shared" si="536"/>
        <v>1</v>
      </c>
      <c r="S136">
        <f>ROUND(INDEX(Employment!V:V,MATCH(EOMONTH($A136,-1),Employment!A:A,0)),2)</f>
        <v>176.84</v>
      </c>
      <c r="T136" s="11">
        <f t="shared" si="533"/>
        <v>2</v>
      </c>
      <c r="U136">
        <f t="shared" si="525"/>
        <v>22</v>
      </c>
      <c r="V136">
        <f t="shared" si="553"/>
        <v>70.819999999999993</v>
      </c>
      <c r="W136" s="13">
        <f t="shared" si="554"/>
        <v>-4.0000000000000001E-3</v>
      </c>
      <c r="X136" s="13">
        <f t="shared" si="555"/>
        <v>-4.6300000000000001E-2</v>
      </c>
      <c r="Y136">
        <f t="shared" si="547"/>
        <v>71.62</v>
      </c>
      <c r="Z136" s="13">
        <f t="shared" si="542"/>
        <v>-1.2500000000000001E-2</v>
      </c>
      <c r="AA136" s="13">
        <f t="shared" si="538"/>
        <v>-6.1399999999999996E-2</v>
      </c>
      <c r="AB136" s="6">
        <f t="shared" si="548"/>
        <v>75.680000000000007</v>
      </c>
      <c r="AC136">
        <f t="shared" si="540"/>
        <v>38</v>
      </c>
      <c r="AD136" s="11">
        <f t="shared" si="541"/>
        <v>0</v>
      </c>
      <c r="AE136">
        <f t="shared" si="539"/>
        <v>24</v>
      </c>
      <c r="AF136">
        <f>IF(AND(AE136&lt;15,OR(AC136&gt;=30,AA136&gt;0.15,X136&gt;=0.15)),2,VLOOKUP(AE136,Table!P:Q,2,FALSE))</f>
        <v>3</v>
      </c>
      <c r="AG136" s="22">
        <f>IF((AB136*0.98)-(D136*0.8)+((AF136-3)*3)+VLOOKUP(AM136,Table!$A$11:$B$13,2,FALSE)&lt;0,0,(AB136*0.98)-(D136*0.8)+((AF136-3)*3)+VLOOKUP(AM136,Table!$A$11:$B$13,2,FALSE))</f>
        <v>64.29440000000001</v>
      </c>
      <c r="AH136" s="22">
        <f t="shared" si="534"/>
        <v>62</v>
      </c>
      <c r="AI136" s="18">
        <f t="shared" si="527"/>
        <v>0.18</v>
      </c>
      <c r="AJ136" s="18">
        <f t="shared" si="528"/>
        <v>0.08</v>
      </c>
      <c r="AK136" t="str">
        <f t="shared" si="549"/>
        <v>Rising Rates</v>
      </c>
      <c r="AL136">
        <f t="shared" si="524"/>
        <v>25</v>
      </c>
      <c r="AM136" s="11" t="str">
        <f t="shared" si="550"/>
        <v>Stocks</v>
      </c>
      <c r="AN136" t="str">
        <f t="shared" si="556"/>
        <v>Buy</v>
      </c>
      <c r="AO136" s="13">
        <f t="shared" si="557"/>
        <v>1.7500000000000002E-2</v>
      </c>
      <c r="AP136" s="13">
        <f t="shared" si="558"/>
        <v>1E-4</v>
      </c>
      <c r="AQ136" s="13">
        <f t="shared" si="559"/>
        <v>1.09E-2</v>
      </c>
      <c r="AR136" s="13">
        <f t="shared" si="551"/>
        <v>1.7500000000000002E-2</v>
      </c>
      <c r="AS136" s="6">
        <f t="shared" si="543"/>
        <v>474.95895252298237</v>
      </c>
      <c r="AT136" s="6">
        <f t="shared" si="544"/>
        <v>185.99285251518609</v>
      </c>
      <c r="AU136" s="6">
        <f t="shared" si="545"/>
        <v>758.31771390248628</v>
      </c>
      <c r="AV136" s="6">
        <f t="shared" si="546"/>
        <v>1113.949748169443</v>
      </c>
      <c r="AW136" s="58">
        <f t="shared" si="552"/>
        <v>2016</v>
      </c>
      <c r="AX136" s="58">
        <f>COUNTIF(AW$3:AW136,AW136)</f>
        <v>49</v>
      </c>
    </row>
    <row r="137" spans="1:50" x14ac:dyDescent="0.25">
      <c r="A137" s="5">
        <v>42386</v>
      </c>
      <c r="B137">
        <v>1880.33</v>
      </c>
      <c r="C137">
        <v>0.22</v>
      </c>
      <c r="D137" s="6">
        <v>27.02</v>
      </c>
      <c r="E137" s="18">
        <f t="shared" si="529"/>
        <v>24.08</v>
      </c>
      <c r="F137">
        <f t="shared" si="530"/>
        <v>-1</v>
      </c>
      <c r="G137" s="18">
        <f>ROUND(INDEX(Valuation!U:U,MATCH(A137,Valuation!A:A,0)),2)</f>
        <v>135.11000000000001</v>
      </c>
      <c r="H137">
        <f t="shared" si="537"/>
        <v>1</v>
      </c>
      <c r="I137" s="18">
        <f>INDEX(WeeklyIndicators!Y:Y,MATCH(A137,WeeklyIndicators!A:A,0))</f>
        <v>116.08</v>
      </c>
      <c r="J137">
        <f t="shared" si="526"/>
        <v>-1</v>
      </c>
      <c r="K137">
        <f>ROUND(INDEX(Economic!AF:AF,MATCH(EOMONTH($A137,-1),Economic!A:A,0)),2)</f>
        <v>100.12</v>
      </c>
      <c r="L137" s="11">
        <f t="shared" si="535"/>
        <v>0</v>
      </c>
      <c r="M137">
        <f>ROUND(INDEX(Manufacturing!P:P,MATCH(EOMONTH($A137,-1),Manufacturing!A:A,0)),2)</f>
        <v>70.19</v>
      </c>
      <c r="N137">
        <f t="shared" si="531"/>
        <v>-2</v>
      </c>
      <c r="O137">
        <f>ROUND(INDEX(Housing!AC:AC,MATCH(EOMONTH($A137,-1),Housing!B:B,0)),2)</f>
        <v>141.46</v>
      </c>
      <c r="P137">
        <f t="shared" si="532"/>
        <v>3</v>
      </c>
      <c r="Q137">
        <f>ROUND(INDEX(Spending!AJ:AJ,MATCH(EOMONTH($A137,-1),Spending!B:B,0)),2)</f>
        <v>55.81</v>
      </c>
      <c r="R137">
        <f t="shared" si="536"/>
        <v>1</v>
      </c>
      <c r="S137">
        <f>ROUND(INDEX(Employment!V:V,MATCH(EOMONTH($A137,-1),Employment!A:A,0)),2)</f>
        <v>176.84</v>
      </c>
      <c r="T137" s="11">
        <f t="shared" si="533"/>
        <v>2</v>
      </c>
      <c r="U137">
        <f t="shared" si="525"/>
        <v>23</v>
      </c>
      <c r="V137">
        <f t="shared" si="553"/>
        <v>71.010000000000005</v>
      </c>
      <c r="W137" s="13">
        <f t="shared" si="554"/>
        <v>-1.43E-2</v>
      </c>
      <c r="X137" s="13">
        <f t="shared" si="555"/>
        <v>-4.3299999999999998E-2</v>
      </c>
      <c r="Y137">
        <f t="shared" si="547"/>
        <v>71.98</v>
      </c>
      <c r="Z137" s="13">
        <f t="shared" si="542"/>
        <v>-1.9099999999999999E-2</v>
      </c>
      <c r="AA137" s="13">
        <f t="shared" si="538"/>
        <v>-5.8900000000000001E-2</v>
      </c>
      <c r="AB137" s="6">
        <f t="shared" si="548"/>
        <v>75.980999999999995</v>
      </c>
      <c r="AC137">
        <f t="shared" si="540"/>
        <v>38</v>
      </c>
      <c r="AD137" s="11">
        <f t="shared" si="541"/>
        <v>0</v>
      </c>
      <c r="AE137">
        <f t="shared" si="539"/>
        <v>25</v>
      </c>
      <c r="AF137">
        <f>IF(AND(AE137&lt;15,OR(AC137&gt;=30,AA137&gt;0.15,X137&gt;=0.15)),2,VLOOKUP(AE137,Table!P:Q,2,FALSE))</f>
        <v>3</v>
      </c>
      <c r="AG137" s="22">
        <f>IF((AB137*0.98)-(D137*0.8)+((AF137-3)*3)+VLOOKUP(AM137,Table!$A$11:$B$13,2,FALSE)&lt;0,0,(AB137*0.98)-(D137*0.8)+((AF137-3)*3)+VLOOKUP(AM137,Table!$A$11:$B$13,2,FALSE))</f>
        <v>60.845379999999992</v>
      </c>
      <c r="AH137" s="22">
        <f t="shared" si="534"/>
        <v>65</v>
      </c>
      <c r="AI137" s="18">
        <f t="shared" si="527"/>
        <v>0.16</v>
      </c>
      <c r="AJ137" s="18">
        <f t="shared" si="528"/>
        <v>7.0000000000000007E-2</v>
      </c>
      <c r="AK137" t="str">
        <f t="shared" si="549"/>
        <v/>
      </c>
      <c r="AL137">
        <f t="shared" ref="AL137:AL200" si="560">ROUND(AVERAGE(AE137:AE140),2)</f>
        <v>26</v>
      </c>
      <c r="AM137" s="11" t="str">
        <f t="shared" si="550"/>
        <v>Stocks</v>
      </c>
      <c r="AN137" t="str">
        <f t="shared" si="556"/>
        <v>Buy</v>
      </c>
      <c r="AO137" s="13">
        <f t="shared" si="557"/>
        <v>1.41E-2</v>
      </c>
      <c r="AP137" s="13">
        <f t="shared" si="558"/>
        <v>0</v>
      </c>
      <c r="AQ137" s="13">
        <f t="shared" si="559"/>
        <v>9.1999999999999998E-3</v>
      </c>
      <c r="AR137" s="13">
        <f t="shared" si="551"/>
        <v>1.41E-2</v>
      </c>
      <c r="AS137" s="6">
        <f t="shared" si="543"/>
        <v>468.35514497878154</v>
      </c>
      <c r="AT137" s="6">
        <f t="shared" si="544"/>
        <v>185.99285251518609</v>
      </c>
      <c r="AU137" s="6">
        <f t="shared" si="545"/>
        <v>751.40478983599508</v>
      </c>
      <c r="AV137" s="6">
        <f t="shared" si="546"/>
        <v>1098.4614418395058</v>
      </c>
      <c r="AW137" s="58">
        <f t="shared" si="552"/>
        <v>2016</v>
      </c>
      <c r="AX137" s="58">
        <f>COUNTIF(AW$3:AW137,AW137)</f>
        <v>50</v>
      </c>
    </row>
    <row r="138" spans="1:50" x14ac:dyDescent="0.25">
      <c r="A138" s="5">
        <v>42379</v>
      </c>
      <c r="B138">
        <v>1922.03</v>
      </c>
      <c r="C138">
        <v>0.21</v>
      </c>
      <c r="D138" s="6">
        <v>27.01</v>
      </c>
      <c r="E138" s="18">
        <f t="shared" si="529"/>
        <v>20.32</v>
      </c>
      <c r="F138">
        <f t="shared" si="530"/>
        <v>-1</v>
      </c>
      <c r="G138" s="18">
        <f>ROUND(INDEX(Valuation!U:U,MATCH(A138,Valuation!A:A,0)),2)</f>
        <v>132.86000000000001</v>
      </c>
      <c r="H138">
        <f t="shared" si="537"/>
        <v>1</v>
      </c>
      <c r="I138" s="18">
        <f>INDEX(WeeklyIndicators!Y:Y,MATCH(A138,WeeklyIndicators!A:A,0))</f>
        <v>118.17</v>
      </c>
      <c r="J138">
        <f t="shared" si="526"/>
        <v>-1</v>
      </c>
      <c r="K138">
        <f>ROUND(INDEX(Economic!AF:AF,MATCH(EOMONTH($A138,-1),Economic!A:A,0)),2)</f>
        <v>100.12</v>
      </c>
      <c r="L138" s="11">
        <f t="shared" si="535"/>
        <v>0</v>
      </c>
      <c r="M138">
        <f>ROUND(INDEX(Manufacturing!P:P,MATCH(EOMONTH($A138,-1),Manufacturing!A:A,0)),2)</f>
        <v>70.19</v>
      </c>
      <c r="N138">
        <f t="shared" si="531"/>
        <v>-2</v>
      </c>
      <c r="O138">
        <f>ROUND(INDEX(Housing!AC:AC,MATCH(EOMONTH($A138,-1),Housing!B:B,0)),2)</f>
        <v>141.46</v>
      </c>
      <c r="P138">
        <f t="shared" si="532"/>
        <v>3</v>
      </c>
      <c r="Q138">
        <f>ROUND(INDEX(Spending!AJ:AJ,MATCH(EOMONTH($A138,-1),Spending!B:B,0)),2)</f>
        <v>55.81</v>
      </c>
      <c r="R138">
        <f t="shared" si="536"/>
        <v>1</v>
      </c>
      <c r="S138">
        <f>ROUND(INDEX(Employment!V:V,MATCH(EOMONTH($A138,-1),Employment!A:A,0)),2)</f>
        <v>176.84</v>
      </c>
      <c r="T138" s="11">
        <f t="shared" si="533"/>
        <v>2</v>
      </c>
      <c r="U138">
        <f t="shared" ref="U138:U201" si="561">F138+H138+J138+L138+N138+P138+R138+T138+20</f>
        <v>23</v>
      </c>
      <c r="V138">
        <f t="shared" si="553"/>
        <v>71.23</v>
      </c>
      <c r="W138" s="13">
        <f t="shared" si="554"/>
        <v>-1.52E-2</v>
      </c>
      <c r="X138" s="13">
        <f t="shared" si="555"/>
        <v>-3.7699999999999997E-2</v>
      </c>
      <c r="Y138">
        <f t="shared" si="547"/>
        <v>73.260000000000005</v>
      </c>
      <c r="Z138" s="13">
        <f t="shared" si="542"/>
        <v>-1.5900000000000001E-2</v>
      </c>
      <c r="AA138" s="13">
        <f t="shared" si="538"/>
        <v>-5.5800000000000002E-2</v>
      </c>
      <c r="AB138" s="6">
        <f t="shared" si="548"/>
        <v>77.305999999999997</v>
      </c>
      <c r="AC138">
        <f t="shared" si="540"/>
        <v>39</v>
      </c>
      <c r="AD138" s="11">
        <f t="shared" si="541"/>
        <v>0</v>
      </c>
      <c r="AE138">
        <f t="shared" si="539"/>
        <v>25</v>
      </c>
      <c r="AF138">
        <f>IF(AND(AE138&lt;15,OR(AC138&gt;=30,AA138&gt;0.15,X138&gt;=0.15)),2,VLOOKUP(AE138,Table!P:Q,2,FALSE))</f>
        <v>3</v>
      </c>
      <c r="AG138" s="22">
        <f>IF((AB138*0.98)-(D138*0.8)+((AF138-3)*3)+VLOOKUP(AM138,Table!$A$11:$B$13,2,FALSE)&lt;0,0,(AB138*0.98)-(D138*0.8)+((AF138-3)*3)+VLOOKUP(AM138,Table!$A$11:$B$13,2,FALSE))</f>
        <v>62.151879999999991</v>
      </c>
      <c r="AH138" s="22">
        <f t="shared" si="534"/>
        <v>71</v>
      </c>
      <c r="AI138" s="18">
        <f t="shared" si="527"/>
        <v>0.15</v>
      </c>
      <c r="AJ138" s="18">
        <f t="shared" si="528"/>
        <v>7.0000000000000007E-2</v>
      </c>
      <c r="AK138" t="str">
        <f t="shared" si="549"/>
        <v/>
      </c>
      <c r="AL138">
        <f t="shared" si="560"/>
        <v>26.75</v>
      </c>
      <c r="AM138" s="11" t="str">
        <f t="shared" si="550"/>
        <v>Stocks</v>
      </c>
      <c r="AN138" t="str">
        <f t="shared" si="556"/>
        <v>Buy</v>
      </c>
      <c r="AO138" s="13">
        <f t="shared" si="557"/>
        <v>-2.1700000000000001E-2</v>
      </c>
      <c r="AP138" s="13">
        <f t="shared" si="558"/>
        <v>0</v>
      </c>
      <c r="AQ138" s="13">
        <f t="shared" si="559"/>
        <v>-1.54E-2</v>
      </c>
      <c r="AR138" s="13">
        <f t="shared" si="551"/>
        <v>-2.1700000000000001E-2</v>
      </c>
      <c r="AS138" s="6">
        <f t="shared" si="543"/>
        <v>478.74388733392777</v>
      </c>
      <c r="AT138" s="6">
        <f t="shared" si="544"/>
        <v>185.99285251518609</v>
      </c>
      <c r="AU138" s="6">
        <f t="shared" si="545"/>
        <v>763.15741401177638</v>
      </c>
      <c r="AV138" s="6">
        <f t="shared" si="546"/>
        <v>1122.8267830312848</v>
      </c>
      <c r="AW138" s="58">
        <f t="shared" si="552"/>
        <v>2016</v>
      </c>
      <c r="AX138" s="58">
        <f>COUNTIF(AW$3:AW138,AW138)</f>
        <v>51</v>
      </c>
    </row>
    <row r="139" spans="1:50" x14ac:dyDescent="0.25">
      <c r="A139" s="5">
        <v>42372</v>
      </c>
      <c r="B139">
        <v>2043.94</v>
      </c>
      <c r="C139">
        <v>0.21</v>
      </c>
      <c r="D139" s="6">
        <v>18.21</v>
      </c>
      <c r="E139" s="18">
        <f t="shared" si="529"/>
        <v>18.22</v>
      </c>
      <c r="F139">
        <f t="shared" si="530"/>
        <v>-1</v>
      </c>
      <c r="G139" s="18">
        <f>ROUND(INDEX(Valuation!U:U,MATCH(A139,Valuation!A:A,0)),2)</f>
        <v>132.21</v>
      </c>
      <c r="H139">
        <f t="shared" si="537"/>
        <v>1</v>
      </c>
      <c r="I139" s="18">
        <f>INDEX(WeeklyIndicators!Y:Y,MATCH(A139,WeeklyIndicators!A:A,0))</f>
        <v>122.5</v>
      </c>
      <c r="J139">
        <f t="shared" si="526"/>
        <v>0</v>
      </c>
      <c r="K139">
        <f>ROUND(INDEX(Economic!AF:AF,MATCH(EOMONTH($A139,-1),Economic!A:A,0)),2)</f>
        <v>100.12</v>
      </c>
      <c r="L139" s="11">
        <f t="shared" si="535"/>
        <v>0</v>
      </c>
      <c r="M139">
        <f>ROUND(INDEX(Manufacturing!P:P,MATCH(EOMONTH($A139,-1),Manufacturing!A:A,0)),2)</f>
        <v>70.19</v>
      </c>
      <c r="N139">
        <f t="shared" si="531"/>
        <v>-2</v>
      </c>
      <c r="O139">
        <f>ROUND(INDEX(Housing!AC:AC,MATCH(EOMONTH($A139,-1),Housing!B:B,0)),2)</f>
        <v>141.46</v>
      </c>
      <c r="P139">
        <f t="shared" si="532"/>
        <v>3</v>
      </c>
      <c r="Q139">
        <f>ROUND(INDEX(Spending!AJ:AJ,MATCH(EOMONTH($A139,-1),Spending!B:B,0)),2)</f>
        <v>55.81</v>
      </c>
      <c r="R139">
        <f t="shared" si="536"/>
        <v>1</v>
      </c>
      <c r="S139">
        <f>ROUND(INDEX(Employment!V:V,MATCH(EOMONTH($A139,-1),Employment!A:A,0)),2)</f>
        <v>176.84</v>
      </c>
      <c r="T139" s="11">
        <f t="shared" si="533"/>
        <v>2</v>
      </c>
      <c r="U139">
        <f t="shared" si="561"/>
        <v>24</v>
      </c>
      <c r="V139">
        <f t="shared" si="553"/>
        <v>71.67</v>
      </c>
      <c r="W139" s="13">
        <f t="shared" si="554"/>
        <v>-1.2800000000000001E-2</v>
      </c>
      <c r="X139" s="13">
        <f t="shared" si="555"/>
        <v>-3.3099999999999997E-2</v>
      </c>
      <c r="Y139">
        <f t="shared" si="547"/>
        <v>74.37</v>
      </c>
      <c r="Z139" s="13">
        <f t="shared" si="542"/>
        <v>-1.3899999999999999E-2</v>
      </c>
      <c r="AA139" s="13">
        <f t="shared" si="538"/>
        <v>-5.5E-2</v>
      </c>
      <c r="AB139" s="6">
        <f t="shared" si="548"/>
        <v>78.460999999999999</v>
      </c>
      <c r="AC139">
        <f t="shared" si="540"/>
        <v>39</v>
      </c>
      <c r="AD139" s="11">
        <f t="shared" si="541"/>
        <v>0</v>
      </c>
      <c r="AE139">
        <f t="shared" si="539"/>
        <v>26</v>
      </c>
      <c r="AF139">
        <f>IF(AND(AE139&lt;15,OR(AC139&gt;=30,AA139&gt;0.15,X139&gt;=0.15)),2,VLOOKUP(AE139,Table!P:Q,2,FALSE))</f>
        <v>4</v>
      </c>
      <c r="AG139" s="22">
        <f>IF((AB139*0.98)-(D139*0.8)+((AF139-3)*3)+VLOOKUP(AM139,Table!$A$11:$B$13,2,FALSE)&lt;0,0,(AB139*0.98)-(D139*0.8)+((AF139-3)*3)+VLOOKUP(AM139,Table!$A$11:$B$13,2,FALSE))</f>
        <v>73.323779999999999</v>
      </c>
      <c r="AH139" s="22">
        <f t="shared" si="534"/>
        <v>75</v>
      </c>
      <c r="AI139" s="18">
        <f t="shared" si="527"/>
        <v>0.13</v>
      </c>
      <c r="AJ139" s="18">
        <f t="shared" si="528"/>
        <v>0.06</v>
      </c>
      <c r="AK139" t="str">
        <f t="shared" si="549"/>
        <v/>
      </c>
      <c r="AL139">
        <f t="shared" si="560"/>
        <v>27.75</v>
      </c>
      <c r="AM139" s="11" t="str">
        <f t="shared" si="550"/>
        <v>Stocks</v>
      </c>
      <c r="AN139" t="str">
        <f t="shared" si="556"/>
        <v>Buy</v>
      </c>
      <c r="AO139" s="13">
        <f t="shared" si="557"/>
        <v>-5.96E-2</v>
      </c>
      <c r="AP139" s="13">
        <f t="shared" si="558"/>
        <v>0</v>
      </c>
      <c r="AQ139" s="13">
        <f t="shared" si="559"/>
        <v>-4.4699999999999997E-2</v>
      </c>
      <c r="AR139" s="13">
        <f t="shared" si="551"/>
        <v>-5.96E-2</v>
      </c>
      <c r="AS139" s="6">
        <f t="shared" si="543"/>
        <v>509.08537572727323</v>
      </c>
      <c r="AT139" s="6">
        <f t="shared" si="544"/>
        <v>185.99285251518609</v>
      </c>
      <c r="AU139" s="6">
        <f t="shared" si="545"/>
        <v>798.86675809879239</v>
      </c>
      <c r="AV139" s="6">
        <f t="shared" si="546"/>
        <v>1193.9884974811621</v>
      </c>
      <c r="AW139" s="58">
        <f t="shared" si="552"/>
        <v>2016</v>
      </c>
      <c r="AX139" s="58">
        <f>COUNTIF(AW$3:AW139,AW139)</f>
        <v>52</v>
      </c>
    </row>
    <row r="140" spans="1:50" x14ac:dyDescent="0.25">
      <c r="A140" s="5">
        <v>42365</v>
      </c>
      <c r="B140">
        <v>2060.9899999999998</v>
      </c>
      <c r="C140">
        <v>0.21</v>
      </c>
      <c r="D140" s="6">
        <v>15.74</v>
      </c>
      <c r="E140" s="18">
        <f t="shared" si="529"/>
        <v>20.28</v>
      </c>
      <c r="F140">
        <f t="shared" si="530"/>
        <v>-1</v>
      </c>
      <c r="G140" s="18">
        <f>ROUND(INDEX(Valuation!U:U,MATCH(A140,Valuation!A:A,0)),2)</f>
        <v>133.81</v>
      </c>
      <c r="H140">
        <f t="shared" si="537"/>
        <v>1</v>
      </c>
      <c r="I140" s="18">
        <f>INDEX(WeeklyIndicators!Y:Y,MATCH(A140,WeeklyIndicators!A:A,0))</f>
        <v>128.57</v>
      </c>
      <c r="J140">
        <f t="shared" si="526"/>
        <v>0</v>
      </c>
      <c r="K140">
        <f>ROUND(INDEX(Economic!AF:AF,MATCH(EOMONTH($A140,-1),Economic!A:A,0)),2)</f>
        <v>101.84</v>
      </c>
      <c r="L140" s="11">
        <f t="shared" si="535"/>
        <v>0</v>
      </c>
      <c r="M140">
        <f>ROUND(INDEX(Manufacturing!P:P,MATCH(EOMONTH($A140,-1),Manufacturing!A:A,0)),2)</f>
        <v>74.47</v>
      </c>
      <c r="N140">
        <f t="shared" si="531"/>
        <v>-1</v>
      </c>
      <c r="O140">
        <f>ROUND(INDEX(Housing!AC:AC,MATCH(EOMONTH($A140,-1),Housing!B:B,0)),2)</f>
        <v>148.66</v>
      </c>
      <c r="P140">
        <f t="shared" si="532"/>
        <v>3</v>
      </c>
      <c r="Q140">
        <f>ROUND(INDEX(Spending!AJ:AJ,MATCH(EOMONTH($A140,-1),Spending!B:B,0)),2)</f>
        <v>61.04</v>
      </c>
      <c r="R140">
        <f t="shared" si="536"/>
        <v>2</v>
      </c>
      <c r="S140">
        <f>ROUND(INDEX(Employment!V:V,MATCH(EOMONTH($A140,-1),Employment!A:A,0)),2)</f>
        <v>177.16</v>
      </c>
      <c r="T140" s="11">
        <f t="shared" si="533"/>
        <v>2</v>
      </c>
      <c r="U140">
        <f t="shared" si="561"/>
        <v>26</v>
      </c>
      <c r="V140">
        <f t="shared" si="553"/>
        <v>74.11</v>
      </c>
      <c r="W140" s="13">
        <f t="shared" si="554"/>
        <v>-1E-3</v>
      </c>
      <c r="X140" s="13">
        <f t="shared" si="555"/>
        <v>-3.2799999999999996E-2</v>
      </c>
      <c r="Y140">
        <f t="shared" si="547"/>
        <v>76.260000000000005</v>
      </c>
      <c r="Z140" s="13">
        <f t="shared" si="542"/>
        <v>-0.01</v>
      </c>
      <c r="AA140" s="13">
        <f t="shared" si="538"/>
        <v>-5.2700000000000004E-2</v>
      </c>
      <c r="AB140" s="6">
        <f t="shared" si="548"/>
        <v>80.751000000000005</v>
      </c>
      <c r="AC140">
        <f t="shared" si="540"/>
        <v>40</v>
      </c>
      <c r="AD140" s="11">
        <f t="shared" si="541"/>
        <v>0</v>
      </c>
      <c r="AE140">
        <f t="shared" si="539"/>
        <v>28</v>
      </c>
      <c r="AF140">
        <f>IF(AND(AE140&lt;15,OR(AC140&gt;=30,AA140&gt;0.15,X140&gt;=0.15)),2,VLOOKUP(AE140,Table!P:Q,2,FALSE))</f>
        <v>4</v>
      </c>
      <c r="AG140" s="22">
        <f>IF((AB140*0.98)-(D140*0.8)+((AF140-3)*3)+VLOOKUP(AM140,Table!$A$11:$B$13,2,FALSE)&lt;0,0,(AB140*0.98)-(D140*0.8)+((AF140-3)*3)+VLOOKUP(AM140,Table!$A$11:$B$13,2,FALSE))</f>
        <v>77.543980000000005</v>
      </c>
      <c r="AH140" s="22">
        <f t="shared" si="534"/>
        <v>75</v>
      </c>
      <c r="AI140" s="18">
        <f t="shared" si="527"/>
        <v>0.11</v>
      </c>
      <c r="AJ140" s="18">
        <f t="shared" si="528"/>
        <v>0.06</v>
      </c>
      <c r="AK140" t="str">
        <f t="shared" si="549"/>
        <v/>
      </c>
      <c r="AL140">
        <f t="shared" si="560"/>
        <v>29</v>
      </c>
      <c r="AM140" s="11" t="str">
        <f t="shared" si="550"/>
        <v>Stocks</v>
      </c>
      <c r="AN140" t="str">
        <f t="shared" si="556"/>
        <v>Buy</v>
      </c>
      <c r="AO140" s="13">
        <f t="shared" si="557"/>
        <v>-8.3000000000000001E-3</v>
      </c>
      <c r="AP140" s="13">
        <f t="shared" si="558"/>
        <v>0</v>
      </c>
      <c r="AQ140" s="13">
        <f t="shared" si="559"/>
        <v>-6.1999999999999998E-3</v>
      </c>
      <c r="AR140" s="13">
        <f t="shared" si="551"/>
        <v>-8.3000000000000001E-3</v>
      </c>
      <c r="AS140" s="6">
        <f t="shared" si="543"/>
        <v>513.34614876199782</v>
      </c>
      <c r="AT140" s="6">
        <f t="shared" si="544"/>
        <v>185.99285251518609</v>
      </c>
      <c r="AU140" s="6">
        <f t="shared" si="545"/>
        <v>803.85063201729963</v>
      </c>
      <c r="AV140" s="6">
        <f t="shared" si="546"/>
        <v>1203.9815442988424</v>
      </c>
      <c r="AW140" s="58">
        <f t="shared" si="552"/>
        <v>2015</v>
      </c>
      <c r="AX140" s="58">
        <f>COUNTIF(AW$3:AW140,AW140)</f>
        <v>1</v>
      </c>
    </row>
    <row r="141" spans="1:50" x14ac:dyDescent="0.25">
      <c r="A141" s="5">
        <v>42358</v>
      </c>
      <c r="B141">
        <v>2005.55</v>
      </c>
      <c r="C141">
        <v>0.24</v>
      </c>
      <c r="D141" s="6">
        <v>20.7</v>
      </c>
      <c r="E141" s="18">
        <f t="shared" si="529"/>
        <v>19.97</v>
      </c>
      <c r="F141">
        <f t="shared" si="530"/>
        <v>-1</v>
      </c>
      <c r="G141" s="18">
        <f>ROUND(INDEX(Valuation!U:U,MATCH(A141,Valuation!A:A,0)),2)</f>
        <v>134.16</v>
      </c>
      <c r="H141">
        <f t="shared" si="537"/>
        <v>1</v>
      </c>
      <c r="I141" s="18">
        <f>INDEX(WeeklyIndicators!Y:Y,MATCH(A141,WeeklyIndicators!A:A,0))</f>
        <v>132.97999999999999</v>
      </c>
      <c r="J141">
        <f t="shared" si="526"/>
        <v>0</v>
      </c>
      <c r="K141">
        <f>ROUND(INDEX(Economic!AF:AF,MATCH(EOMONTH($A141,-1),Economic!A:A,0)),2)</f>
        <v>101.84</v>
      </c>
      <c r="L141" s="11">
        <f t="shared" si="535"/>
        <v>0</v>
      </c>
      <c r="M141">
        <f>ROUND(INDEX(Manufacturing!P:P,MATCH(EOMONTH($A141,-1),Manufacturing!A:A,0)),2)</f>
        <v>74.47</v>
      </c>
      <c r="N141">
        <f t="shared" si="531"/>
        <v>-1</v>
      </c>
      <c r="O141">
        <f>ROUND(INDEX(Housing!AC:AC,MATCH(EOMONTH($A141,-1),Housing!B:B,0)),2)</f>
        <v>148.66</v>
      </c>
      <c r="P141">
        <f t="shared" si="532"/>
        <v>3</v>
      </c>
      <c r="Q141">
        <f>ROUND(INDEX(Spending!AJ:AJ,MATCH(EOMONTH($A141,-1),Spending!B:B,0)),2)</f>
        <v>61.04</v>
      </c>
      <c r="R141">
        <f t="shared" si="536"/>
        <v>2</v>
      </c>
      <c r="S141">
        <f>ROUND(INDEX(Employment!V:V,MATCH(EOMONTH($A141,-1),Employment!A:A,0)),2)</f>
        <v>177.16</v>
      </c>
      <c r="T141" s="11">
        <f t="shared" si="533"/>
        <v>2</v>
      </c>
      <c r="U141">
        <f t="shared" si="561"/>
        <v>26</v>
      </c>
      <c r="V141">
        <f t="shared" si="553"/>
        <v>74.569999999999993</v>
      </c>
      <c r="W141" s="13">
        <f t="shared" si="554"/>
        <v>-8.6999999999999994E-3</v>
      </c>
      <c r="X141" s="13">
        <f t="shared" si="555"/>
        <v>-3.5199999999999995E-2</v>
      </c>
      <c r="Y141">
        <f t="shared" si="547"/>
        <v>76.87</v>
      </c>
      <c r="Z141" s="13">
        <f t="shared" si="542"/>
        <v>-1.6E-2</v>
      </c>
      <c r="AA141" s="13">
        <f t="shared" si="538"/>
        <v>-4.7400000000000005E-2</v>
      </c>
      <c r="AB141" s="6">
        <f t="shared" si="548"/>
        <v>81.745999999999995</v>
      </c>
      <c r="AC141">
        <f t="shared" si="540"/>
        <v>41</v>
      </c>
      <c r="AD141" s="11">
        <f t="shared" si="541"/>
        <v>0</v>
      </c>
      <c r="AE141">
        <f t="shared" si="539"/>
        <v>28</v>
      </c>
      <c r="AF141">
        <f>IF(AND(AE141&lt;15,OR(AC141&gt;=30,AA141&gt;0.15,X141&gt;=0.15)),2,VLOOKUP(AE141,Table!P:Q,2,FALSE))</f>
        <v>4</v>
      </c>
      <c r="AG141" s="22">
        <f>IF((AB141*0.98)-(D141*0.8)+((AF141-3)*3)+VLOOKUP(AM141,Table!$A$11:$B$13,2,FALSE)&lt;0,0,(AB141*0.98)-(D141*0.8)+((AF141-3)*3)+VLOOKUP(AM141,Table!$A$11:$B$13,2,FALSE))</f>
        <v>74.551079999999985</v>
      </c>
      <c r="AH141" s="22">
        <f t="shared" si="534"/>
        <v>77</v>
      </c>
      <c r="AI141" s="18">
        <f t="shared" si="527"/>
        <v>0.1</v>
      </c>
      <c r="AJ141" s="18">
        <f t="shared" si="528"/>
        <v>0.05</v>
      </c>
      <c r="AK141" t="str">
        <f t="shared" si="549"/>
        <v>Rising Rates</v>
      </c>
      <c r="AL141">
        <f t="shared" si="560"/>
        <v>29.5</v>
      </c>
      <c r="AM141" s="11" t="str">
        <f t="shared" si="550"/>
        <v>Stocks</v>
      </c>
      <c r="AN141" t="str">
        <f t="shared" si="556"/>
        <v>Buy</v>
      </c>
      <c r="AO141" s="13">
        <f t="shared" si="557"/>
        <v>2.76E-2</v>
      </c>
      <c r="AP141" s="13">
        <f t="shared" si="558"/>
        <v>0</v>
      </c>
      <c r="AQ141" s="13">
        <f t="shared" si="559"/>
        <v>2.1299999999999999E-2</v>
      </c>
      <c r="AR141" s="13">
        <f t="shared" si="551"/>
        <v>2.76E-2</v>
      </c>
      <c r="AS141" s="6">
        <f t="shared" si="543"/>
        <v>499.55833861619089</v>
      </c>
      <c r="AT141" s="6">
        <f t="shared" si="544"/>
        <v>185.99285251518609</v>
      </c>
      <c r="AU141" s="6">
        <f t="shared" si="545"/>
        <v>787.0857064694992</v>
      </c>
      <c r="AV141" s="6">
        <f t="shared" si="546"/>
        <v>1171.6441653355803</v>
      </c>
      <c r="AW141" s="58">
        <f t="shared" si="552"/>
        <v>2015</v>
      </c>
      <c r="AX141" s="58">
        <f>COUNTIF(AW$3:AW141,AW141)</f>
        <v>2</v>
      </c>
    </row>
    <row r="142" spans="1:50" x14ac:dyDescent="0.25">
      <c r="A142" s="5">
        <v>42351</v>
      </c>
      <c r="B142">
        <v>2012.37</v>
      </c>
      <c r="C142">
        <v>0.26</v>
      </c>
      <c r="D142" s="6">
        <v>24.39</v>
      </c>
      <c r="E142" s="18">
        <f t="shared" si="529"/>
        <v>18.11</v>
      </c>
      <c r="F142">
        <f t="shared" si="530"/>
        <v>-1</v>
      </c>
      <c r="G142" s="18">
        <f>ROUND(INDEX(Valuation!U:U,MATCH(A142,Valuation!A:A,0)),2)</f>
        <v>135.06</v>
      </c>
      <c r="H142">
        <f t="shared" si="537"/>
        <v>1</v>
      </c>
      <c r="I142" s="18">
        <f>INDEX(WeeklyIndicators!Y:Y,MATCH(A142,WeeklyIndicators!A:A,0))</f>
        <v>132.52000000000001</v>
      </c>
      <c r="J142">
        <f t="shared" si="526"/>
        <v>0</v>
      </c>
      <c r="K142">
        <f>ROUND(INDEX(Economic!AF:AF,MATCH(EOMONTH($A142,-1),Economic!A:A,0)),2)</f>
        <v>101.84</v>
      </c>
      <c r="L142" s="11">
        <f t="shared" si="535"/>
        <v>0</v>
      </c>
      <c r="M142">
        <f>ROUND(INDEX(Manufacturing!P:P,MATCH(EOMONTH($A142,-1),Manufacturing!A:A,0)),2)</f>
        <v>74.47</v>
      </c>
      <c r="N142">
        <f t="shared" si="531"/>
        <v>-1</v>
      </c>
      <c r="O142">
        <f>ROUND(INDEX(Housing!AC:AC,MATCH(EOMONTH($A142,-1),Housing!B:B,0)),2)</f>
        <v>148.66</v>
      </c>
      <c r="P142">
        <f t="shared" si="532"/>
        <v>3</v>
      </c>
      <c r="Q142">
        <f>ROUND(INDEX(Spending!AJ:AJ,MATCH(EOMONTH($A142,-1),Spending!B:B,0)),2)</f>
        <v>61.04</v>
      </c>
      <c r="R142">
        <f t="shared" si="536"/>
        <v>2</v>
      </c>
      <c r="S142">
        <f>ROUND(INDEX(Employment!V:V,MATCH(EOMONTH($A142,-1),Employment!A:A,0)),2)</f>
        <v>177.16</v>
      </c>
      <c r="T142" s="11">
        <f t="shared" si="533"/>
        <v>2</v>
      </c>
      <c r="U142">
        <f t="shared" si="561"/>
        <v>26</v>
      </c>
      <c r="V142">
        <f t="shared" si="553"/>
        <v>74.52</v>
      </c>
      <c r="W142" s="13">
        <f t="shared" si="554"/>
        <v>-1.06E-2</v>
      </c>
      <c r="X142" s="13">
        <f t="shared" si="555"/>
        <v>-2.7200000000000002E-2</v>
      </c>
      <c r="Y142">
        <f t="shared" si="547"/>
        <v>77.569999999999993</v>
      </c>
      <c r="Z142" s="13">
        <f t="shared" si="542"/>
        <v>-1.5100000000000001E-2</v>
      </c>
      <c r="AA142" s="13">
        <f t="shared" si="538"/>
        <v>-3.2900000000000006E-2</v>
      </c>
      <c r="AB142" s="6">
        <f t="shared" si="548"/>
        <v>83.585999999999999</v>
      </c>
      <c r="AC142">
        <f t="shared" si="540"/>
        <v>42</v>
      </c>
      <c r="AD142" s="11">
        <f t="shared" si="541"/>
        <v>1</v>
      </c>
      <c r="AE142">
        <f t="shared" si="539"/>
        <v>29</v>
      </c>
      <c r="AF142">
        <f>IF(AND(AE142&lt;15,OR(AC142&gt;=30,AA142&gt;0.15,X142&gt;=0.15)),2,VLOOKUP(AE142,Table!P:Q,2,FALSE))</f>
        <v>4</v>
      </c>
      <c r="AG142" s="22">
        <f>IF((AB142*0.98)-(D142*0.8)+((AF142-3)*3)+VLOOKUP(AM142,Table!$A$11:$B$13,2,FALSE)&lt;0,0,(AB142*0.98)-(D142*0.8)+((AF142-3)*3)+VLOOKUP(AM142,Table!$A$11:$B$13,2,FALSE))</f>
        <v>73.40227999999999</v>
      </c>
      <c r="AH142" s="22">
        <f t="shared" si="534"/>
        <v>81</v>
      </c>
      <c r="AI142" s="18">
        <f t="shared" si="527"/>
        <v>0.08</v>
      </c>
      <c r="AJ142" s="18">
        <f t="shared" si="528"/>
        <v>0.05</v>
      </c>
      <c r="AK142" t="str">
        <f t="shared" si="549"/>
        <v>Rising Rates</v>
      </c>
      <c r="AL142">
        <f t="shared" si="560"/>
        <v>30.25</v>
      </c>
      <c r="AM142" s="11" t="str">
        <f t="shared" si="550"/>
        <v>Stocks</v>
      </c>
      <c r="AN142" t="str">
        <f t="shared" si="556"/>
        <v>Buy</v>
      </c>
      <c r="AO142" s="13">
        <f t="shared" si="557"/>
        <v>-3.3999999999999998E-3</v>
      </c>
      <c r="AP142" s="13">
        <f t="shared" si="558"/>
        <v>1E-4</v>
      </c>
      <c r="AQ142" s="13">
        <f t="shared" si="559"/>
        <v>-2.7000000000000001E-3</v>
      </c>
      <c r="AR142" s="13">
        <f t="shared" si="551"/>
        <v>-3.3999999999999998E-3</v>
      </c>
      <c r="AS142" s="6">
        <f t="shared" si="543"/>
        <v>501.26263156350677</v>
      </c>
      <c r="AT142" s="6">
        <f t="shared" si="544"/>
        <v>185.97425508967711</v>
      </c>
      <c r="AU142" s="6">
        <f t="shared" si="545"/>
        <v>789.21659126591726</v>
      </c>
      <c r="AV142" s="6">
        <f t="shared" si="546"/>
        <v>1175.64134591168</v>
      </c>
      <c r="AW142" s="58">
        <f t="shared" si="552"/>
        <v>2015</v>
      </c>
      <c r="AX142" s="58">
        <f>COUNTIF(AW$3:AW142,AW142)</f>
        <v>3</v>
      </c>
    </row>
    <row r="143" spans="1:50" x14ac:dyDescent="0.25">
      <c r="A143" s="5">
        <v>42344</v>
      </c>
      <c r="B143">
        <v>2091.69</v>
      </c>
      <c r="C143">
        <v>0.21</v>
      </c>
      <c r="D143" s="6">
        <v>14.81</v>
      </c>
      <c r="E143" s="18">
        <f t="shared" si="529"/>
        <v>15.13</v>
      </c>
      <c r="F143">
        <f t="shared" si="530"/>
        <v>1</v>
      </c>
      <c r="G143" s="18">
        <f>ROUND(INDEX(Valuation!U:U,MATCH(A143,Valuation!A:A,0)),2)</f>
        <v>136.54</v>
      </c>
      <c r="H143">
        <f t="shared" si="537"/>
        <v>1</v>
      </c>
      <c r="I143" s="18">
        <f>INDEX(WeeklyIndicators!Y:Y,MATCH(A143,WeeklyIndicators!A:A,0))</f>
        <v>130.72999999999999</v>
      </c>
      <c r="J143">
        <f t="shared" ref="J143:J206" si="562">IF(I143&gt;170,3,IF(AND(I143&gt;152,I143&lt;=170),2,IF(AND(I143&gt;135,I143&lt;=152),1,IF(I143&lt;60,-3,IF(AND(I143&lt;95,I143&gt;=60),-2,IF(AND(I143&lt;120,I143&gt;=95),-1,0))))))</f>
        <v>0</v>
      </c>
      <c r="K143">
        <f>ROUND(INDEX(Economic!AF:AF,MATCH(EOMONTH($A143,-1),Economic!A:A,0)),2)</f>
        <v>101.84</v>
      </c>
      <c r="L143" s="11">
        <f t="shared" si="535"/>
        <v>0</v>
      </c>
      <c r="M143">
        <f>ROUND(INDEX(Manufacturing!P:P,MATCH(EOMONTH($A143,-1),Manufacturing!A:A,0)),2)</f>
        <v>74.47</v>
      </c>
      <c r="N143">
        <f t="shared" si="531"/>
        <v>-1</v>
      </c>
      <c r="O143">
        <f>ROUND(INDEX(Housing!AC:AC,MATCH(EOMONTH($A143,-1),Housing!B:B,0)),2)</f>
        <v>148.66</v>
      </c>
      <c r="P143">
        <f t="shared" si="532"/>
        <v>3</v>
      </c>
      <c r="Q143">
        <f>ROUND(INDEX(Spending!AJ:AJ,MATCH(EOMONTH($A143,-1),Spending!B:B,0)),2)</f>
        <v>61.04</v>
      </c>
      <c r="R143">
        <f t="shared" si="536"/>
        <v>2</v>
      </c>
      <c r="S143">
        <f>ROUND(INDEX(Employment!V:V,MATCH(EOMONTH($A143,-1),Employment!A:A,0)),2)</f>
        <v>177.16</v>
      </c>
      <c r="T143" s="11">
        <f t="shared" si="533"/>
        <v>2</v>
      </c>
      <c r="U143">
        <f t="shared" si="561"/>
        <v>28</v>
      </c>
      <c r="V143">
        <f t="shared" si="553"/>
        <v>74.33</v>
      </c>
      <c r="W143" s="13">
        <f t="shared" si="554"/>
        <v>-1.2500000000000001E-2</v>
      </c>
      <c r="X143" s="13">
        <f t="shared" si="555"/>
        <v>-1.8599999999999998E-2</v>
      </c>
      <c r="Y143">
        <f t="shared" si="547"/>
        <v>78.59</v>
      </c>
      <c r="Z143" s="13">
        <f t="shared" si="542"/>
        <v>-1.1599999999999999E-2</v>
      </c>
      <c r="AA143" s="13">
        <f t="shared" si="538"/>
        <v>-2.0500000000000001E-2</v>
      </c>
      <c r="AB143" s="6">
        <f t="shared" si="548"/>
        <v>85.664000000000001</v>
      </c>
      <c r="AC143">
        <f t="shared" si="540"/>
        <v>43</v>
      </c>
      <c r="AD143" s="11">
        <f t="shared" si="541"/>
        <v>1</v>
      </c>
      <c r="AE143">
        <f t="shared" si="539"/>
        <v>31</v>
      </c>
      <c r="AF143">
        <f>IF(AND(AE143&lt;15,OR(AC143&gt;=30,AA143&gt;0.15,X143&gt;=0.15)),2,VLOOKUP(AE143,Table!P:Q,2,FALSE))</f>
        <v>4</v>
      </c>
      <c r="AG143" s="22">
        <f>IF((AB143*0.98)-(D143*0.8)+((AF143-3)*3)+VLOOKUP(AM143,Table!$A$11:$B$13,2,FALSE)&lt;0,0,(AB143*0.98)-(D143*0.8)+((AF143-3)*3)+VLOOKUP(AM143,Table!$A$11:$B$13,2,FALSE))</f>
        <v>83.102720000000005</v>
      </c>
      <c r="AH143" s="22">
        <f t="shared" si="534"/>
        <v>86</v>
      </c>
      <c r="AI143" s="18">
        <f t="shared" ref="AI143:AI206" si="563">ROUND(AVERAGE(C143:C155),2)</f>
        <v>7.0000000000000007E-2</v>
      </c>
      <c r="AJ143" s="18">
        <f t="shared" ref="AJ143:AJ206" si="564">ROUND(AVERAGE(C143:C181),2)</f>
        <v>0.04</v>
      </c>
      <c r="AK143" t="str">
        <f t="shared" si="549"/>
        <v>Rising Rates</v>
      </c>
      <c r="AL143">
        <f t="shared" si="560"/>
        <v>30.75</v>
      </c>
      <c r="AM143" s="11" t="str">
        <f t="shared" si="550"/>
        <v>Stocks</v>
      </c>
      <c r="AN143" t="str">
        <f t="shared" si="556"/>
        <v>Buy</v>
      </c>
      <c r="AO143" s="13">
        <f t="shared" si="557"/>
        <v>-3.7900000000000003E-2</v>
      </c>
      <c r="AP143" s="13">
        <f t="shared" si="558"/>
        <v>0</v>
      </c>
      <c r="AQ143" s="13">
        <f t="shared" si="559"/>
        <v>-3.2599999999999997E-2</v>
      </c>
      <c r="AR143" s="13">
        <f t="shared" si="551"/>
        <v>-3.7900000000000003E-2</v>
      </c>
      <c r="AS143" s="6">
        <f t="shared" si="543"/>
        <v>521.00886764734105</v>
      </c>
      <c r="AT143" s="6">
        <f t="shared" si="544"/>
        <v>185.97425508967711</v>
      </c>
      <c r="AU143" s="6">
        <f t="shared" si="545"/>
        <v>815.81206457092958</v>
      </c>
      <c r="AV143" s="6">
        <f t="shared" si="546"/>
        <v>1221.9533789748259</v>
      </c>
      <c r="AW143" s="58">
        <f t="shared" si="552"/>
        <v>2015</v>
      </c>
      <c r="AX143" s="58">
        <f>COUNTIF(AW$3:AW143,AW143)</f>
        <v>4</v>
      </c>
    </row>
    <row r="144" spans="1:50" x14ac:dyDescent="0.25">
      <c r="A144" s="5">
        <v>42337</v>
      </c>
      <c r="B144">
        <v>2090.11</v>
      </c>
      <c r="C144">
        <v>0.17</v>
      </c>
      <c r="D144" s="6">
        <v>15.12</v>
      </c>
      <c r="E144" s="18">
        <f t="shared" si="529"/>
        <v>16.89</v>
      </c>
      <c r="F144">
        <f t="shared" si="530"/>
        <v>0</v>
      </c>
      <c r="G144" s="18">
        <f>ROUND(INDEX(Valuation!U:U,MATCH(A144,Valuation!A:A,0)),2)</f>
        <v>140.77000000000001</v>
      </c>
      <c r="H144">
        <f t="shared" si="537"/>
        <v>1</v>
      </c>
      <c r="I144" s="18">
        <f>INDEX(WeeklyIndicators!Y:Y,MATCH(A144,WeeklyIndicators!A:A,0))</f>
        <v>131.96</v>
      </c>
      <c r="J144">
        <f t="shared" si="562"/>
        <v>0</v>
      </c>
      <c r="K144">
        <f>ROUND(INDEX(Economic!AF:AF,MATCH(EOMONTH($A144,-1),Economic!A:A,0)),2)</f>
        <v>105.79</v>
      </c>
      <c r="L144" s="11">
        <f t="shared" si="535"/>
        <v>0</v>
      </c>
      <c r="M144">
        <f>ROUND(INDEX(Manufacturing!P:P,MATCH(EOMONTH($A144,-1),Manufacturing!A:A,0)),2)</f>
        <v>79.900000000000006</v>
      </c>
      <c r="N144">
        <f t="shared" si="531"/>
        <v>-1</v>
      </c>
      <c r="O144">
        <f>ROUND(INDEX(Housing!AC:AC,MATCH(EOMONTH($A144,-1),Housing!B:B,0)),2)</f>
        <v>156.25</v>
      </c>
      <c r="P144">
        <f t="shared" si="532"/>
        <v>3</v>
      </c>
      <c r="Q144">
        <f>ROUND(INDEX(Spending!AJ:AJ,MATCH(EOMONTH($A144,-1),Spending!B:B,0)),2)</f>
        <v>65.13</v>
      </c>
      <c r="R144">
        <f t="shared" si="536"/>
        <v>2</v>
      </c>
      <c r="S144">
        <f>ROUND(INDEX(Employment!V:V,MATCH(EOMONTH($A144,-1),Employment!A:A,0)),2)</f>
        <v>175.86</v>
      </c>
      <c r="T144" s="11">
        <f t="shared" si="533"/>
        <v>2</v>
      </c>
      <c r="U144">
        <f t="shared" si="561"/>
        <v>27</v>
      </c>
      <c r="V144">
        <f t="shared" si="553"/>
        <v>76.53</v>
      </c>
      <c r="W144" s="13">
        <f t="shared" si="554"/>
        <v>-3.3999999999999998E-3</v>
      </c>
      <c r="X144" s="13">
        <f t="shared" si="555"/>
        <v>-6.1999999999999998E-3</v>
      </c>
      <c r="Y144">
        <f t="shared" si="547"/>
        <v>80.650000000000006</v>
      </c>
      <c r="Z144" s="13">
        <f t="shared" si="542"/>
        <v>-4.7000000000000002E-3</v>
      </c>
      <c r="AA144" s="13">
        <f t="shared" si="538"/>
        <v>-7.0000000000000019E-3</v>
      </c>
      <c r="AB144" s="6">
        <f t="shared" si="548"/>
        <v>89.247</v>
      </c>
      <c r="AC144">
        <f t="shared" si="540"/>
        <v>45</v>
      </c>
      <c r="AD144" s="11">
        <f t="shared" si="541"/>
        <v>1</v>
      </c>
      <c r="AE144">
        <f t="shared" si="539"/>
        <v>30</v>
      </c>
      <c r="AF144">
        <f>IF(AND(AE144&lt;15,OR(AC144&gt;=30,AA144&gt;0.15,X144&gt;=0.15)),2,VLOOKUP(AE144,Table!P:Q,2,FALSE))</f>
        <v>4</v>
      </c>
      <c r="AG144" s="22">
        <f>IF((AB144*0.98)-(D144*0.8)+((AF144-3)*3)+VLOOKUP(AM144,Table!$A$11:$B$13,2,FALSE)&lt;0,0,(AB144*0.98)-(D144*0.8)+((AF144-3)*3)+VLOOKUP(AM144,Table!$A$11:$B$13,2,FALSE))</f>
        <v>86.36605999999999</v>
      </c>
      <c r="AH144" s="22">
        <f t="shared" si="534"/>
        <v>86</v>
      </c>
      <c r="AI144" s="18">
        <f t="shared" si="563"/>
        <v>0.05</v>
      </c>
      <c r="AJ144" s="18">
        <f t="shared" si="564"/>
        <v>0.04</v>
      </c>
      <c r="AK144" t="str">
        <f t="shared" si="549"/>
        <v/>
      </c>
      <c r="AL144">
        <f t="shared" si="560"/>
        <v>31</v>
      </c>
      <c r="AM144" s="11" t="str">
        <f t="shared" si="550"/>
        <v>Stocks</v>
      </c>
      <c r="AN144" t="str">
        <f t="shared" si="556"/>
        <v>Buy</v>
      </c>
      <c r="AO144" s="13">
        <f t="shared" si="557"/>
        <v>8.0000000000000004E-4</v>
      </c>
      <c r="AP144" s="13">
        <f t="shared" si="558"/>
        <v>0</v>
      </c>
      <c r="AQ144" s="13">
        <f t="shared" si="559"/>
        <v>6.9999999999999999E-4</v>
      </c>
      <c r="AR144" s="13">
        <f t="shared" si="551"/>
        <v>8.0000000000000004E-4</v>
      </c>
      <c r="AS144" s="6">
        <f t="shared" si="543"/>
        <v>520.59239373235516</v>
      </c>
      <c r="AT144" s="6">
        <f t="shared" si="544"/>
        <v>185.97425508967711</v>
      </c>
      <c r="AU144" s="6">
        <f t="shared" si="545"/>
        <v>815.24139559401385</v>
      </c>
      <c r="AV144" s="6">
        <f t="shared" si="546"/>
        <v>1220.9765976966687</v>
      </c>
      <c r="AW144" s="58">
        <f t="shared" si="552"/>
        <v>2015</v>
      </c>
      <c r="AX144" s="58">
        <f>COUNTIF(AW$3:AW144,AW144)</f>
        <v>5</v>
      </c>
    </row>
    <row r="145" spans="1:50" x14ac:dyDescent="0.25">
      <c r="A145" s="5">
        <v>42330</v>
      </c>
      <c r="B145">
        <v>2089.17</v>
      </c>
      <c r="C145">
        <v>0.13</v>
      </c>
      <c r="D145" s="6">
        <v>15.47</v>
      </c>
      <c r="E145" s="18">
        <f t="shared" ref="E145:E208" si="565">ROUND(AVERAGE(D145:D147),2)</f>
        <v>16.63</v>
      </c>
      <c r="F145">
        <f t="shared" ref="F145:F208" si="566">IF(E145&lt;11,3,IF(AND(E145&lt;14,E145&gt;=11),2,IF(AND(E145&lt;16,E145&gt;=14),1,IF(E145&gt;35,-3,IF(AND(E145&gt;25,E145&lt;=35),-2,IF(AND(E145&gt;18,E145&lt;=25),-1,0))))))</f>
        <v>0</v>
      </c>
      <c r="G145" s="18">
        <f>ROUND(INDEX(Valuation!U:U,MATCH(A145,Valuation!A:A,0)),2)</f>
        <v>141.12</v>
      </c>
      <c r="H145">
        <f t="shared" si="537"/>
        <v>1</v>
      </c>
      <c r="I145" s="18">
        <f>INDEX(WeeklyIndicators!Y:Y,MATCH(A145,WeeklyIndicators!A:A,0))</f>
        <v>135.94</v>
      </c>
      <c r="J145">
        <f t="shared" si="562"/>
        <v>1</v>
      </c>
      <c r="K145">
        <f>ROUND(INDEX(Economic!AF:AF,MATCH(EOMONTH($A145,-1),Economic!A:A,0)),2)</f>
        <v>105.79</v>
      </c>
      <c r="L145" s="11">
        <f t="shared" si="535"/>
        <v>0</v>
      </c>
      <c r="M145">
        <f>ROUND(INDEX(Manufacturing!P:P,MATCH(EOMONTH($A145,-1),Manufacturing!A:A,0)),2)</f>
        <v>79.900000000000006</v>
      </c>
      <c r="N145">
        <f t="shared" si="531"/>
        <v>-1</v>
      </c>
      <c r="O145">
        <f>ROUND(INDEX(Housing!AC:AC,MATCH(EOMONTH($A145,-1),Housing!B:B,0)),2)</f>
        <v>156.25</v>
      </c>
      <c r="P145">
        <f t="shared" si="532"/>
        <v>3</v>
      </c>
      <c r="Q145">
        <f>ROUND(INDEX(Spending!AJ:AJ,MATCH(EOMONTH($A145,-1),Spending!B:B,0)),2)</f>
        <v>65.13</v>
      </c>
      <c r="R145">
        <f t="shared" si="536"/>
        <v>2</v>
      </c>
      <c r="S145">
        <f>ROUND(INDEX(Employment!V:V,MATCH(EOMONTH($A145,-1),Employment!A:A,0)),2)</f>
        <v>175.86</v>
      </c>
      <c r="T145" s="11">
        <f t="shared" si="533"/>
        <v>2</v>
      </c>
      <c r="U145">
        <f t="shared" si="561"/>
        <v>28</v>
      </c>
      <c r="V145">
        <f t="shared" si="553"/>
        <v>76.94</v>
      </c>
      <c r="W145" s="13">
        <f t="shared" si="554"/>
        <v>-6.9999999999999999E-4</v>
      </c>
      <c r="X145" s="13">
        <f t="shared" si="555"/>
        <v>-3.8E-3</v>
      </c>
      <c r="Y145">
        <f t="shared" si="547"/>
        <v>81.19</v>
      </c>
      <c r="Z145" s="13">
        <f t="shared" si="542"/>
        <v>-1.5E-3</v>
      </c>
      <c r="AA145" s="13">
        <f t="shared" si="538"/>
        <v>2.1999999999999988E-3</v>
      </c>
      <c r="AB145" s="6">
        <f t="shared" si="548"/>
        <v>90.471999999999994</v>
      </c>
      <c r="AC145">
        <f t="shared" si="540"/>
        <v>45</v>
      </c>
      <c r="AD145" s="11">
        <f t="shared" si="541"/>
        <v>1</v>
      </c>
      <c r="AE145">
        <f t="shared" si="539"/>
        <v>31</v>
      </c>
      <c r="AF145">
        <f>IF(AND(AE145&lt;15,OR(AC145&gt;=30,AA145&gt;0.15,X145&gt;=0.15)),2,VLOOKUP(AE145,Table!P:Q,2,FALSE))</f>
        <v>4</v>
      </c>
      <c r="AG145" s="22">
        <f>IF((AB145*0.98)-(D145*0.8)+((AF145-3)*3)+VLOOKUP(AM145,Table!$A$11:$B$13,2,FALSE)&lt;0,0,(AB145*0.98)-(D145*0.8)+((AF145-3)*3)+VLOOKUP(AM145,Table!$A$11:$B$13,2,FALSE))</f>
        <v>87.286559999999994</v>
      </c>
      <c r="AH145" s="22">
        <f t="shared" si="534"/>
        <v>88</v>
      </c>
      <c r="AI145" s="18">
        <f t="shared" si="563"/>
        <v>0.04</v>
      </c>
      <c r="AJ145" s="18">
        <f t="shared" si="564"/>
        <v>0.03</v>
      </c>
      <c r="AK145" t="str">
        <f t="shared" si="549"/>
        <v/>
      </c>
      <c r="AL145">
        <f t="shared" si="560"/>
        <v>31.5</v>
      </c>
      <c r="AM145" s="11" t="str">
        <f t="shared" si="550"/>
        <v>Stocks</v>
      </c>
      <c r="AN145" t="str">
        <f t="shared" si="556"/>
        <v>Buy</v>
      </c>
      <c r="AO145" s="13">
        <f t="shared" si="557"/>
        <v>4.0000000000000002E-4</v>
      </c>
      <c r="AP145" s="13">
        <f t="shared" si="558"/>
        <v>0</v>
      </c>
      <c r="AQ145" s="13">
        <f t="shared" si="559"/>
        <v>4.0000000000000002E-4</v>
      </c>
      <c r="AR145" s="13">
        <f t="shared" si="551"/>
        <v>4.0000000000000002E-4</v>
      </c>
      <c r="AS145" s="6">
        <f t="shared" si="543"/>
        <v>520.38424003634066</v>
      </c>
      <c r="AT145" s="6">
        <f t="shared" si="544"/>
        <v>185.97425508967711</v>
      </c>
      <c r="AU145" s="6">
        <f t="shared" si="545"/>
        <v>814.91542942224498</v>
      </c>
      <c r="AV145" s="6">
        <f t="shared" si="546"/>
        <v>1220.4884023357345</v>
      </c>
      <c r="AW145" s="58">
        <f t="shared" si="552"/>
        <v>2015</v>
      </c>
      <c r="AX145" s="58">
        <f>COUNTIF(AW$3:AW145,AW145)</f>
        <v>6</v>
      </c>
    </row>
    <row r="146" spans="1:50" x14ac:dyDescent="0.25">
      <c r="A146" s="5">
        <v>42323</v>
      </c>
      <c r="B146">
        <v>2023.04</v>
      </c>
      <c r="C146">
        <v>0.14000000000000001</v>
      </c>
      <c r="D146" s="6">
        <v>20.079999999999998</v>
      </c>
      <c r="E146" s="18">
        <f t="shared" si="565"/>
        <v>16.489999999999998</v>
      </c>
      <c r="F146">
        <f t="shared" si="566"/>
        <v>0</v>
      </c>
      <c r="G146" s="18">
        <f>ROUND(INDEX(Valuation!U:U,MATCH(A146,Valuation!A:A,0)),2)</f>
        <v>140.13</v>
      </c>
      <c r="H146">
        <f t="shared" si="537"/>
        <v>1</v>
      </c>
      <c r="I146" s="18">
        <f>INDEX(WeeklyIndicators!Y:Y,MATCH(A146,WeeklyIndicators!A:A,0))</f>
        <v>138.54</v>
      </c>
      <c r="J146">
        <f t="shared" si="562"/>
        <v>1</v>
      </c>
      <c r="K146">
        <f>ROUND(INDEX(Economic!AF:AF,MATCH(EOMONTH($A146,-1),Economic!A:A,0)),2)</f>
        <v>105.79</v>
      </c>
      <c r="L146" s="11">
        <f t="shared" si="535"/>
        <v>0</v>
      </c>
      <c r="M146">
        <f>ROUND(INDEX(Manufacturing!P:P,MATCH(EOMONTH($A146,-1),Manufacturing!A:A,0)),2)</f>
        <v>79.900000000000006</v>
      </c>
      <c r="N146">
        <f t="shared" ref="N146:N209" si="567">IF(M146&gt;108,3,IF(AND(M146&gt;100,M146&lt;=108),2,IF(AND(M146&gt;90,M146&lt;=100),1,IF(M146&lt;63,-3,IF(AND(M146&lt;74,M146&gt;=63),-2,IF(AND(M146&lt;84,M146&gt;=74),-1,0))))))</f>
        <v>-1</v>
      </c>
      <c r="O146">
        <f>ROUND(INDEX(Housing!AC:AC,MATCH(EOMONTH($A146,-1),Housing!B:B,0)),2)</f>
        <v>156.25</v>
      </c>
      <c r="P146">
        <f t="shared" ref="P146:P209" si="568">IF(O146&gt;140,3,IF(AND(O146&gt;128,O146&lt;=140),2,IF(AND(O146&gt;115,O146&lt;=128),1,IF(O146&lt;50,-3,IF(AND(O146&lt;75,O146&gt;=50),-2,IF(AND(O146&lt;100,O146&gt;=75),-1,0))))))</f>
        <v>3</v>
      </c>
      <c r="Q146">
        <f>ROUND(INDEX(Spending!AJ:AJ,MATCH(EOMONTH($A146,-1),Spending!B:B,0)),2)</f>
        <v>65.13</v>
      </c>
      <c r="R146">
        <f t="shared" si="536"/>
        <v>2</v>
      </c>
      <c r="S146">
        <f>ROUND(INDEX(Employment!V:V,MATCH(EOMONTH($A146,-1),Employment!A:A,0)),2)</f>
        <v>175.86</v>
      </c>
      <c r="T146" s="11">
        <f t="shared" ref="T146:T209" si="569">IF(S146&gt;190,3,IF(AND(S146&gt;175,S146&lt;=190),2,IF(AND(S146&gt;160,S146&lt;=175),1,IF(S146&lt;120,-3,IF(AND(S146&lt;140,S146&gt;=120),-2,IF(AND(S146&lt;150,S146&gt;=140),-1,0))))))</f>
        <v>2</v>
      </c>
      <c r="U146">
        <f t="shared" si="561"/>
        <v>28</v>
      </c>
      <c r="V146">
        <f t="shared" si="553"/>
        <v>77.209999999999994</v>
      </c>
      <c r="W146" s="13">
        <f t="shared" si="554"/>
        <v>-2E-3</v>
      </c>
      <c r="X146" s="13">
        <f t="shared" si="555"/>
        <v>-2.1999999999999997E-3</v>
      </c>
      <c r="Y146">
        <f t="shared" si="547"/>
        <v>81.400000000000006</v>
      </c>
      <c r="Z146" s="13">
        <f t="shared" si="542"/>
        <v>-2.7000000000000001E-3</v>
      </c>
      <c r="AA146" s="13">
        <f t="shared" si="538"/>
        <v>1.2500000000000001E-2</v>
      </c>
      <c r="AB146" s="6">
        <f t="shared" si="548"/>
        <v>91.303000000000011</v>
      </c>
      <c r="AC146">
        <f t="shared" si="540"/>
        <v>46</v>
      </c>
      <c r="AD146" s="11">
        <f t="shared" si="541"/>
        <v>1</v>
      </c>
      <c r="AE146">
        <f t="shared" si="539"/>
        <v>31</v>
      </c>
      <c r="AF146">
        <f>IF(AND(AE146&lt;15,OR(AC146&gt;=30,AA146&gt;0.15,X146&gt;=0.15)),2,VLOOKUP(AE146,Table!P:Q,2,FALSE))</f>
        <v>4</v>
      </c>
      <c r="AG146" s="22">
        <f>IF((AB146*0.98)-(D146*0.8)+((AF146-3)*3)+VLOOKUP(AM146,Table!$A$11:$B$13,2,FALSE)&lt;0,0,(AB146*0.98)-(D146*0.8)+((AF146-3)*3)+VLOOKUP(AM146,Table!$A$11:$B$13,2,FALSE))</f>
        <v>84.41294000000002</v>
      </c>
      <c r="AH146" s="22">
        <f t="shared" ref="AH146:AH209" si="570">IF(ROUND(AVERAGE(AG146:AG148),0)&lt;0,0,IF(ROUND(AVERAGE(AG146:AG148),0)&gt;100,100,ROUND(AVERAGE(AG146:AG148),0)))</f>
        <v>90</v>
      </c>
      <c r="AI146" s="18">
        <f t="shared" si="563"/>
        <v>0.04</v>
      </c>
      <c r="AJ146" s="18">
        <f t="shared" si="564"/>
        <v>0.03</v>
      </c>
      <c r="AK146" t="str">
        <f t="shared" si="549"/>
        <v/>
      </c>
      <c r="AL146">
        <f t="shared" si="560"/>
        <v>31.5</v>
      </c>
      <c r="AM146" s="11" t="str">
        <f t="shared" si="550"/>
        <v>Stocks</v>
      </c>
      <c r="AN146" t="str">
        <f t="shared" si="556"/>
        <v>Buy</v>
      </c>
      <c r="AO146" s="13">
        <f t="shared" si="557"/>
        <v>3.27E-2</v>
      </c>
      <c r="AP146" s="13">
        <f t="shared" si="558"/>
        <v>0</v>
      </c>
      <c r="AQ146" s="13">
        <f t="shared" si="559"/>
        <v>2.9399999999999999E-2</v>
      </c>
      <c r="AR146" s="13">
        <f t="shared" si="551"/>
        <v>3.27E-2</v>
      </c>
      <c r="AS146" s="6">
        <f t="shared" si="543"/>
        <v>503.90649756593461</v>
      </c>
      <c r="AT146" s="6">
        <f t="shared" si="544"/>
        <v>185.97425508967711</v>
      </c>
      <c r="AU146" s="6">
        <f t="shared" si="545"/>
        <v>791.64117876650948</v>
      </c>
      <c r="AV146" s="6">
        <f t="shared" si="546"/>
        <v>1181.8421635864574</v>
      </c>
      <c r="AW146" s="58">
        <f t="shared" si="552"/>
        <v>2015</v>
      </c>
      <c r="AX146" s="58">
        <f>COUNTIF(AW$3:AW146,AW146)</f>
        <v>7</v>
      </c>
    </row>
    <row r="147" spans="1:50" x14ac:dyDescent="0.25">
      <c r="A147" s="5">
        <v>42316</v>
      </c>
      <c r="B147">
        <v>2099.1999999999998</v>
      </c>
      <c r="C147">
        <v>0.06</v>
      </c>
      <c r="D147" s="6">
        <v>14.33</v>
      </c>
      <c r="E147" s="18">
        <f t="shared" si="565"/>
        <v>14.62</v>
      </c>
      <c r="F147">
        <f t="shared" si="566"/>
        <v>1</v>
      </c>
      <c r="G147" s="18">
        <f>ROUND(INDEX(Valuation!U:U,MATCH(A147,Valuation!A:A,0)),2)</f>
        <v>136.99</v>
      </c>
      <c r="H147">
        <f t="shared" si="537"/>
        <v>1</v>
      </c>
      <c r="I147" s="18">
        <f>INDEX(WeeklyIndicators!Y:Y,MATCH(A147,WeeklyIndicators!A:A,0))</f>
        <v>139.58000000000001</v>
      </c>
      <c r="J147">
        <f t="shared" si="562"/>
        <v>1</v>
      </c>
      <c r="K147">
        <f>ROUND(INDEX(Economic!AF:AF,MATCH(EOMONTH($A147,-1),Economic!A:A,0)),2)</f>
        <v>105.79</v>
      </c>
      <c r="L147" s="11">
        <f t="shared" ref="L147:L210" si="571">IF(K147&gt;138,3,IF(AND(K147&gt;125,K147&lt;=138),2,IF(AND(K147&gt;111,K147&lt;=125),1,IF(K147&lt;50,-3,IF(AND(K147&lt;80,K147&gt;=50),-2,IF(AND(K147&lt;100,K147&gt;=80),-1,0))))))</f>
        <v>0</v>
      </c>
      <c r="M147">
        <f>ROUND(INDEX(Manufacturing!P:P,MATCH(EOMONTH($A147,-1),Manufacturing!A:A,0)),2)</f>
        <v>79.900000000000006</v>
      </c>
      <c r="N147">
        <f t="shared" si="567"/>
        <v>-1</v>
      </c>
      <c r="O147">
        <f>ROUND(INDEX(Housing!AC:AC,MATCH(EOMONTH($A147,-1),Housing!B:B,0)),2)</f>
        <v>156.25</v>
      </c>
      <c r="P147">
        <f t="shared" si="568"/>
        <v>3</v>
      </c>
      <c r="Q147">
        <f>ROUND(INDEX(Spending!AJ:AJ,MATCH(EOMONTH($A147,-1),Spending!B:B,0)),2)</f>
        <v>65.13</v>
      </c>
      <c r="R147">
        <f t="shared" ref="R147:R210" si="572">IF(Q147&gt;60,2,IF(AND(Q147&gt;50,Q147&lt;=60),1,IF(Q147&lt;30,-2,IF(AND(Q147&lt;40,Q147&gt;=30),-1,0))))</f>
        <v>2</v>
      </c>
      <c r="S147">
        <f>ROUND(INDEX(Employment!V:V,MATCH(EOMONTH($A147,-1),Employment!A:A,0)),2)</f>
        <v>175.86</v>
      </c>
      <c r="T147" s="11">
        <f t="shared" si="569"/>
        <v>2</v>
      </c>
      <c r="U147">
        <f t="shared" si="561"/>
        <v>29</v>
      </c>
      <c r="V147">
        <f t="shared" si="553"/>
        <v>77.319999999999993</v>
      </c>
      <c r="W147" s="13">
        <f t="shared" si="554"/>
        <v>-1E-4</v>
      </c>
      <c r="X147" s="13">
        <f t="shared" si="555"/>
        <v>-1.6000000000000001E-3</v>
      </c>
      <c r="Y147">
        <f t="shared" si="547"/>
        <v>81.81</v>
      </c>
      <c r="Z147" s="13">
        <f t="shared" si="542"/>
        <v>1.9E-3</v>
      </c>
      <c r="AA147" s="13">
        <f t="shared" si="538"/>
        <v>2.1899999999999999E-2</v>
      </c>
      <c r="AB147" s="6">
        <f t="shared" si="548"/>
        <v>92.039000000000001</v>
      </c>
      <c r="AC147">
        <f t="shared" si="540"/>
        <v>46</v>
      </c>
      <c r="AD147" s="11">
        <f t="shared" si="541"/>
        <v>1</v>
      </c>
      <c r="AE147">
        <f t="shared" si="539"/>
        <v>32</v>
      </c>
      <c r="AF147">
        <f>IF(AND(AE147&lt;15,OR(AC147&gt;=30,AA147&gt;0.15,X147&gt;=0.15)),2,VLOOKUP(AE147,Table!P:Q,2,FALSE))</f>
        <v>5</v>
      </c>
      <c r="AG147" s="22">
        <f>IF((AB147*0.98)-(D147*0.8)+((AF147-3)*3)+VLOOKUP(AM147,Table!$A$11:$B$13,2,FALSE)&lt;0,0,(AB147*0.98)-(D147*0.8)+((AF147-3)*3)+VLOOKUP(AM147,Table!$A$11:$B$13,2,FALSE))</f>
        <v>92.734220000000008</v>
      </c>
      <c r="AH147" s="22">
        <f t="shared" si="570"/>
        <v>92</v>
      </c>
      <c r="AI147" s="18">
        <f t="shared" si="563"/>
        <v>0.04</v>
      </c>
      <c r="AJ147" s="18">
        <f t="shared" si="564"/>
        <v>0.03</v>
      </c>
      <c r="AK147" t="str">
        <f t="shared" si="549"/>
        <v/>
      </c>
      <c r="AL147">
        <f t="shared" si="560"/>
        <v>31.25</v>
      </c>
      <c r="AM147" s="11" t="str">
        <f t="shared" si="550"/>
        <v>Stocks</v>
      </c>
      <c r="AN147" t="str">
        <f t="shared" si="556"/>
        <v>Buy</v>
      </c>
      <c r="AO147" s="13">
        <f t="shared" si="557"/>
        <v>-3.6299999999999999E-2</v>
      </c>
      <c r="AP147" s="13">
        <f t="shared" si="558"/>
        <v>0</v>
      </c>
      <c r="AQ147" s="13">
        <f t="shared" si="559"/>
        <v>-3.3399999999999999E-2</v>
      </c>
      <c r="AR147" s="13">
        <f t="shared" si="551"/>
        <v>-3.6299999999999999E-2</v>
      </c>
      <c r="AS147" s="6">
        <f t="shared" si="543"/>
        <v>522.88730680287915</v>
      </c>
      <c r="AT147" s="6">
        <f t="shared" si="544"/>
        <v>185.97425508967711</v>
      </c>
      <c r="AU147" s="6">
        <f t="shared" si="545"/>
        <v>818.995632905555</v>
      </c>
      <c r="AV147" s="6">
        <f t="shared" si="546"/>
        <v>1226.3589951089109</v>
      </c>
      <c r="AW147" s="58">
        <f t="shared" si="552"/>
        <v>2015</v>
      </c>
      <c r="AX147" s="58">
        <f>COUNTIF(AW$3:AW147,AW147)</f>
        <v>8</v>
      </c>
    </row>
    <row r="148" spans="1:50" x14ac:dyDescent="0.25">
      <c r="A148" s="5">
        <v>42309</v>
      </c>
      <c r="B148">
        <v>2079.36</v>
      </c>
      <c r="C148">
        <v>0.05</v>
      </c>
      <c r="D148" s="6">
        <v>15.07</v>
      </c>
      <c r="E148" s="18">
        <f t="shared" si="565"/>
        <v>14.86</v>
      </c>
      <c r="F148">
        <f t="shared" si="566"/>
        <v>1</v>
      </c>
      <c r="G148" s="18">
        <f>ROUND(INDEX(Valuation!U:U,MATCH(A148,Valuation!A:A,0)),2)</f>
        <v>137.47999999999999</v>
      </c>
      <c r="H148">
        <f t="shared" si="537"/>
        <v>1</v>
      </c>
      <c r="I148" s="18">
        <f>INDEX(WeeklyIndicators!Y:Y,MATCH(A148,WeeklyIndicators!A:A,0))</f>
        <v>137.51</v>
      </c>
      <c r="J148">
        <f t="shared" si="562"/>
        <v>1</v>
      </c>
      <c r="K148">
        <f>ROUND(INDEX(Economic!AF:AF,MATCH(EOMONTH($A148,-1),Economic!A:A,0)),2)</f>
        <v>105.79</v>
      </c>
      <c r="L148" s="11">
        <f t="shared" si="571"/>
        <v>0</v>
      </c>
      <c r="M148">
        <f>ROUND(INDEX(Manufacturing!P:P,MATCH(EOMONTH($A148,-1),Manufacturing!A:A,0)),2)</f>
        <v>79.900000000000006</v>
      </c>
      <c r="N148">
        <f t="shared" si="567"/>
        <v>-1</v>
      </c>
      <c r="O148">
        <f>ROUND(INDEX(Housing!AC:AC,MATCH(EOMONTH($A148,-1),Housing!B:B,0)),2)</f>
        <v>156.25</v>
      </c>
      <c r="P148">
        <f t="shared" si="568"/>
        <v>3</v>
      </c>
      <c r="Q148">
        <f>ROUND(INDEX(Spending!AJ:AJ,MATCH(EOMONTH($A148,-1),Spending!B:B,0)),2)</f>
        <v>65.13</v>
      </c>
      <c r="R148">
        <f t="shared" si="572"/>
        <v>2</v>
      </c>
      <c r="S148">
        <f>ROUND(INDEX(Employment!V:V,MATCH(EOMONTH($A148,-1),Employment!A:A,0)),2)</f>
        <v>175.86</v>
      </c>
      <c r="T148" s="11">
        <f t="shared" si="569"/>
        <v>2</v>
      </c>
      <c r="U148">
        <f t="shared" si="561"/>
        <v>29</v>
      </c>
      <c r="V148">
        <f t="shared" si="553"/>
        <v>77.11</v>
      </c>
      <c r="W148" s="13">
        <f t="shared" si="554"/>
        <v>-1E-3</v>
      </c>
      <c r="X148" s="13">
        <f t="shared" si="555"/>
        <v>-6.0000000000000006E-4</v>
      </c>
      <c r="Y148">
        <f t="shared" si="547"/>
        <v>81.56</v>
      </c>
      <c r="Z148" s="13">
        <f t="shared" si="542"/>
        <v>4.4999999999999997E-3</v>
      </c>
      <c r="AA148" s="13">
        <f t="shared" si="538"/>
        <v>2.7E-2</v>
      </c>
      <c r="AB148" s="6">
        <f t="shared" si="548"/>
        <v>92.178000000000011</v>
      </c>
      <c r="AC148">
        <f t="shared" si="540"/>
        <v>46</v>
      </c>
      <c r="AD148" s="11">
        <f t="shared" si="541"/>
        <v>1</v>
      </c>
      <c r="AE148">
        <f t="shared" si="539"/>
        <v>32</v>
      </c>
      <c r="AF148">
        <f>IF(AND(AE148&lt;15,OR(AC148&gt;=30,AA148&gt;0.15,X148&gt;=0.15)),2,VLOOKUP(AE148,Table!P:Q,2,FALSE))</f>
        <v>5</v>
      </c>
      <c r="AG148" s="22">
        <f>IF((AB148*0.98)-(D148*0.8)+((AF148-3)*3)+VLOOKUP(AM148,Table!$A$11:$B$13,2,FALSE)&lt;0,0,(AB148*0.98)-(D148*0.8)+((AF148-3)*3)+VLOOKUP(AM148,Table!$A$11:$B$13,2,FALSE))</f>
        <v>92.278440000000018</v>
      </c>
      <c r="AH148" s="22">
        <f t="shared" si="570"/>
        <v>91</v>
      </c>
      <c r="AI148" s="18">
        <f t="shared" si="563"/>
        <v>0.04</v>
      </c>
      <c r="AJ148" s="18">
        <f t="shared" si="564"/>
        <v>0.03</v>
      </c>
      <c r="AK148" t="str">
        <f t="shared" si="549"/>
        <v/>
      </c>
      <c r="AL148">
        <f t="shared" si="560"/>
        <v>30.5</v>
      </c>
      <c r="AM148" s="11" t="str">
        <f t="shared" si="550"/>
        <v>Stocks</v>
      </c>
      <c r="AN148" t="str">
        <f t="shared" si="556"/>
        <v>Buy</v>
      </c>
      <c r="AO148" s="13">
        <f t="shared" si="557"/>
        <v>9.4999999999999998E-3</v>
      </c>
      <c r="AP148" s="13">
        <f t="shared" si="558"/>
        <v>0</v>
      </c>
      <c r="AQ148" s="13">
        <f t="shared" si="559"/>
        <v>8.6E-3</v>
      </c>
      <c r="AR148" s="13">
        <f t="shared" si="551"/>
        <v>9.4999999999999998E-3</v>
      </c>
      <c r="AS148" s="6">
        <f t="shared" si="543"/>
        <v>517.96662387605659</v>
      </c>
      <c r="AT148" s="6">
        <f t="shared" si="544"/>
        <v>185.97425508967711</v>
      </c>
      <c r="AU148" s="6">
        <f t="shared" si="545"/>
        <v>812.01232689426433</v>
      </c>
      <c r="AV148" s="6">
        <f t="shared" si="546"/>
        <v>1214.8182219999117</v>
      </c>
      <c r="AW148" s="58">
        <f t="shared" si="552"/>
        <v>2015</v>
      </c>
      <c r="AX148" s="58">
        <f>COUNTIF(AW$3:AW148,AW148)</f>
        <v>9</v>
      </c>
    </row>
    <row r="149" spans="1:50" x14ac:dyDescent="0.25">
      <c r="A149" s="5">
        <v>42302</v>
      </c>
      <c r="B149">
        <v>2075.15</v>
      </c>
      <c r="C149">
        <v>0.01</v>
      </c>
      <c r="D149" s="6">
        <v>14.46</v>
      </c>
      <c r="E149" s="18">
        <f t="shared" si="565"/>
        <v>15.53</v>
      </c>
      <c r="F149">
        <f t="shared" si="566"/>
        <v>1</v>
      </c>
      <c r="G149" s="18">
        <f>ROUND(INDEX(Valuation!U:U,MATCH(A149,Valuation!A:A,0)),2)</f>
        <v>139.02000000000001</v>
      </c>
      <c r="H149">
        <f t="shared" si="537"/>
        <v>1</v>
      </c>
      <c r="I149" s="18">
        <f>INDEX(WeeklyIndicators!Y:Y,MATCH(A149,WeeklyIndicators!A:A,0))</f>
        <v>132.97999999999999</v>
      </c>
      <c r="J149">
        <f t="shared" si="562"/>
        <v>0</v>
      </c>
      <c r="K149">
        <f>ROUND(INDEX(Economic!AF:AF,MATCH(EOMONTH($A149,-1),Economic!A:A,0)),2)</f>
        <v>108.2</v>
      </c>
      <c r="L149" s="11">
        <f t="shared" si="571"/>
        <v>0</v>
      </c>
      <c r="M149">
        <f>ROUND(INDEX(Manufacturing!P:P,MATCH(EOMONTH($A149,-1),Manufacturing!A:A,0)),2)</f>
        <v>82.61</v>
      </c>
      <c r="N149">
        <f t="shared" si="567"/>
        <v>-1</v>
      </c>
      <c r="O149">
        <f>ROUND(INDEX(Housing!AC:AC,MATCH(EOMONTH($A149,-1),Housing!B:B,0)),2)</f>
        <v>157.77000000000001</v>
      </c>
      <c r="P149">
        <f t="shared" si="568"/>
        <v>3</v>
      </c>
      <c r="Q149">
        <f>ROUND(INDEX(Spending!AJ:AJ,MATCH(EOMONTH($A149,-1),Spending!B:B,0)),2)</f>
        <v>67.16</v>
      </c>
      <c r="R149">
        <f t="shared" si="572"/>
        <v>2</v>
      </c>
      <c r="S149">
        <f>ROUND(INDEX(Employment!V:V,MATCH(EOMONTH($A149,-1),Employment!A:A,0)),2)</f>
        <v>176.36</v>
      </c>
      <c r="T149" s="11">
        <f t="shared" si="569"/>
        <v>2</v>
      </c>
      <c r="U149">
        <f t="shared" si="561"/>
        <v>28</v>
      </c>
      <c r="V149">
        <f t="shared" si="553"/>
        <v>77.67</v>
      </c>
      <c r="W149" s="13">
        <f t="shared" si="554"/>
        <v>8.9999999999999998E-4</v>
      </c>
      <c r="X149" s="13">
        <f t="shared" si="555"/>
        <v>1.2000000000000001E-3</v>
      </c>
      <c r="Y149">
        <f t="shared" si="547"/>
        <v>82.07</v>
      </c>
      <c r="Z149" s="13">
        <f t="shared" si="542"/>
        <v>8.8000000000000005E-3</v>
      </c>
      <c r="AA149" s="13">
        <f t="shared" si="538"/>
        <v>2.9100000000000001E-2</v>
      </c>
      <c r="AB149" s="6">
        <f t="shared" si="548"/>
        <v>93.022000000000006</v>
      </c>
      <c r="AC149">
        <f t="shared" si="540"/>
        <v>47</v>
      </c>
      <c r="AD149" s="11">
        <f t="shared" si="541"/>
        <v>1</v>
      </c>
      <c r="AE149">
        <f t="shared" si="539"/>
        <v>31</v>
      </c>
      <c r="AF149">
        <f>IF(AND(AE149&lt;15,OR(AC149&gt;=30,AA149&gt;0.15,X149&gt;=0.15)),2,VLOOKUP(AE149,Table!P:Q,2,FALSE))</f>
        <v>4</v>
      </c>
      <c r="AG149" s="22">
        <f>IF((AB149*0.98)-(D149*0.8)+((AF149-3)*3)+VLOOKUP(AM149,Table!$A$11:$B$13,2,FALSE)&lt;0,0,(AB149*0.98)-(D149*0.8)+((AF149-3)*3)+VLOOKUP(AM149,Table!$A$11:$B$13,2,FALSE))</f>
        <v>90.593560000000011</v>
      </c>
      <c r="AH149" s="22">
        <f t="shared" si="570"/>
        <v>89</v>
      </c>
      <c r="AI149" s="18">
        <f t="shared" si="563"/>
        <v>0.04</v>
      </c>
      <c r="AJ149" s="18">
        <f t="shared" si="564"/>
        <v>0.03</v>
      </c>
      <c r="AK149" t="str">
        <f t="shared" si="549"/>
        <v/>
      </c>
      <c r="AL149">
        <f t="shared" si="560"/>
        <v>29.75</v>
      </c>
      <c r="AM149" s="11" t="str">
        <f t="shared" si="550"/>
        <v>Stocks</v>
      </c>
      <c r="AN149" t="str">
        <f t="shared" si="556"/>
        <v>Buy</v>
      </c>
      <c r="AO149" s="13">
        <f t="shared" si="557"/>
        <v>2E-3</v>
      </c>
      <c r="AP149" s="13">
        <f t="shared" si="558"/>
        <v>0</v>
      </c>
      <c r="AQ149" s="13">
        <f t="shared" si="559"/>
        <v>1.8E-3</v>
      </c>
      <c r="AR149" s="13">
        <f t="shared" si="551"/>
        <v>2E-3</v>
      </c>
      <c r="AS149" s="6">
        <f t="shared" si="543"/>
        <v>516.93275835933787</v>
      </c>
      <c r="AT149" s="6">
        <f t="shared" si="544"/>
        <v>185.97425508967711</v>
      </c>
      <c r="AU149" s="6">
        <f t="shared" si="545"/>
        <v>810.55333089864678</v>
      </c>
      <c r="AV149" s="6">
        <f t="shared" si="546"/>
        <v>1212.3934351296523</v>
      </c>
      <c r="AW149" s="58">
        <f t="shared" si="552"/>
        <v>2015</v>
      </c>
      <c r="AX149" s="58">
        <f>COUNTIF(AW$3:AW149,AW149)</f>
        <v>10</v>
      </c>
    </row>
    <row r="150" spans="1:50" x14ac:dyDescent="0.25">
      <c r="A150" s="5">
        <v>42295</v>
      </c>
      <c r="B150">
        <v>2033.11</v>
      </c>
      <c r="C150">
        <v>0.01</v>
      </c>
      <c r="D150" s="6">
        <v>15.05</v>
      </c>
      <c r="E150" s="18">
        <f t="shared" si="565"/>
        <v>17.690000000000001</v>
      </c>
      <c r="F150">
        <f t="shared" si="566"/>
        <v>0</v>
      </c>
      <c r="G150" s="18">
        <f>ROUND(INDEX(Valuation!U:U,MATCH(A150,Valuation!A:A,0)),2)</f>
        <v>142.28</v>
      </c>
      <c r="H150">
        <f t="shared" si="537"/>
        <v>1</v>
      </c>
      <c r="I150" s="18">
        <f>INDEX(WeeklyIndicators!Y:Y,MATCH(A150,WeeklyIndicators!A:A,0))</f>
        <v>129.78</v>
      </c>
      <c r="J150">
        <f t="shared" si="562"/>
        <v>0</v>
      </c>
      <c r="K150">
        <f>ROUND(INDEX(Economic!AF:AF,MATCH(EOMONTH($A150,-1),Economic!A:A,0)),2)</f>
        <v>108.2</v>
      </c>
      <c r="L150" s="11">
        <f t="shared" si="571"/>
        <v>0</v>
      </c>
      <c r="M150">
        <f>ROUND(INDEX(Manufacturing!P:P,MATCH(EOMONTH($A150,-1),Manufacturing!A:A,0)),2)</f>
        <v>82.61</v>
      </c>
      <c r="N150">
        <f t="shared" si="567"/>
        <v>-1</v>
      </c>
      <c r="O150">
        <f>ROUND(INDEX(Housing!AC:AC,MATCH(EOMONTH($A150,-1),Housing!B:B,0)),2)</f>
        <v>157.77000000000001</v>
      </c>
      <c r="P150">
        <f t="shared" si="568"/>
        <v>3</v>
      </c>
      <c r="Q150">
        <f>ROUND(INDEX(Spending!AJ:AJ,MATCH(EOMONTH($A150,-1),Spending!B:B,0)),2)</f>
        <v>67.16</v>
      </c>
      <c r="R150">
        <f t="shared" si="572"/>
        <v>2</v>
      </c>
      <c r="S150">
        <f>ROUND(INDEX(Employment!V:V,MATCH(EOMONTH($A150,-1),Employment!A:A,0)),2)</f>
        <v>176.36</v>
      </c>
      <c r="T150" s="11">
        <f t="shared" si="569"/>
        <v>2</v>
      </c>
      <c r="U150">
        <f t="shared" si="561"/>
        <v>27</v>
      </c>
      <c r="V150">
        <f t="shared" si="553"/>
        <v>77.34</v>
      </c>
      <c r="W150" s="13">
        <f t="shared" si="554"/>
        <v>-1.4E-3</v>
      </c>
      <c r="X150" s="13">
        <f t="shared" si="555"/>
        <v>-1E-3</v>
      </c>
      <c r="Y150">
        <f t="shared" si="547"/>
        <v>81.349999999999994</v>
      </c>
      <c r="Z150" s="13">
        <f t="shared" si="542"/>
        <v>6.7000000000000002E-3</v>
      </c>
      <c r="AA150" s="13">
        <f t="shared" si="538"/>
        <v>2.5700000000000001E-2</v>
      </c>
      <c r="AB150" s="6">
        <f t="shared" si="548"/>
        <v>92.367999999999995</v>
      </c>
      <c r="AC150">
        <f t="shared" si="540"/>
        <v>46</v>
      </c>
      <c r="AD150" s="11">
        <f t="shared" si="541"/>
        <v>1</v>
      </c>
      <c r="AE150">
        <f t="shared" si="539"/>
        <v>30</v>
      </c>
      <c r="AF150">
        <f>IF(AND(AE150&lt;15,OR(AC150&gt;=30,AA150&gt;0.15,X150&gt;=0.15)),2,VLOOKUP(AE150,Table!P:Q,2,FALSE))</f>
        <v>4</v>
      </c>
      <c r="AG150" s="22">
        <f>IF((AB150*0.98)-(D150*0.8)+((AF150-3)*3)+VLOOKUP(AM150,Table!$A$11:$B$13,2,FALSE)&lt;0,0,(AB150*0.98)-(D150*0.8)+((AF150-3)*3)+VLOOKUP(AM150,Table!$A$11:$B$13,2,FALSE))</f>
        <v>89.480639999999994</v>
      </c>
      <c r="AH150" s="22">
        <f t="shared" si="570"/>
        <v>86</v>
      </c>
      <c r="AI150" s="18">
        <f t="shared" si="563"/>
        <v>0.04</v>
      </c>
      <c r="AJ150" s="18">
        <f t="shared" si="564"/>
        <v>0.03</v>
      </c>
      <c r="AK150" t="str">
        <f t="shared" si="549"/>
        <v/>
      </c>
      <c r="AL150">
        <f t="shared" si="560"/>
        <v>29.5</v>
      </c>
      <c r="AM150" s="11" t="str">
        <f t="shared" si="550"/>
        <v>Stocks</v>
      </c>
      <c r="AN150" t="str">
        <f t="shared" si="556"/>
        <v>Buy</v>
      </c>
      <c r="AO150" s="13">
        <f t="shared" si="557"/>
        <v>2.07E-2</v>
      </c>
      <c r="AP150" s="13">
        <f t="shared" si="558"/>
        <v>0</v>
      </c>
      <c r="AQ150" s="13">
        <f t="shared" si="559"/>
        <v>1.78E-2</v>
      </c>
      <c r="AR150" s="13">
        <f t="shared" si="551"/>
        <v>2.07E-2</v>
      </c>
      <c r="AS150" s="6">
        <f t="shared" si="543"/>
        <v>506.44925870416171</v>
      </c>
      <c r="AT150" s="6">
        <f t="shared" si="544"/>
        <v>185.97425508967711</v>
      </c>
      <c r="AU150" s="6">
        <f t="shared" si="545"/>
        <v>796.37780595268885</v>
      </c>
      <c r="AV150" s="6">
        <f t="shared" si="546"/>
        <v>1187.8058539528288</v>
      </c>
      <c r="AW150" s="58">
        <f t="shared" si="552"/>
        <v>2015</v>
      </c>
      <c r="AX150" s="58">
        <f>COUNTIF(AW$3:AW150,AW150)</f>
        <v>11</v>
      </c>
    </row>
    <row r="151" spans="1:50" x14ac:dyDescent="0.25">
      <c r="A151" s="5">
        <v>42288</v>
      </c>
      <c r="B151">
        <v>2014.89</v>
      </c>
      <c r="C151">
        <v>0</v>
      </c>
      <c r="D151" s="6">
        <v>17.079999999999998</v>
      </c>
      <c r="E151" s="18">
        <f t="shared" si="565"/>
        <v>20.55</v>
      </c>
      <c r="F151">
        <f t="shared" si="566"/>
        <v>-1</v>
      </c>
      <c r="G151" s="18">
        <f>ROUND(INDEX(Valuation!U:U,MATCH(A151,Valuation!A:A,0)),2)</f>
        <v>143.32</v>
      </c>
      <c r="H151">
        <f t="shared" si="537"/>
        <v>1</v>
      </c>
      <c r="I151" s="18">
        <f>INDEX(WeeklyIndicators!Y:Y,MATCH(A151,WeeklyIndicators!A:A,0))</f>
        <v>129.77000000000001</v>
      </c>
      <c r="J151">
        <f t="shared" si="562"/>
        <v>0</v>
      </c>
      <c r="K151">
        <f>ROUND(INDEX(Economic!AF:AF,MATCH(EOMONTH($A151,-1),Economic!A:A,0)),2)</f>
        <v>108.2</v>
      </c>
      <c r="L151" s="11">
        <f t="shared" si="571"/>
        <v>0</v>
      </c>
      <c r="M151">
        <f>ROUND(INDEX(Manufacturing!P:P,MATCH(EOMONTH($A151,-1),Manufacturing!A:A,0)),2)</f>
        <v>82.61</v>
      </c>
      <c r="N151">
        <f t="shared" si="567"/>
        <v>-1</v>
      </c>
      <c r="O151">
        <f>ROUND(INDEX(Housing!AC:AC,MATCH(EOMONTH($A151,-1),Housing!B:B,0)),2)</f>
        <v>157.77000000000001</v>
      </c>
      <c r="P151">
        <f t="shared" si="568"/>
        <v>3</v>
      </c>
      <c r="Q151">
        <f>ROUND(INDEX(Spending!AJ:AJ,MATCH(EOMONTH($A151,-1),Spending!B:B,0)),2)</f>
        <v>67.16</v>
      </c>
      <c r="R151">
        <f t="shared" si="572"/>
        <v>2</v>
      </c>
      <c r="S151">
        <f>ROUND(INDEX(Employment!V:V,MATCH(EOMONTH($A151,-1),Employment!A:A,0)),2)</f>
        <v>176.36</v>
      </c>
      <c r="T151" s="11">
        <f t="shared" si="569"/>
        <v>2</v>
      </c>
      <c r="U151">
        <f t="shared" si="561"/>
        <v>26</v>
      </c>
      <c r="V151">
        <f t="shared" si="553"/>
        <v>77.34</v>
      </c>
      <c r="W151" s="13">
        <f t="shared" si="554"/>
        <v>8.9999999999999998E-4</v>
      </c>
      <c r="X151" s="13">
        <f t="shared" si="555"/>
        <v>-8.9999999999999976E-4</v>
      </c>
      <c r="Y151">
        <f t="shared" si="547"/>
        <v>80.459999999999994</v>
      </c>
      <c r="Z151" s="13">
        <f t="shared" si="542"/>
        <v>7.0000000000000001E-3</v>
      </c>
      <c r="AA151" s="13">
        <f t="shared" si="538"/>
        <v>1.7200000000000003E-2</v>
      </c>
      <c r="AB151" s="6">
        <f t="shared" si="548"/>
        <v>91.012</v>
      </c>
      <c r="AC151">
        <f t="shared" si="540"/>
        <v>46</v>
      </c>
      <c r="AD151" s="11">
        <f t="shared" si="541"/>
        <v>1</v>
      </c>
      <c r="AE151">
        <f t="shared" si="539"/>
        <v>29</v>
      </c>
      <c r="AF151">
        <f>IF(AND(AE151&lt;15,OR(AC151&gt;=30,AA151&gt;0.15,X151&gt;=0.15)),2,VLOOKUP(AE151,Table!P:Q,2,FALSE))</f>
        <v>4</v>
      </c>
      <c r="AG151" s="22">
        <f>IF((AB151*0.98)-(D151*0.8)+((AF151-3)*3)+VLOOKUP(AM151,Table!$A$11:$B$13,2,FALSE)&lt;0,0,(AB151*0.98)-(D151*0.8)+((AF151-3)*3)+VLOOKUP(AM151,Table!$A$11:$B$13,2,FALSE))</f>
        <v>86.527760000000001</v>
      </c>
      <c r="AH151" s="22">
        <f t="shared" si="570"/>
        <v>82</v>
      </c>
      <c r="AI151" s="18">
        <f t="shared" si="563"/>
        <v>0.04</v>
      </c>
      <c r="AJ151" s="18">
        <f t="shared" si="564"/>
        <v>0.03</v>
      </c>
      <c r="AK151" t="str">
        <f t="shared" si="549"/>
        <v/>
      </c>
      <c r="AL151">
        <f t="shared" si="560"/>
        <v>29.5</v>
      </c>
      <c r="AM151" s="11" t="str">
        <f t="shared" si="550"/>
        <v>Stocks</v>
      </c>
      <c r="AN151" t="str">
        <f t="shared" si="556"/>
        <v>Buy</v>
      </c>
      <c r="AO151" s="13">
        <f t="shared" si="557"/>
        <v>8.9999999999999993E-3</v>
      </c>
      <c r="AP151" s="13">
        <f t="shared" si="558"/>
        <v>0</v>
      </c>
      <c r="AQ151" s="13">
        <f t="shared" si="559"/>
        <v>7.4000000000000003E-3</v>
      </c>
      <c r="AR151" s="13">
        <f t="shared" si="551"/>
        <v>8.9999999999999993E-3</v>
      </c>
      <c r="AS151" s="6">
        <f t="shared" si="543"/>
        <v>501.93187185744478</v>
      </c>
      <c r="AT151" s="6">
        <f t="shared" si="544"/>
        <v>185.97425508967711</v>
      </c>
      <c r="AU151" s="6">
        <f t="shared" si="545"/>
        <v>790.52789949641533</v>
      </c>
      <c r="AV151" s="6">
        <f t="shared" si="546"/>
        <v>1177.2109553546372</v>
      </c>
      <c r="AW151" s="58">
        <f t="shared" si="552"/>
        <v>2015</v>
      </c>
      <c r="AX151" s="58">
        <f>COUNTIF(AW$3:AW151,AW151)</f>
        <v>12</v>
      </c>
    </row>
    <row r="152" spans="1:50" x14ac:dyDescent="0.25">
      <c r="A152" s="5">
        <v>42281</v>
      </c>
      <c r="B152">
        <v>1951.36</v>
      </c>
      <c r="C152">
        <v>0</v>
      </c>
      <c r="D152" s="6">
        <v>20.94</v>
      </c>
      <c r="E152" s="18">
        <f t="shared" si="565"/>
        <v>22.28</v>
      </c>
      <c r="F152">
        <f t="shared" si="566"/>
        <v>-1</v>
      </c>
      <c r="G152" s="18">
        <f>ROUND(INDEX(Valuation!U:U,MATCH(A152,Valuation!A:A,0)),2)</f>
        <v>143.12</v>
      </c>
      <c r="H152">
        <f t="shared" si="537"/>
        <v>1</v>
      </c>
      <c r="I152" s="18">
        <f>INDEX(WeeklyIndicators!Y:Y,MATCH(A152,WeeklyIndicators!A:A,0))</f>
        <v>130.88</v>
      </c>
      <c r="J152">
        <f t="shared" si="562"/>
        <v>0</v>
      </c>
      <c r="K152">
        <f>ROUND(INDEX(Economic!AF:AF,MATCH(EOMONTH($A152,-1),Economic!A:A,0)),2)</f>
        <v>108.2</v>
      </c>
      <c r="L152" s="11">
        <f t="shared" si="571"/>
        <v>0</v>
      </c>
      <c r="M152">
        <f>ROUND(INDEX(Manufacturing!P:P,MATCH(EOMONTH($A152,-1),Manufacturing!A:A,0)),2)</f>
        <v>82.61</v>
      </c>
      <c r="N152">
        <f t="shared" si="567"/>
        <v>-1</v>
      </c>
      <c r="O152">
        <f>ROUND(INDEX(Housing!AC:AC,MATCH(EOMONTH($A152,-1),Housing!B:B,0)),2)</f>
        <v>157.77000000000001</v>
      </c>
      <c r="P152">
        <f t="shared" si="568"/>
        <v>3</v>
      </c>
      <c r="Q152">
        <f>ROUND(INDEX(Spending!AJ:AJ,MATCH(EOMONTH($A152,-1),Spending!B:B,0)),2)</f>
        <v>67.16</v>
      </c>
      <c r="R152">
        <f t="shared" si="572"/>
        <v>2</v>
      </c>
      <c r="S152">
        <f>ROUND(INDEX(Employment!V:V,MATCH(EOMONTH($A152,-1),Employment!A:A,0)),2)</f>
        <v>176.36</v>
      </c>
      <c r="T152" s="11">
        <f t="shared" si="569"/>
        <v>2</v>
      </c>
      <c r="U152">
        <f t="shared" si="561"/>
        <v>26</v>
      </c>
      <c r="V152">
        <f t="shared" si="553"/>
        <v>77.459999999999994</v>
      </c>
      <c r="W152" s="13">
        <f t="shared" si="554"/>
        <v>8.0000000000000004E-4</v>
      </c>
      <c r="X152" s="13">
        <f t="shared" si="555"/>
        <v>-2.8E-3</v>
      </c>
      <c r="Y152">
        <f t="shared" si="547"/>
        <v>79.95</v>
      </c>
      <c r="Z152" s="13">
        <f t="shared" si="542"/>
        <v>6.6E-3</v>
      </c>
      <c r="AA152" s="13">
        <f t="shared" si="538"/>
        <v>9.0000000000000149E-4</v>
      </c>
      <c r="AB152" s="6">
        <f t="shared" si="548"/>
        <v>89.372</v>
      </c>
      <c r="AC152">
        <f t="shared" si="540"/>
        <v>45</v>
      </c>
      <c r="AD152" s="11">
        <f t="shared" si="541"/>
        <v>1</v>
      </c>
      <c r="AE152">
        <f t="shared" si="539"/>
        <v>29</v>
      </c>
      <c r="AF152">
        <f>IF(AND(AE152&lt;15,OR(AC152&gt;=30,AA152&gt;0.15,X152&gt;=0.15)),2,VLOOKUP(AE152,Table!P:Q,2,FALSE))</f>
        <v>4</v>
      </c>
      <c r="AG152" s="22">
        <f>IF((AB152*0.98)-(D152*0.8)+((AF152-3)*3)+VLOOKUP(AM152,Table!$A$11:$B$13,2,FALSE)&lt;0,0,(AB152*0.98)-(D152*0.8)+((AF152-3)*3)+VLOOKUP(AM152,Table!$A$11:$B$13,2,FALSE))</f>
        <v>81.832560000000001</v>
      </c>
      <c r="AH152" s="22">
        <f t="shared" si="570"/>
        <v>79</v>
      </c>
      <c r="AI152" s="18">
        <f t="shared" si="563"/>
        <v>0.04</v>
      </c>
      <c r="AJ152" s="18">
        <f t="shared" si="564"/>
        <v>0.03</v>
      </c>
      <c r="AK152" t="str">
        <f t="shared" si="549"/>
        <v/>
      </c>
      <c r="AL152">
        <f t="shared" si="560"/>
        <v>29.5</v>
      </c>
      <c r="AM152" s="11" t="str">
        <f t="shared" si="550"/>
        <v>Stocks</v>
      </c>
      <c r="AN152" t="str">
        <f t="shared" si="556"/>
        <v>Buy</v>
      </c>
      <c r="AO152" s="13">
        <f t="shared" si="557"/>
        <v>3.2599999999999997E-2</v>
      </c>
      <c r="AP152" s="13">
        <f t="shared" si="558"/>
        <v>0</v>
      </c>
      <c r="AQ152" s="13">
        <f t="shared" si="559"/>
        <v>2.58E-2</v>
      </c>
      <c r="AR152" s="13">
        <f t="shared" si="551"/>
        <v>3.2599999999999997E-2</v>
      </c>
      <c r="AS152" s="6">
        <f t="shared" si="543"/>
        <v>486.0854850449785</v>
      </c>
      <c r="AT152" s="6">
        <f t="shared" si="544"/>
        <v>185.97425508967711</v>
      </c>
      <c r="AU152" s="6">
        <f t="shared" si="545"/>
        <v>770.64525199494574</v>
      </c>
      <c r="AV152" s="6">
        <f t="shared" si="546"/>
        <v>1140.0454729368946</v>
      </c>
      <c r="AW152" s="58">
        <f t="shared" si="552"/>
        <v>2015</v>
      </c>
      <c r="AX152" s="58">
        <f>COUNTIF(AW$3:AW152,AW152)</f>
        <v>13</v>
      </c>
    </row>
    <row r="153" spans="1:50" x14ac:dyDescent="0.25">
      <c r="A153" s="5">
        <v>42274</v>
      </c>
      <c r="B153">
        <v>1931.34</v>
      </c>
      <c r="C153">
        <v>0</v>
      </c>
      <c r="D153" s="6">
        <v>23.62</v>
      </c>
      <c r="E153" s="18">
        <f t="shared" si="565"/>
        <v>23.03</v>
      </c>
      <c r="F153">
        <f t="shared" si="566"/>
        <v>-1</v>
      </c>
      <c r="G153" s="18">
        <f>ROUND(INDEX(Valuation!U:U,MATCH(A153,Valuation!A:A,0)),2)</f>
        <v>141.59</v>
      </c>
      <c r="H153">
        <f t="shared" si="537"/>
        <v>1</v>
      </c>
      <c r="I153" s="18">
        <f>INDEX(WeeklyIndicators!Y:Y,MATCH(A153,WeeklyIndicators!A:A,0))</f>
        <v>127.81</v>
      </c>
      <c r="J153">
        <f t="shared" si="562"/>
        <v>0</v>
      </c>
      <c r="K153">
        <f>ROUND(INDEX(Economic!AF:AF,MATCH(EOMONTH($A153,-1),Economic!A:A,0)),2)</f>
        <v>109.22</v>
      </c>
      <c r="L153" s="11">
        <f t="shared" si="571"/>
        <v>0</v>
      </c>
      <c r="M153">
        <f>ROUND(INDEX(Manufacturing!P:P,MATCH(EOMONTH($A153,-1),Manufacturing!A:A,0)),2)</f>
        <v>86.88</v>
      </c>
      <c r="N153">
        <f t="shared" si="567"/>
        <v>0</v>
      </c>
      <c r="O153">
        <f>ROUND(INDEX(Housing!AC:AC,MATCH(EOMONTH($A153,-1),Housing!B:B,0)),2)</f>
        <v>155.55000000000001</v>
      </c>
      <c r="P153">
        <f t="shared" si="568"/>
        <v>3</v>
      </c>
      <c r="Q153">
        <f>ROUND(INDEX(Spending!AJ:AJ,MATCH(EOMONTH($A153,-1),Spending!B:B,0)),2)</f>
        <v>65.33</v>
      </c>
      <c r="R153">
        <f t="shared" si="572"/>
        <v>2</v>
      </c>
      <c r="S153">
        <f>ROUND(INDEX(Employment!V:V,MATCH(EOMONTH($A153,-1),Employment!A:A,0)),2)</f>
        <v>177.41</v>
      </c>
      <c r="T153" s="11">
        <f t="shared" si="569"/>
        <v>2</v>
      </c>
      <c r="U153">
        <f t="shared" si="561"/>
        <v>27</v>
      </c>
      <c r="V153">
        <f t="shared" si="553"/>
        <v>77.66</v>
      </c>
      <c r="W153" s="13">
        <f t="shared" si="554"/>
        <v>-1.2999999999999999E-3</v>
      </c>
      <c r="X153" s="13">
        <f t="shared" si="555"/>
        <v>-7.000000000000001E-4</v>
      </c>
      <c r="Y153">
        <f t="shared" si="547"/>
        <v>79.73</v>
      </c>
      <c r="Z153" s="13">
        <f t="shared" si="542"/>
        <v>5.4000000000000003E-3</v>
      </c>
      <c r="AA153" s="13">
        <f t="shared" si="538"/>
        <v>-1.9699999999999999E-2</v>
      </c>
      <c r="AB153" s="6">
        <f t="shared" si="548"/>
        <v>87.649000000000001</v>
      </c>
      <c r="AC153">
        <f t="shared" si="540"/>
        <v>44</v>
      </c>
      <c r="AD153" s="11">
        <f t="shared" si="541"/>
        <v>1</v>
      </c>
      <c r="AE153">
        <f t="shared" si="539"/>
        <v>30</v>
      </c>
      <c r="AF153">
        <f>IF(AND(AE153&lt;15,OR(AC153&gt;=30,AA153&gt;0.15,X153&gt;=0.15)),2,VLOOKUP(AE153,Table!P:Q,2,FALSE))</f>
        <v>4</v>
      </c>
      <c r="AG153" s="22">
        <f>IF((AB153*0.98)-(D153*0.8)+((AF153-3)*3)+VLOOKUP(AM153,Table!$A$11:$B$13,2,FALSE)&lt;0,0,(AB153*0.98)-(D153*0.8)+((AF153-3)*3)+VLOOKUP(AM153,Table!$A$11:$B$13,2,FALSE))</f>
        <v>78.000019999999992</v>
      </c>
      <c r="AH153" s="22">
        <f t="shared" si="570"/>
        <v>77</v>
      </c>
      <c r="AI153" s="18">
        <f t="shared" si="563"/>
        <v>0.04</v>
      </c>
      <c r="AJ153" s="18">
        <f t="shared" si="564"/>
        <v>0.03</v>
      </c>
      <c r="AK153" t="str">
        <f t="shared" si="549"/>
        <v/>
      </c>
      <c r="AL153">
        <f t="shared" si="560"/>
        <v>29.5</v>
      </c>
      <c r="AM153" s="11" t="str">
        <f t="shared" si="550"/>
        <v>Stocks</v>
      </c>
      <c r="AN153" t="str">
        <f t="shared" si="556"/>
        <v>Buy</v>
      </c>
      <c r="AO153" s="13">
        <f t="shared" si="557"/>
        <v>1.04E-2</v>
      </c>
      <c r="AP153" s="13">
        <f t="shared" si="558"/>
        <v>0</v>
      </c>
      <c r="AQ153" s="13">
        <f t="shared" si="559"/>
        <v>8.0000000000000002E-3</v>
      </c>
      <c r="AR153" s="13">
        <f t="shared" si="551"/>
        <v>1.04E-2</v>
      </c>
      <c r="AS153" s="6">
        <f t="shared" si="543"/>
        <v>481.0822298544918</v>
      </c>
      <c r="AT153" s="6">
        <f t="shared" si="544"/>
        <v>185.97425508967711</v>
      </c>
      <c r="AU153" s="6">
        <f t="shared" si="545"/>
        <v>764.52901983625566</v>
      </c>
      <c r="AV153" s="6">
        <f t="shared" si="546"/>
        <v>1128.3110381402362</v>
      </c>
      <c r="AW153" s="58">
        <f t="shared" si="552"/>
        <v>2015</v>
      </c>
      <c r="AX153" s="58">
        <f>COUNTIF(AW$3:AW153,AW153)</f>
        <v>14</v>
      </c>
    </row>
    <row r="154" spans="1:50" x14ac:dyDescent="0.25">
      <c r="A154" s="5">
        <v>42267</v>
      </c>
      <c r="B154">
        <v>1958.03</v>
      </c>
      <c r="C154">
        <v>0.04</v>
      </c>
      <c r="D154" s="6">
        <v>22.28</v>
      </c>
      <c r="E154" s="18">
        <f t="shared" si="565"/>
        <v>24.43</v>
      </c>
      <c r="F154">
        <f t="shared" si="566"/>
        <v>-1</v>
      </c>
      <c r="G154" s="18">
        <f>ROUND(INDEX(Valuation!U:U,MATCH(A154,Valuation!A:A,0)),2)</f>
        <v>142.22999999999999</v>
      </c>
      <c r="H154">
        <f t="shared" si="537"/>
        <v>1</v>
      </c>
      <c r="I154" s="18">
        <f>INDEX(WeeklyIndicators!Y:Y,MATCH(A154,WeeklyIndicators!A:A,0))</f>
        <v>122.76</v>
      </c>
      <c r="J154">
        <f t="shared" si="562"/>
        <v>0</v>
      </c>
      <c r="K154">
        <f>ROUND(INDEX(Economic!AF:AF,MATCH(EOMONTH($A154,-1),Economic!A:A,0)),2)</f>
        <v>109.22</v>
      </c>
      <c r="L154" s="11">
        <f t="shared" si="571"/>
        <v>0</v>
      </c>
      <c r="M154">
        <f>ROUND(INDEX(Manufacturing!P:P,MATCH(EOMONTH($A154,-1),Manufacturing!A:A,0)),2)</f>
        <v>86.88</v>
      </c>
      <c r="N154">
        <f t="shared" si="567"/>
        <v>0</v>
      </c>
      <c r="O154">
        <f>ROUND(INDEX(Housing!AC:AC,MATCH(EOMONTH($A154,-1),Housing!B:B,0)),2)</f>
        <v>155.55000000000001</v>
      </c>
      <c r="P154">
        <f t="shared" si="568"/>
        <v>3</v>
      </c>
      <c r="Q154">
        <f>ROUND(INDEX(Spending!AJ:AJ,MATCH(EOMONTH($A154,-1),Spending!B:B,0)),2)</f>
        <v>65.33</v>
      </c>
      <c r="R154">
        <f t="shared" si="572"/>
        <v>2</v>
      </c>
      <c r="S154">
        <f>ROUND(INDEX(Employment!V:V,MATCH(EOMONTH($A154,-1),Employment!A:A,0)),2)</f>
        <v>177.41</v>
      </c>
      <c r="T154" s="11">
        <f t="shared" si="569"/>
        <v>2</v>
      </c>
      <c r="U154">
        <f t="shared" si="561"/>
        <v>27</v>
      </c>
      <c r="V154">
        <f t="shared" si="553"/>
        <v>77.14</v>
      </c>
      <c r="W154" s="13">
        <f t="shared" si="554"/>
        <v>-1.2999999999999999E-3</v>
      </c>
      <c r="X154" s="13">
        <f t="shared" si="555"/>
        <v>2.0999999999999999E-3</v>
      </c>
      <c r="Y154">
        <f t="shared" si="547"/>
        <v>78.790000000000006</v>
      </c>
      <c r="Z154" s="13">
        <f t="shared" si="542"/>
        <v>-1.8E-3</v>
      </c>
      <c r="AA154" s="13">
        <f t="shared" si="538"/>
        <v>-3.3999999999999996E-2</v>
      </c>
      <c r="AB154" s="6">
        <f t="shared" si="548"/>
        <v>85.822999999999993</v>
      </c>
      <c r="AC154">
        <f t="shared" si="540"/>
        <v>43</v>
      </c>
      <c r="AD154" s="11">
        <f t="shared" si="541"/>
        <v>1</v>
      </c>
      <c r="AE154">
        <f t="shared" si="539"/>
        <v>30</v>
      </c>
      <c r="AF154">
        <f>IF(AND(AE154&lt;15,OR(AC154&gt;=30,AA154&gt;0.15,X154&gt;=0.15)),2,VLOOKUP(AE154,Table!P:Q,2,FALSE))</f>
        <v>4</v>
      </c>
      <c r="AG154" s="22">
        <f>IF((AB154*0.98)-(D154*0.8)+((AF154-3)*3)+VLOOKUP(AM154,Table!$A$11:$B$13,2,FALSE)&lt;0,0,(AB154*0.98)-(D154*0.8)+((AF154-3)*3)+VLOOKUP(AM154,Table!$A$11:$B$13,2,FALSE))</f>
        <v>77.282539999999997</v>
      </c>
      <c r="AH154" s="22">
        <f t="shared" si="570"/>
        <v>76</v>
      </c>
      <c r="AI154" s="18">
        <f t="shared" si="563"/>
        <v>0.04</v>
      </c>
      <c r="AJ154" s="18">
        <f t="shared" si="564"/>
        <v>0.03</v>
      </c>
      <c r="AK154" t="str">
        <f t="shared" si="549"/>
        <v/>
      </c>
      <c r="AL154">
        <f t="shared" si="560"/>
        <v>29.75</v>
      </c>
      <c r="AM154" s="11" t="str">
        <f t="shared" si="550"/>
        <v>Stocks</v>
      </c>
      <c r="AN154" t="str">
        <f t="shared" si="556"/>
        <v>Buy</v>
      </c>
      <c r="AO154" s="13">
        <f t="shared" si="557"/>
        <v>-1.3599999999999999E-2</v>
      </c>
      <c r="AP154" s="13">
        <f t="shared" si="558"/>
        <v>0</v>
      </c>
      <c r="AQ154" s="13">
        <f t="shared" si="559"/>
        <v>-1.03E-2</v>
      </c>
      <c r="AR154" s="13">
        <f t="shared" si="551"/>
        <v>-1.3599999999999999E-2</v>
      </c>
      <c r="AS154" s="6">
        <f t="shared" si="543"/>
        <v>487.71515597576212</v>
      </c>
      <c r="AT154" s="6">
        <f t="shared" si="544"/>
        <v>185.97425508967711</v>
      </c>
      <c r="AU154" s="6">
        <f t="shared" si="545"/>
        <v>772.48562174017945</v>
      </c>
      <c r="AV154" s="6">
        <f t="shared" si="546"/>
        <v>1143.867638017271</v>
      </c>
      <c r="AW154" s="58">
        <f t="shared" si="552"/>
        <v>2015</v>
      </c>
      <c r="AX154" s="58">
        <f>COUNTIF(AW$3:AW154,AW154)</f>
        <v>15</v>
      </c>
    </row>
    <row r="155" spans="1:50" x14ac:dyDescent="0.25">
      <c r="A155" s="5">
        <v>42260</v>
      </c>
      <c r="B155">
        <v>1961.05</v>
      </c>
      <c r="C155">
        <v>0.04</v>
      </c>
      <c r="D155" s="6">
        <v>23.2</v>
      </c>
      <c r="E155" s="18">
        <f t="shared" si="565"/>
        <v>25.68</v>
      </c>
      <c r="F155">
        <f t="shared" si="566"/>
        <v>-2</v>
      </c>
      <c r="G155" s="18">
        <f>ROUND(INDEX(Valuation!U:U,MATCH(A155,Valuation!A:A,0)),2)</f>
        <v>141.34</v>
      </c>
      <c r="H155">
        <f t="shared" si="537"/>
        <v>1</v>
      </c>
      <c r="I155" s="18">
        <f>INDEX(WeeklyIndicators!Y:Y,MATCH(A155,WeeklyIndicators!A:A,0))</f>
        <v>124.07</v>
      </c>
      <c r="J155">
        <f t="shared" si="562"/>
        <v>0</v>
      </c>
      <c r="K155">
        <f>ROUND(INDEX(Economic!AF:AF,MATCH(EOMONTH($A155,-1),Economic!A:A,0)),2)</f>
        <v>109.22</v>
      </c>
      <c r="L155" s="11">
        <f t="shared" si="571"/>
        <v>0</v>
      </c>
      <c r="M155">
        <f>ROUND(INDEX(Manufacturing!P:P,MATCH(EOMONTH($A155,-1),Manufacturing!A:A,0)),2)</f>
        <v>86.88</v>
      </c>
      <c r="N155">
        <f t="shared" si="567"/>
        <v>0</v>
      </c>
      <c r="O155">
        <f>ROUND(INDEX(Housing!AC:AC,MATCH(EOMONTH($A155,-1),Housing!B:B,0)),2)</f>
        <v>155.55000000000001</v>
      </c>
      <c r="P155">
        <f t="shared" si="568"/>
        <v>3</v>
      </c>
      <c r="Q155">
        <f>ROUND(INDEX(Spending!AJ:AJ,MATCH(EOMONTH($A155,-1),Spending!B:B,0)),2)</f>
        <v>65.33</v>
      </c>
      <c r="R155">
        <f t="shared" si="572"/>
        <v>2</v>
      </c>
      <c r="S155">
        <f>ROUND(INDEX(Employment!V:V,MATCH(EOMONTH($A155,-1),Employment!A:A,0)),2)</f>
        <v>177.41</v>
      </c>
      <c r="T155" s="11">
        <f t="shared" si="569"/>
        <v>2</v>
      </c>
      <c r="U155">
        <f t="shared" si="561"/>
        <v>26</v>
      </c>
      <c r="V155">
        <f t="shared" si="553"/>
        <v>77.28</v>
      </c>
      <c r="W155" s="13">
        <f t="shared" si="554"/>
        <v>-1E-3</v>
      </c>
      <c r="X155" s="13">
        <f t="shared" si="555"/>
        <v>5.1999999999999998E-3</v>
      </c>
      <c r="Y155">
        <f t="shared" si="547"/>
        <v>78.39</v>
      </c>
      <c r="Z155" s="13">
        <f t="shared" si="542"/>
        <v>-9.2999999999999992E-3</v>
      </c>
      <c r="AA155" s="13">
        <f t="shared" si="538"/>
        <v>-3.4700000000000002E-2</v>
      </c>
      <c r="AB155" s="6">
        <f t="shared" si="548"/>
        <v>85.323999999999998</v>
      </c>
      <c r="AC155">
        <f t="shared" si="540"/>
        <v>43</v>
      </c>
      <c r="AD155" s="11">
        <f t="shared" si="541"/>
        <v>1</v>
      </c>
      <c r="AE155">
        <f t="shared" si="539"/>
        <v>29</v>
      </c>
      <c r="AF155">
        <f>IF(AND(AE155&lt;15,OR(AC155&gt;=30,AA155&gt;0.15,X155&gt;=0.15)),2,VLOOKUP(AE155,Table!P:Q,2,FALSE))</f>
        <v>4</v>
      </c>
      <c r="AG155" s="22">
        <f>IF((AB155*0.98)-(D155*0.8)+((AF155-3)*3)+VLOOKUP(AM155,Table!$A$11:$B$13,2,FALSE)&lt;0,0,(AB155*0.98)-(D155*0.8)+((AF155-3)*3)+VLOOKUP(AM155,Table!$A$11:$B$13,2,FALSE))</f>
        <v>76.057519999999997</v>
      </c>
      <c r="AH155" s="22">
        <f t="shared" si="570"/>
        <v>76</v>
      </c>
      <c r="AI155" s="18">
        <f t="shared" si="563"/>
        <v>0.04</v>
      </c>
      <c r="AJ155" s="18">
        <f t="shared" si="564"/>
        <v>0.03</v>
      </c>
      <c r="AK155" t="str">
        <f t="shared" si="549"/>
        <v/>
      </c>
      <c r="AL155">
        <f t="shared" si="560"/>
        <v>30</v>
      </c>
      <c r="AM155" s="11" t="str">
        <f t="shared" si="550"/>
        <v>Stocks</v>
      </c>
      <c r="AN155" t="str">
        <f t="shared" si="556"/>
        <v>Buy</v>
      </c>
      <c r="AO155" s="13">
        <f t="shared" si="557"/>
        <v>-1.5E-3</v>
      </c>
      <c r="AP155" s="13">
        <f t="shared" si="558"/>
        <v>0</v>
      </c>
      <c r="AQ155" s="13">
        <f t="shared" si="559"/>
        <v>-1.1000000000000001E-3</v>
      </c>
      <c r="AR155" s="13">
        <f t="shared" si="551"/>
        <v>-1.5E-3</v>
      </c>
      <c r="AS155" s="6">
        <f t="shared" si="543"/>
        <v>488.4478277173381</v>
      </c>
      <c r="AT155" s="6">
        <f t="shared" si="544"/>
        <v>185.97425508967711</v>
      </c>
      <c r="AU155" s="6">
        <f t="shared" si="545"/>
        <v>773.3362916610065</v>
      </c>
      <c r="AV155" s="6">
        <f t="shared" si="546"/>
        <v>1145.5860170428352</v>
      </c>
      <c r="AW155" s="58">
        <f t="shared" si="552"/>
        <v>2015</v>
      </c>
      <c r="AX155" s="58">
        <f>COUNTIF(AW$3:AW155,AW155)</f>
        <v>16</v>
      </c>
    </row>
    <row r="156" spans="1:50" x14ac:dyDescent="0.25">
      <c r="A156" s="5">
        <v>42253</v>
      </c>
      <c r="B156">
        <v>1921.22</v>
      </c>
      <c r="C156">
        <v>0.04</v>
      </c>
      <c r="D156" s="6">
        <v>27.8</v>
      </c>
      <c r="E156" s="18">
        <f t="shared" si="565"/>
        <v>27.29</v>
      </c>
      <c r="F156">
        <f t="shared" si="566"/>
        <v>-2</v>
      </c>
      <c r="G156" s="18">
        <f>ROUND(INDEX(Valuation!U:U,MATCH(A156,Valuation!A:A,0)),2)</f>
        <v>140.74</v>
      </c>
      <c r="H156">
        <f t="shared" ref="H156:H219" si="573">IF(G156&gt;200,3,IF(AND(G156&gt;160,G156&lt;=200),2,IF(AND(G156&gt;120,G156&lt;=160),1,IF(G156&lt;25,-3,IF(AND(G156&lt;50,G156&gt;=25),-2,IF(AND(G156&lt;90,G156&gt;=50),-1,0))))))</f>
        <v>1</v>
      </c>
      <c r="I156" s="18">
        <f>INDEX(WeeklyIndicators!Y:Y,MATCH(A156,WeeklyIndicators!A:A,0))</f>
        <v>130.69999999999999</v>
      </c>
      <c r="J156">
        <f t="shared" si="562"/>
        <v>0</v>
      </c>
      <c r="K156">
        <f>ROUND(INDEX(Economic!AF:AF,MATCH(EOMONTH($A156,-1),Economic!A:A,0)),2)</f>
        <v>109.22</v>
      </c>
      <c r="L156" s="11">
        <f t="shared" si="571"/>
        <v>0</v>
      </c>
      <c r="M156">
        <f>ROUND(INDEX(Manufacturing!P:P,MATCH(EOMONTH($A156,-1),Manufacturing!A:A,0)),2)</f>
        <v>86.88</v>
      </c>
      <c r="N156">
        <f t="shared" si="567"/>
        <v>0</v>
      </c>
      <c r="O156">
        <f>ROUND(INDEX(Housing!AC:AC,MATCH(EOMONTH($A156,-1),Housing!B:B,0)),2)</f>
        <v>155.55000000000001</v>
      </c>
      <c r="P156">
        <f t="shared" si="568"/>
        <v>3</v>
      </c>
      <c r="Q156">
        <f>ROUND(INDEX(Spending!AJ:AJ,MATCH(EOMONTH($A156,-1),Spending!B:B,0)),2)</f>
        <v>65.33</v>
      </c>
      <c r="R156">
        <f t="shared" si="572"/>
        <v>2</v>
      </c>
      <c r="S156">
        <f>ROUND(INDEX(Employment!V:V,MATCH(EOMONTH($A156,-1),Employment!A:A,0)),2)</f>
        <v>177.41</v>
      </c>
      <c r="T156" s="11">
        <f t="shared" si="569"/>
        <v>2</v>
      </c>
      <c r="U156">
        <f t="shared" si="561"/>
        <v>26</v>
      </c>
      <c r="V156">
        <f t="shared" si="553"/>
        <v>77.959999999999994</v>
      </c>
      <c r="W156" s="13">
        <f t="shared" si="554"/>
        <v>2.8999999999999998E-3</v>
      </c>
      <c r="X156" s="13">
        <f t="shared" si="555"/>
        <v>1.3299999999999999E-2</v>
      </c>
      <c r="Y156">
        <f t="shared" si="547"/>
        <v>78.45</v>
      </c>
      <c r="Z156" s="13">
        <f t="shared" si="542"/>
        <v>-1.4E-2</v>
      </c>
      <c r="AA156" s="13">
        <f t="shared" si="538"/>
        <v>-1.44E-2</v>
      </c>
      <c r="AB156" s="6">
        <f t="shared" si="548"/>
        <v>86.793999999999997</v>
      </c>
      <c r="AC156">
        <f t="shared" si="540"/>
        <v>43</v>
      </c>
      <c r="AD156" s="11">
        <f t="shared" si="541"/>
        <v>1</v>
      </c>
      <c r="AE156">
        <f t="shared" si="539"/>
        <v>29</v>
      </c>
      <c r="AF156">
        <f>IF(AND(AE156&lt;15,OR(AC156&gt;=30,AA156&gt;0.15,X156&gt;=0.15)),2,VLOOKUP(AE156,Table!P:Q,2,FALSE))</f>
        <v>4</v>
      </c>
      <c r="AG156" s="22">
        <f>IF((AB156*0.98)-(D156*0.8)+((AF156-3)*3)+VLOOKUP(AM156,Table!$A$11:$B$13,2,FALSE)&lt;0,0,(AB156*0.98)-(D156*0.8)+((AF156-3)*3)+VLOOKUP(AM156,Table!$A$11:$B$13,2,FALSE))</f>
        <v>73.818119999999993</v>
      </c>
      <c r="AH156" s="22">
        <f t="shared" si="570"/>
        <v>76</v>
      </c>
      <c r="AI156" s="18">
        <f t="shared" si="563"/>
        <v>0.04</v>
      </c>
      <c r="AJ156" s="18">
        <f t="shared" si="564"/>
        <v>0.03</v>
      </c>
      <c r="AK156" t="str">
        <f t="shared" si="549"/>
        <v/>
      </c>
      <c r="AL156">
        <f t="shared" si="560"/>
        <v>31.25</v>
      </c>
      <c r="AM156" s="11" t="str">
        <f t="shared" si="550"/>
        <v>Stocks</v>
      </c>
      <c r="AN156" t="str">
        <f t="shared" si="556"/>
        <v>Buy</v>
      </c>
      <c r="AO156" s="13">
        <f t="shared" si="557"/>
        <v>2.07E-2</v>
      </c>
      <c r="AP156" s="13">
        <f t="shared" si="558"/>
        <v>0</v>
      </c>
      <c r="AQ156" s="13">
        <f t="shared" si="559"/>
        <v>1.5699999999999999E-2</v>
      </c>
      <c r="AR156" s="13">
        <f t="shared" si="551"/>
        <v>2.07E-2</v>
      </c>
      <c r="AS156" s="6">
        <f t="shared" si="543"/>
        <v>478.54200814866084</v>
      </c>
      <c r="AT156" s="6">
        <f t="shared" si="544"/>
        <v>185.97425508967711</v>
      </c>
      <c r="AU156" s="6">
        <f t="shared" si="545"/>
        <v>761.38258507532385</v>
      </c>
      <c r="AV156" s="6">
        <f t="shared" si="546"/>
        <v>1122.3533036571328</v>
      </c>
      <c r="AW156" s="58">
        <f t="shared" si="552"/>
        <v>2015</v>
      </c>
      <c r="AX156" s="58">
        <f>COUNTIF(AW$3:AW156,AW156)</f>
        <v>17</v>
      </c>
    </row>
    <row r="157" spans="1:50" x14ac:dyDescent="0.25">
      <c r="A157" s="5">
        <v>42246</v>
      </c>
      <c r="B157">
        <v>1988.87</v>
      </c>
      <c r="C157">
        <v>0.06</v>
      </c>
      <c r="D157" s="6">
        <v>26.05</v>
      </c>
      <c r="E157" s="18">
        <f t="shared" si="565"/>
        <v>22.3</v>
      </c>
      <c r="F157">
        <f t="shared" si="566"/>
        <v>-1</v>
      </c>
      <c r="G157" s="18">
        <f>ROUND(INDEX(Valuation!U:U,MATCH(A157,Valuation!A:A,0)),2)</f>
        <v>136.65</v>
      </c>
      <c r="H157">
        <f t="shared" si="573"/>
        <v>1</v>
      </c>
      <c r="I157" s="18">
        <f>INDEX(WeeklyIndicators!Y:Y,MATCH(A157,WeeklyIndicators!A:A,0))</f>
        <v>137.19</v>
      </c>
      <c r="J157">
        <f t="shared" si="562"/>
        <v>1</v>
      </c>
      <c r="K157">
        <f>ROUND(INDEX(Economic!AF:AF,MATCH(EOMONTH($A157,-1),Economic!A:A,0)),2)</f>
        <v>104.53</v>
      </c>
      <c r="L157" s="11">
        <f t="shared" si="571"/>
        <v>0</v>
      </c>
      <c r="M157">
        <f>ROUND(INDEX(Manufacturing!P:P,MATCH(EOMONTH($A157,-1),Manufacturing!A:A,0)),2)</f>
        <v>86.3</v>
      </c>
      <c r="N157">
        <f t="shared" si="567"/>
        <v>0</v>
      </c>
      <c r="O157">
        <f>ROUND(INDEX(Housing!AC:AC,MATCH(EOMONTH($A157,-1),Housing!B:B,0)),2)</f>
        <v>151.88</v>
      </c>
      <c r="P157">
        <f t="shared" si="568"/>
        <v>3</v>
      </c>
      <c r="Q157">
        <f>ROUND(INDEX(Spending!AJ:AJ,MATCH(EOMONTH($A157,-1),Spending!B:B,0)),2)</f>
        <v>60.88</v>
      </c>
      <c r="R157">
        <f t="shared" si="572"/>
        <v>2</v>
      </c>
      <c r="S157">
        <f>ROUND(INDEX(Employment!V:V,MATCH(EOMONTH($A157,-1),Employment!A:A,0)),2)</f>
        <v>179.55</v>
      </c>
      <c r="T157" s="11">
        <f t="shared" si="569"/>
        <v>2</v>
      </c>
      <c r="U157">
        <f t="shared" si="561"/>
        <v>28</v>
      </c>
      <c r="V157">
        <f t="shared" si="553"/>
        <v>77.45</v>
      </c>
      <c r="W157" s="13">
        <f t="shared" si="554"/>
        <v>1.5E-3</v>
      </c>
      <c r="X157" s="13">
        <f t="shared" si="555"/>
        <v>1.49E-2</v>
      </c>
      <c r="Y157">
        <f t="shared" si="547"/>
        <v>79.22</v>
      </c>
      <c r="Z157" s="13">
        <f t="shared" si="542"/>
        <v>-8.8999999999999999E-3</v>
      </c>
      <c r="AA157" s="13">
        <f t="shared" si="538"/>
        <v>8.5999999999999983E-3</v>
      </c>
      <c r="AB157" s="6">
        <f t="shared" si="548"/>
        <v>88.695000000000007</v>
      </c>
      <c r="AC157">
        <f t="shared" si="540"/>
        <v>44</v>
      </c>
      <c r="AD157" s="11">
        <f t="shared" si="541"/>
        <v>1</v>
      </c>
      <c r="AE157">
        <f t="shared" si="539"/>
        <v>31</v>
      </c>
      <c r="AF157">
        <f>IF(AND(AE157&lt;15,OR(AC157&gt;=30,AA157&gt;0.15,X157&gt;=0.15)),2,VLOOKUP(AE157,Table!P:Q,2,FALSE))</f>
        <v>4</v>
      </c>
      <c r="AG157" s="22">
        <f>IF((AB157*0.98)-(D157*0.8)+((AF157-3)*3)+VLOOKUP(AM157,Table!$A$11:$B$13,2,FALSE)&lt;0,0,(AB157*0.98)-(D157*0.8)+((AF157-3)*3)+VLOOKUP(AM157,Table!$A$11:$B$13,2,FALSE))</f>
        <v>77.081100000000006</v>
      </c>
      <c r="AH157" s="22">
        <f t="shared" si="570"/>
        <v>83</v>
      </c>
      <c r="AI157" s="18">
        <f t="shared" si="563"/>
        <v>0.04</v>
      </c>
      <c r="AJ157" s="18">
        <f t="shared" si="564"/>
        <v>0.03</v>
      </c>
      <c r="AK157" t="str">
        <f t="shared" si="549"/>
        <v/>
      </c>
      <c r="AL157">
        <f t="shared" si="560"/>
        <v>32.25</v>
      </c>
      <c r="AM157" s="11" t="str">
        <f t="shared" si="550"/>
        <v>Stocks</v>
      </c>
      <c r="AN157" t="str">
        <f t="shared" si="556"/>
        <v>Buy</v>
      </c>
      <c r="AO157" s="13">
        <f t="shared" si="557"/>
        <v>-3.4000000000000002E-2</v>
      </c>
      <c r="AP157" s="13">
        <f t="shared" si="558"/>
        <v>0</v>
      </c>
      <c r="AQ157" s="13">
        <f t="shared" si="559"/>
        <v>-2.8199999999999999E-2</v>
      </c>
      <c r="AR157" s="13">
        <f t="shared" si="551"/>
        <v>-3.4000000000000002E-2</v>
      </c>
      <c r="AS157" s="6">
        <f t="shared" si="543"/>
        <v>495.38510160316861</v>
      </c>
      <c r="AT157" s="6">
        <f t="shared" si="544"/>
        <v>185.97425508967711</v>
      </c>
      <c r="AU157" s="6">
        <f t="shared" si="545"/>
        <v>783.47662592644974</v>
      </c>
      <c r="AV157" s="6">
        <f t="shared" si="546"/>
        <v>1161.8564220053136</v>
      </c>
      <c r="AW157" s="58">
        <f t="shared" si="552"/>
        <v>2015</v>
      </c>
      <c r="AX157" s="58">
        <f>COUNTIF(AW$3:AW157,AW157)</f>
        <v>18</v>
      </c>
    </row>
    <row r="158" spans="1:50" x14ac:dyDescent="0.25">
      <c r="A158" s="5">
        <v>42239</v>
      </c>
      <c r="B158">
        <v>1970.89</v>
      </c>
      <c r="C158">
        <v>0.05</v>
      </c>
      <c r="D158" s="6">
        <v>28.03</v>
      </c>
      <c r="E158" s="18">
        <f t="shared" si="565"/>
        <v>18.079999999999998</v>
      </c>
      <c r="F158">
        <f t="shared" si="566"/>
        <v>-1</v>
      </c>
      <c r="G158" s="18">
        <f>ROUND(INDEX(Valuation!U:U,MATCH(A158,Valuation!A:A,0)),2)</f>
        <v>135.21</v>
      </c>
      <c r="H158">
        <f t="shared" si="573"/>
        <v>1</v>
      </c>
      <c r="I158" s="18">
        <f>INDEX(WeeklyIndicators!Y:Y,MATCH(A158,WeeklyIndicators!A:A,0))</f>
        <v>137.83000000000001</v>
      </c>
      <c r="J158">
        <f t="shared" si="562"/>
        <v>1</v>
      </c>
      <c r="K158">
        <f>ROUND(INDEX(Economic!AF:AF,MATCH(EOMONTH($A158,-1),Economic!A:A,0)),2)</f>
        <v>104.53</v>
      </c>
      <c r="L158" s="11">
        <f t="shared" si="571"/>
        <v>0</v>
      </c>
      <c r="M158">
        <f>ROUND(INDEX(Manufacturing!P:P,MATCH(EOMONTH($A158,-1),Manufacturing!A:A,0)),2)</f>
        <v>86.3</v>
      </c>
      <c r="N158">
        <f t="shared" si="567"/>
        <v>0</v>
      </c>
      <c r="O158">
        <f>ROUND(INDEX(Housing!AC:AC,MATCH(EOMONTH($A158,-1),Housing!B:B,0)),2)</f>
        <v>151.88</v>
      </c>
      <c r="P158">
        <f t="shared" si="568"/>
        <v>3</v>
      </c>
      <c r="Q158">
        <f>ROUND(INDEX(Spending!AJ:AJ,MATCH(EOMONTH($A158,-1),Spending!B:B,0)),2)</f>
        <v>60.88</v>
      </c>
      <c r="R158">
        <f t="shared" si="572"/>
        <v>2</v>
      </c>
      <c r="S158">
        <f>ROUND(INDEX(Employment!V:V,MATCH(EOMONTH($A158,-1),Employment!A:A,0)),2)</f>
        <v>179.55</v>
      </c>
      <c r="T158" s="11">
        <f t="shared" si="569"/>
        <v>2</v>
      </c>
      <c r="U158">
        <f t="shared" si="561"/>
        <v>28</v>
      </c>
      <c r="V158">
        <f t="shared" si="553"/>
        <v>77.52</v>
      </c>
      <c r="W158" s="13">
        <f t="shared" si="554"/>
        <v>1.8E-3</v>
      </c>
      <c r="X158" s="13">
        <f t="shared" si="555"/>
        <v>1.7099999999999997E-2</v>
      </c>
      <c r="Y158">
        <f t="shared" si="547"/>
        <v>80.599999999999994</v>
      </c>
      <c r="Z158" s="13">
        <f t="shared" si="542"/>
        <v>-2.5000000000000001E-3</v>
      </c>
      <c r="AA158" s="13">
        <f t="shared" si="538"/>
        <v>2.52E-2</v>
      </c>
      <c r="AB158" s="6">
        <f t="shared" si="548"/>
        <v>91.061000000000007</v>
      </c>
      <c r="AC158">
        <f t="shared" si="540"/>
        <v>46</v>
      </c>
      <c r="AD158" s="11">
        <f t="shared" si="541"/>
        <v>1</v>
      </c>
      <c r="AE158">
        <f t="shared" si="539"/>
        <v>31</v>
      </c>
      <c r="AF158">
        <f>IF(AND(AE158&lt;15,OR(AC158&gt;=30,AA158&gt;0.15,X158&gt;=0.15)),2,VLOOKUP(AE158,Table!P:Q,2,FALSE))</f>
        <v>4</v>
      </c>
      <c r="AG158" s="22">
        <f>IF((AB158*0.98)-(D158*0.8)+((AF158-3)*3)+VLOOKUP(AM158,Table!$A$11:$B$13,2,FALSE)&lt;0,0,(AB158*0.98)-(D158*0.8)+((AF158-3)*3)+VLOOKUP(AM158,Table!$A$11:$B$13,2,FALSE))</f>
        <v>77.815780000000004</v>
      </c>
      <c r="AH158" s="22">
        <f t="shared" si="570"/>
        <v>88</v>
      </c>
      <c r="AI158" s="18">
        <f t="shared" si="563"/>
        <v>0.03</v>
      </c>
      <c r="AJ158" s="18">
        <f t="shared" si="564"/>
        <v>0.03</v>
      </c>
      <c r="AK158" t="str">
        <f t="shared" si="549"/>
        <v/>
      </c>
      <c r="AL158">
        <f t="shared" si="560"/>
        <v>32.75</v>
      </c>
      <c r="AM158" s="11" t="str">
        <f t="shared" si="550"/>
        <v>Stocks</v>
      </c>
      <c r="AN158" t="str">
        <f t="shared" si="556"/>
        <v>Buy</v>
      </c>
      <c r="AO158" s="13">
        <f t="shared" si="557"/>
        <v>9.1000000000000004E-3</v>
      </c>
      <c r="AP158" s="13">
        <f t="shared" si="558"/>
        <v>0</v>
      </c>
      <c r="AQ158" s="13">
        <f t="shared" si="559"/>
        <v>8.0000000000000002E-3</v>
      </c>
      <c r="AR158" s="13">
        <f t="shared" si="551"/>
        <v>9.1000000000000004E-3</v>
      </c>
      <c r="AS158" s="6">
        <f t="shared" si="543"/>
        <v>490.91775007746361</v>
      </c>
      <c r="AT158" s="6">
        <f t="shared" si="544"/>
        <v>185.97425508967711</v>
      </c>
      <c r="AU158" s="6">
        <f t="shared" si="545"/>
        <v>777.25855746671596</v>
      </c>
      <c r="AV158" s="6">
        <f t="shared" si="546"/>
        <v>1151.3788742496417</v>
      </c>
      <c r="AW158" s="58">
        <f t="shared" si="552"/>
        <v>2015</v>
      </c>
      <c r="AX158" s="58">
        <f>COUNTIF(AW$3:AW158,AW158)</f>
        <v>19</v>
      </c>
    </row>
    <row r="159" spans="1:50" x14ac:dyDescent="0.25">
      <c r="A159" s="5">
        <v>42232</v>
      </c>
      <c r="B159">
        <v>2091.54</v>
      </c>
      <c r="C159">
        <v>0.1</v>
      </c>
      <c r="D159" s="6">
        <v>12.83</v>
      </c>
      <c r="E159" s="18">
        <f t="shared" si="565"/>
        <v>12.78</v>
      </c>
      <c r="F159">
        <f t="shared" si="566"/>
        <v>2</v>
      </c>
      <c r="G159" s="18">
        <f>ROUND(INDEX(Valuation!U:U,MATCH(A159,Valuation!A:A,0)),2)</f>
        <v>131.88</v>
      </c>
      <c r="H159">
        <f t="shared" si="573"/>
        <v>1</v>
      </c>
      <c r="I159" s="18">
        <f>INDEX(WeeklyIndicators!Y:Y,MATCH(A159,WeeklyIndicators!A:A,0))</f>
        <v>135.57</v>
      </c>
      <c r="J159">
        <f t="shared" si="562"/>
        <v>1</v>
      </c>
      <c r="K159">
        <f>ROUND(INDEX(Economic!AF:AF,MATCH(EOMONTH($A159,-1),Economic!A:A,0)),2)</f>
        <v>104.53</v>
      </c>
      <c r="L159" s="11">
        <f t="shared" si="571"/>
        <v>0</v>
      </c>
      <c r="M159">
        <f>ROUND(INDEX(Manufacturing!P:P,MATCH(EOMONTH($A159,-1),Manufacturing!A:A,0)),2)</f>
        <v>86.3</v>
      </c>
      <c r="N159">
        <f t="shared" si="567"/>
        <v>0</v>
      </c>
      <c r="O159">
        <f>ROUND(INDEX(Housing!AC:AC,MATCH(EOMONTH($A159,-1),Housing!B:B,0)),2)</f>
        <v>151.88</v>
      </c>
      <c r="P159">
        <f t="shared" si="568"/>
        <v>3</v>
      </c>
      <c r="Q159">
        <f>ROUND(INDEX(Spending!AJ:AJ,MATCH(EOMONTH($A159,-1),Spending!B:B,0)),2)</f>
        <v>60.88</v>
      </c>
      <c r="R159">
        <f t="shared" si="572"/>
        <v>2</v>
      </c>
      <c r="S159">
        <f>ROUND(INDEX(Employment!V:V,MATCH(EOMONTH($A159,-1),Employment!A:A,0)),2)</f>
        <v>179.55</v>
      </c>
      <c r="T159" s="11">
        <f t="shared" si="569"/>
        <v>2</v>
      </c>
      <c r="U159">
        <f t="shared" si="561"/>
        <v>31</v>
      </c>
      <c r="V159">
        <f t="shared" si="553"/>
        <v>77.28</v>
      </c>
      <c r="W159" s="13">
        <f t="shared" si="554"/>
        <v>7.1000000000000004E-3</v>
      </c>
      <c r="X159" s="13">
        <f t="shared" si="555"/>
        <v>1.3899999999999999E-2</v>
      </c>
      <c r="Y159">
        <f t="shared" si="547"/>
        <v>81.84</v>
      </c>
      <c r="Z159" s="13">
        <f t="shared" si="542"/>
        <v>1.0999999999999999E-2</v>
      </c>
      <c r="AA159" s="13">
        <f t="shared" si="538"/>
        <v>2.6699999999999995E-2</v>
      </c>
      <c r="AB159" s="6">
        <f t="shared" si="548"/>
        <v>92.028000000000006</v>
      </c>
      <c r="AC159">
        <f t="shared" si="540"/>
        <v>46</v>
      </c>
      <c r="AD159" s="11">
        <f t="shared" si="541"/>
        <v>1</v>
      </c>
      <c r="AE159">
        <f t="shared" si="539"/>
        <v>34</v>
      </c>
      <c r="AF159">
        <f>IF(AND(AE159&lt;15,OR(AC159&gt;=30,AA159&gt;0.15,X159&gt;=0.15)),2,VLOOKUP(AE159,Table!P:Q,2,FALSE))</f>
        <v>5</v>
      </c>
      <c r="AG159" s="22">
        <f>IF((AB159*0.98)-(D159*0.8)+((AF159-3)*3)+VLOOKUP(AM159,Table!$A$11:$B$13,2,FALSE)&lt;0,0,(AB159*0.98)-(D159*0.8)+((AF159-3)*3)+VLOOKUP(AM159,Table!$A$11:$B$13,2,FALSE))</f>
        <v>93.923440000000014</v>
      </c>
      <c r="AH159" s="22">
        <f t="shared" si="570"/>
        <v>93</v>
      </c>
      <c r="AI159" s="18">
        <f t="shared" si="563"/>
        <v>0.03</v>
      </c>
      <c r="AJ159" s="18">
        <f t="shared" si="564"/>
        <v>0.03</v>
      </c>
      <c r="AK159" t="str">
        <f t="shared" si="549"/>
        <v/>
      </c>
      <c r="AL159">
        <f t="shared" si="560"/>
        <v>33</v>
      </c>
      <c r="AM159" s="11" t="str">
        <f t="shared" si="550"/>
        <v>Stocks</v>
      </c>
      <c r="AN159" t="str">
        <f t="shared" si="556"/>
        <v>Buy</v>
      </c>
      <c r="AO159" s="13">
        <f t="shared" si="557"/>
        <v>-5.7700000000000001E-2</v>
      </c>
      <c r="AP159" s="13">
        <f t="shared" si="558"/>
        <v>0</v>
      </c>
      <c r="AQ159" s="13">
        <f t="shared" si="559"/>
        <v>-5.3699999999999998E-2</v>
      </c>
      <c r="AR159" s="13">
        <f t="shared" si="551"/>
        <v>-5.7700000000000001E-2</v>
      </c>
      <c r="AS159" s="6">
        <f t="shared" si="543"/>
        <v>520.97819174091433</v>
      </c>
      <c r="AT159" s="6">
        <f t="shared" si="544"/>
        <v>185.97425508967711</v>
      </c>
      <c r="AU159" s="6">
        <f t="shared" si="545"/>
        <v>821.36590665403776</v>
      </c>
      <c r="AV159" s="6">
        <f t="shared" si="546"/>
        <v>1221.8814329296845</v>
      </c>
      <c r="AW159" s="58">
        <f t="shared" si="552"/>
        <v>2015</v>
      </c>
      <c r="AX159" s="58">
        <f>COUNTIF(AW$3:AW159,AW159)</f>
        <v>20</v>
      </c>
    </row>
    <row r="160" spans="1:50" x14ac:dyDescent="0.25">
      <c r="A160" s="5">
        <v>42225</v>
      </c>
      <c r="B160">
        <v>2077.5700000000002</v>
      </c>
      <c r="C160">
        <v>7.0000000000000007E-2</v>
      </c>
      <c r="D160" s="6">
        <v>13.39</v>
      </c>
      <c r="E160" s="18">
        <f t="shared" si="565"/>
        <v>13.08</v>
      </c>
      <c r="F160">
        <f t="shared" si="566"/>
        <v>2</v>
      </c>
      <c r="G160" s="18">
        <f>ROUND(INDEX(Valuation!U:U,MATCH(A160,Valuation!A:A,0)),2)</f>
        <v>130.51</v>
      </c>
      <c r="H160">
        <f t="shared" si="573"/>
        <v>1</v>
      </c>
      <c r="I160" s="18">
        <f>INDEX(WeeklyIndicators!Y:Y,MATCH(A160,WeeklyIndicators!A:A,0))</f>
        <v>133.81</v>
      </c>
      <c r="J160">
        <f t="shared" si="562"/>
        <v>0</v>
      </c>
      <c r="K160">
        <f>ROUND(INDEX(Economic!AF:AF,MATCH(EOMONTH($A160,-1),Economic!A:A,0)),2)</f>
        <v>104.53</v>
      </c>
      <c r="L160" s="11">
        <f t="shared" si="571"/>
        <v>0</v>
      </c>
      <c r="M160">
        <f>ROUND(INDEX(Manufacturing!P:P,MATCH(EOMONTH($A160,-1),Manufacturing!A:A,0)),2)</f>
        <v>86.3</v>
      </c>
      <c r="N160">
        <f t="shared" si="567"/>
        <v>0</v>
      </c>
      <c r="O160">
        <f>ROUND(INDEX(Housing!AC:AC,MATCH(EOMONTH($A160,-1),Housing!B:B,0)),2)</f>
        <v>151.88</v>
      </c>
      <c r="P160">
        <f t="shared" si="568"/>
        <v>3</v>
      </c>
      <c r="Q160">
        <f>ROUND(INDEX(Spending!AJ:AJ,MATCH(EOMONTH($A160,-1),Spending!B:B,0)),2)</f>
        <v>60.88</v>
      </c>
      <c r="R160">
        <f t="shared" si="572"/>
        <v>2</v>
      </c>
      <c r="S160">
        <f>ROUND(INDEX(Employment!V:V,MATCH(EOMONTH($A160,-1),Employment!A:A,0)),2)</f>
        <v>179.55</v>
      </c>
      <c r="T160" s="11">
        <f t="shared" si="569"/>
        <v>2</v>
      </c>
      <c r="U160">
        <f t="shared" si="561"/>
        <v>30</v>
      </c>
      <c r="V160">
        <f t="shared" si="553"/>
        <v>77.099999999999994</v>
      </c>
      <c r="W160" s="13">
        <f t="shared" si="554"/>
        <v>4.4999999999999997E-3</v>
      </c>
      <c r="X160" s="13">
        <f t="shared" si="555"/>
        <v>1.5799999999999998E-2</v>
      </c>
      <c r="Y160">
        <f t="shared" si="547"/>
        <v>81.400000000000006</v>
      </c>
      <c r="Z160" s="13">
        <f t="shared" si="542"/>
        <v>8.9999999999999993E-3</v>
      </c>
      <c r="AA160" s="13">
        <f t="shared" si="538"/>
        <v>2.1299999999999999E-2</v>
      </c>
      <c r="AB160" s="6">
        <f t="shared" si="548"/>
        <v>91.111000000000004</v>
      </c>
      <c r="AC160">
        <f t="shared" si="540"/>
        <v>46</v>
      </c>
      <c r="AD160" s="11">
        <f t="shared" si="541"/>
        <v>1</v>
      </c>
      <c r="AE160">
        <f t="shared" si="539"/>
        <v>33</v>
      </c>
      <c r="AF160">
        <f>IF(AND(AE160&lt;15,OR(AC160&gt;=30,AA160&gt;0.15,X160&gt;=0.15)),2,VLOOKUP(AE160,Table!P:Q,2,FALSE))</f>
        <v>5</v>
      </c>
      <c r="AG160" s="22">
        <f>IF((AB160*0.98)-(D160*0.8)+((AF160-3)*3)+VLOOKUP(AM160,Table!$A$11:$B$13,2,FALSE)&lt;0,0,(AB160*0.98)-(D160*0.8)+((AF160-3)*3)+VLOOKUP(AM160,Table!$A$11:$B$13,2,FALSE))</f>
        <v>92.576779999999999</v>
      </c>
      <c r="AH160" s="22">
        <f t="shared" si="570"/>
        <v>91</v>
      </c>
      <c r="AI160" s="18">
        <f t="shared" si="563"/>
        <v>0.03</v>
      </c>
      <c r="AJ160" s="18">
        <f t="shared" si="564"/>
        <v>0.02</v>
      </c>
      <c r="AK160" t="str">
        <f t="shared" si="549"/>
        <v/>
      </c>
      <c r="AL160">
        <f t="shared" si="560"/>
        <v>32.5</v>
      </c>
      <c r="AM160" s="11" t="str">
        <f t="shared" si="550"/>
        <v>Stocks</v>
      </c>
      <c r="AN160" t="str">
        <f t="shared" si="556"/>
        <v>Buy</v>
      </c>
      <c r="AO160" s="13">
        <f t="shared" si="557"/>
        <v>6.7000000000000002E-3</v>
      </c>
      <c r="AP160" s="13">
        <f t="shared" si="558"/>
        <v>0</v>
      </c>
      <c r="AQ160" s="13">
        <f t="shared" si="559"/>
        <v>6.1000000000000004E-3</v>
      </c>
      <c r="AR160" s="13">
        <f t="shared" si="551"/>
        <v>6.7000000000000002E-3</v>
      </c>
      <c r="AS160" s="6">
        <f t="shared" si="543"/>
        <v>517.510868919156</v>
      </c>
      <c r="AT160" s="6">
        <f t="shared" si="544"/>
        <v>185.97425508967711</v>
      </c>
      <c r="AU160" s="6">
        <f t="shared" si="545"/>
        <v>816.38595234473485</v>
      </c>
      <c r="AV160" s="6">
        <f t="shared" si="546"/>
        <v>1213.7493125356955</v>
      </c>
      <c r="AW160" s="58">
        <f t="shared" si="552"/>
        <v>2015</v>
      </c>
      <c r="AX160" s="58">
        <f>COUNTIF(AW$3:AW160,AW160)</f>
        <v>21</v>
      </c>
    </row>
    <row r="161" spans="1:50" x14ac:dyDescent="0.25">
      <c r="A161" s="5">
        <v>42218</v>
      </c>
      <c r="B161">
        <v>2103.84</v>
      </c>
      <c r="C161">
        <v>0.06</v>
      </c>
      <c r="D161" s="6">
        <v>12.12</v>
      </c>
      <c r="E161" s="18">
        <f t="shared" si="565"/>
        <v>12.6</v>
      </c>
      <c r="F161">
        <f t="shared" si="566"/>
        <v>2</v>
      </c>
      <c r="G161" s="18">
        <f>ROUND(INDEX(Valuation!U:U,MATCH(A161,Valuation!A:A,0)),2)</f>
        <v>127.16</v>
      </c>
      <c r="H161">
        <f t="shared" si="573"/>
        <v>1</v>
      </c>
      <c r="I161" s="18">
        <f>INDEX(WeeklyIndicators!Y:Y,MATCH(A161,WeeklyIndicators!A:A,0))</f>
        <v>133.91999999999999</v>
      </c>
      <c r="J161">
        <f t="shared" si="562"/>
        <v>0</v>
      </c>
      <c r="K161">
        <f>ROUND(INDEX(Economic!AF:AF,MATCH(EOMONTH($A161,-1),Economic!A:A,0)),2)</f>
        <v>104.53</v>
      </c>
      <c r="L161" s="11">
        <f t="shared" si="571"/>
        <v>0</v>
      </c>
      <c r="M161">
        <f>ROUND(INDEX(Manufacturing!P:P,MATCH(EOMONTH($A161,-1),Manufacturing!A:A,0)),2)</f>
        <v>86.3</v>
      </c>
      <c r="N161">
        <f t="shared" si="567"/>
        <v>0</v>
      </c>
      <c r="O161">
        <f>ROUND(INDEX(Housing!AC:AC,MATCH(EOMONTH($A161,-1),Housing!B:B,0)),2)</f>
        <v>151.88</v>
      </c>
      <c r="P161">
        <f t="shared" si="568"/>
        <v>3</v>
      </c>
      <c r="Q161">
        <f>ROUND(INDEX(Spending!AJ:AJ,MATCH(EOMONTH($A161,-1),Spending!B:B,0)),2)</f>
        <v>60.88</v>
      </c>
      <c r="R161">
        <f t="shared" si="572"/>
        <v>2</v>
      </c>
      <c r="S161">
        <f>ROUND(INDEX(Employment!V:V,MATCH(EOMONTH($A161,-1),Employment!A:A,0)),2)</f>
        <v>179.55</v>
      </c>
      <c r="T161" s="11">
        <f t="shared" si="569"/>
        <v>2</v>
      </c>
      <c r="U161">
        <f t="shared" si="561"/>
        <v>30</v>
      </c>
      <c r="V161">
        <f t="shared" si="553"/>
        <v>77.11</v>
      </c>
      <c r="W161" s="13">
        <f t="shared" si="554"/>
        <v>3.7000000000000002E-3</v>
      </c>
      <c r="X161" s="13">
        <f t="shared" si="555"/>
        <v>1.9900000000000001E-2</v>
      </c>
      <c r="Y161">
        <f t="shared" si="547"/>
        <v>81.209999999999994</v>
      </c>
      <c r="Z161" s="13">
        <f t="shared" si="542"/>
        <v>7.7000000000000002E-3</v>
      </c>
      <c r="AA161" s="13">
        <f t="shared" si="538"/>
        <v>1.6799999999999999E-2</v>
      </c>
      <c r="AB161" s="6">
        <f t="shared" si="548"/>
        <v>90.315999999999988</v>
      </c>
      <c r="AC161">
        <f t="shared" si="540"/>
        <v>45</v>
      </c>
      <c r="AD161" s="11">
        <f t="shared" si="541"/>
        <v>1</v>
      </c>
      <c r="AE161">
        <f t="shared" si="539"/>
        <v>33</v>
      </c>
      <c r="AF161">
        <f>IF(AND(AE161&lt;15,OR(AC161&gt;=30,AA161&gt;0.15,X161&gt;=0.15)),2,VLOOKUP(AE161,Table!P:Q,2,FALSE))</f>
        <v>5</v>
      </c>
      <c r="AG161" s="22">
        <f>IF((AB161*0.98)-(D161*0.8)+((AF161-3)*3)+VLOOKUP(AM161,Table!$A$11:$B$13,2,FALSE)&lt;0,0,(AB161*0.98)-(D161*0.8)+((AF161-3)*3)+VLOOKUP(AM161,Table!$A$11:$B$13,2,FALSE))</f>
        <v>92.813679999999991</v>
      </c>
      <c r="AH161" s="22">
        <f t="shared" si="570"/>
        <v>91</v>
      </c>
      <c r="AI161" s="18">
        <f t="shared" si="563"/>
        <v>0.02</v>
      </c>
      <c r="AJ161" s="18">
        <f t="shared" si="564"/>
        <v>0.02</v>
      </c>
      <c r="AK161" t="str">
        <f t="shared" si="549"/>
        <v/>
      </c>
      <c r="AL161">
        <f t="shared" si="560"/>
        <v>32.25</v>
      </c>
      <c r="AM161" s="11" t="str">
        <f t="shared" si="550"/>
        <v>Stocks</v>
      </c>
      <c r="AN161" t="str">
        <f t="shared" si="556"/>
        <v>Buy</v>
      </c>
      <c r="AO161" s="13">
        <f t="shared" si="557"/>
        <v>-1.2500000000000001E-2</v>
      </c>
      <c r="AP161" s="13">
        <f t="shared" si="558"/>
        <v>0</v>
      </c>
      <c r="AQ161" s="13">
        <f t="shared" si="559"/>
        <v>-1.14E-2</v>
      </c>
      <c r="AR161" s="13">
        <f t="shared" si="551"/>
        <v>-1.2500000000000001E-2</v>
      </c>
      <c r="AS161" s="6">
        <f t="shared" si="543"/>
        <v>524.06163941180353</v>
      </c>
      <c r="AT161" s="6">
        <f t="shared" si="544"/>
        <v>185.97425508967711</v>
      </c>
      <c r="AU161" s="6">
        <f t="shared" si="545"/>
        <v>825.80007317897514</v>
      </c>
      <c r="AV161" s="6">
        <f t="shared" si="546"/>
        <v>1229.1132278842485</v>
      </c>
      <c r="AW161" s="58">
        <f t="shared" si="552"/>
        <v>2015</v>
      </c>
      <c r="AX161" s="58">
        <f>COUNTIF(AW$3:AW161,AW161)</f>
        <v>22</v>
      </c>
    </row>
    <row r="162" spans="1:50" x14ac:dyDescent="0.25">
      <c r="A162" s="5">
        <v>42211</v>
      </c>
      <c r="B162">
        <v>2079.65</v>
      </c>
      <c r="C162">
        <v>0.04</v>
      </c>
      <c r="D162" s="6">
        <v>13.74</v>
      </c>
      <c r="E162" s="18">
        <f t="shared" si="565"/>
        <v>14.17</v>
      </c>
      <c r="F162">
        <f t="shared" si="566"/>
        <v>1</v>
      </c>
      <c r="G162" s="18">
        <f>ROUND(INDEX(Valuation!U:U,MATCH(A162,Valuation!A:A,0)),2)</f>
        <v>127.17</v>
      </c>
      <c r="H162">
        <f t="shared" si="573"/>
        <v>1</v>
      </c>
      <c r="I162" s="18">
        <f>INDEX(WeeklyIndicators!Y:Y,MATCH(A162,WeeklyIndicators!A:A,0))</f>
        <v>135.96</v>
      </c>
      <c r="J162">
        <f t="shared" si="562"/>
        <v>1</v>
      </c>
      <c r="K162">
        <f>ROUND(INDEX(Economic!AF:AF,MATCH(EOMONTH($A162,-1),Economic!A:A,0)),2)</f>
        <v>104.28</v>
      </c>
      <c r="L162" s="11">
        <f t="shared" si="571"/>
        <v>0</v>
      </c>
      <c r="M162">
        <f>ROUND(INDEX(Manufacturing!P:P,MATCH(EOMONTH($A162,-1),Manufacturing!A:A,0)),2)</f>
        <v>84.48</v>
      </c>
      <c r="N162">
        <f t="shared" si="567"/>
        <v>0</v>
      </c>
      <c r="O162">
        <f>ROUND(INDEX(Housing!AC:AC,MATCH(EOMONTH($A162,-1),Housing!B:B,0)),2)</f>
        <v>142.61000000000001</v>
      </c>
      <c r="P162">
        <f t="shared" si="568"/>
        <v>3</v>
      </c>
      <c r="Q162">
        <f>ROUND(INDEX(Spending!AJ:AJ,MATCH(EOMONTH($A162,-1),Spending!B:B,0)),2)</f>
        <v>55.78</v>
      </c>
      <c r="R162">
        <f t="shared" si="572"/>
        <v>1</v>
      </c>
      <c r="S162">
        <f>ROUND(INDEX(Employment!V:V,MATCH(EOMONTH($A162,-1),Employment!A:A,0)),2)</f>
        <v>175.71</v>
      </c>
      <c r="T162" s="11">
        <f t="shared" si="569"/>
        <v>2</v>
      </c>
      <c r="U162">
        <f t="shared" si="561"/>
        <v>29</v>
      </c>
      <c r="V162">
        <f t="shared" si="553"/>
        <v>75.64</v>
      </c>
      <c r="W162" s="13">
        <f t="shared" si="554"/>
        <v>-1.4E-3</v>
      </c>
      <c r="X162" s="13">
        <f t="shared" si="555"/>
        <v>1.9400000000000001E-2</v>
      </c>
      <c r="Y162">
        <f t="shared" si="547"/>
        <v>79.19</v>
      </c>
      <c r="Z162" s="13">
        <f t="shared" si="542"/>
        <v>-1E-3</v>
      </c>
      <c r="AA162" s="13">
        <f t="shared" si="538"/>
        <v>0.01</v>
      </c>
      <c r="AB162" s="6">
        <f t="shared" si="548"/>
        <v>87.796999999999997</v>
      </c>
      <c r="AC162">
        <f t="shared" si="540"/>
        <v>44</v>
      </c>
      <c r="AD162" s="11">
        <f t="shared" si="541"/>
        <v>1</v>
      </c>
      <c r="AE162">
        <f t="shared" si="539"/>
        <v>32</v>
      </c>
      <c r="AF162">
        <f>IF(AND(AE162&lt;15,OR(AC162&gt;=30,AA162&gt;0.15,X162&gt;=0.15)),2,VLOOKUP(AE162,Table!P:Q,2,FALSE))</f>
        <v>5</v>
      </c>
      <c r="AG162" s="22">
        <f>IF((AB162*0.98)-(D162*0.8)+((AF162-3)*3)+VLOOKUP(AM162,Table!$A$11:$B$13,2,FALSE)&lt;0,0,(AB162*0.98)-(D162*0.8)+((AF162-3)*3)+VLOOKUP(AM162,Table!$A$11:$B$13,2,FALSE))</f>
        <v>89.049059999999997</v>
      </c>
      <c r="AH162" s="22">
        <f t="shared" si="570"/>
        <v>88</v>
      </c>
      <c r="AI162" s="18">
        <f t="shared" si="563"/>
        <v>0.02</v>
      </c>
      <c r="AJ162" s="18">
        <f t="shared" si="564"/>
        <v>0.02</v>
      </c>
      <c r="AK162" t="str">
        <f t="shared" si="549"/>
        <v/>
      </c>
      <c r="AL162">
        <f t="shared" si="560"/>
        <v>32</v>
      </c>
      <c r="AM162" s="11" t="str">
        <f t="shared" si="550"/>
        <v>Stocks</v>
      </c>
      <c r="AN162" t="str">
        <f t="shared" si="556"/>
        <v>Buy</v>
      </c>
      <c r="AO162" s="13">
        <f t="shared" si="557"/>
        <v>1.1599999999999999E-2</v>
      </c>
      <c r="AP162" s="13">
        <f t="shared" si="558"/>
        <v>0</v>
      </c>
      <c r="AQ162" s="13">
        <f t="shared" si="559"/>
        <v>1.0200000000000001E-2</v>
      </c>
      <c r="AR162" s="13">
        <f t="shared" si="551"/>
        <v>1.1599999999999999E-2</v>
      </c>
      <c r="AS162" s="6">
        <f t="shared" si="543"/>
        <v>518.0522335031668</v>
      </c>
      <c r="AT162" s="6">
        <f t="shared" si="544"/>
        <v>185.97425508967711</v>
      </c>
      <c r="AU162" s="6">
        <f t="shared" si="545"/>
        <v>817.46196117499028</v>
      </c>
      <c r="AV162" s="6">
        <f t="shared" si="546"/>
        <v>1215.0190073984268</v>
      </c>
      <c r="AW162" s="58">
        <f t="shared" si="552"/>
        <v>2015</v>
      </c>
      <c r="AX162" s="58">
        <f>COUNTIF(AW$3:AW162,AW162)</f>
        <v>23</v>
      </c>
    </row>
    <row r="163" spans="1:50" x14ac:dyDescent="0.25">
      <c r="A163" s="5">
        <v>42204</v>
      </c>
      <c r="B163">
        <v>2126.64</v>
      </c>
      <c r="C163">
        <v>0.02</v>
      </c>
      <c r="D163" s="6">
        <v>11.95</v>
      </c>
      <c r="E163" s="18">
        <f t="shared" si="565"/>
        <v>15.19</v>
      </c>
      <c r="F163">
        <f t="shared" si="566"/>
        <v>1</v>
      </c>
      <c r="G163" s="18">
        <f>ROUND(INDEX(Valuation!U:U,MATCH(A163,Valuation!A:A,0)),2)</f>
        <v>127.05</v>
      </c>
      <c r="H163">
        <f t="shared" si="573"/>
        <v>1</v>
      </c>
      <c r="I163" s="18">
        <f>INDEX(WeeklyIndicators!Y:Y,MATCH(A163,WeeklyIndicators!A:A,0))</f>
        <v>140.06</v>
      </c>
      <c r="J163">
        <f t="shared" si="562"/>
        <v>1</v>
      </c>
      <c r="K163">
        <f>ROUND(INDEX(Economic!AF:AF,MATCH(EOMONTH($A163,-1),Economic!A:A,0)),2)</f>
        <v>104.28</v>
      </c>
      <c r="L163" s="11">
        <f t="shared" si="571"/>
        <v>0</v>
      </c>
      <c r="M163">
        <f>ROUND(INDEX(Manufacturing!P:P,MATCH(EOMONTH($A163,-1),Manufacturing!A:A,0)),2)</f>
        <v>84.48</v>
      </c>
      <c r="N163">
        <f t="shared" si="567"/>
        <v>0</v>
      </c>
      <c r="O163">
        <f>ROUND(INDEX(Housing!AC:AC,MATCH(EOMONTH($A163,-1),Housing!B:B,0)),2)</f>
        <v>142.61000000000001</v>
      </c>
      <c r="P163">
        <f t="shared" si="568"/>
        <v>3</v>
      </c>
      <c r="Q163">
        <f>ROUND(INDEX(Spending!AJ:AJ,MATCH(EOMONTH($A163,-1),Spending!B:B,0)),2)</f>
        <v>55.78</v>
      </c>
      <c r="R163">
        <f t="shared" si="572"/>
        <v>1</v>
      </c>
      <c r="S163">
        <f>ROUND(INDEX(Employment!V:V,MATCH(EOMONTH($A163,-1),Employment!A:A,0)),2)</f>
        <v>175.71</v>
      </c>
      <c r="T163" s="11">
        <f t="shared" si="569"/>
        <v>2</v>
      </c>
      <c r="U163">
        <f t="shared" si="561"/>
        <v>29</v>
      </c>
      <c r="V163">
        <f t="shared" si="553"/>
        <v>76.069999999999993</v>
      </c>
      <c r="W163" s="13">
        <f t="shared" si="554"/>
        <v>8.9999999999999993E-3</v>
      </c>
      <c r="X163" s="13">
        <f t="shared" si="555"/>
        <v>1.1899999999999999E-2</v>
      </c>
      <c r="Y163">
        <f t="shared" si="547"/>
        <v>79.25</v>
      </c>
      <c r="Z163" s="13">
        <f t="shared" si="542"/>
        <v>5.5999999999999999E-3</v>
      </c>
      <c r="AA163" s="13">
        <f t="shared" si="538"/>
        <v>1.2999999999999991E-3</v>
      </c>
      <c r="AB163" s="6">
        <f t="shared" si="548"/>
        <v>87.194999999999993</v>
      </c>
      <c r="AC163">
        <f t="shared" si="540"/>
        <v>44</v>
      </c>
      <c r="AD163" s="11">
        <f t="shared" si="541"/>
        <v>1</v>
      </c>
      <c r="AE163">
        <f t="shared" si="539"/>
        <v>32</v>
      </c>
      <c r="AF163">
        <f>IF(AND(AE163&lt;15,OR(AC163&gt;=30,AA163&gt;0.15,X163&gt;=0.15)),2,VLOOKUP(AE163,Table!P:Q,2,FALSE))</f>
        <v>5</v>
      </c>
      <c r="AG163" s="22">
        <f>IF((AB163*0.98)-(D163*0.8)+((AF163-3)*3)+VLOOKUP(AM163,Table!$A$11:$B$13,2,FALSE)&lt;0,0,(AB163*0.98)-(D163*0.8)+((AF163-3)*3)+VLOOKUP(AM163,Table!$A$11:$B$13,2,FALSE))</f>
        <v>89.891099999999994</v>
      </c>
      <c r="AH163" s="22">
        <f t="shared" si="570"/>
        <v>86</v>
      </c>
      <c r="AI163" s="18">
        <f t="shared" si="563"/>
        <v>0.02</v>
      </c>
      <c r="AJ163" s="18">
        <f t="shared" si="564"/>
        <v>0.02</v>
      </c>
      <c r="AK163" t="str">
        <f t="shared" si="549"/>
        <v/>
      </c>
      <c r="AL163">
        <f t="shared" si="560"/>
        <v>31.25</v>
      </c>
      <c r="AM163" s="11" t="str">
        <f t="shared" si="550"/>
        <v>Stocks</v>
      </c>
      <c r="AN163" t="str">
        <f t="shared" si="556"/>
        <v>Buy</v>
      </c>
      <c r="AO163" s="13">
        <f t="shared" si="557"/>
        <v>-2.2100000000000002E-2</v>
      </c>
      <c r="AP163" s="13">
        <f t="shared" si="558"/>
        <v>0</v>
      </c>
      <c r="AQ163" s="13">
        <f t="shared" si="559"/>
        <v>-1.9E-2</v>
      </c>
      <c r="AR163" s="13">
        <f t="shared" si="551"/>
        <v>-2.2100000000000002E-2</v>
      </c>
      <c r="AS163" s="6">
        <f t="shared" si="543"/>
        <v>529.75992790997725</v>
      </c>
      <c r="AT163" s="6">
        <f t="shared" si="544"/>
        <v>185.97425508967711</v>
      </c>
      <c r="AU163" s="6">
        <f t="shared" si="545"/>
        <v>833.29455777267106</v>
      </c>
      <c r="AV163" s="6">
        <f t="shared" si="546"/>
        <v>1242.4777660276375</v>
      </c>
      <c r="AW163" s="58">
        <f t="shared" si="552"/>
        <v>2015</v>
      </c>
      <c r="AX163" s="58">
        <f>COUNTIF(AW$3:AW163,AW163)</f>
        <v>24</v>
      </c>
    </row>
    <row r="164" spans="1:50" x14ac:dyDescent="0.25">
      <c r="A164" s="5">
        <v>42197</v>
      </c>
      <c r="B164">
        <v>2076.62</v>
      </c>
      <c r="C164">
        <v>0.02</v>
      </c>
      <c r="D164" s="6">
        <v>16.829999999999998</v>
      </c>
      <c r="E164" s="18">
        <f t="shared" si="565"/>
        <v>15.88</v>
      </c>
      <c r="F164">
        <f t="shared" si="566"/>
        <v>1</v>
      </c>
      <c r="G164" s="18">
        <f>ROUND(INDEX(Valuation!U:U,MATCH(A164,Valuation!A:A,0)),2)</f>
        <v>128.61000000000001</v>
      </c>
      <c r="H164">
        <f t="shared" si="573"/>
        <v>1</v>
      </c>
      <c r="I164" s="18">
        <f>INDEX(WeeklyIndicators!Y:Y,MATCH(A164,WeeklyIndicators!A:A,0))</f>
        <v>141.99</v>
      </c>
      <c r="J164">
        <f t="shared" si="562"/>
        <v>1</v>
      </c>
      <c r="K164">
        <f>ROUND(INDEX(Economic!AF:AF,MATCH(EOMONTH($A164,-1),Economic!A:A,0)),2)</f>
        <v>104.28</v>
      </c>
      <c r="L164" s="11">
        <f t="shared" si="571"/>
        <v>0</v>
      </c>
      <c r="M164">
        <f>ROUND(INDEX(Manufacturing!P:P,MATCH(EOMONTH($A164,-1),Manufacturing!A:A,0)),2)</f>
        <v>84.48</v>
      </c>
      <c r="N164">
        <f t="shared" si="567"/>
        <v>0</v>
      </c>
      <c r="O164">
        <f>ROUND(INDEX(Housing!AC:AC,MATCH(EOMONTH($A164,-1),Housing!B:B,0)),2)</f>
        <v>142.61000000000001</v>
      </c>
      <c r="P164">
        <f t="shared" si="568"/>
        <v>3</v>
      </c>
      <c r="Q164">
        <f>ROUND(INDEX(Spending!AJ:AJ,MATCH(EOMONTH($A164,-1),Spending!B:B,0)),2)</f>
        <v>55.78</v>
      </c>
      <c r="R164">
        <f t="shared" si="572"/>
        <v>1</v>
      </c>
      <c r="S164">
        <f>ROUND(INDEX(Employment!V:V,MATCH(EOMONTH($A164,-1),Employment!A:A,0)),2)</f>
        <v>175.71</v>
      </c>
      <c r="T164" s="11">
        <f t="shared" si="569"/>
        <v>2</v>
      </c>
      <c r="U164">
        <f t="shared" si="561"/>
        <v>29</v>
      </c>
      <c r="V164">
        <f t="shared" si="553"/>
        <v>76.27</v>
      </c>
      <c r="W164" s="13">
        <f t="shared" si="554"/>
        <v>8.6E-3</v>
      </c>
      <c r="X164" s="13">
        <f t="shared" si="555"/>
        <v>-1.0800000000000001E-2</v>
      </c>
      <c r="Y164">
        <f t="shared" si="547"/>
        <v>79.38</v>
      </c>
      <c r="Z164" s="13">
        <f t="shared" si="542"/>
        <v>4.4999999999999997E-3</v>
      </c>
      <c r="AA164" s="13">
        <f t="shared" si="538"/>
        <v>-1.8700000000000001E-2</v>
      </c>
      <c r="AB164" s="6">
        <f t="shared" si="548"/>
        <v>85.921000000000006</v>
      </c>
      <c r="AC164">
        <f t="shared" si="540"/>
        <v>43</v>
      </c>
      <c r="AD164" s="11">
        <f t="shared" si="541"/>
        <v>1</v>
      </c>
      <c r="AE164">
        <f t="shared" si="539"/>
        <v>32</v>
      </c>
      <c r="AF164">
        <f>IF(AND(AE164&lt;15,OR(AC164&gt;=30,AA164&gt;0.15,X164&gt;=0.15)),2,VLOOKUP(AE164,Table!P:Q,2,FALSE))</f>
        <v>5</v>
      </c>
      <c r="AG164" s="22">
        <f>IF((AB164*0.98)-(D164*0.8)+((AF164-3)*3)+VLOOKUP(AM164,Table!$A$11:$B$13,2,FALSE)&lt;0,0,(AB164*0.98)-(D164*0.8)+((AF164-3)*3)+VLOOKUP(AM164,Table!$A$11:$B$13,2,FALSE))</f>
        <v>84.738580000000013</v>
      </c>
      <c r="AH164" s="22">
        <f t="shared" si="570"/>
        <v>83</v>
      </c>
      <c r="AI164" s="18">
        <f t="shared" si="563"/>
        <v>0.02</v>
      </c>
      <c r="AJ164" s="18">
        <f t="shared" si="564"/>
        <v>0.02</v>
      </c>
      <c r="AK164" t="str">
        <f t="shared" si="549"/>
        <v/>
      </c>
      <c r="AL164">
        <f t="shared" si="560"/>
        <v>30.75</v>
      </c>
      <c r="AM164" s="11" t="str">
        <f t="shared" si="550"/>
        <v>Stocks</v>
      </c>
      <c r="AN164" t="str">
        <f t="shared" si="556"/>
        <v>Buy</v>
      </c>
      <c r="AO164" s="13">
        <f t="shared" si="557"/>
        <v>2.41E-2</v>
      </c>
      <c r="AP164" s="13">
        <f t="shared" si="558"/>
        <v>0</v>
      </c>
      <c r="AQ164" s="13">
        <f t="shared" si="559"/>
        <v>0.02</v>
      </c>
      <c r="AR164" s="13">
        <f t="shared" si="551"/>
        <v>2.41E-2</v>
      </c>
      <c r="AS164" s="6">
        <f t="shared" si="543"/>
        <v>517.2931626891683</v>
      </c>
      <c r="AT164" s="6">
        <f t="shared" si="544"/>
        <v>185.97425508967711</v>
      </c>
      <c r="AU164" s="6">
        <f t="shared" si="545"/>
        <v>816.95544879673628</v>
      </c>
      <c r="AV164" s="6">
        <f t="shared" si="546"/>
        <v>1213.2387130432942</v>
      </c>
      <c r="AW164" s="58">
        <f t="shared" si="552"/>
        <v>2015</v>
      </c>
      <c r="AX164" s="58">
        <f>COUNTIF(AW$3:AW164,AW164)</f>
        <v>25</v>
      </c>
    </row>
    <row r="165" spans="1:50" x14ac:dyDescent="0.25">
      <c r="A165" s="5">
        <v>42190</v>
      </c>
      <c r="B165">
        <v>2076.7800000000002</v>
      </c>
      <c r="C165">
        <v>0.01</v>
      </c>
      <c r="D165" s="6">
        <v>16.79</v>
      </c>
      <c r="E165" s="18">
        <f t="shared" si="565"/>
        <v>14.92</v>
      </c>
      <c r="F165">
        <f t="shared" si="566"/>
        <v>1</v>
      </c>
      <c r="G165" s="18">
        <f>ROUND(INDEX(Valuation!U:U,MATCH(A165,Valuation!A:A,0)),2)</f>
        <v>128.84</v>
      </c>
      <c r="H165">
        <f t="shared" si="573"/>
        <v>1</v>
      </c>
      <c r="I165" s="18">
        <f>INDEX(WeeklyIndicators!Y:Y,MATCH(A165,WeeklyIndicators!A:A,0))</f>
        <v>138.99</v>
      </c>
      <c r="J165">
        <f t="shared" si="562"/>
        <v>1</v>
      </c>
      <c r="K165">
        <f>ROUND(INDEX(Economic!AF:AF,MATCH(EOMONTH($A165,-1),Economic!A:A,0)),2)</f>
        <v>104.28</v>
      </c>
      <c r="L165" s="11">
        <f t="shared" si="571"/>
        <v>0</v>
      </c>
      <c r="M165">
        <f>ROUND(INDEX(Manufacturing!P:P,MATCH(EOMONTH($A165,-1),Manufacturing!A:A,0)),2)</f>
        <v>84.48</v>
      </c>
      <c r="N165">
        <f t="shared" si="567"/>
        <v>0</v>
      </c>
      <c r="O165">
        <f>ROUND(INDEX(Housing!AC:AC,MATCH(EOMONTH($A165,-1),Housing!B:B,0)),2)</f>
        <v>142.61000000000001</v>
      </c>
      <c r="P165">
        <f t="shared" si="568"/>
        <v>3</v>
      </c>
      <c r="Q165">
        <f>ROUND(INDEX(Spending!AJ:AJ,MATCH(EOMONTH($A165,-1),Spending!B:B,0)),2)</f>
        <v>55.78</v>
      </c>
      <c r="R165">
        <f t="shared" si="572"/>
        <v>1</v>
      </c>
      <c r="S165">
        <f>ROUND(INDEX(Employment!V:V,MATCH(EOMONTH($A165,-1),Employment!A:A,0)),2)</f>
        <v>175.71</v>
      </c>
      <c r="T165" s="11">
        <f t="shared" si="569"/>
        <v>2</v>
      </c>
      <c r="U165">
        <f t="shared" si="561"/>
        <v>29</v>
      </c>
      <c r="V165">
        <f t="shared" si="553"/>
        <v>75.959999999999994</v>
      </c>
      <c r="W165" s="13">
        <f t="shared" si="554"/>
        <v>3.2000000000000002E-3</v>
      </c>
      <c r="X165" s="13">
        <f t="shared" si="555"/>
        <v>-2.7700000000000002E-2</v>
      </c>
      <c r="Y165">
        <f t="shared" si="547"/>
        <v>79.430000000000007</v>
      </c>
      <c r="Z165" s="13">
        <f t="shared" si="542"/>
        <v>8.9999999999999998E-4</v>
      </c>
      <c r="AA165" s="13">
        <f t="shared" si="538"/>
        <v>-3.3500000000000002E-2</v>
      </c>
      <c r="AB165" s="6">
        <f t="shared" si="548"/>
        <v>84.823999999999998</v>
      </c>
      <c r="AC165">
        <f t="shared" si="540"/>
        <v>42</v>
      </c>
      <c r="AD165" s="11">
        <f t="shared" si="541"/>
        <v>1</v>
      </c>
      <c r="AE165">
        <f t="shared" si="539"/>
        <v>32</v>
      </c>
      <c r="AF165">
        <f>IF(AND(AE165&lt;15,OR(AC165&gt;=30,AA165&gt;0.15,X165&gt;=0.15)),2,VLOOKUP(AE165,Table!P:Q,2,FALSE))</f>
        <v>5</v>
      </c>
      <c r="AG165" s="22">
        <f>IF((AB165*0.98)-(D165*0.8)+((AF165-3)*3)+VLOOKUP(AM165,Table!$A$11:$B$13,2,FALSE)&lt;0,0,(AB165*0.98)-(D165*0.8)+((AF165-3)*3)+VLOOKUP(AM165,Table!$A$11:$B$13,2,FALSE))</f>
        <v>83.695519999999988</v>
      </c>
      <c r="AH165" s="22">
        <f t="shared" si="570"/>
        <v>82</v>
      </c>
      <c r="AI165" s="18">
        <f t="shared" si="563"/>
        <v>0.02</v>
      </c>
      <c r="AJ165" s="18">
        <f t="shared" si="564"/>
        <v>0.02</v>
      </c>
      <c r="AK165" t="str">
        <f t="shared" si="549"/>
        <v/>
      </c>
      <c r="AL165">
        <f t="shared" si="560"/>
        <v>30.25</v>
      </c>
      <c r="AM165" s="11" t="str">
        <f t="shared" si="550"/>
        <v>Stocks</v>
      </c>
      <c r="AN165" t="str">
        <f t="shared" si="556"/>
        <v>Buy</v>
      </c>
      <c r="AO165" s="13">
        <f t="shared" si="557"/>
        <v>-1E-4</v>
      </c>
      <c r="AP165" s="13">
        <f t="shared" si="558"/>
        <v>0</v>
      </c>
      <c r="AQ165" s="13">
        <f t="shared" si="559"/>
        <v>-1E-4</v>
      </c>
      <c r="AR165" s="13">
        <f t="shared" si="551"/>
        <v>-1E-4</v>
      </c>
      <c r="AS165" s="6">
        <f t="shared" si="543"/>
        <v>517.34489717888619</v>
      </c>
      <c r="AT165" s="6">
        <f t="shared" si="544"/>
        <v>185.97425508967711</v>
      </c>
      <c r="AU165" s="6">
        <f t="shared" si="545"/>
        <v>817.03715251198741</v>
      </c>
      <c r="AV165" s="6">
        <f t="shared" si="546"/>
        <v>1213.360049048199</v>
      </c>
      <c r="AW165" s="58">
        <f t="shared" si="552"/>
        <v>2015</v>
      </c>
      <c r="AX165" s="58">
        <f>COUNTIF(AW$3:AW165,AW165)</f>
        <v>26</v>
      </c>
    </row>
    <row r="166" spans="1:50" x14ac:dyDescent="0.25">
      <c r="A166" s="5">
        <v>42183</v>
      </c>
      <c r="B166">
        <v>2101.4899999999998</v>
      </c>
      <c r="C166">
        <v>0.01</v>
      </c>
      <c r="D166" s="6">
        <v>14.02</v>
      </c>
      <c r="E166" s="18">
        <f t="shared" si="565"/>
        <v>13.92</v>
      </c>
      <c r="F166">
        <f t="shared" si="566"/>
        <v>2</v>
      </c>
      <c r="G166" s="18">
        <f>ROUND(INDEX(Valuation!U:U,MATCH(A166,Valuation!A:A,0)),2)</f>
        <v>129.4</v>
      </c>
      <c r="H166">
        <f t="shared" si="573"/>
        <v>1</v>
      </c>
      <c r="I166" s="18">
        <f>INDEX(WeeklyIndicators!Y:Y,MATCH(A166,WeeklyIndicators!A:A,0))</f>
        <v>135.22999999999999</v>
      </c>
      <c r="J166">
        <f t="shared" si="562"/>
        <v>1</v>
      </c>
      <c r="K166">
        <f>ROUND(INDEX(Economic!AF:AF,MATCH(EOMONTH($A166,-1),Economic!A:A,0)),2)</f>
        <v>105.02</v>
      </c>
      <c r="L166" s="11">
        <f t="shared" si="571"/>
        <v>0</v>
      </c>
      <c r="M166">
        <f>ROUND(INDEX(Manufacturing!P:P,MATCH(EOMONTH($A166,-1),Manufacturing!A:A,0)),2)</f>
        <v>80.3</v>
      </c>
      <c r="N166">
        <f t="shared" si="567"/>
        <v>-1</v>
      </c>
      <c r="O166">
        <f>ROUND(INDEX(Housing!AC:AC,MATCH(EOMONTH($A166,-1),Housing!B:B,0)),2)</f>
        <v>136.37</v>
      </c>
      <c r="P166">
        <f t="shared" si="568"/>
        <v>2</v>
      </c>
      <c r="Q166">
        <f>ROUND(INDEX(Spending!AJ:AJ,MATCH(EOMONTH($A166,-1),Spending!B:B,0)),2)</f>
        <v>51.19</v>
      </c>
      <c r="R166">
        <f t="shared" si="572"/>
        <v>1</v>
      </c>
      <c r="S166">
        <f>ROUND(INDEX(Employment!V:V,MATCH(EOMONTH($A166,-1),Employment!A:A,0)),2)</f>
        <v>172.86</v>
      </c>
      <c r="T166" s="11">
        <f t="shared" si="569"/>
        <v>1</v>
      </c>
      <c r="U166">
        <f t="shared" si="561"/>
        <v>27</v>
      </c>
      <c r="V166">
        <f t="shared" si="553"/>
        <v>74.03</v>
      </c>
      <c r="W166" s="13">
        <f t="shared" si="554"/>
        <v>-8.8999999999999999E-3</v>
      </c>
      <c r="X166" s="13">
        <f t="shared" si="555"/>
        <v>-3.49E-2</v>
      </c>
      <c r="Y166">
        <f t="shared" si="547"/>
        <v>77.92</v>
      </c>
      <c r="Z166" s="13">
        <f t="shared" si="542"/>
        <v>-9.7000000000000003E-3</v>
      </c>
      <c r="AA166" s="13">
        <f t="shared" si="538"/>
        <v>-3.9899999999999998E-2</v>
      </c>
      <c r="AB166" s="6">
        <f t="shared" si="548"/>
        <v>82.81</v>
      </c>
      <c r="AC166">
        <f t="shared" si="540"/>
        <v>41</v>
      </c>
      <c r="AD166" s="11">
        <f t="shared" si="541"/>
        <v>0</v>
      </c>
      <c r="AE166">
        <f t="shared" si="539"/>
        <v>29</v>
      </c>
      <c r="AF166">
        <f>IF(AND(AE166&lt;15,OR(AC166&gt;=30,AA166&gt;0.15,X166&gt;=0.15)),2,VLOOKUP(AE166,Table!P:Q,2,FALSE))</f>
        <v>4</v>
      </c>
      <c r="AG166" s="22">
        <f>IF((AB166*0.98)-(D166*0.8)+((AF166-3)*3)+VLOOKUP(AM166,Table!$A$11:$B$13,2,FALSE)&lt;0,0,(AB166*0.98)-(D166*0.8)+((AF166-3)*3)+VLOOKUP(AM166,Table!$A$11:$B$13,2,FALSE))</f>
        <v>80.93780000000001</v>
      </c>
      <c r="AH166" s="22">
        <f t="shared" si="570"/>
        <v>82</v>
      </c>
      <c r="AI166" s="18">
        <f t="shared" si="563"/>
        <v>0.02</v>
      </c>
      <c r="AJ166" s="18">
        <f t="shared" si="564"/>
        <v>0.02</v>
      </c>
      <c r="AK166" t="str">
        <f t="shared" si="549"/>
        <v/>
      </c>
      <c r="AL166">
        <f t="shared" si="560"/>
        <v>30</v>
      </c>
      <c r="AM166" s="11" t="str">
        <f t="shared" si="550"/>
        <v>Stocks</v>
      </c>
      <c r="AN166" t="str">
        <f t="shared" si="556"/>
        <v>Buy</v>
      </c>
      <c r="AO166" s="13">
        <f t="shared" si="557"/>
        <v>-1.18E-2</v>
      </c>
      <c r="AP166" s="13">
        <f t="shared" si="558"/>
        <v>0</v>
      </c>
      <c r="AQ166" s="13">
        <f t="shared" si="559"/>
        <v>-9.7000000000000003E-3</v>
      </c>
      <c r="AR166" s="13">
        <f t="shared" si="551"/>
        <v>-1.18E-2</v>
      </c>
      <c r="AS166" s="6">
        <f t="shared" si="543"/>
        <v>523.52246223323846</v>
      </c>
      <c r="AT166" s="6">
        <f t="shared" si="544"/>
        <v>185.97425508967711</v>
      </c>
      <c r="AU166" s="6">
        <f t="shared" si="545"/>
        <v>825.04004090880289</v>
      </c>
      <c r="AV166" s="6">
        <f t="shared" si="546"/>
        <v>1227.8486632748422</v>
      </c>
      <c r="AW166" s="58">
        <f t="shared" si="552"/>
        <v>2015</v>
      </c>
      <c r="AX166" s="58">
        <f>COUNTIF(AW$3:AW166,AW166)</f>
        <v>27</v>
      </c>
    </row>
    <row r="167" spans="1:50" x14ac:dyDescent="0.25">
      <c r="A167" s="5">
        <v>42176</v>
      </c>
      <c r="B167">
        <v>2109.9899999999998</v>
      </c>
      <c r="C167">
        <v>0.01</v>
      </c>
      <c r="D167" s="6">
        <v>13.96</v>
      </c>
      <c r="E167" s="18">
        <f t="shared" si="565"/>
        <v>13.98</v>
      </c>
      <c r="F167">
        <f t="shared" si="566"/>
        <v>2</v>
      </c>
      <c r="G167" s="18">
        <f>ROUND(INDEX(Valuation!U:U,MATCH(A167,Valuation!A:A,0)),2)</f>
        <v>130.38</v>
      </c>
      <c r="H167">
        <f t="shared" si="573"/>
        <v>1</v>
      </c>
      <c r="I167" s="18">
        <f>INDEX(WeeklyIndicators!Y:Y,MATCH(A167,WeeklyIndicators!A:A,0))</f>
        <v>138.30000000000001</v>
      </c>
      <c r="J167">
        <f t="shared" si="562"/>
        <v>1</v>
      </c>
      <c r="K167">
        <f>ROUND(INDEX(Economic!AF:AF,MATCH(EOMONTH($A167,-1),Economic!A:A,0)),2)</f>
        <v>105.02</v>
      </c>
      <c r="L167" s="11">
        <f t="shared" si="571"/>
        <v>0</v>
      </c>
      <c r="M167">
        <f>ROUND(INDEX(Manufacturing!P:P,MATCH(EOMONTH($A167,-1),Manufacturing!A:A,0)),2)</f>
        <v>80.3</v>
      </c>
      <c r="N167">
        <f t="shared" si="567"/>
        <v>-1</v>
      </c>
      <c r="O167">
        <f>ROUND(INDEX(Housing!AC:AC,MATCH(EOMONTH($A167,-1),Housing!B:B,0)),2)</f>
        <v>136.37</v>
      </c>
      <c r="P167">
        <f t="shared" si="568"/>
        <v>2</v>
      </c>
      <c r="Q167">
        <f>ROUND(INDEX(Spending!AJ:AJ,MATCH(EOMONTH($A167,-1),Spending!B:B,0)),2)</f>
        <v>51.19</v>
      </c>
      <c r="R167">
        <f t="shared" si="572"/>
        <v>1</v>
      </c>
      <c r="S167">
        <f>ROUND(INDEX(Employment!V:V,MATCH(EOMONTH($A167,-1),Employment!A:A,0)),2)</f>
        <v>172.86</v>
      </c>
      <c r="T167" s="11">
        <f t="shared" si="569"/>
        <v>1</v>
      </c>
      <c r="U167">
        <f t="shared" si="561"/>
        <v>27</v>
      </c>
      <c r="V167">
        <f t="shared" si="553"/>
        <v>74.349999999999994</v>
      </c>
      <c r="W167" s="13">
        <f t="shared" si="554"/>
        <v>-1.37E-2</v>
      </c>
      <c r="X167" s="13">
        <f t="shared" si="555"/>
        <v>-2.4499999999999997E-2</v>
      </c>
      <c r="Y167">
        <f t="shared" si="547"/>
        <v>78.319999999999993</v>
      </c>
      <c r="Z167" s="13">
        <f t="shared" si="542"/>
        <v>-1.44E-2</v>
      </c>
      <c r="AA167" s="13">
        <f t="shared" si="538"/>
        <v>-3.0899999999999997E-2</v>
      </c>
      <c r="AB167" s="6">
        <f t="shared" si="548"/>
        <v>84.018000000000001</v>
      </c>
      <c r="AC167">
        <f t="shared" si="540"/>
        <v>42</v>
      </c>
      <c r="AD167" s="11">
        <f t="shared" si="541"/>
        <v>1</v>
      </c>
      <c r="AE167">
        <f t="shared" si="539"/>
        <v>30</v>
      </c>
      <c r="AF167">
        <f>IF(AND(AE167&lt;15,OR(AC167&gt;=30,AA167&gt;0.15,X167&gt;=0.15)),2,VLOOKUP(AE167,Table!P:Q,2,FALSE))</f>
        <v>4</v>
      </c>
      <c r="AG167" s="22">
        <f>IF((AB167*0.98)-(D167*0.8)+((AF167-3)*3)+VLOOKUP(AM167,Table!$A$11:$B$13,2,FALSE)&lt;0,0,(AB167*0.98)-(D167*0.8)+((AF167-3)*3)+VLOOKUP(AM167,Table!$A$11:$B$13,2,FALSE))</f>
        <v>82.169639999999987</v>
      </c>
      <c r="AH167" s="22">
        <f t="shared" si="570"/>
        <v>84</v>
      </c>
      <c r="AI167" s="18">
        <f t="shared" si="563"/>
        <v>0.02</v>
      </c>
      <c r="AJ167" s="18">
        <f t="shared" si="564"/>
        <v>0.02</v>
      </c>
      <c r="AK167" t="str">
        <f t="shared" si="549"/>
        <v/>
      </c>
      <c r="AL167">
        <f t="shared" si="560"/>
        <v>30.75</v>
      </c>
      <c r="AM167" s="11" t="str">
        <f t="shared" si="550"/>
        <v>Stocks</v>
      </c>
      <c r="AN167" t="str">
        <f t="shared" si="556"/>
        <v>Buy</v>
      </c>
      <c r="AO167" s="13">
        <f t="shared" si="557"/>
        <v>-4.0000000000000001E-3</v>
      </c>
      <c r="AP167" s="13">
        <f t="shared" si="558"/>
        <v>0</v>
      </c>
      <c r="AQ167" s="13">
        <f t="shared" si="559"/>
        <v>-3.3999999999999998E-3</v>
      </c>
      <c r="AR167" s="13">
        <f t="shared" si="551"/>
        <v>-4.0000000000000001E-3</v>
      </c>
      <c r="AS167" s="6">
        <f t="shared" si="543"/>
        <v>525.62496208156472</v>
      </c>
      <c r="AT167" s="6">
        <f t="shared" si="544"/>
        <v>185.97425508967711</v>
      </c>
      <c r="AU167" s="6">
        <f t="shared" si="545"/>
        <v>827.85474704876867</v>
      </c>
      <c r="AV167" s="6">
        <f t="shared" si="546"/>
        <v>1232.7797824044601</v>
      </c>
      <c r="AW167" s="58">
        <f t="shared" si="552"/>
        <v>2015</v>
      </c>
      <c r="AX167" s="58">
        <f>COUNTIF(AW$3:AW167,AW167)</f>
        <v>28</v>
      </c>
    </row>
    <row r="168" spans="1:50" x14ac:dyDescent="0.25">
      <c r="A168" s="5">
        <v>42169</v>
      </c>
      <c r="B168">
        <v>2094.11</v>
      </c>
      <c r="C168">
        <v>0.02</v>
      </c>
      <c r="D168" s="6">
        <v>13.78</v>
      </c>
      <c r="E168" s="18">
        <f t="shared" si="565"/>
        <v>13.94</v>
      </c>
      <c r="F168">
        <f t="shared" si="566"/>
        <v>2</v>
      </c>
      <c r="G168" s="18">
        <f>ROUND(INDEX(Valuation!U:U,MATCH(A168,Valuation!A:A,0)),2)</f>
        <v>130.33000000000001</v>
      </c>
      <c r="H168">
        <f t="shared" si="573"/>
        <v>1</v>
      </c>
      <c r="I168" s="18">
        <f>INDEX(WeeklyIndicators!Y:Y,MATCH(A168,WeeklyIndicators!A:A,0))</f>
        <v>146.91</v>
      </c>
      <c r="J168">
        <f t="shared" si="562"/>
        <v>1</v>
      </c>
      <c r="K168">
        <f>ROUND(INDEX(Economic!AF:AF,MATCH(EOMONTH($A168,-1),Economic!A:A,0)),2)</f>
        <v>105.02</v>
      </c>
      <c r="L168" s="11">
        <f t="shared" si="571"/>
        <v>0</v>
      </c>
      <c r="M168">
        <f>ROUND(INDEX(Manufacturing!P:P,MATCH(EOMONTH($A168,-1),Manufacturing!A:A,0)),2)</f>
        <v>80.3</v>
      </c>
      <c r="N168">
        <f t="shared" si="567"/>
        <v>-1</v>
      </c>
      <c r="O168">
        <f>ROUND(INDEX(Housing!AC:AC,MATCH(EOMONTH($A168,-1),Housing!B:B,0)),2)</f>
        <v>136.37</v>
      </c>
      <c r="P168">
        <f t="shared" si="568"/>
        <v>2</v>
      </c>
      <c r="Q168">
        <f>ROUND(INDEX(Spending!AJ:AJ,MATCH(EOMONTH($A168,-1),Spending!B:B,0)),2)</f>
        <v>51.19</v>
      </c>
      <c r="R168">
        <f t="shared" si="572"/>
        <v>1</v>
      </c>
      <c r="S168">
        <f>ROUND(INDEX(Employment!V:V,MATCH(EOMONTH($A168,-1),Employment!A:A,0)),2)</f>
        <v>172.86</v>
      </c>
      <c r="T168" s="11">
        <f t="shared" si="569"/>
        <v>1</v>
      </c>
      <c r="U168">
        <f t="shared" si="561"/>
        <v>27</v>
      </c>
      <c r="V168">
        <f t="shared" si="553"/>
        <v>75.239999999999995</v>
      </c>
      <c r="W168" s="13">
        <f t="shared" si="554"/>
        <v>-8.3000000000000001E-3</v>
      </c>
      <c r="X168" s="13">
        <f t="shared" si="555"/>
        <v>-1.1900000000000001E-2</v>
      </c>
      <c r="Y168">
        <f t="shared" si="547"/>
        <v>79.22</v>
      </c>
      <c r="Z168" s="13">
        <f t="shared" si="542"/>
        <v>-1.03E-2</v>
      </c>
      <c r="AA168" s="13">
        <f t="shared" si="538"/>
        <v>-1.89E-2</v>
      </c>
      <c r="AB168" s="6">
        <f t="shared" si="548"/>
        <v>85.873000000000005</v>
      </c>
      <c r="AC168">
        <f t="shared" si="540"/>
        <v>43</v>
      </c>
      <c r="AD168" s="11">
        <f t="shared" si="541"/>
        <v>1</v>
      </c>
      <c r="AE168">
        <f t="shared" si="539"/>
        <v>30</v>
      </c>
      <c r="AF168">
        <f>IF(AND(AE168&lt;15,OR(AC168&gt;=30,AA168&gt;0.15,X168&gt;=0.15)),2,VLOOKUP(AE168,Table!P:Q,2,FALSE))</f>
        <v>4</v>
      </c>
      <c r="AG168" s="22">
        <f>IF((AB168*0.98)-(D168*0.8)+((AF168-3)*3)+VLOOKUP(AM168,Table!$A$11:$B$13,2,FALSE)&lt;0,0,(AB168*0.98)-(D168*0.8)+((AF168-3)*3)+VLOOKUP(AM168,Table!$A$11:$B$13,2,FALSE))</f>
        <v>84.131540000000001</v>
      </c>
      <c r="AH168" s="22">
        <f t="shared" si="570"/>
        <v>86</v>
      </c>
      <c r="AI168" s="18">
        <f t="shared" si="563"/>
        <v>0.02</v>
      </c>
      <c r="AJ168" s="18">
        <f t="shared" si="564"/>
        <v>0.02</v>
      </c>
      <c r="AK168" t="str">
        <f t="shared" si="549"/>
        <v/>
      </c>
      <c r="AL168">
        <f t="shared" si="560"/>
        <v>31.25</v>
      </c>
      <c r="AM168" s="11" t="str">
        <f t="shared" si="550"/>
        <v>Stocks</v>
      </c>
      <c r="AN168" t="str">
        <f t="shared" si="556"/>
        <v>Buy</v>
      </c>
      <c r="AO168" s="13">
        <f t="shared" si="557"/>
        <v>7.6E-3</v>
      </c>
      <c r="AP168" s="13">
        <f t="shared" si="558"/>
        <v>0</v>
      </c>
      <c r="AQ168" s="13">
        <f t="shared" si="559"/>
        <v>6.4999999999999997E-3</v>
      </c>
      <c r="AR168" s="13">
        <f t="shared" si="551"/>
        <v>7.6E-3</v>
      </c>
      <c r="AS168" s="6">
        <f t="shared" si="543"/>
        <v>521.66034347118375</v>
      </c>
      <c r="AT168" s="6">
        <f t="shared" si="544"/>
        <v>185.97425508967711</v>
      </c>
      <c r="AU168" s="6">
        <f t="shared" si="545"/>
        <v>822.50844217463361</v>
      </c>
      <c r="AV168" s="6">
        <f t="shared" si="546"/>
        <v>1223.4813243394799</v>
      </c>
      <c r="AW168" s="58">
        <f t="shared" si="552"/>
        <v>2015</v>
      </c>
      <c r="AX168" s="58">
        <f>COUNTIF(AW$3:AW168,AW168)</f>
        <v>29</v>
      </c>
    </row>
    <row r="169" spans="1:50" x14ac:dyDescent="0.25">
      <c r="A169" s="5">
        <v>42162</v>
      </c>
      <c r="B169">
        <v>2092.83</v>
      </c>
      <c r="C169">
        <v>0.02</v>
      </c>
      <c r="D169" s="6">
        <v>14.21</v>
      </c>
      <c r="E169" s="18">
        <f t="shared" si="565"/>
        <v>13.39</v>
      </c>
      <c r="F169">
        <f t="shared" si="566"/>
        <v>2</v>
      </c>
      <c r="G169" s="18">
        <f>ROUND(INDEX(Valuation!U:U,MATCH(A169,Valuation!A:A,0)),2)</f>
        <v>130.38999999999999</v>
      </c>
      <c r="H169">
        <f t="shared" si="573"/>
        <v>1</v>
      </c>
      <c r="I169" s="18">
        <f>INDEX(WeeklyIndicators!Y:Y,MATCH(A169,WeeklyIndicators!A:A,0))</f>
        <v>154.56</v>
      </c>
      <c r="J169">
        <f t="shared" si="562"/>
        <v>2</v>
      </c>
      <c r="K169">
        <f>ROUND(INDEX(Economic!AF:AF,MATCH(EOMONTH($A169,-1),Economic!A:A,0)),2)</f>
        <v>105.02</v>
      </c>
      <c r="L169" s="11">
        <f t="shared" si="571"/>
        <v>0</v>
      </c>
      <c r="M169">
        <f>ROUND(INDEX(Manufacturing!P:P,MATCH(EOMONTH($A169,-1),Manufacturing!A:A,0)),2)</f>
        <v>80.3</v>
      </c>
      <c r="N169">
        <f t="shared" si="567"/>
        <v>-1</v>
      </c>
      <c r="O169">
        <f>ROUND(INDEX(Housing!AC:AC,MATCH(EOMONTH($A169,-1),Housing!B:B,0)),2)</f>
        <v>136.37</v>
      </c>
      <c r="P169">
        <f t="shared" si="568"/>
        <v>2</v>
      </c>
      <c r="Q169">
        <f>ROUND(INDEX(Spending!AJ:AJ,MATCH(EOMONTH($A169,-1),Spending!B:B,0)),2)</f>
        <v>51.19</v>
      </c>
      <c r="R169">
        <f t="shared" si="572"/>
        <v>1</v>
      </c>
      <c r="S169">
        <f>ROUND(INDEX(Employment!V:V,MATCH(EOMONTH($A169,-1),Employment!A:A,0)),2)</f>
        <v>172.86</v>
      </c>
      <c r="T169" s="11">
        <f t="shared" si="569"/>
        <v>1</v>
      </c>
      <c r="U169">
        <f t="shared" si="561"/>
        <v>28</v>
      </c>
      <c r="V169">
        <f t="shared" si="553"/>
        <v>76.040000000000006</v>
      </c>
      <c r="W169" s="13">
        <f t="shared" si="554"/>
        <v>-4.0000000000000001E-3</v>
      </c>
      <c r="X169" s="13">
        <f t="shared" si="555"/>
        <v>-1.4999999999999999E-2</v>
      </c>
      <c r="Y169">
        <f t="shared" si="547"/>
        <v>80.22</v>
      </c>
      <c r="Z169" s="13">
        <f t="shared" si="542"/>
        <v>-5.4999999999999997E-3</v>
      </c>
      <c r="AA169" s="13">
        <f t="shared" si="538"/>
        <v>-2.1400000000000002E-2</v>
      </c>
      <c r="AB169" s="6">
        <f t="shared" si="548"/>
        <v>86.709000000000003</v>
      </c>
      <c r="AC169">
        <f t="shared" si="540"/>
        <v>43</v>
      </c>
      <c r="AD169" s="11">
        <f t="shared" si="541"/>
        <v>1</v>
      </c>
      <c r="AE169">
        <f t="shared" si="539"/>
        <v>31</v>
      </c>
      <c r="AF169">
        <f>IF(AND(AE169&lt;15,OR(AC169&gt;=30,AA169&gt;0.15,X169&gt;=0.15)),2,VLOOKUP(AE169,Table!P:Q,2,FALSE))</f>
        <v>4</v>
      </c>
      <c r="AG169" s="22">
        <f>IF((AB169*0.98)-(D169*0.8)+((AF169-3)*3)+VLOOKUP(AM169,Table!$A$11:$B$13,2,FALSE)&lt;0,0,(AB169*0.98)-(D169*0.8)+((AF169-3)*3)+VLOOKUP(AM169,Table!$A$11:$B$13,2,FALSE))</f>
        <v>84.606819999999999</v>
      </c>
      <c r="AH169" s="22">
        <f t="shared" si="570"/>
        <v>88</v>
      </c>
      <c r="AI169" s="18">
        <f t="shared" si="563"/>
        <v>0.02</v>
      </c>
      <c r="AJ169" s="18">
        <f t="shared" si="564"/>
        <v>0.02</v>
      </c>
      <c r="AK169" t="str">
        <f t="shared" si="549"/>
        <v/>
      </c>
      <c r="AL169">
        <f t="shared" si="560"/>
        <v>31.5</v>
      </c>
      <c r="AM169" s="11" t="str">
        <f t="shared" si="550"/>
        <v>Stocks</v>
      </c>
      <c r="AN169" t="str">
        <f t="shared" si="556"/>
        <v>Buy</v>
      </c>
      <c r="AO169" s="13">
        <f t="shared" si="557"/>
        <v>5.9999999999999995E-4</v>
      </c>
      <c r="AP169" s="13">
        <f t="shared" si="558"/>
        <v>0</v>
      </c>
      <c r="AQ169" s="13">
        <f t="shared" si="559"/>
        <v>5.0000000000000001E-4</v>
      </c>
      <c r="AR169" s="13">
        <f t="shared" si="551"/>
        <v>5.9999999999999995E-4</v>
      </c>
      <c r="AS169" s="6">
        <f t="shared" si="543"/>
        <v>521.34753495021369</v>
      </c>
      <c r="AT169" s="6">
        <f t="shared" si="544"/>
        <v>185.97425508967711</v>
      </c>
      <c r="AU169" s="6">
        <f t="shared" si="545"/>
        <v>822.09739347789468</v>
      </c>
      <c r="AV169" s="6">
        <f t="shared" si="546"/>
        <v>1222.7476757340396</v>
      </c>
      <c r="AW169" s="58">
        <f t="shared" si="552"/>
        <v>2015</v>
      </c>
      <c r="AX169" s="58">
        <f>COUNTIF(AW$3:AW169,AW169)</f>
        <v>30</v>
      </c>
    </row>
    <row r="170" spans="1:50" x14ac:dyDescent="0.25">
      <c r="A170" s="5">
        <v>42155</v>
      </c>
      <c r="B170">
        <v>2107.39</v>
      </c>
      <c r="C170">
        <v>0.01</v>
      </c>
      <c r="D170" s="6">
        <v>13.84</v>
      </c>
      <c r="E170" s="18">
        <f t="shared" si="565"/>
        <v>12.78</v>
      </c>
      <c r="F170">
        <f t="shared" si="566"/>
        <v>2</v>
      </c>
      <c r="G170" s="18">
        <f>ROUND(INDEX(Valuation!U:U,MATCH(A170,Valuation!A:A,0)),2)</f>
        <v>129.66999999999999</v>
      </c>
      <c r="H170">
        <f t="shared" si="573"/>
        <v>1</v>
      </c>
      <c r="I170" s="18">
        <f>INDEX(WeeklyIndicators!Y:Y,MATCH(A170,WeeklyIndicators!A:A,0))</f>
        <v>155.34</v>
      </c>
      <c r="J170">
        <f t="shared" si="562"/>
        <v>2</v>
      </c>
      <c r="K170">
        <f>ROUND(INDEX(Economic!AF:AF,MATCH(EOMONTH($A170,-1),Economic!A:A,0)),2)</f>
        <v>114.06</v>
      </c>
      <c r="L170" s="11">
        <f t="shared" si="571"/>
        <v>1</v>
      </c>
      <c r="M170">
        <f>ROUND(INDEX(Manufacturing!P:P,MATCH(EOMONTH($A170,-1),Manufacturing!A:A,0)),2)</f>
        <v>81.739999999999995</v>
      </c>
      <c r="N170">
        <f t="shared" si="567"/>
        <v>-1</v>
      </c>
      <c r="O170">
        <f>ROUND(INDEX(Housing!AC:AC,MATCH(EOMONTH($A170,-1),Housing!B:B,0)),2)</f>
        <v>132.59</v>
      </c>
      <c r="P170">
        <f t="shared" si="568"/>
        <v>2</v>
      </c>
      <c r="Q170">
        <f>ROUND(INDEX(Spending!AJ:AJ,MATCH(EOMONTH($A170,-1),Spending!B:B,0)),2)</f>
        <v>51.07</v>
      </c>
      <c r="R170">
        <f t="shared" si="572"/>
        <v>1</v>
      </c>
      <c r="S170">
        <f>ROUND(INDEX(Employment!V:V,MATCH(EOMONTH($A170,-1),Employment!A:A,0)),2)</f>
        <v>174.72</v>
      </c>
      <c r="T170" s="11">
        <f t="shared" si="569"/>
        <v>1</v>
      </c>
      <c r="U170">
        <f t="shared" si="561"/>
        <v>29</v>
      </c>
      <c r="V170">
        <f t="shared" si="553"/>
        <v>77.48</v>
      </c>
      <c r="W170" s="13">
        <f t="shared" si="554"/>
        <v>1.5E-3</v>
      </c>
      <c r="X170" s="13">
        <f t="shared" si="555"/>
        <v>-1.9000000000000003E-2</v>
      </c>
      <c r="Y170">
        <f t="shared" si="547"/>
        <v>81.790000000000006</v>
      </c>
      <c r="Z170" s="13">
        <f t="shared" si="542"/>
        <v>-6.9999999999999999E-4</v>
      </c>
      <c r="AA170" s="13">
        <f t="shared" si="538"/>
        <v>-2.3699999999999999E-2</v>
      </c>
      <c r="AB170" s="6">
        <f t="shared" si="548"/>
        <v>88.057000000000002</v>
      </c>
      <c r="AC170">
        <f t="shared" si="540"/>
        <v>44</v>
      </c>
      <c r="AD170" s="11">
        <f t="shared" si="541"/>
        <v>1</v>
      </c>
      <c r="AE170">
        <f t="shared" si="539"/>
        <v>32</v>
      </c>
      <c r="AF170">
        <f>IF(AND(AE170&lt;15,OR(AC170&gt;=30,AA170&gt;0.15,X170&gt;=0.15)),2,VLOOKUP(AE170,Table!P:Q,2,FALSE))</f>
        <v>5</v>
      </c>
      <c r="AG170" s="22">
        <f>IF((AB170*0.98)-(D170*0.8)+((AF170-3)*3)+VLOOKUP(AM170,Table!$A$11:$B$13,2,FALSE)&lt;0,0,(AB170*0.98)-(D170*0.8)+((AF170-3)*3)+VLOOKUP(AM170,Table!$A$11:$B$13,2,FALSE))</f>
        <v>89.223860000000002</v>
      </c>
      <c r="AH170" s="22">
        <f t="shared" si="570"/>
        <v>89</v>
      </c>
      <c r="AI170" s="18">
        <f t="shared" si="563"/>
        <v>0.02</v>
      </c>
      <c r="AJ170" s="18">
        <f t="shared" si="564"/>
        <v>0.02</v>
      </c>
      <c r="AK170" t="str">
        <f t="shared" si="549"/>
        <v/>
      </c>
      <c r="AL170">
        <f t="shared" si="560"/>
        <v>31.75</v>
      </c>
      <c r="AM170" s="11" t="str">
        <f t="shared" si="550"/>
        <v>Stocks</v>
      </c>
      <c r="AN170" t="str">
        <f t="shared" si="556"/>
        <v>Buy</v>
      </c>
      <c r="AO170" s="13">
        <f t="shared" si="557"/>
        <v>-6.8999999999999999E-3</v>
      </c>
      <c r="AP170" s="13">
        <f t="shared" si="558"/>
        <v>0</v>
      </c>
      <c r="AQ170" s="13">
        <f t="shared" si="559"/>
        <v>-6.1000000000000004E-3</v>
      </c>
      <c r="AR170" s="13">
        <f t="shared" si="551"/>
        <v>-6.8999999999999999E-3</v>
      </c>
      <c r="AS170" s="6">
        <f t="shared" si="543"/>
        <v>524.96982675482195</v>
      </c>
      <c r="AT170" s="6">
        <f t="shared" si="544"/>
        <v>185.97425508967711</v>
      </c>
      <c r="AU170" s="6">
        <f t="shared" si="545"/>
        <v>827.1429655678586</v>
      </c>
      <c r="AV170" s="6">
        <f t="shared" si="546"/>
        <v>1231.2432541879364</v>
      </c>
      <c r="AW170" s="58">
        <f t="shared" si="552"/>
        <v>2015</v>
      </c>
      <c r="AX170" s="58">
        <f>COUNTIF(AW$3:AW170,AW170)</f>
        <v>31</v>
      </c>
    </row>
    <row r="171" spans="1:50" x14ac:dyDescent="0.25">
      <c r="A171" s="5">
        <v>42148</v>
      </c>
      <c r="B171">
        <v>2126.06</v>
      </c>
      <c r="C171">
        <v>0.02</v>
      </c>
      <c r="D171" s="6">
        <v>12.13</v>
      </c>
      <c r="E171" s="18">
        <f t="shared" si="565"/>
        <v>12.46</v>
      </c>
      <c r="F171">
        <f t="shared" si="566"/>
        <v>2</v>
      </c>
      <c r="G171" s="18">
        <f>ROUND(INDEX(Valuation!U:U,MATCH(A171,Valuation!A:A,0)),2)</f>
        <v>131.02000000000001</v>
      </c>
      <c r="H171">
        <f t="shared" si="573"/>
        <v>1</v>
      </c>
      <c r="I171" s="18">
        <f>INDEX(WeeklyIndicators!Y:Y,MATCH(A171,WeeklyIndicators!A:A,0))</f>
        <v>152.21</v>
      </c>
      <c r="J171">
        <f t="shared" si="562"/>
        <v>2</v>
      </c>
      <c r="K171">
        <f>ROUND(INDEX(Economic!AF:AF,MATCH(EOMONTH($A171,-1),Economic!A:A,0)),2)</f>
        <v>114.06</v>
      </c>
      <c r="L171" s="11">
        <f t="shared" si="571"/>
        <v>1</v>
      </c>
      <c r="M171">
        <f>ROUND(INDEX(Manufacturing!P:P,MATCH(EOMONTH($A171,-1),Manufacturing!A:A,0)),2)</f>
        <v>81.739999999999995</v>
      </c>
      <c r="N171">
        <f t="shared" si="567"/>
        <v>-1</v>
      </c>
      <c r="O171">
        <f>ROUND(INDEX(Housing!AC:AC,MATCH(EOMONTH($A171,-1),Housing!B:B,0)),2)</f>
        <v>132.59</v>
      </c>
      <c r="P171">
        <f t="shared" si="568"/>
        <v>2</v>
      </c>
      <c r="Q171">
        <f>ROUND(INDEX(Spending!AJ:AJ,MATCH(EOMONTH($A171,-1),Spending!B:B,0)),2)</f>
        <v>51.07</v>
      </c>
      <c r="R171">
        <f t="shared" si="572"/>
        <v>1</v>
      </c>
      <c r="S171">
        <f>ROUND(INDEX(Employment!V:V,MATCH(EOMONTH($A171,-1),Employment!A:A,0)),2)</f>
        <v>174.72</v>
      </c>
      <c r="T171" s="11">
        <f t="shared" si="569"/>
        <v>1</v>
      </c>
      <c r="U171">
        <f t="shared" si="561"/>
        <v>29</v>
      </c>
      <c r="V171">
        <f t="shared" si="553"/>
        <v>77.16</v>
      </c>
      <c r="W171" s="13">
        <f t="shared" si="554"/>
        <v>-1.1000000000000001E-3</v>
      </c>
      <c r="X171" s="13">
        <f t="shared" si="555"/>
        <v>-2.29E-2</v>
      </c>
      <c r="Y171">
        <f t="shared" si="547"/>
        <v>81.73</v>
      </c>
      <c r="Z171" s="13">
        <f t="shared" si="542"/>
        <v>-2.3999999999999998E-3</v>
      </c>
      <c r="AA171" s="13">
        <f t="shared" si="538"/>
        <v>-2.4799999999999999E-2</v>
      </c>
      <c r="AB171" s="6">
        <f t="shared" si="548"/>
        <v>88.012</v>
      </c>
      <c r="AC171">
        <f t="shared" si="540"/>
        <v>44</v>
      </c>
      <c r="AD171" s="11">
        <f t="shared" si="541"/>
        <v>1</v>
      </c>
      <c r="AE171">
        <f t="shared" si="539"/>
        <v>32</v>
      </c>
      <c r="AF171">
        <f>IF(AND(AE171&lt;15,OR(AC171&gt;=30,AA171&gt;0.15,X171&gt;=0.15)),2,VLOOKUP(AE171,Table!P:Q,2,FALSE))</f>
        <v>5</v>
      </c>
      <c r="AG171" s="22">
        <f>IF((AB171*0.98)-(D171*0.8)+((AF171-3)*3)+VLOOKUP(AM171,Table!$A$11:$B$13,2,FALSE)&lt;0,0,(AB171*0.98)-(D171*0.8)+((AF171-3)*3)+VLOOKUP(AM171,Table!$A$11:$B$13,2,FALSE))</f>
        <v>90.547760000000011</v>
      </c>
      <c r="AH171" s="22">
        <f t="shared" si="570"/>
        <v>90</v>
      </c>
      <c r="AI171" s="18">
        <f t="shared" si="563"/>
        <v>0.02</v>
      </c>
      <c r="AJ171" s="18">
        <f t="shared" si="564"/>
        <v>0.02</v>
      </c>
      <c r="AK171" t="str">
        <f t="shared" si="549"/>
        <v/>
      </c>
      <c r="AL171">
        <f t="shared" si="560"/>
        <v>31.75</v>
      </c>
      <c r="AM171" s="11" t="str">
        <f t="shared" si="550"/>
        <v>Stocks</v>
      </c>
      <c r="AN171" t="str">
        <f t="shared" si="556"/>
        <v>Buy</v>
      </c>
      <c r="AO171" s="13">
        <f t="shared" si="557"/>
        <v>-8.8000000000000005E-3</v>
      </c>
      <c r="AP171" s="13">
        <f t="shared" si="558"/>
        <v>0</v>
      </c>
      <c r="AQ171" s="13">
        <f t="shared" si="559"/>
        <v>-7.9000000000000008E-3</v>
      </c>
      <c r="AR171" s="13">
        <f t="shared" si="551"/>
        <v>-8.8000000000000005E-3</v>
      </c>
      <c r="AS171" s="6">
        <f t="shared" si="543"/>
        <v>529.63057582205602</v>
      </c>
      <c r="AT171" s="6">
        <f t="shared" si="544"/>
        <v>185.97425508967711</v>
      </c>
      <c r="AU171" s="6">
        <f t="shared" si="545"/>
        <v>833.72942804944921</v>
      </c>
      <c r="AV171" s="6">
        <f t="shared" si="546"/>
        <v>1242.1743888094597</v>
      </c>
      <c r="AW171" s="58">
        <f t="shared" si="552"/>
        <v>2015</v>
      </c>
      <c r="AX171" s="58">
        <f>COUNTIF(AW$3:AW171,AW171)</f>
        <v>32</v>
      </c>
    </row>
    <row r="172" spans="1:50" x14ac:dyDescent="0.25">
      <c r="A172" s="5">
        <v>42141</v>
      </c>
      <c r="B172">
        <v>2122.73</v>
      </c>
      <c r="C172">
        <v>0.02</v>
      </c>
      <c r="D172" s="6">
        <v>12.38</v>
      </c>
      <c r="E172" s="18">
        <f t="shared" si="565"/>
        <v>12.65</v>
      </c>
      <c r="F172">
        <f t="shared" si="566"/>
        <v>2</v>
      </c>
      <c r="G172" s="18">
        <f>ROUND(INDEX(Valuation!U:U,MATCH(A172,Valuation!A:A,0)),2)</f>
        <v>131.86000000000001</v>
      </c>
      <c r="H172">
        <f t="shared" si="573"/>
        <v>1</v>
      </c>
      <c r="I172" s="18">
        <f>INDEX(WeeklyIndicators!Y:Y,MATCH(A172,WeeklyIndicators!A:A,0))</f>
        <v>150.30000000000001</v>
      </c>
      <c r="J172">
        <f t="shared" si="562"/>
        <v>1</v>
      </c>
      <c r="K172">
        <f>ROUND(INDEX(Economic!AF:AF,MATCH(EOMONTH($A172,-1),Economic!A:A,0)),2)</f>
        <v>114.06</v>
      </c>
      <c r="L172" s="11">
        <f t="shared" si="571"/>
        <v>1</v>
      </c>
      <c r="M172">
        <f>ROUND(INDEX(Manufacturing!P:P,MATCH(EOMONTH($A172,-1),Manufacturing!A:A,0)),2)</f>
        <v>81.739999999999995</v>
      </c>
      <c r="N172">
        <f t="shared" si="567"/>
        <v>-1</v>
      </c>
      <c r="O172">
        <f>ROUND(INDEX(Housing!AC:AC,MATCH(EOMONTH($A172,-1),Housing!B:B,0)),2)</f>
        <v>132.59</v>
      </c>
      <c r="P172">
        <f t="shared" si="568"/>
        <v>2</v>
      </c>
      <c r="Q172">
        <f>ROUND(INDEX(Spending!AJ:AJ,MATCH(EOMONTH($A172,-1),Spending!B:B,0)),2)</f>
        <v>51.07</v>
      </c>
      <c r="R172">
        <f t="shared" si="572"/>
        <v>1</v>
      </c>
      <c r="S172">
        <f>ROUND(INDEX(Employment!V:V,MATCH(EOMONTH($A172,-1),Employment!A:A,0)),2)</f>
        <v>174.72</v>
      </c>
      <c r="T172" s="11">
        <f t="shared" si="569"/>
        <v>1</v>
      </c>
      <c r="U172">
        <f t="shared" si="561"/>
        <v>28</v>
      </c>
      <c r="V172">
        <f t="shared" si="553"/>
        <v>76.959999999999994</v>
      </c>
      <c r="W172" s="13">
        <f t="shared" si="554"/>
        <v>-1.14E-2</v>
      </c>
      <c r="X172" s="13">
        <f t="shared" si="555"/>
        <v>-1.0500000000000001E-2</v>
      </c>
      <c r="Y172">
        <f t="shared" si="547"/>
        <v>81.56</v>
      </c>
      <c r="Z172" s="13">
        <f t="shared" si="542"/>
        <v>-1.2800000000000001E-2</v>
      </c>
      <c r="AA172" s="13">
        <f t="shared" si="538"/>
        <v>-1.03E-2</v>
      </c>
      <c r="AB172" s="6">
        <f t="shared" si="548"/>
        <v>89.016000000000005</v>
      </c>
      <c r="AC172">
        <f t="shared" si="540"/>
        <v>45</v>
      </c>
      <c r="AD172" s="11">
        <f t="shared" si="541"/>
        <v>1</v>
      </c>
      <c r="AE172">
        <f t="shared" si="539"/>
        <v>31</v>
      </c>
      <c r="AF172">
        <f>IF(AND(AE172&lt;15,OR(AC172&gt;=30,AA172&gt;0.15,X172&gt;=0.15)),2,VLOOKUP(AE172,Table!P:Q,2,FALSE))</f>
        <v>4</v>
      </c>
      <c r="AG172" s="22">
        <f>IF((AB172*0.98)-(D172*0.8)+((AF172-3)*3)+VLOOKUP(AM172,Table!$A$11:$B$13,2,FALSE)&lt;0,0,(AB172*0.98)-(D172*0.8)+((AF172-3)*3)+VLOOKUP(AM172,Table!$A$11:$B$13,2,FALSE))</f>
        <v>88.331680000000006</v>
      </c>
      <c r="AH172" s="22">
        <f t="shared" si="570"/>
        <v>91</v>
      </c>
      <c r="AI172" s="18">
        <f t="shared" si="563"/>
        <v>0.02</v>
      </c>
      <c r="AJ172" s="18">
        <f t="shared" si="564"/>
        <v>0.02</v>
      </c>
      <c r="AK172" t="str">
        <f t="shared" si="549"/>
        <v/>
      </c>
      <c r="AL172">
        <f t="shared" si="560"/>
        <v>32.25</v>
      </c>
      <c r="AM172" s="11" t="str">
        <f t="shared" si="550"/>
        <v>Stocks</v>
      </c>
      <c r="AN172" t="str">
        <f t="shared" si="556"/>
        <v>Buy</v>
      </c>
      <c r="AO172" s="13">
        <f t="shared" si="557"/>
        <v>1.6000000000000001E-3</v>
      </c>
      <c r="AP172" s="13">
        <f t="shared" si="558"/>
        <v>0</v>
      </c>
      <c r="AQ172" s="13">
        <f t="shared" si="559"/>
        <v>1.5E-3</v>
      </c>
      <c r="AR172" s="13">
        <f t="shared" si="551"/>
        <v>1.6000000000000001E-3</v>
      </c>
      <c r="AS172" s="6">
        <f t="shared" si="543"/>
        <v>528.78452058911341</v>
      </c>
      <c r="AT172" s="6">
        <f t="shared" si="544"/>
        <v>185.97425508967711</v>
      </c>
      <c r="AU172" s="6">
        <f t="shared" si="545"/>
        <v>832.48070698896572</v>
      </c>
      <c r="AV172" s="6">
        <f t="shared" si="546"/>
        <v>1240.1900846739813</v>
      </c>
      <c r="AW172" s="58">
        <f t="shared" si="552"/>
        <v>2015</v>
      </c>
      <c r="AX172" s="58">
        <f>COUNTIF(AW$3:AW172,AW172)</f>
        <v>33</v>
      </c>
    </row>
    <row r="173" spans="1:50" x14ac:dyDescent="0.25">
      <c r="A173" s="5">
        <v>42134</v>
      </c>
      <c r="B173">
        <v>2116.1</v>
      </c>
      <c r="C173">
        <v>0.01</v>
      </c>
      <c r="D173" s="6">
        <v>12.86</v>
      </c>
      <c r="E173" s="18">
        <f t="shared" si="565"/>
        <v>12.62</v>
      </c>
      <c r="F173">
        <f t="shared" si="566"/>
        <v>2</v>
      </c>
      <c r="G173" s="18">
        <f>ROUND(INDEX(Valuation!U:U,MATCH(A173,Valuation!A:A,0)),2)</f>
        <v>133.81</v>
      </c>
      <c r="H173">
        <f t="shared" si="573"/>
        <v>1</v>
      </c>
      <c r="I173" s="18">
        <f>INDEX(WeeklyIndicators!Y:Y,MATCH(A173,WeeklyIndicators!A:A,0))</f>
        <v>152.02000000000001</v>
      </c>
      <c r="J173">
        <f t="shared" si="562"/>
        <v>2</v>
      </c>
      <c r="K173">
        <f>ROUND(INDEX(Economic!AF:AF,MATCH(EOMONTH($A173,-1),Economic!A:A,0)),2)</f>
        <v>114.06</v>
      </c>
      <c r="L173" s="11">
        <f t="shared" si="571"/>
        <v>1</v>
      </c>
      <c r="M173">
        <f>ROUND(INDEX(Manufacturing!P:P,MATCH(EOMONTH($A173,-1),Manufacturing!A:A,0)),2)</f>
        <v>81.739999999999995</v>
      </c>
      <c r="N173">
        <f t="shared" si="567"/>
        <v>-1</v>
      </c>
      <c r="O173">
        <f>ROUND(INDEX(Housing!AC:AC,MATCH(EOMONTH($A173,-1),Housing!B:B,0)),2)</f>
        <v>132.59</v>
      </c>
      <c r="P173">
        <f t="shared" si="568"/>
        <v>2</v>
      </c>
      <c r="Q173">
        <f>ROUND(INDEX(Spending!AJ:AJ,MATCH(EOMONTH($A173,-1),Spending!B:B,0)),2)</f>
        <v>51.07</v>
      </c>
      <c r="R173">
        <f t="shared" si="572"/>
        <v>1</v>
      </c>
      <c r="S173">
        <f>ROUND(INDEX(Employment!V:V,MATCH(EOMONTH($A173,-1),Employment!A:A,0)),2)</f>
        <v>174.72</v>
      </c>
      <c r="T173" s="11">
        <f t="shared" si="569"/>
        <v>1</v>
      </c>
      <c r="U173">
        <f t="shared" si="561"/>
        <v>29</v>
      </c>
      <c r="V173">
        <f t="shared" si="553"/>
        <v>77.14</v>
      </c>
      <c r="W173" s="13">
        <f t="shared" si="554"/>
        <v>-8.0000000000000002E-3</v>
      </c>
      <c r="X173" s="13">
        <f t="shared" si="555"/>
        <v>-7.0000000000000032E-4</v>
      </c>
      <c r="Y173">
        <f t="shared" si="547"/>
        <v>81.97</v>
      </c>
      <c r="Z173" s="13">
        <f t="shared" si="542"/>
        <v>-7.7999999999999996E-3</v>
      </c>
      <c r="AA173" s="13">
        <f t="shared" si="538"/>
        <v>1.3000000000000006E-3</v>
      </c>
      <c r="AB173" s="6">
        <f t="shared" si="548"/>
        <v>90.501000000000005</v>
      </c>
      <c r="AC173">
        <f t="shared" si="540"/>
        <v>45</v>
      </c>
      <c r="AD173" s="11">
        <f t="shared" si="541"/>
        <v>1</v>
      </c>
      <c r="AE173">
        <f t="shared" si="539"/>
        <v>32</v>
      </c>
      <c r="AF173">
        <f>IF(AND(AE173&lt;15,OR(AC173&gt;=30,AA173&gt;0.15,X173&gt;=0.15)),2,VLOOKUP(AE173,Table!P:Q,2,FALSE))</f>
        <v>5</v>
      </c>
      <c r="AG173" s="22">
        <f>IF((AB173*0.98)-(D173*0.8)+((AF173-3)*3)+VLOOKUP(AM173,Table!$A$11:$B$13,2,FALSE)&lt;0,0,(AB173*0.98)-(D173*0.8)+((AF173-3)*3)+VLOOKUP(AM173,Table!$A$11:$B$13,2,FALSE))</f>
        <v>92.402979999999999</v>
      </c>
      <c r="AH173" s="22">
        <f t="shared" si="570"/>
        <v>93</v>
      </c>
      <c r="AI173" s="18">
        <f t="shared" si="563"/>
        <v>0.02</v>
      </c>
      <c r="AJ173" s="18">
        <f t="shared" si="564"/>
        <v>0.02</v>
      </c>
      <c r="AK173" t="str">
        <f t="shared" si="549"/>
        <v/>
      </c>
      <c r="AL173">
        <f t="shared" si="560"/>
        <v>32.75</v>
      </c>
      <c r="AM173" s="11" t="str">
        <f t="shared" si="550"/>
        <v>Stocks</v>
      </c>
      <c r="AN173" t="str">
        <f t="shared" si="556"/>
        <v>Buy</v>
      </c>
      <c r="AO173" s="13">
        <f t="shared" si="557"/>
        <v>3.0999999999999999E-3</v>
      </c>
      <c r="AP173" s="13">
        <f t="shared" si="558"/>
        <v>0</v>
      </c>
      <c r="AQ173" s="13">
        <f t="shared" si="559"/>
        <v>2.8999999999999998E-3</v>
      </c>
      <c r="AR173" s="13">
        <f t="shared" si="551"/>
        <v>3.0999999999999999E-3</v>
      </c>
      <c r="AS173" s="6">
        <f t="shared" si="543"/>
        <v>527.15035449019376</v>
      </c>
      <c r="AT173" s="6">
        <f t="shared" si="544"/>
        <v>185.97425508967711</v>
      </c>
      <c r="AU173" s="6">
        <f t="shared" si="545"/>
        <v>830.07349385678117</v>
      </c>
      <c r="AV173" s="6">
        <f t="shared" si="546"/>
        <v>1236.357376805883</v>
      </c>
      <c r="AW173" s="58">
        <f t="shared" si="552"/>
        <v>2015</v>
      </c>
      <c r="AX173" s="58">
        <f>COUNTIF(AW$3:AW173,AW173)</f>
        <v>34</v>
      </c>
    </row>
    <row r="174" spans="1:50" x14ac:dyDescent="0.25">
      <c r="A174" s="5">
        <v>42127</v>
      </c>
      <c r="B174">
        <v>2108.29</v>
      </c>
      <c r="C174">
        <v>0.01</v>
      </c>
      <c r="D174" s="6">
        <v>12.7</v>
      </c>
      <c r="E174" s="18">
        <f t="shared" si="565"/>
        <v>12.96</v>
      </c>
      <c r="F174">
        <f t="shared" si="566"/>
        <v>2</v>
      </c>
      <c r="G174" s="18">
        <f>ROUND(INDEX(Valuation!U:U,MATCH(A174,Valuation!A:A,0)),2)</f>
        <v>135.4</v>
      </c>
      <c r="H174">
        <f t="shared" si="573"/>
        <v>1</v>
      </c>
      <c r="I174" s="18">
        <f>INDEX(WeeklyIndicators!Y:Y,MATCH(A174,WeeklyIndicators!A:A,0))</f>
        <v>154.72999999999999</v>
      </c>
      <c r="J174">
        <f t="shared" si="562"/>
        <v>2</v>
      </c>
      <c r="K174">
        <f>ROUND(INDEX(Economic!AF:AF,MATCH(EOMONTH($A174,-1),Economic!A:A,0)),2)</f>
        <v>114.06</v>
      </c>
      <c r="L174" s="11">
        <f t="shared" si="571"/>
        <v>1</v>
      </c>
      <c r="M174">
        <f>ROUND(INDEX(Manufacturing!P:P,MATCH(EOMONTH($A174,-1),Manufacturing!A:A,0)),2)</f>
        <v>81.739999999999995</v>
      </c>
      <c r="N174">
        <f t="shared" si="567"/>
        <v>-1</v>
      </c>
      <c r="O174">
        <f>ROUND(INDEX(Housing!AC:AC,MATCH(EOMONTH($A174,-1),Housing!B:B,0)),2)</f>
        <v>132.59</v>
      </c>
      <c r="P174">
        <f t="shared" si="568"/>
        <v>2</v>
      </c>
      <c r="Q174">
        <f>ROUND(INDEX(Spending!AJ:AJ,MATCH(EOMONTH($A174,-1),Spending!B:B,0)),2)</f>
        <v>51.07</v>
      </c>
      <c r="R174">
        <f t="shared" si="572"/>
        <v>1</v>
      </c>
      <c r="S174">
        <f>ROUND(INDEX(Employment!V:V,MATCH(EOMONTH($A174,-1),Employment!A:A,0)),2)</f>
        <v>174.72</v>
      </c>
      <c r="T174" s="11">
        <f t="shared" si="569"/>
        <v>1</v>
      </c>
      <c r="U174">
        <f t="shared" si="561"/>
        <v>29</v>
      </c>
      <c r="V174">
        <f t="shared" si="553"/>
        <v>77.42</v>
      </c>
      <c r="W174" s="13">
        <f t="shared" si="554"/>
        <v>-2.3999999999999998E-3</v>
      </c>
      <c r="X174" s="13">
        <f t="shared" si="555"/>
        <v>-1.5999999999999999E-3</v>
      </c>
      <c r="Y174">
        <f t="shared" si="547"/>
        <v>82.31</v>
      </c>
      <c r="Z174" s="13">
        <f t="shared" si="542"/>
        <v>-1.8E-3</v>
      </c>
      <c r="AA174" s="13">
        <f t="shared" si="538"/>
        <v>-3.9999999999999931E-4</v>
      </c>
      <c r="AB174" s="6">
        <f t="shared" si="548"/>
        <v>90.89</v>
      </c>
      <c r="AC174">
        <f t="shared" si="540"/>
        <v>45</v>
      </c>
      <c r="AD174" s="11">
        <f t="shared" si="541"/>
        <v>1</v>
      </c>
      <c r="AE174">
        <f t="shared" si="539"/>
        <v>32</v>
      </c>
      <c r="AF174">
        <f>IF(AND(AE174&lt;15,OR(AC174&gt;=30,AA174&gt;0.15,X174&gt;=0.15)),2,VLOOKUP(AE174,Table!P:Q,2,FALSE))</f>
        <v>5</v>
      </c>
      <c r="AG174" s="22">
        <f>IF((AB174*0.98)-(D174*0.8)+((AF174-3)*3)+VLOOKUP(AM174,Table!$A$11:$B$13,2,FALSE)&lt;0,0,(AB174*0.98)-(D174*0.8)+((AF174-3)*3)+VLOOKUP(AM174,Table!$A$11:$B$13,2,FALSE))</f>
        <v>92.912199999999999</v>
      </c>
      <c r="AH174" s="22">
        <f t="shared" si="570"/>
        <v>93</v>
      </c>
      <c r="AI174" s="18">
        <f t="shared" si="563"/>
        <v>0.02</v>
      </c>
      <c r="AJ174" s="18">
        <f t="shared" si="564"/>
        <v>0.02</v>
      </c>
      <c r="AK174" t="str">
        <f t="shared" si="549"/>
        <v/>
      </c>
      <c r="AL174">
        <f t="shared" si="560"/>
        <v>32.75</v>
      </c>
      <c r="AM174" s="11" t="str">
        <f t="shared" si="550"/>
        <v>Stocks</v>
      </c>
      <c r="AN174" t="str">
        <f t="shared" si="556"/>
        <v>Buy</v>
      </c>
      <c r="AO174" s="13">
        <f t="shared" si="557"/>
        <v>3.7000000000000002E-3</v>
      </c>
      <c r="AP174" s="13">
        <f t="shared" si="558"/>
        <v>0</v>
      </c>
      <c r="AQ174" s="13">
        <f t="shared" si="559"/>
        <v>3.3999999999999998E-3</v>
      </c>
      <c r="AR174" s="13">
        <f t="shared" si="551"/>
        <v>3.7000000000000002E-3</v>
      </c>
      <c r="AS174" s="6">
        <f t="shared" si="543"/>
        <v>525.2070882636184</v>
      </c>
      <c r="AT174" s="6">
        <f t="shared" si="544"/>
        <v>185.97425508967711</v>
      </c>
      <c r="AU174" s="6">
        <f t="shared" si="545"/>
        <v>827.26080711259829</v>
      </c>
      <c r="AV174" s="6">
        <f t="shared" si="546"/>
        <v>1231.7997178498385</v>
      </c>
      <c r="AW174" s="58">
        <f t="shared" si="552"/>
        <v>2015</v>
      </c>
      <c r="AX174" s="58">
        <f>COUNTIF(AW$3:AW174,AW174)</f>
        <v>35</v>
      </c>
    </row>
    <row r="175" spans="1:50" x14ac:dyDescent="0.25">
      <c r="A175" s="5">
        <v>42120</v>
      </c>
      <c r="B175">
        <v>2117.69</v>
      </c>
      <c r="C175">
        <v>0.03</v>
      </c>
      <c r="D175" s="6">
        <v>12.29</v>
      </c>
      <c r="E175" s="18">
        <f t="shared" si="565"/>
        <v>12.92</v>
      </c>
      <c r="F175">
        <f t="shared" si="566"/>
        <v>2</v>
      </c>
      <c r="G175" s="18">
        <f>ROUND(INDEX(Valuation!U:U,MATCH(A175,Valuation!A:A,0)),2)</f>
        <v>137.19</v>
      </c>
      <c r="H175">
        <f t="shared" si="573"/>
        <v>1</v>
      </c>
      <c r="I175" s="18">
        <f>INDEX(WeeklyIndicators!Y:Y,MATCH(A175,WeeklyIndicators!A:A,0))</f>
        <v>155.15</v>
      </c>
      <c r="J175">
        <f t="shared" si="562"/>
        <v>2</v>
      </c>
      <c r="K175">
        <f>ROUND(INDEX(Economic!AF:AF,MATCH(EOMONTH($A175,-1),Economic!A:A,0)),2)</f>
        <v>122.71</v>
      </c>
      <c r="L175" s="11">
        <f t="shared" si="571"/>
        <v>1</v>
      </c>
      <c r="M175">
        <f>ROUND(INDEX(Manufacturing!P:P,MATCH(EOMONTH($A175,-1),Manufacturing!A:A,0)),2)</f>
        <v>85.98</v>
      </c>
      <c r="N175">
        <f t="shared" si="567"/>
        <v>0</v>
      </c>
      <c r="O175">
        <f>ROUND(INDEX(Housing!AC:AC,MATCH(EOMONTH($A175,-1),Housing!B:B,0)),2)</f>
        <v>134.61000000000001</v>
      </c>
      <c r="P175">
        <f t="shared" si="568"/>
        <v>2</v>
      </c>
      <c r="Q175">
        <f>ROUND(INDEX(Spending!AJ:AJ,MATCH(EOMONTH($A175,-1),Spending!B:B,0)),2)</f>
        <v>53.26</v>
      </c>
      <c r="R175">
        <f t="shared" si="572"/>
        <v>1</v>
      </c>
      <c r="S175">
        <f>ROUND(INDEX(Employment!V:V,MATCH(EOMONTH($A175,-1),Employment!A:A,0)),2)</f>
        <v>175.28</v>
      </c>
      <c r="T175" s="11">
        <f t="shared" si="569"/>
        <v>2</v>
      </c>
      <c r="U175">
        <f t="shared" si="561"/>
        <v>31</v>
      </c>
      <c r="V175">
        <f t="shared" si="553"/>
        <v>79.64</v>
      </c>
      <c r="W175" s="13">
        <f t="shared" si="554"/>
        <v>1.1299999999999999E-2</v>
      </c>
      <c r="X175" s="13">
        <f t="shared" si="555"/>
        <v>-1.6400000000000001E-2</v>
      </c>
      <c r="Y175">
        <f t="shared" si="547"/>
        <v>84.75</v>
      </c>
      <c r="Z175" s="13">
        <f t="shared" si="542"/>
        <v>1.21E-2</v>
      </c>
      <c r="AA175" s="13">
        <f t="shared" si="538"/>
        <v>-1.6800000000000002E-2</v>
      </c>
      <c r="AB175" s="6">
        <f t="shared" si="548"/>
        <v>92.338999999999999</v>
      </c>
      <c r="AC175">
        <f t="shared" si="540"/>
        <v>46</v>
      </c>
      <c r="AD175" s="11">
        <f t="shared" si="541"/>
        <v>1</v>
      </c>
      <c r="AE175">
        <f t="shared" si="539"/>
        <v>34</v>
      </c>
      <c r="AF175">
        <f>IF(AND(AE175&lt;15,OR(AC175&gt;=30,AA175&gt;0.15,X175&gt;=0.15)),2,VLOOKUP(AE175,Table!P:Q,2,FALSE))</f>
        <v>5</v>
      </c>
      <c r="AG175" s="22">
        <f>IF((AB175*0.98)-(D175*0.8)+((AF175-3)*3)+VLOOKUP(AM175,Table!$A$11:$B$13,2,FALSE)&lt;0,0,(AB175*0.98)-(D175*0.8)+((AF175-3)*3)+VLOOKUP(AM175,Table!$A$11:$B$13,2,FALSE))</f>
        <v>94.66022000000001</v>
      </c>
      <c r="AH175" s="22">
        <f t="shared" si="570"/>
        <v>92</v>
      </c>
      <c r="AI175" s="18">
        <f t="shared" si="563"/>
        <v>0.02</v>
      </c>
      <c r="AJ175" s="18">
        <f t="shared" si="564"/>
        <v>0.02</v>
      </c>
      <c r="AK175" t="str">
        <f t="shared" si="549"/>
        <v/>
      </c>
      <c r="AL175">
        <f t="shared" si="560"/>
        <v>32.5</v>
      </c>
      <c r="AM175" s="11" t="str">
        <f t="shared" si="550"/>
        <v>Stocks</v>
      </c>
      <c r="AN175" t="str">
        <f t="shared" si="556"/>
        <v>Buy</v>
      </c>
      <c r="AO175" s="13">
        <f t="shared" si="557"/>
        <v>-4.4000000000000003E-3</v>
      </c>
      <c r="AP175" s="13">
        <f t="shared" si="558"/>
        <v>0</v>
      </c>
      <c r="AQ175" s="13">
        <f t="shared" si="559"/>
        <v>-4.0000000000000001E-3</v>
      </c>
      <c r="AR175" s="13">
        <f t="shared" si="551"/>
        <v>-4.4000000000000003E-3</v>
      </c>
      <c r="AS175" s="6">
        <f t="shared" si="543"/>
        <v>527.52821239817035</v>
      </c>
      <c r="AT175" s="6">
        <f t="shared" si="544"/>
        <v>185.97425508967711</v>
      </c>
      <c r="AU175" s="6">
        <f t="shared" si="545"/>
        <v>830.58313967128345</v>
      </c>
      <c r="AV175" s="6">
        <f t="shared" si="546"/>
        <v>1237.2435896442732</v>
      </c>
      <c r="AW175" s="58">
        <f t="shared" si="552"/>
        <v>2015</v>
      </c>
      <c r="AX175" s="58">
        <f>COUNTIF(AW$3:AW175,AW175)</f>
        <v>36</v>
      </c>
    </row>
    <row r="176" spans="1:50" x14ac:dyDescent="0.25">
      <c r="A176" s="5">
        <v>42113</v>
      </c>
      <c r="B176">
        <v>2081.1799999999998</v>
      </c>
      <c r="C176">
        <v>0.02</v>
      </c>
      <c r="D176" s="6">
        <v>13.89</v>
      </c>
      <c r="E176" s="18">
        <f t="shared" si="565"/>
        <v>13.71</v>
      </c>
      <c r="F176">
        <f t="shared" si="566"/>
        <v>2</v>
      </c>
      <c r="G176" s="18">
        <f>ROUND(INDEX(Valuation!U:U,MATCH(A176,Valuation!A:A,0)),2)</f>
        <v>137.9</v>
      </c>
      <c r="H176">
        <f t="shared" si="573"/>
        <v>1</v>
      </c>
      <c r="I176" s="18">
        <f>INDEX(WeeklyIndicators!Y:Y,MATCH(A176,WeeklyIndicators!A:A,0))</f>
        <v>149.31</v>
      </c>
      <c r="J176">
        <f t="shared" si="562"/>
        <v>1</v>
      </c>
      <c r="K176">
        <f>ROUND(INDEX(Economic!AF:AF,MATCH(EOMONTH($A176,-1),Economic!A:A,0)),2)</f>
        <v>122.71</v>
      </c>
      <c r="L176" s="11">
        <f t="shared" si="571"/>
        <v>1</v>
      </c>
      <c r="M176">
        <f>ROUND(INDEX(Manufacturing!P:P,MATCH(EOMONTH($A176,-1),Manufacturing!A:A,0)),2)</f>
        <v>85.98</v>
      </c>
      <c r="N176">
        <f t="shared" si="567"/>
        <v>0</v>
      </c>
      <c r="O176">
        <f>ROUND(INDEX(Housing!AC:AC,MATCH(EOMONTH($A176,-1),Housing!B:B,0)),2)</f>
        <v>134.61000000000001</v>
      </c>
      <c r="P176">
        <f t="shared" si="568"/>
        <v>2</v>
      </c>
      <c r="Q176">
        <f>ROUND(INDEX(Spending!AJ:AJ,MATCH(EOMONTH($A176,-1),Spending!B:B,0)),2)</f>
        <v>53.26</v>
      </c>
      <c r="R176">
        <f t="shared" si="572"/>
        <v>1</v>
      </c>
      <c r="S176">
        <f>ROUND(INDEX(Employment!V:V,MATCH(EOMONTH($A176,-1),Employment!A:A,0)),2)</f>
        <v>175.28</v>
      </c>
      <c r="T176" s="11">
        <f t="shared" si="569"/>
        <v>2</v>
      </c>
      <c r="U176">
        <f t="shared" si="561"/>
        <v>30</v>
      </c>
      <c r="V176">
        <f t="shared" si="553"/>
        <v>79.040000000000006</v>
      </c>
      <c r="W176" s="13">
        <f t="shared" si="554"/>
        <v>-1.6000000000000001E-3</v>
      </c>
      <c r="X176" s="13">
        <f t="shared" si="555"/>
        <v>-3.7400000000000003E-2</v>
      </c>
      <c r="Y176">
        <f t="shared" si="547"/>
        <v>83.94</v>
      </c>
      <c r="Z176" s="13">
        <f t="shared" si="542"/>
        <v>-1.1999999999999999E-3</v>
      </c>
      <c r="AA176" s="13">
        <f t="shared" si="538"/>
        <v>-4.0300000000000002E-2</v>
      </c>
      <c r="AB176" s="6">
        <f t="shared" si="548"/>
        <v>89.79</v>
      </c>
      <c r="AC176">
        <f t="shared" si="540"/>
        <v>45</v>
      </c>
      <c r="AD176" s="11">
        <f t="shared" si="541"/>
        <v>1</v>
      </c>
      <c r="AE176">
        <f t="shared" si="539"/>
        <v>33</v>
      </c>
      <c r="AF176">
        <f>IF(AND(AE176&lt;15,OR(AC176&gt;=30,AA176&gt;0.15,X176&gt;=0.15)),2,VLOOKUP(AE176,Table!P:Q,2,FALSE))</f>
        <v>5</v>
      </c>
      <c r="AG176" s="22">
        <f>IF((AB176*0.98)-(D176*0.8)+((AF176-3)*3)+VLOOKUP(AM176,Table!$A$11:$B$13,2,FALSE)&lt;0,0,(AB176*0.98)-(D176*0.8)+((AF176-3)*3)+VLOOKUP(AM176,Table!$A$11:$B$13,2,FALSE))</f>
        <v>90.882200000000012</v>
      </c>
      <c r="AH176" s="22">
        <f t="shared" si="570"/>
        <v>89</v>
      </c>
      <c r="AI176" s="18">
        <f t="shared" si="563"/>
        <v>0.02</v>
      </c>
      <c r="AJ176" s="18">
        <f t="shared" si="564"/>
        <v>0.02</v>
      </c>
      <c r="AK176" t="str">
        <f t="shared" si="549"/>
        <v/>
      </c>
      <c r="AL176">
        <f t="shared" si="560"/>
        <v>32.25</v>
      </c>
      <c r="AM176" s="11" t="str">
        <f t="shared" si="550"/>
        <v>Stocks</v>
      </c>
      <c r="AN176" t="str">
        <f t="shared" si="556"/>
        <v>Buy</v>
      </c>
      <c r="AO176" s="13">
        <f t="shared" si="557"/>
        <v>1.7500000000000002E-2</v>
      </c>
      <c r="AP176" s="13">
        <f t="shared" si="558"/>
        <v>0</v>
      </c>
      <c r="AQ176" s="13">
        <f t="shared" si="559"/>
        <v>1.5599999999999999E-2</v>
      </c>
      <c r="AR176" s="13">
        <f t="shared" si="551"/>
        <v>1.7500000000000002E-2</v>
      </c>
      <c r="AS176" s="6">
        <f t="shared" si="543"/>
        <v>518.45524560016736</v>
      </c>
      <c r="AT176" s="6">
        <f t="shared" si="544"/>
        <v>185.97425508967711</v>
      </c>
      <c r="AU176" s="6">
        <f t="shared" si="545"/>
        <v>817.82506860110618</v>
      </c>
      <c r="AV176" s="6">
        <f t="shared" si="546"/>
        <v>1215.9642158666074</v>
      </c>
      <c r="AW176" s="58">
        <f t="shared" si="552"/>
        <v>2015</v>
      </c>
      <c r="AX176" s="58">
        <f>COUNTIF(AW$3:AW176,AW176)</f>
        <v>37</v>
      </c>
    </row>
    <row r="177" spans="1:50" x14ac:dyDescent="0.25">
      <c r="A177" s="5">
        <v>42106</v>
      </c>
      <c r="B177">
        <v>2102.06</v>
      </c>
      <c r="C177">
        <v>0.03</v>
      </c>
      <c r="D177" s="6">
        <v>12.58</v>
      </c>
      <c r="E177" s="18">
        <f t="shared" si="565"/>
        <v>14.11</v>
      </c>
      <c r="F177">
        <f t="shared" si="566"/>
        <v>1</v>
      </c>
      <c r="G177" s="18">
        <f>ROUND(INDEX(Valuation!U:U,MATCH(A177,Valuation!A:A,0)),2)</f>
        <v>138.09</v>
      </c>
      <c r="H177">
        <f t="shared" si="573"/>
        <v>1</v>
      </c>
      <c r="I177" s="18">
        <f>INDEX(WeeklyIndicators!Y:Y,MATCH(A177,WeeklyIndicators!A:A,0))</f>
        <v>139.12</v>
      </c>
      <c r="J177">
        <f t="shared" si="562"/>
        <v>1</v>
      </c>
      <c r="K177">
        <f>ROUND(INDEX(Economic!AF:AF,MATCH(EOMONTH($A177,-1),Economic!A:A,0)),2)</f>
        <v>122.71</v>
      </c>
      <c r="L177" s="11">
        <f t="shared" si="571"/>
        <v>1</v>
      </c>
      <c r="M177">
        <f>ROUND(INDEX(Manufacturing!P:P,MATCH(EOMONTH($A177,-1),Manufacturing!A:A,0)),2)</f>
        <v>85.98</v>
      </c>
      <c r="N177">
        <f t="shared" si="567"/>
        <v>0</v>
      </c>
      <c r="O177">
        <f>ROUND(INDEX(Housing!AC:AC,MATCH(EOMONTH($A177,-1),Housing!B:B,0)),2)</f>
        <v>134.61000000000001</v>
      </c>
      <c r="P177">
        <f t="shared" si="568"/>
        <v>2</v>
      </c>
      <c r="Q177">
        <f>ROUND(INDEX(Spending!AJ:AJ,MATCH(EOMONTH($A177,-1),Spending!B:B,0)),2)</f>
        <v>53.26</v>
      </c>
      <c r="R177">
        <f t="shared" si="572"/>
        <v>1</v>
      </c>
      <c r="S177">
        <f>ROUND(INDEX(Employment!V:V,MATCH(EOMONTH($A177,-1),Employment!A:A,0)),2)</f>
        <v>175.28</v>
      </c>
      <c r="T177" s="11">
        <f t="shared" si="569"/>
        <v>2</v>
      </c>
      <c r="U177">
        <f t="shared" si="561"/>
        <v>29</v>
      </c>
      <c r="V177">
        <f t="shared" si="553"/>
        <v>77.98</v>
      </c>
      <c r="W177" s="13">
        <f t="shared" si="554"/>
        <v>-8.8999999999999999E-3</v>
      </c>
      <c r="X177" s="13">
        <f t="shared" si="555"/>
        <v>-4.2099999999999999E-2</v>
      </c>
      <c r="Y177">
        <f t="shared" si="547"/>
        <v>82.77</v>
      </c>
      <c r="Z177" s="13">
        <f t="shared" si="542"/>
        <v>-9.4999999999999998E-3</v>
      </c>
      <c r="AA177" s="13">
        <f t="shared" si="538"/>
        <v>-4.6200000000000005E-2</v>
      </c>
      <c r="AB177" s="6">
        <f t="shared" si="548"/>
        <v>88.158999999999992</v>
      </c>
      <c r="AC177">
        <f t="shared" si="540"/>
        <v>44</v>
      </c>
      <c r="AD177" s="11">
        <f t="shared" si="541"/>
        <v>1</v>
      </c>
      <c r="AE177">
        <f t="shared" si="539"/>
        <v>32</v>
      </c>
      <c r="AF177">
        <f>IF(AND(AE177&lt;15,OR(AC177&gt;=30,AA177&gt;0.15,X177&gt;=0.15)),2,VLOOKUP(AE177,Table!P:Q,2,FALSE))</f>
        <v>5</v>
      </c>
      <c r="AG177" s="22">
        <f>IF((AB177*0.98)-(D177*0.8)+((AF177-3)*3)+VLOOKUP(AM177,Table!$A$11:$B$13,2,FALSE)&lt;0,0,(AB177*0.98)-(D177*0.8)+((AF177-3)*3)+VLOOKUP(AM177,Table!$A$11:$B$13,2,FALSE))</f>
        <v>90.331819999999993</v>
      </c>
      <c r="AH177" s="22">
        <f t="shared" si="570"/>
        <v>90</v>
      </c>
      <c r="AI177" s="18">
        <f t="shared" si="563"/>
        <v>0.02</v>
      </c>
      <c r="AJ177" s="18">
        <f t="shared" si="564"/>
        <v>0.02</v>
      </c>
      <c r="AK177" t="str">
        <f t="shared" si="549"/>
        <v/>
      </c>
      <c r="AL177">
        <f t="shared" si="560"/>
        <v>32.5</v>
      </c>
      <c r="AM177" s="11" t="str">
        <f t="shared" si="550"/>
        <v>Stocks</v>
      </c>
      <c r="AN177" t="str">
        <f t="shared" si="556"/>
        <v>Buy</v>
      </c>
      <c r="AO177" s="13">
        <f t="shared" si="557"/>
        <v>-9.9000000000000008E-3</v>
      </c>
      <c r="AP177" s="13">
        <f t="shared" si="558"/>
        <v>0</v>
      </c>
      <c r="AQ177" s="13">
        <f t="shared" si="559"/>
        <v>-8.8999999999999999E-3</v>
      </c>
      <c r="AR177" s="13">
        <f t="shared" si="551"/>
        <v>-9.9000000000000008E-3</v>
      </c>
      <c r="AS177" s="6">
        <f t="shared" si="543"/>
        <v>523.63927441689464</v>
      </c>
      <c r="AT177" s="6">
        <f t="shared" si="544"/>
        <v>185.97425508967711</v>
      </c>
      <c r="AU177" s="6">
        <f t="shared" si="545"/>
        <v>825.16907335395638</v>
      </c>
      <c r="AV177" s="6">
        <f t="shared" si="546"/>
        <v>1228.1226299026437</v>
      </c>
      <c r="AW177" s="58">
        <f t="shared" si="552"/>
        <v>2015</v>
      </c>
      <c r="AX177" s="58">
        <f>COUNTIF(AW$3:AW177,AW177)</f>
        <v>38</v>
      </c>
    </row>
    <row r="178" spans="1:50" x14ac:dyDescent="0.25">
      <c r="A178" s="5">
        <v>42099</v>
      </c>
      <c r="B178">
        <v>2066.96</v>
      </c>
      <c r="C178">
        <v>0.03</v>
      </c>
      <c r="D178" s="6">
        <v>14.67</v>
      </c>
      <c r="E178" s="18">
        <f t="shared" si="565"/>
        <v>14.25</v>
      </c>
      <c r="F178">
        <f t="shared" si="566"/>
        <v>1</v>
      </c>
      <c r="G178" s="18">
        <f>ROUND(INDEX(Valuation!U:U,MATCH(A178,Valuation!A:A,0)),2)</f>
        <v>138.34</v>
      </c>
      <c r="H178">
        <f t="shared" si="573"/>
        <v>1</v>
      </c>
      <c r="I178" s="18">
        <f>INDEX(WeeklyIndicators!Y:Y,MATCH(A178,WeeklyIndicators!A:A,0))</f>
        <v>129.57</v>
      </c>
      <c r="J178">
        <f t="shared" si="562"/>
        <v>0</v>
      </c>
      <c r="K178">
        <f>ROUND(INDEX(Economic!AF:AF,MATCH(EOMONTH($A178,-1),Economic!A:A,0)),2)</f>
        <v>122.71</v>
      </c>
      <c r="L178" s="11">
        <f t="shared" si="571"/>
        <v>1</v>
      </c>
      <c r="M178">
        <f>ROUND(INDEX(Manufacturing!P:P,MATCH(EOMONTH($A178,-1),Manufacturing!A:A,0)),2)</f>
        <v>85.98</v>
      </c>
      <c r="N178">
        <f t="shared" si="567"/>
        <v>0</v>
      </c>
      <c r="O178">
        <f>ROUND(INDEX(Housing!AC:AC,MATCH(EOMONTH($A178,-1),Housing!B:B,0)),2)</f>
        <v>134.61000000000001</v>
      </c>
      <c r="P178">
        <f t="shared" si="568"/>
        <v>2</v>
      </c>
      <c r="Q178">
        <f>ROUND(INDEX(Spending!AJ:AJ,MATCH(EOMONTH($A178,-1),Spending!B:B,0)),2)</f>
        <v>53.26</v>
      </c>
      <c r="R178">
        <f t="shared" si="572"/>
        <v>1</v>
      </c>
      <c r="S178">
        <f>ROUND(INDEX(Employment!V:V,MATCH(EOMONTH($A178,-1),Employment!A:A,0)),2)</f>
        <v>175.28</v>
      </c>
      <c r="T178" s="11">
        <f t="shared" si="569"/>
        <v>2</v>
      </c>
      <c r="U178">
        <f t="shared" si="561"/>
        <v>28</v>
      </c>
      <c r="V178">
        <f t="shared" si="553"/>
        <v>76.989999999999995</v>
      </c>
      <c r="W178" s="13">
        <f t="shared" si="554"/>
        <v>-1.72E-2</v>
      </c>
      <c r="X178" s="13">
        <f t="shared" si="555"/>
        <v>-3.3399999999999999E-2</v>
      </c>
      <c r="Y178">
        <f t="shared" si="547"/>
        <v>81.75</v>
      </c>
      <c r="Z178" s="13">
        <f t="shared" si="542"/>
        <v>-1.8200000000000001E-2</v>
      </c>
      <c r="AA178" s="13">
        <f t="shared" si="538"/>
        <v>-3.5800000000000005E-2</v>
      </c>
      <c r="AB178" s="6">
        <f t="shared" si="548"/>
        <v>87.914000000000001</v>
      </c>
      <c r="AC178">
        <f t="shared" si="540"/>
        <v>44</v>
      </c>
      <c r="AD178" s="11">
        <f t="shared" si="541"/>
        <v>1</v>
      </c>
      <c r="AE178">
        <f t="shared" si="539"/>
        <v>31</v>
      </c>
      <c r="AF178">
        <f>IF(AND(AE178&lt;15,OR(AC178&gt;=30,AA178&gt;0.15,X178&gt;=0.15)),2,VLOOKUP(AE178,Table!P:Q,2,FALSE))</f>
        <v>4</v>
      </c>
      <c r="AG178" s="22">
        <f>IF((AB178*0.98)-(D178*0.8)+((AF178-3)*3)+VLOOKUP(AM178,Table!$A$11:$B$13,2,FALSE)&lt;0,0,(AB178*0.98)-(D178*0.8)+((AF178-3)*3)+VLOOKUP(AM178,Table!$A$11:$B$13,2,FALSE))</f>
        <v>85.419719999999998</v>
      </c>
      <c r="AH178" s="22">
        <f t="shared" si="570"/>
        <v>92</v>
      </c>
      <c r="AI178" s="18">
        <f t="shared" si="563"/>
        <v>0.02</v>
      </c>
      <c r="AJ178" s="18">
        <f t="shared" si="564"/>
        <v>0.02</v>
      </c>
      <c r="AK178" t="str">
        <f t="shared" si="549"/>
        <v/>
      </c>
      <c r="AL178">
        <f t="shared" si="560"/>
        <v>33.25</v>
      </c>
      <c r="AM178" s="11" t="str">
        <f t="shared" si="550"/>
        <v>Stocks</v>
      </c>
      <c r="AN178" t="str">
        <f t="shared" si="556"/>
        <v>Buy</v>
      </c>
      <c r="AO178" s="13">
        <f t="shared" si="557"/>
        <v>1.7000000000000001E-2</v>
      </c>
      <c r="AP178" s="13">
        <f t="shared" si="558"/>
        <v>0</v>
      </c>
      <c r="AQ178" s="13">
        <f t="shared" si="559"/>
        <v>1.5599999999999999E-2</v>
      </c>
      <c r="AR178" s="13">
        <f t="shared" si="551"/>
        <v>1.7000000000000001E-2</v>
      </c>
      <c r="AS178" s="6">
        <f t="shared" si="543"/>
        <v>514.8862088661698</v>
      </c>
      <c r="AT178" s="6">
        <f t="shared" si="544"/>
        <v>185.97425508967711</v>
      </c>
      <c r="AU178" s="6">
        <f t="shared" si="545"/>
        <v>812.49416438948049</v>
      </c>
      <c r="AV178" s="6">
        <f t="shared" si="546"/>
        <v>1207.5935397272801</v>
      </c>
      <c r="AW178" s="58">
        <f t="shared" si="552"/>
        <v>2015</v>
      </c>
      <c r="AX178" s="58">
        <f>COUNTIF(AW$3:AW178,AW178)</f>
        <v>39</v>
      </c>
    </row>
    <row r="179" spans="1:50" x14ac:dyDescent="0.25">
      <c r="A179" s="5">
        <v>42092</v>
      </c>
      <c r="B179">
        <v>2061.02</v>
      </c>
      <c r="C179">
        <v>0.03</v>
      </c>
      <c r="D179" s="6">
        <v>15.07</v>
      </c>
      <c r="E179" s="18">
        <f t="shared" si="565"/>
        <v>14.7</v>
      </c>
      <c r="F179">
        <f t="shared" si="566"/>
        <v>1</v>
      </c>
      <c r="G179" s="18">
        <f>ROUND(INDEX(Valuation!U:U,MATCH(A179,Valuation!A:A,0)),2)</f>
        <v>140.24</v>
      </c>
      <c r="H179">
        <f t="shared" si="573"/>
        <v>1</v>
      </c>
      <c r="I179" s="18">
        <f>INDEX(WeeklyIndicators!Y:Y,MATCH(A179,WeeklyIndicators!A:A,0))</f>
        <v>127.65</v>
      </c>
      <c r="J179">
        <f t="shared" si="562"/>
        <v>0</v>
      </c>
      <c r="K179">
        <f>ROUND(INDEX(Economic!AF:AF,MATCH(EOMONTH($A179,-1),Economic!A:A,0)),2)</f>
        <v>126.64</v>
      </c>
      <c r="L179" s="11">
        <f t="shared" si="571"/>
        <v>2</v>
      </c>
      <c r="M179">
        <f>ROUND(INDEX(Manufacturing!P:P,MATCH(EOMONTH($A179,-1),Manufacturing!A:A,0)),2)</f>
        <v>93.26</v>
      </c>
      <c r="N179">
        <f t="shared" si="567"/>
        <v>1</v>
      </c>
      <c r="O179">
        <f>ROUND(INDEX(Housing!AC:AC,MATCH(EOMONTH($A179,-1),Housing!B:B,0)),2)</f>
        <v>136.86000000000001</v>
      </c>
      <c r="P179">
        <f t="shared" si="568"/>
        <v>2</v>
      </c>
      <c r="Q179">
        <f>ROUND(INDEX(Spending!AJ:AJ,MATCH(EOMONTH($A179,-1),Spending!B:B,0)),2)</f>
        <v>57.75</v>
      </c>
      <c r="R179">
        <f t="shared" si="572"/>
        <v>1</v>
      </c>
      <c r="S179">
        <f>ROUND(INDEX(Employment!V:V,MATCH(EOMONTH($A179,-1),Employment!A:A,0)),2)</f>
        <v>181.36</v>
      </c>
      <c r="T179" s="11">
        <f t="shared" si="569"/>
        <v>2</v>
      </c>
      <c r="U179">
        <f t="shared" si="561"/>
        <v>30</v>
      </c>
      <c r="V179">
        <f t="shared" si="553"/>
        <v>79.42</v>
      </c>
      <c r="W179" s="13">
        <f t="shared" si="554"/>
        <v>-9.7000000000000003E-3</v>
      </c>
      <c r="X179" s="13">
        <f t="shared" si="555"/>
        <v>-8.9999999999999993E-3</v>
      </c>
      <c r="Y179">
        <f t="shared" si="547"/>
        <v>84.24</v>
      </c>
      <c r="Z179" s="13">
        <f t="shared" si="542"/>
        <v>-1.14E-2</v>
      </c>
      <c r="AA179" s="13">
        <f t="shared" ref="AA179:AA242" si="574">SUM(Z179:Z182)</f>
        <v>-6.9000000000000016E-3</v>
      </c>
      <c r="AB179" s="6">
        <f t="shared" si="548"/>
        <v>92.864000000000004</v>
      </c>
      <c r="AC179">
        <f t="shared" si="540"/>
        <v>46</v>
      </c>
      <c r="AD179" s="11">
        <f t="shared" si="541"/>
        <v>1</v>
      </c>
      <c r="AE179">
        <f t="shared" si="539"/>
        <v>33</v>
      </c>
      <c r="AF179">
        <f>IF(AND(AE179&lt;15,OR(AC179&gt;=30,AA179&gt;0.15,X179&gt;=0.15)),2,VLOOKUP(AE179,Table!P:Q,2,FALSE))</f>
        <v>5</v>
      </c>
      <c r="AG179" s="22">
        <f>IF((AB179*0.98)-(D179*0.8)+((AF179-3)*3)+VLOOKUP(AM179,Table!$A$11:$B$13,2,FALSE)&lt;0,0,(AB179*0.98)-(D179*0.8)+((AF179-3)*3)+VLOOKUP(AM179,Table!$A$11:$B$13,2,FALSE))</f>
        <v>92.950720000000004</v>
      </c>
      <c r="AH179" s="22">
        <f t="shared" si="570"/>
        <v>96</v>
      </c>
      <c r="AI179" s="18">
        <f t="shared" si="563"/>
        <v>0.02</v>
      </c>
      <c r="AJ179" s="18">
        <f t="shared" si="564"/>
        <v>0.02</v>
      </c>
      <c r="AK179" t="str">
        <f t="shared" si="549"/>
        <v/>
      </c>
      <c r="AL179">
        <f t="shared" si="560"/>
        <v>34.25</v>
      </c>
      <c r="AM179" s="11" t="str">
        <f t="shared" si="550"/>
        <v>Stocks</v>
      </c>
      <c r="AN179" t="str">
        <f t="shared" si="556"/>
        <v>Buy</v>
      </c>
      <c r="AO179" s="13">
        <f t="shared" si="557"/>
        <v>2.8999999999999998E-3</v>
      </c>
      <c r="AP179" s="13">
        <f t="shared" si="558"/>
        <v>0</v>
      </c>
      <c r="AQ179" s="13">
        <f t="shared" si="559"/>
        <v>2.8E-3</v>
      </c>
      <c r="AR179" s="13">
        <f t="shared" si="551"/>
        <v>2.8999999999999998E-3</v>
      </c>
      <c r="AS179" s="6">
        <f t="shared" si="543"/>
        <v>513.39735653222635</v>
      </c>
      <c r="AT179" s="6">
        <f t="shared" si="544"/>
        <v>185.97425508967711</v>
      </c>
      <c r="AU179" s="6">
        <f t="shared" si="545"/>
        <v>810.22553289736788</v>
      </c>
      <c r="AV179" s="6">
        <f t="shared" si="546"/>
        <v>1204.1016449569051</v>
      </c>
      <c r="AW179" s="58">
        <f t="shared" si="552"/>
        <v>2015</v>
      </c>
      <c r="AX179" s="58">
        <f>COUNTIF(AW$3:AW179,AW179)</f>
        <v>40</v>
      </c>
    </row>
    <row r="180" spans="1:50" x14ac:dyDescent="0.25">
      <c r="A180" s="5">
        <v>42085</v>
      </c>
      <c r="B180">
        <v>2108.1</v>
      </c>
      <c r="C180">
        <v>0.03</v>
      </c>
      <c r="D180" s="6">
        <v>13.02</v>
      </c>
      <c r="E180" s="18">
        <f t="shared" si="565"/>
        <v>14.74</v>
      </c>
      <c r="F180">
        <f t="shared" si="566"/>
        <v>1</v>
      </c>
      <c r="G180" s="18">
        <f>ROUND(INDEX(Valuation!U:U,MATCH(A180,Valuation!A:A,0)),2)</f>
        <v>142.47999999999999</v>
      </c>
      <c r="H180">
        <f t="shared" si="573"/>
        <v>1</v>
      </c>
      <c r="I180" s="18">
        <f>INDEX(WeeklyIndicators!Y:Y,MATCH(A180,WeeklyIndicators!A:A,0))</f>
        <v>134.16999999999999</v>
      </c>
      <c r="J180">
        <f t="shared" si="562"/>
        <v>0</v>
      </c>
      <c r="K180">
        <f>ROUND(INDEX(Economic!AF:AF,MATCH(EOMONTH($A180,-1),Economic!A:A,0)),2)</f>
        <v>126.64</v>
      </c>
      <c r="L180" s="11">
        <f t="shared" si="571"/>
        <v>2</v>
      </c>
      <c r="M180">
        <f>ROUND(INDEX(Manufacturing!P:P,MATCH(EOMONTH($A180,-1),Manufacturing!A:A,0)),2)</f>
        <v>93.26</v>
      </c>
      <c r="N180">
        <f t="shared" si="567"/>
        <v>1</v>
      </c>
      <c r="O180">
        <f>ROUND(INDEX(Housing!AC:AC,MATCH(EOMONTH($A180,-1),Housing!B:B,0)),2)</f>
        <v>136.86000000000001</v>
      </c>
      <c r="P180">
        <f t="shared" si="568"/>
        <v>2</v>
      </c>
      <c r="Q180">
        <f>ROUND(INDEX(Spending!AJ:AJ,MATCH(EOMONTH($A180,-1),Spending!B:B,0)),2)</f>
        <v>57.75</v>
      </c>
      <c r="R180">
        <f t="shared" si="572"/>
        <v>1</v>
      </c>
      <c r="S180">
        <f>ROUND(INDEX(Employment!V:V,MATCH(EOMONTH($A180,-1),Employment!A:A,0)),2)</f>
        <v>181.36</v>
      </c>
      <c r="T180" s="11">
        <f t="shared" si="569"/>
        <v>2</v>
      </c>
      <c r="U180">
        <f t="shared" si="561"/>
        <v>30</v>
      </c>
      <c r="V180">
        <f t="shared" si="553"/>
        <v>80.09</v>
      </c>
      <c r="W180" s="13">
        <f t="shared" si="554"/>
        <v>-6.3E-3</v>
      </c>
      <c r="X180" s="13">
        <f t="shared" si="555"/>
        <v>1.04E-2</v>
      </c>
      <c r="Y180">
        <f t="shared" si="547"/>
        <v>85.15</v>
      </c>
      <c r="Z180" s="13">
        <f t="shared" si="542"/>
        <v>-7.1000000000000004E-3</v>
      </c>
      <c r="AA180" s="13">
        <f t="shared" si="574"/>
        <v>1.8799999999999997E-2</v>
      </c>
      <c r="AB180" s="6">
        <f t="shared" si="548"/>
        <v>95.928000000000011</v>
      </c>
      <c r="AC180">
        <f t="shared" si="540"/>
        <v>48</v>
      </c>
      <c r="AD180" s="11">
        <f t="shared" si="541"/>
        <v>2</v>
      </c>
      <c r="AE180">
        <f t="shared" si="539"/>
        <v>34</v>
      </c>
      <c r="AF180">
        <f>IF(AND(AE180&lt;15,OR(AC180&gt;=30,AA180&gt;0.15,X180&gt;=0.15)),2,VLOOKUP(AE180,Table!P:Q,2,FALSE))</f>
        <v>5</v>
      </c>
      <c r="AG180" s="22">
        <f>IF((AB180*0.98)-(D180*0.8)+((AF180-3)*3)+VLOOKUP(AM180,Table!$A$11:$B$13,2,FALSE)&lt;0,0,(AB180*0.98)-(D180*0.8)+((AF180-3)*3)+VLOOKUP(AM180,Table!$A$11:$B$13,2,FALSE))</f>
        <v>97.593440000000015</v>
      </c>
      <c r="AH180" s="22">
        <f t="shared" si="570"/>
        <v>98</v>
      </c>
      <c r="AI180" s="18">
        <f t="shared" si="563"/>
        <v>0.02</v>
      </c>
      <c r="AJ180" s="18">
        <f t="shared" si="564"/>
        <v>0.02</v>
      </c>
      <c r="AK180" t="str">
        <f t="shared" si="549"/>
        <v/>
      </c>
      <c r="AL180">
        <f t="shared" si="560"/>
        <v>34.75</v>
      </c>
      <c r="AM180" s="11" t="str">
        <f t="shared" si="550"/>
        <v>Stocks</v>
      </c>
      <c r="AN180" t="str">
        <f t="shared" si="556"/>
        <v>Buy</v>
      </c>
      <c r="AO180" s="13">
        <f t="shared" si="557"/>
        <v>-2.23E-2</v>
      </c>
      <c r="AP180" s="13">
        <f t="shared" si="558"/>
        <v>0</v>
      </c>
      <c r="AQ180" s="13">
        <f t="shared" si="559"/>
        <v>-2.1899999999999999E-2</v>
      </c>
      <c r="AR180" s="13">
        <f t="shared" si="551"/>
        <v>-2.23E-2</v>
      </c>
      <c r="AS180" s="6">
        <f t="shared" si="543"/>
        <v>525.10724816633558</v>
      </c>
      <c r="AT180" s="6">
        <f t="shared" si="544"/>
        <v>185.97425508967711</v>
      </c>
      <c r="AU180" s="6">
        <f t="shared" si="545"/>
        <v>828.36676505200683</v>
      </c>
      <c r="AV180" s="6">
        <f t="shared" si="546"/>
        <v>1231.5655568752227</v>
      </c>
      <c r="AW180" s="58">
        <f t="shared" si="552"/>
        <v>2015</v>
      </c>
      <c r="AX180" s="58">
        <f>COUNTIF(AW$3:AW180,AW180)</f>
        <v>41</v>
      </c>
    </row>
    <row r="181" spans="1:50" x14ac:dyDescent="0.25">
      <c r="A181" s="5">
        <v>42078</v>
      </c>
      <c r="B181">
        <v>2053.4</v>
      </c>
      <c r="C181">
        <v>0.03</v>
      </c>
      <c r="D181" s="6">
        <v>16</v>
      </c>
      <c r="E181" s="18">
        <f t="shared" si="565"/>
        <v>14.85</v>
      </c>
      <c r="F181">
        <f t="shared" si="566"/>
        <v>1</v>
      </c>
      <c r="G181" s="18">
        <f>ROUND(INDEX(Valuation!U:U,MATCH(A181,Valuation!A:A,0)),2)</f>
        <v>144.62</v>
      </c>
      <c r="H181">
        <f t="shared" si="573"/>
        <v>1</v>
      </c>
      <c r="I181" s="18">
        <f>INDEX(WeeklyIndicators!Y:Y,MATCH(A181,WeeklyIndicators!A:A,0))</f>
        <v>144.27000000000001</v>
      </c>
      <c r="J181">
        <f t="shared" si="562"/>
        <v>1</v>
      </c>
      <c r="K181">
        <f>ROUND(INDEX(Economic!AF:AF,MATCH(EOMONTH($A181,-1),Economic!A:A,0)),2)</f>
        <v>126.64</v>
      </c>
      <c r="L181" s="11">
        <f t="shared" si="571"/>
        <v>2</v>
      </c>
      <c r="M181">
        <f>ROUND(INDEX(Manufacturing!P:P,MATCH(EOMONTH($A181,-1),Manufacturing!A:A,0)),2)</f>
        <v>93.26</v>
      </c>
      <c r="N181">
        <f t="shared" si="567"/>
        <v>1</v>
      </c>
      <c r="O181">
        <f>ROUND(INDEX(Housing!AC:AC,MATCH(EOMONTH($A181,-1),Housing!B:B,0)),2)</f>
        <v>136.86000000000001</v>
      </c>
      <c r="P181">
        <f t="shared" si="568"/>
        <v>2</v>
      </c>
      <c r="Q181">
        <f>ROUND(INDEX(Spending!AJ:AJ,MATCH(EOMONTH($A181,-1),Spending!B:B,0)),2)</f>
        <v>57.75</v>
      </c>
      <c r="R181">
        <f t="shared" si="572"/>
        <v>1</v>
      </c>
      <c r="S181">
        <f>ROUND(INDEX(Employment!V:V,MATCH(EOMONTH($A181,-1),Employment!A:A,0)),2)</f>
        <v>181.36</v>
      </c>
      <c r="T181" s="11">
        <f t="shared" si="569"/>
        <v>2</v>
      </c>
      <c r="U181">
        <f t="shared" si="561"/>
        <v>31</v>
      </c>
      <c r="V181">
        <f t="shared" si="553"/>
        <v>81.14</v>
      </c>
      <c r="W181" s="13">
        <f t="shared" si="554"/>
        <v>-2.0000000000000001E-4</v>
      </c>
      <c r="X181" s="13">
        <f t="shared" si="555"/>
        <v>2.3300000000000001E-2</v>
      </c>
      <c r="Y181">
        <f t="shared" si="547"/>
        <v>86.4</v>
      </c>
      <c r="Z181" s="13">
        <f t="shared" si="542"/>
        <v>8.9999999999999998E-4</v>
      </c>
      <c r="AA181" s="13">
        <f t="shared" si="574"/>
        <v>3.8300000000000001E-2</v>
      </c>
      <c r="AB181" s="6">
        <f t="shared" si="548"/>
        <v>98.862000000000009</v>
      </c>
      <c r="AC181">
        <f t="shared" si="540"/>
        <v>49</v>
      </c>
      <c r="AD181" s="11">
        <f t="shared" si="541"/>
        <v>2</v>
      </c>
      <c r="AE181">
        <f t="shared" si="539"/>
        <v>35</v>
      </c>
      <c r="AF181">
        <f>IF(AND(AE181&lt;15,OR(AC181&gt;=30,AA181&gt;0.15,X181&gt;=0.15)),2,VLOOKUP(AE181,Table!P:Q,2,FALSE))</f>
        <v>5</v>
      </c>
      <c r="AG181" s="22">
        <f>IF((AB181*0.98)-(D181*0.8)+((AF181-3)*3)+VLOOKUP(AM181,Table!$A$11:$B$13,2,FALSE)&lt;0,0,(AB181*0.98)-(D181*0.8)+((AF181-3)*3)+VLOOKUP(AM181,Table!$A$11:$B$13,2,FALSE))</f>
        <v>98.084760000000003</v>
      </c>
      <c r="AH181" s="22">
        <f t="shared" si="570"/>
        <v>99</v>
      </c>
      <c r="AI181" s="18">
        <f t="shared" si="563"/>
        <v>0.03</v>
      </c>
      <c r="AJ181" s="18">
        <f t="shared" si="564"/>
        <v>0.02</v>
      </c>
      <c r="AK181" t="str">
        <f t="shared" si="549"/>
        <v/>
      </c>
      <c r="AL181">
        <f t="shared" si="560"/>
        <v>35</v>
      </c>
      <c r="AM181" s="11" t="str">
        <f t="shared" si="550"/>
        <v>Stocks</v>
      </c>
      <c r="AN181" t="str">
        <f t="shared" si="556"/>
        <v>Buy</v>
      </c>
      <c r="AO181" s="13">
        <f t="shared" si="557"/>
        <v>2.6599999999999999E-2</v>
      </c>
      <c r="AP181" s="13">
        <f t="shared" si="558"/>
        <v>0</v>
      </c>
      <c r="AQ181" s="13">
        <f t="shared" si="559"/>
        <v>2.63E-2</v>
      </c>
      <c r="AR181" s="13">
        <f t="shared" si="551"/>
        <v>2.6599999999999999E-2</v>
      </c>
      <c r="AS181" s="6">
        <f t="shared" si="543"/>
        <v>511.50131323430315</v>
      </c>
      <c r="AT181" s="6">
        <f t="shared" si="544"/>
        <v>185.97425508967711</v>
      </c>
      <c r="AU181" s="6">
        <f t="shared" si="545"/>
        <v>807.13900911235203</v>
      </c>
      <c r="AV181" s="6">
        <f t="shared" si="546"/>
        <v>1199.6547407707214</v>
      </c>
      <c r="AW181" s="58">
        <f t="shared" si="552"/>
        <v>2015</v>
      </c>
      <c r="AX181" s="58">
        <f>COUNTIF(AW$3:AW181,AW181)</f>
        <v>42</v>
      </c>
    </row>
    <row r="182" spans="1:50" x14ac:dyDescent="0.25">
      <c r="A182" s="5">
        <v>42071</v>
      </c>
      <c r="B182">
        <v>2071.2600000000002</v>
      </c>
      <c r="C182">
        <v>0.02</v>
      </c>
      <c r="D182" s="6">
        <v>15.2</v>
      </c>
      <c r="E182" s="18">
        <f t="shared" si="565"/>
        <v>14.28</v>
      </c>
      <c r="F182">
        <f t="shared" si="566"/>
        <v>1</v>
      </c>
      <c r="G182" s="18">
        <f>ROUND(INDEX(Valuation!U:U,MATCH(A182,Valuation!A:A,0)),2)</f>
        <v>144.1</v>
      </c>
      <c r="H182">
        <f t="shared" si="573"/>
        <v>1</v>
      </c>
      <c r="I182" s="18">
        <f>INDEX(WeeklyIndicators!Y:Y,MATCH(A182,WeeklyIndicators!A:A,0))</f>
        <v>150.47</v>
      </c>
      <c r="J182">
        <f t="shared" si="562"/>
        <v>1</v>
      </c>
      <c r="K182">
        <f>ROUND(INDEX(Economic!AF:AF,MATCH(EOMONTH($A182,-1),Economic!A:A,0)),2)</f>
        <v>126.64</v>
      </c>
      <c r="L182" s="11">
        <f t="shared" si="571"/>
        <v>2</v>
      </c>
      <c r="M182">
        <f>ROUND(INDEX(Manufacturing!P:P,MATCH(EOMONTH($A182,-1),Manufacturing!A:A,0)),2)</f>
        <v>93.26</v>
      </c>
      <c r="N182">
        <f t="shared" si="567"/>
        <v>1</v>
      </c>
      <c r="O182">
        <f>ROUND(INDEX(Housing!AC:AC,MATCH(EOMONTH($A182,-1),Housing!B:B,0)),2)</f>
        <v>136.86000000000001</v>
      </c>
      <c r="P182">
        <f t="shared" si="568"/>
        <v>2</v>
      </c>
      <c r="Q182">
        <f>ROUND(INDEX(Spending!AJ:AJ,MATCH(EOMONTH($A182,-1),Spending!B:B,0)),2)</f>
        <v>57.75</v>
      </c>
      <c r="R182">
        <f t="shared" si="572"/>
        <v>1</v>
      </c>
      <c r="S182">
        <f>ROUND(INDEX(Employment!V:V,MATCH(EOMONTH($A182,-1),Employment!A:A,0)),2)</f>
        <v>181.36</v>
      </c>
      <c r="T182" s="11">
        <f t="shared" si="569"/>
        <v>2</v>
      </c>
      <c r="U182">
        <f t="shared" si="561"/>
        <v>31</v>
      </c>
      <c r="V182">
        <f t="shared" si="553"/>
        <v>81.78</v>
      </c>
      <c r="W182" s="13">
        <f t="shared" si="554"/>
        <v>7.1999999999999998E-3</v>
      </c>
      <c r="X182" s="13">
        <f t="shared" si="555"/>
        <v>2.12E-2</v>
      </c>
      <c r="Y182">
        <f t="shared" si="547"/>
        <v>87.18</v>
      </c>
      <c r="Z182" s="13">
        <f t="shared" si="542"/>
        <v>1.0699999999999999E-2</v>
      </c>
      <c r="AA182" s="13">
        <f t="shared" si="574"/>
        <v>3.8000000000000006E-2</v>
      </c>
      <c r="AB182" s="6">
        <f t="shared" si="548"/>
        <v>99.57</v>
      </c>
      <c r="AC182">
        <f t="shared" si="540"/>
        <v>50</v>
      </c>
      <c r="AD182" s="11">
        <f t="shared" si="541"/>
        <v>2</v>
      </c>
      <c r="AE182">
        <f t="shared" si="539"/>
        <v>35</v>
      </c>
      <c r="AF182">
        <f>IF(AND(AE182&lt;15,OR(AC182&gt;=30,AA182&gt;0.15,X182&gt;=0.15)),2,VLOOKUP(AE182,Table!P:Q,2,FALSE))</f>
        <v>5</v>
      </c>
      <c r="AG182" s="22">
        <f>IF((AB182*0.98)-(D182*0.8)+((AF182-3)*3)+VLOOKUP(AM182,Table!$A$11:$B$13,2,FALSE)&lt;0,0,(AB182*0.98)-(D182*0.8)+((AF182-3)*3)+VLOOKUP(AM182,Table!$A$11:$B$13,2,FALSE))</f>
        <v>99.418599999999998</v>
      </c>
      <c r="AH182" s="22">
        <f t="shared" si="570"/>
        <v>98</v>
      </c>
      <c r="AI182" s="18">
        <f t="shared" si="563"/>
        <v>0.03</v>
      </c>
      <c r="AJ182" s="18">
        <f t="shared" si="564"/>
        <v>0.02</v>
      </c>
      <c r="AK182" t="str">
        <f t="shared" si="549"/>
        <v/>
      </c>
      <c r="AL182">
        <f t="shared" si="560"/>
        <v>34.25</v>
      </c>
      <c r="AM182" s="11" t="str">
        <f t="shared" si="550"/>
        <v>Stocks</v>
      </c>
      <c r="AN182" t="str">
        <f t="shared" si="556"/>
        <v>Buy</v>
      </c>
      <c r="AO182" s="13">
        <f t="shared" si="557"/>
        <v>-8.6E-3</v>
      </c>
      <c r="AP182" s="13">
        <f t="shared" si="558"/>
        <v>0</v>
      </c>
      <c r="AQ182" s="13">
        <f t="shared" si="559"/>
        <v>-8.3999999999999995E-3</v>
      </c>
      <c r="AR182" s="13">
        <f t="shared" si="551"/>
        <v>-8.6E-3</v>
      </c>
      <c r="AS182" s="6">
        <f t="shared" si="543"/>
        <v>515.93838333094936</v>
      </c>
      <c r="AT182" s="6">
        <f t="shared" si="544"/>
        <v>185.97425508967711</v>
      </c>
      <c r="AU182" s="6">
        <f t="shared" si="545"/>
        <v>813.97641096445341</v>
      </c>
      <c r="AV182" s="6">
        <f t="shared" si="546"/>
        <v>1210.0612676727069</v>
      </c>
      <c r="AW182" s="58">
        <f t="shared" si="552"/>
        <v>2015</v>
      </c>
      <c r="AX182" s="58">
        <f>COUNTIF(AW$3:AW182,AW182)</f>
        <v>43</v>
      </c>
    </row>
    <row r="183" spans="1:50" x14ac:dyDescent="0.25">
      <c r="A183" s="5">
        <v>42064</v>
      </c>
      <c r="B183">
        <v>2104.5</v>
      </c>
      <c r="C183">
        <v>0.02</v>
      </c>
      <c r="D183" s="6">
        <v>13.34</v>
      </c>
      <c r="E183" s="18">
        <f t="shared" si="565"/>
        <v>14.11</v>
      </c>
      <c r="F183">
        <f t="shared" si="566"/>
        <v>1</v>
      </c>
      <c r="G183" s="18">
        <f>ROUND(INDEX(Valuation!U:U,MATCH(A183,Valuation!A:A,0)),2)</f>
        <v>143.16999999999999</v>
      </c>
      <c r="H183">
        <f t="shared" si="573"/>
        <v>1</v>
      </c>
      <c r="I183" s="18">
        <f>INDEX(WeeklyIndicators!Y:Y,MATCH(A183,WeeklyIndicators!A:A,0))</f>
        <v>149.1</v>
      </c>
      <c r="J183">
        <f t="shared" si="562"/>
        <v>1</v>
      </c>
      <c r="K183">
        <f>ROUND(INDEX(Economic!AF:AF,MATCH(EOMONTH($A183,-1),Economic!A:A,0)),2)</f>
        <v>126.64</v>
      </c>
      <c r="L183" s="11">
        <f t="shared" si="571"/>
        <v>2</v>
      </c>
      <c r="M183">
        <f>ROUND(INDEX(Manufacturing!P:P,MATCH(EOMONTH($A183,-1),Manufacturing!A:A,0)),2)</f>
        <v>93.26</v>
      </c>
      <c r="N183">
        <f t="shared" si="567"/>
        <v>1</v>
      </c>
      <c r="O183">
        <f>ROUND(INDEX(Housing!AC:AC,MATCH(EOMONTH($A183,-1),Housing!B:B,0)),2)</f>
        <v>136.86000000000001</v>
      </c>
      <c r="P183">
        <f t="shared" si="568"/>
        <v>2</v>
      </c>
      <c r="Q183">
        <f>ROUND(INDEX(Spending!AJ:AJ,MATCH(EOMONTH($A183,-1),Spending!B:B,0)),2)</f>
        <v>57.75</v>
      </c>
      <c r="R183">
        <f t="shared" si="572"/>
        <v>1</v>
      </c>
      <c r="S183">
        <f>ROUND(INDEX(Employment!V:V,MATCH(EOMONTH($A183,-1),Employment!A:A,0)),2)</f>
        <v>181.36</v>
      </c>
      <c r="T183" s="11">
        <f t="shared" si="569"/>
        <v>2</v>
      </c>
      <c r="U183">
        <f t="shared" si="561"/>
        <v>31</v>
      </c>
      <c r="V183">
        <f t="shared" si="553"/>
        <v>81.64</v>
      </c>
      <c r="W183" s="13">
        <f t="shared" si="554"/>
        <v>9.7000000000000003E-3</v>
      </c>
      <c r="X183" s="13">
        <f t="shared" si="555"/>
        <v>4.2000000000000023E-3</v>
      </c>
      <c r="Y183">
        <f t="shared" si="547"/>
        <v>86.99</v>
      </c>
      <c r="Z183" s="13">
        <f t="shared" si="542"/>
        <v>1.43E-2</v>
      </c>
      <c r="AA183" s="13">
        <f t="shared" si="574"/>
        <v>1.9900000000000001E-2</v>
      </c>
      <c r="AB183" s="6">
        <f t="shared" si="548"/>
        <v>97.906999999999996</v>
      </c>
      <c r="AC183">
        <f t="shared" si="540"/>
        <v>49</v>
      </c>
      <c r="AD183" s="11">
        <f t="shared" si="541"/>
        <v>2</v>
      </c>
      <c r="AE183">
        <f t="shared" si="539"/>
        <v>35</v>
      </c>
      <c r="AF183">
        <f>IF(AND(AE183&lt;15,OR(AC183&gt;=30,AA183&gt;0.15,X183&gt;=0.15)),2,VLOOKUP(AE183,Table!P:Q,2,FALSE))</f>
        <v>5</v>
      </c>
      <c r="AG183" s="22">
        <f>IF((AB183*0.98)-(D183*0.8)+((AF183-3)*3)+VLOOKUP(AM183,Table!$A$11:$B$13,2,FALSE)&lt;0,0,(AB183*0.98)-(D183*0.8)+((AF183-3)*3)+VLOOKUP(AM183,Table!$A$11:$B$13,2,FALSE))</f>
        <v>99.276859999999999</v>
      </c>
      <c r="AH183" s="22">
        <f t="shared" si="570"/>
        <v>96</v>
      </c>
      <c r="AI183" s="18">
        <f t="shared" si="563"/>
        <v>0.03</v>
      </c>
      <c r="AJ183" s="18">
        <f t="shared" si="564"/>
        <v>0.03</v>
      </c>
      <c r="AK183" t="str">
        <f t="shared" si="549"/>
        <v/>
      </c>
      <c r="AL183">
        <f t="shared" si="560"/>
        <v>33.25</v>
      </c>
      <c r="AM183" s="11" t="str">
        <f t="shared" si="550"/>
        <v>Stocks</v>
      </c>
      <c r="AN183" t="str">
        <f t="shared" si="556"/>
        <v>Buy</v>
      </c>
      <c r="AO183" s="13">
        <f t="shared" si="557"/>
        <v>-1.5800000000000002E-2</v>
      </c>
      <c r="AP183" s="13">
        <f t="shared" si="558"/>
        <v>0</v>
      </c>
      <c r="AQ183" s="13">
        <f t="shared" si="559"/>
        <v>-1.52E-2</v>
      </c>
      <c r="AR183" s="13">
        <f t="shared" si="551"/>
        <v>-1.5800000000000002E-2</v>
      </c>
      <c r="AS183" s="6">
        <f t="shared" si="543"/>
        <v>524.22107633707515</v>
      </c>
      <c r="AT183" s="6">
        <f t="shared" si="544"/>
        <v>185.97425508967711</v>
      </c>
      <c r="AU183" s="6">
        <f t="shared" si="545"/>
        <v>826.53981617024101</v>
      </c>
      <c r="AV183" s="6">
        <f t="shared" si="546"/>
        <v>1229.4871648777757</v>
      </c>
      <c r="AW183" s="58">
        <f t="shared" si="552"/>
        <v>2015</v>
      </c>
      <c r="AX183" s="58">
        <f>COUNTIF(AW$3:AW183,AW183)</f>
        <v>44</v>
      </c>
    </row>
    <row r="184" spans="1:50" x14ac:dyDescent="0.25">
      <c r="A184" s="5">
        <v>42057</v>
      </c>
      <c r="B184">
        <v>2110.3000000000002</v>
      </c>
      <c r="C184">
        <v>0.02</v>
      </c>
      <c r="D184" s="6">
        <v>14.3</v>
      </c>
      <c r="E184" s="18">
        <f t="shared" si="565"/>
        <v>15.43</v>
      </c>
      <c r="F184">
        <f t="shared" si="566"/>
        <v>1</v>
      </c>
      <c r="G184" s="18">
        <f>ROUND(INDEX(Valuation!U:U,MATCH(A184,Valuation!A:A,0)),2)</f>
        <v>143.94</v>
      </c>
      <c r="H184">
        <f t="shared" si="573"/>
        <v>1</v>
      </c>
      <c r="I184" s="18">
        <f>INDEX(WeeklyIndicators!Y:Y,MATCH(A184,WeeklyIndicators!A:A,0))</f>
        <v>140.68</v>
      </c>
      <c r="J184">
        <f t="shared" si="562"/>
        <v>1</v>
      </c>
      <c r="K184">
        <f>ROUND(INDEX(Economic!AF:AF,MATCH(EOMONTH($A184,-1),Economic!A:A,0)),2)</f>
        <v>122.51</v>
      </c>
      <c r="L184" s="11">
        <f t="shared" si="571"/>
        <v>1</v>
      </c>
      <c r="M184">
        <f>ROUND(INDEX(Manufacturing!P:P,MATCH(EOMONTH($A184,-1),Manufacturing!A:A,0)),2)</f>
        <v>96.01</v>
      </c>
      <c r="N184">
        <f t="shared" si="567"/>
        <v>1</v>
      </c>
      <c r="O184">
        <f>ROUND(INDEX(Housing!AC:AC,MATCH(EOMONTH($A184,-1),Housing!B:B,0)),2)</f>
        <v>138.19</v>
      </c>
      <c r="P184">
        <f t="shared" si="568"/>
        <v>2</v>
      </c>
      <c r="Q184">
        <f>ROUND(INDEX(Spending!AJ:AJ,MATCH(EOMONTH($A184,-1),Spending!B:B,0)),2)</f>
        <v>62</v>
      </c>
      <c r="R184">
        <f t="shared" si="572"/>
        <v>2</v>
      </c>
      <c r="S184">
        <f>ROUND(INDEX(Employment!V:V,MATCH(EOMONTH($A184,-1),Employment!A:A,0)),2)</f>
        <v>183.38</v>
      </c>
      <c r="T184" s="11">
        <f t="shared" si="569"/>
        <v>2</v>
      </c>
      <c r="U184">
        <f t="shared" si="561"/>
        <v>31</v>
      </c>
      <c r="V184">
        <f t="shared" si="553"/>
        <v>81.2</v>
      </c>
      <c r="W184" s="13">
        <f t="shared" si="554"/>
        <v>6.6E-3</v>
      </c>
      <c r="X184" s="13">
        <f t="shared" si="555"/>
        <v>-1.35E-2</v>
      </c>
      <c r="Y184">
        <f t="shared" si="547"/>
        <v>86.17</v>
      </c>
      <c r="Z184" s="13">
        <f t="shared" si="542"/>
        <v>1.24E-2</v>
      </c>
      <c r="AA184" s="13">
        <f t="shared" si="574"/>
        <v>-4.4000000000000011E-3</v>
      </c>
      <c r="AB184" s="6">
        <f t="shared" si="548"/>
        <v>95.344000000000008</v>
      </c>
      <c r="AC184">
        <f t="shared" si="540"/>
        <v>48</v>
      </c>
      <c r="AD184" s="11">
        <f t="shared" si="541"/>
        <v>2</v>
      </c>
      <c r="AE184">
        <f t="shared" ref="AE184:AE247" si="575">IF(AND(AA184&gt;=0.2,AC184&gt;=20,U184+AD184+2&lt;30),U184+AD184+2+12,U184+AD184+2)</f>
        <v>35</v>
      </c>
      <c r="AF184">
        <f>IF(AND(AE184&lt;15,OR(AC184&gt;=30,AA184&gt;0.15,X184&gt;=0.15)),2,VLOOKUP(AE184,Table!P:Q,2,FALSE))</f>
        <v>5</v>
      </c>
      <c r="AG184" s="22">
        <f>IF((AB184*0.98)-(D184*0.8)+((AF184-3)*3)+VLOOKUP(AM184,Table!$A$11:$B$13,2,FALSE)&lt;0,0,(AB184*0.98)-(D184*0.8)+((AF184-3)*3)+VLOOKUP(AM184,Table!$A$11:$B$13,2,FALSE))</f>
        <v>95.99712000000001</v>
      </c>
      <c r="AH184" s="22">
        <f t="shared" si="570"/>
        <v>92</v>
      </c>
      <c r="AI184" s="18">
        <f t="shared" si="563"/>
        <v>0.03</v>
      </c>
      <c r="AJ184" s="18">
        <f t="shared" si="564"/>
        <v>0.03</v>
      </c>
      <c r="AK184" t="str">
        <f t="shared" si="549"/>
        <v/>
      </c>
      <c r="AL184">
        <f t="shared" si="560"/>
        <v>32.25</v>
      </c>
      <c r="AM184" s="11" t="str">
        <f t="shared" si="550"/>
        <v>Stocks</v>
      </c>
      <c r="AN184" t="str">
        <f t="shared" si="556"/>
        <v>Buy</v>
      </c>
      <c r="AO184" s="13">
        <f t="shared" si="557"/>
        <v>-2.7000000000000001E-3</v>
      </c>
      <c r="AP184" s="13">
        <f t="shared" si="558"/>
        <v>0</v>
      </c>
      <c r="AQ184" s="13">
        <f t="shared" si="559"/>
        <v>-2.5000000000000001E-3</v>
      </c>
      <c r="AR184" s="13">
        <f t="shared" si="551"/>
        <v>-2.7000000000000001E-3</v>
      </c>
      <c r="AS184" s="6">
        <f t="shared" si="543"/>
        <v>525.64030516100991</v>
      </c>
      <c r="AT184" s="6">
        <f t="shared" si="544"/>
        <v>185.97425508967711</v>
      </c>
      <c r="AU184" s="6">
        <f t="shared" si="545"/>
        <v>828.6113445315699</v>
      </c>
      <c r="AV184" s="6">
        <f t="shared" si="546"/>
        <v>1232.8157674498905</v>
      </c>
      <c r="AW184" s="58">
        <f t="shared" si="552"/>
        <v>2015</v>
      </c>
      <c r="AX184" s="58">
        <f>COUNTIF(AW$3:AW184,AW184)</f>
        <v>45</v>
      </c>
    </row>
    <row r="185" spans="1:50" x14ac:dyDescent="0.25">
      <c r="A185" s="5">
        <v>42050</v>
      </c>
      <c r="B185">
        <v>2096.9899999999998</v>
      </c>
      <c r="C185">
        <v>0.01</v>
      </c>
      <c r="D185" s="6">
        <v>14.69</v>
      </c>
      <c r="E185" s="18">
        <f t="shared" si="565"/>
        <v>17.649999999999999</v>
      </c>
      <c r="F185">
        <f t="shared" si="566"/>
        <v>0</v>
      </c>
      <c r="G185" s="18">
        <f>ROUND(INDEX(Valuation!U:U,MATCH(A185,Valuation!A:A,0)),2)</f>
        <v>145.68</v>
      </c>
      <c r="H185">
        <f t="shared" si="573"/>
        <v>1</v>
      </c>
      <c r="I185" s="18">
        <f>INDEX(WeeklyIndicators!Y:Y,MATCH(A185,WeeklyIndicators!A:A,0))</f>
        <v>129.38999999999999</v>
      </c>
      <c r="J185">
        <f t="shared" si="562"/>
        <v>0</v>
      </c>
      <c r="K185">
        <f>ROUND(INDEX(Economic!AF:AF,MATCH(EOMONTH($A185,-1),Economic!A:A,0)),2)</f>
        <v>122.51</v>
      </c>
      <c r="L185" s="11">
        <f t="shared" si="571"/>
        <v>1</v>
      </c>
      <c r="M185">
        <f>ROUND(INDEX(Manufacturing!P:P,MATCH(EOMONTH($A185,-1),Manufacturing!A:A,0)),2)</f>
        <v>96.01</v>
      </c>
      <c r="N185">
        <f t="shared" si="567"/>
        <v>1</v>
      </c>
      <c r="O185">
        <f>ROUND(INDEX(Housing!AC:AC,MATCH(EOMONTH($A185,-1),Housing!B:B,0)),2)</f>
        <v>138.19</v>
      </c>
      <c r="P185">
        <f t="shared" si="568"/>
        <v>2</v>
      </c>
      <c r="Q185">
        <f>ROUND(INDEX(Spending!AJ:AJ,MATCH(EOMONTH($A185,-1),Spending!B:B,0)),2)</f>
        <v>62</v>
      </c>
      <c r="R185">
        <f t="shared" si="572"/>
        <v>2</v>
      </c>
      <c r="S185">
        <f>ROUND(INDEX(Employment!V:V,MATCH(EOMONTH($A185,-1),Employment!A:A,0)),2)</f>
        <v>183.38</v>
      </c>
      <c r="T185" s="11">
        <f t="shared" si="569"/>
        <v>2</v>
      </c>
      <c r="U185">
        <f t="shared" si="561"/>
        <v>29</v>
      </c>
      <c r="V185">
        <f t="shared" si="553"/>
        <v>80.02</v>
      </c>
      <c r="W185" s="13">
        <f t="shared" si="554"/>
        <v>-2.3E-3</v>
      </c>
      <c r="X185" s="13">
        <f t="shared" si="555"/>
        <v>-1.9400000000000001E-2</v>
      </c>
      <c r="Y185">
        <f t="shared" si="547"/>
        <v>84.42</v>
      </c>
      <c r="Z185" s="13">
        <f t="shared" si="542"/>
        <v>5.9999999999999995E-4</v>
      </c>
      <c r="AA185" s="13">
        <f t="shared" si="574"/>
        <v>-1.7300000000000003E-2</v>
      </c>
      <c r="AB185" s="6">
        <f t="shared" si="548"/>
        <v>92.798000000000002</v>
      </c>
      <c r="AC185">
        <f t="shared" si="540"/>
        <v>46</v>
      </c>
      <c r="AD185" s="11">
        <f t="shared" si="541"/>
        <v>1</v>
      </c>
      <c r="AE185">
        <f t="shared" si="575"/>
        <v>32</v>
      </c>
      <c r="AF185">
        <f>IF(AND(AE185&lt;15,OR(AC185&gt;=30,AA185&gt;0.15,X185&gt;=0.15)),2,VLOOKUP(AE185,Table!P:Q,2,FALSE))</f>
        <v>5</v>
      </c>
      <c r="AG185" s="22">
        <f>IF((AB185*0.98)-(D185*0.8)+((AF185-3)*3)+VLOOKUP(AM185,Table!$A$11:$B$13,2,FALSE)&lt;0,0,(AB185*0.98)-(D185*0.8)+((AF185-3)*3)+VLOOKUP(AM185,Table!$A$11:$B$13,2,FALSE))</f>
        <v>93.19004000000001</v>
      </c>
      <c r="AH185" s="22">
        <f t="shared" si="570"/>
        <v>89</v>
      </c>
      <c r="AI185" s="18">
        <f t="shared" si="563"/>
        <v>0.03</v>
      </c>
      <c r="AJ185" s="18">
        <f t="shared" si="564"/>
        <v>0.03</v>
      </c>
      <c r="AK185" t="str">
        <f t="shared" si="549"/>
        <v/>
      </c>
      <c r="AL185">
        <f t="shared" si="560"/>
        <v>31.75</v>
      </c>
      <c r="AM185" s="11" t="str">
        <f t="shared" si="550"/>
        <v>Stocks</v>
      </c>
      <c r="AN185" t="str">
        <f t="shared" si="556"/>
        <v>Buy</v>
      </c>
      <c r="AO185" s="13">
        <f t="shared" si="557"/>
        <v>6.3E-3</v>
      </c>
      <c r="AP185" s="13">
        <f t="shared" si="558"/>
        <v>0</v>
      </c>
      <c r="AQ185" s="13">
        <f t="shared" si="559"/>
        <v>5.5999999999999999E-3</v>
      </c>
      <c r="AR185" s="13">
        <f t="shared" si="551"/>
        <v>6.3E-3</v>
      </c>
      <c r="AS185" s="6">
        <f t="shared" si="543"/>
        <v>522.34950329028118</v>
      </c>
      <c r="AT185" s="6">
        <f t="shared" si="544"/>
        <v>185.97425508967711</v>
      </c>
      <c r="AU185" s="6">
        <f t="shared" si="545"/>
        <v>823.99696154690719</v>
      </c>
      <c r="AV185" s="6">
        <f t="shared" si="546"/>
        <v>1225.0976522407736</v>
      </c>
      <c r="AW185" s="58">
        <f t="shared" si="552"/>
        <v>2015</v>
      </c>
      <c r="AX185" s="58">
        <f>COUNTIF(AW$3:AW185,AW185)</f>
        <v>46</v>
      </c>
    </row>
    <row r="186" spans="1:50" x14ac:dyDescent="0.25">
      <c r="A186" s="5">
        <v>42043</v>
      </c>
      <c r="B186">
        <v>2055.4699999999998</v>
      </c>
      <c r="C186">
        <v>0.02</v>
      </c>
      <c r="D186" s="6">
        <v>17.29</v>
      </c>
      <c r="E186" s="18">
        <f t="shared" si="565"/>
        <v>18.309999999999999</v>
      </c>
      <c r="F186">
        <f t="shared" si="566"/>
        <v>-1</v>
      </c>
      <c r="G186" s="18">
        <f>ROUND(INDEX(Valuation!U:U,MATCH(A186,Valuation!A:A,0)),2)</f>
        <v>144.80000000000001</v>
      </c>
      <c r="H186">
        <f t="shared" si="573"/>
        <v>1</v>
      </c>
      <c r="I186" s="18">
        <f>INDEX(WeeklyIndicators!Y:Y,MATCH(A186,WeeklyIndicators!A:A,0))</f>
        <v>122.47</v>
      </c>
      <c r="J186">
        <f t="shared" si="562"/>
        <v>0</v>
      </c>
      <c r="K186">
        <f>ROUND(INDEX(Economic!AF:AF,MATCH(EOMONTH($A186,-1),Economic!A:A,0)),2)</f>
        <v>122.51</v>
      </c>
      <c r="L186" s="11">
        <f t="shared" si="571"/>
        <v>1</v>
      </c>
      <c r="M186">
        <f>ROUND(INDEX(Manufacturing!P:P,MATCH(EOMONTH($A186,-1),Manufacturing!A:A,0)),2)</f>
        <v>96.01</v>
      </c>
      <c r="N186">
        <f t="shared" si="567"/>
        <v>1</v>
      </c>
      <c r="O186">
        <f>ROUND(INDEX(Housing!AC:AC,MATCH(EOMONTH($A186,-1),Housing!B:B,0)),2)</f>
        <v>138.19</v>
      </c>
      <c r="P186">
        <f t="shared" si="568"/>
        <v>2</v>
      </c>
      <c r="Q186">
        <f>ROUND(INDEX(Spending!AJ:AJ,MATCH(EOMONTH($A186,-1),Spending!B:B,0)),2)</f>
        <v>62</v>
      </c>
      <c r="R186">
        <f t="shared" si="572"/>
        <v>2</v>
      </c>
      <c r="S186">
        <f>ROUND(INDEX(Employment!V:V,MATCH(EOMONTH($A186,-1),Employment!A:A,0)),2)</f>
        <v>183.38</v>
      </c>
      <c r="T186" s="11">
        <f t="shared" si="569"/>
        <v>2</v>
      </c>
      <c r="U186">
        <f t="shared" si="561"/>
        <v>28</v>
      </c>
      <c r="V186">
        <f t="shared" si="553"/>
        <v>79.31</v>
      </c>
      <c r="W186" s="13">
        <f t="shared" si="554"/>
        <v>-9.7999999999999997E-3</v>
      </c>
      <c r="X186" s="13">
        <f t="shared" si="555"/>
        <v>-4.8999999999999998E-3</v>
      </c>
      <c r="Y186">
        <f t="shared" si="547"/>
        <v>83.37</v>
      </c>
      <c r="Z186" s="13">
        <f t="shared" si="542"/>
        <v>-7.4000000000000003E-3</v>
      </c>
      <c r="AA186" s="13">
        <f t="shared" si="574"/>
        <v>-7.4999999999999997E-3</v>
      </c>
      <c r="AB186" s="6">
        <f t="shared" si="548"/>
        <v>92.44</v>
      </c>
      <c r="AC186">
        <f t="shared" si="540"/>
        <v>46</v>
      </c>
      <c r="AD186" s="11">
        <f t="shared" si="541"/>
        <v>1</v>
      </c>
      <c r="AE186">
        <f t="shared" si="575"/>
        <v>31</v>
      </c>
      <c r="AF186">
        <f>IF(AND(AE186&lt;15,OR(AC186&gt;=30,AA186&gt;0.15,X186&gt;=0.15)),2,VLOOKUP(AE186,Table!P:Q,2,FALSE))</f>
        <v>4</v>
      </c>
      <c r="AG186" s="22">
        <f>IF((AB186*0.98)-(D186*0.8)+((AF186-3)*3)+VLOOKUP(AM186,Table!$A$11:$B$13,2,FALSE)&lt;0,0,(AB186*0.98)-(D186*0.8)+((AF186-3)*3)+VLOOKUP(AM186,Table!$A$11:$B$13,2,FALSE))</f>
        <v>87.759199999999993</v>
      </c>
      <c r="AH186" s="22">
        <f t="shared" si="570"/>
        <v>89</v>
      </c>
      <c r="AI186" s="18">
        <f t="shared" si="563"/>
        <v>0.03</v>
      </c>
      <c r="AJ186" s="18">
        <f t="shared" si="564"/>
        <v>0.03</v>
      </c>
      <c r="AK186" t="str">
        <f t="shared" si="549"/>
        <v/>
      </c>
      <c r="AL186">
        <f t="shared" si="560"/>
        <v>32</v>
      </c>
      <c r="AM186" s="11" t="str">
        <f t="shared" si="550"/>
        <v>Stocks</v>
      </c>
      <c r="AN186" t="str">
        <f t="shared" si="556"/>
        <v>Buy</v>
      </c>
      <c r="AO186" s="13">
        <f t="shared" si="557"/>
        <v>2.0199999999999999E-2</v>
      </c>
      <c r="AP186" s="13">
        <f t="shared" si="558"/>
        <v>0</v>
      </c>
      <c r="AQ186" s="13">
        <f t="shared" si="559"/>
        <v>1.7999999999999999E-2</v>
      </c>
      <c r="AR186" s="13">
        <f t="shared" si="551"/>
        <v>2.0199999999999999E-2</v>
      </c>
      <c r="AS186" s="6">
        <f t="shared" si="543"/>
        <v>512.00696264485509</v>
      </c>
      <c r="AT186" s="6">
        <f t="shared" si="544"/>
        <v>185.97425508967711</v>
      </c>
      <c r="AU186" s="6">
        <f t="shared" si="545"/>
        <v>809.42727067476142</v>
      </c>
      <c r="AV186" s="6">
        <f t="shared" si="546"/>
        <v>1200.8406706927794</v>
      </c>
      <c r="AW186" s="58">
        <f t="shared" si="552"/>
        <v>2015</v>
      </c>
      <c r="AX186" s="58">
        <f>COUNTIF(AW$3:AW186,AW186)</f>
        <v>47</v>
      </c>
    </row>
    <row r="187" spans="1:50" x14ac:dyDescent="0.25">
      <c r="A187" s="5">
        <v>42036</v>
      </c>
      <c r="B187">
        <v>1994.99</v>
      </c>
      <c r="C187">
        <v>0.02</v>
      </c>
      <c r="D187" s="6">
        <v>20.97</v>
      </c>
      <c r="E187" s="18">
        <f t="shared" si="565"/>
        <v>19.53</v>
      </c>
      <c r="F187">
        <f t="shared" si="566"/>
        <v>-1</v>
      </c>
      <c r="G187" s="18">
        <f>ROUND(INDEX(Valuation!U:U,MATCH(A187,Valuation!A:A,0)),2)</f>
        <v>143.03</v>
      </c>
      <c r="H187">
        <f t="shared" si="573"/>
        <v>1</v>
      </c>
      <c r="I187" s="18">
        <f>INDEX(WeeklyIndicators!Y:Y,MATCH(A187,WeeklyIndicators!A:A,0))</f>
        <v>125.56</v>
      </c>
      <c r="J187">
        <f t="shared" si="562"/>
        <v>0</v>
      </c>
      <c r="K187">
        <f>ROUND(INDEX(Economic!AF:AF,MATCH(EOMONTH($A187,-1),Economic!A:A,0)),2)</f>
        <v>122.51</v>
      </c>
      <c r="L187" s="11">
        <f t="shared" si="571"/>
        <v>1</v>
      </c>
      <c r="M187">
        <f>ROUND(INDEX(Manufacturing!P:P,MATCH(EOMONTH($A187,-1),Manufacturing!A:A,0)),2)</f>
        <v>96.01</v>
      </c>
      <c r="N187">
        <f t="shared" si="567"/>
        <v>1</v>
      </c>
      <c r="O187">
        <f>ROUND(INDEX(Housing!AC:AC,MATCH(EOMONTH($A187,-1),Housing!B:B,0)),2)</f>
        <v>138.19</v>
      </c>
      <c r="P187">
        <f t="shared" si="568"/>
        <v>2</v>
      </c>
      <c r="Q187">
        <f>ROUND(INDEX(Spending!AJ:AJ,MATCH(EOMONTH($A187,-1),Spending!B:B,0)),2)</f>
        <v>62</v>
      </c>
      <c r="R187">
        <f t="shared" si="572"/>
        <v>2</v>
      </c>
      <c r="S187">
        <f>ROUND(INDEX(Employment!V:V,MATCH(EOMONTH($A187,-1),Employment!A:A,0)),2)</f>
        <v>183.38</v>
      </c>
      <c r="T187" s="11">
        <f t="shared" si="569"/>
        <v>2</v>
      </c>
      <c r="U187">
        <f t="shared" si="561"/>
        <v>28</v>
      </c>
      <c r="V187">
        <f t="shared" si="553"/>
        <v>79.63</v>
      </c>
      <c r="W187" s="13">
        <f t="shared" si="554"/>
        <v>-8.0000000000000002E-3</v>
      </c>
      <c r="X187" s="13">
        <f t="shared" si="555"/>
        <v>1.78E-2</v>
      </c>
      <c r="Y187">
        <f t="shared" si="547"/>
        <v>83.07</v>
      </c>
      <c r="Z187" s="13">
        <f t="shared" si="542"/>
        <v>-0.01</v>
      </c>
      <c r="AA187" s="13">
        <f t="shared" si="574"/>
        <v>1.0799999999999999E-2</v>
      </c>
      <c r="AB187" s="6">
        <f t="shared" si="548"/>
        <v>93.432999999999993</v>
      </c>
      <c r="AC187">
        <f t="shared" si="540"/>
        <v>47</v>
      </c>
      <c r="AD187" s="11">
        <f t="shared" si="541"/>
        <v>1</v>
      </c>
      <c r="AE187">
        <f t="shared" si="575"/>
        <v>31</v>
      </c>
      <c r="AF187">
        <f>IF(AND(AE187&lt;15,OR(AC187&gt;=30,AA187&gt;0.15,X187&gt;=0.15)),2,VLOOKUP(AE187,Table!P:Q,2,FALSE))</f>
        <v>4</v>
      </c>
      <c r="AG187" s="22">
        <f>IF((AB187*0.98)-(D187*0.8)+((AF187-3)*3)+VLOOKUP(AM187,Table!$A$11:$B$13,2,FALSE)&lt;0,0,(AB187*0.98)-(D187*0.8)+((AF187-3)*3)+VLOOKUP(AM187,Table!$A$11:$B$13,2,FALSE))</f>
        <v>85.788339999999991</v>
      </c>
      <c r="AH187" s="22">
        <f t="shared" si="570"/>
        <v>90</v>
      </c>
      <c r="AI187" s="18">
        <f t="shared" si="563"/>
        <v>0.03</v>
      </c>
      <c r="AJ187" s="18">
        <f t="shared" si="564"/>
        <v>0.03</v>
      </c>
      <c r="AK187" t="str">
        <f t="shared" si="549"/>
        <v/>
      </c>
      <c r="AL187">
        <f t="shared" si="560"/>
        <v>32.5</v>
      </c>
      <c r="AM187" s="11" t="str">
        <f t="shared" si="550"/>
        <v>Stocks</v>
      </c>
      <c r="AN187" t="str">
        <f t="shared" si="556"/>
        <v>Buy</v>
      </c>
      <c r="AO187" s="13">
        <f t="shared" si="557"/>
        <v>3.0300000000000001E-2</v>
      </c>
      <c r="AP187" s="13">
        <f t="shared" si="558"/>
        <v>0</v>
      </c>
      <c r="AQ187" s="13">
        <f t="shared" si="559"/>
        <v>2.7300000000000001E-2</v>
      </c>
      <c r="AR187" s="13">
        <f t="shared" si="551"/>
        <v>3.0300000000000001E-2</v>
      </c>
      <c r="AS187" s="6">
        <f t="shared" si="543"/>
        <v>496.94939594764156</v>
      </c>
      <c r="AT187" s="6">
        <f t="shared" si="544"/>
        <v>185.97425508967711</v>
      </c>
      <c r="AU187" s="6">
        <f t="shared" si="545"/>
        <v>787.91713294535316</v>
      </c>
      <c r="AV187" s="6">
        <f t="shared" si="546"/>
        <v>1165.5252554525666</v>
      </c>
      <c r="AW187" s="58">
        <f t="shared" si="552"/>
        <v>2015</v>
      </c>
      <c r="AX187" s="58">
        <f>COUNTIF(AW$3:AW187,AW187)</f>
        <v>48</v>
      </c>
    </row>
    <row r="188" spans="1:50" x14ac:dyDescent="0.25">
      <c r="A188" s="5">
        <v>42029</v>
      </c>
      <c r="B188">
        <v>2051.8200000000002</v>
      </c>
      <c r="C188">
        <v>0.03</v>
      </c>
      <c r="D188" s="6">
        <v>16.66</v>
      </c>
      <c r="E188" s="18">
        <f t="shared" si="565"/>
        <v>18.39</v>
      </c>
      <c r="F188">
        <f t="shared" si="566"/>
        <v>-1</v>
      </c>
      <c r="G188" s="18">
        <f>ROUND(INDEX(Valuation!U:U,MATCH(A188,Valuation!A:A,0)),2)</f>
        <v>141.86000000000001</v>
      </c>
      <c r="H188">
        <f t="shared" si="573"/>
        <v>1</v>
      </c>
      <c r="I188" s="18">
        <f>INDEX(WeeklyIndicators!Y:Y,MATCH(A188,WeeklyIndicators!A:A,0))</f>
        <v>137.83000000000001</v>
      </c>
      <c r="J188">
        <f t="shared" si="562"/>
        <v>1</v>
      </c>
      <c r="K188">
        <f>ROUND(INDEX(Economic!AF:AF,MATCH(EOMONTH($A188,-1),Economic!A:A,0)),2)</f>
        <v>115.17</v>
      </c>
      <c r="L188" s="11">
        <f t="shared" si="571"/>
        <v>1</v>
      </c>
      <c r="M188">
        <f>ROUND(INDEX(Manufacturing!P:P,MATCH(EOMONTH($A188,-1),Manufacturing!A:A,0)),2)</f>
        <v>99.44</v>
      </c>
      <c r="N188">
        <f t="shared" si="567"/>
        <v>1</v>
      </c>
      <c r="O188">
        <f>ROUND(INDEX(Housing!AC:AC,MATCH(EOMONTH($A188,-1),Housing!B:B,0)),2)</f>
        <v>135.04</v>
      </c>
      <c r="P188">
        <f t="shared" si="568"/>
        <v>2</v>
      </c>
      <c r="Q188">
        <f>ROUND(INDEX(Spending!AJ:AJ,MATCH(EOMONTH($A188,-1),Spending!B:B,0)),2)</f>
        <v>65.36</v>
      </c>
      <c r="R188">
        <f t="shared" si="572"/>
        <v>2</v>
      </c>
      <c r="S188">
        <f>ROUND(INDEX(Employment!V:V,MATCH(EOMONTH($A188,-1),Employment!A:A,0)),2)</f>
        <v>184.95</v>
      </c>
      <c r="T188" s="11">
        <f t="shared" si="569"/>
        <v>2</v>
      </c>
      <c r="U188">
        <f t="shared" si="561"/>
        <v>29</v>
      </c>
      <c r="V188">
        <f t="shared" si="553"/>
        <v>80.56</v>
      </c>
      <c r="W188" s="13">
        <f t="shared" si="554"/>
        <v>6.9999999999999999E-4</v>
      </c>
      <c r="X188" s="13">
        <f t="shared" si="555"/>
        <v>3.1300000000000001E-2</v>
      </c>
      <c r="Y188">
        <f t="shared" si="547"/>
        <v>84.27</v>
      </c>
      <c r="Z188" s="13">
        <f t="shared" si="542"/>
        <v>-5.0000000000000001E-4</v>
      </c>
      <c r="AA188" s="13">
        <f t="shared" si="574"/>
        <v>2.2800000000000001E-2</v>
      </c>
      <c r="AB188" s="6">
        <f t="shared" si="548"/>
        <v>95.486000000000004</v>
      </c>
      <c r="AC188">
        <f t="shared" si="540"/>
        <v>48</v>
      </c>
      <c r="AD188" s="11">
        <f t="shared" si="541"/>
        <v>2</v>
      </c>
      <c r="AE188">
        <f t="shared" si="575"/>
        <v>33</v>
      </c>
      <c r="AF188">
        <f>IF(AND(AE188&lt;15,OR(AC188&gt;=30,AA188&gt;0.15,X188&gt;=0.15)),2,VLOOKUP(AE188,Table!P:Q,2,FALSE))</f>
        <v>5</v>
      </c>
      <c r="AG188" s="22">
        <f>IF((AB188*0.98)-(D188*0.8)+((AF188-3)*3)+VLOOKUP(AM188,Table!$A$11:$B$13,2,FALSE)&lt;0,0,(AB188*0.98)-(D188*0.8)+((AF188-3)*3)+VLOOKUP(AM188,Table!$A$11:$B$13,2,FALSE))</f>
        <v>94.248279999999994</v>
      </c>
      <c r="AH188" s="22">
        <f t="shared" si="570"/>
        <v>92</v>
      </c>
      <c r="AI188" s="18">
        <f t="shared" si="563"/>
        <v>0.03</v>
      </c>
      <c r="AJ188" s="18">
        <f t="shared" si="564"/>
        <v>0.03</v>
      </c>
      <c r="AK188" t="str">
        <f t="shared" si="549"/>
        <v/>
      </c>
      <c r="AL188">
        <f t="shared" si="560"/>
        <v>33</v>
      </c>
      <c r="AM188" s="11" t="str">
        <f t="shared" si="550"/>
        <v>Stocks</v>
      </c>
      <c r="AN188" t="str">
        <f t="shared" si="556"/>
        <v>Buy</v>
      </c>
      <c r="AO188" s="13">
        <f t="shared" si="557"/>
        <v>-2.7699999999999999E-2</v>
      </c>
      <c r="AP188" s="13">
        <f t="shared" si="558"/>
        <v>0</v>
      </c>
      <c r="AQ188" s="13">
        <f t="shared" si="559"/>
        <v>-2.5499999999999998E-2</v>
      </c>
      <c r="AR188" s="13">
        <f t="shared" si="551"/>
        <v>-2.7699999999999999E-2</v>
      </c>
      <c r="AS188" s="6">
        <f t="shared" si="543"/>
        <v>511.10706155264995</v>
      </c>
      <c r="AT188" s="6">
        <f t="shared" si="544"/>
        <v>185.97425508967711</v>
      </c>
      <c r="AU188" s="6">
        <f t="shared" si="545"/>
        <v>808.53476956937209</v>
      </c>
      <c r="AV188" s="6">
        <f t="shared" si="546"/>
        <v>1198.7300786306353</v>
      </c>
      <c r="AW188" s="58">
        <f t="shared" si="552"/>
        <v>2015</v>
      </c>
      <c r="AX188" s="58">
        <f>COUNTIF(AW$3:AW188,AW188)</f>
        <v>49</v>
      </c>
    </row>
    <row r="189" spans="1:50" x14ac:dyDescent="0.25">
      <c r="A189" s="5">
        <v>42022</v>
      </c>
      <c r="B189">
        <v>2019.42</v>
      </c>
      <c r="C189">
        <v>0.03</v>
      </c>
      <c r="D189" s="6">
        <v>20.95</v>
      </c>
      <c r="E189" s="18">
        <f t="shared" si="565"/>
        <v>18.760000000000002</v>
      </c>
      <c r="F189">
        <f t="shared" si="566"/>
        <v>-1</v>
      </c>
      <c r="G189" s="18">
        <f>ROUND(INDEX(Valuation!U:U,MATCH(A189,Valuation!A:A,0)),2)</f>
        <v>141.51</v>
      </c>
      <c r="H189">
        <f t="shared" si="573"/>
        <v>1</v>
      </c>
      <c r="I189" s="18">
        <f>INDEX(WeeklyIndicators!Y:Y,MATCH(A189,WeeklyIndicators!A:A,0))</f>
        <v>148.68</v>
      </c>
      <c r="J189">
        <f t="shared" si="562"/>
        <v>1</v>
      </c>
      <c r="K189">
        <f>ROUND(INDEX(Economic!AF:AF,MATCH(EOMONTH($A189,-1),Economic!A:A,0)),2)</f>
        <v>115.17</v>
      </c>
      <c r="L189" s="11">
        <f t="shared" si="571"/>
        <v>1</v>
      </c>
      <c r="M189">
        <f>ROUND(INDEX(Manufacturing!P:P,MATCH(EOMONTH($A189,-1),Manufacturing!A:A,0)),2)</f>
        <v>99.44</v>
      </c>
      <c r="N189">
        <f t="shared" si="567"/>
        <v>1</v>
      </c>
      <c r="O189">
        <f>ROUND(INDEX(Housing!AC:AC,MATCH(EOMONTH($A189,-1),Housing!B:B,0)),2)</f>
        <v>135.04</v>
      </c>
      <c r="P189">
        <f t="shared" si="568"/>
        <v>2</v>
      </c>
      <c r="Q189">
        <f>ROUND(INDEX(Spending!AJ:AJ,MATCH(EOMONTH($A189,-1),Spending!B:B,0)),2)</f>
        <v>65.36</v>
      </c>
      <c r="R189">
        <f t="shared" si="572"/>
        <v>2</v>
      </c>
      <c r="S189">
        <f>ROUND(INDEX(Employment!V:V,MATCH(EOMONTH($A189,-1),Employment!A:A,0)),2)</f>
        <v>184.95</v>
      </c>
      <c r="T189" s="11">
        <f t="shared" si="569"/>
        <v>2</v>
      </c>
      <c r="U189">
        <f t="shared" si="561"/>
        <v>29</v>
      </c>
      <c r="V189">
        <f t="shared" si="553"/>
        <v>81.680000000000007</v>
      </c>
      <c r="W189" s="13">
        <f t="shared" si="554"/>
        <v>1.2200000000000001E-2</v>
      </c>
      <c r="X189" s="13">
        <f t="shared" si="555"/>
        <v>2.4900000000000002E-2</v>
      </c>
      <c r="Y189">
        <f t="shared" si="547"/>
        <v>85.23</v>
      </c>
      <c r="Z189" s="13">
        <f t="shared" si="542"/>
        <v>1.04E-2</v>
      </c>
      <c r="AA189" s="13">
        <f t="shared" si="574"/>
        <v>1.0300000000000002E-2</v>
      </c>
      <c r="AB189" s="6">
        <f t="shared" si="548"/>
        <v>95.540999999999997</v>
      </c>
      <c r="AC189">
        <f t="shared" ref="AC189:AC252" si="576">IF(ROUND(AB189/2,0)&lt;0,0,ROUND(AB189/2,0))</f>
        <v>48</v>
      </c>
      <c r="AD189" s="11">
        <f t="shared" si="541"/>
        <v>2</v>
      </c>
      <c r="AE189">
        <f t="shared" si="575"/>
        <v>33</v>
      </c>
      <c r="AF189">
        <f>IF(AND(AE189&lt;15,OR(AC189&gt;=30,AA189&gt;0.15,X189&gt;=0.15)),2,VLOOKUP(AE189,Table!P:Q,2,FALSE))</f>
        <v>5</v>
      </c>
      <c r="AG189" s="22">
        <f>IF((AB189*0.98)-(D189*0.8)+((AF189-3)*3)+VLOOKUP(AM189,Table!$A$11:$B$13,2,FALSE)&lt;0,0,(AB189*0.98)-(D189*0.8)+((AF189-3)*3)+VLOOKUP(AM189,Table!$A$11:$B$13,2,FALSE))</f>
        <v>90.870179999999991</v>
      </c>
      <c r="AH189" s="22">
        <f t="shared" si="570"/>
        <v>90</v>
      </c>
      <c r="AI189" s="18">
        <f t="shared" si="563"/>
        <v>0.03</v>
      </c>
      <c r="AJ189" s="18">
        <f t="shared" si="564"/>
        <v>0.03</v>
      </c>
      <c r="AK189" t="str">
        <f t="shared" si="549"/>
        <v/>
      </c>
      <c r="AL189">
        <f t="shared" si="560"/>
        <v>32.75</v>
      </c>
      <c r="AM189" s="11" t="str">
        <f t="shared" si="550"/>
        <v>Stocks</v>
      </c>
      <c r="AN189" t="str">
        <f t="shared" si="556"/>
        <v>Buy</v>
      </c>
      <c r="AO189" s="13">
        <f t="shared" si="557"/>
        <v>1.6E-2</v>
      </c>
      <c r="AP189" s="13">
        <f t="shared" si="558"/>
        <v>0</v>
      </c>
      <c r="AQ189" s="13">
        <f t="shared" si="559"/>
        <v>1.44E-2</v>
      </c>
      <c r="AR189" s="13">
        <f t="shared" si="551"/>
        <v>1.6E-2</v>
      </c>
      <c r="AS189" s="6">
        <f t="shared" si="543"/>
        <v>503.05813144945859</v>
      </c>
      <c r="AT189" s="6">
        <f t="shared" si="544"/>
        <v>185.97425508967711</v>
      </c>
      <c r="AU189" s="6">
        <f t="shared" si="545"/>
        <v>797.05714665750406</v>
      </c>
      <c r="AV189" s="6">
        <f t="shared" si="546"/>
        <v>1179.8524395970819</v>
      </c>
      <c r="AW189" s="58">
        <f t="shared" si="552"/>
        <v>2015</v>
      </c>
      <c r="AX189" s="58">
        <f>COUNTIF(AW$3:AW189,AW189)</f>
        <v>50</v>
      </c>
    </row>
    <row r="190" spans="1:50" x14ac:dyDescent="0.25">
      <c r="A190" s="5">
        <v>42015</v>
      </c>
      <c r="B190">
        <v>2044.81</v>
      </c>
      <c r="C190">
        <v>0.03</v>
      </c>
      <c r="D190" s="6">
        <v>17.55</v>
      </c>
      <c r="E190" s="18">
        <f t="shared" si="565"/>
        <v>16.61</v>
      </c>
      <c r="F190">
        <f t="shared" si="566"/>
        <v>0</v>
      </c>
      <c r="G190" s="18">
        <f>ROUND(INDEX(Valuation!U:U,MATCH(A190,Valuation!A:A,0)),2)</f>
        <v>139.38999999999999</v>
      </c>
      <c r="H190">
        <f t="shared" si="573"/>
        <v>1</v>
      </c>
      <c r="I190" s="18">
        <f>INDEX(WeeklyIndicators!Y:Y,MATCH(A190,WeeklyIndicators!A:A,0))</f>
        <v>147.65</v>
      </c>
      <c r="J190">
        <f t="shared" si="562"/>
        <v>1</v>
      </c>
      <c r="K190">
        <f>ROUND(INDEX(Economic!AF:AF,MATCH(EOMONTH($A190,-1),Economic!A:A,0)),2)</f>
        <v>115.17</v>
      </c>
      <c r="L190" s="11">
        <f t="shared" si="571"/>
        <v>1</v>
      </c>
      <c r="M190">
        <f>ROUND(INDEX(Manufacturing!P:P,MATCH(EOMONTH($A190,-1),Manufacturing!A:A,0)),2)</f>
        <v>99.44</v>
      </c>
      <c r="N190">
        <f t="shared" si="567"/>
        <v>1</v>
      </c>
      <c r="O190">
        <f>ROUND(INDEX(Housing!AC:AC,MATCH(EOMONTH($A190,-1),Housing!B:B,0)),2)</f>
        <v>135.04</v>
      </c>
      <c r="P190">
        <f t="shared" si="568"/>
        <v>2</v>
      </c>
      <c r="Q190">
        <f>ROUND(INDEX(Spending!AJ:AJ,MATCH(EOMONTH($A190,-1),Spending!B:B,0)),2)</f>
        <v>65.36</v>
      </c>
      <c r="R190">
        <f t="shared" si="572"/>
        <v>2</v>
      </c>
      <c r="S190">
        <f>ROUND(INDEX(Employment!V:V,MATCH(EOMONTH($A190,-1),Employment!A:A,0)),2)</f>
        <v>184.95</v>
      </c>
      <c r="T190" s="11">
        <f t="shared" si="569"/>
        <v>2</v>
      </c>
      <c r="U190">
        <f t="shared" si="561"/>
        <v>30</v>
      </c>
      <c r="V190">
        <f t="shared" si="553"/>
        <v>81.569999999999993</v>
      </c>
      <c r="W190" s="13">
        <f t="shared" si="554"/>
        <v>1.29E-2</v>
      </c>
      <c r="X190" s="13">
        <f t="shared" si="555"/>
        <v>3.9999999999999931E-4</v>
      </c>
      <c r="Y190">
        <f t="shared" si="547"/>
        <v>85.63</v>
      </c>
      <c r="Z190" s="13">
        <f t="shared" si="542"/>
        <v>1.09E-2</v>
      </c>
      <c r="AA190" s="13">
        <f t="shared" si="574"/>
        <v>-1.7399999999999999E-2</v>
      </c>
      <c r="AB190" s="6">
        <f t="shared" si="548"/>
        <v>93.628999999999991</v>
      </c>
      <c r="AC190">
        <f t="shared" si="576"/>
        <v>47</v>
      </c>
      <c r="AD190" s="11">
        <f t="shared" ref="AD190:AD253" si="577">IF(AC190&gt;47,2,IF(AND(AC190&gt;41,AC190&lt;=47),1,IF(AC190&lt;15,-2,IF(AND(AC190&lt;32,AC190&gt;=15),-1,0))))</f>
        <v>1</v>
      </c>
      <c r="AE190">
        <f t="shared" si="575"/>
        <v>33</v>
      </c>
      <c r="AF190">
        <f>IF(AND(AE190&lt;15,OR(AC190&gt;=30,AA190&gt;0.15,X190&gt;=0.15)),2,VLOOKUP(AE190,Table!P:Q,2,FALSE))</f>
        <v>5</v>
      </c>
      <c r="AG190" s="22">
        <f>IF((AB190*0.98)-(D190*0.8)+((AF190-3)*3)+VLOOKUP(AM190,Table!$A$11:$B$13,2,FALSE)&lt;0,0,(AB190*0.98)-(D190*0.8)+((AF190-3)*3)+VLOOKUP(AM190,Table!$A$11:$B$13,2,FALSE))</f>
        <v>91.716419999999985</v>
      </c>
      <c r="AH190" s="22">
        <f t="shared" si="570"/>
        <v>89</v>
      </c>
      <c r="AI190" s="18">
        <f t="shared" si="563"/>
        <v>0.03</v>
      </c>
      <c r="AJ190" s="18">
        <f t="shared" si="564"/>
        <v>0.03</v>
      </c>
      <c r="AK190" t="str">
        <f t="shared" si="549"/>
        <v/>
      </c>
      <c r="AL190">
        <f t="shared" si="560"/>
        <v>32.5</v>
      </c>
      <c r="AM190" s="11" t="str">
        <f t="shared" si="550"/>
        <v>Stocks</v>
      </c>
      <c r="AN190" t="str">
        <f t="shared" si="556"/>
        <v>Buy</v>
      </c>
      <c r="AO190" s="13">
        <f t="shared" si="557"/>
        <v>-1.24E-2</v>
      </c>
      <c r="AP190" s="13">
        <f t="shared" si="558"/>
        <v>0</v>
      </c>
      <c r="AQ190" s="13">
        <f t="shared" si="559"/>
        <v>-1.0999999999999999E-2</v>
      </c>
      <c r="AR190" s="13">
        <f t="shared" si="551"/>
        <v>-1.24E-2</v>
      </c>
      <c r="AS190" s="6">
        <f t="shared" si="543"/>
        <v>509.37437368312936</v>
      </c>
      <c r="AT190" s="6">
        <f t="shared" si="544"/>
        <v>185.97425508967711</v>
      </c>
      <c r="AU190" s="6">
        <f t="shared" si="545"/>
        <v>805.92229186805264</v>
      </c>
      <c r="AV190" s="6">
        <f t="shared" si="546"/>
        <v>1194.6663017386411</v>
      </c>
      <c r="AW190" s="58">
        <f t="shared" si="552"/>
        <v>2015</v>
      </c>
      <c r="AX190" s="58">
        <f>COUNTIF(AW$3:AW190,AW190)</f>
        <v>51</v>
      </c>
    </row>
    <row r="191" spans="1:50" x14ac:dyDescent="0.25">
      <c r="A191" s="5">
        <v>42008</v>
      </c>
      <c r="B191">
        <v>2058.1999999999998</v>
      </c>
      <c r="C191">
        <v>0.03</v>
      </c>
      <c r="D191" s="6">
        <v>17.79</v>
      </c>
      <c r="E191" s="18">
        <f t="shared" si="565"/>
        <v>16.260000000000002</v>
      </c>
      <c r="F191">
        <f t="shared" si="566"/>
        <v>0</v>
      </c>
      <c r="G191" s="18">
        <f>ROUND(INDEX(Valuation!U:U,MATCH(A191,Valuation!A:A,0)),2)</f>
        <v>137.99</v>
      </c>
      <c r="H191">
        <f t="shared" si="573"/>
        <v>1</v>
      </c>
      <c r="I191" s="18">
        <f>INDEX(WeeklyIndicators!Y:Y,MATCH(A191,WeeklyIndicators!A:A,0))</f>
        <v>136.15</v>
      </c>
      <c r="J191">
        <f t="shared" si="562"/>
        <v>1</v>
      </c>
      <c r="K191">
        <f>ROUND(INDEX(Economic!AF:AF,MATCH(EOMONTH($A191,-1),Economic!A:A,0)),2)</f>
        <v>115.17</v>
      </c>
      <c r="L191" s="11">
        <f t="shared" si="571"/>
        <v>1</v>
      </c>
      <c r="M191">
        <f>ROUND(INDEX(Manufacturing!P:P,MATCH(EOMONTH($A191,-1),Manufacturing!A:A,0)),2)</f>
        <v>99.44</v>
      </c>
      <c r="N191">
        <f t="shared" si="567"/>
        <v>1</v>
      </c>
      <c r="O191">
        <f>ROUND(INDEX(Housing!AC:AC,MATCH(EOMONTH($A191,-1),Housing!B:B,0)),2)</f>
        <v>135.04</v>
      </c>
      <c r="P191">
        <f t="shared" si="568"/>
        <v>2</v>
      </c>
      <c r="Q191">
        <f>ROUND(INDEX(Spending!AJ:AJ,MATCH(EOMONTH($A191,-1),Spending!B:B,0)),2)</f>
        <v>65.36</v>
      </c>
      <c r="R191">
        <f t="shared" si="572"/>
        <v>2</v>
      </c>
      <c r="S191">
        <f>ROUND(INDEX(Employment!V:V,MATCH(EOMONTH($A191,-1),Employment!A:A,0)),2)</f>
        <v>184.95</v>
      </c>
      <c r="T191" s="11">
        <f t="shared" si="569"/>
        <v>2</v>
      </c>
      <c r="U191">
        <f t="shared" si="561"/>
        <v>30</v>
      </c>
      <c r="V191">
        <f t="shared" si="553"/>
        <v>80.38</v>
      </c>
      <c r="W191" s="13">
        <f t="shared" si="554"/>
        <v>5.4999999999999997E-3</v>
      </c>
      <c r="X191" s="13">
        <f t="shared" si="555"/>
        <v>-2.8000000000000001E-2</v>
      </c>
      <c r="Y191">
        <f t="shared" si="547"/>
        <v>84.41</v>
      </c>
      <c r="Z191" s="13">
        <f t="shared" si="542"/>
        <v>2E-3</v>
      </c>
      <c r="AA191" s="13">
        <f t="shared" si="574"/>
        <v>-4.8000000000000001E-2</v>
      </c>
      <c r="AB191" s="6">
        <f t="shared" si="548"/>
        <v>89.88900000000001</v>
      </c>
      <c r="AC191">
        <f t="shared" si="576"/>
        <v>45</v>
      </c>
      <c r="AD191" s="11">
        <f t="shared" si="577"/>
        <v>1</v>
      </c>
      <c r="AE191">
        <f t="shared" si="575"/>
        <v>33</v>
      </c>
      <c r="AF191">
        <f>IF(AND(AE191&lt;15,OR(AC191&gt;=30,AA191&gt;0.15,X191&gt;=0.15)),2,VLOOKUP(AE191,Table!P:Q,2,FALSE))</f>
        <v>5</v>
      </c>
      <c r="AG191" s="22">
        <f>IF((AB191*0.98)-(D191*0.8)+((AF191-3)*3)+VLOOKUP(AM191,Table!$A$11:$B$13,2,FALSE)&lt;0,0,(AB191*0.98)-(D191*0.8)+((AF191-3)*3)+VLOOKUP(AM191,Table!$A$11:$B$13,2,FALSE))</f>
        <v>87.859220000000008</v>
      </c>
      <c r="AH191" s="22">
        <f t="shared" si="570"/>
        <v>87</v>
      </c>
      <c r="AI191" s="18">
        <f t="shared" si="563"/>
        <v>0.02</v>
      </c>
      <c r="AJ191" s="18">
        <f t="shared" si="564"/>
        <v>0.03</v>
      </c>
      <c r="AK191" t="str">
        <f t="shared" si="549"/>
        <v/>
      </c>
      <c r="AL191">
        <f t="shared" si="560"/>
        <v>32.5</v>
      </c>
      <c r="AM191" s="11" t="str">
        <f t="shared" si="550"/>
        <v>Stocks</v>
      </c>
      <c r="AN191" t="str">
        <f t="shared" si="556"/>
        <v>Buy</v>
      </c>
      <c r="AO191" s="13">
        <f t="shared" si="557"/>
        <v>-6.4999999999999997E-3</v>
      </c>
      <c r="AP191" s="13">
        <f t="shared" si="558"/>
        <v>0</v>
      </c>
      <c r="AQ191" s="13">
        <f t="shared" si="559"/>
        <v>-5.7000000000000002E-3</v>
      </c>
      <c r="AR191" s="13">
        <f t="shared" si="551"/>
        <v>-6.4999999999999997E-3</v>
      </c>
      <c r="AS191" s="6">
        <f t="shared" si="543"/>
        <v>512.70696898150914</v>
      </c>
      <c r="AT191" s="6">
        <f t="shared" si="544"/>
        <v>185.97425508967711</v>
      </c>
      <c r="AU191" s="6">
        <f t="shared" si="545"/>
        <v>810.54238345373903</v>
      </c>
      <c r="AV191" s="6">
        <f t="shared" si="546"/>
        <v>1202.4824375829301</v>
      </c>
      <c r="AW191" s="58">
        <f t="shared" si="552"/>
        <v>2015</v>
      </c>
      <c r="AX191" s="58">
        <f>COUNTIF(AW$3:AW191,AW191)</f>
        <v>52</v>
      </c>
    </row>
    <row r="192" spans="1:50" x14ac:dyDescent="0.25">
      <c r="A192" s="5">
        <v>42001</v>
      </c>
      <c r="B192">
        <v>2088.77</v>
      </c>
      <c r="C192">
        <v>0.03</v>
      </c>
      <c r="D192" s="6">
        <v>14.5</v>
      </c>
      <c r="E192" s="18">
        <f t="shared" si="565"/>
        <v>17.36</v>
      </c>
      <c r="F192">
        <f t="shared" si="566"/>
        <v>0</v>
      </c>
      <c r="G192" s="18">
        <f>ROUND(INDEX(Valuation!U:U,MATCH(A192,Valuation!A:A,0)),2)</f>
        <v>140</v>
      </c>
      <c r="H192">
        <f t="shared" si="573"/>
        <v>1</v>
      </c>
      <c r="I192" s="18">
        <f>INDEX(WeeklyIndicators!Y:Y,MATCH(A192,WeeklyIndicators!A:A,0))</f>
        <v>123.29</v>
      </c>
      <c r="J192">
        <f t="shared" si="562"/>
        <v>0</v>
      </c>
      <c r="K192">
        <f>ROUND(INDEX(Economic!AF:AF,MATCH(EOMONTH($A192,-1),Economic!A:A,0)),2)</f>
        <v>111.91</v>
      </c>
      <c r="L192" s="11">
        <f t="shared" si="571"/>
        <v>1</v>
      </c>
      <c r="M192">
        <f>ROUND(INDEX(Manufacturing!P:P,MATCH(EOMONTH($A192,-1),Manufacturing!A:A,0)),2)</f>
        <v>99.45</v>
      </c>
      <c r="N192">
        <f t="shared" si="567"/>
        <v>1</v>
      </c>
      <c r="O192">
        <f>ROUND(INDEX(Housing!AC:AC,MATCH(EOMONTH($A192,-1),Housing!B:B,0)),2)</f>
        <v>134.25</v>
      </c>
      <c r="P192">
        <f t="shared" si="568"/>
        <v>2</v>
      </c>
      <c r="Q192">
        <f>ROUND(INDEX(Spending!AJ:AJ,MATCH(EOMONTH($A192,-1),Spending!B:B,0)),2)</f>
        <v>67.53</v>
      </c>
      <c r="R192">
        <f t="shared" si="572"/>
        <v>2</v>
      </c>
      <c r="S192">
        <f>ROUND(INDEX(Employment!V:V,MATCH(EOMONTH($A192,-1),Employment!A:A,0)),2)</f>
        <v>185.15</v>
      </c>
      <c r="T192" s="11">
        <f t="shared" si="569"/>
        <v>2</v>
      </c>
      <c r="U192">
        <f t="shared" si="561"/>
        <v>29</v>
      </c>
      <c r="V192">
        <f t="shared" si="553"/>
        <v>78.739999999999995</v>
      </c>
      <c r="W192" s="13">
        <f t="shared" si="554"/>
        <v>-5.7000000000000002E-3</v>
      </c>
      <c r="X192" s="13">
        <f t="shared" si="555"/>
        <v>-4.8300000000000003E-2</v>
      </c>
      <c r="Y192">
        <f t="shared" si="547"/>
        <v>82.6</v>
      </c>
      <c r="Z192" s="13">
        <f t="shared" ref="Z192:Z255" si="578">ROUND((AVERAGE(Y192:Y194)-AVERAGE(Y193:Y195))/AVERAGE(Y193:Y195),4)</f>
        <v>-1.2999999999999999E-2</v>
      </c>
      <c r="AA192" s="13">
        <f t="shared" si="574"/>
        <v>-6.5500000000000003E-2</v>
      </c>
      <c r="AB192" s="6">
        <f t="shared" si="548"/>
        <v>86.85</v>
      </c>
      <c r="AC192">
        <f t="shared" si="576"/>
        <v>43</v>
      </c>
      <c r="AD192" s="11">
        <f t="shared" si="577"/>
        <v>1</v>
      </c>
      <c r="AE192">
        <f t="shared" si="575"/>
        <v>32</v>
      </c>
      <c r="AF192">
        <f>IF(AND(AE192&lt;15,OR(AC192&gt;=30,AA192&gt;0.15,X192&gt;=0.15)),2,VLOOKUP(AE192,Table!P:Q,2,FALSE))</f>
        <v>5</v>
      </c>
      <c r="AG192" s="22">
        <f>IF((AB192*0.98)-(D192*0.8)+((AF192-3)*3)+VLOOKUP(AM192,Table!$A$11:$B$13,2,FALSE)&lt;0,0,(AB192*0.98)-(D192*0.8)+((AF192-3)*3)+VLOOKUP(AM192,Table!$A$11:$B$13,2,FALSE))</f>
        <v>87.513000000000005</v>
      </c>
      <c r="AH192" s="22">
        <f t="shared" si="570"/>
        <v>87</v>
      </c>
      <c r="AI192" s="18">
        <f t="shared" si="563"/>
        <v>0.02</v>
      </c>
      <c r="AJ192" s="18">
        <f t="shared" si="564"/>
        <v>0.03</v>
      </c>
      <c r="AK192" t="str">
        <f t="shared" si="549"/>
        <v/>
      </c>
      <c r="AL192">
        <f t="shared" si="560"/>
        <v>33</v>
      </c>
      <c r="AM192" s="11" t="str">
        <f t="shared" si="550"/>
        <v>Stocks</v>
      </c>
      <c r="AN192" t="str">
        <f t="shared" si="556"/>
        <v>Buy</v>
      </c>
      <c r="AO192" s="13">
        <f t="shared" si="557"/>
        <v>-1.46E-2</v>
      </c>
      <c r="AP192" s="13">
        <f t="shared" si="558"/>
        <v>0</v>
      </c>
      <c r="AQ192" s="13">
        <f t="shared" si="559"/>
        <v>-1.2699999999999999E-2</v>
      </c>
      <c r="AR192" s="13">
        <f t="shared" si="551"/>
        <v>-1.46E-2</v>
      </c>
      <c r="AS192" s="6">
        <f t="shared" si="543"/>
        <v>520.30339860108495</v>
      </c>
      <c r="AT192" s="6">
        <f t="shared" si="544"/>
        <v>185.97425508967711</v>
      </c>
      <c r="AU192" s="6">
        <f t="shared" si="545"/>
        <v>820.9686857629282</v>
      </c>
      <c r="AV192" s="6">
        <f t="shared" si="546"/>
        <v>1220.2988000638625</v>
      </c>
      <c r="AW192" s="58">
        <f t="shared" si="552"/>
        <v>2014</v>
      </c>
      <c r="AX192" s="58">
        <f>COUNTIF(AW$3:AW192,AW192)</f>
        <v>1</v>
      </c>
    </row>
    <row r="193" spans="1:50" x14ac:dyDescent="0.25">
      <c r="A193" s="5">
        <v>41994</v>
      </c>
      <c r="B193">
        <v>2070.65</v>
      </c>
      <c r="C193">
        <v>0.04</v>
      </c>
      <c r="D193" s="6">
        <v>16.489999999999998</v>
      </c>
      <c r="E193" s="18">
        <f t="shared" si="565"/>
        <v>16.46</v>
      </c>
      <c r="F193">
        <f t="shared" si="566"/>
        <v>0</v>
      </c>
      <c r="G193" s="18">
        <f>ROUND(INDEX(Valuation!U:U,MATCH(A193,Valuation!A:A,0)),2)</f>
        <v>141.93</v>
      </c>
      <c r="H193">
        <f t="shared" si="573"/>
        <v>1</v>
      </c>
      <c r="I193" s="18">
        <f>INDEX(WeeklyIndicators!Y:Y,MATCH(A193,WeeklyIndicators!A:A,0))</f>
        <v>121.07</v>
      </c>
      <c r="J193">
        <f t="shared" si="562"/>
        <v>0</v>
      </c>
      <c r="K193">
        <f>ROUND(INDEX(Economic!AF:AF,MATCH(EOMONTH($A193,-1),Economic!A:A,0)),2)</f>
        <v>111.91</v>
      </c>
      <c r="L193" s="11">
        <f t="shared" si="571"/>
        <v>1</v>
      </c>
      <c r="M193">
        <f>ROUND(INDEX(Manufacturing!P:P,MATCH(EOMONTH($A193,-1),Manufacturing!A:A,0)),2)</f>
        <v>99.45</v>
      </c>
      <c r="N193">
        <f t="shared" si="567"/>
        <v>1</v>
      </c>
      <c r="O193">
        <f>ROUND(INDEX(Housing!AC:AC,MATCH(EOMONTH($A193,-1),Housing!B:B,0)),2)</f>
        <v>134.25</v>
      </c>
      <c r="P193">
        <f t="shared" si="568"/>
        <v>2</v>
      </c>
      <c r="Q193">
        <f>ROUND(INDEX(Spending!AJ:AJ,MATCH(EOMONTH($A193,-1),Spending!B:B,0)),2)</f>
        <v>67.53</v>
      </c>
      <c r="R193">
        <f t="shared" si="572"/>
        <v>2</v>
      </c>
      <c r="S193">
        <f>ROUND(INDEX(Employment!V:V,MATCH(EOMONTH($A193,-1),Employment!A:A,0)),2)</f>
        <v>185.15</v>
      </c>
      <c r="T193" s="11">
        <f t="shared" si="569"/>
        <v>2</v>
      </c>
      <c r="U193">
        <f t="shared" si="561"/>
        <v>29</v>
      </c>
      <c r="V193">
        <f t="shared" si="553"/>
        <v>78.510000000000005</v>
      </c>
      <c r="W193" s="13">
        <f t="shared" si="554"/>
        <v>-1.23E-2</v>
      </c>
      <c r="X193" s="13">
        <f t="shared" si="555"/>
        <v>-5.1699999999999996E-2</v>
      </c>
      <c r="Y193">
        <f t="shared" si="547"/>
        <v>82.9</v>
      </c>
      <c r="Z193" s="13">
        <f t="shared" si="578"/>
        <v>-1.7299999999999999E-2</v>
      </c>
      <c r="AA193" s="13">
        <f t="shared" si="574"/>
        <v>-6.1199999999999997E-2</v>
      </c>
      <c r="AB193" s="6">
        <f t="shared" si="548"/>
        <v>87.593000000000004</v>
      </c>
      <c r="AC193">
        <f t="shared" si="576"/>
        <v>44</v>
      </c>
      <c r="AD193" s="11">
        <f t="shared" si="577"/>
        <v>1</v>
      </c>
      <c r="AE193">
        <f t="shared" si="575"/>
        <v>32</v>
      </c>
      <c r="AF193">
        <f>IF(AND(AE193&lt;15,OR(AC193&gt;=30,AA193&gt;0.15,X193&gt;=0.15)),2,VLOOKUP(AE193,Table!P:Q,2,FALSE))</f>
        <v>5</v>
      </c>
      <c r="AG193" s="22">
        <f>IF((AB193*0.98)-(D193*0.8)+((AF193-3)*3)+VLOOKUP(AM193,Table!$A$11:$B$13,2,FALSE)&lt;0,0,(AB193*0.98)-(D193*0.8)+((AF193-3)*3)+VLOOKUP(AM193,Table!$A$11:$B$13,2,FALSE))</f>
        <v>86.649139999999989</v>
      </c>
      <c r="AH193" s="22">
        <f t="shared" si="570"/>
        <v>90</v>
      </c>
      <c r="AI193" s="18">
        <f t="shared" si="563"/>
        <v>0.02</v>
      </c>
      <c r="AJ193" s="18">
        <f t="shared" si="564"/>
        <v>0.03</v>
      </c>
      <c r="AK193" t="str">
        <f t="shared" si="549"/>
        <v/>
      </c>
      <c r="AL193">
        <f t="shared" si="560"/>
        <v>34.25</v>
      </c>
      <c r="AM193" s="11" t="str">
        <f t="shared" si="550"/>
        <v>Stocks</v>
      </c>
      <c r="AN193" t="str">
        <f t="shared" si="556"/>
        <v>Buy</v>
      </c>
      <c r="AO193" s="13">
        <f t="shared" si="557"/>
        <v>8.8000000000000005E-3</v>
      </c>
      <c r="AP193" s="13">
        <f t="shared" si="558"/>
        <v>0</v>
      </c>
      <c r="AQ193" s="13">
        <f t="shared" si="559"/>
        <v>7.9000000000000008E-3</v>
      </c>
      <c r="AR193" s="13">
        <f t="shared" si="551"/>
        <v>8.8000000000000005E-3</v>
      </c>
      <c r="AS193" s="6">
        <f t="shared" si="543"/>
        <v>515.76466950940221</v>
      </c>
      <c r="AT193" s="6">
        <f t="shared" si="544"/>
        <v>185.97425508967711</v>
      </c>
      <c r="AU193" s="6">
        <f t="shared" si="545"/>
        <v>814.53386820411572</v>
      </c>
      <c r="AV193" s="6">
        <f t="shared" si="546"/>
        <v>1209.6538462171516</v>
      </c>
      <c r="AW193" s="58">
        <f t="shared" si="552"/>
        <v>2014</v>
      </c>
      <c r="AX193" s="58">
        <f>COUNTIF(AW$3:AW193,AW193)</f>
        <v>2</v>
      </c>
    </row>
    <row r="194" spans="1:50" x14ac:dyDescent="0.25">
      <c r="A194" s="5">
        <v>41987</v>
      </c>
      <c r="B194">
        <v>2002.33</v>
      </c>
      <c r="C194">
        <v>0.03</v>
      </c>
      <c r="D194" s="6">
        <v>21.08</v>
      </c>
      <c r="E194" s="18">
        <f t="shared" si="565"/>
        <v>15.41</v>
      </c>
      <c r="F194">
        <f t="shared" si="566"/>
        <v>1</v>
      </c>
      <c r="G194" s="18">
        <f>ROUND(INDEX(Valuation!U:U,MATCH(A194,Valuation!A:A,0)),2)</f>
        <v>142.63999999999999</v>
      </c>
      <c r="H194">
        <f t="shared" si="573"/>
        <v>1</v>
      </c>
      <c r="I194" s="18">
        <f>INDEX(WeeklyIndicators!Y:Y,MATCH(A194,WeeklyIndicators!A:A,0))</f>
        <v>126.53</v>
      </c>
      <c r="J194">
        <f t="shared" si="562"/>
        <v>0</v>
      </c>
      <c r="K194">
        <f>ROUND(INDEX(Economic!AF:AF,MATCH(EOMONTH($A194,-1),Economic!A:A,0)),2)</f>
        <v>111.91</v>
      </c>
      <c r="L194" s="11">
        <f t="shared" si="571"/>
        <v>1</v>
      </c>
      <c r="M194">
        <f>ROUND(INDEX(Manufacturing!P:P,MATCH(EOMONTH($A194,-1),Manufacturing!A:A,0)),2)</f>
        <v>99.45</v>
      </c>
      <c r="N194">
        <f t="shared" si="567"/>
        <v>1</v>
      </c>
      <c r="O194">
        <f>ROUND(INDEX(Housing!AC:AC,MATCH(EOMONTH($A194,-1),Housing!B:B,0)),2)</f>
        <v>134.25</v>
      </c>
      <c r="P194">
        <f t="shared" si="568"/>
        <v>2</v>
      </c>
      <c r="Q194">
        <f>ROUND(INDEX(Spending!AJ:AJ,MATCH(EOMONTH($A194,-1),Spending!B:B,0)),2)</f>
        <v>67.53</v>
      </c>
      <c r="R194">
        <f t="shared" si="572"/>
        <v>2</v>
      </c>
      <c r="S194">
        <f>ROUND(INDEX(Employment!V:V,MATCH(EOMONTH($A194,-1),Employment!A:A,0)),2)</f>
        <v>185.15</v>
      </c>
      <c r="T194" s="11">
        <f t="shared" si="569"/>
        <v>2</v>
      </c>
      <c r="U194">
        <f t="shared" si="561"/>
        <v>30</v>
      </c>
      <c r="V194">
        <f t="shared" si="553"/>
        <v>79.069999999999993</v>
      </c>
      <c r="W194" s="13">
        <f t="shared" si="554"/>
        <v>-1.55E-2</v>
      </c>
      <c r="X194" s="13">
        <f t="shared" si="555"/>
        <v>-4.0400000000000005E-2</v>
      </c>
      <c r="Y194">
        <f t="shared" si="547"/>
        <v>83.91</v>
      </c>
      <c r="Z194" s="13">
        <f t="shared" si="578"/>
        <v>-1.9699999999999999E-2</v>
      </c>
      <c r="AA194" s="13">
        <f t="shared" si="574"/>
        <v>-4.0299999999999996E-2</v>
      </c>
      <c r="AB194" s="6">
        <f t="shared" si="548"/>
        <v>90.203999999999994</v>
      </c>
      <c r="AC194">
        <f t="shared" si="576"/>
        <v>45</v>
      </c>
      <c r="AD194" s="11">
        <f t="shared" si="577"/>
        <v>1</v>
      </c>
      <c r="AE194">
        <f t="shared" si="575"/>
        <v>33</v>
      </c>
      <c r="AF194">
        <f>IF(AND(AE194&lt;15,OR(AC194&gt;=30,AA194&gt;0.15,X194&gt;=0.15)),2,VLOOKUP(AE194,Table!P:Q,2,FALSE))</f>
        <v>5</v>
      </c>
      <c r="AG194" s="22">
        <f>IF((AB194*0.98)-(D194*0.8)+((AF194-3)*3)+VLOOKUP(AM194,Table!$A$11:$B$13,2,FALSE)&lt;0,0,(AB194*0.98)-(D194*0.8)+((AF194-3)*3)+VLOOKUP(AM194,Table!$A$11:$B$13,2,FALSE))</f>
        <v>85.53591999999999</v>
      </c>
      <c r="AH194" s="22">
        <f t="shared" si="570"/>
        <v>95</v>
      </c>
      <c r="AI194" s="18">
        <f t="shared" si="563"/>
        <v>0.02</v>
      </c>
      <c r="AJ194" s="18">
        <f t="shared" si="564"/>
        <v>0.03</v>
      </c>
      <c r="AK194" t="str">
        <f t="shared" si="549"/>
        <v/>
      </c>
      <c r="AL194">
        <f t="shared" si="560"/>
        <v>35.75</v>
      </c>
      <c r="AM194" s="11" t="str">
        <f t="shared" si="550"/>
        <v>Stocks</v>
      </c>
      <c r="AN194" t="str">
        <f t="shared" si="556"/>
        <v>Buy</v>
      </c>
      <c r="AO194" s="13">
        <f t="shared" si="557"/>
        <v>3.4099999999999998E-2</v>
      </c>
      <c r="AP194" s="13">
        <f t="shared" si="558"/>
        <v>0</v>
      </c>
      <c r="AQ194" s="13">
        <f t="shared" si="559"/>
        <v>3.2399999999999998E-2</v>
      </c>
      <c r="AR194" s="13">
        <f t="shared" si="551"/>
        <v>3.4099999999999998E-2</v>
      </c>
      <c r="AS194" s="6">
        <f t="shared" si="543"/>
        <v>498.75705396905732</v>
      </c>
      <c r="AT194" s="6">
        <f t="shared" si="544"/>
        <v>185.97425508967711</v>
      </c>
      <c r="AU194" s="6">
        <f t="shared" si="545"/>
        <v>788.97120128256074</v>
      </c>
      <c r="AV194" s="6">
        <f t="shared" si="546"/>
        <v>1169.7648643430534</v>
      </c>
      <c r="AW194" s="58">
        <f t="shared" si="552"/>
        <v>2014</v>
      </c>
      <c r="AX194" s="58">
        <f>COUNTIF(AW$3:AW194,AW194)</f>
        <v>3</v>
      </c>
    </row>
    <row r="195" spans="1:50" x14ac:dyDescent="0.25">
      <c r="A195" s="5">
        <v>41980</v>
      </c>
      <c r="B195">
        <v>2075.37</v>
      </c>
      <c r="C195">
        <v>0.02</v>
      </c>
      <c r="D195" s="6">
        <v>11.82</v>
      </c>
      <c r="E195" s="18">
        <f t="shared" si="565"/>
        <v>12.68</v>
      </c>
      <c r="F195">
        <f t="shared" si="566"/>
        <v>2</v>
      </c>
      <c r="G195" s="18">
        <f>ROUND(INDEX(Valuation!U:U,MATCH(A195,Valuation!A:A,0)),2)</f>
        <v>142.55000000000001</v>
      </c>
      <c r="H195">
        <f t="shared" si="573"/>
        <v>1</v>
      </c>
      <c r="I195" s="18">
        <f>INDEX(WeeklyIndicators!Y:Y,MATCH(A195,WeeklyIndicators!A:A,0))</f>
        <v>136.44999999999999</v>
      </c>
      <c r="J195">
        <f t="shared" si="562"/>
        <v>1</v>
      </c>
      <c r="K195">
        <f>ROUND(INDEX(Economic!AF:AF,MATCH(EOMONTH($A195,-1),Economic!A:A,0)),2)</f>
        <v>111.91</v>
      </c>
      <c r="L195" s="11">
        <f t="shared" si="571"/>
        <v>1</v>
      </c>
      <c r="M195">
        <f>ROUND(INDEX(Manufacturing!P:P,MATCH(EOMONTH($A195,-1),Manufacturing!A:A,0)),2)</f>
        <v>99.45</v>
      </c>
      <c r="N195">
        <f t="shared" si="567"/>
        <v>1</v>
      </c>
      <c r="O195">
        <f>ROUND(INDEX(Housing!AC:AC,MATCH(EOMONTH($A195,-1),Housing!B:B,0)),2)</f>
        <v>134.25</v>
      </c>
      <c r="P195">
        <f t="shared" si="568"/>
        <v>2</v>
      </c>
      <c r="Q195">
        <f>ROUND(INDEX(Spending!AJ:AJ,MATCH(EOMONTH($A195,-1),Spending!B:B,0)),2)</f>
        <v>67.53</v>
      </c>
      <c r="R195">
        <f t="shared" si="572"/>
        <v>2</v>
      </c>
      <c r="S195">
        <f>ROUND(INDEX(Employment!V:V,MATCH(EOMONTH($A195,-1),Employment!A:A,0)),2)</f>
        <v>185.15</v>
      </c>
      <c r="T195" s="11">
        <f t="shared" si="569"/>
        <v>2</v>
      </c>
      <c r="U195">
        <f t="shared" si="561"/>
        <v>32</v>
      </c>
      <c r="V195">
        <f t="shared" si="553"/>
        <v>80.099999999999994</v>
      </c>
      <c r="W195" s="13">
        <f t="shared" si="554"/>
        <v>-1.4800000000000001E-2</v>
      </c>
      <c r="X195" s="13">
        <f t="shared" si="555"/>
        <v>-1.8400000000000003E-2</v>
      </c>
      <c r="Y195">
        <f t="shared" si="547"/>
        <v>85.89</v>
      </c>
      <c r="Z195" s="13">
        <f t="shared" si="578"/>
        <v>-1.55E-2</v>
      </c>
      <c r="AA195" s="13">
        <f t="shared" si="574"/>
        <v>-5.9000000000000007E-3</v>
      </c>
      <c r="AB195" s="6">
        <f t="shared" si="548"/>
        <v>94.734999999999999</v>
      </c>
      <c r="AC195">
        <f t="shared" si="576"/>
        <v>47</v>
      </c>
      <c r="AD195" s="11">
        <f t="shared" si="577"/>
        <v>1</v>
      </c>
      <c r="AE195">
        <f t="shared" si="575"/>
        <v>35</v>
      </c>
      <c r="AF195">
        <f>IF(AND(AE195&lt;15,OR(AC195&gt;=30,AA195&gt;0.15,X195&gt;=0.15)),2,VLOOKUP(AE195,Table!P:Q,2,FALSE))</f>
        <v>5</v>
      </c>
      <c r="AG195" s="22">
        <f>IF((AB195*0.98)-(D195*0.8)+((AF195-3)*3)+VLOOKUP(AM195,Table!$A$11:$B$13,2,FALSE)&lt;0,0,(AB195*0.98)-(D195*0.8)+((AF195-3)*3)+VLOOKUP(AM195,Table!$A$11:$B$13,2,FALSE))</f>
        <v>97.384299999999996</v>
      </c>
      <c r="AH195" s="22">
        <f t="shared" si="570"/>
        <v>100</v>
      </c>
      <c r="AI195" s="18">
        <f t="shared" si="563"/>
        <v>0.02</v>
      </c>
      <c r="AJ195" s="18">
        <f t="shared" si="564"/>
        <v>0.03</v>
      </c>
      <c r="AK195" t="str">
        <f t="shared" si="549"/>
        <v/>
      </c>
      <c r="AL195">
        <f t="shared" si="560"/>
        <v>37</v>
      </c>
      <c r="AM195" s="11" t="str">
        <f t="shared" si="550"/>
        <v>Stocks</v>
      </c>
      <c r="AN195" t="str">
        <f t="shared" si="556"/>
        <v>Buy</v>
      </c>
      <c r="AO195" s="13">
        <f t="shared" si="557"/>
        <v>-3.5200000000000002E-2</v>
      </c>
      <c r="AP195" s="13">
        <f t="shared" si="558"/>
        <v>0</v>
      </c>
      <c r="AQ195" s="13">
        <f t="shared" si="559"/>
        <v>-3.5200000000000002E-2</v>
      </c>
      <c r="AR195" s="13">
        <f t="shared" si="551"/>
        <v>-3.5200000000000002E-2</v>
      </c>
      <c r="AS195" s="6">
        <f t="shared" ref="AS195:AS258" si="579">AS196*(1+AO196)</f>
        <v>516.95382874073107</v>
      </c>
      <c r="AT195" s="6">
        <f t="shared" ref="AT195:AT258" si="580">AT196*(1+AP196)</f>
        <v>185.97425508967711</v>
      </c>
      <c r="AU195" s="6">
        <f t="shared" ref="AU195:AU258" si="581">AU196*(1+AQ196)</f>
        <v>817.75622023482663</v>
      </c>
      <c r="AV195" s="6">
        <f t="shared" ref="AV195:AV258" si="582">AV196*(1+AR196)</f>
        <v>1212.4428527602129</v>
      </c>
      <c r="AW195" s="58">
        <f t="shared" si="552"/>
        <v>2014</v>
      </c>
      <c r="AX195" s="58">
        <f>COUNTIF(AW$3:AW195,AW195)</f>
        <v>4</v>
      </c>
    </row>
    <row r="196" spans="1:50" x14ac:dyDescent="0.25">
      <c r="A196" s="5">
        <v>41973</v>
      </c>
      <c r="B196">
        <v>2067.56</v>
      </c>
      <c r="C196">
        <v>0.02</v>
      </c>
      <c r="D196" s="6">
        <v>13.33</v>
      </c>
      <c r="E196" s="18">
        <f t="shared" si="565"/>
        <v>13.18</v>
      </c>
      <c r="F196">
        <f t="shared" si="566"/>
        <v>2</v>
      </c>
      <c r="G196" s="18">
        <f>ROUND(INDEX(Valuation!U:U,MATCH(A196,Valuation!A:A,0)),2)</f>
        <v>144.94999999999999</v>
      </c>
      <c r="H196">
        <f t="shared" si="573"/>
        <v>1</v>
      </c>
      <c r="I196" s="18">
        <f>INDEX(WeeklyIndicators!Y:Y,MATCH(A196,WeeklyIndicators!A:A,0))</f>
        <v>147.53</v>
      </c>
      <c r="J196">
        <f t="shared" si="562"/>
        <v>1</v>
      </c>
      <c r="K196">
        <f>ROUND(INDEX(Economic!AF:AF,MATCH(EOMONTH($A196,-1),Economic!A:A,0)),2)</f>
        <v>111.52</v>
      </c>
      <c r="L196" s="11">
        <f t="shared" si="571"/>
        <v>1</v>
      </c>
      <c r="M196">
        <f>ROUND(INDEX(Manufacturing!P:P,MATCH(EOMONTH($A196,-1),Manufacturing!A:A,0)),2)</f>
        <v>104.66</v>
      </c>
      <c r="N196">
        <f t="shared" si="567"/>
        <v>2</v>
      </c>
      <c r="O196">
        <f>ROUND(INDEX(Housing!AC:AC,MATCH(EOMONTH($A196,-1),Housing!B:B,0)),2)</f>
        <v>132.22</v>
      </c>
      <c r="P196">
        <f t="shared" si="568"/>
        <v>2</v>
      </c>
      <c r="Q196">
        <f>ROUND(INDEX(Spending!AJ:AJ,MATCH(EOMONTH($A196,-1),Spending!B:B,0)),2)</f>
        <v>69.03</v>
      </c>
      <c r="R196">
        <f t="shared" si="572"/>
        <v>2</v>
      </c>
      <c r="S196">
        <f>ROUND(INDEX(Employment!V:V,MATCH(EOMONTH($A196,-1),Employment!A:A,0)),2)</f>
        <v>179.99</v>
      </c>
      <c r="T196" s="11">
        <f t="shared" si="569"/>
        <v>2</v>
      </c>
      <c r="U196">
        <f t="shared" si="561"/>
        <v>33</v>
      </c>
      <c r="V196">
        <f t="shared" si="553"/>
        <v>81.48</v>
      </c>
      <c r="W196" s="13">
        <f t="shared" si="554"/>
        <v>-9.1000000000000004E-3</v>
      </c>
      <c r="X196" s="13">
        <f t="shared" si="555"/>
        <v>6.5999999999999991E-3</v>
      </c>
      <c r="Y196">
        <f t="shared" ref="Y196:Y259" si="583">ROUND(((K196*0.745)+(M196*0.745)+(O196*0.36)+(Q196*0.45)+(S196*0.45)+(I196*0.55)+(G196*0.59)-(E196*1.85))/5.3,2)</f>
        <v>87.36</v>
      </c>
      <c r="Z196" s="13">
        <f t="shared" si="578"/>
        <v>-8.6999999999999994E-3</v>
      </c>
      <c r="AA196" s="13">
        <f t="shared" si="574"/>
        <v>2.6700000000000002E-2</v>
      </c>
      <c r="AB196" s="6">
        <f t="shared" ref="AB196:AB259" si="584">IF(ROUND(Y196+(X196*10)+(V196/30)+(AA196*67),2)+5+((G196-125)*0.1)&lt;0,0,ROUND(Y196+(X196*10)+(V196/30)+(AA196*67),2)+5+((G196-125)*0.1))</f>
        <v>98.925000000000011</v>
      </c>
      <c r="AC196">
        <f t="shared" si="576"/>
        <v>49</v>
      </c>
      <c r="AD196" s="11">
        <f t="shared" si="577"/>
        <v>2</v>
      </c>
      <c r="AE196">
        <f t="shared" si="575"/>
        <v>37</v>
      </c>
      <c r="AF196">
        <f>IF(AND(AE196&lt;15,OR(AC196&gt;=30,AA196&gt;0.15,X196&gt;=0.15)),2,VLOOKUP(AE196,Table!P:Q,2,FALSE))</f>
        <v>6</v>
      </c>
      <c r="AG196" s="22">
        <f>IF((AB196*0.98)-(D196*0.8)+((AF196-3)*3)+VLOOKUP(AM196,Table!$A$11:$B$13,2,FALSE)&lt;0,0,(AB196*0.98)-(D196*0.8)+((AF196-3)*3)+VLOOKUP(AM196,Table!$A$11:$B$13,2,FALSE))</f>
        <v>103.28250000000001</v>
      </c>
      <c r="AH196" s="22">
        <f t="shared" si="570"/>
        <v>100</v>
      </c>
      <c r="AI196" s="18">
        <f t="shared" si="563"/>
        <v>0.02</v>
      </c>
      <c r="AJ196" s="18">
        <f t="shared" si="564"/>
        <v>0.03</v>
      </c>
      <c r="AK196" t="str">
        <f t="shared" ref="AK196:AK259" si="585">IF(AND(C196&gt;AI196,AI196&gt;AJ196,C196-AJ196&gt;0.15),"Rising Rates",IF(AND(C196&lt;AI196,AI196&lt;AJ196,AJ196-C196&gt;0.15),"Falling Rates",""))</f>
        <v/>
      </c>
      <c r="AL196">
        <f t="shared" si="560"/>
        <v>37.5</v>
      </c>
      <c r="AM196" s="11" t="str">
        <f t="shared" ref="AM196:AM259" si="586">IF(OR(AND(AL196&lt;=18,G196&lt;=25),AND(AL196&lt;=14,G196&lt;200)),"Cash","Stocks")</f>
        <v>Stocks</v>
      </c>
      <c r="AN196" t="str">
        <f t="shared" si="556"/>
        <v>Buy</v>
      </c>
      <c r="AO196" s="13">
        <f t="shared" si="557"/>
        <v>3.8E-3</v>
      </c>
      <c r="AP196" s="13">
        <f t="shared" si="558"/>
        <v>0</v>
      </c>
      <c r="AQ196" s="13">
        <f t="shared" si="559"/>
        <v>3.8E-3</v>
      </c>
      <c r="AR196" s="13">
        <f t="shared" ref="AR196:AR259" si="587">IF(AM196="Stocks",AO196,AP196)</f>
        <v>3.8E-3</v>
      </c>
      <c r="AS196" s="6">
        <f t="shared" si="579"/>
        <v>514.99684074589663</v>
      </c>
      <c r="AT196" s="6">
        <f t="shared" si="580"/>
        <v>185.97425508967711</v>
      </c>
      <c r="AU196" s="6">
        <f t="shared" si="581"/>
        <v>814.66051029570292</v>
      </c>
      <c r="AV196" s="6">
        <f t="shared" si="582"/>
        <v>1207.8530113172073</v>
      </c>
      <c r="AW196" s="58">
        <f t="shared" ref="AW196:AW259" si="588">YEAR(A196)</f>
        <v>2014</v>
      </c>
      <c r="AX196" s="58">
        <f>COUNTIF(AW$3:AW196,AW196)</f>
        <v>5</v>
      </c>
    </row>
    <row r="197" spans="1:50" x14ac:dyDescent="0.25">
      <c r="A197" s="5">
        <v>41966</v>
      </c>
      <c r="B197">
        <v>2063.5</v>
      </c>
      <c r="C197">
        <v>0.02</v>
      </c>
      <c r="D197" s="6">
        <v>12.9</v>
      </c>
      <c r="E197" s="18">
        <f t="shared" si="565"/>
        <v>13.11</v>
      </c>
      <c r="F197">
        <f t="shared" si="566"/>
        <v>2</v>
      </c>
      <c r="G197" s="18">
        <f>ROUND(INDEX(Valuation!U:U,MATCH(A197,Valuation!A:A,0)),2)</f>
        <v>148.05000000000001</v>
      </c>
      <c r="H197">
        <f t="shared" si="573"/>
        <v>1</v>
      </c>
      <c r="I197" s="18">
        <f>INDEX(WeeklyIndicators!Y:Y,MATCH(A197,WeeklyIndicators!A:A,0))</f>
        <v>160.69999999999999</v>
      </c>
      <c r="J197">
        <f t="shared" si="562"/>
        <v>2</v>
      </c>
      <c r="K197">
        <f>ROUND(INDEX(Economic!AF:AF,MATCH(EOMONTH($A197,-1),Economic!A:A,0)),2)</f>
        <v>111.52</v>
      </c>
      <c r="L197" s="11">
        <f t="shared" si="571"/>
        <v>1</v>
      </c>
      <c r="M197">
        <f>ROUND(INDEX(Manufacturing!P:P,MATCH(EOMONTH($A197,-1),Manufacturing!A:A,0)),2)</f>
        <v>104.66</v>
      </c>
      <c r="N197">
        <f t="shared" si="567"/>
        <v>2</v>
      </c>
      <c r="O197">
        <f>ROUND(INDEX(Housing!AC:AC,MATCH(EOMONTH($A197,-1),Housing!B:B,0)),2)</f>
        <v>132.22</v>
      </c>
      <c r="P197">
        <f t="shared" si="568"/>
        <v>2</v>
      </c>
      <c r="Q197">
        <f>ROUND(INDEX(Spending!AJ:AJ,MATCH(EOMONTH($A197,-1),Spending!B:B,0)),2)</f>
        <v>69.03</v>
      </c>
      <c r="R197">
        <f t="shared" si="572"/>
        <v>2</v>
      </c>
      <c r="S197">
        <f>ROUND(INDEX(Employment!V:V,MATCH(EOMONTH($A197,-1),Employment!A:A,0)),2)</f>
        <v>179.99</v>
      </c>
      <c r="T197" s="11">
        <f t="shared" si="569"/>
        <v>2</v>
      </c>
      <c r="U197">
        <f t="shared" si="561"/>
        <v>34</v>
      </c>
      <c r="V197">
        <f t="shared" ref="V197:V260" si="589">ROUND(((K197*0.745)+(M197*0.745)+(O197*0.36)+(Q197*0.45)+(S197*0.45)+(I197*0.55)+(60)-(30))/5.3,2)</f>
        <v>82.85</v>
      </c>
      <c r="W197" s="13">
        <f t="shared" ref="W197:W260" si="590">ROUND((AVERAGE(V197:V199)-AVERAGE(V198:V200))/AVERAGE(V198:V200),4)</f>
        <v>-1E-3</v>
      </c>
      <c r="X197" s="13">
        <f t="shared" ref="X197:X260" si="591">SUM(W197:W200)</f>
        <v>2.6299999999999997E-2</v>
      </c>
      <c r="Y197">
        <f t="shared" si="583"/>
        <v>89.09</v>
      </c>
      <c r="Z197" s="13">
        <f t="shared" si="578"/>
        <v>3.5999999999999999E-3</v>
      </c>
      <c r="AA197" s="13">
        <f t="shared" si="574"/>
        <v>4.8300000000000003E-2</v>
      </c>
      <c r="AB197" s="6">
        <f t="shared" si="584"/>
        <v>102.655</v>
      </c>
      <c r="AC197">
        <f t="shared" si="576"/>
        <v>51</v>
      </c>
      <c r="AD197" s="11">
        <f t="shared" si="577"/>
        <v>2</v>
      </c>
      <c r="AE197">
        <f t="shared" si="575"/>
        <v>38</v>
      </c>
      <c r="AF197">
        <f>IF(AND(AE197&lt;15,OR(AC197&gt;=30,AA197&gt;0.15,X197&gt;=0.15)),2,VLOOKUP(AE197,Table!P:Q,2,FALSE))</f>
        <v>6</v>
      </c>
      <c r="AG197" s="22">
        <f>IF((AB197*0.98)-(D197*0.8)+((AF197-3)*3)+VLOOKUP(AM197,Table!$A$11:$B$13,2,FALSE)&lt;0,0,(AB197*0.98)-(D197*0.8)+((AF197-3)*3)+VLOOKUP(AM197,Table!$A$11:$B$13,2,FALSE))</f>
        <v>107.28190000000001</v>
      </c>
      <c r="AH197" s="22">
        <f t="shared" si="570"/>
        <v>100</v>
      </c>
      <c r="AI197" s="18">
        <f t="shared" si="563"/>
        <v>0.02</v>
      </c>
      <c r="AJ197" s="18">
        <f t="shared" si="564"/>
        <v>0.03</v>
      </c>
      <c r="AK197" t="str">
        <f t="shared" si="585"/>
        <v/>
      </c>
      <c r="AL197">
        <f t="shared" si="560"/>
        <v>37.25</v>
      </c>
      <c r="AM197" s="11" t="str">
        <f t="shared" si="586"/>
        <v>Stocks</v>
      </c>
      <c r="AN197" t="str">
        <f t="shared" ref="AN197:AN260" si="592">IF(AND(V197&gt;AG197,V197&lt;65),"Sell","Buy")</f>
        <v>Buy</v>
      </c>
      <c r="AO197" s="13">
        <f t="shared" ref="AO197:AO260" si="593">ROUND((B196/B197)-1,4)</f>
        <v>2E-3</v>
      </c>
      <c r="AP197" s="13">
        <f t="shared" ref="AP197:AP260" si="594">ROUND((C197*0.01)/52,4)</f>
        <v>0</v>
      </c>
      <c r="AQ197" s="13">
        <f t="shared" ref="AQ197:AQ260" si="595">ROUND(((AH197*0.01)*AO197)+(((100-AH197)*0.01)*AP197),4)</f>
        <v>2E-3</v>
      </c>
      <c r="AR197" s="13">
        <f t="shared" si="587"/>
        <v>2E-3</v>
      </c>
      <c r="AS197" s="6">
        <f t="shared" si="579"/>
        <v>513.96890294001662</v>
      </c>
      <c r="AT197" s="6">
        <f t="shared" si="580"/>
        <v>185.97425508967711</v>
      </c>
      <c r="AU197" s="6">
        <f t="shared" si="581"/>
        <v>813.03444141287719</v>
      </c>
      <c r="AV197" s="6">
        <f t="shared" si="582"/>
        <v>1205.4421270630812</v>
      </c>
      <c r="AW197" s="58">
        <f t="shared" si="588"/>
        <v>2014</v>
      </c>
      <c r="AX197" s="58">
        <f>COUNTIF(AW$3:AW197,AW197)</f>
        <v>6</v>
      </c>
    </row>
    <row r="198" spans="1:50" x14ac:dyDescent="0.25">
      <c r="A198" s="5">
        <v>41959</v>
      </c>
      <c r="B198">
        <v>2039.82</v>
      </c>
      <c r="C198">
        <v>0.02</v>
      </c>
      <c r="D198" s="6">
        <v>13.31</v>
      </c>
      <c r="E198" s="18">
        <f t="shared" si="565"/>
        <v>13.49</v>
      </c>
      <c r="F198">
        <f t="shared" si="566"/>
        <v>2</v>
      </c>
      <c r="G198" s="18">
        <f>ROUND(INDEX(Valuation!U:U,MATCH(A198,Valuation!A:A,0)),2)</f>
        <v>149.35</v>
      </c>
      <c r="H198">
        <f t="shared" si="573"/>
        <v>1</v>
      </c>
      <c r="I198" s="18">
        <f>INDEX(WeeklyIndicators!Y:Y,MATCH(A198,WeeklyIndicators!A:A,0))</f>
        <v>169.47</v>
      </c>
      <c r="J198">
        <f t="shared" si="562"/>
        <v>2</v>
      </c>
      <c r="K198">
        <f>ROUND(INDEX(Economic!AF:AF,MATCH(EOMONTH($A198,-1),Economic!A:A,0)),2)</f>
        <v>111.52</v>
      </c>
      <c r="L198" s="11">
        <f t="shared" si="571"/>
        <v>1</v>
      </c>
      <c r="M198">
        <f>ROUND(INDEX(Manufacturing!P:P,MATCH(EOMONTH($A198,-1),Manufacturing!A:A,0)),2)</f>
        <v>104.66</v>
      </c>
      <c r="N198">
        <f t="shared" si="567"/>
        <v>2</v>
      </c>
      <c r="O198">
        <f>ROUND(INDEX(Housing!AC:AC,MATCH(EOMONTH($A198,-1),Housing!B:B,0)),2)</f>
        <v>132.22</v>
      </c>
      <c r="P198">
        <f t="shared" si="568"/>
        <v>2</v>
      </c>
      <c r="Q198">
        <f>ROUND(INDEX(Spending!AJ:AJ,MATCH(EOMONTH($A198,-1),Spending!B:B,0)),2)</f>
        <v>69.03</v>
      </c>
      <c r="R198">
        <f t="shared" si="572"/>
        <v>2</v>
      </c>
      <c r="S198">
        <f>ROUND(INDEX(Employment!V:V,MATCH(EOMONTH($A198,-1),Employment!A:A,0)),2)</f>
        <v>179.99</v>
      </c>
      <c r="T198" s="11">
        <f t="shared" si="569"/>
        <v>2</v>
      </c>
      <c r="U198">
        <f t="shared" si="561"/>
        <v>34</v>
      </c>
      <c r="V198">
        <f t="shared" si="589"/>
        <v>83.76</v>
      </c>
      <c r="W198" s="13">
        <f t="shared" si="590"/>
        <v>6.4999999999999997E-3</v>
      </c>
      <c r="X198" s="13">
        <f t="shared" si="591"/>
        <v>3.4699999999999995E-2</v>
      </c>
      <c r="Y198">
        <f t="shared" si="583"/>
        <v>90.02</v>
      </c>
      <c r="Z198" s="13">
        <f t="shared" si="578"/>
        <v>1.47E-2</v>
      </c>
      <c r="AA198" s="13">
        <f t="shared" si="574"/>
        <v>4.7700000000000006E-2</v>
      </c>
      <c r="AB198" s="6">
        <f t="shared" si="584"/>
        <v>103.785</v>
      </c>
      <c r="AC198">
        <f t="shared" si="576"/>
        <v>52</v>
      </c>
      <c r="AD198" s="11">
        <f t="shared" si="577"/>
        <v>2</v>
      </c>
      <c r="AE198">
        <f t="shared" si="575"/>
        <v>38</v>
      </c>
      <c r="AF198">
        <f>IF(AND(AE198&lt;15,OR(AC198&gt;=30,AA198&gt;0.15,X198&gt;=0.15)),2,VLOOKUP(AE198,Table!P:Q,2,FALSE))</f>
        <v>6</v>
      </c>
      <c r="AG198" s="22">
        <f>IF((AB198*0.98)-(D198*0.8)+((AF198-3)*3)+VLOOKUP(AM198,Table!$A$11:$B$13,2,FALSE)&lt;0,0,(AB198*0.98)-(D198*0.8)+((AF198-3)*3)+VLOOKUP(AM198,Table!$A$11:$B$13,2,FALSE))</f>
        <v>108.0613</v>
      </c>
      <c r="AH198" s="22">
        <f t="shared" si="570"/>
        <v>100</v>
      </c>
      <c r="AI198" s="18">
        <f t="shared" si="563"/>
        <v>0.02</v>
      </c>
      <c r="AJ198" s="18">
        <f t="shared" si="564"/>
        <v>0.03</v>
      </c>
      <c r="AK198" t="str">
        <f t="shared" si="585"/>
        <v/>
      </c>
      <c r="AL198">
        <f t="shared" si="560"/>
        <v>36.5</v>
      </c>
      <c r="AM198" s="11" t="str">
        <f t="shared" si="586"/>
        <v>Stocks</v>
      </c>
      <c r="AN198" t="str">
        <f t="shared" si="592"/>
        <v>Buy</v>
      </c>
      <c r="AO198" s="13">
        <f t="shared" si="593"/>
        <v>1.1599999999999999E-2</v>
      </c>
      <c r="AP198" s="13">
        <f t="shared" si="594"/>
        <v>0</v>
      </c>
      <c r="AQ198" s="13">
        <f t="shared" si="595"/>
        <v>1.1599999999999999E-2</v>
      </c>
      <c r="AR198" s="13">
        <f t="shared" si="587"/>
        <v>1.1599999999999999E-2</v>
      </c>
      <c r="AS198" s="6">
        <f t="shared" si="579"/>
        <v>508.07523026889743</v>
      </c>
      <c r="AT198" s="6">
        <f t="shared" si="580"/>
        <v>185.97425508967711</v>
      </c>
      <c r="AU198" s="6">
        <f t="shared" si="581"/>
        <v>803.71138929703159</v>
      </c>
      <c r="AV198" s="6">
        <f t="shared" si="582"/>
        <v>1191.6193426879015</v>
      </c>
      <c r="AW198" s="58">
        <f t="shared" si="588"/>
        <v>2014</v>
      </c>
      <c r="AX198" s="58">
        <f>COUNTIF(AW$3:AW198,AW198)</f>
        <v>7</v>
      </c>
    </row>
    <row r="199" spans="1:50" x14ac:dyDescent="0.25">
      <c r="A199" s="5">
        <v>41952</v>
      </c>
      <c r="B199">
        <v>2031.92</v>
      </c>
      <c r="C199">
        <v>0.03</v>
      </c>
      <c r="D199" s="6">
        <v>13.12</v>
      </c>
      <c r="E199" s="18">
        <f t="shared" si="565"/>
        <v>14.42</v>
      </c>
      <c r="F199">
        <f t="shared" si="566"/>
        <v>1</v>
      </c>
      <c r="G199" s="18">
        <f>ROUND(INDEX(Valuation!U:U,MATCH(A199,Valuation!A:A,0)),2)</f>
        <v>149.34</v>
      </c>
      <c r="H199">
        <f t="shared" si="573"/>
        <v>1</v>
      </c>
      <c r="I199" s="18">
        <f>INDEX(WeeklyIndicators!Y:Y,MATCH(A199,WeeklyIndicators!A:A,0))</f>
        <v>169.58</v>
      </c>
      <c r="J199">
        <f t="shared" si="562"/>
        <v>2</v>
      </c>
      <c r="K199">
        <f>ROUND(INDEX(Economic!AF:AF,MATCH(EOMONTH($A199,-1),Economic!A:A,0)),2)</f>
        <v>111.52</v>
      </c>
      <c r="L199" s="11">
        <f t="shared" si="571"/>
        <v>1</v>
      </c>
      <c r="M199">
        <f>ROUND(INDEX(Manufacturing!P:P,MATCH(EOMONTH($A199,-1),Manufacturing!A:A,0)),2)</f>
        <v>104.66</v>
      </c>
      <c r="N199">
        <f t="shared" si="567"/>
        <v>2</v>
      </c>
      <c r="O199">
        <f>ROUND(INDEX(Housing!AC:AC,MATCH(EOMONTH($A199,-1),Housing!B:B,0)),2)</f>
        <v>132.22</v>
      </c>
      <c r="P199">
        <f t="shared" si="568"/>
        <v>2</v>
      </c>
      <c r="Q199">
        <f>ROUND(INDEX(Spending!AJ:AJ,MATCH(EOMONTH($A199,-1),Spending!B:B,0)),2)</f>
        <v>69.03</v>
      </c>
      <c r="R199">
        <f t="shared" si="572"/>
        <v>2</v>
      </c>
      <c r="S199">
        <f>ROUND(INDEX(Employment!V:V,MATCH(EOMONTH($A199,-1),Employment!A:A,0)),2)</f>
        <v>179.99</v>
      </c>
      <c r="T199" s="11">
        <f t="shared" si="569"/>
        <v>2</v>
      </c>
      <c r="U199">
        <f t="shared" si="561"/>
        <v>33</v>
      </c>
      <c r="V199">
        <f t="shared" si="589"/>
        <v>83.77</v>
      </c>
      <c r="W199" s="13">
        <f t="shared" si="590"/>
        <v>1.0200000000000001E-2</v>
      </c>
      <c r="X199" s="13">
        <f t="shared" si="591"/>
        <v>3.2099999999999997E-2</v>
      </c>
      <c r="Y199">
        <f t="shared" si="583"/>
        <v>89.7</v>
      </c>
      <c r="Z199" s="13">
        <f t="shared" si="578"/>
        <v>1.7100000000000001E-2</v>
      </c>
      <c r="AA199" s="13">
        <f t="shared" si="574"/>
        <v>3.2600000000000004E-2</v>
      </c>
      <c r="AB199" s="6">
        <f t="shared" si="584"/>
        <v>102.434</v>
      </c>
      <c r="AC199">
        <f t="shared" si="576"/>
        <v>51</v>
      </c>
      <c r="AD199" s="11">
        <f t="shared" si="577"/>
        <v>2</v>
      </c>
      <c r="AE199">
        <f t="shared" si="575"/>
        <v>37</v>
      </c>
      <c r="AF199">
        <f>IF(AND(AE199&lt;15,OR(AC199&gt;=30,AA199&gt;0.15,X199&gt;=0.15)),2,VLOOKUP(AE199,Table!P:Q,2,FALSE))</f>
        <v>6</v>
      </c>
      <c r="AG199" s="22">
        <f>IF((AB199*0.98)-(D199*0.8)+((AF199-3)*3)+VLOOKUP(AM199,Table!$A$11:$B$13,2,FALSE)&lt;0,0,(AB199*0.98)-(D199*0.8)+((AF199-3)*3)+VLOOKUP(AM199,Table!$A$11:$B$13,2,FALSE))</f>
        <v>106.88932</v>
      </c>
      <c r="AH199" s="22">
        <f t="shared" si="570"/>
        <v>100</v>
      </c>
      <c r="AI199" s="18">
        <f t="shared" si="563"/>
        <v>0.02</v>
      </c>
      <c r="AJ199" s="18">
        <f t="shared" si="564"/>
        <v>0.03</v>
      </c>
      <c r="AK199" t="str">
        <f t="shared" si="585"/>
        <v/>
      </c>
      <c r="AL199">
        <f t="shared" si="560"/>
        <v>35.25</v>
      </c>
      <c r="AM199" s="11" t="str">
        <f t="shared" si="586"/>
        <v>Stocks</v>
      </c>
      <c r="AN199" t="str">
        <f t="shared" si="592"/>
        <v>Buy</v>
      </c>
      <c r="AO199" s="13">
        <f t="shared" si="593"/>
        <v>3.8999999999999998E-3</v>
      </c>
      <c r="AP199" s="13">
        <f t="shared" si="594"/>
        <v>0</v>
      </c>
      <c r="AQ199" s="13">
        <f t="shared" si="595"/>
        <v>3.8999999999999998E-3</v>
      </c>
      <c r="AR199" s="13">
        <f t="shared" si="587"/>
        <v>3.8999999999999998E-3</v>
      </c>
      <c r="AS199" s="6">
        <f t="shared" si="579"/>
        <v>506.1014346736701</v>
      </c>
      <c r="AT199" s="6">
        <f t="shared" si="580"/>
        <v>185.97425508967711</v>
      </c>
      <c r="AU199" s="6">
        <f t="shared" si="581"/>
        <v>800.58909183885999</v>
      </c>
      <c r="AV199" s="6">
        <f t="shared" si="582"/>
        <v>1186.9900813705563</v>
      </c>
      <c r="AW199" s="58">
        <f t="shared" si="588"/>
        <v>2014</v>
      </c>
      <c r="AX199" s="58">
        <f>COUNTIF(AW$3:AW199,AW199)</f>
        <v>8</v>
      </c>
    </row>
    <row r="200" spans="1:50" x14ac:dyDescent="0.25">
      <c r="A200" s="5">
        <v>41945</v>
      </c>
      <c r="B200">
        <v>2018.05</v>
      </c>
      <c r="C200">
        <v>0.02</v>
      </c>
      <c r="D200" s="6">
        <v>14.03</v>
      </c>
      <c r="E200" s="18">
        <f t="shared" si="565"/>
        <v>17.38</v>
      </c>
      <c r="F200">
        <f t="shared" si="566"/>
        <v>0</v>
      </c>
      <c r="G200" s="18">
        <f>ROUND(INDEX(Valuation!U:U,MATCH(A200,Valuation!A:A,0)),2)</f>
        <v>150.47999999999999</v>
      </c>
      <c r="H200">
        <f t="shared" si="573"/>
        <v>1</v>
      </c>
      <c r="I200" s="18">
        <f>INDEX(WeeklyIndicators!Y:Y,MATCH(A200,WeeklyIndicators!A:A,0))</f>
        <v>163.13</v>
      </c>
      <c r="J200">
        <f t="shared" si="562"/>
        <v>2</v>
      </c>
      <c r="K200">
        <f>ROUND(INDEX(Economic!AF:AF,MATCH(EOMONTH($A200,-1),Economic!A:A,0)),2)</f>
        <v>111.52</v>
      </c>
      <c r="L200" s="11">
        <f t="shared" si="571"/>
        <v>1</v>
      </c>
      <c r="M200">
        <f>ROUND(INDEX(Manufacturing!P:P,MATCH(EOMONTH($A200,-1),Manufacturing!A:A,0)),2)</f>
        <v>104.66</v>
      </c>
      <c r="N200">
        <f t="shared" si="567"/>
        <v>2</v>
      </c>
      <c r="O200">
        <f>ROUND(INDEX(Housing!AC:AC,MATCH(EOMONTH($A200,-1),Housing!B:B,0)),2)</f>
        <v>132.22</v>
      </c>
      <c r="P200">
        <f t="shared" si="568"/>
        <v>2</v>
      </c>
      <c r="Q200">
        <f>ROUND(INDEX(Spending!AJ:AJ,MATCH(EOMONTH($A200,-1),Spending!B:B,0)),2)</f>
        <v>69.03</v>
      </c>
      <c r="R200">
        <f t="shared" si="572"/>
        <v>2</v>
      </c>
      <c r="S200">
        <f>ROUND(INDEX(Employment!V:V,MATCH(EOMONTH($A200,-1),Employment!A:A,0)),2)</f>
        <v>179.99</v>
      </c>
      <c r="T200" s="11">
        <f t="shared" si="569"/>
        <v>2</v>
      </c>
      <c r="U200">
        <f t="shared" si="561"/>
        <v>32</v>
      </c>
      <c r="V200">
        <f t="shared" si="589"/>
        <v>83.1</v>
      </c>
      <c r="W200" s="13">
        <f t="shared" si="590"/>
        <v>1.06E-2</v>
      </c>
      <c r="X200" s="13">
        <f t="shared" si="591"/>
        <v>2.1200000000000004E-2</v>
      </c>
      <c r="Y200">
        <f t="shared" si="583"/>
        <v>88.13</v>
      </c>
      <c r="Z200" s="13">
        <f t="shared" si="578"/>
        <v>1.29E-2</v>
      </c>
      <c r="AA200" s="13">
        <f t="shared" si="574"/>
        <v>1.0500000000000002E-2</v>
      </c>
      <c r="AB200" s="6">
        <f t="shared" si="584"/>
        <v>99.367999999999995</v>
      </c>
      <c r="AC200">
        <f t="shared" si="576"/>
        <v>50</v>
      </c>
      <c r="AD200" s="11">
        <f t="shared" si="577"/>
        <v>2</v>
      </c>
      <c r="AE200">
        <f t="shared" si="575"/>
        <v>36</v>
      </c>
      <c r="AF200">
        <f>IF(AND(AE200&lt;15,OR(AC200&gt;=30,AA200&gt;0.15,X200&gt;=0.15)),2,VLOOKUP(AE200,Table!P:Q,2,FALSE))</f>
        <v>5</v>
      </c>
      <c r="AG200" s="22">
        <f>IF((AB200*0.98)-(D200*0.8)+((AF200-3)*3)+VLOOKUP(AM200,Table!$A$11:$B$13,2,FALSE)&lt;0,0,(AB200*0.98)-(D200*0.8)+((AF200-3)*3)+VLOOKUP(AM200,Table!$A$11:$B$13,2,FALSE))</f>
        <v>100.15664</v>
      </c>
      <c r="AH200" s="22">
        <f t="shared" si="570"/>
        <v>95</v>
      </c>
      <c r="AI200" s="18">
        <f t="shared" si="563"/>
        <v>0.02</v>
      </c>
      <c r="AJ200" s="18">
        <f t="shared" si="564"/>
        <v>0.03</v>
      </c>
      <c r="AK200" t="str">
        <f t="shared" si="585"/>
        <v/>
      </c>
      <c r="AL200">
        <f t="shared" si="560"/>
        <v>34.5</v>
      </c>
      <c r="AM200" s="11" t="str">
        <f t="shared" si="586"/>
        <v>Stocks</v>
      </c>
      <c r="AN200" t="str">
        <f t="shared" si="592"/>
        <v>Buy</v>
      </c>
      <c r="AO200" s="13">
        <f t="shared" si="593"/>
        <v>6.8999999999999999E-3</v>
      </c>
      <c r="AP200" s="13">
        <f t="shared" si="594"/>
        <v>0</v>
      </c>
      <c r="AQ200" s="13">
        <f t="shared" si="595"/>
        <v>6.6E-3</v>
      </c>
      <c r="AR200" s="13">
        <f t="shared" si="587"/>
        <v>6.8999999999999999E-3</v>
      </c>
      <c r="AS200" s="6">
        <f t="shared" si="579"/>
        <v>502.63326514417531</v>
      </c>
      <c r="AT200" s="6">
        <f t="shared" si="580"/>
        <v>185.97425508967711</v>
      </c>
      <c r="AU200" s="6">
        <f t="shared" si="581"/>
        <v>795.33984883653886</v>
      </c>
      <c r="AV200" s="6">
        <f t="shared" si="582"/>
        <v>1178.855975142076</v>
      </c>
      <c r="AW200" s="58">
        <f t="shared" si="588"/>
        <v>2014</v>
      </c>
      <c r="AX200" s="58">
        <f>COUNTIF(AW$3:AW200,AW200)</f>
        <v>9</v>
      </c>
    </row>
    <row r="201" spans="1:50" x14ac:dyDescent="0.25">
      <c r="A201" s="5">
        <v>41938</v>
      </c>
      <c r="B201">
        <v>1964.58</v>
      </c>
      <c r="C201">
        <v>0.02</v>
      </c>
      <c r="D201" s="6">
        <v>16.11</v>
      </c>
      <c r="E201" s="18">
        <f t="shared" si="565"/>
        <v>19.78</v>
      </c>
      <c r="F201">
        <f t="shared" si="566"/>
        <v>-1</v>
      </c>
      <c r="G201" s="18">
        <f>ROUND(INDEX(Valuation!U:U,MATCH(A201,Valuation!A:A,0)),2)</f>
        <v>148.94999999999999</v>
      </c>
      <c r="H201">
        <f t="shared" si="573"/>
        <v>1</v>
      </c>
      <c r="I201" s="18">
        <f>INDEX(WeeklyIndicators!Y:Y,MATCH(A201,WeeklyIndicators!A:A,0))</f>
        <v>152.87</v>
      </c>
      <c r="J201">
        <f t="shared" si="562"/>
        <v>2</v>
      </c>
      <c r="K201">
        <f>ROUND(INDEX(Economic!AF:AF,MATCH(EOMONTH($A201,-1),Economic!A:A,0)),2)</f>
        <v>111.68</v>
      </c>
      <c r="L201" s="11">
        <f t="shared" si="571"/>
        <v>1</v>
      </c>
      <c r="M201">
        <f>ROUND(INDEX(Manufacturing!P:P,MATCH(EOMONTH($A201,-1),Manufacturing!A:A,0)),2)</f>
        <v>105.28</v>
      </c>
      <c r="N201">
        <f t="shared" si="567"/>
        <v>2</v>
      </c>
      <c r="O201">
        <f>ROUND(INDEX(Housing!AC:AC,MATCH(EOMONTH($A201,-1),Housing!B:B,0)),2)</f>
        <v>132.12</v>
      </c>
      <c r="P201">
        <f t="shared" si="568"/>
        <v>2</v>
      </c>
      <c r="Q201">
        <f>ROUND(INDEX(Spending!AJ:AJ,MATCH(EOMONTH($A201,-1),Spending!B:B,0)),2)</f>
        <v>70.430000000000007</v>
      </c>
      <c r="R201">
        <f t="shared" si="572"/>
        <v>2</v>
      </c>
      <c r="S201">
        <f>ROUND(INDEX(Employment!V:V,MATCH(EOMONTH($A201,-1),Employment!A:A,0)),2)</f>
        <v>178.51</v>
      </c>
      <c r="T201" s="11">
        <f t="shared" si="569"/>
        <v>2</v>
      </c>
      <c r="U201">
        <f t="shared" si="561"/>
        <v>31</v>
      </c>
      <c r="V201">
        <f t="shared" si="589"/>
        <v>82.13</v>
      </c>
      <c r="W201" s="13">
        <f t="shared" si="590"/>
        <v>7.4000000000000003E-3</v>
      </c>
      <c r="X201" s="13">
        <f t="shared" si="591"/>
        <v>7.5000000000000015E-3</v>
      </c>
      <c r="Y201">
        <f t="shared" si="583"/>
        <v>86.15</v>
      </c>
      <c r="Z201" s="13">
        <f t="shared" si="578"/>
        <v>3.0000000000000001E-3</v>
      </c>
      <c r="AA201" s="13">
        <f t="shared" si="574"/>
        <v>-6.8999999999999999E-3</v>
      </c>
      <c r="AB201" s="6">
        <f t="shared" si="584"/>
        <v>95.894999999999996</v>
      </c>
      <c r="AC201">
        <f t="shared" si="576"/>
        <v>48</v>
      </c>
      <c r="AD201" s="11">
        <f t="shared" si="577"/>
        <v>2</v>
      </c>
      <c r="AE201">
        <f t="shared" si="575"/>
        <v>35</v>
      </c>
      <c r="AF201">
        <f>IF(AND(AE201&lt;15,OR(AC201&gt;=30,AA201&gt;0.15,X201&gt;=0.15)),2,VLOOKUP(AE201,Table!P:Q,2,FALSE))</f>
        <v>5</v>
      </c>
      <c r="AG201" s="22">
        <f>IF((AB201*0.98)-(D201*0.8)+((AF201-3)*3)+VLOOKUP(AM201,Table!$A$11:$B$13,2,FALSE)&lt;0,0,(AB201*0.98)-(D201*0.8)+((AF201-3)*3)+VLOOKUP(AM201,Table!$A$11:$B$13,2,FALSE))</f>
        <v>95.089099999999988</v>
      </c>
      <c r="AH201" s="22">
        <f t="shared" si="570"/>
        <v>91</v>
      </c>
      <c r="AI201" s="18">
        <f t="shared" si="563"/>
        <v>0.02</v>
      </c>
      <c r="AJ201" s="18">
        <f t="shared" si="564"/>
        <v>0.03</v>
      </c>
      <c r="AK201" t="str">
        <f t="shared" si="585"/>
        <v/>
      </c>
      <c r="AL201">
        <f t="shared" ref="AL201:AL264" si="596">ROUND(AVERAGE(AE201:AE204),2)</f>
        <v>34.5</v>
      </c>
      <c r="AM201" s="11" t="str">
        <f t="shared" si="586"/>
        <v>Stocks</v>
      </c>
      <c r="AN201" t="str">
        <f t="shared" si="592"/>
        <v>Buy</v>
      </c>
      <c r="AO201" s="13">
        <f t="shared" si="593"/>
        <v>2.7199999999999998E-2</v>
      </c>
      <c r="AP201" s="13">
        <f t="shared" si="594"/>
        <v>0</v>
      </c>
      <c r="AQ201" s="13">
        <f t="shared" si="595"/>
        <v>2.4799999999999999E-2</v>
      </c>
      <c r="AR201" s="13">
        <f t="shared" si="587"/>
        <v>2.7199999999999998E-2</v>
      </c>
      <c r="AS201" s="6">
        <f t="shared" si="579"/>
        <v>489.32366155001495</v>
      </c>
      <c r="AT201" s="6">
        <f t="shared" si="580"/>
        <v>185.97425508967711</v>
      </c>
      <c r="AU201" s="6">
        <f t="shared" si="581"/>
        <v>776.09274866953444</v>
      </c>
      <c r="AV201" s="6">
        <f t="shared" si="582"/>
        <v>1147.6401627161956</v>
      </c>
      <c r="AW201" s="58">
        <f t="shared" si="588"/>
        <v>2014</v>
      </c>
      <c r="AX201" s="58">
        <f>COUNTIF(AW$3:AW201,AW201)</f>
        <v>10</v>
      </c>
    </row>
    <row r="202" spans="1:50" x14ac:dyDescent="0.25">
      <c r="A202" s="5">
        <v>41931</v>
      </c>
      <c r="B202">
        <v>1886.76</v>
      </c>
      <c r="C202">
        <v>0.02</v>
      </c>
      <c r="D202" s="6">
        <v>21.99</v>
      </c>
      <c r="E202" s="18">
        <f t="shared" si="565"/>
        <v>19.260000000000002</v>
      </c>
      <c r="F202">
        <f t="shared" si="566"/>
        <v>-1</v>
      </c>
      <c r="G202" s="18">
        <f>ROUND(INDEX(Valuation!U:U,MATCH(A202,Valuation!A:A,0)),2)</f>
        <v>147.21</v>
      </c>
      <c r="H202">
        <f t="shared" si="573"/>
        <v>1</v>
      </c>
      <c r="I202" s="18">
        <f>INDEX(WeeklyIndicators!Y:Y,MATCH(A202,WeeklyIndicators!A:A,0))</f>
        <v>144.41</v>
      </c>
      <c r="J202">
        <f t="shared" si="562"/>
        <v>1</v>
      </c>
      <c r="K202">
        <f>ROUND(INDEX(Economic!AF:AF,MATCH(EOMONTH($A202,-1),Economic!A:A,0)),2)</f>
        <v>111.68</v>
      </c>
      <c r="L202" s="11">
        <f t="shared" si="571"/>
        <v>1</v>
      </c>
      <c r="M202">
        <f>ROUND(INDEX(Manufacturing!P:P,MATCH(EOMONTH($A202,-1),Manufacturing!A:A,0)),2)</f>
        <v>105.28</v>
      </c>
      <c r="N202">
        <f t="shared" si="567"/>
        <v>2</v>
      </c>
      <c r="O202">
        <f>ROUND(INDEX(Housing!AC:AC,MATCH(EOMONTH($A202,-1),Housing!B:B,0)),2)</f>
        <v>132.12</v>
      </c>
      <c r="P202">
        <f t="shared" si="568"/>
        <v>2</v>
      </c>
      <c r="Q202">
        <f>ROUND(INDEX(Spending!AJ:AJ,MATCH(EOMONTH($A202,-1),Spending!B:B,0)),2)</f>
        <v>70.430000000000007</v>
      </c>
      <c r="R202">
        <f t="shared" si="572"/>
        <v>2</v>
      </c>
      <c r="S202">
        <f>ROUND(INDEX(Employment!V:V,MATCH(EOMONTH($A202,-1),Employment!A:A,0)),2)</f>
        <v>178.51</v>
      </c>
      <c r="T202" s="11">
        <f t="shared" si="569"/>
        <v>2</v>
      </c>
      <c r="U202">
        <f t="shared" ref="U202:U265" si="597">F202+H202+J202+L202+N202+P202+R202+T202+20</f>
        <v>30</v>
      </c>
      <c r="V202">
        <f t="shared" si="589"/>
        <v>81.25</v>
      </c>
      <c r="W202" s="13">
        <f t="shared" si="590"/>
        <v>3.8999999999999998E-3</v>
      </c>
      <c r="X202" s="13">
        <f t="shared" si="591"/>
        <v>-4.0999999999999995E-3</v>
      </c>
      <c r="Y202">
        <f t="shared" si="583"/>
        <v>85.26</v>
      </c>
      <c r="Z202" s="13">
        <f t="shared" si="578"/>
        <v>-4.0000000000000002E-4</v>
      </c>
      <c r="AA202" s="13">
        <f t="shared" si="574"/>
        <v>-1.6E-2</v>
      </c>
      <c r="AB202" s="6">
        <f t="shared" si="584"/>
        <v>94.081000000000003</v>
      </c>
      <c r="AC202">
        <f t="shared" si="576"/>
        <v>47</v>
      </c>
      <c r="AD202" s="11">
        <f t="shared" si="577"/>
        <v>1</v>
      </c>
      <c r="AE202">
        <f t="shared" si="575"/>
        <v>33</v>
      </c>
      <c r="AF202">
        <f>IF(AND(AE202&lt;15,OR(AC202&gt;=30,AA202&gt;0.15,X202&gt;=0.15)),2,VLOOKUP(AE202,Table!P:Q,2,FALSE))</f>
        <v>5</v>
      </c>
      <c r="AG202" s="22">
        <f>IF((AB202*0.98)-(D202*0.8)+((AF202-3)*3)+VLOOKUP(AM202,Table!$A$11:$B$13,2,FALSE)&lt;0,0,(AB202*0.98)-(D202*0.8)+((AF202-3)*3)+VLOOKUP(AM202,Table!$A$11:$B$13,2,FALSE))</f>
        <v>88.607380000000006</v>
      </c>
      <c r="AH202" s="22">
        <f t="shared" si="570"/>
        <v>90</v>
      </c>
      <c r="AI202" s="18">
        <f t="shared" si="563"/>
        <v>0.02</v>
      </c>
      <c r="AJ202" s="18">
        <f t="shared" si="564"/>
        <v>0.03</v>
      </c>
      <c r="AK202" t="str">
        <f t="shared" si="585"/>
        <v/>
      </c>
      <c r="AL202">
        <f t="shared" si="596"/>
        <v>34.5</v>
      </c>
      <c r="AM202" s="11" t="str">
        <f t="shared" si="586"/>
        <v>Stocks</v>
      </c>
      <c r="AN202" t="str">
        <f t="shared" si="592"/>
        <v>Buy</v>
      </c>
      <c r="AO202" s="13">
        <f t="shared" si="593"/>
        <v>4.1200000000000001E-2</v>
      </c>
      <c r="AP202" s="13">
        <f t="shared" si="594"/>
        <v>0</v>
      </c>
      <c r="AQ202" s="13">
        <f t="shared" si="595"/>
        <v>3.7100000000000001E-2</v>
      </c>
      <c r="AR202" s="13">
        <f t="shared" si="587"/>
        <v>4.1200000000000001E-2</v>
      </c>
      <c r="AS202" s="6">
        <f t="shared" si="579"/>
        <v>469.9612577314781</v>
      </c>
      <c r="AT202" s="6">
        <f t="shared" si="580"/>
        <v>185.97425508967711</v>
      </c>
      <c r="AU202" s="6">
        <f t="shared" si="581"/>
        <v>748.32971619856767</v>
      </c>
      <c r="AV202" s="6">
        <f t="shared" si="582"/>
        <v>1102.2283545103685</v>
      </c>
      <c r="AW202" s="58">
        <f t="shared" si="588"/>
        <v>2014</v>
      </c>
      <c r="AX202" s="58">
        <f>COUNTIF(AW$3:AW202,AW202)</f>
        <v>11</v>
      </c>
    </row>
    <row r="203" spans="1:50" x14ac:dyDescent="0.25">
      <c r="A203" s="5">
        <v>41924</v>
      </c>
      <c r="B203">
        <v>1906.13</v>
      </c>
      <c r="C203">
        <v>0.01</v>
      </c>
      <c r="D203" s="6">
        <v>21.24</v>
      </c>
      <c r="E203" s="18">
        <f t="shared" si="565"/>
        <v>16.88</v>
      </c>
      <c r="F203">
        <f t="shared" si="566"/>
        <v>0</v>
      </c>
      <c r="G203" s="18">
        <f>ROUND(INDEX(Valuation!U:U,MATCH(A203,Valuation!A:A,0)),2)</f>
        <v>142.53</v>
      </c>
      <c r="H203">
        <f t="shared" si="573"/>
        <v>1</v>
      </c>
      <c r="I203" s="18">
        <f>INDEX(WeeklyIndicators!Y:Y,MATCH(A203,WeeklyIndicators!A:A,0))</f>
        <v>137.22999999999999</v>
      </c>
      <c r="J203">
        <f t="shared" si="562"/>
        <v>1</v>
      </c>
      <c r="K203">
        <f>ROUND(INDEX(Economic!AF:AF,MATCH(EOMONTH($A203,-1),Economic!A:A,0)),2)</f>
        <v>111.68</v>
      </c>
      <c r="L203" s="11">
        <f t="shared" si="571"/>
        <v>1</v>
      </c>
      <c r="M203">
        <f>ROUND(INDEX(Manufacturing!P:P,MATCH(EOMONTH($A203,-1),Manufacturing!A:A,0)),2)</f>
        <v>105.28</v>
      </c>
      <c r="N203">
        <f t="shared" si="567"/>
        <v>2</v>
      </c>
      <c r="O203">
        <f>ROUND(INDEX(Housing!AC:AC,MATCH(EOMONTH($A203,-1),Housing!B:B,0)),2)</f>
        <v>132.12</v>
      </c>
      <c r="P203">
        <f t="shared" si="568"/>
        <v>2</v>
      </c>
      <c r="Q203">
        <f>ROUND(INDEX(Spending!AJ:AJ,MATCH(EOMONTH($A203,-1),Spending!B:B,0)),2)</f>
        <v>70.430000000000007</v>
      </c>
      <c r="R203">
        <f t="shared" si="572"/>
        <v>2</v>
      </c>
      <c r="S203">
        <f>ROUND(INDEX(Employment!V:V,MATCH(EOMONTH($A203,-1),Employment!A:A,0)),2)</f>
        <v>178.51</v>
      </c>
      <c r="T203" s="11">
        <f t="shared" si="569"/>
        <v>2</v>
      </c>
      <c r="U203">
        <f t="shared" si="597"/>
        <v>31</v>
      </c>
      <c r="V203">
        <f t="shared" si="589"/>
        <v>80.510000000000005</v>
      </c>
      <c r="W203" s="13">
        <f t="shared" si="590"/>
        <v>-6.9999999999999999E-4</v>
      </c>
      <c r="X203" s="13">
        <f t="shared" si="591"/>
        <v>-8.8999999999999999E-3</v>
      </c>
      <c r="Y203">
        <f t="shared" si="583"/>
        <v>84.82</v>
      </c>
      <c r="Z203" s="13">
        <f t="shared" si="578"/>
        <v>-5.0000000000000001E-3</v>
      </c>
      <c r="AA203" s="13">
        <f t="shared" si="574"/>
        <v>-1.5099999999999999E-2</v>
      </c>
      <c r="AB203" s="6">
        <f t="shared" si="584"/>
        <v>93.153000000000006</v>
      </c>
      <c r="AC203">
        <f t="shared" si="576"/>
        <v>47</v>
      </c>
      <c r="AD203" s="11">
        <f t="shared" si="577"/>
        <v>1</v>
      </c>
      <c r="AE203">
        <f t="shared" si="575"/>
        <v>34</v>
      </c>
      <c r="AF203">
        <f>IF(AND(AE203&lt;15,OR(AC203&gt;=30,AA203&gt;0.15,X203&gt;=0.15)),2,VLOOKUP(AE203,Table!P:Q,2,FALSE))</f>
        <v>5</v>
      </c>
      <c r="AG203" s="22">
        <f>IF((AB203*0.98)-(D203*0.8)+((AF203-3)*3)+VLOOKUP(AM203,Table!$A$11:$B$13,2,FALSE)&lt;0,0,(AB203*0.98)-(D203*0.8)+((AF203-3)*3)+VLOOKUP(AM203,Table!$A$11:$B$13,2,FALSE))</f>
        <v>88.297939999999997</v>
      </c>
      <c r="AH203" s="22">
        <f t="shared" si="570"/>
        <v>93</v>
      </c>
      <c r="AI203" s="18">
        <f t="shared" si="563"/>
        <v>0.02</v>
      </c>
      <c r="AJ203" s="18">
        <f t="shared" si="564"/>
        <v>0.03</v>
      </c>
      <c r="AK203" t="str">
        <f t="shared" si="585"/>
        <v/>
      </c>
      <c r="AL203">
        <f t="shared" si="596"/>
        <v>35.25</v>
      </c>
      <c r="AM203" s="11" t="str">
        <f t="shared" si="586"/>
        <v>Stocks</v>
      </c>
      <c r="AN203" t="str">
        <f t="shared" si="592"/>
        <v>Buy</v>
      </c>
      <c r="AO203" s="13">
        <f t="shared" si="593"/>
        <v>-1.0200000000000001E-2</v>
      </c>
      <c r="AP203" s="13">
        <f t="shared" si="594"/>
        <v>0</v>
      </c>
      <c r="AQ203" s="13">
        <f t="shared" si="595"/>
        <v>-9.4999999999999998E-3</v>
      </c>
      <c r="AR203" s="13">
        <f t="shared" si="587"/>
        <v>-1.0200000000000001E-2</v>
      </c>
      <c r="AS203" s="6">
        <f t="shared" si="579"/>
        <v>474.80426119567397</v>
      </c>
      <c r="AT203" s="6">
        <f t="shared" si="580"/>
        <v>185.97425508967711</v>
      </c>
      <c r="AU203" s="6">
        <f t="shared" si="581"/>
        <v>755.50703301218334</v>
      </c>
      <c r="AV203" s="6">
        <f t="shared" si="582"/>
        <v>1113.5869413117482</v>
      </c>
      <c r="AW203" s="58">
        <f t="shared" si="588"/>
        <v>2014</v>
      </c>
      <c r="AX203" s="58">
        <f>COUNTIF(AW$3:AW203,AW203)</f>
        <v>12</v>
      </c>
    </row>
    <row r="204" spans="1:50" x14ac:dyDescent="0.25">
      <c r="A204" s="5">
        <v>41917</v>
      </c>
      <c r="B204">
        <v>1967.9</v>
      </c>
      <c r="C204">
        <v>0.02</v>
      </c>
      <c r="D204" s="6">
        <v>14.55</v>
      </c>
      <c r="E204" s="18">
        <f t="shared" si="565"/>
        <v>13.84</v>
      </c>
      <c r="F204">
        <f t="shared" si="566"/>
        <v>2</v>
      </c>
      <c r="G204" s="18">
        <f>ROUND(INDEX(Valuation!U:U,MATCH(A204,Valuation!A:A,0)),2)</f>
        <v>139.53</v>
      </c>
      <c r="H204">
        <f t="shared" si="573"/>
        <v>1</v>
      </c>
      <c r="I204" s="18">
        <f>INDEX(WeeklyIndicators!Y:Y,MATCH(A204,WeeklyIndicators!A:A,0))</f>
        <v>135.55000000000001</v>
      </c>
      <c r="J204">
        <f t="shared" si="562"/>
        <v>1</v>
      </c>
      <c r="K204">
        <f>ROUND(INDEX(Economic!AF:AF,MATCH(EOMONTH($A204,-1),Economic!A:A,0)),2)</f>
        <v>111.68</v>
      </c>
      <c r="L204" s="11">
        <f t="shared" si="571"/>
        <v>1</v>
      </c>
      <c r="M204">
        <f>ROUND(INDEX(Manufacturing!P:P,MATCH(EOMONTH($A204,-1),Manufacturing!A:A,0)),2)</f>
        <v>105.28</v>
      </c>
      <c r="N204">
        <f t="shared" si="567"/>
        <v>2</v>
      </c>
      <c r="O204">
        <f>ROUND(INDEX(Housing!AC:AC,MATCH(EOMONTH($A204,-1),Housing!B:B,0)),2)</f>
        <v>132.12</v>
      </c>
      <c r="P204">
        <f t="shared" si="568"/>
        <v>2</v>
      </c>
      <c r="Q204">
        <f>ROUND(INDEX(Spending!AJ:AJ,MATCH(EOMONTH($A204,-1),Spending!B:B,0)),2)</f>
        <v>70.430000000000007</v>
      </c>
      <c r="R204">
        <f t="shared" si="572"/>
        <v>2</v>
      </c>
      <c r="S204">
        <f>ROUND(INDEX(Employment!V:V,MATCH(EOMONTH($A204,-1),Employment!A:A,0)),2)</f>
        <v>178.51</v>
      </c>
      <c r="T204" s="11">
        <f t="shared" si="569"/>
        <v>2</v>
      </c>
      <c r="U204">
        <f t="shared" si="597"/>
        <v>33</v>
      </c>
      <c r="V204">
        <f t="shared" si="589"/>
        <v>80.33</v>
      </c>
      <c r="W204" s="13">
        <f t="shared" si="590"/>
        <v>-3.0999999999999999E-3</v>
      </c>
      <c r="X204" s="13">
        <f t="shared" si="591"/>
        <v>-8.5999999999999983E-3</v>
      </c>
      <c r="Y204">
        <f t="shared" si="583"/>
        <v>85.38</v>
      </c>
      <c r="Z204" s="13">
        <f t="shared" si="578"/>
        <v>-4.4999999999999997E-3</v>
      </c>
      <c r="AA204" s="13">
        <f t="shared" si="574"/>
        <v>-6.6999999999999994E-3</v>
      </c>
      <c r="AB204" s="6">
        <f t="shared" si="584"/>
        <v>93.972999999999999</v>
      </c>
      <c r="AC204">
        <f t="shared" si="576"/>
        <v>47</v>
      </c>
      <c r="AD204" s="11">
        <f t="shared" si="577"/>
        <v>1</v>
      </c>
      <c r="AE204">
        <f t="shared" si="575"/>
        <v>36</v>
      </c>
      <c r="AF204">
        <f>IF(AND(AE204&lt;15,OR(AC204&gt;=30,AA204&gt;0.15,X204&gt;=0.15)),2,VLOOKUP(AE204,Table!P:Q,2,FALSE))</f>
        <v>5</v>
      </c>
      <c r="AG204" s="22">
        <f>IF((AB204*0.98)-(D204*0.8)+((AF204-3)*3)+VLOOKUP(AM204,Table!$A$11:$B$13,2,FALSE)&lt;0,0,(AB204*0.98)-(D204*0.8)+((AF204-3)*3)+VLOOKUP(AM204,Table!$A$11:$B$13,2,FALSE))</f>
        <v>94.453540000000004</v>
      </c>
      <c r="AH204" s="22">
        <f t="shared" si="570"/>
        <v>96</v>
      </c>
      <c r="AI204" s="18">
        <f t="shared" si="563"/>
        <v>0.03</v>
      </c>
      <c r="AJ204" s="18">
        <f t="shared" si="564"/>
        <v>0.04</v>
      </c>
      <c r="AK204" t="str">
        <f t="shared" si="585"/>
        <v/>
      </c>
      <c r="AL204">
        <f t="shared" si="596"/>
        <v>35.75</v>
      </c>
      <c r="AM204" s="11" t="str">
        <f t="shared" si="586"/>
        <v>Stocks</v>
      </c>
      <c r="AN204" t="str">
        <f t="shared" si="592"/>
        <v>Buy</v>
      </c>
      <c r="AO204" s="13">
        <f t="shared" si="593"/>
        <v>-3.1399999999999997E-2</v>
      </c>
      <c r="AP204" s="13">
        <f t="shared" si="594"/>
        <v>0</v>
      </c>
      <c r="AQ204" s="13">
        <f t="shared" si="595"/>
        <v>-3.0099999999999998E-2</v>
      </c>
      <c r="AR204" s="13">
        <f t="shared" si="587"/>
        <v>-3.1399999999999997E-2</v>
      </c>
      <c r="AS204" s="6">
        <f t="shared" si="579"/>
        <v>490.19642906842245</v>
      </c>
      <c r="AT204" s="6">
        <f t="shared" si="580"/>
        <v>185.97425508967711</v>
      </c>
      <c r="AU204" s="6">
        <f t="shared" si="581"/>
        <v>778.95353439754956</v>
      </c>
      <c r="AV204" s="6">
        <f t="shared" si="582"/>
        <v>1149.6871167785962</v>
      </c>
      <c r="AW204" s="58">
        <f t="shared" si="588"/>
        <v>2014</v>
      </c>
      <c r="AX204" s="58">
        <f>COUNTIF(AW$3:AW204,AW204)</f>
        <v>13</v>
      </c>
    </row>
    <row r="205" spans="1:50" x14ac:dyDescent="0.25">
      <c r="A205" s="5">
        <v>41910</v>
      </c>
      <c r="B205">
        <v>1982.85</v>
      </c>
      <c r="C205">
        <v>0.01</v>
      </c>
      <c r="D205" s="6">
        <v>14.85</v>
      </c>
      <c r="E205" s="18">
        <f t="shared" si="565"/>
        <v>13.42</v>
      </c>
      <c r="F205">
        <f t="shared" si="566"/>
        <v>2</v>
      </c>
      <c r="G205" s="18">
        <f>ROUND(INDEX(Valuation!U:U,MATCH(A205,Valuation!A:A,0)),2)</f>
        <v>138.28</v>
      </c>
      <c r="H205">
        <f t="shared" si="573"/>
        <v>1</v>
      </c>
      <c r="I205" s="18">
        <f>INDEX(WeeklyIndicators!Y:Y,MATCH(A205,WeeklyIndicators!A:A,0))</f>
        <v>137.91999999999999</v>
      </c>
      <c r="J205">
        <f t="shared" si="562"/>
        <v>1</v>
      </c>
      <c r="K205">
        <f>ROUND(INDEX(Economic!AF:AF,MATCH(EOMONTH($A205,-1),Economic!A:A,0)),2)</f>
        <v>111.94</v>
      </c>
      <c r="L205" s="11">
        <f t="shared" si="571"/>
        <v>1</v>
      </c>
      <c r="M205">
        <f>ROUND(INDEX(Manufacturing!P:P,MATCH(EOMONTH($A205,-1),Manufacturing!A:A,0)),2)</f>
        <v>106.42</v>
      </c>
      <c r="N205">
        <f t="shared" si="567"/>
        <v>2</v>
      </c>
      <c r="O205">
        <f>ROUND(INDEX(Housing!AC:AC,MATCH(EOMONTH($A205,-1),Housing!B:B,0)),2)</f>
        <v>127.32</v>
      </c>
      <c r="P205">
        <f t="shared" si="568"/>
        <v>1</v>
      </c>
      <c r="Q205">
        <f>ROUND(INDEX(Spending!AJ:AJ,MATCH(EOMONTH($A205,-1),Spending!B:B,0)),2)</f>
        <v>69.87</v>
      </c>
      <c r="R205">
        <f t="shared" si="572"/>
        <v>2</v>
      </c>
      <c r="S205">
        <f>ROUND(INDEX(Employment!V:V,MATCH(EOMONTH($A205,-1),Employment!A:A,0)),2)</f>
        <v>177.47</v>
      </c>
      <c r="T205" s="11">
        <f t="shared" si="569"/>
        <v>2</v>
      </c>
      <c r="U205">
        <f t="shared" si="597"/>
        <v>32</v>
      </c>
      <c r="V205">
        <f t="shared" si="589"/>
        <v>80.319999999999993</v>
      </c>
      <c r="W205" s="13">
        <f t="shared" si="590"/>
        <v>-4.1999999999999997E-3</v>
      </c>
      <c r="X205" s="13">
        <f t="shared" si="591"/>
        <v>-6.3999999999999994E-3</v>
      </c>
      <c r="Y205">
        <f t="shared" si="583"/>
        <v>85.36</v>
      </c>
      <c r="Z205" s="13">
        <f t="shared" si="578"/>
        <v>-6.1000000000000004E-3</v>
      </c>
      <c r="AA205" s="13">
        <f t="shared" si="574"/>
        <v>4.3999999999999994E-3</v>
      </c>
      <c r="AB205" s="6">
        <f t="shared" si="584"/>
        <v>94.597999999999999</v>
      </c>
      <c r="AC205">
        <f t="shared" si="576"/>
        <v>47</v>
      </c>
      <c r="AD205" s="11">
        <f t="shared" si="577"/>
        <v>1</v>
      </c>
      <c r="AE205">
        <f t="shared" si="575"/>
        <v>35</v>
      </c>
      <c r="AF205">
        <f>IF(AND(AE205&lt;15,OR(AC205&gt;=30,AA205&gt;0.15,X205&gt;=0.15)),2,VLOOKUP(AE205,Table!P:Q,2,FALSE))</f>
        <v>5</v>
      </c>
      <c r="AG205" s="22">
        <f>IF((AB205*0.98)-(D205*0.8)+((AF205-3)*3)+VLOOKUP(AM205,Table!$A$11:$B$13,2,FALSE)&lt;0,0,(AB205*0.98)-(D205*0.8)+((AF205-3)*3)+VLOOKUP(AM205,Table!$A$11:$B$13,2,FALSE))</f>
        <v>94.826040000000006</v>
      </c>
      <c r="AH205" s="22">
        <f t="shared" si="570"/>
        <v>97</v>
      </c>
      <c r="AI205" s="18">
        <f t="shared" si="563"/>
        <v>0.03</v>
      </c>
      <c r="AJ205" s="18">
        <f t="shared" si="564"/>
        <v>0.04</v>
      </c>
      <c r="AK205" t="str">
        <f t="shared" si="585"/>
        <v/>
      </c>
      <c r="AL205">
        <f t="shared" si="596"/>
        <v>35.75</v>
      </c>
      <c r="AM205" s="11" t="str">
        <f t="shared" si="586"/>
        <v>Stocks</v>
      </c>
      <c r="AN205" t="str">
        <f t="shared" si="592"/>
        <v>Buy</v>
      </c>
      <c r="AO205" s="13">
        <f t="shared" si="593"/>
        <v>-7.4999999999999997E-3</v>
      </c>
      <c r="AP205" s="13">
        <f t="shared" si="594"/>
        <v>0</v>
      </c>
      <c r="AQ205" s="13">
        <f t="shared" si="595"/>
        <v>-7.3000000000000001E-3</v>
      </c>
      <c r="AR205" s="13">
        <f t="shared" si="587"/>
        <v>-7.4999999999999997E-3</v>
      </c>
      <c r="AS205" s="6">
        <f t="shared" si="579"/>
        <v>493.90068419992184</v>
      </c>
      <c r="AT205" s="6">
        <f t="shared" si="580"/>
        <v>185.97425508967711</v>
      </c>
      <c r="AU205" s="6">
        <f t="shared" si="581"/>
        <v>784.68171088702479</v>
      </c>
      <c r="AV205" s="6">
        <f t="shared" si="582"/>
        <v>1158.3749287441774</v>
      </c>
      <c r="AW205" s="58">
        <f t="shared" si="588"/>
        <v>2014</v>
      </c>
      <c r="AX205" s="58">
        <f>COUNTIF(AW$3:AW205,AW205)</f>
        <v>14</v>
      </c>
    </row>
    <row r="206" spans="1:50" x14ac:dyDescent="0.25">
      <c r="A206" s="5">
        <v>41903</v>
      </c>
      <c r="B206">
        <v>2010.4</v>
      </c>
      <c r="C206">
        <v>0.02</v>
      </c>
      <c r="D206" s="6">
        <v>12.11</v>
      </c>
      <c r="E206" s="18">
        <f t="shared" si="565"/>
        <v>12.5</v>
      </c>
      <c r="F206">
        <f t="shared" si="566"/>
        <v>2</v>
      </c>
      <c r="G206" s="18">
        <f>ROUND(INDEX(Valuation!U:U,MATCH(A206,Valuation!A:A,0)),2)</f>
        <v>138.74</v>
      </c>
      <c r="H206">
        <f t="shared" si="573"/>
        <v>1</v>
      </c>
      <c r="I206" s="18">
        <f>INDEX(WeeklyIndicators!Y:Y,MATCH(A206,WeeklyIndicators!A:A,0))</f>
        <v>141.43</v>
      </c>
      <c r="J206">
        <f t="shared" si="562"/>
        <v>1</v>
      </c>
      <c r="K206">
        <f>ROUND(INDEX(Economic!AF:AF,MATCH(EOMONTH($A206,-1),Economic!A:A,0)),2)</f>
        <v>111.94</v>
      </c>
      <c r="L206" s="11">
        <f t="shared" si="571"/>
        <v>1</v>
      </c>
      <c r="M206">
        <f>ROUND(INDEX(Manufacturing!P:P,MATCH(EOMONTH($A206,-1),Manufacturing!A:A,0)),2)</f>
        <v>106.42</v>
      </c>
      <c r="N206">
        <f t="shared" si="567"/>
        <v>2</v>
      </c>
      <c r="O206">
        <f>ROUND(INDEX(Housing!AC:AC,MATCH(EOMONTH($A206,-1),Housing!B:B,0)),2)</f>
        <v>127.32</v>
      </c>
      <c r="P206">
        <f t="shared" si="568"/>
        <v>1</v>
      </c>
      <c r="Q206">
        <f>ROUND(INDEX(Spending!AJ:AJ,MATCH(EOMONTH($A206,-1),Spending!B:B,0)),2)</f>
        <v>69.87</v>
      </c>
      <c r="R206">
        <f t="shared" si="572"/>
        <v>2</v>
      </c>
      <c r="S206">
        <f>ROUND(INDEX(Employment!V:V,MATCH(EOMONTH($A206,-1),Employment!A:A,0)),2)</f>
        <v>177.47</v>
      </c>
      <c r="T206" s="11">
        <f t="shared" si="569"/>
        <v>2</v>
      </c>
      <c r="U206">
        <f t="shared" si="597"/>
        <v>32</v>
      </c>
      <c r="V206">
        <f t="shared" si="589"/>
        <v>80.680000000000007</v>
      </c>
      <c r="W206" s="13">
        <f t="shared" si="590"/>
        <v>-8.9999999999999998E-4</v>
      </c>
      <c r="X206" s="13">
        <f t="shared" si="591"/>
        <v>-6.0000000000000001E-3</v>
      </c>
      <c r="Y206">
        <f t="shared" si="583"/>
        <v>86.1</v>
      </c>
      <c r="Z206" s="13">
        <f t="shared" si="578"/>
        <v>5.0000000000000001E-4</v>
      </c>
      <c r="AA206" s="13">
        <f t="shared" si="574"/>
        <v>1.3299999999999999E-2</v>
      </c>
      <c r="AB206" s="6">
        <f t="shared" si="584"/>
        <v>95.994</v>
      </c>
      <c r="AC206">
        <f t="shared" si="576"/>
        <v>48</v>
      </c>
      <c r="AD206" s="11">
        <f t="shared" si="577"/>
        <v>2</v>
      </c>
      <c r="AE206">
        <f t="shared" si="575"/>
        <v>36</v>
      </c>
      <c r="AF206">
        <f>IF(AND(AE206&lt;15,OR(AC206&gt;=30,AA206&gt;0.15,X206&gt;=0.15)),2,VLOOKUP(AE206,Table!P:Q,2,FALSE))</f>
        <v>5</v>
      </c>
      <c r="AG206" s="22">
        <f>IF((AB206*0.98)-(D206*0.8)+((AF206-3)*3)+VLOOKUP(AM206,Table!$A$11:$B$13,2,FALSE)&lt;0,0,(AB206*0.98)-(D206*0.8)+((AF206-3)*3)+VLOOKUP(AM206,Table!$A$11:$B$13,2,FALSE))</f>
        <v>98.386119999999991</v>
      </c>
      <c r="AH206" s="22">
        <f t="shared" si="570"/>
        <v>98</v>
      </c>
      <c r="AI206" s="18">
        <f t="shared" si="563"/>
        <v>0.03</v>
      </c>
      <c r="AJ206" s="18">
        <f t="shared" si="564"/>
        <v>0.04</v>
      </c>
      <c r="AK206" t="str">
        <f t="shared" si="585"/>
        <v/>
      </c>
      <c r="AL206">
        <f t="shared" si="596"/>
        <v>35.75</v>
      </c>
      <c r="AM206" s="11" t="str">
        <f t="shared" si="586"/>
        <v>Stocks</v>
      </c>
      <c r="AN206" t="str">
        <f t="shared" si="592"/>
        <v>Buy</v>
      </c>
      <c r="AO206" s="13">
        <f t="shared" si="593"/>
        <v>-1.37E-2</v>
      </c>
      <c r="AP206" s="13">
        <f t="shared" si="594"/>
        <v>0</v>
      </c>
      <c r="AQ206" s="13">
        <f t="shared" si="595"/>
        <v>-1.34E-2</v>
      </c>
      <c r="AR206" s="13">
        <f t="shared" si="587"/>
        <v>-1.37E-2</v>
      </c>
      <c r="AS206" s="6">
        <f t="shared" si="579"/>
        <v>500.76111142646442</v>
      </c>
      <c r="AT206" s="6">
        <f t="shared" si="580"/>
        <v>185.97425508967711</v>
      </c>
      <c r="AU206" s="6">
        <f t="shared" si="581"/>
        <v>795.33925692988521</v>
      </c>
      <c r="AV206" s="6">
        <f t="shared" si="582"/>
        <v>1174.4651006227086</v>
      </c>
      <c r="AW206" s="58">
        <f t="shared" si="588"/>
        <v>2014</v>
      </c>
      <c r="AX206" s="58">
        <f>COUNTIF(AW$3:AW206,AW206)</f>
        <v>15</v>
      </c>
    </row>
    <row r="207" spans="1:50" x14ac:dyDescent="0.25">
      <c r="A207" s="5">
        <v>41896</v>
      </c>
      <c r="B207">
        <v>1985.54</v>
      </c>
      <c r="C207">
        <v>0.02</v>
      </c>
      <c r="D207" s="6">
        <v>13.31</v>
      </c>
      <c r="E207" s="18">
        <f t="shared" si="565"/>
        <v>12.46</v>
      </c>
      <c r="F207">
        <f t="shared" si="566"/>
        <v>2</v>
      </c>
      <c r="G207" s="18">
        <f>ROUND(INDEX(Valuation!U:U,MATCH(A207,Valuation!A:A,0)),2)</f>
        <v>138.97999999999999</v>
      </c>
      <c r="H207">
        <f t="shared" si="573"/>
        <v>1</v>
      </c>
      <c r="I207" s="18">
        <f>INDEX(WeeklyIndicators!Y:Y,MATCH(A207,WeeklyIndicators!A:A,0))</f>
        <v>145.34</v>
      </c>
      <c r="J207">
        <f t="shared" ref="J207:J270" si="598">IF(I207&gt;170,3,IF(AND(I207&gt;152,I207&lt;=170),2,IF(AND(I207&gt;135,I207&lt;=152),1,IF(I207&lt;60,-3,IF(AND(I207&lt;95,I207&gt;=60),-2,IF(AND(I207&lt;120,I207&gt;=95),-1,0))))))</f>
        <v>1</v>
      </c>
      <c r="K207">
        <f>ROUND(INDEX(Economic!AF:AF,MATCH(EOMONTH($A207,-1),Economic!A:A,0)),2)</f>
        <v>111.94</v>
      </c>
      <c r="L207" s="11">
        <f t="shared" si="571"/>
        <v>1</v>
      </c>
      <c r="M207">
        <f>ROUND(INDEX(Manufacturing!P:P,MATCH(EOMONTH($A207,-1),Manufacturing!A:A,0)),2)</f>
        <v>106.42</v>
      </c>
      <c r="N207">
        <f t="shared" si="567"/>
        <v>2</v>
      </c>
      <c r="O207">
        <f>ROUND(INDEX(Housing!AC:AC,MATCH(EOMONTH($A207,-1),Housing!B:B,0)),2)</f>
        <v>127.32</v>
      </c>
      <c r="P207">
        <f t="shared" si="568"/>
        <v>1</v>
      </c>
      <c r="Q207">
        <f>ROUND(INDEX(Spending!AJ:AJ,MATCH(EOMONTH($A207,-1),Spending!B:B,0)),2)</f>
        <v>69.87</v>
      </c>
      <c r="R207">
        <f t="shared" si="572"/>
        <v>2</v>
      </c>
      <c r="S207">
        <f>ROUND(INDEX(Employment!V:V,MATCH(EOMONTH($A207,-1),Employment!A:A,0)),2)</f>
        <v>177.47</v>
      </c>
      <c r="T207" s="11">
        <f t="shared" si="569"/>
        <v>2</v>
      </c>
      <c r="U207">
        <f t="shared" si="597"/>
        <v>32</v>
      </c>
      <c r="V207">
        <f t="shared" si="589"/>
        <v>81.09</v>
      </c>
      <c r="W207" s="13">
        <f t="shared" si="590"/>
        <v>-4.0000000000000002E-4</v>
      </c>
      <c r="X207" s="13">
        <f t="shared" si="591"/>
        <v>-8.0000000000000002E-3</v>
      </c>
      <c r="Y207">
        <f t="shared" si="583"/>
        <v>86.55</v>
      </c>
      <c r="Z207" s="13">
        <f t="shared" si="578"/>
        <v>3.3999999999999998E-3</v>
      </c>
      <c r="AA207" s="13">
        <f t="shared" si="574"/>
        <v>1.43E-2</v>
      </c>
      <c r="AB207" s="6">
        <f t="shared" si="584"/>
        <v>96.527999999999992</v>
      </c>
      <c r="AC207">
        <f t="shared" si="576"/>
        <v>48</v>
      </c>
      <c r="AD207" s="11">
        <f t="shared" si="577"/>
        <v>2</v>
      </c>
      <c r="AE207">
        <f t="shared" si="575"/>
        <v>36</v>
      </c>
      <c r="AF207">
        <f>IF(AND(AE207&lt;15,OR(AC207&gt;=30,AA207&gt;0.15,X207&gt;=0.15)),2,VLOOKUP(AE207,Table!P:Q,2,FALSE))</f>
        <v>5</v>
      </c>
      <c r="AG207" s="22">
        <f>IF((AB207*0.98)-(D207*0.8)+((AF207-3)*3)+VLOOKUP(AM207,Table!$A$11:$B$13,2,FALSE)&lt;0,0,(AB207*0.98)-(D207*0.8)+((AF207-3)*3)+VLOOKUP(AM207,Table!$A$11:$B$13,2,FALSE))</f>
        <v>97.949439999999996</v>
      </c>
      <c r="AH207" s="22">
        <f t="shared" si="570"/>
        <v>98</v>
      </c>
      <c r="AI207" s="18">
        <f t="shared" ref="AI207:AI270" si="599">ROUND(AVERAGE(C207:C219),2)</f>
        <v>0.03</v>
      </c>
      <c r="AJ207" s="18">
        <f t="shared" ref="AJ207:AJ270" si="600">ROUND(AVERAGE(C207:C245),2)</f>
        <v>0.04</v>
      </c>
      <c r="AK207" t="str">
        <f t="shared" si="585"/>
        <v/>
      </c>
      <c r="AL207">
        <f t="shared" si="596"/>
        <v>35.75</v>
      </c>
      <c r="AM207" s="11" t="str">
        <f t="shared" si="586"/>
        <v>Stocks</v>
      </c>
      <c r="AN207" t="str">
        <f t="shared" si="592"/>
        <v>Buy</v>
      </c>
      <c r="AO207" s="13">
        <f t="shared" si="593"/>
        <v>1.2500000000000001E-2</v>
      </c>
      <c r="AP207" s="13">
        <f t="shared" si="594"/>
        <v>0</v>
      </c>
      <c r="AQ207" s="13">
        <f t="shared" si="595"/>
        <v>1.23E-2</v>
      </c>
      <c r="AR207" s="13">
        <f t="shared" si="587"/>
        <v>1.2500000000000001E-2</v>
      </c>
      <c r="AS207" s="6">
        <f t="shared" si="579"/>
        <v>494.57887548292786</v>
      </c>
      <c r="AT207" s="6">
        <f t="shared" si="580"/>
        <v>185.97425508967711</v>
      </c>
      <c r="AU207" s="6">
        <f t="shared" si="581"/>
        <v>785.675448908313</v>
      </c>
      <c r="AV207" s="6">
        <f t="shared" si="582"/>
        <v>1159.9655314792185</v>
      </c>
      <c r="AW207" s="58">
        <f t="shared" si="588"/>
        <v>2014</v>
      </c>
      <c r="AX207" s="58">
        <f>COUNTIF(AW$3:AW207,AW207)</f>
        <v>16</v>
      </c>
    </row>
    <row r="208" spans="1:50" x14ac:dyDescent="0.25">
      <c r="A208" s="5">
        <v>41889</v>
      </c>
      <c r="B208">
        <v>2007.71</v>
      </c>
      <c r="C208">
        <v>0.03</v>
      </c>
      <c r="D208" s="6">
        <v>12.09</v>
      </c>
      <c r="E208" s="18">
        <f t="shared" si="565"/>
        <v>11.85</v>
      </c>
      <c r="F208">
        <f t="shared" si="566"/>
        <v>2</v>
      </c>
      <c r="G208" s="18">
        <f>ROUND(INDEX(Valuation!U:U,MATCH(A208,Valuation!A:A,0)),2)</f>
        <v>138.29</v>
      </c>
      <c r="H208">
        <f t="shared" si="573"/>
        <v>1</v>
      </c>
      <c r="I208" s="18">
        <f>INDEX(WeeklyIndicators!Y:Y,MATCH(A208,WeeklyIndicators!A:A,0))</f>
        <v>147.79</v>
      </c>
      <c r="J208">
        <f t="shared" si="598"/>
        <v>1</v>
      </c>
      <c r="K208">
        <f>ROUND(INDEX(Economic!AF:AF,MATCH(EOMONTH($A208,-1),Economic!A:A,0)),2)</f>
        <v>111.94</v>
      </c>
      <c r="L208" s="11">
        <f t="shared" si="571"/>
        <v>1</v>
      </c>
      <c r="M208">
        <f>ROUND(INDEX(Manufacturing!P:P,MATCH(EOMONTH($A208,-1),Manufacturing!A:A,0)),2)</f>
        <v>106.42</v>
      </c>
      <c r="N208">
        <f t="shared" si="567"/>
        <v>2</v>
      </c>
      <c r="O208">
        <f>ROUND(INDEX(Housing!AC:AC,MATCH(EOMONTH($A208,-1),Housing!B:B,0)),2)</f>
        <v>127.32</v>
      </c>
      <c r="P208">
        <f t="shared" si="568"/>
        <v>1</v>
      </c>
      <c r="Q208">
        <f>ROUND(INDEX(Spending!AJ:AJ,MATCH(EOMONTH($A208,-1),Spending!B:B,0)),2)</f>
        <v>69.87</v>
      </c>
      <c r="R208">
        <f t="shared" si="572"/>
        <v>2</v>
      </c>
      <c r="S208">
        <f>ROUND(INDEX(Employment!V:V,MATCH(EOMONTH($A208,-1),Employment!A:A,0)),2)</f>
        <v>177.47</v>
      </c>
      <c r="T208" s="11">
        <f t="shared" si="569"/>
        <v>2</v>
      </c>
      <c r="U208">
        <f t="shared" si="597"/>
        <v>32</v>
      </c>
      <c r="V208">
        <f t="shared" si="589"/>
        <v>81.34</v>
      </c>
      <c r="W208" s="13">
        <f t="shared" si="590"/>
        <v>-8.9999999999999998E-4</v>
      </c>
      <c r="X208" s="13">
        <f t="shared" si="591"/>
        <v>-8.0999999999999996E-3</v>
      </c>
      <c r="Y208">
        <f t="shared" si="583"/>
        <v>86.94</v>
      </c>
      <c r="Z208" s="13">
        <f t="shared" si="578"/>
        <v>6.6E-3</v>
      </c>
      <c r="AA208" s="13">
        <f t="shared" si="574"/>
        <v>1.1299999999999999E-2</v>
      </c>
      <c r="AB208" s="6">
        <f t="shared" si="584"/>
        <v>96.658999999999992</v>
      </c>
      <c r="AC208">
        <f t="shared" si="576"/>
        <v>48</v>
      </c>
      <c r="AD208" s="11">
        <f t="shared" si="577"/>
        <v>2</v>
      </c>
      <c r="AE208">
        <f t="shared" si="575"/>
        <v>36</v>
      </c>
      <c r="AF208">
        <f>IF(AND(AE208&lt;15,OR(AC208&gt;=30,AA208&gt;0.15,X208&gt;=0.15)),2,VLOOKUP(AE208,Table!P:Q,2,FALSE))</f>
        <v>5</v>
      </c>
      <c r="AG208" s="22">
        <f>IF((AB208*0.98)-(D208*0.8)+((AF208-3)*3)+VLOOKUP(AM208,Table!$A$11:$B$13,2,FALSE)&lt;0,0,(AB208*0.98)-(D208*0.8)+((AF208-3)*3)+VLOOKUP(AM208,Table!$A$11:$B$13,2,FALSE))</f>
        <v>99.053819999999988</v>
      </c>
      <c r="AH208" s="22">
        <f t="shared" si="570"/>
        <v>98</v>
      </c>
      <c r="AI208" s="18">
        <f t="shared" si="599"/>
        <v>0.03</v>
      </c>
      <c r="AJ208" s="18">
        <f t="shared" si="600"/>
        <v>0.04</v>
      </c>
      <c r="AK208" t="str">
        <f t="shared" si="585"/>
        <v/>
      </c>
      <c r="AL208">
        <f t="shared" si="596"/>
        <v>35.5</v>
      </c>
      <c r="AM208" s="11" t="str">
        <f t="shared" si="586"/>
        <v>Stocks</v>
      </c>
      <c r="AN208" t="str">
        <f t="shared" si="592"/>
        <v>Buy</v>
      </c>
      <c r="AO208" s="13">
        <f t="shared" si="593"/>
        <v>-1.0999999999999999E-2</v>
      </c>
      <c r="AP208" s="13">
        <f t="shared" si="594"/>
        <v>0</v>
      </c>
      <c r="AQ208" s="13">
        <f t="shared" si="595"/>
        <v>-1.0800000000000001E-2</v>
      </c>
      <c r="AR208" s="13">
        <f t="shared" si="587"/>
        <v>-1.0999999999999999E-2</v>
      </c>
      <c r="AS208" s="6">
        <f t="shared" si="579"/>
        <v>500.07975276332445</v>
      </c>
      <c r="AT208" s="6">
        <f t="shared" si="580"/>
        <v>185.97425508967711</v>
      </c>
      <c r="AU208" s="6">
        <f t="shared" si="581"/>
        <v>794.25338547140416</v>
      </c>
      <c r="AV208" s="6">
        <f t="shared" si="582"/>
        <v>1172.867069240868</v>
      </c>
      <c r="AW208" s="58">
        <f t="shared" si="588"/>
        <v>2014</v>
      </c>
      <c r="AX208" s="58">
        <f>COUNTIF(AW$3:AW208,AW208)</f>
        <v>17</v>
      </c>
    </row>
    <row r="209" spans="1:50" x14ac:dyDescent="0.25">
      <c r="A209" s="5">
        <v>41882</v>
      </c>
      <c r="B209">
        <v>2003.37</v>
      </c>
      <c r="C209">
        <v>0.03</v>
      </c>
      <c r="D209" s="6">
        <v>11.98</v>
      </c>
      <c r="E209" s="18">
        <f t="shared" ref="E209:E272" si="601">ROUND(AVERAGE(D209:D211),2)</f>
        <v>12.2</v>
      </c>
      <c r="F209">
        <f t="shared" ref="F209:F272" si="602">IF(E209&lt;11,3,IF(AND(E209&lt;14,E209&gt;=11),2,IF(AND(E209&lt;16,E209&gt;=14),1,IF(E209&gt;35,-3,IF(AND(E209&gt;25,E209&lt;=35),-2,IF(AND(E209&gt;18,E209&lt;=25),-1,0))))))</f>
        <v>2</v>
      </c>
      <c r="G209" s="18">
        <f>ROUND(INDEX(Valuation!U:U,MATCH(A209,Valuation!A:A,0)),2)</f>
        <v>134.66999999999999</v>
      </c>
      <c r="H209">
        <f t="shared" si="573"/>
        <v>1</v>
      </c>
      <c r="I209" s="18">
        <f>INDEX(WeeklyIndicators!Y:Y,MATCH(A209,WeeklyIndicators!A:A,0))</f>
        <v>150.02000000000001</v>
      </c>
      <c r="J209">
        <f t="shared" si="598"/>
        <v>1</v>
      </c>
      <c r="K209">
        <f>ROUND(INDEX(Economic!AF:AF,MATCH(EOMONTH($A209,-1),Economic!A:A,0)),2)</f>
        <v>113.78</v>
      </c>
      <c r="L209" s="11">
        <f t="shared" si="571"/>
        <v>1</v>
      </c>
      <c r="M209">
        <f>ROUND(INDEX(Manufacturing!P:P,MATCH(EOMONTH($A209,-1),Manufacturing!A:A,0)),2)</f>
        <v>103.88</v>
      </c>
      <c r="N209">
        <f t="shared" si="567"/>
        <v>2</v>
      </c>
      <c r="O209">
        <f>ROUND(INDEX(Housing!AC:AC,MATCH(EOMONTH($A209,-1),Housing!B:B,0)),2)</f>
        <v>117.13</v>
      </c>
      <c r="P209">
        <f t="shared" si="568"/>
        <v>1</v>
      </c>
      <c r="Q209">
        <f>ROUND(INDEX(Spending!AJ:AJ,MATCH(EOMONTH($A209,-1),Spending!B:B,0)),2)</f>
        <v>68.599999999999994</v>
      </c>
      <c r="R209">
        <f t="shared" si="572"/>
        <v>2</v>
      </c>
      <c r="S209">
        <f>ROUND(INDEX(Employment!V:V,MATCH(EOMONTH($A209,-1),Employment!A:A,0)),2)</f>
        <v>180.29</v>
      </c>
      <c r="T209" s="11">
        <f t="shared" si="569"/>
        <v>2</v>
      </c>
      <c r="U209">
        <f t="shared" si="597"/>
        <v>32</v>
      </c>
      <c r="V209">
        <f t="shared" si="589"/>
        <v>80.91</v>
      </c>
      <c r="W209" s="13">
        <f t="shared" si="590"/>
        <v>-3.8E-3</v>
      </c>
      <c r="X209" s="13">
        <f t="shared" si="591"/>
        <v>-6.3E-3</v>
      </c>
      <c r="Y209">
        <f t="shared" si="583"/>
        <v>85.98</v>
      </c>
      <c r="Z209" s="13">
        <f t="shared" si="578"/>
        <v>2.8E-3</v>
      </c>
      <c r="AA209" s="13">
        <f t="shared" si="574"/>
        <v>4.5999999999999999E-3</v>
      </c>
      <c r="AB209" s="6">
        <f t="shared" si="584"/>
        <v>94.887</v>
      </c>
      <c r="AC209">
        <f t="shared" si="576"/>
        <v>47</v>
      </c>
      <c r="AD209" s="11">
        <f t="shared" si="577"/>
        <v>1</v>
      </c>
      <c r="AE209">
        <f t="shared" si="575"/>
        <v>35</v>
      </c>
      <c r="AF209">
        <f>IF(AND(AE209&lt;15,OR(AC209&gt;=30,AA209&gt;0.15,X209&gt;=0.15)),2,VLOOKUP(AE209,Table!P:Q,2,FALSE))</f>
        <v>5</v>
      </c>
      <c r="AG209" s="22">
        <f>IF((AB209*0.98)-(D209*0.8)+((AF209-3)*3)+VLOOKUP(AM209,Table!$A$11:$B$13,2,FALSE)&lt;0,0,(AB209*0.98)-(D209*0.8)+((AF209-3)*3)+VLOOKUP(AM209,Table!$A$11:$B$13,2,FALSE))</f>
        <v>97.405259999999998</v>
      </c>
      <c r="AH209" s="22">
        <f t="shared" si="570"/>
        <v>97</v>
      </c>
      <c r="AI209" s="18">
        <f t="shared" si="599"/>
        <v>0.03</v>
      </c>
      <c r="AJ209" s="18">
        <f t="shared" si="600"/>
        <v>0.04</v>
      </c>
      <c r="AK209" t="str">
        <f t="shared" si="585"/>
        <v/>
      </c>
      <c r="AL209">
        <f t="shared" si="596"/>
        <v>35.25</v>
      </c>
      <c r="AM209" s="11" t="str">
        <f t="shared" si="586"/>
        <v>Stocks</v>
      </c>
      <c r="AN209" t="str">
        <f t="shared" si="592"/>
        <v>Buy</v>
      </c>
      <c r="AO209" s="13">
        <f t="shared" si="593"/>
        <v>2.2000000000000001E-3</v>
      </c>
      <c r="AP209" s="13">
        <f t="shared" si="594"/>
        <v>0</v>
      </c>
      <c r="AQ209" s="13">
        <f t="shared" si="595"/>
        <v>2.0999999999999999E-3</v>
      </c>
      <c r="AR209" s="13">
        <f t="shared" si="587"/>
        <v>2.2000000000000001E-3</v>
      </c>
      <c r="AS209" s="6">
        <f t="shared" si="579"/>
        <v>498.98199238008829</v>
      </c>
      <c r="AT209" s="6">
        <f t="shared" si="580"/>
        <v>185.97425508967711</v>
      </c>
      <c r="AU209" s="6">
        <f t="shared" si="581"/>
        <v>792.58894867917786</v>
      </c>
      <c r="AV209" s="6">
        <f t="shared" si="582"/>
        <v>1170.2924259038796</v>
      </c>
      <c r="AW209" s="58">
        <f t="shared" si="588"/>
        <v>2014</v>
      </c>
      <c r="AX209" s="58">
        <f>COUNTIF(AW$3:AW209,AW209)</f>
        <v>18</v>
      </c>
    </row>
    <row r="210" spans="1:50" x14ac:dyDescent="0.25">
      <c r="A210" s="5">
        <v>41875</v>
      </c>
      <c r="B210">
        <v>1988.4</v>
      </c>
      <c r="C210">
        <v>0.03</v>
      </c>
      <c r="D210" s="6">
        <v>11.47</v>
      </c>
      <c r="E210" s="18">
        <f t="shared" si="601"/>
        <v>13.46</v>
      </c>
      <c r="F210">
        <f t="shared" si="602"/>
        <v>2</v>
      </c>
      <c r="G210" s="18">
        <f>ROUND(INDEX(Valuation!U:U,MATCH(A210,Valuation!A:A,0)),2)</f>
        <v>133.36000000000001</v>
      </c>
      <c r="H210">
        <f t="shared" si="573"/>
        <v>1</v>
      </c>
      <c r="I210" s="18">
        <f>INDEX(WeeklyIndicators!Y:Y,MATCH(A210,WeeklyIndicators!A:A,0))</f>
        <v>152.74</v>
      </c>
      <c r="J210">
        <f t="shared" si="598"/>
        <v>2</v>
      </c>
      <c r="K210">
        <f>ROUND(INDEX(Economic!AF:AF,MATCH(EOMONTH($A210,-1),Economic!A:A,0)),2)</f>
        <v>113.78</v>
      </c>
      <c r="L210" s="11">
        <f t="shared" si="571"/>
        <v>1</v>
      </c>
      <c r="M210">
        <f>ROUND(INDEX(Manufacturing!P:P,MATCH(EOMONTH($A210,-1),Manufacturing!A:A,0)),2)</f>
        <v>103.88</v>
      </c>
      <c r="N210">
        <f t="shared" ref="N210:N273" si="603">IF(M210&gt;108,3,IF(AND(M210&gt;100,M210&lt;=108),2,IF(AND(M210&gt;90,M210&lt;=100),1,IF(M210&lt;63,-3,IF(AND(M210&lt;74,M210&gt;=63),-2,IF(AND(M210&lt;84,M210&gt;=74),-1,0))))))</f>
        <v>2</v>
      </c>
      <c r="O210">
        <f>ROUND(INDEX(Housing!AC:AC,MATCH(EOMONTH($A210,-1),Housing!B:B,0)),2)</f>
        <v>117.13</v>
      </c>
      <c r="P210">
        <f t="shared" ref="P210:P273" si="604">IF(O210&gt;140,3,IF(AND(O210&gt;128,O210&lt;=140),2,IF(AND(O210&gt;115,O210&lt;=128),1,IF(O210&lt;50,-3,IF(AND(O210&lt;75,O210&gt;=50),-2,IF(AND(O210&lt;100,O210&gt;=75),-1,0))))))</f>
        <v>1</v>
      </c>
      <c r="Q210">
        <f>ROUND(INDEX(Spending!AJ:AJ,MATCH(EOMONTH($A210,-1),Spending!B:B,0)),2)</f>
        <v>68.599999999999994</v>
      </c>
      <c r="R210">
        <f t="shared" si="572"/>
        <v>2</v>
      </c>
      <c r="S210">
        <f>ROUND(INDEX(Employment!V:V,MATCH(EOMONTH($A210,-1),Employment!A:A,0)),2)</f>
        <v>180.29</v>
      </c>
      <c r="T210" s="11">
        <f t="shared" ref="T210:T273" si="605">IF(S210&gt;190,3,IF(AND(S210&gt;175,S210&lt;=190),2,IF(AND(S210&gt;160,S210&lt;=175),1,IF(S210&lt;120,-3,IF(AND(S210&lt;140,S210&gt;=120),-2,IF(AND(S210&lt;150,S210&gt;=140),-1,0))))))</f>
        <v>2</v>
      </c>
      <c r="U210">
        <f t="shared" si="597"/>
        <v>33</v>
      </c>
      <c r="V210">
        <f t="shared" si="589"/>
        <v>81.19</v>
      </c>
      <c r="W210" s="13">
        <f t="shared" si="590"/>
        <v>-2.8999999999999998E-3</v>
      </c>
      <c r="X210" s="13">
        <f t="shared" si="591"/>
        <v>-1.7999999999999995E-3</v>
      </c>
      <c r="Y210">
        <f t="shared" si="583"/>
        <v>85.68</v>
      </c>
      <c r="Z210" s="13">
        <f t="shared" si="578"/>
        <v>1.5E-3</v>
      </c>
      <c r="AA210" s="13">
        <f t="shared" si="574"/>
        <v>1.2999999999999999E-3</v>
      </c>
      <c r="AB210" s="6">
        <f t="shared" si="584"/>
        <v>94.295999999999992</v>
      </c>
      <c r="AC210">
        <f t="shared" si="576"/>
        <v>47</v>
      </c>
      <c r="AD210" s="11">
        <f t="shared" si="577"/>
        <v>1</v>
      </c>
      <c r="AE210">
        <f t="shared" si="575"/>
        <v>36</v>
      </c>
      <c r="AF210">
        <f>IF(AND(AE210&lt;15,OR(AC210&gt;=30,AA210&gt;0.15,X210&gt;=0.15)),2,VLOOKUP(AE210,Table!P:Q,2,FALSE))</f>
        <v>5</v>
      </c>
      <c r="AG210" s="22">
        <f>IF((AB210*0.98)-(D210*0.8)+((AF210-3)*3)+VLOOKUP(AM210,Table!$A$11:$B$13,2,FALSE)&lt;0,0,(AB210*0.98)-(D210*0.8)+((AF210-3)*3)+VLOOKUP(AM210,Table!$A$11:$B$13,2,FALSE))</f>
        <v>97.234079999999992</v>
      </c>
      <c r="AH210" s="22">
        <f t="shared" ref="AH210:AH273" si="606">IF(ROUND(AVERAGE(AG210:AG212),0)&lt;0,0,IF(ROUND(AVERAGE(AG210:AG212),0)&gt;100,100,ROUND(AVERAGE(AG210:AG212),0)))</f>
        <v>95</v>
      </c>
      <c r="AI210" s="18">
        <f t="shared" si="599"/>
        <v>0.03</v>
      </c>
      <c r="AJ210" s="18">
        <f t="shared" si="600"/>
        <v>0.04</v>
      </c>
      <c r="AK210" t="str">
        <f t="shared" si="585"/>
        <v/>
      </c>
      <c r="AL210">
        <f t="shared" si="596"/>
        <v>35.5</v>
      </c>
      <c r="AM210" s="11" t="str">
        <f t="shared" si="586"/>
        <v>Stocks</v>
      </c>
      <c r="AN210" t="str">
        <f t="shared" si="592"/>
        <v>Buy</v>
      </c>
      <c r="AO210" s="13">
        <f t="shared" si="593"/>
        <v>7.4999999999999997E-3</v>
      </c>
      <c r="AP210" s="13">
        <f t="shared" si="594"/>
        <v>0</v>
      </c>
      <c r="AQ210" s="13">
        <f t="shared" si="595"/>
        <v>7.1000000000000004E-3</v>
      </c>
      <c r="AR210" s="13">
        <f t="shared" si="587"/>
        <v>7.4999999999999997E-3</v>
      </c>
      <c r="AS210" s="6">
        <f t="shared" si="579"/>
        <v>495.26748623333822</v>
      </c>
      <c r="AT210" s="6">
        <f t="shared" si="580"/>
        <v>185.97425508967711</v>
      </c>
      <c r="AU210" s="6">
        <f t="shared" si="581"/>
        <v>787.00123987605775</v>
      </c>
      <c r="AV210" s="6">
        <f t="shared" si="582"/>
        <v>1161.5805716167538</v>
      </c>
      <c r="AW210" s="58">
        <f t="shared" si="588"/>
        <v>2014</v>
      </c>
      <c r="AX210" s="58">
        <f>COUNTIF(AW$3:AW210,AW210)</f>
        <v>19</v>
      </c>
    </row>
    <row r="211" spans="1:50" x14ac:dyDescent="0.25">
      <c r="A211" s="5">
        <v>41868</v>
      </c>
      <c r="B211">
        <v>1955.06</v>
      </c>
      <c r="C211">
        <v>0.04</v>
      </c>
      <c r="D211" s="6">
        <v>13.15</v>
      </c>
      <c r="E211" s="18">
        <f t="shared" si="601"/>
        <v>15.32</v>
      </c>
      <c r="F211">
        <f t="shared" si="602"/>
        <v>1</v>
      </c>
      <c r="G211" s="18">
        <f>ROUND(INDEX(Valuation!U:U,MATCH(A211,Valuation!A:A,0)),2)</f>
        <v>132.12</v>
      </c>
      <c r="H211">
        <f t="shared" si="573"/>
        <v>1</v>
      </c>
      <c r="I211" s="18">
        <f>INDEX(WeeklyIndicators!Y:Y,MATCH(A211,WeeklyIndicators!A:A,0))</f>
        <v>156.21</v>
      </c>
      <c r="J211">
        <f t="shared" si="598"/>
        <v>2</v>
      </c>
      <c r="K211">
        <f>ROUND(INDEX(Economic!AF:AF,MATCH(EOMONTH($A211,-1),Economic!A:A,0)),2)</f>
        <v>113.78</v>
      </c>
      <c r="L211" s="11">
        <f t="shared" ref="L211:L274" si="607">IF(K211&gt;138,3,IF(AND(K211&gt;125,K211&lt;=138),2,IF(AND(K211&gt;111,K211&lt;=125),1,IF(K211&lt;50,-3,IF(AND(K211&lt;80,K211&gt;=50),-2,IF(AND(K211&lt;100,K211&gt;=80),-1,0))))))</f>
        <v>1</v>
      </c>
      <c r="M211">
        <f>ROUND(INDEX(Manufacturing!P:P,MATCH(EOMONTH($A211,-1),Manufacturing!A:A,0)),2)</f>
        <v>103.88</v>
      </c>
      <c r="N211">
        <f t="shared" si="603"/>
        <v>2</v>
      </c>
      <c r="O211">
        <f>ROUND(INDEX(Housing!AC:AC,MATCH(EOMONTH($A211,-1),Housing!B:B,0)),2)</f>
        <v>117.13</v>
      </c>
      <c r="P211">
        <f t="shared" si="604"/>
        <v>1</v>
      </c>
      <c r="Q211">
        <f>ROUND(INDEX(Spending!AJ:AJ,MATCH(EOMONTH($A211,-1),Spending!B:B,0)),2)</f>
        <v>68.599999999999994</v>
      </c>
      <c r="R211">
        <f t="shared" ref="R211:R274" si="608">IF(Q211&gt;60,2,IF(AND(Q211&gt;50,Q211&lt;=60),1,IF(Q211&lt;30,-2,IF(AND(Q211&lt;40,Q211&gt;=30),-1,0))))</f>
        <v>2</v>
      </c>
      <c r="S211">
        <f>ROUND(INDEX(Employment!V:V,MATCH(EOMONTH($A211,-1),Employment!A:A,0)),2)</f>
        <v>180.29</v>
      </c>
      <c r="T211" s="11">
        <f t="shared" si="605"/>
        <v>2</v>
      </c>
      <c r="U211">
        <f t="shared" si="597"/>
        <v>32</v>
      </c>
      <c r="V211">
        <f t="shared" si="589"/>
        <v>81.55</v>
      </c>
      <c r="W211" s="13">
        <f t="shared" si="590"/>
        <v>-5.0000000000000001E-4</v>
      </c>
      <c r="X211" s="13">
        <f t="shared" si="591"/>
        <v>-2.0000000000000009E-4</v>
      </c>
      <c r="Y211">
        <f t="shared" si="583"/>
        <v>85.25</v>
      </c>
      <c r="Z211" s="13">
        <f t="shared" si="578"/>
        <v>4.0000000000000002E-4</v>
      </c>
      <c r="AA211" s="13">
        <f t="shared" si="574"/>
        <v>-2.5000000000000001E-3</v>
      </c>
      <c r="AB211" s="6">
        <f t="shared" si="584"/>
        <v>93.512</v>
      </c>
      <c r="AC211">
        <f t="shared" si="576"/>
        <v>47</v>
      </c>
      <c r="AD211" s="11">
        <f t="shared" si="577"/>
        <v>1</v>
      </c>
      <c r="AE211">
        <f t="shared" si="575"/>
        <v>35</v>
      </c>
      <c r="AF211">
        <f>IF(AND(AE211&lt;15,OR(AC211&gt;=30,AA211&gt;0.15,X211&gt;=0.15)),2,VLOOKUP(AE211,Table!P:Q,2,FALSE))</f>
        <v>5</v>
      </c>
      <c r="AG211" s="22">
        <f>IF((AB211*0.98)-(D211*0.8)+((AF211-3)*3)+VLOOKUP(AM211,Table!$A$11:$B$13,2,FALSE)&lt;0,0,(AB211*0.98)-(D211*0.8)+((AF211-3)*3)+VLOOKUP(AM211,Table!$A$11:$B$13,2,FALSE))</f>
        <v>95.121760000000009</v>
      </c>
      <c r="AH211" s="22">
        <f t="shared" si="606"/>
        <v>93</v>
      </c>
      <c r="AI211" s="18">
        <f t="shared" si="599"/>
        <v>0.03</v>
      </c>
      <c r="AJ211" s="18">
        <f t="shared" si="600"/>
        <v>0.04</v>
      </c>
      <c r="AK211" t="str">
        <f t="shared" si="585"/>
        <v/>
      </c>
      <c r="AL211">
        <f t="shared" si="596"/>
        <v>35.25</v>
      </c>
      <c r="AM211" s="11" t="str">
        <f t="shared" si="586"/>
        <v>Stocks</v>
      </c>
      <c r="AN211" t="str">
        <f t="shared" si="592"/>
        <v>Buy</v>
      </c>
      <c r="AO211" s="13">
        <f t="shared" si="593"/>
        <v>1.7100000000000001E-2</v>
      </c>
      <c r="AP211" s="13">
        <f t="shared" si="594"/>
        <v>0</v>
      </c>
      <c r="AQ211" s="13">
        <f t="shared" si="595"/>
        <v>1.5900000000000001E-2</v>
      </c>
      <c r="AR211" s="13">
        <f t="shared" si="587"/>
        <v>1.7100000000000001E-2</v>
      </c>
      <c r="AS211" s="6">
        <f t="shared" si="579"/>
        <v>486.9407985776603</v>
      </c>
      <c r="AT211" s="6">
        <f t="shared" si="580"/>
        <v>185.97425508967711</v>
      </c>
      <c r="AU211" s="6">
        <f t="shared" si="581"/>
        <v>774.6837679654077</v>
      </c>
      <c r="AV211" s="6">
        <f t="shared" si="582"/>
        <v>1142.0514911186253</v>
      </c>
      <c r="AW211" s="58">
        <f t="shared" si="588"/>
        <v>2014</v>
      </c>
      <c r="AX211" s="58">
        <f>COUNTIF(AW$3:AW211,AW211)</f>
        <v>20</v>
      </c>
    </row>
    <row r="212" spans="1:50" x14ac:dyDescent="0.25">
      <c r="A212" s="5">
        <v>41861</v>
      </c>
      <c r="B212">
        <v>1931.59</v>
      </c>
      <c r="C212">
        <v>0.03</v>
      </c>
      <c r="D212" s="6">
        <v>15.77</v>
      </c>
      <c r="E212" s="18">
        <f t="shared" si="601"/>
        <v>15.16</v>
      </c>
      <c r="F212">
        <f t="shared" si="602"/>
        <v>1</v>
      </c>
      <c r="G212" s="18">
        <f>ROUND(INDEX(Valuation!U:U,MATCH(A212,Valuation!A:A,0)),2)</f>
        <v>129.07</v>
      </c>
      <c r="H212">
        <f t="shared" si="573"/>
        <v>1</v>
      </c>
      <c r="I212" s="18">
        <f>INDEX(WeeklyIndicators!Y:Y,MATCH(A212,WeeklyIndicators!A:A,0))</f>
        <v>159.06</v>
      </c>
      <c r="J212">
        <f t="shared" si="598"/>
        <v>2</v>
      </c>
      <c r="K212">
        <f>ROUND(INDEX(Economic!AF:AF,MATCH(EOMONTH($A212,-1),Economic!A:A,0)),2)</f>
        <v>113.78</v>
      </c>
      <c r="L212" s="11">
        <f t="shared" si="607"/>
        <v>1</v>
      </c>
      <c r="M212">
        <f>ROUND(INDEX(Manufacturing!P:P,MATCH(EOMONTH($A212,-1),Manufacturing!A:A,0)),2)</f>
        <v>103.88</v>
      </c>
      <c r="N212">
        <f t="shared" si="603"/>
        <v>2</v>
      </c>
      <c r="O212">
        <f>ROUND(INDEX(Housing!AC:AC,MATCH(EOMONTH($A212,-1),Housing!B:B,0)),2)</f>
        <v>117.13</v>
      </c>
      <c r="P212">
        <f t="shared" si="604"/>
        <v>1</v>
      </c>
      <c r="Q212">
        <f>ROUND(INDEX(Spending!AJ:AJ,MATCH(EOMONTH($A212,-1),Spending!B:B,0)),2)</f>
        <v>68.599999999999994</v>
      </c>
      <c r="R212">
        <f t="shared" si="608"/>
        <v>2</v>
      </c>
      <c r="S212">
        <f>ROUND(INDEX(Employment!V:V,MATCH(EOMONTH($A212,-1),Employment!A:A,0)),2)</f>
        <v>180.29</v>
      </c>
      <c r="T212" s="11">
        <f t="shared" si="605"/>
        <v>2</v>
      </c>
      <c r="U212">
        <f t="shared" si="597"/>
        <v>32</v>
      </c>
      <c r="V212">
        <f t="shared" si="589"/>
        <v>81.849999999999994</v>
      </c>
      <c r="W212" s="13">
        <f t="shared" si="590"/>
        <v>8.9999999999999998E-4</v>
      </c>
      <c r="X212" s="13">
        <f t="shared" si="591"/>
        <v>6.0000000000000001E-3</v>
      </c>
      <c r="Y212">
        <f t="shared" si="583"/>
        <v>85.27</v>
      </c>
      <c r="Z212" s="13">
        <f t="shared" si="578"/>
        <v>-1E-4</v>
      </c>
      <c r="AA212" s="13">
        <f t="shared" si="574"/>
        <v>2.4000000000000002E-3</v>
      </c>
      <c r="AB212" s="6">
        <f t="shared" si="584"/>
        <v>93.626999999999995</v>
      </c>
      <c r="AC212">
        <f t="shared" si="576"/>
        <v>47</v>
      </c>
      <c r="AD212" s="11">
        <f t="shared" si="577"/>
        <v>1</v>
      </c>
      <c r="AE212">
        <f t="shared" si="575"/>
        <v>35</v>
      </c>
      <c r="AF212">
        <f>IF(AND(AE212&lt;15,OR(AC212&gt;=30,AA212&gt;0.15,X212&gt;=0.15)),2,VLOOKUP(AE212,Table!P:Q,2,FALSE))</f>
        <v>5</v>
      </c>
      <c r="AG212" s="22">
        <f>IF((AB212*0.98)-(D212*0.8)+((AF212-3)*3)+VLOOKUP(AM212,Table!$A$11:$B$13,2,FALSE)&lt;0,0,(AB212*0.98)-(D212*0.8)+((AF212-3)*3)+VLOOKUP(AM212,Table!$A$11:$B$13,2,FALSE))</f>
        <v>93.138459999999995</v>
      </c>
      <c r="AH212" s="22">
        <f t="shared" si="606"/>
        <v>94</v>
      </c>
      <c r="AI212" s="18">
        <f t="shared" si="599"/>
        <v>0.03</v>
      </c>
      <c r="AJ212" s="18">
        <f t="shared" si="600"/>
        <v>0.05</v>
      </c>
      <c r="AK212" t="str">
        <f t="shared" si="585"/>
        <v/>
      </c>
      <c r="AL212">
        <f t="shared" si="596"/>
        <v>35</v>
      </c>
      <c r="AM212" s="11" t="str">
        <f t="shared" si="586"/>
        <v>Stocks</v>
      </c>
      <c r="AN212" t="str">
        <f t="shared" si="592"/>
        <v>Buy</v>
      </c>
      <c r="AO212" s="13">
        <f t="shared" si="593"/>
        <v>1.2200000000000001E-2</v>
      </c>
      <c r="AP212" s="13">
        <f t="shared" si="594"/>
        <v>0</v>
      </c>
      <c r="AQ212" s="13">
        <f t="shared" si="595"/>
        <v>1.15E-2</v>
      </c>
      <c r="AR212" s="13">
        <f t="shared" si="587"/>
        <v>1.2200000000000001E-2</v>
      </c>
      <c r="AS212" s="6">
        <f t="shared" si="579"/>
        <v>481.07172355034606</v>
      </c>
      <c r="AT212" s="6">
        <f t="shared" si="580"/>
        <v>185.97425508967711</v>
      </c>
      <c r="AU212" s="6">
        <f t="shared" si="581"/>
        <v>765.87619176016574</v>
      </c>
      <c r="AV212" s="6">
        <f t="shared" si="582"/>
        <v>1128.2863970743188</v>
      </c>
      <c r="AW212" s="58">
        <f t="shared" si="588"/>
        <v>2014</v>
      </c>
      <c r="AX212" s="58">
        <f>COUNTIF(AW$3:AW212,AW212)</f>
        <v>21</v>
      </c>
    </row>
    <row r="213" spans="1:50" x14ac:dyDescent="0.25">
      <c r="A213" s="5">
        <v>41854</v>
      </c>
      <c r="B213">
        <v>1925.15</v>
      </c>
      <c r="C213">
        <v>0.03</v>
      </c>
      <c r="D213" s="6">
        <v>17.03</v>
      </c>
      <c r="E213" s="18">
        <f t="shared" si="601"/>
        <v>13.93</v>
      </c>
      <c r="F213">
        <f t="shared" si="602"/>
        <v>2</v>
      </c>
      <c r="G213" s="18">
        <f>ROUND(INDEX(Valuation!U:U,MATCH(A213,Valuation!A:A,0)),2)</f>
        <v>125.06</v>
      </c>
      <c r="H213">
        <f t="shared" si="573"/>
        <v>1</v>
      </c>
      <c r="I213" s="18">
        <f>INDEX(WeeklyIndicators!Y:Y,MATCH(A213,WeeklyIndicators!A:A,0))</f>
        <v>159.41999999999999</v>
      </c>
      <c r="J213">
        <f t="shared" si="598"/>
        <v>2</v>
      </c>
      <c r="K213">
        <f>ROUND(INDEX(Economic!AF:AF,MATCH(EOMONTH($A213,-1),Economic!A:A,0)),2)</f>
        <v>113.78</v>
      </c>
      <c r="L213" s="11">
        <f t="shared" si="607"/>
        <v>1</v>
      </c>
      <c r="M213">
        <f>ROUND(INDEX(Manufacturing!P:P,MATCH(EOMONTH($A213,-1),Manufacturing!A:A,0)),2)</f>
        <v>103.88</v>
      </c>
      <c r="N213">
        <f t="shared" si="603"/>
        <v>2</v>
      </c>
      <c r="O213">
        <f>ROUND(INDEX(Housing!AC:AC,MATCH(EOMONTH($A213,-1),Housing!B:B,0)),2)</f>
        <v>117.13</v>
      </c>
      <c r="P213">
        <f t="shared" si="604"/>
        <v>1</v>
      </c>
      <c r="Q213">
        <f>ROUND(INDEX(Spending!AJ:AJ,MATCH(EOMONTH($A213,-1),Spending!B:B,0)),2)</f>
        <v>68.599999999999994</v>
      </c>
      <c r="R213">
        <f t="shared" si="608"/>
        <v>2</v>
      </c>
      <c r="S213">
        <f>ROUND(INDEX(Employment!V:V,MATCH(EOMONTH($A213,-1),Employment!A:A,0)),2)</f>
        <v>180.29</v>
      </c>
      <c r="T213" s="11">
        <f t="shared" si="605"/>
        <v>2</v>
      </c>
      <c r="U213">
        <f t="shared" si="597"/>
        <v>33</v>
      </c>
      <c r="V213">
        <f t="shared" si="589"/>
        <v>81.89</v>
      </c>
      <c r="W213" s="13">
        <f t="shared" si="590"/>
        <v>6.9999999999999999E-4</v>
      </c>
      <c r="X213" s="13">
        <f t="shared" si="591"/>
        <v>1.03E-2</v>
      </c>
      <c r="Y213">
        <f t="shared" si="583"/>
        <v>85.29</v>
      </c>
      <c r="Z213" s="13">
        <f t="shared" si="578"/>
        <v>-5.0000000000000001E-4</v>
      </c>
      <c r="AA213" s="13">
        <f t="shared" si="574"/>
        <v>6.6E-3</v>
      </c>
      <c r="AB213" s="6">
        <f t="shared" si="584"/>
        <v>93.566000000000003</v>
      </c>
      <c r="AC213">
        <f t="shared" si="576"/>
        <v>47</v>
      </c>
      <c r="AD213" s="11">
        <f t="shared" si="577"/>
        <v>1</v>
      </c>
      <c r="AE213">
        <f t="shared" si="575"/>
        <v>36</v>
      </c>
      <c r="AF213">
        <f>IF(AND(AE213&lt;15,OR(AC213&gt;=30,AA213&gt;0.15,X213&gt;=0.15)),2,VLOOKUP(AE213,Table!P:Q,2,FALSE))</f>
        <v>5</v>
      </c>
      <c r="AG213" s="22">
        <f>IF((AB213*0.98)-(D213*0.8)+((AF213-3)*3)+VLOOKUP(AM213,Table!$A$11:$B$13,2,FALSE)&lt;0,0,(AB213*0.98)-(D213*0.8)+((AF213-3)*3)+VLOOKUP(AM213,Table!$A$11:$B$13,2,FALSE))</f>
        <v>92.07068000000001</v>
      </c>
      <c r="AH213" s="22">
        <f t="shared" si="606"/>
        <v>95</v>
      </c>
      <c r="AI213" s="18">
        <f t="shared" si="599"/>
        <v>0.03</v>
      </c>
      <c r="AJ213" s="18">
        <f t="shared" si="600"/>
        <v>0.05</v>
      </c>
      <c r="AK213" t="str">
        <f t="shared" si="585"/>
        <v/>
      </c>
      <c r="AL213">
        <f t="shared" si="596"/>
        <v>34.75</v>
      </c>
      <c r="AM213" s="11" t="str">
        <f t="shared" si="586"/>
        <v>Stocks</v>
      </c>
      <c r="AN213" t="str">
        <f t="shared" si="592"/>
        <v>Buy</v>
      </c>
      <c r="AO213" s="13">
        <f t="shared" si="593"/>
        <v>3.3E-3</v>
      </c>
      <c r="AP213" s="13">
        <f t="shared" si="594"/>
        <v>0</v>
      </c>
      <c r="AQ213" s="13">
        <f t="shared" si="595"/>
        <v>3.0999999999999999E-3</v>
      </c>
      <c r="AR213" s="13">
        <f t="shared" si="587"/>
        <v>3.3E-3</v>
      </c>
      <c r="AS213" s="6">
        <f t="shared" si="579"/>
        <v>479.48940850228848</v>
      </c>
      <c r="AT213" s="6">
        <f t="shared" si="580"/>
        <v>185.97425508967711</v>
      </c>
      <c r="AU213" s="6">
        <f t="shared" si="581"/>
        <v>763.50931289020605</v>
      </c>
      <c r="AV213" s="6">
        <f t="shared" si="582"/>
        <v>1124.5752985889751</v>
      </c>
      <c r="AW213" s="58">
        <f t="shared" si="588"/>
        <v>2014</v>
      </c>
      <c r="AX213" s="58">
        <f>COUNTIF(AW$3:AW213,AW213)</f>
        <v>22</v>
      </c>
    </row>
    <row r="214" spans="1:50" x14ac:dyDescent="0.25">
      <c r="A214" s="5">
        <v>41847</v>
      </c>
      <c r="B214">
        <v>1978.34</v>
      </c>
      <c r="C214">
        <v>0.03</v>
      </c>
      <c r="D214" s="6">
        <v>12.69</v>
      </c>
      <c r="E214" s="18">
        <f t="shared" si="601"/>
        <v>12.28</v>
      </c>
      <c r="F214">
        <f t="shared" si="602"/>
        <v>2</v>
      </c>
      <c r="G214" s="18">
        <f>ROUND(INDEX(Valuation!U:U,MATCH(A214,Valuation!A:A,0)),2)</f>
        <v>120.73</v>
      </c>
      <c r="H214">
        <f t="shared" si="573"/>
        <v>1</v>
      </c>
      <c r="I214" s="18">
        <f>INDEX(WeeklyIndicators!Y:Y,MATCH(A214,WeeklyIndicators!A:A,0))</f>
        <v>158.36000000000001</v>
      </c>
      <c r="J214">
        <f t="shared" si="598"/>
        <v>2</v>
      </c>
      <c r="K214">
        <f>ROUND(INDEX(Economic!AF:AF,MATCH(EOMONTH($A214,-1),Economic!A:A,0)),2)</f>
        <v>115.2</v>
      </c>
      <c r="L214" s="11">
        <f t="shared" si="607"/>
        <v>1</v>
      </c>
      <c r="M214">
        <f>ROUND(INDEX(Manufacturing!P:P,MATCH(EOMONTH($A214,-1),Manufacturing!A:A,0)),2)</f>
        <v>103.3</v>
      </c>
      <c r="N214">
        <f t="shared" si="603"/>
        <v>2</v>
      </c>
      <c r="O214">
        <f>ROUND(INDEX(Housing!AC:AC,MATCH(EOMONTH($A214,-1),Housing!B:B,0)),2)</f>
        <v>112.57</v>
      </c>
      <c r="P214">
        <f t="shared" si="604"/>
        <v>0</v>
      </c>
      <c r="Q214">
        <f>ROUND(INDEX(Spending!AJ:AJ,MATCH(EOMONTH($A214,-1),Spending!B:B,0)),2)</f>
        <v>65.489999999999995</v>
      </c>
      <c r="R214">
        <f t="shared" si="608"/>
        <v>2</v>
      </c>
      <c r="S214">
        <f>ROUND(INDEX(Employment!V:V,MATCH(EOMONTH($A214,-1),Employment!A:A,0)),2)</f>
        <v>184.36</v>
      </c>
      <c r="T214" s="11">
        <f t="shared" si="605"/>
        <v>2</v>
      </c>
      <c r="U214">
        <f t="shared" si="597"/>
        <v>32</v>
      </c>
      <c r="V214">
        <f t="shared" si="589"/>
        <v>81.67</v>
      </c>
      <c r="W214" s="13">
        <f t="shared" si="590"/>
        <v>-1.2999999999999999E-3</v>
      </c>
      <c r="X214" s="13">
        <f t="shared" si="591"/>
        <v>1.77E-2</v>
      </c>
      <c r="Y214">
        <f t="shared" si="583"/>
        <v>85.16</v>
      </c>
      <c r="Z214" s="13">
        <f t="shared" si="578"/>
        <v>-2.3E-3</v>
      </c>
      <c r="AA214" s="13">
        <f t="shared" si="574"/>
        <v>1.3299999999999999E-2</v>
      </c>
      <c r="AB214" s="6">
        <f t="shared" si="584"/>
        <v>93.522999999999996</v>
      </c>
      <c r="AC214">
        <f t="shared" si="576"/>
        <v>47</v>
      </c>
      <c r="AD214" s="11">
        <f t="shared" si="577"/>
        <v>1</v>
      </c>
      <c r="AE214">
        <f t="shared" si="575"/>
        <v>35</v>
      </c>
      <c r="AF214">
        <f>IF(AND(AE214&lt;15,OR(AC214&gt;=30,AA214&gt;0.15,X214&gt;=0.15)),2,VLOOKUP(AE214,Table!P:Q,2,FALSE))</f>
        <v>5</v>
      </c>
      <c r="AG214" s="22">
        <f>IF((AB214*0.98)-(D214*0.8)+((AF214-3)*3)+VLOOKUP(AM214,Table!$A$11:$B$13,2,FALSE)&lt;0,0,(AB214*0.98)-(D214*0.8)+((AF214-3)*3)+VLOOKUP(AM214,Table!$A$11:$B$13,2,FALSE))</f>
        <v>95.500539999999987</v>
      </c>
      <c r="AH214" s="22">
        <f t="shared" si="606"/>
        <v>96</v>
      </c>
      <c r="AI214" s="18">
        <f t="shared" si="599"/>
        <v>0.03</v>
      </c>
      <c r="AJ214" s="18">
        <f t="shared" si="600"/>
        <v>0.05</v>
      </c>
      <c r="AK214" t="str">
        <f t="shared" si="585"/>
        <v/>
      </c>
      <c r="AL214">
        <f t="shared" si="596"/>
        <v>34.75</v>
      </c>
      <c r="AM214" s="11" t="str">
        <f t="shared" si="586"/>
        <v>Stocks</v>
      </c>
      <c r="AN214" t="str">
        <f t="shared" si="592"/>
        <v>Buy</v>
      </c>
      <c r="AO214" s="13">
        <f t="shared" si="593"/>
        <v>-2.69E-2</v>
      </c>
      <c r="AP214" s="13">
        <f t="shared" si="594"/>
        <v>0</v>
      </c>
      <c r="AQ214" s="13">
        <f t="shared" si="595"/>
        <v>-2.58E-2</v>
      </c>
      <c r="AR214" s="13">
        <f t="shared" si="587"/>
        <v>-2.69E-2</v>
      </c>
      <c r="AS214" s="6">
        <f t="shared" si="579"/>
        <v>492.74422824199826</v>
      </c>
      <c r="AT214" s="6">
        <f t="shared" si="580"/>
        <v>185.97425508967711</v>
      </c>
      <c r="AU214" s="6">
        <f t="shared" si="581"/>
        <v>783.72953489037786</v>
      </c>
      <c r="AV214" s="6">
        <f t="shared" si="582"/>
        <v>1155.6626231517573</v>
      </c>
      <c r="AW214" s="58">
        <f t="shared" si="588"/>
        <v>2014</v>
      </c>
      <c r="AX214" s="58">
        <f>COUNTIF(AW$3:AW214,AW214)</f>
        <v>23</v>
      </c>
    </row>
    <row r="215" spans="1:50" x14ac:dyDescent="0.25">
      <c r="A215" s="5">
        <v>41840</v>
      </c>
      <c r="B215">
        <v>1978.22</v>
      </c>
      <c r="C215">
        <v>0.02</v>
      </c>
      <c r="D215" s="6">
        <v>12.06</v>
      </c>
      <c r="E215" s="18">
        <f t="shared" si="601"/>
        <v>11.49</v>
      </c>
      <c r="F215">
        <f t="shared" si="602"/>
        <v>2</v>
      </c>
      <c r="G215" s="18">
        <f>ROUND(INDEX(Valuation!U:U,MATCH(A215,Valuation!A:A,0)),2)</f>
        <v>119.76</v>
      </c>
      <c r="H215">
        <f t="shared" si="573"/>
        <v>0</v>
      </c>
      <c r="I215" s="18">
        <f>INDEX(WeeklyIndicators!Y:Y,MATCH(A215,WeeklyIndicators!A:A,0))</f>
        <v>158.12</v>
      </c>
      <c r="J215">
        <f t="shared" si="598"/>
        <v>2</v>
      </c>
      <c r="K215">
        <f>ROUND(INDEX(Economic!AF:AF,MATCH(EOMONTH($A215,-1),Economic!A:A,0)),2)</f>
        <v>115.2</v>
      </c>
      <c r="L215" s="11">
        <f t="shared" si="607"/>
        <v>1</v>
      </c>
      <c r="M215">
        <f>ROUND(INDEX(Manufacturing!P:P,MATCH(EOMONTH($A215,-1),Manufacturing!A:A,0)),2)</f>
        <v>103.3</v>
      </c>
      <c r="N215">
        <f t="shared" si="603"/>
        <v>2</v>
      </c>
      <c r="O215">
        <f>ROUND(INDEX(Housing!AC:AC,MATCH(EOMONTH($A215,-1),Housing!B:B,0)),2)</f>
        <v>112.57</v>
      </c>
      <c r="P215">
        <f t="shared" si="604"/>
        <v>0</v>
      </c>
      <c r="Q215">
        <f>ROUND(INDEX(Spending!AJ:AJ,MATCH(EOMONTH($A215,-1),Spending!B:B,0)),2)</f>
        <v>65.489999999999995</v>
      </c>
      <c r="R215">
        <f t="shared" si="608"/>
        <v>2</v>
      </c>
      <c r="S215">
        <f>ROUND(INDEX(Employment!V:V,MATCH(EOMONTH($A215,-1),Employment!A:A,0)),2)</f>
        <v>184.36</v>
      </c>
      <c r="T215" s="11">
        <f t="shared" si="605"/>
        <v>2</v>
      </c>
      <c r="U215">
        <f t="shared" si="597"/>
        <v>31</v>
      </c>
      <c r="V215">
        <f t="shared" si="589"/>
        <v>81.64</v>
      </c>
      <c r="W215" s="13">
        <f t="shared" si="590"/>
        <v>5.7000000000000002E-3</v>
      </c>
      <c r="X215" s="13">
        <f t="shared" si="591"/>
        <v>2.3899999999999998E-2</v>
      </c>
      <c r="Y215">
        <f t="shared" si="583"/>
        <v>85.3</v>
      </c>
      <c r="Z215" s="13">
        <f t="shared" si="578"/>
        <v>5.3E-3</v>
      </c>
      <c r="AA215" s="13">
        <f t="shared" si="574"/>
        <v>1.6999999999999998E-2</v>
      </c>
      <c r="AB215" s="6">
        <f t="shared" si="584"/>
        <v>93.876000000000005</v>
      </c>
      <c r="AC215">
        <f t="shared" si="576"/>
        <v>47</v>
      </c>
      <c r="AD215" s="11">
        <f t="shared" si="577"/>
        <v>1</v>
      </c>
      <c r="AE215">
        <f t="shared" si="575"/>
        <v>34</v>
      </c>
      <c r="AF215">
        <f>IF(AND(AE215&lt;15,OR(AC215&gt;=30,AA215&gt;0.15,X215&gt;=0.15)),2,VLOOKUP(AE215,Table!P:Q,2,FALSE))</f>
        <v>5</v>
      </c>
      <c r="AG215" s="22">
        <f>IF((AB215*0.98)-(D215*0.8)+((AF215-3)*3)+VLOOKUP(AM215,Table!$A$11:$B$13,2,FALSE)&lt;0,0,(AB215*0.98)-(D215*0.8)+((AF215-3)*3)+VLOOKUP(AM215,Table!$A$11:$B$13,2,FALSE))</f>
        <v>96.350480000000005</v>
      </c>
      <c r="AH215" s="22">
        <f t="shared" si="606"/>
        <v>97</v>
      </c>
      <c r="AI215" s="18">
        <f t="shared" si="599"/>
        <v>0.03</v>
      </c>
      <c r="AJ215" s="18">
        <f t="shared" si="600"/>
        <v>0.05</v>
      </c>
      <c r="AK215" t="str">
        <f t="shared" si="585"/>
        <v/>
      </c>
      <c r="AL215">
        <f t="shared" si="596"/>
        <v>34.25</v>
      </c>
      <c r="AM215" s="11" t="str">
        <f t="shared" si="586"/>
        <v>Stocks</v>
      </c>
      <c r="AN215" t="str">
        <f t="shared" si="592"/>
        <v>Buy</v>
      </c>
      <c r="AO215" s="13">
        <f t="shared" si="593"/>
        <v>1E-4</v>
      </c>
      <c r="AP215" s="13">
        <f t="shared" si="594"/>
        <v>0</v>
      </c>
      <c r="AQ215" s="13">
        <f t="shared" si="595"/>
        <v>1E-4</v>
      </c>
      <c r="AR215" s="13">
        <f t="shared" si="587"/>
        <v>1E-4</v>
      </c>
      <c r="AS215" s="6">
        <f t="shared" si="579"/>
        <v>492.69495874612363</v>
      </c>
      <c r="AT215" s="6">
        <f t="shared" si="580"/>
        <v>185.97425508967711</v>
      </c>
      <c r="AU215" s="6">
        <f t="shared" si="581"/>
        <v>783.65116977340051</v>
      </c>
      <c r="AV215" s="6">
        <f t="shared" si="582"/>
        <v>1155.5470684449128</v>
      </c>
      <c r="AW215" s="58">
        <f t="shared" si="588"/>
        <v>2014</v>
      </c>
      <c r="AX215" s="58">
        <f>COUNTIF(AW$3:AW215,AW215)</f>
        <v>24</v>
      </c>
    </row>
    <row r="216" spans="1:50" x14ac:dyDescent="0.25">
      <c r="A216" s="5">
        <v>41833</v>
      </c>
      <c r="B216">
        <v>1967.57</v>
      </c>
      <c r="C216">
        <v>0.03</v>
      </c>
      <c r="D216" s="6">
        <v>12.08</v>
      </c>
      <c r="E216" s="18">
        <f t="shared" si="601"/>
        <v>11.22</v>
      </c>
      <c r="F216">
        <f t="shared" si="602"/>
        <v>2</v>
      </c>
      <c r="G216" s="18">
        <f>ROUND(INDEX(Valuation!U:U,MATCH(A216,Valuation!A:A,0)),2)</f>
        <v>119.03</v>
      </c>
      <c r="H216">
        <f t="shared" si="573"/>
        <v>0</v>
      </c>
      <c r="I216" s="18">
        <f>INDEX(WeeklyIndicators!Y:Y,MATCH(A216,WeeklyIndicators!A:A,0))</f>
        <v>158.97999999999999</v>
      </c>
      <c r="J216">
        <f t="shared" si="598"/>
        <v>2</v>
      </c>
      <c r="K216">
        <f>ROUND(INDEX(Economic!AF:AF,MATCH(EOMONTH($A216,-1),Economic!A:A,0)),2)</f>
        <v>115.2</v>
      </c>
      <c r="L216" s="11">
        <f t="shared" si="607"/>
        <v>1</v>
      </c>
      <c r="M216">
        <f>ROUND(INDEX(Manufacturing!P:P,MATCH(EOMONTH($A216,-1),Manufacturing!A:A,0)),2)</f>
        <v>103.3</v>
      </c>
      <c r="N216">
        <f t="shared" si="603"/>
        <v>2</v>
      </c>
      <c r="O216">
        <f>ROUND(INDEX(Housing!AC:AC,MATCH(EOMONTH($A216,-1),Housing!B:B,0)),2)</f>
        <v>112.57</v>
      </c>
      <c r="P216">
        <f t="shared" si="604"/>
        <v>0</v>
      </c>
      <c r="Q216">
        <f>ROUND(INDEX(Spending!AJ:AJ,MATCH(EOMONTH($A216,-1),Spending!B:B,0)),2)</f>
        <v>65.489999999999995</v>
      </c>
      <c r="R216">
        <f t="shared" si="608"/>
        <v>2</v>
      </c>
      <c r="S216">
        <f>ROUND(INDEX(Employment!V:V,MATCH(EOMONTH($A216,-1),Employment!A:A,0)),2)</f>
        <v>184.36</v>
      </c>
      <c r="T216" s="11">
        <f t="shared" si="605"/>
        <v>2</v>
      </c>
      <c r="U216">
        <f t="shared" si="597"/>
        <v>31</v>
      </c>
      <c r="V216">
        <f t="shared" si="589"/>
        <v>81.73</v>
      </c>
      <c r="W216" s="13">
        <f t="shared" si="590"/>
        <v>5.1999999999999998E-3</v>
      </c>
      <c r="X216" s="13">
        <f t="shared" si="591"/>
        <v>2.8799999999999999E-2</v>
      </c>
      <c r="Y216">
        <f t="shared" si="583"/>
        <v>85.41</v>
      </c>
      <c r="Z216" s="13">
        <f t="shared" si="578"/>
        <v>4.1000000000000003E-3</v>
      </c>
      <c r="AA216" s="13">
        <f t="shared" si="574"/>
        <v>1.7899999999999999E-2</v>
      </c>
      <c r="AB216" s="6">
        <f t="shared" si="584"/>
        <v>94.02300000000001</v>
      </c>
      <c r="AC216">
        <f t="shared" si="576"/>
        <v>47</v>
      </c>
      <c r="AD216" s="11">
        <f t="shared" si="577"/>
        <v>1</v>
      </c>
      <c r="AE216">
        <f t="shared" si="575"/>
        <v>34</v>
      </c>
      <c r="AF216">
        <f>IF(AND(AE216&lt;15,OR(AC216&gt;=30,AA216&gt;0.15,X216&gt;=0.15)),2,VLOOKUP(AE216,Table!P:Q,2,FALSE))</f>
        <v>5</v>
      </c>
      <c r="AG216" s="22">
        <f>IF((AB216*0.98)-(D216*0.8)+((AF216-3)*3)+VLOOKUP(AM216,Table!$A$11:$B$13,2,FALSE)&lt;0,0,(AB216*0.98)-(D216*0.8)+((AF216-3)*3)+VLOOKUP(AM216,Table!$A$11:$B$13,2,FALSE))</f>
        <v>96.47854000000001</v>
      </c>
      <c r="AH216" s="22">
        <f t="shared" si="606"/>
        <v>97</v>
      </c>
      <c r="AI216" s="18">
        <f t="shared" si="599"/>
        <v>0.03</v>
      </c>
      <c r="AJ216" s="18">
        <f t="shared" si="600"/>
        <v>0.05</v>
      </c>
      <c r="AK216" t="str">
        <f t="shared" si="585"/>
        <v/>
      </c>
      <c r="AL216">
        <f t="shared" si="596"/>
        <v>34.25</v>
      </c>
      <c r="AM216" s="11" t="str">
        <f t="shared" si="586"/>
        <v>Stocks</v>
      </c>
      <c r="AN216" t="str">
        <f t="shared" si="592"/>
        <v>Buy</v>
      </c>
      <c r="AO216" s="13">
        <f t="shared" si="593"/>
        <v>5.4000000000000003E-3</v>
      </c>
      <c r="AP216" s="13">
        <f t="shared" si="594"/>
        <v>0</v>
      </c>
      <c r="AQ216" s="13">
        <f t="shared" si="595"/>
        <v>5.1999999999999998E-3</v>
      </c>
      <c r="AR216" s="13">
        <f t="shared" si="587"/>
        <v>5.4000000000000003E-3</v>
      </c>
      <c r="AS216" s="6">
        <f t="shared" si="579"/>
        <v>490.04869578886371</v>
      </c>
      <c r="AT216" s="6">
        <f t="shared" si="580"/>
        <v>185.97425508967711</v>
      </c>
      <c r="AU216" s="6">
        <f t="shared" si="581"/>
        <v>779.59726400059731</v>
      </c>
      <c r="AV216" s="6">
        <f t="shared" si="582"/>
        <v>1149.3406290480532</v>
      </c>
      <c r="AW216" s="58">
        <f t="shared" si="588"/>
        <v>2014</v>
      </c>
      <c r="AX216" s="58">
        <f>COUNTIF(AW$3:AW216,AW216)</f>
        <v>25</v>
      </c>
    </row>
    <row r="217" spans="1:50" x14ac:dyDescent="0.25">
      <c r="A217" s="5">
        <v>41826</v>
      </c>
      <c r="B217">
        <v>1985.44</v>
      </c>
      <c r="C217">
        <v>0.02</v>
      </c>
      <c r="D217" s="6">
        <v>10.32</v>
      </c>
      <c r="E217" s="18">
        <f t="shared" si="601"/>
        <v>10.81</v>
      </c>
      <c r="F217">
        <f t="shared" si="602"/>
        <v>3</v>
      </c>
      <c r="G217" s="18">
        <f>ROUND(INDEX(Valuation!U:U,MATCH(A217,Valuation!A:A,0)),2)</f>
        <v>118.56</v>
      </c>
      <c r="H217">
        <f t="shared" si="573"/>
        <v>0</v>
      </c>
      <c r="I217" s="18">
        <f>INDEX(WeeklyIndicators!Y:Y,MATCH(A217,WeeklyIndicators!A:A,0))</f>
        <v>161.33000000000001</v>
      </c>
      <c r="J217">
        <f t="shared" si="598"/>
        <v>2</v>
      </c>
      <c r="K217">
        <f>ROUND(INDEX(Economic!AF:AF,MATCH(EOMONTH($A217,-1),Economic!A:A,0)),2)</f>
        <v>115.2</v>
      </c>
      <c r="L217" s="11">
        <f t="shared" si="607"/>
        <v>1</v>
      </c>
      <c r="M217">
        <f>ROUND(INDEX(Manufacturing!P:P,MATCH(EOMONTH($A217,-1),Manufacturing!A:A,0)),2)</f>
        <v>103.3</v>
      </c>
      <c r="N217">
        <f t="shared" si="603"/>
        <v>2</v>
      </c>
      <c r="O217">
        <f>ROUND(INDEX(Housing!AC:AC,MATCH(EOMONTH($A217,-1),Housing!B:B,0)),2)</f>
        <v>112.57</v>
      </c>
      <c r="P217">
        <f t="shared" si="604"/>
        <v>0</v>
      </c>
      <c r="Q217">
        <f>ROUND(INDEX(Spending!AJ:AJ,MATCH(EOMONTH($A217,-1),Spending!B:B,0)),2)</f>
        <v>65.489999999999995</v>
      </c>
      <c r="R217">
        <f t="shared" si="608"/>
        <v>2</v>
      </c>
      <c r="S217">
        <f>ROUND(INDEX(Employment!V:V,MATCH(EOMONTH($A217,-1),Employment!A:A,0)),2)</f>
        <v>184.36</v>
      </c>
      <c r="T217" s="11">
        <f t="shared" si="605"/>
        <v>2</v>
      </c>
      <c r="U217">
        <f t="shared" si="597"/>
        <v>32</v>
      </c>
      <c r="V217">
        <f t="shared" si="589"/>
        <v>81.98</v>
      </c>
      <c r="W217" s="13">
        <f t="shared" si="590"/>
        <v>8.0999999999999996E-3</v>
      </c>
      <c r="X217" s="13">
        <f t="shared" si="591"/>
        <v>4.1999999999999996E-2</v>
      </c>
      <c r="Y217">
        <f t="shared" si="583"/>
        <v>85.74</v>
      </c>
      <c r="Z217" s="13">
        <f t="shared" si="578"/>
        <v>6.1999999999999998E-3</v>
      </c>
      <c r="AA217" s="13">
        <f t="shared" si="574"/>
        <v>2.7699999999999999E-2</v>
      </c>
      <c r="AB217" s="6">
        <f t="shared" si="584"/>
        <v>95.105999999999995</v>
      </c>
      <c r="AC217">
        <f t="shared" si="576"/>
        <v>48</v>
      </c>
      <c r="AD217" s="11">
        <f t="shared" si="577"/>
        <v>2</v>
      </c>
      <c r="AE217">
        <f t="shared" si="575"/>
        <v>36</v>
      </c>
      <c r="AF217">
        <f>IF(AND(AE217&lt;15,OR(AC217&gt;=30,AA217&gt;0.15,X217&gt;=0.15)),2,VLOOKUP(AE217,Table!P:Q,2,FALSE))</f>
        <v>5</v>
      </c>
      <c r="AG217" s="22">
        <f>IF((AB217*0.98)-(D217*0.8)+((AF217-3)*3)+VLOOKUP(AM217,Table!$A$11:$B$13,2,FALSE)&lt;0,0,(AB217*0.98)-(D217*0.8)+((AF217-3)*3)+VLOOKUP(AM217,Table!$A$11:$B$13,2,FALSE))</f>
        <v>98.947879999999998</v>
      </c>
      <c r="AH217" s="22">
        <f t="shared" si="606"/>
        <v>98</v>
      </c>
      <c r="AI217" s="18">
        <f t="shared" si="599"/>
        <v>0.03</v>
      </c>
      <c r="AJ217" s="18">
        <f t="shared" si="600"/>
        <v>0.05</v>
      </c>
      <c r="AK217" t="str">
        <f t="shared" si="585"/>
        <v/>
      </c>
      <c r="AL217">
        <f t="shared" si="596"/>
        <v>34.25</v>
      </c>
      <c r="AM217" s="11" t="str">
        <f t="shared" si="586"/>
        <v>Stocks</v>
      </c>
      <c r="AN217" t="str">
        <f t="shared" si="592"/>
        <v>Buy</v>
      </c>
      <c r="AO217" s="13">
        <f t="shared" si="593"/>
        <v>-8.9999999999999993E-3</v>
      </c>
      <c r="AP217" s="13">
        <f t="shared" si="594"/>
        <v>0</v>
      </c>
      <c r="AQ217" s="13">
        <f t="shared" si="595"/>
        <v>-8.8000000000000005E-3</v>
      </c>
      <c r="AR217" s="13">
        <f t="shared" si="587"/>
        <v>-8.9999999999999993E-3</v>
      </c>
      <c r="AS217" s="6">
        <f t="shared" si="579"/>
        <v>494.49918848523077</v>
      </c>
      <c r="AT217" s="6">
        <f t="shared" si="580"/>
        <v>185.97425508967711</v>
      </c>
      <c r="AU217" s="6">
        <f t="shared" si="581"/>
        <v>786.51862792634915</v>
      </c>
      <c r="AV217" s="6">
        <f t="shared" si="582"/>
        <v>1159.7786367790648</v>
      </c>
      <c r="AW217" s="58">
        <f t="shared" si="588"/>
        <v>2014</v>
      </c>
      <c r="AX217" s="58">
        <f>COUNTIF(AW$3:AW217,AW217)</f>
        <v>26</v>
      </c>
    </row>
    <row r="218" spans="1:50" x14ac:dyDescent="0.25">
      <c r="A218" s="5">
        <v>41819</v>
      </c>
      <c r="B218">
        <v>1960.96</v>
      </c>
      <c r="C218">
        <v>0.03</v>
      </c>
      <c r="D218" s="6">
        <v>11.26</v>
      </c>
      <c r="E218" s="18">
        <f t="shared" si="601"/>
        <v>11.43</v>
      </c>
      <c r="F218">
        <f t="shared" si="602"/>
        <v>2</v>
      </c>
      <c r="G218" s="18">
        <f>ROUND(INDEX(Valuation!U:U,MATCH(A218,Valuation!A:A,0)),2)</f>
        <v>120</v>
      </c>
      <c r="H218">
        <f t="shared" si="573"/>
        <v>0</v>
      </c>
      <c r="I218" s="18">
        <f>INDEX(WeeklyIndicators!Y:Y,MATCH(A218,WeeklyIndicators!A:A,0))</f>
        <v>165.01</v>
      </c>
      <c r="J218">
        <f t="shared" si="598"/>
        <v>2</v>
      </c>
      <c r="K218">
        <f>ROUND(INDEX(Economic!AF:AF,MATCH(EOMONTH($A218,-1),Economic!A:A,0)),2)</f>
        <v>111.1</v>
      </c>
      <c r="L218" s="11">
        <f t="shared" si="607"/>
        <v>1</v>
      </c>
      <c r="M218">
        <f>ROUND(INDEX(Manufacturing!P:P,MATCH(EOMONTH($A218,-1),Manufacturing!A:A,0)),2)</f>
        <v>98.72</v>
      </c>
      <c r="N218">
        <f t="shared" si="603"/>
        <v>1</v>
      </c>
      <c r="O218">
        <f>ROUND(INDEX(Housing!AC:AC,MATCH(EOMONTH($A218,-1),Housing!B:B,0)),2)</f>
        <v>110.71</v>
      </c>
      <c r="P218">
        <f t="shared" si="604"/>
        <v>0</v>
      </c>
      <c r="Q218">
        <f>ROUND(INDEX(Spending!AJ:AJ,MATCH(EOMONTH($A218,-1),Spending!B:B,0)),2)</f>
        <v>62.83</v>
      </c>
      <c r="R218">
        <f t="shared" si="608"/>
        <v>2</v>
      </c>
      <c r="S218">
        <f>ROUND(INDEX(Employment!V:V,MATCH(EOMONTH($A218,-1),Employment!A:A,0)),2)</f>
        <v>178.01</v>
      </c>
      <c r="T218" s="11">
        <f t="shared" si="605"/>
        <v>2</v>
      </c>
      <c r="U218">
        <f t="shared" si="597"/>
        <v>30</v>
      </c>
      <c r="V218">
        <f t="shared" si="589"/>
        <v>80.25</v>
      </c>
      <c r="W218" s="13">
        <f t="shared" si="590"/>
        <v>4.8999999999999998E-3</v>
      </c>
      <c r="X218" s="13">
        <f t="shared" si="591"/>
        <v>4.5499999999999999E-2</v>
      </c>
      <c r="Y218">
        <f t="shared" si="583"/>
        <v>83.95</v>
      </c>
      <c r="Z218" s="13">
        <f t="shared" si="578"/>
        <v>1.4E-3</v>
      </c>
      <c r="AA218" s="13">
        <f t="shared" si="574"/>
        <v>3.1099999999999996E-2</v>
      </c>
      <c r="AB218" s="6">
        <f t="shared" si="584"/>
        <v>93.66</v>
      </c>
      <c r="AC218">
        <f t="shared" si="576"/>
        <v>47</v>
      </c>
      <c r="AD218" s="11">
        <f t="shared" si="577"/>
        <v>1</v>
      </c>
      <c r="AE218">
        <f t="shared" si="575"/>
        <v>33</v>
      </c>
      <c r="AF218">
        <f>IF(AND(AE218&lt;15,OR(AC218&gt;=30,AA218&gt;0.15,X218&gt;=0.15)),2,VLOOKUP(AE218,Table!P:Q,2,FALSE))</f>
        <v>5</v>
      </c>
      <c r="AG218" s="22">
        <f>IF((AB218*0.98)-(D218*0.8)+((AF218-3)*3)+VLOOKUP(AM218,Table!$A$11:$B$13,2,FALSE)&lt;0,0,(AB218*0.98)-(D218*0.8)+((AF218-3)*3)+VLOOKUP(AM218,Table!$A$11:$B$13,2,FALSE))</f>
        <v>96.778800000000004</v>
      </c>
      <c r="AH218" s="22">
        <f t="shared" si="606"/>
        <v>97</v>
      </c>
      <c r="AI218" s="18">
        <f t="shared" si="599"/>
        <v>0.03</v>
      </c>
      <c r="AJ218" s="18">
        <f t="shared" si="600"/>
        <v>0.05</v>
      </c>
      <c r="AK218" t="str">
        <f t="shared" si="585"/>
        <v/>
      </c>
      <c r="AL218">
        <f t="shared" si="596"/>
        <v>33.75</v>
      </c>
      <c r="AM218" s="11" t="str">
        <f t="shared" si="586"/>
        <v>Stocks</v>
      </c>
      <c r="AN218" t="str">
        <f t="shared" si="592"/>
        <v>Buy</v>
      </c>
      <c r="AO218" s="13">
        <f t="shared" si="593"/>
        <v>1.2500000000000001E-2</v>
      </c>
      <c r="AP218" s="13">
        <f t="shared" si="594"/>
        <v>0</v>
      </c>
      <c r="AQ218" s="13">
        <f t="shared" si="595"/>
        <v>1.21E-2</v>
      </c>
      <c r="AR218" s="13">
        <f t="shared" si="587"/>
        <v>1.2500000000000001E-2</v>
      </c>
      <c r="AS218" s="6">
        <f t="shared" si="579"/>
        <v>488.3942602323267</v>
      </c>
      <c r="AT218" s="6">
        <f t="shared" si="580"/>
        <v>185.97425508967711</v>
      </c>
      <c r="AU218" s="6">
        <f t="shared" si="581"/>
        <v>777.11553001318953</v>
      </c>
      <c r="AV218" s="6">
        <f t="shared" si="582"/>
        <v>1145.4603820040147</v>
      </c>
      <c r="AW218" s="58">
        <f t="shared" si="588"/>
        <v>2014</v>
      </c>
      <c r="AX218" s="58">
        <f>COUNTIF(AW$3:AW218,AW218)</f>
        <v>27</v>
      </c>
    </row>
    <row r="219" spans="1:50" x14ac:dyDescent="0.25">
      <c r="A219" s="5">
        <v>41812</v>
      </c>
      <c r="B219">
        <v>1962.87</v>
      </c>
      <c r="C219">
        <v>0.03</v>
      </c>
      <c r="D219" s="6">
        <v>10.85</v>
      </c>
      <c r="E219" s="18">
        <f t="shared" si="601"/>
        <v>11.25</v>
      </c>
      <c r="F219">
        <f t="shared" si="602"/>
        <v>2</v>
      </c>
      <c r="G219" s="18">
        <f>ROUND(INDEX(Valuation!U:U,MATCH(A219,Valuation!A:A,0)),2)</f>
        <v>121</v>
      </c>
      <c r="H219">
        <f t="shared" si="573"/>
        <v>1</v>
      </c>
      <c r="I219" s="18">
        <f>INDEX(WeeklyIndicators!Y:Y,MATCH(A219,WeeklyIndicators!A:A,0))</f>
        <v>167.26</v>
      </c>
      <c r="J219">
        <f t="shared" si="598"/>
        <v>2</v>
      </c>
      <c r="K219">
        <f>ROUND(INDEX(Economic!AF:AF,MATCH(EOMONTH($A219,-1),Economic!A:A,0)),2)</f>
        <v>111.1</v>
      </c>
      <c r="L219" s="11">
        <f t="shared" si="607"/>
        <v>1</v>
      </c>
      <c r="M219">
        <f>ROUND(INDEX(Manufacturing!P:P,MATCH(EOMONTH($A219,-1),Manufacturing!A:A,0)),2)</f>
        <v>98.72</v>
      </c>
      <c r="N219">
        <f t="shared" si="603"/>
        <v>1</v>
      </c>
      <c r="O219">
        <f>ROUND(INDEX(Housing!AC:AC,MATCH(EOMONTH($A219,-1),Housing!B:B,0)),2)</f>
        <v>110.71</v>
      </c>
      <c r="P219">
        <f t="shared" si="604"/>
        <v>0</v>
      </c>
      <c r="Q219">
        <f>ROUND(INDEX(Spending!AJ:AJ,MATCH(EOMONTH($A219,-1),Spending!B:B,0)),2)</f>
        <v>62.83</v>
      </c>
      <c r="R219">
        <f t="shared" si="608"/>
        <v>2</v>
      </c>
      <c r="S219">
        <f>ROUND(INDEX(Employment!V:V,MATCH(EOMONTH($A219,-1),Employment!A:A,0)),2)</f>
        <v>178.01</v>
      </c>
      <c r="T219" s="11">
        <f t="shared" si="605"/>
        <v>2</v>
      </c>
      <c r="U219">
        <f t="shared" si="597"/>
        <v>31</v>
      </c>
      <c r="V219">
        <f t="shared" si="589"/>
        <v>80.48</v>
      </c>
      <c r="W219" s="13">
        <f t="shared" si="590"/>
        <v>1.06E-2</v>
      </c>
      <c r="X219" s="13">
        <f t="shared" si="591"/>
        <v>4.2199999999999994E-2</v>
      </c>
      <c r="Y219">
        <f t="shared" si="583"/>
        <v>84.36</v>
      </c>
      <c r="Z219" s="13">
        <f t="shared" si="578"/>
        <v>6.1999999999999998E-3</v>
      </c>
      <c r="AA219" s="13">
        <f t="shared" si="574"/>
        <v>3.1799999999999995E-2</v>
      </c>
      <c r="AB219" s="6">
        <f t="shared" si="584"/>
        <v>94.199999999999989</v>
      </c>
      <c r="AC219">
        <f t="shared" si="576"/>
        <v>47</v>
      </c>
      <c r="AD219" s="11">
        <f t="shared" si="577"/>
        <v>1</v>
      </c>
      <c r="AE219">
        <f t="shared" si="575"/>
        <v>34</v>
      </c>
      <c r="AF219">
        <f>IF(AND(AE219&lt;15,OR(AC219&gt;=30,AA219&gt;0.15,X219&gt;=0.15)),2,VLOOKUP(AE219,Table!P:Q,2,FALSE))</f>
        <v>5</v>
      </c>
      <c r="AG219" s="22">
        <f>IF((AB219*0.98)-(D219*0.8)+((AF219-3)*3)+VLOOKUP(AM219,Table!$A$11:$B$13,2,FALSE)&lt;0,0,(AB219*0.98)-(D219*0.8)+((AF219-3)*3)+VLOOKUP(AM219,Table!$A$11:$B$13,2,FALSE))</f>
        <v>97.635999999999996</v>
      </c>
      <c r="AH219" s="22">
        <f t="shared" si="606"/>
        <v>96</v>
      </c>
      <c r="AI219" s="18">
        <f t="shared" si="599"/>
        <v>0.04</v>
      </c>
      <c r="AJ219" s="18">
        <f t="shared" si="600"/>
        <v>0.05</v>
      </c>
      <c r="AK219" t="str">
        <f t="shared" si="585"/>
        <v/>
      </c>
      <c r="AL219">
        <f t="shared" si="596"/>
        <v>33.75</v>
      </c>
      <c r="AM219" s="11" t="str">
        <f t="shared" si="586"/>
        <v>Stocks</v>
      </c>
      <c r="AN219" t="str">
        <f t="shared" si="592"/>
        <v>Buy</v>
      </c>
      <c r="AO219" s="13">
        <f t="shared" si="593"/>
        <v>-1E-3</v>
      </c>
      <c r="AP219" s="13">
        <f t="shared" si="594"/>
        <v>0</v>
      </c>
      <c r="AQ219" s="13">
        <f t="shared" si="595"/>
        <v>-1E-3</v>
      </c>
      <c r="AR219" s="13">
        <f t="shared" si="587"/>
        <v>-1E-3</v>
      </c>
      <c r="AS219" s="6">
        <f t="shared" si="579"/>
        <v>488.88314337570239</v>
      </c>
      <c r="AT219" s="6">
        <f t="shared" si="580"/>
        <v>185.97425508967711</v>
      </c>
      <c r="AU219" s="6">
        <f t="shared" si="581"/>
        <v>777.89342343662611</v>
      </c>
      <c r="AV219" s="6">
        <f t="shared" si="582"/>
        <v>1146.6069889930077</v>
      </c>
      <c r="AW219" s="58">
        <f t="shared" si="588"/>
        <v>2014</v>
      </c>
      <c r="AX219" s="58">
        <f>COUNTIF(AW$3:AW219,AW219)</f>
        <v>28</v>
      </c>
    </row>
    <row r="220" spans="1:50" x14ac:dyDescent="0.25">
      <c r="A220" s="5">
        <v>41805</v>
      </c>
      <c r="B220">
        <v>1936.16</v>
      </c>
      <c r="C220">
        <v>0.04</v>
      </c>
      <c r="D220" s="6">
        <v>12.18</v>
      </c>
      <c r="E220" s="18">
        <f t="shared" si="601"/>
        <v>11.44</v>
      </c>
      <c r="F220">
        <f t="shared" si="602"/>
        <v>2</v>
      </c>
      <c r="G220" s="18">
        <f>ROUND(INDEX(Valuation!U:U,MATCH(A220,Valuation!A:A,0)),2)</f>
        <v>123.84</v>
      </c>
      <c r="H220">
        <f t="shared" ref="H220:H283" si="609">IF(G220&gt;200,3,IF(AND(G220&gt;160,G220&lt;=200),2,IF(AND(G220&gt;120,G220&lt;=160),1,IF(G220&lt;25,-3,IF(AND(G220&lt;50,G220&gt;=25),-2,IF(AND(G220&lt;90,G220&gt;=50),-1,0))))))</f>
        <v>1</v>
      </c>
      <c r="I220" s="18">
        <f>INDEX(WeeklyIndicators!Y:Y,MATCH(A220,WeeklyIndicators!A:A,0))</f>
        <v>163.04</v>
      </c>
      <c r="J220">
        <f t="shared" si="598"/>
        <v>2</v>
      </c>
      <c r="K220">
        <f>ROUND(INDEX(Economic!AF:AF,MATCH(EOMONTH($A220,-1),Economic!A:A,0)),2)</f>
        <v>111.1</v>
      </c>
      <c r="L220" s="11">
        <f t="shared" si="607"/>
        <v>1</v>
      </c>
      <c r="M220">
        <f>ROUND(INDEX(Manufacturing!P:P,MATCH(EOMONTH($A220,-1),Manufacturing!A:A,0)),2)</f>
        <v>98.72</v>
      </c>
      <c r="N220">
        <f t="shared" si="603"/>
        <v>1</v>
      </c>
      <c r="O220">
        <f>ROUND(INDEX(Housing!AC:AC,MATCH(EOMONTH($A220,-1),Housing!B:B,0)),2)</f>
        <v>110.71</v>
      </c>
      <c r="P220">
        <f t="shared" si="604"/>
        <v>0</v>
      </c>
      <c r="Q220">
        <f>ROUND(INDEX(Spending!AJ:AJ,MATCH(EOMONTH($A220,-1),Spending!B:B,0)),2)</f>
        <v>62.83</v>
      </c>
      <c r="R220">
        <f t="shared" si="608"/>
        <v>2</v>
      </c>
      <c r="S220">
        <f>ROUND(INDEX(Employment!V:V,MATCH(EOMONTH($A220,-1),Employment!A:A,0)),2)</f>
        <v>178.01</v>
      </c>
      <c r="T220" s="11">
        <f t="shared" si="605"/>
        <v>2</v>
      </c>
      <c r="U220">
        <f t="shared" si="597"/>
        <v>31</v>
      </c>
      <c r="V220">
        <f t="shared" si="589"/>
        <v>80.040000000000006</v>
      </c>
      <c r="W220" s="13">
        <f t="shared" si="590"/>
        <v>1.84E-2</v>
      </c>
      <c r="X220" s="13">
        <f t="shared" si="591"/>
        <v>1.9399999999999994E-2</v>
      </c>
      <c r="Y220">
        <f t="shared" si="583"/>
        <v>84.17</v>
      </c>
      <c r="Z220" s="13">
        <f t="shared" si="578"/>
        <v>1.3899999999999999E-2</v>
      </c>
      <c r="AA220" s="13">
        <f t="shared" si="574"/>
        <v>1.5200000000000002E-2</v>
      </c>
      <c r="AB220" s="6">
        <f t="shared" si="584"/>
        <v>92.933999999999997</v>
      </c>
      <c r="AC220">
        <f t="shared" si="576"/>
        <v>46</v>
      </c>
      <c r="AD220" s="11">
        <f t="shared" si="577"/>
        <v>1</v>
      </c>
      <c r="AE220">
        <f t="shared" si="575"/>
        <v>34</v>
      </c>
      <c r="AF220">
        <f>IF(AND(AE220&lt;15,OR(AC220&gt;=30,AA220&gt;0.15,X220&gt;=0.15)),2,VLOOKUP(AE220,Table!P:Q,2,FALSE))</f>
        <v>5</v>
      </c>
      <c r="AG220" s="22">
        <f>IF((AB220*0.98)-(D220*0.8)+((AF220-3)*3)+VLOOKUP(AM220,Table!$A$11:$B$13,2,FALSE)&lt;0,0,(AB220*0.98)-(D220*0.8)+((AF220-3)*3)+VLOOKUP(AM220,Table!$A$11:$B$13,2,FALSE))</f>
        <v>95.331319999999991</v>
      </c>
      <c r="AH220" s="22">
        <f t="shared" si="606"/>
        <v>95</v>
      </c>
      <c r="AI220" s="18">
        <f t="shared" si="599"/>
        <v>0.04</v>
      </c>
      <c r="AJ220" s="18">
        <f t="shared" si="600"/>
        <v>0.05</v>
      </c>
      <c r="AK220" t="str">
        <f t="shared" si="585"/>
        <v/>
      </c>
      <c r="AL220">
        <f t="shared" si="596"/>
        <v>33</v>
      </c>
      <c r="AM220" s="11" t="str">
        <f t="shared" si="586"/>
        <v>Stocks</v>
      </c>
      <c r="AN220" t="str">
        <f t="shared" si="592"/>
        <v>Buy</v>
      </c>
      <c r="AO220" s="13">
        <f t="shared" si="593"/>
        <v>1.38E-2</v>
      </c>
      <c r="AP220" s="13">
        <f t="shared" si="594"/>
        <v>0</v>
      </c>
      <c r="AQ220" s="13">
        <f t="shared" si="595"/>
        <v>1.3100000000000001E-2</v>
      </c>
      <c r="AR220" s="13">
        <f t="shared" si="587"/>
        <v>1.38E-2</v>
      </c>
      <c r="AS220" s="6">
        <f t="shared" si="579"/>
        <v>482.22839157200866</v>
      </c>
      <c r="AT220" s="6">
        <f t="shared" si="580"/>
        <v>185.97425508967711</v>
      </c>
      <c r="AU220" s="6">
        <f t="shared" si="581"/>
        <v>767.83478771752641</v>
      </c>
      <c r="AV220" s="6">
        <f t="shared" si="582"/>
        <v>1130.9992000325583</v>
      </c>
      <c r="AW220" s="58">
        <f t="shared" si="588"/>
        <v>2014</v>
      </c>
      <c r="AX220" s="58">
        <f>COUNTIF(AW$3:AW220,AW220)</f>
        <v>29</v>
      </c>
    </row>
    <row r="221" spans="1:50" x14ac:dyDescent="0.25">
      <c r="A221" s="5">
        <v>41798</v>
      </c>
      <c r="B221">
        <v>1949.44</v>
      </c>
      <c r="C221">
        <v>0.04</v>
      </c>
      <c r="D221" s="6">
        <v>10.73</v>
      </c>
      <c r="E221" s="18">
        <f t="shared" si="601"/>
        <v>11.16</v>
      </c>
      <c r="F221">
        <f t="shared" si="602"/>
        <v>2</v>
      </c>
      <c r="G221" s="18">
        <f>ROUND(INDEX(Valuation!U:U,MATCH(A221,Valuation!A:A,0)),2)</f>
        <v>126.49</v>
      </c>
      <c r="H221">
        <f t="shared" si="609"/>
        <v>1</v>
      </c>
      <c r="I221" s="18">
        <f>INDEX(WeeklyIndicators!Y:Y,MATCH(A221,WeeklyIndicators!A:A,0))</f>
        <v>153.66999999999999</v>
      </c>
      <c r="J221">
        <f t="shared" si="598"/>
        <v>2</v>
      </c>
      <c r="K221">
        <f>ROUND(INDEX(Economic!AF:AF,MATCH(EOMONTH($A221,-1),Economic!A:A,0)),2)</f>
        <v>111.1</v>
      </c>
      <c r="L221" s="11">
        <f t="shared" si="607"/>
        <v>1</v>
      </c>
      <c r="M221">
        <f>ROUND(INDEX(Manufacturing!P:P,MATCH(EOMONTH($A221,-1),Manufacturing!A:A,0)),2)</f>
        <v>98.72</v>
      </c>
      <c r="N221">
        <f t="shared" si="603"/>
        <v>1</v>
      </c>
      <c r="O221">
        <f>ROUND(INDEX(Housing!AC:AC,MATCH(EOMONTH($A221,-1),Housing!B:B,0)),2)</f>
        <v>110.71</v>
      </c>
      <c r="P221">
        <f t="shared" si="604"/>
        <v>0</v>
      </c>
      <c r="Q221">
        <f>ROUND(INDEX(Spending!AJ:AJ,MATCH(EOMONTH($A221,-1),Spending!B:B,0)),2)</f>
        <v>62.83</v>
      </c>
      <c r="R221">
        <f t="shared" si="608"/>
        <v>2</v>
      </c>
      <c r="S221">
        <f>ROUND(INDEX(Employment!V:V,MATCH(EOMONTH($A221,-1),Employment!A:A,0)),2)</f>
        <v>178.01</v>
      </c>
      <c r="T221" s="11">
        <f t="shared" si="605"/>
        <v>2</v>
      </c>
      <c r="U221">
        <f t="shared" si="597"/>
        <v>31</v>
      </c>
      <c r="V221">
        <f t="shared" si="589"/>
        <v>79.069999999999993</v>
      </c>
      <c r="W221" s="13">
        <f t="shared" si="590"/>
        <v>1.1599999999999999E-2</v>
      </c>
      <c r="X221" s="13">
        <f t="shared" si="591"/>
        <v>-2.8000000000000008E-3</v>
      </c>
      <c r="Y221">
        <f t="shared" si="583"/>
        <v>83.59</v>
      </c>
      <c r="Z221" s="13">
        <f t="shared" si="578"/>
        <v>9.5999999999999992E-3</v>
      </c>
      <c r="AA221" s="13">
        <f t="shared" si="574"/>
        <v>-1.4000000000000011E-3</v>
      </c>
      <c r="AB221" s="6">
        <f t="shared" si="584"/>
        <v>91.248999999999995</v>
      </c>
      <c r="AC221">
        <f t="shared" si="576"/>
        <v>46</v>
      </c>
      <c r="AD221" s="11">
        <f t="shared" si="577"/>
        <v>1</v>
      </c>
      <c r="AE221">
        <f t="shared" si="575"/>
        <v>34</v>
      </c>
      <c r="AF221">
        <f>IF(AND(AE221&lt;15,OR(AC221&gt;=30,AA221&gt;0.15,X221&gt;=0.15)),2,VLOOKUP(AE221,Table!P:Q,2,FALSE))</f>
        <v>5</v>
      </c>
      <c r="AG221" s="22">
        <f>IF((AB221*0.98)-(D221*0.8)+((AF221-3)*3)+VLOOKUP(AM221,Table!$A$11:$B$13,2,FALSE)&lt;0,0,(AB221*0.98)-(D221*0.8)+((AF221-3)*3)+VLOOKUP(AM221,Table!$A$11:$B$13,2,FALSE))</f>
        <v>94.840019999999996</v>
      </c>
      <c r="AH221" s="22">
        <f t="shared" si="606"/>
        <v>93</v>
      </c>
      <c r="AI221" s="18">
        <f t="shared" si="599"/>
        <v>0.04</v>
      </c>
      <c r="AJ221" s="18">
        <f t="shared" si="600"/>
        <v>0.05</v>
      </c>
      <c r="AK221" t="str">
        <f t="shared" si="585"/>
        <v/>
      </c>
      <c r="AL221">
        <f t="shared" si="596"/>
        <v>32.25</v>
      </c>
      <c r="AM221" s="11" t="str">
        <f t="shared" si="586"/>
        <v>Stocks</v>
      </c>
      <c r="AN221" t="str">
        <f t="shared" si="592"/>
        <v>Buy</v>
      </c>
      <c r="AO221" s="13">
        <f t="shared" si="593"/>
        <v>-6.7999999999999996E-3</v>
      </c>
      <c r="AP221" s="13">
        <f t="shared" si="594"/>
        <v>0</v>
      </c>
      <c r="AQ221" s="13">
        <f t="shared" si="595"/>
        <v>-6.3E-3</v>
      </c>
      <c r="AR221" s="13">
        <f t="shared" si="587"/>
        <v>-6.7999999999999996E-3</v>
      </c>
      <c r="AS221" s="6">
        <f t="shared" si="579"/>
        <v>485.52999554169219</v>
      </c>
      <c r="AT221" s="6">
        <f t="shared" si="580"/>
        <v>185.97425508967711</v>
      </c>
      <c r="AU221" s="6">
        <f t="shared" si="581"/>
        <v>772.70281545489217</v>
      </c>
      <c r="AV221" s="6">
        <f t="shared" si="582"/>
        <v>1138.7426500529182</v>
      </c>
      <c r="AW221" s="58">
        <f t="shared" si="588"/>
        <v>2014</v>
      </c>
      <c r="AX221" s="58">
        <f>COUNTIF(AW$3:AW221,AW221)</f>
        <v>30</v>
      </c>
    </row>
    <row r="222" spans="1:50" x14ac:dyDescent="0.25">
      <c r="A222" s="5">
        <v>41791</v>
      </c>
      <c r="B222">
        <v>1923.57</v>
      </c>
      <c r="C222">
        <v>0.04</v>
      </c>
      <c r="D222" s="6">
        <v>11.4</v>
      </c>
      <c r="E222" s="18">
        <f t="shared" si="601"/>
        <v>11.73</v>
      </c>
      <c r="F222">
        <f t="shared" si="602"/>
        <v>2</v>
      </c>
      <c r="G222" s="18">
        <f>ROUND(INDEX(Valuation!U:U,MATCH(A222,Valuation!A:A,0)),2)</f>
        <v>131.13</v>
      </c>
      <c r="H222">
        <f t="shared" si="609"/>
        <v>1</v>
      </c>
      <c r="I222" s="18">
        <f>INDEX(WeeklyIndicators!Y:Y,MATCH(A222,WeeklyIndicators!A:A,0))</f>
        <v>142.97</v>
      </c>
      <c r="J222">
        <f t="shared" si="598"/>
        <v>1</v>
      </c>
      <c r="K222">
        <f>ROUND(INDEX(Economic!AF:AF,MATCH(EOMONTH($A222,-1),Economic!A:A,0)),2)</f>
        <v>111.1</v>
      </c>
      <c r="L222" s="11">
        <f t="shared" si="607"/>
        <v>1</v>
      </c>
      <c r="M222">
        <f>ROUND(INDEX(Manufacturing!P:P,MATCH(EOMONTH($A222,-1),Manufacturing!A:A,0)),2)</f>
        <v>98.72</v>
      </c>
      <c r="N222">
        <f t="shared" si="603"/>
        <v>1</v>
      </c>
      <c r="O222">
        <f>ROUND(INDEX(Housing!AC:AC,MATCH(EOMONTH($A222,-1),Housing!B:B,0)),2)</f>
        <v>110.71</v>
      </c>
      <c r="P222">
        <f t="shared" si="604"/>
        <v>0</v>
      </c>
      <c r="Q222">
        <f>ROUND(INDEX(Spending!AJ:AJ,MATCH(EOMONTH($A222,-1),Spending!B:B,0)),2)</f>
        <v>62.83</v>
      </c>
      <c r="R222">
        <f t="shared" si="608"/>
        <v>2</v>
      </c>
      <c r="S222">
        <f>ROUND(INDEX(Employment!V:V,MATCH(EOMONTH($A222,-1),Employment!A:A,0)),2)</f>
        <v>178.01</v>
      </c>
      <c r="T222" s="11">
        <f t="shared" si="605"/>
        <v>2</v>
      </c>
      <c r="U222">
        <f t="shared" si="597"/>
        <v>30</v>
      </c>
      <c r="V222">
        <f t="shared" si="589"/>
        <v>77.959999999999994</v>
      </c>
      <c r="W222" s="13">
        <f t="shared" si="590"/>
        <v>1.6000000000000001E-3</v>
      </c>
      <c r="X222" s="13">
        <f t="shared" si="591"/>
        <v>-1.06E-2</v>
      </c>
      <c r="Y222">
        <f t="shared" si="583"/>
        <v>82.8</v>
      </c>
      <c r="Z222" s="13">
        <f t="shared" si="578"/>
        <v>2.0999999999999999E-3</v>
      </c>
      <c r="AA222" s="13">
        <f t="shared" si="574"/>
        <v>-7.4999999999999997E-3</v>
      </c>
      <c r="AB222" s="6">
        <f t="shared" si="584"/>
        <v>90.403000000000006</v>
      </c>
      <c r="AC222">
        <f t="shared" si="576"/>
        <v>45</v>
      </c>
      <c r="AD222" s="11">
        <f t="shared" si="577"/>
        <v>1</v>
      </c>
      <c r="AE222">
        <f t="shared" si="575"/>
        <v>33</v>
      </c>
      <c r="AF222">
        <f>IF(AND(AE222&lt;15,OR(AC222&gt;=30,AA222&gt;0.15,X222&gt;=0.15)),2,VLOOKUP(AE222,Table!P:Q,2,FALSE))</f>
        <v>5</v>
      </c>
      <c r="AG222" s="22">
        <f>IF((AB222*0.98)-(D222*0.8)+((AF222-3)*3)+VLOOKUP(AM222,Table!$A$11:$B$13,2,FALSE)&lt;0,0,(AB222*0.98)-(D222*0.8)+((AF222-3)*3)+VLOOKUP(AM222,Table!$A$11:$B$13,2,FALSE))</f>
        <v>93.474940000000004</v>
      </c>
      <c r="AH222" s="22">
        <f t="shared" si="606"/>
        <v>91</v>
      </c>
      <c r="AI222" s="18">
        <f t="shared" si="599"/>
        <v>0.04</v>
      </c>
      <c r="AJ222" s="18">
        <f t="shared" si="600"/>
        <v>0.05</v>
      </c>
      <c r="AK222" t="str">
        <f t="shared" si="585"/>
        <v/>
      </c>
      <c r="AL222">
        <f t="shared" si="596"/>
        <v>31.75</v>
      </c>
      <c r="AM222" s="11" t="str">
        <f t="shared" si="586"/>
        <v>Stocks</v>
      </c>
      <c r="AN222" t="str">
        <f t="shared" si="592"/>
        <v>Buy</v>
      </c>
      <c r="AO222" s="13">
        <f t="shared" si="593"/>
        <v>1.34E-2</v>
      </c>
      <c r="AP222" s="13">
        <f t="shared" si="594"/>
        <v>0</v>
      </c>
      <c r="AQ222" s="13">
        <f t="shared" si="595"/>
        <v>1.2200000000000001E-2</v>
      </c>
      <c r="AR222" s="13">
        <f t="shared" si="587"/>
        <v>1.34E-2</v>
      </c>
      <c r="AS222" s="6">
        <f t="shared" si="579"/>
        <v>479.10992257913176</v>
      </c>
      <c r="AT222" s="6">
        <f t="shared" si="580"/>
        <v>185.97425508967711</v>
      </c>
      <c r="AU222" s="6">
        <f t="shared" si="581"/>
        <v>763.38946399416341</v>
      </c>
      <c r="AV222" s="6">
        <f t="shared" si="582"/>
        <v>1123.6852674688357</v>
      </c>
      <c r="AW222" s="58">
        <f t="shared" si="588"/>
        <v>2014</v>
      </c>
      <c r="AX222" s="58">
        <f>COUNTIF(AW$3:AW222,AW222)</f>
        <v>31</v>
      </c>
    </row>
    <row r="223" spans="1:50" x14ac:dyDescent="0.25">
      <c r="A223" s="5">
        <v>41784</v>
      </c>
      <c r="B223">
        <v>1900.53</v>
      </c>
      <c r="C223">
        <v>0.03</v>
      </c>
      <c r="D223" s="6">
        <v>11.36</v>
      </c>
      <c r="E223" s="18">
        <f t="shared" si="601"/>
        <v>12.24</v>
      </c>
      <c r="F223">
        <f t="shared" si="602"/>
        <v>2</v>
      </c>
      <c r="G223" s="18">
        <f>ROUND(INDEX(Valuation!U:U,MATCH(A223,Valuation!A:A,0)),2)</f>
        <v>134</v>
      </c>
      <c r="H223">
        <f t="shared" si="609"/>
        <v>1</v>
      </c>
      <c r="I223" s="18">
        <f>INDEX(WeeklyIndicators!Y:Y,MATCH(A223,WeeklyIndicators!A:A,0))</f>
        <v>140.1</v>
      </c>
      <c r="J223">
        <f t="shared" si="598"/>
        <v>1</v>
      </c>
      <c r="K223">
        <f>ROUND(INDEX(Economic!AF:AF,MATCH(EOMONTH($A223,-1),Economic!A:A,0)),2)</f>
        <v>106.07</v>
      </c>
      <c r="L223" s="11">
        <f t="shared" si="607"/>
        <v>0</v>
      </c>
      <c r="M223">
        <f>ROUND(INDEX(Manufacturing!P:P,MATCH(EOMONTH($A223,-1),Manufacturing!A:A,0)),2)</f>
        <v>92.7</v>
      </c>
      <c r="N223">
        <f t="shared" si="603"/>
        <v>1</v>
      </c>
      <c r="O223">
        <f>ROUND(INDEX(Housing!AC:AC,MATCH(EOMONTH($A223,-1),Housing!B:B,0)),2)</f>
        <v>111.01</v>
      </c>
      <c r="P223">
        <f t="shared" si="604"/>
        <v>0</v>
      </c>
      <c r="Q223">
        <f>ROUND(INDEX(Spending!AJ:AJ,MATCH(EOMONTH($A223,-1),Spending!B:B,0)),2)</f>
        <v>61.51</v>
      </c>
      <c r="R223">
        <f t="shared" si="608"/>
        <v>2</v>
      </c>
      <c r="S223">
        <f>ROUND(INDEX(Employment!V:V,MATCH(EOMONTH($A223,-1),Employment!A:A,0)),2)</f>
        <v>174.94</v>
      </c>
      <c r="T223" s="11">
        <f t="shared" si="605"/>
        <v>1</v>
      </c>
      <c r="U223">
        <f t="shared" si="597"/>
        <v>28</v>
      </c>
      <c r="V223">
        <f t="shared" si="589"/>
        <v>75.760000000000005</v>
      </c>
      <c r="W223" s="13">
        <f t="shared" si="590"/>
        <v>-1.2200000000000001E-2</v>
      </c>
      <c r="X223" s="13">
        <f t="shared" si="591"/>
        <v>-1.0000000000000113E-4</v>
      </c>
      <c r="Y223">
        <f t="shared" si="583"/>
        <v>80.739999999999995</v>
      </c>
      <c r="Z223" s="13">
        <f t="shared" si="578"/>
        <v>-1.04E-2</v>
      </c>
      <c r="AA223" s="13">
        <f t="shared" si="574"/>
        <v>2.3999999999999994E-3</v>
      </c>
      <c r="AB223" s="6">
        <f t="shared" si="584"/>
        <v>89.330000000000013</v>
      </c>
      <c r="AC223">
        <f t="shared" si="576"/>
        <v>45</v>
      </c>
      <c r="AD223" s="11">
        <f t="shared" si="577"/>
        <v>1</v>
      </c>
      <c r="AE223">
        <f t="shared" si="575"/>
        <v>31</v>
      </c>
      <c r="AF223">
        <f>IF(AND(AE223&lt;15,OR(AC223&gt;=30,AA223&gt;0.15,X223&gt;=0.15)),2,VLOOKUP(AE223,Table!P:Q,2,FALSE))</f>
        <v>4</v>
      </c>
      <c r="AG223" s="22">
        <f>IF((AB223*0.98)-(D223*0.8)+((AF223-3)*3)+VLOOKUP(AM223,Table!$A$11:$B$13,2,FALSE)&lt;0,0,(AB223*0.98)-(D223*0.8)+((AF223-3)*3)+VLOOKUP(AM223,Table!$A$11:$B$13,2,FALSE))</f>
        <v>89.455400000000012</v>
      </c>
      <c r="AH223" s="22">
        <f t="shared" si="606"/>
        <v>92</v>
      </c>
      <c r="AI223" s="18">
        <f t="shared" si="599"/>
        <v>0.04</v>
      </c>
      <c r="AJ223" s="18">
        <f t="shared" si="600"/>
        <v>0.05</v>
      </c>
      <c r="AK223" t="str">
        <f t="shared" si="585"/>
        <v/>
      </c>
      <c r="AL223">
        <f t="shared" si="596"/>
        <v>31.5</v>
      </c>
      <c r="AM223" s="11" t="str">
        <f t="shared" si="586"/>
        <v>Stocks</v>
      </c>
      <c r="AN223" t="str">
        <f t="shared" si="592"/>
        <v>Buy</v>
      </c>
      <c r="AO223" s="13">
        <f t="shared" si="593"/>
        <v>1.21E-2</v>
      </c>
      <c r="AP223" s="13">
        <f t="shared" si="594"/>
        <v>0</v>
      </c>
      <c r="AQ223" s="13">
        <f t="shared" si="595"/>
        <v>1.11E-2</v>
      </c>
      <c r="AR223" s="13">
        <f t="shared" si="587"/>
        <v>1.21E-2</v>
      </c>
      <c r="AS223" s="6">
        <f t="shared" si="579"/>
        <v>473.3820003745991</v>
      </c>
      <c r="AT223" s="6">
        <f t="shared" si="580"/>
        <v>185.97425508967711</v>
      </c>
      <c r="AU223" s="6">
        <f t="shared" si="581"/>
        <v>755.00886558615696</v>
      </c>
      <c r="AV223" s="6">
        <f t="shared" si="582"/>
        <v>1110.2512276146979</v>
      </c>
      <c r="AW223" s="58">
        <f t="shared" si="588"/>
        <v>2014</v>
      </c>
      <c r="AX223" s="58">
        <f>COUNTIF(AW$3:AW223,AW223)</f>
        <v>32</v>
      </c>
    </row>
    <row r="224" spans="1:50" x14ac:dyDescent="0.25">
      <c r="A224" s="5">
        <v>41777</v>
      </c>
      <c r="B224">
        <v>1877.86</v>
      </c>
      <c r="C224">
        <v>0.03</v>
      </c>
      <c r="D224" s="6">
        <v>12.44</v>
      </c>
      <c r="E224" s="18">
        <f t="shared" si="601"/>
        <v>12.76</v>
      </c>
      <c r="F224">
        <f t="shared" si="602"/>
        <v>2</v>
      </c>
      <c r="G224" s="18">
        <f>ROUND(INDEX(Valuation!U:U,MATCH(A224,Valuation!A:A,0)),2)</f>
        <v>134.13</v>
      </c>
      <c r="H224">
        <f t="shared" si="609"/>
        <v>1</v>
      </c>
      <c r="I224" s="18">
        <f>INDEX(WeeklyIndicators!Y:Y,MATCH(A224,WeeklyIndicators!A:A,0))</f>
        <v>146.44999999999999</v>
      </c>
      <c r="J224">
        <f t="shared" si="598"/>
        <v>1</v>
      </c>
      <c r="K224">
        <f>ROUND(INDEX(Economic!AF:AF,MATCH(EOMONTH($A224,-1),Economic!A:A,0)),2)</f>
        <v>106.07</v>
      </c>
      <c r="L224" s="11">
        <f t="shared" si="607"/>
        <v>0</v>
      </c>
      <c r="M224">
        <f>ROUND(INDEX(Manufacturing!P:P,MATCH(EOMONTH($A224,-1),Manufacturing!A:A,0)),2)</f>
        <v>92.7</v>
      </c>
      <c r="N224">
        <f t="shared" si="603"/>
        <v>1</v>
      </c>
      <c r="O224">
        <f>ROUND(INDEX(Housing!AC:AC,MATCH(EOMONTH($A224,-1),Housing!B:B,0)),2)</f>
        <v>111.01</v>
      </c>
      <c r="P224">
        <f t="shared" si="604"/>
        <v>0</v>
      </c>
      <c r="Q224">
        <f>ROUND(INDEX(Spending!AJ:AJ,MATCH(EOMONTH($A224,-1),Spending!B:B,0)),2)</f>
        <v>61.51</v>
      </c>
      <c r="R224">
        <f t="shared" si="608"/>
        <v>2</v>
      </c>
      <c r="S224">
        <f>ROUND(INDEX(Employment!V:V,MATCH(EOMONTH($A224,-1),Employment!A:A,0)),2)</f>
        <v>174.94</v>
      </c>
      <c r="T224" s="11">
        <f t="shared" si="605"/>
        <v>1</v>
      </c>
      <c r="U224">
        <f t="shared" si="597"/>
        <v>28</v>
      </c>
      <c r="V224">
        <f t="shared" si="589"/>
        <v>76.41</v>
      </c>
      <c r="W224" s="13">
        <f t="shared" si="590"/>
        <v>-3.8E-3</v>
      </c>
      <c r="X224" s="13">
        <f t="shared" si="591"/>
        <v>2.1699999999999997E-2</v>
      </c>
      <c r="Y224">
        <f t="shared" si="583"/>
        <v>81.23</v>
      </c>
      <c r="Z224" s="13">
        <f t="shared" si="578"/>
        <v>-2.7000000000000001E-3</v>
      </c>
      <c r="AA224" s="13">
        <f t="shared" si="574"/>
        <v>2.2200000000000001E-2</v>
      </c>
      <c r="AB224" s="6">
        <f t="shared" si="584"/>
        <v>91.393000000000001</v>
      </c>
      <c r="AC224">
        <f t="shared" si="576"/>
        <v>46</v>
      </c>
      <c r="AD224" s="11">
        <f t="shared" si="577"/>
        <v>1</v>
      </c>
      <c r="AE224">
        <f t="shared" si="575"/>
        <v>31</v>
      </c>
      <c r="AF224">
        <f>IF(AND(AE224&lt;15,OR(AC224&gt;=30,AA224&gt;0.15,X224&gt;=0.15)),2,VLOOKUP(AE224,Table!P:Q,2,FALSE))</f>
        <v>4</v>
      </c>
      <c r="AG224" s="22">
        <f>IF((AB224*0.98)-(D224*0.8)+((AF224-3)*3)+VLOOKUP(AM224,Table!$A$11:$B$13,2,FALSE)&lt;0,0,(AB224*0.98)-(D224*0.8)+((AF224-3)*3)+VLOOKUP(AM224,Table!$A$11:$B$13,2,FALSE))</f>
        <v>90.613140000000001</v>
      </c>
      <c r="AH224" s="22">
        <f t="shared" si="606"/>
        <v>94</v>
      </c>
      <c r="AI224" s="18">
        <f t="shared" si="599"/>
        <v>0.04</v>
      </c>
      <c r="AJ224" s="18">
        <f t="shared" si="600"/>
        <v>0.05</v>
      </c>
      <c r="AK224" t="str">
        <f t="shared" si="585"/>
        <v/>
      </c>
      <c r="AL224">
        <f t="shared" si="596"/>
        <v>31.5</v>
      </c>
      <c r="AM224" s="11" t="str">
        <f t="shared" si="586"/>
        <v>Stocks</v>
      </c>
      <c r="AN224" t="str">
        <f t="shared" si="592"/>
        <v>Buy</v>
      </c>
      <c r="AO224" s="13">
        <f t="shared" si="593"/>
        <v>1.21E-2</v>
      </c>
      <c r="AP224" s="13">
        <f t="shared" si="594"/>
        <v>0</v>
      </c>
      <c r="AQ224" s="13">
        <f t="shared" si="595"/>
        <v>1.14E-2</v>
      </c>
      <c r="AR224" s="13">
        <f t="shared" si="587"/>
        <v>1.21E-2</v>
      </c>
      <c r="AS224" s="6">
        <f t="shared" si="579"/>
        <v>467.72255742969975</v>
      </c>
      <c r="AT224" s="6">
        <f t="shared" si="580"/>
        <v>185.97425508967711</v>
      </c>
      <c r="AU224" s="6">
        <f t="shared" si="581"/>
        <v>746.49877949985853</v>
      </c>
      <c r="AV224" s="6">
        <f t="shared" si="582"/>
        <v>1096.9777962797134</v>
      </c>
      <c r="AW224" s="58">
        <f t="shared" si="588"/>
        <v>2014</v>
      </c>
      <c r="AX224" s="58">
        <f>COUNTIF(AW$3:AW224,AW224)</f>
        <v>33</v>
      </c>
    </row>
    <row r="225" spans="1:50" x14ac:dyDescent="0.25">
      <c r="A225" s="5">
        <v>41770</v>
      </c>
      <c r="B225">
        <v>1878.48</v>
      </c>
      <c r="C225">
        <v>0.03</v>
      </c>
      <c r="D225" s="6">
        <v>12.92</v>
      </c>
      <c r="E225" s="18">
        <f t="shared" si="601"/>
        <v>13.3</v>
      </c>
      <c r="F225">
        <f t="shared" si="602"/>
        <v>2</v>
      </c>
      <c r="G225" s="18">
        <f>ROUND(INDEX(Valuation!U:U,MATCH(A225,Valuation!A:A,0)),2)</f>
        <v>134.72</v>
      </c>
      <c r="H225">
        <f t="shared" si="609"/>
        <v>1</v>
      </c>
      <c r="I225" s="18">
        <f>INDEX(WeeklyIndicators!Y:Y,MATCH(A225,WeeklyIndicators!A:A,0))</f>
        <v>157.75</v>
      </c>
      <c r="J225">
        <f t="shared" si="598"/>
        <v>2</v>
      </c>
      <c r="K225">
        <f>ROUND(INDEX(Economic!AF:AF,MATCH(EOMONTH($A225,-1),Economic!A:A,0)),2)</f>
        <v>106.07</v>
      </c>
      <c r="L225" s="11">
        <f t="shared" si="607"/>
        <v>0</v>
      </c>
      <c r="M225">
        <f>ROUND(INDEX(Manufacturing!P:P,MATCH(EOMONTH($A225,-1),Manufacturing!A:A,0)),2)</f>
        <v>92.7</v>
      </c>
      <c r="N225">
        <f t="shared" si="603"/>
        <v>1</v>
      </c>
      <c r="O225">
        <f>ROUND(INDEX(Housing!AC:AC,MATCH(EOMONTH($A225,-1),Housing!B:B,0)),2)</f>
        <v>111.01</v>
      </c>
      <c r="P225">
        <f t="shared" si="604"/>
        <v>0</v>
      </c>
      <c r="Q225">
        <f>ROUND(INDEX(Spending!AJ:AJ,MATCH(EOMONTH($A225,-1),Spending!B:B,0)),2)</f>
        <v>61.51</v>
      </c>
      <c r="R225">
        <f t="shared" si="608"/>
        <v>2</v>
      </c>
      <c r="S225">
        <f>ROUND(INDEX(Employment!V:V,MATCH(EOMONTH($A225,-1),Employment!A:A,0)),2)</f>
        <v>174.94</v>
      </c>
      <c r="T225" s="11">
        <f t="shared" si="605"/>
        <v>1</v>
      </c>
      <c r="U225">
        <f t="shared" si="597"/>
        <v>29</v>
      </c>
      <c r="V225">
        <f t="shared" si="589"/>
        <v>77.59</v>
      </c>
      <c r="W225" s="13">
        <f t="shared" si="590"/>
        <v>3.8E-3</v>
      </c>
      <c r="X225" s="13">
        <f t="shared" si="591"/>
        <v>3.1E-2</v>
      </c>
      <c r="Y225">
        <f t="shared" si="583"/>
        <v>82.28</v>
      </c>
      <c r="Z225" s="13">
        <f t="shared" si="578"/>
        <v>3.5000000000000001E-3</v>
      </c>
      <c r="AA225" s="13">
        <f t="shared" si="574"/>
        <v>3.32E-2</v>
      </c>
      <c r="AB225" s="6">
        <f t="shared" si="584"/>
        <v>93.372</v>
      </c>
      <c r="AC225">
        <f t="shared" si="576"/>
        <v>47</v>
      </c>
      <c r="AD225" s="11">
        <f t="shared" si="577"/>
        <v>1</v>
      </c>
      <c r="AE225">
        <f t="shared" si="575"/>
        <v>32</v>
      </c>
      <c r="AF225">
        <f>IF(AND(AE225&lt;15,OR(AC225&gt;=30,AA225&gt;0.15,X225&gt;=0.15)),2,VLOOKUP(AE225,Table!P:Q,2,FALSE))</f>
        <v>5</v>
      </c>
      <c r="AG225" s="22">
        <f>IF((AB225*0.98)-(D225*0.8)+((AF225-3)*3)+VLOOKUP(AM225,Table!$A$11:$B$13,2,FALSE)&lt;0,0,(AB225*0.98)-(D225*0.8)+((AF225-3)*3)+VLOOKUP(AM225,Table!$A$11:$B$13,2,FALSE))</f>
        <v>95.168559999999999</v>
      </c>
      <c r="AH225" s="22">
        <f t="shared" si="606"/>
        <v>94</v>
      </c>
      <c r="AI225" s="18">
        <f t="shared" si="599"/>
        <v>0.04</v>
      </c>
      <c r="AJ225" s="18">
        <f t="shared" si="600"/>
        <v>0.05</v>
      </c>
      <c r="AK225" t="str">
        <f t="shared" si="585"/>
        <v/>
      </c>
      <c r="AL225">
        <f t="shared" si="596"/>
        <v>31.5</v>
      </c>
      <c r="AM225" s="11" t="str">
        <f t="shared" si="586"/>
        <v>Stocks</v>
      </c>
      <c r="AN225" t="str">
        <f t="shared" si="592"/>
        <v>Buy</v>
      </c>
      <c r="AO225" s="13">
        <f t="shared" si="593"/>
        <v>-2.9999999999999997E-4</v>
      </c>
      <c r="AP225" s="13">
        <f t="shared" si="594"/>
        <v>0</v>
      </c>
      <c r="AQ225" s="13">
        <f t="shared" si="595"/>
        <v>-2.9999999999999997E-4</v>
      </c>
      <c r="AR225" s="13">
        <f t="shared" si="587"/>
        <v>-2.9999999999999997E-4</v>
      </c>
      <c r="AS225" s="6">
        <f t="shared" si="579"/>
        <v>467.86291630459112</v>
      </c>
      <c r="AT225" s="6">
        <f t="shared" si="580"/>
        <v>185.97425508967711</v>
      </c>
      <c r="AU225" s="6">
        <f t="shared" si="581"/>
        <v>746.72279633876008</v>
      </c>
      <c r="AV225" s="6">
        <f t="shared" si="582"/>
        <v>1097.3069883762262</v>
      </c>
      <c r="AW225" s="58">
        <f t="shared" si="588"/>
        <v>2014</v>
      </c>
      <c r="AX225" s="58">
        <f>COUNTIF(AW$3:AW225,AW225)</f>
        <v>34</v>
      </c>
    </row>
    <row r="226" spans="1:50" x14ac:dyDescent="0.25">
      <c r="A226" s="5">
        <v>41763</v>
      </c>
      <c r="B226">
        <v>1881.14</v>
      </c>
      <c r="C226">
        <v>0.03</v>
      </c>
      <c r="D226" s="6">
        <v>12.91</v>
      </c>
      <c r="E226" s="18">
        <f t="shared" si="601"/>
        <v>13.44</v>
      </c>
      <c r="F226">
        <f t="shared" si="602"/>
        <v>2</v>
      </c>
      <c r="G226" s="18">
        <f>ROUND(INDEX(Valuation!U:U,MATCH(A226,Valuation!A:A,0)),2)</f>
        <v>135.31</v>
      </c>
      <c r="H226">
        <f t="shared" si="609"/>
        <v>1</v>
      </c>
      <c r="I226" s="18">
        <f>INDEX(WeeklyIndicators!Y:Y,MATCH(A226,WeeklyIndicators!A:A,0))</f>
        <v>167.38</v>
      </c>
      <c r="J226">
        <f t="shared" si="598"/>
        <v>2</v>
      </c>
      <c r="K226">
        <f>ROUND(INDEX(Economic!AF:AF,MATCH(EOMONTH($A226,-1),Economic!A:A,0)),2)</f>
        <v>106.07</v>
      </c>
      <c r="L226" s="11">
        <f t="shared" si="607"/>
        <v>0</v>
      </c>
      <c r="M226">
        <f>ROUND(INDEX(Manufacturing!P:P,MATCH(EOMONTH($A226,-1),Manufacturing!A:A,0)),2)</f>
        <v>92.7</v>
      </c>
      <c r="N226">
        <f t="shared" si="603"/>
        <v>1</v>
      </c>
      <c r="O226">
        <f>ROUND(INDEX(Housing!AC:AC,MATCH(EOMONTH($A226,-1),Housing!B:B,0)),2)</f>
        <v>111.01</v>
      </c>
      <c r="P226">
        <f t="shared" si="604"/>
        <v>0</v>
      </c>
      <c r="Q226">
        <f>ROUND(INDEX(Spending!AJ:AJ,MATCH(EOMONTH($A226,-1),Spending!B:B,0)),2)</f>
        <v>61.51</v>
      </c>
      <c r="R226">
        <f t="shared" si="608"/>
        <v>2</v>
      </c>
      <c r="S226">
        <f>ROUND(INDEX(Employment!V:V,MATCH(EOMONTH($A226,-1),Employment!A:A,0)),2)</f>
        <v>174.94</v>
      </c>
      <c r="T226" s="11">
        <f t="shared" si="605"/>
        <v>1</v>
      </c>
      <c r="U226">
        <f t="shared" si="597"/>
        <v>29</v>
      </c>
      <c r="V226">
        <f t="shared" si="589"/>
        <v>78.59</v>
      </c>
      <c r="W226" s="13">
        <f t="shared" si="590"/>
        <v>1.21E-2</v>
      </c>
      <c r="X226" s="13">
        <f t="shared" si="591"/>
        <v>2.8299999999999995E-2</v>
      </c>
      <c r="Y226">
        <f t="shared" si="583"/>
        <v>83.3</v>
      </c>
      <c r="Z226" s="13">
        <f t="shared" si="578"/>
        <v>1.2E-2</v>
      </c>
      <c r="AA226" s="13">
        <f t="shared" si="574"/>
        <v>3.3300000000000003E-2</v>
      </c>
      <c r="AB226" s="6">
        <f t="shared" si="584"/>
        <v>94.461000000000013</v>
      </c>
      <c r="AC226">
        <f t="shared" si="576"/>
        <v>47</v>
      </c>
      <c r="AD226" s="11">
        <f t="shared" si="577"/>
        <v>1</v>
      </c>
      <c r="AE226">
        <f t="shared" si="575"/>
        <v>32</v>
      </c>
      <c r="AF226">
        <f>IF(AND(AE226&lt;15,OR(AC226&gt;=30,AA226&gt;0.15,X226&gt;=0.15)),2,VLOOKUP(AE226,Table!P:Q,2,FALSE))</f>
        <v>5</v>
      </c>
      <c r="AG226" s="22">
        <f>IF((AB226*0.98)-(D226*0.8)+((AF226-3)*3)+VLOOKUP(AM226,Table!$A$11:$B$13,2,FALSE)&lt;0,0,(AB226*0.98)-(D226*0.8)+((AF226-3)*3)+VLOOKUP(AM226,Table!$A$11:$B$13,2,FALSE))</f>
        <v>96.243780000000001</v>
      </c>
      <c r="AH226" s="22">
        <f t="shared" si="606"/>
        <v>92</v>
      </c>
      <c r="AI226" s="18">
        <f t="shared" si="599"/>
        <v>0.05</v>
      </c>
      <c r="AJ226" s="18">
        <f t="shared" si="600"/>
        <v>0.05</v>
      </c>
      <c r="AK226" t="str">
        <f t="shared" si="585"/>
        <v/>
      </c>
      <c r="AL226">
        <f t="shared" si="596"/>
        <v>31.25</v>
      </c>
      <c r="AM226" s="11" t="str">
        <f t="shared" si="586"/>
        <v>Stocks</v>
      </c>
      <c r="AN226" t="str">
        <f t="shared" si="592"/>
        <v>Buy</v>
      </c>
      <c r="AO226" s="13">
        <f t="shared" si="593"/>
        <v>-1.4E-3</v>
      </c>
      <c r="AP226" s="13">
        <f t="shared" si="594"/>
        <v>0</v>
      </c>
      <c r="AQ226" s="13">
        <f t="shared" si="595"/>
        <v>-1.2999999999999999E-3</v>
      </c>
      <c r="AR226" s="13">
        <f t="shared" si="587"/>
        <v>-1.4E-3</v>
      </c>
      <c r="AS226" s="6">
        <f t="shared" si="579"/>
        <v>468.51884268434918</v>
      </c>
      <c r="AT226" s="6">
        <f t="shared" si="580"/>
        <v>185.97425508967711</v>
      </c>
      <c r="AU226" s="6">
        <f t="shared" si="581"/>
        <v>747.6947995782117</v>
      </c>
      <c r="AV226" s="6">
        <f t="shared" si="582"/>
        <v>1098.8453718968817</v>
      </c>
      <c r="AW226" s="58">
        <f t="shared" si="588"/>
        <v>2014</v>
      </c>
      <c r="AX226" s="58">
        <f>COUNTIF(AW$3:AW226,AW226)</f>
        <v>35</v>
      </c>
    </row>
    <row r="227" spans="1:50" x14ac:dyDescent="0.25">
      <c r="A227" s="5">
        <v>41756</v>
      </c>
      <c r="B227">
        <v>1863.4</v>
      </c>
      <c r="C227">
        <v>0.03</v>
      </c>
      <c r="D227" s="6">
        <v>14.06</v>
      </c>
      <c r="E227" s="18">
        <f t="shared" si="601"/>
        <v>14.82</v>
      </c>
      <c r="F227">
        <f t="shared" si="602"/>
        <v>1</v>
      </c>
      <c r="G227" s="18">
        <f>ROUND(INDEX(Valuation!U:U,MATCH(A227,Valuation!A:A,0)),2)</f>
        <v>138.71</v>
      </c>
      <c r="H227">
        <f t="shared" si="609"/>
        <v>1</v>
      </c>
      <c r="I227" s="18">
        <f>INDEX(WeeklyIndicators!Y:Y,MATCH(A227,WeeklyIndicators!A:A,0))</f>
        <v>169.39</v>
      </c>
      <c r="J227">
        <f t="shared" si="598"/>
        <v>2</v>
      </c>
      <c r="K227">
        <f>ROUND(INDEX(Economic!AF:AF,MATCH(EOMONTH($A227,-1),Economic!A:A,0)),2)</f>
        <v>100.48</v>
      </c>
      <c r="L227" s="11">
        <f t="shared" si="607"/>
        <v>0</v>
      </c>
      <c r="M227">
        <f>ROUND(INDEX(Manufacturing!P:P,MATCH(EOMONTH($A227,-1),Manufacturing!A:A,0)),2)</f>
        <v>87.38</v>
      </c>
      <c r="N227">
        <f t="shared" si="603"/>
        <v>0</v>
      </c>
      <c r="O227">
        <f>ROUND(INDEX(Housing!AC:AC,MATCH(EOMONTH($A227,-1),Housing!B:B,0)),2)</f>
        <v>115.21</v>
      </c>
      <c r="P227">
        <f t="shared" si="604"/>
        <v>1</v>
      </c>
      <c r="Q227">
        <f>ROUND(INDEX(Spending!AJ:AJ,MATCH(EOMONTH($A227,-1),Spending!B:B,0)),2)</f>
        <v>61.14</v>
      </c>
      <c r="R227">
        <f t="shared" si="608"/>
        <v>2</v>
      </c>
      <c r="S227">
        <f>ROUND(INDEX(Employment!V:V,MATCH(EOMONTH($A227,-1),Employment!A:A,0)),2)</f>
        <v>172.28</v>
      </c>
      <c r="T227" s="11">
        <f t="shared" si="605"/>
        <v>1</v>
      </c>
      <c r="U227">
        <f t="shared" si="597"/>
        <v>28</v>
      </c>
      <c r="V227">
        <f t="shared" si="589"/>
        <v>77.290000000000006</v>
      </c>
      <c r="W227" s="13">
        <f t="shared" si="590"/>
        <v>9.5999999999999992E-3</v>
      </c>
      <c r="X227" s="13">
        <f t="shared" si="591"/>
        <v>1.3299999999999999E-2</v>
      </c>
      <c r="Y227">
        <f t="shared" si="583"/>
        <v>81.900000000000006</v>
      </c>
      <c r="Z227" s="13">
        <f t="shared" si="578"/>
        <v>9.4000000000000004E-3</v>
      </c>
      <c r="AA227" s="13">
        <f t="shared" si="574"/>
        <v>2.0999999999999998E-2</v>
      </c>
      <c r="AB227" s="6">
        <f t="shared" si="584"/>
        <v>92.390999999999991</v>
      </c>
      <c r="AC227">
        <f t="shared" si="576"/>
        <v>46</v>
      </c>
      <c r="AD227" s="11">
        <f t="shared" si="577"/>
        <v>1</v>
      </c>
      <c r="AE227">
        <f t="shared" si="575"/>
        <v>31</v>
      </c>
      <c r="AF227">
        <f>IF(AND(AE227&lt;15,OR(AC227&gt;=30,AA227&gt;0.15,X227&gt;=0.15)),2,VLOOKUP(AE227,Table!P:Q,2,FALSE))</f>
        <v>4</v>
      </c>
      <c r="AG227" s="22">
        <f>IF((AB227*0.98)-(D227*0.8)+((AF227-3)*3)+VLOOKUP(AM227,Table!$A$11:$B$13,2,FALSE)&lt;0,0,(AB227*0.98)-(D227*0.8)+((AF227-3)*3)+VLOOKUP(AM227,Table!$A$11:$B$13,2,FALSE))</f>
        <v>90.295179999999988</v>
      </c>
      <c r="AH227" s="22">
        <f t="shared" si="606"/>
        <v>88</v>
      </c>
      <c r="AI227" s="18">
        <f t="shared" si="599"/>
        <v>0.05</v>
      </c>
      <c r="AJ227" s="18">
        <f t="shared" si="600"/>
        <v>0.05</v>
      </c>
      <c r="AK227" t="str">
        <f t="shared" si="585"/>
        <v/>
      </c>
      <c r="AL227">
        <f t="shared" si="596"/>
        <v>30.75</v>
      </c>
      <c r="AM227" s="11" t="str">
        <f t="shared" si="586"/>
        <v>Stocks</v>
      </c>
      <c r="AN227" t="str">
        <f t="shared" si="592"/>
        <v>Buy</v>
      </c>
      <c r="AO227" s="13">
        <f t="shared" si="593"/>
        <v>9.4999999999999998E-3</v>
      </c>
      <c r="AP227" s="13">
        <f t="shared" si="594"/>
        <v>0</v>
      </c>
      <c r="AQ227" s="13">
        <f t="shared" si="595"/>
        <v>8.3999999999999995E-3</v>
      </c>
      <c r="AR227" s="13">
        <f t="shared" si="587"/>
        <v>9.4999999999999998E-3</v>
      </c>
      <c r="AS227" s="6">
        <f t="shared" si="579"/>
        <v>464.10979958826067</v>
      </c>
      <c r="AT227" s="6">
        <f t="shared" si="580"/>
        <v>185.97425508967711</v>
      </c>
      <c r="AU227" s="6">
        <f t="shared" si="581"/>
        <v>741.46648113666379</v>
      </c>
      <c r="AV227" s="6">
        <f t="shared" si="582"/>
        <v>1088.504578402062</v>
      </c>
      <c r="AW227" s="58">
        <f t="shared" si="588"/>
        <v>2014</v>
      </c>
      <c r="AX227" s="58">
        <f>COUNTIF(AW$3:AW227,AW227)</f>
        <v>36</v>
      </c>
    </row>
    <row r="228" spans="1:50" x14ac:dyDescent="0.25">
      <c r="A228" s="5">
        <v>41749</v>
      </c>
      <c r="B228">
        <v>1864.85</v>
      </c>
      <c r="C228">
        <v>0.04</v>
      </c>
      <c r="D228" s="6">
        <v>13.36</v>
      </c>
      <c r="E228" s="18">
        <f t="shared" si="601"/>
        <v>14.78</v>
      </c>
      <c r="F228">
        <f t="shared" si="602"/>
        <v>1</v>
      </c>
      <c r="G228" s="18">
        <f>ROUND(INDEX(Valuation!U:U,MATCH(A228,Valuation!A:A,0)),2)</f>
        <v>139.52000000000001</v>
      </c>
      <c r="H228">
        <f t="shared" si="609"/>
        <v>1</v>
      </c>
      <c r="I228" s="18">
        <f>INDEX(WeeklyIndicators!Y:Y,MATCH(A228,WeeklyIndicators!A:A,0))</f>
        <v>163.83000000000001</v>
      </c>
      <c r="J228">
        <f t="shared" si="598"/>
        <v>2</v>
      </c>
      <c r="K228">
        <f>ROUND(INDEX(Economic!AF:AF,MATCH(EOMONTH($A228,-1),Economic!A:A,0)),2)</f>
        <v>100.48</v>
      </c>
      <c r="L228" s="11">
        <f t="shared" si="607"/>
        <v>0</v>
      </c>
      <c r="M228">
        <f>ROUND(INDEX(Manufacturing!P:P,MATCH(EOMONTH($A228,-1),Manufacturing!A:A,0)),2)</f>
        <v>87.38</v>
      </c>
      <c r="N228">
        <f t="shared" si="603"/>
        <v>0</v>
      </c>
      <c r="O228">
        <f>ROUND(INDEX(Housing!AC:AC,MATCH(EOMONTH($A228,-1),Housing!B:B,0)),2)</f>
        <v>115.21</v>
      </c>
      <c r="P228">
        <f t="shared" si="604"/>
        <v>1</v>
      </c>
      <c r="Q228">
        <f>ROUND(INDEX(Spending!AJ:AJ,MATCH(EOMONTH($A228,-1),Spending!B:B,0)),2)</f>
        <v>61.14</v>
      </c>
      <c r="R228">
        <f t="shared" si="608"/>
        <v>2</v>
      </c>
      <c r="S228">
        <f>ROUND(INDEX(Employment!V:V,MATCH(EOMONTH($A228,-1),Employment!A:A,0)),2)</f>
        <v>172.28</v>
      </c>
      <c r="T228" s="11">
        <f t="shared" si="605"/>
        <v>1</v>
      </c>
      <c r="U228">
        <f t="shared" si="597"/>
        <v>28</v>
      </c>
      <c r="V228">
        <f t="shared" si="589"/>
        <v>76.709999999999994</v>
      </c>
      <c r="W228" s="13">
        <f t="shared" si="590"/>
        <v>5.4999999999999997E-3</v>
      </c>
      <c r="X228" s="13">
        <f t="shared" si="591"/>
        <v>2.3E-3</v>
      </c>
      <c r="Y228">
        <f t="shared" si="583"/>
        <v>81.42</v>
      </c>
      <c r="Z228" s="13">
        <f t="shared" si="578"/>
        <v>8.3000000000000001E-3</v>
      </c>
      <c r="AA228" s="13">
        <f t="shared" si="574"/>
        <v>9.2000000000000016E-3</v>
      </c>
      <c r="AB228" s="6">
        <f t="shared" si="584"/>
        <v>91.072000000000003</v>
      </c>
      <c r="AC228">
        <f t="shared" si="576"/>
        <v>46</v>
      </c>
      <c r="AD228" s="11">
        <f t="shared" si="577"/>
        <v>1</v>
      </c>
      <c r="AE228">
        <f t="shared" si="575"/>
        <v>31</v>
      </c>
      <c r="AF228">
        <f>IF(AND(AE228&lt;15,OR(AC228&gt;=30,AA228&gt;0.15,X228&gt;=0.15)),2,VLOOKUP(AE228,Table!P:Q,2,FALSE))</f>
        <v>4</v>
      </c>
      <c r="AG228" s="22">
        <f>IF((AB228*0.98)-(D228*0.8)+((AF228-3)*3)+VLOOKUP(AM228,Table!$A$11:$B$13,2,FALSE)&lt;0,0,(AB228*0.98)-(D228*0.8)+((AF228-3)*3)+VLOOKUP(AM228,Table!$A$11:$B$13,2,FALSE))</f>
        <v>89.562560000000005</v>
      </c>
      <c r="AH228" s="22">
        <f t="shared" si="606"/>
        <v>87</v>
      </c>
      <c r="AI228" s="18">
        <f t="shared" si="599"/>
        <v>0.05</v>
      </c>
      <c r="AJ228" s="18">
        <f t="shared" si="600"/>
        <v>0.05</v>
      </c>
      <c r="AK228" t="str">
        <f t="shared" si="585"/>
        <v/>
      </c>
      <c r="AL228">
        <f t="shared" si="596"/>
        <v>30.5</v>
      </c>
      <c r="AM228" s="11" t="str">
        <f t="shared" si="586"/>
        <v>Stocks</v>
      </c>
      <c r="AN228" t="str">
        <f t="shared" si="592"/>
        <v>Buy</v>
      </c>
      <c r="AO228" s="13">
        <f t="shared" si="593"/>
        <v>-8.0000000000000004E-4</v>
      </c>
      <c r="AP228" s="13">
        <f t="shared" si="594"/>
        <v>0</v>
      </c>
      <c r="AQ228" s="13">
        <f t="shared" si="595"/>
        <v>-6.9999999999999999E-4</v>
      </c>
      <c r="AR228" s="13">
        <f t="shared" si="587"/>
        <v>-8.0000000000000004E-4</v>
      </c>
      <c r="AS228" s="6">
        <f t="shared" si="579"/>
        <v>464.48138469601747</v>
      </c>
      <c r="AT228" s="6">
        <f t="shared" si="580"/>
        <v>185.97425508967711</v>
      </c>
      <c r="AU228" s="6">
        <f t="shared" si="581"/>
        <v>741.98587124653636</v>
      </c>
      <c r="AV228" s="6">
        <f t="shared" si="582"/>
        <v>1089.3760792654743</v>
      </c>
      <c r="AW228" s="58">
        <f t="shared" si="588"/>
        <v>2014</v>
      </c>
      <c r="AX228" s="58">
        <f>COUNTIF(AW$3:AW228,AW228)</f>
        <v>37</v>
      </c>
    </row>
    <row r="229" spans="1:50" x14ac:dyDescent="0.25">
      <c r="A229" s="5">
        <v>41742</v>
      </c>
      <c r="B229">
        <v>1815.69</v>
      </c>
      <c r="C229">
        <v>0.04</v>
      </c>
      <c r="D229" s="6">
        <v>17.03</v>
      </c>
      <c r="E229" s="18">
        <f t="shared" si="601"/>
        <v>15.13</v>
      </c>
      <c r="F229">
        <f t="shared" si="602"/>
        <v>1</v>
      </c>
      <c r="G229" s="18">
        <f>ROUND(INDEX(Valuation!U:U,MATCH(A229,Valuation!A:A,0)),2)</f>
        <v>139.32</v>
      </c>
      <c r="H229">
        <f t="shared" si="609"/>
        <v>1</v>
      </c>
      <c r="I229" s="18">
        <f>INDEX(WeeklyIndicators!Y:Y,MATCH(A229,WeeklyIndicators!A:A,0))</f>
        <v>155.07</v>
      </c>
      <c r="J229">
        <f t="shared" si="598"/>
        <v>2</v>
      </c>
      <c r="K229">
        <f>ROUND(INDEX(Economic!AF:AF,MATCH(EOMONTH($A229,-1),Economic!A:A,0)),2)</f>
        <v>100.48</v>
      </c>
      <c r="L229" s="11">
        <f t="shared" si="607"/>
        <v>0</v>
      </c>
      <c r="M229">
        <f>ROUND(INDEX(Manufacturing!P:P,MATCH(EOMONTH($A229,-1),Manufacturing!A:A,0)),2)</f>
        <v>87.38</v>
      </c>
      <c r="N229">
        <f t="shared" si="603"/>
        <v>0</v>
      </c>
      <c r="O229">
        <f>ROUND(INDEX(Housing!AC:AC,MATCH(EOMONTH($A229,-1),Housing!B:B,0)),2)</f>
        <v>115.21</v>
      </c>
      <c r="P229">
        <f t="shared" si="604"/>
        <v>1</v>
      </c>
      <c r="Q229">
        <f>ROUND(INDEX(Spending!AJ:AJ,MATCH(EOMONTH($A229,-1),Spending!B:B,0)),2)</f>
        <v>61.14</v>
      </c>
      <c r="R229">
        <f t="shared" si="608"/>
        <v>2</v>
      </c>
      <c r="S229">
        <f>ROUND(INDEX(Employment!V:V,MATCH(EOMONTH($A229,-1),Employment!A:A,0)),2)</f>
        <v>172.28</v>
      </c>
      <c r="T229" s="11">
        <f t="shared" si="605"/>
        <v>1</v>
      </c>
      <c r="U229">
        <f t="shared" si="597"/>
        <v>28</v>
      </c>
      <c r="V229">
        <f t="shared" si="589"/>
        <v>75.8</v>
      </c>
      <c r="W229" s="13">
        <f t="shared" si="590"/>
        <v>1.1000000000000001E-3</v>
      </c>
      <c r="X229" s="13">
        <f t="shared" si="591"/>
        <v>-3.7999999999999996E-3</v>
      </c>
      <c r="Y229">
        <f t="shared" si="583"/>
        <v>80.37</v>
      </c>
      <c r="Z229" s="13">
        <f t="shared" si="578"/>
        <v>3.5999999999999999E-3</v>
      </c>
      <c r="AA229" s="13">
        <f t="shared" si="574"/>
        <v>-6.9999999999999988E-4</v>
      </c>
      <c r="AB229" s="6">
        <f t="shared" si="584"/>
        <v>89.242000000000004</v>
      </c>
      <c r="AC229">
        <f t="shared" si="576"/>
        <v>45</v>
      </c>
      <c r="AD229" s="11">
        <f t="shared" si="577"/>
        <v>1</v>
      </c>
      <c r="AE229">
        <f t="shared" si="575"/>
        <v>31</v>
      </c>
      <c r="AF229">
        <f>IF(AND(AE229&lt;15,OR(AC229&gt;=30,AA229&gt;0.15,X229&gt;=0.15)),2,VLOOKUP(AE229,Table!P:Q,2,FALSE))</f>
        <v>4</v>
      </c>
      <c r="AG229" s="22">
        <f>IF((AB229*0.98)-(D229*0.8)+((AF229-3)*3)+VLOOKUP(AM229,Table!$A$11:$B$13,2,FALSE)&lt;0,0,(AB229*0.98)-(D229*0.8)+((AF229-3)*3)+VLOOKUP(AM229,Table!$A$11:$B$13,2,FALSE))</f>
        <v>84.833159999999992</v>
      </c>
      <c r="AH229" s="22">
        <f t="shared" si="606"/>
        <v>85</v>
      </c>
      <c r="AI229" s="18">
        <f t="shared" si="599"/>
        <v>0.05</v>
      </c>
      <c r="AJ229" s="18">
        <f t="shared" si="600"/>
        <v>0.05</v>
      </c>
      <c r="AK229" t="str">
        <f t="shared" si="585"/>
        <v/>
      </c>
      <c r="AL229">
        <f t="shared" si="596"/>
        <v>30.25</v>
      </c>
      <c r="AM229" s="11" t="str">
        <f t="shared" si="586"/>
        <v>Stocks</v>
      </c>
      <c r="AN229" t="str">
        <f t="shared" si="592"/>
        <v>Buy</v>
      </c>
      <c r="AO229" s="13">
        <f t="shared" si="593"/>
        <v>2.7099999999999999E-2</v>
      </c>
      <c r="AP229" s="13">
        <f t="shared" si="594"/>
        <v>0</v>
      </c>
      <c r="AQ229" s="13">
        <f t="shared" si="595"/>
        <v>2.3E-2</v>
      </c>
      <c r="AR229" s="13">
        <f t="shared" si="587"/>
        <v>2.7099999999999999E-2</v>
      </c>
      <c r="AS229" s="6">
        <f t="shared" si="579"/>
        <v>452.22605851038605</v>
      </c>
      <c r="AT229" s="6">
        <f t="shared" si="580"/>
        <v>185.97425508967711</v>
      </c>
      <c r="AU229" s="6">
        <f t="shared" si="581"/>
        <v>725.30388196142371</v>
      </c>
      <c r="AV229" s="6">
        <f t="shared" si="582"/>
        <v>1060.6329269452579</v>
      </c>
      <c r="AW229" s="58">
        <f t="shared" si="588"/>
        <v>2014</v>
      </c>
      <c r="AX229" s="58">
        <f>COUNTIF(AW$3:AW229,AW229)</f>
        <v>38</v>
      </c>
    </row>
    <row r="230" spans="1:50" x14ac:dyDescent="0.25">
      <c r="A230" s="5">
        <v>41735</v>
      </c>
      <c r="B230">
        <v>1865.09</v>
      </c>
      <c r="C230">
        <v>0.03</v>
      </c>
      <c r="D230" s="6">
        <v>13.96</v>
      </c>
      <c r="E230" s="18">
        <f t="shared" si="601"/>
        <v>14.46</v>
      </c>
      <c r="F230">
        <f t="shared" si="602"/>
        <v>1</v>
      </c>
      <c r="G230" s="18">
        <f>ROUND(INDEX(Valuation!U:U,MATCH(A230,Valuation!A:A,0)),2)</f>
        <v>136.94999999999999</v>
      </c>
      <c r="H230">
        <f t="shared" si="609"/>
        <v>1</v>
      </c>
      <c r="I230" s="18">
        <f>INDEX(WeeklyIndicators!Y:Y,MATCH(A230,WeeklyIndicators!A:A,0))</f>
        <v>148.36000000000001</v>
      </c>
      <c r="J230">
        <f t="shared" si="598"/>
        <v>1</v>
      </c>
      <c r="K230">
        <f>ROUND(INDEX(Economic!AF:AF,MATCH(EOMONTH($A230,-1),Economic!A:A,0)),2)</f>
        <v>100.48</v>
      </c>
      <c r="L230" s="11">
        <f t="shared" si="607"/>
        <v>0</v>
      </c>
      <c r="M230">
        <f>ROUND(INDEX(Manufacturing!P:P,MATCH(EOMONTH($A230,-1),Manufacturing!A:A,0)),2)</f>
        <v>87.38</v>
      </c>
      <c r="N230">
        <f t="shared" si="603"/>
        <v>0</v>
      </c>
      <c r="O230">
        <f>ROUND(INDEX(Housing!AC:AC,MATCH(EOMONTH($A230,-1),Housing!B:B,0)),2)</f>
        <v>115.21</v>
      </c>
      <c r="P230">
        <f t="shared" si="604"/>
        <v>1</v>
      </c>
      <c r="Q230">
        <f>ROUND(INDEX(Spending!AJ:AJ,MATCH(EOMONTH($A230,-1),Spending!B:B,0)),2)</f>
        <v>61.14</v>
      </c>
      <c r="R230">
        <f t="shared" si="608"/>
        <v>2</v>
      </c>
      <c r="S230">
        <f>ROUND(INDEX(Employment!V:V,MATCH(EOMONTH($A230,-1),Employment!A:A,0)),2)</f>
        <v>172.28</v>
      </c>
      <c r="T230" s="11">
        <f t="shared" si="605"/>
        <v>1</v>
      </c>
      <c r="U230">
        <f t="shared" si="597"/>
        <v>27</v>
      </c>
      <c r="V230">
        <f t="shared" si="589"/>
        <v>75.11</v>
      </c>
      <c r="W230" s="13">
        <f t="shared" si="590"/>
        <v>-2.8999999999999998E-3</v>
      </c>
      <c r="X230" s="13">
        <f t="shared" si="591"/>
        <v>-6.3E-3</v>
      </c>
      <c r="Y230">
        <f t="shared" si="583"/>
        <v>79.64</v>
      </c>
      <c r="Z230" s="13">
        <f t="shared" si="578"/>
        <v>-2.9999999999999997E-4</v>
      </c>
      <c r="AA230" s="13">
        <f t="shared" si="574"/>
        <v>-6.3E-3</v>
      </c>
      <c r="AB230" s="6">
        <f t="shared" si="584"/>
        <v>87.85499999999999</v>
      </c>
      <c r="AC230">
        <f t="shared" si="576"/>
        <v>44</v>
      </c>
      <c r="AD230" s="11">
        <f t="shared" si="577"/>
        <v>1</v>
      </c>
      <c r="AE230">
        <f t="shared" si="575"/>
        <v>30</v>
      </c>
      <c r="AF230">
        <f>IF(AND(AE230&lt;15,OR(AC230&gt;=30,AA230&gt;0.15,X230&gt;=0.15)),2,VLOOKUP(AE230,Table!P:Q,2,FALSE))</f>
        <v>4</v>
      </c>
      <c r="AG230" s="22">
        <f>IF((AB230*0.98)-(D230*0.8)+((AF230-3)*3)+VLOOKUP(AM230,Table!$A$11:$B$13,2,FALSE)&lt;0,0,(AB230*0.98)-(D230*0.8)+((AF230-3)*3)+VLOOKUP(AM230,Table!$A$11:$B$13,2,FALSE))</f>
        <v>85.929899999999975</v>
      </c>
      <c r="AH230" s="22">
        <f t="shared" si="606"/>
        <v>85</v>
      </c>
      <c r="AI230" s="18">
        <f t="shared" si="599"/>
        <v>0.05</v>
      </c>
      <c r="AJ230" s="18">
        <f t="shared" si="600"/>
        <v>0.05</v>
      </c>
      <c r="AK230" t="str">
        <f t="shared" si="585"/>
        <v/>
      </c>
      <c r="AL230">
        <f t="shared" si="596"/>
        <v>30</v>
      </c>
      <c r="AM230" s="11" t="str">
        <f t="shared" si="586"/>
        <v>Stocks</v>
      </c>
      <c r="AN230" t="str">
        <f t="shared" si="592"/>
        <v>Buy</v>
      </c>
      <c r="AO230" s="13">
        <f t="shared" si="593"/>
        <v>-2.6499999999999999E-2</v>
      </c>
      <c r="AP230" s="13">
        <f t="shared" si="594"/>
        <v>0</v>
      </c>
      <c r="AQ230" s="13">
        <f t="shared" si="595"/>
        <v>-2.2499999999999999E-2</v>
      </c>
      <c r="AR230" s="13">
        <f t="shared" si="587"/>
        <v>-2.6499999999999999E-2</v>
      </c>
      <c r="AS230" s="6">
        <f t="shared" si="579"/>
        <v>464.5362696562774</v>
      </c>
      <c r="AT230" s="6">
        <f t="shared" si="580"/>
        <v>185.97425508967711</v>
      </c>
      <c r="AU230" s="6">
        <f t="shared" si="581"/>
        <v>741.99885622652039</v>
      </c>
      <c r="AV230" s="6">
        <f t="shared" si="582"/>
        <v>1089.5048042580975</v>
      </c>
      <c r="AW230" s="58">
        <f t="shared" si="588"/>
        <v>2014</v>
      </c>
      <c r="AX230" s="58">
        <f>COUNTIF(AW$3:AW230,AW230)</f>
        <v>39</v>
      </c>
    </row>
    <row r="231" spans="1:50" x14ac:dyDescent="0.25">
      <c r="A231" s="5">
        <v>41728</v>
      </c>
      <c r="B231">
        <v>1857.62</v>
      </c>
      <c r="C231">
        <v>0.05</v>
      </c>
      <c r="D231" s="6">
        <v>14.41</v>
      </c>
      <c r="E231" s="18">
        <f t="shared" si="601"/>
        <v>15.74</v>
      </c>
      <c r="F231">
        <f t="shared" si="602"/>
        <v>1</v>
      </c>
      <c r="G231" s="18">
        <f>ROUND(INDEX(Valuation!U:U,MATCH(A231,Valuation!A:A,0)),2)</f>
        <v>135.91</v>
      </c>
      <c r="H231">
        <f t="shared" si="609"/>
        <v>1</v>
      </c>
      <c r="I231" s="18">
        <f>INDEX(WeeklyIndicators!Y:Y,MATCH(A231,WeeklyIndicators!A:A,0))</f>
        <v>144.88999999999999</v>
      </c>
      <c r="J231">
        <f t="shared" si="598"/>
        <v>1</v>
      </c>
      <c r="K231">
        <f>ROUND(INDEX(Economic!AF:AF,MATCH(EOMONTH($A231,-1),Economic!A:A,0)),2)</f>
        <v>97.94</v>
      </c>
      <c r="L231" s="11">
        <f t="shared" si="607"/>
        <v>-1</v>
      </c>
      <c r="M231">
        <f>ROUND(INDEX(Manufacturing!P:P,MATCH(EOMONTH($A231,-1),Manufacturing!A:A,0)),2)</f>
        <v>91.08</v>
      </c>
      <c r="N231">
        <f t="shared" si="603"/>
        <v>1</v>
      </c>
      <c r="O231">
        <f>ROUND(INDEX(Housing!AC:AC,MATCH(EOMONTH($A231,-1),Housing!B:B,0)),2)</f>
        <v>126.06</v>
      </c>
      <c r="P231">
        <f t="shared" si="604"/>
        <v>1</v>
      </c>
      <c r="Q231">
        <f>ROUND(INDEX(Spending!AJ:AJ,MATCH(EOMONTH($A231,-1),Spending!B:B,0)),2)</f>
        <v>60.36</v>
      </c>
      <c r="R231">
        <f t="shared" si="608"/>
        <v>2</v>
      </c>
      <c r="S231">
        <f>ROUND(INDEX(Employment!V:V,MATCH(EOMONTH($A231,-1),Employment!A:A,0)),2)</f>
        <v>170.93</v>
      </c>
      <c r="T231" s="11">
        <f t="shared" si="605"/>
        <v>1</v>
      </c>
      <c r="U231">
        <f t="shared" si="597"/>
        <v>27</v>
      </c>
      <c r="V231">
        <f t="shared" si="589"/>
        <v>75.47</v>
      </c>
      <c r="W231" s="13">
        <f t="shared" si="590"/>
        <v>-1.4E-3</v>
      </c>
      <c r="X231" s="13">
        <f t="shared" si="591"/>
        <v>-6.1000000000000004E-3</v>
      </c>
      <c r="Y231">
        <f t="shared" si="583"/>
        <v>79.44</v>
      </c>
      <c r="Z231" s="13">
        <f t="shared" si="578"/>
        <v>-2.3999999999999998E-3</v>
      </c>
      <c r="AA231" s="13">
        <f t="shared" si="574"/>
        <v>-6.0000000000000001E-3</v>
      </c>
      <c r="AB231" s="6">
        <f t="shared" si="584"/>
        <v>87.580999999999989</v>
      </c>
      <c r="AC231">
        <f t="shared" si="576"/>
        <v>44</v>
      </c>
      <c r="AD231" s="11">
        <f t="shared" si="577"/>
        <v>1</v>
      </c>
      <c r="AE231">
        <f t="shared" si="575"/>
        <v>30</v>
      </c>
      <c r="AF231">
        <f>IF(AND(AE231&lt;15,OR(AC231&gt;=30,AA231&gt;0.15,X231&gt;=0.15)),2,VLOOKUP(AE231,Table!P:Q,2,FALSE))</f>
        <v>4</v>
      </c>
      <c r="AG231" s="22">
        <f>IF((AB231*0.98)-(D231*0.8)+((AF231-3)*3)+VLOOKUP(AM231,Table!$A$11:$B$13,2,FALSE)&lt;0,0,(AB231*0.98)-(D231*0.8)+((AF231-3)*3)+VLOOKUP(AM231,Table!$A$11:$B$13,2,FALSE))</f>
        <v>85.30137999999998</v>
      </c>
      <c r="AH231" s="22">
        <f t="shared" si="606"/>
        <v>84</v>
      </c>
      <c r="AI231" s="18">
        <f t="shared" si="599"/>
        <v>0.05</v>
      </c>
      <c r="AJ231" s="18">
        <f t="shared" si="600"/>
        <v>0.05</v>
      </c>
      <c r="AK231" t="str">
        <f t="shared" si="585"/>
        <v/>
      </c>
      <c r="AL231">
        <f t="shared" si="596"/>
        <v>30</v>
      </c>
      <c r="AM231" s="11" t="str">
        <f t="shared" si="586"/>
        <v>Stocks</v>
      </c>
      <c r="AN231" t="str">
        <f t="shared" si="592"/>
        <v>Buy</v>
      </c>
      <c r="AO231" s="13">
        <f t="shared" si="593"/>
        <v>4.0000000000000001E-3</v>
      </c>
      <c r="AP231" s="13">
        <f t="shared" si="594"/>
        <v>0</v>
      </c>
      <c r="AQ231" s="13">
        <f t="shared" si="595"/>
        <v>3.3999999999999998E-3</v>
      </c>
      <c r="AR231" s="13">
        <f t="shared" si="587"/>
        <v>4.0000000000000001E-3</v>
      </c>
      <c r="AS231" s="6">
        <f t="shared" si="579"/>
        <v>462.685527546093</v>
      </c>
      <c r="AT231" s="6">
        <f t="shared" si="580"/>
        <v>185.97425508967711</v>
      </c>
      <c r="AU231" s="6">
        <f t="shared" si="581"/>
        <v>739.48460855742508</v>
      </c>
      <c r="AV231" s="6">
        <f t="shared" si="582"/>
        <v>1085.1641476674276</v>
      </c>
      <c r="AW231" s="58">
        <f t="shared" si="588"/>
        <v>2014</v>
      </c>
      <c r="AX231" s="58">
        <f>COUNTIF(AW$3:AW231,AW231)</f>
        <v>40</v>
      </c>
    </row>
    <row r="232" spans="1:50" x14ac:dyDescent="0.25">
      <c r="A232" s="5">
        <v>41721</v>
      </c>
      <c r="B232">
        <v>1866.52</v>
      </c>
      <c r="C232">
        <v>0.06</v>
      </c>
      <c r="D232" s="6">
        <v>15</v>
      </c>
      <c r="E232" s="18">
        <f t="shared" si="601"/>
        <v>15.64</v>
      </c>
      <c r="F232">
        <f t="shared" si="602"/>
        <v>1</v>
      </c>
      <c r="G232" s="18">
        <f>ROUND(INDEX(Valuation!U:U,MATCH(A232,Valuation!A:A,0)),2)</f>
        <v>135.37</v>
      </c>
      <c r="H232">
        <f t="shared" si="609"/>
        <v>1</v>
      </c>
      <c r="I232" s="18">
        <f>INDEX(WeeklyIndicators!Y:Y,MATCH(A232,WeeklyIndicators!A:A,0))</f>
        <v>145.69999999999999</v>
      </c>
      <c r="J232">
        <f t="shared" si="598"/>
        <v>1</v>
      </c>
      <c r="K232">
        <f>ROUND(INDEX(Economic!AF:AF,MATCH(EOMONTH($A232,-1),Economic!A:A,0)),2)</f>
        <v>97.94</v>
      </c>
      <c r="L232" s="11">
        <f t="shared" si="607"/>
        <v>-1</v>
      </c>
      <c r="M232">
        <f>ROUND(INDEX(Manufacturing!P:P,MATCH(EOMONTH($A232,-1),Manufacturing!A:A,0)),2)</f>
        <v>91.08</v>
      </c>
      <c r="N232">
        <f t="shared" si="603"/>
        <v>1</v>
      </c>
      <c r="O232">
        <f>ROUND(INDEX(Housing!AC:AC,MATCH(EOMONTH($A232,-1),Housing!B:B,0)),2)</f>
        <v>126.06</v>
      </c>
      <c r="P232">
        <f t="shared" si="604"/>
        <v>1</v>
      </c>
      <c r="Q232">
        <f>ROUND(INDEX(Spending!AJ:AJ,MATCH(EOMONTH($A232,-1),Spending!B:B,0)),2)</f>
        <v>60.36</v>
      </c>
      <c r="R232">
        <f t="shared" si="608"/>
        <v>2</v>
      </c>
      <c r="S232">
        <f>ROUND(INDEX(Employment!V:V,MATCH(EOMONTH($A232,-1),Employment!A:A,0)),2)</f>
        <v>170.93</v>
      </c>
      <c r="T232" s="11">
        <f t="shared" si="605"/>
        <v>1</v>
      </c>
      <c r="U232">
        <f t="shared" si="597"/>
        <v>27</v>
      </c>
      <c r="V232">
        <f t="shared" si="589"/>
        <v>75.55</v>
      </c>
      <c r="W232" s="13">
        <f t="shared" si="590"/>
        <v>-5.9999999999999995E-4</v>
      </c>
      <c r="X232" s="13">
        <f t="shared" si="591"/>
        <v>-9.6000000000000009E-3</v>
      </c>
      <c r="Y232">
        <f t="shared" si="583"/>
        <v>79.5</v>
      </c>
      <c r="Z232" s="13">
        <f t="shared" si="578"/>
        <v>-1.6000000000000001E-3</v>
      </c>
      <c r="AA232" s="13">
        <f t="shared" si="574"/>
        <v>-3.0000000000000001E-3</v>
      </c>
      <c r="AB232" s="6">
        <f t="shared" si="584"/>
        <v>87.757000000000005</v>
      </c>
      <c r="AC232">
        <f t="shared" si="576"/>
        <v>44</v>
      </c>
      <c r="AD232" s="11">
        <f t="shared" si="577"/>
        <v>1</v>
      </c>
      <c r="AE232">
        <f t="shared" si="575"/>
        <v>30</v>
      </c>
      <c r="AF232">
        <f>IF(AND(AE232&lt;15,OR(AC232&gt;=30,AA232&gt;0.15,X232&gt;=0.15)),2,VLOOKUP(AE232,Table!P:Q,2,FALSE))</f>
        <v>4</v>
      </c>
      <c r="AG232" s="22">
        <f>IF((AB232*0.98)-(D232*0.8)+((AF232-3)*3)+VLOOKUP(AM232,Table!$A$11:$B$13,2,FALSE)&lt;0,0,(AB232*0.98)-(D232*0.8)+((AF232-3)*3)+VLOOKUP(AM232,Table!$A$11:$B$13,2,FALSE))</f>
        <v>85.001860000000008</v>
      </c>
      <c r="AH232" s="22">
        <f t="shared" si="606"/>
        <v>85</v>
      </c>
      <c r="AI232" s="18">
        <f t="shared" si="599"/>
        <v>0.05</v>
      </c>
      <c r="AJ232" s="18">
        <f t="shared" si="600"/>
        <v>0.05</v>
      </c>
      <c r="AK232" t="str">
        <f t="shared" si="585"/>
        <v/>
      </c>
      <c r="AL232">
        <f t="shared" si="596"/>
        <v>30</v>
      </c>
      <c r="AM232" s="11" t="str">
        <f t="shared" si="586"/>
        <v>Stocks</v>
      </c>
      <c r="AN232" t="str">
        <f t="shared" si="592"/>
        <v>Buy</v>
      </c>
      <c r="AO232" s="13">
        <f t="shared" si="593"/>
        <v>-4.7999999999999996E-3</v>
      </c>
      <c r="AP232" s="13">
        <f t="shared" si="594"/>
        <v>0</v>
      </c>
      <c r="AQ232" s="13">
        <f t="shared" si="595"/>
        <v>-4.1000000000000003E-3</v>
      </c>
      <c r="AR232" s="13">
        <f t="shared" si="587"/>
        <v>-4.7999999999999996E-3</v>
      </c>
      <c r="AS232" s="6">
        <f t="shared" si="579"/>
        <v>464.91712976898413</v>
      </c>
      <c r="AT232" s="6">
        <f t="shared" si="580"/>
        <v>185.97425508967711</v>
      </c>
      <c r="AU232" s="6">
        <f t="shared" si="581"/>
        <v>742.52897736462</v>
      </c>
      <c r="AV232" s="6">
        <f t="shared" si="582"/>
        <v>1090.3980583474956</v>
      </c>
      <c r="AW232" s="58">
        <f t="shared" si="588"/>
        <v>2014</v>
      </c>
      <c r="AX232" s="58">
        <f>COUNTIF(AW$3:AW232,AW232)</f>
        <v>41</v>
      </c>
    </row>
    <row r="233" spans="1:50" x14ac:dyDescent="0.25">
      <c r="A233" s="5">
        <v>41714</v>
      </c>
      <c r="B233">
        <v>1841.13</v>
      </c>
      <c r="C233">
        <v>0.05</v>
      </c>
      <c r="D233" s="6">
        <v>17.82</v>
      </c>
      <c r="E233" s="18">
        <f t="shared" si="601"/>
        <v>15.31</v>
      </c>
      <c r="F233">
        <f t="shared" si="602"/>
        <v>1</v>
      </c>
      <c r="G233" s="18">
        <f>ROUND(INDEX(Valuation!U:U,MATCH(A233,Valuation!A:A,0)),2)</f>
        <v>134.31</v>
      </c>
      <c r="H233">
        <f t="shared" si="609"/>
        <v>1</v>
      </c>
      <c r="I233" s="18">
        <f>INDEX(WeeklyIndicators!Y:Y,MATCH(A233,WeeklyIndicators!A:A,0))</f>
        <v>147.69</v>
      </c>
      <c r="J233">
        <f t="shared" si="598"/>
        <v>1</v>
      </c>
      <c r="K233">
        <f>ROUND(INDEX(Economic!AF:AF,MATCH(EOMONTH($A233,-1),Economic!A:A,0)),2)</f>
        <v>97.94</v>
      </c>
      <c r="L233" s="11">
        <f t="shared" si="607"/>
        <v>-1</v>
      </c>
      <c r="M233">
        <f>ROUND(INDEX(Manufacturing!P:P,MATCH(EOMONTH($A233,-1),Manufacturing!A:A,0)),2)</f>
        <v>91.08</v>
      </c>
      <c r="N233">
        <f t="shared" si="603"/>
        <v>1</v>
      </c>
      <c r="O233">
        <f>ROUND(INDEX(Housing!AC:AC,MATCH(EOMONTH($A233,-1),Housing!B:B,0)),2)</f>
        <v>126.06</v>
      </c>
      <c r="P233">
        <f t="shared" si="604"/>
        <v>1</v>
      </c>
      <c r="Q233">
        <f>ROUND(INDEX(Spending!AJ:AJ,MATCH(EOMONTH($A233,-1),Spending!B:B,0)),2)</f>
        <v>60.36</v>
      </c>
      <c r="R233">
        <f t="shared" si="608"/>
        <v>2</v>
      </c>
      <c r="S233">
        <f>ROUND(INDEX(Employment!V:V,MATCH(EOMONTH($A233,-1),Employment!A:A,0)),2)</f>
        <v>170.93</v>
      </c>
      <c r="T233" s="11">
        <f t="shared" si="605"/>
        <v>1</v>
      </c>
      <c r="U233">
        <f t="shared" si="597"/>
        <v>27</v>
      </c>
      <c r="V233">
        <f t="shared" si="589"/>
        <v>75.760000000000005</v>
      </c>
      <c r="W233" s="13">
        <f t="shared" si="590"/>
        <v>-1.4E-3</v>
      </c>
      <c r="X233" s="13">
        <f t="shared" si="591"/>
        <v>-1.0700000000000001E-2</v>
      </c>
      <c r="Y233">
        <f t="shared" si="583"/>
        <v>79.7</v>
      </c>
      <c r="Z233" s="13">
        <f t="shared" si="578"/>
        <v>-2E-3</v>
      </c>
      <c r="AA233" s="13">
        <f t="shared" si="574"/>
        <v>1.6999999999999997E-3</v>
      </c>
      <c r="AB233" s="6">
        <f t="shared" si="584"/>
        <v>88.161000000000001</v>
      </c>
      <c r="AC233">
        <f t="shared" si="576"/>
        <v>44</v>
      </c>
      <c r="AD233" s="11">
        <f t="shared" si="577"/>
        <v>1</v>
      </c>
      <c r="AE233">
        <f t="shared" si="575"/>
        <v>30</v>
      </c>
      <c r="AF233">
        <f>IF(AND(AE233&lt;15,OR(AC233&gt;=30,AA233&gt;0.15,X233&gt;=0.15)),2,VLOOKUP(AE233,Table!P:Q,2,FALSE))</f>
        <v>4</v>
      </c>
      <c r="AG233" s="22">
        <f>IF((AB233*0.98)-(D233*0.8)+((AF233-3)*3)+VLOOKUP(AM233,Table!$A$11:$B$13,2,FALSE)&lt;0,0,(AB233*0.98)-(D233*0.8)+((AF233-3)*3)+VLOOKUP(AM233,Table!$A$11:$B$13,2,FALSE))</f>
        <v>83.141779999999997</v>
      </c>
      <c r="AH233" s="22">
        <f t="shared" si="606"/>
        <v>86</v>
      </c>
      <c r="AI233" s="18">
        <f t="shared" si="599"/>
        <v>0.05</v>
      </c>
      <c r="AJ233" s="18">
        <f t="shared" si="600"/>
        <v>0.05</v>
      </c>
      <c r="AK233" t="str">
        <f t="shared" si="585"/>
        <v/>
      </c>
      <c r="AL233">
        <f t="shared" si="596"/>
        <v>30</v>
      </c>
      <c r="AM233" s="11" t="str">
        <f t="shared" si="586"/>
        <v>Stocks</v>
      </c>
      <c r="AN233" t="str">
        <f t="shared" si="592"/>
        <v>Buy</v>
      </c>
      <c r="AO233" s="13">
        <f t="shared" si="593"/>
        <v>1.38E-2</v>
      </c>
      <c r="AP233" s="13">
        <f t="shared" si="594"/>
        <v>0</v>
      </c>
      <c r="AQ233" s="13">
        <f t="shared" si="595"/>
        <v>1.1900000000000001E-2</v>
      </c>
      <c r="AR233" s="13">
        <f t="shared" si="587"/>
        <v>1.38E-2</v>
      </c>
      <c r="AS233" s="6">
        <f t="shared" si="579"/>
        <v>458.58860699248777</v>
      </c>
      <c r="AT233" s="6">
        <f t="shared" si="580"/>
        <v>185.97425508967711</v>
      </c>
      <c r="AU233" s="6">
        <f t="shared" si="581"/>
        <v>733.7967954981915</v>
      </c>
      <c r="AV233" s="6">
        <f t="shared" si="582"/>
        <v>1075.5553939115166</v>
      </c>
      <c r="AW233" s="58">
        <f t="shared" si="588"/>
        <v>2014</v>
      </c>
      <c r="AX233" s="58">
        <f>COUNTIF(AW$3:AW233,AW233)</f>
        <v>42</v>
      </c>
    </row>
    <row r="234" spans="1:50" x14ac:dyDescent="0.25">
      <c r="A234" s="5">
        <v>41707</v>
      </c>
      <c r="B234">
        <v>1878.04</v>
      </c>
      <c r="C234">
        <v>0.05</v>
      </c>
      <c r="D234" s="6">
        <v>14.11</v>
      </c>
      <c r="E234" s="18">
        <f t="shared" si="601"/>
        <v>14.26</v>
      </c>
      <c r="F234">
        <f t="shared" si="602"/>
        <v>1</v>
      </c>
      <c r="G234" s="18">
        <f>ROUND(INDEX(Valuation!U:U,MATCH(A234,Valuation!A:A,0)),2)</f>
        <v>133.6</v>
      </c>
      <c r="H234">
        <f t="shared" si="609"/>
        <v>1</v>
      </c>
      <c r="I234" s="18">
        <f>INDEX(WeeklyIndicators!Y:Y,MATCH(A234,WeeklyIndicators!A:A,0))</f>
        <v>148</v>
      </c>
      <c r="J234">
        <f t="shared" si="598"/>
        <v>1</v>
      </c>
      <c r="K234">
        <f>ROUND(INDEX(Economic!AF:AF,MATCH(EOMONTH($A234,-1),Economic!A:A,0)),2)</f>
        <v>97.94</v>
      </c>
      <c r="L234" s="11">
        <f t="shared" si="607"/>
        <v>-1</v>
      </c>
      <c r="M234">
        <f>ROUND(INDEX(Manufacturing!P:P,MATCH(EOMONTH($A234,-1),Manufacturing!A:A,0)),2)</f>
        <v>91.08</v>
      </c>
      <c r="N234">
        <f t="shared" si="603"/>
        <v>1</v>
      </c>
      <c r="O234">
        <f>ROUND(INDEX(Housing!AC:AC,MATCH(EOMONTH($A234,-1),Housing!B:B,0)),2)</f>
        <v>126.06</v>
      </c>
      <c r="P234">
        <f t="shared" si="604"/>
        <v>1</v>
      </c>
      <c r="Q234">
        <f>ROUND(INDEX(Spending!AJ:AJ,MATCH(EOMONTH($A234,-1),Spending!B:B,0)),2)</f>
        <v>60.36</v>
      </c>
      <c r="R234">
        <f t="shared" si="608"/>
        <v>2</v>
      </c>
      <c r="S234">
        <f>ROUND(INDEX(Employment!V:V,MATCH(EOMONTH($A234,-1),Employment!A:A,0)),2)</f>
        <v>170.93</v>
      </c>
      <c r="T234" s="11">
        <f t="shared" si="605"/>
        <v>1</v>
      </c>
      <c r="U234">
        <f t="shared" si="597"/>
        <v>27</v>
      </c>
      <c r="V234">
        <f t="shared" si="589"/>
        <v>75.790000000000006</v>
      </c>
      <c r="W234" s="13">
        <f t="shared" si="590"/>
        <v>-2.7000000000000001E-3</v>
      </c>
      <c r="X234" s="13">
        <f t="shared" si="591"/>
        <v>-1.599999999999999E-3</v>
      </c>
      <c r="Y234">
        <f t="shared" si="583"/>
        <v>80.02</v>
      </c>
      <c r="Z234" s="13">
        <f t="shared" si="578"/>
        <v>0</v>
      </c>
      <c r="AA234" s="13">
        <f t="shared" si="574"/>
        <v>1.1900000000000001E-2</v>
      </c>
      <c r="AB234" s="6">
        <f t="shared" si="584"/>
        <v>89.19</v>
      </c>
      <c r="AC234">
        <f t="shared" si="576"/>
        <v>45</v>
      </c>
      <c r="AD234" s="11">
        <f t="shared" si="577"/>
        <v>1</v>
      </c>
      <c r="AE234">
        <f t="shared" si="575"/>
        <v>30</v>
      </c>
      <c r="AF234">
        <f>IF(AND(AE234&lt;15,OR(AC234&gt;=30,AA234&gt;0.15,X234&gt;=0.15)),2,VLOOKUP(AE234,Table!P:Q,2,FALSE))</f>
        <v>4</v>
      </c>
      <c r="AG234" s="22">
        <f>IF((AB234*0.98)-(D234*0.8)+((AF234-3)*3)+VLOOKUP(AM234,Table!$A$11:$B$13,2,FALSE)&lt;0,0,(AB234*0.98)-(D234*0.8)+((AF234-3)*3)+VLOOKUP(AM234,Table!$A$11:$B$13,2,FALSE))</f>
        <v>87.118200000000002</v>
      </c>
      <c r="AH234" s="22">
        <f t="shared" si="606"/>
        <v>88</v>
      </c>
      <c r="AI234" s="18">
        <f t="shared" si="599"/>
        <v>0.05</v>
      </c>
      <c r="AJ234" s="18">
        <f t="shared" si="600"/>
        <v>0.05</v>
      </c>
      <c r="AK234" t="str">
        <f t="shared" si="585"/>
        <v/>
      </c>
      <c r="AL234">
        <f t="shared" si="596"/>
        <v>30</v>
      </c>
      <c r="AM234" s="11" t="str">
        <f t="shared" si="586"/>
        <v>Stocks</v>
      </c>
      <c r="AN234" t="str">
        <f t="shared" si="592"/>
        <v>Buy</v>
      </c>
      <c r="AO234" s="13">
        <f t="shared" si="593"/>
        <v>-1.9699999999999999E-2</v>
      </c>
      <c r="AP234" s="13">
        <f t="shared" si="594"/>
        <v>0</v>
      </c>
      <c r="AQ234" s="13">
        <f t="shared" si="595"/>
        <v>-1.7299999999999999E-2</v>
      </c>
      <c r="AR234" s="13">
        <f t="shared" si="587"/>
        <v>-1.9699999999999999E-2</v>
      </c>
      <c r="AS234" s="6">
        <f t="shared" si="579"/>
        <v>467.80435274149522</v>
      </c>
      <c r="AT234" s="6">
        <f t="shared" si="580"/>
        <v>185.97425508967711</v>
      </c>
      <c r="AU234" s="6">
        <f t="shared" si="581"/>
        <v>746.71496438200006</v>
      </c>
      <c r="AV234" s="6">
        <f t="shared" si="582"/>
        <v>1097.1696357355061</v>
      </c>
      <c r="AW234" s="58">
        <f t="shared" si="588"/>
        <v>2014</v>
      </c>
      <c r="AX234" s="58">
        <f>COUNTIF(AW$3:AW234,AW234)</f>
        <v>43</v>
      </c>
    </row>
    <row r="235" spans="1:50" x14ac:dyDescent="0.25">
      <c r="A235" s="5">
        <v>41700</v>
      </c>
      <c r="B235">
        <v>1859.45</v>
      </c>
      <c r="C235">
        <v>0.05</v>
      </c>
      <c r="D235" s="6">
        <v>14</v>
      </c>
      <c r="E235" s="18">
        <f t="shared" si="601"/>
        <v>14.08</v>
      </c>
      <c r="F235">
        <f t="shared" si="602"/>
        <v>1</v>
      </c>
      <c r="G235" s="18">
        <f>ROUND(INDEX(Valuation!U:U,MATCH(A235,Valuation!A:A,0)),2)</f>
        <v>132.63</v>
      </c>
      <c r="H235">
        <f t="shared" si="609"/>
        <v>1</v>
      </c>
      <c r="I235" s="18">
        <f>INDEX(WeeklyIndicators!Y:Y,MATCH(A235,WeeklyIndicators!A:A,0))</f>
        <v>147.07</v>
      </c>
      <c r="J235">
        <f t="shared" si="598"/>
        <v>1</v>
      </c>
      <c r="K235">
        <f>ROUND(INDEX(Economic!AF:AF,MATCH(EOMONTH($A235,-1),Economic!A:A,0)),2)</f>
        <v>97.94</v>
      </c>
      <c r="L235" s="11">
        <f t="shared" si="607"/>
        <v>-1</v>
      </c>
      <c r="M235">
        <f>ROUND(INDEX(Manufacturing!P:P,MATCH(EOMONTH($A235,-1),Manufacturing!A:A,0)),2)</f>
        <v>91.08</v>
      </c>
      <c r="N235">
        <f t="shared" si="603"/>
        <v>1</v>
      </c>
      <c r="O235">
        <f>ROUND(INDEX(Housing!AC:AC,MATCH(EOMONTH($A235,-1),Housing!B:B,0)),2)</f>
        <v>126.06</v>
      </c>
      <c r="P235">
        <f t="shared" si="604"/>
        <v>1</v>
      </c>
      <c r="Q235">
        <f>ROUND(INDEX(Spending!AJ:AJ,MATCH(EOMONTH($A235,-1),Spending!B:B,0)),2)</f>
        <v>60.36</v>
      </c>
      <c r="R235">
        <f t="shared" si="608"/>
        <v>2</v>
      </c>
      <c r="S235">
        <f>ROUND(INDEX(Employment!V:V,MATCH(EOMONTH($A235,-1),Employment!A:A,0)),2)</f>
        <v>170.93</v>
      </c>
      <c r="T235" s="11">
        <f t="shared" si="605"/>
        <v>1</v>
      </c>
      <c r="U235">
        <f t="shared" si="597"/>
        <v>27</v>
      </c>
      <c r="V235">
        <f t="shared" si="589"/>
        <v>75.69</v>
      </c>
      <c r="W235" s="13">
        <f t="shared" si="590"/>
        <v>-4.8999999999999998E-3</v>
      </c>
      <c r="X235" s="13">
        <f t="shared" si="591"/>
        <v>1.7500000000000002E-2</v>
      </c>
      <c r="Y235">
        <f t="shared" si="583"/>
        <v>79.88</v>
      </c>
      <c r="Z235" s="13">
        <f t="shared" si="578"/>
        <v>5.9999999999999995E-4</v>
      </c>
      <c r="AA235" s="13">
        <f t="shared" si="574"/>
        <v>2.3E-2</v>
      </c>
      <c r="AB235" s="6">
        <f t="shared" si="584"/>
        <v>89.88300000000001</v>
      </c>
      <c r="AC235">
        <f t="shared" si="576"/>
        <v>45</v>
      </c>
      <c r="AD235" s="11">
        <f t="shared" si="577"/>
        <v>1</v>
      </c>
      <c r="AE235">
        <f t="shared" si="575"/>
        <v>30</v>
      </c>
      <c r="AF235">
        <f>IF(AND(AE235&lt;15,OR(AC235&gt;=30,AA235&gt;0.15,X235&gt;=0.15)),2,VLOOKUP(AE235,Table!P:Q,2,FALSE))</f>
        <v>4</v>
      </c>
      <c r="AG235" s="22">
        <f>IF((AB235*0.98)-(D235*0.8)+((AF235-3)*3)+VLOOKUP(AM235,Table!$A$11:$B$13,2,FALSE)&lt;0,0,(AB235*0.98)-(D235*0.8)+((AF235-3)*3)+VLOOKUP(AM235,Table!$A$11:$B$13,2,FALSE))</f>
        <v>87.885339999999999</v>
      </c>
      <c r="AH235" s="22">
        <f t="shared" si="606"/>
        <v>89</v>
      </c>
      <c r="AI235" s="18">
        <f t="shared" si="599"/>
        <v>0.06</v>
      </c>
      <c r="AJ235" s="18">
        <f t="shared" si="600"/>
        <v>0.05</v>
      </c>
      <c r="AK235" t="str">
        <f t="shared" si="585"/>
        <v/>
      </c>
      <c r="AL235">
        <f t="shared" si="596"/>
        <v>30</v>
      </c>
      <c r="AM235" s="11" t="str">
        <f t="shared" si="586"/>
        <v>Stocks</v>
      </c>
      <c r="AN235" t="str">
        <f t="shared" si="592"/>
        <v>Buy</v>
      </c>
      <c r="AO235" s="13">
        <f t="shared" si="593"/>
        <v>0.01</v>
      </c>
      <c r="AP235" s="13">
        <f t="shared" si="594"/>
        <v>0</v>
      </c>
      <c r="AQ235" s="13">
        <f t="shared" si="595"/>
        <v>8.8999999999999999E-3</v>
      </c>
      <c r="AR235" s="13">
        <f t="shared" si="587"/>
        <v>0.01</v>
      </c>
      <c r="AS235" s="6">
        <f t="shared" si="579"/>
        <v>463.17262647672794</v>
      </c>
      <c r="AT235" s="6">
        <f t="shared" si="580"/>
        <v>185.97425508967711</v>
      </c>
      <c r="AU235" s="6">
        <f t="shared" si="581"/>
        <v>740.12782672415517</v>
      </c>
      <c r="AV235" s="6">
        <f t="shared" si="582"/>
        <v>1086.3065700351544</v>
      </c>
      <c r="AW235" s="58">
        <f t="shared" si="588"/>
        <v>2014</v>
      </c>
      <c r="AX235" s="58">
        <f>COUNTIF(AW$3:AW235,AW235)</f>
        <v>44</v>
      </c>
    </row>
    <row r="236" spans="1:50" x14ac:dyDescent="0.25">
      <c r="A236" s="5">
        <v>41693</v>
      </c>
      <c r="B236">
        <v>1836.25</v>
      </c>
      <c r="C236">
        <v>0.05</v>
      </c>
      <c r="D236" s="6">
        <v>14.68</v>
      </c>
      <c r="E236" s="18">
        <f t="shared" si="601"/>
        <v>14.51</v>
      </c>
      <c r="F236">
        <f t="shared" si="602"/>
        <v>1</v>
      </c>
      <c r="G236" s="18">
        <f>ROUND(INDEX(Valuation!U:U,MATCH(A236,Valuation!A:A,0)),2)</f>
        <v>133.13999999999999</v>
      </c>
      <c r="H236">
        <f t="shared" si="609"/>
        <v>1</v>
      </c>
      <c r="I236" s="18">
        <f>INDEX(WeeklyIndicators!Y:Y,MATCH(A236,WeeklyIndicators!A:A,0))</f>
        <v>147.31</v>
      </c>
      <c r="J236">
        <f t="shared" si="598"/>
        <v>1</v>
      </c>
      <c r="K236">
        <f>ROUND(INDEX(Economic!AF:AF,MATCH(EOMONTH($A236,-1),Economic!A:A,0)),2)</f>
        <v>89.83</v>
      </c>
      <c r="L236" s="11">
        <f t="shared" si="607"/>
        <v>-1</v>
      </c>
      <c r="M236">
        <f>ROUND(INDEX(Manufacturing!P:P,MATCH(EOMONTH($A236,-1),Manufacturing!A:A,0)),2)</f>
        <v>96.91</v>
      </c>
      <c r="N236">
        <f t="shared" si="603"/>
        <v>1</v>
      </c>
      <c r="O236">
        <f>ROUND(INDEX(Housing!AC:AC,MATCH(EOMONTH($A236,-1),Housing!B:B,0)),2)</f>
        <v>134.93</v>
      </c>
      <c r="P236">
        <f t="shared" si="604"/>
        <v>2</v>
      </c>
      <c r="Q236">
        <f>ROUND(INDEX(Spending!AJ:AJ,MATCH(EOMONTH($A236,-1),Spending!B:B,0)),2)</f>
        <v>58.93</v>
      </c>
      <c r="R236">
        <f t="shared" si="608"/>
        <v>1</v>
      </c>
      <c r="S236">
        <f>ROUND(INDEX(Employment!V:V,MATCH(EOMONTH($A236,-1),Employment!A:A,0)),2)</f>
        <v>173.25</v>
      </c>
      <c r="T236" s="11">
        <f t="shared" si="605"/>
        <v>1</v>
      </c>
      <c r="U236">
        <f t="shared" si="597"/>
        <v>27</v>
      </c>
      <c r="V236">
        <f t="shared" si="589"/>
        <v>76.08</v>
      </c>
      <c r="W236" s="13">
        <f t="shared" si="590"/>
        <v>-1.6999999999999999E-3</v>
      </c>
      <c r="X236" s="13">
        <f t="shared" si="591"/>
        <v>4.0500000000000008E-2</v>
      </c>
      <c r="Y236">
        <f t="shared" si="583"/>
        <v>80.17</v>
      </c>
      <c r="Z236" s="13">
        <f t="shared" si="578"/>
        <v>3.0999999999999999E-3</v>
      </c>
      <c r="AA236" s="13">
        <f t="shared" si="574"/>
        <v>3.3800000000000004E-2</v>
      </c>
      <c r="AB236" s="6">
        <f t="shared" si="584"/>
        <v>91.193999999999988</v>
      </c>
      <c r="AC236">
        <f t="shared" si="576"/>
        <v>46</v>
      </c>
      <c r="AD236" s="11">
        <f t="shared" si="577"/>
        <v>1</v>
      </c>
      <c r="AE236">
        <f t="shared" si="575"/>
        <v>30</v>
      </c>
      <c r="AF236">
        <f>IF(AND(AE236&lt;15,OR(AC236&gt;=30,AA236&gt;0.15,X236&gt;=0.15)),2,VLOOKUP(AE236,Table!P:Q,2,FALSE))</f>
        <v>4</v>
      </c>
      <c r="AG236" s="22">
        <f>IF((AB236*0.98)-(D236*0.8)+((AF236-3)*3)+VLOOKUP(AM236,Table!$A$11:$B$13,2,FALSE)&lt;0,0,(AB236*0.98)-(D236*0.8)+((AF236-3)*3)+VLOOKUP(AM236,Table!$A$11:$B$13,2,FALSE))</f>
        <v>88.626119999999986</v>
      </c>
      <c r="AH236" s="22">
        <f t="shared" si="606"/>
        <v>88</v>
      </c>
      <c r="AI236" s="18">
        <f t="shared" si="599"/>
        <v>0.06</v>
      </c>
      <c r="AJ236" s="18">
        <f t="shared" si="600"/>
        <v>0.05</v>
      </c>
      <c r="AK236" t="str">
        <f t="shared" si="585"/>
        <v/>
      </c>
      <c r="AL236">
        <f t="shared" si="596"/>
        <v>29.75</v>
      </c>
      <c r="AM236" s="11" t="str">
        <f t="shared" si="586"/>
        <v>Stocks</v>
      </c>
      <c r="AN236" t="str">
        <f t="shared" si="592"/>
        <v>Buy</v>
      </c>
      <c r="AO236" s="13">
        <f t="shared" si="593"/>
        <v>1.26E-2</v>
      </c>
      <c r="AP236" s="13">
        <f t="shared" si="594"/>
        <v>0</v>
      </c>
      <c r="AQ236" s="13">
        <f t="shared" si="595"/>
        <v>1.11E-2</v>
      </c>
      <c r="AR236" s="13">
        <f t="shared" si="587"/>
        <v>1.26E-2</v>
      </c>
      <c r="AS236" s="6">
        <f t="shared" si="579"/>
        <v>457.40926967877539</v>
      </c>
      <c r="AT236" s="6">
        <f t="shared" si="580"/>
        <v>185.97425508967711</v>
      </c>
      <c r="AU236" s="6">
        <f t="shared" si="581"/>
        <v>732.00259788760275</v>
      </c>
      <c r="AV236" s="6">
        <f t="shared" si="582"/>
        <v>1072.789423301555</v>
      </c>
      <c r="AW236" s="58">
        <f t="shared" si="588"/>
        <v>2014</v>
      </c>
      <c r="AX236" s="58">
        <f>COUNTIF(AW$3:AW236,AW236)</f>
        <v>45</v>
      </c>
    </row>
    <row r="237" spans="1:50" x14ac:dyDescent="0.25">
      <c r="A237" s="5">
        <v>41686</v>
      </c>
      <c r="B237">
        <v>1838.63</v>
      </c>
      <c r="C237">
        <v>0.04</v>
      </c>
      <c r="D237" s="6">
        <v>13.57</v>
      </c>
      <c r="E237" s="18">
        <f t="shared" si="601"/>
        <v>15.76</v>
      </c>
      <c r="F237">
        <f t="shared" si="602"/>
        <v>1</v>
      </c>
      <c r="G237" s="18">
        <f>ROUND(INDEX(Valuation!U:U,MATCH(A237,Valuation!A:A,0)),2)</f>
        <v>132.62</v>
      </c>
      <c r="H237">
        <f t="shared" si="609"/>
        <v>1</v>
      </c>
      <c r="I237" s="18">
        <f>INDEX(WeeklyIndicators!Y:Y,MATCH(A237,WeeklyIndicators!A:A,0))</f>
        <v>150.47999999999999</v>
      </c>
      <c r="J237">
        <f t="shared" si="598"/>
        <v>1</v>
      </c>
      <c r="K237">
        <f>ROUND(INDEX(Economic!AF:AF,MATCH(EOMONTH($A237,-1),Economic!A:A,0)),2)</f>
        <v>89.83</v>
      </c>
      <c r="L237" s="11">
        <f t="shared" si="607"/>
        <v>-1</v>
      </c>
      <c r="M237">
        <f>ROUND(INDEX(Manufacturing!P:P,MATCH(EOMONTH($A237,-1),Manufacturing!A:A,0)),2)</f>
        <v>96.91</v>
      </c>
      <c r="N237">
        <f t="shared" si="603"/>
        <v>1</v>
      </c>
      <c r="O237">
        <f>ROUND(INDEX(Housing!AC:AC,MATCH(EOMONTH($A237,-1),Housing!B:B,0)),2)</f>
        <v>134.93</v>
      </c>
      <c r="P237">
        <f t="shared" si="604"/>
        <v>2</v>
      </c>
      <c r="Q237">
        <f>ROUND(INDEX(Spending!AJ:AJ,MATCH(EOMONTH($A237,-1),Spending!B:B,0)),2)</f>
        <v>58.93</v>
      </c>
      <c r="R237">
        <f t="shared" si="608"/>
        <v>1</v>
      </c>
      <c r="S237">
        <f>ROUND(INDEX(Employment!V:V,MATCH(EOMONTH($A237,-1),Employment!A:A,0)),2)</f>
        <v>173.25</v>
      </c>
      <c r="T237" s="11">
        <f t="shared" si="605"/>
        <v>1</v>
      </c>
      <c r="U237">
        <f t="shared" si="597"/>
        <v>27</v>
      </c>
      <c r="V237">
        <f t="shared" si="589"/>
        <v>76.400000000000006</v>
      </c>
      <c r="W237" s="13">
        <f t="shared" si="590"/>
        <v>7.7000000000000002E-3</v>
      </c>
      <c r="X237" s="13">
        <f t="shared" si="591"/>
        <v>4.8600000000000004E-2</v>
      </c>
      <c r="Y237">
        <f t="shared" si="583"/>
        <v>80.010000000000005</v>
      </c>
      <c r="Z237" s="13">
        <f t="shared" si="578"/>
        <v>8.2000000000000007E-3</v>
      </c>
      <c r="AA237" s="13">
        <f t="shared" si="574"/>
        <v>3.2199999999999999E-2</v>
      </c>
      <c r="AB237" s="6">
        <f t="shared" si="584"/>
        <v>90.962000000000003</v>
      </c>
      <c r="AC237">
        <f t="shared" si="576"/>
        <v>45</v>
      </c>
      <c r="AD237" s="11">
        <f t="shared" si="577"/>
        <v>1</v>
      </c>
      <c r="AE237">
        <f t="shared" si="575"/>
        <v>30</v>
      </c>
      <c r="AF237">
        <f>IF(AND(AE237&lt;15,OR(AC237&gt;=30,AA237&gt;0.15,X237&gt;=0.15)),2,VLOOKUP(AE237,Table!P:Q,2,FALSE))</f>
        <v>4</v>
      </c>
      <c r="AG237" s="22">
        <f>IF((AB237*0.98)-(D237*0.8)+((AF237-3)*3)+VLOOKUP(AM237,Table!$A$11:$B$13,2,FALSE)&lt;0,0,(AB237*0.98)-(D237*0.8)+((AF237-3)*3)+VLOOKUP(AM237,Table!$A$11:$B$13,2,FALSE))</f>
        <v>89.286759999999987</v>
      </c>
      <c r="AH237" s="22">
        <f t="shared" si="606"/>
        <v>85</v>
      </c>
      <c r="AI237" s="18">
        <f t="shared" si="599"/>
        <v>0.06</v>
      </c>
      <c r="AJ237" s="18">
        <f t="shared" si="600"/>
        <v>0.05</v>
      </c>
      <c r="AK237" t="str">
        <f t="shared" si="585"/>
        <v/>
      </c>
      <c r="AL237">
        <f t="shared" si="596"/>
        <v>29.75</v>
      </c>
      <c r="AM237" s="11" t="str">
        <f t="shared" si="586"/>
        <v>Stocks</v>
      </c>
      <c r="AN237" t="str">
        <f t="shared" si="592"/>
        <v>Buy</v>
      </c>
      <c r="AO237" s="13">
        <f t="shared" si="593"/>
        <v>-1.2999999999999999E-3</v>
      </c>
      <c r="AP237" s="13">
        <f t="shared" si="594"/>
        <v>0</v>
      </c>
      <c r="AQ237" s="13">
        <f t="shared" si="595"/>
        <v>-1.1000000000000001E-3</v>
      </c>
      <c r="AR237" s="13">
        <f t="shared" si="587"/>
        <v>-1.2999999999999999E-3</v>
      </c>
      <c r="AS237" s="6">
        <f t="shared" si="579"/>
        <v>458.0046757572598</v>
      </c>
      <c r="AT237" s="6">
        <f t="shared" si="580"/>
        <v>185.97425508967711</v>
      </c>
      <c r="AU237" s="6">
        <f t="shared" si="581"/>
        <v>732.80868744379086</v>
      </c>
      <c r="AV237" s="6">
        <f t="shared" si="582"/>
        <v>1074.1858649259586</v>
      </c>
      <c r="AW237" s="58">
        <f t="shared" si="588"/>
        <v>2014</v>
      </c>
      <c r="AX237" s="58">
        <f>COUNTIF(AW$3:AW237,AW237)</f>
        <v>46</v>
      </c>
    </row>
    <row r="238" spans="1:50" x14ac:dyDescent="0.25">
      <c r="A238" s="5">
        <v>41679</v>
      </c>
      <c r="B238">
        <v>1797.02</v>
      </c>
      <c r="C238">
        <v>7.0000000000000007E-2</v>
      </c>
      <c r="D238" s="6">
        <v>15.29</v>
      </c>
      <c r="E238" s="18">
        <f t="shared" si="601"/>
        <v>17.28</v>
      </c>
      <c r="F238">
        <f t="shared" si="602"/>
        <v>0</v>
      </c>
      <c r="G238" s="18">
        <f>ROUND(INDEX(Valuation!U:U,MATCH(A238,Valuation!A:A,0)),2)</f>
        <v>131.35</v>
      </c>
      <c r="H238">
        <f t="shared" si="609"/>
        <v>1</v>
      </c>
      <c r="I238" s="18">
        <f>INDEX(WeeklyIndicators!Y:Y,MATCH(A238,WeeklyIndicators!A:A,0))</f>
        <v>154.41999999999999</v>
      </c>
      <c r="J238">
        <f t="shared" si="598"/>
        <v>2</v>
      </c>
      <c r="K238">
        <f>ROUND(INDEX(Economic!AF:AF,MATCH(EOMONTH($A238,-1),Economic!A:A,0)),2)</f>
        <v>89.83</v>
      </c>
      <c r="L238" s="11">
        <f t="shared" si="607"/>
        <v>-1</v>
      </c>
      <c r="M238">
        <f>ROUND(INDEX(Manufacturing!P:P,MATCH(EOMONTH($A238,-1),Manufacturing!A:A,0)),2)</f>
        <v>96.91</v>
      </c>
      <c r="N238">
        <f t="shared" si="603"/>
        <v>1</v>
      </c>
      <c r="O238">
        <f>ROUND(INDEX(Housing!AC:AC,MATCH(EOMONTH($A238,-1),Housing!B:B,0)),2)</f>
        <v>134.93</v>
      </c>
      <c r="P238">
        <f t="shared" si="604"/>
        <v>2</v>
      </c>
      <c r="Q238">
        <f>ROUND(INDEX(Spending!AJ:AJ,MATCH(EOMONTH($A238,-1),Spending!B:B,0)),2)</f>
        <v>58.93</v>
      </c>
      <c r="R238">
        <f t="shared" si="608"/>
        <v>1</v>
      </c>
      <c r="S238">
        <f>ROUND(INDEX(Employment!V:V,MATCH(EOMONTH($A238,-1),Employment!A:A,0)),2)</f>
        <v>173.25</v>
      </c>
      <c r="T238" s="11">
        <f t="shared" si="605"/>
        <v>1</v>
      </c>
      <c r="U238">
        <f t="shared" si="597"/>
        <v>27</v>
      </c>
      <c r="V238">
        <f t="shared" si="589"/>
        <v>76.81</v>
      </c>
      <c r="W238" s="13">
        <f t="shared" si="590"/>
        <v>1.6400000000000001E-2</v>
      </c>
      <c r="X238" s="13">
        <f t="shared" si="591"/>
        <v>3.2100000000000004E-2</v>
      </c>
      <c r="Y238">
        <f t="shared" si="583"/>
        <v>79.739999999999995</v>
      </c>
      <c r="Z238" s="13">
        <f t="shared" si="578"/>
        <v>1.11E-2</v>
      </c>
      <c r="AA238" s="13">
        <f t="shared" si="574"/>
        <v>1.38E-2</v>
      </c>
      <c r="AB238" s="6">
        <f t="shared" si="584"/>
        <v>89.185000000000002</v>
      </c>
      <c r="AC238">
        <f t="shared" si="576"/>
        <v>45</v>
      </c>
      <c r="AD238" s="11">
        <f t="shared" si="577"/>
        <v>1</v>
      </c>
      <c r="AE238">
        <f t="shared" si="575"/>
        <v>30</v>
      </c>
      <c r="AF238">
        <f>IF(AND(AE238&lt;15,OR(AC238&gt;=30,AA238&gt;0.15,X238&gt;=0.15)),2,VLOOKUP(AE238,Table!P:Q,2,FALSE))</f>
        <v>4</v>
      </c>
      <c r="AG238" s="22">
        <f>IF((AB238*0.98)-(D238*0.8)+((AF238-3)*3)+VLOOKUP(AM238,Table!$A$11:$B$13,2,FALSE)&lt;0,0,(AB238*0.98)-(D238*0.8)+((AF238-3)*3)+VLOOKUP(AM238,Table!$A$11:$B$13,2,FALSE))</f>
        <v>86.169300000000007</v>
      </c>
      <c r="AH238" s="22">
        <f t="shared" si="606"/>
        <v>81</v>
      </c>
      <c r="AI238" s="18">
        <f t="shared" si="599"/>
        <v>0.06</v>
      </c>
      <c r="AJ238" s="18">
        <f t="shared" si="600"/>
        <v>0.05</v>
      </c>
      <c r="AK238" t="str">
        <f t="shared" si="585"/>
        <v/>
      </c>
      <c r="AL238">
        <f t="shared" si="596"/>
        <v>29.75</v>
      </c>
      <c r="AM238" s="11" t="str">
        <f t="shared" si="586"/>
        <v>Stocks</v>
      </c>
      <c r="AN238" t="str">
        <f t="shared" si="592"/>
        <v>Buy</v>
      </c>
      <c r="AO238" s="13">
        <f t="shared" si="593"/>
        <v>2.3199999999999998E-2</v>
      </c>
      <c r="AP238" s="13">
        <f t="shared" si="594"/>
        <v>0</v>
      </c>
      <c r="AQ238" s="13">
        <f t="shared" si="595"/>
        <v>1.8800000000000001E-2</v>
      </c>
      <c r="AR238" s="13">
        <f t="shared" si="587"/>
        <v>2.3199999999999998E-2</v>
      </c>
      <c r="AS238" s="6">
        <f t="shared" si="579"/>
        <v>447.61989421155175</v>
      </c>
      <c r="AT238" s="6">
        <f t="shared" si="580"/>
        <v>185.97425508967711</v>
      </c>
      <c r="AU238" s="6">
        <f t="shared" si="581"/>
        <v>719.28610860207198</v>
      </c>
      <c r="AV238" s="6">
        <f t="shared" si="582"/>
        <v>1049.8298132583645</v>
      </c>
      <c r="AW238" s="58">
        <f t="shared" si="588"/>
        <v>2014</v>
      </c>
      <c r="AX238" s="58">
        <f>COUNTIF(AW$3:AW238,AW238)</f>
        <v>47</v>
      </c>
    </row>
    <row r="239" spans="1:50" x14ac:dyDescent="0.25">
      <c r="A239" s="5">
        <v>41672</v>
      </c>
      <c r="B239">
        <v>1782.59</v>
      </c>
      <c r="C239">
        <v>0.04</v>
      </c>
      <c r="D239" s="6">
        <v>18.41</v>
      </c>
      <c r="E239" s="18">
        <f t="shared" si="601"/>
        <v>16.329999999999998</v>
      </c>
      <c r="F239">
        <f t="shared" si="602"/>
        <v>0</v>
      </c>
      <c r="G239" s="18">
        <f>ROUND(INDEX(Valuation!U:U,MATCH(A239,Valuation!A:A,0)),2)</f>
        <v>128.71</v>
      </c>
      <c r="H239">
        <f t="shared" si="609"/>
        <v>1</v>
      </c>
      <c r="I239" s="18">
        <f>INDEX(WeeklyIndicators!Y:Y,MATCH(A239,WeeklyIndicators!A:A,0))</f>
        <v>151.02000000000001</v>
      </c>
      <c r="J239">
        <f t="shared" si="598"/>
        <v>1</v>
      </c>
      <c r="K239">
        <f>ROUND(INDEX(Economic!AF:AF,MATCH(EOMONTH($A239,-1),Economic!A:A,0)),2)</f>
        <v>89.83</v>
      </c>
      <c r="L239" s="11">
        <f t="shared" si="607"/>
        <v>-1</v>
      </c>
      <c r="M239">
        <f>ROUND(INDEX(Manufacturing!P:P,MATCH(EOMONTH($A239,-1),Manufacturing!A:A,0)),2)</f>
        <v>96.91</v>
      </c>
      <c r="N239">
        <f t="shared" si="603"/>
        <v>1</v>
      </c>
      <c r="O239">
        <f>ROUND(INDEX(Housing!AC:AC,MATCH(EOMONTH($A239,-1),Housing!B:B,0)),2)</f>
        <v>134.93</v>
      </c>
      <c r="P239">
        <f t="shared" si="604"/>
        <v>2</v>
      </c>
      <c r="Q239">
        <f>ROUND(INDEX(Spending!AJ:AJ,MATCH(EOMONTH($A239,-1),Spending!B:B,0)),2)</f>
        <v>58.93</v>
      </c>
      <c r="R239">
        <f t="shared" si="608"/>
        <v>1</v>
      </c>
      <c r="S239">
        <f>ROUND(INDEX(Employment!V:V,MATCH(EOMONTH($A239,-1),Employment!A:A,0)),2)</f>
        <v>173.25</v>
      </c>
      <c r="T239" s="11">
        <f t="shared" si="605"/>
        <v>1</v>
      </c>
      <c r="U239">
        <f t="shared" si="597"/>
        <v>26</v>
      </c>
      <c r="V239">
        <f t="shared" si="589"/>
        <v>76.459999999999994</v>
      </c>
      <c r="W239" s="13">
        <f t="shared" si="590"/>
        <v>1.8100000000000002E-2</v>
      </c>
      <c r="X239" s="13">
        <f t="shared" si="591"/>
        <v>-5.400000000000002E-3</v>
      </c>
      <c r="Y239">
        <f t="shared" si="583"/>
        <v>79.430000000000007</v>
      </c>
      <c r="Z239" s="13">
        <f t="shared" si="578"/>
        <v>1.14E-2</v>
      </c>
      <c r="AA239" s="13">
        <f t="shared" si="574"/>
        <v>-1.7800000000000003E-2</v>
      </c>
      <c r="AB239" s="6">
        <f t="shared" si="584"/>
        <v>86.100999999999999</v>
      </c>
      <c r="AC239">
        <f t="shared" si="576"/>
        <v>43</v>
      </c>
      <c r="AD239" s="11">
        <f t="shared" si="577"/>
        <v>1</v>
      </c>
      <c r="AE239">
        <f t="shared" si="575"/>
        <v>29</v>
      </c>
      <c r="AF239">
        <f>IF(AND(AE239&lt;15,OR(AC239&gt;=30,AA239&gt;0.15,X239&gt;=0.15)),2,VLOOKUP(AE239,Table!P:Q,2,FALSE))</f>
        <v>4</v>
      </c>
      <c r="AG239" s="22">
        <f>IF((AB239*0.98)-(D239*0.8)+((AF239-3)*3)+VLOOKUP(AM239,Table!$A$11:$B$13,2,FALSE)&lt;0,0,(AB239*0.98)-(D239*0.8)+((AF239-3)*3)+VLOOKUP(AM239,Table!$A$11:$B$13,2,FALSE))</f>
        <v>80.650980000000004</v>
      </c>
      <c r="AH239" s="22">
        <f t="shared" si="606"/>
        <v>79</v>
      </c>
      <c r="AI239" s="18">
        <f t="shared" si="599"/>
        <v>0.06</v>
      </c>
      <c r="AJ239" s="18">
        <f t="shared" si="600"/>
        <v>0.05</v>
      </c>
      <c r="AK239" t="str">
        <f t="shared" si="585"/>
        <v/>
      </c>
      <c r="AL239">
        <f t="shared" si="596"/>
        <v>29.5</v>
      </c>
      <c r="AM239" s="11" t="str">
        <f t="shared" si="586"/>
        <v>Stocks</v>
      </c>
      <c r="AN239" t="str">
        <f t="shared" si="592"/>
        <v>Buy</v>
      </c>
      <c r="AO239" s="13">
        <f t="shared" si="593"/>
        <v>8.0999999999999996E-3</v>
      </c>
      <c r="AP239" s="13">
        <f t="shared" si="594"/>
        <v>0</v>
      </c>
      <c r="AQ239" s="13">
        <f t="shared" si="595"/>
        <v>6.4000000000000003E-3</v>
      </c>
      <c r="AR239" s="13">
        <f t="shared" si="587"/>
        <v>8.0999999999999996E-3</v>
      </c>
      <c r="AS239" s="6">
        <f t="shared" si="579"/>
        <v>444.02330543750793</v>
      </c>
      <c r="AT239" s="6">
        <f t="shared" si="580"/>
        <v>185.97425508967711</v>
      </c>
      <c r="AU239" s="6">
        <f t="shared" si="581"/>
        <v>714.71195210857707</v>
      </c>
      <c r="AV239" s="6">
        <f t="shared" si="582"/>
        <v>1041.3945176652758</v>
      </c>
      <c r="AW239" s="58">
        <f t="shared" si="588"/>
        <v>2014</v>
      </c>
      <c r="AX239" s="58">
        <f>COUNTIF(AW$3:AW239,AW239)</f>
        <v>48</v>
      </c>
    </row>
    <row r="240" spans="1:50" x14ac:dyDescent="0.25">
      <c r="A240" s="5">
        <v>41665</v>
      </c>
      <c r="B240">
        <v>1790.29</v>
      </c>
      <c r="C240">
        <v>0.04</v>
      </c>
      <c r="D240" s="6">
        <v>18.14</v>
      </c>
      <c r="E240" s="18">
        <f t="shared" si="601"/>
        <v>14.24</v>
      </c>
      <c r="F240">
        <f t="shared" si="602"/>
        <v>1</v>
      </c>
      <c r="G240" s="18">
        <f>ROUND(INDEX(Valuation!U:U,MATCH(A240,Valuation!A:A,0)),2)</f>
        <v>126.27</v>
      </c>
      <c r="H240">
        <f t="shared" si="609"/>
        <v>1</v>
      </c>
      <c r="I240" s="18">
        <f>INDEX(WeeklyIndicators!Y:Y,MATCH(A240,WeeklyIndicators!A:A,0))</f>
        <v>137.76</v>
      </c>
      <c r="J240">
        <f t="shared" si="598"/>
        <v>1</v>
      </c>
      <c r="K240">
        <f>ROUND(INDEX(Economic!AF:AF,MATCH(EOMONTH($A240,-1),Economic!A:A,0)),2)</f>
        <v>85.05</v>
      </c>
      <c r="L240" s="11">
        <f t="shared" si="607"/>
        <v>-1</v>
      </c>
      <c r="M240">
        <f>ROUND(INDEX(Manufacturing!P:P,MATCH(EOMONTH($A240,-1),Manufacturing!A:A,0)),2)</f>
        <v>101.58</v>
      </c>
      <c r="N240">
        <f t="shared" si="603"/>
        <v>2</v>
      </c>
      <c r="O240">
        <f>ROUND(INDEX(Housing!AC:AC,MATCH(EOMONTH($A240,-1),Housing!B:B,0)),2)</f>
        <v>139.33000000000001</v>
      </c>
      <c r="P240">
        <f t="shared" si="604"/>
        <v>2</v>
      </c>
      <c r="Q240">
        <f>ROUND(INDEX(Spending!AJ:AJ,MATCH(EOMONTH($A240,-1),Spending!B:B,0)),2)</f>
        <v>56</v>
      </c>
      <c r="R240">
        <f t="shared" si="608"/>
        <v>1</v>
      </c>
      <c r="S240">
        <f>ROUND(INDEX(Employment!V:V,MATCH(EOMONTH($A240,-1),Employment!A:A,0)),2)</f>
        <v>167.64</v>
      </c>
      <c r="T240" s="11">
        <f t="shared" si="605"/>
        <v>1</v>
      </c>
      <c r="U240">
        <f t="shared" si="597"/>
        <v>28</v>
      </c>
      <c r="V240">
        <f t="shared" si="589"/>
        <v>74.64</v>
      </c>
      <c r="W240" s="13">
        <f t="shared" si="590"/>
        <v>6.4000000000000003E-3</v>
      </c>
      <c r="X240" s="13">
        <f t="shared" si="591"/>
        <v>-4.5700000000000005E-2</v>
      </c>
      <c r="Y240">
        <f t="shared" si="583"/>
        <v>78.069999999999993</v>
      </c>
      <c r="Z240" s="13">
        <f t="shared" si="578"/>
        <v>1.5E-3</v>
      </c>
      <c r="AA240" s="13">
        <f t="shared" si="574"/>
        <v>-5.0500000000000003E-2</v>
      </c>
      <c r="AB240" s="6">
        <f t="shared" si="584"/>
        <v>81.846999999999994</v>
      </c>
      <c r="AC240">
        <f t="shared" si="576"/>
        <v>41</v>
      </c>
      <c r="AD240" s="11">
        <f t="shared" si="577"/>
        <v>0</v>
      </c>
      <c r="AE240">
        <f t="shared" si="575"/>
        <v>30</v>
      </c>
      <c r="AF240">
        <f>IF(AND(AE240&lt;15,OR(AC240&gt;=30,AA240&gt;0.15,X240&gt;=0.15)),2,VLOOKUP(AE240,Table!P:Q,2,FALSE))</f>
        <v>4</v>
      </c>
      <c r="AG240" s="22">
        <f>IF((AB240*0.98)-(D240*0.8)+((AF240-3)*3)+VLOOKUP(AM240,Table!$A$11:$B$13,2,FALSE)&lt;0,0,(AB240*0.98)-(D240*0.8)+((AF240-3)*3)+VLOOKUP(AM240,Table!$A$11:$B$13,2,FALSE))</f>
        <v>76.698059999999998</v>
      </c>
      <c r="AH240" s="22">
        <f t="shared" si="606"/>
        <v>79</v>
      </c>
      <c r="AI240" s="18">
        <f t="shared" si="599"/>
        <v>0.06</v>
      </c>
      <c r="AJ240" s="18">
        <f t="shared" si="600"/>
        <v>0.05</v>
      </c>
      <c r="AK240" t="str">
        <f t="shared" si="585"/>
        <v/>
      </c>
      <c r="AL240">
        <f t="shared" si="596"/>
        <v>30</v>
      </c>
      <c r="AM240" s="11" t="str">
        <f t="shared" si="586"/>
        <v>Stocks</v>
      </c>
      <c r="AN240" t="str">
        <f t="shared" si="592"/>
        <v>Buy</v>
      </c>
      <c r="AO240" s="13">
        <f t="shared" si="593"/>
        <v>-4.3E-3</v>
      </c>
      <c r="AP240" s="13">
        <f t="shared" si="594"/>
        <v>0</v>
      </c>
      <c r="AQ240" s="13">
        <f t="shared" si="595"/>
        <v>-3.3999999999999998E-3</v>
      </c>
      <c r="AR240" s="13">
        <f t="shared" si="587"/>
        <v>-4.3E-3</v>
      </c>
      <c r="AS240" s="6">
        <f t="shared" si="579"/>
        <v>445.94085109722602</v>
      </c>
      <c r="AT240" s="6">
        <f t="shared" si="580"/>
        <v>185.97425508967711</v>
      </c>
      <c r="AU240" s="6">
        <f t="shared" si="581"/>
        <v>717.15026300278646</v>
      </c>
      <c r="AV240" s="6">
        <f t="shared" si="582"/>
        <v>1045.8918526315915</v>
      </c>
      <c r="AW240" s="58">
        <f t="shared" si="588"/>
        <v>2014</v>
      </c>
      <c r="AX240" s="58">
        <f>COUNTIF(AW$3:AW240,AW240)</f>
        <v>49</v>
      </c>
    </row>
    <row r="241" spans="1:50" x14ac:dyDescent="0.25">
      <c r="A241" s="5">
        <v>41658</v>
      </c>
      <c r="B241">
        <v>1838.7</v>
      </c>
      <c r="C241">
        <v>0.04</v>
      </c>
      <c r="D241" s="6">
        <v>12.44</v>
      </c>
      <c r="E241" s="18">
        <f t="shared" si="601"/>
        <v>12.78</v>
      </c>
      <c r="F241">
        <f t="shared" si="602"/>
        <v>2</v>
      </c>
      <c r="G241" s="18">
        <f>ROUND(INDEX(Valuation!U:U,MATCH(A241,Valuation!A:A,0)),2)</f>
        <v>127.02</v>
      </c>
      <c r="H241">
        <f t="shared" si="609"/>
        <v>1</v>
      </c>
      <c r="I241" s="18">
        <f>INDEX(WeeklyIndicators!Y:Y,MATCH(A241,WeeklyIndicators!A:A,0))</f>
        <v>123.15</v>
      </c>
      <c r="J241">
        <f t="shared" si="598"/>
        <v>0</v>
      </c>
      <c r="K241">
        <f>ROUND(INDEX(Economic!AF:AF,MATCH(EOMONTH($A241,-1),Economic!A:A,0)),2)</f>
        <v>85.05</v>
      </c>
      <c r="L241" s="11">
        <f t="shared" si="607"/>
        <v>-1</v>
      </c>
      <c r="M241">
        <f>ROUND(INDEX(Manufacturing!P:P,MATCH(EOMONTH($A241,-1),Manufacturing!A:A,0)),2)</f>
        <v>101.58</v>
      </c>
      <c r="N241">
        <f t="shared" si="603"/>
        <v>2</v>
      </c>
      <c r="O241">
        <f>ROUND(INDEX(Housing!AC:AC,MATCH(EOMONTH($A241,-1),Housing!B:B,0)),2)</f>
        <v>139.33000000000001</v>
      </c>
      <c r="P241">
        <f t="shared" si="604"/>
        <v>2</v>
      </c>
      <c r="Q241">
        <f>ROUND(INDEX(Spending!AJ:AJ,MATCH(EOMONTH($A241,-1),Spending!B:B,0)),2)</f>
        <v>56</v>
      </c>
      <c r="R241">
        <f t="shared" si="608"/>
        <v>1</v>
      </c>
      <c r="S241">
        <f>ROUND(INDEX(Employment!V:V,MATCH(EOMONTH($A241,-1),Employment!A:A,0)),2)</f>
        <v>167.64</v>
      </c>
      <c r="T241" s="11">
        <f t="shared" si="605"/>
        <v>1</v>
      </c>
      <c r="U241">
        <f t="shared" si="597"/>
        <v>28</v>
      </c>
      <c r="V241">
        <f t="shared" si="589"/>
        <v>73.13</v>
      </c>
      <c r="W241" s="13">
        <f t="shared" si="590"/>
        <v>-8.8000000000000005E-3</v>
      </c>
      <c r="X241" s="13">
        <f t="shared" si="591"/>
        <v>-6.480000000000001E-2</v>
      </c>
      <c r="Y241">
        <f t="shared" si="583"/>
        <v>77.14</v>
      </c>
      <c r="Z241" s="13">
        <f t="shared" si="578"/>
        <v>-1.0200000000000001E-2</v>
      </c>
      <c r="AA241" s="13">
        <f t="shared" si="574"/>
        <v>-6.6900000000000001E-2</v>
      </c>
      <c r="AB241" s="6">
        <f t="shared" si="584"/>
        <v>79.652000000000001</v>
      </c>
      <c r="AC241">
        <f t="shared" si="576"/>
        <v>40</v>
      </c>
      <c r="AD241" s="11">
        <f t="shared" si="577"/>
        <v>0</v>
      </c>
      <c r="AE241">
        <f t="shared" si="575"/>
        <v>30</v>
      </c>
      <c r="AF241">
        <f>IF(AND(AE241&lt;15,OR(AC241&gt;=30,AA241&gt;0.15,X241&gt;=0.15)),2,VLOOKUP(AE241,Table!P:Q,2,FALSE))</f>
        <v>4</v>
      </c>
      <c r="AG241" s="22">
        <f>IF((AB241*0.98)-(D241*0.8)+((AF241-3)*3)+VLOOKUP(AM241,Table!$A$11:$B$13,2,FALSE)&lt;0,0,(AB241*0.98)-(D241*0.8)+((AF241-3)*3)+VLOOKUP(AM241,Table!$A$11:$B$13,2,FALSE))</f>
        <v>79.106960000000001</v>
      </c>
      <c r="AH241" s="22">
        <f t="shared" si="606"/>
        <v>80</v>
      </c>
      <c r="AI241" s="18">
        <f t="shared" si="599"/>
        <v>0.06</v>
      </c>
      <c r="AJ241" s="18">
        <f t="shared" si="600"/>
        <v>0.05</v>
      </c>
      <c r="AK241" t="str">
        <f t="shared" si="585"/>
        <v/>
      </c>
      <c r="AL241">
        <f t="shared" si="596"/>
        <v>30.25</v>
      </c>
      <c r="AM241" s="11" t="str">
        <f t="shared" si="586"/>
        <v>Stocks</v>
      </c>
      <c r="AN241" t="str">
        <f t="shared" si="592"/>
        <v>Buy</v>
      </c>
      <c r="AO241" s="13">
        <f t="shared" si="593"/>
        <v>-2.63E-2</v>
      </c>
      <c r="AP241" s="13">
        <f t="shared" si="594"/>
        <v>0</v>
      </c>
      <c r="AQ241" s="13">
        <f t="shared" si="595"/>
        <v>-2.1000000000000001E-2</v>
      </c>
      <c r="AR241" s="13">
        <f t="shared" si="587"/>
        <v>-2.63E-2</v>
      </c>
      <c r="AS241" s="6">
        <f t="shared" si="579"/>
        <v>457.98587973423645</v>
      </c>
      <c r="AT241" s="6">
        <f t="shared" si="580"/>
        <v>185.97425508967711</v>
      </c>
      <c r="AU241" s="6">
        <f t="shared" si="581"/>
        <v>732.5334657842559</v>
      </c>
      <c r="AV241" s="6">
        <f t="shared" si="582"/>
        <v>1074.1417814846375</v>
      </c>
      <c r="AW241" s="58">
        <f t="shared" si="588"/>
        <v>2014</v>
      </c>
      <c r="AX241" s="58">
        <f>COUNTIF(AW$3:AW241,AW241)</f>
        <v>50</v>
      </c>
    </row>
    <row r="242" spans="1:50" x14ac:dyDescent="0.25">
      <c r="A242" s="5">
        <v>41651</v>
      </c>
      <c r="B242">
        <v>1842.37</v>
      </c>
      <c r="C242">
        <v>0.05</v>
      </c>
      <c r="D242" s="6">
        <v>12.14</v>
      </c>
      <c r="E242" s="18">
        <f t="shared" si="601"/>
        <v>12.79</v>
      </c>
      <c r="F242">
        <f t="shared" si="602"/>
        <v>2</v>
      </c>
      <c r="G242" s="18">
        <f>ROUND(INDEX(Valuation!U:U,MATCH(A242,Valuation!A:A,0)),2)</f>
        <v>129.69</v>
      </c>
      <c r="H242">
        <f t="shared" si="609"/>
        <v>1</v>
      </c>
      <c r="I242" s="18">
        <f>INDEX(WeeklyIndicators!Y:Y,MATCH(A242,WeeklyIndicators!A:A,0))</f>
        <v>116.82</v>
      </c>
      <c r="J242">
        <f t="shared" si="598"/>
        <v>-1</v>
      </c>
      <c r="K242">
        <f>ROUND(INDEX(Economic!AF:AF,MATCH(EOMONTH($A242,-1),Economic!A:A,0)),2)</f>
        <v>85.05</v>
      </c>
      <c r="L242" s="11">
        <f t="shared" si="607"/>
        <v>-1</v>
      </c>
      <c r="M242">
        <f>ROUND(INDEX(Manufacturing!P:P,MATCH(EOMONTH($A242,-1),Manufacturing!A:A,0)),2)</f>
        <v>101.58</v>
      </c>
      <c r="N242">
        <f t="shared" si="603"/>
        <v>2</v>
      </c>
      <c r="O242">
        <f>ROUND(INDEX(Housing!AC:AC,MATCH(EOMONTH($A242,-1),Housing!B:B,0)),2)</f>
        <v>139.33000000000001</v>
      </c>
      <c r="P242">
        <f t="shared" si="604"/>
        <v>2</v>
      </c>
      <c r="Q242">
        <f>ROUND(INDEX(Spending!AJ:AJ,MATCH(EOMONTH($A242,-1),Spending!B:B,0)),2)</f>
        <v>56</v>
      </c>
      <c r="R242">
        <f t="shared" si="608"/>
        <v>1</v>
      </c>
      <c r="S242">
        <f>ROUND(INDEX(Employment!V:V,MATCH(EOMONTH($A242,-1),Employment!A:A,0)),2)</f>
        <v>167.64</v>
      </c>
      <c r="T242" s="11">
        <f t="shared" si="605"/>
        <v>1</v>
      </c>
      <c r="U242">
        <f t="shared" si="597"/>
        <v>27</v>
      </c>
      <c r="V242">
        <f t="shared" si="589"/>
        <v>72.47</v>
      </c>
      <c r="W242" s="13">
        <f t="shared" si="590"/>
        <v>-2.1100000000000001E-2</v>
      </c>
      <c r="X242" s="13">
        <f t="shared" si="591"/>
        <v>-5.2700000000000011E-2</v>
      </c>
      <c r="Y242">
        <f t="shared" si="583"/>
        <v>76.78</v>
      </c>
      <c r="Z242" s="13">
        <f t="shared" si="578"/>
        <v>-2.0500000000000001E-2</v>
      </c>
      <c r="AA242" s="13">
        <f t="shared" si="574"/>
        <v>-5.8599999999999999E-2</v>
      </c>
      <c r="AB242" s="6">
        <f t="shared" si="584"/>
        <v>80.208999999999989</v>
      </c>
      <c r="AC242">
        <f t="shared" si="576"/>
        <v>40</v>
      </c>
      <c r="AD242" s="11">
        <f t="shared" si="577"/>
        <v>0</v>
      </c>
      <c r="AE242">
        <f t="shared" si="575"/>
        <v>29</v>
      </c>
      <c r="AF242">
        <f>IF(AND(AE242&lt;15,OR(AC242&gt;=30,AA242&gt;0.15,X242&gt;=0.15)),2,VLOOKUP(AE242,Table!P:Q,2,FALSE))</f>
        <v>4</v>
      </c>
      <c r="AG242" s="22">
        <f>IF((AB242*0.98)-(D242*0.8)+((AF242-3)*3)+VLOOKUP(AM242,Table!$A$11:$B$13,2,FALSE)&lt;0,0,(AB242*0.98)-(D242*0.8)+((AF242-3)*3)+VLOOKUP(AM242,Table!$A$11:$B$13,2,FALSE))</f>
        <v>79.892819999999986</v>
      </c>
      <c r="AH242" s="22">
        <f t="shared" si="606"/>
        <v>83</v>
      </c>
      <c r="AI242" s="18">
        <f t="shared" si="599"/>
        <v>0.06</v>
      </c>
      <c r="AJ242" s="18">
        <f t="shared" si="600"/>
        <v>0.05</v>
      </c>
      <c r="AK242" t="str">
        <f t="shared" si="585"/>
        <v/>
      </c>
      <c r="AL242">
        <f t="shared" si="596"/>
        <v>30.75</v>
      </c>
      <c r="AM242" s="11" t="str">
        <f t="shared" si="586"/>
        <v>Stocks</v>
      </c>
      <c r="AN242" t="str">
        <f t="shared" si="592"/>
        <v>Buy</v>
      </c>
      <c r="AO242" s="13">
        <f t="shared" si="593"/>
        <v>-2E-3</v>
      </c>
      <c r="AP242" s="13">
        <f t="shared" si="594"/>
        <v>0</v>
      </c>
      <c r="AQ242" s="13">
        <f t="shared" si="595"/>
        <v>-1.6999999999999999E-3</v>
      </c>
      <c r="AR242" s="13">
        <f t="shared" si="587"/>
        <v>-2E-3</v>
      </c>
      <c r="AS242" s="6">
        <f t="shared" si="579"/>
        <v>458.90368710845337</v>
      </c>
      <c r="AT242" s="6">
        <f t="shared" si="580"/>
        <v>185.97425508967711</v>
      </c>
      <c r="AU242" s="6">
        <f t="shared" si="581"/>
        <v>733.78089330287082</v>
      </c>
      <c r="AV242" s="6">
        <f t="shared" si="582"/>
        <v>1076.2943702250877</v>
      </c>
      <c r="AW242" s="58">
        <f t="shared" si="588"/>
        <v>2014</v>
      </c>
      <c r="AX242" s="58">
        <f>COUNTIF(AW$3:AW242,AW242)</f>
        <v>51</v>
      </c>
    </row>
    <row r="243" spans="1:50" x14ac:dyDescent="0.25">
      <c r="A243" s="5">
        <v>41644</v>
      </c>
      <c r="B243">
        <v>1831.37</v>
      </c>
      <c r="C243">
        <v>7.0000000000000007E-2</v>
      </c>
      <c r="D243" s="6">
        <v>13.76</v>
      </c>
      <c r="E243" s="18">
        <f t="shared" si="601"/>
        <v>13.34</v>
      </c>
      <c r="F243">
        <f t="shared" si="602"/>
        <v>2</v>
      </c>
      <c r="G243" s="18">
        <f>ROUND(INDEX(Valuation!U:U,MATCH(A243,Valuation!A:A,0)),2)</f>
        <v>133.06</v>
      </c>
      <c r="H243">
        <f t="shared" si="609"/>
        <v>1</v>
      </c>
      <c r="I243" s="18">
        <f>INDEX(WeeklyIndicators!Y:Y,MATCH(A243,WeeklyIndicators!A:A,0))</f>
        <v>124.24</v>
      </c>
      <c r="J243">
        <f t="shared" si="598"/>
        <v>0</v>
      </c>
      <c r="K243">
        <f>ROUND(INDEX(Economic!AF:AF,MATCH(EOMONTH($A243,-1),Economic!A:A,0)),2)</f>
        <v>85.05</v>
      </c>
      <c r="L243" s="11">
        <f t="shared" si="607"/>
        <v>-1</v>
      </c>
      <c r="M243">
        <f>ROUND(INDEX(Manufacturing!P:P,MATCH(EOMONTH($A243,-1),Manufacturing!A:A,0)),2)</f>
        <v>101.58</v>
      </c>
      <c r="N243">
        <f t="shared" si="603"/>
        <v>2</v>
      </c>
      <c r="O243">
        <f>ROUND(INDEX(Housing!AC:AC,MATCH(EOMONTH($A243,-1),Housing!B:B,0)),2)</f>
        <v>139.33000000000001</v>
      </c>
      <c r="P243">
        <f t="shared" si="604"/>
        <v>2</v>
      </c>
      <c r="Q243">
        <f>ROUND(INDEX(Spending!AJ:AJ,MATCH(EOMONTH($A243,-1),Spending!B:B,0)),2)</f>
        <v>56</v>
      </c>
      <c r="R243">
        <f t="shared" si="608"/>
        <v>1</v>
      </c>
      <c r="S243">
        <f>ROUND(INDEX(Employment!V:V,MATCH(EOMONTH($A243,-1),Employment!A:A,0)),2)</f>
        <v>167.64</v>
      </c>
      <c r="T243" s="11">
        <f t="shared" si="605"/>
        <v>1</v>
      </c>
      <c r="U243">
        <f t="shared" si="597"/>
        <v>28</v>
      </c>
      <c r="V243">
        <f t="shared" si="589"/>
        <v>73.239999999999995</v>
      </c>
      <c r="W243" s="13">
        <f t="shared" si="590"/>
        <v>-2.2200000000000001E-2</v>
      </c>
      <c r="X243" s="13">
        <f t="shared" si="591"/>
        <v>-1.9800000000000005E-2</v>
      </c>
      <c r="Y243">
        <f t="shared" si="583"/>
        <v>77.73</v>
      </c>
      <c r="Z243" s="13">
        <f t="shared" si="578"/>
        <v>-2.1299999999999999E-2</v>
      </c>
      <c r="AA243" s="13">
        <f t="shared" ref="AA243:AA306" si="610">SUM(Z243:Z246)</f>
        <v>-3.2999999999999995E-2</v>
      </c>
      <c r="AB243" s="6">
        <f t="shared" si="584"/>
        <v>83.566000000000003</v>
      </c>
      <c r="AC243">
        <f t="shared" si="576"/>
        <v>42</v>
      </c>
      <c r="AD243" s="11">
        <f t="shared" si="577"/>
        <v>1</v>
      </c>
      <c r="AE243">
        <f t="shared" si="575"/>
        <v>31</v>
      </c>
      <c r="AF243">
        <f>IF(AND(AE243&lt;15,OR(AC243&gt;=30,AA243&gt;0.15,X243&gt;=0.15)),2,VLOOKUP(AE243,Table!P:Q,2,FALSE))</f>
        <v>4</v>
      </c>
      <c r="AG243" s="22">
        <f>IF((AB243*0.98)-(D243*0.8)+((AF243-3)*3)+VLOOKUP(AM243,Table!$A$11:$B$13,2,FALSE)&lt;0,0,(AB243*0.98)-(D243*0.8)+((AF243-3)*3)+VLOOKUP(AM243,Table!$A$11:$B$13,2,FALSE))</f>
        <v>81.886679999999998</v>
      </c>
      <c r="AH243" s="22">
        <f t="shared" si="606"/>
        <v>88</v>
      </c>
      <c r="AI243" s="18">
        <f t="shared" si="599"/>
        <v>0.06</v>
      </c>
      <c r="AJ243" s="18">
        <f t="shared" si="600"/>
        <v>0.05</v>
      </c>
      <c r="AK243" t="str">
        <f t="shared" si="585"/>
        <v/>
      </c>
      <c r="AL243">
        <f t="shared" si="596"/>
        <v>31.75</v>
      </c>
      <c r="AM243" s="11" t="str">
        <f t="shared" si="586"/>
        <v>Stocks</v>
      </c>
      <c r="AN243" t="str">
        <f t="shared" si="592"/>
        <v>Buy</v>
      </c>
      <c r="AO243" s="13">
        <f t="shared" si="593"/>
        <v>6.0000000000000001E-3</v>
      </c>
      <c r="AP243" s="13">
        <f t="shared" si="594"/>
        <v>0</v>
      </c>
      <c r="AQ243" s="13">
        <f t="shared" si="595"/>
        <v>5.3E-3</v>
      </c>
      <c r="AR243" s="13">
        <f t="shared" si="587"/>
        <v>6.0000000000000001E-3</v>
      </c>
      <c r="AS243" s="6">
        <f t="shared" si="579"/>
        <v>456.16668698653416</v>
      </c>
      <c r="AT243" s="6">
        <f t="shared" si="580"/>
        <v>185.97425508967711</v>
      </c>
      <c r="AU243" s="6">
        <f t="shared" si="581"/>
        <v>729.91235780649629</v>
      </c>
      <c r="AV243" s="6">
        <f t="shared" si="582"/>
        <v>1069.8751195080395</v>
      </c>
      <c r="AW243" s="58">
        <f t="shared" si="588"/>
        <v>2014</v>
      </c>
      <c r="AX243" s="58">
        <f>COUNTIF(AW$3:AW243,AW243)</f>
        <v>52</v>
      </c>
    </row>
    <row r="244" spans="1:50" x14ac:dyDescent="0.25">
      <c r="A244" s="5">
        <v>41637</v>
      </c>
      <c r="B244">
        <v>1841.4</v>
      </c>
      <c r="C244">
        <v>7.0000000000000007E-2</v>
      </c>
      <c r="D244" s="6">
        <v>12.46</v>
      </c>
      <c r="E244" s="18">
        <f t="shared" si="601"/>
        <v>14</v>
      </c>
      <c r="F244">
        <f t="shared" si="602"/>
        <v>1</v>
      </c>
      <c r="G244" s="18">
        <f>ROUND(INDEX(Valuation!U:U,MATCH(A244,Valuation!A:A,0)),2)</f>
        <v>134.66</v>
      </c>
      <c r="H244">
        <f t="shared" si="609"/>
        <v>1</v>
      </c>
      <c r="I244" s="18">
        <f>INDEX(WeeklyIndicators!Y:Y,MATCH(A244,WeeklyIndicators!A:A,0))</f>
        <v>142.59</v>
      </c>
      <c r="J244">
        <f t="shared" si="598"/>
        <v>1</v>
      </c>
      <c r="K244">
        <f>ROUND(INDEX(Economic!AF:AF,MATCH(EOMONTH($A244,-1),Economic!A:A,0)),2)</f>
        <v>85.02</v>
      </c>
      <c r="L244" s="11">
        <f t="shared" si="607"/>
        <v>-1</v>
      </c>
      <c r="M244">
        <f>ROUND(INDEX(Manufacturing!P:P,MATCH(EOMONTH($A244,-1),Manufacturing!A:A,0)),2)</f>
        <v>101.62</v>
      </c>
      <c r="N244">
        <f t="shared" si="603"/>
        <v>2</v>
      </c>
      <c r="O244">
        <f>ROUND(INDEX(Housing!AC:AC,MATCH(EOMONTH($A244,-1),Housing!B:B,0)),2)</f>
        <v>139.43</v>
      </c>
      <c r="P244">
        <f t="shared" si="604"/>
        <v>2</v>
      </c>
      <c r="Q244">
        <f>ROUND(INDEX(Spending!AJ:AJ,MATCH(EOMONTH($A244,-1),Spending!B:B,0)),2)</f>
        <v>52.56</v>
      </c>
      <c r="R244">
        <f t="shared" si="608"/>
        <v>1</v>
      </c>
      <c r="S244">
        <f>ROUND(INDEX(Employment!V:V,MATCH(EOMONTH($A244,-1),Employment!A:A,0)),2)</f>
        <v>170.19</v>
      </c>
      <c r="T244" s="11">
        <f t="shared" si="605"/>
        <v>1</v>
      </c>
      <c r="U244">
        <f t="shared" si="597"/>
        <v>28</v>
      </c>
      <c r="V244">
        <f t="shared" si="589"/>
        <v>75.08</v>
      </c>
      <c r="W244" s="13">
        <f t="shared" si="590"/>
        <v>-1.2699999999999999E-2</v>
      </c>
      <c r="X244" s="13">
        <f t="shared" si="591"/>
        <v>1.9099999999999999E-2</v>
      </c>
      <c r="Y244">
        <f t="shared" si="583"/>
        <v>79.52</v>
      </c>
      <c r="Z244" s="13">
        <f t="shared" si="578"/>
        <v>-1.49E-2</v>
      </c>
      <c r="AA244" s="13">
        <f t="shared" si="610"/>
        <v>6.0000000000000157E-4</v>
      </c>
      <c r="AB244" s="6">
        <f t="shared" si="584"/>
        <v>88.215999999999994</v>
      </c>
      <c r="AC244">
        <f t="shared" si="576"/>
        <v>44</v>
      </c>
      <c r="AD244" s="11">
        <f t="shared" si="577"/>
        <v>1</v>
      </c>
      <c r="AE244">
        <f t="shared" si="575"/>
        <v>31</v>
      </c>
      <c r="AF244">
        <f>IF(AND(AE244&lt;15,OR(AC244&gt;=30,AA244&gt;0.15,X244&gt;=0.15)),2,VLOOKUP(AE244,Table!P:Q,2,FALSE))</f>
        <v>4</v>
      </c>
      <c r="AG244" s="22">
        <f>IF((AB244*0.98)-(D244*0.8)+((AF244-3)*3)+VLOOKUP(AM244,Table!$A$11:$B$13,2,FALSE)&lt;0,0,(AB244*0.98)-(D244*0.8)+((AF244-3)*3)+VLOOKUP(AM244,Table!$A$11:$B$13,2,FALSE))</f>
        <v>87.483679999999993</v>
      </c>
      <c r="AH244" s="22">
        <f t="shared" si="606"/>
        <v>92</v>
      </c>
      <c r="AI244" s="18">
        <f t="shared" si="599"/>
        <v>0.06</v>
      </c>
      <c r="AJ244" s="18">
        <f t="shared" si="600"/>
        <v>0.05</v>
      </c>
      <c r="AK244" t="str">
        <f t="shared" si="585"/>
        <v/>
      </c>
      <c r="AL244">
        <f t="shared" si="596"/>
        <v>32.5</v>
      </c>
      <c r="AM244" s="11" t="str">
        <f t="shared" si="586"/>
        <v>Stocks</v>
      </c>
      <c r="AN244" t="str">
        <f t="shared" si="592"/>
        <v>Buy</v>
      </c>
      <c r="AO244" s="13">
        <f t="shared" si="593"/>
        <v>-5.4000000000000003E-3</v>
      </c>
      <c r="AP244" s="13">
        <f t="shared" si="594"/>
        <v>0</v>
      </c>
      <c r="AQ244" s="13">
        <f t="shared" si="595"/>
        <v>-5.0000000000000001E-3</v>
      </c>
      <c r="AR244" s="13">
        <f t="shared" si="587"/>
        <v>-5.4000000000000003E-3</v>
      </c>
      <c r="AS244" s="6">
        <f t="shared" si="579"/>
        <v>458.64336113667218</v>
      </c>
      <c r="AT244" s="6">
        <f t="shared" si="580"/>
        <v>185.97425508967711</v>
      </c>
      <c r="AU244" s="6">
        <f t="shared" si="581"/>
        <v>733.58025910200638</v>
      </c>
      <c r="AV244" s="6">
        <f t="shared" si="582"/>
        <v>1075.6838120933435</v>
      </c>
      <c r="AW244" s="58">
        <f t="shared" si="588"/>
        <v>2013</v>
      </c>
      <c r="AX244" s="58">
        <f>COUNTIF(AW$3:AW244,AW244)</f>
        <v>1</v>
      </c>
    </row>
    <row r="245" spans="1:50" x14ac:dyDescent="0.25">
      <c r="A245" s="5">
        <v>41630</v>
      </c>
      <c r="B245">
        <v>1818.32</v>
      </c>
      <c r="C245">
        <v>7.0000000000000007E-2</v>
      </c>
      <c r="D245" s="6">
        <v>13.79</v>
      </c>
      <c r="E245" s="18">
        <f t="shared" si="601"/>
        <v>14.45</v>
      </c>
      <c r="F245">
        <f t="shared" si="602"/>
        <v>1</v>
      </c>
      <c r="G245" s="18">
        <f>ROUND(INDEX(Valuation!U:U,MATCH(A245,Valuation!A:A,0)),2)</f>
        <v>136.30000000000001</v>
      </c>
      <c r="H245">
        <f t="shared" si="609"/>
        <v>1</v>
      </c>
      <c r="I245" s="18">
        <f>INDEX(WeeklyIndicators!Y:Y,MATCH(A245,WeeklyIndicators!A:A,0))</f>
        <v>163.22</v>
      </c>
      <c r="J245">
        <f t="shared" si="598"/>
        <v>2</v>
      </c>
      <c r="K245">
        <f>ROUND(INDEX(Economic!AF:AF,MATCH(EOMONTH($A245,-1),Economic!A:A,0)),2)</f>
        <v>85.02</v>
      </c>
      <c r="L245" s="11">
        <f t="shared" si="607"/>
        <v>-1</v>
      </c>
      <c r="M245">
        <f>ROUND(INDEX(Manufacturing!P:P,MATCH(EOMONTH($A245,-1),Manufacturing!A:A,0)),2)</f>
        <v>101.62</v>
      </c>
      <c r="N245">
        <f t="shared" si="603"/>
        <v>2</v>
      </c>
      <c r="O245">
        <f>ROUND(INDEX(Housing!AC:AC,MATCH(EOMONTH($A245,-1),Housing!B:B,0)),2)</f>
        <v>139.43</v>
      </c>
      <c r="P245">
        <f t="shared" si="604"/>
        <v>2</v>
      </c>
      <c r="Q245">
        <f>ROUND(INDEX(Spending!AJ:AJ,MATCH(EOMONTH($A245,-1),Spending!B:B,0)),2)</f>
        <v>52.56</v>
      </c>
      <c r="R245">
        <f t="shared" si="608"/>
        <v>1</v>
      </c>
      <c r="S245">
        <f>ROUND(INDEX(Employment!V:V,MATCH(EOMONTH($A245,-1),Employment!A:A,0)),2)</f>
        <v>170.19</v>
      </c>
      <c r="T245" s="11">
        <f t="shared" si="605"/>
        <v>1</v>
      </c>
      <c r="U245">
        <f t="shared" si="597"/>
        <v>29</v>
      </c>
      <c r="V245">
        <f t="shared" si="589"/>
        <v>77.22</v>
      </c>
      <c r="W245" s="13">
        <f t="shared" si="590"/>
        <v>3.3E-3</v>
      </c>
      <c r="X245" s="13">
        <f t="shared" si="591"/>
        <v>4.3999999999999997E-2</v>
      </c>
      <c r="Y245">
        <f t="shared" si="583"/>
        <v>81.69</v>
      </c>
      <c r="Z245" s="13">
        <f t="shared" si="578"/>
        <v>-1.9E-3</v>
      </c>
      <c r="AA245" s="13">
        <f t="shared" si="610"/>
        <v>2.7200000000000002E-2</v>
      </c>
      <c r="AB245" s="6">
        <f t="shared" si="584"/>
        <v>92.66</v>
      </c>
      <c r="AC245">
        <f t="shared" si="576"/>
        <v>46</v>
      </c>
      <c r="AD245" s="11">
        <f t="shared" si="577"/>
        <v>1</v>
      </c>
      <c r="AE245">
        <f t="shared" si="575"/>
        <v>32</v>
      </c>
      <c r="AF245">
        <f>IF(AND(AE245&lt;15,OR(AC245&gt;=30,AA245&gt;0.15,X245&gt;=0.15)),2,VLOOKUP(AE245,Table!P:Q,2,FALSE))</f>
        <v>5</v>
      </c>
      <c r="AG245" s="22">
        <f>IF((AB245*0.98)-(D245*0.8)+((AF245-3)*3)+VLOOKUP(AM245,Table!$A$11:$B$13,2,FALSE)&lt;0,0,(AB245*0.98)-(D245*0.8)+((AF245-3)*3)+VLOOKUP(AM245,Table!$A$11:$B$13,2,FALSE))</f>
        <v>93.774799999999999</v>
      </c>
      <c r="AH245" s="22">
        <f t="shared" si="606"/>
        <v>94</v>
      </c>
      <c r="AI245" s="18">
        <f t="shared" si="599"/>
        <v>0.06</v>
      </c>
      <c r="AJ245" s="18">
        <f t="shared" si="600"/>
        <v>0.05</v>
      </c>
      <c r="AK245" t="str">
        <f t="shared" si="585"/>
        <v/>
      </c>
      <c r="AL245">
        <f t="shared" si="596"/>
        <v>33</v>
      </c>
      <c r="AM245" s="11" t="str">
        <f t="shared" si="586"/>
        <v>Stocks</v>
      </c>
      <c r="AN245" t="str">
        <f t="shared" si="592"/>
        <v>Buy</v>
      </c>
      <c r="AO245" s="13">
        <f t="shared" si="593"/>
        <v>1.2699999999999999E-2</v>
      </c>
      <c r="AP245" s="13">
        <f t="shared" si="594"/>
        <v>0</v>
      </c>
      <c r="AQ245" s="13">
        <f t="shared" si="595"/>
        <v>1.1900000000000001E-2</v>
      </c>
      <c r="AR245" s="13">
        <f t="shared" si="587"/>
        <v>1.2699999999999999E-2</v>
      </c>
      <c r="AS245" s="6">
        <f t="shared" si="579"/>
        <v>452.89163734242345</v>
      </c>
      <c r="AT245" s="6">
        <f t="shared" si="580"/>
        <v>185.97425508967711</v>
      </c>
      <c r="AU245" s="6">
        <f t="shared" si="581"/>
        <v>724.95331465758113</v>
      </c>
      <c r="AV245" s="6">
        <f t="shared" si="582"/>
        <v>1062.193948941783</v>
      </c>
      <c r="AW245" s="58">
        <f t="shared" si="588"/>
        <v>2013</v>
      </c>
      <c r="AX245" s="58">
        <f>COUNTIF(AW$3:AW245,AW245)</f>
        <v>2</v>
      </c>
    </row>
    <row r="246" spans="1:50" x14ac:dyDescent="0.25">
      <c r="A246" s="5">
        <v>41623</v>
      </c>
      <c r="B246">
        <v>1775.32</v>
      </c>
      <c r="C246">
        <v>7.0000000000000007E-2</v>
      </c>
      <c r="D246" s="6">
        <v>15.76</v>
      </c>
      <c r="E246" s="18">
        <f t="shared" si="601"/>
        <v>14.42</v>
      </c>
      <c r="F246">
        <f t="shared" si="602"/>
        <v>1</v>
      </c>
      <c r="G246" s="18">
        <f>ROUND(INDEX(Valuation!U:U,MATCH(A246,Valuation!A:A,0)),2)</f>
        <v>136.93</v>
      </c>
      <c r="H246">
        <f t="shared" si="609"/>
        <v>1</v>
      </c>
      <c r="I246" s="18">
        <f>INDEX(WeeklyIndicators!Y:Y,MATCH(A246,WeeklyIndicators!A:A,0))</f>
        <v>174.31</v>
      </c>
      <c r="J246">
        <f t="shared" si="598"/>
        <v>3</v>
      </c>
      <c r="K246">
        <f>ROUND(INDEX(Economic!AF:AF,MATCH(EOMONTH($A246,-1),Economic!A:A,0)),2)</f>
        <v>85.02</v>
      </c>
      <c r="L246" s="11">
        <f t="shared" si="607"/>
        <v>-1</v>
      </c>
      <c r="M246">
        <f>ROUND(INDEX(Manufacturing!P:P,MATCH(EOMONTH($A246,-1),Manufacturing!A:A,0)),2)</f>
        <v>101.62</v>
      </c>
      <c r="N246">
        <f t="shared" si="603"/>
        <v>2</v>
      </c>
      <c r="O246">
        <f>ROUND(INDEX(Housing!AC:AC,MATCH(EOMONTH($A246,-1),Housing!B:B,0)),2)</f>
        <v>139.43</v>
      </c>
      <c r="P246">
        <f t="shared" si="604"/>
        <v>2</v>
      </c>
      <c r="Q246">
        <f>ROUND(INDEX(Spending!AJ:AJ,MATCH(EOMONTH($A246,-1),Spending!B:B,0)),2)</f>
        <v>52.56</v>
      </c>
      <c r="R246">
        <f t="shared" si="608"/>
        <v>1</v>
      </c>
      <c r="S246">
        <f>ROUND(INDEX(Employment!V:V,MATCH(EOMONTH($A246,-1),Employment!A:A,0)),2)</f>
        <v>170.19</v>
      </c>
      <c r="T246" s="11">
        <f t="shared" si="605"/>
        <v>1</v>
      </c>
      <c r="U246">
        <f t="shared" si="597"/>
        <v>30</v>
      </c>
      <c r="V246">
        <f t="shared" si="589"/>
        <v>78.37</v>
      </c>
      <c r="W246" s="13">
        <f t="shared" si="590"/>
        <v>1.18E-2</v>
      </c>
      <c r="X246" s="13">
        <f t="shared" si="591"/>
        <v>4.8399999999999999E-2</v>
      </c>
      <c r="Y246">
        <f t="shared" si="583"/>
        <v>82.92</v>
      </c>
      <c r="Z246" s="13">
        <f t="shared" si="578"/>
        <v>5.1000000000000004E-3</v>
      </c>
      <c r="AA246" s="13">
        <f t="shared" si="610"/>
        <v>3.7699999999999997E-2</v>
      </c>
      <c r="AB246" s="6">
        <f t="shared" si="584"/>
        <v>94.733000000000004</v>
      </c>
      <c r="AC246">
        <f t="shared" si="576"/>
        <v>47</v>
      </c>
      <c r="AD246" s="11">
        <f t="shared" si="577"/>
        <v>1</v>
      </c>
      <c r="AE246">
        <f t="shared" si="575"/>
        <v>33</v>
      </c>
      <c r="AF246">
        <f>IF(AND(AE246&lt;15,OR(AC246&gt;=30,AA246&gt;0.15,X246&gt;=0.15)),2,VLOOKUP(AE246,Table!P:Q,2,FALSE))</f>
        <v>5</v>
      </c>
      <c r="AG246" s="22">
        <f>IF((AB246*0.98)-(D246*0.8)+((AF246-3)*3)+VLOOKUP(AM246,Table!$A$11:$B$13,2,FALSE)&lt;0,0,(AB246*0.98)-(D246*0.8)+((AF246-3)*3)+VLOOKUP(AM246,Table!$A$11:$B$13,2,FALSE))</f>
        <v>94.230339999999998</v>
      </c>
      <c r="AH246" s="22">
        <f t="shared" si="606"/>
        <v>94</v>
      </c>
      <c r="AI246" s="18">
        <f t="shared" si="599"/>
        <v>0.05</v>
      </c>
      <c r="AJ246" s="18">
        <f t="shared" si="600"/>
        <v>0.05</v>
      </c>
      <c r="AK246" t="str">
        <f t="shared" si="585"/>
        <v/>
      </c>
      <c r="AL246">
        <f t="shared" si="596"/>
        <v>33</v>
      </c>
      <c r="AM246" s="11" t="str">
        <f t="shared" si="586"/>
        <v>Stocks</v>
      </c>
      <c r="AN246" t="str">
        <f t="shared" si="592"/>
        <v>Buy</v>
      </c>
      <c r="AO246" s="13">
        <f t="shared" si="593"/>
        <v>2.4199999999999999E-2</v>
      </c>
      <c r="AP246" s="13">
        <f t="shared" si="594"/>
        <v>0</v>
      </c>
      <c r="AQ246" s="13">
        <f t="shared" si="595"/>
        <v>2.2700000000000001E-2</v>
      </c>
      <c r="AR246" s="13">
        <f t="shared" si="587"/>
        <v>2.4199999999999999E-2</v>
      </c>
      <c r="AS246" s="6">
        <f t="shared" si="579"/>
        <v>442.1906242359143</v>
      </c>
      <c r="AT246" s="6">
        <f t="shared" si="580"/>
        <v>185.97425508967711</v>
      </c>
      <c r="AU246" s="6">
        <f t="shared" si="581"/>
        <v>708.86214398903019</v>
      </c>
      <c r="AV246" s="6">
        <f t="shared" si="582"/>
        <v>1037.0962204079115</v>
      </c>
      <c r="AW246" s="58">
        <f t="shared" si="588"/>
        <v>2013</v>
      </c>
      <c r="AX246" s="58">
        <f>COUNTIF(AW$3:AW246,AW246)</f>
        <v>3</v>
      </c>
    </row>
    <row r="247" spans="1:50" x14ac:dyDescent="0.25">
      <c r="A247" s="5">
        <v>41616</v>
      </c>
      <c r="B247">
        <v>1805.09</v>
      </c>
      <c r="C247">
        <v>0.06</v>
      </c>
      <c r="D247" s="6">
        <v>13.79</v>
      </c>
      <c r="E247" s="18">
        <f t="shared" si="601"/>
        <v>13.25</v>
      </c>
      <c r="F247">
        <f t="shared" si="602"/>
        <v>2</v>
      </c>
      <c r="G247" s="18">
        <f>ROUND(INDEX(Valuation!U:U,MATCH(A247,Valuation!A:A,0)),2)</f>
        <v>138.71</v>
      </c>
      <c r="H247">
        <f t="shared" si="609"/>
        <v>1</v>
      </c>
      <c r="I247" s="18">
        <f>INDEX(WeeklyIndicators!Y:Y,MATCH(A247,WeeklyIndicators!A:A,0))</f>
        <v>171.25</v>
      </c>
      <c r="J247">
        <f t="shared" si="598"/>
        <v>3</v>
      </c>
      <c r="K247">
        <f>ROUND(INDEX(Economic!AF:AF,MATCH(EOMONTH($A247,-1),Economic!A:A,0)),2)</f>
        <v>85.02</v>
      </c>
      <c r="L247" s="11">
        <f t="shared" si="607"/>
        <v>-1</v>
      </c>
      <c r="M247">
        <f>ROUND(INDEX(Manufacturing!P:P,MATCH(EOMONTH($A247,-1),Manufacturing!A:A,0)),2)</f>
        <v>101.62</v>
      </c>
      <c r="N247">
        <f t="shared" si="603"/>
        <v>2</v>
      </c>
      <c r="O247">
        <f>ROUND(INDEX(Housing!AC:AC,MATCH(EOMONTH($A247,-1),Housing!B:B,0)),2)</f>
        <v>139.43</v>
      </c>
      <c r="P247">
        <f t="shared" si="604"/>
        <v>2</v>
      </c>
      <c r="Q247">
        <f>ROUND(INDEX(Spending!AJ:AJ,MATCH(EOMONTH($A247,-1),Spending!B:B,0)),2)</f>
        <v>52.56</v>
      </c>
      <c r="R247">
        <f t="shared" si="608"/>
        <v>1</v>
      </c>
      <c r="S247">
        <f>ROUND(INDEX(Employment!V:V,MATCH(EOMONTH($A247,-1),Employment!A:A,0)),2)</f>
        <v>170.19</v>
      </c>
      <c r="T247" s="11">
        <f t="shared" si="605"/>
        <v>1</v>
      </c>
      <c r="U247">
        <f t="shared" si="597"/>
        <v>31</v>
      </c>
      <c r="V247">
        <f t="shared" si="589"/>
        <v>78.05</v>
      </c>
      <c r="W247" s="13">
        <f t="shared" si="590"/>
        <v>1.67E-2</v>
      </c>
      <c r="X247" s="13">
        <f t="shared" si="591"/>
        <v>2.64E-2</v>
      </c>
      <c r="Y247">
        <f t="shared" si="583"/>
        <v>83.21</v>
      </c>
      <c r="Z247" s="13">
        <f t="shared" si="578"/>
        <v>1.23E-2</v>
      </c>
      <c r="AA247" s="13">
        <f t="shared" si="610"/>
        <v>2.5200000000000004E-2</v>
      </c>
      <c r="AB247" s="6">
        <f t="shared" si="584"/>
        <v>94.131</v>
      </c>
      <c r="AC247">
        <f t="shared" si="576"/>
        <v>47</v>
      </c>
      <c r="AD247" s="11">
        <f t="shared" si="577"/>
        <v>1</v>
      </c>
      <c r="AE247">
        <f t="shared" si="575"/>
        <v>34</v>
      </c>
      <c r="AF247">
        <f>IF(AND(AE247&lt;15,OR(AC247&gt;=30,AA247&gt;0.15,X247&gt;=0.15)),2,VLOOKUP(AE247,Table!P:Q,2,FALSE))</f>
        <v>5</v>
      </c>
      <c r="AG247" s="22">
        <f>IF((AB247*0.98)-(D247*0.8)+((AF247-3)*3)+VLOOKUP(AM247,Table!$A$11:$B$13,2,FALSE)&lt;0,0,(AB247*0.98)-(D247*0.8)+((AF247-3)*3)+VLOOKUP(AM247,Table!$A$11:$B$13,2,FALSE))</f>
        <v>95.216380000000001</v>
      </c>
      <c r="AH247" s="22">
        <f t="shared" si="606"/>
        <v>93</v>
      </c>
      <c r="AI247" s="18">
        <f t="shared" si="599"/>
        <v>0.05</v>
      </c>
      <c r="AJ247" s="18">
        <f t="shared" si="600"/>
        <v>0.05</v>
      </c>
      <c r="AK247" t="str">
        <f t="shared" si="585"/>
        <v/>
      </c>
      <c r="AL247">
        <f t="shared" si="596"/>
        <v>32.5</v>
      </c>
      <c r="AM247" s="11" t="str">
        <f t="shared" si="586"/>
        <v>Stocks</v>
      </c>
      <c r="AN247" t="str">
        <f t="shared" si="592"/>
        <v>Buy</v>
      </c>
      <c r="AO247" s="13">
        <f t="shared" si="593"/>
        <v>-1.6500000000000001E-2</v>
      </c>
      <c r="AP247" s="13">
        <f t="shared" si="594"/>
        <v>0</v>
      </c>
      <c r="AQ247" s="13">
        <f t="shared" si="595"/>
        <v>-1.5299999999999999E-2</v>
      </c>
      <c r="AR247" s="13">
        <f t="shared" si="587"/>
        <v>-1.6500000000000001E-2</v>
      </c>
      <c r="AS247" s="6">
        <f t="shared" si="579"/>
        <v>449.60917563387318</v>
      </c>
      <c r="AT247" s="6">
        <f t="shared" si="580"/>
        <v>185.97425508967711</v>
      </c>
      <c r="AU247" s="6">
        <f t="shared" si="581"/>
        <v>719.87625062357085</v>
      </c>
      <c r="AV247" s="6">
        <f t="shared" si="582"/>
        <v>1054.4953944157717</v>
      </c>
      <c r="AW247" s="58">
        <f t="shared" si="588"/>
        <v>2013</v>
      </c>
      <c r="AX247" s="58">
        <f>COUNTIF(AW$3:AW247,AW247)</f>
        <v>4</v>
      </c>
    </row>
    <row r="248" spans="1:50" x14ac:dyDescent="0.25">
      <c r="A248" s="5">
        <v>41609</v>
      </c>
      <c r="B248">
        <v>1805.81</v>
      </c>
      <c r="C248">
        <v>7.0000000000000007E-2</v>
      </c>
      <c r="D248" s="6">
        <v>13.7</v>
      </c>
      <c r="E248" s="18">
        <f t="shared" si="601"/>
        <v>12.72</v>
      </c>
      <c r="F248">
        <f t="shared" si="602"/>
        <v>2</v>
      </c>
      <c r="G248" s="18">
        <f>ROUND(INDEX(Valuation!U:U,MATCH(A248,Valuation!A:A,0)),2)</f>
        <v>141.82</v>
      </c>
      <c r="H248">
        <f t="shared" si="609"/>
        <v>1</v>
      </c>
      <c r="I248" s="18">
        <f>INDEX(WeeklyIndicators!Y:Y,MATCH(A248,WeeklyIndicators!A:A,0))</f>
        <v>155.91999999999999</v>
      </c>
      <c r="J248">
        <f t="shared" si="598"/>
        <v>2</v>
      </c>
      <c r="K248">
        <f>ROUND(INDEX(Economic!AF:AF,MATCH(EOMONTH($A248,-1),Economic!A:A,0)),2)</f>
        <v>85.02</v>
      </c>
      <c r="L248" s="11">
        <f t="shared" si="607"/>
        <v>-1</v>
      </c>
      <c r="M248">
        <f>ROUND(INDEX(Manufacturing!P:P,MATCH(EOMONTH($A248,-1),Manufacturing!A:A,0)),2)</f>
        <v>101.62</v>
      </c>
      <c r="N248">
        <f t="shared" si="603"/>
        <v>2</v>
      </c>
      <c r="O248">
        <f>ROUND(INDEX(Housing!AC:AC,MATCH(EOMONTH($A248,-1),Housing!B:B,0)),2)</f>
        <v>139.43</v>
      </c>
      <c r="P248">
        <f t="shared" si="604"/>
        <v>2</v>
      </c>
      <c r="Q248">
        <f>ROUND(INDEX(Spending!AJ:AJ,MATCH(EOMONTH($A248,-1),Spending!B:B,0)),2)</f>
        <v>52.56</v>
      </c>
      <c r="R248">
        <f t="shared" si="608"/>
        <v>1</v>
      </c>
      <c r="S248">
        <f>ROUND(INDEX(Employment!V:V,MATCH(EOMONTH($A248,-1),Employment!A:A,0)),2)</f>
        <v>170.19</v>
      </c>
      <c r="T248" s="11">
        <f t="shared" si="605"/>
        <v>1</v>
      </c>
      <c r="U248">
        <f t="shared" si="597"/>
        <v>30</v>
      </c>
      <c r="V248">
        <f t="shared" si="589"/>
        <v>76.459999999999994</v>
      </c>
      <c r="W248" s="13">
        <f t="shared" si="590"/>
        <v>1.2200000000000001E-2</v>
      </c>
      <c r="X248" s="13">
        <f t="shared" si="591"/>
        <v>-9.7999999999999997E-3</v>
      </c>
      <c r="Y248">
        <f t="shared" si="583"/>
        <v>82.15</v>
      </c>
      <c r="Z248" s="13">
        <f t="shared" si="578"/>
        <v>1.17E-2</v>
      </c>
      <c r="AA248" s="13">
        <f t="shared" si="610"/>
        <v>-3.2000000000000015E-3</v>
      </c>
      <c r="AB248" s="6">
        <f t="shared" si="584"/>
        <v>91.072000000000003</v>
      </c>
      <c r="AC248">
        <f t="shared" si="576"/>
        <v>46</v>
      </c>
      <c r="AD248" s="11">
        <f t="shared" si="577"/>
        <v>1</v>
      </c>
      <c r="AE248">
        <f t="shared" ref="AE248:AE311" si="611">IF(AND(AA248&gt;=0.2,AC248&gt;=20,U248+AD248+2&lt;30),U248+AD248+2+12,U248+AD248+2)</f>
        <v>33</v>
      </c>
      <c r="AF248">
        <f>IF(AND(AE248&lt;15,OR(AC248&gt;=30,AA248&gt;0.15,X248&gt;=0.15)),2,VLOOKUP(AE248,Table!P:Q,2,FALSE))</f>
        <v>5</v>
      </c>
      <c r="AG248" s="22">
        <f>IF((AB248*0.98)-(D248*0.8)+((AF248-3)*3)+VLOOKUP(AM248,Table!$A$11:$B$13,2,FALSE)&lt;0,0,(AB248*0.98)-(D248*0.8)+((AF248-3)*3)+VLOOKUP(AM248,Table!$A$11:$B$13,2,FALSE))</f>
        <v>92.290559999999999</v>
      </c>
      <c r="AH248" s="22">
        <f t="shared" si="606"/>
        <v>89</v>
      </c>
      <c r="AI248" s="18">
        <f t="shared" si="599"/>
        <v>0.04</v>
      </c>
      <c r="AJ248" s="18">
        <f t="shared" si="600"/>
        <v>0.05</v>
      </c>
      <c r="AK248" t="str">
        <f t="shared" si="585"/>
        <v/>
      </c>
      <c r="AL248">
        <f t="shared" si="596"/>
        <v>31.75</v>
      </c>
      <c r="AM248" s="11" t="str">
        <f t="shared" si="586"/>
        <v>Stocks</v>
      </c>
      <c r="AN248" t="str">
        <f t="shared" si="592"/>
        <v>Buy</v>
      </c>
      <c r="AO248" s="13">
        <f t="shared" si="593"/>
        <v>-4.0000000000000002E-4</v>
      </c>
      <c r="AP248" s="13">
        <f t="shared" si="594"/>
        <v>0</v>
      </c>
      <c r="AQ248" s="13">
        <f t="shared" si="595"/>
        <v>-4.0000000000000002E-4</v>
      </c>
      <c r="AR248" s="13">
        <f t="shared" si="587"/>
        <v>-4.0000000000000002E-4</v>
      </c>
      <c r="AS248" s="6">
        <f t="shared" si="579"/>
        <v>449.78909127038133</v>
      </c>
      <c r="AT248" s="6">
        <f t="shared" si="580"/>
        <v>185.97425508967711</v>
      </c>
      <c r="AU248" s="6">
        <f t="shared" si="581"/>
        <v>720.16431635011088</v>
      </c>
      <c r="AV248" s="6">
        <f t="shared" si="582"/>
        <v>1054.9173613603157</v>
      </c>
      <c r="AW248" s="58">
        <f t="shared" si="588"/>
        <v>2013</v>
      </c>
      <c r="AX248" s="58">
        <f>COUNTIF(AW$3:AW248,AW248)</f>
        <v>5</v>
      </c>
    </row>
    <row r="249" spans="1:50" x14ac:dyDescent="0.25">
      <c r="A249" s="5">
        <v>41602</v>
      </c>
      <c r="B249">
        <v>1804.76</v>
      </c>
      <c r="C249">
        <v>0.08</v>
      </c>
      <c r="D249" s="6">
        <v>12.26</v>
      </c>
      <c r="E249" s="18">
        <f t="shared" si="601"/>
        <v>12.45</v>
      </c>
      <c r="F249">
        <f t="shared" si="602"/>
        <v>2</v>
      </c>
      <c r="G249" s="18">
        <f>ROUND(INDEX(Valuation!U:U,MATCH(A249,Valuation!A:A,0)),2)</f>
        <v>143.91999999999999</v>
      </c>
      <c r="H249">
        <f t="shared" si="609"/>
        <v>1</v>
      </c>
      <c r="I249" s="18">
        <f>INDEX(WeeklyIndicators!Y:Y,MATCH(A249,WeeklyIndicators!A:A,0))</f>
        <v>138.74</v>
      </c>
      <c r="J249">
        <f t="shared" si="598"/>
        <v>1</v>
      </c>
      <c r="K249">
        <f>ROUND(INDEX(Economic!AF:AF,MATCH(EOMONTH($A249,-1),Economic!A:A,0)),2)</f>
        <v>93.67</v>
      </c>
      <c r="L249" s="11">
        <f t="shared" si="607"/>
        <v>-1</v>
      </c>
      <c r="M249">
        <f>ROUND(INDEX(Manufacturing!P:P,MATCH(EOMONTH($A249,-1),Manufacturing!A:A,0)),2)</f>
        <v>100.17</v>
      </c>
      <c r="N249">
        <f t="shared" si="603"/>
        <v>2</v>
      </c>
      <c r="O249">
        <f>ROUND(INDEX(Housing!AC:AC,MATCH(EOMONTH($A249,-1),Housing!B:B,0)),2)</f>
        <v>145.44</v>
      </c>
      <c r="P249">
        <f t="shared" si="604"/>
        <v>3</v>
      </c>
      <c r="Q249">
        <f>ROUND(INDEX(Spending!AJ:AJ,MATCH(EOMONTH($A249,-1),Spending!B:B,0)),2)</f>
        <v>49.32</v>
      </c>
      <c r="R249">
        <f t="shared" si="608"/>
        <v>0</v>
      </c>
      <c r="S249">
        <f>ROUND(INDEX(Employment!V:V,MATCH(EOMONTH($A249,-1),Employment!A:A,0)),2)</f>
        <v>168.22</v>
      </c>
      <c r="T249" s="11">
        <f t="shared" si="605"/>
        <v>1</v>
      </c>
      <c r="U249">
        <f t="shared" si="597"/>
        <v>29</v>
      </c>
      <c r="V249">
        <f t="shared" si="589"/>
        <v>75.650000000000006</v>
      </c>
      <c r="W249" s="13">
        <f t="shared" si="590"/>
        <v>7.7000000000000002E-3</v>
      </c>
      <c r="X249" s="13">
        <f t="shared" si="591"/>
        <v>-4.5999999999999999E-2</v>
      </c>
      <c r="Y249">
        <f t="shared" si="583"/>
        <v>81.67</v>
      </c>
      <c r="Z249" s="13">
        <f t="shared" si="578"/>
        <v>8.6E-3</v>
      </c>
      <c r="AA249" s="13">
        <f t="shared" si="610"/>
        <v>-3.3600000000000005E-2</v>
      </c>
      <c r="AB249" s="6">
        <f t="shared" si="584"/>
        <v>88.372</v>
      </c>
      <c r="AC249">
        <f t="shared" si="576"/>
        <v>44</v>
      </c>
      <c r="AD249" s="11">
        <f t="shared" si="577"/>
        <v>1</v>
      </c>
      <c r="AE249">
        <f t="shared" si="611"/>
        <v>32</v>
      </c>
      <c r="AF249">
        <f>IF(AND(AE249&lt;15,OR(AC249&gt;=30,AA249&gt;0.15,X249&gt;=0.15)),2,VLOOKUP(AE249,Table!P:Q,2,FALSE))</f>
        <v>5</v>
      </c>
      <c r="AG249" s="22">
        <f>IF((AB249*0.98)-(D249*0.8)+((AF249-3)*3)+VLOOKUP(AM249,Table!$A$11:$B$13,2,FALSE)&lt;0,0,(AB249*0.98)-(D249*0.8)+((AF249-3)*3)+VLOOKUP(AM249,Table!$A$11:$B$13,2,FALSE))</f>
        <v>90.796559999999999</v>
      </c>
      <c r="AH249" s="22">
        <f t="shared" si="606"/>
        <v>86</v>
      </c>
      <c r="AI249" s="18">
        <f t="shared" si="599"/>
        <v>0.04</v>
      </c>
      <c r="AJ249" s="18">
        <f t="shared" si="600"/>
        <v>0.05</v>
      </c>
      <c r="AK249" t="str">
        <f t="shared" si="585"/>
        <v/>
      </c>
      <c r="AL249">
        <f t="shared" si="596"/>
        <v>31.25</v>
      </c>
      <c r="AM249" s="11" t="str">
        <f t="shared" si="586"/>
        <v>Stocks</v>
      </c>
      <c r="AN249" t="str">
        <f t="shared" si="592"/>
        <v>Buy</v>
      </c>
      <c r="AO249" s="13">
        <f t="shared" si="593"/>
        <v>5.9999999999999995E-4</v>
      </c>
      <c r="AP249" s="13">
        <f t="shared" si="594"/>
        <v>0</v>
      </c>
      <c r="AQ249" s="13">
        <f t="shared" si="595"/>
        <v>5.0000000000000001E-4</v>
      </c>
      <c r="AR249" s="13">
        <f t="shared" si="587"/>
        <v>5.9999999999999995E-4</v>
      </c>
      <c r="AS249" s="6">
        <f t="shared" si="579"/>
        <v>449.51937964259582</v>
      </c>
      <c r="AT249" s="6">
        <f t="shared" si="580"/>
        <v>185.97425508967711</v>
      </c>
      <c r="AU249" s="6">
        <f t="shared" si="581"/>
        <v>719.80441414303937</v>
      </c>
      <c r="AV249" s="6">
        <f t="shared" si="582"/>
        <v>1054.2847904860241</v>
      </c>
      <c r="AW249" s="58">
        <f t="shared" si="588"/>
        <v>2013</v>
      </c>
      <c r="AX249" s="58">
        <f>COUNTIF(AW$3:AW249,AW249)</f>
        <v>6</v>
      </c>
    </row>
    <row r="250" spans="1:50" x14ac:dyDescent="0.25">
      <c r="A250" s="5">
        <v>41595</v>
      </c>
      <c r="B250">
        <v>1798.18</v>
      </c>
      <c r="C250">
        <v>0.08</v>
      </c>
      <c r="D250" s="6">
        <v>12.19</v>
      </c>
      <c r="E250" s="18">
        <f t="shared" si="601"/>
        <v>12.79</v>
      </c>
      <c r="F250">
        <f t="shared" si="602"/>
        <v>2</v>
      </c>
      <c r="G250" s="18">
        <f>ROUND(INDEX(Valuation!U:U,MATCH(A250,Valuation!A:A,0)),2)</f>
        <v>144.18</v>
      </c>
      <c r="H250">
        <f t="shared" si="609"/>
        <v>1</v>
      </c>
      <c r="I250" s="18">
        <f>INDEX(WeeklyIndicators!Y:Y,MATCH(A250,WeeklyIndicators!A:A,0))</f>
        <v>125.46</v>
      </c>
      <c r="J250">
        <f t="shared" si="598"/>
        <v>0</v>
      </c>
      <c r="K250">
        <f>ROUND(INDEX(Economic!AF:AF,MATCH(EOMONTH($A250,-1),Economic!A:A,0)),2)</f>
        <v>93.67</v>
      </c>
      <c r="L250" s="11">
        <f t="shared" si="607"/>
        <v>-1</v>
      </c>
      <c r="M250">
        <f>ROUND(INDEX(Manufacturing!P:P,MATCH(EOMONTH($A250,-1),Manufacturing!A:A,0)),2)</f>
        <v>100.17</v>
      </c>
      <c r="N250">
        <f t="shared" si="603"/>
        <v>2</v>
      </c>
      <c r="O250">
        <f>ROUND(INDEX(Housing!AC:AC,MATCH(EOMONTH($A250,-1),Housing!B:B,0)),2)</f>
        <v>145.44</v>
      </c>
      <c r="P250">
        <f t="shared" si="604"/>
        <v>3</v>
      </c>
      <c r="Q250">
        <f>ROUND(INDEX(Spending!AJ:AJ,MATCH(EOMONTH($A250,-1),Spending!B:B,0)),2)</f>
        <v>49.32</v>
      </c>
      <c r="R250">
        <f t="shared" si="608"/>
        <v>0</v>
      </c>
      <c r="S250">
        <f>ROUND(INDEX(Employment!V:V,MATCH(EOMONTH($A250,-1),Employment!A:A,0)),2)</f>
        <v>168.22</v>
      </c>
      <c r="T250" s="11">
        <f t="shared" si="605"/>
        <v>1</v>
      </c>
      <c r="U250">
        <f t="shared" si="597"/>
        <v>28</v>
      </c>
      <c r="V250">
        <f t="shared" si="589"/>
        <v>74.28</v>
      </c>
      <c r="W250" s="13">
        <f t="shared" si="590"/>
        <v>-1.0200000000000001E-2</v>
      </c>
      <c r="X250" s="13">
        <f t="shared" si="591"/>
        <v>-6.7199999999999996E-2</v>
      </c>
      <c r="Y250">
        <f t="shared" si="583"/>
        <v>80.2</v>
      </c>
      <c r="Z250" s="13">
        <f t="shared" si="578"/>
        <v>-7.4000000000000003E-3</v>
      </c>
      <c r="AA250" s="13">
        <f t="shared" si="610"/>
        <v>-5.2900000000000003E-2</v>
      </c>
      <c r="AB250" s="6">
        <f t="shared" si="584"/>
        <v>85.378</v>
      </c>
      <c r="AC250">
        <f t="shared" si="576"/>
        <v>43</v>
      </c>
      <c r="AD250" s="11">
        <f t="shared" si="577"/>
        <v>1</v>
      </c>
      <c r="AE250">
        <f t="shared" si="611"/>
        <v>31</v>
      </c>
      <c r="AF250">
        <f>IF(AND(AE250&lt;15,OR(AC250&gt;=30,AA250&gt;0.15,X250&gt;=0.15)),2,VLOOKUP(AE250,Table!P:Q,2,FALSE))</f>
        <v>4</v>
      </c>
      <c r="AG250" s="22">
        <f>IF((AB250*0.98)-(D250*0.8)+((AF250-3)*3)+VLOOKUP(AM250,Table!$A$11:$B$13,2,FALSE)&lt;0,0,(AB250*0.98)-(D250*0.8)+((AF250-3)*3)+VLOOKUP(AM250,Table!$A$11:$B$13,2,FALSE))</f>
        <v>84.918440000000004</v>
      </c>
      <c r="AH250" s="22">
        <f t="shared" si="606"/>
        <v>85</v>
      </c>
      <c r="AI250" s="18">
        <f t="shared" si="599"/>
        <v>0.04</v>
      </c>
      <c r="AJ250" s="18">
        <f t="shared" si="600"/>
        <v>0.05</v>
      </c>
      <c r="AK250" t="str">
        <f t="shared" si="585"/>
        <v/>
      </c>
      <c r="AL250">
        <f t="shared" si="596"/>
        <v>31.25</v>
      </c>
      <c r="AM250" s="11" t="str">
        <f t="shared" si="586"/>
        <v>Stocks</v>
      </c>
      <c r="AN250" t="str">
        <f t="shared" si="592"/>
        <v>Buy</v>
      </c>
      <c r="AO250" s="13">
        <f t="shared" si="593"/>
        <v>3.7000000000000002E-3</v>
      </c>
      <c r="AP250" s="13">
        <f t="shared" si="594"/>
        <v>0</v>
      </c>
      <c r="AQ250" s="13">
        <f t="shared" si="595"/>
        <v>3.0999999999999999E-3</v>
      </c>
      <c r="AR250" s="13">
        <f t="shared" si="587"/>
        <v>3.7000000000000002E-3</v>
      </c>
      <c r="AS250" s="6">
        <f t="shared" si="579"/>
        <v>447.86228917265697</v>
      </c>
      <c r="AT250" s="6">
        <f t="shared" si="580"/>
        <v>185.97425508967711</v>
      </c>
      <c r="AU250" s="6">
        <f t="shared" si="581"/>
        <v>717.57991640219245</v>
      </c>
      <c r="AV250" s="6">
        <f t="shared" si="582"/>
        <v>1050.3983167141816</v>
      </c>
      <c r="AW250" s="58">
        <f t="shared" si="588"/>
        <v>2013</v>
      </c>
      <c r="AX250" s="58">
        <f>COUNTIF(AW$3:AW250,AW250)</f>
        <v>7</v>
      </c>
    </row>
    <row r="251" spans="1:50" x14ac:dyDescent="0.25">
      <c r="A251" s="5">
        <v>41588</v>
      </c>
      <c r="B251">
        <v>1770.61</v>
      </c>
      <c r="C251">
        <v>0.05</v>
      </c>
      <c r="D251" s="6">
        <v>12.9</v>
      </c>
      <c r="E251" s="18">
        <f t="shared" si="601"/>
        <v>13.09</v>
      </c>
      <c r="F251">
        <f t="shared" si="602"/>
        <v>2</v>
      </c>
      <c r="G251" s="18">
        <f>ROUND(INDEX(Valuation!U:U,MATCH(A251,Valuation!A:A,0)),2)</f>
        <v>142.18</v>
      </c>
      <c r="H251">
        <f t="shared" si="609"/>
        <v>1</v>
      </c>
      <c r="I251" s="18">
        <f>INDEX(WeeklyIndicators!Y:Y,MATCH(A251,WeeklyIndicators!A:A,0))</f>
        <v>120.19</v>
      </c>
      <c r="J251">
        <f t="shared" si="598"/>
        <v>0</v>
      </c>
      <c r="K251">
        <f>ROUND(INDEX(Economic!AF:AF,MATCH(EOMONTH($A251,-1),Economic!A:A,0)),2)</f>
        <v>93.67</v>
      </c>
      <c r="L251" s="11">
        <f t="shared" si="607"/>
        <v>-1</v>
      </c>
      <c r="M251">
        <f>ROUND(INDEX(Manufacturing!P:P,MATCH(EOMONTH($A251,-1),Manufacturing!A:A,0)),2)</f>
        <v>100.17</v>
      </c>
      <c r="N251">
        <f t="shared" si="603"/>
        <v>2</v>
      </c>
      <c r="O251">
        <f>ROUND(INDEX(Housing!AC:AC,MATCH(EOMONTH($A251,-1),Housing!B:B,0)),2)</f>
        <v>145.44</v>
      </c>
      <c r="P251">
        <f t="shared" si="604"/>
        <v>3</v>
      </c>
      <c r="Q251">
        <f>ROUND(INDEX(Spending!AJ:AJ,MATCH(EOMONTH($A251,-1),Spending!B:B,0)),2)</f>
        <v>49.32</v>
      </c>
      <c r="R251">
        <f t="shared" si="608"/>
        <v>0</v>
      </c>
      <c r="S251">
        <f>ROUND(INDEX(Employment!V:V,MATCH(EOMONTH($A251,-1),Employment!A:A,0)),2)</f>
        <v>168.22</v>
      </c>
      <c r="T251" s="11">
        <f t="shared" si="605"/>
        <v>1</v>
      </c>
      <c r="U251">
        <f t="shared" si="597"/>
        <v>28</v>
      </c>
      <c r="V251">
        <f t="shared" si="589"/>
        <v>73.73</v>
      </c>
      <c r="W251" s="13">
        <f t="shared" si="590"/>
        <v>-1.95E-2</v>
      </c>
      <c r="X251" s="13">
        <f t="shared" si="591"/>
        <v>-6.1299999999999993E-2</v>
      </c>
      <c r="Y251">
        <f t="shared" si="583"/>
        <v>79.33</v>
      </c>
      <c r="Z251" s="13">
        <f t="shared" si="578"/>
        <v>-1.61E-2</v>
      </c>
      <c r="AA251" s="13">
        <f t="shared" si="610"/>
        <v>-4.99E-2</v>
      </c>
      <c r="AB251" s="6">
        <f t="shared" si="584"/>
        <v>84.548000000000002</v>
      </c>
      <c r="AC251">
        <f t="shared" si="576"/>
        <v>42</v>
      </c>
      <c r="AD251" s="11">
        <f t="shared" si="577"/>
        <v>1</v>
      </c>
      <c r="AE251">
        <f t="shared" si="611"/>
        <v>31</v>
      </c>
      <c r="AF251">
        <f>IF(AND(AE251&lt;15,OR(AC251&gt;=30,AA251&gt;0.15,X251&gt;=0.15)),2,VLOOKUP(AE251,Table!P:Q,2,FALSE))</f>
        <v>4</v>
      </c>
      <c r="AG251" s="22">
        <f>IF((AB251*0.98)-(D251*0.8)+((AF251-3)*3)+VLOOKUP(AM251,Table!$A$11:$B$13,2,FALSE)&lt;0,0,(AB251*0.98)-(D251*0.8)+((AF251-3)*3)+VLOOKUP(AM251,Table!$A$11:$B$13,2,FALSE))</f>
        <v>83.53703999999999</v>
      </c>
      <c r="AH251" s="22">
        <f t="shared" si="606"/>
        <v>87</v>
      </c>
      <c r="AI251" s="18">
        <f t="shared" si="599"/>
        <v>0.04</v>
      </c>
      <c r="AJ251" s="18">
        <f t="shared" si="600"/>
        <v>0.05</v>
      </c>
      <c r="AK251" t="str">
        <f t="shared" si="585"/>
        <v/>
      </c>
      <c r="AL251">
        <f t="shared" si="596"/>
        <v>31.5</v>
      </c>
      <c r="AM251" s="11" t="str">
        <f t="shared" si="586"/>
        <v>Stocks</v>
      </c>
      <c r="AN251" t="str">
        <f t="shared" si="592"/>
        <v>Buy</v>
      </c>
      <c r="AO251" s="13">
        <f t="shared" si="593"/>
        <v>1.5599999999999999E-2</v>
      </c>
      <c r="AP251" s="13">
        <f t="shared" si="594"/>
        <v>0</v>
      </c>
      <c r="AQ251" s="13">
        <f t="shared" si="595"/>
        <v>1.3599999999999999E-2</v>
      </c>
      <c r="AR251" s="13">
        <f t="shared" si="587"/>
        <v>1.5599999999999999E-2</v>
      </c>
      <c r="AS251" s="6">
        <f t="shared" si="579"/>
        <v>440.9829550735102</v>
      </c>
      <c r="AT251" s="6">
        <f t="shared" si="580"/>
        <v>185.97425508967711</v>
      </c>
      <c r="AU251" s="6">
        <f t="shared" si="581"/>
        <v>707.95177229892704</v>
      </c>
      <c r="AV251" s="6">
        <f t="shared" si="582"/>
        <v>1034.2638014121519</v>
      </c>
      <c r="AW251" s="58">
        <f t="shared" si="588"/>
        <v>2013</v>
      </c>
      <c r="AX251" s="58">
        <f>COUNTIF(AW$3:AW251,AW251)</f>
        <v>8</v>
      </c>
    </row>
    <row r="252" spans="1:50" x14ac:dyDescent="0.25">
      <c r="A252" s="5">
        <v>41581</v>
      </c>
      <c r="B252">
        <v>1761.64</v>
      </c>
      <c r="C252">
        <v>0.04</v>
      </c>
      <c r="D252" s="6">
        <v>13.28</v>
      </c>
      <c r="E252" s="18">
        <f t="shared" si="601"/>
        <v>13.14</v>
      </c>
      <c r="F252">
        <f t="shared" si="602"/>
        <v>2</v>
      </c>
      <c r="G252" s="18">
        <f>ROUND(INDEX(Valuation!U:U,MATCH(A252,Valuation!A:A,0)),2)</f>
        <v>142.94999999999999</v>
      </c>
      <c r="H252">
        <f t="shared" si="609"/>
        <v>1</v>
      </c>
      <c r="I252" s="18">
        <f>INDEX(WeeklyIndicators!Y:Y,MATCH(A252,WeeklyIndicators!A:A,0))</f>
        <v>122.36</v>
      </c>
      <c r="J252">
        <f t="shared" si="598"/>
        <v>0</v>
      </c>
      <c r="K252">
        <f>ROUND(INDEX(Economic!AF:AF,MATCH(EOMONTH($A252,-1),Economic!A:A,0)),2)</f>
        <v>93.67</v>
      </c>
      <c r="L252" s="11">
        <f t="shared" si="607"/>
        <v>-1</v>
      </c>
      <c r="M252">
        <f>ROUND(INDEX(Manufacturing!P:P,MATCH(EOMONTH($A252,-1),Manufacturing!A:A,0)),2)</f>
        <v>100.17</v>
      </c>
      <c r="N252">
        <f t="shared" si="603"/>
        <v>2</v>
      </c>
      <c r="O252">
        <f>ROUND(INDEX(Housing!AC:AC,MATCH(EOMONTH($A252,-1),Housing!B:B,0)),2)</f>
        <v>145.44</v>
      </c>
      <c r="P252">
        <f t="shared" si="604"/>
        <v>3</v>
      </c>
      <c r="Q252">
        <f>ROUND(INDEX(Spending!AJ:AJ,MATCH(EOMONTH($A252,-1),Spending!B:B,0)),2)</f>
        <v>49.32</v>
      </c>
      <c r="R252">
        <f t="shared" si="608"/>
        <v>0</v>
      </c>
      <c r="S252">
        <f>ROUND(INDEX(Employment!V:V,MATCH(EOMONTH($A252,-1),Employment!A:A,0)),2)</f>
        <v>168.22</v>
      </c>
      <c r="T252" s="11">
        <f t="shared" si="605"/>
        <v>1</v>
      </c>
      <c r="U252">
        <f t="shared" si="597"/>
        <v>28</v>
      </c>
      <c r="V252">
        <f t="shared" si="589"/>
        <v>73.95</v>
      </c>
      <c r="W252" s="13">
        <f t="shared" si="590"/>
        <v>-2.4E-2</v>
      </c>
      <c r="X252" s="13">
        <f t="shared" si="591"/>
        <v>-3.6099999999999993E-2</v>
      </c>
      <c r="Y252">
        <f t="shared" si="583"/>
        <v>79.62</v>
      </c>
      <c r="Z252" s="13">
        <f t="shared" si="578"/>
        <v>-1.8700000000000001E-2</v>
      </c>
      <c r="AA252" s="13">
        <f t="shared" si="610"/>
        <v>-3.0600000000000002E-2</v>
      </c>
      <c r="AB252" s="6">
        <f t="shared" si="584"/>
        <v>86.465000000000003</v>
      </c>
      <c r="AC252">
        <f t="shared" si="576"/>
        <v>43</v>
      </c>
      <c r="AD252" s="11">
        <f t="shared" si="577"/>
        <v>1</v>
      </c>
      <c r="AE252">
        <f t="shared" si="611"/>
        <v>31</v>
      </c>
      <c r="AF252">
        <f>IF(AND(AE252&lt;15,OR(AC252&gt;=30,AA252&gt;0.15,X252&gt;=0.15)),2,VLOOKUP(AE252,Table!P:Q,2,FALSE))</f>
        <v>4</v>
      </c>
      <c r="AG252" s="22">
        <f>IF((AB252*0.98)-(D252*0.8)+((AF252-3)*3)+VLOOKUP(AM252,Table!$A$11:$B$13,2,FALSE)&lt;0,0,(AB252*0.98)-(D252*0.8)+((AF252-3)*3)+VLOOKUP(AM252,Table!$A$11:$B$13,2,FALSE))</f>
        <v>85.111700000000013</v>
      </c>
      <c r="AH252" s="22">
        <f t="shared" si="606"/>
        <v>91</v>
      </c>
      <c r="AI252" s="18">
        <f t="shared" si="599"/>
        <v>0.04</v>
      </c>
      <c r="AJ252" s="18">
        <f t="shared" si="600"/>
        <v>0.05</v>
      </c>
      <c r="AK252" t="str">
        <f t="shared" si="585"/>
        <v/>
      </c>
      <c r="AL252">
        <f t="shared" si="596"/>
        <v>32.25</v>
      </c>
      <c r="AM252" s="11" t="str">
        <f t="shared" si="586"/>
        <v>Stocks</v>
      </c>
      <c r="AN252" t="str">
        <f t="shared" si="592"/>
        <v>Buy</v>
      </c>
      <c r="AO252" s="13">
        <f t="shared" si="593"/>
        <v>5.1000000000000004E-3</v>
      </c>
      <c r="AP252" s="13">
        <f t="shared" si="594"/>
        <v>0</v>
      </c>
      <c r="AQ252" s="13">
        <f t="shared" si="595"/>
        <v>4.5999999999999999E-3</v>
      </c>
      <c r="AR252" s="13">
        <f t="shared" si="587"/>
        <v>5.1000000000000004E-3</v>
      </c>
      <c r="AS252" s="6">
        <f t="shared" si="579"/>
        <v>438.74535376928679</v>
      </c>
      <c r="AT252" s="6">
        <f t="shared" si="580"/>
        <v>185.97425508967711</v>
      </c>
      <c r="AU252" s="6">
        <f t="shared" si="581"/>
        <v>704.71010581219105</v>
      </c>
      <c r="AV252" s="6">
        <f t="shared" si="582"/>
        <v>1029.0158207264469</v>
      </c>
      <c r="AW252" s="58">
        <f t="shared" si="588"/>
        <v>2013</v>
      </c>
      <c r="AX252" s="58">
        <f>COUNTIF(AW$3:AW252,AW252)</f>
        <v>9</v>
      </c>
    </row>
    <row r="253" spans="1:50" x14ac:dyDescent="0.25">
      <c r="A253" s="5">
        <v>41574</v>
      </c>
      <c r="B253">
        <v>1759.77</v>
      </c>
      <c r="C253">
        <v>0.04</v>
      </c>
      <c r="D253" s="6">
        <v>13.09</v>
      </c>
      <c r="E253" s="18">
        <f t="shared" si="601"/>
        <v>13.95</v>
      </c>
      <c r="F253">
        <f t="shared" si="602"/>
        <v>2</v>
      </c>
      <c r="G253" s="18">
        <f>ROUND(INDEX(Valuation!U:U,MATCH(A253,Valuation!A:A,0)),2)</f>
        <v>143.36000000000001</v>
      </c>
      <c r="H253">
        <f t="shared" si="609"/>
        <v>1</v>
      </c>
      <c r="I253" s="18">
        <f>INDEX(WeeklyIndicators!Y:Y,MATCH(A253,WeeklyIndicators!A:A,0))</f>
        <v>133.09</v>
      </c>
      <c r="J253">
        <f t="shared" si="598"/>
        <v>0</v>
      </c>
      <c r="K253">
        <f>ROUND(INDEX(Economic!AF:AF,MATCH(EOMONTH($A253,-1),Economic!A:A,0)),2)</f>
        <v>105.54</v>
      </c>
      <c r="L253" s="11">
        <f t="shared" si="607"/>
        <v>0</v>
      </c>
      <c r="M253">
        <f>ROUND(INDEX(Manufacturing!P:P,MATCH(EOMONTH($A253,-1),Manufacturing!A:A,0)),2)</f>
        <v>101.05</v>
      </c>
      <c r="N253">
        <f t="shared" si="603"/>
        <v>2</v>
      </c>
      <c r="O253">
        <f>ROUND(INDEX(Housing!AC:AC,MATCH(EOMONTH($A253,-1),Housing!B:B,0)),2)</f>
        <v>148.38</v>
      </c>
      <c r="P253">
        <f t="shared" si="604"/>
        <v>3</v>
      </c>
      <c r="Q253">
        <f>ROUND(INDEX(Spending!AJ:AJ,MATCH(EOMONTH($A253,-1),Spending!B:B,0)),2)</f>
        <v>44.36</v>
      </c>
      <c r="R253">
        <f t="shared" si="608"/>
        <v>0</v>
      </c>
      <c r="S253">
        <f>ROUND(INDEX(Employment!V:V,MATCH(EOMONTH($A253,-1),Employment!A:A,0)),2)</f>
        <v>167.35</v>
      </c>
      <c r="T253" s="11">
        <f t="shared" si="605"/>
        <v>1</v>
      </c>
      <c r="U253">
        <f t="shared" si="597"/>
        <v>29</v>
      </c>
      <c r="V253">
        <f t="shared" si="589"/>
        <v>76.569999999999993</v>
      </c>
      <c r="W253" s="13">
        <f t="shared" si="590"/>
        <v>-1.35E-2</v>
      </c>
      <c r="X253" s="13">
        <f t="shared" si="591"/>
        <v>-2.5999999999999999E-3</v>
      </c>
      <c r="Y253">
        <f t="shared" si="583"/>
        <v>81.99</v>
      </c>
      <c r="Z253" s="13">
        <f t="shared" si="578"/>
        <v>-1.0699999999999999E-2</v>
      </c>
      <c r="AA253" s="13">
        <f t="shared" si="610"/>
        <v>-3.599999999999999E-3</v>
      </c>
      <c r="AB253" s="6">
        <f t="shared" si="584"/>
        <v>91.116</v>
      </c>
      <c r="AC253">
        <f t="shared" ref="AC253:AC316" si="612">IF(ROUND(AB253/2,0)&lt;0,0,ROUND(AB253/2,0))</f>
        <v>46</v>
      </c>
      <c r="AD253" s="11">
        <f t="shared" si="577"/>
        <v>1</v>
      </c>
      <c r="AE253">
        <f t="shared" si="611"/>
        <v>32</v>
      </c>
      <c r="AF253">
        <f>IF(AND(AE253&lt;15,OR(AC253&gt;=30,AA253&gt;0.15,X253&gt;=0.15)),2,VLOOKUP(AE253,Table!P:Q,2,FALSE))</f>
        <v>5</v>
      </c>
      <c r="AG253" s="22">
        <f>IF((AB253*0.98)-(D253*0.8)+((AF253-3)*3)+VLOOKUP(AM253,Table!$A$11:$B$13,2,FALSE)&lt;0,0,(AB253*0.98)-(D253*0.8)+((AF253-3)*3)+VLOOKUP(AM253,Table!$A$11:$B$13,2,FALSE))</f>
        <v>92.821679999999986</v>
      </c>
      <c r="AH253" s="22">
        <f t="shared" si="606"/>
        <v>94</v>
      </c>
      <c r="AI253" s="18">
        <f t="shared" si="599"/>
        <v>0.04</v>
      </c>
      <c r="AJ253" s="18">
        <f t="shared" si="600"/>
        <v>0.05</v>
      </c>
      <c r="AK253" t="str">
        <f t="shared" si="585"/>
        <v/>
      </c>
      <c r="AL253">
        <f t="shared" si="596"/>
        <v>33</v>
      </c>
      <c r="AM253" s="11" t="str">
        <f t="shared" si="586"/>
        <v>Stocks</v>
      </c>
      <c r="AN253" t="str">
        <f t="shared" si="592"/>
        <v>Buy</v>
      </c>
      <c r="AO253" s="13">
        <f t="shared" si="593"/>
        <v>1.1000000000000001E-3</v>
      </c>
      <c r="AP253" s="13">
        <f t="shared" si="594"/>
        <v>0</v>
      </c>
      <c r="AQ253" s="13">
        <f t="shared" si="595"/>
        <v>1E-3</v>
      </c>
      <c r="AR253" s="13">
        <f t="shared" si="587"/>
        <v>1.1000000000000001E-3</v>
      </c>
      <c r="AS253" s="6">
        <f t="shared" si="579"/>
        <v>438.26326417869018</v>
      </c>
      <c r="AT253" s="6">
        <f t="shared" si="580"/>
        <v>185.97425508967711</v>
      </c>
      <c r="AU253" s="6">
        <f t="shared" si="581"/>
        <v>704.00609971247866</v>
      </c>
      <c r="AV253" s="6">
        <f t="shared" si="582"/>
        <v>1027.8851470646757</v>
      </c>
      <c r="AW253" s="58">
        <f t="shared" si="588"/>
        <v>2013</v>
      </c>
      <c r="AX253" s="58">
        <f>COUNTIF(AW$3:AW253,AW253)</f>
        <v>10</v>
      </c>
    </row>
    <row r="254" spans="1:50" x14ac:dyDescent="0.25">
      <c r="A254" s="5">
        <v>41567</v>
      </c>
      <c r="B254">
        <v>1744.5</v>
      </c>
      <c r="C254">
        <v>0.08</v>
      </c>
      <c r="D254" s="6">
        <v>13.04</v>
      </c>
      <c r="E254" s="18">
        <f t="shared" si="601"/>
        <v>15.17</v>
      </c>
      <c r="F254">
        <f t="shared" si="602"/>
        <v>1</v>
      </c>
      <c r="G254" s="18">
        <f>ROUND(INDEX(Valuation!U:U,MATCH(A254,Valuation!A:A,0)),2)</f>
        <v>144.24</v>
      </c>
      <c r="H254">
        <f t="shared" si="609"/>
        <v>1</v>
      </c>
      <c r="I254" s="18">
        <f>INDEX(WeeklyIndicators!Y:Y,MATCH(A254,WeeklyIndicators!A:A,0))</f>
        <v>148.65</v>
      </c>
      <c r="J254">
        <f t="shared" si="598"/>
        <v>1</v>
      </c>
      <c r="K254">
        <f>ROUND(INDEX(Economic!AF:AF,MATCH(EOMONTH($A254,-1),Economic!A:A,0)),2)</f>
        <v>105.54</v>
      </c>
      <c r="L254" s="11">
        <f t="shared" si="607"/>
        <v>0</v>
      </c>
      <c r="M254">
        <f>ROUND(INDEX(Manufacturing!P:P,MATCH(EOMONTH($A254,-1),Manufacturing!A:A,0)),2)</f>
        <v>101.05</v>
      </c>
      <c r="N254">
        <f t="shared" si="603"/>
        <v>2</v>
      </c>
      <c r="O254">
        <f>ROUND(INDEX(Housing!AC:AC,MATCH(EOMONTH($A254,-1),Housing!B:B,0)),2)</f>
        <v>148.38</v>
      </c>
      <c r="P254">
        <f t="shared" si="604"/>
        <v>3</v>
      </c>
      <c r="Q254">
        <f>ROUND(INDEX(Spending!AJ:AJ,MATCH(EOMONTH($A254,-1),Spending!B:B,0)),2)</f>
        <v>44.36</v>
      </c>
      <c r="R254">
        <f t="shared" si="608"/>
        <v>0</v>
      </c>
      <c r="S254">
        <f>ROUND(INDEX(Employment!V:V,MATCH(EOMONTH($A254,-1),Employment!A:A,0)),2)</f>
        <v>167.35</v>
      </c>
      <c r="T254" s="11">
        <f t="shared" si="605"/>
        <v>1</v>
      </c>
      <c r="U254">
        <f t="shared" si="597"/>
        <v>29</v>
      </c>
      <c r="V254">
        <f t="shared" si="589"/>
        <v>78.180000000000007</v>
      </c>
      <c r="W254" s="13">
        <f t="shared" si="590"/>
        <v>-4.3E-3</v>
      </c>
      <c r="X254" s="13">
        <f t="shared" si="591"/>
        <v>1.8800000000000001E-2</v>
      </c>
      <c r="Y254">
        <f t="shared" si="583"/>
        <v>83.28</v>
      </c>
      <c r="Z254" s="13">
        <f t="shared" si="578"/>
        <v>-4.4000000000000003E-3</v>
      </c>
      <c r="AA254" s="13">
        <f t="shared" si="610"/>
        <v>1.43E-2</v>
      </c>
      <c r="AB254" s="6">
        <f t="shared" si="584"/>
        <v>93.954000000000008</v>
      </c>
      <c r="AC254">
        <f t="shared" si="612"/>
        <v>47</v>
      </c>
      <c r="AD254" s="11">
        <f t="shared" ref="AD254:AD317" si="613">IF(AC254&gt;47,2,IF(AND(AC254&gt;41,AC254&lt;=47),1,IF(AC254&lt;15,-2,IF(AND(AC254&lt;32,AC254&gt;=15),-1,0))))</f>
        <v>1</v>
      </c>
      <c r="AE254">
        <f t="shared" si="611"/>
        <v>32</v>
      </c>
      <c r="AF254">
        <f>IF(AND(AE254&lt;15,OR(AC254&gt;=30,AA254&gt;0.15,X254&gt;=0.15)),2,VLOOKUP(AE254,Table!P:Q,2,FALSE))</f>
        <v>5</v>
      </c>
      <c r="AG254" s="22">
        <f>IF((AB254*0.98)-(D254*0.8)+((AF254-3)*3)+VLOOKUP(AM254,Table!$A$11:$B$13,2,FALSE)&lt;0,0,(AB254*0.98)-(D254*0.8)+((AF254-3)*3)+VLOOKUP(AM254,Table!$A$11:$B$13,2,FALSE))</f>
        <v>95.642920000000004</v>
      </c>
      <c r="AH254" s="22">
        <f t="shared" si="606"/>
        <v>95</v>
      </c>
      <c r="AI254" s="18">
        <f t="shared" si="599"/>
        <v>0.04</v>
      </c>
      <c r="AJ254" s="18">
        <f t="shared" si="600"/>
        <v>0.06</v>
      </c>
      <c r="AK254" t="str">
        <f t="shared" si="585"/>
        <v/>
      </c>
      <c r="AL254">
        <f t="shared" si="596"/>
        <v>33</v>
      </c>
      <c r="AM254" s="11" t="str">
        <f t="shared" si="586"/>
        <v>Stocks</v>
      </c>
      <c r="AN254" t="str">
        <f t="shared" si="592"/>
        <v>Buy</v>
      </c>
      <c r="AO254" s="13">
        <f t="shared" si="593"/>
        <v>8.8000000000000005E-3</v>
      </c>
      <c r="AP254" s="13">
        <f t="shared" si="594"/>
        <v>0</v>
      </c>
      <c r="AQ254" s="13">
        <f t="shared" si="595"/>
        <v>8.3999999999999995E-3</v>
      </c>
      <c r="AR254" s="13">
        <f t="shared" si="587"/>
        <v>8.8000000000000005E-3</v>
      </c>
      <c r="AS254" s="6">
        <f t="shared" si="579"/>
        <v>434.44019050227024</v>
      </c>
      <c r="AT254" s="6">
        <f t="shared" si="580"/>
        <v>185.97425508967711</v>
      </c>
      <c r="AU254" s="6">
        <f t="shared" si="581"/>
        <v>698.14170935390587</v>
      </c>
      <c r="AV254" s="6">
        <f t="shared" si="582"/>
        <v>1018.9186628317563</v>
      </c>
      <c r="AW254" s="58">
        <f t="shared" si="588"/>
        <v>2013</v>
      </c>
      <c r="AX254" s="58">
        <f>COUNTIF(AW$3:AW254,AW254)</f>
        <v>11</v>
      </c>
    </row>
    <row r="255" spans="1:50" x14ac:dyDescent="0.25">
      <c r="A255" s="5">
        <v>41560</v>
      </c>
      <c r="B255">
        <v>1703.2</v>
      </c>
      <c r="C255">
        <v>0.05</v>
      </c>
      <c r="D255" s="6">
        <v>15.72</v>
      </c>
      <c r="E255" s="18">
        <f t="shared" si="601"/>
        <v>15.97</v>
      </c>
      <c r="F255">
        <f t="shared" si="602"/>
        <v>1</v>
      </c>
      <c r="G255" s="18">
        <f>ROUND(INDEX(Valuation!U:U,MATCH(A255,Valuation!A:A,0)),2)</f>
        <v>143.24</v>
      </c>
      <c r="H255">
        <f t="shared" si="609"/>
        <v>1</v>
      </c>
      <c r="I255" s="18">
        <f>INDEX(WeeklyIndicators!Y:Y,MATCH(A255,WeeklyIndicators!A:A,0))</f>
        <v>162.09</v>
      </c>
      <c r="J255">
        <f t="shared" si="598"/>
        <v>2</v>
      </c>
      <c r="K255">
        <f>ROUND(INDEX(Economic!AF:AF,MATCH(EOMONTH($A255,-1),Economic!A:A,0)),2)</f>
        <v>105.54</v>
      </c>
      <c r="L255" s="11">
        <f t="shared" si="607"/>
        <v>0</v>
      </c>
      <c r="M255">
        <f>ROUND(INDEX(Manufacturing!P:P,MATCH(EOMONTH($A255,-1),Manufacturing!A:A,0)),2)</f>
        <v>101.05</v>
      </c>
      <c r="N255">
        <f t="shared" si="603"/>
        <v>2</v>
      </c>
      <c r="O255">
        <f>ROUND(INDEX(Housing!AC:AC,MATCH(EOMONTH($A255,-1),Housing!B:B,0)),2)</f>
        <v>148.38</v>
      </c>
      <c r="P255">
        <f t="shared" si="604"/>
        <v>3</v>
      </c>
      <c r="Q255">
        <f>ROUND(INDEX(Spending!AJ:AJ,MATCH(EOMONTH($A255,-1),Spending!B:B,0)),2)</f>
        <v>44.36</v>
      </c>
      <c r="R255">
        <f t="shared" si="608"/>
        <v>0</v>
      </c>
      <c r="S255">
        <f>ROUND(INDEX(Employment!V:V,MATCH(EOMONTH($A255,-1),Employment!A:A,0)),2)</f>
        <v>167.35</v>
      </c>
      <c r="T255" s="11">
        <f t="shared" si="605"/>
        <v>1</v>
      </c>
      <c r="U255">
        <f t="shared" si="597"/>
        <v>30</v>
      </c>
      <c r="V255">
        <f t="shared" si="589"/>
        <v>79.569999999999993</v>
      </c>
      <c r="W255" s="13">
        <f t="shared" si="590"/>
        <v>5.7000000000000002E-3</v>
      </c>
      <c r="X255" s="13">
        <f t="shared" si="591"/>
        <v>2.6300000000000004E-2</v>
      </c>
      <c r="Y255">
        <f t="shared" si="583"/>
        <v>84.29</v>
      </c>
      <c r="Z255" s="13">
        <f t="shared" si="578"/>
        <v>3.2000000000000002E-3</v>
      </c>
      <c r="AA255" s="13">
        <f t="shared" si="610"/>
        <v>2.1100000000000001E-2</v>
      </c>
      <c r="AB255" s="6">
        <f t="shared" si="584"/>
        <v>95.444000000000003</v>
      </c>
      <c r="AC255">
        <f t="shared" si="612"/>
        <v>48</v>
      </c>
      <c r="AD255" s="11">
        <f t="shared" si="613"/>
        <v>2</v>
      </c>
      <c r="AE255">
        <f t="shared" si="611"/>
        <v>34</v>
      </c>
      <c r="AF255">
        <f>IF(AND(AE255&lt;15,OR(AC255&gt;=30,AA255&gt;0.15,X255&gt;=0.15)),2,VLOOKUP(AE255,Table!P:Q,2,FALSE))</f>
        <v>5</v>
      </c>
      <c r="AG255" s="22">
        <f>IF((AB255*0.98)-(D255*0.8)+((AF255-3)*3)+VLOOKUP(AM255,Table!$A$11:$B$13,2,FALSE)&lt;0,0,(AB255*0.98)-(D255*0.8)+((AF255-3)*3)+VLOOKUP(AM255,Table!$A$11:$B$13,2,FALSE))</f>
        <v>94.959120000000013</v>
      </c>
      <c r="AH255" s="22">
        <f t="shared" si="606"/>
        <v>95</v>
      </c>
      <c r="AI255" s="18">
        <f t="shared" si="599"/>
        <v>0.03</v>
      </c>
      <c r="AJ255" s="18">
        <f t="shared" si="600"/>
        <v>0.06</v>
      </c>
      <c r="AK255" t="str">
        <f t="shared" si="585"/>
        <v/>
      </c>
      <c r="AL255">
        <f t="shared" si="596"/>
        <v>32.75</v>
      </c>
      <c r="AM255" s="11" t="str">
        <f t="shared" si="586"/>
        <v>Stocks</v>
      </c>
      <c r="AN255" t="str">
        <f t="shared" si="592"/>
        <v>Buy</v>
      </c>
      <c r="AO255" s="13">
        <f t="shared" si="593"/>
        <v>2.4199999999999999E-2</v>
      </c>
      <c r="AP255" s="13">
        <f t="shared" si="594"/>
        <v>0</v>
      </c>
      <c r="AQ255" s="13">
        <f t="shared" si="595"/>
        <v>2.3E-2</v>
      </c>
      <c r="AR255" s="13">
        <f t="shared" si="587"/>
        <v>2.4199999999999999E-2</v>
      </c>
      <c r="AS255" s="6">
        <f t="shared" si="579"/>
        <v>424.17515182803186</v>
      </c>
      <c r="AT255" s="6">
        <f t="shared" si="580"/>
        <v>185.97425508967711</v>
      </c>
      <c r="AU255" s="6">
        <f t="shared" si="581"/>
        <v>682.44546368905765</v>
      </c>
      <c r="AV255" s="6">
        <f t="shared" si="582"/>
        <v>994.84345131005296</v>
      </c>
      <c r="AW255" s="58">
        <f t="shared" si="588"/>
        <v>2013</v>
      </c>
      <c r="AX255" s="58">
        <f>COUNTIF(AW$3:AW255,AW255)</f>
        <v>12</v>
      </c>
    </row>
    <row r="256" spans="1:50" x14ac:dyDescent="0.25">
      <c r="A256" s="5">
        <v>41553</v>
      </c>
      <c r="B256">
        <v>1690.5</v>
      </c>
      <c r="C256">
        <v>0.02</v>
      </c>
      <c r="D256" s="6">
        <v>16.739999999999998</v>
      </c>
      <c r="E256" s="18">
        <f t="shared" si="601"/>
        <v>15.11</v>
      </c>
      <c r="F256">
        <f t="shared" si="602"/>
        <v>1</v>
      </c>
      <c r="G256" s="18">
        <f>ROUND(INDEX(Valuation!U:U,MATCH(A256,Valuation!A:A,0)),2)</f>
        <v>142.36000000000001</v>
      </c>
      <c r="H256">
        <f t="shared" si="609"/>
        <v>1</v>
      </c>
      <c r="I256" s="18">
        <f>INDEX(WeeklyIndicators!Y:Y,MATCH(A256,WeeklyIndicators!A:A,0))</f>
        <v>163.97</v>
      </c>
      <c r="J256">
        <f t="shared" si="598"/>
        <v>2</v>
      </c>
      <c r="K256">
        <f>ROUND(INDEX(Economic!AF:AF,MATCH(EOMONTH($A256,-1),Economic!A:A,0)),2)</f>
        <v>105.54</v>
      </c>
      <c r="L256" s="11">
        <f t="shared" si="607"/>
        <v>0</v>
      </c>
      <c r="M256">
        <f>ROUND(INDEX(Manufacturing!P:P,MATCH(EOMONTH($A256,-1),Manufacturing!A:A,0)),2)</f>
        <v>101.05</v>
      </c>
      <c r="N256">
        <f t="shared" si="603"/>
        <v>2</v>
      </c>
      <c r="O256">
        <f>ROUND(INDEX(Housing!AC:AC,MATCH(EOMONTH($A256,-1),Housing!B:B,0)),2)</f>
        <v>148.38</v>
      </c>
      <c r="P256">
        <f t="shared" si="604"/>
        <v>3</v>
      </c>
      <c r="Q256">
        <f>ROUND(INDEX(Spending!AJ:AJ,MATCH(EOMONTH($A256,-1),Spending!B:B,0)),2)</f>
        <v>44.36</v>
      </c>
      <c r="R256">
        <f t="shared" si="608"/>
        <v>0</v>
      </c>
      <c r="S256">
        <f>ROUND(INDEX(Employment!V:V,MATCH(EOMONTH($A256,-1),Employment!A:A,0)),2)</f>
        <v>167.35</v>
      </c>
      <c r="T256" s="11">
        <f t="shared" si="605"/>
        <v>1</v>
      </c>
      <c r="U256">
        <f t="shared" si="597"/>
        <v>30</v>
      </c>
      <c r="V256">
        <f t="shared" si="589"/>
        <v>79.77</v>
      </c>
      <c r="W256" s="13">
        <f t="shared" si="590"/>
        <v>9.4999999999999998E-3</v>
      </c>
      <c r="X256" s="13">
        <f t="shared" si="591"/>
        <v>2.47E-2</v>
      </c>
      <c r="Y256">
        <f t="shared" si="583"/>
        <v>84.68</v>
      </c>
      <c r="Z256" s="13">
        <f t="shared" ref="Z256:Z319" si="614">ROUND((AVERAGE(Y256:Y258)-AVERAGE(Y257:Y259))/AVERAGE(Y257:Y259),4)</f>
        <v>8.3000000000000001E-3</v>
      </c>
      <c r="AA256" s="13">
        <f t="shared" si="610"/>
        <v>1.9E-2</v>
      </c>
      <c r="AB256" s="6">
        <f t="shared" si="584"/>
        <v>95.596000000000004</v>
      </c>
      <c r="AC256">
        <f t="shared" si="612"/>
        <v>48</v>
      </c>
      <c r="AD256" s="11">
        <f t="shared" si="613"/>
        <v>2</v>
      </c>
      <c r="AE256">
        <f t="shared" si="611"/>
        <v>34</v>
      </c>
      <c r="AF256">
        <f>IF(AND(AE256&lt;15,OR(AC256&gt;=30,AA256&gt;0.15,X256&gt;=0.15)),2,VLOOKUP(AE256,Table!P:Q,2,FALSE))</f>
        <v>5</v>
      </c>
      <c r="AG256" s="22">
        <f>IF((AB256*0.98)-(D256*0.8)+((AF256-3)*3)+VLOOKUP(AM256,Table!$A$11:$B$13,2,FALSE)&lt;0,0,(AB256*0.98)-(D256*0.8)+((AF256-3)*3)+VLOOKUP(AM256,Table!$A$11:$B$13,2,FALSE))</f>
        <v>94.292080000000013</v>
      </c>
      <c r="AH256" s="22">
        <f t="shared" si="606"/>
        <v>94</v>
      </c>
      <c r="AI256" s="18">
        <f t="shared" si="599"/>
        <v>0.03</v>
      </c>
      <c r="AJ256" s="18">
        <f t="shared" si="600"/>
        <v>0.06</v>
      </c>
      <c r="AK256" t="str">
        <f t="shared" si="585"/>
        <v/>
      </c>
      <c r="AL256">
        <f t="shared" si="596"/>
        <v>32</v>
      </c>
      <c r="AM256" s="11" t="str">
        <f t="shared" si="586"/>
        <v>Stocks</v>
      </c>
      <c r="AN256" t="str">
        <f t="shared" si="592"/>
        <v>Buy</v>
      </c>
      <c r="AO256" s="13">
        <f t="shared" si="593"/>
        <v>7.4999999999999997E-3</v>
      </c>
      <c r="AP256" s="13">
        <f t="shared" si="594"/>
        <v>0</v>
      </c>
      <c r="AQ256" s="13">
        <f t="shared" si="595"/>
        <v>7.1000000000000004E-3</v>
      </c>
      <c r="AR256" s="13">
        <f t="shared" si="587"/>
        <v>7.4999999999999997E-3</v>
      </c>
      <c r="AS256" s="6">
        <f t="shared" si="579"/>
        <v>421.01752042484549</v>
      </c>
      <c r="AT256" s="6">
        <f t="shared" si="580"/>
        <v>185.97425508967711</v>
      </c>
      <c r="AU256" s="6">
        <f t="shared" si="581"/>
        <v>677.634260439934</v>
      </c>
      <c r="AV256" s="6">
        <f t="shared" si="582"/>
        <v>987.43766879409714</v>
      </c>
      <c r="AW256" s="58">
        <f t="shared" si="588"/>
        <v>2013</v>
      </c>
      <c r="AX256" s="58">
        <f>COUNTIF(AW$3:AW256,AW256)</f>
        <v>13</v>
      </c>
    </row>
    <row r="257" spans="1:50" x14ac:dyDescent="0.25">
      <c r="A257" s="5">
        <v>41546</v>
      </c>
      <c r="B257">
        <v>1691.75</v>
      </c>
      <c r="C257">
        <v>0.02</v>
      </c>
      <c r="D257" s="6">
        <v>15.46</v>
      </c>
      <c r="E257" s="18">
        <f t="shared" si="601"/>
        <v>14.25</v>
      </c>
      <c r="F257">
        <f t="shared" si="602"/>
        <v>1</v>
      </c>
      <c r="G257" s="18">
        <f>ROUND(INDEX(Valuation!U:U,MATCH(A257,Valuation!A:A,0)),2)</f>
        <v>142.22999999999999</v>
      </c>
      <c r="H257">
        <f t="shared" si="609"/>
        <v>1</v>
      </c>
      <c r="I257" s="18">
        <f>INDEX(WeeklyIndicators!Y:Y,MATCH(A257,WeeklyIndicators!A:A,0))</f>
        <v>157.19</v>
      </c>
      <c r="J257">
        <f t="shared" si="598"/>
        <v>2</v>
      </c>
      <c r="K257">
        <f>ROUND(INDEX(Economic!AF:AF,MATCH(EOMONTH($A257,-1),Economic!A:A,0)),2)</f>
        <v>113.17</v>
      </c>
      <c r="L257" s="11">
        <f t="shared" si="607"/>
        <v>1</v>
      </c>
      <c r="M257">
        <f>ROUND(INDEX(Manufacturing!P:P,MATCH(EOMONTH($A257,-1),Manufacturing!A:A,0)),2)</f>
        <v>98.83</v>
      </c>
      <c r="N257">
        <f t="shared" si="603"/>
        <v>1</v>
      </c>
      <c r="O257">
        <f>ROUND(INDEX(Housing!AC:AC,MATCH(EOMONTH($A257,-1),Housing!B:B,0)),2)</f>
        <v>149.61000000000001</v>
      </c>
      <c r="P257">
        <f t="shared" si="604"/>
        <v>3</v>
      </c>
      <c r="Q257">
        <f>ROUND(INDEX(Spending!AJ:AJ,MATCH(EOMONTH($A257,-1),Spending!B:B,0)),2)</f>
        <v>38.92</v>
      </c>
      <c r="R257">
        <f t="shared" si="608"/>
        <v>-1</v>
      </c>
      <c r="S257">
        <f>ROUND(INDEX(Employment!V:V,MATCH(EOMONTH($A257,-1),Employment!A:A,0)),2)</f>
        <v>164.42</v>
      </c>
      <c r="T257" s="11">
        <f t="shared" si="605"/>
        <v>1</v>
      </c>
      <c r="U257">
        <f t="shared" si="597"/>
        <v>29</v>
      </c>
      <c r="V257">
        <f t="shared" si="589"/>
        <v>79.2</v>
      </c>
      <c r="W257" s="13">
        <f t="shared" si="590"/>
        <v>7.9000000000000008E-3</v>
      </c>
      <c r="X257" s="13">
        <f t="shared" si="591"/>
        <v>1.7800000000000003E-2</v>
      </c>
      <c r="Y257">
        <f t="shared" si="583"/>
        <v>84.4</v>
      </c>
      <c r="Z257" s="13">
        <f t="shared" si="614"/>
        <v>7.1999999999999998E-3</v>
      </c>
      <c r="AA257" s="13">
        <f t="shared" si="610"/>
        <v>1.1399999999999999E-2</v>
      </c>
      <c r="AB257" s="6">
        <f t="shared" si="584"/>
        <v>94.703000000000003</v>
      </c>
      <c r="AC257">
        <f t="shared" si="612"/>
        <v>47</v>
      </c>
      <c r="AD257" s="11">
        <f t="shared" si="613"/>
        <v>1</v>
      </c>
      <c r="AE257">
        <f t="shared" si="611"/>
        <v>32</v>
      </c>
      <c r="AF257">
        <f>IF(AND(AE257&lt;15,OR(AC257&gt;=30,AA257&gt;0.15,X257&gt;=0.15)),2,VLOOKUP(AE257,Table!P:Q,2,FALSE))</f>
        <v>5</v>
      </c>
      <c r="AG257" s="22">
        <f>IF((AB257*0.98)-(D257*0.8)+((AF257-3)*3)+VLOOKUP(AM257,Table!$A$11:$B$13,2,FALSE)&lt;0,0,(AB257*0.98)-(D257*0.8)+((AF257-3)*3)+VLOOKUP(AM257,Table!$A$11:$B$13,2,FALSE))</f>
        <v>94.440940000000012</v>
      </c>
      <c r="AH257" s="22">
        <f t="shared" si="606"/>
        <v>92</v>
      </c>
      <c r="AI257" s="18">
        <f t="shared" si="599"/>
        <v>0.03</v>
      </c>
      <c r="AJ257" s="18">
        <f t="shared" si="600"/>
        <v>0.06</v>
      </c>
      <c r="AK257" t="str">
        <f t="shared" si="585"/>
        <v/>
      </c>
      <c r="AL257">
        <f t="shared" si="596"/>
        <v>31.25</v>
      </c>
      <c r="AM257" s="11" t="str">
        <f t="shared" si="586"/>
        <v>Stocks</v>
      </c>
      <c r="AN257" t="str">
        <f t="shared" si="592"/>
        <v>Buy</v>
      </c>
      <c r="AO257" s="13">
        <f t="shared" si="593"/>
        <v>-6.9999999999999999E-4</v>
      </c>
      <c r="AP257" s="13">
        <f t="shared" si="594"/>
        <v>0</v>
      </c>
      <c r="AQ257" s="13">
        <f t="shared" si="595"/>
        <v>-5.9999999999999995E-4</v>
      </c>
      <c r="AR257" s="13">
        <f t="shared" si="587"/>
        <v>-6.9999999999999999E-4</v>
      </c>
      <c r="AS257" s="6">
        <f t="shared" si="579"/>
        <v>421.31243913223807</v>
      </c>
      <c r="AT257" s="6">
        <f t="shared" si="580"/>
        <v>185.97425508967711</v>
      </c>
      <c r="AU257" s="6">
        <f t="shared" si="581"/>
        <v>678.04108509098864</v>
      </c>
      <c r="AV257" s="6">
        <f t="shared" si="582"/>
        <v>988.12935934563916</v>
      </c>
      <c r="AW257" s="58">
        <f t="shared" si="588"/>
        <v>2013</v>
      </c>
      <c r="AX257" s="58">
        <f>COUNTIF(AW$3:AW257,AW257)</f>
        <v>14</v>
      </c>
    </row>
    <row r="258" spans="1:50" x14ac:dyDescent="0.25">
      <c r="A258" s="5">
        <v>41539</v>
      </c>
      <c r="B258">
        <v>1709.91</v>
      </c>
      <c r="C258">
        <v>0.01</v>
      </c>
      <c r="D258" s="6">
        <v>13.12</v>
      </c>
      <c r="E258" s="18">
        <f t="shared" si="601"/>
        <v>14.38</v>
      </c>
      <c r="F258">
        <f t="shared" si="602"/>
        <v>1</v>
      </c>
      <c r="G258" s="18">
        <f>ROUND(INDEX(Valuation!U:U,MATCH(A258,Valuation!A:A,0)),2)</f>
        <v>143.18</v>
      </c>
      <c r="H258">
        <f t="shared" si="609"/>
        <v>1</v>
      </c>
      <c r="I258" s="18">
        <f>INDEX(WeeklyIndicators!Y:Y,MATCH(A258,WeeklyIndicators!A:A,0))</f>
        <v>147.72</v>
      </c>
      <c r="J258">
        <f t="shared" si="598"/>
        <v>1</v>
      </c>
      <c r="K258">
        <f>ROUND(INDEX(Economic!AF:AF,MATCH(EOMONTH($A258,-1),Economic!A:A,0)),2)</f>
        <v>113.17</v>
      </c>
      <c r="L258" s="11">
        <f t="shared" si="607"/>
        <v>1</v>
      </c>
      <c r="M258">
        <f>ROUND(INDEX(Manufacturing!P:P,MATCH(EOMONTH($A258,-1),Manufacturing!A:A,0)),2)</f>
        <v>98.83</v>
      </c>
      <c r="N258">
        <f t="shared" si="603"/>
        <v>1</v>
      </c>
      <c r="O258">
        <f>ROUND(INDEX(Housing!AC:AC,MATCH(EOMONTH($A258,-1),Housing!B:B,0)),2)</f>
        <v>149.61000000000001</v>
      </c>
      <c r="P258">
        <f t="shared" si="604"/>
        <v>3</v>
      </c>
      <c r="Q258">
        <f>ROUND(INDEX(Spending!AJ:AJ,MATCH(EOMONTH($A258,-1),Spending!B:B,0)),2)</f>
        <v>38.92</v>
      </c>
      <c r="R258">
        <f t="shared" si="608"/>
        <v>-1</v>
      </c>
      <c r="S258">
        <f>ROUND(INDEX(Employment!V:V,MATCH(EOMONTH($A258,-1),Employment!A:A,0)),2)</f>
        <v>164.42</v>
      </c>
      <c r="T258" s="11">
        <f t="shared" si="605"/>
        <v>1</v>
      </c>
      <c r="U258">
        <f t="shared" si="597"/>
        <v>28</v>
      </c>
      <c r="V258">
        <f t="shared" si="589"/>
        <v>78.22</v>
      </c>
      <c r="W258" s="13">
        <f t="shared" si="590"/>
        <v>3.2000000000000002E-3</v>
      </c>
      <c r="X258" s="13">
        <f t="shared" si="591"/>
        <v>1.2500000000000001E-2</v>
      </c>
      <c r="Y258">
        <f t="shared" si="583"/>
        <v>83.48</v>
      </c>
      <c r="Z258" s="13">
        <f t="shared" si="614"/>
        <v>2.3999999999999998E-3</v>
      </c>
      <c r="AA258" s="13">
        <f t="shared" si="610"/>
        <v>4.3999999999999994E-3</v>
      </c>
      <c r="AB258" s="6">
        <f t="shared" si="584"/>
        <v>93.328000000000003</v>
      </c>
      <c r="AC258">
        <f t="shared" si="612"/>
        <v>47</v>
      </c>
      <c r="AD258" s="11">
        <f t="shared" si="613"/>
        <v>1</v>
      </c>
      <c r="AE258">
        <f t="shared" si="611"/>
        <v>31</v>
      </c>
      <c r="AF258">
        <f>IF(AND(AE258&lt;15,OR(AC258&gt;=30,AA258&gt;0.15,X258&gt;=0.15)),2,VLOOKUP(AE258,Table!P:Q,2,FALSE))</f>
        <v>4</v>
      </c>
      <c r="AG258" s="22">
        <f>IF((AB258*0.98)-(D258*0.8)+((AF258-3)*3)+VLOOKUP(AM258,Table!$A$11:$B$13,2,FALSE)&lt;0,0,(AB258*0.98)-(D258*0.8)+((AF258-3)*3)+VLOOKUP(AM258,Table!$A$11:$B$13,2,FALSE))</f>
        <v>91.965440000000001</v>
      </c>
      <c r="AH258" s="22">
        <f t="shared" si="606"/>
        <v>90</v>
      </c>
      <c r="AI258" s="18">
        <f t="shared" si="599"/>
        <v>0.04</v>
      </c>
      <c r="AJ258" s="18">
        <f t="shared" si="600"/>
        <v>0.06</v>
      </c>
      <c r="AK258" t="str">
        <f t="shared" si="585"/>
        <v/>
      </c>
      <c r="AL258">
        <f t="shared" si="596"/>
        <v>31</v>
      </c>
      <c r="AM258" s="11" t="str">
        <f t="shared" si="586"/>
        <v>Stocks</v>
      </c>
      <c r="AN258" t="str">
        <f t="shared" si="592"/>
        <v>Buy</v>
      </c>
      <c r="AO258" s="13">
        <f t="shared" si="593"/>
        <v>-1.06E-2</v>
      </c>
      <c r="AP258" s="13">
        <f t="shared" si="594"/>
        <v>0</v>
      </c>
      <c r="AQ258" s="13">
        <f t="shared" si="595"/>
        <v>-9.4999999999999998E-3</v>
      </c>
      <c r="AR258" s="13">
        <f t="shared" si="587"/>
        <v>-1.06E-2</v>
      </c>
      <c r="AS258" s="6">
        <f t="shared" si="579"/>
        <v>425.82619681851435</v>
      </c>
      <c r="AT258" s="6">
        <f t="shared" si="580"/>
        <v>185.97425508967711</v>
      </c>
      <c r="AU258" s="6">
        <f t="shared" si="581"/>
        <v>684.54425551841359</v>
      </c>
      <c r="AV258" s="6">
        <f t="shared" si="582"/>
        <v>998.71574625595235</v>
      </c>
      <c r="AW258" s="58">
        <f t="shared" si="588"/>
        <v>2013</v>
      </c>
      <c r="AX258" s="58">
        <f>COUNTIF(AW$3:AW258,AW258)</f>
        <v>15</v>
      </c>
    </row>
    <row r="259" spans="1:50" x14ac:dyDescent="0.25">
      <c r="A259" s="5">
        <v>41532</v>
      </c>
      <c r="B259">
        <v>1687.99</v>
      </c>
      <c r="C259">
        <v>0.02</v>
      </c>
      <c r="D259" s="6">
        <v>14.16</v>
      </c>
      <c r="E259" s="18">
        <f t="shared" si="601"/>
        <v>15.67</v>
      </c>
      <c r="F259">
        <f t="shared" si="602"/>
        <v>1</v>
      </c>
      <c r="G259" s="18">
        <f>ROUND(INDEX(Valuation!U:U,MATCH(A259,Valuation!A:A,0)),2)</f>
        <v>145.5</v>
      </c>
      <c r="H259">
        <f t="shared" si="609"/>
        <v>1</v>
      </c>
      <c r="I259" s="18">
        <f>INDEX(WeeklyIndicators!Y:Y,MATCH(A259,WeeklyIndicators!A:A,0))</f>
        <v>141.06</v>
      </c>
      <c r="J259">
        <f t="shared" si="598"/>
        <v>1</v>
      </c>
      <c r="K259">
        <f>ROUND(INDEX(Economic!AF:AF,MATCH(EOMONTH($A259,-1),Economic!A:A,0)),2)</f>
        <v>113.17</v>
      </c>
      <c r="L259" s="11">
        <f t="shared" si="607"/>
        <v>1</v>
      </c>
      <c r="M259">
        <f>ROUND(INDEX(Manufacturing!P:P,MATCH(EOMONTH($A259,-1),Manufacturing!A:A,0)),2)</f>
        <v>98.83</v>
      </c>
      <c r="N259">
        <f t="shared" si="603"/>
        <v>1</v>
      </c>
      <c r="O259">
        <f>ROUND(INDEX(Housing!AC:AC,MATCH(EOMONTH($A259,-1),Housing!B:B,0)),2)</f>
        <v>149.61000000000001</v>
      </c>
      <c r="P259">
        <f t="shared" si="604"/>
        <v>3</v>
      </c>
      <c r="Q259">
        <f>ROUND(INDEX(Spending!AJ:AJ,MATCH(EOMONTH($A259,-1),Spending!B:B,0)),2)</f>
        <v>38.92</v>
      </c>
      <c r="R259">
        <f t="shared" si="608"/>
        <v>-1</v>
      </c>
      <c r="S259">
        <f>ROUND(INDEX(Employment!V:V,MATCH(EOMONTH($A259,-1),Employment!A:A,0)),2)</f>
        <v>164.42</v>
      </c>
      <c r="T259" s="11">
        <f t="shared" si="605"/>
        <v>1</v>
      </c>
      <c r="U259">
        <f t="shared" si="597"/>
        <v>28</v>
      </c>
      <c r="V259">
        <f t="shared" si="589"/>
        <v>77.53</v>
      </c>
      <c r="W259" s="13">
        <f t="shared" si="590"/>
        <v>4.1000000000000003E-3</v>
      </c>
      <c r="X259" s="13">
        <f t="shared" si="591"/>
        <v>8.7999999999999988E-3</v>
      </c>
      <c r="Y259">
        <f t="shared" si="583"/>
        <v>82.59</v>
      </c>
      <c r="Z259" s="13">
        <f t="shared" si="614"/>
        <v>1.1000000000000001E-3</v>
      </c>
      <c r="AA259" s="13">
        <f t="shared" si="610"/>
        <v>-2.9999999999999992E-4</v>
      </c>
      <c r="AB259" s="6">
        <f t="shared" si="584"/>
        <v>92.289999999999992</v>
      </c>
      <c r="AC259">
        <f t="shared" si="612"/>
        <v>46</v>
      </c>
      <c r="AD259" s="11">
        <f t="shared" si="613"/>
        <v>1</v>
      </c>
      <c r="AE259">
        <f t="shared" si="611"/>
        <v>31</v>
      </c>
      <c r="AF259">
        <f>IF(AND(AE259&lt;15,OR(AC259&gt;=30,AA259&gt;0.15,X259&gt;=0.15)),2,VLOOKUP(AE259,Table!P:Q,2,FALSE))</f>
        <v>4</v>
      </c>
      <c r="AG259" s="22">
        <f>IF((AB259*0.98)-(D259*0.8)+((AF259-3)*3)+VLOOKUP(AM259,Table!$A$11:$B$13,2,FALSE)&lt;0,0,(AB259*0.98)-(D259*0.8)+((AF259-3)*3)+VLOOKUP(AM259,Table!$A$11:$B$13,2,FALSE))</f>
        <v>90.116199999999992</v>
      </c>
      <c r="AH259" s="22">
        <f t="shared" si="606"/>
        <v>90</v>
      </c>
      <c r="AI259" s="18">
        <f t="shared" si="599"/>
        <v>0.04</v>
      </c>
      <c r="AJ259" s="18">
        <f t="shared" si="600"/>
        <v>0.06</v>
      </c>
      <c r="AK259" t="str">
        <f t="shared" si="585"/>
        <v/>
      </c>
      <c r="AL259">
        <f t="shared" si="596"/>
        <v>31.25</v>
      </c>
      <c r="AM259" s="11" t="str">
        <f t="shared" si="586"/>
        <v>Stocks</v>
      </c>
      <c r="AN259" t="str">
        <f t="shared" si="592"/>
        <v>Buy</v>
      </c>
      <c r="AO259" s="13">
        <f t="shared" si="593"/>
        <v>1.2999999999999999E-2</v>
      </c>
      <c r="AP259" s="13">
        <f t="shared" si="594"/>
        <v>0</v>
      </c>
      <c r="AQ259" s="13">
        <f t="shared" si="595"/>
        <v>1.17E-2</v>
      </c>
      <c r="AR259" s="13">
        <f t="shared" si="587"/>
        <v>1.2999999999999999E-2</v>
      </c>
      <c r="AS259" s="6">
        <f t="shared" ref="AS259:AS322" si="615">AS260*(1+AO260)</f>
        <v>420.36149735292634</v>
      </c>
      <c r="AT259" s="6">
        <f t="shared" ref="AT259:AT322" si="616">AT260*(1+AP260)</f>
        <v>185.97425508967711</v>
      </c>
      <c r="AU259" s="6">
        <f t="shared" ref="AU259:AU322" si="617">AU260*(1+AQ260)</f>
        <v>676.62771129624741</v>
      </c>
      <c r="AV259" s="6">
        <f t="shared" ref="AV259:AV322" si="618">AV260*(1+AR260)</f>
        <v>985.89905849551076</v>
      </c>
      <c r="AW259" s="58">
        <f t="shared" si="588"/>
        <v>2013</v>
      </c>
      <c r="AX259" s="58">
        <f>COUNTIF(AW$3:AW259,AW259)</f>
        <v>16</v>
      </c>
    </row>
    <row r="260" spans="1:50" x14ac:dyDescent="0.25">
      <c r="A260" s="5">
        <v>41525</v>
      </c>
      <c r="B260">
        <v>1655.17</v>
      </c>
      <c r="C260">
        <v>0.02</v>
      </c>
      <c r="D260" s="6">
        <v>15.85</v>
      </c>
      <c r="E260" s="18">
        <f t="shared" si="601"/>
        <v>15.61</v>
      </c>
      <c r="F260">
        <f t="shared" si="602"/>
        <v>1</v>
      </c>
      <c r="G260" s="18">
        <f>ROUND(INDEX(Valuation!U:U,MATCH(A260,Valuation!A:A,0)),2)</f>
        <v>146.94999999999999</v>
      </c>
      <c r="H260">
        <f t="shared" si="609"/>
        <v>1</v>
      </c>
      <c r="I260" s="18">
        <f>INDEX(WeeklyIndicators!Y:Y,MATCH(A260,WeeklyIndicators!A:A,0))</f>
        <v>139.51</v>
      </c>
      <c r="J260">
        <f t="shared" si="598"/>
        <v>1</v>
      </c>
      <c r="K260">
        <f>ROUND(INDEX(Economic!AF:AF,MATCH(EOMONTH($A260,-1),Economic!A:A,0)),2)</f>
        <v>113.17</v>
      </c>
      <c r="L260" s="11">
        <f t="shared" si="607"/>
        <v>1</v>
      </c>
      <c r="M260">
        <f>ROUND(INDEX(Manufacturing!P:P,MATCH(EOMONTH($A260,-1),Manufacturing!A:A,0)),2)</f>
        <v>98.83</v>
      </c>
      <c r="N260">
        <f t="shared" si="603"/>
        <v>1</v>
      </c>
      <c r="O260">
        <f>ROUND(INDEX(Housing!AC:AC,MATCH(EOMONTH($A260,-1),Housing!B:B,0)),2)</f>
        <v>149.61000000000001</v>
      </c>
      <c r="P260">
        <f t="shared" si="604"/>
        <v>3</v>
      </c>
      <c r="Q260">
        <f>ROUND(INDEX(Spending!AJ:AJ,MATCH(EOMONTH($A260,-1),Spending!B:B,0)),2)</f>
        <v>38.92</v>
      </c>
      <c r="R260">
        <f t="shared" si="608"/>
        <v>-1</v>
      </c>
      <c r="S260">
        <f>ROUND(INDEX(Employment!V:V,MATCH(EOMONTH($A260,-1),Employment!A:A,0)),2)</f>
        <v>164.42</v>
      </c>
      <c r="T260" s="11">
        <f t="shared" si="605"/>
        <v>1</v>
      </c>
      <c r="U260">
        <f t="shared" si="597"/>
        <v>28</v>
      </c>
      <c r="V260">
        <f t="shared" si="589"/>
        <v>77.36</v>
      </c>
      <c r="W260" s="13">
        <f t="shared" si="590"/>
        <v>2.5999999999999999E-3</v>
      </c>
      <c r="X260" s="13">
        <f t="shared" si="591"/>
        <v>1.44E-2</v>
      </c>
      <c r="Y260">
        <f t="shared" ref="Y260:Y323" si="619">ROUND(((K260*0.745)+(M260*0.745)+(O260*0.36)+(Q260*0.45)+(S260*0.45)+(I260*0.55)+(G260*0.59)-(E260*1.85))/5.3,2)</f>
        <v>82.61</v>
      </c>
      <c r="Z260" s="13">
        <f t="shared" si="614"/>
        <v>6.9999999999999999E-4</v>
      </c>
      <c r="AA260" s="13">
        <f t="shared" si="610"/>
        <v>4.1999999999999997E-3</v>
      </c>
      <c r="AB260" s="6">
        <f t="shared" ref="AB260:AB323" si="620">IF(ROUND(Y260+(X260*10)+(V260/30)+(AA260*67),2)+5+((G260-125)*0.1)&lt;0,0,ROUND(Y260+(X260*10)+(V260/30)+(AA260*67),2)+5+((G260-125)*0.1))</f>
        <v>92.804999999999993</v>
      </c>
      <c r="AC260">
        <f t="shared" si="612"/>
        <v>46</v>
      </c>
      <c r="AD260" s="11">
        <f t="shared" si="613"/>
        <v>1</v>
      </c>
      <c r="AE260">
        <f t="shared" si="611"/>
        <v>31</v>
      </c>
      <c r="AF260">
        <f>IF(AND(AE260&lt;15,OR(AC260&gt;=30,AA260&gt;0.15,X260&gt;=0.15)),2,VLOOKUP(AE260,Table!P:Q,2,FALSE))</f>
        <v>4</v>
      </c>
      <c r="AG260" s="22">
        <f>IF((AB260*0.98)-(D260*0.8)+((AF260-3)*3)+VLOOKUP(AM260,Table!$A$11:$B$13,2,FALSE)&lt;0,0,(AB260*0.98)-(D260*0.8)+((AF260-3)*3)+VLOOKUP(AM260,Table!$A$11:$B$13,2,FALSE))</f>
        <v>89.268900000000002</v>
      </c>
      <c r="AH260" s="22">
        <f t="shared" si="606"/>
        <v>91</v>
      </c>
      <c r="AI260" s="18">
        <f t="shared" si="599"/>
        <v>0.04</v>
      </c>
      <c r="AJ260" s="18">
        <f t="shared" si="600"/>
        <v>0.06</v>
      </c>
      <c r="AK260" t="str">
        <f t="shared" ref="AK260:AK323" si="621">IF(AND(C260&gt;AI260,AI260&gt;AJ260,C260-AJ260&gt;0.15),"Rising Rates",IF(AND(C260&lt;AI260,AI260&lt;AJ260,AJ260-C260&gt;0.15),"Falling Rates",""))</f>
        <v/>
      </c>
      <c r="AL260">
        <f t="shared" si="596"/>
        <v>31.5</v>
      </c>
      <c r="AM260" s="11" t="str">
        <f t="shared" ref="AM260:AM323" si="622">IF(OR(AND(AL260&lt;=18,G260&lt;=25),AND(AL260&lt;=14,G260&lt;200)),"Cash","Stocks")</f>
        <v>Stocks</v>
      </c>
      <c r="AN260" t="str">
        <f t="shared" si="592"/>
        <v>Buy</v>
      </c>
      <c r="AO260" s="13">
        <f t="shared" si="593"/>
        <v>1.9800000000000002E-2</v>
      </c>
      <c r="AP260" s="13">
        <f t="shared" si="594"/>
        <v>0</v>
      </c>
      <c r="AQ260" s="13">
        <f t="shared" si="595"/>
        <v>1.7999999999999999E-2</v>
      </c>
      <c r="AR260" s="13">
        <f t="shared" ref="AR260:AR323" si="623">IF(AM260="Stocks",AO260,AP260)</f>
        <v>1.9800000000000002E-2</v>
      </c>
      <c r="AS260" s="6">
        <f t="shared" si="615"/>
        <v>412.1999385692551</v>
      </c>
      <c r="AT260" s="6">
        <f t="shared" si="616"/>
        <v>185.97425508967711</v>
      </c>
      <c r="AU260" s="6">
        <f t="shared" si="617"/>
        <v>664.66376355230591</v>
      </c>
      <c r="AV260" s="6">
        <f t="shared" si="618"/>
        <v>966.75726465533512</v>
      </c>
      <c r="AW260" s="58">
        <f t="shared" ref="AW260:AW323" si="624">YEAR(A260)</f>
        <v>2013</v>
      </c>
      <c r="AX260" s="58">
        <f>COUNTIF(AW$3:AW260,AW260)</f>
        <v>17</v>
      </c>
    </row>
    <row r="261" spans="1:50" x14ac:dyDescent="0.25">
      <c r="A261" s="5">
        <v>41518</v>
      </c>
      <c r="B261">
        <v>1632.97</v>
      </c>
      <c r="C261">
        <v>0.03</v>
      </c>
      <c r="D261" s="6">
        <v>17.010000000000002</v>
      </c>
      <c r="E261" s="18">
        <f t="shared" si="601"/>
        <v>15.12</v>
      </c>
      <c r="F261">
        <f t="shared" si="602"/>
        <v>1</v>
      </c>
      <c r="G261" s="18">
        <f>ROUND(INDEX(Valuation!U:U,MATCH(A261,Valuation!A:A,0)),2)</f>
        <v>146.88</v>
      </c>
      <c r="H261">
        <f t="shared" si="609"/>
        <v>1</v>
      </c>
      <c r="I261" s="18">
        <f>INDEX(WeeklyIndicators!Y:Y,MATCH(A261,WeeklyIndicators!A:A,0))</f>
        <v>140.56</v>
      </c>
      <c r="J261">
        <f t="shared" si="598"/>
        <v>1</v>
      </c>
      <c r="K261">
        <f>ROUND(INDEX(Economic!AF:AF,MATCH(EOMONTH($A261,-1),Economic!A:A,0)),2)</f>
        <v>113.17</v>
      </c>
      <c r="L261" s="11">
        <f t="shared" si="607"/>
        <v>1</v>
      </c>
      <c r="M261">
        <f>ROUND(INDEX(Manufacturing!P:P,MATCH(EOMONTH($A261,-1),Manufacturing!A:A,0)),2)</f>
        <v>98.83</v>
      </c>
      <c r="N261">
        <f t="shared" si="603"/>
        <v>1</v>
      </c>
      <c r="O261">
        <f>ROUND(INDEX(Housing!AC:AC,MATCH(EOMONTH($A261,-1),Housing!B:B,0)),2)</f>
        <v>149.61000000000001</v>
      </c>
      <c r="P261">
        <f t="shared" si="604"/>
        <v>3</v>
      </c>
      <c r="Q261">
        <f>ROUND(INDEX(Spending!AJ:AJ,MATCH(EOMONTH($A261,-1),Spending!B:B,0)),2)</f>
        <v>38.92</v>
      </c>
      <c r="R261">
        <f t="shared" si="608"/>
        <v>-1</v>
      </c>
      <c r="S261">
        <f>ROUND(INDEX(Employment!V:V,MATCH(EOMONTH($A261,-1),Employment!A:A,0)),2)</f>
        <v>164.42</v>
      </c>
      <c r="T261" s="11">
        <f t="shared" si="605"/>
        <v>1</v>
      </c>
      <c r="U261">
        <f t="shared" si="597"/>
        <v>28</v>
      </c>
      <c r="V261">
        <f t="shared" ref="V261:V324" si="625">ROUND(((K261*0.745)+(M261*0.745)+(O261*0.36)+(Q261*0.45)+(S261*0.45)+(I261*0.55)+(60)-(30))/5.3,2)</f>
        <v>77.47</v>
      </c>
      <c r="W261" s="13">
        <f t="shared" ref="W261:W324" si="626">ROUND((AVERAGE(V261:V263)-AVERAGE(V262:V264))/AVERAGE(V262:V264),4)</f>
        <v>2.5999999999999999E-3</v>
      </c>
      <c r="X261" s="13">
        <f t="shared" ref="X261:X324" si="627">SUM(W261:W264)</f>
        <v>2.3699999999999999E-2</v>
      </c>
      <c r="Y261">
        <f t="shared" si="619"/>
        <v>82.89</v>
      </c>
      <c r="Z261" s="13">
        <f t="shared" si="614"/>
        <v>2.0000000000000001E-4</v>
      </c>
      <c r="AA261" s="13">
        <f t="shared" si="610"/>
        <v>1.15E-2</v>
      </c>
      <c r="AB261" s="6">
        <f t="shared" si="620"/>
        <v>93.668000000000006</v>
      </c>
      <c r="AC261">
        <f t="shared" si="612"/>
        <v>47</v>
      </c>
      <c r="AD261" s="11">
        <f t="shared" si="613"/>
        <v>1</v>
      </c>
      <c r="AE261">
        <f t="shared" si="611"/>
        <v>31</v>
      </c>
      <c r="AF261">
        <f>IF(AND(AE261&lt;15,OR(AC261&gt;=30,AA261&gt;0.15,X261&gt;=0.15)),2,VLOOKUP(AE261,Table!P:Q,2,FALSE))</f>
        <v>4</v>
      </c>
      <c r="AG261" s="22">
        <f>IF((AB261*0.98)-(D261*0.8)+((AF261-3)*3)+VLOOKUP(AM261,Table!$A$11:$B$13,2,FALSE)&lt;0,0,(AB261*0.98)-(D261*0.8)+((AF261-3)*3)+VLOOKUP(AM261,Table!$A$11:$B$13,2,FALSE))</f>
        <v>89.186639999999997</v>
      </c>
      <c r="AH261" s="22">
        <f t="shared" si="606"/>
        <v>93</v>
      </c>
      <c r="AI261" s="18">
        <f t="shared" si="599"/>
        <v>0.04</v>
      </c>
      <c r="AJ261" s="18">
        <f t="shared" si="600"/>
        <v>0.06</v>
      </c>
      <c r="AK261" t="str">
        <f t="shared" si="621"/>
        <v/>
      </c>
      <c r="AL261">
        <f t="shared" si="596"/>
        <v>31.75</v>
      </c>
      <c r="AM261" s="11" t="str">
        <f t="shared" si="622"/>
        <v>Stocks</v>
      </c>
      <c r="AN261" t="str">
        <f t="shared" ref="AN261:AN324" si="628">IF(AND(V261&gt;AG261,V261&lt;65),"Sell","Buy")</f>
        <v>Buy</v>
      </c>
      <c r="AO261" s="13">
        <f t="shared" ref="AO261:AO324" si="629">ROUND((B260/B261)-1,4)</f>
        <v>1.3599999999999999E-2</v>
      </c>
      <c r="AP261" s="13">
        <f t="shared" ref="AP261:AP324" si="630">ROUND((C261*0.01)/52,4)</f>
        <v>0</v>
      </c>
      <c r="AQ261" s="13">
        <f t="shared" ref="AQ261:AQ324" si="631">ROUND(((AH261*0.01)*AO261)+(((100-AH261)*0.01)*AP261),4)</f>
        <v>1.26E-2</v>
      </c>
      <c r="AR261" s="13">
        <f t="shared" si="623"/>
        <v>1.3599999999999999E-2</v>
      </c>
      <c r="AS261" s="6">
        <f t="shared" si="615"/>
        <v>406.66923694677888</v>
      </c>
      <c r="AT261" s="6">
        <f t="shared" si="616"/>
        <v>185.97425508967711</v>
      </c>
      <c r="AU261" s="6">
        <f t="shared" si="617"/>
        <v>656.39320911742641</v>
      </c>
      <c r="AV261" s="6">
        <f t="shared" si="618"/>
        <v>953.78577807353497</v>
      </c>
      <c r="AW261" s="58">
        <f t="shared" si="624"/>
        <v>2013</v>
      </c>
      <c r="AX261" s="58">
        <f>COUNTIF(AW$3:AW261,AW261)</f>
        <v>18</v>
      </c>
    </row>
    <row r="262" spans="1:50" x14ac:dyDescent="0.25">
      <c r="A262" s="5">
        <v>41511</v>
      </c>
      <c r="B262">
        <v>1663.5</v>
      </c>
      <c r="C262">
        <v>0.04</v>
      </c>
      <c r="D262" s="6">
        <v>13.98</v>
      </c>
      <c r="E262" s="18">
        <f t="shared" si="601"/>
        <v>13.92</v>
      </c>
      <c r="F262">
        <f t="shared" si="602"/>
        <v>2</v>
      </c>
      <c r="G262" s="18">
        <f>ROUND(INDEX(Valuation!U:U,MATCH(A262,Valuation!A:A,0)),2)</f>
        <v>145.99</v>
      </c>
      <c r="H262">
        <f t="shared" si="609"/>
        <v>1</v>
      </c>
      <c r="I262" s="18">
        <f>INDEX(WeeklyIndicators!Y:Y,MATCH(A262,WeeklyIndicators!A:A,0))</f>
        <v>142.16999999999999</v>
      </c>
      <c r="J262">
        <f t="shared" si="598"/>
        <v>1</v>
      </c>
      <c r="K262">
        <f>ROUND(INDEX(Economic!AF:AF,MATCH(EOMONTH($A262,-1),Economic!A:A,0)),2)</f>
        <v>114.02</v>
      </c>
      <c r="L262" s="11">
        <f t="shared" si="607"/>
        <v>1</v>
      </c>
      <c r="M262">
        <f>ROUND(INDEX(Manufacturing!P:P,MATCH(EOMONTH($A262,-1),Manufacturing!A:A,0)),2)</f>
        <v>95.3</v>
      </c>
      <c r="N262">
        <f t="shared" si="603"/>
        <v>1</v>
      </c>
      <c r="O262">
        <f>ROUND(INDEX(Housing!AC:AC,MATCH(EOMONTH($A262,-1),Housing!B:B,0)),2)</f>
        <v>147.06</v>
      </c>
      <c r="P262">
        <f t="shared" si="604"/>
        <v>3</v>
      </c>
      <c r="Q262">
        <f>ROUND(INDEX(Spending!AJ:AJ,MATCH(EOMONTH($A262,-1),Spending!B:B,0)),2)</f>
        <v>34.549999999999997</v>
      </c>
      <c r="R262">
        <f t="shared" si="608"/>
        <v>-1</v>
      </c>
      <c r="S262">
        <f>ROUND(INDEX(Employment!V:V,MATCH(EOMONTH($A262,-1),Employment!A:A,0)),2)</f>
        <v>162.84</v>
      </c>
      <c r="T262" s="11">
        <f t="shared" si="605"/>
        <v>1</v>
      </c>
      <c r="U262">
        <f t="shared" si="597"/>
        <v>29</v>
      </c>
      <c r="V262">
        <f t="shared" si="625"/>
        <v>76.59</v>
      </c>
      <c r="W262" s="13">
        <f t="shared" si="626"/>
        <v>-5.0000000000000001E-4</v>
      </c>
      <c r="X262" s="13">
        <f t="shared" si="627"/>
        <v>3.2500000000000001E-2</v>
      </c>
      <c r="Y262">
        <f t="shared" si="619"/>
        <v>82.32</v>
      </c>
      <c r="Z262" s="13">
        <f t="shared" si="614"/>
        <v>-2.3E-3</v>
      </c>
      <c r="AA262" s="13">
        <f t="shared" si="610"/>
        <v>1.9000000000000003E-2</v>
      </c>
      <c r="AB262" s="6">
        <f t="shared" si="620"/>
        <v>93.569000000000003</v>
      </c>
      <c r="AC262">
        <f t="shared" si="612"/>
        <v>47</v>
      </c>
      <c r="AD262" s="11">
        <f t="shared" si="613"/>
        <v>1</v>
      </c>
      <c r="AE262">
        <f t="shared" si="611"/>
        <v>32</v>
      </c>
      <c r="AF262">
        <f>IF(AND(AE262&lt;15,OR(AC262&gt;=30,AA262&gt;0.15,X262&gt;=0.15)),2,VLOOKUP(AE262,Table!P:Q,2,FALSE))</f>
        <v>5</v>
      </c>
      <c r="AG262" s="22">
        <f>IF((AB262*0.98)-(D262*0.8)+((AF262-3)*3)+VLOOKUP(AM262,Table!$A$11:$B$13,2,FALSE)&lt;0,0,(AB262*0.98)-(D262*0.8)+((AF262-3)*3)+VLOOKUP(AM262,Table!$A$11:$B$13,2,FALSE))</f>
        <v>94.513620000000003</v>
      </c>
      <c r="AH262" s="22">
        <f t="shared" si="606"/>
        <v>95</v>
      </c>
      <c r="AI262" s="18">
        <f t="shared" si="599"/>
        <v>0.04</v>
      </c>
      <c r="AJ262" s="18">
        <f t="shared" si="600"/>
        <v>0.06</v>
      </c>
      <c r="AK262" t="str">
        <f t="shared" si="621"/>
        <v/>
      </c>
      <c r="AL262">
        <f t="shared" si="596"/>
        <v>32</v>
      </c>
      <c r="AM262" s="11" t="str">
        <f t="shared" si="622"/>
        <v>Stocks</v>
      </c>
      <c r="AN262" t="str">
        <f t="shared" si="628"/>
        <v>Buy</v>
      </c>
      <c r="AO262" s="13">
        <f t="shared" si="629"/>
        <v>-1.84E-2</v>
      </c>
      <c r="AP262" s="13">
        <f t="shared" si="630"/>
        <v>0</v>
      </c>
      <c r="AQ262" s="13">
        <f t="shared" si="631"/>
        <v>-1.7500000000000002E-2</v>
      </c>
      <c r="AR262" s="13">
        <f t="shared" si="623"/>
        <v>-1.84E-2</v>
      </c>
      <c r="AS262" s="6">
        <f t="shared" si="615"/>
        <v>414.29221367846259</v>
      </c>
      <c r="AT262" s="6">
        <f t="shared" si="616"/>
        <v>185.97425508967711</v>
      </c>
      <c r="AU262" s="6">
        <f t="shared" si="617"/>
        <v>668.08469121366556</v>
      </c>
      <c r="AV262" s="6">
        <f t="shared" si="618"/>
        <v>971.66440309039831</v>
      </c>
      <c r="AW262" s="58">
        <f t="shared" si="624"/>
        <v>2013</v>
      </c>
      <c r="AX262" s="58">
        <f>COUNTIF(AW$3:AW262,AW262)</f>
        <v>19</v>
      </c>
    </row>
    <row r="263" spans="1:50" x14ac:dyDescent="0.25">
      <c r="A263" s="5">
        <v>41504</v>
      </c>
      <c r="B263">
        <v>1655.83</v>
      </c>
      <c r="C263">
        <v>0.05</v>
      </c>
      <c r="D263" s="6">
        <v>14.37</v>
      </c>
      <c r="E263" s="18">
        <f t="shared" si="601"/>
        <v>13.25</v>
      </c>
      <c r="F263">
        <f t="shared" si="602"/>
        <v>2</v>
      </c>
      <c r="G263" s="18">
        <f>ROUND(INDEX(Valuation!U:U,MATCH(A263,Valuation!A:A,0)),2)</f>
        <v>143.47999999999999</v>
      </c>
      <c r="H263">
        <f t="shared" si="609"/>
        <v>1</v>
      </c>
      <c r="I263" s="18">
        <f>INDEX(WeeklyIndicators!Y:Y,MATCH(A263,WeeklyIndicators!A:A,0))</f>
        <v>143.72999999999999</v>
      </c>
      <c r="J263">
        <f t="shared" si="598"/>
        <v>1</v>
      </c>
      <c r="K263">
        <f>ROUND(INDEX(Economic!AF:AF,MATCH(EOMONTH($A263,-1),Economic!A:A,0)),2)</f>
        <v>114.02</v>
      </c>
      <c r="L263" s="11">
        <f t="shared" si="607"/>
        <v>1</v>
      </c>
      <c r="M263">
        <f>ROUND(INDEX(Manufacturing!P:P,MATCH(EOMONTH($A263,-1),Manufacturing!A:A,0)),2)</f>
        <v>95.3</v>
      </c>
      <c r="N263">
        <f t="shared" si="603"/>
        <v>1</v>
      </c>
      <c r="O263">
        <f>ROUND(INDEX(Housing!AC:AC,MATCH(EOMONTH($A263,-1),Housing!B:B,0)),2)</f>
        <v>147.06</v>
      </c>
      <c r="P263">
        <f t="shared" si="604"/>
        <v>3</v>
      </c>
      <c r="Q263">
        <f>ROUND(INDEX(Spending!AJ:AJ,MATCH(EOMONTH($A263,-1),Spending!B:B,0)),2)</f>
        <v>34.549999999999997</v>
      </c>
      <c r="R263">
        <f t="shared" si="608"/>
        <v>-1</v>
      </c>
      <c r="S263">
        <f>ROUND(INDEX(Employment!V:V,MATCH(EOMONTH($A263,-1),Employment!A:A,0)),2)</f>
        <v>162.84</v>
      </c>
      <c r="T263" s="11">
        <f t="shared" si="605"/>
        <v>1</v>
      </c>
      <c r="U263">
        <f t="shared" si="597"/>
        <v>29</v>
      </c>
      <c r="V263">
        <f t="shared" si="625"/>
        <v>76.75</v>
      </c>
      <c r="W263" s="13">
        <f t="shared" si="626"/>
        <v>9.7000000000000003E-3</v>
      </c>
      <c r="X263" s="13">
        <f t="shared" si="627"/>
        <v>3.4700000000000002E-2</v>
      </c>
      <c r="Y263">
        <f t="shared" si="619"/>
        <v>82.43</v>
      </c>
      <c r="Z263" s="13">
        <f t="shared" si="614"/>
        <v>5.5999999999999999E-3</v>
      </c>
      <c r="AA263" s="13">
        <f t="shared" si="610"/>
        <v>2.2499999999999999E-2</v>
      </c>
      <c r="AB263" s="6">
        <f t="shared" si="620"/>
        <v>93.688000000000002</v>
      </c>
      <c r="AC263">
        <f t="shared" si="612"/>
        <v>47</v>
      </c>
      <c r="AD263" s="11">
        <f t="shared" si="613"/>
        <v>1</v>
      </c>
      <c r="AE263">
        <f t="shared" si="611"/>
        <v>32</v>
      </c>
      <c r="AF263">
        <f>IF(AND(AE263&lt;15,OR(AC263&gt;=30,AA263&gt;0.15,X263&gt;=0.15)),2,VLOOKUP(AE263,Table!P:Q,2,FALSE))</f>
        <v>5</v>
      </c>
      <c r="AG263" s="22">
        <f>IF((AB263*0.98)-(D263*0.8)+((AF263-3)*3)+VLOOKUP(AM263,Table!$A$11:$B$13,2,FALSE)&lt;0,0,(AB263*0.98)-(D263*0.8)+((AF263-3)*3)+VLOOKUP(AM263,Table!$A$11:$B$13,2,FALSE))</f>
        <v>94.318240000000003</v>
      </c>
      <c r="AH263" s="22">
        <f t="shared" si="606"/>
        <v>95</v>
      </c>
      <c r="AI263" s="18">
        <f t="shared" si="599"/>
        <v>0.04</v>
      </c>
      <c r="AJ263" s="18">
        <f t="shared" si="600"/>
        <v>7.0000000000000007E-2</v>
      </c>
      <c r="AK263" t="str">
        <f t="shared" si="621"/>
        <v/>
      </c>
      <c r="AL263">
        <f t="shared" si="596"/>
        <v>31.75</v>
      </c>
      <c r="AM263" s="11" t="str">
        <f t="shared" si="622"/>
        <v>Stocks</v>
      </c>
      <c r="AN263" t="str">
        <f t="shared" si="628"/>
        <v>Buy</v>
      </c>
      <c r="AO263" s="13">
        <f t="shared" si="629"/>
        <v>4.5999999999999999E-3</v>
      </c>
      <c r="AP263" s="13">
        <f t="shared" si="630"/>
        <v>0</v>
      </c>
      <c r="AQ263" s="13">
        <f t="shared" si="631"/>
        <v>4.4000000000000003E-3</v>
      </c>
      <c r="AR263" s="13">
        <f t="shared" si="623"/>
        <v>4.5999999999999999E-3</v>
      </c>
      <c r="AS263" s="6">
        <f t="shared" si="615"/>
        <v>412.39519577788434</v>
      </c>
      <c r="AT263" s="6">
        <f t="shared" si="616"/>
        <v>185.97425508967711</v>
      </c>
      <c r="AU263" s="6">
        <f t="shared" si="617"/>
        <v>665.15799603112862</v>
      </c>
      <c r="AV263" s="6">
        <f t="shared" si="618"/>
        <v>967.2152131100919</v>
      </c>
      <c r="AW263" s="58">
        <f t="shared" si="624"/>
        <v>2013</v>
      </c>
      <c r="AX263" s="58">
        <f>COUNTIF(AW$3:AW263,AW263)</f>
        <v>20</v>
      </c>
    </row>
    <row r="264" spans="1:50" x14ac:dyDescent="0.25">
      <c r="A264" s="5">
        <v>41497</v>
      </c>
      <c r="B264">
        <v>1691.42</v>
      </c>
      <c r="C264">
        <v>0.05</v>
      </c>
      <c r="D264" s="6">
        <v>13.41</v>
      </c>
      <c r="E264" s="18">
        <f t="shared" si="601"/>
        <v>12.7</v>
      </c>
      <c r="F264">
        <f t="shared" si="602"/>
        <v>2</v>
      </c>
      <c r="G264" s="18">
        <f>ROUND(INDEX(Valuation!U:U,MATCH(A264,Valuation!A:A,0)),2)</f>
        <v>144.47</v>
      </c>
      <c r="H264">
        <f t="shared" si="609"/>
        <v>1</v>
      </c>
      <c r="I264" s="18">
        <f>INDEX(WeeklyIndicators!Y:Y,MATCH(A264,WeeklyIndicators!A:A,0))</f>
        <v>144.83000000000001</v>
      </c>
      <c r="J264">
        <f t="shared" si="598"/>
        <v>1</v>
      </c>
      <c r="K264">
        <f>ROUND(INDEX(Economic!AF:AF,MATCH(EOMONTH($A264,-1),Economic!A:A,0)),2)</f>
        <v>114.02</v>
      </c>
      <c r="L264" s="11">
        <f t="shared" si="607"/>
        <v>1</v>
      </c>
      <c r="M264">
        <f>ROUND(INDEX(Manufacturing!P:P,MATCH(EOMONTH($A264,-1),Manufacturing!A:A,0)),2)</f>
        <v>95.3</v>
      </c>
      <c r="N264">
        <f t="shared" si="603"/>
        <v>1</v>
      </c>
      <c r="O264">
        <f>ROUND(INDEX(Housing!AC:AC,MATCH(EOMONTH($A264,-1),Housing!B:B,0)),2)</f>
        <v>147.06</v>
      </c>
      <c r="P264">
        <f t="shared" si="604"/>
        <v>3</v>
      </c>
      <c r="Q264">
        <f>ROUND(INDEX(Spending!AJ:AJ,MATCH(EOMONTH($A264,-1),Spending!B:B,0)),2)</f>
        <v>34.549999999999997</v>
      </c>
      <c r="R264">
        <f t="shared" si="608"/>
        <v>-1</v>
      </c>
      <c r="S264">
        <f>ROUND(INDEX(Employment!V:V,MATCH(EOMONTH($A264,-1),Employment!A:A,0)),2)</f>
        <v>162.84</v>
      </c>
      <c r="T264" s="11">
        <f t="shared" si="605"/>
        <v>1</v>
      </c>
      <c r="U264">
        <f t="shared" si="597"/>
        <v>29</v>
      </c>
      <c r="V264">
        <f t="shared" si="625"/>
        <v>76.86</v>
      </c>
      <c r="W264" s="13">
        <f t="shared" si="626"/>
        <v>1.1900000000000001E-2</v>
      </c>
      <c r="X264" s="13">
        <f t="shared" si="627"/>
        <v>2.4200000000000003E-2</v>
      </c>
      <c r="Y264">
        <f t="shared" si="619"/>
        <v>82.85</v>
      </c>
      <c r="Z264" s="13">
        <f t="shared" si="614"/>
        <v>8.0000000000000002E-3</v>
      </c>
      <c r="AA264" s="13">
        <f t="shared" si="610"/>
        <v>1.6999999999999998E-2</v>
      </c>
      <c r="AB264" s="6">
        <f t="shared" si="620"/>
        <v>93.737000000000009</v>
      </c>
      <c r="AC264">
        <f t="shared" si="612"/>
        <v>47</v>
      </c>
      <c r="AD264" s="11">
        <f t="shared" si="613"/>
        <v>1</v>
      </c>
      <c r="AE264">
        <f t="shared" si="611"/>
        <v>32</v>
      </c>
      <c r="AF264">
        <f>IF(AND(AE264&lt;15,OR(AC264&gt;=30,AA264&gt;0.15,X264&gt;=0.15)),2,VLOOKUP(AE264,Table!P:Q,2,FALSE))</f>
        <v>5</v>
      </c>
      <c r="AG264" s="22">
        <f>IF((AB264*0.98)-(D264*0.8)+((AF264-3)*3)+VLOOKUP(AM264,Table!$A$11:$B$13,2,FALSE)&lt;0,0,(AB264*0.98)-(D264*0.8)+((AF264-3)*3)+VLOOKUP(AM264,Table!$A$11:$B$13,2,FALSE))</f>
        <v>95.134260000000012</v>
      </c>
      <c r="AH264" s="22">
        <f t="shared" si="606"/>
        <v>94</v>
      </c>
      <c r="AI264" s="18">
        <f t="shared" si="599"/>
        <v>0.04</v>
      </c>
      <c r="AJ264" s="18">
        <f t="shared" si="600"/>
        <v>7.0000000000000007E-2</v>
      </c>
      <c r="AK264" t="str">
        <f t="shared" si="621"/>
        <v/>
      </c>
      <c r="AL264">
        <f t="shared" si="596"/>
        <v>31.5</v>
      </c>
      <c r="AM264" s="11" t="str">
        <f t="shared" si="622"/>
        <v>Stocks</v>
      </c>
      <c r="AN264" t="str">
        <f t="shared" si="628"/>
        <v>Buy</v>
      </c>
      <c r="AO264" s="13">
        <f t="shared" si="629"/>
        <v>-2.1000000000000001E-2</v>
      </c>
      <c r="AP264" s="13">
        <f t="shared" si="630"/>
        <v>0</v>
      </c>
      <c r="AQ264" s="13">
        <f t="shared" si="631"/>
        <v>-1.9699999999999999E-2</v>
      </c>
      <c r="AR264" s="13">
        <f t="shared" si="623"/>
        <v>-2.1000000000000001E-2</v>
      </c>
      <c r="AS264" s="6">
        <f t="shared" si="615"/>
        <v>421.24126228588801</v>
      </c>
      <c r="AT264" s="6">
        <f t="shared" si="616"/>
        <v>185.97425508967711</v>
      </c>
      <c r="AU264" s="6">
        <f t="shared" si="617"/>
        <v>678.52493729585706</v>
      </c>
      <c r="AV264" s="6">
        <f t="shared" si="618"/>
        <v>987.96242401439417</v>
      </c>
      <c r="AW264" s="58">
        <f t="shared" si="624"/>
        <v>2013</v>
      </c>
      <c r="AX264" s="58">
        <f>COUNTIF(AW$3:AW264,AW264)</f>
        <v>21</v>
      </c>
    </row>
    <row r="265" spans="1:50" x14ac:dyDescent="0.25">
      <c r="A265" s="5">
        <v>41490</v>
      </c>
      <c r="B265">
        <v>1709.67</v>
      </c>
      <c r="C265">
        <v>0.04</v>
      </c>
      <c r="D265" s="6">
        <v>11.98</v>
      </c>
      <c r="E265" s="18">
        <f t="shared" si="601"/>
        <v>12.41</v>
      </c>
      <c r="F265">
        <f t="shared" si="602"/>
        <v>2</v>
      </c>
      <c r="G265" s="18">
        <f>ROUND(INDEX(Valuation!U:U,MATCH(A265,Valuation!A:A,0)),2)</f>
        <v>145.28</v>
      </c>
      <c r="H265">
        <f t="shared" si="609"/>
        <v>1</v>
      </c>
      <c r="I265" s="18">
        <f>INDEX(WeeklyIndicators!Y:Y,MATCH(A265,WeeklyIndicators!A:A,0))</f>
        <v>143.32</v>
      </c>
      <c r="J265">
        <f t="shared" si="598"/>
        <v>1</v>
      </c>
      <c r="K265">
        <f>ROUND(INDEX(Economic!AF:AF,MATCH(EOMONTH($A265,-1),Economic!A:A,0)),2)</f>
        <v>114.02</v>
      </c>
      <c r="L265" s="11">
        <f t="shared" si="607"/>
        <v>1</v>
      </c>
      <c r="M265">
        <f>ROUND(INDEX(Manufacturing!P:P,MATCH(EOMONTH($A265,-1),Manufacturing!A:A,0)),2)</f>
        <v>95.3</v>
      </c>
      <c r="N265">
        <f t="shared" si="603"/>
        <v>1</v>
      </c>
      <c r="O265">
        <f>ROUND(INDEX(Housing!AC:AC,MATCH(EOMONTH($A265,-1),Housing!B:B,0)),2)</f>
        <v>147.06</v>
      </c>
      <c r="P265">
        <f t="shared" si="604"/>
        <v>3</v>
      </c>
      <c r="Q265">
        <f>ROUND(INDEX(Spending!AJ:AJ,MATCH(EOMONTH($A265,-1),Spending!B:B,0)),2)</f>
        <v>34.549999999999997</v>
      </c>
      <c r="R265">
        <f t="shared" si="608"/>
        <v>-1</v>
      </c>
      <c r="S265">
        <f>ROUND(INDEX(Employment!V:V,MATCH(EOMONTH($A265,-1),Employment!A:A,0)),2)</f>
        <v>162.84</v>
      </c>
      <c r="T265" s="11">
        <f t="shared" si="605"/>
        <v>1</v>
      </c>
      <c r="U265">
        <f t="shared" si="597"/>
        <v>29</v>
      </c>
      <c r="V265">
        <f t="shared" si="625"/>
        <v>76.709999999999994</v>
      </c>
      <c r="W265" s="13">
        <f t="shared" si="626"/>
        <v>1.14E-2</v>
      </c>
      <c r="X265" s="13">
        <f t="shared" si="627"/>
        <v>1.2500000000000001E-2</v>
      </c>
      <c r="Y265">
        <f t="shared" si="619"/>
        <v>82.89</v>
      </c>
      <c r="Z265" s="13">
        <f t="shared" si="614"/>
        <v>7.7000000000000002E-3</v>
      </c>
      <c r="AA265" s="13">
        <f t="shared" si="610"/>
        <v>9.2999999999999992E-3</v>
      </c>
      <c r="AB265" s="6">
        <f t="shared" si="620"/>
        <v>93.228000000000009</v>
      </c>
      <c r="AC265">
        <f t="shared" si="612"/>
        <v>47</v>
      </c>
      <c r="AD265" s="11">
        <f t="shared" si="613"/>
        <v>1</v>
      </c>
      <c r="AE265">
        <f t="shared" si="611"/>
        <v>32</v>
      </c>
      <c r="AF265">
        <f>IF(AND(AE265&lt;15,OR(AC265&gt;=30,AA265&gt;0.15,X265&gt;=0.15)),2,VLOOKUP(AE265,Table!P:Q,2,FALSE))</f>
        <v>5</v>
      </c>
      <c r="AG265" s="22">
        <f>IF((AB265*0.98)-(D265*0.8)+((AF265-3)*3)+VLOOKUP(AM265,Table!$A$11:$B$13,2,FALSE)&lt;0,0,(AB265*0.98)-(D265*0.8)+((AF265-3)*3)+VLOOKUP(AM265,Table!$A$11:$B$13,2,FALSE))</f>
        <v>95.779440000000008</v>
      </c>
      <c r="AH265" s="22">
        <f t="shared" si="606"/>
        <v>92</v>
      </c>
      <c r="AI265" s="18">
        <f t="shared" si="599"/>
        <v>0.04</v>
      </c>
      <c r="AJ265" s="18">
        <f t="shared" si="600"/>
        <v>7.0000000000000007E-2</v>
      </c>
      <c r="AK265" t="str">
        <f t="shared" si="621"/>
        <v/>
      </c>
      <c r="AL265">
        <f t="shared" ref="AL265:AL328" si="632">ROUND(AVERAGE(AE265:AE268),2)</f>
        <v>31</v>
      </c>
      <c r="AM265" s="11" t="str">
        <f t="shared" si="622"/>
        <v>Stocks</v>
      </c>
      <c r="AN265" t="str">
        <f t="shared" si="628"/>
        <v>Buy</v>
      </c>
      <c r="AO265" s="13">
        <f t="shared" si="629"/>
        <v>-1.0699999999999999E-2</v>
      </c>
      <c r="AP265" s="13">
        <f t="shared" si="630"/>
        <v>0</v>
      </c>
      <c r="AQ265" s="13">
        <f t="shared" si="631"/>
        <v>-9.7999999999999997E-3</v>
      </c>
      <c r="AR265" s="13">
        <f t="shared" si="623"/>
        <v>-1.0699999999999999E-2</v>
      </c>
      <c r="AS265" s="6">
        <f t="shared" si="615"/>
        <v>425.79729332445976</v>
      </c>
      <c r="AT265" s="6">
        <f t="shared" si="616"/>
        <v>185.97425508967711</v>
      </c>
      <c r="AU265" s="6">
        <f t="shared" si="617"/>
        <v>685.24029215901544</v>
      </c>
      <c r="AV265" s="6">
        <f t="shared" si="618"/>
        <v>998.64795715596301</v>
      </c>
      <c r="AW265" s="58">
        <f t="shared" si="624"/>
        <v>2013</v>
      </c>
      <c r="AX265" s="58">
        <f>COUNTIF(AW$3:AW265,AW265)</f>
        <v>22</v>
      </c>
    </row>
    <row r="266" spans="1:50" x14ac:dyDescent="0.25">
      <c r="A266" s="5">
        <v>41483</v>
      </c>
      <c r="B266">
        <v>1691.65</v>
      </c>
      <c r="C266">
        <v>0.03</v>
      </c>
      <c r="D266" s="6">
        <v>12.72</v>
      </c>
      <c r="E266" s="18">
        <f t="shared" si="601"/>
        <v>13.03</v>
      </c>
      <c r="F266">
        <f t="shared" si="602"/>
        <v>2</v>
      </c>
      <c r="G266" s="18">
        <f>ROUND(INDEX(Valuation!U:U,MATCH(A266,Valuation!A:A,0)),2)</f>
        <v>150.4</v>
      </c>
      <c r="H266">
        <f t="shared" si="609"/>
        <v>1</v>
      </c>
      <c r="I266" s="18">
        <f>INDEX(WeeklyIndicators!Y:Y,MATCH(A266,WeeklyIndicators!A:A,0))</f>
        <v>138.84</v>
      </c>
      <c r="J266">
        <f t="shared" si="598"/>
        <v>1</v>
      </c>
      <c r="K266">
        <f>ROUND(INDEX(Economic!AF:AF,MATCH(EOMONTH($A266,-1),Economic!A:A,0)),2)</f>
        <v>106.44</v>
      </c>
      <c r="L266" s="11">
        <f t="shared" si="607"/>
        <v>0</v>
      </c>
      <c r="M266">
        <f>ROUND(INDEX(Manufacturing!P:P,MATCH(EOMONTH($A266,-1),Manufacturing!A:A,0)),2)</f>
        <v>91.61</v>
      </c>
      <c r="N266">
        <f t="shared" si="603"/>
        <v>1</v>
      </c>
      <c r="O266">
        <f>ROUND(INDEX(Housing!AC:AC,MATCH(EOMONTH($A266,-1),Housing!B:B,0)),2)</f>
        <v>145.47999999999999</v>
      </c>
      <c r="P266">
        <f t="shared" si="604"/>
        <v>3</v>
      </c>
      <c r="Q266">
        <f>ROUND(INDEX(Spending!AJ:AJ,MATCH(EOMONTH($A266,-1),Spending!B:B,0)),2)</f>
        <v>34.96</v>
      </c>
      <c r="R266">
        <f t="shared" si="608"/>
        <v>-1</v>
      </c>
      <c r="S266">
        <f>ROUND(INDEX(Employment!V:V,MATCH(EOMONTH($A266,-1),Employment!A:A,0)),2)</f>
        <v>162.21</v>
      </c>
      <c r="T266" s="11">
        <f t="shared" si="605"/>
        <v>1</v>
      </c>
      <c r="U266">
        <f t="shared" ref="U266:U329" si="633">F266+H266+J266+L266+N266+P266+R266+T266+20</f>
        <v>28</v>
      </c>
      <c r="V266">
        <f t="shared" si="625"/>
        <v>74.53</v>
      </c>
      <c r="W266" s="13">
        <f t="shared" si="626"/>
        <v>1.6999999999999999E-3</v>
      </c>
      <c r="X266" s="13">
        <f t="shared" si="627"/>
        <v>1.9999999999999987E-4</v>
      </c>
      <c r="Y266">
        <f t="shared" si="619"/>
        <v>81.06</v>
      </c>
      <c r="Z266" s="13">
        <f t="shared" si="614"/>
        <v>1.1999999999999999E-3</v>
      </c>
      <c r="AA266" s="13">
        <f t="shared" si="610"/>
        <v>-2.3E-3</v>
      </c>
      <c r="AB266" s="6">
        <f t="shared" si="620"/>
        <v>90.93</v>
      </c>
      <c r="AC266">
        <f t="shared" si="612"/>
        <v>45</v>
      </c>
      <c r="AD266" s="11">
        <f t="shared" si="613"/>
        <v>1</v>
      </c>
      <c r="AE266">
        <f t="shared" si="611"/>
        <v>31</v>
      </c>
      <c r="AF266">
        <f>IF(AND(AE266&lt;15,OR(AC266&gt;=30,AA266&gt;0.15,X266&gt;=0.15)),2,VLOOKUP(AE266,Table!P:Q,2,FALSE))</f>
        <v>4</v>
      </c>
      <c r="AG266" s="22">
        <f>IF((AB266*0.98)-(D266*0.8)+((AF266-3)*3)+VLOOKUP(AM266,Table!$A$11:$B$13,2,FALSE)&lt;0,0,(AB266*0.98)-(D266*0.8)+((AF266-3)*3)+VLOOKUP(AM266,Table!$A$11:$B$13,2,FALSE))</f>
        <v>89.935400000000001</v>
      </c>
      <c r="AH266" s="22">
        <f t="shared" si="606"/>
        <v>89</v>
      </c>
      <c r="AI266" s="18">
        <f t="shared" si="599"/>
        <v>0.04</v>
      </c>
      <c r="AJ266" s="18">
        <f t="shared" si="600"/>
        <v>7.0000000000000007E-2</v>
      </c>
      <c r="AK266" t="str">
        <f t="shared" si="621"/>
        <v/>
      </c>
      <c r="AL266">
        <f t="shared" si="632"/>
        <v>30.5</v>
      </c>
      <c r="AM266" s="11" t="str">
        <f t="shared" si="622"/>
        <v>Stocks</v>
      </c>
      <c r="AN266" t="str">
        <f t="shared" si="628"/>
        <v>Buy</v>
      </c>
      <c r="AO266" s="13">
        <f t="shared" si="629"/>
        <v>1.0699999999999999E-2</v>
      </c>
      <c r="AP266" s="13">
        <f t="shared" si="630"/>
        <v>0</v>
      </c>
      <c r="AQ266" s="13">
        <f t="shared" si="631"/>
        <v>9.4999999999999998E-3</v>
      </c>
      <c r="AR266" s="13">
        <f t="shared" si="623"/>
        <v>1.0699999999999999E-2</v>
      </c>
      <c r="AS266" s="6">
        <f t="shared" si="615"/>
        <v>421.28949572025306</v>
      </c>
      <c r="AT266" s="6">
        <f t="shared" si="616"/>
        <v>185.97425508967711</v>
      </c>
      <c r="AU266" s="6">
        <f t="shared" si="617"/>
        <v>678.79177034077804</v>
      </c>
      <c r="AV266" s="6">
        <f t="shared" si="618"/>
        <v>988.07554878397457</v>
      </c>
      <c r="AW266" s="58">
        <f t="shared" si="624"/>
        <v>2013</v>
      </c>
      <c r="AX266" s="58">
        <f>COUNTIF(AW$3:AW266,AW266)</f>
        <v>23</v>
      </c>
    </row>
    <row r="267" spans="1:50" x14ac:dyDescent="0.25">
      <c r="A267" s="5">
        <v>41476</v>
      </c>
      <c r="B267">
        <v>1692.09</v>
      </c>
      <c r="C267">
        <v>0.03</v>
      </c>
      <c r="D267" s="6">
        <v>12.54</v>
      </c>
      <c r="E267" s="18">
        <f t="shared" si="601"/>
        <v>13.76</v>
      </c>
      <c r="F267">
        <f t="shared" si="602"/>
        <v>2</v>
      </c>
      <c r="G267" s="18">
        <f>ROUND(INDEX(Valuation!U:U,MATCH(A267,Valuation!A:A,0)),2)</f>
        <v>154.36000000000001</v>
      </c>
      <c r="H267">
        <f t="shared" si="609"/>
        <v>1</v>
      </c>
      <c r="I267" s="18">
        <f>INDEX(WeeklyIndicators!Y:Y,MATCH(A267,WeeklyIndicators!A:A,0))</f>
        <v>135.33000000000001</v>
      </c>
      <c r="J267">
        <f t="shared" si="598"/>
        <v>1</v>
      </c>
      <c r="K267">
        <f>ROUND(INDEX(Economic!AF:AF,MATCH(EOMONTH($A267,-1),Economic!A:A,0)),2)</f>
        <v>106.44</v>
      </c>
      <c r="L267" s="11">
        <f t="shared" si="607"/>
        <v>0</v>
      </c>
      <c r="M267">
        <f>ROUND(INDEX(Manufacturing!P:P,MATCH(EOMONTH($A267,-1),Manufacturing!A:A,0)),2)</f>
        <v>91.61</v>
      </c>
      <c r="N267">
        <f t="shared" si="603"/>
        <v>1</v>
      </c>
      <c r="O267">
        <f>ROUND(INDEX(Housing!AC:AC,MATCH(EOMONTH($A267,-1),Housing!B:B,0)),2)</f>
        <v>145.47999999999999</v>
      </c>
      <c r="P267">
        <f t="shared" si="604"/>
        <v>3</v>
      </c>
      <c r="Q267">
        <f>ROUND(INDEX(Spending!AJ:AJ,MATCH(EOMONTH($A267,-1),Spending!B:B,0)),2)</f>
        <v>34.96</v>
      </c>
      <c r="R267">
        <f t="shared" si="608"/>
        <v>-1</v>
      </c>
      <c r="S267">
        <f>ROUND(INDEX(Employment!V:V,MATCH(EOMONTH($A267,-1),Employment!A:A,0)),2)</f>
        <v>162.21</v>
      </c>
      <c r="T267" s="11">
        <f t="shared" si="605"/>
        <v>1</v>
      </c>
      <c r="U267">
        <f t="shared" si="633"/>
        <v>28</v>
      </c>
      <c r="V267">
        <f t="shared" si="625"/>
        <v>74.17</v>
      </c>
      <c r="W267" s="13">
        <f t="shared" si="626"/>
        <v>-8.0000000000000004E-4</v>
      </c>
      <c r="X267" s="13">
        <f t="shared" si="627"/>
        <v>-5.4999999999999997E-3</v>
      </c>
      <c r="Y267">
        <f t="shared" si="619"/>
        <v>80.89</v>
      </c>
      <c r="Z267" s="13">
        <f t="shared" si="614"/>
        <v>1E-4</v>
      </c>
      <c r="AA267" s="13">
        <f t="shared" si="610"/>
        <v>-1.29E-2</v>
      </c>
      <c r="AB267" s="6">
        <f t="shared" si="620"/>
        <v>90.376000000000005</v>
      </c>
      <c r="AC267">
        <f t="shared" si="612"/>
        <v>45</v>
      </c>
      <c r="AD267" s="11">
        <f t="shared" si="613"/>
        <v>1</v>
      </c>
      <c r="AE267">
        <f t="shared" si="611"/>
        <v>31</v>
      </c>
      <c r="AF267">
        <f>IF(AND(AE267&lt;15,OR(AC267&gt;=30,AA267&gt;0.15,X267&gt;=0.15)),2,VLOOKUP(AE267,Table!P:Q,2,FALSE))</f>
        <v>4</v>
      </c>
      <c r="AG267" s="22">
        <f>IF((AB267*0.98)-(D267*0.8)+((AF267-3)*3)+VLOOKUP(AM267,Table!$A$11:$B$13,2,FALSE)&lt;0,0,(AB267*0.98)-(D267*0.8)+((AF267-3)*3)+VLOOKUP(AM267,Table!$A$11:$B$13,2,FALSE))</f>
        <v>89.536480000000012</v>
      </c>
      <c r="AH267" s="22">
        <f t="shared" si="606"/>
        <v>88</v>
      </c>
      <c r="AI267" s="18">
        <f t="shared" si="599"/>
        <v>0.05</v>
      </c>
      <c r="AJ267" s="18">
        <f t="shared" si="600"/>
        <v>7.0000000000000007E-2</v>
      </c>
      <c r="AK267" t="str">
        <f t="shared" si="621"/>
        <v/>
      </c>
      <c r="AL267">
        <f t="shared" si="632"/>
        <v>30</v>
      </c>
      <c r="AM267" s="11" t="str">
        <f t="shared" si="622"/>
        <v>Stocks</v>
      </c>
      <c r="AN267" t="str">
        <f t="shared" si="628"/>
        <v>Buy</v>
      </c>
      <c r="AO267" s="13">
        <f t="shared" si="629"/>
        <v>-2.9999999999999997E-4</v>
      </c>
      <c r="AP267" s="13">
        <f t="shared" si="630"/>
        <v>0</v>
      </c>
      <c r="AQ267" s="13">
        <f t="shared" si="631"/>
        <v>-2.9999999999999997E-4</v>
      </c>
      <c r="AR267" s="13">
        <f t="shared" si="623"/>
        <v>-2.9999999999999997E-4</v>
      </c>
      <c r="AS267" s="6">
        <f t="shared" si="615"/>
        <v>421.41592049640195</v>
      </c>
      <c r="AT267" s="6">
        <f t="shared" si="616"/>
        <v>185.97425508967711</v>
      </c>
      <c r="AU267" s="6">
        <f t="shared" si="617"/>
        <v>678.99546898147241</v>
      </c>
      <c r="AV267" s="6">
        <f t="shared" si="618"/>
        <v>988.37206040209514</v>
      </c>
      <c r="AW267" s="58">
        <f t="shared" si="624"/>
        <v>2013</v>
      </c>
      <c r="AX267" s="58">
        <f>COUNTIF(AW$3:AW267,AW267)</f>
        <v>24</v>
      </c>
    </row>
    <row r="268" spans="1:50" x14ac:dyDescent="0.25">
      <c r="A268" s="5">
        <v>41469</v>
      </c>
      <c r="B268">
        <v>1680.19</v>
      </c>
      <c r="C268">
        <v>0.04</v>
      </c>
      <c r="D268" s="6">
        <v>13.84</v>
      </c>
      <c r="E268" s="18">
        <f t="shared" si="601"/>
        <v>15.2</v>
      </c>
      <c r="F268">
        <f t="shared" si="602"/>
        <v>1</v>
      </c>
      <c r="G268" s="18">
        <f>ROUND(INDEX(Valuation!U:U,MATCH(A268,Valuation!A:A,0)),2)</f>
        <v>159.87</v>
      </c>
      <c r="H268">
        <f t="shared" si="609"/>
        <v>1</v>
      </c>
      <c r="I268" s="18">
        <f>INDEX(WeeklyIndicators!Y:Y,MATCH(A268,WeeklyIndicators!A:A,0))</f>
        <v>135.49</v>
      </c>
      <c r="J268">
        <f t="shared" si="598"/>
        <v>1</v>
      </c>
      <c r="K268">
        <f>ROUND(INDEX(Economic!AF:AF,MATCH(EOMONTH($A268,-1),Economic!A:A,0)),2)</f>
        <v>106.44</v>
      </c>
      <c r="L268" s="11">
        <f t="shared" si="607"/>
        <v>0</v>
      </c>
      <c r="M268">
        <f>ROUND(INDEX(Manufacturing!P:P,MATCH(EOMONTH($A268,-1),Manufacturing!A:A,0)),2)</f>
        <v>91.61</v>
      </c>
      <c r="N268">
        <f t="shared" si="603"/>
        <v>1</v>
      </c>
      <c r="O268">
        <f>ROUND(INDEX(Housing!AC:AC,MATCH(EOMONTH($A268,-1),Housing!B:B,0)),2)</f>
        <v>145.47999999999999</v>
      </c>
      <c r="P268">
        <f t="shared" si="604"/>
        <v>3</v>
      </c>
      <c r="Q268">
        <f>ROUND(INDEX(Spending!AJ:AJ,MATCH(EOMONTH($A268,-1),Spending!B:B,0)),2)</f>
        <v>34.96</v>
      </c>
      <c r="R268">
        <f t="shared" si="608"/>
        <v>-1</v>
      </c>
      <c r="S268">
        <f>ROUND(INDEX(Employment!V:V,MATCH(EOMONTH($A268,-1),Employment!A:A,0)),2)</f>
        <v>162.21</v>
      </c>
      <c r="T268" s="11">
        <f t="shared" si="605"/>
        <v>1</v>
      </c>
      <c r="U268">
        <f t="shared" si="633"/>
        <v>27</v>
      </c>
      <c r="V268">
        <f t="shared" si="625"/>
        <v>74.180000000000007</v>
      </c>
      <c r="W268" s="13">
        <f t="shared" si="626"/>
        <v>2.0000000000000001E-4</v>
      </c>
      <c r="X268" s="13">
        <f t="shared" si="627"/>
        <v>-1.5099999999999999E-2</v>
      </c>
      <c r="Y268">
        <f t="shared" si="619"/>
        <v>81.010000000000005</v>
      </c>
      <c r="Z268" s="13">
        <f t="shared" si="614"/>
        <v>2.9999999999999997E-4</v>
      </c>
      <c r="AA268" s="13">
        <f t="shared" si="610"/>
        <v>-2.9600000000000001E-2</v>
      </c>
      <c r="AB268" s="6">
        <f t="shared" si="620"/>
        <v>89.836999999999989</v>
      </c>
      <c r="AC268">
        <f t="shared" si="612"/>
        <v>45</v>
      </c>
      <c r="AD268" s="11">
        <f t="shared" si="613"/>
        <v>1</v>
      </c>
      <c r="AE268">
        <f t="shared" si="611"/>
        <v>30</v>
      </c>
      <c r="AF268">
        <f>IF(AND(AE268&lt;15,OR(AC268&gt;=30,AA268&gt;0.15,X268&gt;=0.15)),2,VLOOKUP(AE268,Table!P:Q,2,FALSE))</f>
        <v>4</v>
      </c>
      <c r="AG268" s="22">
        <f>IF((AB268*0.98)-(D268*0.8)+((AF268-3)*3)+VLOOKUP(AM268,Table!$A$11:$B$13,2,FALSE)&lt;0,0,(AB268*0.98)-(D268*0.8)+((AF268-3)*3)+VLOOKUP(AM268,Table!$A$11:$B$13,2,FALSE))</f>
        <v>87.968259999999987</v>
      </c>
      <c r="AH268" s="22">
        <f t="shared" si="606"/>
        <v>86</v>
      </c>
      <c r="AI268" s="18">
        <f t="shared" si="599"/>
        <v>0.05</v>
      </c>
      <c r="AJ268" s="18">
        <f t="shared" si="600"/>
        <v>7.0000000000000007E-2</v>
      </c>
      <c r="AK268" t="str">
        <f t="shared" si="621"/>
        <v/>
      </c>
      <c r="AL268">
        <f t="shared" si="632"/>
        <v>29.5</v>
      </c>
      <c r="AM268" s="11" t="str">
        <f t="shared" si="622"/>
        <v>Stocks</v>
      </c>
      <c r="AN268" t="str">
        <f t="shared" si="628"/>
        <v>Buy</v>
      </c>
      <c r="AO268" s="13">
        <f t="shared" si="629"/>
        <v>7.1000000000000004E-3</v>
      </c>
      <c r="AP268" s="13">
        <f t="shared" si="630"/>
        <v>0</v>
      </c>
      <c r="AQ268" s="13">
        <f t="shared" si="631"/>
        <v>6.1000000000000004E-3</v>
      </c>
      <c r="AR268" s="13">
        <f t="shared" si="623"/>
        <v>7.1000000000000004E-3</v>
      </c>
      <c r="AS268" s="6">
        <f t="shared" si="615"/>
        <v>418.44496127137512</v>
      </c>
      <c r="AT268" s="6">
        <f t="shared" si="616"/>
        <v>185.97425508967711</v>
      </c>
      <c r="AU268" s="6">
        <f t="shared" si="617"/>
        <v>674.87870885744201</v>
      </c>
      <c r="AV268" s="6">
        <f t="shared" si="618"/>
        <v>981.40409135348534</v>
      </c>
      <c r="AW268" s="58">
        <f t="shared" si="624"/>
        <v>2013</v>
      </c>
      <c r="AX268" s="58">
        <f>COUNTIF(AW$3:AW268,AW268)</f>
        <v>25</v>
      </c>
    </row>
    <row r="269" spans="1:50" x14ac:dyDescent="0.25">
      <c r="A269" s="5">
        <v>41462</v>
      </c>
      <c r="B269">
        <v>1631.89</v>
      </c>
      <c r="C269">
        <v>0.04</v>
      </c>
      <c r="D269" s="6">
        <v>14.89</v>
      </c>
      <c r="E269" s="18">
        <f t="shared" si="601"/>
        <v>16.88</v>
      </c>
      <c r="F269">
        <f t="shared" si="602"/>
        <v>0</v>
      </c>
      <c r="G269" s="18">
        <f>ROUND(INDEX(Valuation!U:U,MATCH(A269,Valuation!A:A,0)),2)</f>
        <v>163.06</v>
      </c>
      <c r="H269">
        <f t="shared" si="609"/>
        <v>2</v>
      </c>
      <c r="I269" s="18">
        <f>INDEX(WeeklyIndicators!Y:Y,MATCH(A269,WeeklyIndicators!A:A,0))</f>
        <v>135.26</v>
      </c>
      <c r="J269">
        <f t="shared" si="598"/>
        <v>1</v>
      </c>
      <c r="K269">
        <f>ROUND(INDEX(Economic!AF:AF,MATCH(EOMONTH($A269,-1),Economic!A:A,0)),2)</f>
        <v>106.44</v>
      </c>
      <c r="L269" s="11">
        <f t="shared" si="607"/>
        <v>0</v>
      </c>
      <c r="M269">
        <f>ROUND(INDEX(Manufacturing!P:P,MATCH(EOMONTH($A269,-1),Manufacturing!A:A,0)),2)</f>
        <v>91.61</v>
      </c>
      <c r="N269">
        <f t="shared" si="603"/>
        <v>1</v>
      </c>
      <c r="O269">
        <f>ROUND(INDEX(Housing!AC:AC,MATCH(EOMONTH($A269,-1),Housing!B:B,0)),2)</f>
        <v>145.47999999999999</v>
      </c>
      <c r="P269">
        <f t="shared" si="604"/>
        <v>3</v>
      </c>
      <c r="Q269">
        <f>ROUND(INDEX(Spending!AJ:AJ,MATCH(EOMONTH($A269,-1),Spending!B:B,0)),2)</f>
        <v>34.96</v>
      </c>
      <c r="R269">
        <f t="shared" si="608"/>
        <v>-1</v>
      </c>
      <c r="S269">
        <f>ROUND(INDEX(Employment!V:V,MATCH(EOMONTH($A269,-1),Employment!A:A,0)),2)</f>
        <v>162.21</v>
      </c>
      <c r="T269" s="11">
        <f t="shared" si="605"/>
        <v>1</v>
      </c>
      <c r="U269">
        <f t="shared" si="633"/>
        <v>27</v>
      </c>
      <c r="V269">
        <f t="shared" si="625"/>
        <v>74.16</v>
      </c>
      <c r="W269" s="13">
        <f t="shared" si="626"/>
        <v>-8.9999999999999998E-4</v>
      </c>
      <c r="X269" s="13">
        <f t="shared" si="627"/>
        <v>-3.3399999999999999E-2</v>
      </c>
      <c r="Y269">
        <f t="shared" si="619"/>
        <v>80.760000000000005</v>
      </c>
      <c r="Z269" s="13">
        <f t="shared" si="614"/>
        <v>-3.8999999999999998E-3</v>
      </c>
      <c r="AA269" s="13">
        <f t="shared" si="610"/>
        <v>-5.2499999999999998E-2</v>
      </c>
      <c r="AB269" s="6">
        <f t="shared" si="620"/>
        <v>88.185999999999993</v>
      </c>
      <c r="AC269">
        <f t="shared" si="612"/>
        <v>44</v>
      </c>
      <c r="AD269" s="11">
        <f t="shared" si="613"/>
        <v>1</v>
      </c>
      <c r="AE269">
        <f t="shared" si="611"/>
        <v>30</v>
      </c>
      <c r="AF269">
        <f>IF(AND(AE269&lt;15,OR(AC269&gt;=30,AA269&gt;0.15,X269&gt;=0.15)),2,VLOOKUP(AE269,Table!P:Q,2,FALSE))</f>
        <v>4</v>
      </c>
      <c r="AG269" s="22">
        <f>IF((AB269*0.98)-(D269*0.8)+((AF269-3)*3)+VLOOKUP(AM269,Table!$A$11:$B$13,2,FALSE)&lt;0,0,(AB269*0.98)-(D269*0.8)+((AF269-3)*3)+VLOOKUP(AM269,Table!$A$11:$B$13,2,FALSE))</f>
        <v>85.51027999999998</v>
      </c>
      <c r="AH269" s="22">
        <f t="shared" si="606"/>
        <v>84</v>
      </c>
      <c r="AI269" s="18">
        <f t="shared" si="599"/>
        <v>0.05</v>
      </c>
      <c r="AJ269" s="18">
        <f t="shared" si="600"/>
        <v>0.08</v>
      </c>
      <c r="AK269" t="str">
        <f t="shared" si="621"/>
        <v/>
      </c>
      <c r="AL269">
        <f t="shared" si="632"/>
        <v>29.25</v>
      </c>
      <c r="AM269" s="11" t="str">
        <f t="shared" si="622"/>
        <v>Stocks</v>
      </c>
      <c r="AN269" t="str">
        <f t="shared" si="628"/>
        <v>Buy</v>
      </c>
      <c r="AO269" s="13">
        <f t="shared" si="629"/>
        <v>2.9600000000000001E-2</v>
      </c>
      <c r="AP269" s="13">
        <f t="shared" si="630"/>
        <v>0</v>
      </c>
      <c r="AQ269" s="13">
        <f t="shared" si="631"/>
        <v>2.4899999999999999E-2</v>
      </c>
      <c r="AR269" s="13">
        <f t="shared" si="623"/>
        <v>2.9600000000000001E-2</v>
      </c>
      <c r="AS269" s="6">
        <f t="shared" si="615"/>
        <v>406.41507504989812</v>
      </c>
      <c r="AT269" s="6">
        <f t="shared" si="616"/>
        <v>185.97425508967711</v>
      </c>
      <c r="AU269" s="6">
        <f t="shared" si="617"/>
        <v>658.48249473845453</v>
      </c>
      <c r="AV269" s="6">
        <f t="shared" si="618"/>
        <v>953.18967691674948</v>
      </c>
      <c r="AW269" s="58">
        <f t="shared" si="624"/>
        <v>2013</v>
      </c>
      <c r="AX269" s="58">
        <f>COUNTIF(AW$3:AW269,AW269)</f>
        <v>26</v>
      </c>
    </row>
    <row r="270" spans="1:50" x14ac:dyDescent="0.25">
      <c r="A270" s="5">
        <v>41455</v>
      </c>
      <c r="B270">
        <v>1606.28</v>
      </c>
      <c r="C270">
        <v>0.06</v>
      </c>
      <c r="D270" s="6">
        <v>16.86</v>
      </c>
      <c r="E270" s="18">
        <f t="shared" si="601"/>
        <v>17.64</v>
      </c>
      <c r="F270">
        <f t="shared" si="602"/>
        <v>0</v>
      </c>
      <c r="G270" s="18">
        <f>ROUND(INDEX(Valuation!U:U,MATCH(A270,Valuation!A:A,0)),2)</f>
        <v>164.83</v>
      </c>
      <c r="H270">
        <f t="shared" si="609"/>
        <v>2</v>
      </c>
      <c r="I270" s="18">
        <f>INDEX(WeeklyIndicators!Y:Y,MATCH(A270,WeeklyIndicators!A:A,0))</f>
        <v>133.09</v>
      </c>
      <c r="J270">
        <f t="shared" si="598"/>
        <v>0</v>
      </c>
      <c r="K270">
        <f>ROUND(INDEX(Economic!AF:AF,MATCH(EOMONTH($A270,-1),Economic!A:A,0)),2)</f>
        <v>103.51</v>
      </c>
      <c r="L270" s="11">
        <f t="shared" si="607"/>
        <v>0</v>
      </c>
      <c r="M270">
        <f>ROUND(INDEX(Manufacturing!P:P,MATCH(EOMONTH($A270,-1),Manufacturing!A:A,0)),2)</f>
        <v>92.47</v>
      </c>
      <c r="N270">
        <f t="shared" si="603"/>
        <v>1</v>
      </c>
      <c r="O270">
        <f>ROUND(INDEX(Housing!AC:AC,MATCH(EOMONTH($A270,-1),Housing!B:B,0)),2)</f>
        <v>145.13999999999999</v>
      </c>
      <c r="P270">
        <f t="shared" si="604"/>
        <v>3</v>
      </c>
      <c r="Q270">
        <f>ROUND(INDEX(Spending!AJ:AJ,MATCH(EOMONTH($A270,-1),Spending!B:B,0)),2)</f>
        <v>39.68</v>
      </c>
      <c r="R270">
        <f t="shared" si="608"/>
        <v>-1</v>
      </c>
      <c r="S270">
        <f>ROUND(INDEX(Employment!V:V,MATCH(EOMONTH($A270,-1),Employment!A:A,0)),2)</f>
        <v>165.97</v>
      </c>
      <c r="T270" s="11">
        <f t="shared" si="605"/>
        <v>1</v>
      </c>
      <c r="U270">
        <f t="shared" si="633"/>
        <v>26</v>
      </c>
      <c r="V270">
        <f t="shared" si="625"/>
        <v>74.34</v>
      </c>
      <c r="W270" s="13">
        <f t="shared" si="626"/>
        <v>-4.0000000000000001E-3</v>
      </c>
      <c r="X270" s="13">
        <f t="shared" si="627"/>
        <v>-4.65E-2</v>
      </c>
      <c r="Y270">
        <f t="shared" si="619"/>
        <v>80.87</v>
      </c>
      <c r="Z270" s="13">
        <f t="shared" si="614"/>
        <v>-9.4000000000000004E-3</v>
      </c>
      <c r="AA270" s="13">
        <f t="shared" si="610"/>
        <v>-6.5700000000000008E-2</v>
      </c>
      <c r="AB270" s="6">
        <f t="shared" si="620"/>
        <v>87.463000000000008</v>
      </c>
      <c r="AC270">
        <f t="shared" si="612"/>
        <v>44</v>
      </c>
      <c r="AD270" s="11">
        <f t="shared" si="613"/>
        <v>1</v>
      </c>
      <c r="AE270">
        <f t="shared" si="611"/>
        <v>29</v>
      </c>
      <c r="AF270">
        <f>IF(AND(AE270&lt;15,OR(AC270&gt;=30,AA270&gt;0.15,X270&gt;=0.15)),2,VLOOKUP(AE270,Table!P:Q,2,FALSE))</f>
        <v>4</v>
      </c>
      <c r="AG270" s="22">
        <f>IF((AB270*0.98)-(D270*0.8)+((AF270-3)*3)+VLOOKUP(AM270,Table!$A$11:$B$13,2,FALSE)&lt;0,0,(AB270*0.98)-(D270*0.8)+((AF270-3)*3)+VLOOKUP(AM270,Table!$A$11:$B$13,2,FALSE))</f>
        <v>83.225740000000002</v>
      </c>
      <c r="AH270" s="22">
        <f t="shared" si="606"/>
        <v>84</v>
      </c>
      <c r="AI270" s="18">
        <f t="shared" si="599"/>
        <v>0.05</v>
      </c>
      <c r="AJ270" s="18">
        <f t="shared" si="600"/>
        <v>0.08</v>
      </c>
      <c r="AK270" t="str">
        <f t="shared" si="621"/>
        <v/>
      </c>
      <c r="AL270">
        <f t="shared" si="632"/>
        <v>29.5</v>
      </c>
      <c r="AM270" s="11" t="str">
        <f t="shared" si="622"/>
        <v>Stocks</v>
      </c>
      <c r="AN270" t="str">
        <f t="shared" si="628"/>
        <v>Buy</v>
      </c>
      <c r="AO270" s="13">
        <f t="shared" si="629"/>
        <v>1.5900000000000001E-2</v>
      </c>
      <c r="AP270" s="13">
        <f t="shared" si="630"/>
        <v>0</v>
      </c>
      <c r="AQ270" s="13">
        <f t="shared" si="631"/>
        <v>1.34E-2</v>
      </c>
      <c r="AR270" s="13">
        <f t="shared" si="623"/>
        <v>1.5900000000000001E-2</v>
      </c>
      <c r="AS270" s="6">
        <f t="shared" si="615"/>
        <v>400.05421306220899</v>
      </c>
      <c r="AT270" s="6">
        <f t="shared" si="616"/>
        <v>185.97425508967711</v>
      </c>
      <c r="AU270" s="6">
        <f t="shared" si="617"/>
        <v>649.7755029982776</v>
      </c>
      <c r="AV270" s="6">
        <f t="shared" si="618"/>
        <v>938.2711653870947</v>
      </c>
      <c r="AW270" s="58">
        <f t="shared" si="624"/>
        <v>2013</v>
      </c>
      <c r="AX270" s="58">
        <f>COUNTIF(AW$3:AW270,AW270)</f>
        <v>27</v>
      </c>
    </row>
    <row r="271" spans="1:50" x14ac:dyDescent="0.25">
      <c r="A271" s="5">
        <v>41448</v>
      </c>
      <c r="B271">
        <v>1592.43</v>
      </c>
      <c r="C271">
        <v>0.05</v>
      </c>
      <c r="D271" s="6">
        <v>18.899999999999999</v>
      </c>
      <c r="E271" s="18">
        <f t="shared" si="601"/>
        <v>17.059999999999999</v>
      </c>
      <c r="F271">
        <f t="shared" si="602"/>
        <v>0</v>
      </c>
      <c r="G271" s="18">
        <f>ROUND(INDEX(Valuation!U:U,MATCH(A271,Valuation!A:A,0)),2)</f>
        <v>165.32</v>
      </c>
      <c r="H271">
        <f t="shared" si="609"/>
        <v>2</v>
      </c>
      <c r="I271" s="18">
        <f>INDEX(WeeklyIndicators!Y:Y,MATCH(A271,WeeklyIndicators!A:A,0))</f>
        <v>131.21</v>
      </c>
      <c r="J271">
        <f t="shared" ref="J271:J334" si="634">IF(I271&gt;170,3,IF(AND(I271&gt;152,I271&lt;=170),2,IF(AND(I271&gt;135,I271&lt;=152),1,IF(I271&lt;60,-3,IF(AND(I271&lt;95,I271&gt;=60),-2,IF(AND(I271&lt;120,I271&gt;=95),-1,0))))))</f>
        <v>0</v>
      </c>
      <c r="K271">
        <f>ROUND(INDEX(Economic!AF:AF,MATCH(EOMONTH($A271,-1),Economic!A:A,0)),2)</f>
        <v>103.51</v>
      </c>
      <c r="L271" s="11">
        <f t="shared" si="607"/>
        <v>0</v>
      </c>
      <c r="M271">
        <f>ROUND(INDEX(Manufacturing!P:P,MATCH(EOMONTH($A271,-1),Manufacturing!A:A,0)),2)</f>
        <v>92.47</v>
      </c>
      <c r="N271">
        <f t="shared" si="603"/>
        <v>1</v>
      </c>
      <c r="O271">
        <f>ROUND(INDEX(Housing!AC:AC,MATCH(EOMONTH($A271,-1),Housing!B:B,0)),2)</f>
        <v>145.13999999999999</v>
      </c>
      <c r="P271">
        <f t="shared" si="604"/>
        <v>3</v>
      </c>
      <c r="Q271">
        <f>ROUND(INDEX(Spending!AJ:AJ,MATCH(EOMONTH($A271,-1),Spending!B:B,0)),2)</f>
        <v>39.68</v>
      </c>
      <c r="R271">
        <f t="shared" si="608"/>
        <v>-1</v>
      </c>
      <c r="S271">
        <f>ROUND(INDEX(Employment!V:V,MATCH(EOMONTH($A271,-1),Employment!A:A,0)),2)</f>
        <v>165.97</v>
      </c>
      <c r="T271" s="11">
        <f t="shared" si="605"/>
        <v>1</v>
      </c>
      <c r="U271">
        <f t="shared" si="633"/>
        <v>26</v>
      </c>
      <c r="V271">
        <f t="shared" si="625"/>
        <v>74.14</v>
      </c>
      <c r="W271" s="13">
        <f t="shared" si="626"/>
        <v>-1.04E-2</v>
      </c>
      <c r="X271" s="13">
        <f t="shared" si="627"/>
        <v>-4.7400000000000005E-2</v>
      </c>
      <c r="Y271">
        <f t="shared" si="619"/>
        <v>80.930000000000007</v>
      </c>
      <c r="Z271" s="13">
        <f t="shared" si="614"/>
        <v>-1.66E-2</v>
      </c>
      <c r="AA271" s="13">
        <f t="shared" si="610"/>
        <v>-6.1600000000000002E-2</v>
      </c>
      <c r="AB271" s="6">
        <f t="shared" si="620"/>
        <v>87.831999999999994</v>
      </c>
      <c r="AC271">
        <f t="shared" si="612"/>
        <v>44</v>
      </c>
      <c r="AD271" s="11">
        <f t="shared" si="613"/>
        <v>1</v>
      </c>
      <c r="AE271">
        <f t="shared" si="611"/>
        <v>29</v>
      </c>
      <c r="AF271">
        <f>IF(AND(AE271&lt;15,OR(AC271&gt;=30,AA271&gt;0.15,X271&gt;=0.15)),2,VLOOKUP(AE271,Table!P:Q,2,FALSE))</f>
        <v>4</v>
      </c>
      <c r="AG271" s="22">
        <f>IF((AB271*0.98)-(D271*0.8)+((AF271-3)*3)+VLOOKUP(AM271,Table!$A$11:$B$13,2,FALSE)&lt;0,0,(AB271*0.98)-(D271*0.8)+((AF271-3)*3)+VLOOKUP(AM271,Table!$A$11:$B$13,2,FALSE))</f>
        <v>81.955359999999985</v>
      </c>
      <c r="AH271" s="22">
        <f t="shared" si="606"/>
        <v>87</v>
      </c>
      <c r="AI271" s="18">
        <f t="shared" ref="AI271:AI334" si="635">ROUND(AVERAGE(C271:C283),2)</f>
        <v>0.05</v>
      </c>
      <c r="AJ271" s="18">
        <f t="shared" ref="AJ271:AJ334" si="636">ROUND(AVERAGE(C271:C309),2)</f>
        <v>0.08</v>
      </c>
      <c r="AK271" t="str">
        <f t="shared" si="621"/>
        <v/>
      </c>
      <c r="AL271">
        <f t="shared" si="632"/>
        <v>30.5</v>
      </c>
      <c r="AM271" s="11" t="str">
        <f t="shared" si="622"/>
        <v>Stocks</v>
      </c>
      <c r="AN271" t="str">
        <f t="shared" si="628"/>
        <v>Buy</v>
      </c>
      <c r="AO271" s="13">
        <f t="shared" si="629"/>
        <v>8.6999999999999994E-3</v>
      </c>
      <c r="AP271" s="13">
        <f t="shared" si="630"/>
        <v>0</v>
      </c>
      <c r="AQ271" s="13">
        <f t="shared" si="631"/>
        <v>7.6E-3</v>
      </c>
      <c r="AR271" s="13">
        <f t="shared" si="623"/>
        <v>8.6999999999999994E-3</v>
      </c>
      <c r="AS271" s="6">
        <f t="shared" si="615"/>
        <v>396.60376034718848</v>
      </c>
      <c r="AT271" s="6">
        <f t="shared" si="616"/>
        <v>185.97425508967711</v>
      </c>
      <c r="AU271" s="6">
        <f t="shared" si="617"/>
        <v>644.8744571241341</v>
      </c>
      <c r="AV271" s="6">
        <f t="shared" si="618"/>
        <v>930.17861146732901</v>
      </c>
      <c r="AW271" s="58">
        <f t="shared" si="624"/>
        <v>2013</v>
      </c>
      <c r="AX271" s="58">
        <f>COUNTIF(AW$3:AW271,AW271)</f>
        <v>28</v>
      </c>
    </row>
    <row r="272" spans="1:50" x14ac:dyDescent="0.25">
      <c r="A272" s="5">
        <v>41441</v>
      </c>
      <c r="B272">
        <v>1626.73</v>
      </c>
      <c r="C272">
        <v>0.05</v>
      </c>
      <c r="D272" s="6">
        <v>17.149999999999999</v>
      </c>
      <c r="E272" s="18">
        <f t="shared" si="601"/>
        <v>16.2</v>
      </c>
      <c r="F272">
        <f t="shared" si="602"/>
        <v>0</v>
      </c>
      <c r="G272" s="18">
        <f>ROUND(INDEX(Valuation!U:U,MATCH(A272,Valuation!A:A,0)),2)</f>
        <v>167.61</v>
      </c>
      <c r="H272">
        <f t="shared" si="609"/>
        <v>2</v>
      </c>
      <c r="I272" s="18">
        <f>INDEX(WeeklyIndicators!Y:Y,MATCH(A272,WeeklyIndicators!A:A,0))</f>
        <v>133.29</v>
      </c>
      <c r="J272">
        <f t="shared" si="634"/>
        <v>0</v>
      </c>
      <c r="K272">
        <f>ROUND(INDEX(Economic!AF:AF,MATCH(EOMONTH($A272,-1),Economic!A:A,0)),2)</f>
        <v>103.51</v>
      </c>
      <c r="L272" s="11">
        <f t="shared" si="607"/>
        <v>0</v>
      </c>
      <c r="M272">
        <f>ROUND(INDEX(Manufacturing!P:P,MATCH(EOMONTH($A272,-1),Manufacturing!A:A,0)),2)</f>
        <v>92.47</v>
      </c>
      <c r="N272">
        <f t="shared" si="603"/>
        <v>1</v>
      </c>
      <c r="O272">
        <f>ROUND(INDEX(Housing!AC:AC,MATCH(EOMONTH($A272,-1),Housing!B:B,0)),2)</f>
        <v>145.13999999999999</v>
      </c>
      <c r="P272">
        <f t="shared" si="604"/>
        <v>3</v>
      </c>
      <c r="Q272">
        <f>ROUND(INDEX(Spending!AJ:AJ,MATCH(EOMONTH($A272,-1),Spending!B:B,0)),2)</f>
        <v>39.68</v>
      </c>
      <c r="R272">
        <f t="shared" si="608"/>
        <v>-1</v>
      </c>
      <c r="S272">
        <f>ROUND(INDEX(Employment!V:V,MATCH(EOMONTH($A272,-1),Employment!A:A,0)),2)</f>
        <v>165.97</v>
      </c>
      <c r="T272" s="11">
        <f t="shared" si="605"/>
        <v>1</v>
      </c>
      <c r="U272">
        <f t="shared" si="633"/>
        <v>26</v>
      </c>
      <c r="V272">
        <f t="shared" si="625"/>
        <v>74.36</v>
      </c>
      <c r="W272" s="13">
        <f t="shared" si="626"/>
        <v>-1.8100000000000002E-2</v>
      </c>
      <c r="X272" s="13">
        <f t="shared" si="627"/>
        <v>-2.8200000000000003E-2</v>
      </c>
      <c r="Y272">
        <f t="shared" si="619"/>
        <v>81.7</v>
      </c>
      <c r="Z272" s="13">
        <f t="shared" si="614"/>
        <v>-2.2599999999999999E-2</v>
      </c>
      <c r="AA272" s="13">
        <f t="shared" si="610"/>
        <v>-3.61E-2</v>
      </c>
      <c r="AB272" s="6">
        <f t="shared" si="620"/>
        <v>90.741</v>
      </c>
      <c r="AC272">
        <f t="shared" si="612"/>
        <v>45</v>
      </c>
      <c r="AD272" s="11">
        <f t="shared" si="613"/>
        <v>1</v>
      </c>
      <c r="AE272">
        <f t="shared" si="611"/>
        <v>29</v>
      </c>
      <c r="AF272">
        <f>IF(AND(AE272&lt;15,OR(AC272&gt;=30,AA272&gt;0.15,X272&gt;=0.15)),2,VLOOKUP(AE272,Table!P:Q,2,FALSE))</f>
        <v>4</v>
      </c>
      <c r="AG272" s="22">
        <f>IF((AB272*0.98)-(D272*0.8)+((AF272-3)*3)+VLOOKUP(AM272,Table!$A$11:$B$13,2,FALSE)&lt;0,0,(AB272*0.98)-(D272*0.8)+((AF272-3)*3)+VLOOKUP(AM272,Table!$A$11:$B$13,2,FALSE))</f>
        <v>86.206180000000003</v>
      </c>
      <c r="AH272" s="22">
        <f t="shared" si="606"/>
        <v>92</v>
      </c>
      <c r="AI272" s="18">
        <f t="shared" si="635"/>
        <v>0.06</v>
      </c>
      <c r="AJ272" s="18">
        <f t="shared" si="636"/>
        <v>0.08</v>
      </c>
      <c r="AK272" t="str">
        <f t="shared" si="621"/>
        <v/>
      </c>
      <c r="AL272">
        <f t="shared" si="632"/>
        <v>32</v>
      </c>
      <c r="AM272" s="11" t="str">
        <f t="shared" si="622"/>
        <v>Stocks</v>
      </c>
      <c r="AN272" t="str">
        <f t="shared" si="628"/>
        <v>Buy</v>
      </c>
      <c r="AO272" s="13">
        <f t="shared" si="629"/>
        <v>-2.1100000000000001E-2</v>
      </c>
      <c r="AP272" s="13">
        <f t="shared" si="630"/>
        <v>0</v>
      </c>
      <c r="AQ272" s="13">
        <f t="shared" si="631"/>
        <v>-1.9400000000000001E-2</v>
      </c>
      <c r="AR272" s="13">
        <f t="shared" si="623"/>
        <v>-2.1100000000000001E-2</v>
      </c>
      <c r="AS272" s="6">
        <f t="shared" si="615"/>
        <v>405.15247762507761</v>
      </c>
      <c r="AT272" s="6">
        <f t="shared" si="616"/>
        <v>185.97425508967711</v>
      </c>
      <c r="AU272" s="6">
        <f t="shared" si="617"/>
        <v>657.6325281706446</v>
      </c>
      <c r="AV272" s="6">
        <f t="shared" si="618"/>
        <v>950.22843136921949</v>
      </c>
      <c r="AW272" s="58">
        <f t="shared" si="624"/>
        <v>2013</v>
      </c>
      <c r="AX272" s="58">
        <f>COUNTIF(AW$3:AW272,AW272)</f>
        <v>29</v>
      </c>
    </row>
    <row r="273" spans="1:50" x14ac:dyDescent="0.25">
      <c r="A273" s="5">
        <v>41434</v>
      </c>
      <c r="B273">
        <v>1643.38</v>
      </c>
      <c r="C273">
        <v>0.05</v>
      </c>
      <c r="D273" s="6">
        <v>15.14</v>
      </c>
      <c r="E273" s="18">
        <f t="shared" ref="E273:E336" si="637">ROUND(AVERAGE(D273:D275),2)</f>
        <v>15.14</v>
      </c>
      <c r="F273">
        <f t="shared" ref="F273:F336" si="638">IF(E273&lt;11,3,IF(AND(E273&lt;14,E273&gt;=11),2,IF(AND(E273&lt;16,E273&gt;=14),1,IF(E273&gt;35,-3,IF(AND(E273&gt;25,E273&lt;=35),-2,IF(AND(E273&gt;18,E273&lt;=25),-1,0))))))</f>
        <v>1</v>
      </c>
      <c r="G273" s="18">
        <f>ROUND(INDEX(Valuation!U:U,MATCH(A273,Valuation!A:A,0)),2)</f>
        <v>169.65</v>
      </c>
      <c r="H273">
        <f t="shared" si="609"/>
        <v>2</v>
      </c>
      <c r="I273" s="18">
        <f>INDEX(WeeklyIndicators!Y:Y,MATCH(A273,WeeklyIndicators!A:A,0))</f>
        <v>141.63</v>
      </c>
      <c r="J273">
        <f t="shared" si="634"/>
        <v>1</v>
      </c>
      <c r="K273">
        <f>ROUND(INDEX(Economic!AF:AF,MATCH(EOMONTH($A273,-1),Economic!A:A,0)),2)</f>
        <v>103.51</v>
      </c>
      <c r="L273" s="11">
        <f t="shared" si="607"/>
        <v>0</v>
      </c>
      <c r="M273">
        <f>ROUND(INDEX(Manufacturing!P:P,MATCH(EOMONTH($A273,-1),Manufacturing!A:A,0)),2)</f>
        <v>92.47</v>
      </c>
      <c r="N273">
        <f t="shared" si="603"/>
        <v>1</v>
      </c>
      <c r="O273">
        <f>ROUND(INDEX(Housing!AC:AC,MATCH(EOMONTH($A273,-1),Housing!B:B,0)),2)</f>
        <v>145.13999999999999</v>
      </c>
      <c r="P273">
        <f t="shared" si="604"/>
        <v>3</v>
      </c>
      <c r="Q273">
        <f>ROUND(INDEX(Spending!AJ:AJ,MATCH(EOMONTH($A273,-1),Spending!B:B,0)),2)</f>
        <v>39.68</v>
      </c>
      <c r="R273">
        <f t="shared" si="608"/>
        <v>-1</v>
      </c>
      <c r="S273">
        <f>ROUND(INDEX(Employment!V:V,MATCH(EOMONTH($A273,-1),Employment!A:A,0)),2)</f>
        <v>165.97</v>
      </c>
      <c r="T273" s="11">
        <f t="shared" si="605"/>
        <v>1</v>
      </c>
      <c r="U273">
        <f t="shared" si="633"/>
        <v>28</v>
      </c>
      <c r="V273">
        <f t="shared" si="625"/>
        <v>75.23</v>
      </c>
      <c r="W273" s="13">
        <f t="shared" si="626"/>
        <v>-1.4E-2</v>
      </c>
      <c r="X273" s="13">
        <f t="shared" si="627"/>
        <v>-4.5999999999999999E-3</v>
      </c>
      <c r="Y273">
        <f t="shared" si="619"/>
        <v>83.17</v>
      </c>
      <c r="Z273" s="13">
        <f t="shared" si="614"/>
        <v>-1.7100000000000001E-2</v>
      </c>
      <c r="AA273" s="13">
        <f t="shared" si="610"/>
        <v>-7.3000000000000001E-3</v>
      </c>
      <c r="AB273" s="6">
        <f t="shared" si="620"/>
        <v>94.605000000000004</v>
      </c>
      <c r="AC273">
        <f t="shared" si="612"/>
        <v>47</v>
      </c>
      <c r="AD273" s="11">
        <f t="shared" si="613"/>
        <v>1</v>
      </c>
      <c r="AE273">
        <f t="shared" si="611"/>
        <v>31</v>
      </c>
      <c r="AF273">
        <f>IF(AND(AE273&lt;15,OR(AC273&gt;=30,AA273&gt;0.15,X273&gt;=0.15)),2,VLOOKUP(AE273,Table!P:Q,2,FALSE))</f>
        <v>4</v>
      </c>
      <c r="AG273" s="22">
        <f>IF((AB273*0.98)-(D273*0.8)+((AF273-3)*3)+VLOOKUP(AM273,Table!$A$11:$B$13,2,FALSE)&lt;0,0,(AB273*0.98)-(D273*0.8)+((AF273-3)*3)+VLOOKUP(AM273,Table!$A$11:$B$13,2,FALSE))</f>
        <v>91.600899999999996</v>
      </c>
      <c r="AH273" s="22">
        <f t="shared" si="606"/>
        <v>97</v>
      </c>
      <c r="AI273" s="18">
        <f t="shared" si="635"/>
        <v>0.06</v>
      </c>
      <c r="AJ273" s="18">
        <f t="shared" si="636"/>
        <v>0.08</v>
      </c>
      <c r="AK273" t="str">
        <f t="shared" si="621"/>
        <v/>
      </c>
      <c r="AL273">
        <f t="shared" si="632"/>
        <v>33.5</v>
      </c>
      <c r="AM273" s="11" t="str">
        <f t="shared" si="622"/>
        <v>Stocks</v>
      </c>
      <c r="AN273" t="str">
        <f t="shared" si="628"/>
        <v>Buy</v>
      </c>
      <c r="AO273" s="13">
        <f t="shared" si="629"/>
        <v>-1.01E-2</v>
      </c>
      <c r="AP273" s="13">
        <f t="shared" si="630"/>
        <v>0</v>
      </c>
      <c r="AQ273" s="13">
        <f t="shared" si="631"/>
        <v>-9.7999999999999997E-3</v>
      </c>
      <c r="AR273" s="13">
        <f t="shared" si="623"/>
        <v>-1.01E-2</v>
      </c>
      <c r="AS273" s="6">
        <f t="shared" si="615"/>
        <v>409.28626894138563</v>
      </c>
      <c r="AT273" s="6">
        <f t="shared" si="616"/>
        <v>185.97425508967711</v>
      </c>
      <c r="AU273" s="6">
        <f t="shared" si="617"/>
        <v>664.14111105902305</v>
      </c>
      <c r="AV273" s="6">
        <f t="shared" si="618"/>
        <v>959.92366033863971</v>
      </c>
      <c r="AW273" s="58">
        <f t="shared" si="624"/>
        <v>2013</v>
      </c>
      <c r="AX273" s="58">
        <f>COUNTIF(AW$3:AW273,AW273)</f>
        <v>30</v>
      </c>
    </row>
    <row r="274" spans="1:50" x14ac:dyDescent="0.25">
      <c r="A274" s="5">
        <v>41427</v>
      </c>
      <c r="B274">
        <v>1630.74</v>
      </c>
      <c r="C274">
        <v>0.05</v>
      </c>
      <c r="D274" s="6">
        <v>16.3</v>
      </c>
      <c r="E274" s="18">
        <f t="shared" si="637"/>
        <v>14.25</v>
      </c>
      <c r="F274">
        <f t="shared" si="638"/>
        <v>1</v>
      </c>
      <c r="G274" s="18">
        <f>ROUND(INDEX(Valuation!U:U,MATCH(A274,Valuation!A:A,0)),2)</f>
        <v>172.6</v>
      </c>
      <c r="H274">
        <f t="shared" si="609"/>
        <v>2</v>
      </c>
      <c r="I274" s="18">
        <f>INDEX(WeeklyIndicators!Y:Y,MATCH(A274,WeeklyIndicators!A:A,0))</f>
        <v>153.80000000000001</v>
      </c>
      <c r="J274">
        <f t="shared" si="634"/>
        <v>2</v>
      </c>
      <c r="K274">
        <f>ROUND(INDEX(Economic!AF:AF,MATCH(EOMONTH($A274,-1),Economic!A:A,0)),2)</f>
        <v>103.51</v>
      </c>
      <c r="L274" s="11">
        <f t="shared" si="607"/>
        <v>0</v>
      </c>
      <c r="M274">
        <f>ROUND(INDEX(Manufacturing!P:P,MATCH(EOMONTH($A274,-1),Manufacturing!A:A,0)),2)</f>
        <v>92.47</v>
      </c>
      <c r="N274">
        <f t="shared" ref="N274:N337" si="639">IF(M274&gt;108,3,IF(AND(M274&gt;100,M274&lt;=108),2,IF(AND(M274&gt;90,M274&lt;=100),1,IF(M274&lt;63,-3,IF(AND(M274&lt;74,M274&gt;=63),-2,IF(AND(M274&lt;84,M274&gt;=74),-1,0))))))</f>
        <v>1</v>
      </c>
      <c r="O274">
        <f>ROUND(INDEX(Housing!AC:AC,MATCH(EOMONTH($A274,-1),Housing!B:B,0)),2)</f>
        <v>145.13999999999999</v>
      </c>
      <c r="P274">
        <f t="shared" ref="P274:P337" si="640">IF(O274&gt;140,3,IF(AND(O274&gt;128,O274&lt;=140),2,IF(AND(O274&gt;115,O274&lt;=128),1,IF(O274&lt;50,-3,IF(AND(O274&lt;75,O274&gt;=50),-2,IF(AND(O274&lt;100,O274&gt;=75),-1,0))))))</f>
        <v>3</v>
      </c>
      <c r="Q274">
        <f>ROUND(INDEX(Spending!AJ:AJ,MATCH(EOMONTH($A274,-1),Spending!B:B,0)),2)</f>
        <v>39.68</v>
      </c>
      <c r="R274">
        <f t="shared" si="608"/>
        <v>-1</v>
      </c>
      <c r="S274">
        <f>ROUND(INDEX(Employment!V:V,MATCH(EOMONTH($A274,-1),Employment!A:A,0)),2)</f>
        <v>165.97</v>
      </c>
      <c r="T274" s="11">
        <f t="shared" ref="T274:T337" si="641">IF(S274&gt;190,3,IF(AND(S274&gt;175,S274&lt;=190),2,IF(AND(S274&gt;160,S274&lt;=175),1,IF(S274&lt;120,-3,IF(AND(S274&lt;140,S274&gt;=120),-2,IF(AND(S274&lt;150,S274&gt;=140),-1,0))))))</f>
        <v>1</v>
      </c>
      <c r="U274">
        <f t="shared" si="633"/>
        <v>29</v>
      </c>
      <c r="V274">
        <f t="shared" si="625"/>
        <v>76.489999999999995</v>
      </c>
      <c r="W274" s="13">
        <f t="shared" si="626"/>
        <v>-4.8999999999999998E-3</v>
      </c>
      <c r="X274" s="13">
        <f t="shared" si="627"/>
        <v>9.7000000000000003E-3</v>
      </c>
      <c r="Y274">
        <f t="shared" si="619"/>
        <v>85.07</v>
      </c>
      <c r="Z274" s="13">
        <f t="shared" si="614"/>
        <v>-5.3E-3</v>
      </c>
      <c r="AA274" s="13">
        <f t="shared" si="610"/>
        <v>9.4000000000000004E-3</v>
      </c>
      <c r="AB274" s="6">
        <f t="shared" si="620"/>
        <v>98.11</v>
      </c>
      <c r="AC274">
        <f t="shared" si="612"/>
        <v>49</v>
      </c>
      <c r="AD274" s="11">
        <f t="shared" si="613"/>
        <v>2</v>
      </c>
      <c r="AE274">
        <f t="shared" si="611"/>
        <v>33</v>
      </c>
      <c r="AF274">
        <f>IF(AND(AE274&lt;15,OR(AC274&gt;=30,AA274&gt;0.15,X274&gt;=0.15)),2,VLOOKUP(AE274,Table!P:Q,2,FALSE))</f>
        <v>5</v>
      </c>
      <c r="AG274" s="22">
        <f>IF((AB274*0.98)-(D274*0.8)+((AF274-3)*3)+VLOOKUP(AM274,Table!$A$11:$B$13,2,FALSE)&lt;0,0,(AB274*0.98)-(D274*0.8)+((AF274-3)*3)+VLOOKUP(AM274,Table!$A$11:$B$13,2,FALSE))</f>
        <v>97.107799999999997</v>
      </c>
      <c r="AH274" s="22">
        <f t="shared" ref="AH274:AH337" si="642">IF(ROUND(AVERAGE(AG274:AG276),0)&lt;0,0,IF(ROUND(AVERAGE(AG274:AG276),0)&gt;100,100,ROUND(AVERAGE(AG274:AG276),0)))</f>
        <v>100</v>
      </c>
      <c r="AI274" s="18">
        <f t="shared" si="635"/>
        <v>0.06</v>
      </c>
      <c r="AJ274" s="18">
        <f t="shared" si="636"/>
        <v>0.08</v>
      </c>
      <c r="AK274" t="str">
        <f t="shared" si="621"/>
        <v/>
      </c>
      <c r="AL274">
        <f t="shared" si="632"/>
        <v>34.5</v>
      </c>
      <c r="AM274" s="11" t="str">
        <f t="shared" si="622"/>
        <v>Stocks</v>
      </c>
      <c r="AN274" t="str">
        <f t="shared" si="628"/>
        <v>Buy</v>
      </c>
      <c r="AO274" s="13">
        <f t="shared" si="629"/>
        <v>7.7999999999999996E-3</v>
      </c>
      <c r="AP274" s="13">
        <f t="shared" si="630"/>
        <v>0</v>
      </c>
      <c r="AQ274" s="13">
        <f t="shared" si="631"/>
        <v>7.7999999999999996E-3</v>
      </c>
      <c r="AR274" s="13">
        <f t="shared" si="623"/>
        <v>7.7999999999999996E-3</v>
      </c>
      <c r="AS274" s="6">
        <f t="shared" si="615"/>
        <v>406.11854429587777</v>
      </c>
      <c r="AT274" s="6">
        <f t="shared" si="616"/>
        <v>185.97425508967711</v>
      </c>
      <c r="AU274" s="6">
        <f t="shared" si="617"/>
        <v>659.00090400776253</v>
      </c>
      <c r="AV274" s="6">
        <f t="shared" si="618"/>
        <v>952.49420553546304</v>
      </c>
      <c r="AW274" s="58">
        <f t="shared" si="624"/>
        <v>2013</v>
      </c>
      <c r="AX274" s="58">
        <f>COUNTIF(AW$3:AW274,AW274)</f>
        <v>31</v>
      </c>
    </row>
    <row r="275" spans="1:50" x14ac:dyDescent="0.25">
      <c r="A275" s="5">
        <v>41420</v>
      </c>
      <c r="B275">
        <v>1649.6</v>
      </c>
      <c r="C275">
        <v>0.04</v>
      </c>
      <c r="D275" s="6">
        <v>13.99</v>
      </c>
      <c r="E275" s="18">
        <f t="shared" si="637"/>
        <v>13.01</v>
      </c>
      <c r="F275">
        <f t="shared" si="638"/>
        <v>2</v>
      </c>
      <c r="G275" s="18">
        <f>ROUND(INDEX(Valuation!U:U,MATCH(A275,Valuation!A:A,0)),2)</f>
        <v>172.01</v>
      </c>
      <c r="H275">
        <f t="shared" si="609"/>
        <v>2</v>
      </c>
      <c r="I275" s="18">
        <f>INDEX(WeeklyIndicators!Y:Y,MATCH(A275,WeeklyIndicators!A:A,0))</f>
        <v>161.79</v>
      </c>
      <c r="J275">
        <f t="shared" si="634"/>
        <v>2</v>
      </c>
      <c r="K275">
        <f>ROUND(INDEX(Economic!AF:AF,MATCH(EOMONTH($A275,-1),Economic!A:A,0)),2)</f>
        <v>102.22</v>
      </c>
      <c r="L275" s="11">
        <f t="shared" ref="L275:L338" si="643">IF(K275&gt;138,3,IF(AND(K275&gt;125,K275&lt;=138),2,IF(AND(K275&gt;111,K275&lt;=125),1,IF(K275&lt;50,-3,IF(AND(K275&lt;80,K275&gt;=50),-2,IF(AND(K275&lt;100,K275&gt;=80),-1,0))))))</f>
        <v>0</v>
      </c>
      <c r="M275">
        <f>ROUND(INDEX(Manufacturing!P:P,MATCH(EOMONTH($A275,-1),Manufacturing!A:A,0)),2)</f>
        <v>95.71</v>
      </c>
      <c r="N275">
        <f t="shared" si="639"/>
        <v>1</v>
      </c>
      <c r="O275">
        <f>ROUND(INDEX(Housing!AC:AC,MATCH(EOMONTH($A275,-1),Housing!B:B,0)),2)</f>
        <v>145.4</v>
      </c>
      <c r="P275">
        <f t="shared" si="640"/>
        <v>3</v>
      </c>
      <c r="Q275">
        <f>ROUND(INDEX(Spending!AJ:AJ,MATCH(EOMONTH($A275,-1),Spending!B:B,0)),2)</f>
        <v>49.82</v>
      </c>
      <c r="R275">
        <f t="shared" ref="R275:R338" si="644">IF(Q275&gt;60,2,IF(AND(Q275&gt;50,Q275&lt;=60),1,IF(Q275&lt;30,-2,IF(AND(Q275&lt;40,Q275&gt;=30),-1,0))))</f>
        <v>0</v>
      </c>
      <c r="S275">
        <f>ROUND(INDEX(Employment!V:V,MATCH(EOMONTH($A275,-1),Employment!A:A,0)),2)</f>
        <v>166.63</v>
      </c>
      <c r="T275" s="11">
        <f t="shared" si="641"/>
        <v>1</v>
      </c>
      <c r="U275">
        <f t="shared" si="633"/>
        <v>31</v>
      </c>
      <c r="V275">
        <f t="shared" si="625"/>
        <v>78.53</v>
      </c>
      <c r="W275" s="13">
        <f t="shared" si="626"/>
        <v>8.8000000000000005E-3</v>
      </c>
      <c r="X275" s="13">
        <f t="shared" si="627"/>
        <v>6.3999999999999994E-3</v>
      </c>
      <c r="Y275">
        <f t="shared" si="619"/>
        <v>87.47</v>
      </c>
      <c r="Z275" s="13">
        <f t="shared" si="614"/>
        <v>8.8999999999999999E-3</v>
      </c>
      <c r="AA275" s="13">
        <f t="shared" si="610"/>
        <v>4.8999999999999998E-3</v>
      </c>
      <c r="AB275" s="6">
        <f t="shared" si="620"/>
        <v>100.181</v>
      </c>
      <c r="AC275">
        <f t="shared" si="612"/>
        <v>50</v>
      </c>
      <c r="AD275" s="11">
        <f t="shared" si="613"/>
        <v>2</v>
      </c>
      <c r="AE275">
        <f t="shared" si="611"/>
        <v>35</v>
      </c>
      <c r="AF275">
        <f>IF(AND(AE275&lt;15,OR(AC275&gt;=30,AA275&gt;0.15,X275&gt;=0.15)),2,VLOOKUP(AE275,Table!P:Q,2,FALSE))</f>
        <v>5</v>
      </c>
      <c r="AG275" s="22">
        <f>IF((AB275*0.98)-(D275*0.8)+((AF275-3)*3)+VLOOKUP(AM275,Table!$A$11:$B$13,2,FALSE)&lt;0,0,(AB275*0.98)-(D275*0.8)+((AF275-3)*3)+VLOOKUP(AM275,Table!$A$11:$B$13,2,FALSE))</f>
        <v>100.98537999999999</v>
      </c>
      <c r="AH275" s="22">
        <f t="shared" si="642"/>
        <v>100</v>
      </c>
      <c r="AI275" s="18">
        <f t="shared" si="635"/>
        <v>7.0000000000000007E-2</v>
      </c>
      <c r="AJ275" s="18">
        <f t="shared" si="636"/>
        <v>0.08</v>
      </c>
      <c r="AK275" t="str">
        <f t="shared" si="621"/>
        <v/>
      </c>
      <c r="AL275">
        <f t="shared" si="632"/>
        <v>34.75</v>
      </c>
      <c r="AM275" s="11" t="str">
        <f t="shared" si="622"/>
        <v>Stocks</v>
      </c>
      <c r="AN275" t="str">
        <f t="shared" si="628"/>
        <v>Buy</v>
      </c>
      <c r="AO275" s="13">
        <f t="shared" si="629"/>
        <v>-1.14E-2</v>
      </c>
      <c r="AP275" s="13">
        <f t="shared" si="630"/>
        <v>0</v>
      </c>
      <c r="AQ275" s="13">
        <f t="shared" si="631"/>
        <v>-1.14E-2</v>
      </c>
      <c r="AR275" s="13">
        <f t="shared" si="623"/>
        <v>-1.14E-2</v>
      </c>
      <c r="AS275" s="6">
        <f t="shared" si="615"/>
        <v>410.80168348763681</v>
      </c>
      <c r="AT275" s="6">
        <f t="shared" si="616"/>
        <v>185.97425508967711</v>
      </c>
      <c r="AU275" s="6">
        <f t="shared" si="617"/>
        <v>666.60014566838208</v>
      </c>
      <c r="AV275" s="6">
        <f t="shared" si="618"/>
        <v>963.47785306035098</v>
      </c>
      <c r="AW275" s="58">
        <f t="shared" si="624"/>
        <v>2013</v>
      </c>
      <c r="AX275" s="58">
        <f>COUNTIF(AW$3:AW275,AW275)</f>
        <v>32</v>
      </c>
    </row>
    <row r="276" spans="1:50" x14ac:dyDescent="0.25">
      <c r="A276" s="5">
        <v>41413</v>
      </c>
      <c r="B276">
        <v>1667.47</v>
      </c>
      <c r="C276">
        <v>0.04</v>
      </c>
      <c r="D276" s="6">
        <v>12.45</v>
      </c>
      <c r="E276" s="18">
        <f t="shared" si="637"/>
        <v>12.63</v>
      </c>
      <c r="F276">
        <f t="shared" si="638"/>
        <v>2</v>
      </c>
      <c r="G276" s="18">
        <f>ROUND(INDEX(Valuation!U:U,MATCH(A276,Valuation!A:A,0)),2)</f>
        <v>172.12</v>
      </c>
      <c r="H276">
        <f t="shared" si="609"/>
        <v>2</v>
      </c>
      <c r="I276" s="18">
        <f>INDEX(WeeklyIndicators!Y:Y,MATCH(A276,WeeklyIndicators!A:A,0))</f>
        <v>161.68</v>
      </c>
      <c r="J276">
        <f t="shared" si="634"/>
        <v>2</v>
      </c>
      <c r="K276">
        <f>ROUND(INDEX(Economic!AF:AF,MATCH(EOMONTH($A276,-1),Economic!A:A,0)),2)</f>
        <v>102.22</v>
      </c>
      <c r="L276" s="11">
        <f t="shared" si="643"/>
        <v>0</v>
      </c>
      <c r="M276">
        <f>ROUND(INDEX(Manufacturing!P:P,MATCH(EOMONTH($A276,-1),Manufacturing!A:A,0)),2)</f>
        <v>95.71</v>
      </c>
      <c r="N276">
        <f t="shared" si="639"/>
        <v>1</v>
      </c>
      <c r="O276">
        <f>ROUND(INDEX(Housing!AC:AC,MATCH(EOMONTH($A276,-1),Housing!B:B,0)),2)</f>
        <v>145.4</v>
      </c>
      <c r="P276">
        <f t="shared" si="640"/>
        <v>3</v>
      </c>
      <c r="Q276">
        <f>ROUND(INDEX(Spending!AJ:AJ,MATCH(EOMONTH($A276,-1),Spending!B:B,0)),2)</f>
        <v>49.82</v>
      </c>
      <c r="R276">
        <f t="shared" si="644"/>
        <v>0</v>
      </c>
      <c r="S276">
        <f>ROUND(INDEX(Employment!V:V,MATCH(EOMONTH($A276,-1),Employment!A:A,0)),2)</f>
        <v>166.63</v>
      </c>
      <c r="T276" s="11">
        <f t="shared" si="641"/>
        <v>1</v>
      </c>
      <c r="U276">
        <f t="shared" si="633"/>
        <v>31</v>
      </c>
      <c r="V276">
        <f t="shared" si="625"/>
        <v>78.510000000000005</v>
      </c>
      <c r="W276" s="13">
        <f t="shared" si="626"/>
        <v>5.4999999999999997E-3</v>
      </c>
      <c r="X276" s="13">
        <f t="shared" si="627"/>
        <v>-1.0400000000000001E-2</v>
      </c>
      <c r="Y276">
        <f t="shared" si="619"/>
        <v>87.61</v>
      </c>
      <c r="Z276" s="13">
        <f t="shared" si="614"/>
        <v>6.1999999999999998E-3</v>
      </c>
      <c r="AA276" s="13">
        <f t="shared" si="610"/>
        <v>-1.37E-2</v>
      </c>
      <c r="AB276" s="6">
        <f t="shared" si="620"/>
        <v>98.921999999999997</v>
      </c>
      <c r="AC276">
        <f t="shared" si="612"/>
        <v>49</v>
      </c>
      <c r="AD276" s="11">
        <f t="shared" si="613"/>
        <v>2</v>
      </c>
      <c r="AE276">
        <f t="shared" si="611"/>
        <v>35</v>
      </c>
      <c r="AF276">
        <f>IF(AND(AE276&lt;15,OR(AC276&gt;=30,AA276&gt;0.15,X276&gt;=0.15)),2,VLOOKUP(AE276,Table!P:Q,2,FALSE))</f>
        <v>5</v>
      </c>
      <c r="AG276" s="22">
        <f>IF((AB276*0.98)-(D276*0.8)+((AF276-3)*3)+VLOOKUP(AM276,Table!$A$11:$B$13,2,FALSE)&lt;0,0,(AB276*0.98)-(D276*0.8)+((AF276-3)*3)+VLOOKUP(AM276,Table!$A$11:$B$13,2,FALSE))</f>
        <v>100.98355999999998</v>
      </c>
      <c r="AH276" s="22">
        <f t="shared" si="642"/>
        <v>99</v>
      </c>
      <c r="AI276" s="18">
        <f t="shared" si="635"/>
        <v>0.08</v>
      </c>
      <c r="AJ276" s="18">
        <f t="shared" si="636"/>
        <v>0.09</v>
      </c>
      <c r="AK276" t="str">
        <f t="shared" si="621"/>
        <v/>
      </c>
      <c r="AL276">
        <f t="shared" si="632"/>
        <v>34.75</v>
      </c>
      <c r="AM276" s="11" t="str">
        <f t="shared" si="622"/>
        <v>Stocks</v>
      </c>
      <c r="AN276" t="str">
        <f t="shared" si="628"/>
        <v>Buy</v>
      </c>
      <c r="AO276" s="13">
        <f t="shared" si="629"/>
        <v>-1.0699999999999999E-2</v>
      </c>
      <c r="AP276" s="13">
        <f t="shared" si="630"/>
        <v>0</v>
      </c>
      <c r="AQ276" s="13">
        <f t="shared" si="631"/>
        <v>-1.06E-2</v>
      </c>
      <c r="AR276" s="13">
        <f t="shared" si="623"/>
        <v>-1.0699999999999999E-2</v>
      </c>
      <c r="AS276" s="6">
        <f t="shared" si="615"/>
        <v>415.24480287843608</v>
      </c>
      <c r="AT276" s="6">
        <f t="shared" si="616"/>
        <v>185.97425508967711</v>
      </c>
      <c r="AU276" s="6">
        <f t="shared" si="617"/>
        <v>673.74180884210853</v>
      </c>
      <c r="AV276" s="6">
        <f t="shared" si="618"/>
        <v>973.89856773511679</v>
      </c>
      <c r="AW276" s="58">
        <f t="shared" si="624"/>
        <v>2013</v>
      </c>
      <c r="AX276" s="58">
        <f>COUNTIF(AW$3:AW276,AW276)</f>
        <v>33</v>
      </c>
    </row>
    <row r="277" spans="1:50" x14ac:dyDescent="0.25">
      <c r="A277" s="5">
        <v>41406</v>
      </c>
      <c r="B277">
        <v>1633.7</v>
      </c>
      <c r="C277">
        <v>0.04</v>
      </c>
      <c r="D277" s="6">
        <v>12.59</v>
      </c>
      <c r="E277" s="18">
        <f t="shared" si="637"/>
        <v>13.02</v>
      </c>
      <c r="F277">
        <f t="shared" si="638"/>
        <v>2</v>
      </c>
      <c r="G277" s="18">
        <f>ROUND(INDEX(Valuation!U:U,MATCH(A277,Valuation!A:A,0)),2)</f>
        <v>170.71</v>
      </c>
      <c r="H277">
        <f t="shared" si="609"/>
        <v>2</v>
      </c>
      <c r="I277" s="18">
        <f>INDEX(WeeklyIndicators!Y:Y,MATCH(A277,WeeklyIndicators!A:A,0))</f>
        <v>153.38999999999999</v>
      </c>
      <c r="J277">
        <f t="shared" si="634"/>
        <v>2</v>
      </c>
      <c r="K277">
        <f>ROUND(INDEX(Economic!AF:AF,MATCH(EOMONTH($A277,-1),Economic!A:A,0)),2)</f>
        <v>102.22</v>
      </c>
      <c r="L277" s="11">
        <f t="shared" si="643"/>
        <v>0</v>
      </c>
      <c r="M277">
        <f>ROUND(INDEX(Manufacturing!P:P,MATCH(EOMONTH($A277,-1),Manufacturing!A:A,0)),2)</f>
        <v>95.71</v>
      </c>
      <c r="N277">
        <f t="shared" si="639"/>
        <v>1</v>
      </c>
      <c r="O277">
        <f>ROUND(INDEX(Housing!AC:AC,MATCH(EOMONTH($A277,-1),Housing!B:B,0)),2)</f>
        <v>145.4</v>
      </c>
      <c r="P277">
        <f t="shared" si="640"/>
        <v>3</v>
      </c>
      <c r="Q277">
        <f>ROUND(INDEX(Spending!AJ:AJ,MATCH(EOMONTH($A277,-1),Spending!B:B,0)),2)</f>
        <v>49.82</v>
      </c>
      <c r="R277">
        <f t="shared" si="644"/>
        <v>0</v>
      </c>
      <c r="S277">
        <f>ROUND(INDEX(Employment!V:V,MATCH(EOMONTH($A277,-1),Employment!A:A,0)),2)</f>
        <v>166.63</v>
      </c>
      <c r="T277" s="11">
        <f t="shared" si="641"/>
        <v>1</v>
      </c>
      <c r="U277">
        <f t="shared" si="633"/>
        <v>31</v>
      </c>
      <c r="V277">
        <f t="shared" si="625"/>
        <v>77.650000000000006</v>
      </c>
      <c r="W277" s="13">
        <f t="shared" si="626"/>
        <v>2.9999999999999997E-4</v>
      </c>
      <c r="X277" s="13">
        <f t="shared" si="627"/>
        <v>-1.8100000000000002E-2</v>
      </c>
      <c r="Y277">
        <f t="shared" si="619"/>
        <v>86.45</v>
      </c>
      <c r="Z277" s="13">
        <f t="shared" si="614"/>
        <v>-4.0000000000000002E-4</v>
      </c>
      <c r="AA277" s="13">
        <f t="shared" si="610"/>
        <v>-2.5000000000000001E-2</v>
      </c>
      <c r="AB277" s="6">
        <f t="shared" si="620"/>
        <v>96.751000000000005</v>
      </c>
      <c r="AC277">
        <f t="shared" si="612"/>
        <v>48</v>
      </c>
      <c r="AD277" s="11">
        <f t="shared" si="613"/>
        <v>2</v>
      </c>
      <c r="AE277">
        <f t="shared" si="611"/>
        <v>35</v>
      </c>
      <c r="AF277">
        <f>IF(AND(AE277&lt;15,OR(AC277&gt;=30,AA277&gt;0.15,X277&gt;=0.15)),2,VLOOKUP(AE277,Table!P:Q,2,FALSE))</f>
        <v>5</v>
      </c>
      <c r="AG277" s="22">
        <f>IF((AB277*0.98)-(D277*0.8)+((AF277-3)*3)+VLOOKUP(AM277,Table!$A$11:$B$13,2,FALSE)&lt;0,0,(AB277*0.98)-(D277*0.8)+((AF277-3)*3)+VLOOKUP(AM277,Table!$A$11:$B$13,2,FALSE))</f>
        <v>98.743979999999993</v>
      </c>
      <c r="AH277" s="22">
        <f t="shared" si="642"/>
        <v>98</v>
      </c>
      <c r="AI277" s="18">
        <f t="shared" si="635"/>
        <v>0.08</v>
      </c>
      <c r="AJ277" s="18">
        <f t="shared" si="636"/>
        <v>0.09</v>
      </c>
      <c r="AK277" t="str">
        <f t="shared" si="621"/>
        <v/>
      </c>
      <c r="AL277">
        <f t="shared" si="632"/>
        <v>34.75</v>
      </c>
      <c r="AM277" s="11" t="str">
        <f t="shared" si="622"/>
        <v>Stocks</v>
      </c>
      <c r="AN277" t="str">
        <f t="shared" si="628"/>
        <v>Buy</v>
      </c>
      <c r="AO277" s="13">
        <f t="shared" si="629"/>
        <v>2.07E-2</v>
      </c>
      <c r="AP277" s="13">
        <f t="shared" si="630"/>
        <v>0</v>
      </c>
      <c r="AQ277" s="13">
        <f t="shared" si="631"/>
        <v>2.0299999999999999E-2</v>
      </c>
      <c r="AR277" s="13">
        <f t="shared" si="623"/>
        <v>2.07E-2</v>
      </c>
      <c r="AS277" s="6">
        <f t="shared" si="615"/>
        <v>406.82355528405611</v>
      </c>
      <c r="AT277" s="6">
        <f t="shared" si="616"/>
        <v>185.97425508967711</v>
      </c>
      <c r="AU277" s="6">
        <f t="shared" si="617"/>
        <v>660.33696838391506</v>
      </c>
      <c r="AV277" s="6">
        <f t="shared" si="618"/>
        <v>954.14771013531583</v>
      </c>
      <c r="AW277" s="58">
        <f t="shared" si="624"/>
        <v>2013</v>
      </c>
      <c r="AX277" s="58">
        <f>COUNTIF(AW$3:AW277,AW277)</f>
        <v>34</v>
      </c>
    </row>
    <row r="278" spans="1:50" x14ac:dyDescent="0.25">
      <c r="A278" s="5">
        <v>41399</v>
      </c>
      <c r="B278">
        <v>1614.42</v>
      </c>
      <c r="C278">
        <v>0.05</v>
      </c>
      <c r="D278" s="6">
        <v>12.85</v>
      </c>
      <c r="E278" s="18">
        <f t="shared" si="637"/>
        <v>13.81</v>
      </c>
      <c r="F278">
        <f t="shared" si="638"/>
        <v>2</v>
      </c>
      <c r="G278" s="18">
        <f>ROUND(INDEX(Valuation!U:U,MATCH(A278,Valuation!A:A,0)),2)</f>
        <v>171.98</v>
      </c>
      <c r="H278">
        <f t="shared" si="609"/>
        <v>2</v>
      </c>
      <c r="I278" s="18">
        <f>INDEX(WeeklyIndicators!Y:Y,MATCH(A278,WeeklyIndicators!A:A,0))</f>
        <v>142.21</v>
      </c>
      <c r="J278">
        <f t="shared" si="634"/>
        <v>1</v>
      </c>
      <c r="K278">
        <f>ROUND(INDEX(Economic!AF:AF,MATCH(EOMONTH($A278,-1),Economic!A:A,0)),2)</f>
        <v>102.22</v>
      </c>
      <c r="L278" s="11">
        <f t="shared" si="643"/>
        <v>0</v>
      </c>
      <c r="M278">
        <f>ROUND(INDEX(Manufacturing!P:P,MATCH(EOMONTH($A278,-1),Manufacturing!A:A,0)),2)</f>
        <v>95.71</v>
      </c>
      <c r="N278">
        <f t="shared" si="639"/>
        <v>1</v>
      </c>
      <c r="O278">
        <f>ROUND(INDEX(Housing!AC:AC,MATCH(EOMONTH($A278,-1),Housing!B:B,0)),2)</f>
        <v>145.4</v>
      </c>
      <c r="P278">
        <f t="shared" si="640"/>
        <v>3</v>
      </c>
      <c r="Q278">
        <f>ROUND(INDEX(Spending!AJ:AJ,MATCH(EOMONTH($A278,-1),Spending!B:B,0)),2)</f>
        <v>49.82</v>
      </c>
      <c r="R278">
        <f t="shared" si="644"/>
        <v>0</v>
      </c>
      <c r="S278">
        <f>ROUND(INDEX(Employment!V:V,MATCH(EOMONTH($A278,-1),Employment!A:A,0)),2)</f>
        <v>166.63</v>
      </c>
      <c r="T278" s="11">
        <f t="shared" si="641"/>
        <v>1</v>
      </c>
      <c r="U278">
        <f t="shared" si="633"/>
        <v>30</v>
      </c>
      <c r="V278">
        <f t="shared" si="625"/>
        <v>76.489999999999995</v>
      </c>
      <c r="W278" s="13">
        <f t="shared" si="626"/>
        <v>-8.2000000000000007E-3</v>
      </c>
      <c r="X278" s="13">
        <f t="shared" si="627"/>
        <v>-1.46E-2</v>
      </c>
      <c r="Y278">
        <f t="shared" si="619"/>
        <v>85.16</v>
      </c>
      <c r="Z278" s="13">
        <f t="shared" si="614"/>
        <v>-9.7999999999999997E-3</v>
      </c>
      <c r="AA278" s="13">
        <f t="shared" si="610"/>
        <v>-2.41E-2</v>
      </c>
      <c r="AB278" s="6">
        <f t="shared" si="620"/>
        <v>95.647999999999996</v>
      </c>
      <c r="AC278">
        <f t="shared" si="612"/>
        <v>48</v>
      </c>
      <c r="AD278" s="11">
        <f t="shared" si="613"/>
        <v>2</v>
      </c>
      <c r="AE278">
        <f t="shared" si="611"/>
        <v>34</v>
      </c>
      <c r="AF278">
        <f>IF(AND(AE278&lt;15,OR(AC278&gt;=30,AA278&gt;0.15,X278&gt;=0.15)),2,VLOOKUP(AE278,Table!P:Q,2,FALSE))</f>
        <v>5</v>
      </c>
      <c r="AG278" s="22">
        <f>IF((AB278*0.98)-(D278*0.8)+((AF278-3)*3)+VLOOKUP(AM278,Table!$A$11:$B$13,2,FALSE)&lt;0,0,(AB278*0.98)-(D278*0.8)+((AF278-3)*3)+VLOOKUP(AM278,Table!$A$11:$B$13,2,FALSE))</f>
        <v>97.455039999999997</v>
      </c>
      <c r="AH278" s="22">
        <f t="shared" si="642"/>
        <v>99</v>
      </c>
      <c r="AI278" s="18">
        <f t="shared" si="635"/>
        <v>0.08</v>
      </c>
      <c r="AJ278" s="18">
        <f t="shared" si="636"/>
        <v>0.09</v>
      </c>
      <c r="AK278" t="str">
        <f t="shared" si="621"/>
        <v/>
      </c>
      <c r="AL278">
        <f t="shared" si="632"/>
        <v>34.75</v>
      </c>
      <c r="AM278" s="11" t="str">
        <f t="shared" si="622"/>
        <v>Stocks</v>
      </c>
      <c r="AN278" t="str">
        <f t="shared" si="628"/>
        <v>Buy</v>
      </c>
      <c r="AO278" s="13">
        <f t="shared" si="629"/>
        <v>1.1900000000000001E-2</v>
      </c>
      <c r="AP278" s="13">
        <f t="shared" si="630"/>
        <v>0</v>
      </c>
      <c r="AQ278" s="13">
        <f t="shared" si="631"/>
        <v>1.18E-2</v>
      </c>
      <c r="AR278" s="13">
        <f t="shared" si="623"/>
        <v>1.1900000000000001E-2</v>
      </c>
      <c r="AS278" s="6">
        <f t="shared" si="615"/>
        <v>402.03928775971548</v>
      </c>
      <c r="AT278" s="6">
        <f t="shared" si="616"/>
        <v>185.97425508967711</v>
      </c>
      <c r="AU278" s="6">
        <f t="shared" si="617"/>
        <v>652.6358651748518</v>
      </c>
      <c r="AV278" s="6">
        <f t="shared" si="618"/>
        <v>942.92688026021915</v>
      </c>
      <c r="AW278" s="58">
        <f t="shared" si="624"/>
        <v>2013</v>
      </c>
      <c r="AX278" s="58">
        <f>COUNTIF(AW$3:AW278,AW278)</f>
        <v>35</v>
      </c>
    </row>
    <row r="279" spans="1:50" x14ac:dyDescent="0.25">
      <c r="A279" s="5">
        <v>41392</v>
      </c>
      <c r="B279">
        <v>1582.24</v>
      </c>
      <c r="C279">
        <v>0.05</v>
      </c>
      <c r="D279" s="6">
        <v>13.61</v>
      </c>
      <c r="E279" s="18">
        <f t="shared" si="637"/>
        <v>13.55</v>
      </c>
      <c r="F279">
        <f t="shared" si="638"/>
        <v>2</v>
      </c>
      <c r="G279" s="18">
        <f>ROUND(INDEX(Valuation!U:U,MATCH(A279,Valuation!A:A,0)),2)</f>
        <v>172.04</v>
      </c>
      <c r="H279">
        <f t="shared" si="609"/>
        <v>2</v>
      </c>
      <c r="I279" s="18">
        <f>INDEX(WeeklyIndicators!Y:Y,MATCH(A279,WeeklyIndicators!A:A,0))</f>
        <v>136.74</v>
      </c>
      <c r="J279">
        <f t="shared" si="634"/>
        <v>1</v>
      </c>
      <c r="K279">
        <f>ROUND(INDEX(Economic!AF:AF,MATCH(EOMONTH($A279,-1),Economic!A:A,0)),2)</f>
        <v>102.7</v>
      </c>
      <c r="L279" s="11">
        <f t="shared" si="643"/>
        <v>0</v>
      </c>
      <c r="M279">
        <f>ROUND(INDEX(Manufacturing!P:P,MATCH(EOMONTH($A279,-1),Manufacturing!A:A,0)),2)</f>
        <v>96.45</v>
      </c>
      <c r="N279">
        <f t="shared" si="639"/>
        <v>1</v>
      </c>
      <c r="O279">
        <f>ROUND(INDEX(Housing!AC:AC,MATCH(EOMONTH($A279,-1),Housing!B:B,0)),2)</f>
        <v>152.07</v>
      </c>
      <c r="P279">
        <f t="shared" si="640"/>
        <v>3</v>
      </c>
      <c r="Q279">
        <f>ROUND(INDEX(Spending!AJ:AJ,MATCH(EOMONTH($A279,-1),Spending!B:B,0)),2)</f>
        <v>58.51</v>
      </c>
      <c r="R279">
        <f t="shared" si="644"/>
        <v>1</v>
      </c>
      <c r="S279">
        <f>ROUND(INDEX(Employment!V:V,MATCH(EOMONTH($A279,-1),Employment!A:A,0)),2)</f>
        <v>166.04</v>
      </c>
      <c r="T279" s="11">
        <f t="shared" si="641"/>
        <v>1</v>
      </c>
      <c r="U279">
        <f t="shared" si="633"/>
        <v>31</v>
      </c>
      <c r="V279">
        <f t="shared" si="625"/>
        <v>77.239999999999995</v>
      </c>
      <c r="W279" s="13">
        <f t="shared" si="626"/>
        <v>-8.0000000000000002E-3</v>
      </c>
      <c r="X279" s="13">
        <f t="shared" si="627"/>
        <v>4.0999999999999995E-3</v>
      </c>
      <c r="Y279">
        <f t="shared" si="619"/>
        <v>86</v>
      </c>
      <c r="Z279" s="13">
        <f t="shared" si="614"/>
        <v>-9.7000000000000003E-3</v>
      </c>
      <c r="AA279" s="13">
        <f t="shared" si="610"/>
        <v>-6.7000000000000002E-3</v>
      </c>
      <c r="AB279" s="6">
        <f t="shared" si="620"/>
        <v>97.873999999999995</v>
      </c>
      <c r="AC279">
        <f t="shared" si="612"/>
        <v>49</v>
      </c>
      <c r="AD279" s="11">
        <f t="shared" si="613"/>
        <v>2</v>
      </c>
      <c r="AE279">
        <f t="shared" si="611"/>
        <v>35</v>
      </c>
      <c r="AF279">
        <f>IF(AND(AE279&lt;15,OR(AC279&gt;=30,AA279&gt;0.15,X279&gt;=0.15)),2,VLOOKUP(AE279,Table!P:Q,2,FALSE))</f>
        <v>5</v>
      </c>
      <c r="AG279" s="22">
        <f>IF((AB279*0.98)-(D279*0.8)+((AF279-3)*3)+VLOOKUP(AM279,Table!$A$11:$B$13,2,FALSE)&lt;0,0,(AB279*0.98)-(D279*0.8)+((AF279-3)*3)+VLOOKUP(AM279,Table!$A$11:$B$13,2,FALSE))</f>
        <v>99.028519999999986</v>
      </c>
      <c r="AH279" s="22">
        <f t="shared" si="642"/>
        <v>100</v>
      </c>
      <c r="AI279" s="18">
        <f t="shared" si="635"/>
        <v>0.08</v>
      </c>
      <c r="AJ279" s="18">
        <f t="shared" si="636"/>
        <v>0.09</v>
      </c>
      <c r="AK279" t="str">
        <f t="shared" si="621"/>
        <v/>
      </c>
      <c r="AL279">
        <f t="shared" si="632"/>
        <v>35.25</v>
      </c>
      <c r="AM279" s="11" t="str">
        <f t="shared" si="622"/>
        <v>Stocks</v>
      </c>
      <c r="AN279" t="str">
        <f t="shared" si="628"/>
        <v>Buy</v>
      </c>
      <c r="AO279" s="13">
        <f t="shared" si="629"/>
        <v>2.0299999999999999E-2</v>
      </c>
      <c r="AP279" s="13">
        <f t="shared" si="630"/>
        <v>0</v>
      </c>
      <c r="AQ279" s="13">
        <f t="shared" si="631"/>
        <v>2.0299999999999999E-2</v>
      </c>
      <c r="AR279" s="13">
        <f t="shared" si="623"/>
        <v>2.0299999999999999E-2</v>
      </c>
      <c r="AS279" s="6">
        <f t="shared" si="615"/>
        <v>394.04027027317011</v>
      </c>
      <c r="AT279" s="6">
        <f t="shared" si="616"/>
        <v>185.97425508967711</v>
      </c>
      <c r="AU279" s="6">
        <f t="shared" si="617"/>
        <v>639.65095087214718</v>
      </c>
      <c r="AV279" s="6">
        <f t="shared" si="618"/>
        <v>924.1663042832688</v>
      </c>
      <c r="AW279" s="58">
        <f t="shared" si="624"/>
        <v>2013</v>
      </c>
      <c r="AX279" s="58">
        <f>COUNTIF(AW$3:AW279,AW279)</f>
        <v>36</v>
      </c>
    </row>
    <row r="280" spans="1:50" x14ac:dyDescent="0.25">
      <c r="A280" s="5">
        <v>41385</v>
      </c>
      <c r="B280">
        <v>1555.25</v>
      </c>
      <c r="C280">
        <v>0.06</v>
      </c>
      <c r="D280" s="6">
        <v>14.97</v>
      </c>
      <c r="E280" s="18">
        <f t="shared" si="637"/>
        <v>13.65</v>
      </c>
      <c r="F280">
        <f t="shared" si="638"/>
        <v>2</v>
      </c>
      <c r="G280" s="18">
        <f>ROUND(INDEX(Valuation!U:U,MATCH(A280,Valuation!A:A,0)),2)</f>
        <v>174.1</v>
      </c>
      <c r="H280">
        <f t="shared" si="609"/>
        <v>2</v>
      </c>
      <c r="I280" s="18">
        <f>INDEX(WeeklyIndicators!Y:Y,MATCH(A280,WeeklyIndicators!A:A,0))</f>
        <v>140.13999999999999</v>
      </c>
      <c r="J280">
        <f t="shared" si="634"/>
        <v>1</v>
      </c>
      <c r="K280">
        <f>ROUND(INDEX(Economic!AF:AF,MATCH(EOMONTH($A280,-1),Economic!A:A,0)),2)</f>
        <v>102.7</v>
      </c>
      <c r="L280" s="11">
        <f t="shared" si="643"/>
        <v>0</v>
      </c>
      <c r="M280">
        <f>ROUND(INDEX(Manufacturing!P:P,MATCH(EOMONTH($A280,-1),Manufacturing!A:A,0)),2)</f>
        <v>96.45</v>
      </c>
      <c r="N280">
        <f t="shared" si="639"/>
        <v>1</v>
      </c>
      <c r="O280">
        <f>ROUND(INDEX(Housing!AC:AC,MATCH(EOMONTH($A280,-1),Housing!B:B,0)),2)</f>
        <v>152.07</v>
      </c>
      <c r="P280">
        <f t="shared" si="640"/>
        <v>3</v>
      </c>
      <c r="Q280">
        <f>ROUND(INDEX(Spending!AJ:AJ,MATCH(EOMONTH($A280,-1),Spending!B:B,0)),2)</f>
        <v>58.51</v>
      </c>
      <c r="R280">
        <f t="shared" si="644"/>
        <v>1</v>
      </c>
      <c r="S280">
        <f>ROUND(INDEX(Employment!V:V,MATCH(EOMONTH($A280,-1),Employment!A:A,0)),2)</f>
        <v>166.04</v>
      </c>
      <c r="T280" s="11">
        <f t="shared" si="641"/>
        <v>1</v>
      </c>
      <c r="U280">
        <f t="shared" si="633"/>
        <v>31</v>
      </c>
      <c r="V280">
        <f t="shared" si="625"/>
        <v>77.59</v>
      </c>
      <c r="W280" s="13">
        <f t="shared" si="626"/>
        <v>-2.2000000000000001E-3</v>
      </c>
      <c r="X280" s="13">
        <f t="shared" si="627"/>
        <v>2.0199999999999999E-2</v>
      </c>
      <c r="Y280">
        <f t="shared" si="619"/>
        <v>86.55</v>
      </c>
      <c r="Z280" s="13">
        <f t="shared" si="614"/>
        <v>-5.1000000000000004E-3</v>
      </c>
      <c r="AA280" s="13">
        <f t="shared" si="610"/>
        <v>9.7999999999999997E-3</v>
      </c>
      <c r="AB280" s="6">
        <f t="shared" si="620"/>
        <v>99.899999999999991</v>
      </c>
      <c r="AC280">
        <f t="shared" si="612"/>
        <v>50</v>
      </c>
      <c r="AD280" s="11">
        <f t="shared" si="613"/>
        <v>2</v>
      </c>
      <c r="AE280">
        <f t="shared" si="611"/>
        <v>35</v>
      </c>
      <c r="AF280">
        <f>IF(AND(AE280&lt;15,OR(AC280&gt;=30,AA280&gt;0.15,X280&gt;=0.15)),2,VLOOKUP(AE280,Table!P:Q,2,FALSE))</f>
        <v>5</v>
      </c>
      <c r="AG280" s="22">
        <f>IF((AB280*0.98)-(D280*0.8)+((AF280-3)*3)+VLOOKUP(AM280,Table!$A$11:$B$13,2,FALSE)&lt;0,0,(AB280*0.98)-(D280*0.8)+((AF280-3)*3)+VLOOKUP(AM280,Table!$A$11:$B$13,2,FALSE))</f>
        <v>99.925999999999988</v>
      </c>
      <c r="AH280" s="22">
        <f t="shared" si="642"/>
        <v>100</v>
      </c>
      <c r="AI280" s="18">
        <f t="shared" si="635"/>
        <v>0.09</v>
      </c>
      <c r="AJ280" s="18">
        <f t="shared" si="636"/>
        <v>0.09</v>
      </c>
      <c r="AK280" t="str">
        <f t="shared" si="621"/>
        <v/>
      </c>
      <c r="AL280">
        <f t="shared" si="632"/>
        <v>35.5</v>
      </c>
      <c r="AM280" s="11" t="str">
        <f t="shared" si="622"/>
        <v>Stocks</v>
      </c>
      <c r="AN280" t="str">
        <f t="shared" si="628"/>
        <v>Buy</v>
      </c>
      <c r="AO280" s="13">
        <f t="shared" si="629"/>
        <v>1.7399999999999999E-2</v>
      </c>
      <c r="AP280" s="13">
        <f t="shared" si="630"/>
        <v>0</v>
      </c>
      <c r="AQ280" s="13">
        <f t="shared" si="631"/>
        <v>1.7399999999999999E-2</v>
      </c>
      <c r="AR280" s="13">
        <f t="shared" si="623"/>
        <v>1.7399999999999999E-2</v>
      </c>
      <c r="AS280" s="6">
        <f t="shared" si="615"/>
        <v>387.30122889047578</v>
      </c>
      <c r="AT280" s="6">
        <f t="shared" si="616"/>
        <v>185.97425508967711</v>
      </c>
      <c r="AU280" s="6">
        <f t="shared" si="617"/>
        <v>628.71137298225585</v>
      </c>
      <c r="AV280" s="6">
        <f t="shared" si="618"/>
        <v>908.36082591239312</v>
      </c>
      <c r="AW280" s="58">
        <f t="shared" si="624"/>
        <v>2013</v>
      </c>
      <c r="AX280" s="58">
        <f>COUNTIF(AW$3:AW280,AW280)</f>
        <v>37</v>
      </c>
    </row>
    <row r="281" spans="1:50" x14ac:dyDescent="0.25">
      <c r="A281" s="5">
        <v>41378</v>
      </c>
      <c r="B281">
        <v>1588.85</v>
      </c>
      <c r="C281">
        <v>7.0000000000000007E-2</v>
      </c>
      <c r="D281" s="6">
        <v>12.06</v>
      </c>
      <c r="E281" s="18">
        <f t="shared" si="637"/>
        <v>12.89</v>
      </c>
      <c r="F281">
        <f t="shared" si="638"/>
        <v>2</v>
      </c>
      <c r="G281" s="18">
        <f>ROUND(INDEX(Valuation!U:U,MATCH(A281,Valuation!A:A,0)),2)</f>
        <v>174.77</v>
      </c>
      <c r="H281">
        <f t="shared" si="609"/>
        <v>2</v>
      </c>
      <c r="I281" s="18">
        <f>INDEX(WeeklyIndicators!Y:Y,MATCH(A281,WeeklyIndicators!A:A,0))</f>
        <v>147.99</v>
      </c>
      <c r="J281">
        <f t="shared" si="634"/>
        <v>1</v>
      </c>
      <c r="K281">
        <f>ROUND(INDEX(Economic!AF:AF,MATCH(EOMONTH($A281,-1),Economic!A:A,0)),2)</f>
        <v>102.7</v>
      </c>
      <c r="L281" s="11">
        <f t="shared" si="643"/>
        <v>0</v>
      </c>
      <c r="M281">
        <f>ROUND(INDEX(Manufacturing!P:P,MATCH(EOMONTH($A281,-1),Manufacturing!A:A,0)),2)</f>
        <v>96.45</v>
      </c>
      <c r="N281">
        <f t="shared" si="639"/>
        <v>1</v>
      </c>
      <c r="O281">
        <f>ROUND(INDEX(Housing!AC:AC,MATCH(EOMONTH($A281,-1),Housing!B:B,0)),2)</f>
        <v>152.07</v>
      </c>
      <c r="P281">
        <f t="shared" si="640"/>
        <v>3</v>
      </c>
      <c r="Q281">
        <f>ROUND(INDEX(Spending!AJ:AJ,MATCH(EOMONTH($A281,-1),Spending!B:B,0)),2)</f>
        <v>58.51</v>
      </c>
      <c r="R281">
        <f t="shared" si="644"/>
        <v>1</v>
      </c>
      <c r="S281">
        <f>ROUND(INDEX(Employment!V:V,MATCH(EOMONTH($A281,-1),Employment!A:A,0)),2)</f>
        <v>166.04</v>
      </c>
      <c r="T281" s="11">
        <f t="shared" si="641"/>
        <v>1</v>
      </c>
      <c r="U281">
        <f t="shared" si="633"/>
        <v>31</v>
      </c>
      <c r="V281">
        <f t="shared" si="625"/>
        <v>78.41</v>
      </c>
      <c r="W281" s="13">
        <f t="shared" si="626"/>
        <v>3.8E-3</v>
      </c>
      <c r="X281" s="13">
        <f t="shared" si="627"/>
        <v>2.81E-2</v>
      </c>
      <c r="Y281">
        <f t="shared" si="619"/>
        <v>87.7</v>
      </c>
      <c r="Z281" s="13">
        <f t="shared" si="614"/>
        <v>5.0000000000000001E-4</v>
      </c>
      <c r="AA281" s="13">
        <f t="shared" si="610"/>
        <v>2.0299999999999999E-2</v>
      </c>
      <c r="AB281" s="6">
        <f t="shared" si="620"/>
        <v>101.92700000000001</v>
      </c>
      <c r="AC281">
        <f t="shared" si="612"/>
        <v>51</v>
      </c>
      <c r="AD281" s="11">
        <f t="shared" si="613"/>
        <v>2</v>
      </c>
      <c r="AE281">
        <f t="shared" si="611"/>
        <v>35</v>
      </c>
      <c r="AF281">
        <f>IF(AND(AE281&lt;15,OR(AC281&gt;=30,AA281&gt;0.15,X281&gt;=0.15)),2,VLOOKUP(AE281,Table!P:Q,2,FALSE))</f>
        <v>5</v>
      </c>
      <c r="AG281" s="22">
        <f>IF((AB281*0.98)-(D281*0.8)+((AF281-3)*3)+VLOOKUP(AM281,Table!$A$11:$B$13,2,FALSE)&lt;0,0,(AB281*0.98)-(D281*0.8)+((AF281-3)*3)+VLOOKUP(AM281,Table!$A$11:$B$13,2,FALSE))</f>
        <v>104.24046000000001</v>
      </c>
      <c r="AH281" s="22">
        <f t="shared" si="642"/>
        <v>100</v>
      </c>
      <c r="AI281" s="18">
        <f t="shared" si="635"/>
        <v>0.09</v>
      </c>
      <c r="AJ281" s="18">
        <f t="shared" si="636"/>
        <v>0.09</v>
      </c>
      <c r="AK281" t="str">
        <f t="shared" si="621"/>
        <v/>
      </c>
      <c r="AL281">
        <f t="shared" si="632"/>
        <v>35.5</v>
      </c>
      <c r="AM281" s="11" t="str">
        <f t="shared" si="622"/>
        <v>Stocks</v>
      </c>
      <c r="AN281" t="str">
        <f t="shared" si="628"/>
        <v>Buy</v>
      </c>
      <c r="AO281" s="13">
        <f t="shared" si="629"/>
        <v>-2.1100000000000001E-2</v>
      </c>
      <c r="AP281" s="13">
        <f t="shared" si="630"/>
        <v>0</v>
      </c>
      <c r="AQ281" s="13">
        <f t="shared" si="631"/>
        <v>-2.1100000000000001E-2</v>
      </c>
      <c r="AR281" s="13">
        <f t="shared" si="623"/>
        <v>-2.1100000000000001E-2</v>
      </c>
      <c r="AS281" s="6">
        <f t="shared" si="615"/>
        <v>395.64943190364266</v>
      </c>
      <c r="AT281" s="6">
        <f t="shared" si="616"/>
        <v>185.97425508967711</v>
      </c>
      <c r="AU281" s="6">
        <f t="shared" si="617"/>
        <v>642.26312491802616</v>
      </c>
      <c r="AV281" s="6">
        <f t="shared" si="618"/>
        <v>927.9403676702351</v>
      </c>
      <c r="AW281" s="58">
        <f t="shared" si="624"/>
        <v>2013</v>
      </c>
      <c r="AX281" s="58">
        <f>COUNTIF(AW$3:AW281,AW281)</f>
        <v>38</v>
      </c>
    </row>
    <row r="282" spans="1:50" x14ac:dyDescent="0.25">
      <c r="A282" s="5">
        <v>41371</v>
      </c>
      <c r="B282">
        <v>1553.28</v>
      </c>
      <c r="C282">
        <v>7.0000000000000007E-2</v>
      </c>
      <c r="D282" s="6">
        <v>13.92</v>
      </c>
      <c r="E282" s="18">
        <f t="shared" si="637"/>
        <v>13.4</v>
      </c>
      <c r="F282">
        <f t="shared" si="638"/>
        <v>2</v>
      </c>
      <c r="G282" s="18">
        <f>ROUND(INDEX(Valuation!U:U,MATCH(A282,Valuation!A:A,0)),2)</f>
        <v>177.69</v>
      </c>
      <c r="H282">
        <f t="shared" si="609"/>
        <v>2</v>
      </c>
      <c r="I282" s="18">
        <f>INDEX(WeeklyIndicators!Y:Y,MATCH(A282,WeeklyIndicators!A:A,0))</f>
        <v>154.84</v>
      </c>
      <c r="J282">
        <f t="shared" si="634"/>
        <v>2</v>
      </c>
      <c r="K282">
        <f>ROUND(INDEX(Economic!AF:AF,MATCH(EOMONTH($A282,-1),Economic!A:A,0)),2)</f>
        <v>102.7</v>
      </c>
      <c r="L282" s="11">
        <f t="shared" si="643"/>
        <v>0</v>
      </c>
      <c r="M282">
        <f>ROUND(INDEX(Manufacturing!P:P,MATCH(EOMONTH($A282,-1),Manufacturing!A:A,0)),2)</f>
        <v>96.45</v>
      </c>
      <c r="N282">
        <f t="shared" si="639"/>
        <v>1</v>
      </c>
      <c r="O282">
        <f>ROUND(INDEX(Housing!AC:AC,MATCH(EOMONTH($A282,-1),Housing!B:B,0)),2)</f>
        <v>152.07</v>
      </c>
      <c r="P282">
        <f t="shared" si="640"/>
        <v>3</v>
      </c>
      <c r="Q282">
        <f>ROUND(INDEX(Spending!AJ:AJ,MATCH(EOMONTH($A282,-1),Spending!B:B,0)),2)</f>
        <v>58.51</v>
      </c>
      <c r="R282">
        <f t="shared" si="644"/>
        <v>1</v>
      </c>
      <c r="S282">
        <f>ROUND(INDEX(Employment!V:V,MATCH(EOMONTH($A282,-1),Employment!A:A,0)),2)</f>
        <v>166.04</v>
      </c>
      <c r="T282" s="11">
        <f t="shared" si="641"/>
        <v>1</v>
      </c>
      <c r="U282">
        <f t="shared" si="633"/>
        <v>32</v>
      </c>
      <c r="V282">
        <f t="shared" si="625"/>
        <v>79.12</v>
      </c>
      <c r="W282" s="13">
        <f t="shared" si="626"/>
        <v>1.0500000000000001E-2</v>
      </c>
      <c r="X282" s="13">
        <f t="shared" si="627"/>
        <v>3.1899999999999998E-2</v>
      </c>
      <c r="Y282">
        <f t="shared" si="619"/>
        <v>88.56</v>
      </c>
      <c r="Z282" s="13">
        <f t="shared" si="614"/>
        <v>7.6E-3</v>
      </c>
      <c r="AA282" s="13">
        <f t="shared" si="610"/>
        <v>2.35E-2</v>
      </c>
      <c r="AB282" s="6">
        <f t="shared" si="620"/>
        <v>103.35900000000001</v>
      </c>
      <c r="AC282">
        <f t="shared" si="612"/>
        <v>52</v>
      </c>
      <c r="AD282" s="11">
        <f t="shared" si="613"/>
        <v>2</v>
      </c>
      <c r="AE282">
        <f t="shared" si="611"/>
        <v>36</v>
      </c>
      <c r="AF282">
        <f>IF(AND(AE282&lt;15,OR(AC282&gt;=30,AA282&gt;0.15,X282&gt;=0.15)),2,VLOOKUP(AE282,Table!P:Q,2,FALSE))</f>
        <v>5</v>
      </c>
      <c r="AG282" s="22">
        <f>IF((AB282*0.98)-(D282*0.8)+((AF282-3)*3)+VLOOKUP(AM282,Table!$A$11:$B$13,2,FALSE)&lt;0,0,(AB282*0.98)-(D282*0.8)+((AF282-3)*3)+VLOOKUP(AM282,Table!$A$11:$B$13,2,FALSE))</f>
        <v>104.15582000000001</v>
      </c>
      <c r="AH282" s="22">
        <f t="shared" si="642"/>
        <v>100</v>
      </c>
      <c r="AI282" s="18">
        <f t="shared" si="635"/>
        <v>0.09</v>
      </c>
      <c r="AJ282" s="18">
        <f t="shared" si="636"/>
        <v>0.09</v>
      </c>
      <c r="AK282" t="str">
        <f t="shared" si="621"/>
        <v/>
      </c>
      <c r="AL282">
        <f t="shared" si="632"/>
        <v>35.5</v>
      </c>
      <c r="AM282" s="11" t="str">
        <f t="shared" si="622"/>
        <v>Stocks</v>
      </c>
      <c r="AN282" t="str">
        <f t="shared" si="628"/>
        <v>Buy</v>
      </c>
      <c r="AO282" s="13">
        <f t="shared" si="629"/>
        <v>2.29E-2</v>
      </c>
      <c r="AP282" s="13">
        <f t="shared" si="630"/>
        <v>0</v>
      </c>
      <c r="AQ282" s="13">
        <f t="shared" si="631"/>
        <v>2.29E-2</v>
      </c>
      <c r="AR282" s="13">
        <f t="shared" si="623"/>
        <v>2.29E-2</v>
      </c>
      <c r="AS282" s="6">
        <f t="shared" si="615"/>
        <v>386.7918974519921</v>
      </c>
      <c r="AT282" s="6">
        <f t="shared" si="616"/>
        <v>185.97425508967711</v>
      </c>
      <c r="AU282" s="6">
        <f t="shared" si="617"/>
        <v>627.8845683038677</v>
      </c>
      <c r="AV282" s="6">
        <f t="shared" si="618"/>
        <v>907.16626030915552</v>
      </c>
      <c r="AW282" s="58">
        <f t="shared" si="624"/>
        <v>2013</v>
      </c>
      <c r="AX282" s="58">
        <f>COUNTIF(AW$3:AW282,AW282)</f>
        <v>39</v>
      </c>
    </row>
    <row r="283" spans="1:50" x14ac:dyDescent="0.25">
      <c r="A283" s="5">
        <v>41364</v>
      </c>
      <c r="B283">
        <v>1569.19</v>
      </c>
      <c r="C283">
        <v>0.08</v>
      </c>
      <c r="D283" s="6">
        <v>12.7</v>
      </c>
      <c r="E283" s="18">
        <f t="shared" si="637"/>
        <v>12.52</v>
      </c>
      <c r="F283">
        <f t="shared" si="638"/>
        <v>2</v>
      </c>
      <c r="G283" s="18">
        <f>ROUND(INDEX(Valuation!U:U,MATCH(A283,Valuation!A:A,0)),2)</f>
        <v>178.14</v>
      </c>
      <c r="H283">
        <f t="shared" si="609"/>
        <v>2</v>
      </c>
      <c r="I283" s="18">
        <f>INDEX(WeeklyIndicators!Y:Y,MATCH(A283,WeeklyIndicators!A:A,0))</f>
        <v>154.31</v>
      </c>
      <c r="J283">
        <f t="shared" si="634"/>
        <v>2</v>
      </c>
      <c r="K283">
        <f>ROUND(INDEX(Economic!AF:AF,MATCH(EOMONTH($A283,-1),Economic!A:A,0)),2)</f>
        <v>99.13</v>
      </c>
      <c r="L283" s="11">
        <f t="shared" si="643"/>
        <v>-1</v>
      </c>
      <c r="M283">
        <f>ROUND(INDEX(Manufacturing!P:P,MATCH(EOMONTH($A283,-1),Manufacturing!A:A,0)),2)</f>
        <v>91.41</v>
      </c>
      <c r="N283">
        <f t="shared" si="639"/>
        <v>1</v>
      </c>
      <c r="O283">
        <f>ROUND(INDEX(Housing!AC:AC,MATCH(EOMONTH($A283,-1),Housing!B:B,0)),2)</f>
        <v>155.71</v>
      </c>
      <c r="P283">
        <f t="shared" si="640"/>
        <v>3</v>
      </c>
      <c r="Q283">
        <f>ROUND(INDEX(Spending!AJ:AJ,MATCH(EOMONTH($A283,-1),Spending!B:B,0)),2)</f>
        <v>61.08</v>
      </c>
      <c r="R283">
        <f t="shared" si="644"/>
        <v>2</v>
      </c>
      <c r="S283">
        <f>ROUND(INDEX(Employment!V:V,MATCH(EOMONTH($A283,-1),Employment!A:A,0)),2)</f>
        <v>163.5</v>
      </c>
      <c r="T283" s="11">
        <f t="shared" si="641"/>
        <v>1</v>
      </c>
      <c r="U283">
        <f t="shared" si="633"/>
        <v>32</v>
      </c>
      <c r="V283">
        <f t="shared" si="625"/>
        <v>78.099999999999994</v>
      </c>
      <c r="W283" s="13">
        <f t="shared" si="626"/>
        <v>8.0999999999999996E-3</v>
      </c>
      <c r="X283" s="13">
        <f t="shared" si="627"/>
        <v>2.53E-2</v>
      </c>
      <c r="Y283">
        <f t="shared" si="619"/>
        <v>87.9</v>
      </c>
      <c r="Z283" s="13">
        <f t="shared" si="614"/>
        <v>6.7999999999999996E-3</v>
      </c>
      <c r="AA283" s="13">
        <f t="shared" si="610"/>
        <v>1.4699999999999998E-2</v>
      </c>
      <c r="AB283" s="6">
        <f t="shared" si="620"/>
        <v>102.05399999999999</v>
      </c>
      <c r="AC283">
        <f t="shared" si="612"/>
        <v>51</v>
      </c>
      <c r="AD283" s="11">
        <f t="shared" si="613"/>
        <v>2</v>
      </c>
      <c r="AE283">
        <f t="shared" si="611"/>
        <v>36</v>
      </c>
      <c r="AF283">
        <f>IF(AND(AE283&lt;15,OR(AC283&gt;=30,AA283&gt;0.15,X283&gt;=0.15)),2,VLOOKUP(AE283,Table!P:Q,2,FALSE))</f>
        <v>5</v>
      </c>
      <c r="AG283" s="22">
        <f>IF((AB283*0.98)-(D283*0.8)+((AF283-3)*3)+VLOOKUP(AM283,Table!$A$11:$B$13,2,FALSE)&lt;0,0,(AB283*0.98)-(D283*0.8)+((AF283-3)*3)+VLOOKUP(AM283,Table!$A$11:$B$13,2,FALSE))</f>
        <v>103.85291999999998</v>
      </c>
      <c r="AH283" s="22">
        <f t="shared" si="642"/>
        <v>100</v>
      </c>
      <c r="AI283" s="18">
        <f t="shared" si="635"/>
        <v>0.09</v>
      </c>
      <c r="AJ283" s="18">
        <f t="shared" si="636"/>
        <v>0.09</v>
      </c>
      <c r="AK283" t="str">
        <f t="shared" si="621"/>
        <v/>
      </c>
      <c r="AL283">
        <f t="shared" si="632"/>
        <v>35</v>
      </c>
      <c r="AM283" s="11" t="str">
        <f t="shared" si="622"/>
        <v>Stocks</v>
      </c>
      <c r="AN283" t="str">
        <f t="shared" si="628"/>
        <v>Buy</v>
      </c>
      <c r="AO283" s="13">
        <f t="shared" si="629"/>
        <v>-1.01E-2</v>
      </c>
      <c r="AP283" s="13">
        <f t="shared" si="630"/>
        <v>0</v>
      </c>
      <c r="AQ283" s="13">
        <f t="shared" si="631"/>
        <v>-1.01E-2</v>
      </c>
      <c r="AR283" s="13">
        <f t="shared" si="623"/>
        <v>-1.01E-2</v>
      </c>
      <c r="AS283" s="6">
        <f t="shared" si="615"/>
        <v>390.738354835834</v>
      </c>
      <c r="AT283" s="6">
        <f t="shared" si="616"/>
        <v>185.97425508967711</v>
      </c>
      <c r="AU283" s="6">
        <f t="shared" si="617"/>
        <v>634.29090645910469</v>
      </c>
      <c r="AV283" s="6">
        <f t="shared" si="618"/>
        <v>916.42212375912266</v>
      </c>
      <c r="AW283" s="58">
        <f t="shared" si="624"/>
        <v>2013</v>
      </c>
      <c r="AX283" s="58">
        <f>COUNTIF(AW$3:AW283,AW283)</f>
        <v>40</v>
      </c>
    </row>
    <row r="284" spans="1:50" x14ac:dyDescent="0.25">
      <c r="A284" s="5">
        <v>41357</v>
      </c>
      <c r="B284">
        <v>1556.89</v>
      </c>
      <c r="C284">
        <v>7.0000000000000007E-2</v>
      </c>
      <c r="D284" s="6">
        <v>13.57</v>
      </c>
      <c r="E284" s="18">
        <f t="shared" si="637"/>
        <v>12.49</v>
      </c>
      <c r="F284">
        <f t="shared" si="638"/>
        <v>2</v>
      </c>
      <c r="G284" s="18">
        <f>ROUND(INDEX(Valuation!U:U,MATCH(A284,Valuation!A:A,0)),2)</f>
        <v>180.39</v>
      </c>
      <c r="H284">
        <f t="shared" ref="H284:H347" si="645">IF(G284&gt;200,3,IF(AND(G284&gt;160,G284&lt;=200),2,IF(AND(G284&gt;120,G284&lt;=160),1,IF(G284&lt;25,-3,IF(AND(G284&lt;50,G284&gt;=25),-2,IF(AND(G284&lt;90,G284&gt;=50),-1,0))))))</f>
        <v>2</v>
      </c>
      <c r="I284" s="18">
        <f>INDEX(WeeklyIndicators!Y:Y,MATCH(A284,WeeklyIndicators!A:A,0))</f>
        <v>148.57</v>
      </c>
      <c r="J284">
        <f t="shared" si="634"/>
        <v>1</v>
      </c>
      <c r="K284">
        <f>ROUND(INDEX(Economic!AF:AF,MATCH(EOMONTH($A284,-1),Economic!A:A,0)),2)</f>
        <v>99.13</v>
      </c>
      <c r="L284" s="11">
        <f t="shared" si="643"/>
        <v>-1</v>
      </c>
      <c r="M284">
        <f>ROUND(INDEX(Manufacturing!P:P,MATCH(EOMONTH($A284,-1),Manufacturing!A:A,0)),2)</f>
        <v>91.41</v>
      </c>
      <c r="N284">
        <f t="shared" si="639"/>
        <v>1</v>
      </c>
      <c r="O284">
        <f>ROUND(INDEX(Housing!AC:AC,MATCH(EOMONTH($A284,-1),Housing!B:B,0)),2)</f>
        <v>155.71</v>
      </c>
      <c r="P284">
        <f t="shared" si="640"/>
        <v>3</v>
      </c>
      <c r="Q284">
        <f>ROUND(INDEX(Spending!AJ:AJ,MATCH(EOMONTH($A284,-1),Spending!B:B,0)),2)</f>
        <v>61.08</v>
      </c>
      <c r="R284">
        <f t="shared" si="644"/>
        <v>2</v>
      </c>
      <c r="S284">
        <f>ROUND(INDEX(Employment!V:V,MATCH(EOMONTH($A284,-1),Employment!A:A,0)),2)</f>
        <v>163.5</v>
      </c>
      <c r="T284" s="11">
        <f t="shared" si="641"/>
        <v>1</v>
      </c>
      <c r="U284">
        <f t="shared" si="633"/>
        <v>31</v>
      </c>
      <c r="V284">
        <f t="shared" si="625"/>
        <v>77.510000000000005</v>
      </c>
      <c r="W284" s="13">
        <f t="shared" si="626"/>
        <v>5.7000000000000002E-3</v>
      </c>
      <c r="X284" s="13">
        <f t="shared" si="627"/>
        <v>1.83E-2</v>
      </c>
      <c r="Y284">
        <f t="shared" si="619"/>
        <v>87.57</v>
      </c>
      <c r="Z284" s="13">
        <f t="shared" si="614"/>
        <v>5.4000000000000003E-3</v>
      </c>
      <c r="AA284" s="13">
        <f t="shared" si="610"/>
        <v>3.700000000000001E-3</v>
      </c>
      <c r="AB284" s="6">
        <f t="shared" si="620"/>
        <v>101.119</v>
      </c>
      <c r="AC284">
        <f t="shared" si="612"/>
        <v>51</v>
      </c>
      <c r="AD284" s="11">
        <f t="shared" si="613"/>
        <v>2</v>
      </c>
      <c r="AE284">
        <f t="shared" si="611"/>
        <v>35</v>
      </c>
      <c r="AF284">
        <f>IF(AND(AE284&lt;15,OR(AC284&gt;=30,AA284&gt;0.15,X284&gt;=0.15)),2,VLOOKUP(AE284,Table!P:Q,2,FALSE))</f>
        <v>5</v>
      </c>
      <c r="AG284" s="22">
        <f>IF((AB284*0.98)-(D284*0.8)+((AF284-3)*3)+VLOOKUP(AM284,Table!$A$11:$B$13,2,FALSE)&lt;0,0,(AB284*0.98)-(D284*0.8)+((AF284-3)*3)+VLOOKUP(AM284,Table!$A$11:$B$13,2,FALSE))</f>
        <v>102.24062000000001</v>
      </c>
      <c r="AH284" s="22">
        <f t="shared" si="642"/>
        <v>100</v>
      </c>
      <c r="AI284" s="18">
        <f t="shared" si="635"/>
        <v>0.09</v>
      </c>
      <c r="AJ284" s="18">
        <f t="shared" si="636"/>
        <v>0.09</v>
      </c>
      <c r="AK284" t="str">
        <f t="shared" si="621"/>
        <v/>
      </c>
      <c r="AL284">
        <f t="shared" si="632"/>
        <v>34.5</v>
      </c>
      <c r="AM284" s="11" t="str">
        <f t="shared" si="622"/>
        <v>Stocks</v>
      </c>
      <c r="AN284" t="str">
        <f t="shared" si="628"/>
        <v>Buy</v>
      </c>
      <c r="AO284" s="13">
        <f t="shared" si="629"/>
        <v>7.9000000000000008E-3</v>
      </c>
      <c r="AP284" s="13">
        <f t="shared" si="630"/>
        <v>0</v>
      </c>
      <c r="AQ284" s="13">
        <f t="shared" si="631"/>
        <v>7.9000000000000008E-3</v>
      </c>
      <c r="AR284" s="13">
        <f t="shared" si="623"/>
        <v>7.9000000000000008E-3</v>
      </c>
      <c r="AS284" s="6">
        <f t="shared" si="615"/>
        <v>387.67571667410851</v>
      </c>
      <c r="AT284" s="6">
        <f t="shared" si="616"/>
        <v>185.97425508967711</v>
      </c>
      <c r="AU284" s="6">
        <f t="shared" si="617"/>
        <v>629.31928411459933</v>
      </c>
      <c r="AV284" s="6">
        <f t="shared" si="618"/>
        <v>909.2391345958157</v>
      </c>
      <c r="AW284" s="58">
        <f t="shared" si="624"/>
        <v>2013</v>
      </c>
      <c r="AX284" s="58">
        <f>COUNTIF(AW$3:AW284,AW284)</f>
        <v>41</v>
      </c>
    </row>
    <row r="285" spans="1:50" x14ac:dyDescent="0.25">
      <c r="A285" s="5">
        <v>41350</v>
      </c>
      <c r="B285">
        <v>1560.7</v>
      </c>
      <c r="C285">
        <v>0.1</v>
      </c>
      <c r="D285" s="6">
        <v>11.3</v>
      </c>
      <c r="E285" s="18">
        <f t="shared" si="637"/>
        <v>13.08</v>
      </c>
      <c r="F285">
        <f t="shared" si="638"/>
        <v>2</v>
      </c>
      <c r="G285" s="18">
        <f>ROUND(INDEX(Valuation!U:U,MATCH(A285,Valuation!A:A,0)),2)</f>
        <v>180.81</v>
      </c>
      <c r="H285">
        <f t="shared" si="645"/>
        <v>2</v>
      </c>
      <c r="I285" s="18">
        <f>INDEX(WeeklyIndicators!Y:Y,MATCH(A285,WeeklyIndicators!A:A,0))</f>
        <v>140.61000000000001</v>
      </c>
      <c r="J285">
        <f t="shared" si="634"/>
        <v>1</v>
      </c>
      <c r="K285">
        <f>ROUND(INDEX(Economic!AF:AF,MATCH(EOMONTH($A285,-1),Economic!A:A,0)),2)</f>
        <v>99.13</v>
      </c>
      <c r="L285" s="11">
        <f t="shared" si="643"/>
        <v>-1</v>
      </c>
      <c r="M285">
        <f>ROUND(INDEX(Manufacturing!P:P,MATCH(EOMONTH($A285,-1),Manufacturing!A:A,0)),2)</f>
        <v>91.41</v>
      </c>
      <c r="N285">
        <f t="shared" si="639"/>
        <v>1</v>
      </c>
      <c r="O285">
        <f>ROUND(INDEX(Housing!AC:AC,MATCH(EOMONTH($A285,-1),Housing!B:B,0)),2)</f>
        <v>155.71</v>
      </c>
      <c r="P285">
        <f t="shared" si="640"/>
        <v>3</v>
      </c>
      <c r="Q285">
        <f>ROUND(INDEX(Spending!AJ:AJ,MATCH(EOMONTH($A285,-1),Spending!B:B,0)),2)</f>
        <v>61.08</v>
      </c>
      <c r="R285">
        <f t="shared" si="644"/>
        <v>2</v>
      </c>
      <c r="S285">
        <f>ROUND(INDEX(Employment!V:V,MATCH(EOMONTH($A285,-1),Employment!A:A,0)),2)</f>
        <v>163.5</v>
      </c>
      <c r="T285" s="11">
        <f t="shared" si="641"/>
        <v>1</v>
      </c>
      <c r="U285">
        <f t="shared" si="633"/>
        <v>31</v>
      </c>
      <c r="V285">
        <f t="shared" si="625"/>
        <v>76.680000000000007</v>
      </c>
      <c r="W285" s="13">
        <f t="shared" si="626"/>
        <v>7.6E-3</v>
      </c>
      <c r="X285" s="13">
        <f t="shared" si="627"/>
        <v>5.0000000000000001E-3</v>
      </c>
      <c r="Y285">
        <f t="shared" si="619"/>
        <v>86.58</v>
      </c>
      <c r="Z285" s="13">
        <f t="shared" si="614"/>
        <v>3.7000000000000002E-3</v>
      </c>
      <c r="AA285" s="13">
        <f t="shared" si="610"/>
        <v>-1.1099999999999999E-2</v>
      </c>
      <c r="AB285" s="6">
        <f t="shared" si="620"/>
        <v>99.021000000000001</v>
      </c>
      <c r="AC285">
        <f t="shared" si="612"/>
        <v>50</v>
      </c>
      <c r="AD285" s="11">
        <f t="shared" si="613"/>
        <v>2</v>
      </c>
      <c r="AE285">
        <f t="shared" si="611"/>
        <v>35</v>
      </c>
      <c r="AF285">
        <f>IF(AND(AE285&lt;15,OR(AC285&gt;=30,AA285&gt;0.15,X285&gt;=0.15)),2,VLOOKUP(AE285,Table!P:Q,2,FALSE))</f>
        <v>5</v>
      </c>
      <c r="AG285" s="22">
        <f>IF((AB285*0.98)-(D285*0.8)+((AF285-3)*3)+VLOOKUP(AM285,Table!$A$11:$B$13,2,FALSE)&lt;0,0,(AB285*0.98)-(D285*0.8)+((AF285-3)*3)+VLOOKUP(AM285,Table!$A$11:$B$13,2,FALSE))</f>
        <v>102.00058</v>
      </c>
      <c r="AH285" s="22">
        <f t="shared" si="642"/>
        <v>100</v>
      </c>
      <c r="AI285" s="18">
        <f t="shared" si="635"/>
        <v>0.09</v>
      </c>
      <c r="AJ285" s="18">
        <f t="shared" si="636"/>
        <v>0.09</v>
      </c>
      <c r="AK285" t="str">
        <f t="shared" si="621"/>
        <v/>
      </c>
      <c r="AL285">
        <f t="shared" si="632"/>
        <v>33.75</v>
      </c>
      <c r="AM285" s="11" t="str">
        <f t="shared" si="622"/>
        <v>Stocks</v>
      </c>
      <c r="AN285" t="str">
        <f t="shared" si="628"/>
        <v>Buy</v>
      </c>
      <c r="AO285" s="13">
        <f t="shared" si="629"/>
        <v>-2.3999999999999998E-3</v>
      </c>
      <c r="AP285" s="13">
        <f t="shared" si="630"/>
        <v>0</v>
      </c>
      <c r="AQ285" s="13">
        <f t="shared" si="631"/>
        <v>-2.3999999999999998E-3</v>
      </c>
      <c r="AR285" s="13">
        <f t="shared" si="623"/>
        <v>-2.3999999999999998E-3</v>
      </c>
      <c r="AS285" s="6">
        <f t="shared" si="615"/>
        <v>388.60837677837662</v>
      </c>
      <c r="AT285" s="6">
        <f t="shared" si="616"/>
        <v>185.97425508967711</v>
      </c>
      <c r="AU285" s="6">
        <f t="shared" si="617"/>
        <v>630.83328399619018</v>
      </c>
      <c r="AV285" s="6">
        <f t="shared" si="618"/>
        <v>911.4265583358216</v>
      </c>
      <c r="AW285" s="58">
        <f t="shared" si="624"/>
        <v>2013</v>
      </c>
      <c r="AX285" s="58">
        <f>COUNTIF(AW$3:AW285,AW285)</f>
        <v>42</v>
      </c>
    </row>
    <row r="286" spans="1:50" x14ac:dyDescent="0.25">
      <c r="A286" s="5">
        <v>41343</v>
      </c>
      <c r="B286">
        <v>1551.18</v>
      </c>
      <c r="C286">
        <v>0.1</v>
      </c>
      <c r="D286" s="6">
        <v>12.59</v>
      </c>
      <c r="E286" s="18">
        <f t="shared" si="637"/>
        <v>14.04</v>
      </c>
      <c r="F286">
        <f t="shared" si="638"/>
        <v>1</v>
      </c>
      <c r="G286" s="18">
        <f>ROUND(INDEX(Valuation!U:U,MATCH(A286,Valuation!A:A,0)),2)</f>
        <v>183.9</v>
      </c>
      <c r="H286">
        <f t="shared" si="645"/>
        <v>2</v>
      </c>
      <c r="I286" s="18">
        <f>INDEX(WeeklyIndicators!Y:Y,MATCH(A286,WeeklyIndicators!A:A,0))</f>
        <v>136.27000000000001</v>
      </c>
      <c r="J286">
        <f t="shared" si="634"/>
        <v>1</v>
      </c>
      <c r="K286">
        <f>ROUND(INDEX(Economic!AF:AF,MATCH(EOMONTH($A286,-1),Economic!A:A,0)),2)</f>
        <v>99.13</v>
      </c>
      <c r="L286" s="11">
        <f t="shared" si="643"/>
        <v>-1</v>
      </c>
      <c r="M286">
        <f>ROUND(INDEX(Manufacturing!P:P,MATCH(EOMONTH($A286,-1),Manufacturing!A:A,0)),2)</f>
        <v>91.41</v>
      </c>
      <c r="N286">
        <f t="shared" si="639"/>
        <v>1</v>
      </c>
      <c r="O286">
        <f>ROUND(INDEX(Housing!AC:AC,MATCH(EOMONTH($A286,-1),Housing!B:B,0)),2)</f>
        <v>155.71</v>
      </c>
      <c r="P286">
        <f t="shared" si="640"/>
        <v>3</v>
      </c>
      <c r="Q286">
        <f>ROUND(INDEX(Spending!AJ:AJ,MATCH(EOMONTH($A286,-1),Spending!B:B,0)),2)</f>
        <v>61.08</v>
      </c>
      <c r="R286">
        <f t="shared" si="644"/>
        <v>2</v>
      </c>
      <c r="S286">
        <f>ROUND(INDEX(Employment!V:V,MATCH(EOMONTH($A286,-1),Employment!A:A,0)),2)</f>
        <v>163.5</v>
      </c>
      <c r="T286" s="11">
        <f t="shared" si="641"/>
        <v>1</v>
      </c>
      <c r="U286">
        <f t="shared" si="633"/>
        <v>30</v>
      </c>
      <c r="V286">
        <f t="shared" si="625"/>
        <v>76.23</v>
      </c>
      <c r="W286" s="13">
        <f t="shared" si="626"/>
        <v>3.8999999999999998E-3</v>
      </c>
      <c r="X286" s="13">
        <f t="shared" si="627"/>
        <v>-3.4999999999999996E-3</v>
      </c>
      <c r="Y286">
        <f t="shared" si="619"/>
        <v>86.14</v>
      </c>
      <c r="Z286" s="13">
        <f t="shared" si="614"/>
        <v>-1.1999999999999999E-3</v>
      </c>
      <c r="AA286" s="13">
        <f t="shared" si="610"/>
        <v>-1.7000000000000001E-2</v>
      </c>
      <c r="AB286" s="6">
        <f t="shared" si="620"/>
        <v>98.4</v>
      </c>
      <c r="AC286">
        <f t="shared" si="612"/>
        <v>49</v>
      </c>
      <c r="AD286" s="11">
        <f t="shared" si="613"/>
        <v>2</v>
      </c>
      <c r="AE286">
        <f t="shared" si="611"/>
        <v>34</v>
      </c>
      <c r="AF286">
        <f>IF(AND(AE286&lt;15,OR(AC286&gt;=30,AA286&gt;0.15,X286&gt;=0.15)),2,VLOOKUP(AE286,Table!P:Q,2,FALSE))</f>
        <v>5</v>
      </c>
      <c r="AG286" s="22">
        <f>IF((AB286*0.98)-(D286*0.8)+((AF286-3)*3)+VLOOKUP(AM286,Table!$A$11:$B$13,2,FALSE)&lt;0,0,(AB286*0.98)-(D286*0.8)+((AF286-3)*3)+VLOOKUP(AM286,Table!$A$11:$B$13,2,FALSE))</f>
        <v>100.36</v>
      </c>
      <c r="AH286" s="22">
        <f t="shared" si="642"/>
        <v>99</v>
      </c>
      <c r="AI286" s="18">
        <f t="shared" si="635"/>
        <v>0.08</v>
      </c>
      <c r="AJ286" s="18">
        <f t="shared" si="636"/>
        <v>0.09</v>
      </c>
      <c r="AK286" t="str">
        <f t="shared" si="621"/>
        <v/>
      </c>
      <c r="AL286">
        <f t="shared" si="632"/>
        <v>33</v>
      </c>
      <c r="AM286" s="11" t="str">
        <f t="shared" si="622"/>
        <v>Stocks</v>
      </c>
      <c r="AN286" t="str">
        <f t="shared" si="628"/>
        <v>Buy</v>
      </c>
      <c r="AO286" s="13">
        <f t="shared" si="629"/>
        <v>6.1000000000000004E-3</v>
      </c>
      <c r="AP286" s="13">
        <f t="shared" si="630"/>
        <v>0</v>
      </c>
      <c r="AQ286" s="13">
        <f t="shared" si="631"/>
        <v>6.0000000000000001E-3</v>
      </c>
      <c r="AR286" s="13">
        <f t="shared" si="623"/>
        <v>6.1000000000000004E-3</v>
      </c>
      <c r="AS286" s="6">
        <f t="shared" si="615"/>
        <v>386.25223812580919</v>
      </c>
      <c r="AT286" s="6">
        <f t="shared" si="616"/>
        <v>185.97425508967711</v>
      </c>
      <c r="AU286" s="6">
        <f t="shared" si="617"/>
        <v>627.07085884313142</v>
      </c>
      <c r="AV286" s="6">
        <f t="shared" si="618"/>
        <v>905.90056488999267</v>
      </c>
      <c r="AW286" s="58">
        <f t="shared" si="624"/>
        <v>2013</v>
      </c>
      <c r="AX286" s="58">
        <f>COUNTIF(AW$3:AW286,AW286)</f>
        <v>43</v>
      </c>
    </row>
    <row r="287" spans="1:50" x14ac:dyDescent="0.25">
      <c r="A287" s="5">
        <v>41336</v>
      </c>
      <c r="B287">
        <v>1518.2</v>
      </c>
      <c r="C287">
        <v>0.12</v>
      </c>
      <c r="D287" s="6">
        <v>15.36</v>
      </c>
      <c r="E287" s="18">
        <f t="shared" si="637"/>
        <v>14</v>
      </c>
      <c r="F287">
        <f t="shared" si="638"/>
        <v>1</v>
      </c>
      <c r="G287" s="18">
        <f>ROUND(INDEX(Valuation!U:U,MATCH(A287,Valuation!A:A,0)),2)</f>
        <v>184.39</v>
      </c>
      <c r="H287">
        <f t="shared" si="645"/>
        <v>2</v>
      </c>
      <c r="I287" s="18">
        <f>INDEX(WeeklyIndicators!Y:Y,MATCH(A287,WeeklyIndicators!A:A,0))</f>
        <v>135.94</v>
      </c>
      <c r="J287">
        <f t="shared" si="634"/>
        <v>1</v>
      </c>
      <c r="K287">
        <f>ROUND(INDEX(Economic!AF:AF,MATCH(EOMONTH($A287,-1),Economic!A:A,0)),2)</f>
        <v>99.13</v>
      </c>
      <c r="L287" s="11">
        <f t="shared" si="643"/>
        <v>-1</v>
      </c>
      <c r="M287">
        <f>ROUND(INDEX(Manufacturing!P:P,MATCH(EOMONTH($A287,-1),Manufacturing!A:A,0)),2)</f>
        <v>91.41</v>
      </c>
      <c r="N287">
        <f t="shared" si="639"/>
        <v>1</v>
      </c>
      <c r="O287">
        <f>ROUND(INDEX(Housing!AC:AC,MATCH(EOMONTH($A287,-1),Housing!B:B,0)),2)</f>
        <v>155.71</v>
      </c>
      <c r="P287">
        <f t="shared" si="640"/>
        <v>3</v>
      </c>
      <c r="Q287">
        <f>ROUND(INDEX(Spending!AJ:AJ,MATCH(EOMONTH($A287,-1),Spending!B:B,0)),2)</f>
        <v>61.08</v>
      </c>
      <c r="R287">
        <f t="shared" si="644"/>
        <v>2</v>
      </c>
      <c r="S287">
        <f>ROUND(INDEX(Employment!V:V,MATCH(EOMONTH($A287,-1),Employment!A:A,0)),2)</f>
        <v>163.5</v>
      </c>
      <c r="T287" s="11">
        <f t="shared" si="641"/>
        <v>1</v>
      </c>
      <c r="U287">
        <f t="shared" si="633"/>
        <v>30</v>
      </c>
      <c r="V287">
        <f t="shared" si="625"/>
        <v>76.2</v>
      </c>
      <c r="W287" s="13">
        <f t="shared" si="626"/>
        <v>1.1000000000000001E-3</v>
      </c>
      <c r="X287" s="13">
        <f t="shared" si="627"/>
        <v>-6.9999999999999993E-3</v>
      </c>
      <c r="Y287">
        <f t="shared" si="619"/>
        <v>86.17</v>
      </c>
      <c r="Z287" s="13">
        <f t="shared" si="614"/>
        <v>-4.1999999999999997E-3</v>
      </c>
      <c r="AA287" s="13">
        <f t="shared" si="610"/>
        <v>-1.6800000000000002E-2</v>
      </c>
      <c r="AB287" s="6">
        <f t="shared" si="620"/>
        <v>98.448999999999998</v>
      </c>
      <c r="AC287">
        <f t="shared" si="612"/>
        <v>49</v>
      </c>
      <c r="AD287" s="11">
        <f t="shared" si="613"/>
        <v>2</v>
      </c>
      <c r="AE287">
        <f t="shared" si="611"/>
        <v>34</v>
      </c>
      <c r="AF287">
        <f>IF(AND(AE287&lt;15,OR(AC287&gt;=30,AA287&gt;0.15,X287&gt;=0.15)),2,VLOOKUP(AE287,Table!P:Q,2,FALSE))</f>
        <v>5</v>
      </c>
      <c r="AG287" s="22">
        <f>IF((AB287*0.98)-(D287*0.8)+((AF287-3)*3)+VLOOKUP(AM287,Table!$A$11:$B$13,2,FALSE)&lt;0,0,(AB287*0.98)-(D287*0.8)+((AF287-3)*3)+VLOOKUP(AM287,Table!$A$11:$B$13,2,FALSE))</f>
        <v>98.192019999999999</v>
      </c>
      <c r="AH287" s="22">
        <f t="shared" si="642"/>
        <v>100</v>
      </c>
      <c r="AI287" s="18">
        <f t="shared" si="635"/>
        <v>0.08</v>
      </c>
      <c r="AJ287" s="18">
        <f t="shared" si="636"/>
        <v>0.09</v>
      </c>
      <c r="AK287" t="str">
        <f t="shared" si="621"/>
        <v/>
      </c>
      <c r="AL287">
        <f t="shared" si="632"/>
        <v>32.5</v>
      </c>
      <c r="AM287" s="11" t="str">
        <f t="shared" si="622"/>
        <v>Stocks</v>
      </c>
      <c r="AN287" t="str">
        <f t="shared" si="628"/>
        <v>Buy</v>
      </c>
      <c r="AO287" s="13">
        <f t="shared" si="629"/>
        <v>2.1700000000000001E-2</v>
      </c>
      <c r="AP287" s="13">
        <f t="shared" si="630"/>
        <v>0</v>
      </c>
      <c r="AQ287" s="13">
        <f t="shared" si="631"/>
        <v>2.1700000000000001E-2</v>
      </c>
      <c r="AR287" s="13">
        <f t="shared" si="623"/>
        <v>2.1700000000000001E-2</v>
      </c>
      <c r="AS287" s="6">
        <f t="shared" si="615"/>
        <v>378.04858385613113</v>
      </c>
      <c r="AT287" s="6">
        <f t="shared" si="616"/>
        <v>185.97425508967711</v>
      </c>
      <c r="AU287" s="6">
        <f t="shared" si="617"/>
        <v>613.75243108851066</v>
      </c>
      <c r="AV287" s="6">
        <f t="shared" si="618"/>
        <v>886.66004197904726</v>
      </c>
      <c r="AW287" s="58">
        <f t="shared" si="624"/>
        <v>2013</v>
      </c>
      <c r="AX287" s="58">
        <f>COUNTIF(AW$3:AW287,AW287)</f>
        <v>44</v>
      </c>
    </row>
    <row r="288" spans="1:50" x14ac:dyDescent="0.25">
      <c r="A288" s="5">
        <v>41329</v>
      </c>
      <c r="B288">
        <v>1515.6</v>
      </c>
      <c r="C288">
        <v>0.13</v>
      </c>
      <c r="D288" s="6">
        <v>14.17</v>
      </c>
      <c r="E288" s="18">
        <f t="shared" si="637"/>
        <v>13.22</v>
      </c>
      <c r="F288">
        <f t="shared" si="638"/>
        <v>2</v>
      </c>
      <c r="G288" s="18">
        <f>ROUND(INDEX(Valuation!U:U,MATCH(A288,Valuation!A:A,0)),2)</f>
        <v>188.23</v>
      </c>
      <c r="H288">
        <f t="shared" si="645"/>
        <v>2</v>
      </c>
      <c r="I288" s="18">
        <f>INDEX(WeeklyIndicators!Y:Y,MATCH(A288,WeeklyIndicators!A:A,0))</f>
        <v>136.96</v>
      </c>
      <c r="J288">
        <f t="shared" si="634"/>
        <v>1</v>
      </c>
      <c r="K288">
        <f>ROUND(INDEX(Economic!AF:AF,MATCH(EOMONTH($A288,-1),Economic!A:A,0)),2)</f>
        <v>98.55</v>
      </c>
      <c r="L288" s="11">
        <f t="shared" si="643"/>
        <v>-1</v>
      </c>
      <c r="M288">
        <f>ROUND(INDEX(Manufacturing!P:P,MATCH(EOMONTH($A288,-1),Manufacturing!A:A,0)),2)</f>
        <v>83.81</v>
      </c>
      <c r="N288">
        <f t="shared" si="639"/>
        <v>-1</v>
      </c>
      <c r="O288">
        <f>ROUND(INDEX(Housing!AC:AC,MATCH(EOMONTH($A288,-1),Housing!B:B,0)),2)</f>
        <v>159.56</v>
      </c>
      <c r="P288">
        <f t="shared" si="640"/>
        <v>3</v>
      </c>
      <c r="Q288">
        <f>ROUND(INDEX(Spending!AJ:AJ,MATCH(EOMONTH($A288,-1),Spending!B:B,0)),2)</f>
        <v>58.92</v>
      </c>
      <c r="R288">
        <f t="shared" si="644"/>
        <v>1</v>
      </c>
      <c r="S288">
        <f>ROUND(INDEX(Employment!V:V,MATCH(EOMONTH($A288,-1),Employment!A:A,0)),2)</f>
        <v>160.16</v>
      </c>
      <c r="T288" s="11">
        <f t="shared" si="641"/>
        <v>1</v>
      </c>
      <c r="U288">
        <f t="shared" si="633"/>
        <v>28</v>
      </c>
      <c r="V288">
        <f t="shared" si="625"/>
        <v>74.95</v>
      </c>
      <c r="W288" s="13">
        <f t="shared" si="626"/>
        <v>-7.6E-3</v>
      </c>
      <c r="X288" s="13">
        <f t="shared" si="627"/>
        <v>-4.4000000000000011E-3</v>
      </c>
      <c r="Y288">
        <f t="shared" si="619"/>
        <v>85.63</v>
      </c>
      <c r="Z288" s="13">
        <f t="shared" si="614"/>
        <v>-9.4000000000000004E-3</v>
      </c>
      <c r="AA288" s="13">
        <f t="shared" si="610"/>
        <v>-7.9000000000000008E-3</v>
      </c>
      <c r="AB288" s="6">
        <f t="shared" si="620"/>
        <v>98.882999999999996</v>
      </c>
      <c r="AC288">
        <f t="shared" si="612"/>
        <v>49</v>
      </c>
      <c r="AD288" s="11">
        <f t="shared" si="613"/>
        <v>2</v>
      </c>
      <c r="AE288">
        <f t="shared" si="611"/>
        <v>32</v>
      </c>
      <c r="AF288">
        <f>IF(AND(AE288&lt;15,OR(AC288&gt;=30,AA288&gt;0.15,X288&gt;=0.15)),2,VLOOKUP(AE288,Table!P:Q,2,FALSE))</f>
        <v>5</v>
      </c>
      <c r="AG288" s="22">
        <f>IF((AB288*0.98)-(D288*0.8)+((AF288-3)*3)+VLOOKUP(AM288,Table!$A$11:$B$13,2,FALSE)&lt;0,0,(AB288*0.98)-(D288*0.8)+((AF288-3)*3)+VLOOKUP(AM288,Table!$A$11:$B$13,2,FALSE))</f>
        <v>99.569339999999997</v>
      </c>
      <c r="AH288" s="22">
        <f t="shared" si="642"/>
        <v>100</v>
      </c>
      <c r="AI288" s="18">
        <f t="shared" si="635"/>
        <v>0.08</v>
      </c>
      <c r="AJ288" s="18">
        <f t="shared" si="636"/>
        <v>0.09</v>
      </c>
      <c r="AK288" t="str">
        <f t="shared" si="621"/>
        <v/>
      </c>
      <c r="AL288">
        <f t="shared" si="632"/>
        <v>32.25</v>
      </c>
      <c r="AM288" s="11" t="str">
        <f t="shared" si="622"/>
        <v>Stocks</v>
      </c>
      <c r="AN288" t="str">
        <f t="shared" si="628"/>
        <v>Buy</v>
      </c>
      <c r="AO288" s="13">
        <f t="shared" si="629"/>
        <v>1.6999999999999999E-3</v>
      </c>
      <c r="AP288" s="13">
        <f t="shared" si="630"/>
        <v>0</v>
      </c>
      <c r="AQ288" s="13">
        <f t="shared" si="631"/>
        <v>1.6999999999999999E-3</v>
      </c>
      <c r="AR288" s="13">
        <f t="shared" si="623"/>
        <v>1.6999999999999999E-3</v>
      </c>
      <c r="AS288" s="6">
        <f t="shared" si="615"/>
        <v>377.4069919697825</v>
      </c>
      <c r="AT288" s="6">
        <f t="shared" si="616"/>
        <v>185.97425508967711</v>
      </c>
      <c r="AU288" s="6">
        <f t="shared" si="617"/>
        <v>612.7108226899378</v>
      </c>
      <c r="AV288" s="6">
        <f t="shared" si="618"/>
        <v>885.15527800643633</v>
      </c>
      <c r="AW288" s="58">
        <f t="shared" si="624"/>
        <v>2013</v>
      </c>
      <c r="AX288" s="58">
        <f>COUNTIF(AW$3:AW288,AW288)</f>
        <v>45</v>
      </c>
    </row>
    <row r="289" spans="1:50" x14ac:dyDescent="0.25">
      <c r="A289" s="5">
        <v>41322</v>
      </c>
      <c r="B289">
        <v>1519.79</v>
      </c>
      <c r="C289">
        <v>0.1</v>
      </c>
      <c r="D289" s="6">
        <v>12.46</v>
      </c>
      <c r="E289" s="18">
        <f t="shared" si="637"/>
        <v>12.79</v>
      </c>
      <c r="F289">
        <f t="shared" si="638"/>
        <v>2</v>
      </c>
      <c r="G289" s="18">
        <f>ROUND(INDEX(Valuation!U:U,MATCH(A289,Valuation!A:A,0)),2)</f>
        <v>190.6</v>
      </c>
      <c r="H289">
        <f t="shared" si="645"/>
        <v>2</v>
      </c>
      <c r="I289" s="18">
        <f>INDEX(WeeklyIndicators!Y:Y,MATCH(A289,WeeklyIndicators!A:A,0))</f>
        <v>140.82</v>
      </c>
      <c r="J289">
        <f t="shared" si="634"/>
        <v>1</v>
      </c>
      <c r="K289">
        <f>ROUND(INDEX(Economic!AF:AF,MATCH(EOMONTH($A289,-1),Economic!A:A,0)),2)</f>
        <v>98.55</v>
      </c>
      <c r="L289" s="11">
        <f t="shared" si="643"/>
        <v>-1</v>
      </c>
      <c r="M289">
        <f>ROUND(INDEX(Manufacturing!P:P,MATCH(EOMONTH($A289,-1),Manufacturing!A:A,0)),2)</f>
        <v>83.81</v>
      </c>
      <c r="N289">
        <f t="shared" si="639"/>
        <v>-1</v>
      </c>
      <c r="O289">
        <f>ROUND(INDEX(Housing!AC:AC,MATCH(EOMONTH($A289,-1),Housing!B:B,0)),2)</f>
        <v>159.56</v>
      </c>
      <c r="P289">
        <f t="shared" si="640"/>
        <v>3</v>
      </c>
      <c r="Q289">
        <f>ROUND(INDEX(Spending!AJ:AJ,MATCH(EOMONTH($A289,-1),Spending!B:B,0)),2)</f>
        <v>58.92</v>
      </c>
      <c r="R289">
        <f t="shared" si="644"/>
        <v>1</v>
      </c>
      <c r="S289">
        <f>ROUND(INDEX(Employment!V:V,MATCH(EOMONTH($A289,-1),Employment!A:A,0)),2)</f>
        <v>160.16</v>
      </c>
      <c r="T289" s="11">
        <f t="shared" si="641"/>
        <v>1</v>
      </c>
      <c r="U289">
        <f t="shared" si="633"/>
        <v>28</v>
      </c>
      <c r="V289">
        <f t="shared" si="625"/>
        <v>75.349999999999994</v>
      </c>
      <c r="W289" s="13">
        <f t="shared" si="626"/>
        <v>-8.9999999999999998E-4</v>
      </c>
      <c r="X289" s="13">
        <f t="shared" si="627"/>
        <v>4.3E-3</v>
      </c>
      <c r="Y289">
        <f t="shared" si="619"/>
        <v>86.44</v>
      </c>
      <c r="Z289" s="13">
        <f t="shared" si="614"/>
        <v>-2.2000000000000001E-3</v>
      </c>
      <c r="AA289" s="13">
        <f t="shared" si="610"/>
        <v>5.6000000000000008E-3</v>
      </c>
      <c r="AB289" s="6">
        <f t="shared" si="620"/>
        <v>100.93</v>
      </c>
      <c r="AC289">
        <f t="shared" si="612"/>
        <v>50</v>
      </c>
      <c r="AD289" s="11">
        <f t="shared" si="613"/>
        <v>2</v>
      </c>
      <c r="AE289">
        <f t="shared" si="611"/>
        <v>32</v>
      </c>
      <c r="AF289">
        <f>IF(AND(AE289&lt;15,OR(AC289&gt;=30,AA289&gt;0.15,X289&gt;=0.15)),2,VLOOKUP(AE289,Table!P:Q,2,FALSE))</f>
        <v>5</v>
      </c>
      <c r="AG289" s="22">
        <f>IF((AB289*0.98)-(D289*0.8)+((AF289-3)*3)+VLOOKUP(AM289,Table!$A$11:$B$13,2,FALSE)&lt;0,0,(AB289*0.98)-(D289*0.8)+((AF289-3)*3)+VLOOKUP(AM289,Table!$A$11:$B$13,2,FALSE))</f>
        <v>102.9434</v>
      </c>
      <c r="AH289" s="22">
        <f t="shared" si="642"/>
        <v>100</v>
      </c>
      <c r="AI289" s="18">
        <f t="shared" si="635"/>
        <v>0.08</v>
      </c>
      <c r="AJ289" s="18">
        <f t="shared" si="636"/>
        <v>0.09</v>
      </c>
      <c r="AK289" t="str">
        <f t="shared" si="621"/>
        <v/>
      </c>
      <c r="AL289">
        <f t="shared" si="632"/>
        <v>32.5</v>
      </c>
      <c r="AM289" s="11" t="str">
        <f t="shared" si="622"/>
        <v>Stocks</v>
      </c>
      <c r="AN289" t="str">
        <f t="shared" si="628"/>
        <v>Buy</v>
      </c>
      <c r="AO289" s="13">
        <f t="shared" si="629"/>
        <v>-2.8E-3</v>
      </c>
      <c r="AP289" s="13">
        <f t="shared" si="630"/>
        <v>0</v>
      </c>
      <c r="AQ289" s="13">
        <f t="shared" si="631"/>
        <v>-2.8E-3</v>
      </c>
      <c r="AR289" s="13">
        <f t="shared" si="623"/>
        <v>-2.8E-3</v>
      </c>
      <c r="AS289" s="6">
        <f t="shared" si="615"/>
        <v>378.4666987262159</v>
      </c>
      <c r="AT289" s="6">
        <f t="shared" si="616"/>
        <v>185.97425508967711</v>
      </c>
      <c r="AU289" s="6">
        <f t="shared" si="617"/>
        <v>614.43123013431386</v>
      </c>
      <c r="AV289" s="6">
        <f t="shared" si="618"/>
        <v>887.64067188772196</v>
      </c>
      <c r="AW289" s="58">
        <f t="shared" si="624"/>
        <v>2013</v>
      </c>
      <c r="AX289" s="58">
        <f>COUNTIF(AW$3:AW289,AW289)</f>
        <v>46</v>
      </c>
    </row>
    <row r="290" spans="1:50" x14ac:dyDescent="0.25">
      <c r="A290" s="5">
        <v>41315</v>
      </c>
      <c r="B290">
        <v>1517.93</v>
      </c>
      <c r="C290">
        <v>7.0000000000000007E-2</v>
      </c>
      <c r="D290" s="6">
        <v>13.02</v>
      </c>
      <c r="E290" s="18">
        <f t="shared" si="637"/>
        <v>12.94</v>
      </c>
      <c r="F290">
        <f t="shared" si="638"/>
        <v>2</v>
      </c>
      <c r="G290" s="18">
        <f>ROUND(INDEX(Valuation!U:U,MATCH(A290,Valuation!A:A,0)),2)</f>
        <v>193.12</v>
      </c>
      <c r="H290">
        <f t="shared" si="645"/>
        <v>2</v>
      </c>
      <c r="I290" s="18">
        <f>INDEX(WeeklyIndicators!Y:Y,MATCH(A290,WeeklyIndicators!A:A,0))</f>
        <v>146.56</v>
      </c>
      <c r="J290">
        <f t="shared" si="634"/>
        <v>1</v>
      </c>
      <c r="K290">
        <f>ROUND(INDEX(Economic!AF:AF,MATCH(EOMONTH($A290,-1),Economic!A:A,0)),2)</f>
        <v>98.55</v>
      </c>
      <c r="L290" s="11">
        <f t="shared" si="643"/>
        <v>-1</v>
      </c>
      <c r="M290">
        <f>ROUND(INDEX(Manufacturing!P:P,MATCH(EOMONTH($A290,-1),Manufacturing!A:A,0)),2)</f>
        <v>83.81</v>
      </c>
      <c r="N290">
        <f t="shared" si="639"/>
        <v>-1</v>
      </c>
      <c r="O290">
        <f>ROUND(INDEX(Housing!AC:AC,MATCH(EOMONTH($A290,-1),Housing!B:B,0)),2)</f>
        <v>159.56</v>
      </c>
      <c r="P290">
        <f t="shared" si="640"/>
        <v>3</v>
      </c>
      <c r="Q290">
        <f>ROUND(INDEX(Spending!AJ:AJ,MATCH(EOMONTH($A290,-1),Spending!B:B,0)),2)</f>
        <v>58.92</v>
      </c>
      <c r="R290">
        <f t="shared" si="644"/>
        <v>1</v>
      </c>
      <c r="S290">
        <f>ROUND(INDEX(Employment!V:V,MATCH(EOMONTH($A290,-1),Employment!A:A,0)),2)</f>
        <v>160.16</v>
      </c>
      <c r="T290" s="11">
        <f t="shared" si="641"/>
        <v>1</v>
      </c>
      <c r="U290">
        <f t="shared" si="633"/>
        <v>28</v>
      </c>
      <c r="V290">
        <f t="shared" si="625"/>
        <v>75.94</v>
      </c>
      <c r="W290" s="13">
        <f t="shared" si="626"/>
        <v>4.0000000000000002E-4</v>
      </c>
      <c r="X290" s="13">
        <f t="shared" si="627"/>
        <v>2.2499999999999999E-2</v>
      </c>
      <c r="Y290">
        <f t="shared" si="619"/>
        <v>87.26</v>
      </c>
      <c r="Z290" s="13">
        <f t="shared" si="614"/>
        <v>-1E-3</v>
      </c>
      <c r="AA290" s="13">
        <f t="shared" si="610"/>
        <v>2.7600000000000003E-2</v>
      </c>
      <c r="AB290" s="6">
        <f t="shared" si="620"/>
        <v>103.682</v>
      </c>
      <c r="AC290">
        <f t="shared" si="612"/>
        <v>52</v>
      </c>
      <c r="AD290" s="11">
        <f t="shared" si="613"/>
        <v>2</v>
      </c>
      <c r="AE290">
        <f t="shared" si="611"/>
        <v>32</v>
      </c>
      <c r="AF290">
        <f>IF(AND(AE290&lt;15,OR(AC290&gt;=30,AA290&gt;0.15,X290&gt;=0.15)),2,VLOOKUP(AE290,Table!P:Q,2,FALSE))</f>
        <v>5</v>
      </c>
      <c r="AG290" s="22">
        <f>IF((AB290*0.98)-(D290*0.8)+((AF290-3)*3)+VLOOKUP(AM290,Table!$A$11:$B$13,2,FALSE)&lt;0,0,(AB290*0.98)-(D290*0.8)+((AF290-3)*3)+VLOOKUP(AM290,Table!$A$11:$B$13,2,FALSE))</f>
        <v>105.19236000000001</v>
      </c>
      <c r="AH290" s="22">
        <f t="shared" si="642"/>
        <v>100</v>
      </c>
      <c r="AI290" s="18">
        <f t="shared" si="635"/>
        <v>0.08</v>
      </c>
      <c r="AJ290" s="18">
        <f t="shared" si="636"/>
        <v>0.09</v>
      </c>
      <c r="AK290" t="str">
        <f t="shared" si="621"/>
        <v/>
      </c>
      <c r="AL290">
        <f t="shared" si="632"/>
        <v>32.75</v>
      </c>
      <c r="AM290" s="11" t="str">
        <f t="shared" si="622"/>
        <v>Stocks</v>
      </c>
      <c r="AN290" t="str">
        <f t="shared" si="628"/>
        <v>Buy</v>
      </c>
      <c r="AO290" s="13">
        <f t="shared" si="629"/>
        <v>1.1999999999999999E-3</v>
      </c>
      <c r="AP290" s="13">
        <f t="shared" si="630"/>
        <v>0</v>
      </c>
      <c r="AQ290" s="13">
        <f t="shared" si="631"/>
        <v>1.1999999999999999E-3</v>
      </c>
      <c r="AR290" s="13">
        <f t="shared" si="623"/>
        <v>1.1999999999999999E-3</v>
      </c>
      <c r="AS290" s="6">
        <f t="shared" si="615"/>
        <v>378.01308302658396</v>
      </c>
      <c r="AT290" s="6">
        <f t="shared" si="616"/>
        <v>185.97425508967711</v>
      </c>
      <c r="AU290" s="6">
        <f t="shared" si="617"/>
        <v>613.69479637865936</v>
      </c>
      <c r="AV290" s="6">
        <f t="shared" si="618"/>
        <v>886.57677975201943</v>
      </c>
      <c r="AW290" s="58">
        <f t="shared" si="624"/>
        <v>2013</v>
      </c>
      <c r="AX290" s="58">
        <f>COUNTIF(AW$3:AW290,AW290)</f>
        <v>47</v>
      </c>
    </row>
    <row r="291" spans="1:50" x14ac:dyDescent="0.25">
      <c r="A291" s="5">
        <v>41308</v>
      </c>
      <c r="B291">
        <v>1513.17</v>
      </c>
      <c r="C291">
        <v>7.0000000000000007E-2</v>
      </c>
      <c r="D291" s="6">
        <v>12.9</v>
      </c>
      <c r="E291" s="18">
        <f t="shared" si="637"/>
        <v>12.75</v>
      </c>
      <c r="F291">
        <f t="shared" si="638"/>
        <v>2</v>
      </c>
      <c r="G291" s="18">
        <f>ROUND(INDEX(Valuation!U:U,MATCH(A291,Valuation!A:A,0)),2)</f>
        <v>193.24</v>
      </c>
      <c r="H291">
        <f t="shared" si="645"/>
        <v>2</v>
      </c>
      <c r="I291" s="18">
        <f>INDEX(WeeklyIndicators!Y:Y,MATCH(A291,WeeklyIndicators!A:A,0))</f>
        <v>153.68</v>
      </c>
      <c r="J291">
        <f t="shared" si="634"/>
        <v>2</v>
      </c>
      <c r="K291">
        <f>ROUND(INDEX(Economic!AF:AF,MATCH(EOMONTH($A291,-1),Economic!A:A,0)),2)</f>
        <v>98.55</v>
      </c>
      <c r="L291" s="11">
        <f t="shared" si="643"/>
        <v>-1</v>
      </c>
      <c r="M291">
        <f>ROUND(INDEX(Manufacturing!P:P,MATCH(EOMONTH($A291,-1),Manufacturing!A:A,0)),2)</f>
        <v>83.81</v>
      </c>
      <c r="N291">
        <f t="shared" si="639"/>
        <v>-1</v>
      </c>
      <c r="O291">
        <f>ROUND(INDEX(Housing!AC:AC,MATCH(EOMONTH($A291,-1),Housing!B:B,0)),2)</f>
        <v>159.56</v>
      </c>
      <c r="P291">
        <f t="shared" si="640"/>
        <v>3</v>
      </c>
      <c r="Q291">
        <f>ROUND(INDEX(Spending!AJ:AJ,MATCH(EOMONTH($A291,-1),Spending!B:B,0)),2)</f>
        <v>58.92</v>
      </c>
      <c r="R291">
        <f t="shared" si="644"/>
        <v>1</v>
      </c>
      <c r="S291">
        <f>ROUND(INDEX(Employment!V:V,MATCH(EOMONTH($A291,-1),Employment!A:A,0)),2)</f>
        <v>160.16</v>
      </c>
      <c r="T291" s="11">
        <f t="shared" si="641"/>
        <v>1</v>
      </c>
      <c r="U291">
        <f t="shared" si="633"/>
        <v>29</v>
      </c>
      <c r="V291">
        <f t="shared" si="625"/>
        <v>76.680000000000007</v>
      </c>
      <c r="W291" s="13">
        <f t="shared" si="626"/>
        <v>3.7000000000000002E-3</v>
      </c>
      <c r="X291" s="13">
        <f t="shared" si="627"/>
        <v>4.8100000000000004E-2</v>
      </c>
      <c r="Y291">
        <f t="shared" si="619"/>
        <v>88.08</v>
      </c>
      <c r="Z291" s="13">
        <f t="shared" si="614"/>
        <v>4.7000000000000002E-3</v>
      </c>
      <c r="AA291" s="13">
        <f t="shared" si="610"/>
        <v>5.1799999999999999E-2</v>
      </c>
      <c r="AB291" s="6">
        <f t="shared" si="620"/>
        <v>106.414</v>
      </c>
      <c r="AC291">
        <f t="shared" si="612"/>
        <v>53</v>
      </c>
      <c r="AD291" s="11">
        <f t="shared" si="613"/>
        <v>2</v>
      </c>
      <c r="AE291">
        <f t="shared" si="611"/>
        <v>33</v>
      </c>
      <c r="AF291">
        <f>IF(AND(AE291&lt;15,OR(AC291&gt;=30,AA291&gt;0.15,X291&gt;=0.15)),2,VLOOKUP(AE291,Table!P:Q,2,FALSE))</f>
        <v>5</v>
      </c>
      <c r="AG291" s="22">
        <f>IF((AB291*0.98)-(D291*0.8)+((AF291-3)*3)+VLOOKUP(AM291,Table!$A$11:$B$13,2,FALSE)&lt;0,0,(AB291*0.98)-(D291*0.8)+((AF291-3)*3)+VLOOKUP(AM291,Table!$A$11:$B$13,2,FALSE))</f>
        <v>107.96572</v>
      </c>
      <c r="AH291" s="22">
        <f t="shared" si="642"/>
        <v>100</v>
      </c>
      <c r="AI291" s="18">
        <f t="shared" si="635"/>
        <v>0.08</v>
      </c>
      <c r="AJ291" s="18">
        <f t="shared" si="636"/>
        <v>0.09</v>
      </c>
      <c r="AK291" t="str">
        <f t="shared" si="621"/>
        <v/>
      </c>
      <c r="AL291">
        <f t="shared" si="632"/>
        <v>32.75</v>
      </c>
      <c r="AM291" s="11" t="str">
        <f t="shared" si="622"/>
        <v>Stocks</v>
      </c>
      <c r="AN291" t="str">
        <f t="shared" si="628"/>
        <v>Buy</v>
      </c>
      <c r="AO291" s="13">
        <f t="shared" si="629"/>
        <v>3.0999999999999999E-3</v>
      </c>
      <c r="AP291" s="13">
        <f t="shared" si="630"/>
        <v>0</v>
      </c>
      <c r="AQ291" s="13">
        <f t="shared" si="631"/>
        <v>3.0999999999999999E-3</v>
      </c>
      <c r="AR291" s="13">
        <f t="shared" si="623"/>
        <v>3.0999999999999999E-3</v>
      </c>
      <c r="AS291" s="6">
        <f t="shared" si="615"/>
        <v>376.84486394834403</v>
      </c>
      <c r="AT291" s="6">
        <f t="shared" si="616"/>
        <v>185.97425508967711</v>
      </c>
      <c r="AU291" s="6">
        <f t="shared" si="617"/>
        <v>611.79822189079778</v>
      </c>
      <c r="AV291" s="6">
        <f t="shared" si="618"/>
        <v>883.83688540725689</v>
      </c>
      <c r="AW291" s="58">
        <f t="shared" si="624"/>
        <v>2013</v>
      </c>
      <c r="AX291" s="58">
        <f>COUNTIF(AW$3:AW291,AW291)</f>
        <v>48</v>
      </c>
    </row>
    <row r="292" spans="1:50" x14ac:dyDescent="0.25">
      <c r="A292" s="5">
        <v>41301</v>
      </c>
      <c r="B292">
        <v>1502.96</v>
      </c>
      <c r="C292">
        <v>0.08</v>
      </c>
      <c r="D292" s="6">
        <v>12.89</v>
      </c>
      <c r="E292" s="18">
        <f t="shared" si="637"/>
        <v>12.9</v>
      </c>
      <c r="F292">
        <f t="shared" si="638"/>
        <v>2</v>
      </c>
      <c r="G292" s="18">
        <f>ROUND(INDEX(Valuation!U:U,MATCH(A292,Valuation!A:A,0)),2)</f>
        <v>194.42</v>
      </c>
      <c r="H292">
        <f t="shared" si="645"/>
        <v>2</v>
      </c>
      <c r="I292" s="18">
        <f>INDEX(WeeklyIndicators!Y:Y,MATCH(A292,WeeklyIndicators!A:A,0))</f>
        <v>158.32</v>
      </c>
      <c r="J292">
        <f t="shared" si="634"/>
        <v>2</v>
      </c>
      <c r="K292">
        <f>ROUND(INDEX(Economic!AF:AF,MATCH(EOMONTH($A292,-1),Economic!A:A,0)),2)</f>
        <v>97.52</v>
      </c>
      <c r="L292" s="11">
        <f t="shared" si="643"/>
        <v>-1</v>
      </c>
      <c r="M292">
        <f>ROUND(INDEX(Manufacturing!P:P,MATCH(EOMONTH($A292,-1),Manufacturing!A:A,0)),2)</f>
        <v>80</v>
      </c>
      <c r="N292">
        <f t="shared" si="639"/>
        <v>-1</v>
      </c>
      <c r="O292">
        <f>ROUND(INDEX(Housing!AC:AC,MATCH(EOMONTH($A292,-1),Housing!B:B,0)),2)</f>
        <v>155.32</v>
      </c>
      <c r="P292">
        <f t="shared" si="640"/>
        <v>3</v>
      </c>
      <c r="Q292">
        <f>ROUND(INDEX(Spending!AJ:AJ,MATCH(EOMONTH($A292,-1),Spending!B:B,0)),2)</f>
        <v>50.07</v>
      </c>
      <c r="R292">
        <f t="shared" si="644"/>
        <v>1</v>
      </c>
      <c r="S292">
        <f>ROUND(INDEX(Employment!V:V,MATCH(EOMONTH($A292,-1),Employment!A:A,0)),2)</f>
        <v>161.47999999999999</v>
      </c>
      <c r="T292" s="11">
        <f t="shared" si="641"/>
        <v>1</v>
      </c>
      <c r="U292">
        <f t="shared" si="633"/>
        <v>29</v>
      </c>
      <c r="V292">
        <f t="shared" si="625"/>
        <v>75.55</v>
      </c>
      <c r="W292" s="13">
        <f t="shared" si="626"/>
        <v>1.1000000000000001E-3</v>
      </c>
      <c r="X292" s="13">
        <f t="shared" si="627"/>
        <v>7.5199999999999989E-2</v>
      </c>
      <c r="Y292">
        <f t="shared" si="619"/>
        <v>87.03</v>
      </c>
      <c r="Z292" s="13">
        <f t="shared" si="614"/>
        <v>4.1000000000000003E-3</v>
      </c>
      <c r="AA292" s="13">
        <f t="shared" si="610"/>
        <v>7.350000000000001E-2</v>
      </c>
      <c r="AB292" s="6">
        <f t="shared" si="620"/>
        <v>107.16199999999999</v>
      </c>
      <c r="AC292">
        <f t="shared" si="612"/>
        <v>54</v>
      </c>
      <c r="AD292" s="11">
        <f t="shared" si="613"/>
        <v>2</v>
      </c>
      <c r="AE292">
        <f t="shared" si="611"/>
        <v>33</v>
      </c>
      <c r="AF292">
        <f>IF(AND(AE292&lt;15,OR(AC292&gt;=30,AA292&gt;0.15,X292&gt;=0.15)),2,VLOOKUP(AE292,Table!P:Q,2,FALSE))</f>
        <v>5</v>
      </c>
      <c r="AG292" s="22">
        <f>IF((AB292*0.98)-(D292*0.8)+((AF292-3)*3)+VLOOKUP(AM292,Table!$A$11:$B$13,2,FALSE)&lt;0,0,(AB292*0.98)-(D292*0.8)+((AF292-3)*3)+VLOOKUP(AM292,Table!$A$11:$B$13,2,FALSE))</f>
        <v>108.70675999999999</v>
      </c>
      <c r="AH292" s="22">
        <f t="shared" si="642"/>
        <v>100</v>
      </c>
      <c r="AI292" s="18">
        <f t="shared" si="635"/>
        <v>0.08</v>
      </c>
      <c r="AJ292" s="18">
        <f t="shared" si="636"/>
        <v>0.09</v>
      </c>
      <c r="AK292" t="str">
        <f t="shared" si="621"/>
        <v/>
      </c>
      <c r="AL292">
        <f t="shared" si="632"/>
        <v>32.25</v>
      </c>
      <c r="AM292" s="11" t="str">
        <f t="shared" si="622"/>
        <v>Stocks</v>
      </c>
      <c r="AN292" t="str">
        <f t="shared" si="628"/>
        <v>Buy</v>
      </c>
      <c r="AO292" s="13">
        <f t="shared" si="629"/>
        <v>6.7999999999999996E-3</v>
      </c>
      <c r="AP292" s="13">
        <f t="shared" si="630"/>
        <v>0</v>
      </c>
      <c r="AQ292" s="13">
        <f t="shared" si="631"/>
        <v>6.7999999999999996E-3</v>
      </c>
      <c r="AR292" s="13">
        <f t="shared" si="623"/>
        <v>6.7999999999999996E-3</v>
      </c>
      <c r="AS292" s="6">
        <f t="shared" si="615"/>
        <v>374.29962648822413</v>
      </c>
      <c r="AT292" s="6">
        <f t="shared" si="616"/>
        <v>185.97425508967711</v>
      </c>
      <c r="AU292" s="6">
        <f t="shared" si="617"/>
        <v>607.66609246205587</v>
      </c>
      <c r="AV292" s="6">
        <f t="shared" si="618"/>
        <v>877.86738717447054</v>
      </c>
      <c r="AW292" s="58">
        <f t="shared" si="624"/>
        <v>2013</v>
      </c>
      <c r="AX292" s="58">
        <f>COUNTIF(AW$3:AW292,AW292)</f>
        <v>49</v>
      </c>
    </row>
    <row r="293" spans="1:50" x14ac:dyDescent="0.25">
      <c r="A293" s="5">
        <v>41294</v>
      </c>
      <c r="B293">
        <v>1485.98</v>
      </c>
      <c r="C293">
        <v>0.08</v>
      </c>
      <c r="D293" s="6">
        <v>12.46</v>
      </c>
      <c r="E293" s="18">
        <f t="shared" si="637"/>
        <v>13.22</v>
      </c>
      <c r="F293">
        <f t="shared" si="638"/>
        <v>2</v>
      </c>
      <c r="G293" s="18">
        <f>ROUND(INDEX(Valuation!U:U,MATCH(A293,Valuation!A:A,0)),2)</f>
        <v>197.09</v>
      </c>
      <c r="H293">
        <f t="shared" si="645"/>
        <v>2</v>
      </c>
      <c r="I293" s="18">
        <f>INDEX(WeeklyIndicators!Y:Y,MATCH(A293,WeeklyIndicators!A:A,0))</f>
        <v>161.22</v>
      </c>
      <c r="J293">
        <f t="shared" si="634"/>
        <v>2</v>
      </c>
      <c r="K293">
        <f>ROUND(INDEX(Economic!AF:AF,MATCH(EOMONTH($A293,-1),Economic!A:A,0)),2)</f>
        <v>97.52</v>
      </c>
      <c r="L293" s="11">
        <f t="shared" si="643"/>
        <v>-1</v>
      </c>
      <c r="M293">
        <f>ROUND(INDEX(Manufacturing!P:P,MATCH(EOMONTH($A293,-1),Manufacturing!A:A,0)),2)</f>
        <v>80</v>
      </c>
      <c r="N293">
        <f t="shared" si="639"/>
        <v>-1</v>
      </c>
      <c r="O293">
        <f>ROUND(INDEX(Housing!AC:AC,MATCH(EOMONTH($A293,-1),Housing!B:B,0)),2)</f>
        <v>155.32</v>
      </c>
      <c r="P293">
        <f t="shared" si="640"/>
        <v>3</v>
      </c>
      <c r="Q293">
        <f>ROUND(INDEX(Spending!AJ:AJ,MATCH(EOMONTH($A293,-1),Spending!B:B,0)),2)</f>
        <v>50.07</v>
      </c>
      <c r="R293">
        <f t="shared" si="644"/>
        <v>1</v>
      </c>
      <c r="S293">
        <f>ROUND(INDEX(Employment!V:V,MATCH(EOMONTH($A293,-1),Employment!A:A,0)),2)</f>
        <v>161.47999999999999</v>
      </c>
      <c r="T293" s="11">
        <f t="shared" si="641"/>
        <v>1</v>
      </c>
      <c r="U293">
        <f t="shared" si="633"/>
        <v>29</v>
      </c>
      <c r="V293">
        <f t="shared" si="625"/>
        <v>75.86</v>
      </c>
      <c r="W293" s="13">
        <f t="shared" si="626"/>
        <v>1.7299999999999999E-2</v>
      </c>
      <c r="X293" s="13">
        <f t="shared" si="627"/>
        <v>9.11E-2</v>
      </c>
      <c r="Y293">
        <f t="shared" si="619"/>
        <v>87.52</v>
      </c>
      <c r="Z293" s="13">
        <f t="shared" si="614"/>
        <v>1.9800000000000002E-2</v>
      </c>
      <c r="AA293" s="13">
        <f t="shared" si="610"/>
        <v>8.4099999999999994E-2</v>
      </c>
      <c r="AB293" s="6">
        <f t="shared" si="620"/>
        <v>108.79900000000001</v>
      </c>
      <c r="AC293">
        <f t="shared" si="612"/>
        <v>54</v>
      </c>
      <c r="AD293" s="11">
        <f t="shared" si="613"/>
        <v>2</v>
      </c>
      <c r="AE293">
        <f t="shared" si="611"/>
        <v>33</v>
      </c>
      <c r="AF293">
        <f>IF(AND(AE293&lt;15,OR(AC293&gt;=30,AA293&gt;0.15,X293&gt;=0.15)),2,VLOOKUP(AE293,Table!P:Q,2,FALSE))</f>
        <v>5</v>
      </c>
      <c r="AG293" s="22">
        <f>IF((AB293*0.98)-(D293*0.8)+((AF293-3)*3)+VLOOKUP(AM293,Table!$A$11:$B$13,2,FALSE)&lt;0,0,(AB293*0.98)-(D293*0.8)+((AF293-3)*3)+VLOOKUP(AM293,Table!$A$11:$B$13,2,FALSE))</f>
        <v>110.65502000000001</v>
      </c>
      <c r="AH293" s="22">
        <f t="shared" si="642"/>
        <v>100</v>
      </c>
      <c r="AI293" s="18">
        <f t="shared" si="635"/>
        <v>0.08</v>
      </c>
      <c r="AJ293" s="18">
        <f t="shared" si="636"/>
        <v>0.09</v>
      </c>
      <c r="AK293" t="str">
        <f t="shared" si="621"/>
        <v/>
      </c>
      <c r="AL293">
        <f t="shared" si="632"/>
        <v>31</v>
      </c>
      <c r="AM293" s="11" t="str">
        <f t="shared" si="622"/>
        <v>Stocks</v>
      </c>
      <c r="AN293" t="str">
        <f t="shared" si="628"/>
        <v>Buy</v>
      </c>
      <c r="AO293" s="13">
        <f t="shared" si="629"/>
        <v>1.14E-2</v>
      </c>
      <c r="AP293" s="13">
        <f t="shared" si="630"/>
        <v>0</v>
      </c>
      <c r="AQ293" s="13">
        <f t="shared" si="631"/>
        <v>1.14E-2</v>
      </c>
      <c r="AR293" s="13">
        <f t="shared" si="623"/>
        <v>1.14E-2</v>
      </c>
      <c r="AS293" s="6">
        <f t="shared" si="615"/>
        <v>370.08070643486661</v>
      </c>
      <c r="AT293" s="6">
        <f t="shared" si="616"/>
        <v>185.97425508967711</v>
      </c>
      <c r="AU293" s="6">
        <f t="shared" si="617"/>
        <v>600.81678115686759</v>
      </c>
      <c r="AV293" s="6">
        <f t="shared" si="618"/>
        <v>867.9725006668682</v>
      </c>
      <c r="AW293" s="58">
        <f t="shared" si="624"/>
        <v>2013</v>
      </c>
      <c r="AX293" s="58">
        <f>COUNTIF(AW$3:AW293,AW293)</f>
        <v>50</v>
      </c>
    </row>
    <row r="294" spans="1:50" x14ac:dyDescent="0.25">
      <c r="A294" s="5">
        <v>41287</v>
      </c>
      <c r="B294">
        <v>1472.05</v>
      </c>
      <c r="C294">
        <v>7.0000000000000007E-2</v>
      </c>
      <c r="D294" s="6">
        <v>13.36</v>
      </c>
      <c r="E294" s="18">
        <f t="shared" si="637"/>
        <v>16.64</v>
      </c>
      <c r="F294">
        <f t="shared" si="638"/>
        <v>0</v>
      </c>
      <c r="G294" s="18">
        <f>ROUND(INDEX(Valuation!U:U,MATCH(A294,Valuation!A:A,0)),2)</f>
        <v>201.75</v>
      </c>
      <c r="H294">
        <f t="shared" si="645"/>
        <v>3</v>
      </c>
      <c r="I294" s="18">
        <f>INDEX(WeeklyIndicators!Y:Y,MATCH(A294,WeeklyIndicators!A:A,0))</f>
        <v>161.21</v>
      </c>
      <c r="J294">
        <f t="shared" si="634"/>
        <v>2</v>
      </c>
      <c r="K294">
        <f>ROUND(INDEX(Economic!AF:AF,MATCH(EOMONTH($A294,-1),Economic!A:A,0)),2)</f>
        <v>97.52</v>
      </c>
      <c r="L294" s="11">
        <f t="shared" si="643"/>
        <v>-1</v>
      </c>
      <c r="M294">
        <f>ROUND(INDEX(Manufacturing!P:P,MATCH(EOMONTH($A294,-1),Manufacturing!A:A,0)),2)</f>
        <v>80</v>
      </c>
      <c r="N294">
        <f t="shared" si="639"/>
        <v>-1</v>
      </c>
      <c r="O294">
        <f>ROUND(INDEX(Housing!AC:AC,MATCH(EOMONTH($A294,-1),Housing!B:B,0)),2)</f>
        <v>155.32</v>
      </c>
      <c r="P294">
        <f t="shared" si="640"/>
        <v>3</v>
      </c>
      <c r="Q294">
        <f>ROUND(INDEX(Spending!AJ:AJ,MATCH(EOMONTH($A294,-1),Spending!B:B,0)),2)</f>
        <v>50.07</v>
      </c>
      <c r="R294">
        <f t="shared" si="644"/>
        <v>1</v>
      </c>
      <c r="S294">
        <f>ROUND(INDEX(Employment!V:V,MATCH(EOMONTH($A294,-1),Employment!A:A,0)),2)</f>
        <v>161.47999999999999</v>
      </c>
      <c r="T294" s="11">
        <f t="shared" si="641"/>
        <v>1</v>
      </c>
      <c r="U294">
        <f t="shared" si="633"/>
        <v>28</v>
      </c>
      <c r="V294">
        <f t="shared" si="625"/>
        <v>75.849999999999994</v>
      </c>
      <c r="W294" s="13">
        <f t="shared" si="626"/>
        <v>2.5999999999999999E-2</v>
      </c>
      <c r="X294" s="13">
        <f t="shared" si="627"/>
        <v>7.8700000000000006E-2</v>
      </c>
      <c r="Y294">
        <f t="shared" si="619"/>
        <v>86.85</v>
      </c>
      <c r="Z294" s="13">
        <f t="shared" si="614"/>
        <v>2.3199999999999998E-2</v>
      </c>
      <c r="AA294" s="13">
        <f t="shared" si="610"/>
        <v>6.9800000000000001E-2</v>
      </c>
      <c r="AB294" s="6">
        <f t="shared" si="620"/>
        <v>107.515</v>
      </c>
      <c r="AC294">
        <f t="shared" si="612"/>
        <v>54</v>
      </c>
      <c r="AD294" s="11">
        <f t="shared" si="613"/>
        <v>2</v>
      </c>
      <c r="AE294">
        <f t="shared" si="611"/>
        <v>32</v>
      </c>
      <c r="AF294">
        <f>IF(AND(AE294&lt;15,OR(AC294&gt;=30,AA294&gt;0.15,X294&gt;=0.15)),2,VLOOKUP(AE294,Table!P:Q,2,FALSE))</f>
        <v>5</v>
      </c>
      <c r="AG294" s="22">
        <f>IF((AB294*0.98)-(D294*0.8)+((AF294-3)*3)+VLOOKUP(AM294,Table!$A$11:$B$13,2,FALSE)&lt;0,0,(AB294*0.98)-(D294*0.8)+((AF294-3)*3)+VLOOKUP(AM294,Table!$A$11:$B$13,2,FALSE))</f>
        <v>108.6767</v>
      </c>
      <c r="AH294" s="22">
        <f t="shared" si="642"/>
        <v>100</v>
      </c>
      <c r="AI294" s="18">
        <f t="shared" si="635"/>
        <v>0.09</v>
      </c>
      <c r="AJ294" s="18">
        <f t="shared" si="636"/>
        <v>0.09</v>
      </c>
      <c r="AK294" t="str">
        <f t="shared" si="621"/>
        <v/>
      </c>
      <c r="AL294">
        <f t="shared" si="632"/>
        <v>29.75</v>
      </c>
      <c r="AM294" s="11" t="str">
        <f t="shared" si="622"/>
        <v>Stocks</v>
      </c>
      <c r="AN294" t="str">
        <f t="shared" si="628"/>
        <v>Buy</v>
      </c>
      <c r="AO294" s="13">
        <f t="shared" si="629"/>
        <v>9.4999999999999998E-3</v>
      </c>
      <c r="AP294" s="13">
        <f t="shared" si="630"/>
        <v>0</v>
      </c>
      <c r="AQ294" s="13">
        <f t="shared" si="631"/>
        <v>9.4999999999999998E-3</v>
      </c>
      <c r="AR294" s="13">
        <f t="shared" si="623"/>
        <v>9.4999999999999998E-3</v>
      </c>
      <c r="AS294" s="6">
        <f t="shared" si="615"/>
        <v>366.59802519550925</v>
      </c>
      <c r="AT294" s="6">
        <f t="shared" si="616"/>
        <v>185.97425508967711</v>
      </c>
      <c r="AU294" s="6">
        <f t="shared" si="617"/>
        <v>595.16273517272668</v>
      </c>
      <c r="AV294" s="6">
        <f t="shared" si="618"/>
        <v>859.80435925395557</v>
      </c>
      <c r="AW294" s="58">
        <f t="shared" si="624"/>
        <v>2013</v>
      </c>
      <c r="AX294" s="58">
        <f>COUNTIF(AW$3:AW294,AW294)</f>
        <v>51</v>
      </c>
    </row>
    <row r="295" spans="1:50" x14ac:dyDescent="0.25">
      <c r="A295" s="5">
        <v>41280</v>
      </c>
      <c r="B295">
        <v>1466.47</v>
      </c>
      <c r="C295">
        <v>7.0000000000000007E-2</v>
      </c>
      <c r="D295" s="6">
        <v>13.83</v>
      </c>
      <c r="E295" s="18">
        <f t="shared" si="637"/>
        <v>18.13</v>
      </c>
      <c r="F295">
        <f t="shared" si="638"/>
        <v>-1</v>
      </c>
      <c r="G295" s="18">
        <f>ROUND(INDEX(Valuation!U:U,MATCH(A295,Valuation!A:A,0)),2)</f>
        <v>203.41</v>
      </c>
      <c r="H295">
        <f t="shared" si="645"/>
        <v>3</v>
      </c>
      <c r="I295" s="18">
        <f>INDEX(WeeklyIndicators!Y:Y,MATCH(A295,WeeklyIndicators!A:A,0))</f>
        <v>155.94999999999999</v>
      </c>
      <c r="J295">
        <f t="shared" si="634"/>
        <v>2</v>
      </c>
      <c r="K295">
        <f>ROUND(INDEX(Economic!AF:AF,MATCH(EOMONTH($A295,-1),Economic!A:A,0)),2)</f>
        <v>97.52</v>
      </c>
      <c r="L295" s="11">
        <f t="shared" si="643"/>
        <v>-1</v>
      </c>
      <c r="M295">
        <f>ROUND(INDEX(Manufacturing!P:P,MATCH(EOMONTH($A295,-1),Manufacturing!A:A,0)),2)</f>
        <v>80</v>
      </c>
      <c r="N295">
        <f t="shared" si="639"/>
        <v>-1</v>
      </c>
      <c r="O295">
        <f>ROUND(INDEX(Housing!AC:AC,MATCH(EOMONTH($A295,-1),Housing!B:B,0)),2)</f>
        <v>155.32</v>
      </c>
      <c r="P295">
        <f t="shared" si="640"/>
        <v>3</v>
      </c>
      <c r="Q295">
        <f>ROUND(INDEX(Spending!AJ:AJ,MATCH(EOMONTH($A295,-1),Spending!B:B,0)),2)</f>
        <v>50.07</v>
      </c>
      <c r="R295">
        <f t="shared" si="644"/>
        <v>1</v>
      </c>
      <c r="S295">
        <f>ROUND(INDEX(Employment!V:V,MATCH(EOMONTH($A295,-1),Employment!A:A,0)),2)</f>
        <v>161.47999999999999</v>
      </c>
      <c r="T295" s="11">
        <f t="shared" si="641"/>
        <v>1</v>
      </c>
      <c r="U295">
        <f t="shared" si="633"/>
        <v>27</v>
      </c>
      <c r="V295">
        <f t="shared" si="625"/>
        <v>75.31</v>
      </c>
      <c r="W295" s="13">
        <f t="shared" si="626"/>
        <v>3.0800000000000001E-2</v>
      </c>
      <c r="X295" s="13">
        <f t="shared" si="627"/>
        <v>5.5000000000000007E-2</v>
      </c>
      <c r="Y295">
        <f t="shared" si="619"/>
        <v>85.96</v>
      </c>
      <c r="Z295" s="13">
        <f t="shared" si="614"/>
        <v>2.64E-2</v>
      </c>
      <c r="AA295" s="13">
        <f t="shared" si="610"/>
        <v>5.0199999999999995E-2</v>
      </c>
      <c r="AB295" s="6">
        <f t="shared" si="620"/>
        <v>105.22099999999999</v>
      </c>
      <c r="AC295">
        <f t="shared" si="612"/>
        <v>53</v>
      </c>
      <c r="AD295" s="11">
        <f t="shared" si="613"/>
        <v>2</v>
      </c>
      <c r="AE295">
        <f t="shared" si="611"/>
        <v>31</v>
      </c>
      <c r="AF295">
        <f>IF(AND(AE295&lt;15,OR(AC295&gt;=30,AA295&gt;0.15,X295&gt;=0.15)),2,VLOOKUP(AE295,Table!P:Q,2,FALSE))</f>
        <v>4</v>
      </c>
      <c r="AG295" s="22">
        <f>IF((AB295*0.98)-(D295*0.8)+((AF295-3)*3)+VLOOKUP(AM295,Table!$A$11:$B$13,2,FALSE)&lt;0,0,(AB295*0.98)-(D295*0.8)+((AF295-3)*3)+VLOOKUP(AM295,Table!$A$11:$B$13,2,FALSE))</f>
        <v>103.05257999999998</v>
      </c>
      <c r="AH295" s="22">
        <f t="shared" si="642"/>
        <v>95</v>
      </c>
      <c r="AI295" s="18">
        <f t="shared" si="635"/>
        <v>0.09</v>
      </c>
      <c r="AJ295" s="18">
        <f t="shared" si="636"/>
        <v>0.09</v>
      </c>
      <c r="AK295" t="str">
        <f t="shared" si="621"/>
        <v/>
      </c>
      <c r="AL295">
        <f t="shared" si="632"/>
        <v>28</v>
      </c>
      <c r="AM295" s="11" t="str">
        <f t="shared" si="622"/>
        <v>Stocks</v>
      </c>
      <c r="AN295" t="str">
        <f t="shared" si="628"/>
        <v>Buy</v>
      </c>
      <c r="AO295" s="13">
        <f t="shared" si="629"/>
        <v>3.8E-3</v>
      </c>
      <c r="AP295" s="13">
        <f t="shared" si="630"/>
        <v>0</v>
      </c>
      <c r="AQ295" s="13">
        <f t="shared" si="631"/>
        <v>3.5999999999999999E-3</v>
      </c>
      <c r="AR295" s="13">
        <f t="shared" si="623"/>
        <v>3.8E-3</v>
      </c>
      <c r="AS295" s="6">
        <f t="shared" si="615"/>
        <v>365.21022633543458</v>
      </c>
      <c r="AT295" s="6">
        <f t="shared" si="616"/>
        <v>185.97425508967711</v>
      </c>
      <c r="AU295" s="6">
        <f t="shared" si="617"/>
        <v>593.02783496684606</v>
      </c>
      <c r="AV295" s="6">
        <f t="shared" si="618"/>
        <v>856.54947126315551</v>
      </c>
      <c r="AW295" s="58">
        <f t="shared" si="624"/>
        <v>2013</v>
      </c>
      <c r="AX295" s="58">
        <f>COUNTIF(AW$3:AW295,AW295)</f>
        <v>52</v>
      </c>
    </row>
    <row r="296" spans="1:50" x14ac:dyDescent="0.25">
      <c r="A296" s="5">
        <v>41273</v>
      </c>
      <c r="B296">
        <v>1402.43</v>
      </c>
      <c r="C296">
        <v>0.06</v>
      </c>
      <c r="D296" s="6">
        <v>22.72</v>
      </c>
      <c r="E296" s="18">
        <f t="shared" si="637"/>
        <v>19.190000000000001</v>
      </c>
      <c r="F296">
        <f t="shared" si="638"/>
        <v>-1</v>
      </c>
      <c r="G296" s="18">
        <f>ROUND(INDEX(Valuation!U:U,MATCH(A296,Valuation!A:A,0)),2)</f>
        <v>204.95</v>
      </c>
      <c r="H296">
        <f t="shared" si="645"/>
        <v>3</v>
      </c>
      <c r="I296" s="18">
        <f>INDEX(WeeklyIndicators!Y:Y,MATCH(A296,WeeklyIndicators!A:A,0))</f>
        <v>143.04</v>
      </c>
      <c r="J296">
        <f t="shared" si="634"/>
        <v>1</v>
      </c>
      <c r="K296">
        <f>ROUND(INDEX(Economic!AF:AF,MATCH(EOMONTH($A296,-1),Economic!A:A,0)),2)</f>
        <v>92.65</v>
      </c>
      <c r="L296" s="11">
        <f t="shared" si="643"/>
        <v>-1</v>
      </c>
      <c r="M296">
        <f>ROUND(INDEX(Manufacturing!P:P,MATCH(EOMONTH($A296,-1),Manufacturing!A:A,0)),2)</f>
        <v>81.239999999999995</v>
      </c>
      <c r="N296">
        <f t="shared" si="639"/>
        <v>-1</v>
      </c>
      <c r="O296">
        <f>ROUND(INDEX(Housing!AC:AC,MATCH(EOMONTH($A296,-1),Housing!B:B,0)),2)</f>
        <v>151.37</v>
      </c>
      <c r="P296">
        <f t="shared" si="640"/>
        <v>3</v>
      </c>
      <c r="Q296">
        <f>ROUND(INDEX(Spending!AJ:AJ,MATCH(EOMONTH($A296,-1),Spending!B:B,0)),2)</f>
        <v>42.09</v>
      </c>
      <c r="R296">
        <f t="shared" si="644"/>
        <v>0</v>
      </c>
      <c r="S296">
        <f>ROUND(INDEX(Employment!V:V,MATCH(EOMONTH($A296,-1),Employment!A:A,0)),2)</f>
        <v>155.58000000000001</v>
      </c>
      <c r="T296" s="11">
        <f t="shared" si="641"/>
        <v>0</v>
      </c>
      <c r="U296">
        <f t="shared" si="633"/>
        <v>24</v>
      </c>
      <c r="V296">
        <f t="shared" si="625"/>
        <v>72.010000000000005</v>
      </c>
      <c r="W296" s="13">
        <f t="shared" si="626"/>
        <v>1.7000000000000001E-2</v>
      </c>
      <c r="X296" s="13">
        <f t="shared" si="627"/>
        <v>2.1200000000000004E-2</v>
      </c>
      <c r="Y296">
        <f t="shared" si="619"/>
        <v>82.47</v>
      </c>
      <c r="Z296" s="13">
        <f t="shared" si="614"/>
        <v>1.47E-2</v>
      </c>
      <c r="AA296" s="13">
        <f t="shared" si="610"/>
        <v>2.2099999999999998E-2</v>
      </c>
      <c r="AB296" s="6">
        <f t="shared" si="620"/>
        <v>99.555000000000007</v>
      </c>
      <c r="AC296">
        <f t="shared" si="612"/>
        <v>50</v>
      </c>
      <c r="AD296" s="11">
        <f t="shared" si="613"/>
        <v>2</v>
      </c>
      <c r="AE296">
        <f t="shared" si="611"/>
        <v>28</v>
      </c>
      <c r="AF296">
        <f>IF(AND(AE296&lt;15,OR(AC296&gt;=30,AA296&gt;0.15,X296&gt;=0.15)),2,VLOOKUP(AE296,Table!P:Q,2,FALSE))</f>
        <v>4</v>
      </c>
      <c r="AG296" s="22">
        <f>IF((AB296*0.98)-(D296*0.8)+((AF296-3)*3)+VLOOKUP(AM296,Table!$A$11:$B$13,2,FALSE)&lt;0,0,(AB296*0.98)-(D296*0.8)+((AF296-3)*3)+VLOOKUP(AM296,Table!$A$11:$B$13,2,FALSE))</f>
        <v>90.387900000000002</v>
      </c>
      <c r="AH296" s="22">
        <f t="shared" si="642"/>
        <v>89</v>
      </c>
      <c r="AI296" s="18">
        <f t="shared" si="635"/>
        <v>0.09</v>
      </c>
      <c r="AJ296" s="18">
        <f t="shared" si="636"/>
        <v>0.09</v>
      </c>
      <c r="AK296" t="str">
        <f t="shared" si="621"/>
        <v/>
      </c>
      <c r="AL296">
        <f t="shared" si="632"/>
        <v>26.75</v>
      </c>
      <c r="AM296" s="11" t="str">
        <f t="shared" si="622"/>
        <v>Stocks</v>
      </c>
      <c r="AN296" t="str">
        <f t="shared" si="628"/>
        <v>Buy</v>
      </c>
      <c r="AO296" s="13">
        <f t="shared" si="629"/>
        <v>4.5699999999999998E-2</v>
      </c>
      <c r="AP296" s="13">
        <f t="shared" si="630"/>
        <v>0</v>
      </c>
      <c r="AQ296" s="13">
        <f t="shared" si="631"/>
        <v>4.07E-2</v>
      </c>
      <c r="AR296" s="13">
        <f t="shared" si="623"/>
        <v>4.5699999999999998E-2</v>
      </c>
      <c r="AS296" s="6">
        <f t="shared" si="615"/>
        <v>349.24952312846375</v>
      </c>
      <c r="AT296" s="6">
        <f t="shared" si="616"/>
        <v>185.97425508967711</v>
      </c>
      <c r="AU296" s="6">
        <f t="shared" si="617"/>
        <v>569.83552893902765</v>
      </c>
      <c r="AV296" s="6">
        <f t="shared" si="618"/>
        <v>819.11587574175712</v>
      </c>
      <c r="AW296" s="58">
        <f t="shared" si="624"/>
        <v>2012</v>
      </c>
      <c r="AX296" s="58">
        <f>COUNTIF(AW$3:AW296,AW296)</f>
        <v>1</v>
      </c>
    </row>
    <row r="297" spans="1:50" x14ac:dyDescent="0.25">
      <c r="A297" s="5">
        <v>41266</v>
      </c>
      <c r="B297">
        <v>1430.15</v>
      </c>
      <c r="C297">
        <v>0.06</v>
      </c>
      <c r="D297" s="6">
        <v>17.84</v>
      </c>
      <c r="E297" s="18">
        <f t="shared" si="637"/>
        <v>16.91</v>
      </c>
      <c r="F297">
        <f t="shared" si="638"/>
        <v>0</v>
      </c>
      <c r="G297" s="18">
        <f>ROUND(INDEX(Valuation!U:U,MATCH(A297,Valuation!A:A,0)),2)</f>
        <v>201.41</v>
      </c>
      <c r="H297">
        <f t="shared" si="645"/>
        <v>3</v>
      </c>
      <c r="I297" s="18">
        <f>INDEX(WeeklyIndicators!Y:Y,MATCH(A297,WeeklyIndicators!A:A,0))</f>
        <v>125.61</v>
      </c>
      <c r="J297">
        <f t="shared" si="634"/>
        <v>0</v>
      </c>
      <c r="K297">
        <f>ROUND(INDEX(Economic!AF:AF,MATCH(EOMONTH($A297,-1),Economic!A:A,0)),2)</f>
        <v>92.65</v>
      </c>
      <c r="L297" s="11">
        <f t="shared" si="643"/>
        <v>-1</v>
      </c>
      <c r="M297">
        <f>ROUND(INDEX(Manufacturing!P:P,MATCH(EOMONTH($A297,-1),Manufacturing!A:A,0)),2)</f>
        <v>81.239999999999995</v>
      </c>
      <c r="N297">
        <f t="shared" si="639"/>
        <v>-1</v>
      </c>
      <c r="O297">
        <f>ROUND(INDEX(Housing!AC:AC,MATCH(EOMONTH($A297,-1),Housing!B:B,0)),2)</f>
        <v>151.37</v>
      </c>
      <c r="P297">
        <f t="shared" si="640"/>
        <v>3</v>
      </c>
      <c r="Q297">
        <f>ROUND(INDEX(Spending!AJ:AJ,MATCH(EOMONTH($A297,-1),Spending!B:B,0)),2)</f>
        <v>42.09</v>
      </c>
      <c r="R297">
        <f t="shared" si="644"/>
        <v>0</v>
      </c>
      <c r="S297">
        <f>ROUND(INDEX(Employment!V:V,MATCH(EOMONTH($A297,-1),Employment!A:A,0)),2)</f>
        <v>155.58000000000001</v>
      </c>
      <c r="T297" s="11">
        <f t="shared" si="641"/>
        <v>0</v>
      </c>
      <c r="U297">
        <f t="shared" si="633"/>
        <v>24</v>
      </c>
      <c r="V297">
        <f t="shared" si="625"/>
        <v>70.2</v>
      </c>
      <c r="W297" s="13">
        <f t="shared" si="626"/>
        <v>4.8999999999999998E-3</v>
      </c>
      <c r="X297" s="13">
        <f t="shared" si="627"/>
        <v>2.3999999999999998E-3</v>
      </c>
      <c r="Y297">
        <f t="shared" si="619"/>
        <v>81.06</v>
      </c>
      <c r="Z297" s="13">
        <f t="shared" si="614"/>
        <v>5.4999999999999997E-3</v>
      </c>
      <c r="AA297" s="13">
        <f t="shared" si="610"/>
        <v>8.0000000000000002E-3</v>
      </c>
      <c r="AB297" s="6">
        <f t="shared" si="620"/>
        <v>96.600999999999999</v>
      </c>
      <c r="AC297">
        <f t="shared" si="612"/>
        <v>48</v>
      </c>
      <c r="AD297" s="11">
        <f t="shared" si="613"/>
        <v>2</v>
      </c>
      <c r="AE297">
        <f t="shared" si="611"/>
        <v>28</v>
      </c>
      <c r="AF297">
        <f>IF(AND(AE297&lt;15,OR(AC297&gt;=30,AA297&gt;0.15,X297&gt;=0.15)),2,VLOOKUP(AE297,Table!P:Q,2,FALSE))</f>
        <v>4</v>
      </c>
      <c r="AG297" s="22">
        <f>IF((AB297*0.98)-(D297*0.8)+((AF297-3)*3)+VLOOKUP(AM297,Table!$A$11:$B$13,2,FALSE)&lt;0,0,(AB297*0.98)-(D297*0.8)+((AF297-3)*3)+VLOOKUP(AM297,Table!$A$11:$B$13,2,FALSE))</f>
        <v>91.396979999999985</v>
      </c>
      <c r="AH297" s="22">
        <f t="shared" si="642"/>
        <v>89</v>
      </c>
      <c r="AI297" s="18">
        <f t="shared" si="635"/>
        <v>0.09</v>
      </c>
      <c r="AJ297" s="18">
        <f t="shared" si="636"/>
        <v>0.09</v>
      </c>
      <c r="AK297" t="str">
        <f t="shared" si="621"/>
        <v/>
      </c>
      <c r="AL297">
        <f t="shared" si="632"/>
        <v>26.25</v>
      </c>
      <c r="AM297" s="11" t="str">
        <f t="shared" si="622"/>
        <v>Stocks</v>
      </c>
      <c r="AN297" t="str">
        <f t="shared" si="628"/>
        <v>Buy</v>
      </c>
      <c r="AO297" s="13">
        <f t="shared" si="629"/>
        <v>-1.9400000000000001E-2</v>
      </c>
      <c r="AP297" s="13">
        <f t="shared" si="630"/>
        <v>0</v>
      </c>
      <c r="AQ297" s="13">
        <f t="shared" si="631"/>
        <v>-1.7299999999999999E-2</v>
      </c>
      <c r="AR297" s="13">
        <f t="shared" si="623"/>
        <v>-1.9400000000000001E-2</v>
      </c>
      <c r="AS297" s="6">
        <f t="shared" si="615"/>
        <v>356.15900788136219</v>
      </c>
      <c r="AT297" s="6">
        <f t="shared" si="616"/>
        <v>185.97425508967711</v>
      </c>
      <c r="AU297" s="6">
        <f t="shared" si="617"/>
        <v>579.86723205355418</v>
      </c>
      <c r="AV297" s="6">
        <f t="shared" si="618"/>
        <v>835.32110518229365</v>
      </c>
      <c r="AW297" s="58">
        <f t="shared" si="624"/>
        <v>2012</v>
      </c>
      <c r="AX297" s="58">
        <f>COUNTIF(AW$3:AW297,AW297)</f>
        <v>2</v>
      </c>
    </row>
    <row r="298" spans="1:50" x14ac:dyDescent="0.25">
      <c r="A298" s="5">
        <v>41259</v>
      </c>
      <c r="B298">
        <v>1413.58</v>
      </c>
      <c r="C298">
        <v>7.0000000000000007E-2</v>
      </c>
      <c r="D298" s="6">
        <v>17</v>
      </c>
      <c r="E298" s="18">
        <f t="shared" si="637"/>
        <v>16.260000000000002</v>
      </c>
      <c r="F298">
        <f t="shared" si="638"/>
        <v>0</v>
      </c>
      <c r="G298" s="18">
        <f>ROUND(INDEX(Valuation!U:U,MATCH(A298,Valuation!A:A,0)),2)</f>
        <v>198.14</v>
      </c>
      <c r="H298">
        <f t="shared" si="645"/>
        <v>2</v>
      </c>
      <c r="I298" s="18">
        <f>INDEX(WeeklyIndicators!Y:Y,MATCH(A298,WeeklyIndicators!A:A,0))</f>
        <v>112.3</v>
      </c>
      <c r="J298">
        <f t="shared" si="634"/>
        <v>-1</v>
      </c>
      <c r="K298">
        <f>ROUND(INDEX(Economic!AF:AF,MATCH(EOMONTH($A298,-1),Economic!A:A,0)),2)</f>
        <v>92.65</v>
      </c>
      <c r="L298" s="11">
        <f t="shared" si="643"/>
        <v>-1</v>
      </c>
      <c r="M298">
        <f>ROUND(INDEX(Manufacturing!P:P,MATCH(EOMONTH($A298,-1),Manufacturing!A:A,0)),2)</f>
        <v>81.239999999999995</v>
      </c>
      <c r="N298">
        <f t="shared" si="639"/>
        <v>-1</v>
      </c>
      <c r="O298">
        <f>ROUND(INDEX(Housing!AC:AC,MATCH(EOMONTH($A298,-1),Housing!B:B,0)),2)</f>
        <v>151.37</v>
      </c>
      <c r="P298">
        <f t="shared" si="640"/>
        <v>3</v>
      </c>
      <c r="Q298">
        <f>ROUND(INDEX(Spending!AJ:AJ,MATCH(EOMONTH($A298,-1),Spending!B:B,0)),2)</f>
        <v>42.09</v>
      </c>
      <c r="R298">
        <f t="shared" si="644"/>
        <v>0</v>
      </c>
      <c r="S298">
        <f>ROUND(INDEX(Employment!V:V,MATCH(EOMONTH($A298,-1),Employment!A:A,0)),2)</f>
        <v>155.58000000000001</v>
      </c>
      <c r="T298" s="11">
        <f t="shared" si="641"/>
        <v>0</v>
      </c>
      <c r="U298">
        <f t="shared" si="633"/>
        <v>22</v>
      </c>
      <c r="V298">
        <f t="shared" si="625"/>
        <v>68.819999999999993</v>
      </c>
      <c r="W298" s="13">
        <f t="shared" si="626"/>
        <v>2.3E-3</v>
      </c>
      <c r="X298" s="13">
        <f t="shared" si="627"/>
        <v>-9.6000000000000009E-3</v>
      </c>
      <c r="Y298">
        <f t="shared" si="619"/>
        <v>79.540000000000006</v>
      </c>
      <c r="Z298" s="13">
        <f t="shared" si="614"/>
        <v>3.5999999999999999E-3</v>
      </c>
      <c r="AA298" s="13">
        <f t="shared" si="610"/>
        <v>-3.2999999999999995E-3</v>
      </c>
      <c r="AB298" s="6">
        <f t="shared" si="620"/>
        <v>93.833999999999989</v>
      </c>
      <c r="AC298">
        <f t="shared" si="612"/>
        <v>47</v>
      </c>
      <c r="AD298" s="11">
        <f t="shared" si="613"/>
        <v>1</v>
      </c>
      <c r="AE298">
        <f t="shared" si="611"/>
        <v>25</v>
      </c>
      <c r="AF298">
        <f>IF(AND(AE298&lt;15,OR(AC298&gt;=30,AA298&gt;0.15,X298&gt;=0.15)),2,VLOOKUP(AE298,Table!P:Q,2,FALSE))</f>
        <v>3</v>
      </c>
      <c r="AG298" s="22">
        <f>IF((AB298*0.98)-(D298*0.8)+((AF298-3)*3)+VLOOKUP(AM298,Table!$A$11:$B$13,2,FALSE)&lt;0,0,(AB298*0.98)-(D298*0.8)+((AF298-3)*3)+VLOOKUP(AM298,Table!$A$11:$B$13,2,FALSE))</f>
        <v>86.357319999999987</v>
      </c>
      <c r="AH298" s="22">
        <f t="shared" si="642"/>
        <v>88</v>
      </c>
      <c r="AI298" s="18">
        <f t="shared" si="635"/>
        <v>0.1</v>
      </c>
      <c r="AJ298" s="18">
        <f t="shared" si="636"/>
        <v>0.1</v>
      </c>
      <c r="AK298" t="str">
        <f t="shared" si="621"/>
        <v/>
      </c>
      <c r="AL298">
        <f t="shared" si="632"/>
        <v>25.5</v>
      </c>
      <c r="AM298" s="11" t="str">
        <f t="shared" si="622"/>
        <v>Stocks</v>
      </c>
      <c r="AN298" t="str">
        <f t="shared" si="628"/>
        <v>Buy</v>
      </c>
      <c r="AO298" s="13">
        <f t="shared" si="629"/>
        <v>1.17E-2</v>
      </c>
      <c r="AP298" s="13">
        <f t="shared" si="630"/>
        <v>0</v>
      </c>
      <c r="AQ298" s="13">
        <f t="shared" si="631"/>
        <v>1.03E-2</v>
      </c>
      <c r="AR298" s="13">
        <f t="shared" si="623"/>
        <v>1.17E-2</v>
      </c>
      <c r="AS298" s="6">
        <f t="shared" si="615"/>
        <v>352.04013826367714</v>
      </c>
      <c r="AT298" s="6">
        <f t="shared" si="616"/>
        <v>185.97425508967711</v>
      </c>
      <c r="AU298" s="6">
        <f t="shared" si="617"/>
        <v>573.95549050138982</v>
      </c>
      <c r="AV298" s="6">
        <f t="shared" si="618"/>
        <v>825.66087296856142</v>
      </c>
      <c r="AW298" s="58">
        <f t="shared" si="624"/>
        <v>2012</v>
      </c>
      <c r="AX298" s="58">
        <f>COUNTIF(AW$3:AW298,AW298)</f>
        <v>3</v>
      </c>
    </row>
    <row r="299" spans="1:50" x14ac:dyDescent="0.25">
      <c r="A299" s="5">
        <v>41252</v>
      </c>
      <c r="B299">
        <v>1418.07</v>
      </c>
      <c r="C299">
        <v>0.1</v>
      </c>
      <c r="D299" s="6">
        <v>15.9</v>
      </c>
      <c r="E299" s="18">
        <f t="shared" si="637"/>
        <v>15.64</v>
      </c>
      <c r="F299">
        <f t="shared" si="638"/>
        <v>1</v>
      </c>
      <c r="G299" s="18">
        <f>ROUND(INDEX(Valuation!U:U,MATCH(A299,Valuation!A:A,0)),2)</f>
        <v>193.86</v>
      </c>
      <c r="H299">
        <f t="shared" si="645"/>
        <v>2</v>
      </c>
      <c r="I299" s="18">
        <f>INDEX(WeeklyIndicators!Y:Y,MATCH(A299,WeeklyIndicators!A:A,0))</f>
        <v>109.03</v>
      </c>
      <c r="J299">
        <f t="shared" si="634"/>
        <v>-1</v>
      </c>
      <c r="K299">
        <f>ROUND(INDEX(Economic!AF:AF,MATCH(EOMONTH($A299,-1),Economic!A:A,0)),2)</f>
        <v>92.65</v>
      </c>
      <c r="L299" s="11">
        <f t="shared" si="643"/>
        <v>-1</v>
      </c>
      <c r="M299">
        <f>ROUND(INDEX(Manufacturing!P:P,MATCH(EOMONTH($A299,-1),Manufacturing!A:A,0)),2)</f>
        <v>81.239999999999995</v>
      </c>
      <c r="N299">
        <f t="shared" si="639"/>
        <v>-1</v>
      </c>
      <c r="O299">
        <f>ROUND(INDEX(Housing!AC:AC,MATCH(EOMONTH($A299,-1),Housing!B:B,0)),2)</f>
        <v>151.37</v>
      </c>
      <c r="P299">
        <f t="shared" si="640"/>
        <v>3</v>
      </c>
      <c r="Q299">
        <f>ROUND(INDEX(Spending!AJ:AJ,MATCH(EOMONTH($A299,-1),Spending!B:B,0)),2)</f>
        <v>42.09</v>
      </c>
      <c r="R299">
        <f t="shared" si="644"/>
        <v>0</v>
      </c>
      <c r="S299">
        <f>ROUND(INDEX(Employment!V:V,MATCH(EOMONTH($A299,-1),Employment!A:A,0)),2)</f>
        <v>155.58000000000001</v>
      </c>
      <c r="T299" s="11">
        <f t="shared" si="641"/>
        <v>0</v>
      </c>
      <c r="U299">
        <f t="shared" si="633"/>
        <v>23</v>
      </c>
      <c r="V299">
        <f t="shared" si="625"/>
        <v>68.48</v>
      </c>
      <c r="W299" s="13">
        <f t="shared" si="626"/>
        <v>-3.0000000000000001E-3</v>
      </c>
      <c r="X299" s="13">
        <f t="shared" si="627"/>
        <v>-1.0200000000000001E-2</v>
      </c>
      <c r="Y299">
        <f t="shared" si="619"/>
        <v>78.94</v>
      </c>
      <c r="Z299" s="13">
        <f t="shared" si="614"/>
        <v>-1.6999999999999999E-3</v>
      </c>
      <c r="AA299" s="13">
        <f t="shared" si="610"/>
        <v>-7.0999999999999995E-3</v>
      </c>
      <c r="AB299" s="6">
        <f t="shared" si="620"/>
        <v>92.525999999999996</v>
      </c>
      <c r="AC299">
        <f t="shared" si="612"/>
        <v>46</v>
      </c>
      <c r="AD299" s="11">
        <f t="shared" si="613"/>
        <v>1</v>
      </c>
      <c r="AE299">
        <f t="shared" si="611"/>
        <v>26</v>
      </c>
      <c r="AF299">
        <f>IF(AND(AE299&lt;15,OR(AC299&gt;=30,AA299&gt;0.15,X299&gt;=0.15)),2,VLOOKUP(AE299,Table!P:Q,2,FALSE))</f>
        <v>4</v>
      </c>
      <c r="AG299" s="22">
        <f>IF((AB299*0.98)-(D299*0.8)+((AF299-3)*3)+VLOOKUP(AM299,Table!$A$11:$B$13,2,FALSE)&lt;0,0,(AB299*0.98)-(D299*0.8)+((AF299-3)*3)+VLOOKUP(AM299,Table!$A$11:$B$13,2,FALSE))</f>
        <v>88.955479999999994</v>
      </c>
      <c r="AH299" s="22">
        <f t="shared" si="642"/>
        <v>88</v>
      </c>
      <c r="AI299" s="18">
        <f t="shared" si="635"/>
        <v>0.1</v>
      </c>
      <c r="AJ299" s="18">
        <f t="shared" si="636"/>
        <v>0.1</v>
      </c>
      <c r="AK299" t="str">
        <f t="shared" si="621"/>
        <v/>
      </c>
      <c r="AL299">
        <f t="shared" si="632"/>
        <v>25.5</v>
      </c>
      <c r="AM299" s="11" t="str">
        <f t="shared" si="622"/>
        <v>Stocks</v>
      </c>
      <c r="AN299" t="str">
        <f t="shared" si="628"/>
        <v>Buy</v>
      </c>
      <c r="AO299" s="13">
        <f t="shared" si="629"/>
        <v>-3.2000000000000002E-3</v>
      </c>
      <c r="AP299" s="13">
        <f t="shared" si="630"/>
        <v>0</v>
      </c>
      <c r="AQ299" s="13">
        <f t="shared" si="631"/>
        <v>-2.8E-3</v>
      </c>
      <c r="AR299" s="13">
        <f t="shared" si="623"/>
        <v>-3.2000000000000002E-3</v>
      </c>
      <c r="AS299" s="6">
        <f t="shared" si="615"/>
        <v>353.17028316982055</v>
      </c>
      <c r="AT299" s="6">
        <f t="shared" si="616"/>
        <v>185.97425508967711</v>
      </c>
      <c r="AU299" s="6">
        <f t="shared" si="617"/>
        <v>575.56707832068776</v>
      </c>
      <c r="AV299" s="6">
        <f t="shared" si="618"/>
        <v>828.31146967151028</v>
      </c>
      <c r="AW299" s="58">
        <f t="shared" si="624"/>
        <v>2012</v>
      </c>
      <c r="AX299" s="58">
        <f>COUNTIF(AW$3:AW299,AW299)</f>
        <v>4</v>
      </c>
    </row>
    <row r="300" spans="1:50" x14ac:dyDescent="0.25">
      <c r="A300" s="5">
        <v>41245</v>
      </c>
      <c r="B300">
        <v>1416.18</v>
      </c>
      <c r="C300">
        <v>0.09</v>
      </c>
      <c r="D300" s="6">
        <v>15.87</v>
      </c>
      <c r="E300" s="18">
        <f t="shared" si="637"/>
        <v>15.81</v>
      </c>
      <c r="F300">
        <f t="shared" si="638"/>
        <v>1</v>
      </c>
      <c r="G300" s="18">
        <f>ROUND(INDEX(Valuation!U:U,MATCH(A300,Valuation!A:A,0)),2)</f>
        <v>195.23</v>
      </c>
      <c r="H300">
        <f t="shared" si="645"/>
        <v>2</v>
      </c>
      <c r="I300" s="18">
        <f>INDEX(WeeklyIndicators!Y:Y,MATCH(A300,WeeklyIndicators!A:A,0))</f>
        <v>115.87</v>
      </c>
      <c r="J300">
        <f t="shared" si="634"/>
        <v>-1</v>
      </c>
      <c r="K300">
        <f>ROUND(INDEX(Economic!AF:AF,MATCH(EOMONTH($A300,-1),Economic!A:A,0)),2)</f>
        <v>92.65</v>
      </c>
      <c r="L300" s="11">
        <f t="shared" si="643"/>
        <v>-1</v>
      </c>
      <c r="M300">
        <f>ROUND(INDEX(Manufacturing!P:P,MATCH(EOMONTH($A300,-1),Manufacturing!A:A,0)),2)</f>
        <v>81.239999999999995</v>
      </c>
      <c r="N300">
        <f t="shared" si="639"/>
        <v>-1</v>
      </c>
      <c r="O300">
        <f>ROUND(INDEX(Housing!AC:AC,MATCH(EOMONTH($A300,-1),Housing!B:B,0)),2)</f>
        <v>151.37</v>
      </c>
      <c r="P300">
        <f t="shared" si="640"/>
        <v>3</v>
      </c>
      <c r="Q300">
        <f>ROUND(INDEX(Spending!AJ:AJ,MATCH(EOMONTH($A300,-1),Spending!B:B,0)),2)</f>
        <v>42.09</v>
      </c>
      <c r="R300">
        <f t="shared" si="644"/>
        <v>0</v>
      </c>
      <c r="S300">
        <f>ROUND(INDEX(Employment!V:V,MATCH(EOMONTH($A300,-1),Employment!A:A,0)),2)</f>
        <v>155.58000000000001</v>
      </c>
      <c r="T300" s="11">
        <f t="shared" si="641"/>
        <v>0</v>
      </c>
      <c r="U300">
        <f t="shared" si="633"/>
        <v>23</v>
      </c>
      <c r="V300">
        <f t="shared" si="625"/>
        <v>69.19</v>
      </c>
      <c r="W300" s="13">
        <f t="shared" si="626"/>
        <v>-1.8E-3</v>
      </c>
      <c r="X300" s="13">
        <f t="shared" si="627"/>
        <v>-3.0000000000000001E-3</v>
      </c>
      <c r="Y300">
        <f t="shared" si="619"/>
        <v>79.75</v>
      </c>
      <c r="Z300" s="13">
        <f t="shared" si="614"/>
        <v>5.9999999999999995E-4</v>
      </c>
      <c r="AA300" s="13">
        <f t="shared" si="610"/>
        <v>-7.6999999999999994E-3</v>
      </c>
      <c r="AB300" s="6">
        <f t="shared" si="620"/>
        <v>93.533000000000001</v>
      </c>
      <c r="AC300">
        <f t="shared" si="612"/>
        <v>47</v>
      </c>
      <c r="AD300" s="11">
        <f t="shared" si="613"/>
        <v>1</v>
      </c>
      <c r="AE300">
        <f t="shared" si="611"/>
        <v>26</v>
      </c>
      <c r="AF300">
        <f>IF(AND(AE300&lt;15,OR(AC300&gt;=30,AA300&gt;0.15,X300&gt;=0.15)),2,VLOOKUP(AE300,Table!P:Q,2,FALSE))</f>
        <v>4</v>
      </c>
      <c r="AG300" s="22">
        <f>IF((AB300*0.98)-(D300*0.8)+((AF300-3)*3)+VLOOKUP(AM300,Table!$A$11:$B$13,2,FALSE)&lt;0,0,(AB300*0.98)-(D300*0.8)+((AF300-3)*3)+VLOOKUP(AM300,Table!$A$11:$B$13,2,FALSE))</f>
        <v>89.966340000000002</v>
      </c>
      <c r="AH300" s="22">
        <f t="shared" si="642"/>
        <v>87</v>
      </c>
      <c r="AI300" s="18">
        <f t="shared" si="635"/>
        <v>0.1</v>
      </c>
      <c r="AJ300" s="18">
        <f t="shared" si="636"/>
        <v>0.1</v>
      </c>
      <c r="AK300" t="str">
        <f t="shared" si="621"/>
        <v/>
      </c>
      <c r="AL300">
        <f t="shared" si="632"/>
        <v>25.5</v>
      </c>
      <c r="AM300" s="11" t="str">
        <f t="shared" si="622"/>
        <v>Stocks</v>
      </c>
      <c r="AN300" t="str">
        <f t="shared" si="628"/>
        <v>Buy</v>
      </c>
      <c r="AO300" s="13">
        <f t="shared" si="629"/>
        <v>1.2999999999999999E-3</v>
      </c>
      <c r="AP300" s="13">
        <f t="shared" si="630"/>
        <v>0</v>
      </c>
      <c r="AQ300" s="13">
        <f t="shared" si="631"/>
        <v>1.1000000000000001E-3</v>
      </c>
      <c r="AR300" s="13">
        <f t="shared" si="623"/>
        <v>1.2999999999999999E-3</v>
      </c>
      <c r="AS300" s="6">
        <f t="shared" si="615"/>
        <v>352.7117578845706</v>
      </c>
      <c r="AT300" s="6">
        <f t="shared" si="616"/>
        <v>185.97425508967711</v>
      </c>
      <c r="AU300" s="6">
        <f t="shared" si="617"/>
        <v>574.93465020546171</v>
      </c>
      <c r="AV300" s="6">
        <f t="shared" si="618"/>
        <v>827.23606278988336</v>
      </c>
      <c r="AW300" s="58">
        <f t="shared" si="624"/>
        <v>2012</v>
      </c>
      <c r="AX300" s="58">
        <f>COUNTIF(AW$3:AW300,AW300)</f>
        <v>5</v>
      </c>
    </row>
    <row r="301" spans="1:50" x14ac:dyDescent="0.25">
      <c r="A301" s="5">
        <v>41238</v>
      </c>
      <c r="B301">
        <v>1409.15</v>
      </c>
      <c r="C301">
        <v>0.09</v>
      </c>
      <c r="D301" s="6">
        <v>15.14</v>
      </c>
      <c r="E301" s="18">
        <f t="shared" si="637"/>
        <v>16.72</v>
      </c>
      <c r="F301">
        <f t="shared" si="638"/>
        <v>0</v>
      </c>
      <c r="G301" s="18">
        <f>ROUND(INDEX(Valuation!U:U,MATCH(A301,Valuation!A:A,0)),2)</f>
        <v>196.2</v>
      </c>
      <c r="H301">
        <f t="shared" si="645"/>
        <v>2</v>
      </c>
      <c r="I301" s="18">
        <f>INDEX(WeeklyIndicators!Y:Y,MATCH(A301,WeeklyIndicators!A:A,0))</f>
        <v>124.05</v>
      </c>
      <c r="J301">
        <f t="shared" si="634"/>
        <v>0</v>
      </c>
      <c r="K301">
        <f>ROUND(INDEX(Economic!AF:AF,MATCH(EOMONTH($A301,-1),Economic!A:A,0)),2)</f>
        <v>84.66</v>
      </c>
      <c r="L301" s="11">
        <f t="shared" si="643"/>
        <v>-1</v>
      </c>
      <c r="M301">
        <f>ROUND(INDEX(Manufacturing!P:P,MATCH(EOMONTH($A301,-1),Manufacturing!A:A,0)),2)</f>
        <v>83.16</v>
      </c>
      <c r="N301">
        <f t="shared" si="639"/>
        <v>-1</v>
      </c>
      <c r="O301">
        <f>ROUND(INDEX(Housing!AC:AC,MATCH(EOMONTH($A301,-1),Housing!B:B,0)),2)</f>
        <v>144.44999999999999</v>
      </c>
      <c r="P301">
        <f t="shared" si="640"/>
        <v>3</v>
      </c>
      <c r="Q301">
        <f>ROUND(INDEX(Spending!AJ:AJ,MATCH(EOMONTH($A301,-1),Spending!B:B,0)),2)</f>
        <v>38.56</v>
      </c>
      <c r="R301">
        <f t="shared" si="644"/>
        <v>-1</v>
      </c>
      <c r="S301">
        <f>ROUND(INDEX(Employment!V:V,MATCH(EOMONTH($A301,-1),Employment!A:A,0)),2)</f>
        <v>154.63999999999999</v>
      </c>
      <c r="T301" s="11">
        <f t="shared" si="641"/>
        <v>0</v>
      </c>
      <c r="U301">
        <f t="shared" si="633"/>
        <v>22</v>
      </c>
      <c r="V301">
        <f t="shared" si="625"/>
        <v>68.34</v>
      </c>
      <c r="W301" s="13">
        <f t="shared" si="626"/>
        <v>-7.1000000000000004E-3</v>
      </c>
      <c r="X301" s="13">
        <f t="shared" si="627"/>
        <v>4.3999999999999994E-3</v>
      </c>
      <c r="Y301">
        <f t="shared" si="619"/>
        <v>78.680000000000007</v>
      </c>
      <c r="Z301" s="13">
        <f t="shared" si="614"/>
        <v>-5.7999999999999996E-3</v>
      </c>
      <c r="AA301" s="13">
        <f t="shared" si="610"/>
        <v>-1.2499999999999997E-2</v>
      </c>
      <c r="AB301" s="6">
        <f t="shared" si="620"/>
        <v>92.28</v>
      </c>
      <c r="AC301">
        <f t="shared" si="612"/>
        <v>46</v>
      </c>
      <c r="AD301" s="11">
        <f t="shared" si="613"/>
        <v>1</v>
      </c>
      <c r="AE301">
        <f t="shared" si="611"/>
        <v>25</v>
      </c>
      <c r="AF301">
        <f>IF(AND(AE301&lt;15,OR(AC301&gt;=30,AA301&gt;0.15,X301&gt;=0.15)),2,VLOOKUP(AE301,Table!P:Q,2,FALSE))</f>
        <v>3</v>
      </c>
      <c r="AG301" s="22">
        <f>IF((AB301*0.98)-(D301*0.8)+((AF301-3)*3)+VLOOKUP(AM301,Table!$A$11:$B$13,2,FALSE)&lt;0,0,(AB301*0.98)-(D301*0.8)+((AF301-3)*3)+VLOOKUP(AM301,Table!$A$11:$B$13,2,FALSE))</f>
        <v>86.322399999999988</v>
      </c>
      <c r="AH301" s="22">
        <f t="shared" si="642"/>
        <v>86</v>
      </c>
      <c r="AI301" s="18">
        <f t="shared" si="635"/>
        <v>0.1</v>
      </c>
      <c r="AJ301" s="18">
        <f t="shared" si="636"/>
        <v>0.1</v>
      </c>
      <c r="AK301" t="str">
        <f t="shared" si="621"/>
        <v/>
      </c>
      <c r="AL301">
        <f t="shared" si="632"/>
        <v>25.5</v>
      </c>
      <c r="AM301" s="11" t="str">
        <f t="shared" si="622"/>
        <v>Stocks</v>
      </c>
      <c r="AN301" t="str">
        <f t="shared" si="628"/>
        <v>Buy</v>
      </c>
      <c r="AO301" s="13">
        <f t="shared" si="629"/>
        <v>5.0000000000000001E-3</v>
      </c>
      <c r="AP301" s="13">
        <f t="shared" si="630"/>
        <v>0</v>
      </c>
      <c r="AQ301" s="13">
        <f t="shared" si="631"/>
        <v>4.3E-3</v>
      </c>
      <c r="AR301" s="13">
        <f t="shared" si="623"/>
        <v>5.0000000000000001E-3</v>
      </c>
      <c r="AS301" s="6">
        <f t="shared" si="615"/>
        <v>350.95697301947325</v>
      </c>
      <c r="AT301" s="6">
        <f t="shared" si="616"/>
        <v>185.97425508967711</v>
      </c>
      <c r="AU301" s="6">
        <f t="shared" si="617"/>
        <v>572.4730162356484</v>
      </c>
      <c r="AV301" s="6">
        <f t="shared" si="618"/>
        <v>823.12046048744617</v>
      </c>
      <c r="AW301" s="58">
        <f t="shared" si="624"/>
        <v>2012</v>
      </c>
      <c r="AX301" s="58">
        <f>COUNTIF(AW$3:AW301,AW301)</f>
        <v>6</v>
      </c>
    </row>
    <row r="302" spans="1:50" x14ac:dyDescent="0.25">
      <c r="A302" s="5">
        <v>41231</v>
      </c>
      <c r="B302">
        <v>1359.88</v>
      </c>
      <c r="C302">
        <v>0.09</v>
      </c>
      <c r="D302" s="6">
        <v>16.41</v>
      </c>
      <c r="E302" s="18">
        <f t="shared" si="637"/>
        <v>17.54</v>
      </c>
      <c r="F302">
        <f t="shared" si="638"/>
        <v>0</v>
      </c>
      <c r="G302" s="18">
        <f>ROUND(INDEX(Valuation!U:U,MATCH(A302,Valuation!A:A,0)),2)</f>
        <v>197.95</v>
      </c>
      <c r="H302">
        <f t="shared" si="645"/>
        <v>2</v>
      </c>
      <c r="I302" s="18">
        <f>INDEX(WeeklyIndicators!Y:Y,MATCH(A302,WeeklyIndicators!A:A,0))</f>
        <v>131.36000000000001</v>
      </c>
      <c r="J302">
        <f t="shared" si="634"/>
        <v>0</v>
      </c>
      <c r="K302">
        <f>ROUND(INDEX(Economic!AF:AF,MATCH(EOMONTH($A302,-1),Economic!A:A,0)),2)</f>
        <v>84.66</v>
      </c>
      <c r="L302" s="11">
        <f t="shared" si="643"/>
        <v>-1</v>
      </c>
      <c r="M302">
        <f>ROUND(INDEX(Manufacturing!P:P,MATCH(EOMONTH($A302,-1),Manufacturing!A:A,0)),2)</f>
        <v>83.16</v>
      </c>
      <c r="N302">
        <f t="shared" si="639"/>
        <v>-1</v>
      </c>
      <c r="O302">
        <f>ROUND(INDEX(Housing!AC:AC,MATCH(EOMONTH($A302,-1),Housing!B:B,0)),2)</f>
        <v>144.44999999999999</v>
      </c>
      <c r="P302">
        <f t="shared" si="640"/>
        <v>3</v>
      </c>
      <c r="Q302">
        <f>ROUND(INDEX(Spending!AJ:AJ,MATCH(EOMONTH($A302,-1),Spending!B:B,0)),2)</f>
        <v>38.56</v>
      </c>
      <c r="R302">
        <f t="shared" si="644"/>
        <v>-1</v>
      </c>
      <c r="S302">
        <f>ROUND(INDEX(Employment!V:V,MATCH(EOMONTH($A302,-1),Employment!A:A,0)),2)</f>
        <v>154.63999999999999</v>
      </c>
      <c r="T302" s="11">
        <f t="shared" si="641"/>
        <v>0</v>
      </c>
      <c r="U302">
        <f t="shared" si="633"/>
        <v>22</v>
      </c>
      <c r="V302">
        <f t="shared" si="625"/>
        <v>69.099999999999994</v>
      </c>
      <c r="W302" s="13">
        <f t="shared" si="626"/>
        <v>1.6999999999999999E-3</v>
      </c>
      <c r="X302" s="13">
        <f t="shared" si="627"/>
        <v>1.23E-2</v>
      </c>
      <c r="Y302">
        <f t="shared" si="619"/>
        <v>79.349999999999994</v>
      </c>
      <c r="Z302" s="13">
        <f t="shared" si="614"/>
        <v>-2.0000000000000001E-4</v>
      </c>
      <c r="AA302" s="13">
        <f t="shared" si="610"/>
        <v>-1.7399999999999999E-2</v>
      </c>
      <c r="AB302" s="6">
        <f t="shared" si="620"/>
        <v>92.905000000000001</v>
      </c>
      <c r="AC302">
        <f t="shared" si="612"/>
        <v>46</v>
      </c>
      <c r="AD302" s="11">
        <f t="shared" si="613"/>
        <v>1</v>
      </c>
      <c r="AE302">
        <f t="shared" si="611"/>
        <v>25</v>
      </c>
      <c r="AF302">
        <f>IF(AND(AE302&lt;15,OR(AC302&gt;=30,AA302&gt;0.15,X302&gt;=0.15)),2,VLOOKUP(AE302,Table!P:Q,2,FALSE))</f>
        <v>3</v>
      </c>
      <c r="AG302" s="22">
        <f>IF((AB302*0.98)-(D302*0.8)+((AF302-3)*3)+VLOOKUP(AM302,Table!$A$11:$B$13,2,FALSE)&lt;0,0,(AB302*0.98)-(D302*0.8)+((AF302-3)*3)+VLOOKUP(AM302,Table!$A$11:$B$13,2,FALSE))</f>
        <v>85.918899999999994</v>
      </c>
      <c r="AH302" s="22">
        <f t="shared" si="642"/>
        <v>87</v>
      </c>
      <c r="AI302" s="18">
        <f t="shared" si="635"/>
        <v>0.1</v>
      </c>
      <c r="AJ302" s="18">
        <f t="shared" si="636"/>
        <v>0.1</v>
      </c>
      <c r="AK302" t="str">
        <f t="shared" si="621"/>
        <v/>
      </c>
      <c r="AL302">
        <f t="shared" si="632"/>
        <v>25.75</v>
      </c>
      <c r="AM302" s="11" t="str">
        <f t="shared" si="622"/>
        <v>Stocks</v>
      </c>
      <c r="AN302" t="str">
        <f t="shared" si="628"/>
        <v>Buy</v>
      </c>
      <c r="AO302" s="13">
        <f t="shared" si="629"/>
        <v>3.6200000000000003E-2</v>
      </c>
      <c r="AP302" s="13">
        <f t="shared" si="630"/>
        <v>0</v>
      </c>
      <c r="AQ302" s="13">
        <f t="shared" si="631"/>
        <v>3.15E-2</v>
      </c>
      <c r="AR302" s="13">
        <f t="shared" si="623"/>
        <v>3.6200000000000003E-2</v>
      </c>
      <c r="AS302" s="6">
        <f t="shared" si="615"/>
        <v>338.69617160728939</v>
      </c>
      <c r="AT302" s="6">
        <f t="shared" si="616"/>
        <v>185.97425508967711</v>
      </c>
      <c r="AU302" s="6">
        <f t="shared" si="617"/>
        <v>554.9908058513314</v>
      </c>
      <c r="AV302" s="6">
        <f t="shared" si="618"/>
        <v>794.36446678966047</v>
      </c>
      <c r="AW302" s="58">
        <f t="shared" si="624"/>
        <v>2012</v>
      </c>
      <c r="AX302" s="58">
        <f>COUNTIF(AW$3:AW302,AW302)</f>
        <v>7</v>
      </c>
    </row>
    <row r="303" spans="1:50" x14ac:dyDescent="0.25">
      <c r="A303" s="5">
        <v>41224</v>
      </c>
      <c r="B303">
        <v>1379.85</v>
      </c>
      <c r="C303">
        <v>0.1</v>
      </c>
      <c r="D303" s="6">
        <v>18.61</v>
      </c>
      <c r="E303" s="18">
        <f t="shared" si="637"/>
        <v>18</v>
      </c>
      <c r="F303">
        <f t="shared" si="638"/>
        <v>0</v>
      </c>
      <c r="G303" s="18">
        <f>ROUND(INDEX(Valuation!U:U,MATCH(A303,Valuation!A:A,0)),2)</f>
        <v>197.54</v>
      </c>
      <c r="H303">
        <f t="shared" si="645"/>
        <v>2</v>
      </c>
      <c r="I303" s="18">
        <f>INDEX(WeeklyIndicators!Y:Y,MATCH(A303,WeeklyIndicators!A:A,0))</f>
        <v>135.88999999999999</v>
      </c>
      <c r="J303">
        <f t="shared" si="634"/>
        <v>1</v>
      </c>
      <c r="K303">
        <f>ROUND(INDEX(Economic!AF:AF,MATCH(EOMONTH($A303,-1),Economic!A:A,0)),2)</f>
        <v>84.66</v>
      </c>
      <c r="L303" s="11">
        <f t="shared" si="643"/>
        <v>-1</v>
      </c>
      <c r="M303">
        <f>ROUND(INDEX(Manufacturing!P:P,MATCH(EOMONTH($A303,-1),Manufacturing!A:A,0)),2)</f>
        <v>83.16</v>
      </c>
      <c r="N303">
        <f t="shared" si="639"/>
        <v>-1</v>
      </c>
      <c r="O303">
        <f>ROUND(INDEX(Housing!AC:AC,MATCH(EOMONTH($A303,-1),Housing!B:B,0)),2)</f>
        <v>144.44999999999999</v>
      </c>
      <c r="P303">
        <f t="shared" si="640"/>
        <v>3</v>
      </c>
      <c r="Q303">
        <f>ROUND(INDEX(Spending!AJ:AJ,MATCH(EOMONTH($A303,-1),Spending!B:B,0)),2)</f>
        <v>38.56</v>
      </c>
      <c r="R303">
        <f t="shared" si="644"/>
        <v>-1</v>
      </c>
      <c r="S303">
        <f>ROUND(INDEX(Employment!V:V,MATCH(EOMONTH($A303,-1),Employment!A:A,0)),2)</f>
        <v>154.63999999999999</v>
      </c>
      <c r="T303" s="11">
        <f t="shared" si="641"/>
        <v>0</v>
      </c>
      <c r="U303">
        <f t="shared" si="633"/>
        <v>23</v>
      </c>
      <c r="V303">
        <f t="shared" si="625"/>
        <v>69.569999999999993</v>
      </c>
      <c r="W303" s="13">
        <f t="shared" si="626"/>
        <v>4.1999999999999997E-3</v>
      </c>
      <c r="X303" s="13">
        <f t="shared" si="627"/>
        <v>6.4999999999999997E-3</v>
      </c>
      <c r="Y303">
        <f t="shared" si="619"/>
        <v>79.61</v>
      </c>
      <c r="Z303" s="13">
        <f t="shared" si="614"/>
        <v>-2.3E-3</v>
      </c>
      <c r="AA303" s="13">
        <f t="shared" si="610"/>
        <v>-3.04E-2</v>
      </c>
      <c r="AB303" s="6">
        <f t="shared" si="620"/>
        <v>92.213999999999999</v>
      </c>
      <c r="AC303">
        <f t="shared" si="612"/>
        <v>46</v>
      </c>
      <c r="AD303" s="11">
        <f t="shared" si="613"/>
        <v>1</v>
      </c>
      <c r="AE303">
        <f t="shared" si="611"/>
        <v>26</v>
      </c>
      <c r="AF303">
        <f>IF(AND(AE303&lt;15,OR(AC303&gt;=30,AA303&gt;0.15,X303&gt;=0.15)),2,VLOOKUP(AE303,Table!P:Q,2,FALSE))</f>
        <v>4</v>
      </c>
      <c r="AG303" s="22">
        <f>IF((AB303*0.98)-(D303*0.8)+((AF303-3)*3)+VLOOKUP(AM303,Table!$A$11:$B$13,2,FALSE)&lt;0,0,(AB303*0.98)-(D303*0.8)+((AF303-3)*3)+VLOOKUP(AM303,Table!$A$11:$B$13,2,FALSE))</f>
        <v>86.481719999999996</v>
      </c>
      <c r="AH303" s="22">
        <f t="shared" si="642"/>
        <v>87</v>
      </c>
      <c r="AI303" s="18">
        <f t="shared" si="635"/>
        <v>0.1</v>
      </c>
      <c r="AJ303" s="18">
        <f t="shared" si="636"/>
        <v>0.1</v>
      </c>
      <c r="AK303" t="str">
        <f t="shared" si="621"/>
        <v/>
      </c>
      <c r="AL303">
        <f t="shared" si="632"/>
        <v>26.5</v>
      </c>
      <c r="AM303" s="11" t="str">
        <f t="shared" si="622"/>
        <v>Stocks</v>
      </c>
      <c r="AN303" t="str">
        <f t="shared" si="628"/>
        <v>Buy</v>
      </c>
      <c r="AO303" s="13">
        <f t="shared" si="629"/>
        <v>-1.4500000000000001E-2</v>
      </c>
      <c r="AP303" s="13">
        <f t="shared" si="630"/>
        <v>0</v>
      </c>
      <c r="AQ303" s="13">
        <f t="shared" si="631"/>
        <v>-1.26E-2</v>
      </c>
      <c r="AR303" s="13">
        <f t="shared" si="623"/>
        <v>-1.4500000000000001E-2</v>
      </c>
      <c r="AS303" s="6">
        <f t="shared" si="615"/>
        <v>343.67952471566656</v>
      </c>
      <c r="AT303" s="6">
        <f t="shared" si="616"/>
        <v>185.97425508967711</v>
      </c>
      <c r="AU303" s="6">
        <f t="shared" si="617"/>
        <v>562.07292470258392</v>
      </c>
      <c r="AV303" s="6">
        <f t="shared" si="618"/>
        <v>806.05222403821449</v>
      </c>
      <c r="AW303" s="58">
        <f t="shared" si="624"/>
        <v>2012</v>
      </c>
      <c r="AX303" s="58">
        <f>COUNTIF(AW$3:AW303,AW303)</f>
        <v>8</v>
      </c>
    </row>
    <row r="304" spans="1:50" x14ac:dyDescent="0.25">
      <c r="A304" s="5">
        <v>41217</v>
      </c>
      <c r="B304">
        <v>1414.2</v>
      </c>
      <c r="C304">
        <v>0.11</v>
      </c>
      <c r="D304" s="6">
        <v>17.59</v>
      </c>
      <c r="E304" s="18">
        <f t="shared" si="637"/>
        <v>17.489999999999998</v>
      </c>
      <c r="F304">
        <f t="shared" si="638"/>
        <v>0</v>
      </c>
      <c r="G304" s="18">
        <f>ROUND(INDEX(Valuation!U:U,MATCH(A304,Valuation!A:A,0)),2)</f>
        <v>197.68</v>
      </c>
      <c r="H304">
        <f t="shared" si="645"/>
        <v>2</v>
      </c>
      <c r="I304" s="18">
        <f>INDEX(WeeklyIndicators!Y:Y,MATCH(A304,WeeklyIndicators!A:A,0))</f>
        <v>138.43</v>
      </c>
      <c r="J304">
        <f t="shared" si="634"/>
        <v>1</v>
      </c>
      <c r="K304">
        <f>ROUND(INDEX(Economic!AF:AF,MATCH(EOMONTH($A304,-1),Economic!A:A,0)),2)</f>
        <v>84.66</v>
      </c>
      <c r="L304" s="11">
        <f t="shared" si="643"/>
        <v>-1</v>
      </c>
      <c r="M304">
        <f>ROUND(INDEX(Manufacturing!P:P,MATCH(EOMONTH($A304,-1),Manufacturing!A:A,0)),2)</f>
        <v>83.16</v>
      </c>
      <c r="N304">
        <f t="shared" si="639"/>
        <v>-1</v>
      </c>
      <c r="O304">
        <f>ROUND(INDEX(Housing!AC:AC,MATCH(EOMONTH($A304,-1),Housing!B:B,0)),2)</f>
        <v>144.44999999999999</v>
      </c>
      <c r="P304">
        <f t="shared" si="640"/>
        <v>3</v>
      </c>
      <c r="Q304">
        <f>ROUND(INDEX(Spending!AJ:AJ,MATCH(EOMONTH($A304,-1),Spending!B:B,0)),2)</f>
        <v>38.56</v>
      </c>
      <c r="R304">
        <f t="shared" si="644"/>
        <v>-1</v>
      </c>
      <c r="S304">
        <f>ROUND(INDEX(Employment!V:V,MATCH(EOMONTH($A304,-1),Employment!A:A,0)),2)</f>
        <v>154.63999999999999</v>
      </c>
      <c r="T304" s="11">
        <f t="shared" si="641"/>
        <v>0</v>
      </c>
      <c r="U304">
        <f t="shared" si="633"/>
        <v>23</v>
      </c>
      <c r="V304">
        <f t="shared" si="625"/>
        <v>69.83</v>
      </c>
      <c r="W304" s="13">
        <f t="shared" si="626"/>
        <v>5.5999999999999999E-3</v>
      </c>
      <c r="X304" s="13">
        <f t="shared" si="627"/>
        <v>-5.0000000000000001E-4</v>
      </c>
      <c r="Y304">
        <f t="shared" si="619"/>
        <v>80.069999999999993</v>
      </c>
      <c r="Z304" s="13">
        <f t="shared" si="614"/>
        <v>-4.1999999999999997E-3</v>
      </c>
      <c r="AA304" s="13">
        <f t="shared" si="610"/>
        <v>-3.8300000000000001E-2</v>
      </c>
      <c r="AB304" s="6">
        <f t="shared" si="620"/>
        <v>92.097999999999999</v>
      </c>
      <c r="AC304">
        <f t="shared" si="612"/>
        <v>46</v>
      </c>
      <c r="AD304" s="11">
        <f t="shared" si="613"/>
        <v>1</v>
      </c>
      <c r="AE304">
        <f t="shared" si="611"/>
        <v>26</v>
      </c>
      <c r="AF304">
        <f>IF(AND(AE304&lt;15,OR(AC304&gt;=30,AA304&gt;0.15,X304&gt;=0.15)),2,VLOOKUP(AE304,Table!P:Q,2,FALSE))</f>
        <v>4</v>
      </c>
      <c r="AG304" s="22">
        <f>IF((AB304*0.98)-(D304*0.8)+((AF304-3)*3)+VLOOKUP(AM304,Table!$A$11:$B$13,2,FALSE)&lt;0,0,(AB304*0.98)-(D304*0.8)+((AF304-3)*3)+VLOOKUP(AM304,Table!$A$11:$B$13,2,FALSE))</f>
        <v>87.184039999999996</v>
      </c>
      <c r="AH304" s="22">
        <f t="shared" si="642"/>
        <v>87</v>
      </c>
      <c r="AI304" s="18">
        <f t="shared" si="635"/>
        <v>0.1</v>
      </c>
      <c r="AJ304" s="18">
        <f t="shared" si="636"/>
        <v>0.1</v>
      </c>
      <c r="AK304" t="str">
        <f t="shared" si="621"/>
        <v/>
      </c>
      <c r="AL304">
        <f t="shared" si="632"/>
        <v>27.25</v>
      </c>
      <c r="AM304" s="11" t="str">
        <f t="shared" si="622"/>
        <v>Stocks</v>
      </c>
      <c r="AN304" t="str">
        <f t="shared" si="628"/>
        <v>Buy</v>
      </c>
      <c r="AO304" s="13">
        <f t="shared" si="629"/>
        <v>-2.4299999999999999E-2</v>
      </c>
      <c r="AP304" s="13">
        <f t="shared" si="630"/>
        <v>0</v>
      </c>
      <c r="AQ304" s="13">
        <f t="shared" si="631"/>
        <v>-2.1100000000000001E-2</v>
      </c>
      <c r="AR304" s="13">
        <f t="shared" si="623"/>
        <v>-2.4299999999999999E-2</v>
      </c>
      <c r="AS304" s="6">
        <f t="shared" si="615"/>
        <v>352.23893073246546</v>
      </c>
      <c r="AT304" s="6">
        <f t="shared" si="616"/>
        <v>185.97425508967711</v>
      </c>
      <c r="AU304" s="6">
        <f t="shared" si="617"/>
        <v>574.18829778586564</v>
      </c>
      <c r="AV304" s="6">
        <f t="shared" si="618"/>
        <v>826.1271128812283</v>
      </c>
      <c r="AW304" s="58">
        <f t="shared" si="624"/>
        <v>2012</v>
      </c>
      <c r="AX304" s="58">
        <f>COUNTIF(AW$3:AW304,AW304)</f>
        <v>9</v>
      </c>
    </row>
    <row r="305" spans="1:50" x14ac:dyDescent="0.25">
      <c r="A305" s="5">
        <v>41210</v>
      </c>
      <c r="B305">
        <v>1411.94</v>
      </c>
      <c r="C305">
        <v>0.11</v>
      </c>
      <c r="D305" s="6">
        <v>17.809999999999999</v>
      </c>
      <c r="E305" s="18">
        <f t="shared" si="637"/>
        <v>17</v>
      </c>
      <c r="F305">
        <f t="shared" si="638"/>
        <v>0</v>
      </c>
      <c r="G305" s="18">
        <f>ROUND(INDEX(Valuation!U:U,MATCH(A305,Valuation!A:A,0)),2)</f>
        <v>199.75</v>
      </c>
      <c r="H305">
        <f t="shared" si="645"/>
        <v>2</v>
      </c>
      <c r="I305" s="18">
        <f>INDEX(WeeklyIndicators!Y:Y,MATCH(A305,WeeklyIndicators!A:A,0))</f>
        <v>139.86000000000001</v>
      </c>
      <c r="J305">
        <f t="shared" si="634"/>
        <v>1</v>
      </c>
      <c r="K305">
        <f>ROUND(INDEX(Economic!AF:AF,MATCH(EOMONTH($A305,-1),Economic!A:A,0)),2)</f>
        <v>81.02</v>
      </c>
      <c r="L305" s="11">
        <f t="shared" si="643"/>
        <v>-1</v>
      </c>
      <c r="M305">
        <f>ROUND(INDEX(Manufacturing!P:P,MATCH(EOMONTH($A305,-1),Manufacturing!A:A,0)),2)</f>
        <v>83.19</v>
      </c>
      <c r="N305">
        <f t="shared" si="639"/>
        <v>-1</v>
      </c>
      <c r="O305">
        <f>ROUND(INDEX(Housing!AC:AC,MATCH(EOMONTH($A305,-1),Housing!B:B,0)),2)</f>
        <v>135.26</v>
      </c>
      <c r="P305">
        <f t="shared" si="640"/>
        <v>2</v>
      </c>
      <c r="Q305">
        <f>ROUND(INDEX(Spending!AJ:AJ,MATCH(EOMONTH($A305,-1),Spending!B:B,0)),2)</f>
        <v>40.770000000000003</v>
      </c>
      <c r="R305">
        <f t="shared" si="644"/>
        <v>0</v>
      </c>
      <c r="S305">
        <f>ROUND(INDEX(Employment!V:V,MATCH(EOMONTH($A305,-1),Employment!A:A,0)),2)</f>
        <v>151.25</v>
      </c>
      <c r="T305" s="11">
        <f t="shared" si="641"/>
        <v>0</v>
      </c>
      <c r="U305">
        <f t="shared" si="633"/>
        <v>23</v>
      </c>
      <c r="V305">
        <f t="shared" si="625"/>
        <v>68.75</v>
      </c>
      <c r="W305" s="13">
        <f t="shared" si="626"/>
        <v>8.0000000000000004E-4</v>
      </c>
      <c r="X305" s="13">
        <f t="shared" si="627"/>
        <v>-7.8000000000000005E-3</v>
      </c>
      <c r="Y305">
        <f t="shared" si="619"/>
        <v>79.39</v>
      </c>
      <c r="Z305" s="13">
        <f t="shared" si="614"/>
        <v>-1.0699999999999999E-2</v>
      </c>
      <c r="AA305" s="13">
        <f t="shared" si="610"/>
        <v>-3.9300000000000002E-2</v>
      </c>
      <c r="AB305" s="6">
        <f t="shared" si="620"/>
        <v>91.444999999999993</v>
      </c>
      <c r="AC305">
        <f t="shared" si="612"/>
        <v>46</v>
      </c>
      <c r="AD305" s="11">
        <f t="shared" si="613"/>
        <v>1</v>
      </c>
      <c r="AE305">
        <f t="shared" si="611"/>
        <v>26</v>
      </c>
      <c r="AF305">
        <f>IF(AND(AE305&lt;15,OR(AC305&gt;=30,AA305&gt;0.15,X305&gt;=0.15)),2,VLOOKUP(AE305,Table!P:Q,2,FALSE))</f>
        <v>4</v>
      </c>
      <c r="AG305" s="22">
        <f>IF((AB305*0.98)-(D305*0.8)+((AF305-3)*3)+VLOOKUP(AM305,Table!$A$11:$B$13,2,FALSE)&lt;0,0,(AB305*0.98)-(D305*0.8)+((AF305-3)*3)+VLOOKUP(AM305,Table!$A$11:$B$13,2,FALSE))</f>
        <v>86.368099999999984</v>
      </c>
      <c r="AH305" s="22">
        <f t="shared" si="642"/>
        <v>89</v>
      </c>
      <c r="AI305" s="18">
        <f t="shared" si="635"/>
        <v>0.1</v>
      </c>
      <c r="AJ305" s="18">
        <f t="shared" si="636"/>
        <v>0.09</v>
      </c>
      <c r="AK305" t="str">
        <f t="shared" si="621"/>
        <v/>
      </c>
      <c r="AL305">
        <f t="shared" si="632"/>
        <v>28</v>
      </c>
      <c r="AM305" s="11" t="str">
        <f t="shared" si="622"/>
        <v>Stocks</v>
      </c>
      <c r="AN305" t="str">
        <f t="shared" si="628"/>
        <v>Buy</v>
      </c>
      <c r="AO305" s="13">
        <f t="shared" si="629"/>
        <v>1.6000000000000001E-3</v>
      </c>
      <c r="AP305" s="13">
        <f t="shared" si="630"/>
        <v>0</v>
      </c>
      <c r="AQ305" s="13">
        <f t="shared" si="631"/>
        <v>1.4E-3</v>
      </c>
      <c r="AR305" s="13">
        <f t="shared" si="623"/>
        <v>1.6000000000000001E-3</v>
      </c>
      <c r="AS305" s="6">
        <f t="shared" si="615"/>
        <v>351.67624873449029</v>
      </c>
      <c r="AT305" s="6">
        <f t="shared" si="616"/>
        <v>185.97425508967711</v>
      </c>
      <c r="AU305" s="6">
        <f t="shared" si="617"/>
        <v>573.38555800465906</v>
      </c>
      <c r="AV305" s="6">
        <f t="shared" si="618"/>
        <v>824.80742100761609</v>
      </c>
      <c r="AW305" s="58">
        <f t="shared" si="624"/>
        <v>2012</v>
      </c>
      <c r="AX305" s="58">
        <f>COUNTIF(AW$3:AW305,AW305)</f>
        <v>10</v>
      </c>
    </row>
    <row r="306" spans="1:50" x14ac:dyDescent="0.25">
      <c r="A306" s="5">
        <v>41203</v>
      </c>
      <c r="B306">
        <v>1433.19</v>
      </c>
      <c r="C306">
        <v>0.1</v>
      </c>
      <c r="D306" s="6">
        <v>17.059999999999999</v>
      </c>
      <c r="E306" s="18">
        <f t="shared" si="637"/>
        <v>15.84</v>
      </c>
      <c r="F306">
        <f t="shared" si="638"/>
        <v>1</v>
      </c>
      <c r="G306" s="18">
        <f>ROUND(INDEX(Valuation!U:U,MATCH(A306,Valuation!A:A,0)),2)</f>
        <v>203.35</v>
      </c>
      <c r="H306">
        <f t="shared" si="645"/>
        <v>3</v>
      </c>
      <c r="I306" s="18">
        <f>INDEX(WeeklyIndicators!Y:Y,MATCH(A306,WeeklyIndicators!A:A,0))</f>
        <v>139.41999999999999</v>
      </c>
      <c r="J306">
        <f t="shared" si="634"/>
        <v>1</v>
      </c>
      <c r="K306">
        <f>ROUND(INDEX(Economic!AF:AF,MATCH(EOMONTH($A306,-1),Economic!A:A,0)),2)</f>
        <v>81.02</v>
      </c>
      <c r="L306" s="11">
        <f t="shared" si="643"/>
        <v>-1</v>
      </c>
      <c r="M306">
        <f>ROUND(INDEX(Manufacturing!P:P,MATCH(EOMONTH($A306,-1),Manufacturing!A:A,0)),2)</f>
        <v>83.19</v>
      </c>
      <c r="N306">
        <f t="shared" si="639"/>
        <v>-1</v>
      </c>
      <c r="O306">
        <f>ROUND(INDEX(Housing!AC:AC,MATCH(EOMONTH($A306,-1),Housing!B:B,0)),2)</f>
        <v>135.26</v>
      </c>
      <c r="P306">
        <f t="shared" si="640"/>
        <v>2</v>
      </c>
      <c r="Q306">
        <f>ROUND(INDEX(Spending!AJ:AJ,MATCH(EOMONTH($A306,-1),Spending!B:B,0)),2)</f>
        <v>40.770000000000003</v>
      </c>
      <c r="R306">
        <f t="shared" si="644"/>
        <v>0</v>
      </c>
      <c r="S306">
        <f>ROUND(INDEX(Employment!V:V,MATCH(EOMONTH($A306,-1),Employment!A:A,0)),2)</f>
        <v>151.25</v>
      </c>
      <c r="T306" s="11">
        <f t="shared" si="641"/>
        <v>0</v>
      </c>
      <c r="U306">
        <f t="shared" si="633"/>
        <v>25</v>
      </c>
      <c r="V306">
        <f t="shared" si="625"/>
        <v>68.7</v>
      </c>
      <c r="W306" s="13">
        <f t="shared" si="626"/>
        <v>-4.1000000000000003E-3</v>
      </c>
      <c r="X306" s="13">
        <f t="shared" si="627"/>
        <v>-4.1999999999999997E-3</v>
      </c>
      <c r="Y306">
        <f t="shared" si="619"/>
        <v>80.150000000000006</v>
      </c>
      <c r="Z306" s="13">
        <f t="shared" si="614"/>
        <v>-1.32E-2</v>
      </c>
      <c r="AA306" s="13">
        <f t="shared" si="610"/>
        <v>-2.7300000000000001E-2</v>
      </c>
      <c r="AB306" s="6">
        <f t="shared" si="620"/>
        <v>93.404999999999987</v>
      </c>
      <c r="AC306">
        <f t="shared" si="612"/>
        <v>47</v>
      </c>
      <c r="AD306" s="11">
        <f t="shared" si="613"/>
        <v>1</v>
      </c>
      <c r="AE306">
        <f t="shared" si="611"/>
        <v>28</v>
      </c>
      <c r="AF306">
        <f>IF(AND(AE306&lt;15,OR(AC306&gt;=30,AA306&gt;0.15,X306&gt;=0.15)),2,VLOOKUP(AE306,Table!P:Q,2,FALSE))</f>
        <v>4</v>
      </c>
      <c r="AG306" s="22">
        <f>IF((AB306*0.98)-(D306*0.8)+((AF306-3)*3)+VLOOKUP(AM306,Table!$A$11:$B$13,2,FALSE)&lt;0,0,(AB306*0.98)-(D306*0.8)+((AF306-3)*3)+VLOOKUP(AM306,Table!$A$11:$B$13,2,FALSE))</f>
        <v>88.888899999999992</v>
      </c>
      <c r="AH306" s="22">
        <f t="shared" si="642"/>
        <v>92</v>
      </c>
      <c r="AI306" s="18">
        <f t="shared" si="635"/>
        <v>0.1</v>
      </c>
      <c r="AJ306" s="18">
        <f t="shared" si="636"/>
        <v>0.09</v>
      </c>
      <c r="AK306" t="str">
        <f t="shared" si="621"/>
        <v/>
      </c>
      <c r="AL306">
        <f t="shared" si="632"/>
        <v>28.75</v>
      </c>
      <c r="AM306" s="11" t="str">
        <f t="shared" si="622"/>
        <v>Stocks</v>
      </c>
      <c r="AN306" t="str">
        <f t="shared" si="628"/>
        <v>Buy</v>
      </c>
      <c r="AO306" s="13">
        <f t="shared" si="629"/>
        <v>-1.4800000000000001E-2</v>
      </c>
      <c r="AP306" s="13">
        <f t="shared" si="630"/>
        <v>0</v>
      </c>
      <c r="AQ306" s="13">
        <f t="shared" si="631"/>
        <v>-1.3599999999999999E-2</v>
      </c>
      <c r="AR306" s="13">
        <f t="shared" si="623"/>
        <v>-1.4800000000000001E-2</v>
      </c>
      <c r="AS306" s="6">
        <f t="shared" si="615"/>
        <v>356.95924556891015</v>
      </c>
      <c r="AT306" s="6">
        <f t="shared" si="616"/>
        <v>185.97425508967711</v>
      </c>
      <c r="AU306" s="6">
        <f t="shared" si="617"/>
        <v>581.29111719855939</v>
      </c>
      <c r="AV306" s="6">
        <f t="shared" si="618"/>
        <v>837.19795067764528</v>
      </c>
      <c r="AW306" s="58">
        <f t="shared" si="624"/>
        <v>2012</v>
      </c>
      <c r="AX306" s="58">
        <f>COUNTIF(AW$3:AW306,AW306)</f>
        <v>11</v>
      </c>
    </row>
    <row r="307" spans="1:50" x14ac:dyDescent="0.25">
      <c r="A307" s="5">
        <v>41196</v>
      </c>
      <c r="B307">
        <v>1428.59</v>
      </c>
      <c r="C307">
        <v>0.1</v>
      </c>
      <c r="D307" s="6">
        <v>16.14</v>
      </c>
      <c r="E307" s="18">
        <f t="shared" si="637"/>
        <v>15.4</v>
      </c>
      <c r="F307">
        <f t="shared" si="638"/>
        <v>1</v>
      </c>
      <c r="G307" s="18">
        <f>ROUND(INDEX(Valuation!U:U,MATCH(A307,Valuation!A:A,0)),2)</f>
        <v>210.63</v>
      </c>
      <c r="H307">
        <f t="shared" si="645"/>
        <v>3</v>
      </c>
      <c r="I307" s="18">
        <f>INDEX(WeeklyIndicators!Y:Y,MATCH(A307,WeeklyIndicators!A:A,0))</f>
        <v>139.07</v>
      </c>
      <c r="J307">
        <f t="shared" si="634"/>
        <v>1</v>
      </c>
      <c r="K307">
        <f>ROUND(INDEX(Economic!AF:AF,MATCH(EOMONTH($A307,-1),Economic!A:A,0)),2)</f>
        <v>81.02</v>
      </c>
      <c r="L307" s="11">
        <f t="shared" si="643"/>
        <v>-1</v>
      </c>
      <c r="M307">
        <f>ROUND(INDEX(Manufacturing!P:P,MATCH(EOMONTH($A307,-1),Manufacturing!A:A,0)),2)</f>
        <v>83.19</v>
      </c>
      <c r="N307">
        <f t="shared" si="639"/>
        <v>-1</v>
      </c>
      <c r="O307">
        <f>ROUND(INDEX(Housing!AC:AC,MATCH(EOMONTH($A307,-1),Housing!B:B,0)),2)</f>
        <v>135.26</v>
      </c>
      <c r="P307">
        <f t="shared" si="640"/>
        <v>2</v>
      </c>
      <c r="Q307">
        <f>ROUND(INDEX(Spending!AJ:AJ,MATCH(EOMONTH($A307,-1),Spending!B:B,0)),2)</f>
        <v>40.770000000000003</v>
      </c>
      <c r="R307">
        <f t="shared" si="644"/>
        <v>0</v>
      </c>
      <c r="S307">
        <f>ROUND(INDEX(Employment!V:V,MATCH(EOMONTH($A307,-1),Employment!A:A,0)),2)</f>
        <v>151.25</v>
      </c>
      <c r="T307" s="11">
        <f t="shared" si="641"/>
        <v>0</v>
      </c>
      <c r="U307">
        <f t="shared" si="633"/>
        <v>25</v>
      </c>
      <c r="V307">
        <f t="shared" si="625"/>
        <v>68.67</v>
      </c>
      <c r="W307" s="13">
        <f t="shared" si="626"/>
        <v>-2.8E-3</v>
      </c>
      <c r="X307" s="13">
        <f t="shared" si="627"/>
        <v>3.7000000000000006E-3</v>
      </c>
      <c r="Y307">
        <f t="shared" si="619"/>
        <v>81.08</v>
      </c>
      <c r="Z307" s="13">
        <f t="shared" si="614"/>
        <v>-1.0200000000000001E-2</v>
      </c>
      <c r="AA307" s="13">
        <f t="shared" ref="AA307:AA370" si="646">SUM(Z307:Z310)</f>
        <v>-1.2000000000000002E-2</v>
      </c>
      <c r="AB307" s="6">
        <f t="shared" si="620"/>
        <v>96.162999999999997</v>
      </c>
      <c r="AC307">
        <f t="shared" si="612"/>
        <v>48</v>
      </c>
      <c r="AD307" s="11">
        <f t="shared" si="613"/>
        <v>2</v>
      </c>
      <c r="AE307">
        <f t="shared" si="611"/>
        <v>29</v>
      </c>
      <c r="AF307">
        <f>IF(AND(AE307&lt;15,OR(AC307&gt;=30,AA307&gt;0.15,X307&gt;=0.15)),2,VLOOKUP(AE307,Table!P:Q,2,FALSE))</f>
        <v>4</v>
      </c>
      <c r="AG307" s="22">
        <f>IF((AB307*0.98)-(D307*0.8)+((AF307-3)*3)+VLOOKUP(AM307,Table!$A$11:$B$13,2,FALSE)&lt;0,0,(AB307*0.98)-(D307*0.8)+((AF307-3)*3)+VLOOKUP(AM307,Table!$A$11:$B$13,2,FALSE))</f>
        <v>92.327739999999991</v>
      </c>
      <c r="AH307" s="22">
        <f t="shared" si="642"/>
        <v>94</v>
      </c>
      <c r="AI307" s="18">
        <f t="shared" si="635"/>
        <v>0.1</v>
      </c>
      <c r="AJ307" s="18">
        <f t="shared" si="636"/>
        <v>0.09</v>
      </c>
      <c r="AK307" t="str">
        <f t="shared" si="621"/>
        <v/>
      </c>
      <c r="AL307">
        <f t="shared" si="632"/>
        <v>28.75</v>
      </c>
      <c r="AM307" s="11" t="str">
        <f t="shared" si="622"/>
        <v>Stocks</v>
      </c>
      <c r="AN307" t="str">
        <f t="shared" si="628"/>
        <v>Buy</v>
      </c>
      <c r="AO307" s="13">
        <f t="shared" si="629"/>
        <v>3.2000000000000002E-3</v>
      </c>
      <c r="AP307" s="13">
        <f t="shared" si="630"/>
        <v>0</v>
      </c>
      <c r="AQ307" s="13">
        <f t="shared" si="631"/>
        <v>3.0000000000000001E-3</v>
      </c>
      <c r="AR307" s="13">
        <f t="shared" si="623"/>
        <v>3.2000000000000002E-3</v>
      </c>
      <c r="AS307" s="6">
        <f t="shared" si="615"/>
        <v>355.82061958623416</v>
      </c>
      <c r="AT307" s="6">
        <f t="shared" si="616"/>
        <v>185.97425508967711</v>
      </c>
      <c r="AU307" s="6">
        <f t="shared" si="617"/>
        <v>579.55245981910218</v>
      </c>
      <c r="AV307" s="6">
        <f t="shared" si="618"/>
        <v>834.52746279669577</v>
      </c>
      <c r="AW307" s="58">
        <f t="shared" si="624"/>
        <v>2012</v>
      </c>
      <c r="AX307" s="58">
        <f>COUNTIF(AW$3:AW307,AW307)</f>
        <v>12</v>
      </c>
    </row>
    <row r="308" spans="1:50" x14ac:dyDescent="0.25">
      <c r="A308" s="5">
        <v>41189</v>
      </c>
      <c r="B308">
        <v>1460.93</v>
      </c>
      <c r="C308">
        <v>0.1</v>
      </c>
      <c r="D308" s="6">
        <v>14.33</v>
      </c>
      <c r="E308" s="18">
        <f t="shared" si="637"/>
        <v>14.68</v>
      </c>
      <c r="F308">
        <f t="shared" si="638"/>
        <v>1</v>
      </c>
      <c r="G308" s="18">
        <f>ROUND(INDEX(Valuation!U:U,MATCH(A308,Valuation!A:A,0)),2)</f>
        <v>217.3</v>
      </c>
      <c r="H308">
        <f t="shared" si="645"/>
        <v>3</v>
      </c>
      <c r="I308" s="18">
        <f>INDEX(WeeklyIndicators!Y:Y,MATCH(A308,WeeklyIndicators!A:A,0))</f>
        <v>138.27000000000001</v>
      </c>
      <c r="J308">
        <f t="shared" si="634"/>
        <v>1</v>
      </c>
      <c r="K308">
        <f>ROUND(INDEX(Economic!AF:AF,MATCH(EOMONTH($A308,-1),Economic!A:A,0)),2)</f>
        <v>81.02</v>
      </c>
      <c r="L308" s="11">
        <f t="shared" si="643"/>
        <v>-1</v>
      </c>
      <c r="M308">
        <f>ROUND(INDEX(Manufacturing!P:P,MATCH(EOMONTH($A308,-1),Manufacturing!A:A,0)),2)</f>
        <v>83.19</v>
      </c>
      <c r="N308">
        <f t="shared" si="639"/>
        <v>-1</v>
      </c>
      <c r="O308">
        <f>ROUND(INDEX(Housing!AC:AC,MATCH(EOMONTH($A308,-1),Housing!B:B,0)),2)</f>
        <v>135.26</v>
      </c>
      <c r="P308">
        <f t="shared" si="640"/>
        <v>2</v>
      </c>
      <c r="Q308">
        <f>ROUND(INDEX(Spending!AJ:AJ,MATCH(EOMONTH($A308,-1),Spending!B:B,0)),2)</f>
        <v>40.770000000000003</v>
      </c>
      <c r="R308">
        <f t="shared" si="644"/>
        <v>0</v>
      </c>
      <c r="S308">
        <f>ROUND(INDEX(Employment!V:V,MATCH(EOMONTH($A308,-1),Employment!A:A,0)),2)</f>
        <v>151.25</v>
      </c>
      <c r="T308" s="11">
        <f t="shared" si="641"/>
        <v>0</v>
      </c>
      <c r="U308">
        <f t="shared" si="633"/>
        <v>25</v>
      </c>
      <c r="V308">
        <f t="shared" si="625"/>
        <v>68.58</v>
      </c>
      <c r="W308" s="13">
        <f t="shared" si="626"/>
        <v>-1.6999999999999999E-3</v>
      </c>
      <c r="X308" s="13">
        <f t="shared" si="627"/>
        <v>-7.4999999999999997E-3</v>
      </c>
      <c r="Y308">
        <f t="shared" si="619"/>
        <v>81.99</v>
      </c>
      <c r="Z308" s="13">
        <f t="shared" si="614"/>
        <v>-5.1999999999999998E-3</v>
      </c>
      <c r="AA308" s="13">
        <f t="shared" si="646"/>
        <v>-1.5900000000000001E-2</v>
      </c>
      <c r="AB308" s="6">
        <f t="shared" si="620"/>
        <v>97.37</v>
      </c>
      <c r="AC308">
        <f t="shared" si="612"/>
        <v>49</v>
      </c>
      <c r="AD308" s="11">
        <f t="shared" si="613"/>
        <v>2</v>
      </c>
      <c r="AE308">
        <f t="shared" si="611"/>
        <v>29</v>
      </c>
      <c r="AF308">
        <f>IF(AND(AE308&lt;15,OR(AC308&gt;=30,AA308&gt;0.15,X308&gt;=0.15)),2,VLOOKUP(AE308,Table!P:Q,2,FALSE))</f>
        <v>4</v>
      </c>
      <c r="AG308" s="22">
        <f>IF((AB308*0.98)-(D308*0.8)+((AF308-3)*3)+VLOOKUP(AM308,Table!$A$11:$B$13,2,FALSE)&lt;0,0,(AB308*0.98)-(D308*0.8)+((AF308-3)*3)+VLOOKUP(AM308,Table!$A$11:$B$13,2,FALSE))</f>
        <v>94.958600000000004</v>
      </c>
      <c r="AH308" s="22">
        <f t="shared" si="642"/>
        <v>95</v>
      </c>
      <c r="AI308" s="18">
        <f t="shared" si="635"/>
        <v>0.1</v>
      </c>
      <c r="AJ308" s="18">
        <f t="shared" si="636"/>
        <v>0.09</v>
      </c>
      <c r="AK308" t="str">
        <f t="shared" si="621"/>
        <v/>
      </c>
      <c r="AL308">
        <f t="shared" si="632"/>
        <v>28.5</v>
      </c>
      <c r="AM308" s="11" t="str">
        <f t="shared" si="622"/>
        <v>Stocks</v>
      </c>
      <c r="AN308" t="str">
        <f t="shared" si="628"/>
        <v>Buy</v>
      </c>
      <c r="AO308" s="13">
        <f t="shared" si="629"/>
        <v>-2.2100000000000002E-2</v>
      </c>
      <c r="AP308" s="13">
        <f t="shared" si="630"/>
        <v>0</v>
      </c>
      <c r="AQ308" s="13">
        <f t="shared" si="631"/>
        <v>-2.1000000000000001E-2</v>
      </c>
      <c r="AR308" s="13">
        <f t="shared" si="623"/>
        <v>-2.2100000000000002E-2</v>
      </c>
      <c r="AS308" s="6">
        <f t="shared" si="615"/>
        <v>363.86196910341971</v>
      </c>
      <c r="AT308" s="6">
        <f t="shared" si="616"/>
        <v>185.97425508967711</v>
      </c>
      <c r="AU308" s="6">
        <f t="shared" si="617"/>
        <v>591.98412647507882</v>
      </c>
      <c r="AV308" s="6">
        <f t="shared" si="618"/>
        <v>853.38732262674694</v>
      </c>
      <c r="AW308" s="58">
        <f t="shared" si="624"/>
        <v>2012</v>
      </c>
      <c r="AX308" s="58">
        <f>COUNTIF(AW$3:AW308,AW308)</f>
        <v>13</v>
      </c>
    </row>
    <row r="309" spans="1:50" x14ac:dyDescent="0.25">
      <c r="A309" s="5">
        <v>41182</v>
      </c>
      <c r="B309">
        <v>1440.67</v>
      </c>
      <c r="C309">
        <v>0.1</v>
      </c>
      <c r="D309" s="6">
        <v>15.73</v>
      </c>
      <c r="E309" s="18">
        <f t="shared" si="637"/>
        <v>14.74</v>
      </c>
      <c r="F309">
        <f t="shared" si="638"/>
        <v>1</v>
      </c>
      <c r="G309" s="18">
        <f>ROUND(INDEX(Valuation!U:U,MATCH(A309,Valuation!A:A,0)),2)</f>
        <v>221.51</v>
      </c>
      <c r="H309">
        <f t="shared" si="645"/>
        <v>3</v>
      </c>
      <c r="I309" s="18">
        <f>INDEX(WeeklyIndicators!Y:Y,MATCH(A309,WeeklyIndicators!A:A,0))</f>
        <v>136.47</v>
      </c>
      <c r="J309">
        <f t="shared" si="634"/>
        <v>1</v>
      </c>
      <c r="K309">
        <f>ROUND(INDEX(Economic!AF:AF,MATCH(EOMONTH($A309,-1),Economic!A:A,0)),2)</f>
        <v>87.88</v>
      </c>
      <c r="L309" s="11">
        <f t="shared" si="643"/>
        <v>-1</v>
      </c>
      <c r="M309">
        <f>ROUND(INDEX(Manufacturing!P:P,MATCH(EOMONTH($A309,-1),Manufacturing!A:A,0)),2)</f>
        <v>83.09</v>
      </c>
      <c r="N309">
        <f t="shared" si="639"/>
        <v>-1</v>
      </c>
      <c r="O309">
        <f>ROUND(INDEX(Housing!AC:AC,MATCH(EOMONTH($A309,-1),Housing!B:B,0)),2)</f>
        <v>128.91999999999999</v>
      </c>
      <c r="P309">
        <f t="shared" si="640"/>
        <v>2</v>
      </c>
      <c r="Q309">
        <f>ROUND(INDEX(Spending!AJ:AJ,MATCH(EOMONTH($A309,-1),Spending!B:B,0)),2)</f>
        <v>49.13</v>
      </c>
      <c r="R309">
        <f t="shared" si="644"/>
        <v>0</v>
      </c>
      <c r="S309">
        <f>ROUND(INDEX(Employment!V:V,MATCH(EOMONTH($A309,-1),Employment!A:A,0)),2)</f>
        <v>150.4</v>
      </c>
      <c r="T309" s="11">
        <f t="shared" si="641"/>
        <v>0</v>
      </c>
      <c r="U309">
        <f t="shared" si="633"/>
        <v>25</v>
      </c>
      <c r="V309">
        <f t="shared" si="625"/>
        <v>69.55</v>
      </c>
      <c r="W309" s="13">
        <f t="shared" si="626"/>
        <v>4.4000000000000003E-3</v>
      </c>
      <c r="X309" s="13">
        <f t="shared" si="627"/>
        <v>-2.18E-2</v>
      </c>
      <c r="Y309">
        <f t="shared" si="619"/>
        <v>83.41</v>
      </c>
      <c r="Z309" s="13">
        <f t="shared" si="614"/>
        <v>1.2999999999999999E-3</v>
      </c>
      <c r="AA309" s="13">
        <f t="shared" si="646"/>
        <v>-2.64E-2</v>
      </c>
      <c r="AB309" s="6">
        <f t="shared" si="620"/>
        <v>98.390999999999991</v>
      </c>
      <c r="AC309">
        <f t="shared" si="612"/>
        <v>49</v>
      </c>
      <c r="AD309" s="11">
        <f t="shared" si="613"/>
        <v>2</v>
      </c>
      <c r="AE309">
        <f t="shared" si="611"/>
        <v>29</v>
      </c>
      <c r="AF309">
        <f>IF(AND(AE309&lt;15,OR(AC309&gt;=30,AA309&gt;0.15,X309&gt;=0.15)),2,VLOOKUP(AE309,Table!P:Q,2,FALSE))</f>
        <v>4</v>
      </c>
      <c r="AG309" s="22">
        <f>IF((AB309*0.98)-(D309*0.8)+((AF309-3)*3)+VLOOKUP(AM309,Table!$A$11:$B$13,2,FALSE)&lt;0,0,(AB309*0.98)-(D309*0.8)+((AF309-3)*3)+VLOOKUP(AM309,Table!$A$11:$B$13,2,FALSE))</f>
        <v>94.839179999999985</v>
      </c>
      <c r="AH309" s="22">
        <f t="shared" si="642"/>
        <v>95</v>
      </c>
      <c r="AI309" s="18">
        <f t="shared" si="635"/>
        <v>0.1</v>
      </c>
      <c r="AJ309" s="18">
        <f t="shared" si="636"/>
        <v>0.09</v>
      </c>
      <c r="AK309" t="str">
        <f t="shared" si="621"/>
        <v/>
      </c>
      <c r="AL309">
        <f t="shared" si="632"/>
        <v>28.25</v>
      </c>
      <c r="AM309" s="11" t="str">
        <f t="shared" si="622"/>
        <v>Stocks</v>
      </c>
      <c r="AN309" t="str">
        <f t="shared" si="628"/>
        <v>Buy</v>
      </c>
      <c r="AO309" s="13">
        <f t="shared" si="629"/>
        <v>1.41E-2</v>
      </c>
      <c r="AP309" s="13">
        <f t="shared" si="630"/>
        <v>0</v>
      </c>
      <c r="AQ309" s="13">
        <f t="shared" si="631"/>
        <v>1.34E-2</v>
      </c>
      <c r="AR309" s="13">
        <f t="shared" si="623"/>
        <v>1.41E-2</v>
      </c>
      <c r="AS309" s="6">
        <f t="shared" si="615"/>
        <v>358.80284893345794</v>
      </c>
      <c r="AT309" s="6">
        <f t="shared" si="616"/>
        <v>185.97425508967711</v>
      </c>
      <c r="AU309" s="6">
        <f t="shared" si="617"/>
        <v>584.15643030893898</v>
      </c>
      <c r="AV309" s="6">
        <f t="shared" si="618"/>
        <v>841.5218643395591</v>
      </c>
      <c r="AW309" s="58">
        <f t="shared" si="624"/>
        <v>2012</v>
      </c>
      <c r="AX309" s="58">
        <f>COUNTIF(AW$3:AW309,AW309)</f>
        <v>14</v>
      </c>
    </row>
    <row r="310" spans="1:50" x14ac:dyDescent="0.25">
      <c r="A310" s="5">
        <v>41175</v>
      </c>
      <c r="B310">
        <v>1460.15</v>
      </c>
      <c r="C310">
        <v>0.11</v>
      </c>
      <c r="D310" s="6">
        <v>13.98</v>
      </c>
      <c r="E310" s="18">
        <f t="shared" si="637"/>
        <v>14.29</v>
      </c>
      <c r="F310">
        <f t="shared" si="638"/>
        <v>1</v>
      </c>
      <c r="G310" s="18">
        <f>ROUND(INDEX(Valuation!U:U,MATCH(A310,Valuation!A:A,0)),2)</f>
        <v>224.77</v>
      </c>
      <c r="H310">
        <f t="shared" si="645"/>
        <v>3</v>
      </c>
      <c r="I310" s="18">
        <f>INDEX(WeeklyIndicators!Y:Y,MATCH(A310,WeeklyIndicators!A:A,0))</f>
        <v>133.59</v>
      </c>
      <c r="J310">
        <f t="shared" si="634"/>
        <v>0</v>
      </c>
      <c r="K310">
        <f>ROUND(INDEX(Economic!AF:AF,MATCH(EOMONTH($A310,-1),Economic!A:A,0)),2)</f>
        <v>87.88</v>
      </c>
      <c r="L310" s="11">
        <f t="shared" si="643"/>
        <v>-1</v>
      </c>
      <c r="M310">
        <f>ROUND(INDEX(Manufacturing!P:P,MATCH(EOMONTH($A310,-1),Manufacturing!A:A,0)),2)</f>
        <v>83.09</v>
      </c>
      <c r="N310">
        <f t="shared" si="639"/>
        <v>-1</v>
      </c>
      <c r="O310">
        <f>ROUND(INDEX(Housing!AC:AC,MATCH(EOMONTH($A310,-1),Housing!B:B,0)),2)</f>
        <v>128.91999999999999</v>
      </c>
      <c r="P310">
        <f t="shared" si="640"/>
        <v>2</v>
      </c>
      <c r="Q310">
        <f>ROUND(INDEX(Spending!AJ:AJ,MATCH(EOMONTH($A310,-1),Spending!B:B,0)),2)</f>
        <v>49.13</v>
      </c>
      <c r="R310">
        <f t="shared" si="644"/>
        <v>0</v>
      </c>
      <c r="S310">
        <f>ROUND(INDEX(Employment!V:V,MATCH(EOMONTH($A310,-1),Employment!A:A,0)),2)</f>
        <v>150.4</v>
      </c>
      <c r="T310" s="11">
        <f t="shared" si="641"/>
        <v>0</v>
      </c>
      <c r="U310">
        <f t="shared" si="633"/>
        <v>24</v>
      </c>
      <c r="V310">
        <f t="shared" si="625"/>
        <v>69.25</v>
      </c>
      <c r="W310" s="13">
        <f t="shared" si="626"/>
        <v>3.8E-3</v>
      </c>
      <c r="X310" s="13">
        <f t="shared" si="627"/>
        <v>-4.3499999999999997E-2</v>
      </c>
      <c r="Y310">
        <f t="shared" si="619"/>
        <v>83.63</v>
      </c>
      <c r="Z310" s="13">
        <f t="shared" si="614"/>
        <v>2.0999999999999999E-3</v>
      </c>
      <c r="AA310" s="13">
        <f t="shared" si="646"/>
        <v>-4.2799999999999998E-2</v>
      </c>
      <c r="AB310" s="6">
        <f t="shared" si="620"/>
        <v>97.617000000000004</v>
      </c>
      <c r="AC310">
        <f t="shared" si="612"/>
        <v>49</v>
      </c>
      <c r="AD310" s="11">
        <f t="shared" si="613"/>
        <v>2</v>
      </c>
      <c r="AE310">
        <f t="shared" si="611"/>
        <v>28</v>
      </c>
      <c r="AF310">
        <f>IF(AND(AE310&lt;15,OR(AC310&gt;=30,AA310&gt;0.15,X310&gt;=0.15)),2,VLOOKUP(AE310,Table!P:Q,2,FALSE))</f>
        <v>4</v>
      </c>
      <c r="AG310" s="22">
        <f>IF((AB310*0.98)-(D310*0.8)+((AF310-3)*3)+VLOOKUP(AM310,Table!$A$11:$B$13,2,FALSE)&lt;0,0,(AB310*0.98)-(D310*0.8)+((AF310-3)*3)+VLOOKUP(AM310,Table!$A$11:$B$13,2,FALSE))</f>
        <v>95.48066</v>
      </c>
      <c r="AH310" s="22">
        <f t="shared" si="642"/>
        <v>95</v>
      </c>
      <c r="AI310" s="18">
        <f t="shared" si="635"/>
        <v>0.1</v>
      </c>
      <c r="AJ310" s="18">
        <f t="shared" si="636"/>
        <v>0.09</v>
      </c>
      <c r="AK310" t="str">
        <f t="shared" si="621"/>
        <v/>
      </c>
      <c r="AL310">
        <f t="shared" si="632"/>
        <v>28</v>
      </c>
      <c r="AM310" s="11" t="str">
        <f t="shared" si="622"/>
        <v>Stocks</v>
      </c>
      <c r="AN310" t="str">
        <f t="shared" si="628"/>
        <v>Buy</v>
      </c>
      <c r="AO310" s="13">
        <f t="shared" si="629"/>
        <v>-1.3299999999999999E-2</v>
      </c>
      <c r="AP310" s="13">
        <f t="shared" si="630"/>
        <v>0</v>
      </c>
      <c r="AQ310" s="13">
        <f t="shared" si="631"/>
        <v>-1.26E-2</v>
      </c>
      <c r="AR310" s="13">
        <f t="shared" si="623"/>
        <v>-1.3299999999999999E-2</v>
      </c>
      <c r="AS310" s="6">
        <f t="shared" si="615"/>
        <v>363.63925097137724</v>
      </c>
      <c r="AT310" s="6">
        <f t="shared" si="616"/>
        <v>185.97425508967711</v>
      </c>
      <c r="AU310" s="6">
        <f t="shared" si="617"/>
        <v>591.61072544960393</v>
      </c>
      <c r="AV310" s="6">
        <f t="shared" si="618"/>
        <v>852.86496841953897</v>
      </c>
      <c r="AW310" s="58">
        <f t="shared" si="624"/>
        <v>2012</v>
      </c>
      <c r="AX310" s="58">
        <f>COUNTIF(AW$3:AW310,AW310)</f>
        <v>15</v>
      </c>
    </row>
    <row r="311" spans="1:50" x14ac:dyDescent="0.25">
      <c r="A311" s="5">
        <v>41168</v>
      </c>
      <c r="B311">
        <v>1465.77</v>
      </c>
      <c r="C311">
        <v>0.1</v>
      </c>
      <c r="D311" s="6">
        <v>14.51</v>
      </c>
      <c r="E311" s="18">
        <f t="shared" si="637"/>
        <v>15.45</v>
      </c>
      <c r="F311">
        <f t="shared" si="638"/>
        <v>1</v>
      </c>
      <c r="G311" s="18">
        <f>ROUND(INDEX(Valuation!U:U,MATCH(A311,Valuation!A:A,0)),2)</f>
        <v>228.19</v>
      </c>
      <c r="H311">
        <f t="shared" si="645"/>
        <v>3</v>
      </c>
      <c r="I311" s="18">
        <f>INDEX(WeeklyIndicators!Y:Y,MATCH(A311,WeeklyIndicators!A:A,0))</f>
        <v>130.52000000000001</v>
      </c>
      <c r="J311">
        <f t="shared" si="634"/>
        <v>0</v>
      </c>
      <c r="K311">
        <f>ROUND(INDEX(Economic!AF:AF,MATCH(EOMONTH($A311,-1),Economic!A:A,0)),2)</f>
        <v>87.88</v>
      </c>
      <c r="L311" s="11">
        <f t="shared" si="643"/>
        <v>-1</v>
      </c>
      <c r="M311">
        <f>ROUND(INDEX(Manufacturing!P:P,MATCH(EOMONTH($A311,-1),Manufacturing!A:A,0)),2)</f>
        <v>83.09</v>
      </c>
      <c r="N311">
        <f t="shared" si="639"/>
        <v>-1</v>
      </c>
      <c r="O311">
        <f>ROUND(INDEX(Housing!AC:AC,MATCH(EOMONTH($A311,-1),Housing!B:B,0)),2)</f>
        <v>128.91999999999999</v>
      </c>
      <c r="P311">
        <f t="shared" si="640"/>
        <v>2</v>
      </c>
      <c r="Q311">
        <f>ROUND(INDEX(Spending!AJ:AJ,MATCH(EOMONTH($A311,-1),Spending!B:B,0)),2)</f>
        <v>49.13</v>
      </c>
      <c r="R311">
        <f t="shared" si="644"/>
        <v>0</v>
      </c>
      <c r="S311">
        <f>ROUND(INDEX(Employment!V:V,MATCH(EOMONTH($A311,-1),Employment!A:A,0)),2)</f>
        <v>150.4</v>
      </c>
      <c r="T311" s="11">
        <f t="shared" si="641"/>
        <v>0</v>
      </c>
      <c r="U311">
        <f t="shared" si="633"/>
        <v>24</v>
      </c>
      <c r="V311">
        <f t="shared" si="625"/>
        <v>68.94</v>
      </c>
      <c r="W311" s="13">
        <f t="shared" si="626"/>
        <v>-1.4E-2</v>
      </c>
      <c r="X311" s="13">
        <f t="shared" si="627"/>
        <v>-4.9299999999999997E-2</v>
      </c>
      <c r="Y311">
        <f t="shared" si="619"/>
        <v>83.28</v>
      </c>
      <c r="Z311" s="13">
        <f t="shared" si="614"/>
        <v>-1.41E-2</v>
      </c>
      <c r="AA311" s="13">
        <f t="shared" si="646"/>
        <v>-4.5600000000000002E-2</v>
      </c>
      <c r="AB311" s="6">
        <f t="shared" si="620"/>
        <v>97.349000000000004</v>
      </c>
      <c r="AC311">
        <f t="shared" si="612"/>
        <v>49</v>
      </c>
      <c r="AD311" s="11">
        <f t="shared" si="613"/>
        <v>2</v>
      </c>
      <c r="AE311">
        <f t="shared" si="611"/>
        <v>28</v>
      </c>
      <c r="AF311">
        <f>IF(AND(AE311&lt;15,OR(AC311&gt;=30,AA311&gt;0.15,X311&gt;=0.15)),2,VLOOKUP(AE311,Table!P:Q,2,FALSE))</f>
        <v>4</v>
      </c>
      <c r="AG311" s="22">
        <f>IF((AB311*0.98)-(D311*0.8)+((AF311-3)*3)+VLOOKUP(AM311,Table!$A$11:$B$13,2,FALSE)&lt;0,0,(AB311*0.98)-(D311*0.8)+((AF311-3)*3)+VLOOKUP(AM311,Table!$A$11:$B$13,2,FALSE))</f>
        <v>94.794020000000003</v>
      </c>
      <c r="AH311" s="22">
        <f t="shared" si="642"/>
        <v>94</v>
      </c>
      <c r="AI311" s="18">
        <f t="shared" si="635"/>
        <v>0.1</v>
      </c>
      <c r="AJ311" s="18">
        <f t="shared" si="636"/>
        <v>0.08</v>
      </c>
      <c r="AK311" t="str">
        <f t="shared" si="621"/>
        <v/>
      </c>
      <c r="AL311">
        <f t="shared" si="632"/>
        <v>28.5</v>
      </c>
      <c r="AM311" s="11" t="str">
        <f t="shared" si="622"/>
        <v>Stocks</v>
      </c>
      <c r="AN311" t="str">
        <f t="shared" si="628"/>
        <v>Buy</v>
      </c>
      <c r="AO311" s="13">
        <f t="shared" si="629"/>
        <v>-3.8E-3</v>
      </c>
      <c r="AP311" s="13">
        <f t="shared" si="630"/>
        <v>0</v>
      </c>
      <c r="AQ311" s="13">
        <f t="shared" si="631"/>
        <v>-3.5999999999999999E-3</v>
      </c>
      <c r="AR311" s="13">
        <f t="shared" si="623"/>
        <v>-3.8E-3</v>
      </c>
      <c r="AS311" s="6">
        <f t="shared" si="615"/>
        <v>365.02635110557844</v>
      </c>
      <c r="AT311" s="6">
        <f t="shared" si="616"/>
        <v>185.97425508967711</v>
      </c>
      <c r="AU311" s="6">
        <f t="shared" si="617"/>
        <v>593.74821903814131</v>
      </c>
      <c r="AV311" s="6">
        <f t="shared" si="618"/>
        <v>856.11821764659601</v>
      </c>
      <c r="AW311" s="58">
        <f t="shared" si="624"/>
        <v>2012</v>
      </c>
      <c r="AX311" s="58">
        <f>COUNTIF(AW$3:AW311,AW311)</f>
        <v>16</v>
      </c>
    </row>
    <row r="312" spans="1:50" x14ac:dyDescent="0.25">
      <c r="A312" s="5">
        <v>41161</v>
      </c>
      <c r="B312">
        <v>1437.92</v>
      </c>
      <c r="C312">
        <v>0.11</v>
      </c>
      <c r="D312" s="6">
        <v>14.38</v>
      </c>
      <c r="E312" s="18">
        <f t="shared" si="637"/>
        <v>15.68</v>
      </c>
      <c r="F312">
        <f t="shared" si="638"/>
        <v>1</v>
      </c>
      <c r="G312" s="18">
        <f>ROUND(INDEX(Valuation!U:U,MATCH(A312,Valuation!A:A,0)),2)</f>
        <v>229.81</v>
      </c>
      <c r="H312">
        <f t="shared" si="645"/>
        <v>3</v>
      </c>
      <c r="I312" s="18">
        <f>INDEX(WeeklyIndicators!Y:Y,MATCH(A312,WeeklyIndicators!A:A,0))</f>
        <v>127.55</v>
      </c>
      <c r="J312">
        <f t="shared" si="634"/>
        <v>0</v>
      </c>
      <c r="K312">
        <f>ROUND(INDEX(Economic!AF:AF,MATCH(EOMONTH($A312,-1),Economic!A:A,0)),2)</f>
        <v>87.88</v>
      </c>
      <c r="L312" s="11">
        <f t="shared" si="643"/>
        <v>-1</v>
      </c>
      <c r="M312">
        <f>ROUND(INDEX(Manufacturing!P:P,MATCH(EOMONTH($A312,-1),Manufacturing!A:A,0)),2)</f>
        <v>83.09</v>
      </c>
      <c r="N312">
        <f t="shared" si="639"/>
        <v>-1</v>
      </c>
      <c r="O312">
        <f>ROUND(INDEX(Housing!AC:AC,MATCH(EOMONTH($A312,-1),Housing!B:B,0)),2)</f>
        <v>128.91999999999999</v>
      </c>
      <c r="P312">
        <f t="shared" si="640"/>
        <v>2</v>
      </c>
      <c r="Q312">
        <f>ROUND(INDEX(Spending!AJ:AJ,MATCH(EOMONTH($A312,-1),Spending!B:B,0)),2)</f>
        <v>49.13</v>
      </c>
      <c r="R312">
        <f t="shared" si="644"/>
        <v>0</v>
      </c>
      <c r="S312">
        <f>ROUND(INDEX(Employment!V:V,MATCH(EOMONTH($A312,-1),Employment!A:A,0)),2)</f>
        <v>150.4</v>
      </c>
      <c r="T312" s="11">
        <f t="shared" si="641"/>
        <v>0</v>
      </c>
      <c r="U312">
        <f t="shared" si="633"/>
        <v>24</v>
      </c>
      <c r="V312">
        <f t="shared" si="625"/>
        <v>68.63</v>
      </c>
      <c r="W312" s="13">
        <f t="shared" si="626"/>
        <v>-1.6E-2</v>
      </c>
      <c r="X312" s="13">
        <f t="shared" si="627"/>
        <v>-5.0999999999999997E-2</v>
      </c>
      <c r="Y312">
        <f t="shared" si="619"/>
        <v>83.08</v>
      </c>
      <c r="Z312" s="13">
        <f t="shared" si="614"/>
        <v>-1.5699999999999999E-2</v>
      </c>
      <c r="AA312" s="13">
        <f t="shared" si="646"/>
        <v>-4.2599999999999999E-2</v>
      </c>
      <c r="AB312" s="6">
        <f t="shared" si="620"/>
        <v>97.480999999999995</v>
      </c>
      <c r="AC312">
        <f t="shared" si="612"/>
        <v>49</v>
      </c>
      <c r="AD312" s="11">
        <f t="shared" si="613"/>
        <v>2</v>
      </c>
      <c r="AE312">
        <f t="shared" ref="AE312:AE375" si="647">IF(AND(AA312&gt;=0.2,AC312&gt;=20,U312+AD312+2&lt;30),U312+AD312+2+12,U312+AD312+2)</f>
        <v>28</v>
      </c>
      <c r="AF312">
        <f>IF(AND(AE312&lt;15,OR(AC312&gt;=30,AA312&gt;0.15,X312&gt;=0.15)),2,VLOOKUP(AE312,Table!P:Q,2,FALSE))</f>
        <v>4</v>
      </c>
      <c r="AG312" s="22">
        <f>IF((AB312*0.98)-(D312*0.8)+((AF312-3)*3)+VLOOKUP(AM312,Table!$A$11:$B$13,2,FALSE)&lt;0,0,(AB312*0.98)-(D312*0.8)+((AF312-3)*3)+VLOOKUP(AM312,Table!$A$11:$B$13,2,FALSE))</f>
        <v>95.027379999999994</v>
      </c>
      <c r="AH312" s="22">
        <f t="shared" si="642"/>
        <v>96</v>
      </c>
      <c r="AI312" s="18">
        <f t="shared" si="635"/>
        <v>0.1</v>
      </c>
      <c r="AJ312" s="18">
        <f t="shared" si="636"/>
        <v>0.08</v>
      </c>
      <c r="AK312" t="str">
        <f t="shared" si="621"/>
        <v/>
      </c>
      <c r="AL312">
        <f t="shared" si="632"/>
        <v>29</v>
      </c>
      <c r="AM312" s="11" t="str">
        <f t="shared" si="622"/>
        <v>Stocks</v>
      </c>
      <c r="AN312" t="str">
        <f t="shared" si="628"/>
        <v>Buy</v>
      </c>
      <c r="AO312" s="13">
        <f t="shared" si="629"/>
        <v>1.9400000000000001E-2</v>
      </c>
      <c r="AP312" s="13">
        <f t="shared" si="630"/>
        <v>0</v>
      </c>
      <c r="AQ312" s="13">
        <f t="shared" si="631"/>
        <v>1.8599999999999998E-2</v>
      </c>
      <c r="AR312" s="13">
        <f t="shared" si="623"/>
        <v>1.9400000000000001E-2</v>
      </c>
      <c r="AS312" s="6">
        <f t="shared" si="615"/>
        <v>358.07960673492096</v>
      </c>
      <c r="AT312" s="6">
        <f t="shared" si="616"/>
        <v>185.97425508967711</v>
      </c>
      <c r="AU312" s="6">
        <f t="shared" si="617"/>
        <v>582.90616438066104</v>
      </c>
      <c r="AV312" s="6">
        <f t="shared" si="618"/>
        <v>839.82560098743966</v>
      </c>
      <c r="AW312" s="58">
        <f t="shared" si="624"/>
        <v>2012</v>
      </c>
      <c r="AX312" s="58">
        <f>COUNTIF(AW$3:AW312,AW312)</f>
        <v>17</v>
      </c>
    </row>
    <row r="313" spans="1:50" x14ac:dyDescent="0.25">
      <c r="A313" s="5">
        <v>41154</v>
      </c>
      <c r="B313">
        <v>1406.58</v>
      </c>
      <c r="C313">
        <v>0.1</v>
      </c>
      <c r="D313" s="6">
        <v>17.47</v>
      </c>
      <c r="E313" s="18">
        <f t="shared" si="637"/>
        <v>15.37</v>
      </c>
      <c r="F313">
        <f t="shared" si="638"/>
        <v>1</v>
      </c>
      <c r="G313" s="18">
        <f>ROUND(INDEX(Valuation!U:U,MATCH(A313,Valuation!A:A,0)),2)</f>
        <v>230.69</v>
      </c>
      <c r="H313">
        <f t="shared" si="645"/>
        <v>3</v>
      </c>
      <c r="I313" s="18">
        <f>INDEX(WeeklyIndicators!Y:Y,MATCH(A313,WeeklyIndicators!A:A,0))</f>
        <v>125.92</v>
      </c>
      <c r="J313">
        <f t="shared" si="634"/>
        <v>0</v>
      </c>
      <c r="K313">
        <f>ROUND(INDEX(Economic!AF:AF,MATCH(EOMONTH($A313,-1),Economic!A:A,0)),2)</f>
        <v>87.88</v>
      </c>
      <c r="L313" s="11">
        <f t="shared" si="643"/>
        <v>-1</v>
      </c>
      <c r="M313">
        <f>ROUND(INDEX(Manufacturing!P:P,MATCH(EOMONTH($A313,-1),Manufacturing!A:A,0)),2)</f>
        <v>83.09</v>
      </c>
      <c r="N313">
        <f t="shared" si="639"/>
        <v>-1</v>
      </c>
      <c r="O313">
        <f>ROUND(INDEX(Housing!AC:AC,MATCH(EOMONTH($A313,-1),Housing!B:B,0)),2)</f>
        <v>128.91999999999999</v>
      </c>
      <c r="P313">
        <f t="shared" si="640"/>
        <v>2</v>
      </c>
      <c r="Q313">
        <f>ROUND(INDEX(Spending!AJ:AJ,MATCH(EOMONTH($A313,-1),Spending!B:B,0)),2)</f>
        <v>49.13</v>
      </c>
      <c r="R313">
        <f t="shared" si="644"/>
        <v>0</v>
      </c>
      <c r="S313">
        <f>ROUND(INDEX(Employment!V:V,MATCH(EOMONTH($A313,-1),Employment!A:A,0)),2)</f>
        <v>150.4</v>
      </c>
      <c r="T313" s="11">
        <f t="shared" si="641"/>
        <v>0</v>
      </c>
      <c r="U313">
        <f t="shared" si="633"/>
        <v>24</v>
      </c>
      <c r="V313">
        <f t="shared" si="625"/>
        <v>68.459999999999994</v>
      </c>
      <c r="W313" s="13">
        <f t="shared" si="626"/>
        <v>-1.7299999999999999E-2</v>
      </c>
      <c r="X313" s="13">
        <f t="shared" si="627"/>
        <v>-4.7999999999999994E-2</v>
      </c>
      <c r="Y313">
        <f t="shared" si="619"/>
        <v>83.11</v>
      </c>
      <c r="Z313" s="13">
        <f t="shared" si="614"/>
        <v>-1.5100000000000001E-2</v>
      </c>
      <c r="AA313" s="13">
        <f t="shared" si="646"/>
        <v>-3.6600000000000001E-2</v>
      </c>
      <c r="AB313" s="6">
        <f t="shared" si="620"/>
        <v>98.028999999999996</v>
      </c>
      <c r="AC313">
        <f t="shared" si="612"/>
        <v>49</v>
      </c>
      <c r="AD313" s="11">
        <f t="shared" si="613"/>
        <v>2</v>
      </c>
      <c r="AE313">
        <f t="shared" si="647"/>
        <v>28</v>
      </c>
      <c r="AF313">
        <f>IF(AND(AE313&lt;15,OR(AC313&gt;=30,AA313&gt;0.15,X313&gt;=0.15)),2,VLOOKUP(AE313,Table!P:Q,2,FALSE))</f>
        <v>4</v>
      </c>
      <c r="AG313" s="22">
        <f>IF((AB313*0.98)-(D313*0.8)+((AF313-3)*3)+VLOOKUP(AM313,Table!$A$11:$B$13,2,FALSE)&lt;0,0,(AB313*0.98)-(D313*0.8)+((AF313-3)*3)+VLOOKUP(AM313,Table!$A$11:$B$13,2,FALSE))</f>
        <v>93.09241999999999</v>
      </c>
      <c r="AH313" s="22">
        <f t="shared" si="642"/>
        <v>98</v>
      </c>
      <c r="AI313" s="18">
        <f t="shared" si="635"/>
        <v>0.1</v>
      </c>
      <c r="AJ313" s="18">
        <f t="shared" si="636"/>
        <v>0.08</v>
      </c>
      <c r="AK313" t="str">
        <f t="shared" si="621"/>
        <v/>
      </c>
      <c r="AL313">
        <f t="shared" si="632"/>
        <v>29.5</v>
      </c>
      <c r="AM313" s="11" t="str">
        <f t="shared" si="622"/>
        <v>Stocks</v>
      </c>
      <c r="AN313" t="str">
        <f t="shared" si="628"/>
        <v>Buy</v>
      </c>
      <c r="AO313" s="13">
        <f t="shared" si="629"/>
        <v>2.23E-2</v>
      </c>
      <c r="AP313" s="13">
        <f t="shared" si="630"/>
        <v>0</v>
      </c>
      <c r="AQ313" s="13">
        <f t="shared" si="631"/>
        <v>2.1899999999999999E-2</v>
      </c>
      <c r="AR313" s="13">
        <f t="shared" si="623"/>
        <v>2.23E-2</v>
      </c>
      <c r="AS313" s="6">
        <f t="shared" si="615"/>
        <v>350.2686165850738</v>
      </c>
      <c r="AT313" s="6">
        <f t="shared" si="616"/>
        <v>185.97425508967711</v>
      </c>
      <c r="AU313" s="6">
        <f t="shared" si="617"/>
        <v>570.4140956851561</v>
      </c>
      <c r="AV313" s="6">
        <f t="shared" si="618"/>
        <v>821.50601681252044</v>
      </c>
      <c r="AW313" s="58">
        <f t="shared" si="624"/>
        <v>2012</v>
      </c>
      <c r="AX313" s="58">
        <f>COUNTIF(AW$3:AW313,AW313)</f>
        <v>18</v>
      </c>
    </row>
    <row r="314" spans="1:50" x14ac:dyDescent="0.25">
      <c r="A314" s="5">
        <v>41147</v>
      </c>
      <c r="B314">
        <v>1411.13</v>
      </c>
      <c r="C314">
        <v>0.11</v>
      </c>
      <c r="D314" s="6">
        <v>15.18</v>
      </c>
      <c r="E314" s="18">
        <f t="shared" si="637"/>
        <v>14.46</v>
      </c>
      <c r="F314">
        <f t="shared" si="638"/>
        <v>1</v>
      </c>
      <c r="G314" s="18">
        <f>ROUND(INDEX(Valuation!U:U,MATCH(A314,Valuation!A:A,0)),2)</f>
        <v>230.73</v>
      </c>
      <c r="H314">
        <f t="shared" si="645"/>
        <v>3</v>
      </c>
      <c r="I314" s="18">
        <f>INDEX(WeeklyIndicators!Y:Y,MATCH(A314,WeeklyIndicators!A:A,0))</f>
        <v>125.44</v>
      </c>
      <c r="J314">
        <f t="shared" si="634"/>
        <v>0</v>
      </c>
      <c r="K314">
        <f>ROUND(INDEX(Economic!AF:AF,MATCH(EOMONTH($A314,-1),Economic!A:A,0)),2)</f>
        <v>104.07</v>
      </c>
      <c r="L314" s="11">
        <f t="shared" si="643"/>
        <v>0</v>
      </c>
      <c r="M314">
        <f>ROUND(INDEX(Manufacturing!P:P,MATCH(EOMONTH($A314,-1),Manufacturing!A:A,0)),2)</f>
        <v>87.46</v>
      </c>
      <c r="N314">
        <f t="shared" si="639"/>
        <v>0</v>
      </c>
      <c r="O314">
        <f>ROUND(INDEX(Housing!AC:AC,MATCH(EOMONTH($A314,-1),Housing!B:B,0)),2)</f>
        <v>125.51</v>
      </c>
      <c r="P314">
        <f t="shared" si="640"/>
        <v>1</v>
      </c>
      <c r="Q314">
        <f>ROUND(INDEX(Spending!AJ:AJ,MATCH(EOMONTH($A314,-1),Spending!B:B,0)),2)</f>
        <v>58.46</v>
      </c>
      <c r="R314">
        <f t="shared" si="644"/>
        <v>1</v>
      </c>
      <c r="S314">
        <f>ROUND(INDEX(Employment!V:V,MATCH(EOMONTH($A314,-1),Employment!A:A,0)),2)</f>
        <v>150.47999999999999</v>
      </c>
      <c r="T314" s="11">
        <f t="shared" si="641"/>
        <v>0</v>
      </c>
      <c r="U314">
        <f t="shared" si="633"/>
        <v>26</v>
      </c>
      <c r="V314">
        <f t="shared" si="625"/>
        <v>71.87</v>
      </c>
      <c r="W314" s="13">
        <f t="shared" si="626"/>
        <v>-2E-3</v>
      </c>
      <c r="X314" s="13">
        <f t="shared" si="627"/>
        <v>-4.07E-2</v>
      </c>
      <c r="Y314">
        <f t="shared" si="619"/>
        <v>86.84</v>
      </c>
      <c r="Z314" s="13">
        <f t="shared" si="614"/>
        <v>-6.9999999999999999E-4</v>
      </c>
      <c r="AA314" s="13">
        <f t="shared" si="646"/>
        <v>-2.9199999999999997E-2</v>
      </c>
      <c r="AB314" s="6">
        <f t="shared" si="620"/>
        <v>102.44300000000001</v>
      </c>
      <c r="AC314">
        <f t="shared" si="612"/>
        <v>51</v>
      </c>
      <c r="AD314" s="11">
        <f t="shared" si="613"/>
        <v>2</v>
      </c>
      <c r="AE314">
        <f t="shared" si="647"/>
        <v>30</v>
      </c>
      <c r="AF314">
        <f>IF(AND(AE314&lt;15,OR(AC314&gt;=30,AA314&gt;0.15,X314&gt;=0.15)),2,VLOOKUP(AE314,Table!P:Q,2,FALSE))</f>
        <v>4</v>
      </c>
      <c r="AG314" s="22">
        <f>IF((AB314*0.98)-(D314*0.8)+((AF314-3)*3)+VLOOKUP(AM314,Table!$A$11:$B$13,2,FALSE)&lt;0,0,(AB314*0.98)-(D314*0.8)+((AF314-3)*3)+VLOOKUP(AM314,Table!$A$11:$B$13,2,FALSE))</f>
        <v>99.250140000000002</v>
      </c>
      <c r="AH314" s="22">
        <f t="shared" si="642"/>
        <v>100</v>
      </c>
      <c r="AI314" s="18">
        <f t="shared" si="635"/>
        <v>0.1</v>
      </c>
      <c r="AJ314" s="18">
        <f t="shared" si="636"/>
        <v>0.08</v>
      </c>
      <c r="AK314" t="str">
        <f t="shared" si="621"/>
        <v/>
      </c>
      <c r="AL314">
        <f t="shared" si="632"/>
        <v>29.75</v>
      </c>
      <c r="AM314" s="11" t="str">
        <f t="shared" si="622"/>
        <v>Stocks</v>
      </c>
      <c r="AN314" t="str">
        <f t="shared" si="628"/>
        <v>Buy</v>
      </c>
      <c r="AO314" s="13">
        <f t="shared" si="629"/>
        <v>-3.2000000000000002E-3</v>
      </c>
      <c r="AP314" s="13">
        <f t="shared" si="630"/>
        <v>0</v>
      </c>
      <c r="AQ314" s="13">
        <f t="shared" si="631"/>
        <v>-3.2000000000000002E-3</v>
      </c>
      <c r="AR314" s="13">
        <f t="shared" si="623"/>
        <v>-3.2000000000000002E-3</v>
      </c>
      <c r="AS314" s="6">
        <f t="shared" si="615"/>
        <v>351.39307442322814</v>
      </c>
      <c r="AT314" s="6">
        <f t="shared" si="616"/>
        <v>185.97425508967711</v>
      </c>
      <c r="AU314" s="6">
        <f t="shared" si="617"/>
        <v>572.24528058302178</v>
      </c>
      <c r="AV314" s="6">
        <f t="shared" si="618"/>
        <v>824.14327529345951</v>
      </c>
      <c r="AW314" s="58">
        <f t="shared" si="624"/>
        <v>2012</v>
      </c>
      <c r="AX314" s="58">
        <f>COUNTIF(AW$3:AW314,AW314)</f>
        <v>19</v>
      </c>
    </row>
    <row r="315" spans="1:50" x14ac:dyDescent="0.25">
      <c r="A315" s="5">
        <v>41140</v>
      </c>
      <c r="B315">
        <v>1418.16</v>
      </c>
      <c r="C315">
        <v>0.1</v>
      </c>
      <c r="D315" s="6">
        <v>13.45</v>
      </c>
      <c r="E315" s="18">
        <f t="shared" si="637"/>
        <v>14.61</v>
      </c>
      <c r="F315">
        <f t="shared" si="638"/>
        <v>1</v>
      </c>
      <c r="G315" s="18">
        <f>ROUND(INDEX(Valuation!U:U,MATCH(A315,Valuation!A:A,0)),2)</f>
        <v>232.39</v>
      </c>
      <c r="H315">
        <f t="shared" si="645"/>
        <v>3</v>
      </c>
      <c r="I315" s="18">
        <f>INDEX(WeeklyIndicators!Y:Y,MATCH(A315,WeeklyIndicators!A:A,0))</f>
        <v>126.88</v>
      </c>
      <c r="J315">
        <f t="shared" si="634"/>
        <v>0</v>
      </c>
      <c r="K315">
        <f>ROUND(INDEX(Economic!AF:AF,MATCH(EOMONTH($A315,-1),Economic!A:A,0)),2)</f>
        <v>104.07</v>
      </c>
      <c r="L315" s="11">
        <f t="shared" si="643"/>
        <v>0</v>
      </c>
      <c r="M315">
        <f>ROUND(INDEX(Manufacturing!P:P,MATCH(EOMONTH($A315,-1),Manufacturing!A:A,0)),2)</f>
        <v>87.46</v>
      </c>
      <c r="N315">
        <f t="shared" si="639"/>
        <v>0</v>
      </c>
      <c r="O315">
        <f>ROUND(INDEX(Housing!AC:AC,MATCH(EOMONTH($A315,-1),Housing!B:B,0)),2)</f>
        <v>125.51</v>
      </c>
      <c r="P315">
        <f t="shared" si="640"/>
        <v>1</v>
      </c>
      <c r="Q315">
        <f>ROUND(INDEX(Spending!AJ:AJ,MATCH(EOMONTH($A315,-1),Spending!B:B,0)),2)</f>
        <v>58.46</v>
      </c>
      <c r="R315">
        <f t="shared" si="644"/>
        <v>1</v>
      </c>
      <c r="S315">
        <f>ROUND(INDEX(Employment!V:V,MATCH(EOMONTH($A315,-1),Employment!A:A,0)),2)</f>
        <v>150.47999999999999</v>
      </c>
      <c r="T315" s="11">
        <f t="shared" si="641"/>
        <v>0</v>
      </c>
      <c r="U315">
        <f t="shared" si="633"/>
        <v>26</v>
      </c>
      <c r="V315">
        <f t="shared" si="625"/>
        <v>72.02</v>
      </c>
      <c r="W315" s="13">
        <f t="shared" si="626"/>
        <v>-1.5699999999999999E-2</v>
      </c>
      <c r="X315" s="13">
        <f t="shared" si="627"/>
        <v>-3.1399999999999997E-2</v>
      </c>
      <c r="Y315">
        <f t="shared" si="619"/>
        <v>87.12</v>
      </c>
      <c r="Z315" s="13">
        <f t="shared" si="614"/>
        <v>-1.11E-2</v>
      </c>
      <c r="AA315" s="13">
        <f t="shared" si="646"/>
        <v>-2.1699999999999997E-2</v>
      </c>
      <c r="AB315" s="6">
        <f t="shared" si="620"/>
        <v>103.489</v>
      </c>
      <c r="AC315">
        <f t="shared" si="612"/>
        <v>52</v>
      </c>
      <c r="AD315" s="11">
        <f t="shared" si="613"/>
        <v>2</v>
      </c>
      <c r="AE315">
        <f t="shared" si="647"/>
        <v>30</v>
      </c>
      <c r="AF315">
        <f>IF(AND(AE315&lt;15,OR(AC315&gt;=30,AA315&gt;0.15,X315&gt;=0.15)),2,VLOOKUP(AE315,Table!P:Q,2,FALSE))</f>
        <v>4</v>
      </c>
      <c r="AG315" s="22">
        <f>IF((AB315*0.98)-(D315*0.8)+((AF315-3)*3)+VLOOKUP(AM315,Table!$A$11:$B$13,2,FALSE)&lt;0,0,(AB315*0.98)-(D315*0.8)+((AF315-3)*3)+VLOOKUP(AM315,Table!$A$11:$B$13,2,FALSE))</f>
        <v>101.65921999999999</v>
      </c>
      <c r="AH315" s="22">
        <f t="shared" si="642"/>
        <v>100</v>
      </c>
      <c r="AI315" s="18">
        <f t="shared" si="635"/>
        <v>0.09</v>
      </c>
      <c r="AJ315" s="18">
        <f t="shared" si="636"/>
        <v>7.0000000000000007E-2</v>
      </c>
      <c r="AK315" t="str">
        <f t="shared" si="621"/>
        <v/>
      </c>
      <c r="AL315">
        <f t="shared" si="632"/>
        <v>30.25</v>
      </c>
      <c r="AM315" s="11" t="str">
        <f t="shared" si="622"/>
        <v>Stocks</v>
      </c>
      <c r="AN315" t="str">
        <f t="shared" si="628"/>
        <v>Buy</v>
      </c>
      <c r="AO315" s="13">
        <f t="shared" si="629"/>
        <v>-5.0000000000000001E-3</v>
      </c>
      <c r="AP315" s="13">
        <f t="shared" si="630"/>
        <v>0</v>
      </c>
      <c r="AQ315" s="13">
        <f t="shared" si="631"/>
        <v>-5.0000000000000001E-3</v>
      </c>
      <c r="AR315" s="13">
        <f t="shared" si="623"/>
        <v>-5.0000000000000001E-3</v>
      </c>
      <c r="AS315" s="6">
        <f t="shared" si="615"/>
        <v>353.15886876706344</v>
      </c>
      <c r="AT315" s="6">
        <f t="shared" si="616"/>
        <v>185.97425508967711</v>
      </c>
      <c r="AU315" s="6">
        <f t="shared" si="617"/>
        <v>575.12088500806215</v>
      </c>
      <c r="AV315" s="6">
        <f t="shared" si="618"/>
        <v>828.28469878739645</v>
      </c>
      <c r="AW315" s="58">
        <f t="shared" si="624"/>
        <v>2012</v>
      </c>
      <c r="AX315" s="58">
        <f>COUNTIF(AW$3:AW315,AW315)</f>
        <v>20</v>
      </c>
    </row>
    <row r="316" spans="1:50" x14ac:dyDescent="0.25">
      <c r="A316" s="5">
        <v>41133</v>
      </c>
      <c r="B316">
        <v>1405.87</v>
      </c>
      <c r="C316">
        <v>0.11</v>
      </c>
      <c r="D316" s="6">
        <v>14.74</v>
      </c>
      <c r="E316" s="18">
        <f t="shared" si="637"/>
        <v>15.69</v>
      </c>
      <c r="F316">
        <f t="shared" si="638"/>
        <v>1</v>
      </c>
      <c r="G316" s="18">
        <f>ROUND(INDEX(Valuation!U:U,MATCH(A316,Valuation!A:A,0)),2)</f>
        <v>233.45</v>
      </c>
      <c r="H316">
        <f t="shared" si="645"/>
        <v>3</v>
      </c>
      <c r="I316" s="18">
        <f>INDEX(WeeklyIndicators!Y:Y,MATCH(A316,WeeklyIndicators!A:A,0))</f>
        <v>128.59</v>
      </c>
      <c r="J316">
        <f t="shared" si="634"/>
        <v>0</v>
      </c>
      <c r="K316">
        <f>ROUND(INDEX(Economic!AF:AF,MATCH(EOMONTH($A316,-1),Economic!A:A,0)),2)</f>
        <v>104.07</v>
      </c>
      <c r="L316" s="11">
        <f t="shared" si="643"/>
        <v>0</v>
      </c>
      <c r="M316">
        <f>ROUND(INDEX(Manufacturing!P:P,MATCH(EOMONTH($A316,-1),Manufacturing!A:A,0)),2)</f>
        <v>87.46</v>
      </c>
      <c r="N316">
        <f t="shared" si="639"/>
        <v>0</v>
      </c>
      <c r="O316">
        <f>ROUND(INDEX(Housing!AC:AC,MATCH(EOMONTH($A316,-1),Housing!B:B,0)),2)</f>
        <v>125.51</v>
      </c>
      <c r="P316">
        <f t="shared" si="640"/>
        <v>1</v>
      </c>
      <c r="Q316">
        <f>ROUND(INDEX(Spending!AJ:AJ,MATCH(EOMONTH($A316,-1),Spending!B:B,0)),2)</f>
        <v>58.46</v>
      </c>
      <c r="R316">
        <f t="shared" si="644"/>
        <v>1</v>
      </c>
      <c r="S316">
        <f>ROUND(INDEX(Employment!V:V,MATCH(EOMONTH($A316,-1),Employment!A:A,0)),2)</f>
        <v>150.47999999999999</v>
      </c>
      <c r="T316" s="11">
        <f t="shared" si="641"/>
        <v>0</v>
      </c>
      <c r="U316">
        <f t="shared" si="633"/>
        <v>26</v>
      </c>
      <c r="V316">
        <f t="shared" si="625"/>
        <v>72.19</v>
      </c>
      <c r="W316" s="13">
        <f t="shared" si="626"/>
        <v>-1.2999999999999999E-2</v>
      </c>
      <c r="X316" s="13">
        <f t="shared" si="627"/>
        <v>-7.499999999999998E-3</v>
      </c>
      <c r="Y316">
        <f t="shared" si="619"/>
        <v>87.04</v>
      </c>
      <c r="Z316" s="13">
        <f t="shared" si="614"/>
        <v>-9.7000000000000003E-3</v>
      </c>
      <c r="AA316" s="13">
        <f t="shared" si="646"/>
        <v>-1.4999999999999979E-3</v>
      </c>
      <c r="AB316" s="6">
        <f t="shared" si="620"/>
        <v>105.11499999999999</v>
      </c>
      <c r="AC316">
        <f t="shared" si="612"/>
        <v>53</v>
      </c>
      <c r="AD316" s="11">
        <f t="shared" si="613"/>
        <v>2</v>
      </c>
      <c r="AE316">
        <f t="shared" si="647"/>
        <v>30</v>
      </c>
      <c r="AF316">
        <f>IF(AND(AE316&lt;15,OR(AC316&gt;=30,AA316&gt;0.15,X316&gt;=0.15)),2,VLOOKUP(AE316,Table!P:Q,2,FALSE))</f>
        <v>4</v>
      </c>
      <c r="AG316" s="22">
        <f>IF((AB316*0.98)-(D316*0.8)+((AF316-3)*3)+VLOOKUP(AM316,Table!$A$11:$B$13,2,FALSE)&lt;0,0,(AB316*0.98)-(D316*0.8)+((AF316-3)*3)+VLOOKUP(AM316,Table!$A$11:$B$13,2,FALSE))</f>
        <v>102.22069999999999</v>
      </c>
      <c r="AH316" s="22">
        <f t="shared" si="642"/>
        <v>100</v>
      </c>
      <c r="AI316" s="18">
        <f t="shared" si="635"/>
        <v>0.09</v>
      </c>
      <c r="AJ316" s="18">
        <f t="shared" si="636"/>
        <v>7.0000000000000007E-2</v>
      </c>
      <c r="AK316" t="str">
        <f t="shared" si="621"/>
        <v/>
      </c>
      <c r="AL316">
        <f t="shared" si="632"/>
        <v>30.75</v>
      </c>
      <c r="AM316" s="11" t="str">
        <f t="shared" si="622"/>
        <v>Stocks</v>
      </c>
      <c r="AN316" t="str">
        <f t="shared" si="628"/>
        <v>Buy</v>
      </c>
      <c r="AO316" s="13">
        <f t="shared" si="629"/>
        <v>8.6999999999999994E-3</v>
      </c>
      <c r="AP316" s="13">
        <f t="shared" si="630"/>
        <v>0</v>
      </c>
      <c r="AQ316" s="13">
        <f t="shared" si="631"/>
        <v>8.6999999999999994E-3</v>
      </c>
      <c r="AR316" s="13">
        <f t="shared" si="623"/>
        <v>8.6999999999999994E-3</v>
      </c>
      <c r="AS316" s="6">
        <f t="shared" si="615"/>
        <v>350.11288665318079</v>
      </c>
      <c r="AT316" s="6">
        <f t="shared" si="616"/>
        <v>185.97425508967711</v>
      </c>
      <c r="AU316" s="6">
        <f t="shared" si="617"/>
        <v>570.16048875588592</v>
      </c>
      <c r="AV316" s="6">
        <f t="shared" si="618"/>
        <v>821.14077405313424</v>
      </c>
      <c r="AW316" s="58">
        <f t="shared" si="624"/>
        <v>2012</v>
      </c>
      <c r="AX316" s="58">
        <f>COUNTIF(AW$3:AW316,AW316)</f>
        <v>21</v>
      </c>
    </row>
    <row r="317" spans="1:50" x14ac:dyDescent="0.25">
      <c r="A317" s="5">
        <v>41126</v>
      </c>
      <c r="B317">
        <v>1390.99</v>
      </c>
      <c r="C317">
        <v>0.1</v>
      </c>
      <c r="D317" s="6">
        <v>15.64</v>
      </c>
      <c r="E317" s="18">
        <f t="shared" si="637"/>
        <v>16.2</v>
      </c>
      <c r="F317">
        <f t="shared" si="638"/>
        <v>0</v>
      </c>
      <c r="G317" s="18">
        <f>ROUND(INDEX(Valuation!U:U,MATCH(A317,Valuation!A:A,0)),2)</f>
        <v>233.74</v>
      </c>
      <c r="H317">
        <f t="shared" si="645"/>
        <v>3</v>
      </c>
      <c r="I317" s="18">
        <f>INDEX(WeeklyIndicators!Y:Y,MATCH(A317,WeeklyIndicators!A:A,0))</f>
        <v>129.68</v>
      </c>
      <c r="J317">
        <f t="shared" si="634"/>
        <v>0</v>
      </c>
      <c r="K317">
        <f>ROUND(INDEX(Economic!AF:AF,MATCH(EOMONTH($A317,-1),Economic!A:A,0)),2)</f>
        <v>104.07</v>
      </c>
      <c r="L317" s="11">
        <f t="shared" si="643"/>
        <v>0</v>
      </c>
      <c r="M317">
        <f>ROUND(INDEX(Manufacturing!P:P,MATCH(EOMONTH($A317,-1),Manufacturing!A:A,0)),2)</f>
        <v>87.46</v>
      </c>
      <c r="N317">
        <f t="shared" si="639"/>
        <v>0</v>
      </c>
      <c r="O317">
        <f>ROUND(INDEX(Housing!AC:AC,MATCH(EOMONTH($A317,-1),Housing!B:B,0)),2)</f>
        <v>125.51</v>
      </c>
      <c r="P317">
        <f t="shared" si="640"/>
        <v>1</v>
      </c>
      <c r="Q317">
        <f>ROUND(INDEX(Spending!AJ:AJ,MATCH(EOMONTH($A317,-1),Spending!B:B,0)),2)</f>
        <v>58.46</v>
      </c>
      <c r="R317">
        <f t="shared" si="644"/>
        <v>1</v>
      </c>
      <c r="S317">
        <f>ROUND(INDEX(Employment!V:V,MATCH(EOMONTH($A317,-1),Employment!A:A,0)),2)</f>
        <v>150.47999999999999</v>
      </c>
      <c r="T317" s="11">
        <f t="shared" si="641"/>
        <v>0</v>
      </c>
      <c r="U317">
        <f t="shared" si="633"/>
        <v>25</v>
      </c>
      <c r="V317">
        <f t="shared" si="625"/>
        <v>72.31</v>
      </c>
      <c r="W317" s="13">
        <f t="shared" si="626"/>
        <v>-0.01</v>
      </c>
      <c r="X317" s="13">
        <f t="shared" si="627"/>
        <v>-1.6999999999999993E-3</v>
      </c>
      <c r="Y317">
        <f t="shared" si="619"/>
        <v>87.01</v>
      </c>
      <c r="Z317" s="13">
        <f t="shared" si="614"/>
        <v>-7.7000000000000002E-3</v>
      </c>
      <c r="AA317" s="13">
        <f t="shared" si="646"/>
        <v>6.1999999999999989E-3</v>
      </c>
      <c r="AB317" s="6">
        <f t="shared" si="620"/>
        <v>105.69399999999999</v>
      </c>
      <c r="AC317">
        <f t="shared" ref="AC317:AC380" si="648">IF(ROUND(AB317/2,0)&lt;0,0,ROUND(AB317/2,0))</f>
        <v>53</v>
      </c>
      <c r="AD317" s="11">
        <f t="shared" si="613"/>
        <v>2</v>
      </c>
      <c r="AE317">
        <f t="shared" si="647"/>
        <v>29</v>
      </c>
      <c r="AF317">
        <f>IF(AND(AE317&lt;15,OR(AC317&gt;=30,AA317&gt;0.15,X317&gt;=0.15)),2,VLOOKUP(AE317,Table!P:Q,2,FALSE))</f>
        <v>4</v>
      </c>
      <c r="AG317" s="22">
        <f>IF((AB317*0.98)-(D317*0.8)+((AF317-3)*3)+VLOOKUP(AM317,Table!$A$11:$B$13,2,FALSE)&lt;0,0,(AB317*0.98)-(D317*0.8)+((AF317-3)*3)+VLOOKUP(AM317,Table!$A$11:$B$13,2,FALSE))</f>
        <v>102.06811999999999</v>
      </c>
      <c r="AH317" s="22">
        <f t="shared" si="642"/>
        <v>100</v>
      </c>
      <c r="AI317" s="18">
        <f t="shared" si="635"/>
        <v>0.09</v>
      </c>
      <c r="AJ317" s="18">
        <f t="shared" si="636"/>
        <v>7.0000000000000007E-2</v>
      </c>
      <c r="AK317" t="str">
        <f t="shared" si="621"/>
        <v/>
      </c>
      <c r="AL317">
        <f t="shared" si="632"/>
        <v>31</v>
      </c>
      <c r="AM317" s="11" t="str">
        <f t="shared" si="622"/>
        <v>Stocks</v>
      </c>
      <c r="AN317" t="str">
        <f t="shared" si="628"/>
        <v>Buy</v>
      </c>
      <c r="AO317" s="13">
        <f t="shared" si="629"/>
        <v>1.0699999999999999E-2</v>
      </c>
      <c r="AP317" s="13">
        <f t="shared" si="630"/>
        <v>0</v>
      </c>
      <c r="AQ317" s="13">
        <f t="shared" si="631"/>
        <v>1.0699999999999999E-2</v>
      </c>
      <c r="AR317" s="13">
        <f t="shared" si="623"/>
        <v>1.0699999999999999E-2</v>
      </c>
      <c r="AS317" s="6">
        <f t="shared" si="615"/>
        <v>346.40633882772414</v>
      </c>
      <c r="AT317" s="6">
        <f t="shared" si="616"/>
        <v>185.97425508967711</v>
      </c>
      <c r="AU317" s="6">
        <f t="shared" si="617"/>
        <v>564.12435812395961</v>
      </c>
      <c r="AV317" s="6">
        <f t="shared" si="618"/>
        <v>812.44758489476033</v>
      </c>
      <c r="AW317" s="58">
        <f t="shared" si="624"/>
        <v>2012</v>
      </c>
      <c r="AX317" s="58">
        <f>COUNTIF(AW$3:AW317,AW317)</f>
        <v>22</v>
      </c>
    </row>
    <row r="318" spans="1:50" x14ac:dyDescent="0.25">
      <c r="A318" s="5">
        <v>41119</v>
      </c>
      <c r="B318">
        <v>1385.97</v>
      </c>
      <c r="C318">
        <v>0.1</v>
      </c>
      <c r="D318" s="6">
        <v>16.7</v>
      </c>
      <c r="E318" s="18">
        <f t="shared" si="637"/>
        <v>16.57</v>
      </c>
      <c r="F318">
        <f t="shared" si="638"/>
        <v>0</v>
      </c>
      <c r="G318" s="18">
        <f>ROUND(INDEX(Valuation!U:U,MATCH(A318,Valuation!A:A,0)),2)</f>
        <v>233.87</v>
      </c>
      <c r="H318">
        <f t="shared" si="645"/>
        <v>3</v>
      </c>
      <c r="I318" s="18">
        <f>INDEX(WeeklyIndicators!Y:Y,MATCH(A318,WeeklyIndicators!A:A,0))</f>
        <v>128.36000000000001</v>
      </c>
      <c r="J318">
        <f t="shared" si="634"/>
        <v>0</v>
      </c>
      <c r="K318">
        <f>ROUND(INDEX(Economic!AF:AF,MATCH(EOMONTH($A318,-1),Economic!A:A,0)),2)</f>
        <v>117.9</v>
      </c>
      <c r="L318" s="11">
        <f t="shared" si="643"/>
        <v>1</v>
      </c>
      <c r="M318">
        <f>ROUND(INDEX(Manufacturing!P:P,MATCH(EOMONTH($A318,-1),Manufacturing!A:A,0)),2)</f>
        <v>91.65</v>
      </c>
      <c r="N318">
        <f t="shared" si="639"/>
        <v>1</v>
      </c>
      <c r="O318">
        <f>ROUND(INDEX(Housing!AC:AC,MATCH(EOMONTH($A318,-1),Housing!B:B,0)),2)</f>
        <v>122.57</v>
      </c>
      <c r="P318">
        <f t="shared" si="640"/>
        <v>1</v>
      </c>
      <c r="Q318">
        <f>ROUND(INDEX(Spending!AJ:AJ,MATCH(EOMONTH($A318,-1),Spending!B:B,0)),2)</f>
        <v>65.260000000000005</v>
      </c>
      <c r="R318">
        <f t="shared" si="644"/>
        <v>2</v>
      </c>
      <c r="S318">
        <f>ROUND(INDEX(Employment!V:V,MATCH(EOMONTH($A318,-1),Employment!A:A,0)),2)</f>
        <v>155.1</v>
      </c>
      <c r="T318" s="11">
        <f t="shared" si="641"/>
        <v>0</v>
      </c>
      <c r="U318">
        <f t="shared" si="633"/>
        <v>28</v>
      </c>
      <c r="V318">
        <f t="shared" si="625"/>
        <v>75.47</v>
      </c>
      <c r="W318" s="13">
        <f t="shared" si="626"/>
        <v>7.3000000000000001E-3</v>
      </c>
      <c r="X318" s="13">
        <f t="shared" si="627"/>
        <v>-4.5000000000000005E-3</v>
      </c>
      <c r="Y318">
        <f t="shared" si="619"/>
        <v>90.06</v>
      </c>
      <c r="Z318" s="13">
        <f t="shared" si="614"/>
        <v>6.7999999999999996E-3</v>
      </c>
      <c r="AA318" s="13">
        <f t="shared" si="646"/>
        <v>1.1200000000000002E-2</v>
      </c>
      <c r="AB318" s="6">
        <f t="shared" si="620"/>
        <v>109.167</v>
      </c>
      <c r="AC318">
        <f t="shared" si="648"/>
        <v>55</v>
      </c>
      <c r="AD318" s="11">
        <f t="shared" ref="AD318:AD381" si="649">IF(AC318&gt;47,2,IF(AND(AC318&gt;41,AC318&lt;=47),1,IF(AC318&lt;15,-2,IF(AND(AC318&lt;32,AC318&gt;=15),-1,0))))</f>
        <v>2</v>
      </c>
      <c r="AE318">
        <f t="shared" si="647"/>
        <v>32</v>
      </c>
      <c r="AF318">
        <f>IF(AND(AE318&lt;15,OR(AC318&gt;=30,AA318&gt;0.15,X318&gt;=0.15)),2,VLOOKUP(AE318,Table!P:Q,2,FALSE))</f>
        <v>5</v>
      </c>
      <c r="AG318" s="22">
        <f>IF((AB318*0.98)-(D318*0.8)+((AF318-3)*3)+VLOOKUP(AM318,Table!$A$11:$B$13,2,FALSE)&lt;0,0,(AB318*0.98)-(D318*0.8)+((AF318-3)*3)+VLOOKUP(AM318,Table!$A$11:$B$13,2,FALSE))</f>
        <v>107.62366</v>
      </c>
      <c r="AH318" s="22">
        <f t="shared" si="642"/>
        <v>100</v>
      </c>
      <c r="AI318" s="18">
        <f t="shared" si="635"/>
        <v>0.09</v>
      </c>
      <c r="AJ318" s="18">
        <f t="shared" si="636"/>
        <v>7.0000000000000007E-2</v>
      </c>
      <c r="AK318" t="str">
        <f t="shared" si="621"/>
        <v/>
      </c>
      <c r="AL318">
        <f t="shared" si="632"/>
        <v>31.5</v>
      </c>
      <c r="AM318" s="11" t="str">
        <f t="shared" si="622"/>
        <v>Stocks</v>
      </c>
      <c r="AN318" t="str">
        <f t="shared" si="628"/>
        <v>Buy</v>
      </c>
      <c r="AO318" s="13">
        <f t="shared" si="629"/>
        <v>3.5999999999999999E-3</v>
      </c>
      <c r="AP318" s="13">
        <f t="shared" si="630"/>
        <v>0</v>
      </c>
      <c r="AQ318" s="13">
        <f t="shared" si="631"/>
        <v>3.5999999999999999E-3</v>
      </c>
      <c r="AR318" s="13">
        <f t="shared" si="623"/>
        <v>3.5999999999999999E-3</v>
      </c>
      <c r="AS318" s="6">
        <f t="shared" si="615"/>
        <v>345.16374933013566</v>
      </c>
      <c r="AT318" s="6">
        <f t="shared" si="616"/>
        <v>185.97425508967711</v>
      </c>
      <c r="AU318" s="6">
        <f t="shared" si="617"/>
        <v>562.10079526101993</v>
      </c>
      <c r="AV318" s="6">
        <f t="shared" si="618"/>
        <v>809.53326514025537</v>
      </c>
      <c r="AW318" s="58">
        <f t="shared" si="624"/>
        <v>2012</v>
      </c>
      <c r="AX318" s="58">
        <f>COUNTIF(AW$3:AW318,AW318)</f>
        <v>23</v>
      </c>
    </row>
    <row r="319" spans="1:50" x14ac:dyDescent="0.25">
      <c r="A319" s="5">
        <v>41112</v>
      </c>
      <c r="B319">
        <v>1362.66</v>
      </c>
      <c r="C319">
        <v>0.09</v>
      </c>
      <c r="D319" s="6">
        <v>16.27</v>
      </c>
      <c r="E319" s="18">
        <f t="shared" si="637"/>
        <v>16.7</v>
      </c>
      <c r="F319">
        <f t="shared" si="638"/>
        <v>0</v>
      </c>
      <c r="G319" s="18">
        <f>ROUND(INDEX(Valuation!U:U,MATCH(A319,Valuation!A:A,0)),2)</f>
        <v>233.94</v>
      </c>
      <c r="H319">
        <f t="shared" si="645"/>
        <v>3</v>
      </c>
      <c r="I319" s="18">
        <f>INDEX(WeeklyIndicators!Y:Y,MATCH(A319,WeeklyIndicators!A:A,0))</f>
        <v>124.66</v>
      </c>
      <c r="J319">
        <f t="shared" si="634"/>
        <v>0</v>
      </c>
      <c r="K319">
        <f>ROUND(INDEX(Economic!AF:AF,MATCH(EOMONTH($A319,-1),Economic!A:A,0)),2)</f>
        <v>117.9</v>
      </c>
      <c r="L319" s="11">
        <f t="shared" si="643"/>
        <v>1</v>
      </c>
      <c r="M319">
        <f>ROUND(INDEX(Manufacturing!P:P,MATCH(EOMONTH($A319,-1),Manufacturing!A:A,0)),2)</f>
        <v>91.65</v>
      </c>
      <c r="N319">
        <f t="shared" si="639"/>
        <v>1</v>
      </c>
      <c r="O319">
        <f>ROUND(INDEX(Housing!AC:AC,MATCH(EOMONTH($A319,-1),Housing!B:B,0)),2)</f>
        <v>122.57</v>
      </c>
      <c r="P319">
        <f t="shared" si="640"/>
        <v>1</v>
      </c>
      <c r="Q319">
        <f>ROUND(INDEX(Spending!AJ:AJ,MATCH(EOMONTH($A319,-1),Spending!B:B,0)),2)</f>
        <v>65.260000000000005</v>
      </c>
      <c r="R319">
        <f t="shared" si="644"/>
        <v>2</v>
      </c>
      <c r="S319">
        <f>ROUND(INDEX(Employment!V:V,MATCH(EOMONTH($A319,-1),Employment!A:A,0)),2)</f>
        <v>155.1</v>
      </c>
      <c r="T319" s="11">
        <f t="shared" si="641"/>
        <v>0</v>
      </c>
      <c r="U319">
        <f t="shared" si="633"/>
        <v>28</v>
      </c>
      <c r="V319">
        <f t="shared" si="625"/>
        <v>75.09</v>
      </c>
      <c r="W319" s="13">
        <f t="shared" si="626"/>
        <v>8.2000000000000007E-3</v>
      </c>
      <c r="X319" s="13">
        <f t="shared" si="627"/>
        <v>-3.0499999999999999E-2</v>
      </c>
      <c r="Y319">
        <f t="shared" si="619"/>
        <v>89.64</v>
      </c>
      <c r="Z319" s="13">
        <f t="shared" si="614"/>
        <v>9.1000000000000004E-3</v>
      </c>
      <c r="AA319" s="13">
        <f t="shared" si="646"/>
        <v>-4.2999999999999991E-3</v>
      </c>
      <c r="AB319" s="6">
        <f t="shared" si="620"/>
        <v>107.444</v>
      </c>
      <c r="AC319">
        <f t="shared" si="648"/>
        <v>54</v>
      </c>
      <c r="AD319" s="11">
        <f t="shared" si="649"/>
        <v>2</v>
      </c>
      <c r="AE319">
        <f t="shared" si="647"/>
        <v>32</v>
      </c>
      <c r="AF319">
        <f>IF(AND(AE319&lt;15,OR(AC319&gt;=30,AA319&gt;0.15,X319&gt;=0.15)),2,VLOOKUP(AE319,Table!P:Q,2,FALSE))</f>
        <v>5</v>
      </c>
      <c r="AG319" s="22">
        <f>IF((AB319*0.98)-(D319*0.8)+((AF319-3)*3)+VLOOKUP(AM319,Table!$A$11:$B$13,2,FALSE)&lt;0,0,(AB319*0.98)-(D319*0.8)+((AF319-3)*3)+VLOOKUP(AM319,Table!$A$11:$B$13,2,FALSE))</f>
        <v>106.27911999999999</v>
      </c>
      <c r="AH319" s="22">
        <f t="shared" si="642"/>
        <v>100</v>
      </c>
      <c r="AI319" s="18">
        <f t="shared" si="635"/>
        <v>0.09</v>
      </c>
      <c r="AJ319" s="18">
        <f t="shared" si="636"/>
        <v>0.06</v>
      </c>
      <c r="AK319" t="str">
        <f t="shared" si="621"/>
        <v/>
      </c>
      <c r="AL319">
        <f t="shared" si="632"/>
        <v>31</v>
      </c>
      <c r="AM319" s="11" t="str">
        <f t="shared" si="622"/>
        <v>Stocks</v>
      </c>
      <c r="AN319" t="str">
        <f t="shared" si="628"/>
        <v>Buy</v>
      </c>
      <c r="AO319" s="13">
        <f t="shared" si="629"/>
        <v>1.7100000000000001E-2</v>
      </c>
      <c r="AP319" s="13">
        <f t="shared" si="630"/>
        <v>0</v>
      </c>
      <c r="AQ319" s="13">
        <f t="shared" si="631"/>
        <v>1.7100000000000001E-2</v>
      </c>
      <c r="AR319" s="13">
        <f t="shared" si="623"/>
        <v>1.7100000000000001E-2</v>
      </c>
      <c r="AS319" s="6">
        <f t="shared" si="615"/>
        <v>339.36068167351851</v>
      </c>
      <c r="AT319" s="6">
        <f t="shared" si="616"/>
        <v>185.97425508967711</v>
      </c>
      <c r="AU319" s="6">
        <f t="shared" si="617"/>
        <v>552.65047218662869</v>
      </c>
      <c r="AV319" s="6">
        <f t="shared" si="618"/>
        <v>795.92298214556627</v>
      </c>
      <c r="AW319" s="58">
        <f t="shared" si="624"/>
        <v>2012</v>
      </c>
      <c r="AX319" s="58">
        <f>COUNTIF(AW$3:AW319,AW319)</f>
        <v>24</v>
      </c>
    </row>
    <row r="320" spans="1:50" x14ac:dyDescent="0.25">
      <c r="A320" s="5">
        <v>41105</v>
      </c>
      <c r="B320">
        <v>1356.78</v>
      </c>
      <c r="C320">
        <v>0.1</v>
      </c>
      <c r="D320" s="6">
        <v>16.739999999999998</v>
      </c>
      <c r="E320" s="18">
        <f t="shared" si="637"/>
        <v>16.97</v>
      </c>
      <c r="F320">
        <f t="shared" si="638"/>
        <v>0</v>
      </c>
      <c r="G320" s="18">
        <f>ROUND(INDEX(Valuation!U:U,MATCH(A320,Valuation!A:A,0)),2)</f>
        <v>234.46</v>
      </c>
      <c r="H320">
        <f t="shared" si="645"/>
        <v>3</v>
      </c>
      <c r="I320" s="18">
        <f>INDEX(WeeklyIndicators!Y:Y,MATCH(A320,WeeklyIndicators!A:A,0))</f>
        <v>119.53</v>
      </c>
      <c r="J320">
        <f t="shared" si="634"/>
        <v>-1</v>
      </c>
      <c r="K320">
        <f>ROUND(INDEX(Economic!AF:AF,MATCH(EOMONTH($A320,-1),Economic!A:A,0)),2)</f>
        <v>117.9</v>
      </c>
      <c r="L320" s="11">
        <f t="shared" si="643"/>
        <v>1</v>
      </c>
      <c r="M320">
        <f>ROUND(INDEX(Manufacturing!P:P,MATCH(EOMONTH($A320,-1),Manufacturing!A:A,0)),2)</f>
        <v>91.65</v>
      </c>
      <c r="N320">
        <f t="shared" si="639"/>
        <v>1</v>
      </c>
      <c r="O320">
        <f>ROUND(INDEX(Housing!AC:AC,MATCH(EOMONTH($A320,-1),Housing!B:B,0)),2)</f>
        <v>122.57</v>
      </c>
      <c r="P320">
        <f t="shared" si="640"/>
        <v>1</v>
      </c>
      <c r="Q320">
        <f>ROUND(INDEX(Spending!AJ:AJ,MATCH(EOMONTH($A320,-1),Spending!B:B,0)),2)</f>
        <v>65.260000000000005</v>
      </c>
      <c r="R320">
        <f t="shared" si="644"/>
        <v>2</v>
      </c>
      <c r="S320">
        <f>ROUND(INDEX(Employment!V:V,MATCH(EOMONTH($A320,-1),Employment!A:A,0)),2)</f>
        <v>155.1</v>
      </c>
      <c r="T320" s="11">
        <f t="shared" si="641"/>
        <v>0</v>
      </c>
      <c r="U320">
        <f t="shared" si="633"/>
        <v>27</v>
      </c>
      <c r="V320">
        <f t="shared" si="625"/>
        <v>74.56</v>
      </c>
      <c r="W320" s="13">
        <f t="shared" si="626"/>
        <v>-7.1999999999999998E-3</v>
      </c>
      <c r="X320" s="13">
        <f t="shared" si="627"/>
        <v>-4.8299999999999996E-2</v>
      </c>
      <c r="Y320">
        <f t="shared" si="619"/>
        <v>89.07</v>
      </c>
      <c r="Z320" s="13">
        <f t="shared" ref="Z320:Z383" si="650">ROUND((AVERAGE(Y320:Y322)-AVERAGE(Y321:Y323))/AVERAGE(Y321:Y323),4)</f>
        <v>-2E-3</v>
      </c>
      <c r="AA320" s="13">
        <f t="shared" si="646"/>
        <v>-1.3999999999999999E-2</v>
      </c>
      <c r="AB320" s="6">
        <f t="shared" si="620"/>
        <v>106.07599999999999</v>
      </c>
      <c r="AC320">
        <f t="shared" si="648"/>
        <v>53</v>
      </c>
      <c r="AD320" s="11">
        <f t="shared" si="649"/>
        <v>2</v>
      </c>
      <c r="AE320">
        <f t="shared" si="647"/>
        <v>31</v>
      </c>
      <c r="AF320">
        <f>IF(AND(AE320&lt;15,OR(AC320&gt;=30,AA320&gt;0.15,X320&gt;=0.15)),2,VLOOKUP(AE320,Table!P:Q,2,FALSE))</f>
        <v>4</v>
      </c>
      <c r="AG320" s="22">
        <f>IF((AB320*0.98)-(D320*0.8)+((AF320-3)*3)+VLOOKUP(AM320,Table!$A$11:$B$13,2,FALSE)&lt;0,0,(AB320*0.98)-(D320*0.8)+((AF320-3)*3)+VLOOKUP(AM320,Table!$A$11:$B$13,2,FALSE))</f>
        <v>101.56247999999999</v>
      </c>
      <c r="AH320" s="22">
        <f t="shared" si="642"/>
        <v>100</v>
      </c>
      <c r="AI320" s="18">
        <f t="shared" si="635"/>
        <v>0.09</v>
      </c>
      <c r="AJ320" s="18">
        <f t="shared" si="636"/>
        <v>0.06</v>
      </c>
      <c r="AK320" t="str">
        <f t="shared" si="621"/>
        <v/>
      </c>
      <c r="AL320">
        <f t="shared" si="632"/>
        <v>31</v>
      </c>
      <c r="AM320" s="11" t="str">
        <f t="shared" si="622"/>
        <v>Stocks</v>
      </c>
      <c r="AN320" t="str">
        <f t="shared" si="628"/>
        <v>Buy</v>
      </c>
      <c r="AO320" s="13">
        <f t="shared" si="629"/>
        <v>4.3E-3</v>
      </c>
      <c r="AP320" s="13">
        <f t="shared" si="630"/>
        <v>0</v>
      </c>
      <c r="AQ320" s="13">
        <f t="shared" si="631"/>
        <v>4.3E-3</v>
      </c>
      <c r="AR320" s="13">
        <f t="shared" si="623"/>
        <v>4.3E-3</v>
      </c>
      <c r="AS320" s="6">
        <f t="shared" si="615"/>
        <v>337.90767865530074</v>
      </c>
      <c r="AT320" s="6">
        <f t="shared" si="616"/>
        <v>185.97425508967711</v>
      </c>
      <c r="AU320" s="6">
        <f t="shared" si="617"/>
        <v>550.28424991200711</v>
      </c>
      <c r="AV320" s="6">
        <f t="shared" si="618"/>
        <v>792.51516692777682</v>
      </c>
      <c r="AW320" s="58">
        <f t="shared" si="624"/>
        <v>2012</v>
      </c>
      <c r="AX320" s="58">
        <f>COUNTIF(AW$3:AW320,AW320)</f>
        <v>25</v>
      </c>
    </row>
    <row r="321" spans="1:50" x14ac:dyDescent="0.25">
      <c r="A321" s="5">
        <v>41098</v>
      </c>
      <c r="B321">
        <v>1354.68</v>
      </c>
      <c r="C321">
        <v>0.09</v>
      </c>
      <c r="D321" s="6">
        <v>17.100000000000001</v>
      </c>
      <c r="E321" s="18">
        <f t="shared" si="637"/>
        <v>17.43</v>
      </c>
      <c r="F321">
        <f t="shared" si="638"/>
        <v>0</v>
      </c>
      <c r="G321" s="18">
        <f>ROUND(INDEX(Valuation!U:U,MATCH(A321,Valuation!A:A,0)),2)</f>
        <v>235.06</v>
      </c>
      <c r="H321">
        <f t="shared" si="645"/>
        <v>3</v>
      </c>
      <c r="I321" s="18">
        <f>INDEX(WeeklyIndicators!Y:Y,MATCH(A321,WeeklyIndicators!A:A,0))</f>
        <v>112.51</v>
      </c>
      <c r="J321">
        <f t="shared" si="634"/>
        <v>-1</v>
      </c>
      <c r="K321">
        <f>ROUND(INDEX(Economic!AF:AF,MATCH(EOMONTH($A321,-1),Economic!A:A,0)),2)</f>
        <v>117.9</v>
      </c>
      <c r="L321" s="11">
        <f t="shared" si="643"/>
        <v>1</v>
      </c>
      <c r="M321">
        <f>ROUND(INDEX(Manufacturing!P:P,MATCH(EOMONTH($A321,-1),Manufacturing!A:A,0)),2)</f>
        <v>91.65</v>
      </c>
      <c r="N321">
        <f t="shared" si="639"/>
        <v>1</v>
      </c>
      <c r="O321">
        <f>ROUND(INDEX(Housing!AC:AC,MATCH(EOMONTH($A321,-1),Housing!B:B,0)),2)</f>
        <v>122.57</v>
      </c>
      <c r="P321">
        <f t="shared" si="640"/>
        <v>1</v>
      </c>
      <c r="Q321">
        <f>ROUND(INDEX(Spending!AJ:AJ,MATCH(EOMONTH($A321,-1),Spending!B:B,0)),2)</f>
        <v>65.260000000000005</v>
      </c>
      <c r="R321">
        <f t="shared" si="644"/>
        <v>2</v>
      </c>
      <c r="S321">
        <f>ROUND(INDEX(Employment!V:V,MATCH(EOMONTH($A321,-1),Employment!A:A,0)),2)</f>
        <v>155.1</v>
      </c>
      <c r="T321" s="11">
        <f t="shared" si="641"/>
        <v>0</v>
      </c>
      <c r="U321">
        <f t="shared" si="633"/>
        <v>27</v>
      </c>
      <c r="V321">
        <f t="shared" si="625"/>
        <v>73.83</v>
      </c>
      <c r="W321" s="13">
        <f t="shared" si="626"/>
        <v>-1.2800000000000001E-2</v>
      </c>
      <c r="X321" s="13">
        <f t="shared" si="627"/>
        <v>-5.0599999999999999E-2</v>
      </c>
      <c r="Y321">
        <f t="shared" si="619"/>
        <v>88.25</v>
      </c>
      <c r="Z321" s="13">
        <f t="shared" si="650"/>
        <v>-2.7000000000000001E-3</v>
      </c>
      <c r="AA321" s="13">
        <f t="shared" si="646"/>
        <v>-1.95E-2</v>
      </c>
      <c r="AB321" s="6">
        <f t="shared" si="620"/>
        <v>104.90600000000001</v>
      </c>
      <c r="AC321">
        <f t="shared" si="648"/>
        <v>52</v>
      </c>
      <c r="AD321" s="11">
        <f t="shared" si="649"/>
        <v>2</v>
      </c>
      <c r="AE321">
        <f t="shared" si="647"/>
        <v>31</v>
      </c>
      <c r="AF321">
        <f>IF(AND(AE321&lt;15,OR(AC321&gt;=30,AA321&gt;0.15,X321&gt;=0.15)),2,VLOOKUP(AE321,Table!P:Q,2,FALSE))</f>
        <v>4</v>
      </c>
      <c r="AG321" s="22">
        <f>IF((AB321*0.98)-(D321*0.8)+((AF321-3)*3)+VLOOKUP(AM321,Table!$A$11:$B$13,2,FALSE)&lt;0,0,(AB321*0.98)-(D321*0.8)+((AF321-3)*3)+VLOOKUP(AM321,Table!$A$11:$B$13,2,FALSE))</f>
        <v>100.12787999999999</v>
      </c>
      <c r="AH321" s="22">
        <f t="shared" si="642"/>
        <v>100</v>
      </c>
      <c r="AI321" s="18">
        <f t="shared" si="635"/>
        <v>0.09</v>
      </c>
      <c r="AJ321" s="18">
        <f t="shared" si="636"/>
        <v>0.06</v>
      </c>
      <c r="AK321" t="str">
        <f t="shared" si="621"/>
        <v/>
      </c>
      <c r="AL321">
        <f t="shared" si="632"/>
        <v>31.25</v>
      </c>
      <c r="AM321" s="11" t="str">
        <f t="shared" si="622"/>
        <v>Stocks</v>
      </c>
      <c r="AN321" t="str">
        <f t="shared" si="628"/>
        <v>Buy</v>
      </c>
      <c r="AO321" s="13">
        <f t="shared" si="629"/>
        <v>1.6000000000000001E-3</v>
      </c>
      <c r="AP321" s="13">
        <f t="shared" si="630"/>
        <v>0</v>
      </c>
      <c r="AQ321" s="13">
        <f t="shared" si="631"/>
        <v>1.6000000000000001E-3</v>
      </c>
      <c r="AR321" s="13">
        <f t="shared" si="623"/>
        <v>1.6000000000000001E-3</v>
      </c>
      <c r="AS321" s="6">
        <f t="shared" si="615"/>
        <v>337.36789003125074</v>
      </c>
      <c r="AT321" s="6">
        <f t="shared" si="616"/>
        <v>185.97425508967711</v>
      </c>
      <c r="AU321" s="6">
        <f t="shared" si="617"/>
        <v>549.4052015894639</v>
      </c>
      <c r="AV321" s="6">
        <f t="shared" si="618"/>
        <v>791.24916825856303</v>
      </c>
      <c r="AW321" s="58">
        <f t="shared" si="624"/>
        <v>2012</v>
      </c>
      <c r="AX321" s="58">
        <f>COUNTIF(AW$3:AW321,AW321)</f>
        <v>26</v>
      </c>
    </row>
    <row r="322" spans="1:50" x14ac:dyDescent="0.25">
      <c r="A322" s="5">
        <v>41091</v>
      </c>
      <c r="B322">
        <v>1362.16</v>
      </c>
      <c r="C322">
        <v>0.09</v>
      </c>
      <c r="D322" s="6">
        <v>17.079999999999998</v>
      </c>
      <c r="E322" s="18">
        <f t="shared" si="637"/>
        <v>18.77</v>
      </c>
      <c r="F322">
        <f t="shared" si="638"/>
        <v>-1</v>
      </c>
      <c r="G322" s="18">
        <f>ROUND(INDEX(Valuation!U:U,MATCH(A322,Valuation!A:A,0)),2)</f>
        <v>235.01</v>
      </c>
      <c r="H322">
        <f t="shared" si="645"/>
        <v>3</v>
      </c>
      <c r="I322" s="18">
        <f>INDEX(WeeklyIndicators!Y:Y,MATCH(A322,WeeklyIndicators!A:A,0))</f>
        <v>107.16</v>
      </c>
      <c r="J322">
        <f t="shared" si="634"/>
        <v>-1</v>
      </c>
      <c r="K322">
        <f>ROUND(INDEX(Economic!AF:AF,MATCH(EOMONTH($A322,-1),Economic!A:A,0)),2)</f>
        <v>117.9</v>
      </c>
      <c r="L322" s="11">
        <f t="shared" si="643"/>
        <v>1</v>
      </c>
      <c r="M322">
        <f>ROUND(INDEX(Manufacturing!P:P,MATCH(EOMONTH($A322,-1),Manufacturing!A:A,0)),2)</f>
        <v>91.65</v>
      </c>
      <c r="N322">
        <f t="shared" si="639"/>
        <v>1</v>
      </c>
      <c r="O322">
        <f>ROUND(INDEX(Housing!AC:AC,MATCH(EOMONTH($A322,-1),Housing!B:B,0)),2)</f>
        <v>122.57</v>
      </c>
      <c r="P322">
        <f t="shared" si="640"/>
        <v>1</v>
      </c>
      <c r="Q322">
        <f>ROUND(INDEX(Spending!AJ:AJ,MATCH(EOMONTH($A322,-1),Spending!B:B,0)),2)</f>
        <v>65.260000000000005</v>
      </c>
      <c r="R322">
        <f t="shared" si="644"/>
        <v>2</v>
      </c>
      <c r="S322">
        <f>ROUND(INDEX(Employment!V:V,MATCH(EOMONTH($A322,-1),Employment!A:A,0)),2)</f>
        <v>155.1</v>
      </c>
      <c r="T322" s="11">
        <f t="shared" si="641"/>
        <v>0</v>
      </c>
      <c r="U322">
        <f t="shared" si="633"/>
        <v>26</v>
      </c>
      <c r="V322">
        <f t="shared" si="625"/>
        <v>73.27</v>
      </c>
      <c r="W322" s="13">
        <f t="shared" si="626"/>
        <v>-1.8700000000000001E-2</v>
      </c>
      <c r="X322" s="13">
        <f t="shared" si="627"/>
        <v>-4.3099999999999999E-2</v>
      </c>
      <c r="Y322">
        <f t="shared" si="619"/>
        <v>87.22</v>
      </c>
      <c r="Z322" s="13">
        <f t="shared" si="650"/>
        <v>-8.6999999999999994E-3</v>
      </c>
      <c r="AA322" s="13">
        <f t="shared" si="646"/>
        <v>-2.2800000000000001E-2</v>
      </c>
      <c r="AB322" s="6">
        <f t="shared" si="620"/>
        <v>103.70100000000001</v>
      </c>
      <c r="AC322">
        <f t="shared" si="648"/>
        <v>52</v>
      </c>
      <c r="AD322" s="11">
        <f t="shared" si="649"/>
        <v>2</v>
      </c>
      <c r="AE322">
        <f t="shared" si="647"/>
        <v>30</v>
      </c>
      <c r="AF322">
        <f>IF(AND(AE322&lt;15,OR(AC322&gt;=30,AA322&gt;0.15,X322&gt;=0.15)),2,VLOOKUP(AE322,Table!P:Q,2,FALSE))</f>
        <v>4</v>
      </c>
      <c r="AG322" s="22">
        <f>IF((AB322*0.98)-(D322*0.8)+((AF322-3)*3)+VLOOKUP(AM322,Table!$A$11:$B$13,2,FALSE)&lt;0,0,(AB322*0.98)-(D322*0.8)+((AF322-3)*3)+VLOOKUP(AM322,Table!$A$11:$B$13,2,FALSE))</f>
        <v>98.962980000000002</v>
      </c>
      <c r="AH322" s="22">
        <f t="shared" si="642"/>
        <v>100</v>
      </c>
      <c r="AI322" s="18">
        <f t="shared" si="635"/>
        <v>0.09</v>
      </c>
      <c r="AJ322" s="18">
        <f t="shared" si="636"/>
        <v>0.06</v>
      </c>
      <c r="AK322" t="str">
        <f t="shared" si="621"/>
        <v/>
      </c>
      <c r="AL322">
        <f t="shared" si="632"/>
        <v>31.5</v>
      </c>
      <c r="AM322" s="11" t="str">
        <f t="shared" si="622"/>
        <v>Stocks</v>
      </c>
      <c r="AN322" t="str">
        <f t="shared" si="628"/>
        <v>Buy</v>
      </c>
      <c r="AO322" s="13">
        <f t="shared" si="629"/>
        <v>-5.4999999999999997E-3</v>
      </c>
      <c r="AP322" s="13">
        <f t="shared" si="630"/>
        <v>0</v>
      </c>
      <c r="AQ322" s="13">
        <f t="shared" si="631"/>
        <v>-5.4999999999999997E-3</v>
      </c>
      <c r="AR322" s="13">
        <f t="shared" si="623"/>
        <v>-5.4999999999999997E-3</v>
      </c>
      <c r="AS322" s="6">
        <f t="shared" si="615"/>
        <v>339.23367524509877</v>
      </c>
      <c r="AT322" s="6">
        <f t="shared" si="616"/>
        <v>185.97425508967711</v>
      </c>
      <c r="AU322" s="6">
        <f t="shared" si="617"/>
        <v>552.44364161836484</v>
      </c>
      <c r="AV322" s="6">
        <f t="shared" si="618"/>
        <v>795.62510634345199</v>
      </c>
      <c r="AW322" s="58">
        <f t="shared" si="624"/>
        <v>2012</v>
      </c>
      <c r="AX322" s="58">
        <f>COUNTIF(AW$3:AW322,AW322)</f>
        <v>27</v>
      </c>
    </row>
    <row r="323" spans="1:50" x14ac:dyDescent="0.25">
      <c r="A323" s="5">
        <v>41084</v>
      </c>
      <c r="B323">
        <v>1335.02</v>
      </c>
      <c r="C323">
        <v>0.09</v>
      </c>
      <c r="D323" s="6">
        <v>18.11</v>
      </c>
      <c r="E323" s="18">
        <f t="shared" si="637"/>
        <v>20.149999999999999</v>
      </c>
      <c r="F323">
        <f t="shared" si="638"/>
        <v>-1</v>
      </c>
      <c r="G323" s="18">
        <f>ROUND(INDEX(Valuation!U:U,MATCH(A323,Valuation!A:A,0)),2)</f>
        <v>234.58</v>
      </c>
      <c r="H323">
        <f t="shared" si="645"/>
        <v>3</v>
      </c>
      <c r="I323" s="18">
        <f>INDEX(WeeklyIndicators!Y:Y,MATCH(A323,WeeklyIndicators!A:A,0))</f>
        <v>105.72</v>
      </c>
      <c r="J323">
        <f t="shared" si="634"/>
        <v>-1</v>
      </c>
      <c r="K323">
        <f>ROUND(INDEX(Economic!AF:AF,MATCH(EOMONTH($A323,-1),Economic!A:A,0)),2)</f>
        <v>128.26</v>
      </c>
      <c r="L323" s="11">
        <f t="shared" si="643"/>
        <v>2</v>
      </c>
      <c r="M323">
        <f>ROUND(INDEX(Manufacturing!P:P,MATCH(EOMONTH($A323,-1),Manufacturing!A:A,0)),2)</f>
        <v>96.23</v>
      </c>
      <c r="N323">
        <f t="shared" si="639"/>
        <v>1</v>
      </c>
      <c r="O323">
        <f>ROUND(INDEX(Housing!AC:AC,MATCH(EOMONTH($A323,-1),Housing!B:B,0)),2)</f>
        <v>118.14</v>
      </c>
      <c r="P323">
        <f t="shared" si="640"/>
        <v>1</v>
      </c>
      <c r="Q323">
        <f>ROUND(INDEX(Spending!AJ:AJ,MATCH(EOMONTH($A323,-1),Spending!B:B,0)),2)</f>
        <v>65.52</v>
      </c>
      <c r="R323">
        <f t="shared" si="644"/>
        <v>2</v>
      </c>
      <c r="S323">
        <f>ROUND(INDEX(Employment!V:V,MATCH(EOMONTH($A323,-1),Employment!A:A,0)),2)</f>
        <v>169.59</v>
      </c>
      <c r="T323" s="11">
        <f t="shared" si="641"/>
        <v>1</v>
      </c>
      <c r="U323">
        <f t="shared" si="633"/>
        <v>28</v>
      </c>
      <c r="V323">
        <f t="shared" si="625"/>
        <v>76.17</v>
      </c>
      <c r="W323" s="13">
        <f t="shared" si="626"/>
        <v>-9.5999999999999992E-3</v>
      </c>
      <c r="X323" s="13">
        <f t="shared" si="627"/>
        <v>-2.4199999999999999E-2</v>
      </c>
      <c r="Y323">
        <f t="shared" si="619"/>
        <v>89.59</v>
      </c>
      <c r="Z323" s="13">
        <f t="shared" si="650"/>
        <v>-5.9999999999999995E-4</v>
      </c>
      <c r="AA323" s="13">
        <f t="shared" si="646"/>
        <v>-2.0299999999999999E-2</v>
      </c>
      <c r="AB323" s="6">
        <f t="shared" si="620"/>
        <v>106.488</v>
      </c>
      <c r="AC323">
        <f t="shared" si="648"/>
        <v>53</v>
      </c>
      <c r="AD323" s="11">
        <f t="shared" si="649"/>
        <v>2</v>
      </c>
      <c r="AE323">
        <f t="shared" si="647"/>
        <v>32</v>
      </c>
      <c r="AF323">
        <f>IF(AND(AE323&lt;15,OR(AC323&gt;=30,AA323&gt;0.15,X323&gt;=0.15)),2,VLOOKUP(AE323,Table!P:Q,2,FALSE))</f>
        <v>5</v>
      </c>
      <c r="AG323" s="22">
        <f>IF((AB323*0.98)-(D323*0.8)+((AF323-3)*3)+VLOOKUP(AM323,Table!$A$11:$B$13,2,FALSE)&lt;0,0,(AB323*0.98)-(D323*0.8)+((AF323-3)*3)+VLOOKUP(AM323,Table!$A$11:$B$13,2,FALSE))</f>
        <v>103.87024</v>
      </c>
      <c r="AH323" s="22">
        <f t="shared" si="642"/>
        <v>100</v>
      </c>
      <c r="AI323" s="18">
        <f t="shared" si="635"/>
        <v>0.09</v>
      </c>
      <c r="AJ323" s="18">
        <f t="shared" si="636"/>
        <v>0.06</v>
      </c>
      <c r="AK323" t="str">
        <f t="shared" si="621"/>
        <v/>
      </c>
      <c r="AL323">
        <f t="shared" si="632"/>
        <v>32.25</v>
      </c>
      <c r="AM323" s="11" t="str">
        <f t="shared" si="622"/>
        <v>Stocks</v>
      </c>
      <c r="AN323" t="str">
        <f t="shared" si="628"/>
        <v>Buy</v>
      </c>
      <c r="AO323" s="13">
        <f t="shared" si="629"/>
        <v>2.0299999999999999E-2</v>
      </c>
      <c r="AP323" s="13">
        <f t="shared" si="630"/>
        <v>0</v>
      </c>
      <c r="AQ323" s="13">
        <f t="shared" si="631"/>
        <v>2.0299999999999999E-2</v>
      </c>
      <c r="AR323" s="13">
        <f t="shared" si="623"/>
        <v>2.0299999999999999E-2</v>
      </c>
      <c r="AS323" s="6">
        <f t="shared" ref="AS323:AS386" si="651">AS324*(1+AO324)</f>
        <v>332.48424507017421</v>
      </c>
      <c r="AT323" s="6">
        <f t="shared" ref="AT323:AT386" si="652">AT324*(1+AP324)</f>
        <v>185.97425508967711</v>
      </c>
      <c r="AU323" s="6">
        <f t="shared" ref="AU323:AU386" si="653">AU324*(1+AQ324)</f>
        <v>541.45216271524532</v>
      </c>
      <c r="AV323" s="6">
        <f t="shared" ref="AV323:AV386" si="654">AV324*(1+AR324)</f>
        <v>779.7952625144095</v>
      </c>
      <c r="AW323" s="58">
        <f t="shared" si="624"/>
        <v>2012</v>
      </c>
      <c r="AX323" s="58">
        <f>COUNTIF(AW$3:AW323,AW323)</f>
        <v>28</v>
      </c>
    </row>
    <row r="324" spans="1:50" x14ac:dyDescent="0.25">
      <c r="A324" s="5">
        <v>41077</v>
      </c>
      <c r="B324">
        <v>1342.84</v>
      </c>
      <c r="C324">
        <v>0.1</v>
      </c>
      <c r="D324" s="6">
        <v>21.11</v>
      </c>
      <c r="E324" s="18">
        <f t="shared" si="637"/>
        <v>23</v>
      </c>
      <c r="F324">
        <f t="shared" si="638"/>
        <v>-1</v>
      </c>
      <c r="G324" s="18">
        <f>ROUND(INDEX(Valuation!U:U,MATCH(A324,Valuation!A:A,0)),2)</f>
        <v>233.01</v>
      </c>
      <c r="H324">
        <f t="shared" si="645"/>
        <v>3</v>
      </c>
      <c r="I324" s="18">
        <f>INDEX(WeeklyIndicators!Y:Y,MATCH(A324,WeeklyIndicators!A:A,0))</f>
        <v>111.12</v>
      </c>
      <c r="J324">
        <f t="shared" si="634"/>
        <v>-1</v>
      </c>
      <c r="K324">
        <f>ROUND(INDEX(Economic!AF:AF,MATCH(EOMONTH($A324,-1),Economic!A:A,0)),2)</f>
        <v>128.26</v>
      </c>
      <c r="L324" s="11">
        <f t="shared" si="643"/>
        <v>2</v>
      </c>
      <c r="M324">
        <f>ROUND(INDEX(Manufacturing!P:P,MATCH(EOMONTH($A324,-1),Manufacturing!A:A,0)),2)</f>
        <v>96.23</v>
      </c>
      <c r="N324">
        <f t="shared" si="639"/>
        <v>1</v>
      </c>
      <c r="O324">
        <f>ROUND(INDEX(Housing!AC:AC,MATCH(EOMONTH($A324,-1),Housing!B:B,0)),2)</f>
        <v>118.14</v>
      </c>
      <c r="P324">
        <f t="shared" si="640"/>
        <v>1</v>
      </c>
      <c r="Q324">
        <f>ROUND(INDEX(Spending!AJ:AJ,MATCH(EOMONTH($A324,-1),Spending!B:B,0)),2)</f>
        <v>65.52</v>
      </c>
      <c r="R324">
        <f t="shared" si="644"/>
        <v>2</v>
      </c>
      <c r="S324">
        <f>ROUND(INDEX(Employment!V:V,MATCH(EOMONTH($A324,-1),Employment!A:A,0)),2)</f>
        <v>169.59</v>
      </c>
      <c r="T324" s="11">
        <f t="shared" si="641"/>
        <v>1</v>
      </c>
      <c r="U324">
        <f t="shared" si="633"/>
        <v>28</v>
      </c>
      <c r="V324">
        <f t="shared" si="625"/>
        <v>76.73</v>
      </c>
      <c r="W324" s="13">
        <f t="shared" si="626"/>
        <v>-9.4999999999999998E-3</v>
      </c>
      <c r="X324" s="13">
        <f t="shared" si="627"/>
        <v>-1.15E-2</v>
      </c>
      <c r="Y324">
        <f t="shared" ref="Y324:Y387" si="655">ROUND(((K324*0.745)+(M324*0.745)+(O324*0.36)+(Q324*0.45)+(S324*0.45)+(I324*0.55)+(G324*0.59)-(E324*1.85))/5.3,2)</f>
        <v>88.98</v>
      </c>
      <c r="Z324" s="13">
        <f t="shared" si="650"/>
        <v>-7.4999999999999997E-3</v>
      </c>
      <c r="AA324" s="13">
        <f t="shared" si="646"/>
        <v>-2.1399999999999999E-2</v>
      </c>
      <c r="AB324" s="6">
        <f t="shared" ref="AB324:AB387" si="656">IF(ROUND(Y324+(X324*10)+(V324/30)+(AA324*67),2)+5+((G324-125)*0.1)&lt;0,0,ROUND(Y324+(X324*10)+(V324/30)+(AA324*67),2)+5+((G324-125)*0.1))</f>
        <v>105.791</v>
      </c>
      <c r="AC324">
        <f t="shared" si="648"/>
        <v>53</v>
      </c>
      <c r="AD324" s="11">
        <f t="shared" si="649"/>
        <v>2</v>
      </c>
      <c r="AE324">
        <f t="shared" si="647"/>
        <v>32</v>
      </c>
      <c r="AF324">
        <f>IF(AND(AE324&lt;15,OR(AC324&gt;=30,AA324&gt;0.15,X324&gt;=0.15)),2,VLOOKUP(AE324,Table!P:Q,2,FALSE))</f>
        <v>5</v>
      </c>
      <c r="AG324" s="22">
        <f>IF((AB324*0.98)-(D324*0.8)+((AF324-3)*3)+VLOOKUP(AM324,Table!$A$11:$B$13,2,FALSE)&lt;0,0,(AB324*0.98)-(D324*0.8)+((AF324-3)*3)+VLOOKUP(AM324,Table!$A$11:$B$13,2,FALSE))</f>
        <v>100.78717999999999</v>
      </c>
      <c r="AH324" s="22">
        <f t="shared" si="642"/>
        <v>100</v>
      </c>
      <c r="AI324" s="18">
        <f t="shared" si="635"/>
        <v>0.09</v>
      </c>
      <c r="AJ324" s="18">
        <f t="shared" si="636"/>
        <v>0.05</v>
      </c>
      <c r="AK324" t="str">
        <f t="shared" ref="AK324:AK387" si="657">IF(AND(C324&gt;AI324,AI324&gt;AJ324,C324-AJ324&gt;0.15),"Rising Rates",IF(AND(C324&lt;AI324,AI324&lt;AJ324,AJ324-C324&gt;0.15),"Falling Rates",""))</f>
        <v/>
      </c>
      <c r="AL324">
        <f t="shared" si="632"/>
        <v>32.25</v>
      </c>
      <c r="AM324" s="11" t="str">
        <f t="shared" ref="AM324:AM387" si="658">IF(OR(AND(AL324&lt;=18,G324&lt;=25),AND(AL324&lt;=14,G324&lt;200)),"Cash","Stocks")</f>
        <v>Stocks</v>
      </c>
      <c r="AN324" t="str">
        <f t="shared" si="628"/>
        <v>Buy</v>
      </c>
      <c r="AO324" s="13">
        <f t="shared" si="629"/>
        <v>-5.7999999999999996E-3</v>
      </c>
      <c r="AP324" s="13">
        <f t="shared" si="630"/>
        <v>0</v>
      </c>
      <c r="AQ324" s="13">
        <f t="shared" si="631"/>
        <v>-5.7999999999999996E-3</v>
      </c>
      <c r="AR324" s="13">
        <f t="shared" ref="AR324:AR387" si="659">IF(AM324="Stocks",AO324,AP324)</f>
        <v>-5.7999999999999996E-3</v>
      </c>
      <c r="AS324" s="6">
        <f t="shared" si="651"/>
        <v>334.42390371170211</v>
      </c>
      <c r="AT324" s="6">
        <f t="shared" si="652"/>
        <v>185.97425508967711</v>
      </c>
      <c r="AU324" s="6">
        <f t="shared" si="653"/>
        <v>544.6109059698706</v>
      </c>
      <c r="AV324" s="6">
        <f t="shared" si="654"/>
        <v>784.34446038464046</v>
      </c>
      <c r="AW324" s="58">
        <f t="shared" ref="AW324:AW387" si="660">YEAR(A324)</f>
        <v>2012</v>
      </c>
      <c r="AX324" s="58">
        <f>COUNTIF(AW$3:AW324,AW324)</f>
        <v>29</v>
      </c>
    </row>
    <row r="325" spans="1:50" x14ac:dyDescent="0.25">
      <c r="A325" s="5">
        <v>41070</v>
      </c>
      <c r="B325">
        <v>1325.66</v>
      </c>
      <c r="C325">
        <v>0.09</v>
      </c>
      <c r="D325" s="6">
        <v>21.23</v>
      </c>
      <c r="E325" s="18">
        <f t="shared" si="637"/>
        <v>23.22</v>
      </c>
      <c r="F325">
        <f t="shared" si="638"/>
        <v>-1</v>
      </c>
      <c r="G325" s="18">
        <f>ROUND(INDEX(Valuation!U:U,MATCH(A325,Valuation!A:A,0)),2)</f>
        <v>231.42</v>
      </c>
      <c r="H325">
        <f t="shared" si="645"/>
        <v>3</v>
      </c>
      <c r="I325" s="18">
        <f>INDEX(WeeklyIndicators!Y:Y,MATCH(A325,WeeklyIndicators!A:A,0))</f>
        <v>119.16</v>
      </c>
      <c r="J325">
        <f t="shared" si="634"/>
        <v>-1</v>
      </c>
      <c r="K325">
        <f>ROUND(INDEX(Economic!AF:AF,MATCH(EOMONTH($A325,-1),Economic!A:A,0)),2)</f>
        <v>128.26</v>
      </c>
      <c r="L325" s="11">
        <f t="shared" si="643"/>
        <v>2</v>
      </c>
      <c r="M325">
        <f>ROUND(INDEX(Manufacturing!P:P,MATCH(EOMONTH($A325,-1),Manufacturing!A:A,0)),2)</f>
        <v>96.23</v>
      </c>
      <c r="N325">
        <f t="shared" si="639"/>
        <v>1</v>
      </c>
      <c r="O325">
        <f>ROUND(INDEX(Housing!AC:AC,MATCH(EOMONTH($A325,-1),Housing!B:B,0)),2)</f>
        <v>118.14</v>
      </c>
      <c r="P325">
        <f t="shared" si="640"/>
        <v>1</v>
      </c>
      <c r="Q325">
        <f>ROUND(INDEX(Spending!AJ:AJ,MATCH(EOMONTH($A325,-1),Spending!B:B,0)),2)</f>
        <v>65.52</v>
      </c>
      <c r="R325">
        <f t="shared" si="644"/>
        <v>2</v>
      </c>
      <c r="S325">
        <f>ROUND(INDEX(Employment!V:V,MATCH(EOMONTH($A325,-1),Employment!A:A,0)),2)</f>
        <v>169.59</v>
      </c>
      <c r="T325" s="11">
        <f t="shared" si="641"/>
        <v>1</v>
      </c>
      <c r="U325">
        <f t="shared" si="633"/>
        <v>28</v>
      </c>
      <c r="V325">
        <f t="shared" ref="V325:V388" si="661">ROUND(((K325*0.745)+(M325*0.745)+(O325*0.36)+(Q325*0.45)+(S325*0.45)+(I325*0.55)+(60)-(30))/5.3,2)</f>
        <v>77.569999999999993</v>
      </c>
      <c r="W325" s="13">
        <f t="shared" ref="W325:W388" si="662">ROUND((AVERAGE(V325:V327)-AVERAGE(V326:V328))/AVERAGE(V326:V328),4)</f>
        <v>-5.3E-3</v>
      </c>
      <c r="X325" s="13">
        <f t="shared" ref="X325:X388" si="663">SUM(W325:W328)</f>
        <v>4.3999999999999994E-3</v>
      </c>
      <c r="Y325">
        <f t="shared" si="655"/>
        <v>89.56</v>
      </c>
      <c r="Z325" s="13">
        <f t="shared" si="650"/>
        <v>-6.0000000000000001E-3</v>
      </c>
      <c r="AA325" s="13">
        <f t="shared" si="646"/>
        <v>-1.0799999999999999E-2</v>
      </c>
      <c r="AB325" s="6">
        <f t="shared" si="656"/>
        <v>107.11199999999999</v>
      </c>
      <c r="AC325">
        <f t="shared" si="648"/>
        <v>54</v>
      </c>
      <c r="AD325" s="11">
        <f t="shared" si="649"/>
        <v>2</v>
      </c>
      <c r="AE325">
        <f t="shared" si="647"/>
        <v>32</v>
      </c>
      <c r="AF325">
        <f>IF(AND(AE325&lt;15,OR(AC325&gt;=30,AA325&gt;0.15,X325&gt;=0.15)),2,VLOOKUP(AE325,Table!P:Q,2,FALSE))</f>
        <v>5</v>
      </c>
      <c r="AG325" s="22">
        <f>IF((AB325*0.98)-(D325*0.8)+((AF325-3)*3)+VLOOKUP(AM325,Table!$A$11:$B$13,2,FALSE)&lt;0,0,(AB325*0.98)-(D325*0.8)+((AF325-3)*3)+VLOOKUP(AM325,Table!$A$11:$B$13,2,FALSE))</f>
        <v>101.98576</v>
      </c>
      <c r="AH325" s="22">
        <f t="shared" si="642"/>
        <v>100</v>
      </c>
      <c r="AI325" s="18">
        <f t="shared" si="635"/>
        <v>0.09</v>
      </c>
      <c r="AJ325" s="18">
        <f t="shared" si="636"/>
        <v>0.05</v>
      </c>
      <c r="AK325" t="str">
        <f t="shared" si="657"/>
        <v/>
      </c>
      <c r="AL325">
        <f t="shared" si="632"/>
        <v>32.25</v>
      </c>
      <c r="AM325" s="11" t="str">
        <f t="shared" si="658"/>
        <v>Stocks</v>
      </c>
      <c r="AN325" t="str">
        <f t="shared" ref="AN325:AN388" si="664">IF(AND(V325&gt;AG325,V325&lt;65),"Sell","Buy")</f>
        <v>Buy</v>
      </c>
      <c r="AO325" s="13">
        <f t="shared" ref="AO325:AO388" si="665">ROUND((B324/B325)-1,4)</f>
        <v>1.2999999999999999E-2</v>
      </c>
      <c r="AP325" s="13">
        <f t="shared" ref="AP325:AP388" si="666">ROUND((C325*0.01)/52,4)</f>
        <v>0</v>
      </c>
      <c r="AQ325" s="13">
        <f t="shared" ref="AQ325:AQ388" si="667">ROUND(((AH325*0.01)*AO325)+(((100-AH325)*0.01)*AP325),4)</f>
        <v>1.2999999999999999E-2</v>
      </c>
      <c r="AR325" s="13">
        <f t="shared" si="659"/>
        <v>1.2999999999999999E-2</v>
      </c>
      <c r="AS325" s="6">
        <f t="shared" si="651"/>
        <v>330.13218530276617</v>
      </c>
      <c r="AT325" s="6">
        <f t="shared" si="652"/>
        <v>185.97425508967711</v>
      </c>
      <c r="AU325" s="6">
        <f t="shared" si="653"/>
        <v>537.62182228022766</v>
      </c>
      <c r="AV325" s="6">
        <f t="shared" si="654"/>
        <v>774.27883552284356</v>
      </c>
      <c r="AW325" s="58">
        <f t="shared" si="660"/>
        <v>2012</v>
      </c>
      <c r="AX325" s="58">
        <f>COUNTIF(AW$3:AW325,AW325)</f>
        <v>30</v>
      </c>
    </row>
    <row r="326" spans="1:50" x14ac:dyDescent="0.25">
      <c r="A326" s="5">
        <v>41063</v>
      </c>
      <c r="B326">
        <v>1278.04</v>
      </c>
      <c r="C326">
        <v>0.08</v>
      </c>
      <c r="D326" s="6">
        <v>26.66</v>
      </c>
      <c r="E326" s="18">
        <f t="shared" si="637"/>
        <v>24.51</v>
      </c>
      <c r="F326">
        <f t="shared" si="638"/>
        <v>-1</v>
      </c>
      <c r="G326" s="18">
        <f>ROUND(INDEX(Valuation!U:U,MATCH(A326,Valuation!A:A,0)),2)</f>
        <v>229.5</v>
      </c>
      <c r="H326">
        <f t="shared" si="645"/>
        <v>3</v>
      </c>
      <c r="I326" s="18">
        <f>INDEX(WeeklyIndicators!Y:Y,MATCH(A326,WeeklyIndicators!A:A,0))</f>
        <v>127.31</v>
      </c>
      <c r="J326">
        <f t="shared" si="634"/>
        <v>0</v>
      </c>
      <c r="K326">
        <f>ROUND(INDEX(Economic!AF:AF,MATCH(EOMONTH($A326,-1),Economic!A:A,0)),2)</f>
        <v>128.26</v>
      </c>
      <c r="L326" s="11">
        <f t="shared" si="643"/>
        <v>2</v>
      </c>
      <c r="M326">
        <f>ROUND(INDEX(Manufacturing!P:P,MATCH(EOMONTH($A326,-1),Manufacturing!A:A,0)),2)</f>
        <v>96.23</v>
      </c>
      <c r="N326">
        <f t="shared" si="639"/>
        <v>1</v>
      </c>
      <c r="O326">
        <f>ROUND(INDEX(Housing!AC:AC,MATCH(EOMONTH($A326,-1),Housing!B:B,0)),2)</f>
        <v>118.14</v>
      </c>
      <c r="P326">
        <f t="shared" si="640"/>
        <v>1</v>
      </c>
      <c r="Q326">
        <f>ROUND(INDEX(Spending!AJ:AJ,MATCH(EOMONTH($A326,-1),Spending!B:B,0)),2)</f>
        <v>65.52</v>
      </c>
      <c r="R326">
        <f t="shared" si="644"/>
        <v>2</v>
      </c>
      <c r="S326">
        <f>ROUND(INDEX(Employment!V:V,MATCH(EOMONTH($A326,-1),Employment!A:A,0)),2)</f>
        <v>169.59</v>
      </c>
      <c r="T326" s="11">
        <f t="shared" si="641"/>
        <v>1</v>
      </c>
      <c r="U326">
        <f t="shared" si="633"/>
        <v>29</v>
      </c>
      <c r="V326">
        <f t="shared" si="661"/>
        <v>78.41</v>
      </c>
      <c r="W326" s="13">
        <f t="shared" si="662"/>
        <v>2.0000000000000001E-4</v>
      </c>
      <c r="X326" s="13">
        <f t="shared" si="663"/>
        <v>1.3100000000000001E-2</v>
      </c>
      <c r="Y326">
        <f t="shared" si="655"/>
        <v>89.75</v>
      </c>
      <c r="Z326" s="13">
        <f t="shared" si="650"/>
        <v>-6.1999999999999998E-3</v>
      </c>
      <c r="AA326" s="13">
        <f t="shared" si="646"/>
        <v>-2.8999999999999989E-3</v>
      </c>
      <c r="AB326" s="6">
        <f t="shared" si="656"/>
        <v>107.75</v>
      </c>
      <c r="AC326">
        <f t="shared" si="648"/>
        <v>54</v>
      </c>
      <c r="AD326" s="11">
        <f t="shared" si="649"/>
        <v>2</v>
      </c>
      <c r="AE326">
        <f t="shared" si="647"/>
        <v>33</v>
      </c>
      <c r="AF326">
        <f>IF(AND(AE326&lt;15,OR(AC326&gt;=30,AA326&gt;0.15,X326&gt;=0.15)),2,VLOOKUP(AE326,Table!P:Q,2,FALSE))</f>
        <v>5</v>
      </c>
      <c r="AG326" s="22">
        <f>IF((AB326*0.98)-(D326*0.8)+((AF326-3)*3)+VLOOKUP(AM326,Table!$A$11:$B$13,2,FALSE)&lt;0,0,(AB326*0.98)-(D326*0.8)+((AF326-3)*3)+VLOOKUP(AM326,Table!$A$11:$B$13,2,FALSE))</f>
        <v>98.266999999999996</v>
      </c>
      <c r="AH326" s="22">
        <f t="shared" si="642"/>
        <v>100</v>
      </c>
      <c r="AI326" s="18">
        <f t="shared" si="635"/>
        <v>0.09</v>
      </c>
      <c r="AJ326" s="18">
        <f t="shared" si="636"/>
        <v>0.05</v>
      </c>
      <c r="AK326" t="str">
        <f t="shared" si="657"/>
        <v/>
      </c>
      <c r="AL326">
        <f t="shared" si="632"/>
        <v>32.25</v>
      </c>
      <c r="AM326" s="11" t="str">
        <f t="shared" si="658"/>
        <v>Stocks</v>
      </c>
      <c r="AN326" t="str">
        <f t="shared" si="664"/>
        <v>Buy</v>
      </c>
      <c r="AO326" s="13">
        <f t="shared" si="665"/>
        <v>3.73E-2</v>
      </c>
      <c r="AP326" s="13">
        <f t="shared" si="666"/>
        <v>0</v>
      </c>
      <c r="AQ326" s="13">
        <f t="shared" si="667"/>
        <v>3.73E-2</v>
      </c>
      <c r="AR326" s="13">
        <f t="shared" si="659"/>
        <v>3.73E-2</v>
      </c>
      <c r="AS326" s="6">
        <f t="shared" si="651"/>
        <v>318.26104820472972</v>
      </c>
      <c r="AT326" s="6">
        <f t="shared" si="652"/>
        <v>185.97425508967711</v>
      </c>
      <c r="AU326" s="6">
        <f t="shared" si="653"/>
        <v>518.28961947385289</v>
      </c>
      <c r="AV326" s="6">
        <f t="shared" si="654"/>
        <v>746.43674493670437</v>
      </c>
      <c r="AW326" s="58">
        <f t="shared" si="660"/>
        <v>2012</v>
      </c>
      <c r="AX326" s="58">
        <f>COUNTIF(AW$3:AW326,AW326)</f>
        <v>31</v>
      </c>
    </row>
    <row r="327" spans="1:50" x14ac:dyDescent="0.25">
      <c r="A327" s="5">
        <v>41056</v>
      </c>
      <c r="B327">
        <v>1317.82</v>
      </c>
      <c r="C327">
        <v>0.09</v>
      </c>
      <c r="D327" s="6">
        <v>21.76</v>
      </c>
      <c r="E327" s="18">
        <f t="shared" si="637"/>
        <v>22.25</v>
      </c>
      <c r="F327">
        <f t="shared" si="638"/>
        <v>-1</v>
      </c>
      <c r="G327" s="18">
        <f>ROUND(INDEX(Valuation!U:U,MATCH(A327,Valuation!A:A,0)),2)</f>
        <v>228.74</v>
      </c>
      <c r="H327">
        <f t="shared" si="645"/>
        <v>3</v>
      </c>
      <c r="I327" s="18">
        <f>INDEX(WeeklyIndicators!Y:Y,MATCH(A327,WeeklyIndicators!A:A,0))</f>
        <v>130.78</v>
      </c>
      <c r="J327">
        <f t="shared" si="634"/>
        <v>0</v>
      </c>
      <c r="K327">
        <f>ROUND(INDEX(Economic!AF:AF,MATCH(EOMONTH($A327,-1),Economic!A:A,0)),2)</f>
        <v>130.44999999999999</v>
      </c>
      <c r="L327" s="11">
        <f t="shared" si="643"/>
        <v>2</v>
      </c>
      <c r="M327">
        <f>ROUND(INDEX(Manufacturing!P:P,MATCH(EOMONTH($A327,-1),Manufacturing!A:A,0)),2)</f>
        <v>96.53</v>
      </c>
      <c r="N327">
        <f t="shared" si="639"/>
        <v>1</v>
      </c>
      <c r="O327">
        <f>ROUND(INDEX(Housing!AC:AC,MATCH(EOMONTH($A327,-1),Housing!B:B,0)),2)</f>
        <v>112.68</v>
      </c>
      <c r="P327">
        <f t="shared" si="640"/>
        <v>0</v>
      </c>
      <c r="Q327">
        <f>ROUND(INDEX(Spending!AJ:AJ,MATCH(EOMONTH($A327,-1),Spending!B:B,0)),2)</f>
        <v>59.31</v>
      </c>
      <c r="R327">
        <f t="shared" si="644"/>
        <v>1</v>
      </c>
      <c r="S327">
        <f>ROUND(INDEX(Employment!V:V,MATCH(EOMONTH($A327,-1),Employment!A:A,0)),2)</f>
        <v>178.23</v>
      </c>
      <c r="T327" s="11">
        <f t="shared" si="641"/>
        <v>2</v>
      </c>
      <c r="U327">
        <f t="shared" si="633"/>
        <v>28</v>
      </c>
      <c r="V327">
        <f t="shared" si="661"/>
        <v>78.959999999999994</v>
      </c>
      <c r="W327" s="13">
        <f t="shared" si="662"/>
        <v>3.0999999999999999E-3</v>
      </c>
      <c r="X327" s="13">
        <f t="shared" si="663"/>
        <v>1.67E-2</v>
      </c>
      <c r="Y327">
        <f t="shared" si="655"/>
        <v>91</v>
      </c>
      <c r="Z327" s="13">
        <f t="shared" si="650"/>
        <v>-1.6999999999999999E-3</v>
      </c>
      <c r="AA327" s="13">
        <f t="shared" si="646"/>
        <v>4.7000000000000002E-3</v>
      </c>
      <c r="AB327" s="6">
        <f t="shared" si="656"/>
        <v>109.48400000000001</v>
      </c>
      <c r="AC327">
        <f t="shared" si="648"/>
        <v>55</v>
      </c>
      <c r="AD327" s="11">
        <f t="shared" si="649"/>
        <v>2</v>
      </c>
      <c r="AE327">
        <f t="shared" si="647"/>
        <v>32</v>
      </c>
      <c r="AF327">
        <f>IF(AND(AE327&lt;15,OR(AC327&gt;=30,AA327&gt;0.15,X327&gt;=0.15)),2,VLOOKUP(AE327,Table!P:Q,2,FALSE))</f>
        <v>5</v>
      </c>
      <c r="AG327" s="22">
        <f>IF((AB327*0.98)-(D327*0.8)+((AF327-3)*3)+VLOOKUP(AM327,Table!$A$11:$B$13,2,FALSE)&lt;0,0,(AB327*0.98)-(D327*0.8)+((AF327-3)*3)+VLOOKUP(AM327,Table!$A$11:$B$13,2,FALSE))</f>
        <v>103.88632000000001</v>
      </c>
      <c r="AH327" s="22">
        <f t="shared" si="642"/>
        <v>100</v>
      </c>
      <c r="AI327" s="18">
        <f t="shared" si="635"/>
        <v>0.09</v>
      </c>
      <c r="AJ327" s="18">
        <f t="shared" si="636"/>
        <v>0.05</v>
      </c>
      <c r="AK327" t="str">
        <f t="shared" si="657"/>
        <v/>
      </c>
      <c r="AL327">
        <f t="shared" si="632"/>
        <v>32.25</v>
      </c>
      <c r="AM327" s="11" t="str">
        <f t="shared" si="658"/>
        <v>Stocks</v>
      </c>
      <c r="AN327" t="str">
        <f t="shared" si="664"/>
        <v>Buy</v>
      </c>
      <c r="AO327" s="13">
        <f t="shared" si="665"/>
        <v>-3.0200000000000001E-2</v>
      </c>
      <c r="AP327" s="13">
        <f t="shared" si="666"/>
        <v>0</v>
      </c>
      <c r="AQ327" s="13">
        <f t="shared" si="667"/>
        <v>-3.0200000000000001E-2</v>
      </c>
      <c r="AR327" s="13">
        <f t="shared" si="659"/>
        <v>-3.0200000000000001E-2</v>
      </c>
      <c r="AS327" s="6">
        <f t="shared" si="651"/>
        <v>328.17183770337152</v>
      </c>
      <c r="AT327" s="6">
        <f t="shared" si="652"/>
        <v>185.97425508967711</v>
      </c>
      <c r="AU327" s="6">
        <f t="shared" si="653"/>
        <v>534.42938696004626</v>
      </c>
      <c r="AV327" s="6">
        <f t="shared" si="654"/>
        <v>769.68111459755039</v>
      </c>
      <c r="AW327" s="58">
        <f t="shared" si="660"/>
        <v>2012</v>
      </c>
      <c r="AX327" s="58">
        <f>COUNTIF(AW$3:AW327,AW327)</f>
        <v>32</v>
      </c>
    </row>
    <row r="328" spans="1:50" x14ac:dyDescent="0.25">
      <c r="A328" s="5">
        <v>41049</v>
      </c>
      <c r="B328">
        <v>1295.22</v>
      </c>
      <c r="C328">
        <v>0.09</v>
      </c>
      <c r="D328" s="6">
        <v>25.1</v>
      </c>
      <c r="E328" s="18">
        <f t="shared" si="637"/>
        <v>21.38</v>
      </c>
      <c r="F328">
        <f t="shared" si="638"/>
        <v>-1</v>
      </c>
      <c r="G328" s="18">
        <f>ROUND(INDEX(Valuation!U:U,MATCH(A328,Valuation!A:A,0)),2)</f>
        <v>229.03</v>
      </c>
      <c r="H328">
        <f t="shared" si="645"/>
        <v>3</v>
      </c>
      <c r="I328" s="18">
        <f>INDEX(WeeklyIndicators!Y:Y,MATCH(A328,WeeklyIndicators!A:A,0))</f>
        <v>129.29</v>
      </c>
      <c r="J328">
        <f t="shared" si="634"/>
        <v>0</v>
      </c>
      <c r="K328">
        <f>ROUND(INDEX(Economic!AF:AF,MATCH(EOMONTH($A328,-1),Economic!A:A,0)),2)</f>
        <v>130.44999999999999</v>
      </c>
      <c r="L328" s="11">
        <f t="shared" si="643"/>
        <v>2</v>
      </c>
      <c r="M328">
        <f>ROUND(INDEX(Manufacturing!P:P,MATCH(EOMONTH($A328,-1),Manufacturing!A:A,0)),2)</f>
        <v>96.53</v>
      </c>
      <c r="N328">
        <f t="shared" si="639"/>
        <v>1</v>
      </c>
      <c r="O328">
        <f>ROUND(INDEX(Housing!AC:AC,MATCH(EOMONTH($A328,-1),Housing!B:B,0)),2)</f>
        <v>112.68</v>
      </c>
      <c r="P328">
        <f t="shared" si="640"/>
        <v>0</v>
      </c>
      <c r="Q328">
        <f>ROUND(INDEX(Spending!AJ:AJ,MATCH(EOMONTH($A328,-1),Spending!B:B,0)),2)</f>
        <v>59.31</v>
      </c>
      <c r="R328">
        <f t="shared" si="644"/>
        <v>1</v>
      </c>
      <c r="S328">
        <f>ROUND(INDEX(Employment!V:V,MATCH(EOMONTH($A328,-1),Employment!A:A,0)),2)</f>
        <v>178.23</v>
      </c>
      <c r="T328" s="11">
        <f t="shared" si="641"/>
        <v>2</v>
      </c>
      <c r="U328">
        <f t="shared" si="633"/>
        <v>28</v>
      </c>
      <c r="V328">
        <f t="shared" si="661"/>
        <v>78.81</v>
      </c>
      <c r="W328" s="13">
        <f t="shared" si="662"/>
        <v>6.4000000000000003E-3</v>
      </c>
      <c r="X328" s="13">
        <f t="shared" si="663"/>
        <v>1.5599999999999999E-2</v>
      </c>
      <c r="Y328">
        <f t="shared" si="655"/>
        <v>91.18</v>
      </c>
      <c r="Z328" s="13">
        <f t="shared" si="650"/>
        <v>3.0999999999999999E-3</v>
      </c>
      <c r="AA328" s="13">
        <f t="shared" si="646"/>
        <v>2.9000000000000002E-3</v>
      </c>
      <c r="AB328" s="6">
        <f t="shared" si="656"/>
        <v>109.563</v>
      </c>
      <c r="AC328">
        <f t="shared" si="648"/>
        <v>55</v>
      </c>
      <c r="AD328" s="11">
        <f t="shared" si="649"/>
        <v>2</v>
      </c>
      <c r="AE328">
        <f t="shared" si="647"/>
        <v>32</v>
      </c>
      <c r="AF328">
        <f>IF(AND(AE328&lt;15,OR(AC328&gt;=30,AA328&gt;0.15,X328&gt;=0.15)),2,VLOOKUP(AE328,Table!P:Q,2,FALSE))</f>
        <v>5</v>
      </c>
      <c r="AG328" s="22">
        <f>IF((AB328*0.98)-(D328*0.8)+((AF328-3)*3)+VLOOKUP(AM328,Table!$A$11:$B$13,2,FALSE)&lt;0,0,(AB328*0.98)-(D328*0.8)+((AF328-3)*3)+VLOOKUP(AM328,Table!$A$11:$B$13,2,FALSE))</f>
        <v>101.29174</v>
      </c>
      <c r="AH328" s="22">
        <f t="shared" si="642"/>
        <v>100</v>
      </c>
      <c r="AI328" s="18">
        <f t="shared" si="635"/>
        <v>0.09</v>
      </c>
      <c r="AJ328" s="18">
        <f t="shared" si="636"/>
        <v>0.05</v>
      </c>
      <c r="AK328" t="str">
        <f t="shared" si="657"/>
        <v/>
      </c>
      <c r="AL328">
        <f t="shared" si="632"/>
        <v>32.5</v>
      </c>
      <c r="AM328" s="11" t="str">
        <f t="shared" si="658"/>
        <v>Stocks</v>
      </c>
      <c r="AN328" t="str">
        <f t="shared" si="664"/>
        <v>Buy</v>
      </c>
      <c r="AO328" s="13">
        <f t="shared" si="665"/>
        <v>1.7399999999999999E-2</v>
      </c>
      <c r="AP328" s="13">
        <f t="shared" si="666"/>
        <v>0</v>
      </c>
      <c r="AQ328" s="13">
        <f t="shared" si="667"/>
        <v>1.7399999999999999E-2</v>
      </c>
      <c r="AR328" s="13">
        <f t="shared" si="659"/>
        <v>1.7399999999999999E-2</v>
      </c>
      <c r="AS328" s="6">
        <f t="shared" si="651"/>
        <v>322.55930578275161</v>
      </c>
      <c r="AT328" s="6">
        <f t="shared" si="652"/>
        <v>185.97425508967711</v>
      </c>
      <c r="AU328" s="6">
        <f t="shared" si="653"/>
        <v>525.28935223122289</v>
      </c>
      <c r="AV328" s="6">
        <f t="shared" si="654"/>
        <v>756.51770650437425</v>
      </c>
      <c r="AW328" s="58">
        <f t="shared" si="660"/>
        <v>2012</v>
      </c>
      <c r="AX328" s="58">
        <f>COUNTIF(AW$3:AW328,AW328)</f>
        <v>33</v>
      </c>
    </row>
    <row r="329" spans="1:50" x14ac:dyDescent="0.25">
      <c r="A329" s="5">
        <v>41042</v>
      </c>
      <c r="B329">
        <v>1353.39</v>
      </c>
      <c r="C329">
        <v>0.1</v>
      </c>
      <c r="D329" s="6">
        <v>19.89</v>
      </c>
      <c r="E329" s="18">
        <f t="shared" si="637"/>
        <v>18.46</v>
      </c>
      <c r="F329">
        <f t="shared" si="638"/>
        <v>-1</v>
      </c>
      <c r="G329" s="18">
        <f>ROUND(INDEX(Valuation!U:U,MATCH(A329,Valuation!A:A,0)),2)</f>
        <v>226.13</v>
      </c>
      <c r="H329">
        <f t="shared" si="645"/>
        <v>3</v>
      </c>
      <c r="I329" s="18">
        <f>INDEX(WeeklyIndicators!Y:Y,MATCH(A329,WeeklyIndicators!A:A,0))</f>
        <v>125.1</v>
      </c>
      <c r="J329">
        <f t="shared" si="634"/>
        <v>0</v>
      </c>
      <c r="K329">
        <f>ROUND(INDEX(Economic!AF:AF,MATCH(EOMONTH($A329,-1),Economic!A:A,0)),2)</f>
        <v>130.44999999999999</v>
      </c>
      <c r="L329" s="11">
        <f t="shared" si="643"/>
        <v>2</v>
      </c>
      <c r="M329">
        <f>ROUND(INDEX(Manufacturing!P:P,MATCH(EOMONTH($A329,-1),Manufacturing!A:A,0)),2)</f>
        <v>96.53</v>
      </c>
      <c r="N329">
        <f t="shared" si="639"/>
        <v>1</v>
      </c>
      <c r="O329">
        <f>ROUND(INDEX(Housing!AC:AC,MATCH(EOMONTH($A329,-1),Housing!B:B,0)),2)</f>
        <v>112.68</v>
      </c>
      <c r="P329">
        <f t="shared" si="640"/>
        <v>0</v>
      </c>
      <c r="Q329">
        <f>ROUND(INDEX(Spending!AJ:AJ,MATCH(EOMONTH($A329,-1),Spending!B:B,0)),2)</f>
        <v>59.31</v>
      </c>
      <c r="R329">
        <f t="shared" si="644"/>
        <v>1</v>
      </c>
      <c r="S329">
        <f>ROUND(INDEX(Employment!V:V,MATCH(EOMONTH($A329,-1),Employment!A:A,0)),2)</f>
        <v>178.23</v>
      </c>
      <c r="T329" s="11">
        <f t="shared" si="641"/>
        <v>2</v>
      </c>
      <c r="U329">
        <f t="shared" si="633"/>
        <v>28</v>
      </c>
      <c r="V329">
        <f t="shared" si="661"/>
        <v>78.37</v>
      </c>
      <c r="W329" s="13">
        <f t="shared" si="662"/>
        <v>3.3999999999999998E-3</v>
      </c>
      <c r="X329" s="13">
        <f t="shared" si="663"/>
        <v>1.44E-2</v>
      </c>
      <c r="Y329">
        <f t="shared" si="655"/>
        <v>91.44</v>
      </c>
      <c r="Z329" s="13">
        <f t="shared" si="650"/>
        <v>1.9E-3</v>
      </c>
      <c r="AA329" s="13">
        <f t="shared" si="646"/>
        <v>-1E-3</v>
      </c>
      <c r="AB329" s="6">
        <f t="shared" si="656"/>
        <v>109.24299999999999</v>
      </c>
      <c r="AC329">
        <f t="shared" si="648"/>
        <v>55</v>
      </c>
      <c r="AD329" s="11">
        <f t="shared" si="649"/>
        <v>2</v>
      </c>
      <c r="AE329">
        <f t="shared" si="647"/>
        <v>32</v>
      </c>
      <c r="AF329">
        <f>IF(AND(AE329&lt;15,OR(AC329&gt;=30,AA329&gt;0.15,X329&gt;=0.15)),2,VLOOKUP(AE329,Table!P:Q,2,FALSE))</f>
        <v>5</v>
      </c>
      <c r="AG329" s="22">
        <f>IF((AB329*0.98)-(D329*0.8)+((AF329-3)*3)+VLOOKUP(AM329,Table!$A$11:$B$13,2,FALSE)&lt;0,0,(AB329*0.98)-(D329*0.8)+((AF329-3)*3)+VLOOKUP(AM329,Table!$A$11:$B$13,2,FALSE))</f>
        <v>105.14613999999999</v>
      </c>
      <c r="AH329" s="22">
        <f t="shared" si="642"/>
        <v>100</v>
      </c>
      <c r="AI329" s="18">
        <f t="shared" si="635"/>
        <v>0.09</v>
      </c>
      <c r="AJ329" s="18">
        <f t="shared" si="636"/>
        <v>0.05</v>
      </c>
      <c r="AK329" t="str">
        <f t="shared" si="657"/>
        <v/>
      </c>
      <c r="AL329">
        <f t="shared" ref="AL329:AL392" si="668">ROUND(AVERAGE(AE329:AE332),2)</f>
        <v>32.75</v>
      </c>
      <c r="AM329" s="11" t="str">
        <f t="shared" si="658"/>
        <v>Stocks</v>
      </c>
      <c r="AN329" t="str">
        <f t="shared" si="664"/>
        <v>Buy</v>
      </c>
      <c r="AO329" s="13">
        <f t="shared" si="665"/>
        <v>-4.2999999999999997E-2</v>
      </c>
      <c r="AP329" s="13">
        <f t="shared" si="666"/>
        <v>0</v>
      </c>
      <c r="AQ329" s="13">
        <f t="shared" si="667"/>
        <v>-4.2999999999999997E-2</v>
      </c>
      <c r="AR329" s="13">
        <f t="shared" si="659"/>
        <v>-4.2999999999999997E-2</v>
      </c>
      <c r="AS329" s="6">
        <f t="shared" si="651"/>
        <v>337.05256612617723</v>
      </c>
      <c r="AT329" s="6">
        <f t="shared" si="652"/>
        <v>185.97425508967711</v>
      </c>
      <c r="AU329" s="6">
        <f t="shared" si="653"/>
        <v>548.89169512144508</v>
      </c>
      <c r="AV329" s="6">
        <f t="shared" si="654"/>
        <v>790.50962017175993</v>
      </c>
      <c r="AW329" s="58">
        <f t="shared" si="660"/>
        <v>2012</v>
      </c>
      <c r="AX329" s="58">
        <f>COUNTIF(AW$3:AW329,AW329)</f>
        <v>34</v>
      </c>
    </row>
    <row r="330" spans="1:50" x14ac:dyDescent="0.25">
      <c r="A330" s="5">
        <v>41035</v>
      </c>
      <c r="B330">
        <v>1369.1</v>
      </c>
      <c r="C330">
        <v>0.09</v>
      </c>
      <c r="D330" s="6">
        <v>19.16</v>
      </c>
      <c r="E330" s="18">
        <f t="shared" si="637"/>
        <v>17.64</v>
      </c>
      <c r="F330">
        <f t="shared" si="638"/>
        <v>0</v>
      </c>
      <c r="G330" s="18">
        <f>ROUND(INDEX(Valuation!U:U,MATCH(A330,Valuation!A:A,0)),2)</f>
        <v>224.95</v>
      </c>
      <c r="H330">
        <f t="shared" si="645"/>
        <v>3</v>
      </c>
      <c r="I330" s="18">
        <f>INDEX(WeeklyIndicators!Y:Y,MATCH(A330,WeeklyIndicators!A:A,0))</f>
        <v>123.8</v>
      </c>
      <c r="J330">
        <f t="shared" si="634"/>
        <v>0</v>
      </c>
      <c r="K330">
        <f>ROUND(INDEX(Economic!AF:AF,MATCH(EOMONTH($A330,-1),Economic!A:A,0)),2)</f>
        <v>130.44999999999999</v>
      </c>
      <c r="L330" s="11">
        <f t="shared" si="643"/>
        <v>2</v>
      </c>
      <c r="M330">
        <f>ROUND(INDEX(Manufacturing!P:P,MATCH(EOMONTH($A330,-1),Manufacturing!A:A,0)),2)</f>
        <v>96.53</v>
      </c>
      <c r="N330">
        <f t="shared" si="639"/>
        <v>1</v>
      </c>
      <c r="O330">
        <f>ROUND(INDEX(Housing!AC:AC,MATCH(EOMONTH($A330,-1),Housing!B:B,0)),2)</f>
        <v>112.68</v>
      </c>
      <c r="P330">
        <f t="shared" si="640"/>
        <v>0</v>
      </c>
      <c r="Q330">
        <f>ROUND(INDEX(Spending!AJ:AJ,MATCH(EOMONTH($A330,-1),Spending!B:B,0)),2)</f>
        <v>59.31</v>
      </c>
      <c r="R330">
        <f t="shared" si="644"/>
        <v>1</v>
      </c>
      <c r="S330">
        <f>ROUND(INDEX(Employment!V:V,MATCH(EOMONTH($A330,-1),Employment!A:A,0)),2)</f>
        <v>178.23</v>
      </c>
      <c r="T330" s="11">
        <f t="shared" si="641"/>
        <v>2</v>
      </c>
      <c r="U330">
        <f t="shared" ref="U330:U393" si="669">F330+H330+J330+L330+N330+P330+R330+T330+20</f>
        <v>29</v>
      </c>
      <c r="V330">
        <f t="shared" si="661"/>
        <v>78.239999999999995</v>
      </c>
      <c r="W330" s="13">
        <f t="shared" si="662"/>
        <v>3.8E-3</v>
      </c>
      <c r="X330" s="13">
        <f t="shared" si="663"/>
        <v>3.2899999999999999E-2</v>
      </c>
      <c r="Y330">
        <f t="shared" si="655"/>
        <v>91.46</v>
      </c>
      <c r="Z330" s="13">
        <f t="shared" si="650"/>
        <v>1.4E-3</v>
      </c>
      <c r="AA330" s="13">
        <f t="shared" si="646"/>
        <v>1.15E-2</v>
      </c>
      <c r="AB330" s="6">
        <f t="shared" si="656"/>
        <v>110.16500000000001</v>
      </c>
      <c r="AC330">
        <f t="shared" si="648"/>
        <v>55</v>
      </c>
      <c r="AD330" s="11">
        <f t="shared" si="649"/>
        <v>2</v>
      </c>
      <c r="AE330">
        <f t="shared" si="647"/>
        <v>33</v>
      </c>
      <c r="AF330">
        <f>IF(AND(AE330&lt;15,OR(AC330&gt;=30,AA330&gt;0.15,X330&gt;=0.15)),2,VLOOKUP(AE330,Table!P:Q,2,FALSE))</f>
        <v>5</v>
      </c>
      <c r="AG330" s="22">
        <f>IF((AB330*0.98)-(D330*0.8)+((AF330-3)*3)+VLOOKUP(AM330,Table!$A$11:$B$13,2,FALSE)&lt;0,0,(AB330*0.98)-(D330*0.8)+((AF330-3)*3)+VLOOKUP(AM330,Table!$A$11:$B$13,2,FALSE))</f>
        <v>106.6337</v>
      </c>
      <c r="AH330" s="22">
        <f t="shared" si="642"/>
        <v>100</v>
      </c>
      <c r="AI330" s="18">
        <f t="shared" si="635"/>
        <v>0.09</v>
      </c>
      <c r="AJ330" s="18">
        <f t="shared" si="636"/>
        <v>0.04</v>
      </c>
      <c r="AK330" t="str">
        <f t="shared" si="657"/>
        <v/>
      </c>
      <c r="AL330">
        <f t="shared" si="668"/>
        <v>33</v>
      </c>
      <c r="AM330" s="11" t="str">
        <f t="shared" si="658"/>
        <v>Stocks</v>
      </c>
      <c r="AN330" t="str">
        <f t="shared" si="664"/>
        <v>Buy</v>
      </c>
      <c r="AO330" s="13">
        <f t="shared" si="665"/>
        <v>-1.15E-2</v>
      </c>
      <c r="AP330" s="13">
        <f t="shared" si="666"/>
        <v>0</v>
      </c>
      <c r="AQ330" s="13">
        <f t="shared" si="667"/>
        <v>-1.15E-2</v>
      </c>
      <c r="AR330" s="13">
        <f t="shared" si="659"/>
        <v>-1.15E-2</v>
      </c>
      <c r="AS330" s="6">
        <f t="shared" si="651"/>
        <v>340.97376441697241</v>
      </c>
      <c r="AT330" s="6">
        <f t="shared" si="652"/>
        <v>185.97425508967711</v>
      </c>
      <c r="AU330" s="6">
        <f t="shared" si="653"/>
        <v>555.27738504951446</v>
      </c>
      <c r="AV330" s="6">
        <f t="shared" si="654"/>
        <v>799.70624195423363</v>
      </c>
      <c r="AW330" s="58">
        <f t="shared" si="660"/>
        <v>2012</v>
      </c>
      <c r="AX330" s="58">
        <f>COUNTIF(AW$3:AW330,AW330)</f>
        <v>35</v>
      </c>
    </row>
    <row r="331" spans="1:50" x14ac:dyDescent="0.25">
      <c r="A331" s="5">
        <v>41028</v>
      </c>
      <c r="B331">
        <v>1403.36</v>
      </c>
      <c r="C331">
        <v>0.09</v>
      </c>
      <c r="D331" s="6">
        <v>16.32</v>
      </c>
      <c r="E331" s="18">
        <f t="shared" si="637"/>
        <v>17.77</v>
      </c>
      <c r="F331">
        <f t="shared" si="638"/>
        <v>0</v>
      </c>
      <c r="G331" s="18">
        <f>ROUND(INDEX(Valuation!U:U,MATCH(A331,Valuation!A:A,0)),2)</f>
        <v>223.57</v>
      </c>
      <c r="H331">
        <f t="shared" si="645"/>
        <v>3</v>
      </c>
      <c r="I331" s="18">
        <f>INDEX(WeeklyIndicators!Y:Y,MATCH(A331,WeeklyIndicators!A:A,0))</f>
        <v>126.18</v>
      </c>
      <c r="J331">
        <f t="shared" si="634"/>
        <v>0</v>
      </c>
      <c r="K331">
        <f>ROUND(INDEX(Economic!AF:AF,MATCH(EOMONTH($A331,-1),Economic!A:A,0)),2)</f>
        <v>126</v>
      </c>
      <c r="L331" s="11">
        <f t="shared" si="643"/>
        <v>2</v>
      </c>
      <c r="M331">
        <f>ROUND(INDEX(Manufacturing!P:P,MATCH(EOMONTH($A331,-1),Manufacturing!A:A,0)),2)</f>
        <v>96.38</v>
      </c>
      <c r="N331">
        <f t="shared" si="639"/>
        <v>1</v>
      </c>
      <c r="O331">
        <f>ROUND(INDEX(Housing!AC:AC,MATCH(EOMONTH($A331,-1),Housing!B:B,0)),2)</f>
        <v>107</v>
      </c>
      <c r="P331">
        <f t="shared" si="640"/>
        <v>0</v>
      </c>
      <c r="Q331">
        <f>ROUND(INDEX(Spending!AJ:AJ,MATCH(EOMONTH($A331,-1),Spending!B:B,0)),2)</f>
        <v>52.61</v>
      </c>
      <c r="R331">
        <f t="shared" si="644"/>
        <v>1</v>
      </c>
      <c r="S331">
        <f>ROUND(INDEX(Employment!V:V,MATCH(EOMONTH($A331,-1),Employment!A:A,0)),2)</f>
        <v>183.27</v>
      </c>
      <c r="T331" s="11">
        <f t="shared" si="641"/>
        <v>2</v>
      </c>
      <c r="U331">
        <f t="shared" si="669"/>
        <v>29</v>
      </c>
      <c r="V331">
        <f t="shared" si="661"/>
        <v>77.31</v>
      </c>
      <c r="W331" s="13">
        <f t="shared" si="662"/>
        <v>2E-3</v>
      </c>
      <c r="X331" s="13">
        <f t="shared" si="663"/>
        <v>4.8100000000000004E-2</v>
      </c>
      <c r="Y331">
        <f t="shared" si="655"/>
        <v>90.33</v>
      </c>
      <c r="Z331" s="13">
        <f t="shared" si="650"/>
        <v>-3.5000000000000001E-3</v>
      </c>
      <c r="AA331" s="13">
        <f t="shared" si="646"/>
        <v>2.53E-2</v>
      </c>
      <c r="AB331" s="6">
        <f t="shared" si="656"/>
        <v>109.937</v>
      </c>
      <c r="AC331">
        <f t="shared" si="648"/>
        <v>55</v>
      </c>
      <c r="AD331" s="11">
        <f t="shared" si="649"/>
        <v>2</v>
      </c>
      <c r="AE331">
        <f t="shared" si="647"/>
        <v>33</v>
      </c>
      <c r="AF331">
        <f>IF(AND(AE331&lt;15,OR(AC331&gt;=30,AA331&gt;0.15,X331&gt;=0.15)),2,VLOOKUP(AE331,Table!P:Q,2,FALSE))</f>
        <v>5</v>
      </c>
      <c r="AG331" s="22">
        <f>IF((AB331*0.98)-(D331*0.8)+((AF331-3)*3)+VLOOKUP(AM331,Table!$A$11:$B$13,2,FALSE)&lt;0,0,(AB331*0.98)-(D331*0.8)+((AF331-3)*3)+VLOOKUP(AM331,Table!$A$11:$B$13,2,FALSE))</f>
        <v>108.68226</v>
      </c>
      <c r="AH331" s="22">
        <f t="shared" si="642"/>
        <v>100</v>
      </c>
      <c r="AI331" s="18">
        <f t="shared" si="635"/>
        <v>0.09</v>
      </c>
      <c r="AJ331" s="18">
        <f t="shared" si="636"/>
        <v>0.04</v>
      </c>
      <c r="AK331" t="str">
        <f t="shared" si="657"/>
        <v/>
      </c>
      <c r="AL331">
        <f t="shared" si="668"/>
        <v>33.25</v>
      </c>
      <c r="AM331" s="11" t="str">
        <f t="shared" si="658"/>
        <v>Stocks</v>
      </c>
      <c r="AN331" t="str">
        <f t="shared" si="664"/>
        <v>Buy</v>
      </c>
      <c r="AO331" s="13">
        <f t="shared" si="665"/>
        <v>-2.4400000000000002E-2</v>
      </c>
      <c r="AP331" s="13">
        <f t="shared" si="666"/>
        <v>0</v>
      </c>
      <c r="AQ331" s="13">
        <f t="shared" si="667"/>
        <v>-2.4400000000000002E-2</v>
      </c>
      <c r="AR331" s="13">
        <f t="shared" si="659"/>
        <v>-2.4400000000000002E-2</v>
      </c>
      <c r="AS331" s="6">
        <f t="shared" si="651"/>
        <v>349.50160354343217</v>
      </c>
      <c r="AT331" s="6">
        <f t="shared" si="652"/>
        <v>185.97425508967711</v>
      </c>
      <c r="AU331" s="6">
        <f t="shared" si="653"/>
        <v>569.16501132586552</v>
      </c>
      <c r="AV331" s="6">
        <f t="shared" si="654"/>
        <v>819.70709507404024</v>
      </c>
      <c r="AW331" s="58">
        <f t="shared" si="660"/>
        <v>2012</v>
      </c>
      <c r="AX331" s="58">
        <f>COUNTIF(AW$3:AW331,AW331)</f>
        <v>36</v>
      </c>
    </row>
    <row r="332" spans="1:50" x14ac:dyDescent="0.25">
      <c r="A332" s="5">
        <v>41021</v>
      </c>
      <c r="B332">
        <v>1378.53</v>
      </c>
      <c r="C332">
        <v>0.08</v>
      </c>
      <c r="D332" s="6">
        <v>17.440000000000001</v>
      </c>
      <c r="E332" s="18">
        <f t="shared" si="637"/>
        <v>17.899999999999999</v>
      </c>
      <c r="F332">
        <f t="shared" si="638"/>
        <v>0</v>
      </c>
      <c r="G332" s="18">
        <f>ROUND(INDEX(Valuation!U:U,MATCH(A332,Valuation!A:A,0)),2)</f>
        <v>226.96</v>
      </c>
      <c r="H332">
        <f t="shared" si="645"/>
        <v>3</v>
      </c>
      <c r="I332" s="18">
        <f>INDEX(WeeklyIndicators!Y:Y,MATCH(A332,WeeklyIndicators!A:A,0))</f>
        <v>128.69</v>
      </c>
      <c r="J332">
        <f t="shared" si="634"/>
        <v>0</v>
      </c>
      <c r="K332">
        <f>ROUND(INDEX(Economic!AF:AF,MATCH(EOMONTH($A332,-1),Economic!A:A,0)),2)</f>
        <v>126</v>
      </c>
      <c r="L332" s="11">
        <f t="shared" si="643"/>
        <v>2</v>
      </c>
      <c r="M332">
        <f>ROUND(INDEX(Manufacturing!P:P,MATCH(EOMONTH($A332,-1),Manufacturing!A:A,0)),2)</f>
        <v>96.38</v>
      </c>
      <c r="N332">
        <f t="shared" si="639"/>
        <v>1</v>
      </c>
      <c r="O332">
        <f>ROUND(INDEX(Housing!AC:AC,MATCH(EOMONTH($A332,-1),Housing!B:B,0)),2)</f>
        <v>107</v>
      </c>
      <c r="P332">
        <f t="shared" si="640"/>
        <v>0</v>
      </c>
      <c r="Q332">
        <f>ROUND(INDEX(Spending!AJ:AJ,MATCH(EOMONTH($A332,-1),Spending!B:B,0)),2)</f>
        <v>52.61</v>
      </c>
      <c r="R332">
        <f t="shared" si="644"/>
        <v>1</v>
      </c>
      <c r="S332">
        <f>ROUND(INDEX(Employment!V:V,MATCH(EOMONTH($A332,-1),Employment!A:A,0)),2)</f>
        <v>183.27</v>
      </c>
      <c r="T332" s="11">
        <f t="shared" si="641"/>
        <v>2</v>
      </c>
      <c r="U332">
        <f t="shared" si="669"/>
        <v>29</v>
      </c>
      <c r="V332">
        <f t="shared" si="661"/>
        <v>77.569999999999993</v>
      </c>
      <c r="W332" s="13">
        <f t="shared" si="662"/>
        <v>5.1999999999999998E-3</v>
      </c>
      <c r="X332" s="13">
        <f t="shared" si="663"/>
        <v>6.0700000000000004E-2</v>
      </c>
      <c r="Y332">
        <f t="shared" si="655"/>
        <v>90.93</v>
      </c>
      <c r="Z332" s="13">
        <f t="shared" si="650"/>
        <v>-8.0000000000000004E-4</v>
      </c>
      <c r="AA332" s="13">
        <f t="shared" si="646"/>
        <v>4.1700000000000001E-2</v>
      </c>
      <c r="AB332" s="6">
        <f t="shared" si="656"/>
        <v>112.116</v>
      </c>
      <c r="AC332">
        <f t="shared" si="648"/>
        <v>56</v>
      </c>
      <c r="AD332" s="11">
        <f t="shared" si="649"/>
        <v>2</v>
      </c>
      <c r="AE332">
        <f t="shared" si="647"/>
        <v>33</v>
      </c>
      <c r="AF332">
        <f>IF(AND(AE332&lt;15,OR(AC332&gt;=30,AA332&gt;0.15,X332&gt;=0.15)),2,VLOOKUP(AE332,Table!P:Q,2,FALSE))</f>
        <v>5</v>
      </c>
      <c r="AG332" s="22">
        <f>IF((AB332*0.98)-(D332*0.8)+((AF332-3)*3)+VLOOKUP(AM332,Table!$A$11:$B$13,2,FALSE)&lt;0,0,(AB332*0.98)-(D332*0.8)+((AF332-3)*3)+VLOOKUP(AM332,Table!$A$11:$B$13,2,FALSE))</f>
        <v>109.92167999999999</v>
      </c>
      <c r="AH332" s="22">
        <f t="shared" si="642"/>
        <v>100</v>
      </c>
      <c r="AI332" s="18">
        <f t="shared" si="635"/>
        <v>0.08</v>
      </c>
      <c r="AJ332" s="18">
        <f t="shared" si="636"/>
        <v>0.04</v>
      </c>
      <c r="AK332" t="str">
        <f t="shared" si="657"/>
        <v/>
      </c>
      <c r="AL332">
        <f t="shared" si="668"/>
        <v>33.25</v>
      </c>
      <c r="AM332" s="11" t="str">
        <f t="shared" si="658"/>
        <v>Stocks</v>
      </c>
      <c r="AN332" t="str">
        <f t="shared" si="664"/>
        <v>Buy</v>
      </c>
      <c r="AO332" s="13">
        <f t="shared" si="665"/>
        <v>1.7999999999999999E-2</v>
      </c>
      <c r="AP332" s="13">
        <f t="shared" si="666"/>
        <v>0</v>
      </c>
      <c r="AQ332" s="13">
        <f t="shared" si="667"/>
        <v>1.7999999999999999E-2</v>
      </c>
      <c r="AR332" s="13">
        <f t="shared" si="659"/>
        <v>1.7999999999999999E-2</v>
      </c>
      <c r="AS332" s="6">
        <f t="shared" si="651"/>
        <v>343.32181094639702</v>
      </c>
      <c r="AT332" s="6">
        <f t="shared" si="652"/>
        <v>185.97425508967711</v>
      </c>
      <c r="AU332" s="6">
        <f t="shared" si="653"/>
        <v>559.10118990752994</v>
      </c>
      <c r="AV332" s="6">
        <f t="shared" si="654"/>
        <v>805.21325645779984</v>
      </c>
      <c r="AW332" s="58">
        <f t="shared" si="660"/>
        <v>2012</v>
      </c>
      <c r="AX332" s="58">
        <f>COUNTIF(AW$3:AW332,AW332)</f>
        <v>37</v>
      </c>
    </row>
    <row r="333" spans="1:50" x14ac:dyDescent="0.25">
      <c r="A333" s="5">
        <v>41014</v>
      </c>
      <c r="B333">
        <v>1370.26</v>
      </c>
      <c r="C333">
        <v>0.09</v>
      </c>
      <c r="D333" s="6">
        <v>19.55</v>
      </c>
      <c r="E333" s="18">
        <f t="shared" si="637"/>
        <v>17.25</v>
      </c>
      <c r="F333">
        <f t="shared" si="638"/>
        <v>0</v>
      </c>
      <c r="G333" s="18">
        <f>ROUND(INDEX(Valuation!U:U,MATCH(A333,Valuation!A:A,0)),2)</f>
        <v>228.15</v>
      </c>
      <c r="H333">
        <f t="shared" si="645"/>
        <v>3</v>
      </c>
      <c r="I333" s="18">
        <f>INDEX(WeeklyIndicators!Y:Y,MATCH(A333,WeeklyIndicators!A:A,0))</f>
        <v>126.58</v>
      </c>
      <c r="J333">
        <f t="shared" si="634"/>
        <v>0</v>
      </c>
      <c r="K333">
        <f>ROUND(INDEX(Economic!AF:AF,MATCH(EOMONTH($A333,-1),Economic!A:A,0)),2)</f>
        <v>126</v>
      </c>
      <c r="L333" s="11">
        <f t="shared" si="643"/>
        <v>2</v>
      </c>
      <c r="M333">
        <f>ROUND(INDEX(Manufacturing!P:P,MATCH(EOMONTH($A333,-1),Manufacturing!A:A,0)),2)</f>
        <v>96.38</v>
      </c>
      <c r="N333">
        <f t="shared" si="639"/>
        <v>1</v>
      </c>
      <c r="O333">
        <f>ROUND(INDEX(Housing!AC:AC,MATCH(EOMONTH($A333,-1),Housing!B:B,0)),2)</f>
        <v>107</v>
      </c>
      <c r="P333">
        <f t="shared" si="640"/>
        <v>0</v>
      </c>
      <c r="Q333">
        <f>ROUND(INDEX(Spending!AJ:AJ,MATCH(EOMONTH($A333,-1),Spending!B:B,0)),2)</f>
        <v>52.61</v>
      </c>
      <c r="R333">
        <f t="shared" si="644"/>
        <v>1</v>
      </c>
      <c r="S333">
        <f>ROUND(INDEX(Employment!V:V,MATCH(EOMONTH($A333,-1),Employment!A:A,0)),2)</f>
        <v>183.27</v>
      </c>
      <c r="T333" s="11">
        <f t="shared" si="641"/>
        <v>2</v>
      </c>
      <c r="U333">
        <f t="shared" si="669"/>
        <v>29</v>
      </c>
      <c r="V333">
        <f t="shared" si="661"/>
        <v>77.349999999999994</v>
      </c>
      <c r="W333" s="13">
        <f t="shared" si="662"/>
        <v>2.1899999999999999E-2</v>
      </c>
      <c r="X333" s="13">
        <f t="shared" si="663"/>
        <v>4.8399999999999999E-2</v>
      </c>
      <c r="Y333">
        <f t="shared" si="655"/>
        <v>91.07</v>
      </c>
      <c r="Z333" s="13">
        <f t="shared" si="650"/>
        <v>1.44E-2</v>
      </c>
      <c r="AA333" s="13">
        <f t="shared" si="646"/>
        <v>3.6799999999999999E-2</v>
      </c>
      <c r="AB333" s="6">
        <f t="shared" si="656"/>
        <v>111.91499999999999</v>
      </c>
      <c r="AC333">
        <f t="shared" si="648"/>
        <v>56</v>
      </c>
      <c r="AD333" s="11">
        <f t="shared" si="649"/>
        <v>2</v>
      </c>
      <c r="AE333">
        <f t="shared" si="647"/>
        <v>33</v>
      </c>
      <c r="AF333">
        <f>IF(AND(AE333&lt;15,OR(AC333&gt;=30,AA333&gt;0.15,X333&gt;=0.15)),2,VLOOKUP(AE333,Table!P:Q,2,FALSE))</f>
        <v>5</v>
      </c>
      <c r="AG333" s="22">
        <f>IF((AB333*0.98)-(D333*0.8)+((AF333-3)*3)+VLOOKUP(AM333,Table!$A$11:$B$13,2,FALSE)&lt;0,0,(AB333*0.98)-(D333*0.8)+((AF333-3)*3)+VLOOKUP(AM333,Table!$A$11:$B$13,2,FALSE))</f>
        <v>108.0367</v>
      </c>
      <c r="AH333" s="22">
        <f t="shared" si="642"/>
        <v>100</v>
      </c>
      <c r="AI333" s="18">
        <f t="shared" si="635"/>
        <v>0.08</v>
      </c>
      <c r="AJ333" s="18">
        <f t="shared" si="636"/>
        <v>0.04</v>
      </c>
      <c r="AK333" t="str">
        <f t="shared" si="657"/>
        <v/>
      </c>
      <c r="AL333">
        <f t="shared" si="668"/>
        <v>32.25</v>
      </c>
      <c r="AM333" s="11" t="str">
        <f t="shared" si="658"/>
        <v>Stocks</v>
      </c>
      <c r="AN333" t="str">
        <f t="shared" si="664"/>
        <v>Buy</v>
      </c>
      <c r="AO333" s="13">
        <f t="shared" si="665"/>
        <v>6.0000000000000001E-3</v>
      </c>
      <c r="AP333" s="13">
        <f t="shared" si="666"/>
        <v>0</v>
      </c>
      <c r="AQ333" s="13">
        <f t="shared" si="667"/>
        <v>6.0000000000000001E-3</v>
      </c>
      <c r="AR333" s="13">
        <f t="shared" si="659"/>
        <v>6.0000000000000001E-3</v>
      </c>
      <c r="AS333" s="6">
        <f t="shared" si="651"/>
        <v>341.27416595069286</v>
      </c>
      <c r="AT333" s="6">
        <f t="shared" si="652"/>
        <v>185.97425508967711</v>
      </c>
      <c r="AU333" s="6">
        <f t="shared" si="653"/>
        <v>555.76659036533795</v>
      </c>
      <c r="AV333" s="6">
        <f t="shared" si="654"/>
        <v>800.41079170755449</v>
      </c>
      <c r="AW333" s="58">
        <f t="shared" si="660"/>
        <v>2012</v>
      </c>
      <c r="AX333" s="58">
        <f>COUNTIF(AW$3:AW333,AW333)</f>
        <v>38</v>
      </c>
    </row>
    <row r="334" spans="1:50" x14ac:dyDescent="0.25">
      <c r="A334" s="5">
        <v>41007</v>
      </c>
      <c r="B334">
        <v>1398.08</v>
      </c>
      <c r="C334">
        <v>0.08</v>
      </c>
      <c r="D334" s="6">
        <v>16.7</v>
      </c>
      <c r="E334" s="18">
        <f t="shared" si="637"/>
        <v>15.67</v>
      </c>
      <c r="F334">
        <f t="shared" si="638"/>
        <v>1</v>
      </c>
      <c r="G334" s="18">
        <f>ROUND(INDEX(Valuation!U:U,MATCH(A334,Valuation!A:A,0)),2)</f>
        <v>229.93</v>
      </c>
      <c r="H334">
        <f t="shared" si="645"/>
        <v>3</v>
      </c>
      <c r="I334" s="18">
        <f>INDEX(WeeklyIndicators!Y:Y,MATCH(A334,WeeklyIndicators!A:A,0))</f>
        <v>121.64</v>
      </c>
      <c r="J334">
        <f t="shared" si="634"/>
        <v>0</v>
      </c>
      <c r="K334">
        <f>ROUND(INDEX(Economic!AF:AF,MATCH(EOMONTH($A334,-1),Economic!A:A,0)),2)</f>
        <v>126</v>
      </c>
      <c r="L334" s="11">
        <f t="shared" si="643"/>
        <v>2</v>
      </c>
      <c r="M334">
        <f>ROUND(INDEX(Manufacturing!P:P,MATCH(EOMONTH($A334,-1),Manufacturing!A:A,0)),2)</f>
        <v>96.38</v>
      </c>
      <c r="N334">
        <f t="shared" si="639"/>
        <v>1</v>
      </c>
      <c r="O334">
        <f>ROUND(INDEX(Housing!AC:AC,MATCH(EOMONTH($A334,-1),Housing!B:B,0)),2)</f>
        <v>107</v>
      </c>
      <c r="P334">
        <f t="shared" si="640"/>
        <v>0</v>
      </c>
      <c r="Q334">
        <f>ROUND(INDEX(Spending!AJ:AJ,MATCH(EOMONTH($A334,-1),Spending!B:B,0)),2)</f>
        <v>52.61</v>
      </c>
      <c r="R334">
        <f t="shared" si="644"/>
        <v>1</v>
      </c>
      <c r="S334">
        <f>ROUND(INDEX(Employment!V:V,MATCH(EOMONTH($A334,-1),Employment!A:A,0)),2)</f>
        <v>183.27</v>
      </c>
      <c r="T334" s="11">
        <f t="shared" si="641"/>
        <v>2</v>
      </c>
      <c r="U334">
        <f t="shared" si="669"/>
        <v>30</v>
      </c>
      <c r="V334">
        <f t="shared" si="661"/>
        <v>76.84</v>
      </c>
      <c r="W334" s="13">
        <f t="shared" si="662"/>
        <v>1.9E-2</v>
      </c>
      <c r="X334" s="13">
        <f t="shared" si="663"/>
        <v>3.5499999999999997E-2</v>
      </c>
      <c r="Y334">
        <f t="shared" si="655"/>
        <v>91.3</v>
      </c>
      <c r="Z334" s="13">
        <f t="shared" si="650"/>
        <v>1.52E-2</v>
      </c>
      <c r="AA334" s="13">
        <f t="shared" si="646"/>
        <v>2.9899999999999999E-2</v>
      </c>
      <c r="AB334" s="6">
        <f t="shared" si="656"/>
        <v>111.71299999999999</v>
      </c>
      <c r="AC334">
        <f t="shared" si="648"/>
        <v>56</v>
      </c>
      <c r="AD334" s="11">
        <f t="shared" si="649"/>
        <v>2</v>
      </c>
      <c r="AE334">
        <f t="shared" si="647"/>
        <v>34</v>
      </c>
      <c r="AF334">
        <f>IF(AND(AE334&lt;15,OR(AC334&gt;=30,AA334&gt;0.15,X334&gt;=0.15)),2,VLOOKUP(AE334,Table!P:Q,2,FALSE))</f>
        <v>5</v>
      </c>
      <c r="AG334" s="22">
        <f>IF((AB334*0.98)-(D334*0.8)+((AF334-3)*3)+VLOOKUP(AM334,Table!$A$11:$B$13,2,FALSE)&lt;0,0,(AB334*0.98)-(D334*0.8)+((AF334-3)*3)+VLOOKUP(AM334,Table!$A$11:$B$13,2,FALSE))</f>
        <v>110.11873999999999</v>
      </c>
      <c r="AH334" s="22">
        <f t="shared" si="642"/>
        <v>100</v>
      </c>
      <c r="AI334" s="18">
        <f t="shared" si="635"/>
        <v>0.08</v>
      </c>
      <c r="AJ334" s="18">
        <f t="shared" si="636"/>
        <v>0.04</v>
      </c>
      <c r="AK334" t="str">
        <f t="shared" si="657"/>
        <v/>
      </c>
      <c r="AL334">
        <f t="shared" si="668"/>
        <v>31</v>
      </c>
      <c r="AM334" s="11" t="str">
        <f t="shared" si="658"/>
        <v>Stocks</v>
      </c>
      <c r="AN334" t="str">
        <f t="shared" si="664"/>
        <v>Buy</v>
      </c>
      <c r="AO334" s="13">
        <f t="shared" si="665"/>
        <v>-1.9900000000000001E-2</v>
      </c>
      <c r="AP334" s="13">
        <f t="shared" si="666"/>
        <v>0</v>
      </c>
      <c r="AQ334" s="13">
        <f t="shared" si="667"/>
        <v>-1.9900000000000001E-2</v>
      </c>
      <c r="AR334" s="13">
        <f t="shared" si="659"/>
        <v>-1.9900000000000001E-2</v>
      </c>
      <c r="AS334" s="6">
        <f t="shared" si="651"/>
        <v>348.20341388704509</v>
      </c>
      <c r="AT334" s="6">
        <f t="shared" si="652"/>
        <v>185.97425508967711</v>
      </c>
      <c r="AU334" s="6">
        <f t="shared" si="653"/>
        <v>567.05090334184058</v>
      </c>
      <c r="AV334" s="6">
        <f t="shared" si="654"/>
        <v>816.66237292883841</v>
      </c>
      <c r="AW334" s="58">
        <f t="shared" si="660"/>
        <v>2012</v>
      </c>
      <c r="AX334" s="58">
        <f>COUNTIF(AW$3:AW334,AW334)</f>
        <v>39</v>
      </c>
    </row>
    <row r="335" spans="1:50" x14ac:dyDescent="0.25">
      <c r="A335" s="5">
        <v>41000</v>
      </c>
      <c r="B335">
        <v>1408.47</v>
      </c>
      <c r="C335">
        <v>0.08</v>
      </c>
      <c r="D335" s="6">
        <v>15.5</v>
      </c>
      <c r="E335" s="18">
        <f t="shared" si="637"/>
        <v>14.93</v>
      </c>
      <c r="F335">
        <f t="shared" si="638"/>
        <v>1</v>
      </c>
      <c r="G335" s="18">
        <f>ROUND(INDEX(Valuation!U:U,MATCH(A335,Valuation!A:A,0)),2)</f>
        <v>230.34</v>
      </c>
      <c r="H335">
        <f t="shared" si="645"/>
        <v>3</v>
      </c>
      <c r="I335" s="18">
        <f>INDEX(WeeklyIndicators!Y:Y,MATCH(A335,WeeklyIndicators!A:A,0))</f>
        <v>117.22</v>
      </c>
      <c r="J335">
        <f t="shared" ref="J335:J398" si="670">IF(I335&gt;170,3,IF(AND(I335&gt;152,I335&lt;=170),2,IF(AND(I335&gt;135,I335&lt;=152),1,IF(I335&lt;60,-3,IF(AND(I335&lt;95,I335&gt;=60),-2,IF(AND(I335&lt;120,I335&gt;=95),-1,0))))))</f>
        <v>-1</v>
      </c>
      <c r="K335">
        <f>ROUND(INDEX(Economic!AF:AF,MATCH(EOMONTH($A335,-1),Economic!A:A,0)),2)</f>
        <v>126</v>
      </c>
      <c r="L335" s="11">
        <f t="shared" si="643"/>
        <v>2</v>
      </c>
      <c r="M335">
        <f>ROUND(INDEX(Manufacturing!P:P,MATCH(EOMONTH($A335,-1),Manufacturing!A:A,0)),2)</f>
        <v>96.38</v>
      </c>
      <c r="N335">
        <f t="shared" si="639"/>
        <v>1</v>
      </c>
      <c r="O335">
        <f>ROUND(INDEX(Housing!AC:AC,MATCH(EOMONTH($A335,-1),Housing!B:B,0)),2)</f>
        <v>107</v>
      </c>
      <c r="P335">
        <f t="shared" si="640"/>
        <v>0</v>
      </c>
      <c r="Q335">
        <f>ROUND(INDEX(Spending!AJ:AJ,MATCH(EOMONTH($A335,-1),Spending!B:B,0)),2)</f>
        <v>52.61</v>
      </c>
      <c r="R335">
        <f t="shared" si="644"/>
        <v>1</v>
      </c>
      <c r="S335">
        <f>ROUND(INDEX(Employment!V:V,MATCH(EOMONTH($A335,-1),Employment!A:A,0)),2)</f>
        <v>183.27</v>
      </c>
      <c r="T335" s="11">
        <f t="shared" si="641"/>
        <v>2</v>
      </c>
      <c r="U335">
        <f t="shared" si="669"/>
        <v>29</v>
      </c>
      <c r="V335">
        <f t="shared" si="661"/>
        <v>76.38</v>
      </c>
      <c r="W335" s="13">
        <f t="shared" si="662"/>
        <v>1.46E-2</v>
      </c>
      <c r="X335" s="13">
        <f t="shared" si="663"/>
        <v>2.8200000000000003E-2</v>
      </c>
      <c r="Y335">
        <f t="shared" si="655"/>
        <v>91.15</v>
      </c>
      <c r="Z335" s="13">
        <f t="shared" si="650"/>
        <v>1.29E-2</v>
      </c>
      <c r="AA335" s="13">
        <f t="shared" si="646"/>
        <v>2.3899999999999998E-2</v>
      </c>
      <c r="AB335" s="6">
        <f t="shared" si="656"/>
        <v>111.114</v>
      </c>
      <c r="AC335">
        <f t="shared" si="648"/>
        <v>56</v>
      </c>
      <c r="AD335" s="11">
        <f t="shared" si="649"/>
        <v>2</v>
      </c>
      <c r="AE335">
        <f t="shared" si="647"/>
        <v>33</v>
      </c>
      <c r="AF335">
        <f>IF(AND(AE335&lt;15,OR(AC335&gt;=30,AA335&gt;0.15,X335&gt;=0.15)),2,VLOOKUP(AE335,Table!P:Q,2,FALSE))</f>
        <v>5</v>
      </c>
      <c r="AG335" s="22">
        <f>IF((AB335*0.98)-(D335*0.8)+((AF335-3)*3)+VLOOKUP(AM335,Table!$A$11:$B$13,2,FALSE)&lt;0,0,(AB335*0.98)-(D335*0.8)+((AF335-3)*3)+VLOOKUP(AM335,Table!$A$11:$B$13,2,FALSE))</f>
        <v>110.49172</v>
      </c>
      <c r="AH335" s="22">
        <f t="shared" si="642"/>
        <v>100</v>
      </c>
      <c r="AI335" s="18">
        <f t="shared" ref="AI335:AI398" si="671">ROUND(AVERAGE(C335:C347),2)</f>
        <v>7.0000000000000007E-2</v>
      </c>
      <c r="AJ335" s="18">
        <f t="shared" ref="AJ335:AJ398" si="672">ROUND(AVERAGE(C335:C373),2)</f>
        <v>0.04</v>
      </c>
      <c r="AK335" t="str">
        <f t="shared" si="657"/>
        <v/>
      </c>
      <c r="AL335">
        <f t="shared" si="668"/>
        <v>29.75</v>
      </c>
      <c r="AM335" s="11" t="str">
        <f t="shared" si="658"/>
        <v>Stocks</v>
      </c>
      <c r="AN335" t="str">
        <f t="shared" si="664"/>
        <v>Buy</v>
      </c>
      <c r="AO335" s="13">
        <f t="shared" si="665"/>
        <v>-7.4000000000000003E-3</v>
      </c>
      <c r="AP335" s="13">
        <f t="shared" si="666"/>
        <v>0</v>
      </c>
      <c r="AQ335" s="13">
        <f t="shared" si="667"/>
        <v>-7.4000000000000003E-3</v>
      </c>
      <c r="AR335" s="13">
        <f t="shared" si="659"/>
        <v>-7.4000000000000003E-3</v>
      </c>
      <c r="AS335" s="6">
        <f t="shared" si="651"/>
        <v>350.79932892106092</v>
      </c>
      <c r="AT335" s="6">
        <f t="shared" si="652"/>
        <v>185.97425508967711</v>
      </c>
      <c r="AU335" s="6">
        <f t="shared" si="653"/>
        <v>571.27836322974065</v>
      </c>
      <c r="AV335" s="6">
        <f t="shared" si="654"/>
        <v>822.75072831839452</v>
      </c>
      <c r="AW335" s="58">
        <f t="shared" si="660"/>
        <v>2012</v>
      </c>
      <c r="AX335" s="58">
        <f>COUNTIF(AW$3:AW335,AW335)</f>
        <v>40</v>
      </c>
    </row>
    <row r="336" spans="1:50" x14ac:dyDescent="0.25">
      <c r="A336" s="5">
        <v>40993</v>
      </c>
      <c r="B336">
        <v>1397.11</v>
      </c>
      <c r="C336">
        <v>0.09</v>
      </c>
      <c r="D336" s="6">
        <v>14.82</v>
      </c>
      <c r="E336" s="18">
        <f t="shared" si="637"/>
        <v>15.47</v>
      </c>
      <c r="F336">
        <f t="shared" si="638"/>
        <v>1</v>
      </c>
      <c r="G336" s="18">
        <f>ROUND(INDEX(Valuation!U:U,MATCH(A336,Valuation!A:A,0)),2)</f>
        <v>232.19</v>
      </c>
      <c r="H336">
        <f t="shared" si="645"/>
        <v>3</v>
      </c>
      <c r="I336" s="18">
        <f>INDEX(WeeklyIndicators!Y:Y,MATCH(A336,WeeklyIndicators!A:A,0))</f>
        <v>116.66</v>
      </c>
      <c r="J336">
        <f t="shared" si="670"/>
        <v>-1</v>
      </c>
      <c r="K336">
        <f>ROUND(INDEX(Economic!AF:AF,MATCH(EOMONTH($A336,-1),Economic!A:A,0)),2)</f>
        <v>110.4</v>
      </c>
      <c r="L336" s="11">
        <f t="shared" si="643"/>
        <v>0</v>
      </c>
      <c r="M336">
        <f>ROUND(INDEX(Manufacturing!P:P,MATCH(EOMONTH($A336,-1),Manufacturing!A:A,0)),2)</f>
        <v>94.54</v>
      </c>
      <c r="N336">
        <f t="shared" si="639"/>
        <v>1</v>
      </c>
      <c r="O336">
        <f>ROUND(INDEX(Housing!AC:AC,MATCH(EOMONTH($A336,-1),Housing!B:B,0)),2)</f>
        <v>99.13</v>
      </c>
      <c r="P336">
        <f t="shared" si="640"/>
        <v>-1</v>
      </c>
      <c r="Q336">
        <f>ROUND(INDEX(Spending!AJ:AJ,MATCH(EOMONTH($A336,-1),Spending!B:B,0)),2)</f>
        <v>47.41</v>
      </c>
      <c r="R336">
        <f t="shared" si="644"/>
        <v>0</v>
      </c>
      <c r="S336">
        <f>ROUND(INDEX(Employment!V:V,MATCH(EOMONTH($A336,-1),Employment!A:A,0)),2)</f>
        <v>177.61</v>
      </c>
      <c r="T336" s="11">
        <f t="shared" si="641"/>
        <v>2</v>
      </c>
      <c r="U336">
        <f t="shared" si="669"/>
        <v>25</v>
      </c>
      <c r="V336">
        <f t="shared" si="661"/>
        <v>72.41</v>
      </c>
      <c r="W336" s="13">
        <f t="shared" si="662"/>
        <v>-7.1000000000000004E-3</v>
      </c>
      <c r="X336" s="13">
        <f t="shared" si="663"/>
        <v>3.4099999999999998E-2</v>
      </c>
      <c r="Y336">
        <f t="shared" si="655"/>
        <v>87.2</v>
      </c>
      <c r="Z336" s="13">
        <f t="shared" si="650"/>
        <v>-5.7000000000000002E-3</v>
      </c>
      <c r="AA336" s="13">
        <f t="shared" si="646"/>
        <v>2.9700000000000001E-2</v>
      </c>
      <c r="AB336" s="6">
        <f t="shared" si="656"/>
        <v>107.65899999999999</v>
      </c>
      <c r="AC336">
        <f t="shared" si="648"/>
        <v>54</v>
      </c>
      <c r="AD336" s="11">
        <f t="shared" si="649"/>
        <v>2</v>
      </c>
      <c r="AE336">
        <f t="shared" si="647"/>
        <v>29</v>
      </c>
      <c r="AF336">
        <f>IF(AND(AE336&lt;15,OR(AC336&gt;=30,AA336&gt;0.15,X336&gt;=0.15)),2,VLOOKUP(AE336,Table!P:Q,2,FALSE))</f>
        <v>4</v>
      </c>
      <c r="AG336" s="22">
        <f>IF((AB336*0.98)-(D336*0.8)+((AF336-3)*3)+VLOOKUP(AM336,Table!$A$11:$B$13,2,FALSE)&lt;0,0,(AB336*0.98)-(D336*0.8)+((AF336-3)*3)+VLOOKUP(AM336,Table!$A$11:$B$13,2,FALSE))</f>
        <v>104.64981999999998</v>
      </c>
      <c r="AH336" s="22">
        <f t="shared" si="642"/>
        <v>100</v>
      </c>
      <c r="AI336" s="18">
        <f t="shared" si="671"/>
        <v>7.0000000000000007E-2</v>
      </c>
      <c r="AJ336" s="18">
        <f t="shared" si="672"/>
        <v>0.04</v>
      </c>
      <c r="AK336" t="str">
        <f t="shared" si="657"/>
        <v/>
      </c>
      <c r="AL336">
        <f t="shared" si="668"/>
        <v>28.75</v>
      </c>
      <c r="AM336" s="11" t="str">
        <f t="shared" si="658"/>
        <v>Stocks</v>
      </c>
      <c r="AN336" t="str">
        <f t="shared" si="664"/>
        <v>Buy</v>
      </c>
      <c r="AO336" s="13">
        <f t="shared" si="665"/>
        <v>8.0999999999999996E-3</v>
      </c>
      <c r="AP336" s="13">
        <f t="shared" si="666"/>
        <v>0</v>
      </c>
      <c r="AQ336" s="13">
        <f t="shared" si="667"/>
        <v>8.0999999999999996E-3</v>
      </c>
      <c r="AR336" s="13">
        <f t="shared" si="659"/>
        <v>8.0999999999999996E-3</v>
      </c>
      <c r="AS336" s="6">
        <f t="shared" si="651"/>
        <v>347.98068536956742</v>
      </c>
      <c r="AT336" s="6">
        <f t="shared" si="652"/>
        <v>185.97425508967711</v>
      </c>
      <c r="AU336" s="6">
        <f t="shared" si="653"/>
        <v>566.68818889965348</v>
      </c>
      <c r="AV336" s="6">
        <f t="shared" si="654"/>
        <v>816.13999436404572</v>
      </c>
      <c r="AW336" s="58">
        <f t="shared" si="660"/>
        <v>2012</v>
      </c>
      <c r="AX336" s="58">
        <f>COUNTIF(AW$3:AW336,AW336)</f>
        <v>41</v>
      </c>
    </row>
    <row r="337" spans="1:50" x14ac:dyDescent="0.25">
      <c r="A337" s="5">
        <v>40986</v>
      </c>
      <c r="B337">
        <v>1404.17</v>
      </c>
      <c r="C337">
        <v>0.09</v>
      </c>
      <c r="D337" s="6">
        <v>14.47</v>
      </c>
      <c r="E337" s="18">
        <f t="shared" ref="E337:E400" si="673">ROUND(AVERAGE(D337:D339),2)</f>
        <v>16.29</v>
      </c>
      <c r="F337">
        <f t="shared" ref="F337:F400" si="674">IF(E337&lt;11,3,IF(AND(E337&lt;14,E337&gt;=11),2,IF(AND(E337&lt;16,E337&gt;=14),1,IF(E337&gt;35,-3,IF(AND(E337&gt;25,E337&lt;=35),-2,IF(AND(E337&gt;18,E337&lt;=25),-1,0))))))</f>
        <v>0</v>
      </c>
      <c r="G337" s="18">
        <f>ROUND(INDEX(Valuation!U:U,MATCH(A337,Valuation!A:A,0)),2)</f>
        <v>233.31</v>
      </c>
      <c r="H337">
        <f t="shared" si="645"/>
        <v>3</v>
      </c>
      <c r="I337" s="18">
        <f>INDEX(WeeklyIndicators!Y:Y,MATCH(A337,WeeklyIndicators!A:A,0))</f>
        <v>118.75</v>
      </c>
      <c r="J337">
        <f t="shared" si="670"/>
        <v>-1</v>
      </c>
      <c r="K337">
        <f>ROUND(INDEX(Economic!AF:AF,MATCH(EOMONTH($A337,-1),Economic!A:A,0)),2)</f>
        <v>110.4</v>
      </c>
      <c r="L337" s="11">
        <f t="shared" si="643"/>
        <v>0</v>
      </c>
      <c r="M337">
        <f>ROUND(INDEX(Manufacturing!P:P,MATCH(EOMONTH($A337,-1),Manufacturing!A:A,0)),2)</f>
        <v>94.54</v>
      </c>
      <c r="N337">
        <f t="shared" si="639"/>
        <v>1</v>
      </c>
      <c r="O337">
        <f>ROUND(INDEX(Housing!AC:AC,MATCH(EOMONTH($A337,-1),Housing!B:B,0)),2)</f>
        <v>99.13</v>
      </c>
      <c r="P337">
        <f t="shared" si="640"/>
        <v>-1</v>
      </c>
      <c r="Q337">
        <f>ROUND(INDEX(Spending!AJ:AJ,MATCH(EOMONTH($A337,-1),Spending!B:B,0)),2)</f>
        <v>47.41</v>
      </c>
      <c r="R337">
        <f t="shared" si="644"/>
        <v>0</v>
      </c>
      <c r="S337">
        <f>ROUND(INDEX(Employment!V:V,MATCH(EOMONTH($A337,-1),Employment!A:A,0)),2)</f>
        <v>177.61</v>
      </c>
      <c r="T337" s="11">
        <f t="shared" si="641"/>
        <v>2</v>
      </c>
      <c r="U337">
        <f t="shared" si="669"/>
        <v>24</v>
      </c>
      <c r="V337">
        <f t="shared" si="661"/>
        <v>72.63</v>
      </c>
      <c r="W337" s="13">
        <f t="shared" si="662"/>
        <v>8.9999999999999993E-3</v>
      </c>
      <c r="X337" s="13">
        <f t="shared" si="663"/>
        <v>5.3600000000000002E-2</v>
      </c>
      <c r="Y337">
        <f t="shared" si="655"/>
        <v>87.26</v>
      </c>
      <c r="Z337" s="13">
        <f t="shared" si="650"/>
        <v>7.4999999999999997E-3</v>
      </c>
      <c r="AA337" s="13">
        <f t="shared" si="646"/>
        <v>4.7300000000000002E-2</v>
      </c>
      <c r="AB337" s="6">
        <f t="shared" si="656"/>
        <v>109.221</v>
      </c>
      <c r="AC337">
        <f t="shared" si="648"/>
        <v>55</v>
      </c>
      <c r="AD337" s="11">
        <f t="shared" si="649"/>
        <v>2</v>
      </c>
      <c r="AE337">
        <f t="shared" si="647"/>
        <v>28</v>
      </c>
      <c r="AF337">
        <f>IF(AND(AE337&lt;15,OR(AC337&gt;=30,AA337&gt;0.15,X337&gt;=0.15)),2,VLOOKUP(AE337,Table!P:Q,2,FALSE))</f>
        <v>4</v>
      </c>
      <c r="AG337" s="22">
        <f>IF((AB337*0.98)-(D337*0.8)+((AF337-3)*3)+VLOOKUP(AM337,Table!$A$11:$B$13,2,FALSE)&lt;0,0,(AB337*0.98)-(D337*0.8)+((AF337-3)*3)+VLOOKUP(AM337,Table!$A$11:$B$13,2,FALSE))</f>
        <v>106.46057999999999</v>
      </c>
      <c r="AH337" s="22">
        <f t="shared" si="642"/>
        <v>100</v>
      </c>
      <c r="AI337" s="18">
        <f t="shared" si="671"/>
        <v>0.06</v>
      </c>
      <c r="AJ337" s="18">
        <f t="shared" si="672"/>
        <v>0.03</v>
      </c>
      <c r="AK337" t="str">
        <f t="shared" si="657"/>
        <v/>
      </c>
      <c r="AL337">
        <f t="shared" si="668"/>
        <v>28.25</v>
      </c>
      <c r="AM337" s="11" t="str">
        <f t="shared" si="658"/>
        <v>Stocks</v>
      </c>
      <c r="AN337" t="str">
        <f t="shared" si="664"/>
        <v>Buy</v>
      </c>
      <c r="AO337" s="13">
        <f t="shared" si="665"/>
        <v>-5.0000000000000001E-3</v>
      </c>
      <c r="AP337" s="13">
        <f t="shared" si="666"/>
        <v>0</v>
      </c>
      <c r="AQ337" s="13">
        <f t="shared" si="667"/>
        <v>-5.0000000000000001E-3</v>
      </c>
      <c r="AR337" s="13">
        <f t="shared" si="659"/>
        <v>-5.0000000000000001E-3</v>
      </c>
      <c r="AS337" s="6">
        <f t="shared" si="651"/>
        <v>349.72933202971603</v>
      </c>
      <c r="AT337" s="6">
        <f t="shared" si="652"/>
        <v>185.97425508967711</v>
      </c>
      <c r="AU337" s="6">
        <f t="shared" si="653"/>
        <v>569.53586824085778</v>
      </c>
      <c r="AV337" s="6">
        <f t="shared" si="654"/>
        <v>820.2412003658751</v>
      </c>
      <c r="AW337" s="58">
        <f t="shared" si="660"/>
        <v>2012</v>
      </c>
      <c r="AX337" s="58">
        <f>COUNTIF(AW$3:AW337,AW337)</f>
        <v>42</v>
      </c>
    </row>
    <row r="338" spans="1:50" x14ac:dyDescent="0.25">
      <c r="A338" s="5">
        <v>40979</v>
      </c>
      <c r="B338">
        <v>1370.87</v>
      </c>
      <c r="C338">
        <v>0.08</v>
      </c>
      <c r="D338" s="6">
        <v>17.11</v>
      </c>
      <c r="E338" s="18">
        <f t="shared" si="673"/>
        <v>17.239999999999998</v>
      </c>
      <c r="F338">
        <f t="shared" si="674"/>
        <v>0</v>
      </c>
      <c r="G338" s="18">
        <f>ROUND(INDEX(Valuation!U:U,MATCH(A338,Valuation!A:A,0)),2)</f>
        <v>235.66</v>
      </c>
      <c r="H338">
        <f t="shared" si="645"/>
        <v>3</v>
      </c>
      <c r="I338" s="18">
        <f>INDEX(WeeklyIndicators!Y:Y,MATCH(A338,WeeklyIndicators!A:A,0))</f>
        <v>124.29</v>
      </c>
      <c r="J338">
        <f t="shared" si="670"/>
        <v>0</v>
      </c>
      <c r="K338">
        <f>ROUND(INDEX(Economic!AF:AF,MATCH(EOMONTH($A338,-1),Economic!A:A,0)),2)</f>
        <v>110.4</v>
      </c>
      <c r="L338" s="11">
        <f t="shared" si="643"/>
        <v>0</v>
      </c>
      <c r="M338">
        <f>ROUND(INDEX(Manufacturing!P:P,MATCH(EOMONTH($A338,-1),Manufacturing!A:A,0)),2)</f>
        <v>94.54</v>
      </c>
      <c r="N338">
        <f t="shared" ref="N338:N401" si="675">IF(M338&gt;108,3,IF(AND(M338&gt;100,M338&lt;=108),2,IF(AND(M338&gt;90,M338&lt;=100),1,IF(M338&lt;63,-3,IF(AND(M338&lt;74,M338&gt;=63),-2,IF(AND(M338&lt;84,M338&gt;=74),-1,0))))))</f>
        <v>1</v>
      </c>
      <c r="O338">
        <f>ROUND(INDEX(Housing!AC:AC,MATCH(EOMONTH($A338,-1),Housing!B:B,0)),2)</f>
        <v>99.13</v>
      </c>
      <c r="P338">
        <f t="shared" ref="P338:P401" si="676">IF(O338&gt;140,3,IF(AND(O338&gt;128,O338&lt;=140),2,IF(AND(O338&gt;115,O338&lt;=128),1,IF(O338&lt;50,-3,IF(AND(O338&lt;75,O338&gt;=50),-2,IF(AND(O338&lt;100,O338&gt;=75),-1,0))))))</f>
        <v>-1</v>
      </c>
      <c r="Q338">
        <f>ROUND(INDEX(Spending!AJ:AJ,MATCH(EOMONTH($A338,-1),Spending!B:B,0)),2)</f>
        <v>47.41</v>
      </c>
      <c r="R338">
        <f t="shared" si="644"/>
        <v>0</v>
      </c>
      <c r="S338">
        <f>ROUND(INDEX(Employment!V:V,MATCH(EOMONTH($A338,-1),Employment!A:A,0)),2)</f>
        <v>177.61</v>
      </c>
      <c r="T338" s="11">
        <f t="shared" ref="T338:T401" si="677">IF(S338&gt;190,3,IF(AND(S338&gt;175,S338&lt;=190),2,IF(AND(S338&gt;160,S338&lt;=175),1,IF(S338&lt;120,-3,IF(AND(S338&lt;140,S338&gt;=120),-2,IF(AND(S338&lt;150,S338&gt;=140),-1,0))))))</f>
        <v>2</v>
      </c>
      <c r="U338">
        <f t="shared" si="669"/>
        <v>25</v>
      </c>
      <c r="V338">
        <f t="shared" si="661"/>
        <v>73.2</v>
      </c>
      <c r="W338" s="13">
        <f t="shared" si="662"/>
        <v>1.17E-2</v>
      </c>
      <c r="X338" s="13">
        <f t="shared" si="663"/>
        <v>7.8300000000000008E-2</v>
      </c>
      <c r="Y338">
        <f t="shared" si="655"/>
        <v>87.76</v>
      </c>
      <c r="Z338" s="13">
        <f t="shared" si="650"/>
        <v>9.1999999999999998E-3</v>
      </c>
      <c r="AA338" s="13">
        <f t="shared" si="646"/>
        <v>7.2899999999999993E-2</v>
      </c>
      <c r="AB338" s="6">
        <f t="shared" si="656"/>
        <v>111.93600000000001</v>
      </c>
      <c r="AC338">
        <f t="shared" si="648"/>
        <v>56</v>
      </c>
      <c r="AD338" s="11">
        <f t="shared" si="649"/>
        <v>2</v>
      </c>
      <c r="AE338">
        <f t="shared" si="647"/>
        <v>29</v>
      </c>
      <c r="AF338">
        <f>IF(AND(AE338&lt;15,OR(AC338&gt;=30,AA338&gt;0.15,X338&gt;=0.15)),2,VLOOKUP(AE338,Table!P:Q,2,FALSE))</f>
        <v>4</v>
      </c>
      <c r="AG338" s="22">
        <f>IF((AB338*0.98)-(D338*0.8)+((AF338-3)*3)+VLOOKUP(AM338,Table!$A$11:$B$13,2,FALSE)&lt;0,0,(AB338*0.98)-(D338*0.8)+((AF338-3)*3)+VLOOKUP(AM338,Table!$A$11:$B$13,2,FALSE))</f>
        <v>107.00928</v>
      </c>
      <c r="AH338" s="22">
        <f t="shared" ref="AH338:AH401" si="678">IF(ROUND(AVERAGE(AG338:AG340),0)&lt;0,0,IF(ROUND(AVERAGE(AG338:AG340),0)&gt;100,100,ROUND(AVERAGE(AG338:AG340),0)))</f>
        <v>100</v>
      </c>
      <c r="AI338" s="18">
        <f t="shared" si="671"/>
        <v>0.05</v>
      </c>
      <c r="AJ338" s="18">
        <f t="shared" si="672"/>
        <v>0.03</v>
      </c>
      <c r="AK338" t="str">
        <f t="shared" si="657"/>
        <v/>
      </c>
      <c r="AL338">
        <f t="shared" si="668"/>
        <v>28</v>
      </c>
      <c r="AM338" s="11" t="str">
        <f t="shared" si="658"/>
        <v>Stocks</v>
      </c>
      <c r="AN338" t="str">
        <f t="shared" si="664"/>
        <v>Buy</v>
      </c>
      <c r="AO338" s="13">
        <f t="shared" si="665"/>
        <v>2.4299999999999999E-2</v>
      </c>
      <c r="AP338" s="13">
        <f t="shared" si="666"/>
        <v>0</v>
      </c>
      <c r="AQ338" s="13">
        <f t="shared" si="667"/>
        <v>2.4299999999999999E-2</v>
      </c>
      <c r="AR338" s="13">
        <f t="shared" si="659"/>
        <v>2.4299999999999999E-2</v>
      </c>
      <c r="AS338" s="6">
        <f t="shared" si="651"/>
        <v>341.43252175116277</v>
      </c>
      <c r="AT338" s="6">
        <f t="shared" si="652"/>
        <v>185.97425508967711</v>
      </c>
      <c r="AU338" s="6">
        <f t="shared" si="653"/>
        <v>556.02447353398202</v>
      </c>
      <c r="AV338" s="6">
        <f t="shared" si="654"/>
        <v>800.78219307417271</v>
      </c>
      <c r="AW338" s="58">
        <f t="shared" si="660"/>
        <v>2012</v>
      </c>
      <c r="AX338" s="58">
        <f>COUNTIF(AW$3:AW338,AW338)</f>
        <v>43</v>
      </c>
    </row>
    <row r="339" spans="1:50" x14ac:dyDescent="0.25">
      <c r="A339" s="5">
        <v>40972</v>
      </c>
      <c r="B339">
        <v>1369.63</v>
      </c>
      <c r="C339">
        <v>0.09</v>
      </c>
      <c r="D339" s="6">
        <v>17.29</v>
      </c>
      <c r="E339" s="18">
        <f t="shared" si="673"/>
        <v>17.46</v>
      </c>
      <c r="F339">
        <f t="shared" si="674"/>
        <v>0</v>
      </c>
      <c r="G339" s="18">
        <f>ROUND(INDEX(Valuation!U:U,MATCH(A339,Valuation!A:A,0)),2)</f>
        <v>237.96</v>
      </c>
      <c r="H339">
        <f t="shared" si="645"/>
        <v>3</v>
      </c>
      <c r="I339" s="18">
        <f>INDEX(WeeklyIndicators!Y:Y,MATCH(A339,WeeklyIndicators!A:A,0))</f>
        <v>131.72</v>
      </c>
      <c r="J339">
        <f t="shared" si="670"/>
        <v>0</v>
      </c>
      <c r="K339">
        <f>ROUND(INDEX(Economic!AF:AF,MATCH(EOMONTH($A339,-1),Economic!A:A,0)),2)</f>
        <v>110.4</v>
      </c>
      <c r="L339" s="11">
        <f t="shared" ref="L339:L402" si="679">IF(K339&gt;138,3,IF(AND(K339&gt;125,K339&lt;=138),2,IF(AND(K339&gt;111,K339&lt;=125),1,IF(K339&lt;50,-3,IF(AND(K339&lt;80,K339&gt;=50),-2,IF(AND(K339&lt;100,K339&gt;=80),-1,0))))))</f>
        <v>0</v>
      </c>
      <c r="M339">
        <f>ROUND(INDEX(Manufacturing!P:P,MATCH(EOMONTH($A339,-1),Manufacturing!A:A,0)),2)</f>
        <v>94.54</v>
      </c>
      <c r="N339">
        <f t="shared" si="675"/>
        <v>1</v>
      </c>
      <c r="O339">
        <f>ROUND(INDEX(Housing!AC:AC,MATCH(EOMONTH($A339,-1),Housing!B:B,0)),2)</f>
        <v>99.13</v>
      </c>
      <c r="P339">
        <f t="shared" si="676"/>
        <v>-1</v>
      </c>
      <c r="Q339">
        <f>ROUND(INDEX(Spending!AJ:AJ,MATCH(EOMONTH($A339,-1),Spending!B:B,0)),2)</f>
        <v>47.41</v>
      </c>
      <c r="R339">
        <f t="shared" ref="R339:R402" si="680">IF(Q339&gt;60,2,IF(AND(Q339&gt;50,Q339&lt;=60),1,IF(Q339&lt;30,-2,IF(AND(Q339&lt;40,Q339&gt;=30),-1,0))))</f>
        <v>0</v>
      </c>
      <c r="S339">
        <f>ROUND(INDEX(Employment!V:V,MATCH(EOMONTH($A339,-1),Employment!A:A,0)),2)</f>
        <v>177.61</v>
      </c>
      <c r="T339" s="11">
        <f t="shared" si="677"/>
        <v>2</v>
      </c>
      <c r="U339">
        <f t="shared" si="669"/>
        <v>25</v>
      </c>
      <c r="V339">
        <f t="shared" si="661"/>
        <v>73.98</v>
      </c>
      <c r="W339" s="13">
        <f t="shared" si="662"/>
        <v>2.0500000000000001E-2</v>
      </c>
      <c r="X339" s="13">
        <f t="shared" si="663"/>
        <v>9.5699999999999993E-2</v>
      </c>
      <c r="Y339">
        <f t="shared" si="655"/>
        <v>88.71</v>
      </c>
      <c r="Z339" s="13">
        <f t="shared" si="650"/>
        <v>1.8700000000000001E-2</v>
      </c>
      <c r="AA339" s="13">
        <f t="shared" si="646"/>
        <v>9.2600000000000002E-2</v>
      </c>
      <c r="AB339" s="6">
        <f t="shared" si="656"/>
        <v>114.63600000000001</v>
      </c>
      <c r="AC339">
        <f t="shared" si="648"/>
        <v>57</v>
      </c>
      <c r="AD339" s="11">
        <f t="shared" si="649"/>
        <v>2</v>
      </c>
      <c r="AE339">
        <f t="shared" si="647"/>
        <v>29</v>
      </c>
      <c r="AF339">
        <f>IF(AND(AE339&lt;15,OR(AC339&gt;=30,AA339&gt;0.15,X339&gt;=0.15)),2,VLOOKUP(AE339,Table!P:Q,2,FALSE))</f>
        <v>4</v>
      </c>
      <c r="AG339" s="22">
        <f>IF((AB339*0.98)-(D339*0.8)+((AF339-3)*3)+VLOOKUP(AM339,Table!$A$11:$B$13,2,FALSE)&lt;0,0,(AB339*0.98)-(D339*0.8)+((AF339-3)*3)+VLOOKUP(AM339,Table!$A$11:$B$13,2,FALSE))</f>
        <v>109.51128</v>
      </c>
      <c r="AH339" s="22">
        <f t="shared" si="678"/>
        <v>100</v>
      </c>
      <c r="AI339" s="18">
        <f t="shared" si="671"/>
        <v>0.05</v>
      </c>
      <c r="AJ339" s="18">
        <f t="shared" si="672"/>
        <v>0.03</v>
      </c>
      <c r="AK339" t="str">
        <f t="shared" si="657"/>
        <v/>
      </c>
      <c r="AL339">
        <f t="shared" si="668"/>
        <v>27.25</v>
      </c>
      <c r="AM339" s="11" t="str">
        <f t="shared" si="658"/>
        <v>Stocks</v>
      </c>
      <c r="AN339" t="str">
        <f t="shared" si="664"/>
        <v>Buy</v>
      </c>
      <c r="AO339" s="13">
        <f t="shared" si="665"/>
        <v>8.9999999999999998E-4</v>
      </c>
      <c r="AP339" s="13">
        <f t="shared" si="666"/>
        <v>0</v>
      </c>
      <c r="AQ339" s="13">
        <f t="shared" si="667"/>
        <v>8.9999999999999998E-4</v>
      </c>
      <c r="AR339" s="13">
        <f t="shared" si="659"/>
        <v>8.9999999999999998E-4</v>
      </c>
      <c r="AS339" s="6">
        <f t="shared" si="651"/>
        <v>341.12550879324885</v>
      </c>
      <c r="AT339" s="6">
        <f t="shared" si="652"/>
        <v>185.97425508967711</v>
      </c>
      <c r="AU339" s="6">
        <f t="shared" si="653"/>
        <v>555.52450148264768</v>
      </c>
      <c r="AV339" s="6">
        <f t="shared" si="654"/>
        <v>800.06213715073716</v>
      </c>
      <c r="AW339" s="58">
        <f t="shared" si="660"/>
        <v>2012</v>
      </c>
      <c r="AX339" s="58">
        <f>COUNTIF(AW$3:AW339,AW339)</f>
        <v>44</v>
      </c>
    </row>
    <row r="340" spans="1:50" x14ac:dyDescent="0.25">
      <c r="A340" s="5">
        <v>40965</v>
      </c>
      <c r="B340">
        <v>1365.74</v>
      </c>
      <c r="C340">
        <v>0.09</v>
      </c>
      <c r="D340" s="6">
        <v>17.309999999999999</v>
      </c>
      <c r="E340" s="18">
        <f t="shared" si="673"/>
        <v>18.63</v>
      </c>
      <c r="F340">
        <f t="shared" si="674"/>
        <v>-1</v>
      </c>
      <c r="G340" s="18">
        <f>ROUND(INDEX(Valuation!U:U,MATCH(A340,Valuation!A:A,0)),2)</f>
        <v>240.7</v>
      </c>
      <c r="H340">
        <f t="shared" si="645"/>
        <v>3</v>
      </c>
      <c r="I340" s="18">
        <f>INDEX(WeeklyIndicators!Y:Y,MATCH(A340,WeeklyIndicators!A:A,0))</f>
        <v>139.25</v>
      </c>
      <c r="J340">
        <f t="shared" si="670"/>
        <v>1</v>
      </c>
      <c r="K340">
        <f>ROUND(INDEX(Economic!AF:AF,MATCH(EOMONTH($A340,-1),Economic!A:A,0)),2)</f>
        <v>89.92</v>
      </c>
      <c r="L340" s="11">
        <f t="shared" si="679"/>
        <v>-1</v>
      </c>
      <c r="M340">
        <f>ROUND(INDEX(Manufacturing!P:P,MATCH(EOMONTH($A340,-1),Manufacturing!A:A,0)),2)</f>
        <v>94.49</v>
      </c>
      <c r="N340">
        <f t="shared" si="675"/>
        <v>1</v>
      </c>
      <c r="O340">
        <f>ROUND(INDEX(Housing!AC:AC,MATCH(EOMONTH($A340,-1),Housing!B:B,0)),2)</f>
        <v>92.16</v>
      </c>
      <c r="P340">
        <f t="shared" si="676"/>
        <v>-1</v>
      </c>
      <c r="Q340">
        <f>ROUND(INDEX(Spending!AJ:AJ,MATCH(EOMONTH($A340,-1),Spending!B:B,0)),2)</f>
        <v>46.41</v>
      </c>
      <c r="R340">
        <f t="shared" si="680"/>
        <v>0</v>
      </c>
      <c r="S340">
        <f>ROUND(INDEX(Employment!V:V,MATCH(EOMONTH($A340,-1),Employment!A:A,0)),2)</f>
        <v>170.05</v>
      </c>
      <c r="T340" s="11">
        <f t="shared" si="677"/>
        <v>1</v>
      </c>
      <c r="U340">
        <f t="shared" si="669"/>
        <v>23</v>
      </c>
      <c r="V340">
        <f t="shared" si="661"/>
        <v>70.67</v>
      </c>
      <c r="W340" s="13">
        <f t="shared" si="662"/>
        <v>1.24E-2</v>
      </c>
      <c r="X340" s="13">
        <f t="shared" si="663"/>
        <v>9.4700000000000006E-2</v>
      </c>
      <c r="Y340">
        <f t="shared" si="655"/>
        <v>85.3</v>
      </c>
      <c r="Z340" s="13">
        <f t="shared" si="650"/>
        <v>1.1900000000000001E-2</v>
      </c>
      <c r="AA340" s="13">
        <f t="shared" si="646"/>
        <v>9.6799999999999997E-2</v>
      </c>
      <c r="AB340" s="6">
        <f t="shared" si="656"/>
        <v>111.66</v>
      </c>
      <c r="AC340">
        <f t="shared" si="648"/>
        <v>56</v>
      </c>
      <c r="AD340" s="11">
        <f t="shared" si="649"/>
        <v>2</v>
      </c>
      <c r="AE340">
        <f t="shared" si="647"/>
        <v>27</v>
      </c>
      <c r="AF340">
        <f>IF(AND(AE340&lt;15,OR(AC340&gt;=30,AA340&gt;0.15,X340&gt;=0.15)),2,VLOOKUP(AE340,Table!P:Q,2,FALSE))</f>
        <v>4</v>
      </c>
      <c r="AG340" s="22">
        <f>IF((AB340*0.98)-(D340*0.8)+((AF340-3)*3)+VLOOKUP(AM340,Table!$A$11:$B$13,2,FALSE)&lt;0,0,(AB340*0.98)-(D340*0.8)+((AF340-3)*3)+VLOOKUP(AM340,Table!$A$11:$B$13,2,FALSE))</f>
        <v>106.5788</v>
      </c>
      <c r="AH340" s="22">
        <f t="shared" si="678"/>
        <v>100</v>
      </c>
      <c r="AI340" s="18">
        <f t="shared" si="671"/>
        <v>0.04</v>
      </c>
      <c r="AJ340" s="18">
        <f t="shared" si="672"/>
        <v>0.03</v>
      </c>
      <c r="AK340" t="str">
        <f t="shared" si="657"/>
        <v/>
      </c>
      <c r="AL340">
        <f t="shared" si="668"/>
        <v>26.5</v>
      </c>
      <c r="AM340" s="11" t="str">
        <f t="shared" si="658"/>
        <v>Stocks</v>
      </c>
      <c r="AN340" t="str">
        <f t="shared" si="664"/>
        <v>Buy</v>
      </c>
      <c r="AO340" s="13">
        <f t="shared" si="665"/>
        <v>2.8E-3</v>
      </c>
      <c r="AP340" s="13">
        <f t="shared" si="666"/>
        <v>0</v>
      </c>
      <c r="AQ340" s="13">
        <f t="shared" si="667"/>
        <v>2.8E-3</v>
      </c>
      <c r="AR340" s="13">
        <f t="shared" si="659"/>
        <v>2.8E-3</v>
      </c>
      <c r="AS340" s="6">
        <f t="shared" si="651"/>
        <v>340.1730243251385</v>
      </c>
      <c r="AT340" s="6">
        <f t="shared" si="652"/>
        <v>185.97425508967711</v>
      </c>
      <c r="AU340" s="6">
        <f t="shared" si="653"/>
        <v>553.97337602976438</v>
      </c>
      <c r="AV340" s="6">
        <f t="shared" si="654"/>
        <v>797.82821813994542</v>
      </c>
      <c r="AW340" s="58">
        <f t="shared" si="660"/>
        <v>2012</v>
      </c>
      <c r="AX340" s="58">
        <f>COUNTIF(AW$3:AW340,AW340)</f>
        <v>45</v>
      </c>
    </row>
    <row r="341" spans="1:50" x14ac:dyDescent="0.25">
      <c r="A341" s="5">
        <v>40958</v>
      </c>
      <c r="B341">
        <v>1361.23</v>
      </c>
      <c r="C341">
        <v>0.11</v>
      </c>
      <c r="D341" s="6">
        <v>17.78</v>
      </c>
      <c r="E341" s="18">
        <f t="shared" si="673"/>
        <v>18.559999999999999</v>
      </c>
      <c r="F341">
        <f t="shared" si="674"/>
        <v>-1</v>
      </c>
      <c r="G341" s="18">
        <f>ROUND(INDEX(Valuation!U:U,MATCH(A341,Valuation!A:A,0)),2)</f>
        <v>241.16</v>
      </c>
      <c r="H341">
        <f t="shared" si="645"/>
        <v>3</v>
      </c>
      <c r="I341" s="18">
        <f>INDEX(WeeklyIndicators!Y:Y,MATCH(A341,WeeklyIndicators!A:A,0))</f>
        <v>139.19</v>
      </c>
      <c r="J341">
        <f t="shared" si="670"/>
        <v>1</v>
      </c>
      <c r="K341">
        <f>ROUND(INDEX(Economic!AF:AF,MATCH(EOMONTH($A341,-1),Economic!A:A,0)),2)</f>
        <v>89.92</v>
      </c>
      <c r="L341" s="11">
        <f t="shared" si="679"/>
        <v>-1</v>
      </c>
      <c r="M341">
        <f>ROUND(INDEX(Manufacturing!P:P,MATCH(EOMONTH($A341,-1),Manufacturing!A:A,0)),2)</f>
        <v>94.49</v>
      </c>
      <c r="N341">
        <f t="shared" si="675"/>
        <v>1</v>
      </c>
      <c r="O341">
        <f>ROUND(INDEX(Housing!AC:AC,MATCH(EOMONTH($A341,-1),Housing!B:B,0)),2)</f>
        <v>92.16</v>
      </c>
      <c r="P341">
        <f t="shared" si="676"/>
        <v>-1</v>
      </c>
      <c r="Q341">
        <f>ROUND(INDEX(Spending!AJ:AJ,MATCH(EOMONTH($A341,-1),Spending!B:B,0)),2)</f>
        <v>46.41</v>
      </c>
      <c r="R341">
        <f t="shared" si="680"/>
        <v>0</v>
      </c>
      <c r="S341">
        <f>ROUND(INDEX(Employment!V:V,MATCH(EOMONTH($A341,-1),Employment!A:A,0)),2)</f>
        <v>170.05</v>
      </c>
      <c r="T341" s="11">
        <f t="shared" si="677"/>
        <v>1</v>
      </c>
      <c r="U341">
        <f t="shared" si="669"/>
        <v>23</v>
      </c>
      <c r="V341">
        <f t="shared" si="661"/>
        <v>70.67</v>
      </c>
      <c r="W341" s="13">
        <f t="shared" si="662"/>
        <v>3.3700000000000001E-2</v>
      </c>
      <c r="X341" s="13">
        <f t="shared" si="663"/>
        <v>7.9699999999999993E-2</v>
      </c>
      <c r="Y341">
        <f t="shared" si="655"/>
        <v>85.37</v>
      </c>
      <c r="Z341" s="13">
        <f t="shared" si="650"/>
        <v>3.3099999999999997E-2</v>
      </c>
      <c r="AA341" s="13">
        <f t="shared" si="646"/>
        <v>8.5000000000000006E-2</v>
      </c>
      <c r="AB341" s="6">
        <f t="shared" si="656"/>
        <v>110.836</v>
      </c>
      <c r="AC341">
        <f t="shared" si="648"/>
        <v>55</v>
      </c>
      <c r="AD341" s="11">
        <f t="shared" si="649"/>
        <v>2</v>
      </c>
      <c r="AE341">
        <f t="shared" si="647"/>
        <v>27</v>
      </c>
      <c r="AF341">
        <f>IF(AND(AE341&lt;15,OR(AC341&gt;=30,AA341&gt;0.15,X341&gt;=0.15)),2,VLOOKUP(AE341,Table!P:Q,2,FALSE))</f>
        <v>4</v>
      </c>
      <c r="AG341" s="22">
        <f>IF((AB341*0.98)-(D341*0.8)+((AF341-3)*3)+VLOOKUP(AM341,Table!$A$11:$B$13,2,FALSE)&lt;0,0,(AB341*0.98)-(D341*0.8)+((AF341-3)*3)+VLOOKUP(AM341,Table!$A$11:$B$13,2,FALSE))</f>
        <v>105.39528</v>
      </c>
      <c r="AH341" s="22">
        <f t="shared" si="678"/>
        <v>100</v>
      </c>
      <c r="AI341" s="18">
        <f t="shared" si="671"/>
        <v>0.04</v>
      </c>
      <c r="AJ341" s="18">
        <f t="shared" si="672"/>
        <v>0.03</v>
      </c>
      <c r="AK341" t="str">
        <f t="shared" si="657"/>
        <v/>
      </c>
      <c r="AL341">
        <f t="shared" si="668"/>
        <v>25.75</v>
      </c>
      <c r="AM341" s="11" t="str">
        <f t="shared" si="658"/>
        <v>Stocks</v>
      </c>
      <c r="AN341" t="str">
        <f t="shared" si="664"/>
        <v>Buy</v>
      </c>
      <c r="AO341" s="13">
        <f t="shared" si="665"/>
        <v>3.3E-3</v>
      </c>
      <c r="AP341" s="13">
        <f t="shared" si="666"/>
        <v>0</v>
      </c>
      <c r="AQ341" s="13">
        <f t="shared" si="667"/>
        <v>3.3E-3</v>
      </c>
      <c r="AR341" s="13">
        <f t="shared" si="659"/>
        <v>3.3E-3</v>
      </c>
      <c r="AS341" s="6">
        <f t="shared" si="651"/>
        <v>339.05414564451161</v>
      </c>
      <c r="AT341" s="6">
        <f t="shared" si="652"/>
        <v>185.97425508967711</v>
      </c>
      <c r="AU341" s="6">
        <f t="shared" si="653"/>
        <v>552.15127681627064</v>
      </c>
      <c r="AV341" s="6">
        <f t="shared" si="654"/>
        <v>795.2040447921313</v>
      </c>
      <c r="AW341" s="58">
        <f t="shared" si="660"/>
        <v>2012</v>
      </c>
      <c r="AX341" s="58">
        <f>COUNTIF(AW$3:AW341,AW341)</f>
        <v>46</v>
      </c>
    </row>
    <row r="342" spans="1:50" x14ac:dyDescent="0.25">
      <c r="A342" s="5">
        <v>40951</v>
      </c>
      <c r="B342">
        <v>1342.64</v>
      </c>
      <c r="C342">
        <v>0.09</v>
      </c>
      <c r="D342" s="6">
        <v>20.79</v>
      </c>
      <c r="E342" s="18">
        <f t="shared" si="673"/>
        <v>18.809999999999999</v>
      </c>
      <c r="F342">
        <f t="shared" si="674"/>
        <v>-1</v>
      </c>
      <c r="G342" s="18">
        <f>ROUND(INDEX(Valuation!U:U,MATCH(A342,Valuation!A:A,0)),2)</f>
        <v>238.13</v>
      </c>
      <c r="H342">
        <f t="shared" si="645"/>
        <v>3</v>
      </c>
      <c r="I342" s="18">
        <f>INDEX(WeeklyIndicators!Y:Y,MATCH(A342,WeeklyIndicators!A:A,0))</f>
        <v>129.49</v>
      </c>
      <c r="J342">
        <f t="shared" si="670"/>
        <v>0</v>
      </c>
      <c r="K342">
        <f>ROUND(INDEX(Economic!AF:AF,MATCH(EOMONTH($A342,-1),Economic!A:A,0)),2)</f>
        <v>89.92</v>
      </c>
      <c r="L342" s="11">
        <f t="shared" si="679"/>
        <v>-1</v>
      </c>
      <c r="M342">
        <f>ROUND(INDEX(Manufacturing!P:P,MATCH(EOMONTH($A342,-1),Manufacturing!A:A,0)),2)</f>
        <v>94.49</v>
      </c>
      <c r="N342">
        <f t="shared" si="675"/>
        <v>1</v>
      </c>
      <c r="O342">
        <f>ROUND(INDEX(Housing!AC:AC,MATCH(EOMONTH($A342,-1),Housing!B:B,0)),2)</f>
        <v>92.16</v>
      </c>
      <c r="P342">
        <f t="shared" si="676"/>
        <v>-1</v>
      </c>
      <c r="Q342">
        <f>ROUND(INDEX(Spending!AJ:AJ,MATCH(EOMONTH($A342,-1),Spending!B:B,0)),2)</f>
        <v>46.41</v>
      </c>
      <c r="R342">
        <f t="shared" si="680"/>
        <v>0</v>
      </c>
      <c r="S342">
        <f>ROUND(INDEX(Employment!V:V,MATCH(EOMONTH($A342,-1),Employment!A:A,0)),2)</f>
        <v>170.05</v>
      </c>
      <c r="T342" s="11">
        <f t="shared" si="677"/>
        <v>1</v>
      </c>
      <c r="U342">
        <f t="shared" si="669"/>
        <v>22</v>
      </c>
      <c r="V342">
        <f t="shared" si="661"/>
        <v>69.66</v>
      </c>
      <c r="W342" s="13">
        <f t="shared" si="662"/>
        <v>2.9100000000000001E-2</v>
      </c>
      <c r="X342" s="13">
        <f t="shared" si="663"/>
        <v>4.6500000000000007E-2</v>
      </c>
      <c r="Y342">
        <f t="shared" si="655"/>
        <v>83.94</v>
      </c>
      <c r="Z342" s="13">
        <f t="shared" si="650"/>
        <v>2.8899999999999999E-2</v>
      </c>
      <c r="AA342" s="13">
        <f t="shared" si="646"/>
        <v>5.3900000000000003E-2</v>
      </c>
      <c r="AB342" s="6">
        <f t="shared" si="656"/>
        <v>106.65300000000001</v>
      </c>
      <c r="AC342">
        <f t="shared" si="648"/>
        <v>53</v>
      </c>
      <c r="AD342" s="11">
        <f t="shared" si="649"/>
        <v>2</v>
      </c>
      <c r="AE342">
        <f t="shared" si="647"/>
        <v>26</v>
      </c>
      <c r="AF342">
        <f>IF(AND(AE342&lt;15,OR(AC342&gt;=30,AA342&gt;0.15,X342&gt;=0.15)),2,VLOOKUP(AE342,Table!P:Q,2,FALSE))</f>
        <v>4</v>
      </c>
      <c r="AG342" s="22">
        <f>IF((AB342*0.98)-(D342*0.8)+((AF342-3)*3)+VLOOKUP(AM342,Table!$A$11:$B$13,2,FALSE)&lt;0,0,(AB342*0.98)-(D342*0.8)+((AF342-3)*3)+VLOOKUP(AM342,Table!$A$11:$B$13,2,FALSE))</f>
        <v>98.88794</v>
      </c>
      <c r="AH342" s="22">
        <f t="shared" si="678"/>
        <v>96</v>
      </c>
      <c r="AI342" s="18">
        <f t="shared" si="671"/>
        <v>0.03</v>
      </c>
      <c r="AJ342" s="18">
        <f t="shared" si="672"/>
        <v>0.03</v>
      </c>
      <c r="AK342" t="str">
        <f t="shared" si="657"/>
        <v/>
      </c>
      <c r="AL342">
        <f t="shared" si="668"/>
        <v>25</v>
      </c>
      <c r="AM342" s="11" t="str">
        <f t="shared" si="658"/>
        <v>Stocks</v>
      </c>
      <c r="AN342" t="str">
        <f t="shared" si="664"/>
        <v>Buy</v>
      </c>
      <c r="AO342" s="13">
        <f t="shared" si="665"/>
        <v>1.38E-2</v>
      </c>
      <c r="AP342" s="13">
        <f t="shared" si="666"/>
        <v>0</v>
      </c>
      <c r="AQ342" s="13">
        <f t="shared" si="667"/>
        <v>1.32E-2</v>
      </c>
      <c r="AR342" s="13">
        <f t="shared" si="659"/>
        <v>1.38E-2</v>
      </c>
      <c r="AS342" s="6">
        <f t="shared" si="651"/>
        <v>334.43888897663402</v>
      </c>
      <c r="AT342" s="6">
        <f t="shared" si="652"/>
        <v>185.97425508967711</v>
      </c>
      <c r="AU342" s="6">
        <f t="shared" si="653"/>
        <v>544.95783341519007</v>
      </c>
      <c r="AV342" s="6">
        <f t="shared" si="654"/>
        <v>784.3796062262096</v>
      </c>
      <c r="AW342" s="58">
        <f t="shared" si="660"/>
        <v>2012</v>
      </c>
      <c r="AX342" s="58">
        <f>COUNTIF(AW$3:AW342,AW342)</f>
        <v>47</v>
      </c>
    </row>
    <row r="343" spans="1:50" x14ac:dyDescent="0.25">
      <c r="A343" s="5">
        <v>40944</v>
      </c>
      <c r="B343">
        <v>1344.9</v>
      </c>
      <c r="C343">
        <v>7.0000000000000007E-2</v>
      </c>
      <c r="D343" s="6">
        <v>17.100000000000001</v>
      </c>
      <c r="E343" s="18">
        <f t="shared" si="673"/>
        <v>17.97</v>
      </c>
      <c r="F343">
        <f t="shared" si="674"/>
        <v>0</v>
      </c>
      <c r="G343" s="18">
        <f>ROUND(INDEX(Valuation!U:U,MATCH(A343,Valuation!A:A,0)),2)</f>
        <v>234.82</v>
      </c>
      <c r="H343">
        <f t="shared" si="645"/>
        <v>3</v>
      </c>
      <c r="I343" s="18">
        <f>INDEX(WeeklyIndicators!Y:Y,MATCH(A343,WeeklyIndicators!A:A,0))</f>
        <v>114.36</v>
      </c>
      <c r="J343">
        <f t="shared" si="670"/>
        <v>-1</v>
      </c>
      <c r="K343">
        <f>ROUND(INDEX(Economic!AF:AF,MATCH(EOMONTH($A343,-1),Economic!A:A,0)),2)</f>
        <v>89.92</v>
      </c>
      <c r="L343" s="11">
        <f t="shared" si="679"/>
        <v>-1</v>
      </c>
      <c r="M343">
        <f>ROUND(INDEX(Manufacturing!P:P,MATCH(EOMONTH($A343,-1),Manufacturing!A:A,0)),2)</f>
        <v>94.49</v>
      </c>
      <c r="N343">
        <f t="shared" si="675"/>
        <v>1</v>
      </c>
      <c r="O343">
        <f>ROUND(INDEX(Housing!AC:AC,MATCH(EOMONTH($A343,-1),Housing!B:B,0)),2)</f>
        <v>92.16</v>
      </c>
      <c r="P343">
        <f t="shared" si="676"/>
        <v>-1</v>
      </c>
      <c r="Q343">
        <f>ROUND(INDEX(Spending!AJ:AJ,MATCH(EOMONTH($A343,-1),Spending!B:B,0)),2)</f>
        <v>46.41</v>
      </c>
      <c r="R343">
        <f t="shared" si="680"/>
        <v>0</v>
      </c>
      <c r="S343">
        <f>ROUND(INDEX(Employment!V:V,MATCH(EOMONTH($A343,-1),Employment!A:A,0)),2)</f>
        <v>170.05</v>
      </c>
      <c r="T343" s="11">
        <f t="shared" si="677"/>
        <v>1</v>
      </c>
      <c r="U343">
        <f t="shared" si="669"/>
        <v>22</v>
      </c>
      <c r="V343">
        <f t="shared" si="661"/>
        <v>68.09</v>
      </c>
      <c r="W343" s="13">
        <f t="shared" si="662"/>
        <v>1.95E-2</v>
      </c>
      <c r="X343" s="13">
        <f t="shared" si="663"/>
        <v>3.8599999999999995E-2</v>
      </c>
      <c r="Y343">
        <f t="shared" si="655"/>
        <v>82.3</v>
      </c>
      <c r="Z343" s="13">
        <f t="shared" si="650"/>
        <v>2.29E-2</v>
      </c>
      <c r="AA343" s="13">
        <f t="shared" si="646"/>
        <v>4.41E-2</v>
      </c>
      <c r="AB343" s="6">
        <f t="shared" si="656"/>
        <v>103.892</v>
      </c>
      <c r="AC343">
        <f t="shared" si="648"/>
        <v>52</v>
      </c>
      <c r="AD343" s="11">
        <f t="shared" si="649"/>
        <v>2</v>
      </c>
      <c r="AE343">
        <f t="shared" si="647"/>
        <v>26</v>
      </c>
      <c r="AF343">
        <f>IF(AND(AE343&lt;15,OR(AC343&gt;=30,AA343&gt;0.15,X343&gt;=0.15)),2,VLOOKUP(AE343,Table!P:Q,2,FALSE))</f>
        <v>4</v>
      </c>
      <c r="AG343" s="22">
        <f>IF((AB343*0.98)-(D343*0.8)+((AF343-3)*3)+VLOOKUP(AM343,Table!$A$11:$B$13,2,FALSE)&lt;0,0,(AB343*0.98)-(D343*0.8)+((AF343-3)*3)+VLOOKUP(AM343,Table!$A$11:$B$13,2,FALSE))</f>
        <v>99.134159999999994</v>
      </c>
      <c r="AH343" s="22">
        <f t="shared" si="678"/>
        <v>94</v>
      </c>
      <c r="AI343" s="18">
        <f t="shared" si="671"/>
        <v>0.02</v>
      </c>
      <c r="AJ343" s="18">
        <f t="shared" si="672"/>
        <v>0.03</v>
      </c>
      <c r="AK343" t="str">
        <f t="shared" si="657"/>
        <v/>
      </c>
      <c r="AL343">
        <f t="shared" si="668"/>
        <v>24.5</v>
      </c>
      <c r="AM343" s="11" t="str">
        <f t="shared" si="658"/>
        <v>Stocks</v>
      </c>
      <c r="AN343" t="str">
        <f t="shared" si="664"/>
        <v>Buy</v>
      </c>
      <c r="AO343" s="13">
        <f t="shared" si="665"/>
        <v>-1.6999999999999999E-3</v>
      </c>
      <c r="AP343" s="13">
        <f t="shared" si="666"/>
        <v>0</v>
      </c>
      <c r="AQ343" s="13">
        <f t="shared" si="667"/>
        <v>-1.6000000000000001E-3</v>
      </c>
      <c r="AR343" s="13">
        <f t="shared" si="659"/>
        <v>-1.6999999999999999E-3</v>
      </c>
      <c r="AS343" s="6">
        <f t="shared" si="651"/>
        <v>335.00840326217974</v>
      </c>
      <c r="AT343" s="6">
        <f t="shared" si="652"/>
        <v>185.97425508967711</v>
      </c>
      <c r="AU343" s="6">
        <f t="shared" si="653"/>
        <v>545.83116327643233</v>
      </c>
      <c r="AV343" s="6">
        <f t="shared" si="654"/>
        <v>785.71532227407556</v>
      </c>
      <c r="AW343" s="58">
        <f t="shared" si="660"/>
        <v>2012</v>
      </c>
      <c r="AX343" s="58">
        <f>COUNTIF(AW$3:AW343,AW343)</f>
        <v>48</v>
      </c>
    </row>
    <row r="344" spans="1:50" x14ac:dyDescent="0.25">
      <c r="A344" s="5">
        <v>40937</v>
      </c>
      <c r="B344">
        <v>1316.33</v>
      </c>
      <c r="C344">
        <v>0.05</v>
      </c>
      <c r="D344" s="6">
        <v>18.53</v>
      </c>
      <c r="E344" s="18">
        <f t="shared" si="673"/>
        <v>19.239999999999998</v>
      </c>
      <c r="F344">
        <f t="shared" si="674"/>
        <v>-1</v>
      </c>
      <c r="G344" s="18">
        <f>ROUND(INDEX(Valuation!U:U,MATCH(A344,Valuation!A:A,0)),2)</f>
        <v>231.92</v>
      </c>
      <c r="H344">
        <f t="shared" si="645"/>
        <v>3</v>
      </c>
      <c r="I344" s="18">
        <f>INDEX(WeeklyIndicators!Y:Y,MATCH(A344,WeeklyIndicators!A:A,0))</f>
        <v>107.49</v>
      </c>
      <c r="J344">
        <f t="shared" si="670"/>
        <v>-1</v>
      </c>
      <c r="K344">
        <f>ROUND(INDEX(Economic!AF:AF,MATCH(EOMONTH($A344,-1),Economic!A:A,0)),2)</f>
        <v>72.459999999999994</v>
      </c>
      <c r="L344" s="11">
        <f t="shared" si="679"/>
        <v>-2</v>
      </c>
      <c r="M344">
        <f>ROUND(INDEX(Manufacturing!P:P,MATCH(EOMONTH($A344,-1),Manufacturing!A:A,0)),2)</f>
        <v>92.08</v>
      </c>
      <c r="N344">
        <f t="shared" si="675"/>
        <v>1</v>
      </c>
      <c r="O344">
        <f>ROUND(INDEX(Housing!AC:AC,MATCH(EOMONTH($A344,-1),Housing!B:B,0)),2)</f>
        <v>89.82</v>
      </c>
      <c r="P344">
        <f t="shared" si="676"/>
        <v>-1</v>
      </c>
      <c r="Q344">
        <f>ROUND(INDEX(Spending!AJ:AJ,MATCH(EOMONTH($A344,-1),Spending!B:B,0)),2)</f>
        <v>48.26</v>
      </c>
      <c r="R344">
        <f t="shared" si="680"/>
        <v>0</v>
      </c>
      <c r="S344">
        <f>ROUND(INDEX(Employment!V:V,MATCH(EOMONTH($A344,-1),Employment!A:A,0)),2)</f>
        <v>161.71</v>
      </c>
      <c r="T344" s="11">
        <f t="shared" si="677"/>
        <v>1</v>
      </c>
      <c r="U344">
        <f t="shared" si="669"/>
        <v>20</v>
      </c>
      <c r="V344">
        <f t="shared" si="661"/>
        <v>63.87</v>
      </c>
      <c r="W344" s="13">
        <f t="shared" si="662"/>
        <v>-2.5999999999999999E-3</v>
      </c>
      <c r="X344" s="13">
        <f t="shared" si="663"/>
        <v>4.4899999999999995E-2</v>
      </c>
      <c r="Y344">
        <f t="shared" si="655"/>
        <v>77.31</v>
      </c>
      <c r="Z344" s="13">
        <f t="shared" si="650"/>
        <v>1E-4</v>
      </c>
      <c r="AA344" s="13">
        <f t="shared" si="646"/>
        <v>4.87E-2</v>
      </c>
      <c r="AB344" s="6">
        <f t="shared" si="656"/>
        <v>98.842000000000013</v>
      </c>
      <c r="AC344">
        <f t="shared" si="648"/>
        <v>49</v>
      </c>
      <c r="AD344" s="11">
        <f t="shared" si="649"/>
        <v>2</v>
      </c>
      <c r="AE344">
        <f t="shared" si="647"/>
        <v>24</v>
      </c>
      <c r="AF344">
        <f>IF(AND(AE344&lt;15,OR(AC344&gt;=30,AA344&gt;0.15,X344&gt;=0.15)),2,VLOOKUP(AE344,Table!P:Q,2,FALSE))</f>
        <v>3</v>
      </c>
      <c r="AG344" s="22">
        <f>IF((AB344*0.98)-(D344*0.8)+((AF344-3)*3)+VLOOKUP(AM344,Table!$A$11:$B$13,2,FALSE)&lt;0,0,(AB344*0.98)-(D344*0.8)+((AF344-3)*3)+VLOOKUP(AM344,Table!$A$11:$B$13,2,FALSE))</f>
        <v>90.041160000000019</v>
      </c>
      <c r="AH344" s="22">
        <f t="shared" si="678"/>
        <v>91</v>
      </c>
      <c r="AI344" s="18">
        <f t="shared" si="671"/>
        <v>0.02</v>
      </c>
      <c r="AJ344" s="18">
        <f t="shared" si="672"/>
        <v>0.03</v>
      </c>
      <c r="AK344" t="str">
        <f t="shared" si="657"/>
        <v/>
      </c>
      <c r="AL344">
        <f t="shared" si="668"/>
        <v>24</v>
      </c>
      <c r="AM344" s="11" t="str">
        <f t="shared" si="658"/>
        <v>Stocks</v>
      </c>
      <c r="AN344" t="str">
        <f t="shared" si="664"/>
        <v>Buy</v>
      </c>
      <c r="AO344" s="13">
        <f t="shared" si="665"/>
        <v>2.1700000000000001E-2</v>
      </c>
      <c r="AP344" s="13">
        <f t="shared" si="666"/>
        <v>0</v>
      </c>
      <c r="AQ344" s="13">
        <f t="shared" si="667"/>
        <v>1.9699999999999999E-2</v>
      </c>
      <c r="AR344" s="13">
        <f t="shared" si="659"/>
        <v>2.1700000000000001E-2</v>
      </c>
      <c r="AS344" s="6">
        <f t="shared" si="651"/>
        <v>327.89312250384626</v>
      </c>
      <c r="AT344" s="6">
        <f t="shared" si="652"/>
        <v>185.97425508967711</v>
      </c>
      <c r="AU344" s="6">
        <f t="shared" si="653"/>
        <v>535.28602851469282</v>
      </c>
      <c r="AV344" s="6">
        <f t="shared" si="654"/>
        <v>769.02742710587802</v>
      </c>
      <c r="AW344" s="58">
        <f t="shared" si="660"/>
        <v>2012</v>
      </c>
      <c r="AX344" s="58">
        <f>COUNTIF(AW$3:AW344,AW344)</f>
        <v>49</v>
      </c>
    </row>
    <row r="345" spans="1:50" x14ac:dyDescent="0.25">
      <c r="A345" s="5">
        <v>40930</v>
      </c>
      <c r="B345">
        <v>1315.38</v>
      </c>
      <c r="C345">
        <v>0.04</v>
      </c>
      <c r="D345" s="6">
        <v>18.28</v>
      </c>
      <c r="E345" s="18">
        <f t="shared" si="673"/>
        <v>19.940000000000001</v>
      </c>
      <c r="F345">
        <f t="shared" si="674"/>
        <v>-1</v>
      </c>
      <c r="G345" s="18">
        <f>ROUND(INDEX(Valuation!U:U,MATCH(A345,Valuation!A:A,0)),2)</f>
        <v>231.39</v>
      </c>
      <c r="H345">
        <f t="shared" si="645"/>
        <v>3</v>
      </c>
      <c r="I345" s="18">
        <f>INDEX(WeeklyIndicators!Y:Y,MATCH(A345,WeeklyIndicators!A:A,0))</f>
        <v>108.38</v>
      </c>
      <c r="J345">
        <f t="shared" si="670"/>
        <v>-1</v>
      </c>
      <c r="K345">
        <f>ROUND(INDEX(Economic!AF:AF,MATCH(EOMONTH($A345,-1),Economic!A:A,0)),2)</f>
        <v>72.459999999999994</v>
      </c>
      <c r="L345" s="11">
        <f t="shared" si="679"/>
        <v>-2</v>
      </c>
      <c r="M345">
        <f>ROUND(INDEX(Manufacturing!P:P,MATCH(EOMONTH($A345,-1),Manufacturing!A:A,0)),2)</f>
        <v>92.08</v>
      </c>
      <c r="N345">
        <f t="shared" si="675"/>
        <v>1</v>
      </c>
      <c r="O345">
        <f>ROUND(INDEX(Housing!AC:AC,MATCH(EOMONTH($A345,-1),Housing!B:B,0)),2)</f>
        <v>89.82</v>
      </c>
      <c r="P345">
        <f t="shared" si="676"/>
        <v>-1</v>
      </c>
      <c r="Q345">
        <f>ROUND(INDEX(Spending!AJ:AJ,MATCH(EOMONTH($A345,-1),Spending!B:B,0)),2)</f>
        <v>48.26</v>
      </c>
      <c r="R345">
        <f t="shared" si="680"/>
        <v>0</v>
      </c>
      <c r="S345">
        <f>ROUND(INDEX(Employment!V:V,MATCH(EOMONTH($A345,-1),Employment!A:A,0)),2)</f>
        <v>161.71</v>
      </c>
      <c r="T345" s="11">
        <f t="shared" si="677"/>
        <v>1</v>
      </c>
      <c r="U345">
        <f t="shared" si="669"/>
        <v>20</v>
      </c>
      <c r="V345">
        <f t="shared" si="661"/>
        <v>63.96</v>
      </c>
      <c r="W345" s="13">
        <f t="shared" si="662"/>
        <v>5.0000000000000001E-4</v>
      </c>
      <c r="X345" s="13">
        <f t="shared" si="663"/>
        <v>7.2899999999999993E-2</v>
      </c>
      <c r="Y345">
        <f t="shared" si="655"/>
        <v>77.099999999999994</v>
      </c>
      <c r="Z345" s="13">
        <f t="shared" si="650"/>
        <v>2E-3</v>
      </c>
      <c r="AA345" s="13">
        <f t="shared" si="646"/>
        <v>8.0699999999999994E-2</v>
      </c>
      <c r="AB345" s="6">
        <f t="shared" si="656"/>
        <v>101.009</v>
      </c>
      <c r="AC345">
        <f t="shared" si="648"/>
        <v>51</v>
      </c>
      <c r="AD345" s="11">
        <f t="shared" si="649"/>
        <v>2</v>
      </c>
      <c r="AE345">
        <f t="shared" si="647"/>
        <v>24</v>
      </c>
      <c r="AF345">
        <f>IF(AND(AE345&lt;15,OR(AC345&gt;=30,AA345&gt;0.15,X345&gt;=0.15)),2,VLOOKUP(AE345,Table!P:Q,2,FALSE))</f>
        <v>3</v>
      </c>
      <c r="AG345" s="22">
        <f>IF((AB345*0.98)-(D345*0.8)+((AF345-3)*3)+VLOOKUP(AM345,Table!$A$11:$B$13,2,FALSE)&lt;0,0,(AB345*0.98)-(D345*0.8)+((AF345-3)*3)+VLOOKUP(AM345,Table!$A$11:$B$13,2,FALSE))</f>
        <v>92.364820000000009</v>
      </c>
      <c r="AH345" s="22">
        <f t="shared" si="678"/>
        <v>92</v>
      </c>
      <c r="AI345" s="18">
        <f t="shared" si="671"/>
        <v>0.02</v>
      </c>
      <c r="AJ345" s="18">
        <f t="shared" si="672"/>
        <v>0.03</v>
      </c>
      <c r="AK345" t="str">
        <f t="shared" si="657"/>
        <v/>
      </c>
      <c r="AL345">
        <f t="shared" si="668"/>
        <v>24</v>
      </c>
      <c r="AM345" s="11" t="str">
        <f t="shared" si="658"/>
        <v>Stocks</v>
      </c>
      <c r="AN345" t="str">
        <f t="shared" si="664"/>
        <v>Buy</v>
      </c>
      <c r="AO345" s="13">
        <f t="shared" si="665"/>
        <v>6.9999999999999999E-4</v>
      </c>
      <c r="AP345" s="13">
        <f t="shared" si="666"/>
        <v>0</v>
      </c>
      <c r="AQ345" s="13">
        <f t="shared" si="667"/>
        <v>5.9999999999999995E-4</v>
      </c>
      <c r="AR345" s="13">
        <f t="shared" si="659"/>
        <v>6.9999999999999999E-4</v>
      </c>
      <c r="AS345" s="6">
        <f t="shared" si="651"/>
        <v>327.66375787333493</v>
      </c>
      <c r="AT345" s="6">
        <f t="shared" si="652"/>
        <v>185.97425508967711</v>
      </c>
      <c r="AU345" s="6">
        <f t="shared" si="653"/>
        <v>534.96504948500183</v>
      </c>
      <c r="AV345" s="6">
        <f t="shared" si="654"/>
        <v>768.48948446675138</v>
      </c>
      <c r="AW345" s="58">
        <f t="shared" si="660"/>
        <v>2012</v>
      </c>
      <c r="AX345" s="58">
        <f>COUNTIF(AW$3:AW345,AW345)</f>
        <v>50</v>
      </c>
    </row>
    <row r="346" spans="1:50" x14ac:dyDescent="0.25">
      <c r="A346" s="5">
        <v>40923</v>
      </c>
      <c r="B346">
        <v>1289.0899999999999</v>
      </c>
      <c r="C346">
        <v>0.02</v>
      </c>
      <c r="D346" s="6">
        <v>20.91</v>
      </c>
      <c r="E346" s="18">
        <f t="shared" si="673"/>
        <v>21.65</v>
      </c>
      <c r="F346">
        <f t="shared" si="674"/>
        <v>-1</v>
      </c>
      <c r="G346" s="18">
        <f>ROUND(INDEX(Valuation!U:U,MATCH(A346,Valuation!A:A,0)),2)</f>
        <v>232.48</v>
      </c>
      <c r="H346">
        <f t="shared" si="645"/>
        <v>3</v>
      </c>
      <c r="I346" s="18">
        <f>INDEX(WeeklyIndicators!Y:Y,MATCH(A346,WeeklyIndicators!A:A,0))</f>
        <v>112</v>
      </c>
      <c r="J346">
        <f t="shared" si="670"/>
        <v>-1</v>
      </c>
      <c r="K346">
        <f>ROUND(INDEX(Economic!AF:AF,MATCH(EOMONTH($A346,-1),Economic!A:A,0)),2)</f>
        <v>72.459999999999994</v>
      </c>
      <c r="L346" s="11">
        <f t="shared" si="679"/>
        <v>-2</v>
      </c>
      <c r="M346">
        <f>ROUND(INDEX(Manufacturing!P:P,MATCH(EOMONTH($A346,-1),Manufacturing!A:A,0)),2)</f>
        <v>92.08</v>
      </c>
      <c r="N346">
        <f t="shared" si="675"/>
        <v>1</v>
      </c>
      <c r="O346">
        <f>ROUND(INDEX(Housing!AC:AC,MATCH(EOMONTH($A346,-1),Housing!B:B,0)),2)</f>
        <v>89.82</v>
      </c>
      <c r="P346">
        <f t="shared" si="676"/>
        <v>-1</v>
      </c>
      <c r="Q346">
        <f>ROUND(INDEX(Spending!AJ:AJ,MATCH(EOMONTH($A346,-1),Spending!B:B,0)),2)</f>
        <v>48.26</v>
      </c>
      <c r="R346">
        <f t="shared" si="680"/>
        <v>0</v>
      </c>
      <c r="S346">
        <f>ROUND(INDEX(Employment!V:V,MATCH(EOMONTH($A346,-1),Employment!A:A,0)),2)</f>
        <v>161.71</v>
      </c>
      <c r="T346" s="11">
        <f t="shared" si="677"/>
        <v>1</v>
      </c>
      <c r="U346">
        <f t="shared" si="669"/>
        <v>20</v>
      </c>
      <c r="V346">
        <f t="shared" si="661"/>
        <v>64.34</v>
      </c>
      <c r="W346" s="13">
        <f t="shared" si="662"/>
        <v>2.12E-2</v>
      </c>
      <c r="X346" s="13">
        <f t="shared" si="663"/>
        <v>7.6999999999999985E-2</v>
      </c>
      <c r="Y346">
        <f t="shared" si="655"/>
        <v>77</v>
      </c>
      <c r="Z346" s="13">
        <f t="shared" si="650"/>
        <v>1.9099999999999999E-2</v>
      </c>
      <c r="AA346" s="13">
        <f t="shared" si="646"/>
        <v>9.2799999999999994E-2</v>
      </c>
      <c r="AB346" s="6">
        <f t="shared" si="656"/>
        <v>101.878</v>
      </c>
      <c r="AC346">
        <f t="shared" si="648"/>
        <v>51</v>
      </c>
      <c r="AD346" s="11">
        <f t="shared" si="649"/>
        <v>2</v>
      </c>
      <c r="AE346">
        <f t="shared" si="647"/>
        <v>24</v>
      </c>
      <c r="AF346">
        <f>IF(AND(AE346&lt;15,OR(AC346&gt;=30,AA346&gt;0.15,X346&gt;=0.15)),2,VLOOKUP(AE346,Table!P:Q,2,FALSE))</f>
        <v>3</v>
      </c>
      <c r="AG346" s="22">
        <f>IF((AB346*0.98)-(D346*0.8)+((AF346-3)*3)+VLOOKUP(AM346,Table!$A$11:$B$13,2,FALSE)&lt;0,0,(AB346*0.98)-(D346*0.8)+((AF346-3)*3)+VLOOKUP(AM346,Table!$A$11:$B$13,2,FALSE))</f>
        <v>91.112439999999992</v>
      </c>
      <c r="AH346" s="22">
        <f t="shared" si="678"/>
        <v>90</v>
      </c>
      <c r="AI346" s="18">
        <f t="shared" si="671"/>
        <v>0.02</v>
      </c>
      <c r="AJ346" s="18">
        <f t="shared" si="672"/>
        <v>0.03</v>
      </c>
      <c r="AK346" t="str">
        <f t="shared" si="657"/>
        <v/>
      </c>
      <c r="AL346">
        <f t="shared" si="668"/>
        <v>23.5</v>
      </c>
      <c r="AM346" s="11" t="str">
        <f t="shared" si="658"/>
        <v>Stocks</v>
      </c>
      <c r="AN346" t="str">
        <f t="shared" si="664"/>
        <v>Buy</v>
      </c>
      <c r="AO346" s="13">
        <f t="shared" si="665"/>
        <v>2.0400000000000001E-2</v>
      </c>
      <c r="AP346" s="13">
        <f t="shared" si="666"/>
        <v>0</v>
      </c>
      <c r="AQ346" s="13">
        <f t="shared" si="667"/>
        <v>1.84E-2</v>
      </c>
      <c r="AR346" s="13">
        <f t="shared" si="659"/>
        <v>2.0400000000000001E-2</v>
      </c>
      <c r="AS346" s="6">
        <f t="shared" si="651"/>
        <v>321.11305162028123</v>
      </c>
      <c r="AT346" s="6">
        <f t="shared" si="652"/>
        <v>185.97425508967711</v>
      </c>
      <c r="AU346" s="6">
        <f t="shared" si="653"/>
        <v>525.29953798605834</v>
      </c>
      <c r="AV346" s="6">
        <f t="shared" si="654"/>
        <v>753.12571978317465</v>
      </c>
      <c r="AW346" s="58">
        <f t="shared" si="660"/>
        <v>2012</v>
      </c>
      <c r="AX346" s="58">
        <f>COUNTIF(AW$3:AW346,AW346)</f>
        <v>51</v>
      </c>
    </row>
    <row r="347" spans="1:50" x14ac:dyDescent="0.25">
      <c r="A347" s="5">
        <v>40916</v>
      </c>
      <c r="B347">
        <v>1277.81</v>
      </c>
      <c r="C347">
        <v>0.02</v>
      </c>
      <c r="D347" s="6">
        <v>20.63</v>
      </c>
      <c r="E347" s="18">
        <f t="shared" si="673"/>
        <v>21.59</v>
      </c>
      <c r="F347">
        <f t="shared" si="674"/>
        <v>-1</v>
      </c>
      <c r="G347" s="18">
        <f>ROUND(INDEX(Valuation!U:U,MATCH(A347,Valuation!A:A,0)),2)</f>
        <v>234.38</v>
      </c>
      <c r="H347">
        <f t="shared" si="645"/>
        <v>3</v>
      </c>
      <c r="I347" s="18">
        <f>INDEX(WeeklyIndicators!Y:Y,MATCH(A347,WeeklyIndicators!A:A,0))</f>
        <v>112.42</v>
      </c>
      <c r="J347">
        <f t="shared" si="670"/>
        <v>-1</v>
      </c>
      <c r="K347">
        <f>ROUND(INDEX(Economic!AF:AF,MATCH(EOMONTH($A347,-1),Economic!A:A,0)),2)</f>
        <v>72.459999999999994</v>
      </c>
      <c r="L347" s="11">
        <f t="shared" si="679"/>
        <v>-2</v>
      </c>
      <c r="M347">
        <f>ROUND(INDEX(Manufacturing!P:P,MATCH(EOMONTH($A347,-1),Manufacturing!A:A,0)),2)</f>
        <v>92.08</v>
      </c>
      <c r="N347">
        <f t="shared" si="675"/>
        <v>1</v>
      </c>
      <c r="O347">
        <f>ROUND(INDEX(Housing!AC:AC,MATCH(EOMONTH($A347,-1),Housing!B:B,0)),2)</f>
        <v>89.82</v>
      </c>
      <c r="P347">
        <f t="shared" si="676"/>
        <v>-1</v>
      </c>
      <c r="Q347">
        <f>ROUND(INDEX(Spending!AJ:AJ,MATCH(EOMONTH($A347,-1),Spending!B:B,0)),2)</f>
        <v>48.26</v>
      </c>
      <c r="R347">
        <f t="shared" si="680"/>
        <v>0</v>
      </c>
      <c r="S347">
        <f>ROUND(INDEX(Employment!V:V,MATCH(EOMONTH($A347,-1),Employment!A:A,0)),2)</f>
        <v>161.71</v>
      </c>
      <c r="T347" s="11">
        <f t="shared" si="677"/>
        <v>1</v>
      </c>
      <c r="U347">
        <f t="shared" si="669"/>
        <v>20</v>
      </c>
      <c r="V347">
        <f t="shared" si="661"/>
        <v>64.38</v>
      </c>
      <c r="W347" s="13">
        <f t="shared" si="662"/>
        <v>2.58E-2</v>
      </c>
      <c r="X347" s="13">
        <f t="shared" si="663"/>
        <v>6.2499999999999993E-2</v>
      </c>
      <c r="Y347">
        <f t="shared" si="655"/>
        <v>77.28</v>
      </c>
      <c r="Z347" s="13">
        <f t="shared" si="650"/>
        <v>2.75E-2</v>
      </c>
      <c r="AA347" s="13">
        <f t="shared" si="646"/>
        <v>8.6400000000000005E-2</v>
      </c>
      <c r="AB347" s="6">
        <f t="shared" si="656"/>
        <v>101.77800000000001</v>
      </c>
      <c r="AC347">
        <f t="shared" si="648"/>
        <v>51</v>
      </c>
      <c r="AD347" s="11">
        <f t="shared" si="649"/>
        <v>2</v>
      </c>
      <c r="AE347">
        <f t="shared" si="647"/>
        <v>24</v>
      </c>
      <c r="AF347">
        <f>IF(AND(AE347&lt;15,OR(AC347&gt;=30,AA347&gt;0.15,X347&gt;=0.15)),2,VLOOKUP(AE347,Table!P:Q,2,FALSE))</f>
        <v>3</v>
      </c>
      <c r="AG347" s="22">
        <f>IF((AB347*0.98)-(D347*0.8)+((AF347-3)*3)+VLOOKUP(AM347,Table!$A$11:$B$13,2,FALSE)&lt;0,0,(AB347*0.98)-(D347*0.8)+((AF347-3)*3)+VLOOKUP(AM347,Table!$A$11:$B$13,2,FALSE))</f>
        <v>91.238439999999997</v>
      </c>
      <c r="AH347" s="22">
        <f t="shared" si="678"/>
        <v>87</v>
      </c>
      <c r="AI347" s="18">
        <f t="shared" si="671"/>
        <v>0.02</v>
      </c>
      <c r="AJ347" s="18">
        <f t="shared" si="672"/>
        <v>0.03</v>
      </c>
      <c r="AK347" t="str">
        <f t="shared" si="657"/>
        <v/>
      </c>
      <c r="AL347">
        <f t="shared" si="668"/>
        <v>22.5</v>
      </c>
      <c r="AM347" s="11" t="str">
        <f t="shared" si="658"/>
        <v>Stocks</v>
      </c>
      <c r="AN347" t="str">
        <f t="shared" si="664"/>
        <v>Buy</v>
      </c>
      <c r="AO347" s="13">
        <f t="shared" si="665"/>
        <v>8.8000000000000005E-3</v>
      </c>
      <c r="AP347" s="13">
        <f t="shared" si="666"/>
        <v>0</v>
      </c>
      <c r="AQ347" s="13">
        <f t="shared" si="667"/>
        <v>7.7000000000000002E-3</v>
      </c>
      <c r="AR347" s="13">
        <f t="shared" si="659"/>
        <v>8.8000000000000005E-3</v>
      </c>
      <c r="AS347" s="6">
        <f t="shared" si="651"/>
        <v>318.31190684008845</v>
      </c>
      <c r="AT347" s="6">
        <f t="shared" si="652"/>
        <v>185.97425508967711</v>
      </c>
      <c r="AU347" s="6">
        <f t="shared" si="653"/>
        <v>521.28563856907647</v>
      </c>
      <c r="AV347" s="6">
        <f t="shared" si="654"/>
        <v>746.55602674779414</v>
      </c>
      <c r="AW347" s="58">
        <f t="shared" si="660"/>
        <v>2012</v>
      </c>
      <c r="AX347" s="58">
        <f>COUNTIF(AW$3:AW347,AW347)</f>
        <v>52</v>
      </c>
    </row>
    <row r="348" spans="1:50" x14ac:dyDescent="0.25">
      <c r="A348" s="5">
        <v>40909</v>
      </c>
      <c r="B348">
        <v>1257.5999999999999</v>
      </c>
      <c r="C348">
        <v>0.02</v>
      </c>
      <c r="D348" s="6">
        <v>23.4</v>
      </c>
      <c r="E348" s="18">
        <f t="shared" si="673"/>
        <v>22.81</v>
      </c>
      <c r="F348">
        <f t="shared" si="674"/>
        <v>-1</v>
      </c>
      <c r="G348" s="18">
        <f>ROUND(INDEX(Valuation!U:U,MATCH(A348,Valuation!A:A,0)),2)</f>
        <v>237.11</v>
      </c>
      <c r="H348">
        <f t="shared" ref="H348:H411" si="681">IF(G348&gt;200,3,IF(AND(G348&gt;160,G348&lt;=200),2,IF(AND(G348&gt;120,G348&lt;=160),1,IF(G348&lt;25,-3,IF(AND(G348&lt;50,G348&gt;=25),-2,IF(AND(G348&lt;90,G348&gt;=50),-1,0))))))</f>
        <v>3</v>
      </c>
      <c r="I348" s="18">
        <f>INDEX(WeeklyIndicators!Y:Y,MATCH(A348,WeeklyIndicators!A:A,0))</f>
        <v>107.44</v>
      </c>
      <c r="J348">
        <f t="shared" si="670"/>
        <v>-1</v>
      </c>
      <c r="K348">
        <f>ROUND(INDEX(Economic!AF:AF,MATCH(EOMONTH($A348,-1),Economic!A:A,0)),2)</f>
        <v>72.459999999999994</v>
      </c>
      <c r="L348" s="11">
        <f t="shared" si="679"/>
        <v>-2</v>
      </c>
      <c r="M348">
        <f>ROUND(INDEX(Manufacturing!P:P,MATCH(EOMONTH($A348,-1),Manufacturing!A:A,0)),2)</f>
        <v>92.08</v>
      </c>
      <c r="N348">
        <f t="shared" si="675"/>
        <v>1</v>
      </c>
      <c r="O348">
        <f>ROUND(INDEX(Housing!AC:AC,MATCH(EOMONTH($A348,-1),Housing!B:B,0)),2)</f>
        <v>89.82</v>
      </c>
      <c r="P348">
        <f t="shared" si="676"/>
        <v>-1</v>
      </c>
      <c r="Q348">
        <f>ROUND(INDEX(Spending!AJ:AJ,MATCH(EOMONTH($A348,-1),Spending!B:B,0)),2)</f>
        <v>48.26</v>
      </c>
      <c r="R348">
        <f t="shared" si="680"/>
        <v>0</v>
      </c>
      <c r="S348">
        <f>ROUND(INDEX(Employment!V:V,MATCH(EOMONTH($A348,-1),Employment!A:A,0)),2)</f>
        <v>161.71</v>
      </c>
      <c r="T348" s="11">
        <f t="shared" si="677"/>
        <v>1</v>
      </c>
      <c r="U348">
        <f t="shared" si="669"/>
        <v>20</v>
      </c>
      <c r="V348">
        <f t="shared" si="661"/>
        <v>63.87</v>
      </c>
      <c r="W348" s="13">
        <f t="shared" si="662"/>
        <v>2.5399999999999999E-2</v>
      </c>
      <c r="X348" s="13">
        <f t="shared" si="663"/>
        <v>3.7699999999999997E-2</v>
      </c>
      <c r="Y348">
        <f t="shared" si="655"/>
        <v>76.64</v>
      </c>
      <c r="Z348" s="13">
        <f t="shared" si="650"/>
        <v>3.2099999999999997E-2</v>
      </c>
      <c r="AA348" s="13">
        <f t="shared" si="646"/>
        <v>5.8099999999999992E-2</v>
      </c>
      <c r="AB348" s="6">
        <f t="shared" si="656"/>
        <v>99.251000000000005</v>
      </c>
      <c r="AC348">
        <f t="shared" si="648"/>
        <v>50</v>
      </c>
      <c r="AD348" s="11">
        <f t="shared" si="649"/>
        <v>2</v>
      </c>
      <c r="AE348">
        <f t="shared" si="647"/>
        <v>24</v>
      </c>
      <c r="AF348">
        <f>IF(AND(AE348&lt;15,OR(AC348&gt;=30,AA348&gt;0.15,X348&gt;=0.15)),2,VLOOKUP(AE348,Table!P:Q,2,FALSE))</f>
        <v>3</v>
      </c>
      <c r="AG348" s="22">
        <f>IF((AB348*0.98)-(D348*0.8)+((AF348-3)*3)+VLOOKUP(AM348,Table!$A$11:$B$13,2,FALSE)&lt;0,0,(AB348*0.98)-(D348*0.8)+((AF348-3)*3)+VLOOKUP(AM348,Table!$A$11:$B$13,2,FALSE))</f>
        <v>86.54598</v>
      </c>
      <c r="AH348" s="22">
        <f t="shared" si="678"/>
        <v>81</v>
      </c>
      <c r="AI348" s="18">
        <f t="shared" si="671"/>
        <v>0.02</v>
      </c>
      <c r="AJ348" s="18">
        <f t="shared" si="672"/>
        <v>0.03</v>
      </c>
      <c r="AK348" t="str">
        <f t="shared" si="657"/>
        <v/>
      </c>
      <c r="AL348">
        <f t="shared" si="668"/>
        <v>21.5</v>
      </c>
      <c r="AM348" s="11" t="str">
        <f t="shared" si="658"/>
        <v>Stocks</v>
      </c>
      <c r="AN348" t="str">
        <f t="shared" si="664"/>
        <v>Buy</v>
      </c>
      <c r="AO348" s="13">
        <f t="shared" si="665"/>
        <v>1.61E-2</v>
      </c>
      <c r="AP348" s="13">
        <f t="shared" si="666"/>
        <v>0</v>
      </c>
      <c r="AQ348" s="13">
        <f t="shared" si="667"/>
        <v>1.2999999999999999E-2</v>
      </c>
      <c r="AR348" s="13">
        <f t="shared" si="659"/>
        <v>1.61E-2</v>
      </c>
      <c r="AS348" s="6">
        <f t="shared" si="651"/>
        <v>313.26828741274329</v>
      </c>
      <c r="AT348" s="6">
        <f t="shared" si="652"/>
        <v>185.97425508967711</v>
      </c>
      <c r="AU348" s="6">
        <f t="shared" si="653"/>
        <v>514.595891973422</v>
      </c>
      <c r="AV348" s="6">
        <f t="shared" si="654"/>
        <v>734.72692328293886</v>
      </c>
      <c r="AW348" s="58">
        <f t="shared" si="660"/>
        <v>2012</v>
      </c>
      <c r="AX348" s="58">
        <f>COUNTIF(AW$3:AW348,AW348)</f>
        <v>53</v>
      </c>
    </row>
    <row r="349" spans="1:50" x14ac:dyDescent="0.25">
      <c r="A349" s="5">
        <v>40902</v>
      </c>
      <c r="B349">
        <v>1265.33</v>
      </c>
      <c r="C349">
        <v>0.01</v>
      </c>
      <c r="D349" s="6">
        <v>20.73</v>
      </c>
      <c r="E349" s="18">
        <f t="shared" si="673"/>
        <v>23.8</v>
      </c>
      <c r="F349">
        <f t="shared" si="674"/>
        <v>-1</v>
      </c>
      <c r="G349" s="18">
        <f>ROUND(INDEX(Valuation!U:U,MATCH(A349,Valuation!A:A,0)),2)</f>
        <v>236.34</v>
      </c>
      <c r="H349">
        <f t="shared" si="681"/>
        <v>3</v>
      </c>
      <c r="I349" s="18">
        <f>INDEX(WeeklyIndicators!Y:Y,MATCH(A349,WeeklyIndicators!A:A,0))</f>
        <v>100.18</v>
      </c>
      <c r="J349">
        <f t="shared" si="670"/>
        <v>-1</v>
      </c>
      <c r="K349">
        <f>ROUND(INDEX(Economic!AF:AF,MATCH(EOMONTH($A349,-1),Economic!A:A,0)),2)</f>
        <v>61.3</v>
      </c>
      <c r="L349" s="11">
        <f t="shared" si="679"/>
        <v>-2</v>
      </c>
      <c r="M349">
        <f>ROUND(INDEX(Manufacturing!P:P,MATCH(EOMONTH($A349,-1),Manufacturing!A:A,0)),2)</f>
        <v>88.89</v>
      </c>
      <c r="N349">
        <f t="shared" si="675"/>
        <v>0</v>
      </c>
      <c r="O349">
        <f>ROUND(INDEX(Housing!AC:AC,MATCH(EOMONTH($A349,-1),Housing!B:B,0)),2)</f>
        <v>86.28</v>
      </c>
      <c r="P349">
        <f t="shared" si="676"/>
        <v>-1</v>
      </c>
      <c r="Q349">
        <f>ROUND(INDEX(Spending!AJ:AJ,MATCH(EOMONTH($A349,-1),Spending!B:B,0)),2)</f>
        <v>50.78</v>
      </c>
      <c r="R349">
        <f t="shared" si="680"/>
        <v>1</v>
      </c>
      <c r="S349">
        <f>ROUND(INDEX(Employment!V:V,MATCH(EOMONTH($A349,-1),Employment!A:A,0)),2)</f>
        <v>153.11000000000001</v>
      </c>
      <c r="T349" s="11">
        <f t="shared" si="677"/>
        <v>0</v>
      </c>
      <c r="U349">
        <f t="shared" si="669"/>
        <v>19</v>
      </c>
      <c r="V349">
        <f t="shared" si="661"/>
        <v>60.34</v>
      </c>
      <c r="W349" s="13">
        <f t="shared" si="662"/>
        <v>4.5999999999999999E-3</v>
      </c>
      <c r="X349" s="13">
        <f t="shared" si="663"/>
        <v>1.2300000000000002E-2</v>
      </c>
      <c r="Y349">
        <f t="shared" si="655"/>
        <v>72.680000000000007</v>
      </c>
      <c r="Z349" s="13">
        <f t="shared" si="650"/>
        <v>1.41E-2</v>
      </c>
      <c r="AA349" s="13">
        <f t="shared" si="646"/>
        <v>1.9299999999999998E-2</v>
      </c>
      <c r="AB349" s="6">
        <f t="shared" si="656"/>
        <v>92.244</v>
      </c>
      <c r="AC349">
        <f t="shared" si="648"/>
        <v>46</v>
      </c>
      <c r="AD349" s="11">
        <f t="shared" si="649"/>
        <v>1</v>
      </c>
      <c r="AE349">
        <f t="shared" si="647"/>
        <v>22</v>
      </c>
      <c r="AF349">
        <f>IF(AND(AE349&lt;15,OR(AC349&gt;=30,AA349&gt;0.15,X349&gt;=0.15)),2,VLOOKUP(AE349,Table!P:Q,2,FALSE))</f>
        <v>3</v>
      </c>
      <c r="AG349" s="22">
        <f>IF((AB349*0.98)-(D349*0.8)+((AF349-3)*3)+VLOOKUP(AM349,Table!$A$11:$B$13,2,FALSE)&lt;0,0,(AB349*0.98)-(D349*0.8)+((AF349-3)*3)+VLOOKUP(AM349,Table!$A$11:$B$13,2,FALSE))</f>
        <v>81.815119999999993</v>
      </c>
      <c r="AH349" s="22">
        <f t="shared" si="678"/>
        <v>77</v>
      </c>
      <c r="AI349" s="18">
        <f t="shared" si="671"/>
        <v>0.02</v>
      </c>
      <c r="AJ349" s="18">
        <f t="shared" si="672"/>
        <v>0.03</v>
      </c>
      <c r="AK349" t="str">
        <f t="shared" si="657"/>
        <v/>
      </c>
      <c r="AL349">
        <f t="shared" si="668"/>
        <v>20.5</v>
      </c>
      <c r="AM349" s="11" t="str">
        <f t="shared" si="658"/>
        <v>Stocks</v>
      </c>
      <c r="AN349" t="str">
        <f t="shared" si="664"/>
        <v>Buy</v>
      </c>
      <c r="AO349" s="13">
        <f t="shared" si="665"/>
        <v>-6.1000000000000004E-3</v>
      </c>
      <c r="AP349" s="13">
        <f t="shared" si="666"/>
        <v>0</v>
      </c>
      <c r="AQ349" s="13">
        <f t="shared" si="667"/>
        <v>-4.7000000000000002E-3</v>
      </c>
      <c r="AR349" s="13">
        <f t="shared" si="659"/>
        <v>-6.1000000000000004E-3</v>
      </c>
      <c r="AS349" s="6">
        <f t="shared" si="651"/>
        <v>315.19095222129317</v>
      </c>
      <c r="AT349" s="6">
        <f t="shared" si="652"/>
        <v>185.97425508967711</v>
      </c>
      <c r="AU349" s="6">
        <f t="shared" si="653"/>
        <v>517.02591376813223</v>
      </c>
      <c r="AV349" s="6">
        <f t="shared" si="654"/>
        <v>739.23626449636674</v>
      </c>
      <c r="AW349" s="58">
        <f t="shared" si="660"/>
        <v>2011</v>
      </c>
      <c r="AX349" s="58">
        <f>COUNTIF(AW$3:AW349,AW349)</f>
        <v>1</v>
      </c>
    </row>
    <row r="350" spans="1:50" x14ac:dyDescent="0.25">
      <c r="A350" s="5">
        <v>40895</v>
      </c>
      <c r="B350">
        <v>1219.6600000000001</v>
      </c>
      <c r="C350">
        <v>0.01</v>
      </c>
      <c r="D350" s="6">
        <v>24.29</v>
      </c>
      <c r="E350" s="18">
        <f t="shared" si="673"/>
        <v>26.06</v>
      </c>
      <c r="F350">
        <f t="shared" si="674"/>
        <v>-2</v>
      </c>
      <c r="G350" s="18">
        <f>ROUND(INDEX(Valuation!U:U,MATCH(A350,Valuation!A:A,0)),2)</f>
        <v>236.64</v>
      </c>
      <c r="H350">
        <f t="shared" si="681"/>
        <v>3</v>
      </c>
      <c r="I350" s="18">
        <f>INDEX(WeeklyIndicators!Y:Y,MATCH(A350,WeeklyIndicators!A:A,0))</f>
        <v>93.38</v>
      </c>
      <c r="J350">
        <f t="shared" si="670"/>
        <v>-2</v>
      </c>
      <c r="K350">
        <f>ROUND(INDEX(Economic!AF:AF,MATCH(EOMONTH($A350,-1),Economic!A:A,0)),2)</f>
        <v>61.3</v>
      </c>
      <c r="L350" s="11">
        <f t="shared" si="679"/>
        <v>-2</v>
      </c>
      <c r="M350">
        <f>ROUND(INDEX(Manufacturing!P:P,MATCH(EOMONTH($A350,-1),Manufacturing!A:A,0)),2)</f>
        <v>88.89</v>
      </c>
      <c r="N350">
        <f t="shared" si="675"/>
        <v>0</v>
      </c>
      <c r="O350">
        <f>ROUND(INDEX(Housing!AC:AC,MATCH(EOMONTH($A350,-1),Housing!B:B,0)),2)</f>
        <v>86.28</v>
      </c>
      <c r="P350">
        <f t="shared" si="676"/>
        <v>-1</v>
      </c>
      <c r="Q350">
        <f>ROUND(INDEX(Spending!AJ:AJ,MATCH(EOMONTH($A350,-1),Spending!B:B,0)),2)</f>
        <v>50.78</v>
      </c>
      <c r="R350">
        <f t="shared" si="680"/>
        <v>1</v>
      </c>
      <c r="S350">
        <f>ROUND(INDEX(Employment!V:V,MATCH(EOMONTH($A350,-1),Employment!A:A,0)),2)</f>
        <v>153.11000000000001</v>
      </c>
      <c r="T350" s="11">
        <f t="shared" si="677"/>
        <v>0</v>
      </c>
      <c r="U350">
        <f t="shared" si="669"/>
        <v>17</v>
      </c>
      <c r="V350">
        <f t="shared" si="661"/>
        <v>59.63</v>
      </c>
      <c r="W350" s="13">
        <f t="shared" si="662"/>
        <v>6.7000000000000002E-3</v>
      </c>
      <c r="X350" s="13">
        <f t="shared" si="663"/>
        <v>3.3E-3</v>
      </c>
      <c r="Y350">
        <f t="shared" si="655"/>
        <v>71.22</v>
      </c>
      <c r="Z350" s="13">
        <f t="shared" si="650"/>
        <v>1.2699999999999999E-2</v>
      </c>
      <c r="AA350" s="13">
        <f t="shared" si="646"/>
        <v>-4.3000000000000009E-3</v>
      </c>
      <c r="AB350" s="6">
        <f t="shared" si="656"/>
        <v>89.114000000000004</v>
      </c>
      <c r="AC350">
        <f t="shared" si="648"/>
        <v>45</v>
      </c>
      <c r="AD350" s="11">
        <f t="shared" si="649"/>
        <v>1</v>
      </c>
      <c r="AE350">
        <f t="shared" si="647"/>
        <v>20</v>
      </c>
      <c r="AF350">
        <f>IF(AND(AE350&lt;15,OR(AC350&gt;=30,AA350&gt;0.15,X350&gt;=0.15)),2,VLOOKUP(AE350,Table!P:Q,2,FALSE))</f>
        <v>3</v>
      </c>
      <c r="AG350" s="22">
        <f>IF((AB350*0.98)-(D350*0.8)+((AF350-3)*3)+VLOOKUP(AM350,Table!$A$11:$B$13,2,FALSE)&lt;0,0,(AB350*0.98)-(D350*0.8)+((AF350-3)*3)+VLOOKUP(AM350,Table!$A$11:$B$13,2,FALSE))</f>
        <v>75.899720000000002</v>
      </c>
      <c r="AH350" s="22">
        <f t="shared" si="678"/>
        <v>74</v>
      </c>
      <c r="AI350" s="18">
        <f t="shared" si="671"/>
        <v>0.02</v>
      </c>
      <c r="AJ350" s="18">
        <f t="shared" si="672"/>
        <v>0.03</v>
      </c>
      <c r="AK350" t="str">
        <f t="shared" si="657"/>
        <v/>
      </c>
      <c r="AL350">
        <f t="shared" si="668"/>
        <v>20</v>
      </c>
      <c r="AM350" s="11" t="str">
        <f t="shared" si="658"/>
        <v>Stocks</v>
      </c>
      <c r="AN350" t="str">
        <f t="shared" si="664"/>
        <v>Buy</v>
      </c>
      <c r="AO350" s="13">
        <f t="shared" si="665"/>
        <v>3.7400000000000003E-2</v>
      </c>
      <c r="AP350" s="13">
        <f t="shared" si="666"/>
        <v>0</v>
      </c>
      <c r="AQ350" s="13">
        <f t="shared" si="667"/>
        <v>2.7699999999999999E-2</v>
      </c>
      <c r="AR350" s="13">
        <f t="shared" si="659"/>
        <v>3.7400000000000003E-2</v>
      </c>
      <c r="AS350" s="6">
        <f t="shared" si="651"/>
        <v>303.82779277163405</v>
      </c>
      <c r="AT350" s="6">
        <f t="shared" si="652"/>
        <v>185.97425508967711</v>
      </c>
      <c r="AU350" s="6">
        <f t="shared" si="653"/>
        <v>503.09031212234328</v>
      </c>
      <c r="AV350" s="6">
        <f t="shared" si="654"/>
        <v>712.58556438824621</v>
      </c>
      <c r="AW350" s="58">
        <f t="shared" si="660"/>
        <v>2011</v>
      </c>
      <c r="AX350" s="58">
        <f>COUNTIF(AW$3:AW350,AW350)</f>
        <v>2</v>
      </c>
    </row>
    <row r="351" spans="1:50" x14ac:dyDescent="0.25">
      <c r="A351" s="5">
        <v>40888</v>
      </c>
      <c r="B351">
        <v>1255.19</v>
      </c>
      <c r="C351">
        <v>0.01</v>
      </c>
      <c r="D351" s="6">
        <v>26.38</v>
      </c>
      <c r="E351" s="18">
        <f t="shared" si="673"/>
        <v>29.46</v>
      </c>
      <c r="F351">
        <f t="shared" si="674"/>
        <v>-2</v>
      </c>
      <c r="G351" s="18">
        <f>ROUND(INDEX(Valuation!U:U,MATCH(A351,Valuation!A:A,0)),2)</f>
        <v>237.27</v>
      </c>
      <c r="H351">
        <f t="shared" si="681"/>
        <v>3</v>
      </c>
      <c r="I351" s="18">
        <f>INDEX(WeeklyIndicators!Y:Y,MATCH(A351,WeeklyIndicators!A:A,0))</f>
        <v>90.29</v>
      </c>
      <c r="J351">
        <f t="shared" si="670"/>
        <v>-2</v>
      </c>
      <c r="K351">
        <f>ROUND(INDEX(Economic!AF:AF,MATCH(EOMONTH($A351,-1),Economic!A:A,0)),2)</f>
        <v>61.3</v>
      </c>
      <c r="L351" s="11">
        <f t="shared" si="679"/>
        <v>-2</v>
      </c>
      <c r="M351">
        <f>ROUND(INDEX(Manufacturing!P:P,MATCH(EOMONTH($A351,-1),Manufacturing!A:A,0)),2)</f>
        <v>88.89</v>
      </c>
      <c r="N351">
        <f t="shared" si="675"/>
        <v>0</v>
      </c>
      <c r="O351">
        <f>ROUND(INDEX(Housing!AC:AC,MATCH(EOMONTH($A351,-1),Housing!B:B,0)),2)</f>
        <v>86.28</v>
      </c>
      <c r="P351">
        <f t="shared" si="676"/>
        <v>-1</v>
      </c>
      <c r="Q351">
        <f>ROUND(INDEX(Spending!AJ:AJ,MATCH(EOMONTH($A351,-1),Spending!B:B,0)),2)</f>
        <v>50.78</v>
      </c>
      <c r="R351">
        <f t="shared" si="680"/>
        <v>1</v>
      </c>
      <c r="S351">
        <f>ROUND(INDEX(Employment!V:V,MATCH(EOMONTH($A351,-1),Employment!A:A,0)),2)</f>
        <v>153.11000000000001</v>
      </c>
      <c r="T351" s="11">
        <f t="shared" si="677"/>
        <v>0</v>
      </c>
      <c r="U351">
        <f t="shared" si="669"/>
        <v>17</v>
      </c>
      <c r="V351">
        <f t="shared" si="661"/>
        <v>59.31</v>
      </c>
      <c r="W351" s="13">
        <f t="shared" si="662"/>
        <v>1E-3</v>
      </c>
      <c r="X351" s="13">
        <f t="shared" si="663"/>
        <v>3.3E-3</v>
      </c>
      <c r="Y351">
        <f t="shared" si="655"/>
        <v>69.78</v>
      </c>
      <c r="Z351" s="13">
        <f t="shared" si="650"/>
        <v>-8.0000000000000004E-4</v>
      </c>
      <c r="AA351" s="13">
        <f t="shared" si="646"/>
        <v>-1.43E-2</v>
      </c>
      <c r="AB351" s="6">
        <f t="shared" si="656"/>
        <v>87.057000000000002</v>
      </c>
      <c r="AC351">
        <f t="shared" si="648"/>
        <v>44</v>
      </c>
      <c r="AD351" s="11">
        <f t="shared" si="649"/>
        <v>1</v>
      </c>
      <c r="AE351">
        <f t="shared" si="647"/>
        <v>20</v>
      </c>
      <c r="AF351">
        <f>IF(AND(AE351&lt;15,OR(AC351&gt;=30,AA351&gt;0.15,X351&gt;=0.15)),2,VLOOKUP(AE351,Table!P:Q,2,FALSE))</f>
        <v>3</v>
      </c>
      <c r="AG351" s="22">
        <f>IF((AB351*0.98)-(D351*0.8)+((AF351-3)*3)+VLOOKUP(AM351,Table!$A$11:$B$13,2,FALSE)&lt;0,0,(AB351*0.98)-(D351*0.8)+((AF351-3)*3)+VLOOKUP(AM351,Table!$A$11:$B$13,2,FALSE))</f>
        <v>72.211860000000001</v>
      </c>
      <c r="AH351" s="22">
        <f t="shared" si="678"/>
        <v>71</v>
      </c>
      <c r="AI351" s="18">
        <f t="shared" si="671"/>
        <v>0.02</v>
      </c>
      <c r="AJ351" s="18">
        <f t="shared" si="672"/>
        <v>0.03</v>
      </c>
      <c r="AK351" t="str">
        <f t="shared" si="657"/>
        <v/>
      </c>
      <c r="AL351">
        <f t="shared" si="668"/>
        <v>20.25</v>
      </c>
      <c r="AM351" s="11" t="str">
        <f t="shared" si="658"/>
        <v>Stocks</v>
      </c>
      <c r="AN351" t="str">
        <f t="shared" si="664"/>
        <v>Buy</v>
      </c>
      <c r="AO351" s="13">
        <f t="shared" si="665"/>
        <v>-2.8299999999999999E-2</v>
      </c>
      <c r="AP351" s="13">
        <f t="shared" si="666"/>
        <v>0</v>
      </c>
      <c r="AQ351" s="13">
        <f t="shared" si="667"/>
        <v>-2.01E-2</v>
      </c>
      <c r="AR351" s="13">
        <f t="shared" si="659"/>
        <v>-2.8299999999999999E-2</v>
      </c>
      <c r="AS351" s="6">
        <f t="shared" si="651"/>
        <v>312.67653882024706</v>
      </c>
      <c r="AT351" s="6">
        <f t="shared" si="652"/>
        <v>185.97425508967711</v>
      </c>
      <c r="AU351" s="6">
        <f t="shared" si="653"/>
        <v>513.40985010954512</v>
      </c>
      <c r="AV351" s="6">
        <f t="shared" si="654"/>
        <v>733.33905978002076</v>
      </c>
      <c r="AW351" s="58">
        <f t="shared" si="660"/>
        <v>2011</v>
      </c>
      <c r="AX351" s="58">
        <f>COUNTIF(AW$3:AW351,AW351)</f>
        <v>3</v>
      </c>
    </row>
    <row r="352" spans="1:50" x14ac:dyDescent="0.25">
      <c r="A352" s="5">
        <v>40881</v>
      </c>
      <c r="B352">
        <v>1244.28</v>
      </c>
      <c r="C352">
        <v>0.02</v>
      </c>
      <c r="D352" s="6">
        <v>27.52</v>
      </c>
      <c r="E352" s="18">
        <f t="shared" si="673"/>
        <v>31.33</v>
      </c>
      <c r="F352">
        <f t="shared" si="674"/>
        <v>-2</v>
      </c>
      <c r="G352" s="18">
        <f>ROUND(INDEX(Valuation!U:U,MATCH(A352,Valuation!A:A,0)),2)</f>
        <v>240.59</v>
      </c>
      <c r="H352">
        <f t="shared" si="681"/>
        <v>3</v>
      </c>
      <c r="I352" s="18">
        <f>INDEX(WeeklyIndicators!Y:Y,MATCH(A352,WeeklyIndicators!A:A,0))</f>
        <v>92.24</v>
      </c>
      <c r="J352">
        <f t="shared" si="670"/>
        <v>-2</v>
      </c>
      <c r="K352">
        <f>ROUND(INDEX(Economic!AF:AF,MATCH(EOMONTH($A352,-1),Economic!A:A,0)),2)</f>
        <v>61.3</v>
      </c>
      <c r="L352" s="11">
        <f t="shared" si="679"/>
        <v>-2</v>
      </c>
      <c r="M352">
        <f>ROUND(INDEX(Manufacturing!P:P,MATCH(EOMONTH($A352,-1),Manufacturing!A:A,0)),2)</f>
        <v>88.89</v>
      </c>
      <c r="N352">
        <f t="shared" si="675"/>
        <v>0</v>
      </c>
      <c r="O352">
        <f>ROUND(INDEX(Housing!AC:AC,MATCH(EOMONTH($A352,-1),Housing!B:B,0)),2)</f>
        <v>86.28</v>
      </c>
      <c r="P352">
        <f t="shared" si="676"/>
        <v>-1</v>
      </c>
      <c r="Q352">
        <f>ROUND(INDEX(Spending!AJ:AJ,MATCH(EOMONTH($A352,-1),Spending!B:B,0)),2)</f>
        <v>50.78</v>
      </c>
      <c r="R352">
        <f t="shared" si="680"/>
        <v>1</v>
      </c>
      <c r="S352">
        <f>ROUND(INDEX(Employment!V:V,MATCH(EOMONTH($A352,-1),Employment!A:A,0)),2)</f>
        <v>153.11000000000001</v>
      </c>
      <c r="T352" s="11">
        <f t="shared" si="677"/>
        <v>0</v>
      </c>
      <c r="U352">
        <f t="shared" si="669"/>
        <v>17</v>
      </c>
      <c r="V352">
        <f t="shared" si="661"/>
        <v>59.52</v>
      </c>
      <c r="W352" s="13">
        <f t="shared" si="662"/>
        <v>0</v>
      </c>
      <c r="X352" s="13">
        <f t="shared" si="663"/>
        <v>1.8800000000000001E-2</v>
      </c>
      <c r="Y352">
        <f t="shared" si="655"/>
        <v>69.7</v>
      </c>
      <c r="Z352" s="13">
        <f t="shared" si="650"/>
        <v>-6.7000000000000002E-3</v>
      </c>
      <c r="AA352" s="13">
        <f t="shared" si="646"/>
        <v>6.9000000000000034E-3</v>
      </c>
      <c r="AB352" s="6">
        <f t="shared" si="656"/>
        <v>88.888999999999996</v>
      </c>
      <c r="AC352">
        <f t="shared" si="648"/>
        <v>44</v>
      </c>
      <c r="AD352" s="11">
        <f t="shared" si="649"/>
        <v>1</v>
      </c>
      <c r="AE352">
        <f t="shared" si="647"/>
        <v>20</v>
      </c>
      <c r="AF352">
        <f>IF(AND(AE352&lt;15,OR(AC352&gt;=30,AA352&gt;0.15,X352&gt;=0.15)),2,VLOOKUP(AE352,Table!P:Q,2,FALSE))</f>
        <v>3</v>
      </c>
      <c r="AG352" s="22">
        <f>IF((AB352*0.98)-(D352*0.8)+((AF352-3)*3)+VLOOKUP(AM352,Table!$A$11:$B$13,2,FALSE)&lt;0,0,(AB352*0.98)-(D352*0.8)+((AF352-3)*3)+VLOOKUP(AM352,Table!$A$11:$B$13,2,FALSE))</f>
        <v>73.095219999999983</v>
      </c>
      <c r="AH352" s="22">
        <f t="shared" si="678"/>
        <v>73</v>
      </c>
      <c r="AI352" s="18">
        <f t="shared" si="671"/>
        <v>0.02</v>
      </c>
      <c r="AJ352" s="18">
        <f t="shared" si="672"/>
        <v>0.04</v>
      </c>
      <c r="AK352" t="str">
        <f t="shared" si="657"/>
        <v/>
      </c>
      <c r="AL352">
        <f t="shared" si="668"/>
        <v>20.5</v>
      </c>
      <c r="AM352" s="11" t="str">
        <f t="shared" si="658"/>
        <v>Stocks</v>
      </c>
      <c r="AN352" t="str">
        <f t="shared" si="664"/>
        <v>Buy</v>
      </c>
      <c r="AO352" s="13">
        <f t="shared" si="665"/>
        <v>8.8000000000000005E-3</v>
      </c>
      <c r="AP352" s="13">
        <f t="shared" si="666"/>
        <v>0</v>
      </c>
      <c r="AQ352" s="13">
        <f t="shared" si="667"/>
        <v>6.4000000000000003E-3</v>
      </c>
      <c r="AR352" s="13">
        <f t="shared" si="659"/>
        <v>8.8000000000000005E-3</v>
      </c>
      <c r="AS352" s="6">
        <f t="shared" si="651"/>
        <v>309.94898772823859</v>
      </c>
      <c r="AT352" s="6">
        <f t="shared" si="652"/>
        <v>185.97425508967711</v>
      </c>
      <c r="AU352" s="6">
        <f t="shared" si="653"/>
        <v>510.14492260487395</v>
      </c>
      <c r="AV352" s="6">
        <f t="shared" si="654"/>
        <v>726.94197044014754</v>
      </c>
      <c r="AW352" s="58">
        <f t="shared" si="660"/>
        <v>2011</v>
      </c>
      <c r="AX352" s="58">
        <f>COUNTIF(AW$3:AW352,AW352)</f>
        <v>4</v>
      </c>
    </row>
    <row r="353" spans="1:50" x14ac:dyDescent="0.25">
      <c r="A353" s="5">
        <v>40874</v>
      </c>
      <c r="B353">
        <v>1158.67</v>
      </c>
      <c r="C353">
        <v>0.02</v>
      </c>
      <c r="D353" s="6">
        <v>34.47</v>
      </c>
      <c r="E353" s="18">
        <f t="shared" si="673"/>
        <v>32.17</v>
      </c>
      <c r="F353">
        <f t="shared" si="674"/>
        <v>-2</v>
      </c>
      <c r="G353" s="18">
        <f>ROUND(INDEX(Valuation!U:U,MATCH(A353,Valuation!A:A,0)),2)</f>
        <v>242.8</v>
      </c>
      <c r="H353">
        <f t="shared" si="681"/>
        <v>3</v>
      </c>
      <c r="I353" s="18">
        <f>INDEX(WeeklyIndicators!Y:Y,MATCH(A353,WeeklyIndicators!A:A,0))</f>
        <v>98.03</v>
      </c>
      <c r="J353">
        <f t="shared" si="670"/>
        <v>-1</v>
      </c>
      <c r="K353">
        <f>ROUND(INDEX(Economic!AF:AF,MATCH(EOMONTH($A353,-1),Economic!A:A,0)),2)</f>
        <v>53.67</v>
      </c>
      <c r="L353" s="11">
        <f t="shared" si="679"/>
        <v>-2</v>
      </c>
      <c r="M353">
        <f>ROUND(INDEX(Manufacturing!P:P,MATCH(EOMONTH($A353,-1),Manufacturing!A:A,0)),2)</f>
        <v>86.21</v>
      </c>
      <c r="N353">
        <f t="shared" si="675"/>
        <v>0</v>
      </c>
      <c r="O353">
        <f>ROUND(INDEX(Housing!AC:AC,MATCH(EOMONTH($A353,-1),Housing!B:B,0)),2)</f>
        <v>84.93</v>
      </c>
      <c r="P353">
        <f t="shared" si="676"/>
        <v>-1</v>
      </c>
      <c r="Q353">
        <f>ROUND(INDEX(Spending!AJ:AJ,MATCH(EOMONTH($A353,-1),Spending!B:B,0)),2)</f>
        <v>52.97</v>
      </c>
      <c r="R353">
        <f t="shared" si="680"/>
        <v>1</v>
      </c>
      <c r="S353">
        <f>ROUND(INDEX(Employment!V:V,MATCH(EOMONTH($A353,-1),Employment!A:A,0)),2)</f>
        <v>149.29</v>
      </c>
      <c r="T353" s="11">
        <f t="shared" si="677"/>
        <v>-1</v>
      </c>
      <c r="U353">
        <f t="shared" si="669"/>
        <v>17</v>
      </c>
      <c r="V353">
        <f t="shared" si="661"/>
        <v>58.44</v>
      </c>
      <c r="W353" s="13">
        <f t="shared" si="662"/>
        <v>-4.4000000000000003E-3</v>
      </c>
      <c r="X353" s="13">
        <f t="shared" si="663"/>
        <v>3.9199999999999999E-2</v>
      </c>
      <c r="Y353">
        <f t="shared" si="655"/>
        <v>68.58</v>
      </c>
      <c r="Z353" s="13">
        <f t="shared" si="650"/>
        <v>-9.4999999999999998E-3</v>
      </c>
      <c r="AA353" s="13">
        <f t="shared" si="646"/>
        <v>4.2800000000000005E-2</v>
      </c>
      <c r="AB353" s="6">
        <f t="shared" si="656"/>
        <v>90.570000000000007</v>
      </c>
      <c r="AC353">
        <f t="shared" si="648"/>
        <v>45</v>
      </c>
      <c r="AD353" s="11">
        <f t="shared" si="649"/>
        <v>1</v>
      </c>
      <c r="AE353">
        <f t="shared" si="647"/>
        <v>20</v>
      </c>
      <c r="AF353">
        <f>IF(AND(AE353&lt;15,OR(AC353&gt;=30,AA353&gt;0.15,X353&gt;=0.15)),2,VLOOKUP(AE353,Table!P:Q,2,FALSE))</f>
        <v>3</v>
      </c>
      <c r="AG353" s="22">
        <f>IF((AB353*0.98)-(D353*0.8)+((AF353-3)*3)+VLOOKUP(AM353,Table!$A$11:$B$13,2,FALSE)&lt;0,0,(AB353*0.98)-(D353*0.8)+((AF353-3)*3)+VLOOKUP(AM353,Table!$A$11:$B$13,2,FALSE))</f>
        <v>69.182600000000008</v>
      </c>
      <c r="AH353" s="22">
        <f t="shared" si="678"/>
        <v>75</v>
      </c>
      <c r="AI353" s="18">
        <f t="shared" si="671"/>
        <v>0.02</v>
      </c>
      <c r="AJ353" s="18">
        <f t="shared" si="672"/>
        <v>0.04</v>
      </c>
      <c r="AK353" t="str">
        <f t="shared" si="657"/>
        <v/>
      </c>
      <c r="AL353">
        <f t="shared" si="668"/>
        <v>20.5</v>
      </c>
      <c r="AM353" s="11" t="str">
        <f t="shared" si="658"/>
        <v>Stocks</v>
      </c>
      <c r="AN353" t="str">
        <f t="shared" si="664"/>
        <v>Buy</v>
      </c>
      <c r="AO353" s="13">
        <f t="shared" si="665"/>
        <v>7.3899999999999993E-2</v>
      </c>
      <c r="AP353" s="13">
        <f t="shared" si="666"/>
        <v>0</v>
      </c>
      <c r="AQ353" s="13">
        <f t="shared" si="667"/>
        <v>5.5399999999999998E-2</v>
      </c>
      <c r="AR353" s="13">
        <f t="shared" si="659"/>
        <v>7.3899999999999993E-2</v>
      </c>
      <c r="AS353" s="6">
        <f t="shared" si="651"/>
        <v>288.61997181137775</v>
      </c>
      <c r="AT353" s="6">
        <f t="shared" si="652"/>
        <v>185.97425508967711</v>
      </c>
      <c r="AU353" s="6">
        <f t="shared" si="653"/>
        <v>483.36642278271177</v>
      </c>
      <c r="AV353" s="6">
        <f t="shared" si="654"/>
        <v>676.91774880356411</v>
      </c>
      <c r="AW353" s="58">
        <f t="shared" si="660"/>
        <v>2011</v>
      </c>
      <c r="AX353" s="58">
        <f>COUNTIF(AW$3:AW353,AW353)</f>
        <v>5</v>
      </c>
    </row>
    <row r="354" spans="1:50" x14ac:dyDescent="0.25">
      <c r="A354" s="5">
        <v>40867</v>
      </c>
      <c r="B354">
        <v>1215.6500000000001</v>
      </c>
      <c r="C354">
        <v>0.01</v>
      </c>
      <c r="D354" s="6">
        <v>32</v>
      </c>
      <c r="E354" s="18">
        <f t="shared" si="673"/>
        <v>30.73</v>
      </c>
      <c r="F354">
        <f t="shared" si="674"/>
        <v>-2</v>
      </c>
      <c r="G354" s="18">
        <f>ROUND(INDEX(Valuation!U:U,MATCH(A354,Valuation!A:A,0)),2)</f>
        <v>244.23</v>
      </c>
      <c r="H354">
        <f t="shared" si="681"/>
        <v>3</v>
      </c>
      <c r="I354" s="18">
        <f>INDEX(WeeklyIndicators!Y:Y,MATCH(A354,WeeklyIndicators!A:A,0))</f>
        <v>104.79</v>
      </c>
      <c r="J354">
        <f t="shared" si="670"/>
        <v>-1</v>
      </c>
      <c r="K354">
        <f>ROUND(INDEX(Economic!AF:AF,MATCH(EOMONTH($A354,-1),Economic!A:A,0)),2)</f>
        <v>53.67</v>
      </c>
      <c r="L354" s="11">
        <f t="shared" si="679"/>
        <v>-2</v>
      </c>
      <c r="M354">
        <f>ROUND(INDEX(Manufacturing!P:P,MATCH(EOMONTH($A354,-1),Manufacturing!A:A,0)),2)</f>
        <v>86.21</v>
      </c>
      <c r="N354">
        <f t="shared" si="675"/>
        <v>0</v>
      </c>
      <c r="O354">
        <f>ROUND(INDEX(Housing!AC:AC,MATCH(EOMONTH($A354,-1),Housing!B:B,0)),2)</f>
        <v>84.93</v>
      </c>
      <c r="P354">
        <f t="shared" si="676"/>
        <v>-1</v>
      </c>
      <c r="Q354">
        <f>ROUND(INDEX(Spending!AJ:AJ,MATCH(EOMONTH($A354,-1),Spending!B:B,0)),2)</f>
        <v>52.97</v>
      </c>
      <c r="R354">
        <f t="shared" si="680"/>
        <v>1</v>
      </c>
      <c r="S354">
        <f>ROUND(INDEX(Employment!V:V,MATCH(EOMONTH($A354,-1),Employment!A:A,0)),2)</f>
        <v>149.29</v>
      </c>
      <c r="T354" s="11">
        <f t="shared" si="677"/>
        <v>-1</v>
      </c>
      <c r="U354">
        <f t="shared" si="669"/>
        <v>17</v>
      </c>
      <c r="V354">
        <f t="shared" si="661"/>
        <v>59.14</v>
      </c>
      <c r="W354" s="13">
        <f t="shared" si="662"/>
        <v>6.7000000000000002E-3</v>
      </c>
      <c r="X354" s="13">
        <f t="shared" si="663"/>
        <v>5.6599999999999998E-2</v>
      </c>
      <c r="Y354">
        <f t="shared" si="655"/>
        <v>69.94</v>
      </c>
      <c r="Z354" s="13">
        <f t="shared" si="650"/>
        <v>2.7000000000000001E-3</v>
      </c>
      <c r="AA354" s="13">
        <f t="shared" si="646"/>
        <v>8.3699999999999997E-2</v>
      </c>
      <c r="AB354" s="6">
        <f t="shared" si="656"/>
        <v>95.013000000000005</v>
      </c>
      <c r="AC354">
        <f t="shared" si="648"/>
        <v>48</v>
      </c>
      <c r="AD354" s="11">
        <f t="shared" si="649"/>
        <v>2</v>
      </c>
      <c r="AE354">
        <f t="shared" si="647"/>
        <v>21</v>
      </c>
      <c r="AF354">
        <f>IF(AND(AE354&lt;15,OR(AC354&gt;=30,AA354&gt;0.15,X354&gt;=0.15)),2,VLOOKUP(AE354,Table!P:Q,2,FALSE))</f>
        <v>3</v>
      </c>
      <c r="AG354" s="22">
        <f>IF((AB354*0.98)-(D354*0.8)+((AF354-3)*3)+VLOOKUP(AM354,Table!$A$11:$B$13,2,FALSE)&lt;0,0,(AB354*0.98)-(D354*0.8)+((AF354-3)*3)+VLOOKUP(AM354,Table!$A$11:$B$13,2,FALSE))</f>
        <v>75.512740000000008</v>
      </c>
      <c r="AH354" s="22">
        <f t="shared" si="678"/>
        <v>77</v>
      </c>
      <c r="AI354" s="18">
        <f t="shared" si="671"/>
        <v>0.02</v>
      </c>
      <c r="AJ354" s="18">
        <f t="shared" si="672"/>
        <v>0.04</v>
      </c>
      <c r="AK354" t="str">
        <f t="shared" si="657"/>
        <v/>
      </c>
      <c r="AL354">
        <f t="shared" si="668"/>
        <v>20.25</v>
      </c>
      <c r="AM354" s="11" t="str">
        <f t="shared" si="658"/>
        <v>Stocks</v>
      </c>
      <c r="AN354" t="str">
        <f t="shared" si="664"/>
        <v>Buy</v>
      </c>
      <c r="AO354" s="13">
        <f t="shared" si="665"/>
        <v>-4.6899999999999997E-2</v>
      </c>
      <c r="AP354" s="13">
        <f t="shared" si="666"/>
        <v>0</v>
      </c>
      <c r="AQ354" s="13">
        <f t="shared" si="667"/>
        <v>-3.61E-2</v>
      </c>
      <c r="AR354" s="13">
        <f t="shared" si="659"/>
        <v>-4.6899999999999997E-2</v>
      </c>
      <c r="AS354" s="6">
        <f t="shared" si="651"/>
        <v>302.82233953559722</v>
      </c>
      <c r="AT354" s="6">
        <f t="shared" si="652"/>
        <v>185.97425508967711</v>
      </c>
      <c r="AU354" s="6">
        <f t="shared" si="653"/>
        <v>501.46947067404477</v>
      </c>
      <c r="AV354" s="6">
        <f t="shared" si="654"/>
        <v>710.22741454576021</v>
      </c>
      <c r="AW354" s="58">
        <f t="shared" si="660"/>
        <v>2011</v>
      </c>
      <c r="AX354" s="58">
        <f>COUNTIF(AW$3:AW354,AW354)</f>
        <v>6</v>
      </c>
    </row>
    <row r="355" spans="1:50" x14ac:dyDescent="0.25">
      <c r="A355" s="5">
        <v>40860</v>
      </c>
      <c r="B355">
        <v>1263.8499999999999</v>
      </c>
      <c r="C355">
        <v>0.01</v>
      </c>
      <c r="D355" s="6">
        <v>30.04</v>
      </c>
      <c r="E355" s="18">
        <f t="shared" si="673"/>
        <v>28.24</v>
      </c>
      <c r="F355">
        <f t="shared" si="674"/>
        <v>-2</v>
      </c>
      <c r="G355" s="18">
        <f>ROUND(INDEX(Valuation!U:U,MATCH(A355,Valuation!A:A,0)),2)</f>
        <v>243.46</v>
      </c>
      <c r="H355">
        <f t="shared" si="681"/>
        <v>3</v>
      </c>
      <c r="I355" s="18">
        <f>INDEX(WeeklyIndicators!Y:Y,MATCH(A355,WeeklyIndicators!A:A,0))</f>
        <v>108.42</v>
      </c>
      <c r="J355">
        <f t="shared" si="670"/>
        <v>-1</v>
      </c>
      <c r="K355">
        <f>ROUND(INDEX(Economic!AF:AF,MATCH(EOMONTH($A355,-1),Economic!A:A,0)),2)</f>
        <v>53.67</v>
      </c>
      <c r="L355" s="11">
        <f t="shared" si="679"/>
        <v>-2</v>
      </c>
      <c r="M355">
        <f>ROUND(INDEX(Manufacturing!P:P,MATCH(EOMONTH($A355,-1),Manufacturing!A:A,0)),2)</f>
        <v>86.21</v>
      </c>
      <c r="N355">
        <f t="shared" si="675"/>
        <v>0</v>
      </c>
      <c r="O355">
        <f>ROUND(INDEX(Housing!AC:AC,MATCH(EOMONTH($A355,-1),Housing!B:B,0)),2)</f>
        <v>84.93</v>
      </c>
      <c r="P355">
        <f t="shared" si="676"/>
        <v>-1</v>
      </c>
      <c r="Q355">
        <f>ROUND(INDEX(Spending!AJ:AJ,MATCH(EOMONTH($A355,-1),Spending!B:B,0)),2)</f>
        <v>52.97</v>
      </c>
      <c r="R355">
        <f t="shared" si="680"/>
        <v>1</v>
      </c>
      <c r="S355">
        <f>ROUND(INDEX(Employment!V:V,MATCH(EOMONTH($A355,-1),Employment!A:A,0)),2)</f>
        <v>149.29</v>
      </c>
      <c r="T355" s="11">
        <f t="shared" si="677"/>
        <v>-1</v>
      </c>
      <c r="U355">
        <f t="shared" si="669"/>
        <v>17</v>
      </c>
      <c r="V355">
        <f t="shared" si="661"/>
        <v>59.52</v>
      </c>
      <c r="W355" s="13">
        <f t="shared" si="662"/>
        <v>1.6500000000000001E-2</v>
      </c>
      <c r="X355" s="13">
        <f t="shared" si="663"/>
        <v>5.1799999999999999E-2</v>
      </c>
      <c r="Y355">
        <f t="shared" si="655"/>
        <v>71.099999999999994</v>
      </c>
      <c r="Z355" s="13">
        <f t="shared" si="650"/>
        <v>2.0400000000000001E-2</v>
      </c>
      <c r="AA355" s="13">
        <f t="shared" si="646"/>
        <v>9.5600000000000004E-2</v>
      </c>
      <c r="AB355" s="6">
        <f t="shared" si="656"/>
        <v>96.856000000000009</v>
      </c>
      <c r="AC355">
        <f t="shared" si="648"/>
        <v>48</v>
      </c>
      <c r="AD355" s="11">
        <f t="shared" si="649"/>
        <v>2</v>
      </c>
      <c r="AE355">
        <f t="shared" si="647"/>
        <v>21</v>
      </c>
      <c r="AF355">
        <f>IF(AND(AE355&lt;15,OR(AC355&gt;=30,AA355&gt;0.15,X355&gt;=0.15)),2,VLOOKUP(AE355,Table!P:Q,2,FALSE))</f>
        <v>3</v>
      </c>
      <c r="AG355" s="22">
        <f>IF((AB355*0.98)-(D355*0.8)+((AF355-3)*3)+VLOOKUP(AM355,Table!$A$11:$B$13,2,FALSE)&lt;0,0,(AB355*0.98)-(D355*0.8)+((AF355-3)*3)+VLOOKUP(AM355,Table!$A$11:$B$13,2,FALSE))</f>
        <v>78.886880000000005</v>
      </c>
      <c r="AH355" s="22">
        <f t="shared" si="678"/>
        <v>75</v>
      </c>
      <c r="AI355" s="18">
        <f t="shared" si="671"/>
        <v>0.02</v>
      </c>
      <c r="AJ355" s="18">
        <f t="shared" si="672"/>
        <v>0.04</v>
      </c>
      <c r="AK355" t="str">
        <f t="shared" si="657"/>
        <v/>
      </c>
      <c r="AL355">
        <f t="shared" si="668"/>
        <v>19.5</v>
      </c>
      <c r="AM355" s="11" t="str">
        <f t="shared" si="658"/>
        <v>Stocks</v>
      </c>
      <c r="AN355" t="str">
        <f t="shared" si="664"/>
        <v>Buy</v>
      </c>
      <c r="AO355" s="13">
        <f t="shared" si="665"/>
        <v>-3.8100000000000002E-2</v>
      </c>
      <c r="AP355" s="13">
        <f t="shared" si="666"/>
        <v>0</v>
      </c>
      <c r="AQ355" s="13">
        <f t="shared" si="667"/>
        <v>-2.86E-2</v>
      </c>
      <c r="AR355" s="13">
        <f t="shared" si="659"/>
        <v>-3.8100000000000002E-2</v>
      </c>
      <c r="AS355" s="6">
        <f t="shared" si="651"/>
        <v>314.81686197691778</v>
      </c>
      <c r="AT355" s="6">
        <f t="shared" si="652"/>
        <v>185.97425508967711</v>
      </c>
      <c r="AU355" s="6">
        <f t="shared" si="653"/>
        <v>516.23375609846073</v>
      </c>
      <c r="AV355" s="6">
        <f t="shared" si="654"/>
        <v>738.35888818563285</v>
      </c>
      <c r="AW355" s="58">
        <f t="shared" si="660"/>
        <v>2011</v>
      </c>
      <c r="AX355" s="58">
        <f>COUNTIF(AW$3:AW355,AW355)</f>
        <v>7</v>
      </c>
    </row>
    <row r="356" spans="1:50" x14ac:dyDescent="0.25">
      <c r="A356" s="5">
        <v>40853</v>
      </c>
      <c r="B356">
        <v>1253.23</v>
      </c>
      <c r="C356">
        <v>0.01</v>
      </c>
      <c r="D356" s="6">
        <v>30.16</v>
      </c>
      <c r="E356" s="18">
        <f t="shared" si="673"/>
        <v>28.67</v>
      </c>
      <c r="F356">
        <f t="shared" si="674"/>
        <v>-2</v>
      </c>
      <c r="G356" s="18">
        <f>ROUND(INDEX(Valuation!U:U,MATCH(A356,Valuation!A:A,0)),2)</f>
        <v>242.74</v>
      </c>
      <c r="H356">
        <f t="shared" si="681"/>
        <v>3</v>
      </c>
      <c r="I356" s="18">
        <f>INDEX(WeeklyIndicators!Y:Y,MATCH(A356,WeeklyIndicators!A:A,0))</f>
        <v>105.7</v>
      </c>
      <c r="J356">
        <f t="shared" si="670"/>
        <v>-1</v>
      </c>
      <c r="K356">
        <f>ROUND(INDEX(Economic!AF:AF,MATCH(EOMONTH($A356,-1),Economic!A:A,0)),2)</f>
        <v>53.67</v>
      </c>
      <c r="L356" s="11">
        <f t="shared" si="679"/>
        <v>-2</v>
      </c>
      <c r="M356">
        <f>ROUND(INDEX(Manufacturing!P:P,MATCH(EOMONTH($A356,-1),Manufacturing!A:A,0)),2)</f>
        <v>86.21</v>
      </c>
      <c r="N356">
        <f t="shared" si="675"/>
        <v>0</v>
      </c>
      <c r="O356">
        <f>ROUND(INDEX(Housing!AC:AC,MATCH(EOMONTH($A356,-1),Housing!B:B,0)),2)</f>
        <v>84.93</v>
      </c>
      <c r="P356">
        <f t="shared" si="676"/>
        <v>-1</v>
      </c>
      <c r="Q356">
        <f>ROUND(INDEX(Spending!AJ:AJ,MATCH(EOMONTH($A356,-1),Spending!B:B,0)),2)</f>
        <v>52.97</v>
      </c>
      <c r="R356">
        <f t="shared" si="680"/>
        <v>1</v>
      </c>
      <c r="S356">
        <f>ROUND(INDEX(Employment!V:V,MATCH(EOMONTH($A356,-1),Employment!A:A,0)),2)</f>
        <v>149.29</v>
      </c>
      <c r="T356" s="11">
        <f t="shared" si="677"/>
        <v>-1</v>
      </c>
      <c r="U356">
        <f t="shared" si="669"/>
        <v>17</v>
      </c>
      <c r="V356">
        <f t="shared" si="661"/>
        <v>59.23</v>
      </c>
      <c r="W356" s="13">
        <f t="shared" si="662"/>
        <v>2.0400000000000001E-2</v>
      </c>
      <c r="X356" s="13">
        <f t="shared" si="663"/>
        <v>1.0299999999999997E-2</v>
      </c>
      <c r="Y356">
        <f t="shared" si="655"/>
        <v>70.59</v>
      </c>
      <c r="Z356" s="13">
        <f t="shared" si="650"/>
        <v>2.92E-2</v>
      </c>
      <c r="AA356" s="13">
        <f t="shared" si="646"/>
        <v>5.7599999999999998E-2</v>
      </c>
      <c r="AB356" s="6">
        <f t="shared" si="656"/>
        <v>93.304000000000002</v>
      </c>
      <c r="AC356">
        <f t="shared" si="648"/>
        <v>47</v>
      </c>
      <c r="AD356" s="11">
        <f t="shared" si="649"/>
        <v>1</v>
      </c>
      <c r="AE356">
        <f t="shared" si="647"/>
        <v>20</v>
      </c>
      <c r="AF356">
        <f>IF(AND(AE356&lt;15,OR(AC356&gt;=30,AA356&gt;0.15,X356&gt;=0.15)),2,VLOOKUP(AE356,Table!P:Q,2,FALSE))</f>
        <v>3</v>
      </c>
      <c r="AG356" s="22">
        <f>IF((AB356*0.98)-(D356*0.8)+((AF356-3)*3)+VLOOKUP(AM356,Table!$A$11:$B$13,2,FALSE)&lt;0,0,(AB356*0.98)-(D356*0.8)+((AF356-3)*3)+VLOOKUP(AM356,Table!$A$11:$B$13,2,FALSE))</f>
        <v>75.309920000000005</v>
      </c>
      <c r="AH356" s="22">
        <f t="shared" si="678"/>
        <v>68</v>
      </c>
      <c r="AI356" s="18">
        <f t="shared" si="671"/>
        <v>0.02</v>
      </c>
      <c r="AJ356" s="18">
        <f t="shared" si="672"/>
        <v>0.05</v>
      </c>
      <c r="AK356" t="str">
        <f t="shared" si="657"/>
        <v/>
      </c>
      <c r="AL356">
        <f t="shared" si="668"/>
        <v>18.5</v>
      </c>
      <c r="AM356" s="11" t="str">
        <f t="shared" si="658"/>
        <v>Stocks</v>
      </c>
      <c r="AN356" t="str">
        <f t="shared" si="664"/>
        <v>Buy</v>
      </c>
      <c r="AO356" s="13">
        <f t="shared" si="665"/>
        <v>8.5000000000000006E-3</v>
      </c>
      <c r="AP356" s="13">
        <f t="shared" si="666"/>
        <v>0</v>
      </c>
      <c r="AQ356" s="13">
        <f t="shared" si="667"/>
        <v>5.7999999999999996E-3</v>
      </c>
      <c r="AR356" s="13">
        <f t="shared" si="659"/>
        <v>8.5000000000000006E-3</v>
      </c>
      <c r="AS356" s="6">
        <f t="shared" si="651"/>
        <v>312.16347246099929</v>
      </c>
      <c r="AT356" s="6">
        <f t="shared" si="652"/>
        <v>185.97425508967711</v>
      </c>
      <c r="AU356" s="6">
        <f t="shared" si="653"/>
        <v>513.25686627407106</v>
      </c>
      <c r="AV356" s="6">
        <f t="shared" si="654"/>
        <v>732.13573444286851</v>
      </c>
      <c r="AW356" s="58">
        <f t="shared" si="660"/>
        <v>2011</v>
      </c>
      <c r="AX356" s="58">
        <f>COUNTIF(AW$3:AW356,AW356)</f>
        <v>8</v>
      </c>
    </row>
    <row r="357" spans="1:50" x14ac:dyDescent="0.25">
      <c r="A357" s="5">
        <v>40846</v>
      </c>
      <c r="B357">
        <v>1285.0899999999999</v>
      </c>
      <c r="C357">
        <v>0.02</v>
      </c>
      <c r="D357" s="6">
        <v>24.53</v>
      </c>
      <c r="E357" s="18">
        <f t="shared" si="673"/>
        <v>28.03</v>
      </c>
      <c r="F357">
        <f t="shared" si="674"/>
        <v>-2</v>
      </c>
      <c r="G357" s="18">
        <f>ROUND(INDEX(Valuation!U:U,MATCH(A357,Valuation!A:A,0)),2)</f>
        <v>241.23</v>
      </c>
      <c r="H357">
        <f t="shared" si="681"/>
        <v>3</v>
      </c>
      <c r="I357" s="18">
        <f>INDEX(WeeklyIndicators!Y:Y,MATCH(A357,WeeklyIndicators!A:A,0))</f>
        <v>94.84</v>
      </c>
      <c r="J357">
        <f t="shared" si="670"/>
        <v>-2</v>
      </c>
      <c r="K357">
        <f>ROUND(INDEX(Economic!AF:AF,MATCH(EOMONTH($A357,-1),Economic!A:A,0)),2)</f>
        <v>58.64</v>
      </c>
      <c r="L357" s="11">
        <f t="shared" si="679"/>
        <v>-2</v>
      </c>
      <c r="M357">
        <f>ROUND(INDEX(Manufacturing!P:P,MATCH(EOMONTH($A357,-1),Manufacturing!A:A,0)),2)</f>
        <v>82.5</v>
      </c>
      <c r="N357">
        <f t="shared" si="675"/>
        <v>-1</v>
      </c>
      <c r="O357">
        <f>ROUND(INDEX(Housing!AC:AC,MATCH(EOMONTH($A357,-1),Housing!B:B,0)),2)</f>
        <v>75.25</v>
      </c>
      <c r="P357">
        <f t="shared" si="676"/>
        <v>-1</v>
      </c>
      <c r="Q357">
        <f>ROUND(INDEX(Spending!AJ:AJ,MATCH(EOMONTH($A357,-1),Spending!B:B,0)),2)</f>
        <v>55.83</v>
      </c>
      <c r="R357">
        <f t="shared" si="680"/>
        <v>1</v>
      </c>
      <c r="S357">
        <f>ROUND(INDEX(Employment!V:V,MATCH(EOMONTH($A357,-1),Employment!A:A,0)),2)</f>
        <v>150.22</v>
      </c>
      <c r="T357" s="11">
        <f t="shared" si="677"/>
        <v>0</v>
      </c>
      <c r="U357">
        <f t="shared" si="669"/>
        <v>16</v>
      </c>
      <c r="V357">
        <f t="shared" si="661"/>
        <v>57.95</v>
      </c>
      <c r="W357" s="13">
        <f t="shared" si="662"/>
        <v>1.2999999999999999E-2</v>
      </c>
      <c r="X357" s="13">
        <f t="shared" si="663"/>
        <v>-3.9E-2</v>
      </c>
      <c r="Y357">
        <f t="shared" si="655"/>
        <v>69.36</v>
      </c>
      <c r="Z357" s="13">
        <f t="shared" si="650"/>
        <v>3.1399999999999997E-2</v>
      </c>
      <c r="AA357" s="13">
        <f t="shared" si="646"/>
        <v>-2.9999999999999992E-3</v>
      </c>
      <c r="AB357" s="6">
        <f t="shared" si="656"/>
        <v>87.323000000000008</v>
      </c>
      <c r="AC357">
        <f t="shared" si="648"/>
        <v>44</v>
      </c>
      <c r="AD357" s="11">
        <f t="shared" si="649"/>
        <v>1</v>
      </c>
      <c r="AE357">
        <f t="shared" si="647"/>
        <v>19</v>
      </c>
      <c r="AF357">
        <f>IF(AND(AE357&lt;15,OR(AC357&gt;=30,AA357&gt;0.15,X357&gt;=0.15)),2,VLOOKUP(AE357,Table!P:Q,2,FALSE))</f>
        <v>2</v>
      </c>
      <c r="AG357" s="22">
        <f>IF((AB357*0.98)-(D357*0.8)+((AF357-3)*3)+VLOOKUP(AM357,Table!$A$11:$B$13,2,FALSE)&lt;0,0,(AB357*0.98)-(D357*0.8)+((AF357-3)*3)+VLOOKUP(AM357,Table!$A$11:$B$13,2,FALSE))</f>
        <v>70.952539999999999</v>
      </c>
      <c r="AH357" s="22">
        <f t="shared" si="678"/>
        <v>63</v>
      </c>
      <c r="AI357" s="18">
        <f t="shared" si="671"/>
        <v>0.02</v>
      </c>
      <c r="AJ357" s="18">
        <f t="shared" si="672"/>
        <v>0.05</v>
      </c>
      <c r="AK357" t="str">
        <f t="shared" si="657"/>
        <v/>
      </c>
      <c r="AL357">
        <f t="shared" si="668"/>
        <v>17.75</v>
      </c>
      <c r="AM357" s="11" t="str">
        <f t="shared" si="658"/>
        <v>Stocks</v>
      </c>
      <c r="AN357" t="str">
        <f t="shared" si="664"/>
        <v>Buy</v>
      </c>
      <c r="AO357" s="13">
        <f t="shared" si="665"/>
        <v>-2.4799999999999999E-2</v>
      </c>
      <c r="AP357" s="13">
        <f t="shared" si="666"/>
        <v>0</v>
      </c>
      <c r="AQ357" s="13">
        <f t="shared" si="667"/>
        <v>-1.5599999999999999E-2</v>
      </c>
      <c r="AR357" s="13">
        <f t="shared" si="659"/>
        <v>-2.4799999999999999E-2</v>
      </c>
      <c r="AS357" s="6">
        <f t="shared" si="651"/>
        <v>320.10200211341191</v>
      </c>
      <c r="AT357" s="6">
        <f t="shared" si="652"/>
        <v>185.97425508967711</v>
      </c>
      <c r="AU357" s="6">
        <f t="shared" si="653"/>
        <v>521.39055899438335</v>
      </c>
      <c r="AV357" s="6">
        <f t="shared" si="654"/>
        <v>750.7544446707019</v>
      </c>
      <c r="AW357" s="58">
        <f t="shared" si="660"/>
        <v>2011</v>
      </c>
      <c r="AX357" s="58">
        <f>COUNTIF(AW$3:AW357,AW357)</f>
        <v>9</v>
      </c>
    </row>
    <row r="358" spans="1:50" x14ac:dyDescent="0.25">
      <c r="A358" s="5">
        <v>40839</v>
      </c>
      <c r="B358">
        <v>1238.25</v>
      </c>
      <c r="C358">
        <v>0.03</v>
      </c>
      <c r="D358" s="6">
        <v>31.32</v>
      </c>
      <c r="E358" s="18">
        <f t="shared" si="673"/>
        <v>31.92</v>
      </c>
      <c r="F358">
        <f t="shared" si="674"/>
        <v>-2</v>
      </c>
      <c r="G358" s="18">
        <f>ROUND(INDEX(Valuation!U:U,MATCH(A358,Valuation!A:A,0)),2)</f>
        <v>242.84</v>
      </c>
      <c r="H358">
        <f t="shared" si="681"/>
        <v>3</v>
      </c>
      <c r="I358" s="18">
        <f>INDEX(WeeklyIndicators!Y:Y,MATCH(A358,WeeklyIndicators!A:A,0))</f>
        <v>82.4</v>
      </c>
      <c r="J358">
        <f t="shared" si="670"/>
        <v>-2</v>
      </c>
      <c r="K358">
        <f>ROUND(INDEX(Economic!AF:AF,MATCH(EOMONTH($A358,-1),Economic!A:A,0)),2)</f>
        <v>58.64</v>
      </c>
      <c r="L358" s="11">
        <f t="shared" si="679"/>
        <v>-2</v>
      </c>
      <c r="M358">
        <f>ROUND(INDEX(Manufacturing!P:P,MATCH(EOMONTH($A358,-1),Manufacturing!A:A,0)),2)</f>
        <v>82.5</v>
      </c>
      <c r="N358">
        <f t="shared" si="675"/>
        <v>-1</v>
      </c>
      <c r="O358">
        <f>ROUND(INDEX(Housing!AC:AC,MATCH(EOMONTH($A358,-1),Housing!B:B,0)),2)</f>
        <v>75.25</v>
      </c>
      <c r="P358">
        <f t="shared" si="676"/>
        <v>-1</v>
      </c>
      <c r="Q358">
        <f>ROUND(INDEX(Spending!AJ:AJ,MATCH(EOMONTH($A358,-1),Spending!B:B,0)),2)</f>
        <v>55.83</v>
      </c>
      <c r="R358">
        <f t="shared" si="680"/>
        <v>1</v>
      </c>
      <c r="S358">
        <f>ROUND(INDEX(Employment!V:V,MATCH(EOMONTH($A358,-1),Employment!A:A,0)),2)</f>
        <v>150.22</v>
      </c>
      <c r="T358" s="11">
        <f t="shared" si="677"/>
        <v>0</v>
      </c>
      <c r="U358">
        <f t="shared" si="669"/>
        <v>16</v>
      </c>
      <c r="V358">
        <f t="shared" si="661"/>
        <v>56.66</v>
      </c>
      <c r="W358" s="13">
        <f t="shared" si="662"/>
        <v>1.9E-3</v>
      </c>
      <c r="X358" s="13">
        <f t="shared" si="663"/>
        <v>-7.980000000000001E-2</v>
      </c>
      <c r="Y358">
        <f t="shared" si="655"/>
        <v>66.89</v>
      </c>
      <c r="Z358" s="13">
        <f t="shared" si="650"/>
        <v>1.46E-2</v>
      </c>
      <c r="AA358" s="13">
        <f t="shared" si="646"/>
        <v>-6.08E-2</v>
      </c>
      <c r="AB358" s="6">
        <f t="shared" si="656"/>
        <v>80.694000000000003</v>
      </c>
      <c r="AC358">
        <f t="shared" si="648"/>
        <v>40</v>
      </c>
      <c r="AD358" s="11">
        <f t="shared" si="649"/>
        <v>0</v>
      </c>
      <c r="AE358">
        <f t="shared" si="647"/>
        <v>18</v>
      </c>
      <c r="AF358">
        <f>IF(AND(AE358&lt;15,OR(AC358&gt;=30,AA358&gt;0.15,X358&gt;=0.15)),2,VLOOKUP(AE358,Table!P:Q,2,FALSE))</f>
        <v>2</v>
      </c>
      <c r="AG358" s="22">
        <f>IF((AB358*0.98)-(D358*0.8)+((AF358-3)*3)+VLOOKUP(AM358,Table!$A$11:$B$13,2,FALSE)&lt;0,0,(AB358*0.98)-(D358*0.8)+((AF358-3)*3)+VLOOKUP(AM358,Table!$A$11:$B$13,2,FALSE))</f>
        <v>59.024120000000011</v>
      </c>
      <c r="AH358" s="22">
        <f t="shared" si="678"/>
        <v>56</v>
      </c>
      <c r="AI358" s="18">
        <f t="shared" si="671"/>
        <v>0.02</v>
      </c>
      <c r="AJ358" s="18">
        <f t="shared" si="672"/>
        <v>0.06</v>
      </c>
      <c r="AK358" t="str">
        <f t="shared" si="657"/>
        <v/>
      </c>
      <c r="AL358">
        <f t="shared" si="668"/>
        <v>17.25</v>
      </c>
      <c r="AM358" s="11" t="str">
        <f t="shared" si="658"/>
        <v>Stocks</v>
      </c>
      <c r="AN358" t="str">
        <f t="shared" si="664"/>
        <v>Buy</v>
      </c>
      <c r="AO358" s="13">
        <f t="shared" si="665"/>
        <v>3.78E-2</v>
      </c>
      <c r="AP358" s="13">
        <f t="shared" si="666"/>
        <v>0</v>
      </c>
      <c r="AQ358" s="13">
        <f t="shared" si="667"/>
        <v>2.12E-2</v>
      </c>
      <c r="AR358" s="13">
        <f t="shared" si="659"/>
        <v>3.78E-2</v>
      </c>
      <c r="AS358" s="6">
        <f t="shared" si="651"/>
        <v>308.44286193236837</v>
      </c>
      <c r="AT358" s="6">
        <f t="shared" si="652"/>
        <v>185.97425508967711</v>
      </c>
      <c r="AU358" s="6">
        <f t="shared" si="653"/>
        <v>510.56654817311335</v>
      </c>
      <c r="AV358" s="6">
        <f t="shared" si="654"/>
        <v>723.40956318240683</v>
      </c>
      <c r="AW358" s="58">
        <f t="shared" si="660"/>
        <v>2011</v>
      </c>
      <c r="AX358" s="58">
        <f>COUNTIF(AW$3:AW358,AW358)</f>
        <v>10</v>
      </c>
    </row>
    <row r="359" spans="1:50" x14ac:dyDescent="0.25">
      <c r="A359" s="5">
        <v>40832</v>
      </c>
      <c r="B359">
        <v>1224.58</v>
      </c>
      <c r="C359">
        <v>0.02</v>
      </c>
      <c r="D359" s="6">
        <v>28.24</v>
      </c>
      <c r="E359" s="18">
        <f t="shared" si="673"/>
        <v>35.799999999999997</v>
      </c>
      <c r="F359">
        <f t="shared" si="674"/>
        <v>-3</v>
      </c>
      <c r="G359" s="18">
        <f>ROUND(INDEX(Valuation!U:U,MATCH(A359,Valuation!A:A,0)),2)</f>
        <v>243.51</v>
      </c>
      <c r="H359">
        <f t="shared" si="681"/>
        <v>3</v>
      </c>
      <c r="I359" s="18">
        <f>INDEX(WeeklyIndicators!Y:Y,MATCH(A359,WeeklyIndicators!A:A,0))</f>
        <v>73.8</v>
      </c>
      <c r="J359">
        <f t="shared" si="670"/>
        <v>-2</v>
      </c>
      <c r="K359">
        <f>ROUND(INDEX(Economic!AF:AF,MATCH(EOMONTH($A359,-1),Economic!A:A,0)),2)</f>
        <v>58.64</v>
      </c>
      <c r="L359" s="11">
        <f t="shared" si="679"/>
        <v>-2</v>
      </c>
      <c r="M359">
        <f>ROUND(INDEX(Manufacturing!P:P,MATCH(EOMONTH($A359,-1),Manufacturing!A:A,0)),2)</f>
        <v>82.5</v>
      </c>
      <c r="N359">
        <f t="shared" si="675"/>
        <v>-1</v>
      </c>
      <c r="O359">
        <f>ROUND(INDEX(Housing!AC:AC,MATCH(EOMONTH($A359,-1),Housing!B:B,0)),2)</f>
        <v>75.25</v>
      </c>
      <c r="P359">
        <f t="shared" si="676"/>
        <v>-1</v>
      </c>
      <c r="Q359">
        <f>ROUND(INDEX(Spending!AJ:AJ,MATCH(EOMONTH($A359,-1),Spending!B:B,0)),2)</f>
        <v>55.83</v>
      </c>
      <c r="R359">
        <f t="shared" si="680"/>
        <v>1</v>
      </c>
      <c r="S359">
        <f>ROUND(INDEX(Employment!V:V,MATCH(EOMONTH($A359,-1),Employment!A:A,0)),2)</f>
        <v>150.22</v>
      </c>
      <c r="T359" s="11">
        <f t="shared" si="677"/>
        <v>0</v>
      </c>
      <c r="U359">
        <f t="shared" si="669"/>
        <v>15</v>
      </c>
      <c r="V359">
        <f t="shared" si="661"/>
        <v>55.76</v>
      </c>
      <c r="W359" s="13">
        <f t="shared" si="662"/>
        <v>-2.5000000000000001E-2</v>
      </c>
      <c r="X359" s="13">
        <f t="shared" si="663"/>
        <v>-8.8999999999999996E-2</v>
      </c>
      <c r="Y359">
        <f t="shared" si="655"/>
        <v>64.72</v>
      </c>
      <c r="Z359" s="13">
        <f t="shared" si="650"/>
        <v>-1.7600000000000001E-2</v>
      </c>
      <c r="AA359" s="13">
        <f t="shared" si="646"/>
        <v>-7.9000000000000001E-2</v>
      </c>
      <c r="AB359" s="6">
        <f t="shared" si="656"/>
        <v>77.251000000000005</v>
      </c>
      <c r="AC359">
        <f t="shared" si="648"/>
        <v>39</v>
      </c>
      <c r="AD359" s="11">
        <f t="shared" si="649"/>
        <v>0</v>
      </c>
      <c r="AE359">
        <f t="shared" si="647"/>
        <v>17</v>
      </c>
      <c r="AF359">
        <f>IF(AND(AE359&lt;15,OR(AC359&gt;=30,AA359&gt;0.15,X359&gt;=0.15)),2,VLOOKUP(AE359,Table!P:Q,2,FALSE))</f>
        <v>2</v>
      </c>
      <c r="AG359" s="22">
        <f>IF((AB359*0.98)-(D359*0.8)+((AF359-3)*3)+VLOOKUP(AM359,Table!$A$11:$B$13,2,FALSE)&lt;0,0,(AB359*0.98)-(D359*0.8)+((AF359-3)*3)+VLOOKUP(AM359,Table!$A$11:$B$13,2,FALSE))</f>
        <v>58.113979999999998</v>
      </c>
      <c r="AH359" s="22">
        <f t="shared" si="678"/>
        <v>52</v>
      </c>
      <c r="AI359" s="18">
        <f t="shared" si="671"/>
        <v>0.02</v>
      </c>
      <c r="AJ359" s="18">
        <f t="shared" si="672"/>
        <v>0.06</v>
      </c>
      <c r="AK359" t="str">
        <f t="shared" si="657"/>
        <v/>
      </c>
      <c r="AL359">
        <f t="shared" si="668"/>
        <v>17</v>
      </c>
      <c r="AM359" s="11" t="str">
        <f t="shared" si="658"/>
        <v>Stocks</v>
      </c>
      <c r="AN359" t="str">
        <f t="shared" si="664"/>
        <v>Buy</v>
      </c>
      <c r="AO359" s="13">
        <f t="shared" si="665"/>
        <v>1.12E-2</v>
      </c>
      <c r="AP359" s="13">
        <f t="shared" si="666"/>
        <v>0</v>
      </c>
      <c r="AQ359" s="13">
        <f t="shared" si="667"/>
        <v>5.7999999999999996E-3</v>
      </c>
      <c r="AR359" s="13">
        <f t="shared" si="659"/>
        <v>1.12E-2</v>
      </c>
      <c r="AS359" s="6">
        <f t="shared" si="651"/>
        <v>305.02656441096553</v>
      </c>
      <c r="AT359" s="6">
        <f t="shared" si="652"/>
        <v>185.97425508967711</v>
      </c>
      <c r="AU359" s="6">
        <f t="shared" si="653"/>
        <v>507.62233860918008</v>
      </c>
      <c r="AV359" s="6">
        <f t="shared" si="654"/>
        <v>715.39711548893069</v>
      </c>
      <c r="AW359" s="58">
        <f t="shared" si="660"/>
        <v>2011</v>
      </c>
      <c r="AX359" s="58">
        <f>COUNTIF(AW$3:AW359,AW359)</f>
        <v>11</v>
      </c>
    </row>
    <row r="360" spans="1:50" x14ac:dyDescent="0.25">
      <c r="A360" s="5">
        <v>40825</v>
      </c>
      <c r="B360">
        <v>1155.46</v>
      </c>
      <c r="C360">
        <v>0.01</v>
      </c>
      <c r="D360" s="6">
        <v>36.200000000000003</v>
      </c>
      <c r="E360" s="18">
        <f t="shared" si="673"/>
        <v>40.14</v>
      </c>
      <c r="F360">
        <f t="shared" si="674"/>
        <v>-3</v>
      </c>
      <c r="G360" s="18">
        <f>ROUND(INDEX(Valuation!U:U,MATCH(A360,Valuation!A:A,0)),2)</f>
        <v>243.96</v>
      </c>
      <c r="H360">
        <f t="shared" si="681"/>
        <v>3</v>
      </c>
      <c r="I360" s="18">
        <f>INDEX(WeeklyIndicators!Y:Y,MATCH(A360,WeeklyIndicators!A:A,0))</f>
        <v>73.81</v>
      </c>
      <c r="J360">
        <f t="shared" si="670"/>
        <v>-2</v>
      </c>
      <c r="K360">
        <f>ROUND(INDEX(Economic!AF:AF,MATCH(EOMONTH($A360,-1),Economic!A:A,0)),2)</f>
        <v>58.64</v>
      </c>
      <c r="L360" s="11">
        <f t="shared" si="679"/>
        <v>-2</v>
      </c>
      <c r="M360">
        <f>ROUND(INDEX(Manufacturing!P:P,MATCH(EOMONTH($A360,-1),Manufacturing!A:A,0)),2)</f>
        <v>82.5</v>
      </c>
      <c r="N360">
        <f t="shared" si="675"/>
        <v>-1</v>
      </c>
      <c r="O360">
        <f>ROUND(INDEX(Housing!AC:AC,MATCH(EOMONTH($A360,-1),Housing!B:B,0)),2)</f>
        <v>75.25</v>
      </c>
      <c r="P360">
        <f t="shared" si="676"/>
        <v>-1</v>
      </c>
      <c r="Q360">
        <f>ROUND(INDEX(Spending!AJ:AJ,MATCH(EOMONTH($A360,-1),Spending!B:B,0)),2)</f>
        <v>55.83</v>
      </c>
      <c r="R360">
        <f t="shared" si="680"/>
        <v>1</v>
      </c>
      <c r="S360">
        <f>ROUND(INDEX(Employment!V:V,MATCH(EOMONTH($A360,-1),Employment!A:A,0)),2)</f>
        <v>150.22</v>
      </c>
      <c r="T360" s="11">
        <f t="shared" si="677"/>
        <v>0</v>
      </c>
      <c r="U360">
        <f t="shared" si="669"/>
        <v>15</v>
      </c>
      <c r="V360">
        <f t="shared" si="661"/>
        <v>55.77</v>
      </c>
      <c r="W360" s="13">
        <f t="shared" si="662"/>
        <v>-2.8899999999999999E-2</v>
      </c>
      <c r="X360" s="13">
        <f t="shared" si="663"/>
        <v>-8.3900000000000002E-2</v>
      </c>
      <c r="Y360">
        <f t="shared" si="655"/>
        <v>63.25</v>
      </c>
      <c r="Z360" s="13">
        <f t="shared" si="650"/>
        <v>-3.1399999999999997E-2</v>
      </c>
      <c r="AA360" s="13">
        <f t="shared" si="646"/>
        <v>-7.1399999999999991E-2</v>
      </c>
      <c r="AB360" s="6">
        <f t="shared" si="656"/>
        <v>76.38600000000001</v>
      </c>
      <c r="AC360">
        <f t="shared" si="648"/>
        <v>38</v>
      </c>
      <c r="AD360" s="11">
        <f t="shared" si="649"/>
        <v>0</v>
      </c>
      <c r="AE360">
        <f t="shared" si="647"/>
        <v>17</v>
      </c>
      <c r="AF360">
        <f>IF(AND(AE360&lt;15,OR(AC360&gt;=30,AA360&gt;0.15,X360&gt;=0.15)),2,VLOOKUP(AE360,Table!P:Q,2,FALSE))</f>
        <v>2</v>
      </c>
      <c r="AG360" s="22">
        <f>IF((AB360*0.98)-(D360*0.8)+((AF360-3)*3)+VLOOKUP(AM360,Table!$A$11:$B$13,2,FALSE)&lt;0,0,(AB360*0.98)-(D360*0.8)+((AF360-3)*3)+VLOOKUP(AM360,Table!$A$11:$B$13,2,FALSE))</f>
        <v>50.89828</v>
      </c>
      <c r="AH360" s="22">
        <f t="shared" si="678"/>
        <v>50</v>
      </c>
      <c r="AI360" s="18">
        <f t="shared" si="671"/>
        <v>0.02</v>
      </c>
      <c r="AJ360" s="18">
        <f t="shared" si="672"/>
        <v>0.06</v>
      </c>
      <c r="AK360" t="str">
        <f t="shared" si="657"/>
        <v/>
      </c>
      <c r="AL360">
        <f t="shared" si="668"/>
        <v>17.5</v>
      </c>
      <c r="AM360" s="11" t="str">
        <f t="shared" si="658"/>
        <v>Stocks</v>
      </c>
      <c r="AN360" t="str">
        <f t="shared" si="664"/>
        <v>Sell</v>
      </c>
      <c r="AO360" s="13">
        <f t="shared" si="665"/>
        <v>5.9799999999999999E-2</v>
      </c>
      <c r="AP360" s="13">
        <f t="shared" si="666"/>
        <v>0</v>
      </c>
      <c r="AQ360" s="13">
        <f t="shared" si="667"/>
        <v>2.9899999999999999E-2</v>
      </c>
      <c r="AR360" s="13">
        <f t="shared" si="659"/>
        <v>5.9799999999999999E-2</v>
      </c>
      <c r="AS360" s="6">
        <f t="shared" si="651"/>
        <v>287.81521457913334</v>
      </c>
      <c r="AT360" s="6">
        <f t="shared" si="652"/>
        <v>185.97425508967711</v>
      </c>
      <c r="AU360" s="6">
        <f t="shared" si="653"/>
        <v>492.88507487055057</v>
      </c>
      <c r="AV360" s="6">
        <f t="shared" si="654"/>
        <v>675.03030334867958</v>
      </c>
      <c r="AW360" s="58">
        <f t="shared" si="660"/>
        <v>2011</v>
      </c>
      <c r="AX360" s="58">
        <f>COUNTIF(AW$3:AW360,AW360)</f>
        <v>12</v>
      </c>
    </row>
    <row r="361" spans="1:50" x14ac:dyDescent="0.25">
      <c r="A361" s="5">
        <v>40818</v>
      </c>
      <c r="B361">
        <v>1131.42</v>
      </c>
      <c r="C361">
        <v>0.02</v>
      </c>
      <c r="D361" s="6">
        <v>42.96</v>
      </c>
      <c r="E361" s="18">
        <f t="shared" si="673"/>
        <v>38.4</v>
      </c>
      <c r="F361">
        <f t="shared" si="674"/>
        <v>-3</v>
      </c>
      <c r="G361" s="18">
        <f>ROUND(INDEX(Valuation!U:U,MATCH(A361,Valuation!A:A,0)),2)</f>
        <v>240.82</v>
      </c>
      <c r="H361">
        <f t="shared" si="681"/>
        <v>3</v>
      </c>
      <c r="I361" s="18">
        <f>INDEX(WeeklyIndicators!Y:Y,MATCH(A361,WeeklyIndicators!A:A,0))</f>
        <v>79.39</v>
      </c>
      <c r="J361">
        <f t="shared" si="670"/>
        <v>-2</v>
      </c>
      <c r="K361">
        <f>ROUND(INDEX(Economic!AF:AF,MATCH(EOMONTH($A361,-1),Economic!A:A,0)),2)</f>
        <v>58.64</v>
      </c>
      <c r="L361" s="11">
        <f t="shared" si="679"/>
        <v>-2</v>
      </c>
      <c r="M361">
        <f>ROUND(INDEX(Manufacturing!P:P,MATCH(EOMONTH($A361,-1),Manufacturing!A:A,0)),2)</f>
        <v>82.5</v>
      </c>
      <c r="N361">
        <f t="shared" si="675"/>
        <v>-1</v>
      </c>
      <c r="O361">
        <f>ROUND(INDEX(Housing!AC:AC,MATCH(EOMONTH($A361,-1),Housing!B:B,0)),2)</f>
        <v>75.25</v>
      </c>
      <c r="P361">
        <f t="shared" si="676"/>
        <v>-1</v>
      </c>
      <c r="Q361">
        <f>ROUND(INDEX(Spending!AJ:AJ,MATCH(EOMONTH($A361,-1),Spending!B:B,0)),2)</f>
        <v>55.83</v>
      </c>
      <c r="R361">
        <f t="shared" si="680"/>
        <v>1</v>
      </c>
      <c r="S361">
        <f>ROUND(INDEX(Employment!V:V,MATCH(EOMONTH($A361,-1),Employment!A:A,0)),2)</f>
        <v>150.22</v>
      </c>
      <c r="T361" s="11">
        <f t="shared" si="677"/>
        <v>0</v>
      </c>
      <c r="U361">
        <f t="shared" si="669"/>
        <v>15</v>
      </c>
      <c r="V361">
        <f t="shared" si="661"/>
        <v>56.34</v>
      </c>
      <c r="W361" s="13">
        <f t="shared" si="662"/>
        <v>-2.7799999999999998E-2</v>
      </c>
      <c r="X361" s="13">
        <f t="shared" si="663"/>
        <v>-7.4800000000000005E-2</v>
      </c>
      <c r="Y361">
        <f t="shared" si="655"/>
        <v>64.09</v>
      </c>
      <c r="Z361" s="13">
        <f t="shared" si="650"/>
        <v>-2.64E-2</v>
      </c>
      <c r="AA361" s="13">
        <f t="shared" si="646"/>
        <v>-5.3199999999999997E-2</v>
      </c>
      <c r="AB361" s="6">
        <f t="shared" si="656"/>
        <v>78.24199999999999</v>
      </c>
      <c r="AC361">
        <f t="shared" si="648"/>
        <v>39</v>
      </c>
      <c r="AD361" s="11">
        <f t="shared" si="649"/>
        <v>0</v>
      </c>
      <c r="AE361">
        <f t="shared" si="647"/>
        <v>17</v>
      </c>
      <c r="AF361">
        <f>IF(AND(AE361&lt;15,OR(AC361&gt;=30,AA361&gt;0.15,X361&gt;=0.15)),2,VLOOKUP(AE361,Table!P:Q,2,FALSE))</f>
        <v>2</v>
      </c>
      <c r="AG361" s="22">
        <f>IF((AB361*0.98)-(D361*0.8)+((AF361-3)*3)+VLOOKUP(AM361,Table!$A$11:$B$13,2,FALSE)&lt;0,0,(AB361*0.98)-(D361*0.8)+((AF361-3)*3)+VLOOKUP(AM361,Table!$A$11:$B$13,2,FALSE))</f>
        <v>47.309159999999984</v>
      </c>
      <c r="AH361" s="22">
        <f t="shared" si="678"/>
        <v>54</v>
      </c>
      <c r="AI361" s="18">
        <f t="shared" si="671"/>
        <v>0.02</v>
      </c>
      <c r="AJ361" s="18">
        <f t="shared" si="672"/>
        <v>7.0000000000000007E-2</v>
      </c>
      <c r="AK361" t="str">
        <f t="shared" si="657"/>
        <v/>
      </c>
      <c r="AL361">
        <f t="shared" si="668"/>
        <v>17.75</v>
      </c>
      <c r="AM361" s="11" t="str">
        <f t="shared" si="658"/>
        <v>Stocks</v>
      </c>
      <c r="AN361" t="str">
        <f t="shared" si="664"/>
        <v>Sell</v>
      </c>
      <c r="AO361" s="13">
        <f t="shared" si="665"/>
        <v>2.12E-2</v>
      </c>
      <c r="AP361" s="13">
        <f t="shared" si="666"/>
        <v>0</v>
      </c>
      <c r="AQ361" s="13">
        <f t="shared" si="667"/>
        <v>1.14E-2</v>
      </c>
      <c r="AR361" s="13">
        <f t="shared" si="659"/>
        <v>2.12E-2</v>
      </c>
      <c r="AS361" s="6">
        <f t="shared" si="651"/>
        <v>281.84020229057313</v>
      </c>
      <c r="AT361" s="6">
        <f t="shared" si="652"/>
        <v>185.97425508967711</v>
      </c>
      <c r="AU361" s="6">
        <f t="shared" si="653"/>
        <v>487.32951836123249</v>
      </c>
      <c r="AV361" s="6">
        <f t="shared" si="654"/>
        <v>661.01674828503678</v>
      </c>
      <c r="AW361" s="58">
        <f t="shared" si="660"/>
        <v>2011</v>
      </c>
      <c r="AX361" s="58">
        <f>COUNTIF(AW$3:AW361,AW361)</f>
        <v>13</v>
      </c>
    </row>
    <row r="362" spans="1:50" x14ac:dyDescent="0.25">
      <c r="A362" s="5">
        <v>40811</v>
      </c>
      <c r="B362">
        <v>1136.43</v>
      </c>
      <c r="C362">
        <v>0.01</v>
      </c>
      <c r="D362" s="6">
        <v>41.25</v>
      </c>
      <c r="E362" s="18">
        <f t="shared" si="673"/>
        <v>36.92</v>
      </c>
      <c r="F362">
        <f t="shared" si="674"/>
        <v>-3</v>
      </c>
      <c r="G362" s="18">
        <f>ROUND(INDEX(Valuation!U:U,MATCH(A362,Valuation!A:A,0)),2)</f>
        <v>239.26</v>
      </c>
      <c r="H362">
        <f t="shared" si="681"/>
        <v>3</v>
      </c>
      <c r="I362" s="18">
        <f>INDEX(WeeklyIndicators!Y:Y,MATCH(A362,WeeklyIndicators!A:A,0))</f>
        <v>88.48</v>
      </c>
      <c r="J362">
        <f t="shared" si="670"/>
        <v>-2</v>
      </c>
      <c r="K362">
        <f>ROUND(INDEX(Economic!AF:AF,MATCH(EOMONTH($A362,-1),Economic!A:A,0)),2)</f>
        <v>72.849999999999994</v>
      </c>
      <c r="L362" s="11">
        <f t="shared" si="679"/>
        <v>-2</v>
      </c>
      <c r="M362">
        <f>ROUND(INDEX(Manufacturing!P:P,MATCH(EOMONTH($A362,-1),Manufacturing!A:A,0)),2)</f>
        <v>85.38</v>
      </c>
      <c r="N362">
        <f t="shared" si="675"/>
        <v>0</v>
      </c>
      <c r="O362">
        <f>ROUND(INDEX(Housing!AC:AC,MATCH(EOMONTH($A362,-1),Housing!B:B,0)),2)</f>
        <v>67.62</v>
      </c>
      <c r="P362">
        <f t="shared" si="676"/>
        <v>-2</v>
      </c>
      <c r="Q362">
        <f>ROUND(INDEX(Spending!AJ:AJ,MATCH(EOMONTH($A362,-1),Spending!B:B,0)),2)</f>
        <v>59.55</v>
      </c>
      <c r="R362">
        <f t="shared" si="680"/>
        <v>1</v>
      </c>
      <c r="S362">
        <f>ROUND(INDEX(Employment!V:V,MATCH(EOMONTH($A362,-1),Employment!A:A,0)),2)</f>
        <v>157.1</v>
      </c>
      <c r="T362" s="11">
        <f t="shared" si="677"/>
        <v>0</v>
      </c>
      <c r="U362">
        <f t="shared" si="669"/>
        <v>15</v>
      </c>
      <c r="V362">
        <f t="shared" si="661"/>
        <v>60.07</v>
      </c>
      <c r="W362" s="13">
        <f t="shared" si="662"/>
        <v>-7.3000000000000001E-3</v>
      </c>
      <c r="X362" s="13">
        <f t="shared" si="663"/>
        <v>-7.0099999999999996E-2</v>
      </c>
      <c r="Y362">
        <f t="shared" si="655"/>
        <v>68.16</v>
      </c>
      <c r="Z362" s="13">
        <f t="shared" si="650"/>
        <v>-3.5999999999999999E-3</v>
      </c>
      <c r="AA362" s="13">
        <f t="shared" si="646"/>
        <v>-5.3999999999999999E-2</v>
      </c>
      <c r="AB362" s="6">
        <f t="shared" si="656"/>
        <v>82.266000000000005</v>
      </c>
      <c r="AC362">
        <f t="shared" si="648"/>
        <v>41</v>
      </c>
      <c r="AD362" s="11">
        <f t="shared" si="649"/>
        <v>0</v>
      </c>
      <c r="AE362">
        <f t="shared" si="647"/>
        <v>17</v>
      </c>
      <c r="AF362">
        <f>IF(AND(AE362&lt;15,OR(AC362&gt;=30,AA362&gt;0.15,X362&gt;=0.15)),2,VLOOKUP(AE362,Table!P:Q,2,FALSE))</f>
        <v>2</v>
      </c>
      <c r="AG362" s="22">
        <f>IF((AB362*0.98)-(D362*0.8)+((AF362-3)*3)+VLOOKUP(AM362,Table!$A$11:$B$13,2,FALSE)&lt;0,0,(AB362*0.98)-(D362*0.8)+((AF362-3)*3)+VLOOKUP(AM362,Table!$A$11:$B$13,2,FALSE))</f>
        <v>52.620680000000007</v>
      </c>
      <c r="AH362" s="22">
        <f t="shared" si="678"/>
        <v>55</v>
      </c>
      <c r="AI362" s="18">
        <f t="shared" si="671"/>
        <v>0.02</v>
      </c>
      <c r="AJ362" s="18">
        <f t="shared" si="672"/>
        <v>7.0000000000000007E-2</v>
      </c>
      <c r="AK362" t="str">
        <f t="shared" si="657"/>
        <v/>
      </c>
      <c r="AL362">
        <f t="shared" si="668"/>
        <v>18</v>
      </c>
      <c r="AM362" s="11" t="str">
        <f t="shared" si="658"/>
        <v>Stocks</v>
      </c>
      <c r="AN362" t="str">
        <f t="shared" si="664"/>
        <v>Sell</v>
      </c>
      <c r="AO362" s="13">
        <f t="shared" si="665"/>
        <v>-4.4000000000000003E-3</v>
      </c>
      <c r="AP362" s="13">
        <f t="shared" si="666"/>
        <v>0</v>
      </c>
      <c r="AQ362" s="13">
        <f t="shared" si="667"/>
        <v>-2.3999999999999998E-3</v>
      </c>
      <c r="AR362" s="13">
        <f t="shared" si="659"/>
        <v>-4.4000000000000003E-3</v>
      </c>
      <c r="AS362" s="6">
        <f t="shared" si="651"/>
        <v>283.08577972134702</v>
      </c>
      <c r="AT362" s="6">
        <f t="shared" si="652"/>
        <v>185.97425508967711</v>
      </c>
      <c r="AU362" s="6">
        <f t="shared" si="653"/>
        <v>488.50192297637579</v>
      </c>
      <c r="AV362" s="6">
        <f t="shared" si="654"/>
        <v>663.93807581863882</v>
      </c>
      <c r="AW362" s="58">
        <f t="shared" si="660"/>
        <v>2011</v>
      </c>
      <c r="AX362" s="58">
        <f>COUNTIF(AW$3:AW362,AW362)</f>
        <v>14</v>
      </c>
    </row>
    <row r="363" spans="1:50" x14ac:dyDescent="0.25">
      <c r="A363" s="5">
        <v>40804</v>
      </c>
      <c r="B363">
        <v>1216.01</v>
      </c>
      <c r="C363">
        <v>0.01</v>
      </c>
      <c r="D363" s="6">
        <v>30.98</v>
      </c>
      <c r="E363" s="18">
        <f t="shared" si="673"/>
        <v>34.47</v>
      </c>
      <c r="F363">
        <f t="shared" si="674"/>
        <v>-2</v>
      </c>
      <c r="G363" s="18">
        <f>ROUND(INDEX(Valuation!U:U,MATCH(A363,Valuation!A:A,0)),2)</f>
        <v>237.11</v>
      </c>
      <c r="H363">
        <f t="shared" si="681"/>
        <v>3</v>
      </c>
      <c r="I363" s="18">
        <f>INDEX(WeeklyIndicators!Y:Y,MATCH(A363,WeeklyIndicators!A:A,0))</f>
        <v>96.36</v>
      </c>
      <c r="J363">
        <f t="shared" si="670"/>
        <v>-1</v>
      </c>
      <c r="K363">
        <f>ROUND(INDEX(Economic!AF:AF,MATCH(EOMONTH($A363,-1),Economic!A:A,0)),2)</f>
        <v>72.849999999999994</v>
      </c>
      <c r="L363" s="11">
        <f t="shared" si="679"/>
        <v>-2</v>
      </c>
      <c r="M363">
        <f>ROUND(INDEX(Manufacturing!P:P,MATCH(EOMONTH($A363,-1),Manufacturing!A:A,0)),2)</f>
        <v>85.38</v>
      </c>
      <c r="N363">
        <f t="shared" si="675"/>
        <v>0</v>
      </c>
      <c r="O363">
        <f>ROUND(INDEX(Housing!AC:AC,MATCH(EOMONTH($A363,-1),Housing!B:B,0)),2)</f>
        <v>67.62</v>
      </c>
      <c r="P363">
        <f t="shared" si="676"/>
        <v>-2</v>
      </c>
      <c r="Q363">
        <f>ROUND(INDEX(Spending!AJ:AJ,MATCH(EOMONTH($A363,-1),Spending!B:B,0)),2)</f>
        <v>59.55</v>
      </c>
      <c r="R363">
        <f t="shared" si="680"/>
        <v>1</v>
      </c>
      <c r="S363">
        <f>ROUND(INDEX(Employment!V:V,MATCH(EOMONTH($A363,-1),Employment!A:A,0)),2)</f>
        <v>157.1</v>
      </c>
      <c r="T363" s="11">
        <f t="shared" si="677"/>
        <v>0</v>
      </c>
      <c r="U363">
        <f t="shared" si="669"/>
        <v>17</v>
      </c>
      <c r="V363">
        <f t="shared" si="661"/>
        <v>60.89</v>
      </c>
      <c r="W363" s="13">
        <f t="shared" si="662"/>
        <v>-1.9900000000000001E-2</v>
      </c>
      <c r="X363" s="13">
        <f t="shared" si="663"/>
        <v>-7.0099999999999996E-2</v>
      </c>
      <c r="Y363">
        <f t="shared" si="655"/>
        <v>69.59</v>
      </c>
      <c r="Z363" s="13">
        <f t="shared" si="650"/>
        <v>-0.01</v>
      </c>
      <c r="AA363" s="13">
        <f t="shared" si="646"/>
        <v>-7.2300000000000003E-2</v>
      </c>
      <c r="AB363" s="6">
        <f t="shared" si="656"/>
        <v>82.280999999999992</v>
      </c>
      <c r="AC363">
        <f t="shared" si="648"/>
        <v>41</v>
      </c>
      <c r="AD363" s="11">
        <f t="shared" si="649"/>
        <v>0</v>
      </c>
      <c r="AE363">
        <f t="shared" si="647"/>
        <v>19</v>
      </c>
      <c r="AF363">
        <f>IF(AND(AE363&lt;15,OR(AC363&gt;=30,AA363&gt;0.15,X363&gt;=0.15)),2,VLOOKUP(AE363,Table!P:Q,2,FALSE))</f>
        <v>2</v>
      </c>
      <c r="AG363" s="22">
        <f>IF((AB363*0.98)-(D363*0.8)+((AF363-3)*3)+VLOOKUP(AM363,Table!$A$11:$B$13,2,FALSE)&lt;0,0,(AB363*0.98)-(D363*0.8)+((AF363-3)*3)+VLOOKUP(AM363,Table!$A$11:$B$13,2,FALSE))</f>
        <v>60.851379999999978</v>
      </c>
      <c r="AH363" s="22">
        <f t="shared" si="678"/>
        <v>56</v>
      </c>
      <c r="AI363" s="18">
        <f t="shared" si="671"/>
        <v>0.03</v>
      </c>
      <c r="AJ363" s="18">
        <f t="shared" si="672"/>
        <v>7.0000000000000007E-2</v>
      </c>
      <c r="AK363" t="str">
        <f t="shared" si="657"/>
        <v/>
      </c>
      <c r="AL363">
        <f t="shared" si="668"/>
        <v>19</v>
      </c>
      <c r="AM363" s="11" t="str">
        <f t="shared" si="658"/>
        <v>Stocks</v>
      </c>
      <c r="AN363" t="str">
        <f t="shared" si="664"/>
        <v>Sell</v>
      </c>
      <c r="AO363" s="13">
        <f t="shared" si="665"/>
        <v>-6.54E-2</v>
      </c>
      <c r="AP363" s="13">
        <f t="shared" si="666"/>
        <v>0</v>
      </c>
      <c r="AQ363" s="13">
        <f t="shared" si="667"/>
        <v>-3.6600000000000001E-2</v>
      </c>
      <c r="AR363" s="13">
        <f t="shared" si="659"/>
        <v>-6.54E-2</v>
      </c>
      <c r="AS363" s="6">
        <f t="shared" si="651"/>
        <v>302.89512060918793</v>
      </c>
      <c r="AT363" s="6">
        <f t="shared" si="652"/>
        <v>185.97425508967711</v>
      </c>
      <c r="AU363" s="6">
        <f t="shared" si="653"/>
        <v>507.060331094432</v>
      </c>
      <c r="AV363" s="6">
        <f t="shared" si="654"/>
        <v>710.39811236747141</v>
      </c>
      <c r="AW363" s="58">
        <f t="shared" si="660"/>
        <v>2011</v>
      </c>
      <c r="AX363" s="58">
        <f>COUNTIF(AW$3:AW363,AW363)</f>
        <v>15</v>
      </c>
    </row>
    <row r="364" spans="1:50" x14ac:dyDescent="0.25">
      <c r="A364" s="5">
        <v>40797</v>
      </c>
      <c r="B364">
        <v>1154.23</v>
      </c>
      <c r="C364">
        <v>0.02</v>
      </c>
      <c r="D364" s="6">
        <v>38.520000000000003</v>
      </c>
      <c r="E364" s="18">
        <f t="shared" si="673"/>
        <v>36.01</v>
      </c>
      <c r="F364">
        <f t="shared" si="674"/>
        <v>-3</v>
      </c>
      <c r="G364" s="18">
        <f>ROUND(INDEX(Valuation!U:U,MATCH(A364,Valuation!A:A,0)),2)</f>
        <v>237.02</v>
      </c>
      <c r="H364">
        <f t="shared" si="681"/>
        <v>3</v>
      </c>
      <c r="I364" s="18">
        <f>INDEX(WeeklyIndicators!Y:Y,MATCH(A364,WeeklyIndicators!A:A,0))</f>
        <v>101.33</v>
      </c>
      <c r="J364">
        <f t="shared" si="670"/>
        <v>-1</v>
      </c>
      <c r="K364">
        <f>ROUND(INDEX(Economic!AF:AF,MATCH(EOMONTH($A364,-1),Economic!A:A,0)),2)</f>
        <v>72.849999999999994</v>
      </c>
      <c r="L364" s="11">
        <f t="shared" si="679"/>
        <v>-2</v>
      </c>
      <c r="M364">
        <f>ROUND(INDEX(Manufacturing!P:P,MATCH(EOMONTH($A364,-1),Manufacturing!A:A,0)),2)</f>
        <v>85.38</v>
      </c>
      <c r="N364">
        <f t="shared" si="675"/>
        <v>0</v>
      </c>
      <c r="O364">
        <f>ROUND(INDEX(Housing!AC:AC,MATCH(EOMONTH($A364,-1),Housing!B:B,0)),2)</f>
        <v>67.62</v>
      </c>
      <c r="P364">
        <f t="shared" si="676"/>
        <v>-2</v>
      </c>
      <c r="Q364">
        <f>ROUND(INDEX(Spending!AJ:AJ,MATCH(EOMONTH($A364,-1),Spending!B:B,0)),2)</f>
        <v>59.55</v>
      </c>
      <c r="R364">
        <f t="shared" si="680"/>
        <v>1</v>
      </c>
      <c r="S364">
        <f>ROUND(INDEX(Employment!V:V,MATCH(EOMONTH($A364,-1),Employment!A:A,0)),2)</f>
        <v>157.1</v>
      </c>
      <c r="T364" s="11">
        <f t="shared" si="677"/>
        <v>0</v>
      </c>
      <c r="U364">
        <f t="shared" si="669"/>
        <v>16</v>
      </c>
      <c r="V364">
        <f t="shared" si="661"/>
        <v>61.41</v>
      </c>
      <c r="W364" s="13">
        <f t="shared" si="662"/>
        <v>-1.9800000000000002E-2</v>
      </c>
      <c r="X364" s="13">
        <f t="shared" si="663"/>
        <v>-7.3599999999999999E-2</v>
      </c>
      <c r="Y364">
        <f t="shared" si="655"/>
        <v>69.56</v>
      </c>
      <c r="Z364" s="13">
        <f t="shared" si="650"/>
        <v>-1.32E-2</v>
      </c>
      <c r="AA364" s="13">
        <f t="shared" si="646"/>
        <v>-0.10239999999999999</v>
      </c>
      <c r="AB364" s="6">
        <f t="shared" si="656"/>
        <v>80.212000000000003</v>
      </c>
      <c r="AC364">
        <f t="shared" si="648"/>
        <v>40</v>
      </c>
      <c r="AD364" s="11">
        <f t="shared" si="649"/>
        <v>0</v>
      </c>
      <c r="AE364">
        <f t="shared" si="647"/>
        <v>18</v>
      </c>
      <c r="AF364">
        <f>IF(AND(AE364&lt;15,OR(AC364&gt;=30,AA364&gt;0.15,X364&gt;=0.15)),2,VLOOKUP(AE364,Table!P:Q,2,FALSE))</f>
        <v>2</v>
      </c>
      <c r="AG364" s="22">
        <f>IF((AB364*0.98)-(D364*0.8)+((AF364-3)*3)+VLOOKUP(AM364,Table!$A$11:$B$13,2,FALSE)&lt;0,0,(AB364*0.98)-(D364*0.8)+((AF364-3)*3)+VLOOKUP(AM364,Table!$A$11:$B$13,2,FALSE))</f>
        <v>52.791759999999996</v>
      </c>
      <c r="AH364" s="22">
        <f t="shared" si="678"/>
        <v>55</v>
      </c>
      <c r="AI364" s="18">
        <f t="shared" si="671"/>
        <v>0.03</v>
      </c>
      <c r="AJ364" s="18">
        <f t="shared" si="672"/>
        <v>0.08</v>
      </c>
      <c r="AK364" t="str">
        <f t="shared" si="657"/>
        <v/>
      </c>
      <c r="AL364">
        <f t="shared" si="668"/>
        <v>19.5</v>
      </c>
      <c r="AM364" s="11" t="str">
        <f t="shared" si="658"/>
        <v>Stocks</v>
      </c>
      <c r="AN364" t="str">
        <f t="shared" si="664"/>
        <v>Sell</v>
      </c>
      <c r="AO364" s="13">
        <f t="shared" si="665"/>
        <v>5.3499999999999999E-2</v>
      </c>
      <c r="AP364" s="13">
        <f t="shared" si="666"/>
        <v>0</v>
      </c>
      <c r="AQ364" s="13">
        <f t="shared" si="667"/>
        <v>2.9399999999999999E-2</v>
      </c>
      <c r="AR364" s="13">
        <f t="shared" si="659"/>
        <v>5.3499999999999999E-2</v>
      </c>
      <c r="AS364" s="6">
        <f t="shared" si="651"/>
        <v>287.51316621659981</v>
      </c>
      <c r="AT364" s="6">
        <f t="shared" si="652"/>
        <v>185.97425508967711</v>
      </c>
      <c r="AU364" s="6">
        <f t="shared" si="653"/>
        <v>492.57852253199138</v>
      </c>
      <c r="AV364" s="6">
        <f t="shared" si="654"/>
        <v>674.32189118886697</v>
      </c>
      <c r="AW364" s="58">
        <f t="shared" si="660"/>
        <v>2011</v>
      </c>
      <c r="AX364" s="58">
        <f>COUNTIF(AW$3:AW364,AW364)</f>
        <v>16</v>
      </c>
    </row>
    <row r="365" spans="1:50" x14ac:dyDescent="0.25">
      <c r="A365" s="5">
        <v>40790</v>
      </c>
      <c r="B365">
        <v>1173.97</v>
      </c>
      <c r="C365">
        <v>0.02</v>
      </c>
      <c r="D365" s="6">
        <v>33.92</v>
      </c>
      <c r="E365" s="18">
        <f t="shared" si="673"/>
        <v>37.520000000000003</v>
      </c>
      <c r="F365">
        <f t="shared" si="674"/>
        <v>-3</v>
      </c>
      <c r="G365" s="18">
        <f>ROUND(INDEX(Valuation!U:U,MATCH(A365,Valuation!A:A,0)),2)</f>
        <v>235.82</v>
      </c>
      <c r="H365">
        <f t="shared" si="681"/>
        <v>3</v>
      </c>
      <c r="I365" s="18">
        <f>INDEX(WeeklyIndicators!Y:Y,MATCH(A365,WeeklyIndicators!A:A,0))</f>
        <v>101.37</v>
      </c>
      <c r="J365">
        <f t="shared" si="670"/>
        <v>-1</v>
      </c>
      <c r="K365">
        <f>ROUND(INDEX(Economic!AF:AF,MATCH(EOMONTH($A365,-1),Economic!A:A,0)),2)</f>
        <v>72.849999999999994</v>
      </c>
      <c r="L365" s="11">
        <f t="shared" si="679"/>
        <v>-2</v>
      </c>
      <c r="M365">
        <f>ROUND(INDEX(Manufacturing!P:P,MATCH(EOMONTH($A365,-1),Manufacturing!A:A,0)),2)</f>
        <v>85.38</v>
      </c>
      <c r="N365">
        <f t="shared" si="675"/>
        <v>0</v>
      </c>
      <c r="O365">
        <f>ROUND(INDEX(Housing!AC:AC,MATCH(EOMONTH($A365,-1),Housing!B:B,0)),2)</f>
        <v>67.62</v>
      </c>
      <c r="P365">
        <f t="shared" si="676"/>
        <v>-2</v>
      </c>
      <c r="Q365">
        <f>ROUND(INDEX(Spending!AJ:AJ,MATCH(EOMONTH($A365,-1),Spending!B:B,0)),2)</f>
        <v>59.55</v>
      </c>
      <c r="R365">
        <f t="shared" si="680"/>
        <v>1</v>
      </c>
      <c r="S365">
        <f>ROUND(INDEX(Employment!V:V,MATCH(EOMONTH($A365,-1),Employment!A:A,0)),2)</f>
        <v>157.1</v>
      </c>
      <c r="T365" s="11">
        <f t="shared" si="677"/>
        <v>0</v>
      </c>
      <c r="U365">
        <f t="shared" si="669"/>
        <v>16</v>
      </c>
      <c r="V365">
        <f t="shared" si="661"/>
        <v>61.41</v>
      </c>
      <c r="W365" s="13">
        <f t="shared" si="662"/>
        <v>-2.3099999999999999E-2</v>
      </c>
      <c r="X365" s="13">
        <f t="shared" si="663"/>
        <v>-7.3999999999999996E-2</v>
      </c>
      <c r="Y365">
        <f t="shared" si="655"/>
        <v>68.900000000000006</v>
      </c>
      <c r="Z365" s="13">
        <f t="shared" si="650"/>
        <v>-2.7199999999999998E-2</v>
      </c>
      <c r="AA365" s="13">
        <f t="shared" si="646"/>
        <v>-0.1221</v>
      </c>
      <c r="AB365" s="6">
        <f t="shared" si="656"/>
        <v>78.111999999999995</v>
      </c>
      <c r="AC365">
        <f t="shared" si="648"/>
        <v>39</v>
      </c>
      <c r="AD365" s="11">
        <f t="shared" si="649"/>
        <v>0</v>
      </c>
      <c r="AE365">
        <f t="shared" si="647"/>
        <v>18</v>
      </c>
      <c r="AF365">
        <f>IF(AND(AE365&lt;15,OR(AC365&gt;=30,AA365&gt;0.15,X365&gt;=0.15)),2,VLOOKUP(AE365,Table!P:Q,2,FALSE))</f>
        <v>2</v>
      </c>
      <c r="AG365" s="22">
        <f>IF((AB365*0.98)-(D365*0.8)+((AF365-3)*3)+VLOOKUP(AM365,Table!$A$11:$B$13,2,FALSE)&lt;0,0,(AB365*0.98)-(D365*0.8)+((AF365-3)*3)+VLOOKUP(AM365,Table!$A$11:$B$13,2,FALSE))</f>
        <v>54.413759999999989</v>
      </c>
      <c r="AH365" s="22">
        <f t="shared" si="678"/>
        <v>56</v>
      </c>
      <c r="AI365" s="18">
        <f t="shared" si="671"/>
        <v>0.03</v>
      </c>
      <c r="AJ365" s="18">
        <f t="shared" si="672"/>
        <v>0.08</v>
      </c>
      <c r="AK365" t="str">
        <f t="shared" si="657"/>
        <v/>
      </c>
      <c r="AL365">
        <f t="shared" si="668"/>
        <v>20.75</v>
      </c>
      <c r="AM365" s="11" t="str">
        <f t="shared" si="658"/>
        <v>Stocks</v>
      </c>
      <c r="AN365" t="str">
        <f t="shared" si="664"/>
        <v>Sell</v>
      </c>
      <c r="AO365" s="13">
        <f t="shared" si="665"/>
        <v>-1.6799999999999999E-2</v>
      </c>
      <c r="AP365" s="13">
        <f t="shared" si="666"/>
        <v>0</v>
      </c>
      <c r="AQ365" s="13">
        <f t="shared" si="667"/>
        <v>-9.4000000000000004E-3</v>
      </c>
      <c r="AR365" s="13">
        <f t="shared" si="659"/>
        <v>-1.6799999999999999E-2</v>
      </c>
      <c r="AS365" s="6">
        <f t="shared" si="651"/>
        <v>292.42592170117962</v>
      </c>
      <c r="AT365" s="6">
        <f t="shared" si="652"/>
        <v>185.97425508967711</v>
      </c>
      <c r="AU365" s="6">
        <f t="shared" si="653"/>
        <v>497.25269789217782</v>
      </c>
      <c r="AV365" s="6">
        <f t="shared" si="654"/>
        <v>685.84407159160594</v>
      </c>
      <c r="AW365" s="58">
        <f t="shared" si="660"/>
        <v>2011</v>
      </c>
      <c r="AX365" s="58">
        <f>COUNTIF(AW$3:AW365,AW365)</f>
        <v>17</v>
      </c>
    </row>
    <row r="366" spans="1:50" x14ac:dyDescent="0.25">
      <c r="A366" s="5">
        <v>40783</v>
      </c>
      <c r="B366">
        <v>1176.8</v>
      </c>
      <c r="C366">
        <v>0.01</v>
      </c>
      <c r="D366" s="6">
        <v>35.590000000000003</v>
      </c>
      <c r="E366" s="18">
        <f t="shared" si="673"/>
        <v>38.33</v>
      </c>
      <c r="F366">
        <f t="shared" si="674"/>
        <v>-3</v>
      </c>
      <c r="G366" s="18">
        <f>ROUND(INDEX(Valuation!U:U,MATCH(A366,Valuation!A:A,0)),2)</f>
        <v>234.59</v>
      </c>
      <c r="H366">
        <f t="shared" si="681"/>
        <v>3</v>
      </c>
      <c r="I366" s="18">
        <f>INDEX(WeeklyIndicators!Y:Y,MATCH(A366,WeeklyIndicators!A:A,0))</f>
        <v>105.21</v>
      </c>
      <c r="J366">
        <f t="shared" si="670"/>
        <v>-1</v>
      </c>
      <c r="K366">
        <f>ROUND(INDEX(Economic!AF:AF,MATCH(EOMONTH($A366,-1),Economic!A:A,0)),2)</f>
        <v>90.48</v>
      </c>
      <c r="L366" s="11">
        <f t="shared" si="679"/>
        <v>-1</v>
      </c>
      <c r="M366">
        <f>ROUND(INDEX(Manufacturing!P:P,MATCH(EOMONTH($A366,-1),Manufacturing!A:A,0)),2)</f>
        <v>86.16</v>
      </c>
      <c r="N366">
        <f t="shared" si="675"/>
        <v>0</v>
      </c>
      <c r="O366">
        <f>ROUND(INDEX(Housing!AC:AC,MATCH(EOMONTH($A366,-1),Housing!B:B,0)),2)</f>
        <v>61</v>
      </c>
      <c r="P366">
        <f t="shared" si="676"/>
        <v>-2</v>
      </c>
      <c r="Q366">
        <f>ROUND(INDEX(Spending!AJ:AJ,MATCH(EOMONTH($A366,-1),Spending!B:B,0)),2)</f>
        <v>63.14</v>
      </c>
      <c r="R366">
        <f t="shared" si="680"/>
        <v>2</v>
      </c>
      <c r="S366">
        <f>ROUND(INDEX(Employment!V:V,MATCH(EOMONTH($A366,-1),Employment!A:A,0)),2)</f>
        <v>161.41</v>
      </c>
      <c r="T366" s="11">
        <f t="shared" si="677"/>
        <v>1</v>
      </c>
      <c r="U366">
        <f t="shared" si="669"/>
        <v>19</v>
      </c>
      <c r="V366">
        <f t="shared" si="661"/>
        <v>64.62</v>
      </c>
      <c r="W366" s="13">
        <f t="shared" si="662"/>
        <v>-7.3000000000000001E-3</v>
      </c>
      <c r="X366" s="13">
        <f t="shared" si="663"/>
        <v>-7.0900000000000005E-2</v>
      </c>
      <c r="Y366">
        <f t="shared" si="655"/>
        <v>71.69</v>
      </c>
      <c r="Z366" s="13">
        <f t="shared" si="650"/>
        <v>-2.1899999999999999E-2</v>
      </c>
      <c r="AA366" s="13">
        <f t="shared" si="646"/>
        <v>-0.1226</v>
      </c>
      <c r="AB366" s="6">
        <f t="shared" si="656"/>
        <v>80.879000000000005</v>
      </c>
      <c r="AC366">
        <f t="shared" si="648"/>
        <v>40</v>
      </c>
      <c r="AD366" s="11">
        <f t="shared" si="649"/>
        <v>0</v>
      </c>
      <c r="AE366">
        <f t="shared" si="647"/>
        <v>21</v>
      </c>
      <c r="AF366">
        <f>IF(AND(AE366&lt;15,OR(AC366&gt;=30,AA366&gt;0.15,X366&gt;=0.15)),2,VLOOKUP(AE366,Table!P:Q,2,FALSE))</f>
        <v>3</v>
      </c>
      <c r="AG366" s="22">
        <f>IF((AB366*0.98)-(D366*0.8)+((AF366-3)*3)+VLOOKUP(AM366,Table!$A$11:$B$13,2,FALSE)&lt;0,0,(AB366*0.98)-(D366*0.8)+((AF366-3)*3)+VLOOKUP(AM366,Table!$A$11:$B$13,2,FALSE))</f>
        <v>58.789419999999993</v>
      </c>
      <c r="AH366" s="22">
        <f t="shared" si="678"/>
        <v>59</v>
      </c>
      <c r="AI366" s="18">
        <f t="shared" si="671"/>
        <v>0.03</v>
      </c>
      <c r="AJ366" s="18">
        <f t="shared" si="672"/>
        <v>0.08</v>
      </c>
      <c r="AK366" t="str">
        <f t="shared" si="657"/>
        <v/>
      </c>
      <c r="AL366">
        <f t="shared" si="668"/>
        <v>22.25</v>
      </c>
      <c r="AM366" s="11" t="str">
        <f t="shared" si="658"/>
        <v>Stocks</v>
      </c>
      <c r="AN366" t="str">
        <f t="shared" si="664"/>
        <v>Sell</v>
      </c>
      <c r="AO366" s="13">
        <f t="shared" si="665"/>
        <v>-2.3999999999999998E-3</v>
      </c>
      <c r="AP366" s="13">
        <f t="shared" si="666"/>
        <v>0</v>
      </c>
      <c r="AQ366" s="13">
        <f t="shared" si="667"/>
        <v>-1.4E-3</v>
      </c>
      <c r="AR366" s="13">
        <f t="shared" si="659"/>
        <v>-2.3999999999999998E-3</v>
      </c>
      <c r="AS366" s="6">
        <f t="shared" si="651"/>
        <v>293.1294323387927</v>
      </c>
      <c r="AT366" s="6">
        <f t="shared" si="652"/>
        <v>185.97425508967711</v>
      </c>
      <c r="AU366" s="6">
        <f t="shared" si="653"/>
        <v>497.94982765088906</v>
      </c>
      <c r="AV366" s="6">
        <f t="shared" si="654"/>
        <v>687.49405732919593</v>
      </c>
      <c r="AW366" s="58">
        <f t="shared" si="660"/>
        <v>2011</v>
      </c>
      <c r="AX366" s="58">
        <f>COUNTIF(AW$3:AW366,AW366)</f>
        <v>18</v>
      </c>
    </row>
    <row r="367" spans="1:50" x14ac:dyDescent="0.25">
      <c r="A367" s="5">
        <v>40776</v>
      </c>
      <c r="B367">
        <v>1123.53</v>
      </c>
      <c r="C367">
        <v>0.02</v>
      </c>
      <c r="D367" s="6">
        <v>43.05</v>
      </c>
      <c r="E367" s="18">
        <f t="shared" si="673"/>
        <v>37.14</v>
      </c>
      <c r="F367">
        <f t="shared" si="674"/>
        <v>-3</v>
      </c>
      <c r="G367" s="18">
        <f>ROUND(INDEX(Valuation!U:U,MATCH(A367,Valuation!A:A,0)),2)</f>
        <v>231.88</v>
      </c>
      <c r="H367">
        <f t="shared" si="681"/>
        <v>3</v>
      </c>
      <c r="I367" s="18">
        <f>INDEX(WeeklyIndicators!Y:Y,MATCH(A367,WeeklyIndicators!A:A,0))</f>
        <v>110.73</v>
      </c>
      <c r="J367">
        <f t="shared" si="670"/>
        <v>-1</v>
      </c>
      <c r="K367">
        <f>ROUND(INDEX(Economic!AF:AF,MATCH(EOMONTH($A367,-1),Economic!A:A,0)),2)</f>
        <v>90.48</v>
      </c>
      <c r="L367" s="11">
        <f t="shared" si="679"/>
        <v>-1</v>
      </c>
      <c r="M367">
        <f>ROUND(INDEX(Manufacturing!P:P,MATCH(EOMONTH($A367,-1),Manufacturing!A:A,0)),2)</f>
        <v>86.16</v>
      </c>
      <c r="N367">
        <f t="shared" si="675"/>
        <v>0</v>
      </c>
      <c r="O367">
        <f>ROUND(INDEX(Housing!AC:AC,MATCH(EOMONTH($A367,-1),Housing!B:B,0)),2)</f>
        <v>61</v>
      </c>
      <c r="P367">
        <f t="shared" si="676"/>
        <v>-2</v>
      </c>
      <c r="Q367">
        <f>ROUND(INDEX(Spending!AJ:AJ,MATCH(EOMONTH($A367,-1),Spending!B:B,0)),2)</f>
        <v>63.14</v>
      </c>
      <c r="R367">
        <f t="shared" si="680"/>
        <v>2</v>
      </c>
      <c r="S367">
        <f>ROUND(INDEX(Employment!V:V,MATCH(EOMONTH($A367,-1),Employment!A:A,0)),2)</f>
        <v>161.41</v>
      </c>
      <c r="T367" s="11">
        <f t="shared" si="677"/>
        <v>1</v>
      </c>
      <c r="U367">
        <f t="shared" si="669"/>
        <v>19</v>
      </c>
      <c r="V367">
        <f t="shared" si="661"/>
        <v>65.19</v>
      </c>
      <c r="W367" s="13">
        <f t="shared" si="662"/>
        <v>-2.3400000000000001E-2</v>
      </c>
      <c r="X367" s="13">
        <f t="shared" si="663"/>
        <v>-6.5700000000000008E-2</v>
      </c>
      <c r="Y367">
        <f t="shared" si="655"/>
        <v>72.38</v>
      </c>
      <c r="Z367" s="13">
        <f t="shared" si="650"/>
        <v>-4.0099999999999997E-2</v>
      </c>
      <c r="AA367" s="13">
        <f t="shared" si="646"/>
        <v>-0.108</v>
      </c>
      <c r="AB367" s="6">
        <f t="shared" si="656"/>
        <v>82.347999999999999</v>
      </c>
      <c r="AC367">
        <f t="shared" si="648"/>
        <v>41</v>
      </c>
      <c r="AD367" s="11">
        <f t="shared" si="649"/>
        <v>0</v>
      </c>
      <c r="AE367">
        <f t="shared" si="647"/>
        <v>21</v>
      </c>
      <c r="AF367">
        <f>IF(AND(AE367&lt;15,OR(AC367&gt;=30,AA367&gt;0.15,X367&gt;=0.15)),2,VLOOKUP(AE367,Table!P:Q,2,FALSE))</f>
        <v>3</v>
      </c>
      <c r="AG367" s="22">
        <f>IF((AB367*0.98)-(D367*0.8)+((AF367-3)*3)+VLOOKUP(AM367,Table!$A$11:$B$13,2,FALSE)&lt;0,0,(AB367*0.98)-(D367*0.8)+((AF367-3)*3)+VLOOKUP(AM367,Table!$A$11:$B$13,2,FALSE))</f>
        <v>54.261039999999994</v>
      </c>
      <c r="AH367" s="22">
        <f t="shared" si="678"/>
        <v>63</v>
      </c>
      <c r="AI367" s="18">
        <f t="shared" si="671"/>
        <v>0.04</v>
      </c>
      <c r="AJ367" s="18">
        <f t="shared" si="672"/>
        <v>0.09</v>
      </c>
      <c r="AK367" t="str">
        <f t="shared" si="657"/>
        <v/>
      </c>
      <c r="AL367">
        <f t="shared" si="668"/>
        <v>23.5</v>
      </c>
      <c r="AM367" s="11" t="str">
        <f t="shared" si="658"/>
        <v>Stocks</v>
      </c>
      <c r="AN367" t="str">
        <f t="shared" si="664"/>
        <v>Buy</v>
      </c>
      <c r="AO367" s="13">
        <f t="shared" si="665"/>
        <v>4.7399999999999998E-2</v>
      </c>
      <c r="AP367" s="13">
        <f t="shared" si="666"/>
        <v>0</v>
      </c>
      <c r="AQ367" s="13">
        <f t="shared" si="667"/>
        <v>2.9899999999999999E-2</v>
      </c>
      <c r="AR367" s="13">
        <f t="shared" si="659"/>
        <v>4.7399999999999998E-2</v>
      </c>
      <c r="AS367" s="6">
        <f t="shared" si="651"/>
        <v>279.86388422645854</v>
      </c>
      <c r="AT367" s="6">
        <f t="shared" si="652"/>
        <v>185.97425508967711</v>
      </c>
      <c r="AU367" s="6">
        <f t="shared" si="653"/>
        <v>483.49337571695219</v>
      </c>
      <c r="AV367" s="6">
        <f t="shared" si="654"/>
        <v>656.38157086995977</v>
      </c>
      <c r="AW367" s="58">
        <f t="shared" si="660"/>
        <v>2011</v>
      </c>
      <c r="AX367" s="58">
        <f>COUNTIF(AW$3:AW367,AW367)</f>
        <v>19</v>
      </c>
    </row>
    <row r="368" spans="1:50" x14ac:dyDescent="0.25">
      <c r="A368" s="5">
        <v>40769</v>
      </c>
      <c r="B368">
        <v>1178.81</v>
      </c>
      <c r="C368">
        <v>0.03</v>
      </c>
      <c r="D368" s="6">
        <v>36.36</v>
      </c>
      <c r="E368" s="18">
        <f t="shared" si="673"/>
        <v>31.2</v>
      </c>
      <c r="F368">
        <f t="shared" si="674"/>
        <v>-2</v>
      </c>
      <c r="G368" s="18">
        <f>ROUND(INDEX(Valuation!U:U,MATCH(A368,Valuation!A:A,0)),2)</f>
        <v>228.78</v>
      </c>
      <c r="H368">
        <f t="shared" si="681"/>
        <v>3</v>
      </c>
      <c r="I368" s="18">
        <f>INDEX(WeeklyIndicators!Y:Y,MATCH(A368,WeeklyIndicators!A:A,0))</f>
        <v>117.95</v>
      </c>
      <c r="J368">
        <f t="shared" si="670"/>
        <v>-1</v>
      </c>
      <c r="K368">
        <f>ROUND(INDEX(Economic!AF:AF,MATCH(EOMONTH($A368,-1),Economic!A:A,0)),2)</f>
        <v>90.48</v>
      </c>
      <c r="L368" s="11">
        <f t="shared" si="679"/>
        <v>-1</v>
      </c>
      <c r="M368">
        <f>ROUND(INDEX(Manufacturing!P:P,MATCH(EOMONTH($A368,-1),Manufacturing!A:A,0)),2)</f>
        <v>86.16</v>
      </c>
      <c r="N368">
        <f t="shared" si="675"/>
        <v>0</v>
      </c>
      <c r="O368">
        <f>ROUND(INDEX(Housing!AC:AC,MATCH(EOMONTH($A368,-1),Housing!B:B,0)),2)</f>
        <v>61</v>
      </c>
      <c r="P368">
        <f t="shared" si="676"/>
        <v>-2</v>
      </c>
      <c r="Q368">
        <f>ROUND(INDEX(Spending!AJ:AJ,MATCH(EOMONTH($A368,-1),Spending!B:B,0)),2)</f>
        <v>63.14</v>
      </c>
      <c r="R368">
        <f t="shared" si="680"/>
        <v>2</v>
      </c>
      <c r="S368">
        <f>ROUND(INDEX(Employment!V:V,MATCH(EOMONTH($A368,-1),Employment!A:A,0)),2)</f>
        <v>161.41</v>
      </c>
      <c r="T368" s="11">
        <f t="shared" si="677"/>
        <v>1</v>
      </c>
      <c r="U368">
        <f t="shared" si="669"/>
        <v>20</v>
      </c>
      <c r="V368">
        <f t="shared" si="661"/>
        <v>65.94</v>
      </c>
      <c r="W368" s="13">
        <f t="shared" si="662"/>
        <v>-2.0199999999999999E-2</v>
      </c>
      <c r="X368" s="13">
        <f t="shared" si="663"/>
        <v>-4.5399999999999996E-2</v>
      </c>
      <c r="Y368">
        <f t="shared" si="655"/>
        <v>74.86</v>
      </c>
      <c r="Z368" s="13">
        <f t="shared" si="650"/>
        <v>-3.2899999999999999E-2</v>
      </c>
      <c r="AA368" s="13">
        <f t="shared" si="646"/>
        <v>-7.0699999999999999E-2</v>
      </c>
      <c r="AB368" s="6">
        <f t="shared" si="656"/>
        <v>87.248000000000005</v>
      </c>
      <c r="AC368">
        <f t="shared" si="648"/>
        <v>44</v>
      </c>
      <c r="AD368" s="11">
        <f t="shared" si="649"/>
        <v>1</v>
      </c>
      <c r="AE368">
        <f t="shared" si="647"/>
        <v>23</v>
      </c>
      <c r="AF368">
        <f>IF(AND(AE368&lt;15,OR(AC368&gt;=30,AA368&gt;0.15,X368&gt;=0.15)),2,VLOOKUP(AE368,Table!P:Q,2,FALSE))</f>
        <v>3</v>
      </c>
      <c r="AG368" s="22">
        <f>IF((AB368*0.98)-(D368*0.8)+((AF368-3)*3)+VLOOKUP(AM368,Table!$A$11:$B$13,2,FALSE)&lt;0,0,(AB368*0.98)-(D368*0.8)+((AF368-3)*3)+VLOOKUP(AM368,Table!$A$11:$B$13,2,FALSE))</f>
        <v>64.415040000000005</v>
      </c>
      <c r="AH368" s="22">
        <f t="shared" si="678"/>
        <v>74</v>
      </c>
      <c r="AI368" s="18">
        <f t="shared" si="671"/>
        <v>0.04</v>
      </c>
      <c r="AJ368" s="18">
        <f t="shared" si="672"/>
        <v>0.09</v>
      </c>
      <c r="AK368" t="str">
        <f t="shared" si="657"/>
        <v/>
      </c>
      <c r="AL368">
        <f t="shared" si="668"/>
        <v>25.25</v>
      </c>
      <c r="AM368" s="11" t="str">
        <f t="shared" si="658"/>
        <v>Stocks</v>
      </c>
      <c r="AN368" t="str">
        <f t="shared" si="664"/>
        <v>Buy</v>
      </c>
      <c r="AO368" s="13">
        <f t="shared" si="665"/>
        <v>-4.6899999999999997E-2</v>
      </c>
      <c r="AP368" s="13">
        <f t="shared" si="666"/>
        <v>0</v>
      </c>
      <c r="AQ368" s="13">
        <f t="shared" si="667"/>
        <v>-3.4700000000000002E-2</v>
      </c>
      <c r="AR368" s="13">
        <f t="shared" si="659"/>
        <v>-4.6899999999999997E-2</v>
      </c>
      <c r="AS368" s="6">
        <f t="shared" si="651"/>
        <v>293.6353837230705</v>
      </c>
      <c r="AT368" s="6">
        <f t="shared" si="652"/>
        <v>185.97425508967711</v>
      </c>
      <c r="AU368" s="6">
        <f t="shared" si="653"/>
        <v>500.8736928591652</v>
      </c>
      <c r="AV368" s="6">
        <f t="shared" si="654"/>
        <v>688.68069548836399</v>
      </c>
      <c r="AW368" s="58">
        <f t="shared" si="660"/>
        <v>2011</v>
      </c>
      <c r="AX368" s="58">
        <f>COUNTIF(AW$3:AW368,AW368)</f>
        <v>20</v>
      </c>
    </row>
    <row r="369" spans="1:50" x14ac:dyDescent="0.25">
      <c r="A369" s="5">
        <v>40762</v>
      </c>
      <c r="B369">
        <v>1199.3800000000001</v>
      </c>
      <c r="C369">
        <v>0.04</v>
      </c>
      <c r="D369" s="6">
        <v>32</v>
      </c>
      <c r="E369" s="18">
        <f t="shared" si="673"/>
        <v>24.92</v>
      </c>
      <c r="F369">
        <f t="shared" si="674"/>
        <v>-1</v>
      </c>
      <c r="G369" s="18">
        <f>ROUND(INDEX(Valuation!U:U,MATCH(A369,Valuation!A:A,0)),2)</f>
        <v>223.59</v>
      </c>
      <c r="H369">
        <f t="shared" si="681"/>
        <v>3</v>
      </c>
      <c r="I369" s="18">
        <f>INDEX(WeeklyIndicators!Y:Y,MATCH(A369,WeeklyIndicators!A:A,0))</f>
        <v>119.1</v>
      </c>
      <c r="J369">
        <f t="shared" si="670"/>
        <v>-1</v>
      </c>
      <c r="K369">
        <f>ROUND(INDEX(Economic!AF:AF,MATCH(EOMONTH($A369,-1),Economic!A:A,0)),2)</f>
        <v>90.48</v>
      </c>
      <c r="L369" s="11">
        <f t="shared" si="679"/>
        <v>-1</v>
      </c>
      <c r="M369">
        <f>ROUND(INDEX(Manufacturing!P:P,MATCH(EOMONTH($A369,-1),Manufacturing!A:A,0)),2)</f>
        <v>86.16</v>
      </c>
      <c r="N369">
        <f t="shared" si="675"/>
        <v>0</v>
      </c>
      <c r="O369">
        <f>ROUND(INDEX(Housing!AC:AC,MATCH(EOMONTH($A369,-1),Housing!B:B,0)),2)</f>
        <v>61</v>
      </c>
      <c r="P369">
        <f t="shared" si="676"/>
        <v>-2</v>
      </c>
      <c r="Q369">
        <f>ROUND(INDEX(Spending!AJ:AJ,MATCH(EOMONTH($A369,-1),Spending!B:B,0)),2)</f>
        <v>63.14</v>
      </c>
      <c r="R369">
        <f t="shared" si="680"/>
        <v>2</v>
      </c>
      <c r="S369">
        <f>ROUND(INDEX(Employment!V:V,MATCH(EOMONTH($A369,-1),Employment!A:A,0)),2)</f>
        <v>161.41</v>
      </c>
      <c r="T369" s="11">
        <f t="shared" si="677"/>
        <v>1</v>
      </c>
      <c r="U369">
        <f t="shared" si="669"/>
        <v>21</v>
      </c>
      <c r="V369">
        <f t="shared" si="661"/>
        <v>66.06</v>
      </c>
      <c r="W369" s="13">
        <f t="shared" si="662"/>
        <v>-0.02</v>
      </c>
      <c r="X369" s="13">
        <f t="shared" si="663"/>
        <v>-3.4099999999999998E-2</v>
      </c>
      <c r="Y369">
        <f t="shared" si="655"/>
        <v>76.59</v>
      </c>
      <c r="Z369" s="13">
        <f t="shared" si="650"/>
        <v>-2.7699999999999999E-2</v>
      </c>
      <c r="AA369" s="13">
        <f t="shared" si="646"/>
        <v>-4.2599999999999992E-2</v>
      </c>
      <c r="AB369" s="6">
        <f t="shared" si="656"/>
        <v>90.459000000000003</v>
      </c>
      <c r="AC369">
        <f t="shared" si="648"/>
        <v>45</v>
      </c>
      <c r="AD369" s="11">
        <f t="shared" si="649"/>
        <v>1</v>
      </c>
      <c r="AE369">
        <f t="shared" si="647"/>
        <v>24</v>
      </c>
      <c r="AF369">
        <f>IF(AND(AE369&lt;15,OR(AC369&gt;=30,AA369&gt;0.15,X369&gt;=0.15)),2,VLOOKUP(AE369,Table!P:Q,2,FALSE))</f>
        <v>3</v>
      </c>
      <c r="AG369" s="22">
        <f>IF((AB369*0.98)-(D369*0.8)+((AF369-3)*3)+VLOOKUP(AM369,Table!$A$11:$B$13,2,FALSE)&lt;0,0,(AB369*0.98)-(D369*0.8)+((AF369-3)*3)+VLOOKUP(AM369,Table!$A$11:$B$13,2,FALSE))</f>
        <v>71.049820000000011</v>
      </c>
      <c r="AH369" s="22">
        <f t="shared" si="678"/>
        <v>83</v>
      </c>
      <c r="AI369" s="18">
        <f t="shared" si="671"/>
        <v>0.04</v>
      </c>
      <c r="AJ369" s="18">
        <f t="shared" si="672"/>
        <v>0.09</v>
      </c>
      <c r="AK369" t="str">
        <f t="shared" si="657"/>
        <v/>
      </c>
      <c r="AL369">
        <f t="shared" si="668"/>
        <v>26.5</v>
      </c>
      <c r="AM369" s="11" t="str">
        <f t="shared" si="658"/>
        <v>Stocks</v>
      </c>
      <c r="AN369" t="str">
        <f t="shared" si="664"/>
        <v>Buy</v>
      </c>
      <c r="AO369" s="13">
        <f t="shared" si="665"/>
        <v>-1.72E-2</v>
      </c>
      <c r="AP369" s="13">
        <f t="shared" si="666"/>
        <v>0</v>
      </c>
      <c r="AQ369" s="13">
        <f t="shared" si="667"/>
        <v>-1.43E-2</v>
      </c>
      <c r="AR369" s="13">
        <f t="shared" si="659"/>
        <v>-1.72E-2</v>
      </c>
      <c r="AS369" s="6">
        <f t="shared" si="651"/>
        <v>298.77430171252593</v>
      </c>
      <c r="AT369" s="6">
        <f t="shared" si="652"/>
        <v>185.97425508967711</v>
      </c>
      <c r="AU369" s="6">
        <f t="shared" si="653"/>
        <v>508.14009623533042</v>
      </c>
      <c r="AV369" s="6">
        <f t="shared" si="654"/>
        <v>700.73330839271875</v>
      </c>
      <c r="AW369" s="58">
        <f t="shared" si="660"/>
        <v>2011</v>
      </c>
      <c r="AX369" s="58">
        <f>COUNTIF(AW$3:AW369,AW369)</f>
        <v>21</v>
      </c>
    </row>
    <row r="370" spans="1:50" x14ac:dyDescent="0.25">
      <c r="A370" s="5">
        <v>40755</v>
      </c>
      <c r="B370">
        <v>1292.28</v>
      </c>
      <c r="C370">
        <v>7.0000000000000007E-2</v>
      </c>
      <c r="D370" s="6">
        <v>25.25</v>
      </c>
      <c r="E370" s="18">
        <f t="shared" si="673"/>
        <v>20.77</v>
      </c>
      <c r="F370">
        <f t="shared" si="674"/>
        <v>-1</v>
      </c>
      <c r="G370" s="18">
        <f>ROUND(INDEX(Valuation!U:U,MATCH(A370,Valuation!A:A,0)),2)</f>
        <v>221.92</v>
      </c>
      <c r="H370">
        <f t="shared" si="681"/>
        <v>3</v>
      </c>
      <c r="I370" s="18">
        <f>INDEX(WeeklyIndicators!Y:Y,MATCH(A370,WeeklyIndicators!A:A,0))</f>
        <v>119.62</v>
      </c>
      <c r="J370">
        <f t="shared" si="670"/>
        <v>-1</v>
      </c>
      <c r="K370">
        <f>ROUND(INDEX(Economic!AF:AF,MATCH(EOMONTH($A370,-1),Economic!A:A,0)),2)</f>
        <v>99.02</v>
      </c>
      <c r="L370" s="11">
        <f t="shared" si="679"/>
        <v>-1</v>
      </c>
      <c r="M370">
        <f>ROUND(INDEX(Manufacturing!P:P,MATCH(EOMONTH($A370,-1),Manufacturing!A:A,0)),2)</f>
        <v>97.63</v>
      </c>
      <c r="N370">
        <f t="shared" si="675"/>
        <v>1</v>
      </c>
      <c r="O370">
        <f>ROUND(INDEX(Housing!AC:AC,MATCH(EOMONTH($A370,-1),Housing!B:B,0)),2)</f>
        <v>64.209999999999994</v>
      </c>
      <c r="P370">
        <f t="shared" si="676"/>
        <v>-2</v>
      </c>
      <c r="Q370">
        <f>ROUND(INDEX(Spending!AJ:AJ,MATCH(EOMONTH($A370,-1),Spending!B:B,0)),2)</f>
        <v>65.84</v>
      </c>
      <c r="R370">
        <f t="shared" si="680"/>
        <v>2</v>
      </c>
      <c r="S370">
        <f>ROUND(INDEX(Employment!V:V,MATCH(EOMONTH($A370,-1),Employment!A:A,0)),2)</f>
        <v>167.91</v>
      </c>
      <c r="T370" s="11">
        <f t="shared" si="677"/>
        <v>1</v>
      </c>
      <c r="U370">
        <f t="shared" si="669"/>
        <v>22</v>
      </c>
      <c r="V370">
        <f t="shared" si="661"/>
        <v>69.92</v>
      </c>
      <c r="W370" s="13">
        <f t="shared" si="662"/>
        <v>-2.0999999999999999E-3</v>
      </c>
      <c r="X370" s="13">
        <f t="shared" si="663"/>
        <v>-2.1399999999999999E-2</v>
      </c>
      <c r="Y370">
        <f t="shared" si="655"/>
        <v>81.72</v>
      </c>
      <c r="Z370" s="13">
        <f t="shared" si="650"/>
        <v>-7.3000000000000001E-3</v>
      </c>
      <c r="AA370" s="13">
        <f t="shared" si="646"/>
        <v>-0.02</v>
      </c>
      <c r="AB370" s="6">
        <f t="shared" si="656"/>
        <v>97.192000000000007</v>
      </c>
      <c r="AC370">
        <f t="shared" si="648"/>
        <v>49</v>
      </c>
      <c r="AD370" s="11">
        <f t="shared" si="649"/>
        <v>2</v>
      </c>
      <c r="AE370">
        <f t="shared" si="647"/>
        <v>26</v>
      </c>
      <c r="AF370">
        <f>IF(AND(AE370&lt;15,OR(AC370&gt;=30,AA370&gt;0.15,X370&gt;=0.15)),2,VLOOKUP(AE370,Table!P:Q,2,FALSE))</f>
        <v>4</v>
      </c>
      <c r="AG370" s="22">
        <f>IF((AB370*0.98)-(D370*0.8)+((AF370-3)*3)+VLOOKUP(AM370,Table!$A$11:$B$13,2,FALSE)&lt;0,0,(AB370*0.98)-(D370*0.8)+((AF370-3)*3)+VLOOKUP(AM370,Table!$A$11:$B$13,2,FALSE))</f>
        <v>86.048159999999996</v>
      </c>
      <c r="AH370" s="22">
        <f t="shared" si="678"/>
        <v>91</v>
      </c>
      <c r="AI370" s="18">
        <f t="shared" si="671"/>
        <v>0.04</v>
      </c>
      <c r="AJ370" s="18">
        <f t="shared" si="672"/>
        <v>0.09</v>
      </c>
      <c r="AK370" t="str">
        <f t="shared" si="657"/>
        <v/>
      </c>
      <c r="AL370">
        <f t="shared" si="668"/>
        <v>27.5</v>
      </c>
      <c r="AM370" s="11" t="str">
        <f t="shared" si="658"/>
        <v>Stocks</v>
      </c>
      <c r="AN370" t="str">
        <f t="shared" si="664"/>
        <v>Buy</v>
      </c>
      <c r="AO370" s="13">
        <f t="shared" si="665"/>
        <v>-7.1900000000000006E-2</v>
      </c>
      <c r="AP370" s="13">
        <f t="shared" si="666"/>
        <v>0</v>
      </c>
      <c r="AQ370" s="13">
        <f t="shared" si="667"/>
        <v>-6.54E-2</v>
      </c>
      <c r="AR370" s="13">
        <f t="shared" si="659"/>
        <v>-7.1900000000000006E-2</v>
      </c>
      <c r="AS370" s="6">
        <f t="shared" si="651"/>
        <v>321.92037680479035</v>
      </c>
      <c r="AT370" s="6">
        <f t="shared" si="652"/>
        <v>185.97425508967711</v>
      </c>
      <c r="AU370" s="6">
        <f t="shared" si="653"/>
        <v>543.69794161708796</v>
      </c>
      <c r="AV370" s="6">
        <f t="shared" si="654"/>
        <v>755.01918801068712</v>
      </c>
      <c r="AW370" s="58">
        <f t="shared" si="660"/>
        <v>2011</v>
      </c>
      <c r="AX370" s="58">
        <f>COUNTIF(AW$3:AW370,AW370)</f>
        <v>22</v>
      </c>
    </row>
    <row r="371" spans="1:50" x14ac:dyDescent="0.25">
      <c r="A371" s="5">
        <v>40748</v>
      </c>
      <c r="B371">
        <v>1345.02</v>
      </c>
      <c r="C371">
        <v>0.03</v>
      </c>
      <c r="D371" s="6">
        <v>17.52</v>
      </c>
      <c r="E371" s="18">
        <f t="shared" si="673"/>
        <v>17.670000000000002</v>
      </c>
      <c r="F371">
        <f t="shared" si="674"/>
        <v>0</v>
      </c>
      <c r="G371" s="18">
        <f>ROUND(INDEX(Valuation!U:U,MATCH(A371,Valuation!A:A,0)),2)</f>
        <v>220.26</v>
      </c>
      <c r="H371">
        <f t="shared" si="681"/>
        <v>3</v>
      </c>
      <c r="I371" s="18">
        <f>INDEX(WeeklyIndicators!Y:Y,MATCH(A371,WeeklyIndicators!A:A,0))</f>
        <v>121.33</v>
      </c>
      <c r="J371">
        <f t="shared" si="670"/>
        <v>0</v>
      </c>
      <c r="K371">
        <f>ROUND(INDEX(Economic!AF:AF,MATCH(EOMONTH($A371,-1),Economic!A:A,0)),2)</f>
        <v>99.02</v>
      </c>
      <c r="L371" s="11">
        <f t="shared" si="679"/>
        <v>-1</v>
      </c>
      <c r="M371">
        <f>ROUND(INDEX(Manufacturing!P:P,MATCH(EOMONTH($A371,-1),Manufacturing!A:A,0)),2)</f>
        <v>97.63</v>
      </c>
      <c r="N371">
        <f t="shared" si="675"/>
        <v>1</v>
      </c>
      <c r="O371">
        <f>ROUND(INDEX(Housing!AC:AC,MATCH(EOMONTH($A371,-1),Housing!B:B,0)),2)</f>
        <v>64.209999999999994</v>
      </c>
      <c r="P371">
        <f t="shared" si="676"/>
        <v>-2</v>
      </c>
      <c r="Q371">
        <f>ROUND(INDEX(Spending!AJ:AJ,MATCH(EOMONTH($A371,-1),Spending!B:B,0)),2)</f>
        <v>65.84</v>
      </c>
      <c r="R371">
        <f t="shared" si="680"/>
        <v>2</v>
      </c>
      <c r="S371">
        <f>ROUND(INDEX(Employment!V:V,MATCH(EOMONTH($A371,-1),Employment!A:A,0)),2)</f>
        <v>167.91</v>
      </c>
      <c r="T371" s="11">
        <f t="shared" si="677"/>
        <v>1</v>
      </c>
      <c r="U371">
        <f t="shared" si="669"/>
        <v>24</v>
      </c>
      <c r="V371">
        <f t="shared" si="661"/>
        <v>70.099999999999994</v>
      </c>
      <c r="W371" s="13">
        <f t="shared" si="662"/>
        <v>-3.0999999999999999E-3</v>
      </c>
      <c r="X371" s="13">
        <f t="shared" si="663"/>
        <v>-2.06E-2</v>
      </c>
      <c r="Y371">
        <f t="shared" si="655"/>
        <v>82.79</v>
      </c>
      <c r="Z371" s="13">
        <f t="shared" si="650"/>
        <v>-2.8E-3</v>
      </c>
      <c r="AA371" s="13">
        <f t="shared" ref="AA371:AA434" si="682">SUM(Z371:Z374)</f>
        <v>-1.66E-2</v>
      </c>
      <c r="AB371" s="6">
        <f t="shared" si="656"/>
        <v>98.335999999999999</v>
      </c>
      <c r="AC371">
        <f t="shared" si="648"/>
        <v>49</v>
      </c>
      <c r="AD371" s="11">
        <f t="shared" si="649"/>
        <v>2</v>
      </c>
      <c r="AE371">
        <f t="shared" si="647"/>
        <v>28</v>
      </c>
      <c r="AF371">
        <f>IF(AND(AE371&lt;15,OR(AC371&gt;=30,AA371&gt;0.15,X371&gt;=0.15)),2,VLOOKUP(AE371,Table!P:Q,2,FALSE))</f>
        <v>4</v>
      </c>
      <c r="AG371" s="22">
        <f>IF((AB371*0.98)-(D371*0.8)+((AF371-3)*3)+VLOOKUP(AM371,Table!$A$11:$B$13,2,FALSE)&lt;0,0,(AB371*0.98)-(D371*0.8)+((AF371-3)*3)+VLOOKUP(AM371,Table!$A$11:$B$13,2,FALSE))</f>
        <v>93.353279999999998</v>
      </c>
      <c r="AH371" s="22">
        <f t="shared" si="678"/>
        <v>95</v>
      </c>
      <c r="AI371" s="18">
        <f t="shared" si="671"/>
        <v>0.04</v>
      </c>
      <c r="AJ371" s="18">
        <f t="shared" si="672"/>
        <v>0.1</v>
      </c>
      <c r="AK371" t="str">
        <f t="shared" si="657"/>
        <v/>
      </c>
      <c r="AL371">
        <f t="shared" si="668"/>
        <v>27.75</v>
      </c>
      <c r="AM371" s="11" t="str">
        <f t="shared" si="658"/>
        <v>Stocks</v>
      </c>
      <c r="AN371" t="str">
        <f t="shared" si="664"/>
        <v>Buy</v>
      </c>
      <c r="AO371" s="13">
        <f t="shared" si="665"/>
        <v>-3.9199999999999999E-2</v>
      </c>
      <c r="AP371" s="13">
        <f t="shared" si="666"/>
        <v>0</v>
      </c>
      <c r="AQ371" s="13">
        <f t="shared" si="667"/>
        <v>-3.7199999999999997E-2</v>
      </c>
      <c r="AR371" s="13">
        <f t="shared" si="659"/>
        <v>-3.9199999999999999E-2</v>
      </c>
      <c r="AS371" s="6">
        <f t="shared" si="651"/>
        <v>335.05451374353703</v>
      </c>
      <c r="AT371" s="6">
        <f t="shared" si="652"/>
        <v>185.97425508967711</v>
      </c>
      <c r="AU371" s="6">
        <f t="shared" si="653"/>
        <v>564.70496636589939</v>
      </c>
      <c r="AV371" s="6">
        <f t="shared" si="654"/>
        <v>785.82346795450371</v>
      </c>
      <c r="AW371" s="58">
        <f t="shared" si="660"/>
        <v>2011</v>
      </c>
      <c r="AX371" s="58">
        <f>COUNTIF(AW$3:AW371,AW371)</f>
        <v>23</v>
      </c>
    </row>
    <row r="372" spans="1:50" x14ac:dyDescent="0.25">
      <c r="A372" s="5">
        <v>40741</v>
      </c>
      <c r="B372">
        <v>1316.14</v>
      </c>
      <c r="C372">
        <v>0.02</v>
      </c>
      <c r="D372" s="6">
        <v>19.53</v>
      </c>
      <c r="E372" s="18">
        <f t="shared" si="673"/>
        <v>17.12</v>
      </c>
      <c r="F372">
        <f t="shared" si="674"/>
        <v>0</v>
      </c>
      <c r="G372" s="18">
        <f>ROUND(INDEX(Valuation!U:U,MATCH(A372,Valuation!A:A,0)),2)</f>
        <v>223.17</v>
      </c>
      <c r="H372">
        <f t="shared" si="681"/>
        <v>3</v>
      </c>
      <c r="I372" s="18">
        <f>INDEX(WeeklyIndicators!Y:Y,MATCH(A372,WeeklyIndicators!A:A,0))</f>
        <v>122.85</v>
      </c>
      <c r="J372">
        <f t="shared" si="670"/>
        <v>0</v>
      </c>
      <c r="K372">
        <f>ROUND(INDEX(Economic!AF:AF,MATCH(EOMONTH($A372,-1),Economic!A:A,0)),2)</f>
        <v>99.02</v>
      </c>
      <c r="L372" s="11">
        <f t="shared" si="679"/>
        <v>-1</v>
      </c>
      <c r="M372">
        <f>ROUND(INDEX(Manufacturing!P:P,MATCH(EOMONTH($A372,-1),Manufacturing!A:A,0)),2)</f>
        <v>97.63</v>
      </c>
      <c r="N372">
        <f t="shared" si="675"/>
        <v>1</v>
      </c>
      <c r="O372">
        <f>ROUND(INDEX(Housing!AC:AC,MATCH(EOMONTH($A372,-1),Housing!B:B,0)),2)</f>
        <v>64.209999999999994</v>
      </c>
      <c r="P372">
        <f t="shared" si="676"/>
        <v>-2</v>
      </c>
      <c r="Q372">
        <f>ROUND(INDEX(Spending!AJ:AJ,MATCH(EOMONTH($A372,-1),Spending!B:B,0)),2)</f>
        <v>65.84</v>
      </c>
      <c r="R372">
        <f t="shared" si="680"/>
        <v>2</v>
      </c>
      <c r="S372">
        <f>ROUND(INDEX(Employment!V:V,MATCH(EOMONTH($A372,-1),Employment!A:A,0)),2)</f>
        <v>167.91</v>
      </c>
      <c r="T372" s="11">
        <f t="shared" si="677"/>
        <v>1</v>
      </c>
      <c r="U372">
        <f t="shared" si="669"/>
        <v>24</v>
      </c>
      <c r="V372">
        <f t="shared" si="661"/>
        <v>70.260000000000005</v>
      </c>
      <c r="W372" s="13">
        <f t="shared" si="662"/>
        <v>-8.8999999999999999E-3</v>
      </c>
      <c r="X372" s="13">
        <f t="shared" si="663"/>
        <v>-7.0999999999999987E-3</v>
      </c>
      <c r="Y372">
        <f t="shared" si="655"/>
        <v>83.47</v>
      </c>
      <c r="Z372" s="13">
        <f t="shared" si="650"/>
        <v>-4.7999999999999996E-3</v>
      </c>
      <c r="AA372" s="13">
        <f t="shared" si="682"/>
        <v>-8.0999999999999996E-3</v>
      </c>
      <c r="AB372" s="6">
        <f t="shared" si="656"/>
        <v>100.017</v>
      </c>
      <c r="AC372">
        <f t="shared" si="648"/>
        <v>50</v>
      </c>
      <c r="AD372" s="11">
        <f t="shared" si="649"/>
        <v>2</v>
      </c>
      <c r="AE372">
        <f t="shared" si="647"/>
        <v>28</v>
      </c>
      <c r="AF372">
        <f>IF(AND(AE372&lt;15,OR(AC372&gt;=30,AA372&gt;0.15,X372&gt;=0.15)),2,VLOOKUP(AE372,Table!P:Q,2,FALSE))</f>
        <v>4</v>
      </c>
      <c r="AG372" s="22">
        <f>IF((AB372*0.98)-(D372*0.8)+((AF372-3)*3)+VLOOKUP(AM372,Table!$A$11:$B$13,2,FALSE)&lt;0,0,(AB372*0.98)-(D372*0.8)+((AF372-3)*3)+VLOOKUP(AM372,Table!$A$11:$B$13,2,FALSE))</f>
        <v>93.392659999999978</v>
      </c>
      <c r="AH372" s="22">
        <f t="shared" si="678"/>
        <v>96</v>
      </c>
      <c r="AI372" s="18">
        <f t="shared" si="671"/>
        <v>0.04</v>
      </c>
      <c r="AJ372" s="18">
        <f t="shared" si="672"/>
        <v>0.1</v>
      </c>
      <c r="AK372" t="str">
        <f t="shared" si="657"/>
        <v/>
      </c>
      <c r="AL372">
        <f t="shared" si="668"/>
        <v>28</v>
      </c>
      <c r="AM372" s="11" t="str">
        <f t="shared" si="658"/>
        <v>Stocks</v>
      </c>
      <c r="AN372" t="str">
        <f t="shared" si="664"/>
        <v>Buy</v>
      </c>
      <c r="AO372" s="13">
        <f t="shared" si="665"/>
        <v>2.1899999999999999E-2</v>
      </c>
      <c r="AP372" s="13">
        <f t="shared" si="666"/>
        <v>0</v>
      </c>
      <c r="AQ372" s="13">
        <f t="shared" si="667"/>
        <v>2.1000000000000001E-2</v>
      </c>
      <c r="AR372" s="13">
        <f t="shared" si="659"/>
        <v>2.1899999999999999E-2</v>
      </c>
      <c r="AS372" s="6">
        <f t="shared" si="651"/>
        <v>327.87407157602212</v>
      </c>
      <c r="AT372" s="6">
        <f t="shared" si="652"/>
        <v>185.97425508967711</v>
      </c>
      <c r="AU372" s="6">
        <f t="shared" si="653"/>
        <v>553.09007479520028</v>
      </c>
      <c r="AV372" s="6">
        <f t="shared" si="654"/>
        <v>768.98274582102329</v>
      </c>
      <c r="AW372" s="58">
        <f t="shared" si="660"/>
        <v>2011</v>
      </c>
      <c r="AX372" s="58">
        <f>COUNTIF(AW$3:AW372,AW372)</f>
        <v>24</v>
      </c>
    </row>
    <row r="373" spans="1:50" x14ac:dyDescent="0.25">
      <c r="A373" s="5">
        <v>40734</v>
      </c>
      <c r="B373">
        <v>1343.8</v>
      </c>
      <c r="C373">
        <v>0.02</v>
      </c>
      <c r="D373" s="6">
        <v>15.95</v>
      </c>
      <c r="E373" s="18">
        <f t="shared" si="673"/>
        <v>17.64</v>
      </c>
      <c r="F373">
        <f t="shared" si="674"/>
        <v>0</v>
      </c>
      <c r="G373" s="18">
        <f>ROUND(INDEX(Valuation!U:U,MATCH(A373,Valuation!A:A,0)),2)</f>
        <v>224.41</v>
      </c>
      <c r="H373">
        <f t="shared" si="681"/>
        <v>3</v>
      </c>
      <c r="I373" s="18">
        <f>INDEX(WeeklyIndicators!Y:Y,MATCH(A373,WeeklyIndicators!A:A,0))</f>
        <v>123.95</v>
      </c>
      <c r="J373">
        <f t="shared" si="670"/>
        <v>0</v>
      </c>
      <c r="K373">
        <f>ROUND(INDEX(Economic!AF:AF,MATCH(EOMONTH($A373,-1),Economic!A:A,0)),2)</f>
        <v>99.02</v>
      </c>
      <c r="L373" s="11">
        <f t="shared" si="679"/>
        <v>-1</v>
      </c>
      <c r="M373">
        <f>ROUND(INDEX(Manufacturing!P:P,MATCH(EOMONTH($A373,-1),Manufacturing!A:A,0)),2)</f>
        <v>97.63</v>
      </c>
      <c r="N373">
        <f t="shared" si="675"/>
        <v>1</v>
      </c>
      <c r="O373">
        <f>ROUND(INDEX(Housing!AC:AC,MATCH(EOMONTH($A373,-1),Housing!B:B,0)),2)</f>
        <v>64.209999999999994</v>
      </c>
      <c r="P373">
        <f t="shared" si="676"/>
        <v>-2</v>
      </c>
      <c r="Q373">
        <f>ROUND(INDEX(Spending!AJ:AJ,MATCH(EOMONTH($A373,-1),Spending!B:B,0)),2)</f>
        <v>65.84</v>
      </c>
      <c r="R373">
        <f t="shared" si="680"/>
        <v>2</v>
      </c>
      <c r="S373">
        <f>ROUND(INDEX(Employment!V:V,MATCH(EOMONTH($A373,-1),Employment!A:A,0)),2)</f>
        <v>167.91</v>
      </c>
      <c r="T373" s="11">
        <f t="shared" si="677"/>
        <v>1</v>
      </c>
      <c r="U373">
        <f t="shared" si="669"/>
        <v>24</v>
      </c>
      <c r="V373">
        <f t="shared" si="661"/>
        <v>70.37</v>
      </c>
      <c r="W373" s="13">
        <f t="shared" si="662"/>
        <v>-7.3000000000000001E-3</v>
      </c>
      <c r="X373" s="13">
        <f t="shared" si="663"/>
        <v>3.0999999999999995E-3</v>
      </c>
      <c r="Y373">
        <f t="shared" si="655"/>
        <v>83.54</v>
      </c>
      <c r="Z373" s="13">
        <f t="shared" si="650"/>
        <v>-5.1000000000000004E-3</v>
      </c>
      <c r="AA373" s="13">
        <f t="shared" si="682"/>
        <v>-3.3000000000000008E-3</v>
      </c>
      <c r="AB373" s="6">
        <f t="shared" si="656"/>
        <v>100.64100000000001</v>
      </c>
      <c r="AC373">
        <f t="shared" si="648"/>
        <v>50</v>
      </c>
      <c r="AD373" s="11">
        <f t="shared" si="649"/>
        <v>2</v>
      </c>
      <c r="AE373">
        <f t="shared" si="647"/>
        <v>28</v>
      </c>
      <c r="AF373">
        <f>IF(AND(AE373&lt;15,OR(AC373&gt;=30,AA373&gt;0.15,X373&gt;=0.15)),2,VLOOKUP(AE373,Table!P:Q,2,FALSE))</f>
        <v>4</v>
      </c>
      <c r="AG373" s="22">
        <f>IF((AB373*0.98)-(D373*0.8)+((AF373-3)*3)+VLOOKUP(AM373,Table!$A$11:$B$13,2,FALSE)&lt;0,0,(AB373*0.98)-(D373*0.8)+((AF373-3)*3)+VLOOKUP(AM373,Table!$A$11:$B$13,2,FALSE))</f>
        <v>96.868179999999995</v>
      </c>
      <c r="AH373" s="22">
        <f t="shared" si="678"/>
        <v>96</v>
      </c>
      <c r="AI373" s="18">
        <f t="shared" si="671"/>
        <v>0.04</v>
      </c>
      <c r="AJ373" s="18">
        <f t="shared" si="672"/>
        <v>0.1</v>
      </c>
      <c r="AK373" t="str">
        <f t="shared" si="657"/>
        <v/>
      </c>
      <c r="AL373">
        <f t="shared" si="668"/>
        <v>28.25</v>
      </c>
      <c r="AM373" s="11" t="str">
        <f t="shared" si="658"/>
        <v>Stocks</v>
      </c>
      <c r="AN373" t="str">
        <f t="shared" si="664"/>
        <v>Buy</v>
      </c>
      <c r="AO373" s="13">
        <f t="shared" si="665"/>
        <v>-2.06E-2</v>
      </c>
      <c r="AP373" s="13">
        <f t="shared" si="666"/>
        <v>0</v>
      </c>
      <c r="AQ373" s="13">
        <f t="shared" si="667"/>
        <v>-1.9800000000000002E-2</v>
      </c>
      <c r="AR373" s="13">
        <f t="shared" si="659"/>
        <v>-2.06E-2</v>
      </c>
      <c r="AS373" s="6">
        <f t="shared" si="651"/>
        <v>334.77034059222188</v>
      </c>
      <c r="AT373" s="6">
        <f t="shared" si="652"/>
        <v>185.97425508967711</v>
      </c>
      <c r="AU373" s="6">
        <f t="shared" si="653"/>
        <v>564.26247173556453</v>
      </c>
      <c r="AV373" s="6">
        <f t="shared" si="654"/>
        <v>785.15697960079967</v>
      </c>
      <c r="AW373" s="58">
        <f t="shared" si="660"/>
        <v>2011</v>
      </c>
      <c r="AX373" s="58">
        <f>COUNTIF(AW$3:AW373,AW373)</f>
        <v>25</v>
      </c>
    </row>
    <row r="374" spans="1:50" x14ac:dyDescent="0.25">
      <c r="A374" s="5">
        <v>40727</v>
      </c>
      <c r="B374">
        <v>1339.67</v>
      </c>
      <c r="C374">
        <v>0.02</v>
      </c>
      <c r="D374" s="6">
        <v>15.87</v>
      </c>
      <c r="E374" s="18">
        <f t="shared" si="673"/>
        <v>19.61</v>
      </c>
      <c r="F374">
        <f t="shared" si="674"/>
        <v>-1</v>
      </c>
      <c r="G374" s="18">
        <f>ROUND(INDEX(Valuation!U:U,MATCH(A374,Valuation!A:A,0)),2)</f>
        <v>226.7</v>
      </c>
      <c r="H374">
        <f t="shared" si="681"/>
        <v>3</v>
      </c>
      <c r="I374" s="18">
        <f>INDEX(WeeklyIndicators!Y:Y,MATCH(A374,WeeklyIndicators!A:A,0))</f>
        <v>127.57</v>
      </c>
      <c r="J374">
        <f t="shared" si="670"/>
        <v>0</v>
      </c>
      <c r="K374">
        <f>ROUND(INDEX(Economic!AF:AF,MATCH(EOMONTH($A374,-1),Economic!A:A,0)),2)</f>
        <v>99.02</v>
      </c>
      <c r="L374" s="11">
        <f t="shared" si="679"/>
        <v>-1</v>
      </c>
      <c r="M374">
        <f>ROUND(INDEX(Manufacturing!P:P,MATCH(EOMONTH($A374,-1),Manufacturing!A:A,0)),2)</f>
        <v>97.63</v>
      </c>
      <c r="N374">
        <f t="shared" si="675"/>
        <v>1</v>
      </c>
      <c r="O374">
        <f>ROUND(INDEX(Housing!AC:AC,MATCH(EOMONTH($A374,-1),Housing!B:B,0)),2)</f>
        <v>64.209999999999994</v>
      </c>
      <c r="P374">
        <f t="shared" si="676"/>
        <v>-2</v>
      </c>
      <c r="Q374">
        <f>ROUND(INDEX(Spending!AJ:AJ,MATCH(EOMONTH($A374,-1),Spending!B:B,0)),2)</f>
        <v>65.84</v>
      </c>
      <c r="R374">
        <f t="shared" si="680"/>
        <v>2</v>
      </c>
      <c r="S374">
        <f>ROUND(INDEX(Employment!V:V,MATCH(EOMONTH($A374,-1),Employment!A:A,0)),2)</f>
        <v>167.91</v>
      </c>
      <c r="T374" s="11">
        <f t="shared" si="677"/>
        <v>1</v>
      </c>
      <c r="U374">
        <f t="shared" si="669"/>
        <v>23</v>
      </c>
      <c r="V374">
        <f t="shared" si="661"/>
        <v>70.75</v>
      </c>
      <c r="W374" s="13">
        <f t="shared" si="662"/>
        <v>-1.2999999999999999E-3</v>
      </c>
      <c r="X374" s="13">
        <f t="shared" si="663"/>
        <v>3.1999999999999997E-3</v>
      </c>
      <c r="Y374">
        <f t="shared" si="655"/>
        <v>83.48</v>
      </c>
      <c r="Z374" s="13">
        <f t="shared" si="650"/>
        <v>-3.8999999999999998E-3</v>
      </c>
      <c r="AA374" s="13">
        <f t="shared" si="682"/>
        <v>-1.7999999999999995E-3</v>
      </c>
      <c r="AB374" s="6">
        <f t="shared" si="656"/>
        <v>100.92</v>
      </c>
      <c r="AC374">
        <f t="shared" si="648"/>
        <v>50</v>
      </c>
      <c r="AD374" s="11">
        <f t="shared" si="649"/>
        <v>2</v>
      </c>
      <c r="AE374">
        <f t="shared" si="647"/>
        <v>27</v>
      </c>
      <c r="AF374">
        <f>IF(AND(AE374&lt;15,OR(AC374&gt;=30,AA374&gt;0.15,X374&gt;=0.15)),2,VLOOKUP(AE374,Table!P:Q,2,FALSE))</f>
        <v>4</v>
      </c>
      <c r="AG374" s="22">
        <f>IF((AB374*0.98)-(D374*0.8)+((AF374-3)*3)+VLOOKUP(AM374,Table!$A$11:$B$13,2,FALSE)&lt;0,0,(AB374*0.98)-(D374*0.8)+((AF374-3)*3)+VLOOKUP(AM374,Table!$A$11:$B$13,2,FALSE))</f>
        <v>97.205600000000004</v>
      </c>
      <c r="AH374" s="22">
        <f t="shared" si="678"/>
        <v>94</v>
      </c>
      <c r="AI374" s="18">
        <f t="shared" si="671"/>
        <v>0.05</v>
      </c>
      <c r="AJ374" s="18">
        <f t="shared" si="672"/>
        <v>0.1</v>
      </c>
      <c r="AK374" t="str">
        <f t="shared" si="657"/>
        <v/>
      </c>
      <c r="AL374">
        <f t="shared" si="668"/>
        <v>28.75</v>
      </c>
      <c r="AM374" s="11" t="str">
        <f t="shared" si="658"/>
        <v>Stocks</v>
      </c>
      <c r="AN374" t="str">
        <f t="shared" si="664"/>
        <v>Buy</v>
      </c>
      <c r="AO374" s="13">
        <f t="shared" si="665"/>
        <v>3.0999999999999999E-3</v>
      </c>
      <c r="AP374" s="13">
        <f t="shared" si="666"/>
        <v>0</v>
      </c>
      <c r="AQ374" s="13">
        <f t="shared" si="667"/>
        <v>2.8999999999999998E-3</v>
      </c>
      <c r="AR374" s="13">
        <f t="shared" si="659"/>
        <v>3.0999999999999999E-3</v>
      </c>
      <c r="AS374" s="6">
        <f t="shared" si="651"/>
        <v>333.73575973703703</v>
      </c>
      <c r="AT374" s="6">
        <f t="shared" si="652"/>
        <v>185.97425508967711</v>
      </c>
      <c r="AU374" s="6">
        <f t="shared" si="653"/>
        <v>562.63084229291508</v>
      </c>
      <c r="AV374" s="6">
        <f t="shared" si="654"/>
        <v>782.7305150042863</v>
      </c>
      <c r="AW374" s="58">
        <f t="shared" si="660"/>
        <v>2011</v>
      </c>
      <c r="AX374" s="58">
        <f>COUNTIF(AW$3:AW374,AW374)</f>
        <v>26</v>
      </c>
    </row>
    <row r="375" spans="1:50" x14ac:dyDescent="0.25">
      <c r="A375" s="5">
        <v>40720</v>
      </c>
      <c r="B375">
        <v>1268.45</v>
      </c>
      <c r="C375">
        <v>0.02</v>
      </c>
      <c r="D375" s="6">
        <v>21.1</v>
      </c>
      <c r="E375" s="18">
        <f t="shared" si="673"/>
        <v>20.6</v>
      </c>
      <c r="F375">
        <f t="shared" si="674"/>
        <v>-1</v>
      </c>
      <c r="G375" s="18">
        <f>ROUND(INDEX(Valuation!U:U,MATCH(A375,Valuation!A:A,0)),2)</f>
        <v>227.85</v>
      </c>
      <c r="H375">
        <f t="shared" si="681"/>
        <v>3</v>
      </c>
      <c r="I375" s="18">
        <f>INDEX(WeeklyIndicators!Y:Y,MATCH(A375,WeeklyIndicators!A:A,0))</f>
        <v>131.02000000000001</v>
      </c>
      <c r="J375">
        <f t="shared" si="670"/>
        <v>0</v>
      </c>
      <c r="K375">
        <f>ROUND(INDEX(Economic!AF:AF,MATCH(EOMONTH($A375,-1),Economic!A:A,0)),2)</f>
        <v>100.81</v>
      </c>
      <c r="L375" s="11">
        <f t="shared" si="679"/>
        <v>0</v>
      </c>
      <c r="M375">
        <f>ROUND(INDEX(Manufacturing!P:P,MATCH(EOMONTH($A375,-1),Manufacturing!A:A,0)),2)</f>
        <v>102.63</v>
      </c>
      <c r="N375">
        <f t="shared" si="675"/>
        <v>2</v>
      </c>
      <c r="O375">
        <f>ROUND(INDEX(Housing!AC:AC,MATCH(EOMONTH($A375,-1),Housing!B:B,0)),2)</f>
        <v>62.95</v>
      </c>
      <c r="P375">
        <f t="shared" si="676"/>
        <v>-2</v>
      </c>
      <c r="Q375">
        <f>ROUND(INDEX(Spending!AJ:AJ,MATCH(EOMONTH($A375,-1),Spending!B:B,0)),2)</f>
        <v>67.14</v>
      </c>
      <c r="R375">
        <f t="shared" si="680"/>
        <v>2</v>
      </c>
      <c r="S375">
        <f>ROUND(INDEX(Employment!V:V,MATCH(EOMONTH($A375,-1),Employment!A:A,0)),2)</f>
        <v>168.82</v>
      </c>
      <c r="T375" s="11">
        <f t="shared" si="677"/>
        <v>1</v>
      </c>
      <c r="U375">
        <f t="shared" si="669"/>
        <v>25</v>
      </c>
      <c r="V375">
        <f t="shared" si="661"/>
        <v>72.16</v>
      </c>
      <c r="W375" s="13">
        <f t="shared" si="662"/>
        <v>1.04E-2</v>
      </c>
      <c r="X375" s="13">
        <f t="shared" si="663"/>
        <v>-1.29E-2</v>
      </c>
      <c r="Y375">
        <f t="shared" si="655"/>
        <v>84.68</v>
      </c>
      <c r="Z375" s="13">
        <f t="shared" si="650"/>
        <v>5.7000000000000002E-3</v>
      </c>
      <c r="AA375" s="13">
        <f t="shared" si="682"/>
        <v>-1.2199999999999999E-2</v>
      </c>
      <c r="AB375" s="6">
        <f t="shared" si="656"/>
        <v>101.425</v>
      </c>
      <c r="AC375">
        <f t="shared" si="648"/>
        <v>51</v>
      </c>
      <c r="AD375" s="11">
        <f t="shared" si="649"/>
        <v>2</v>
      </c>
      <c r="AE375">
        <f t="shared" si="647"/>
        <v>29</v>
      </c>
      <c r="AF375">
        <f>IF(AND(AE375&lt;15,OR(AC375&gt;=30,AA375&gt;0.15,X375&gt;=0.15)),2,VLOOKUP(AE375,Table!P:Q,2,FALSE))</f>
        <v>4</v>
      </c>
      <c r="AG375" s="22">
        <f>IF((AB375*0.98)-(D375*0.8)+((AF375-3)*3)+VLOOKUP(AM375,Table!$A$11:$B$13,2,FALSE)&lt;0,0,(AB375*0.98)-(D375*0.8)+((AF375-3)*3)+VLOOKUP(AM375,Table!$A$11:$B$13,2,FALSE))</f>
        <v>93.516499999999979</v>
      </c>
      <c r="AH375" s="22">
        <f t="shared" si="678"/>
        <v>93</v>
      </c>
      <c r="AI375" s="18">
        <f t="shared" si="671"/>
        <v>0.05</v>
      </c>
      <c r="AJ375" s="18">
        <f t="shared" si="672"/>
        <v>0.11</v>
      </c>
      <c r="AK375" t="str">
        <f t="shared" si="657"/>
        <v/>
      </c>
      <c r="AL375">
        <f t="shared" si="668"/>
        <v>29.25</v>
      </c>
      <c r="AM375" s="11" t="str">
        <f t="shared" si="658"/>
        <v>Stocks</v>
      </c>
      <c r="AN375" t="str">
        <f t="shared" si="664"/>
        <v>Buy</v>
      </c>
      <c r="AO375" s="13">
        <f t="shared" si="665"/>
        <v>5.6099999999999997E-2</v>
      </c>
      <c r="AP375" s="13">
        <f t="shared" si="666"/>
        <v>0</v>
      </c>
      <c r="AQ375" s="13">
        <f t="shared" si="667"/>
        <v>5.2200000000000003E-2</v>
      </c>
      <c r="AR375" s="13">
        <f t="shared" si="659"/>
        <v>5.6099999999999997E-2</v>
      </c>
      <c r="AS375" s="6">
        <f t="shared" si="651"/>
        <v>316.00772629205284</v>
      </c>
      <c r="AT375" s="6">
        <f t="shared" si="652"/>
        <v>185.97425508967711</v>
      </c>
      <c r="AU375" s="6">
        <f t="shared" si="653"/>
        <v>534.71853477752813</v>
      </c>
      <c r="AV375" s="6">
        <f t="shared" si="654"/>
        <v>741.15189376411922</v>
      </c>
      <c r="AW375" s="58">
        <f t="shared" si="660"/>
        <v>2011</v>
      </c>
      <c r="AX375" s="58">
        <f>COUNTIF(AW$3:AW375,AW375)</f>
        <v>27</v>
      </c>
    </row>
    <row r="376" spans="1:50" x14ac:dyDescent="0.25">
      <c r="A376" s="5">
        <v>40713</v>
      </c>
      <c r="B376">
        <v>1271.5</v>
      </c>
      <c r="C376">
        <v>0.05</v>
      </c>
      <c r="D376" s="6">
        <v>21.85</v>
      </c>
      <c r="E376" s="18">
        <f t="shared" si="673"/>
        <v>19.55</v>
      </c>
      <c r="F376">
        <f t="shared" si="674"/>
        <v>-1</v>
      </c>
      <c r="G376" s="18">
        <f>ROUND(INDEX(Valuation!U:U,MATCH(A376,Valuation!A:A,0)),2)</f>
        <v>228.03</v>
      </c>
      <c r="H376">
        <f t="shared" si="681"/>
        <v>3</v>
      </c>
      <c r="I376" s="18">
        <f>INDEX(WeeklyIndicators!Y:Y,MATCH(A376,WeeklyIndicators!A:A,0))</f>
        <v>128.88999999999999</v>
      </c>
      <c r="J376">
        <f t="shared" si="670"/>
        <v>0</v>
      </c>
      <c r="K376">
        <f>ROUND(INDEX(Economic!AF:AF,MATCH(EOMONTH($A376,-1),Economic!A:A,0)),2)</f>
        <v>100.81</v>
      </c>
      <c r="L376" s="11">
        <f t="shared" si="679"/>
        <v>0</v>
      </c>
      <c r="M376">
        <f>ROUND(INDEX(Manufacturing!P:P,MATCH(EOMONTH($A376,-1),Manufacturing!A:A,0)),2)</f>
        <v>102.63</v>
      </c>
      <c r="N376">
        <f t="shared" si="675"/>
        <v>2</v>
      </c>
      <c r="O376">
        <f>ROUND(INDEX(Housing!AC:AC,MATCH(EOMONTH($A376,-1),Housing!B:B,0)),2)</f>
        <v>62.95</v>
      </c>
      <c r="P376">
        <f t="shared" si="676"/>
        <v>-2</v>
      </c>
      <c r="Q376">
        <f>ROUND(INDEX(Spending!AJ:AJ,MATCH(EOMONTH($A376,-1),Spending!B:B,0)),2)</f>
        <v>67.14</v>
      </c>
      <c r="R376">
        <f t="shared" si="680"/>
        <v>2</v>
      </c>
      <c r="S376">
        <f>ROUND(INDEX(Employment!V:V,MATCH(EOMONTH($A376,-1),Employment!A:A,0)),2)</f>
        <v>168.82</v>
      </c>
      <c r="T376" s="11">
        <f t="shared" si="677"/>
        <v>1</v>
      </c>
      <c r="U376">
        <f t="shared" si="669"/>
        <v>25</v>
      </c>
      <c r="V376">
        <f t="shared" si="661"/>
        <v>71.94</v>
      </c>
      <c r="W376" s="13">
        <f t="shared" si="662"/>
        <v>1.2999999999999999E-3</v>
      </c>
      <c r="X376" s="13">
        <f t="shared" si="663"/>
        <v>-3.61E-2</v>
      </c>
      <c r="Y376">
        <f t="shared" si="655"/>
        <v>84.84</v>
      </c>
      <c r="Z376" s="13">
        <f t="shared" si="650"/>
        <v>0</v>
      </c>
      <c r="AA376" s="13">
        <f t="shared" si="682"/>
        <v>-3.0800000000000001E-2</v>
      </c>
      <c r="AB376" s="6">
        <f t="shared" si="656"/>
        <v>100.113</v>
      </c>
      <c r="AC376">
        <f t="shared" si="648"/>
        <v>50</v>
      </c>
      <c r="AD376" s="11">
        <f t="shared" si="649"/>
        <v>2</v>
      </c>
      <c r="AE376">
        <f t="shared" ref="AE376:AE439" si="683">IF(AND(AA376&gt;=0.2,AC376&gt;=20,U376+AD376+2&lt;30),U376+AD376+2+12,U376+AD376+2)</f>
        <v>29</v>
      </c>
      <c r="AF376">
        <f>IF(AND(AE376&lt;15,OR(AC376&gt;=30,AA376&gt;0.15,X376&gt;=0.15)),2,VLOOKUP(AE376,Table!P:Q,2,FALSE))</f>
        <v>4</v>
      </c>
      <c r="AG376" s="22">
        <f>IF((AB376*0.98)-(D376*0.8)+((AF376-3)*3)+VLOOKUP(AM376,Table!$A$11:$B$13,2,FALSE)&lt;0,0,(AB376*0.98)-(D376*0.8)+((AF376-3)*3)+VLOOKUP(AM376,Table!$A$11:$B$13,2,FALSE))</f>
        <v>91.630739999999989</v>
      </c>
      <c r="AH376" s="22">
        <f t="shared" si="678"/>
        <v>92</v>
      </c>
      <c r="AI376" s="18">
        <f t="shared" si="671"/>
        <v>0.06</v>
      </c>
      <c r="AJ376" s="18">
        <f t="shared" si="672"/>
        <v>0.11</v>
      </c>
      <c r="AK376" t="str">
        <f t="shared" si="657"/>
        <v/>
      </c>
      <c r="AL376">
        <f t="shared" si="668"/>
        <v>29.25</v>
      </c>
      <c r="AM376" s="11" t="str">
        <f t="shared" si="658"/>
        <v>Stocks</v>
      </c>
      <c r="AN376" t="str">
        <f t="shared" si="664"/>
        <v>Buy</v>
      </c>
      <c r="AO376" s="13">
        <f t="shared" si="665"/>
        <v>-2.3999999999999998E-3</v>
      </c>
      <c r="AP376" s="13">
        <f t="shared" si="666"/>
        <v>0</v>
      </c>
      <c r="AQ376" s="13">
        <f t="shared" si="667"/>
        <v>-2.2000000000000001E-3</v>
      </c>
      <c r="AR376" s="13">
        <f t="shared" si="659"/>
        <v>-2.3999999999999998E-3</v>
      </c>
      <c r="AS376" s="6">
        <f t="shared" si="651"/>
        <v>316.76796941865763</v>
      </c>
      <c r="AT376" s="6">
        <f t="shared" si="652"/>
        <v>185.97425508967711</v>
      </c>
      <c r="AU376" s="6">
        <f t="shared" si="653"/>
        <v>535.89750929798367</v>
      </c>
      <c r="AV376" s="6">
        <f t="shared" si="654"/>
        <v>742.93493761439379</v>
      </c>
      <c r="AW376" s="58">
        <f t="shared" si="660"/>
        <v>2011</v>
      </c>
      <c r="AX376" s="58">
        <f>COUNTIF(AW$3:AW376,AW376)</f>
        <v>28</v>
      </c>
    </row>
    <row r="377" spans="1:50" x14ac:dyDescent="0.25">
      <c r="A377" s="5">
        <v>40706</v>
      </c>
      <c r="B377">
        <v>1270.98</v>
      </c>
      <c r="C377">
        <v>0.05</v>
      </c>
      <c r="D377" s="6">
        <v>18.86</v>
      </c>
      <c r="E377" s="18">
        <f t="shared" si="673"/>
        <v>17.600000000000001</v>
      </c>
      <c r="F377">
        <f t="shared" si="674"/>
        <v>0</v>
      </c>
      <c r="G377" s="18">
        <f>ROUND(INDEX(Valuation!U:U,MATCH(A377,Valuation!A:A,0)),2)</f>
        <v>226.86</v>
      </c>
      <c r="H377">
        <f t="shared" si="681"/>
        <v>3</v>
      </c>
      <c r="I377" s="18">
        <f>INDEX(WeeklyIndicators!Y:Y,MATCH(A377,WeeklyIndicators!A:A,0))</f>
        <v>120.02</v>
      </c>
      <c r="J377">
        <f t="shared" si="670"/>
        <v>0</v>
      </c>
      <c r="K377">
        <f>ROUND(INDEX(Economic!AF:AF,MATCH(EOMONTH($A377,-1),Economic!A:A,0)),2)</f>
        <v>100.81</v>
      </c>
      <c r="L377" s="11">
        <f t="shared" si="679"/>
        <v>0</v>
      </c>
      <c r="M377">
        <f>ROUND(INDEX(Manufacturing!P:P,MATCH(EOMONTH($A377,-1),Manufacturing!A:A,0)),2)</f>
        <v>102.63</v>
      </c>
      <c r="N377">
        <f t="shared" si="675"/>
        <v>2</v>
      </c>
      <c r="O377">
        <f>ROUND(INDEX(Housing!AC:AC,MATCH(EOMONTH($A377,-1),Housing!B:B,0)),2)</f>
        <v>62.95</v>
      </c>
      <c r="P377">
        <f t="shared" si="676"/>
        <v>-2</v>
      </c>
      <c r="Q377">
        <f>ROUND(INDEX(Spending!AJ:AJ,MATCH(EOMONTH($A377,-1),Spending!B:B,0)),2)</f>
        <v>67.14</v>
      </c>
      <c r="R377">
        <f t="shared" si="680"/>
        <v>2</v>
      </c>
      <c r="S377">
        <f>ROUND(INDEX(Employment!V:V,MATCH(EOMONTH($A377,-1),Employment!A:A,0)),2)</f>
        <v>168.82</v>
      </c>
      <c r="T377" s="11">
        <f t="shared" si="677"/>
        <v>1</v>
      </c>
      <c r="U377">
        <f t="shared" si="669"/>
        <v>26</v>
      </c>
      <c r="V377">
        <f t="shared" si="661"/>
        <v>71.02</v>
      </c>
      <c r="W377" s="13">
        <f t="shared" si="662"/>
        <v>-7.1999999999999998E-3</v>
      </c>
      <c r="X377" s="13">
        <f t="shared" si="663"/>
        <v>-4.6099999999999995E-2</v>
      </c>
      <c r="Y377">
        <f t="shared" si="655"/>
        <v>84.47</v>
      </c>
      <c r="Z377" s="13">
        <f t="shared" si="650"/>
        <v>-3.5999999999999999E-3</v>
      </c>
      <c r="AA377" s="13">
        <f t="shared" si="682"/>
        <v>-4.3799999999999999E-2</v>
      </c>
      <c r="AB377" s="6">
        <f t="shared" si="656"/>
        <v>98.626000000000005</v>
      </c>
      <c r="AC377">
        <f t="shared" si="648"/>
        <v>49</v>
      </c>
      <c r="AD377" s="11">
        <f t="shared" si="649"/>
        <v>2</v>
      </c>
      <c r="AE377">
        <f t="shared" si="683"/>
        <v>30</v>
      </c>
      <c r="AF377">
        <f>IF(AND(AE377&lt;15,OR(AC377&gt;=30,AA377&gt;0.15,X377&gt;=0.15)),2,VLOOKUP(AE377,Table!P:Q,2,FALSE))</f>
        <v>4</v>
      </c>
      <c r="AG377" s="22">
        <f>IF((AB377*0.98)-(D377*0.8)+((AF377-3)*3)+VLOOKUP(AM377,Table!$A$11:$B$13,2,FALSE)&lt;0,0,(AB377*0.98)-(D377*0.8)+((AF377-3)*3)+VLOOKUP(AM377,Table!$A$11:$B$13,2,FALSE))</f>
        <v>92.565480000000008</v>
      </c>
      <c r="AH377" s="22">
        <f t="shared" si="678"/>
        <v>94</v>
      </c>
      <c r="AI377" s="18">
        <f t="shared" si="671"/>
        <v>0.06</v>
      </c>
      <c r="AJ377" s="18">
        <f t="shared" si="672"/>
        <v>0.11</v>
      </c>
      <c r="AK377" t="str">
        <f t="shared" si="657"/>
        <v/>
      </c>
      <c r="AL377">
        <f t="shared" si="668"/>
        <v>29.25</v>
      </c>
      <c r="AM377" s="11" t="str">
        <f t="shared" si="658"/>
        <v>Stocks</v>
      </c>
      <c r="AN377" t="str">
        <f t="shared" si="664"/>
        <v>Buy</v>
      </c>
      <c r="AO377" s="13">
        <f t="shared" si="665"/>
        <v>4.0000000000000002E-4</v>
      </c>
      <c r="AP377" s="13">
        <f t="shared" si="666"/>
        <v>0</v>
      </c>
      <c r="AQ377" s="13">
        <f t="shared" si="667"/>
        <v>4.0000000000000002E-4</v>
      </c>
      <c r="AR377" s="13">
        <f t="shared" si="659"/>
        <v>4.0000000000000002E-4</v>
      </c>
      <c r="AS377" s="6">
        <f t="shared" si="651"/>
        <v>316.64131289350024</v>
      </c>
      <c r="AT377" s="6">
        <f t="shared" si="652"/>
        <v>185.97425508967711</v>
      </c>
      <c r="AU377" s="6">
        <f t="shared" si="653"/>
        <v>535.68323600358224</v>
      </c>
      <c r="AV377" s="6">
        <f t="shared" si="654"/>
        <v>742.63788246140928</v>
      </c>
      <c r="AW377" s="58">
        <f t="shared" si="660"/>
        <v>2011</v>
      </c>
      <c r="AX377" s="58">
        <f>COUNTIF(AW$3:AW377,AW377)</f>
        <v>29</v>
      </c>
    </row>
    <row r="378" spans="1:50" x14ac:dyDescent="0.25">
      <c r="A378" s="5">
        <v>40699</v>
      </c>
      <c r="B378">
        <v>1300.1600000000001</v>
      </c>
      <c r="C378">
        <v>0.05</v>
      </c>
      <c r="D378" s="6">
        <v>17.95</v>
      </c>
      <c r="E378" s="18">
        <f t="shared" si="673"/>
        <v>17.12</v>
      </c>
      <c r="F378">
        <f t="shared" si="674"/>
        <v>0</v>
      </c>
      <c r="G378" s="18">
        <f>ROUND(INDEX(Valuation!U:U,MATCH(A378,Valuation!A:A,0)),2)</f>
        <v>224.14</v>
      </c>
      <c r="H378">
        <f t="shared" si="681"/>
        <v>3</v>
      </c>
      <c r="I378" s="18">
        <f>INDEX(WeeklyIndicators!Y:Y,MATCH(A378,WeeklyIndicators!A:A,0))</f>
        <v>109.56</v>
      </c>
      <c r="J378">
        <f t="shared" si="670"/>
        <v>-1</v>
      </c>
      <c r="K378">
        <f>ROUND(INDEX(Economic!AF:AF,MATCH(EOMONTH($A378,-1),Economic!A:A,0)),2)</f>
        <v>100.81</v>
      </c>
      <c r="L378" s="11">
        <f t="shared" si="679"/>
        <v>0</v>
      </c>
      <c r="M378">
        <f>ROUND(INDEX(Manufacturing!P:P,MATCH(EOMONTH($A378,-1),Manufacturing!A:A,0)),2)</f>
        <v>102.63</v>
      </c>
      <c r="N378">
        <f t="shared" si="675"/>
        <v>2</v>
      </c>
      <c r="O378">
        <f>ROUND(INDEX(Housing!AC:AC,MATCH(EOMONTH($A378,-1),Housing!B:B,0)),2)</f>
        <v>62.95</v>
      </c>
      <c r="P378">
        <f t="shared" si="676"/>
        <v>-2</v>
      </c>
      <c r="Q378">
        <f>ROUND(INDEX(Spending!AJ:AJ,MATCH(EOMONTH($A378,-1),Spending!B:B,0)),2)</f>
        <v>67.14</v>
      </c>
      <c r="R378">
        <f t="shared" si="680"/>
        <v>2</v>
      </c>
      <c r="S378">
        <f>ROUND(INDEX(Employment!V:V,MATCH(EOMONTH($A378,-1),Employment!A:A,0)),2)</f>
        <v>168.82</v>
      </c>
      <c r="T378" s="11">
        <f t="shared" si="677"/>
        <v>1</v>
      </c>
      <c r="U378">
        <f t="shared" si="669"/>
        <v>25</v>
      </c>
      <c r="V378">
        <f t="shared" si="661"/>
        <v>69.94</v>
      </c>
      <c r="W378" s="13">
        <f t="shared" si="662"/>
        <v>-1.7399999999999999E-2</v>
      </c>
      <c r="X378" s="13">
        <f t="shared" si="663"/>
        <v>-3.7399999999999996E-2</v>
      </c>
      <c r="Y378">
        <f t="shared" si="655"/>
        <v>83.25</v>
      </c>
      <c r="Z378" s="13">
        <f t="shared" si="650"/>
        <v>-1.43E-2</v>
      </c>
      <c r="AA378" s="13">
        <f t="shared" si="682"/>
        <v>-4.2599999999999999E-2</v>
      </c>
      <c r="AB378" s="6">
        <f t="shared" si="656"/>
        <v>97.263999999999996</v>
      </c>
      <c r="AC378">
        <f t="shared" si="648"/>
        <v>49</v>
      </c>
      <c r="AD378" s="11">
        <f t="shared" si="649"/>
        <v>2</v>
      </c>
      <c r="AE378">
        <f t="shared" si="683"/>
        <v>29</v>
      </c>
      <c r="AF378">
        <f>IF(AND(AE378&lt;15,OR(AC378&gt;=30,AA378&gt;0.15,X378&gt;=0.15)),2,VLOOKUP(AE378,Table!P:Q,2,FALSE))</f>
        <v>4</v>
      </c>
      <c r="AG378" s="22">
        <f>IF((AB378*0.98)-(D378*0.8)+((AF378-3)*3)+VLOOKUP(AM378,Table!$A$11:$B$13,2,FALSE)&lt;0,0,(AB378*0.98)-(D378*0.8)+((AF378-3)*3)+VLOOKUP(AM378,Table!$A$11:$B$13,2,FALSE))</f>
        <v>91.95872</v>
      </c>
      <c r="AH378" s="22">
        <f t="shared" si="678"/>
        <v>95</v>
      </c>
      <c r="AI378" s="18">
        <f t="shared" si="671"/>
        <v>0.06</v>
      </c>
      <c r="AJ378" s="18">
        <f t="shared" si="672"/>
        <v>0.12</v>
      </c>
      <c r="AK378" t="str">
        <f t="shared" si="657"/>
        <v/>
      </c>
      <c r="AL378">
        <f t="shared" si="668"/>
        <v>29.25</v>
      </c>
      <c r="AM378" s="11" t="str">
        <f t="shared" si="658"/>
        <v>Stocks</v>
      </c>
      <c r="AN378" t="str">
        <f t="shared" si="664"/>
        <v>Buy</v>
      </c>
      <c r="AO378" s="13">
        <f t="shared" si="665"/>
        <v>-2.24E-2</v>
      </c>
      <c r="AP378" s="13">
        <f t="shared" si="666"/>
        <v>0</v>
      </c>
      <c r="AQ378" s="13">
        <f t="shared" si="667"/>
        <v>-2.1299999999999999E-2</v>
      </c>
      <c r="AR378" s="13">
        <f t="shared" si="659"/>
        <v>-2.24E-2</v>
      </c>
      <c r="AS378" s="6">
        <f t="shared" si="651"/>
        <v>323.89659665865406</v>
      </c>
      <c r="AT378" s="6">
        <f t="shared" si="652"/>
        <v>185.97425508967711</v>
      </c>
      <c r="AU378" s="6">
        <f t="shared" si="653"/>
        <v>547.34161234656403</v>
      </c>
      <c r="AV378" s="6">
        <f t="shared" si="654"/>
        <v>759.65413508736629</v>
      </c>
      <c r="AW378" s="58">
        <f t="shared" si="660"/>
        <v>2011</v>
      </c>
      <c r="AX378" s="58">
        <f>COUNTIF(AW$3:AW378,AW378)</f>
        <v>30</v>
      </c>
    </row>
    <row r="379" spans="1:50" x14ac:dyDescent="0.25">
      <c r="A379" s="5">
        <v>40692</v>
      </c>
      <c r="B379">
        <v>1331.1</v>
      </c>
      <c r="C379">
        <v>0.06</v>
      </c>
      <c r="D379" s="6">
        <v>15.98</v>
      </c>
      <c r="E379" s="18">
        <f t="shared" si="673"/>
        <v>16.829999999999998</v>
      </c>
      <c r="F379">
        <f t="shared" si="674"/>
        <v>0</v>
      </c>
      <c r="G379" s="18">
        <f>ROUND(INDEX(Valuation!U:U,MATCH(A379,Valuation!A:A,0)),2)</f>
        <v>222.01</v>
      </c>
      <c r="H379">
        <f t="shared" si="681"/>
        <v>3</v>
      </c>
      <c r="I379" s="18">
        <f>INDEX(WeeklyIndicators!Y:Y,MATCH(A379,WeeklyIndicators!A:A,0))</f>
        <v>107.83</v>
      </c>
      <c r="J379">
        <f t="shared" si="670"/>
        <v>-1</v>
      </c>
      <c r="K379">
        <f>ROUND(INDEX(Economic!AF:AF,MATCH(EOMONTH($A379,-1),Economic!A:A,0)),2)</f>
        <v>107.16</v>
      </c>
      <c r="L379" s="11">
        <f t="shared" si="679"/>
        <v>0</v>
      </c>
      <c r="M379">
        <f>ROUND(INDEX(Manufacturing!P:P,MATCH(EOMONTH($A379,-1),Manufacturing!A:A,0)),2)</f>
        <v>107.22</v>
      </c>
      <c r="N379">
        <f t="shared" si="675"/>
        <v>2</v>
      </c>
      <c r="O379">
        <f>ROUND(INDEX(Housing!AC:AC,MATCH(EOMONTH($A379,-1),Housing!B:B,0)),2)</f>
        <v>65.88</v>
      </c>
      <c r="P379">
        <f t="shared" si="676"/>
        <v>-2</v>
      </c>
      <c r="Q379">
        <f>ROUND(INDEX(Spending!AJ:AJ,MATCH(EOMONTH($A379,-1),Spending!B:B,0)),2)</f>
        <v>67.010000000000005</v>
      </c>
      <c r="R379">
        <f t="shared" si="680"/>
        <v>2</v>
      </c>
      <c r="S379">
        <f>ROUND(INDEX(Employment!V:V,MATCH(EOMONTH($A379,-1),Employment!A:A,0)),2)</f>
        <v>170.86</v>
      </c>
      <c r="T379" s="11">
        <f t="shared" si="677"/>
        <v>1</v>
      </c>
      <c r="U379">
        <f t="shared" si="669"/>
        <v>25</v>
      </c>
      <c r="V379">
        <f t="shared" si="661"/>
        <v>71.66</v>
      </c>
      <c r="W379" s="13">
        <f t="shared" si="662"/>
        <v>-1.2800000000000001E-2</v>
      </c>
      <c r="X379" s="13">
        <f t="shared" si="663"/>
        <v>-1.4599999999999997E-2</v>
      </c>
      <c r="Y379">
        <f t="shared" si="655"/>
        <v>84.84</v>
      </c>
      <c r="Z379" s="13">
        <f t="shared" si="650"/>
        <v>-1.29E-2</v>
      </c>
      <c r="AA379" s="13">
        <f t="shared" si="682"/>
        <v>-2.4299999999999999E-2</v>
      </c>
      <c r="AB379" s="6">
        <f t="shared" si="656"/>
        <v>100.15100000000001</v>
      </c>
      <c r="AC379">
        <f t="shared" si="648"/>
        <v>50</v>
      </c>
      <c r="AD379" s="11">
        <f t="shared" si="649"/>
        <v>2</v>
      </c>
      <c r="AE379">
        <f t="shared" si="683"/>
        <v>29</v>
      </c>
      <c r="AF379">
        <f>IF(AND(AE379&lt;15,OR(AC379&gt;=30,AA379&gt;0.15,X379&gt;=0.15)),2,VLOOKUP(AE379,Table!P:Q,2,FALSE))</f>
        <v>4</v>
      </c>
      <c r="AG379" s="22">
        <f>IF((AB379*0.98)-(D379*0.8)+((AF379-3)*3)+VLOOKUP(AM379,Table!$A$11:$B$13,2,FALSE)&lt;0,0,(AB379*0.98)-(D379*0.8)+((AF379-3)*3)+VLOOKUP(AM379,Table!$A$11:$B$13,2,FALSE))</f>
        <v>96.363979999999998</v>
      </c>
      <c r="AH379" s="22">
        <f t="shared" si="678"/>
        <v>98</v>
      </c>
      <c r="AI379" s="18">
        <f t="shared" si="671"/>
        <v>7.0000000000000007E-2</v>
      </c>
      <c r="AJ379" s="18">
        <f t="shared" si="672"/>
        <v>0.12</v>
      </c>
      <c r="AK379" t="str">
        <f t="shared" si="657"/>
        <v/>
      </c>
      <c r="AL379">
        <f t="shared" si="668"/>
        <v>30</v>
      </c>
      <c r="AM379" s="11" t="str">
        <f t="shared" si="658"/>
        <v>Stocks</v>
      </c>
      <c r="AN379" t="str">
        <f t="shared" si="664"/>
        <v>Buy</v>
      </c>
      <c r="AO379" s="13">
        <f t="shared" si="665"/>
        <v>-2.3199999999999998E-2</v>
      </c>
      <c r="AP379" s="13">
        <f t="shared" si="666"/>
        <v>0</v>
      </c>
      <c r="AQ379" s="13">
        <f t="shared" si="667"/>
        <v>-2.2700000000000001E-2</v>
      </c>
      <c r="AR379" s="13">
        <f t="shared" si="659"/>
        <v>-2.3199999999999998E-2</v>
      </c>
      <c r="AS379" s="6">
        <f t="shared" si="651"/>
        <v>331.5894724187695</v>
      </c>
      <c r="AT379" s="6">
        <f t="shared" si="652"/>
        <v>185.97425508967711</v>
      </c>
      <c r="AU379" s="6">
        <f t="shared" si="653"/>
        <v>560.05485761441116</v>
      </c>
      <c r="AV379" s="6">
        <f t="shared" si="654"/>
        <v>777.69669849238971</v>
      </c>
      <c r="AW379" s="58">
        <f t="shared" si="660"/>
        <v>2011</v>
      </c>
      <c r="AX379" s="58">
        <f>COUNTIF(AW$3:AW379,AW379)</f>
        <v>31</v>
      </c>
    </row>
    <row r="380" spans="1:50" x14ac:dyDescent="0.25">
      <c r="A380" s="5">
        <v>40685</v>
      </c>
      <c r="B380">
        <v>1333.27</v>
      </c>
      <c r="C380">
        <v>0.05</v>
      </c>
      <c r="D380" s="6">
        <v>17.43</v>
      </c>
      <c r="E380" s="18">
        <f t="shared" si="673"/>
        <v>17.63</v>
      </c>
      <c r="F380">
        <f t="shared" si="674"/>
        <v>0</v>
      </c>
      <c r="G380" s="18">
        <f>ROUND(INDEX(Valuation!U:U,MATCH(A380,Valuation!A:A,0)),2)</f>
        <v>221.16</v>
      </c>
      <c r="H380">
        <f t="shared" si="681"/>
        <v>3</v>
      </c>
      <c r="I380" s="18">
        <f>INDEX(WeeklyIndicators!Y:Y,MATCH(A380,WeeklyIndicators!A:A,0))</f>
        <v>116.58</v>
      </c>
      <c r="J380">
        <f t="shared" si="670"/>
        <v>-1</v>
      </c>
      <c r="K380">
        <f>ROUND(INDEX(Economic!AF:AF,MATCH(EOMONTH($A380,-1),Economic!A:A,0)),2)</f>
        <v>107.16</v>
      </c>
      <c r="L380" s="11">
        <f t="shared" si="679"/>
        <v>0</v>
      </c>
      <c r="M380">
        <f>ROUND(INDEX(Manufacturing!P:P,MATCH(EOMONTH($A380,-1),Manufacturing!A:A,0)),2)</f>
        <v>107.22</v>
      </c>
      <c r="N380">
        <f t="shared" si="675"/>
        <v>2</v>
      </c>
      <c r="O380">
        <f>ROUND(INDEX(Housing!AC:AC,MATCH(EOMONTH($A380,-1),Housing!B:B,0)),2)</f>
        <v>65.88</v>
      </c>
      <c r="P380">
        <f t="shared" si="676"/>
        <v>-2</v>
      </c>
      <c r="Q380">
        <f>ROUND(INDEX(Spending!AJ:AJ,MATCH(EOMONTH($A380,-1),Spending!B:B,0)),2)</f>
        <v>67.010000000000005</v>
      </c>
      <c r="R380">
        <f t="shared" si="680"/>
        <v>2</v>
      </c>
      <c r="S380">
        <f>ROUND(INDEX(Employment!V:V,MATCH(EOMONTH($A380,-1),Employment!A:A,0)),2)</f>
        <v>170.86</v>
      </c>
      <c r="T380" s="11">
        <f t="shared" si="677"/>
        <v>1</v>
      </c>
      <c r="U380">
        <f t="shared" si="669"/>
        <v>25</v>
      </c>
      <c r="V380">
        <f t="shared" si="661"/>
        <v>72.56</v>
      </c>
      <c r="W380" s="13">
        <f t="shared" si="662"/>
        <v>-8.6999999999999994E-3</v>
      </c>
      <c r="X380" s="13">
        <f t="shared" si="663"/>
        <v>3.2000000000000006E-3</v>
      </c>
      <c r="Y380">
        <f t="shared" si="655"/>
        <v>85.37</v>
      </c>
      <c r="Z380" s="13">
        <f t="shared" si="650"/>
        <v>-1.2999999999999999E-2</v>
      </c>
      <c r="AA380" s="13">
        <f t="shared" si="682"/>
        <v>-4.0999999999999986E-3</v>
      </c>
      <c r="AB380" s="6">
        <f t="shared" si="656"/>
        <v>102.166</v>
      </c>
      <c r="AC380">
        <f t="shared" si="648"/>
        <v>51</v>
      </c>
      <c r="AD380" s="11">
        <f t="shared" si="649"/>
        <v>2</v>
      </c>
      <c r="AE380">
        <f t="shared" si="683"/>
        <v>29</v>
      </c>
      <c r="AF380">
        <f>IF(AND(AE380&lt;15,OR(AC380&gt;=30,AA380&gt;0.15,X380&gt;=0.15)),2,VLOOKUP(AE380,Table!P:Q,2,FALSE))</f>
        <v>4</v>
      </c>
      <c r="AG380" s="22">
        <f>IF((AB380*0.98)-(D380*0.8)+((AF380-3)*3)+VLOOKUP(AM380,Table!$A$11:$B$13,2,FALSE)&lt;0,0,(AB380*0.98)-(D380*0.8)+((AF380-3)*3)+VLOOKUP(AM380,Table!$A$11:$B$13,2,FALSE))</f>
        <v>97.178679999999986</v>
      </c>
      <c r="AH380" s="22">
        <f t="shared" si="678"/>
        <v>100</v>
      </c>
      <c r="AI380" s="18">
        <f t="shared" si="671"/>
        <v>7.0000000000000007E-2</v>
      </c>
      <c r="AJ380" s="18">
        <f t="shared" si="672"/>
        <v>0.12</v>
      </c>
      <c r="AK380" t="str">
        <f t="shared" si="657"/>
        <v/>
      </c>
      <c r="AL380">
        <f t="shared" si="668"/>
        <v>30.75</v>
      </c>
      <c r="AM380" s="11" t="str">
        <f t="shared" si="658"/>
        <v>Stocks</v>
      </c>
      <c r="AN380" t="str">
        <f t="shared" si="664"/>
        <v>Buy</v>
      </c>
      <c r="AO380" s="13">
        <f t="shared" si="665"/>
        <v>-1.6000000000000001E-3</v>
      </c>
      <c r="AP380" s="13">
        <f t="shared" si="666"/>
        <v>0</v>
      </c>
      <c r="AQ380" s="13">
        <f t="shared" si="667"/>
        <v>-1.6000000000000001E-3</v>
      </c>
      <c r="AR380" s="13">
        <f t="shared" si="659"/>
        <v>-1.6000000000000001E-3</v>
      </c>
      <c r="AS380" s="6">
        <f t="shared" si="651"/>
        <v>332.120865804056</v>
      </c>
      <c r="AT380" s="6">
        <f t="shared" si="652"/>
        <v>185.97425508967711</v>
      </c>
      <c r="AU380" s="6">
        <f t="shared" si="653"/>
        <v>560.95238142469066</v>
      </c>
      <c r="AV380" s="6">
        <f t="shared" si="654"/>
        <v>778.94300730407622</v>
      </c>
      <c r="AW380" s="58">
        <f t="shared" si="660"/>
        <v>2011</v>
      </c>
      <c r="AX380" s="58">
        <f>COUNTIF(AW$3:AW380,AW380)</f>
        <v>32</v>
      </c>
    </row>
    <row r="381" spans="1:50" x14ac:dyDescent="0.25">
      <c r="A381" s="5">
        <v>40678</v>
      </c>
      <c r="B381">
        <v>1337.77</v>
      </c>
      <c r="C381">
        <v>0.03</v>
      </c>
      <c r="D381" s="6">
        <v>17.07</v>
      </c>
      <c r="E381" s="18">
        <f t="shared" si="673"/>
        <v>16.739999999999998</v>
      </c>
      <c r="F381">
        <f t="shared" si="674"/>
        <v>0</v>
      </c>
      <c r="G381" s="18">
        <f>ROUND(INDEX(Valuation!U:U,MATCH(A381,Valuation!A:A,0)),2)</f>
        <v>221.85</v>
      </c>
      <c r="H381">
        <f t="shared" si="681"/>
        <v>3</v>
      </c>
      <c r="I381" s="18">
        <f>INDEX(WeeklyIndicators!Y:Y,MATCH(A381,WeeklyIndicators!A:A,0))</f>
        <v>127.78</v>
      </c>
      <c r="J381">
        <f t="shared" si="670"/>
        <v>0</v>
      </c>
      <c r="K381">
        <f>ROUND(INDEX(Economic!AF:AF,MATCH(EOMONTH($A381,-1),Economic!A:A,0)),2)</f>
        <v>107.16</v>
      </c>
      <c r="L381" s="11">
        <f t="shared" si="679"/>
        <v>0</v>
      </c>
      <c r="M381">
        <f>ROUND(INDEX(Manufacturing!P:P,MATCH(EOMONTH($A381,-1),Manufacturing!A:A,0)),2)</f>
        <v>107.22</v>
      </c>
      <c r="N381">
        <f t="shared" si="675"/>
        <v>2</v>
      </c>
      <c r="O381">
        <f>ROUND(INDEX(Housing!AC:AC,MATCH(EOMONTH($A381,-1),Housing!B:B,0)),2)</f>
        <v>65.88</v>
      </c>
      <c r="P381">
        <f t="shared" si="676"/>
        <v>-2</v>
      </c>
      <c r="Q381">
        <f>ROUND(INDEX(Spending!AJ:AJ,MATCH(EOMONTH($A381,-1),Spending!B:B,0)),2)</f>
        <v>67.010000000000005</v>
      </c>
      <c r="R381">
        <f t="shared" si="680"/>
        <v>2</v>
      </c>
      <c r="S381">
        <f>ROUND(INDEX(Employment!V:V,MATCH(EOMONTH($A381,-1),Employment!A:A,0)),2)</f>
        <v>170.86</v>
      </c>
      <c r="T381" s="11">
        <f t="shared" si="677"/>
        <v>1</v>
      </c>
      <c r="U381">
        <f t="shared" si="669"/>
        <v>26</v>
      </c>
      <c r="V381">
        <f t="shared" si="661"/>
        <v>73.73</v>
      </c>
      <c r="W381" s="13">
        <f t="shared" si="662"/>
        <v>1.5E-3</v>
      </c>
      <c r="X381" s="13">
        <f t="shared" si="663"/>
        <v>0.01</v>
      </c>
      <c r="Y381">
        <f t="shared" si="655"/>
        <v>86.92</v>
      </c>
      <c r="Z381" s="13">
        <f t="shared" si="650"/>
        <v>-2.3999999999999998E-3</v>
      </c>
      <c r="AA381" s="13">
        <f t="shared" si="682"/>
        <v>1.24E-2</v>
      </c>
      <c r="AB381" s="6">
        <f t="shared" si="656"/>
        <v>104.995</v>
      </c>
      <c r="AC381">
        <f t="shared" ref="AC381:AC444" si="684">IF(ROUND(AB381/2,0)&lt;0,0,ROUND(AB381/2,0))</f>
        <v>52</v>
      </c>
      <c r="AD381" s="11">
        <f t="shared" si="649"/>
        <v>2</v>
      </c>
      <c r="AE381">
        <f t="shared" si="683"/>
        <v>30</v>
      </c>
      <c r="AF381">
        <f>IF(AND(AE381&lt;15,OR(AC381&gt;=30,AA381&gt;0.15,X381&gt;=0.15)),2,VLOOKUP(AE381,Table!P:Q,2,FALSE))</f>
        <v>4</v>
      </c>
      <c r="AG381" s="22">
        <f>IF((AB381*0.98)-(D381*0.8)+((AF381-3)*3)+VLOOKUP(AM381,Table!$A$11:$B$13,2,FALSE)&lt;0,0,(AB381*0.98)-(D381*0.8)+((AF381-3)*3)+VLOOKUP(AM381,Table!$A$11:$B$13,2,FALSE))</f>
        <v>100.23909999999999</v>
      </c>
      <c r="AH381" s="22">
        <f t="shared" si="678"/>
        <v>100</v>
      </c>
      <c r="AI381" s="18">
        <f t="shared" si="671"/>
        <v>0.08</v>
      </c>
      <c r="AJ381" s="18">
        <f t="shared" si="672"/>
        <v>0.12</v>
      </c>
      <c r="AK381" t="str">
        <f t="shared" si="657"/>
        <v/>
      </c>
      <c r="AL381">
        <f t="shared" si="668"/>
        <v>31.25</v>
      </c>
      <c r="AM381" s="11" t="str">
        <f t="shared" si="658"/>
        <v>Stocks</v>
      </c>
      <c r="AN381" t="str">
        <f t="shared" si="664"/>
        <v>Buy</v>
      </c>
      <c r="AO381" s="13">
        <f t="shared" si="665"/>
        <v>-3.3999999999999998E-3</v>
      </c>
      <c r="AP381" s="13">
        <f t="shared" si="666"/>
        <v>0</v>
      </c>
      <c r="AQ381" s="13">
        <f t="shared" si="667"/>
        <v>-3.3999999999999998E-3</v>
      </c>
      <c r="AR381" s="13">
        <f t="shared" si="659"/>
        <v>-3.3999999999999998E-3</v>
      </c>
      <c r="AS381" s="6">
        <f t="shared" si="651"/>
        <v>333.2539291632109</v>
      </c>
      <c r="AT381" s="6">
        <f t="shared" si="652"/>
        <v>185.97425508967711</v>
      </c>
      <c r="AU381" s="6">
        <f t="shared" si="653"/>
        <v>562.86612625395412</v>
      </c>
      <c r="AV381" s="6">
        <f t="shared" si="654"/>
        <v>781.60044883009857</v>
      </c>
      <c r="AW381" s="58">
        <f t="shared" si="660"/>
        <v>2011</v>
      </c>
      <c r="AX381" s="58">
        <f>COUNTIF(AW$3:AW381,AW381)</f>
        <v>33</v>
      </c>
    </row>
    <row r="382" spans="1:50" x14ac:dyDescent="0.25">
      <c r="A382" s="5">
        <v>40671</v>
      </c>
      <c r="B382">
        <v>1340.2</v>
      </c>
      <c r="C382">
        <v>0.03</v>
      </c>
      <c r="D382" s="6">
        <v>18.399999999999999</v>
      </c>
      <c r="E382" s="18">
        <f t="shared" si="673"/>
        <v>15.95</v>
      </c>
      <c r="F382">
        <f t="shared" si="674"/>
        <v>1</v>
      </c>
      <c r="G382" s="18">
        <f>ROUND(INDEX(Valuation!U:U,MATCH(A382,Valuation!A:A,0)),2)</f>
        <v>223.9</v>
      </c>
      <c r="H382">
        <f t="shared" si="681"/>
        <v>3</v>
      </c>
      <c r="I382" s="18">
        <f>INDEX(WeeklyIndicators!Y:Y,MATCH(A382,WeeklyIndicators!A:A,0))</f>
        <v>135.16999999999999</v>
      </c>
      <c r="J382">
        <f t="shared" si="670"/>
        <v>1</v>
      </c>
      <c r="K382">
        <f>ROUND(INDEX(Economic!AF:AF,MATCH(EOMONTH($A382,-1),Economic!A:A,0)),2)</f>
        <v>107.16</v>
      </c>
      <c r="L382" s="11">
        <f t="shared" si="679"/>
        <v>0</v>
      </c>
      <c r="M382">
        <f>ROUND(INDEX(Manufacturing!P:P,MATCH(EOMONTH($A382,-1),Manufacturing!A:A,0)),2)</f>
        <v>107.22</v>
      </c>
      <c r="N382">
        <f t="shared" si="675"/>
        <v>2</v>
      </c>
      <c r="O382">
        <f>ROUND(INDEX(Housing!AC:AC,MATCH(EOMONTH($A382,-1),Housing!B:B,0)),2)</f>
        <v>65.88</v>
      </c>
      <c r="P382">
        <f t="shared" si="676"/>
        <v>-2</v>
      </c>
      <c r="Q382">
        <f>ROUND(INDEX(Spending!AJ:AJ,MATCH(EOMONTH($A382,-1),Spending!B:B,0)),2)</f>
        <v>67.010000000000005</v>
      </c>
      <c r="R382">
        <f t="shared" si="680"/>
        <v>2</v>
      </c>
      <c r="S382">
        <f>ROUND(INDEX(Employment!V:V,MATCH(EOMONTH($A382,-1),Employment!A:A,0)),2)</f>
        <v>170.86</v>
      </c>
      <c r="T382" s="11">
        <f t="shared" si="677"/>
        <v>1</v>
      </c>
      <c r="U382">
        <f t="shared" si="669"/>
        <v>28</v>
      </c>
      <c r="V382">
        <f t="shared" si="661"/>
        <v>74.489999999999995</v>
      </c>
      <c r="W382" s="13">
        <f t="shared" si="662"/>
        <v>5.4000000000000003E-3</v>
      </c>
      <c r="X382" s="13">
        <f t="shared" si="663"/>
        <v>1.2399999999999998E-2</v>
      </c>
      <c r="Y382">
        <f t="shared" si="655"/>
        <v>88.19</v>
      </c>
      <c r="Z382" s="13">
        <f t="shared" si="650"/>
        <v>4.0000000000000001E-3</v>
      </c>
      <c r="AA382" s="13">
        <f t="shared" si="682"/>
        <v>2.2600000000000002E-2</v>
      </c>
      <c r="AB382" s="6">
        <f t="shared" si="656"/>
        <v>107.2</v>
      </c>
      <c r="AC382">
        <f t="shared" si="684"/>
        <v>54</v>
      </c>
      <c r="AD382" s="11">
        <f t="shared" ref="AD382:AD445" si="685">IF(AC382&gt;47,2,IF(AND(AC382&gt;41,AC382&lt;=47),1,IF(AC382&lt;15,-2,IF(AND(AC382&lt;32,AC382&gt;=15),-1,0))))</f>
        <v>2</v>
      </c>
      <c r="AE382">
        <f t="shared" si="683"/>
        <v>32</v>
      </c>
      <c r="AF382">
        <f>IF(AND(AE382&lt;15,OR(AC382&gt;=30,AA382&gt;0.15,X382&gt;=0.15)),2,VLOOKUP(AE382,Table!P:Q,2,FALSE))</f>
        <v>5</v>
      </c>
      <c r="AG382" s="22">
        <f>IF((AB382*0.98)-(D382*0.8)+((AF382-3)*3)+VLOOKUP(AM382,Table!$A$11:$B$13,2,FALSE)&lt;0,0,(AB382*0.98)-(D382*0.8)+((AF382-3)*3)+VLOOKUP(AM382,Table!$A$11:$B$13,2,FALSE))</f>
        <v>104.336</v>
      </c>
      <c r="AH382" s="22">
        <f t="shared" si="678"/>
        <v>100</v>
      </c>
      <c r="AI382" s="18">
        <f t="shared" si="671"/>
        <v>0.09</v>
      </c>
      <c r="AJ382" s="18">
        <f t="shared" si="672"/>
        <v>0.13</v>
      </c>
      <c r="AK382" t="str">
        <f t="shared" si="657"/>
        <v/>
      </c>
      <c r="AL382">
        <f t="shared" si="668"/>
        <v>31.25</v>
      </c>
      <c r="AM382" s="11" t="str">
        <f t="shared" si="658"/>
        <v>Stocks</v>
      </c>
      <c r="AN382" t="str">
        <f t="shared" si="664"/>
        <v>Buy</v>
      </c>
      <c r="AO382" s="13">
        <f t="shared" si="665"/>
        <v>-1.8E-3</v>
      </c>
      <c r="AP382" s="13">
        <f t="shared" si="666"/>
        <v>0</v>
      </c>
      <c r="AQ382" s="13">
        <f t="shared" si="667"/>
        <v>-1.8E-3</v>
      </c>
      <c r="AR382" s="13">
        <f t="shared" si="659"/>
        <v>-1.8E-3</v>
      </c>
      <c r="AS382" s="6">
        <f t="shared" si="651"/>
        <v>333.85486792547675</v>
      </c>
      <c r="AT382" s="6">
        <f t="shared" si="652"/>
        <v>185.97425508967711</v>
      </c>
      <c r="AU382" s="6">
        <f t="shared" si="653"/>
        <v>563.88111225601494</v>
      </c>
      <c r="AV382" s="6">
        <f t="shared" si="654"/>
        <v>783.00986658996055</v>
      </c>
      <c r="AW382" s="58">
        <f t="shared" si="660"/>
        <v>2011</v>
      </c>
      <c r="AX382" s="58">
        <f>COUNTIF(AW$3:AW382,AW382)</f>
        <v>34</v>
      </c>
    </row>
    <row r="383" spans="1:50" x14ac:dyDescent="0.25">
      <c r="A383" s="5">
        <v>40664</v>
      </c>
      <c r="B383">
        <v>1363.61</v>
      </c>
      <c r="C383">
        <v>0.06</v>
      </c>
      <c r="D383" s="6">
        <v>14.75</v>
      </c>
      <c r="E383" s="18">
        <f t="shared" si="673"/>
        <v>14.92</v>
      </c>
      <c r="F383">
        <f t="shared" si="674"/>
        <v>1</v>
      </c>
      <c r="G383" s="18">
        <f>ROUND(INDEX(Valuation!U:U,MATCH(A383,Valuation!A:A,0)),2)</f>
        <v>226.16</v>
      </c>
      <c r="H383">
        <f t="shared" si="681"/>
        <v>3</v>
      </c>
      <c r="I383" s="18">
        <f>INDEX(WeeklyIndicators!Y:Y,MATCH(A383,WeeklyIndicators!A:A,0))</f>
        <v>135.18</v>
      </c>
      <c r="J383">
        <f t="shared" si="670"/>
        <v>1</v>
      </c>
      <c r="K383">
        <f>ROUND(INDEX(Economic!AF:AF,MATCH(EOMONTH($A383,-1),Economic!A:A,0)),2)</f>
        <v>107.16</v>
      </c>
      <c r="L383" s="11">
        <f t="shared" si="679"/>
        <v>0</v>
      </c>
      <c r="M383">
        <f>ROUND(INDEX(Manufacturing!P:P,MATCH(EOMONTH($A383,-1),Manufacturing!A:A,0)),2)</f>
        <v>107.22</v>
      </c>
      <c r="N383">
        <f t="shared" si="675"/>
        <v>2</v>
      </c>
      <c r="O383">
        <f>ROUND(INDEX(Housing!AC:AC,MATCH(EOMONTH($A383,-1),Housing!B:B,0)),2)</f>
        <v>65.88</v>
      </c>
      <c r="P383">
        <f t="shared" si="676"/>
        <v>-2</v>
      </c>
      <c r="Q383">
        <f>ROUND(INDEX(Spending!AJ:AJ,MATCH(EOMONTH($A383,-1),Spending!B:B,0)),2)</f>
        <v>67.010000000000005</v>
      </c>
      <c r="R383">
        <f t="shared" si="680"/>
        <v>2</v>
      </c>
      <c r="S383">
        <f>ROUND(INDEX(Employment!V:V,MATCH(EOMONTH($A383,-1),Employment!A:A,0)),2)</f>
        <v>170.86</v>
      </c>
      <c r="T383" s="11">
        <f t="shared" si="677"/>
        <v>1</v>
      </c>
      <c r="U383">
        <f t="shared" si="669"/>
        <v>28</v>
      </c>
      <c r="V383">
        <f t="shared" si="661"/>
        <v>74.489999999999995</v>
      </c>
      <c r="W383" s="13">
        <f t="shared" si="662"/>
        <v>5.0000000000000001E-3</v>
      </c>
      <c r="X383" s="13">
        <f t="shared" si="663"/>
        <v>0.01</v>
      </c>
      <c r="Y383">
        <f t="shared" si="655"/>
        <v>88.8</v>
      </c>
      <c r="Z383" s="13">
        <f t="shared" si="650"/>
        <v>7.3000000000000001E-3</v>
      </c>
      <c r="AA383" s="13">
        <f t="shared" si="682"/>
        <v>2.4999999999999998E-2</v>
      </c>
      <c r="AB383" s="6">
        <f t="shared" si="656"/>
        <v>108.176</v>
      </c>
      <c r="AC383">
        <f t="shared" si="684"/>
        <v>54</v>
      </c>
      <c r="AD383" s="11">
        <f t="shared" si="685"/>
        <v>2</v>
      </c>
      <c r="AE383">
        <f t="shared" si="683"/>
        <v>32</v>
      </c>
      <c r="AF383">
        <f>IF(AND(AE383&lt;15,OR(AC383&gt;=30,AA383&gt;0.15,X383&gt;=0.15)),2,VLOOKUP(AE383,Table!P:Q,2,FALSE))</f>
        <v>5</v>
      </c>
      <c r="AG383" s="22">
        <f>IF((AB383*0.98)-(D383*0.8)+((AF383-3)*3)+VLOOKUP(AM383,Table!$A$11:$B$13,2,FALSE)&lt;0,0,(AB383*0.98)-(D383*0.8)+((AF383-3)*3)+VLOOKUP(AM383,Table!$A$11:$B$13,2,FALSE))</f>
        <v>108.21248</v>
      </c>
      <c r="AH383" s="22">
        <f t="shared" si="678"/>
        <v>100</v>
      </c>
      <c r="AI383" s="18">
        <f t="shared" si="671"/>
        <v>0.1</v>
      </c>
      <c r="AJ383" s="18">
        <f t="shared" si="672"/>
        <v>0.13</v>
      </c>
      <c r="AK383" t="str">
        <f t="shared" si="657"/>
        <v/>
      </c>
      <c r="AL383">
        <f t="shared" si="668"/>
        <v>30.75</v>
      </c>
      <c r="AM383" s="11" t="str">
        <f t="shared" si="658"/>
        <v>Stocks</v>
      </c>
      <c r="AN383" t="str">
        <f t="shared" si="664"/>
        <v>Buy</v>
      </c>
      <c r="AO383" s="13">
        <f t="shared" si="665"/>
        <v>-1.72E-2</v>
      </c>
      <c r="AP383" s="13">
        <f t="shared" si="666"/>
        <v>0</v>
      </c>
      <c r="AQ383" s="13">
        <f t="shared" si="667"/>
        <v>-1.72E-2</v>
      </c>
      <c r="AR383" s="13">
        <f t="shared" si="659"/>
        <v>-1.72E-2</v>
      </c>
      <c r="AS383" s="6">
        <f t="shared" si="651"/>
        <v>339.6976678118404</v>
      </c>
      <c r="AT383" s="6">
        <f t="shared" si="652"/>
        <v>185.97425508967711</v>
      </c>
      <c r="AU383" s="6">
        <f t="shared" si="653"/>
        <v>573.74960547010062</v>
      </c>
      <c r="AV383" s="6">
        <f t="shared" si="654"/>
        <v>796.71333596862087</v>
      </c>
      <c r="AW383" s="58">
        <f t="shared" si="660"/>
        <v>2011</v>
      </c>
      <c r="AX383" s="58">
        <f>COUNTIF(AW$3:AW383,AW383)</f>
        <v>35</v>
      </c>
    </row>
    <row r="384" spans="1:50" x14ac:dyDescent="0.25">
      <c r="A384" s="5">
        <v>40657</v>
      </c>
      <c r="B384">
        <v>1337.38</v>
      </c>
      <c r="C384">
        <v>0.06</v>
      </c>
      <c r="D384" s="6">
        <v>14.69</v>
      </c>
      <c r="E384" s="18">
        <f t="shared" si="673"/>
        <v>15.96</v>
      </c>
      <c r="F384">
        <f t="shared" si="674"/>
        <v>1</v>
      </c>
      <c r="G384" s="18">
        <f>ROUND(INDEX(Valuation!U:U,MATCH(A384,Valuation!A:A,0)),2)</f>
        <v>228.02</v>
      </c>
      <c r="H384">
        <f t="shared" si="681"/>
        <v>3</v>
      </c>
      <c r="I384" s="18">
        <f>INDEX(WeeklyIndicators!Y:Y,MATCH(A384,WeeklyIndicators!A:A,0))</f>
        <v>131.46</v>
      </c>
      <c r="J384">
        <f t="shared" si="670"/>
        <v>0</v>
      </c>
      <c r="K384">
        <f>ROUND(INDEX(Economic!AF:AF,MATCH(EOMONTH($A384,-1),Economic!A:A,0)),2)</f>
        <v>110.57</v>
      </c>
      <c r="L384" s="11">
        <f t="shared" si="679"/>
        <v>0</v>
      </c>
      <c r="M384">
        <f>ROUND(INDEX(Manufacturing!P:P,MATCH(EOMONTH($A384,-1),Manufacturing!A:A,0)),2)</f>
        <v>104.85</v>
      </c>
      <c r="N384">
        <f t="shared" si="675"/>
        <v>2</v>
      </c>
      <c r="O384">
        <f>ROUND(INDEX(Housing!AC:AC,MATCH(EOMONTH($A384,-1),Housing!B:B,0)),2)</f>
        <v>64.17</v>
      </c>
      <c r="P384">
        <f t="shared" si="676"/>
        <v>-2</v>
      </c>
      <c r="Q384">
        <f>ROUND(INDEX(Spending!AJ:AJ,MATCH(EOMONTH($A384,-1),Spending!B:B,0)),2)</f>
        <v>65.040000000000006</v>
      </c>
      <c r="R384">
        <f t="shared" si="680"/>
        <v>2</v>
      </c>
      <c r="S384">
        <f>ROUND(INDEX(Employment!V:V,MATCH(EOMONTH($A384,-1),Employment!A:A,0)),2)</f>
        <v>164.15</v>
      </c>
      <c r="T384" s="11">
        <f t="shared" si="677"/>
        <v>1</v>
      </c>
      <c r="U384">
        <f t="shared" si="669"/>
        <v>27</v>
      </c>
      <c r="V384">
        <f t="shared" si="661"/>
        <v>73.400000000000006</v>
      </c>
      <c r="W384" s="13">
        <f t="shared" si="662"/>
        <v>-1.9E-3</v>
      </c>
      <c r="X384" s="13">
        <f t="shared" si="663"/>
        <v>1.06E-2</v>
      </c>
      <c r="Y384">
        <f t="shared" si="655"/>
        <v>87.55</v>
      </c>
      <c r="Z384" s="13">
        <f t="shared" ref="Z384:Z447" si="686">ROUND((AVERAGE(Y384:Y386)-AVERAGE(Y385:Y387))/AVERAGE(Y385:Y387),4)</f>
        <v>3.5000000000000001E-3</v>
      </c>
      <c r="AA384" s="13">
        <f t="shared" si="682"/>
        <v>2.12E-2</v>
      </c>
      <c r="AB384" s="6">
        <f t="shared" si="656"/>
        <v>106.822</v>
      </c>
      <c r="AC384">
        <f t="shared" si="684"/>
        <v>53</v>
      </c>
      <c r="AD384" s="11">
        <f t="shared" si="685"/>
        <v>2</v>
      </c>
      <c r="AE384">
        <f t="shared" si="683"/>
        <v>31</v>
      </c>
      <c r="AF384">
        <f>IF(AND(AE384&lt;15,OR(AC384&gt;=30,AA384&gt;0.15,X384&gt;=0.15)),2,VLOOKUP(AE384,Table!P:Q,2,FALSE))</f>
        <v>4</v>
      </c>
      <c r="AG384" s="22">
        <f>IF((AB384*0.98)-(D384*0.8)+((AF384-3)*3)+VLOOKUP(AM384,Table!$A$11:$B$13,2,FALSE)&lt;0,0,(AB384*0.98)-(D384*0.8)+((AF384-3)*3)+VLOOKUP(AM384,Table!$A$11:$B$13,2,FALSE))</f>
        <v>103.93356</v>
      </c>
      <c r="AH384" s="22">
        <f t="shared" si="678"/>
        <v>100</v>
      </c>
      <c r="AI384" s="18">
        <f t="shared" si="671"/>
        <v>0.1</v>
      </c>
      <c r="AJ384" s="18">
        <f t="shared" si="672"/>
        <v>0.13</v>
      </c>
      <c r="AK384" t="str">
        <f t="shared" si="657"/>
        <v/>
      </c>
      <c r="AL384">
        <f t="shared" si="668"/>
        <v>30.25</v>
      </c>
      <c r="AM384" s="11" t="str">
        <f t="shared" si="658"/>
        <v>Stocks</v>
      </c>
      <c r="AN384" t="str">
        <f t="shared" si="664"/>
        <v>Buy</v>
      </c>
      <c r="AO384" s="13">
        <f t="shared" si="665"/>
        <v>1.9599999999999999E-2</v>
      </c>
      <c r="AP384" s="13">
        <f t="shared" si="666"/>
        <v>0</v>
      </c>
      <c r="AQ384" s="13">
        <f t="shared" si="667"/>
        <v>1.9599999999999999E-2</v>
      </c>
      <c r="AR384" s="13">
        <f t="shared" si="659"/>
        <v>1.9599999999999999E-2</v>
      </c>
      <c r="AS384" s="6">
        <f t="shared" si="651"/>
        <v>333.16758318148334</v>
      </c>
      <c r="AT384" s="6">
        <f t="shared" si="652"/>
        <v>185.97425508967711</v>
      </c>
      <c r="AU384" s="6">
        <f t="shared" si="653"/>
        <v>562.72028782865891</v>
      </c>
      <c r="AV384" s="6">
        <f t="shared" si="654"/>
        <v>781.39793641488905</v>
      </c>
      <c r="AW384" s="58">
        <f t="shared" si="660"/>
        <v>2011</v>
      </c>
      <c r="AX384" s="58">
        <f>COUNTIF(AW$3:AW384,AW384)</f>
        <v>36</v>
      </c>
    </row>
    <row r="385" spans="1:50" x14ac:dyDescent="0.25">
      <c r="A385" s="5">
        <v>40650</v>
      </c>
      <c r="B385">
        <v>1319.68</v>
      </c>
      <c r="C385">
        <v>0.06</v>
      </c>
      <c r="D385" s="6">
        <v>15.32</v>
      </c>
      <c r="E385" s="18">
        <f t="shared" si="673"/>
        <v>16.86</v>
      </c>
      <c r="F385">
        <f t="shared" si="674"/>
        <v>0</v>
      </c>
      <c r="G385" s="18">
        <f>ROUND(INDEX(Valuation!U:U,MATCH(A385,Valuation!A:A,0)),2)</f>
        <v>228.14</v>
      </c>
      <c r="H385">
        <f t="shared" si="681"/>
        <v>3</v>
      </c>
      <c r="I385" s="18">
        <f>INDEX(WeeklyIndicators!Y:Y,MATCH(A385,WeeklyIndicators!A:A,0))</f>
        <v>130.38</v>
      </c>
      <c r="J385">
        <f t="shared" si="670"/>
        <v>0</v>
      </c>
      <c r="K385">
        <f>ROUND(INDEX(Economic!AF:AF,MATCH(EOMONTH($A385,-1),Economic!A:A,0)),2)</f>
        <v>110.57</v>
      </c>
      <c r="L385" s="11">
        <f t="shared" si="679"/>
        <v>0</v>
      </c>
      <c r="M385">
        <f>ROUND(INDEX(Manufacturing!P:P,MATCH(EOMONTH($A385,-1),Manufacturing!A:A,0)),2)</f>
        <v>104.85</v>
      </c>
      <c r="N385">
        <f t="shared" si="675"/>
        <v>2</v>
      </c>
      <c r="O385">
        <f>ROUND(INDEX(Housing!AC:AC,MATCH(EOMONTH($A385,-1),Housing!B:B,0)),2)</f>
        <v>64.17</v>
      </c>
      <c r="P385">
        <f t="shared" si="676"/>
        <v>-2</v>
      </c>
      <c r="Q385">
        <f>ROUND(INDEX(Spending!AJ:AJ,MATCH(EOMONTH($A385,-1),Spending!B:B,0)),2)</f>
        <v>65.040000000000006</v>
      </c>
      <c r="R385">
        <f t="shared" si="680"/>
        <v>2</v>
      </c>
      <c r="S385">
        <f>ROUND(INDEX(Employment!V:V,MATCH(EOMONTH($A385,-1),Employment!A:A,0)),2)</f>
        <v>164.15</v>
      </c>
      <c r="T385" s="11">
        <f t="shared" si="677"/>
        <v>1</v>
      </c>
      <c r="U385">
        <f t="shared" si="669"/>
        <v>26</v>
      </c>
      <c r="V385">
        <f t="shared" si="661"/>
        <v>73.290000000000006</v>
      </c>
      <c r="W385" s="13">
        <f t="shared" si="662"/>
        <v>3.8999999999999998E-3</v>
      </c>
      <c r="X385" s="13">
        <f t="shared" si="663"/>
        <v>1.4100000000000001E-2</v>
      </c>
      <c r="Y385">
        <f t="shared" si="655"/>
        <v>87.14</v>
      </c>
      <c r="Z385" s="13">
        <f t="shared" si="686"/>
        <v>7.7999999999999996E-3</v>
      </c>
      <c r="AA385" s="13">
        <f t="shared" si="682"/>
        <v>1.5800000000000002E-2</v>
      </c>
      <c r="AB385" s="6">
        <f t="shared" si="656"/>
        <v>106.09399999999999</v>
      </c>
      <c r="AC385">
        <f t="shared" si="684"/>
        <v>53</v>
      </c>
      <c r="AD385" s="11">
        <f t="shared" si="685"/>
        <v>2</v>
      </c>
      <c r="AE385">
        <f t="shared" si="683"/>
        <v>30</v>
      </c>
      <c r="AF385">
        <f>IF(AND(AE385&lt;15,OR(AC385&gt;=30,AA385&gt;0.15,X385&gt;=0.15)),2,VLOOKUP(AE385,Table!P:Q,2,FALSE))</f>
        <v>4</v>
      </c>
      <c r="AG385" s="22">
        <f>IF((AB385*0.98)-(D385*0.8)+((AF385-3)*3)+VLOOKUP(AM385,Table!$A$11:$B$13,2,FALSE)&lt;0,0,(AB385*0.98)-(D385*0.8)+((AF385-3)*3)+VLOOKUP(AM385,Table!$A$11:$B$13,2,FALSE))</f>
        <v>102.71611999999999</v>
      </c>
      <c r="AH385" s="22">
        <f t="shared" si="678"/>
        <v>100</v>
      </c>
      <c r="AI385" s="18">
        <f t="shared" si="671"/>
        <v>0.11</v>
      </c>
      <c r="AJ385" s="18">
        <f t="shared" si="672"/>
        <v>0.13</v>
      </c>
      <c r="AK385" t="str">
        <f t="shared" si="657"/>
        <v/>
      </c>
      <c r="AL385">
        <f t="shared" si="668"/>
        <v>29.75</v>
      </c>
      <c r="AM385" s="11" t="str">
        <f t="shared" si="658"/>
        <v>Stocks</v>
      </c>
      <c r="AN385" t="str">
        <f t="shared" si="664"/>
        <v>Buy</v>
      </c>
      <c r="AO385" s="13">
        <f t="shared" si="665"/>
        <v>1.34E-2</v>
      </c>
      <c r="AP385" s="13">
        <f t="shared" si="666"/>
        <v>0</v>
      </c>
      <c r="AQ385" s="13">
        <f t="shared" si="667"/>
        <v>1.34E-2</v>
      </c>
      <c r="AR385" s="13">
        <f t="shared" si="659"/>
        <v>1.34E-2</v>
      </c>
      <c r="AS385" s="6">
        <f t="shared" si="651"/>
        <v>328.76217010211496</v>
      </c>
      <c r="AT385" s="6">
        <f t="shared" si="652"/>
        <v>185.97425508967711</v>
      </c>
      <c r="AU385" s="6">
        <f t="shared" si="653"/>
        <v>555.27954196631026</v>
      </c>
      <c r="AV385" s="6">
        <f t="shared" si="654"/>
        <v>771.06565661623154</v>
      </c>
      <c r="AW385" s="58">
        <f t="shared" si="660"/>
        <v>2011</v>
      </c>
      <c r="AX385" s="58">
        <f>COUNTIF(AW$3:AW385,AW385)</f>
        <v>37</v>
      </c>
    </row>
    <row r="386" spans="1:50" x14ac:dyDescent="0.25">
      <c r="A386" s="5">
        <v>40643</v>
      </c>
      <c r="B386">
        <v>1328.17</v>
      </c>
      <c r="C386">
        <v>0.05</v>
      </c>
      <c r="D386" s="6">
        <v>17.87</v>
      </c>
      <c r="E386" s="18">
        <f t="shared" si="673"/>
        <v>17.73</v>
      </c>
      <c r="F386">
        <f t="shared" si="674"/>
        <v>0</v>
      </c>
      <c r="G386" s="18">
        <f>ROUND(INDEX(Valuation!U:U,MATCH(A386,Valuation!A:A,0)),2)</f>
        <v>227.7</v>
      </c>
      <c r="H386">
        <f t="shared" si="681"/>
        <v>3</v>
      </c>
      <c r="I386" s="18">
        <f>INDEX(WeeklyIndicators!Y:Y,MATCH(A386,WeeklyIndicators!A:A,0))</f>
        <v>131.47999999999999</v>
      </c>
      <c r="J386">
        <f t="shared" si="670"/>
        <v>0</v>
      </c>
      <c r="K386">
        <f>ROUND(INDEX(Economic!AF:AF,MATCH(EOMONTH($A386,-1),Economic!A:A,0)),2)</f>
        <v>110.57</v>
      </c>
      <c r="L386" s="11">
        <f t="shared" si="679"/>
        <v>0</v>
      </c>
      <c r="M386">
        <f>ROUND(INDEX(Manufacturing!P:P,MATCH(EOMONTH($A386,-1),Manufacturing!A:A,0)),2)</f>
        <v>104.85</v>
      </c>
      <c r="N386">
        <f t="shared" si="675"/>
        <v>2</v>
      </c>
      <c r="O386">
        <f>ROUND(INDEX(Housing!AC:AC,MATCH(EOMONTH($A386,-1),Housing!B:B,0)),2)</f>
        <v>64.17</v>
      </c>
      <c r="P386">
        <f t="shared" si="676"/>
        <v>-2</v>
      </c>
      <c r="Q386">
        <f>ROUND(INDEX(Spending!AJ:AJ,MATCH(EOMONTH($A386,-1),Spending!B:B,0)),2)</f>
        <v>65.040000000000006</v>
      </c>
      <c r="R386">
        <f t="shared" si="680"/>
        <v>2</v>
      </c>
      <c r="S386">
        <f>ROUND(INDEX(Employment!V:V,MATCH(EOMONTH($A386,-1),Employment!A:A,0)),2)</f>
        <v>164.15</v>
      </c>
      <c r="T386" s="11">
        <f t="shared" si="677"/>
        <v>1</v>
      </c>
      <c r="U386">
        <f t="shared" si="669"/>
        <v>26</v>
      </c>
      <c r="V386">
        <f t="shared" si="661"/>
        <v>73.400000000000006</v>
      </c>
      <c r="W386" s="13">
        <f t="shared" si="662"/>
        <v>3.0000000000000001E-3</v>
      </c>
      <c r="X386" s="13">
        <f t="shared" si="663"/>
        <v>3.5200000000000002E-2</v>
      </c>
      <c r="Y386">
        <f t="shared" si="655"/>
        <v>86.9</v>
      </c>
      <c r="Z386" s="13">
        <f t="shared" si="686"/>
        <v>6.4000000000000003E-3</v>
      </c>
      <c r="AA386" s="13">
        <f t="shared" si="682"/>
        <v>2.2800000000000001E-2</v>
      </c>
      <c r="AB386" s="6">
        <f t="shared" si="656"/>
        <v>106.5</v>
      </c>
      <c r="AC386">
        <f t="shared" si="684"/>
        <v>53</v>
      </c>
      <c r="AD386" s="11">
        <f t="shared" si="685"/>
        <v>2</v>
      </c>
      <c r="AE386">
        <f t="shared" si="683"/>
        <v>30</v>
      </c>
      <c r="AF386">
        <f>IF(AND(AE386&lt;15,OR(AC386&gt;=30,AA386&gt;0.15,X386&gt;=0.15)),2,VLOOKUP(AE386,Table!P:Q,2,FALSE))</f>
        <v>4</v>
      </c>
      <c r="AG386" s="22">
        <f>IF((AB386*0.98)-(D386*0.8)+((AF386-3)*3)+VLOOKUP(AM386,Table!$A$11:$B$13,2,FALSE)&lt;0,0,(AB386*0.98)-(D386*0.8)+((AF386-3)*3)+VLOOKUP(AM386,Table!$A$11:$B$13,2,FALSE))</f>
        <v>101.074</v>
      </c>
      <c r="AH386" s="22">
        <f t="shared" si="678"/>
        <v>100</v>
      </c>
      <c r="AI386" s="18">
        <f t="shared" si="671"/>
        <v>0.12</v>
      </c>
      <c r="AJ386" s="18">
        <f t="shared" si="672"/>
        <v>0.14000000000000001</v>
      </c>
      <c r="AK386" t="str">
        <f t="shared" si="657"/>
        <v/>
      </c>
      <c r="AL386">
        <f t="shared" si="668"/>
        <v>29.5</v>
      </c>
      <c r="AM386" s="11" t="str">
        <f t="shared" si="658"/>
        <v>Stocks</v>
      </c>
      <c r="AN386" t="str">
        <f t="shared" si="664"/>
        <v>Buy</v>
      </c>
      <c r="AO386" s="13">
        <f t="shared" si="665"/>
        <v>-6.4000000000000003E-3</v>
      </c>
      <c r="AP386" s="13">
        <f t="shared" si="666"/>
        <v>0</v>
      </c>
      <c r="AQ386" s="13">
        <f t="shared" si="667"/>
        <v>-6.4000000000000003E-3</v>
      </c>
      <c r="AR386" s="13">
        <f t="shared" si="659"/>
        <v>-6.4000000000000003E-3</v>
      </c>
      <c r="AS386" s="6">
        <f t="shared" si="651"/>
        <v>330.87980082741041</v>
      </c>
      <c r="AT386" s="6">
        <f t="shared" si="652"/>
        <v>185.97425508967711</v>
      </c>
      <c r="AU386" s="6">
        <f t="shared" si="653"/>
        <v>558.85622178573897</v>
      </c>
      <c r="AV386" s="6">
        <f t="shared" si="654"/>
        <v>776.03226310007199</v>
      </c>
      <c r="AW386" s="58">
        <f t="shared" si="660"/>
        <v>2011</v>
      </c>
      <c r="AX386" s="58">
        <f>COUNTIF(AW$3:AW386,AW386)</f>
        <v>38</v>
      </c>
    </row>
    <row r="387" spans="1:50" x14ac:dyDescent="0.25">
      <c r="A387" s="5">
        <v>40636</v>
      </c>
      <c r="B387">
        <v>1332.41</v>
      </c>
      <c r="C387">
        <v>0.09</v>
      </c>
      <c r="D387" s="6">
        <v>17.399999999999999</v>
      </c>
      <c r="E387" s="18">
        <f t="shared" si="673"/>
        <v>19.920000000000002</v>
      </c>
      <c r="F387">
        <f t="shared" si="674"/>
        <v>-1</v>
      </c>
      <c r="G387" s="18">
        <f>ROUND(INDEX(Valuation!U:U,MATCH(A387,Valuation!A:A,0)),2)</f>
        <v>228.52</v>
      </c>
      <c r="H387">
        <f t="shared" si="681"/>
        <v>3</v>
      </c>
      <c r="I387" s="18">
        <f>INDEX(WeeklyIndicators!Y:Y,MATCH(A387,WeeklyIndicators!A:A,0))</f>
        <v>135.36000000000001</v>
      </c>
      <c r="J387">
        <f t="shared" si="670"/>
        <v>1</v>
      </c>
      <c r="K387">
        <f>ROUND(INDEX(Economic!AF:AF,MATCH(EOMONTH($A387,-1),Economic!A:A,0)),2)</f>
        <v>110.57</v>
      </c>
      <c r="L387" s="11">
        <f t="shared" si="679"/>
        <v>0</v>
      </c>
      <c r="M387">
        <f>ROUND(INDEX(Manufacturing!P:P,MATCH(EOMONTH($A387,-1),Manufacturing!A:A,0)),2)</f>
        <v>104.85</v>
      </c>
      <c r="N387">
        <f t="shared" si="675"/>
        <v>2</v>
      </c>
      <c r="O387">
        <f>ROUND(INDEX(Housing!AC:AC,MATCH(EOMONTH($A387,-1),Housing!B:B,0)),2)</f>
        <v>64.17</v>
      </c>
      <c r="P387">
        <f t="shared" si="676"/>
        <v>-2</v>
      </c>
      <c r="Q387">
        <f>ROUND(INDEX(Spending!AJ:AJ,MATCH(EOMONTH($A387,-1),Spending!B:B,0)),2)</f>
        <v>65.040000000000006</v>
      </c>
      <c r="R387">
        <f t="shared" si="680"/>
        <v>2</v>
      </c>
      <c r="S387">
        <f>ROUND(INDEX(Employment!V:V,MATCH(EOMONTH($A387,-1),Employment!A:A,0)),2)</f>
        <v>164.15</v>
      </c>
      <c r="T387" s="11">
        <f t="shared" si="677"/>
        <v>1</v>
      </c>
      <c r="U387">
        <f t="shared" si="669"/>
        <v>26</v>
      </c>
      <c r="V387">
        <f t="shared" si="661"/>
        <v>73.81</v>
      </c>
      <c r="W387" s="13">
        <f t="shared" si="662"/>
        <v>5.5999999999999999E-3</v>
      </c>
      <c r="X387" s="13">
        <f t="shared" si="663"/>
        <v>5.9399999999999994E-2</v>
      </c>
      <c r="Y387">
        <f t="shared" si="655"/>
        <v>86.63</v>
      </c>
      <c r="Z387" s="13">
        <f t="shared" si="686"/>
        <v>3.5000000000000001E-3</v>
      </c>
      <c r="AA387" s="13">
        <f t="shared" si="682"/>
        <v>3.3700000000000001E-2</v>
      </c>
      <c r="AB387" s="6">
        <f t="shared" si="656"/>
        <v>107.292</v>
      </c>
      <c r="AC387">
        <f t="shared" si="684"/>
        <v>54</v>
      </c>
      <c r="AD387" s="11">
        <f t="shared" si="685"/>
        <v>2</v>
      </c>
      <c r="AE387">
        <f t="shared" si="683"/>
        <v>30</v>
      </c>
      <c r="AF387">
        <f>IF(AND(AE387&lt;15,OR(AC387&gt;=30,AA387&gt;0.15,X387&gt;=0.15)),2,VLOOKUP(AE387,Table!P:Q,2,FALSE))</f>
        <v>4</v>
      </c>
      <c r="AG387" s="22">
        <f>IF((AB387*0.98)-(D387*0.8)+((AF387-3)*3)+VLOOKUP(AM387,Table!$A$11:$B$13,2,FALSE)&lt;0,0,(AB387*0.98)-(D387*0.8)+((AF387-3)*3)+VLOOKUP(AM387,Table!$A$11:$B$13,2,FALSE))</f>
        <v>102.22615999999999</v>
      </c>
      <c r="AH387" s="22">
        <f t="shared" si="678"/>
        <v>100</v>
      </c>
      <c r="AI387" s="18">
        <f t="shared" si="671"/>
        <v>0.13</v>
      </c>
      <c r="AJ387" s="18">
        <f t="shared" si="672"/>
        <v>0.14000000000000001</v>
      </c>
      <c r="AK387" t="str">
        <f t="shared" si="657"/>
        <v/>
      </c>
      <c r="AL387">
        <f t="shared" si="668"/>
        <v>29.25</v>
      </c>
      <c r="AM387" s="11" t="str">
        <f t="shared" si="658"/>
        <v>Stocks</v>
      </c>
      <c r="AN387" t="str">
        <f t="shared" si="664"/>
        <v>Buy</v>
      </c>
      <c r="AO387" s="13">
        <f t="shared" si="665"/>
        <v>-3.2000000000000002E-3</v>
      </c>
      <c r="AP387" s="13">
        <f t="shared" si="666"/>
        <v>0</v>
      </c>
      <c r="AQ387" s="13">
        <f t="shared" si="667"/>
        <v>-3.2000000000000002E-3</v>
      </c>
      <c r="AR387" s="13">
        <f t="shared" si="659"/>
        <v>-3.2000000000000002E-3</v>
      </c>
      <c r="AS387" s="6">
        <f t="shared" ref="AS387:AS450" si="687">AS388*(1+AO388)</f>
        <v>331.94201527629457</v>
      </c>
      <c r="AT387" s="6">
        <f t="shared" ref="AT387:AT450" si="688">AT388*(1+AP388)</f>
        <v>185.97425508967711</v>
      </c>
      <c r="AU387" s="6">
        <f t="shared" ref="AU387:AU450" si="689">AU388*(1+AQ388)</f>
        <v>560.65030275455354</v>
      </c>
      <c r="AV387" s="6">
        <f t="shared" ref="AV387:AV450" si="690">AV388*(1+AR388)</f>
        <v>778.52353842302568</v>
      </c>
      <c r="AW387" s="58">
        <f t="shared" si="660"/>
        <v>2011</v>
      </c>
      <c r="AX387" s="58">
        <f>COUNTIF(AW$3:AW387,AW387)</f>
        <v>39</v>
      </c>
    </row>
    <row r="388" spans="1:50" x14ac:dyDescent="0.25">
      <c r="A388" s="5">
        <v>40629</v>
      </c>
      <c r="B388">
        <v>1313.8</v>
      </c>
      <c r="C388">
        <v>0.09</v>
      </c>
      <c r="D388" s="6">
        <v>17.91</v>
      </c>
      <c r="E388" s="18">
        <f t="shared" si="673"/>
        <v>20.81</v>
      </c>
      <c r="F388">
        <f t="shared" si="674"/>
        <v>-1</v>
      </c>
      <c r="G388" s="18">
        <f>ROUND(INDEX(Valuation!U:U,MATCH(A388,Valuation!A:A,0)),2)</f>
        <v>229.89</v>
      </c>
      <c r="H388">
        <f t="shared" si="681"/>
        <v>3</v>
      </c>
      <c r="I388" s="18">
        <f>INDEX(WeeklyIndicators!Y:Y,MATCH(A388,WeeklyIndicators!A:A,0))</f>
        <v>139.49</v>
      </c>
      <c r="J388">
        <f t="shared" si="670"/>
        <v>1</v>
      </c>
      <c r="K388">
        <f>ROUND(INDEX(Economic!AF:AF,MATCH(EOMONTH($A388,-1),Economic!A:A,0)),2)</f>
        <v>108.6</v>
      </c>
      <c r="L388" s="11">
        <f t="shared" si="679"/>
        <v>0</v>
      </c>
      <c r="M388">
        <f>ROUND(INDEX(Manufacturing!P:P,MATCH(EOMONTH($A388,-1),Manufacturing!A:A,0)),2)</f>
        <v>102.42</v>
      </c>
      <c r="N388">
        <f t="shared" si="675"/>
        <v>2</v>
      </c>
      <c r="O388">
        <f>ROUND(INDEX(Housing!AC:AC,MATCH(EOMONTH($A388,-1),Housing!B:B,0)),2)</f>
        <v>59.87</v>
      </c>
      <c r="P388">
        <f t="shared" si="676"/>
        <v>-2</v>
      </c>
      <c r="Q388">
        <f>ROUND(INDEX(Spending!AJ:AJ,MATCH(EOMONTH($A388,-1),Spending!B:B,0)),2)</f>
        <v>62.77</v>
      </c>
      <c r="R388">
        <f t="shared" si="680"/>
        <v>2</v>
      </c>
      <c r="S388">
        <f>ROUND(INDEX(Employment!V:V,MATCH(EOMONTH($A388,-1),Employment!A:A,0)),2)</f>
        <v>156.04</v>
      </c>
      <c r="T388" s="11">
        <f t="shared" si="677"/>
        <v>0</v>
      </c>
      <c r="U388">
        <f t="shared" si="669"/>
        <v>25</v>
      </c>
      <c r="V388">
        <f t="shared" si="661"/>
        <v>72.44</v>
      </c>
      <c r="W388" s="13">
        <f t="shared" si="662"/>
        <v>1.6000000000000001E-3</v>
      </c>
      <c r="X388" s="13">
        <f t="shared" si="663"/>
        <v>8.0699999999999994E-2</v>
      </c>
      <c r="Y388">
        <f t="shared" ref="Y388:Y451" si="691">ROUND(((K388*0.745)+(M388*0.745)+(O388*0.36)+(Q388*0.45)+(S388*0.45)+(I388*0.55)+(G388*0.59)-(E388*1.85))/5.3,2)</f>
        <v>85.11</v>
      </c>
      <c r="Z388" s="13">
        <f t="shared" si="686"/>
        <v>-1.9E-3</v>
      </c>
      <c r="AA388" s="13">
        <f t="shared" si="682"/>
        <v>5.04E-2</v>
      </c>
      <c r="AB388" s="6">
        <f t="shared" ref="AB388:AB451" si="692">IF(ROUND(Y388+(X388*10)+(V388/30)+(AA388*67),2)+5+((G388-125)*0.1)&lt;0,0,ROUND(Y388+(X388*10)+(V388/30)+(AA388*67),2)+5+((G388-125)*0.1))</f>
        <v>107.199</v>
      </c>
      <c r="AC388">
        <f t="shared" si="684"/>
        <v>54</v>
      </c>
      <c r="AD388" s="11">
        <f t="shared" si="685"/>
        <v>2</v>
      </c>
      <c r="AE388">
        <f t="shared" si="683"/>
        <v>29</v>
      </c>
      <c r="AF388">
        <f>IF(AND(AE388&lt;15,OR(AC388&gt;=30,AA388&gt;0.15,X388&gt;=0.15)),2,VLOOKUP(AE388,Table!P:Q,2,FALSE))</f>
        <v>4</v>
      </c>
      <c r="AG388" s="22">
        <f>IF((AB388*0.98)-(D388*0.8)+((AF388-3)*3)+VLOOKUP(AM388,Table!$A$11:$B$13,2,FALSE)&lt;0,0,(AB388*0.98)-(D388*0.8)+((AF388-3)*3)+VLOOKUP(AM388,Table!$A$11:$B$13,2,FALSE))</f>
        <v>101.72702</v>
      </c>
      <c r="AH388" s="22">
        <f t="shared" si="678"/>
        <v>100</v>
      </c>
      <c r="AI388" s="18">
        <f t="shared" si="671"/>
        <v>0.13</v>
      </c>
      <c r="AJ388" s="18">
        <f t="shared" si="672"/>
        <v>0.14000000000000001</v>
      </c>
      <c r="AK388" t="str">
        <f t="shared" ref="AK388:AK451" si="693">IF(AND(C388&gt;AI388,AI388&gt;AJ388,C388-AJ388&gt;0.15),"Rising Rates",IF(AND(C388&lt;AI388,AI388&lt;AJ388,AJ388-C388&gt;0.15),"Falling Rates",""))</f>
        <v/>
      </c>
      <c r="AL388">
        <f t="shared" si="668"/>
        <v>29</v>
      </c>
      <c r="AM388" s="11" t="str">
        <f t="shared" ref="AM388:AM451" si="694">IF(OR(AND(AL388&lt;=18,G388&lt;=25),AND(AL388&lt;=14,G388&lt;200)),"Cash","Stocks")</f>
        <v>Stocks</v>
      </c>
      <c r="AN388" t="str">
        <f t="shared" si="664"/>
        <v>Buy</v>
      </c>
      <c r="AO388" s="13">
        <f t="shared" si="665"/>
        <v>1.4200000000000001E-2</v>
      </c>
      <c r="AP388" s="13">
        <f t="shared" si="666"/>
        <v>0</v>
      </c>
      <c r="AQ388" s="13">
        <f t="shared" si="667"/>
        <v>1.4200000000000001E-2</v>
      </c>
      <c r="AR388" s="13">
        <f t="shared" ref="AR388:AR451" si="695">IF(AM388="Stocks",AO388,AP388)</f>
        <v>1.4200000000000001E-2</v>
      </c>
      <c r="AS388" s="6">
        <f t="shared" si="687"/>
        <v>327.29443430910527</v>
      </c>
      <c r="AT388" s="6">
        <f t="shared" si="688"/>
        <v>185.97425508967711</v>
      </c>
      <c r="AU388" s="6">
        <f t="shared" si="689"/>
        <v>552.80053515534757</v>
      </c>
      <c r="AV388" s="6">
        <f t="shared" si="690"/>
        <v>767.62328773715808</v>
      </c>
      <c r="AW388" s="58">
        <f t="shared" ref="AW388:AW451" si="696">YEAR(A388)</f>
        <v>2011</v>
      </c>
      <c r="AX388" s="58">
        <f>COUNTIF(AW$3:AW388,AW388)</f>
        <v>40</v>
      </c>
    </row>
    <row r="389" spans="1:50" x14ac:dyDescent="0.25">
      <c r="A389" s="5">
        <v>40622</v>
      </c>
      <c r="B389">
        <v>1279.21</v>
      </c>
      <c r="C389">
        <v>0.09</v>
      </c>
      <c r="D389" s="6">
        <v>24.44</v>
      </c>
      <c r="E389" s="18">
        <f t="shared" si="673"/>
        <v>21.19</v>
      </c>
      <c r="F389">
        <f t="shared" si="674"/>
        <v>-1</v>
      </c>
      <c r="G389" s="18">
        <f>ROUND(INDEX(Valuation!U:U,MATCH(A389,Valuation!A:A,0)),2)</f>
        <v>229.63</v>
      </c>
      <c r="H389">
        <f t="shared" si="681"/>
        <v>3</v>
      </c>
      <c r="I389" s="18">
        <f>INDEX(WeeklyIndicators!Y:Y,MATCH(A389,WeeklyIndicators!A:A,0))</f>
        <v>142.38999999999999</v>
      </c>
      <c r="J389">
        <f t="shared" si="670"/>
        <v>1</v>
      </c>
      <c r="K389">
        <f>ROUND(INDEX(Economic!AF:AF,MATCH(EOMONTH($A389,-1),Economic!A:A,0)),2)</f>
        <v>108.6</v>
      </c>
      <c r="L389" s="11">
        <f t="shared" si="679"/>
        <v>0</v>
      </c>
      <c r="M389">
        <f>ROUND(INDEX(Manufacturing!P:P,MATCH(EOMONTH($A389,-1),Manufacturing!A:A,0)),2)</f>
        <v>102.42</v>
      </c>
      <c r="N389">
        <f t="shared" si="675"/>
        <v>2</v>
      </c>
      <c r="O389">
        <f>ROUND(INDEX(Housing!AC:AC,MATCH(EOMONTH($A389,-1),Housing!B:B,0)),2)</f>
        <v>59.87</v>
      </c>
      <c r="P389">
        <f t="shared" si="676"/>
        <v>-2</v>
      </c>
      <c r="Q389">
        <f>ROUND(INDEX(Spending!AJ:AJ,MATCH(EOMONTH($A389,-1),Spending!B:B,0)),2)</f>
        <v>62.77</v>
      </c>
      <c r="R389">
        <f t="shared" si="680"/>
        <v>2</v>
      </c>
      <c r="S389">
        <f>ROUND(INDEX(Employment!V:V,MATCH(EOMONTH($A389,-1),Employment!A:A,0)),2)</f>
        <v>156.04</v>
      </c>
      <c r="T389" s="11">
        <f t="shared" si="677"/>
        <v>0</v>
      </c>
      <c r="U389">
        <f t="shared" si="669"/>
        <v>25</v>
      </c>
      <c r="V389">
        <f t="shared" ref="V389:V452" si="697">ROUND(((K389*0.745)+(M389*0.745)+(O389*0.36)+(Q389*0.45)+(S389*0.45)+(I389*0.55)+(60)-(30))/5.3,2)</f>
        <v>72.739999999999995</v>
      </c>
      <c r="W389" s="13">
        <f t="shared" ref="W389:W452" si="698">ROUND((AVERAGE(V389:V391)-AVERAGE(V390:V392))/AVERAGE(V390:V392),4)</f>
        <v>2.5000000000000001E-2</v>
      </c>
      <c r="X389" s="13">
        <f t="shared" ref="X389:X452" si="699">SUM(W389:W392)</f>
        <v>8.3400000000000002E-2</v>
      </c>
      <c r="Y389">
        <f t="shared" si="691"/>
        <v>85.25</v>
      </c>
      <c r="Z389" s="13">
        <f t="shared" si="686"/>
        <v>1.4800000000000001E-2</v>
      </c>
      <c r="AA389" s="13">
        <f t="shared" si="682"/>
        <v>5.7700000000000001E-2</v>
      </c>
      <c r="AB389" s="6">
        <f t="shared" si="692"/>
        <v>107.833</v>
      </c>
      <c r="AC389">
        <f t="shared" si="684"/>
        <v>54</v>
      </c>
      <c r="AD389" s="11">
        <f t="shared" si="685"/>
        <v>2</v>
      </c>
      <c r="AE389">
        <f t="shared" si="683"/>
        <v>29</v>
      </c>
      <c r="AF389">
        <f>IF(AND(AE389&lt;15,OR(AC389&gt;=30,AA389&gt;0.15,X389&gt;=0.15)),2,VLOOKUP(AE389,Table!P:Q,2,FALSE))</f>
        <v>4</v>
      </c>
      <c r="AG389" s="22">
        <f>IF((AB389*0.98)-(D389*0.8)+((AF389-3)*3)+VLOOKUP(AM389,Table!$A$11:$B$13,2,FALSE)&lt;0,0,(AB389*0.98)-(D389*0.8)+((AF389-3)*3)+VLOOKUP(AM389,Table!$A$11:$B$13,2,FALSE))</f>
        <v>97.124339999999989</v>
      </c>
      <c r="AH389" s="22">
        <f t="shared" si="678"/>
        <v>100</v>
      </c>
      <c r="AI389" s="18">
        <f t="shared" si="671"/>
        <v>0.13</v>
      </c>
      <c r="AJ389" s="18">
        <f t="shared" si="672"/>
        <v>0.14000000000000001</v>
      </c>
      <c r="AK389" t="str">
        <f t="shared" si="693"/>
        <v/>
      </c>
      <c r="AL389">
        <f t="shared" si="668"/>
        <v>28</v>
      </c>
      <c r="AM389" s="11" t="str">
        <f t="shared" si="694"/>
        <v>Stocks</v>
      </c>
      <c r="AN389" t="str">
        <f t="shared" ref="AN389:AN452" si="700">IF(AND(V389&gt;AG389,V389&lt;65),"Sell","Buy")</f>
        <v>Buy</v>
      </c>
      <c r="AO389" s="13">
        <f t="shared" ref="AO389:AO452" si="701">ROUND((B388/B389)-1,4)</f>
        <v>2.7E-2</v>
      </c>
      <c r="AP389" s="13">
        <f t="shared" ref="AP389:AP452" si="702">ROUND((C389*0.01)/52,4)</f>
        <v>0</v>
      </c>
      <c r="AQ389" s="13">
        <f t="shared" ref="AQ389:AQ452" si="703">ROUND(((AH389*0.01)*AO389)+(((100-AH389)*0.01)*AP389),4)</f>
        <v>2.7E-2</v>
      </c>
      <c r="AR389" s="13">
        <f t="shared" si="695"/>
        <v>2.7E-2</v>
      </c>
      <c r="AS389" s="6">
        <f t="shared" si="687"/>
        <v>318.6898094538513</v>
      </c>
      <c r="AT389" s="6">
        <f t="shared" si="688"/>
        <v>185.97425508967711</v>
      </c>
      <c r="AU389" s="6">
        <f t="shared" si="689"/>
        <v>538.26731758066956</v>
      </c>
      <c r="AV389" s="6">
        <f t="shared" si="690"/>
        <v>747.44234443734967</v>
      </c>
      <c r="AW389" s="58">
        <f t="shared" si="696"/>
        <v>2011</v>
      </c>
      <c r="AX389" s="58">
        <f>COUNTIF(AW$3:AW389,AW389)</f>
        <v>41</v>
      </c>
    </row>
    <row r="390" spans="1:50" x14ac:dyDescent="0.25">
      <c r="A390" s="5">
        <v>40615</v>
      </c>
      <c r="B390">
        <v>1304.28</v>
      </c>
      <c r="C390">
        <v>0.1</v>
      </c>
      <c r="D390" s="6">
        <v>20.079999999999998</v>
      </c>
      <c r="E390" s="18">
        <f t="shared" si="673"/>
        <v>19.45</v>
      </c>
      <c r="F390">
        <f t="shared" si="674"/>
        <v>-1</v>
      </c>
      <c r="G390" s="18">
        <f>ROUND(INDEX(Valuation!U:U,MATCH(A390,Valuation!A:A,0)),2)</f>
        <v>230.04</v>
      </c>
      <c r="H390">
        <f t="shared" si="681"/>
        <v>3</v>
      </c>
      <c r="I390" s="18">
        <f>INDEX(WeeklyIndicators!Y:Y,MATCH(A390,WeeklyIndicators!A:A,0))</f>
        <v>140.84</v>
      </c>
      <c r="J390">
        <f t="shared" si="670"/>
        <v>1</v>
      </c>
      <c r="K390">
        <f>ROUND(INDEX(Economic!AF:AF,MATCH(EOMONTH($A390,-1),Economic!A:A,0)),2)</f>
        <v>108.6</v>
      </c>
      <c r="L390" s="11">
        <f t="shared" si="679"/>
        <v>0</v>
      </c>
      <c r="M390">
        <f>ROUND(INDEX(Manufacturing!P:P,MATCH(EOMONTH($A390,-1),Manufacturing!A:A,0)),2)</f>
        <v>102.42</v>
      </c>
      <c r="N390">
        <f t="shared" si="675"/>
        <v>2</v>
      </c>
      <c r="O390">
        <f>ROUND(INDEX(Housing!AC:AC,MATCH(EOMONTH($A390,-1),Housing!B:B,0)),2)</f>
        <v>59.87</v>
      </c>
      <c r="P390">
        <f t="shared" si="676"/>
        <v>-2</v>
      </c>
      <c r="Q390">
        <f>ROUND(INDEX(Spending!AJ:AJ,MATCH(EOMONTH($A390,-1),Spending!B:B,0)),2)</f>
        <v>62.77</v>
      </c>
      <c r="R390">
        <f t="shared" si="680"/>
        <v>2</v>
      </c>
      <c r="S390">
        <f>ROUND(INDEX(Employment!V:V,MATCH(EOMONTH($A390,-1),Employment!A:A,0)),2)</f>
        <v>156.04</v>
      </c>
      <c r="T390" s="11">
        <f t="shared" si="677"/>
        <v>0</v>
      </c>
      <c r="U390">
        <f t="shared" si="669"/>
        <v>25</v>
      </c>
      <c r="V390">
        <f t="shared" si="697"/>
        <v>72.58</v>
      </c>
      <c r="W390" s="13">
        <f t="shared" si="698"/>
        <v>2.7199999999999998E-2</v>
      </c>
      <c r="X390" s="13">
        <f t="shared" si="699"/>
        <v>7.3399999999999993E-2</v>
      </c>
      <c r="Y390">
        <f t="shared" si="691"/>
        <v>85.74</v>
      </c>
      <c r="Z390" s="13">
        <f t="shared" si="686"/>
        <v>1.7299999999999999E-2</v>
      </c>
      <c r="AA390" s="13">
        <f t="shared" si="682"/>
        <v>5.8300000000000005E-2</v>
      </c>
      <c r="AB390" s="6">
        <f t="shared" si="692"/>
        <v>108.304</v>
      </c>
      <c r="AC390">
        <f t="shared" si="684"/>
        <v>54</v>
      </c>
      <c r="AD390" s="11">
        <f t="shared" si="685"/>
        <v>2</v>
      </c>
      <c r="AE390">
        <f t="shared" si="683"/>
        <v>29</v>
      </c>
      <c r="AF390">
        <f>IF(AND(AE390&lt;15,OR(AC390&gt;=30,AA390&gt;0.15,X390&gt;=0.15)),2,VLOOKUP(AE390,Table!P:Q,2,FALSE))</f>
        <v>4</v>
      </c>
      <c r="AG390" s="22">
        <f>IF((AB390*0.98)-(D390*0.8)+((AF390-3)*3)+VLOOKUP(AM390,Table!$A$11:$B$13,2,FALSE)&lt;0,0,(AB390*0.98)-(D390*0.8)+((AF390-3)*3)+VLOOKUP(AM390,Table!$A$11:$B$13,2,FALSE))</f>
        <v>101.07391999999999</v>
      </c>
      <c r="AH390" s="22">
        <f t="shared" si="678"/>
        <v>98</v>
      </c>
      <c r="AI390" s="18">
        <f t="shared" si="671"/>
        <v>0.14000000000000001</v>
      </c>
      <c r="AJ390" s="18">
        <f t="shared" si="672"/>
        <v>0.14000000000000001</v>
      </c>
      <c r="AK390" t="str">
        <f t="shared" si="693"/>
        <v/>
      </c>
      <c r="AL390">
        <f t="shared" si="668"/>
        <v>27</v>
      </c>
      <c r="AM390" s="11" t="str">
        <f t="shared" si="694"/>
        <v>Stocks</v>
      </c>
      <c r="AN390" t="str">
        <f t="shared" si="700"/>
        <v>Buy</v>
      </c>
      <c r="AO390" s="13">
        <f t="shared" si="701"/>
        <v>-1.9199999999999998E-2</v>
      </c>
      <c r="AP390" s="13">
        <f t="shared" si="702"/>
        <v>0</v>
      </c>
      <c r="AQ390" s="13">
        <f t="shared" si="703"/>
        <v>-1.8800000000000001E-2</v>
      </c>
      <c r="AR390" s="13">
        <f t="shared" si="695"/>
        <v>-1.9199999999999998E-2</v>
      </c>
      <c r="AS390" s="6">
        <f t="shared" si="687"/>
        <v>324.92843541379619</v>
      </c>
      <c r="AT390" s="6">
        <f t="shared" si="688"/>
        <v>185.97425508967711</v>
      </c>
      <c r="AU390" s="6">
        <f t="shared" si="689"/>
        <v>548.58063349028703</v>
      </c>
      <c r="AV390" s="6">
        <f t="shared" si="690"/>
        <v>762.07416847201227</v>
      </c>
      <c r="AW390" s="58">
        <f t="shared" si="696"/>
        <v>2011</v>
      </c>
      <c r="AX390" s="58">
        <f>COUNTIF(AW$3:AW390,AW390)</f>
        <v>42</v>
      </c>
    </row>
    <row r="391" spans="1:50" x14ac:dyDescent="0.25">
      <c r="A391" s="5">
        <v>40608</v>
      </c>
      <c r="B391">
        <v>1321.15</v>
      </c>
      <c r="C391">
        <v>0.13</v>
      </c>
      <c r="D391" s="6">
        <v>19.059999999999999</v>
      </c>
      <c r="E391" s="18">
        <f t="shared" si="673"/>
        <v>18.239999999999998</v>
      </c>
      <c r="F391">
        <f t="shared" si="674"/>
        <v>-1</v>
      </c>
      <c r="G391" s="18">
        <f>ROUND(INDEX(Valuation!U:U,MATCH(A391,Valuation!A:A,0)),2)</f>
        <v>229.37</v>
      </c>
      <c r="H391">
        <f t="shared" si="681"/>
        <v>3</v>
      </c>
      <c r="I391" s="18">
        <f>INDEX(WeeklyIndicators!Y:Y,MATCH(A391,WeeklyIndicators!A:A,0))</f>
        <v>136.07</v>
      </c>
      <c r="J391">
        <f t="shared" si="670"/>
        <v>1</v>
      </c>
      <c r="K391">
        <f>ROUND(INDEX(Economic!AF:AF,MATCH(EOMONTH($A391,-1),Economic!A:A,0)),2)</f>
        <v>108.6</v>
      </c>
      <c r="L391" s="11">
        <f t="shared" si="679"/>
        <v>0</v>
      </c>
      <c r="M391">
        <f>ROUND(INDEX(Manufacturing!P:P,MATCH(EOMONTH($A391,-1),Manufacturing!A:A,0)),2)</f>
        <v>102.42</v>
      </c>
      <c r="N391">
        <f t="shared" si="675"/>
        <v>2</v>
      </c>
      <c r="O391">
        <f>ROUND(INDEX(Housing!AC:AC,MATCH(EOMONTH($A391,-1),Housing!B:B,0)),2)</f>
        <v>59.87</v>
      </c>
      <c r="P391">
        <f t="shared" si="676"/>
        <v>-2</v>
      </c>
      <c r="Q391">
        <f>ROUND(INDEX(Spending!AJ:AJ,MATCH(EOMONTH($A391,-1),Spending!B:B,0)),2)</f>
        <v>62.77</v>
      </c>
      <c r="R391">
        <f t="shared" si="680"/>
        <v>2</v>
      </c>
      <c r="S391">
        <f>ROUND(INDEX(Employment!V:V,MATCH(EOMONTH($A391,-1),Employment!A:A,0)),2)</f>
        <v>156.04</v>
      </c>
      <c r="T391" s="11">
        <f t="shared" si="677"/>
        <v>0</v>
      </c>
      <c r="U391">
        <f t="shared" si="669"/>
        <v>25</v>
      </c>
      <c r="V391">
        <f t="shared" si="697"/>
        <v>72.09</v>
      </c>
      <c r="W391" s="13">
        <f t="shared" si="698"/>
        <v>2.69E-2</v>
      </c>
      <c r="X391" s="13">
        <f t="shared" si="699"/>
        <v>6.0100000000000001E-2</v>
      </c>
      <c r="Y391">
        <f t="shared" si="691"/>
        <v>85.59</v>
      </c>
      <c r="Z391" s="13">
        <f t="shared" si="686"/>
        <v>2.0199999999999999E-2</v>
      </c>
      <c r="AA391" s="13">
        <f t="shared" si="682"/>
        <v>5.0299999999999997E-2</v>
      </c>
      <c r="AB391" s="6">
        <f t="shared" si="692"/>
        <v>107.39699999999999</v>
      </c>
      <c r="AC391">
        <f t="shared" si="684"/>
        <v>54</v>
      </c>
      <c r="AD391" s="11">
        <f t="shared" si="685"/>
        <v>2</v>
      </c>
      <c r="AE391">
        <f t="shared" si="683"/>
        <v>29</v>
      </c>
      <c r="AF391">
        <f>IF(AND(AE391&lt;15,OR(AC391&gt;=30,AA391&gt;0.15,X391&gt;=0.15)),2,VLOOKUP(AE391,Table!P:Q,2,FALSE))</f>
        <v>4</v>
      </c>
      <c r="AG391" s="22">
        <f>IF((AB391*0.98)-(D391*0.8)+((AF391-3)*3)+VLOOKUP(AM391,Table!$A$11:$B$13,2,FALSE)&lt;0,0,(AB391*0.98)-(D391*0.8)+((AF391-3)*3)+VLOOKUP(AM391,Table!$A$11:$B$13,2,FALSE))</f>
        <v>101.00105999999998</v>
      </c>
      <c r="AH391" s="22">
        <f t="shared" si="678"/>
        <v>96</v>
      </c>
      <c r="AI391" s="18">
        <f t="shared" si="671"/>
        <v>0.14000000000000001</v>
      </c>
      <c r="AJ391" s="18">
        <f t="shared" si="672"/>
        <v>0.14000000000000001</v>
      </c>
      <c r="AK391" t="str">
        <f t="shared" si="693"/>
        <v/>
      </c>
      <c r="AL391">
        <f t="shared" si="668"/>
        <v>26</v>
      </c>
      <c r="AM391" s="11" t="str">
        <f t="shared" si="694"/>
        <v>Stocks</v>
      </c>
      <c r="AN391" t="str">
        <f t="shared" si="700"/>
        <v>Buy</v>
      </c>
      <c r="AO391" s="13">
        <f t="shared" si="701"/>
        <v>-1.2800000000000001E-2</v>
      </c>
      <c r="AP391" s="13">
        <f t="shared" si="702"/>
        <v>0</v>
      </c>
      <c r="AQ391" s="13">
        <f t="shared" si="703"/>
        <v>-1.23E-2</v>
      </c>
      <c r="AR391" s="13">
        <f t="shared" si="695"/>
        <v>-1.2800000000000001E-2</v>
      </c>
      <c r="AS391" s="6">
        <f t="shared" si="687"/>
        <v>329.14144592159261</v>
      </c>
      <c r="AT391" s="6">
        <f t="shared" si="688"/>
        <v>185.97425508967711</v>
      </c>
      <c r="AU391" s="6">
        <f t="shared" si="689"/>
        <v>555.41220359449937</v>
      </c>
      <c r="AV391" s="6">
        <f t="shared" si="690"/>
        <v>771.95519496759755</v>
      </c>
      <c r="AW391" s="58">
        <f t="shared" si="696"/>
        <v>2011</v>
      </c>
      <c r="AX391" s="58">
        <f>COUNTIF(AW$3:AW391,AW391)</f>
        <v>43</v>
      </c>
    </row>
    <row r="392" spans="1:50" x14ac:dyDescent="0.25">
      <c r="A392" s="5">
        <v>40601</v>
      </c>
      <c r="B392">
        <v>1319.88</v>
      </c>
      <c r="C392">
        <v>0.13</v>
      </c>
      <c r="D392" s="6">
        <v>19.22</v>
      </c>
      <c r="E392" s="18">
        <f t="shared" si="673"/>
        <v>17.11</v>
      </c>
      <c r="F392">
        <f t="shared" si="674"/>
        <v>0</v>
      </c>
      <c r="G392" s="18">
        <f>ROUND(INDEX(Valuation!U:U,MATCH(A392,Valuation!A:A,0)),2)</f>
        <v>231.01</v>
      </c>
      <c r="H392">
        <f t="shared" si="681"/>
        <v>3</v>
      </c>
      <c r="I392" s="18">
        <f>INDEX(WeeklyIndicators!Y:Y,MATCH(A392,WeeklyIndicators!A:A,0))</f>
        <v>130.91999999999999</v>
      </c>
      <c r="J392">
        <f t="shared" si="670"/>
        <v>0</v>
      </c>
      <c r="K392">
        <f>ROUND(INDEX(Economic!AF:AF,MATCH(EOMONTH($A392,-1),Economic!A:A,0)),2)</f>
        <v>96.24</v>
      </c>
      <c r="L392" s="11">
        <f t="shared" si="679"/>
        <v>-1</v>
      </c>
      <c r="M392">
        <f>ROUND(INDEX(Manufacturing!P:P,MATCH(EOMONTH($A392,-1),Manufacturing!A:A,0)),2)</f>
        <v>101.74</v>
      </c>
      <c r="N392">
        <f t="shared" si="675"/>
        <v>2</v>
      </c>
      <c r="O392">
        <f>ROUND(INDEX(Housing!AC:AC,MATCH(EOMONTH($A392,-1),Housing!B:B,0)),2)</f>
        <v>41.6</v>
      </c>
      <c r="P392">
        <f t="shared" si="676"/>
        <v>-3</v>
      </c>
      <c r="Q392">
        <f>ROUND(INDEX(Spending!AJ:AJ,MATCH(EOMONTH($A392,-1),Spending!B:B,0)),2)</f>
        <v>59.42</v>
      </c>
      <c r="R392">
        <f t="shared" si="680"/>
        <v>1</v>
      </c>
      <c r="S392">
        <f>ROUND(INDEX(Employment!V:V,MATCH(EOMONTH($A392,-1),Employment!A:A,0)),2)</f>
        <v>147.15</v>
      </c>
      <c r="T392" s="11">
        <f t="shared" si="677"/>
        <v>-1</v>
      </c>
      <c r="U392">
        <f t="shared" si="669"/>
        <v>21</v>
      </c>
      <c r="V392">
        <f t="shared" si="697"/>
        <v>67.44</v>
      </c>
      <c r="W392" s="13">
        <f t="shared" si="698"/>
        <v>4.3E-3</v>
      </c>
      <c r="X392" s="13">
        <f t="shared" si="699"/>
        <v>4.759999999999999E-2</v>
      </c>
      <c r="Y392">
        <f t="shared" si="691"/>
        <v>81.52</v>
      </c>
      <c r="Z392" s="13">
        <f t="shared" si="686"/>
        <v>5.4000000000000003E-3</v>
      </c>
      <c r="AA392" s="13">
        <f t="shared" si="682"/>
        <v>3.7599999999999995E-2</v>
      </c>
      <c r="AB392" s="6">
        <f t="shared" si="692"/>
        <v>102.361</v>
      </c>
      <c r="AC392">
        <f t="shared" si="684"/>
        <v>51</v>
      </c>
      <c r="AD392" s="11">
        <f t="shared" si="685"/>
        <v>2</v>
      </c>
      <c r="AE392">
        <f t="shared" si="683"/>
        <v>25</v>
      </c>
      <c r="AF392">
        <f>IF(AND(AE392&lt;15,OR(AC392&gt;=30,AA392&gt;0.15,X392&gt;=0.15)),2,VLOOKUP(AE392,Table!P:Q,2,FALSE))</f>
        <v>3</v>
      </c>
      <c r="AG392" s="22">
        <f>IF((AB392*0.98)-(D392*0.8)+((AF392-3)*3)+VLOOKUP(AM392,Table!$A$11:$B$13,2,FALSE)&lt;0,0,(AB392*0.98)-(D392*0.8)+((AF392-3)*3)+VLOOKUP(AM392,Table!$A$11:$B$13,2,FALSE))</f>
        <v>92.937780000000004</v>
      </c>
      <c r="AH392" s="22">
        <f t="shared" si="678"/>
        <v>94</v>
      </c>
      <c r="AI392" s="18">
        <f t="shared" si="671"/>
        <v>0.14000000000000001</v>
      </c>
      <c r="AJ392" s="18">
        <f t="shared" si="672"/>
        <v>0.14000000000000001</v>
      </c>
      <c r="AK392" t="str">
        <f t="shared" si="693"/>
        <v/>
      </c>
      <c r="AL392">
        <f t="shared" si="668"/>
        <v>24.75</v>
      </c>
      <c r="AM392" s="11" t="str">
        <f t="shared" si="694"/>
        <v>Stocks</v>
      </c>
      <c r="AN392" t="str">
        <f t="shared" si="700"/>
        <v>Buy</v>
      </c>
      <c r="AO392" s="13">
        <f t="shared" si="701"/>
        <v>1E-3</v>
      </c>
      <c r="AP392" s="13">
        <f t="shared" si="702"/>
        <v>0</v>
      </c>
      <c r="AQ392" s="13">
        <f t="shared" si="703"/>
        <v>8.9999999999999998E-4</v>
      </c>
      <c r="AR392" s="13">
        <f t="shared" si="695"/>
        <v>1E-3</v>
      </c>
      <c r="AS392" s="6">
        <f t="shared" si="687"/>
        <v>328.81263328830431</v>
      </c>
      <c r="AT392" s="6">
        <f t="shared" si="688"/>
        <v>185.97425508967711</v>
      </c>
      <c r="AU392" s="6">
        <f t="shared" si="689"/>
        <v>554.91278209061784</v>
      </c>
      <c r="AV392" s="6">
        <f t="shared" si="690"/>
        <v>771.18401095664103</v>
      </c>
      <c r="AW392" s="58">
        <f t="shared" si="696"/>
        <v>2011</v>
      </c>
      <c r="AX392" s="58">
        <f>COUNTIF(AW$3:AW392,AW392)</f>
        <v>44</v>
      </c>
    </row>
    <row r="393" spans="1:50" x14ac:dyDescent="0.25">
      <c r="A393" s="5">
        <v>40594</v>
      </c>
      <c r="B393">
        <v>1343.01</v>
      </c>
      <c r="C393">
        <v>0.11</v>
      </c>
      <c r="D393" s="6">
        <v>16.43</v>
      </c>
      <c r="E393" s="18">
        <f t="shared" si="673"/>
        <v>16.02</v>
      </c>
      <c r="F393">
        <f t="shared" si="674"/>
        <v>0</v>
      </c>
      <c r="G393" s="18">
        <f>ROUND(INDEX(Valuation!U:U,MATCH(A393,Valuation!A:A,0)),2)</f>
        <v>231.1</v>
      </c>
      <c r="H393">
        <f t="shared" si="681"/>
        <v>3</v>
      </c>
      <c r="I393" s="18">
        <f>INDEX(WeeklyIndicators!Y:Y,MATCH(A393,WeeklyIndicators!A:A,0))</f>
        <v>126.32</v>
      </c>
      <c r="J393">
        <f t="shared" si="670"/>
        <v>0</v>
      </c>
      <c r="K393">
        <f>ROUND(INDEX(Economic!AF:AF,MATCH(EOMONTH($A393,-1),Economic!A:A,0)),2)</f>
        <v>96.24</v>
      </c>
      <c r="L393" s="11">
        <f t="shared" si="679"/>
        <v>-1</v>
      </c>
      <c r="M393">
        <f>ROUND(INDEX(Manufacturing!P:P,MATCH(EOMONTH($A393,-1),Manufacturing!A:A,0)),2)</f>
        <v>101.74</v>
      </c>
      <c r="N393">
        <f t="shared" si="675"/>
        <v>2</v>
      </c>
      <c r="O393">
        <f>ROUND(INDEX(Housing!AC:AC,MATCH(EOMONTH($A393,-1),Housing!B:B,0)),2)</f>
        <v>41.6</v>
      </c>
      <c r="P393">
        <f t="shared" si="676"/>
        <v>-3</v>
      </c>
      <c r="Q393">
        <f>ROUND(INDEX(Spending!AJ:AJ,MATCH(EOMONTH($A393,-1),Spending!B:B,0)),2)</f>
        <v>59.42</v>
      </c>
      <c r="R393">
        <f t="shared" si="680"/>
        <v>1</v>
      </c>
      <c r="S393">
        <f>ROUND(INDEX(Employment!V:V,MATCH(EOMONTH($A393,-1),Employment!A:A,0)),2)</f>
        <v>147.15</v>
      </c>
      <c r="T393" s="11">
        <f t="shared" si="677"/>
        <v>-1</v>
      </c>
      <c r="U393">
        <f t="shared" si="669"/>
        <v>21</v>
      </c>
      <c r="V393">
        <f t="shared" si="697"/>
        <v>66.959999999999994</v>
      </c>
      <c r="W393" s="13">
        <f t="shared" si="698"/>
        <v>1.4999999999999999E-2</v>
      </c>
      <c r="X393" s="13">
        <f t="shared" si="699"/>
        <v>4.5499999999999999E-2</v>
      </c>
      <c r="Y393">
        <f t="shared" si="691"/>
        <v>81.44</v>
      </c>
      <c r="Z393" s="13">
        <f t="shared" si="686"/>
        <v>1.54E-2</v>
      </c>
      <c r="AA393" s="13">
        <f t="shared" si="682"/>
        <v>3.0499999999999999E-2</v>
      </c>
      <c r="AB393" s="6">
        <f t="shared" si="692"/>
        <v>101.78</v>
      </c>
      <c r="AC393">
        <f t="shared" si="684"/>
        <v>51</v>
      </c>
      <c r="AD393" s="11">
        <f t="shared" si="685"/>
        <v>2</v>
      </c>
      <c r="AE393">
        <f t="shared" si="683"/>
        <v>25</v>
      </c>
      <c r="AF393">
        <f>IF(AND(AE393&lt;15,OR(AC393&gt;=30,AA393&gt;0.15,X393&gt;=0.15)),2,VLOOKUP(AE393,Table!P:Q,2,FALSE))</f>
        <v>3</v>
      </c>
      <c r="AG393" s="22">
        <f>IF((AB393*0.98)-(D393*0.8)+((AF393-3)*3)+VLOOKUP(AM393,Table!$A$11:$B$13,2,FALSE)&lt;0,0,(AB393*0.98)-(D393*0.8)+((AF393-3)*3)+VLOOKUP(AM393,Table!$A$11:$B$13,2,FALSE))</f>
        <v>94.600399999999993</v>
      </c>
      <c r="AH393" s="22">
        <f t="shared" si="678"/>
        <v>94</v>
      </c>
      <c r="AI393" s="18">
        <f t="shared" si="671"/>
        <v>0.15</v>
      </c>
      <c r="AJ393" s="18">
        <f t="shared" si="672"/>
        <v>0.14000000000000001</v>
      </c>
      <c r="AK393" t="str">
        <f t="shared" si="693"/>
        <v/>
      </c>
      <c r="AL393">
        <f t="shared" ref="AL393:AL456" si="704">ROUND(AVERAGE(AE393:AE396),2)</f>
        <v>24.75</v>
      </c>
      <c r="AM393" s="11" t="str">
        <f t="shared" si="694"/>
        <v>Stocks</v>
      </c>
      <c r="AN393" t="str">
        <f t="shared" si="700"/>
        <v>Buy</v>
      </c>
      <c r="AO393" s="13">
        <f t="shared" si="701"/>
        <v>-1.72E-2</v>
      </c>
      <c r="AP393" s="13">
        <f t="shared" si="702"/>
        <v>0</v>
      </c>
      <c r="AQ393" s="13">
        <f t="shared" si="703"/>
        <v>-1.6199999999999999E-2</v>
      </c>
      <c r="AR393" s="13">
        <f t="shared" si="695"/>
        <v>-1.72E-2</v>
      </c>
      <c r="AS393" s="6">
        <f t="shared" si="687"/>
        <v>334.56718893803856</v>
      </c>
      <c r="AT393" s="6">
        <f t="shared" si="688"/>
        <v>185.97425508967711</v>
      </c>
      <c r="AU393" s="6">
        <f t="shared" si="689"/>
        <v>564.05039854708059</v>
      </c>
      <c r="AV393" s="6">
        <f t="shared" si="690"/>
        <v>784.68051582889802</v>
      </c>
      <c r="AW393" s="58">
        <f t="shared" si="696"/>
        <v>2011</v>
      </c>
      <c r="AX393" s="58">
        <f>COUNTIF(AW$3:AW393,AW393)</f>
        <v>45</v>
      </c>
    </row>
    <row r="394" spans="1:50" x14ac:dyDescent="0.25">
      <c r="A394" s="5">
        <v>40587</v>
      </c>
      <c r="B394">
        <v>1329.15</v>
      </c>
      <c r="C394">
        <v>0.14000000000000001</v>
      </c>
      <c r="D394" s="6">
        <v>15.69</v>
      </c>
      <c r="E394" s="18">
        <f t="shared" si="673"/>
        <v>17.22</v>
      </c>
      <c r="F394">
        <f t="shared" si="674"/>
        <v>0</v>
      </c>
      <c r="G394" s="18">
        <f>ROUND(INDEX(Valuation!U:U,MATCH(A394,Valuation!A:A,0)),2)</f>
        <v>230.38</v>
      </c>
      <c r="H394">
        <f t="shared" si="681"/>
        <v>3</v>
      </c>
      <c r="I394" s="18">
        <f>INDEX(WeeklyIndicators!Y:Y,MATCH(A394,WeeklyIndicators!A:A,0))</f>
        <v>123.66</v>
      </c>
      <c r="J394">
        <f t="shared" si="670"/>
        <v>0</v>
      </c>
      <c r="K394">
        <f>ROUND(INDEX(Economic!AF:AF,MATCH(EOMONTH($A394,-1),Economic!A:A,0)),2)</f>
        <v>96.24</v>
      </c>
      <c r="L394" s="11">
        <f t="shared" si="679"/>
        <v>-1</v>
      </c>
      <c r="M394">
        <f>ROUND(INDEX(Manufacturing!P:P,MATCH(EOMONTH($A394,-1),Manufacturing!A:A,0)),2)</f>
        <v>101.74</v>
      </c>
      <c r="N394">
        <f t="shared" si="675"/>
        <v>2</v>
      </c>
      <c r="O394">
        <f>ROUND(INDEX(Housing!AC:AC,MATCH(EOMONTH($A394,-1),Housing!B:B,0)),2)</f>
        <v>41.6</v>
      </c>
      <c r="P394">
        <f t="shared" si="676"/>
        <v>-3</v>
      </c>
      <c r="Q394">
        <f>ROUND(INDEX(Spending!AJ:AJ,MATCH(EOMONTH($A394,-1),Spending!B:B,0)),2)</f>
        <v>59.42</v>
      </c>
      <c r="R394">
        <f t="shared" si="680"/>
        <v>1</v>
      </c>
      <c r="S394">
        <f>ROUND(INDEX(Employment!V:V,MATCH(EOMONTH($A394,-1),Employment!A:A,0)),2)</f>
        <v>147.15</v>
      </c>
      <c r="T394" s="11">
        <f t="shared" si="677"/>
        <v>-1</v>
      </c>
      <c r="U394">
        <f t="shared" ref="U394:U457" si="705">F394+H394+J394+L394+N394+P394+R394+T394+20</f>
        <v>21</v>
      </c>
      <c r="V394">
        <f t="shared" si="697"/>
        <v>66.69</v>
      </c>
      <c r="W394" s="13">
        <f t="shared" si="698"/>
        <v>1.3899999999999999E-2</v>
      </c>
      <c r="X394" s="13">
        <f t="shared" si="699"/>
        <v>3.4599999999999999E-2</v>
      </c>
      <c r="Y394">
        <f t="shared" si="691"/>
        <v>80.66</v>
      </c>
      <c r="Z394" s="13">
        <f t="shared" si="686"/>
        <v>9.2999999999999992E-3</v>
      </c>
      <c r="AA394" s="13">
        <f t="shared" si="682"/>
        <v>1.77E-2</v>
      </c>
      <c r="AB394" s="6">
        <f t="shared" si="692"/>
        <v>99.947999999999993</v>
      </c>
      <c r="AC394">
        <f t="shared" si="684"/>
        <v>50</v>
      </c>
      <c r="AD394" s="11">
        <f t="shared" si="685"/>
        <v>2</v>
      </c>
      <c r="AE394">
        <f t="shared" si="683"/>
        <v>25</v>
      </c>
      <c r="AF394">
        <f>IF(AND(AE394&lt;15,OR(AC394&gt;=30,AA394&gt;0.15,X394&gt;=0.15)),2,VLOOKUP(AE394,Table!P:Q,2,FALSE))</f>
        <v>3</v>
      </c>
      <c r="AG394" s="22">
        <f>IF((AB394*0.98)-(D394*0.8)+((AF394-3)*3)+VLOOKUP(AM394,Table!$A$11:$B$13,2,FALSE)&lt;0,0,(AB394*0.98)-(D394*0.8)+((AF394-3)*3)+VLOOKUP(AM394,Table!$A$11:$B$13,2,FALSE))</f>
        <v>93.397040000000004</v>
      </c>
      <c r="AH394" s="22">
        <f t="shared" si="678"/>
        <v>91</v>
      </c>
      <c r="AI394" s="18">
        <f t="shared" si="671"/>
        <v>0.15</v>
      </c>
      <c r="AJ394" s="18">
        <f t="shared" si="672"/>
        <v>0.15</v>
      </c>
      <c r="AK394" t="str">
        <f t="shared" si="693"/>
        <v/>
      </c>
      <c r="AL394">
        <f t="shared" si="704"/>
        <v>24.75</v>
      </c>
      <c r="AM394" s="11" t="str">
        <f t="shared" si="694"/>
        <v>Stocks</v>
      </c>
      <c r="AN394" t="str">
        <f t="shared" si="700"/>
        <v>Buy</v>
      </c>
      <c r="AO394" s="13">
        <f t="shared" si="701"/>
        <v>1.04E-2</v>
      </c>
      <c r="AP394" s="13">
        <f t="shared" si="702"/>
        <v>0</v>
      </c>
      <c r="AQ394" s="13">
        <f t="shared" si="703"/>
        <v>9.4999999999999998E-3</v>
      </c>
      <c r="AR394" s="13">
        <f t="shared" si="695"/>
        <v>1.04E-2</v>
      </c>
      <c r="AS394" s="6">
        <f t="shared" si="687"/>
        <v>331.12350449132873</v>
      </c>
      <c r="AT394" s="6">
        <f t="shared" si="688"/>
        <v>185.97425508967711</v>
      </c>
      <c r="AU394" s="6">
        <f t="shared" si="689"/>
        <v>558.74234625763302</v>
      </c>
      <c r="AV394" s="6">
        <f t="shared" si="690"/>
        <v>776.60383593517224</v>
      </c>
      <c r="AW394" s="58">
        <f t="shared" si="696"/>
        <v>2011</v>
      </c>
      <c r="AX394" s="58">
        <f>COUNTIF(AW$3:AW394,AW394)</f>
        <v>46</v>
      </c>
    </row>
    <row r="395" spans="1:50" x14ac:dyDescent="0.25">
      <c r="A395" s="5">
        <v>40580</v>
      </c>
      <c r="B395">
        <v>1310.87</v>
      </c>
      <c r="C395">
        <v>0.15</v>
      </c>
      <c r="D395" s="6">
        <v>15.93</v>
      </c>
      <c r="E395" s="18">
        <f t="shared" si="673"/>
        <v>18.149999999999999</v>
      </c>
      <c r="F395">
        <f t="shared" si="674"/>
        <v>-1</v>
      </c>
      <c r="G395" s="18">
        <f>ROUND(INDEX(Valuation!U:U,MATCH(A395,Valuation!A:A,0)),2)</f>
        <v>230.33</v>
      </c>
      <c r="H395">
        <f t="shared" si="681"/>
        <v>3</v>
      </c>
      <c r="I395" s="18">
        <f>INDEX(WeeklyIndicators!Y:Y,MATCH(A395,WeeklyIndicators!A:A,0))</f>
        <v>122.56</v>
      </c>
      <c r="J395">
        <f t="shared" si="670"/>
        <v>0</v>
      </c>
      <c r="K395">
        <f>ROUND(INDEX(Economic!AF:AF,MATCH(EOMONTH($A395,-1),Economic!A:A,0)),2)</f>
        <v>96.24</v>
      </c>
      <c r="L395" s="11">
        <f t="shared" si="679"/>
        <v>-1</v>
      </c>
      <c r="M395">
        <f>ROUND(INDEX(Manufacturing!P:P,MATCH(EOMONTH($A395,-1),Manufacturing!A:A,0)),2)</f>
        <v>101.74</v>
      </c>
      <c r="N395">
        <f t="shared" si="675"/>
        <v>2</v>
      </c>
      <c r="O395">
        <f>ROUND(INDEX(Housing!AC:AC,MATCH(EOMONTH($A395,-1),Housing!B:B,0)),2)</f>
        <v>41.6</v>
      </c>
      <c r="P395">
        <f t="shared" si="676"/>
        <v>-3</v>
      </c>
      <c r="Q395">
        <f>ROUND(INDEX(Spending!AJ:AJ,MATCH(EOMONTH($A395,-1),Spending!B:B,0)),2)</f>
        <v>59.42</v>
      </c>
      <c r="R395">
        <f t="shared" si="680"/>
        <v>1</v>
      </c>
      <c r="S395">
        <f>ROUND(INDEX(Employment!V:V,MATCH(EOMONTH($A395,-1),Employment!A:A,0)),2)</f>
        <v>147.15</v>
      </c>
      <c r="T395" s="11">
        <f t="shared" si="677"/>
        <v>-1</v>
      </c>
      <c r="U395">
        <f t="shared" si="705"/>
        <v>20</v>
      </c>
      <c r="V395">
        <f t="shared" si="697"/>
        <v>66.569999999999993</v>
      </c>
      <c r="W395" s="13">
        <f t="shared" si="698"/>
        <v>1.44E-2</v>
      </c>
      <c r="X395" s="13">
        <f t="shared" si="699"/>
        <v>3.3000000000000002E-2</v>
      </c>
      <c r="Y395">
        <f t="shared" si="691"/>
        <v>80.22</v>
      </c>
      <c r="Z395" s="13">
        <f t="shared" si="686"/>
        <v>7.4999999999999997E-3</v>
      </c>
      <c r="AA395" s="13">
        <f t="shared" si="682"/>
        <v>1.77E-2</v>
      </c>
      <c r="AB395" s="6">
        <f t="shared" si="692"/>
        <v>99.483000000000004</v>
      </c>
      <c r="AC395">
        <f t="shared" si="684"/>
        <v>50</v>
      </c>
      <c r="AD395" s="11">
        <f t="shared" si="685"/>
        <v>2</v>
      </c>
      <c r="AE395">
        <f t="shared" si="683"/>
        <v>24</v>
      </c>
      <c r="AF395">
        <f>IF(AND(AE395&lt;15,OR(AC395&gt;=30,AA395&gt;0.15,X395&gt;=0.15)),2,VLOOKUP(AE395,Table!P:Q,2,FALSE))</f>
        <v>3</v>
      </c>
      <c r="AG395" s="22">
        <f>IF((AB395*0.98)-(D395*0.8)+((AF395-3)*3)+VLOOKUP(AM395,Table!$A$11:$B$13,2,FALSE)&lt;0,0,(AB395*0.98)-(D395*0.8)+((AF395-3)*3)+VLOOKUP(AM395,Table!$A$11:$B$13,2,FALSE))</f>
        <v>92.749340000000004</v>
      </c>
      <c r="AH395" s="22">
        <f t="shared" si="678"/>
        <v>90</v>
      </c>
      <c r="AI395" s="18">
        <f t="shared" si="671"/>
        <v>0.15</v>
      </c>
      <c r="AJ395" s="18">
        <f t="shared" si="672"/>
        <v>0.15</v>
      </c>
      <c r="AK395" t="str">
        <f t="shared" si="693"/>
        <v/>
      </c>
      <c r="AL395">
        <f t="shared" si="704"/>
        <v>24.75</v>
      </c>
      <c r="AM395" s="11" t="str">
        <f t="shared" si="694"/>
        <v>Stocks</v>
      </c>
      <c r="AN395" t="str">
        <f t="shared" si="700"/>
        <v>Buy</v>
      </c>
      <c r="AO395" s="13">
        <f t="shared" si="701"/>
        <v>1.3899999999999999E-2</v>
      </c>
      <c r="AP395" s="13">
        <f t="shared" si="702"/>
        <v>0</v>
      </c>
      <c r="AQ395" s="13">
        <f t="shared" si="703"/>
        <v>1.2500000000000001E-2</v>
      </c>
      <c r="AR395" s="13">
        <f t="shared" si="695"/>
        <v>1.3899999999999999E-2</v>
      </c>
      <c r="AS395" s="6">
        <f t="shared" si="687"/>
        <v>326.58398707104124</v>
      </c>
      <c r="AT395" s="6">
        <f t="shared" si="688"/>
        <v>185.97425508967711</v>
      </c>
      <c r="AU395" s="6">
        <f t="shared" si="689"/>
        <v>551.84429260013144</v>
      </c>
      <c r="AV395" s="6">
        <f t="shared" si="690"/>
        <v>765.95703317405287</v>
      </c>
      <c r="AW395" s="58">
        <f t="shared" si="696"/>
        <v>2011</v>
      </c>
      <c r="AX395" s="58">
        <f>COUNTIF(AW$3:AW395,AW395)</f>
        <v>47</v>
      </c>
    </row>
    <row r="396" spans="1:50" x14ac:dyDescent="0.25">
      <c r="A396" s="5">
        <v>40573</v>
      </c>
      <c r="B396">
        <v>1276.3399999999999</v>
      </c>
      <c r="C396">
        <v>0.16</v>
      </c>
      <c r="D396" s="6">
        <v>20.04</v>
      </c>
      <c r="E396" s="18">
        <f t="shared" si="673"/>
        <v>17.989999999999998</v>
      </c>
      <c r="F396">
        <f t="shared" si="674"/>
        <v>0</v>
      </c>
      <c r="G396" s="18">
        <f>ROUND(INDEX(Valuation!U:U,MATCH(A396,Valuation!A:A,0)),2)</f>
        <v>230.84</v>
      </c>
      <c r="H396">
        <f t="shared" si="681"/>
        <v>3</v>
      </c>
      <c r="I396" s="18">
        <f>INDEX(WeeklyIndicators!Y:Y,MATCH(A396,WeeklyIndicators!A:A,0))</f>
        <v>122.51</v>
      </c>
      <c r="J396">
        <f t="shared" si="670"/>
        <v>0</v>
      </c>
      <c r="K396">
        <f>ROUND(INDEX(Economic!AF:AF,MATCH(EOMONTH($A396,-1),Economic!A:A,0)),2)</f>
        <v>83.68</v>
      </c>
      <c r="L396" s="11">
        <f t="shared" si="679"/>
        <v>-1</v>
      </c>
      <c r="M396">
        <f>ROUND(INDEX(Manufacturing!P:P,MATCH(EOMONTH($A396,-1),Manufacturing!A:A,0)),2)</f>
        <v>104.2</v>
      </c>
      <c r="N396">
        <f t="shared" si="675"/>
        <v>2</v>
      </c>
      <c r="O396">
        <f>ROUND(INDEX(Housing!AC:AC,MATCH(EOMONTH($A396,-1),Housing!B:B,0)),2)</f>
        <v>28.99</v>
      </c>
      <c r="P396">
        <f t="shared" si="676"/>
        <v>-3</v>
      </c>
      <c r="Q396">
        <f>ROUND(INDEX(Spending!AJ:AJ,MATCH(EOMONTH($A396,-1),Spending!B:B,0)),2)</f>
        <v>56.67</v>
      </c>
      <c r="R396">
        <f t="shared" si="680"/>
        <v>1</v>
      </c>
      <c r="S396">
        <f>ROUND(INDEX(Employment!V:V,MATCH(EOMONTH($A396,-1),Employment!A:A,0)),2)</f>
        <v>146.63999999999999</v>
      </c>
      <c r="T396" s="11">
        <f t="shared" si="677"/>
        <v>-1</v>
      </c>
      <c r="U396">
        <f t="shared" si="705"/>
        <v>21</v>
      </c>
      <c r="V396">
        <f t="shared" si="697"/>
        <v>64.010000000000005</v>
      </c>
      <c r="W396" s="13">
        <f t="shared" si="698"/>
        <v>2.2000000000000001E-3</v>
      </c>
      <c r="X396" s="13">
        <f t="shared" si="699"/>
        <v>3.1199999999999999E-2</v>
      </c>
      <c r="Y396">
        <f t="shared" si="691"/>
        <v>77.77</v>
      </c>
      <c r="Z396" s="13">
        <f t="shared" si="686"/>
        <v>-1.6999999999999999E-3</v>
      </c>
      <c r="AA396" s="13">
        <f t="shared" si="682"/>
        <v>1.9799999999999998E-2</v>
      </c>
      <c r="AB396" s="6">
        <f t="shared" si="692"/>
        <v>97.124000000000009</v>
      </c>
      <c r="AC396">
        <f t="shared" si="684"/>
        <v>49</v>
      </c>
      <c r="AD396" s="11">
        <f t="shared" si="685"/>
        <v>2</v>
      </c>
      <c r="AE396">
        <f t="shared" si="683"/>
        <v>25</v>
      </c>
      <c r="AF396">
        <f>IF(AND(AE396&lt;15,OR(AC396&gt;=30,AA396&gt;0.15,X396&gt;=0.15)),2,VLOOKUP(AE396,Table!P:Q,2,FALSE))</f>
        <v>3</v>
      </c>
      <c r="AG396" s="22">
        <f>IF((AB396*0.98)-(D396*0.8)+((AF396-3)*3)+VLOOKUP(AM396,Table!$A$11:$B$13,2,FALSE)&lt;0,0,(AB396*0.98)-(D396*0.8)+((AF396-3)*3)+VLOOKUP(AM396,Table!$A$11:$B$13,2,FALSE))</f>
        <v>87.14952000000001</v>
      </c>
      <c r="AH396" s="22">
        <f t="shared" si="678"/>
        <v>90</v>
      </c>
      <c r="AI396" s="18">
        <f t="shared" si="671"/>
        <v>0.15</v>
      </c>
      <c r="AJ396" s="18">
        <f t="shared" si="672"/>
        <v>0.15</v>
      </c>
      <c r="AK396" t="str">
        <f t="shared" si="693"/>
        <v/>
      </c>
      <c r="AL396">
        <f t="shared" si="704"/>
        <v>24.75</v>
      </c>
      <c r="AM396" s="11" t="str">
        <f t="shared" si="694"/>
        <v>Stocks</v>
      </c>
      <c r="AN396" t="str">
        <f t="shared" si="700"/>
        <v>Buy</v>
      </c>
      <c r="AO396" s="13">
        <f t="shared" si="701"/>
        <v>2.7099999999999999E-2</v>
      </c>
      <c r="AP396" s="13">
        <f t="shared" si="702"/>
        <v>0</v>
      </c>
      <c r="AQ396" s="13">
        <f t="shared" si="703"/>
        <v>2.4400000000000002E-2</v>
      </c>
      <c r="AR396" s="13">
        <f t="shared" si="695"/>
        <v>2.7099999999999999E-2</v>
      </c>
      <c r="AS396" s="6">
        <f t="shared" si="687"/>
        <v>317.96707922406898</v>
      </c>
      <c r="AT396" s="6">
        <f t="shared" si="688"/>
        <v>185.97425508967711</v>
      </c>
      <c r="AU396" s="6">
        <f t="shared" si="689"/>
        <v>538.70001230001117</v>
      </c>
      <c r="AV396" s="6">
        <f t="shared" si="690"/>
        <v>745.74728183628952</v>
      </c>
      <c r="AW396" s="58">
        <f t="shared" si="696"/>
        <v>2011</v>
      </c>
      <c r="AX396" s="58">
        <f>COUNTIF(AW$3:AW396,AW396)</f>
        <v>48</v>
      </c>
    </row>
    <row r="397" spans="1:50" x14ac:dyDescent="0.25">
      <c r="A397" s="5">
        <v>40566</v>
      </c>
      <c r="B397">
        <v>1283.3499999999999</v>
      </c>
      <c r="C397">
        <v>0.16</v>
      </c>
      <c r="D397" s="6">
        <v>18.47</v>
      </c>
      <c r="E397" s="18">
        <f t="shared" si="673"/>
        <v>17.02</v>
      </c>
      <c r="F397">
        <f t="shared" si="674"/>
        <v>0</v>
      </c>
      <c r="G397" s="18">
        <f>ROUND(INDEX(Valuation!U:U,MATCH(A397,Valuation!A:A,0)),2)</f>
        <v>234.24</v>
      </c>
      <c r="H397">
        <f t="shared" si="681"/>
        <v>3</v>
      </c>
      <c r="I397" s="18">
        <f>INDEX(WeeklyIndicators!Y:Y,MATCH(A397,WeeklyIndicators!A:A,0))</f>
        <v>122.2</v>
      </c>
      <c r="J397">
        <f t="shared" si="670"/>
        <v>0</v>
      </c>
      <c r="K397">
        <f>ROUND(INDEX(Economic!AF:AF,MATCH(EOMONTH($A397,-1),Economic!A:A,0)),2)</f>
        <v>83.68</v>
      </c>
      <c r="L397" s="11">
        <f t="shared" si="679"/>
        <v>-1</v>
      </c>
      <c r="M397">
        <f>ROUND(INDEX(Manufacturing!P:P,MATCH(EOMONTH($A397,-1),Manufacturing!A:A,0)),2)</f>
        <v>104.2</v>
      </c>
      <c r="N397">
        <f t="shared" si="675"/>
        <v>2</v>
      </c>
      <c r="O397">
        <f>ROUND(INDEX(Housing!AC:AC,MATCH(EOMONTH($A397,-1),Housing!B:B,0)),2)</f>
        <v>28.99</v>
      </c>
      <c r="P397">
        <f t="shared" si="676"/>
        <v>-3</v>
      </c>
      <c r="Q397">
        <f>ROUND(INDEX(Spending!AJ:AJ,MATCH(EOMONTH($A397,-1),Spending!B:B,0)),2)</f>
        <v>56.67</v>
      </c>
      <c r="R397">
        <f t="shared" si="680"/>
        <v>1</v>
      </c>
      <c r="S397">
        <f>ROUND(INDEX(Employment!V:V,MATCH(EOMONTH($A397,-1),Employment!A:A,0)),2)</f>
        <v>146.63999999999999</v>
      </c>
      <c r="T397" s="11">
        <f t="shared" si="677"/>
        <v>-1</v>
      </c>
      <c r="U397">
        <f t="shared" si="705"/>
        <v>21</v>
      </c>
      <c r="V397">
        <f t="shared" si="697"/>
        <v>63.98</v>
      </c>
      <c r="W397" s="13">
        <f t="shared" si="698"/>
        <v>4.1000000000000003E-3</v>
      </c>
      <c r="X397" s="13">
        <f t="shared" si="699"/>
        <v>4.0500000000000001E-2</v>
      </c>
      <c r="Y397">
        <f t="shared" si="691"/>
        <v>78.459999999999994</v>
      </c>
      <c r="Z397" s="13">
        <f t="shared" si="686"/>
        <v>2.5999999999999999E-3</v>
      </c>
      <c r="AA397" s="13">
        <f t="shared" si="682"/>
        <v>3.3000000000000002E-2</v>
      </c>
      <c r="AB397" s="6">
        <f t="shared" si="692"/>
        <v>99.134</v>
      </c>
      <c r="AC397">
        <f t="shared" si="684"/>
        <v>50</v>
      </c>
      <c r="AD397" s="11">
        <f t="shared" si="685"/>
        <v>2</v>
      </c>
      <c r="AE397">
        <f t="shared" si="683"/>
        <v>25</v>
      </c>
      <c r="AF397">
        <f>IF(AND(AE397&lt;15,OR(AC397&gt;=30,AA397&gt;0.15,X397&gt;=0.15)),2,VLOOKUP(AE397,Table!P:Q,2,FALSE))</f>
        <v>3</v>
      </c>
      <c r="AG397" s="22">
        <f>IF((AB397*0.98)-(D397*0.8)+((AF397-3)*3)+VLOOKUP(AM397,Table!$A$11:$B$13,2,FALSE)&lt;0,0,(AB397*0.98)-(D397*0.8)+((AF397-3)*3)+VLOOKUP(AM397,Table!$A$11:$B$13,2,FALSE))</f>
        <v>90.375320000000002</v>
      </c>
      <c r="AH397" s="22">
        <f t="shared" si="678"/>
        <v>91</v>
      </c>
      <c r="AI397" s="18">
        <f t="shared" si="671"/>
        <v>0.14000000000000001</v>
      </c>
      <c r="AJ397" s="18">
        <f t="shared" si="672"/>
        <v>0.15</v>
      </c>
      <c r="AK397" t="str">
        <f t="shared" si="693"/>
        <v/>
      </c>
      <c r="AL397">
        <f t="shared" si="704"/>
        <v>24.5</v>
      </c>
      <c r="AM397" s="11" t="str">
        <f t="shared" si="694"/>
        <v>Stocks</v>
      </c>
      <c r="AN397" t="str">
        <f t="shared" si="700"/>
        <v>Buy</v>
      </c>
      <c r="AO397" s="13">
        <f t="shared" si="701"/>
        <v>-5.4999999999999997E-3</v>
      </c>
      <c r="AP397" s="13">
        <f t="shared" si="702"/>
        <v>0</v>
      </c>
      <c r="AQ397" s="13">
        <f t="shared" si="703"/>
        <v>-5.0000000000000001E-3</v>
      </c>
      <c r="AR397" s="13">
        <f t="shared" si="695"/>
        <v>-5.4999999999999997E-3</v>
      </c>
      <c r="AS397" s="6">
        <f t="shared" si="687"/>
        <v>319.72556985828953</v>
      </c>
      <c r="AT397" s="6">
        <f t="shared" si="688"/>
        <v>185.97425508967711</v>
      </c>
      <c r="AU397" s="6">
        <f t="shared" si="689"/>
        <v>541.40704753769967</v>
      </c>
      <c r="AV397" s="6">
        <f t="shared" si="690"/>
        <v>749.87157550154802</v>
      </c>
      <c r="AW397" s="58">
        <f t="shared" si="696"/>
        <v>2011</v>
      </c>
      <c r="AX397" s="58">
        <f>COUNTIF(AW$3:AW397,AW397)</f>
        <v>49</v>
      </c>
    </row>
    <row r="398" spans="1:50" x14ac:dyDescent="0.25">
      <c r="A398" s="5">
        <v>40559</v>
      </c>
      <c r="B398">
        <v>1293.24</v>
      </c>
      <c r="C398">
        <v>0.15</v>
      </c>
      <c r="D398" s="6">
        <v>15.46</v>
      </c>
      <c r="E398" s="18">
        <f t="shared" si="673"/>
        <v>16.78</v>
      </c>
      <c r="F398">
        <f t="shared" si="674"/>
        <v>0</v>
      </c>
      <c r="G398" s="18">
        <f>ROUND(INDEX(Valuation!U:U,MATCH(A398,Valuation!A:A,0)),2)</f>
        <v>235.14</v>
      </c>
      <c r="H398">
        <f t="shared" si="681"/>
        <v>3</v>
      </c>
      <c r="I398" s="18">
        <f>INDEX(WeeklyIndicators!Y:Y,MATCH(A398,WeeklyIndicators!A:A,0))</f>
        <v>120.57</v>
      </c>
      <c r="J398">
        <f t="shared" si="670"/>
        <v>0</v>
      </c>
      <c r="K398">
        <f>ROUND(INDEX(Economic!AF:AF,MATCH(EOMONTH($A398,-1),Economic!A:A,0)),2)</f>
        <v>83.68</v>
      </c>
      <c r="L398" s="11">
        <f t="shared" si="679"/>
        <v>-1</v>
      </c>
      <c r="M398">
        <f>ROUND(INDEX(Manufacturing!P:P,MATCH(EOMONTH($A398,-1),Manufacturing!A:A,0)),2)</f>
        <v>104.2</v>
      </c>
      <c r="N398">
        <f t="shared" si="675"/>
        <v>2</v>
      </c>
      <c r="O398">
        <f>ROUND(INDEX(Housing!AC:AC,MATCH(EOMONTH($A398,-1),Housing!B:B,0)),2)</f>
        <v>28.99</v>
      </c>
      <c r="P398">
        <f t="shared" si="676"/>
        <v>-3</v>
      </c>
      <c r="Q398">
        <f>ROUND(INDEX(Spending!AJ:AJ,MATCH(EOMONTH($A398,-1),Spending!B:B,0)),2)</f>
        <v>56.67</v>
      </c>
      <c r="R398">
        <f t="shared" si="680"/>
        <v>1</v>
      </c>
      <c r="S398">
        <f>ROUND(INDEX(Employment!V:V,MATCH(EOMONTH($A398,-1),Employment!A:A,0)),2)</f>
        <v>146.63999999999999</v>
      </c>
      <c r="T398" s="11">
        <f t="shared" si="677"/>
        <v>-1</v>
      </c>
      <c r="U398">
        <f t="shared" si="705"/>
        <v>21</v>
      </c>
      <c r="V398">
        <f t="shared" si="697"/>
        <v>63.81</v>
      </c>
      <c r="W398" s="13">
        <f t="shared" si="698"/>
        <v>1.23E-2</v>
      </c>
      <c r="X398" s="13">
        <f t="shared" si="699"/>
        <v>3.8100000000000002E-2</v>
      </c>
      <c r="Y398">
        <f t="shared" si="691"/>
        <v>78.47</v>
      </c>
      <c r="Z398" s="13">
        <f t="shared" si="686"/>
        <v>9.2999999999999992E-3</v>
      </c>
      <c r="AA398" s="13">
        <f t="shared" si="682"/>
        <v>3.3399999999999999E-2</v>
      </c>
      <c r="AB398" s="6">
        <f t="shared" si="692"/>
        <v>99.233999999999995</v>
      </c>
      <c r="AC398">
        <f t="shared" si="684"/>
        <v>50</v>
      </c>
      <c r="AD398" s="11">
        <f t="shared" si="685"/>
        <v>2</v>
      </c>
      <c r="AE398">
        <f t="shared" si="683"/>
        <v>25</v>
      </c>
      <c r="AF398">
        <f>IF(AND(AE398&lt;15,OR(AC398&gt;=30,AA398&gt;0.15,X398&gt;=0.15)),2,VLOOKUP(AE398,Table!P:Q,2,FALSE))</f>
        <v>3</v>
      </c>
      <c r="AG398" s="22">
        <f>IF((AB398*0.98)-(D398*0.8)+((AF398-3)*3)+VLOOKUP(AM398,Table!$A$11:$B$13,2,FALSE)&lt;0,0,(AB398*0.98)-(D398*0.8)+((AF398-3)*3)+VLOOKUP(AM398,Table!$A$11:$B$13,2,FALSE))</f>
        <v>92.881319999999988</v>
      </c>
      <c r="AH398" s="22">
        <f t="shared" si="678"/>
        <v>90</v>
      </c>
      <c r="AI398" s="18">
        <f t="shared" si="671"/>
        <v>0.14000000000000001</v>
      </c>
      <c r="AJ398" s="18">
        <f t="shared" si="672"/>
        <v>0.15</v>
      </c>
      <c r="AK398" t="str">
        <f t="shared" si="693"/>
        <v/>
      </c>
      <c r="AL398">
        <f t="shared" si="704"/>
        <v>23.75</v>
      </c>
      <c r="AM398" s="11" t="str">
        <f t="shared" si="694"/>
        <v>Stocks</v>
      </c>
      <c r="AN398" t="str">
        <f t="shared" si="700"/>
        <v>Buy</v>
      </c>
      <c r="AO398" s="13">
        <f t="shared" si="701"/>
        <v>-7.6E-3</v>
      </c>
      <c r="AP398" s="13">
        <f t="shared" si="702"/>
        <v>0</v>
      </c>
      <c r="AQ398" s="13">
        <f t="shared" si="703"/>
        <v>-6.7999999999999996E-3</v>
      </c>
      <c r="AR398" s="13">
        <f t="shared" si="695"/>
        <v>-7.6E-3</v>
      </c>
      <c r="AS398" s="6">
        <f t="shared" si="687"/>
        <v>322.17409296482219</v>
      </c>
      <c r="AT398" s="6">
        <f t="shared" si="688"/>
        <v>185.97425508967711</v>
      </c>
      <c r="AU398" s="6">
        <f t="shared" si="689"/>
        <v>545.11382152406327</v>
      </c>
      <c r="AV398" s="6">
        <f t="shared" si="690"/>
        <v>755.6142437540791</v>
      </c>
      <c r="AW398" s="58">
        <f t="shared" si="696"/>
        <v>2011</v>
      </c>
      <c r="AX398" s="58">
        <f>COUNTIF(AW$3:AW398,AW398)</f>
        <v>50</v>
      </c>
    </row>
    <row r="399" spans="1:50" x14ac:dyDescent="0.25">
      <c r="A399" s="5">
        <v>40552</v>
      </c>
      <c r="B399">
        <v>1271.5</v>
      </c>
      <c r="C399">
        <v>0.14000000000000001</v>
      </c>
      <c r="D399" s="6">
        <v>17.14</v>
      </c>
      <c r="E399" s="18">
        <f t="shared" si="673"/>
        <v>17.12</v>
      </c>
      <c r="F399">
        <f t="shared" si="674"/>
        <v>0</v>
      </c>
      <c r="G399" s="18">
        <f>ROUND(INDEX(Valuation!U:U,MATCH(A399,Valuation!A:A,0)),2)</f>
        <v>235.69</v>
      </c>
      <c r="H399">
        <f t="shared" si="681"/>
        <v>3</v>
      </c>
      <c r="I399" s="18">
        <f>INDEX(WeeklyIndicators!Y:Y,MATCH(A399,WeeklyIndicators!A:A,0))</f>
        <v>118.34</v>
      </c>
      <c r="J399">
        <f t="shared" ref="J399:J462" si="706">IF(I399&gt;170,3,IF(AND(I399&gt;152,I399&lt;=170),2,IF(AND(I399&gt;135,I399&lt;=152),1,IF(I399&lt;60,-3,IF(AND(I399&lt;95,I399&gt;=60),-2,IF(AND(I399&lt;120,I399&gt;=95),-1,0))))))</f>
        <v>-1</v>
      </c>
      <c r="K399">
        <f>ROUND(INDEX(Economic!AF:AF,MATCH(EOMONTH($A399,-1),Economic!A:A,0)),2)</f>
        <v>83.68</v>
      </c>
      <c r="L399" s="11">
        <f t="shared" si="679"/>
        <v>-1</v>
      </c>
      <c r="M399">
        <f>ROUND(INDEX(Manufacturing!P:P,MATCH(EOMONTH($A399,-1),Manufacturing!A:A,0)),2)</f>
        <v>104.2</v>
      </c>
      <c r="N399">
        <f t="shared" si="675"/>
        <v>2</v>
      </c>
      <c r="O399">
        <f>ROUND(INDEX(Housing!AC:AC,MATCH(EOMONTH($A399,-1),Housing!B:B,0)),2)</f>
        <v>28.99</v>
      </c>
      <c r="P399">
        <f t="shared" si="676"/>
        <v>-3</v>
      </c>
      <c r="Q399">
        <f>ROUND(INDEX(Spending!AJ:AJ,MATCH(EOMONTH($A399,-1),Spending!B:B,0)),2)</f>
        <v>56.67</v>
      </c>
      <c r="R399">
        <f t="shared" si="680"/>
        <v>1</v>
      </c>
      <c r="S399">
        <f>ROUND(INDEX(Employment!V:V,MATCH(EOMONTH($A399,-1),Employment!A:A,0)),2)</f>
        <v>146.63999999999999</v>
      </c>
      <c r="T399" s="11">
        <f t="shared" si="677"/>
        <v>-1</v>
      </c>
      <c r="U399">
        <f t="shared" si="705"/>
        <v>20</v>
      </c>
      <c r="V399">
        <f t="shared" si="697"/>
        <v>63.58</v>
      </c>
      <c r="W399" s="13">
        <f t="shared" si="698"/>
        <v>1.26E-2</v>
      </c>
      <c r="X399" s="13">
        <f t="shared" si="699"/>
        <v>1.9699999999999999E-2</v>
      </c>
      <c r="Y399">
        <f t="shared" si="691"/>
        <v>78.180000000000007</v>
      </c>
      <c r="Z399" s="13">
        <f t="shared" si="686"/>
        <v>9.5999999999999992E-3</v>
      </c>
      <c r="AA399" s="13">
        <f t="shared" si="682"/>
        <v>2.0299999999999999E-2</v>
      </c>
      <c r="AB399" s="6">
        <f t="shared" si="692"/>
        <v>97.929000000000002</v>
      </c>
      <c r="AC399">
        <f t="shared" si="684"/>
        <v>49</v>
      </c>
      <c r="AD399" s="11">
        <f t="shared" si="685"/>
        <v>2</v>
      </c>
      <c r="AE399">
        <f t="shared" si="683"/>
        <v>24</v>
      </c>
      <c r="AF399">
        <f>IF(AND(AE399&lt;15,OR(AC399&gt;=30,AA399&gt;0.15,X399&gt;=0.15)),2,VLOOKUP(AE399,Table!P:Q,2,FALSE))</f>
        <v>3</v>
      </c>
      <c r="AG399" s="22">
        <f>IF((AB399*0.98)-(D399*0.8)+((AF399-3)*3)+VLOOKUP(AM399,Table!$A$11:$B$13,2,FALSE)&lt;0,0,(AB399*0.98)-(D399*0.8)+((AF399-3)*3)+VLOOKUP(AM399,Table!$A$11:$B$13,2,FALSE))</f>
        <v>90.258420000000001</v>
      </c>
      <c r="AH399" s="22">
        <f t="shared" si="678"/>
        <v>88</v>
      </c>
      <c r="AI399" s="18">
        <f t="shared" ref="AI399:AI462" si="707">ROUND(AVERAGE(C399:C411),2)</f>
        <v>0.14000000000000001</v>
      </c>
      <c r="AJ399" s="18">
        <f t="shared" ref="AJ399:AJ462" si="708">ROUND(AVERAGE(C399:C437),2)</f>
        <v>0.15</v>
      </c>
      <c r="AK399" t="str">
        <f t="shared" si="693"/>
        <v/>
      </c>
      <c r="AL399">
        <f t="shared" si="704"/>
        <v>23</v>
      </c>
      <c r="AM399" s="11" t="str">
        <f t="shared" si="694"/>
        <v>Stocks</v>
      </c>
      <c r="AN399" t="str">
        <f t="shared" si="700"/>
        <v>Buy</v>
      </c>
      <c r="AO399" s="13">
        <f t="shared" si="701"/>
        <v>1.7100000000000001E-2</v>
      </c>
      <c r="AP399" s="13">
        <f t="shared" si="702"/>
        <v>0</v>
      </c>
      <c r="AQ399" s="13">
        <f t="shared" si="703"/>
        <v>1.4999999999999999E-2</v>
      </c>
      <c r="AR399" s="13">
        <f t="shared" si="695"/>
        <v>1.7100000000000001E-2</v>
      </c>
      <c r="AS399" s="6">
        <f t="shared" si="687"/>
        <v>316.75753904711655</v>
      </c>
      <c r="AT399" s="6">
        <f t="shared" si="688"/>
        <v>185.97425508967711</v>
      </c>
      <c r="AU399" s="6">
        <f t="shared" si="689"/>
        <v>537.05795224045653</v>
      </c>
      <c r="AV399" s="6">
        <f t="shared" si="690"/>
        <v>742.91047463777329</v>
      </c>
      <c r="AW399" s="58">
        <f t="shared" si="696"/>
        <v>2011</v>
      </c>
      <c r="AX399" s="58">
        <f>COUNTIF(AW$3:AW399,AW399)</f>
        <v>51</v>
      </c>
    </row>
    <row r="400" spans="1:50" x14ac:dyDescent="0.25">
      <c r="A400" s="5">
        <v>40545</v>
      </c>
      <c r="B400">
        <v>1257.6400000000001</v>
      </c>
      <c r="C400">
        <v>0.14000000000000001</v>
      </c>
      <c r="D400" s="6">
        <v>17.75</v>
      </c>
      <c r="E400" s="18">
        <f t="shared" si="673"/>
        <v>16.78</v>
      </c>
      <c r="F400">
        <f t="shared" si="674"/>
        <v>0</v>
      </c>
      <c r="G400" s="18">
        <f>ROUND(INDEX(Valuation!U:U,MATCH(A400,Valuation!A:A,0)),2)</f>
        <v>235.27</v>
      </c>
      <c r="H400">
        <f t="shared" si="681"/>
        <v>3</v>
      </c>
      <c r="I400" s="18">
        <f>INDEX(WeeklyIndicators!Y:Y,MATCH(A400,WeeklyIndicators!A:A,0))</f>
        <v>114.53</v>
      </c>
      <c r="J400">
        <f t="shared" si="706"/>
        <v>-1</v>
      </c>
      <c r="K400">
        <f>ROUND(INDEX(Economic!AF:AF,MATCH(EOMONTH($A400,-1),Economic!A:A,0)),2)</f>
        <v>83.68</v>
      </c>
      <c r="L400" s="11">
        <f t="shared" si="679"/>
        <v>-1</v>
      </c>
      <c r="M400">
        <f>ROUND(INDEX(Manufacturing!P:P,MATCH(EOMONTH($A400,-1),Manufacturing!A:A,0)),2)</f>
        <v>104.2</v>
      </c>
      <c r="N400">
        <f t="shared" si="675"/>
        <v>2</v>
      </c>
      <c r="O400">
        <f>ROUND(INDEX(Housing!AC:AC,MATCH(EOMONTH($A400,-1),Housing!B:B,0)),2)</f>
        <v>28.99</v>
      </c>
      <c r="P400">
        <f t="shared" si="676"/>
        <v>-3</v>
      </c>
      <c r="Q400">
        <f>ROUND(INDEX(Spending!AJ:AJ,MATCH(EOMONTH($A400,-1),Spending!B:B,0)),2)</f>
        <v>56.67</v>
      </c>
      <c r="R400">
        <f t="shared" si="680"/>
        <v>1</v>
      </c>
      <c r="S400">
        <f>ROUND(INDEX(Employment!V:V,MATCH(EOMONTH($A400,-1),Employment!A:A,0)),2)</f>
        <v>146.63999999999999</v>
      </c>
      <c r="T400" s="11">
        <f t="shared" si="677"/>
        <v>-1</v>
      </c>
      <c r="U400">
        <f t="shared" si="705"/>
        <v>20</v>
      </c>
      <c r="V400">
        <f t="shared" si="697"/>
        <v>63.19</v>
      </c>
      <c r="W400" s="13">
        <f t="shared" si="698"/>
        <v>1.15E-2</v>
      </c>
      <c r="X400" s="13">
        <f t="shared" si="699"/>
        <v>6.9999999999999923E-4</v>
      </c>
      <c r="Y400">
        <f t="shared" si="691"/>
        <v>77.86</v>
      </c>
      <c r="Z400" s="13">
        <f t="shared" si="686"/>
        <v>1.15E-2</v>
      </c>
      <c r="AA400" s="13">
        <f t="shared" si="682"/>
        <v>3.9999999999999931E-4</v>
      </c>
      <c r="AB400" s="6">
        <f t="shared" si="692"/>
        <v>96.027000000000001</v>
      </c>
      <c r="AC400">
        <f t="shared" si="684"/>
        <v>48</v>
      </c>
      <c r="AD400" s="11">
        <f t="shared" si="685"/>
        <v>2</v>
      </c>
      <c r="AE400">
        <f t="shared" si="683"/>
        <v>24</v>
      </c>
      <c r="AF400">
        <f>IF(AND(AE400&lt;15,OR(AC400&gt;=30,AA400&gt;0.15,X400&gt;=0.15)),2,VLOOKUP(AE400,Table!P:Q,2,FALSE))</f>
        <v>3</v>
      </c>
      <c r="AG400" s="22">
        <f>IF((AB400*0.98)-(D400*0.8)+((AF400-3)*3)+VLOOKUP(AM400,Table!$A$11:$B$13,2,FALSE)&lt;0,0,(AB400*0.98)-(D400*0.8)+((AF400-3)*3)+VLOOKUP(AM400,Table!$A$11:$B$13,2,FALSE))</f>
        <v>87.906459999999996</v>
      </c>
      <c r="AH400" s="22">
        <f t="shared" si="678"/>
        <v>87</v>
      </c>
      <c r="AI400" s="18">
        <f t="shared" si="707"/>
        <v>0.14000000000000001</v>
      </c>
      <c r="AJ400" s="18">
        <f t="shared" si="708"/>
        <v>0.15</v>
      </c>
      <c r="AK400" t="str">
        <f t="shared" si="693"/>
        <v/>
      </c>
      <c r="AL400">
        <f t="shared" si="704"/>
        <v>22.25</v>
      </c>
      <c r="AM400" s="11" t="str">
        <f t="shared" si="694"/>
        <v>Stocks</v>
      </c>
      <c r="AN400" t="str">
        <f t="shared" si="700"/>
        <v>Buy</v>
      </c>
      <c r="AO400" s="13">
        <f t="shared" si="701"/>
        <v>1.0999999999999999E-2</v>
      </c>
      <c r="AP400" s="13">
        <f t="shared" si="702"/>
        <v>0</v>
      </c>
      <c r="AQ400" s="13">
        <f t="shared" si="703"/>
        <v>9.5999999999999992E-3</v>
      </c>
      <c r="AR400" s="13">
        <f t="shared" si="695"/>
        <v>1.0999999999999999E-2</v>
      </c>
      <c r="AS400" s="6">
        <f t="shared" si="687"/>
        <v>313.31111676272661</v>
      </c>
      <c r="AT400" s="6">
        <f t="shared" si="688"/>
        <v>185.97425508967711</v>
      </c>
      <c r="AU400" s="6">
        <f t="shared" si="689"/>
        <v>531.95122052343152</v>
      </c>
      <c r="AV400" s="6">
        <f t="shared" si="690"/>
        <v>734.82737352895481</v>
      </c>
      <c r="AW400" s="58">
        <f t="shared" si="696"/>
        <v>2011</v>
      </c>
      <c r="AX400" s="58">
        <f>COUNTIF(AW$3:AW400,AW400)</f>
        <v>52</v>
      </c>
    </row>
    <row r="401" spans="1:50" x14ac:dyDescent="0.25">
      <c r="A401" s="5">
        <v>40538</v>
      </c>
      <c r="B401">
        <v>1256.77</v>
      </c>
      <c r="C401">
        <v>0.14000000000000001</v>
      </c>
      <c r="D401" s="6">
        <v>16.47</v>
      </c>
      <c r="E401" s="18">
        <f t="shared" ref="E401:E464" si="709">ROUND(AVERAGE(D401:D403),2)</f>
        <v>16.73</v>
      </c>
      <c r="F401">
        <f t="shared" ref="F401:F464" si="710">IF(E401&lt;11,3,IF(AND(E401&lt;14,E401&gt;=11),2,IF(AND(E401&lt;16,E401&gt;=14),1,IF(E401&gt;35,-3,IF(AND(E401&gt;25,E401&lt;=35),-2,IF(AND(E401&gt;18,E401&lt;=25),-1,0))))))</f>
        <v>0</v>
      </c>
      <c r="G401" s="18">
        <f>ROUND(INDEX(Valuation!U:U,MATCH(A401,Valuation!A:A,0)),2)</f>
        <v>236.26</v>
      </c>
      <c r="H401">
        <f t="shared" si="681"/>
        <v>3</v>
      </c>
      <c r="I401" s="18">
        <f>INDEX(WeeklyIndicators!Y:Y,MATCH(A401,WeeklyIndicators!A:A,0))</f>
        <v>109.62</v>
      </c>
      <c r="J401">
        <f t="shared" si="706"/>
        <v>-1</v>
      </c>
      <c r="K401">
        <f>ROUND(INDEX(Economic!AF:AF,MATCH(EOMONTH($A401,-1),Economic!A:A,0)),2)</f>
        <v>76.31</v>
      </c>
      <c r="L401" s="11">
        <f t="shared" si="679"/>
        <v>-2</v>
      </c>
      <c r="M401">
        <f>ROUND(INDEX(Manufacturing!P:P,MATCH(EOMONTH($A401,-1),Manufacturing!A:A,0)),2)</f>
        <v>107.46</v>
      </c>
      <c r="N401">
        <f t="shared" si="675"/>
        <v>2</v>
      </c>
      <c r="O401">
        <f>ROUND(INDEX(Housing!AC:AC,MATCH(EOMONTH($A401,-1),Housing!B:B,0)),2)</f>
        <v>28.02</v>
      </c>
      <c r="P401">
        <f t="shared" si="676"/>
        <v>-3</v>
      </c>
      <c r="Q401">
        <f>ROUND(INDEX(Spending!AJ:AJ,MATCH(EOMONTH($A401,-1),Spending!B:B,0)),2)</f>
        <v>55</v>
      </c>
      <c r="R401">
        <f t="shared" si="680"/>
        <v>1</v>
      </c>
      <c r="S401">
        <f>ROUND(INDEX(Employment!V:V,MATCH(EOMONTH($A401,-1),Employment!A:A,0)),2)</f>
        <v>142.06</v>
      </c>
      <c r="T401" s="11">
        <f t="shared" si="677"/>
        <v>-1</v>
      </c>
      <c r="U401">
        <f t="shared" si="705"/>
        <v>19</v>
      </c>
      <c r="V401">
        <f t="shared" si="697"/>
        <v>61.5</v>
      </c>
      <c r="W401" s="13">
        <f t="shared" si="698"/>
        <v>1.6999999999999999E-3</v>
      </c>
      <c r="X401" s="13">
        <f t="shared" si="699"/>
        <v>-1.5100000000000001E-2</v>
      </c>
      <c r="Y401">
        <f t="shared" si="691"/>
        <v>76.3</v>
      </c>
      <c r="Z401" s="13">
        <f t="shared" si="686"/>
        <v>3.0000000000000001E-3</v>
      </c>
      <c r="AA401" s="13">
        <f t="shared" si="682"/>
        <v>-1.8000000000000002E-2</v>
      </c>
      <c r="AB401" s="6">
        <f t="shared" si="692"/>
        <v>93.116</v>
      </c>
      <c r="AC401">
        <f t="shared" si="684"/>
        <v>47</v>
      </c>
      <c r="AD401" s="11">
        <f t="shared" si="685"/>
        <v>1</v>
      </c>
      <c r="AE401">
        <f t="shared" si="683"/>
        <v>22</v>
      </c>
      <c r="AF401">
        <f>IF(AND(AE401&lt;15,OR(AC401&gt;=30,AA401&gt;0.15,X401&gt;=0.15)),2,VLOOKUP(AE401,Table!P:Q,2,FALSE))</f>
        <v>3</v>
      </c>
      <c r="AG401" s="22">
        <f>IF((AB401*0.98)-(D401*0.8)+((AF401-3)*3)+VLOOKUP(AM401,Table!$A$11:$B$13,2,FALSE)&lt;0,0,(AB401*0.98)-(D401*0.8)+((AF401-3)*3)+VLOOKUP(AM401,Table!$A$11:$B$13,2,FALSE))</f>
        <v>86.077680000000001</v>
      </c>
      <c r="AH401" s="22">
        <f t="shared" si="678"/>
        <v>85</v>
      </c>
      <c r="AI401" s="18">
        <f t="shared" si="707"/>
        <v>0.14000000000000001</v>
      </c>
      <c r="AJ401" s="18">
        <f t="shared" si="708"/>
        <v>0.15</v>
      </c>
      <c r="AK401" t="str">
        <f t="shared" si="693"/>
        <v/>
      </c>
      <c r="AL401">
        <f t="shared" si="704"/>
        <v>21.5</v>
      </c>
      <c r="AM401" s="11" t="str">
        <f t="shared" si="694"/>
        <v>Stocks</v>
      </c>
      <c r="AN401" t="str">
        <f t="shared" si="700"/>
        <v>Buy</v>
      </c>
      <c r="AO401" s="13">
        <f t="shared" si="701"/>
        <v>6.9999999999999999E-4</v>
      </c>
      <c r="AP401" s="13">
        <f t="shared" si="702"/>
        <v>0</v>
      </c>
      <c r="AQ401" s="13">
        <f t="shared" si="703"/>
        <v>5.9999999999999995E-4</v>
      </c>
      <c r="AR401" s="13">
        <f t="shared" si="695"/>
        <v>6.9999999999999999E-4</v>
      </c>
      <c r="AS401" s="6">
        <f t="shared" si="687"/>
        <v>313.09195239604941</v>
      </c>
      <c r="AT401" s="6">
        <f t="shared" si="688"/>
        <v>185.97425508967711</v>
      </c>
      <c r="AU401" s="6">
        <f t="shared" si="689"/>
        <v>531.63224117872437</v>
      </c>
      <c r="AV401" s="6">
        <f t="shared" si="690"/>
        <v>734.3133541810281</v>
      </c>
      <c r="AW401" s="58">
        <f t="shared" si="696"/>
        <v>2010</v>
      </c>
      <c r="AX401" s="58">
        <f>COUNTIF(AW$3:AW401,AW401)</f>
        <v>1</v>
      </c>
    </row>
    <row r="402" spans="1:50" x14ac:dyDescent="0.25">
      <c r="A402" s="5">
        <v>40531</v>
      </c>
      <c r="B402">
        <v>1243.9100000000001</v>
      </c>
      <c r="C402">
        <v>0.14000000000000001</v>
      </c>
      <c r="D402" s="6">
        <v>16.11</v>
      </c>
      <c r="E402" s="18">
        <f t="shared" si="709"/>
        <v>17.239999999999998</v>
      </c>
      <c r="F402">
        <f t="shared" si="710"/>
        <v>0</v>
      </c>
      <c r="G402" s="18">
        <f>ROUND(INDEX(Valuation!U:U,MATCH(A402,Valuation!A:A,0)),2)</f>
        <v>237.35</v>
      </c>
      <c r="H402">
        <f t="shared" si="681"/>
        <v>3</v>
      </c>
      <c r="I402" s="18">
        <f>INDEX(WeeklyIndicators!Y:Y,MATCH(A402,WeeklyIndicators!A:A,0))</f>
        <v>107.07</v>
      </c>
      <c r="J402">
        <f t="shared" si="706"/>
        <v>-1</v>
      </c>
      <c r="K402">
        <f>ROUND(INDEX(Economic!AF:AF,MATCH(EOMONTH($A402,-1),Economic!A:A,0)),2)</f>
        <v>76.31</v>
      </c>
      <c r="L402" s="11">
        <f t="shared" si="679"/>
        <v>-2</v>
      </c>
      <c r="M402">
        <f>ROUND(INDEX(Manufacturing!P:P,MATCH(EOMONTH($A402,-1),Manufacturing!A:A,0)),2)</f>
        <v>107.46</v>
      </c>
      <c r="N402">
        <f t="shared" ref="N402:N465" si="711">IF(M402&gt;108,3,IF(AND(M402&gt;100,M402&lt;=108),2,IF(AND(M402&gt;90,M402&lt;=100),1,IF(M402&lt;63,-3,IF(AND(M402&lt;74,M402&gt;=63),-2,IF(AND(M402&lt;84,M402&gt;=74),-1,0))))))</f>
        <v>2</v>
      </c>
      <c r="O402">
        <f>ROUND(INDEX(Housing!AC:AC,MATCH(EOMONTH($A402,-1),Housing!B:B,0)),2)</f>
        <v>28.02</v>
      </c>
      <c r="P402">
        <f t="shared" ref="P402:P465" si="712">IF(O402&gt;140,3,IF(AND(O402&gt;128,O402&lt;=140),2,IF(AND(O402&gt;115,O402&lt;=128),1,IF(O402&lt;50,-3,IF(AND(O402&lt;75,O402&gt;=50),-2,IF(AND(O402&lt;100,O402&gt;=75),-1,0))))))</f>
        <v>-3</v>
      </c>
      <c r="Q402">
        <f>ROUND(INDEX(Spending!AJ:AJ,MATCH(EOMONTH($A402,-1),Spending!B:B,0)),2)</f>
        <v>55</v>
      </c>
      <c r="R402">
        <f t="shared" si="680"/>
        <v>1</v>
      </c>
      <c r="S402">
        <f>ROUND(INDEX(Employment!V:V,MATCH(EOMONTH($A402,-1),Employment!A:A,0)),2)</f>
        <v>142.06</v>
      </c>
      <c r="T402" s="11">
        <f t="shared" ref="T402:T465" si="713">IF(S402&gt;190,3,IF(AND(S402&gt;175,S402&lt;=190),2,IF(AND(S402&gt;160,S402&lt;=175),1,IF(S402&lt;120,-3,IF(AND(S402&lt;140,S402&gt;=120),-2,IF(AND(S402&lt;150,S402&gt;=140),-1,0))))))</f>
        <v>-1</v>
      </c>
      <c r="U402">
        <f t="shared" si="705"/>
        <v>19</v>
      </c>
      <c r="V402">
        <f t="shared" si="697"/>
        <v>61.24</v>
      </c>
      <c r="W402" s="13">
        <f t="shared" si="698"/>
        <v>-6.1000000000000004E-3</v>
      </c>
      <c r="X402" s="13">
        <f t="shared" si="699"/>
        <v>-1.4200000000000003E-2</v>
      </c>
      <c r="Y402">
        <f t="shared" si="691"/>
        <v>75.98</v>
      </c>
      <c r="Z402" s="13">
        <f t="shared" si="686"/>
        <v>-3.8E-3</v>
      </c>
      <c r="AA402" s="13">
        <f t="shared" si="682"/>
        <v>-2.3199999999999998E-2</v>
      </c>
      <c r="AB402" s="6">
        <f t="shared" si="692"/>
        <v>92.554999999999993</v>
      </c>
      <c r="AC402">
        <f t="shared" si="684"/>
        <v>46</v>
      </c>
      <c r="AD402" s="11">
        <f t="shared" si="685"/>
        <v>1</v>
      </c>
      <c r="AE402">
        <f t="shared" si="683"/>
        <v>22</v>
      </c>
      <c r="AF402">
        <f>IF(AND(AE402&lt;15,OR(AC402&gt;=30,AA402&gt;0.15,X402&gt;=0.15)),2,VLOOKUP(AE402,Table!P:Q,2,FALSE))</f>
        <v>3</v>
      </c>
      <c r="AG402" s="22">
        <f>IF((AB402*0.98)-(D402*0.8)+((AF402-3)*3)+VLOOKUP(AM402,Table!$A$11:$B$13,2,FALSE)&lt;0,0,(AB402*0.98)-(D402*0.8)+((AF402-3)*3)+VLOOKUP(AM402,Table!$A$11:$B$13,2,FALSE))</f>
        <v>85.815899999999985</v>
      </c>
      <c r="AH402" s="22">
        <f t="shared" ref="AH402:AH465" si="714">IF(ROUND(AVERAGE(AG402:AG404),0)&lt;0,0,IF(ROUND(AVERAGE(AG402:AG404),0)&gt;100,100,ROUND(AVERAGE(AG402:AG404),0)))</f>
        <v>85</v>
      </c>
      <c r="AI402" s="18">
        <f t="shared" si="707"/>
        <v>0.14000000000000001</v>
      </c>
      <c r="AJ402" s="18">
        <f t="shared" si="708"/>
        <v>0.15</v>
      </c>
      <c r="AK402" t="str">
        <f t="shared" si="693"/>
        <v/>
      </c>
      <c r="AL402">
        <f t="shared" si="704"/>
        <v>21.5</v>
      </c>
      <c r="AM402" s="11" t="str">
        <f t="shared" si="694"/>
        <v>Stocks</v>
      </c>
      <c r="AN402" t="str">
        <f t="shared" si="700"/>
        <v>Buy</v>
      </c>
      <c r="AO402" s="13">
        <f t="shared" si="701"/>
        <v>1.03E-2</v>
      </c>
      <c r="AP402" s="13">
        <f t="shared" si="702"/>
        <v>0</v>
      </c>
      <c r="AQ402" s="13">
        <f t="shared" si="703"/>
        <v>8.8000000000000005E-3</v>
      </c>
      <c r="AR402" s="13">
        <f t="shared" si="695"/>
        <v>1.03E-2</v>
      </c>
      <c r="AS402" s="6">
        <f t="shared" si="687"/>
        <v>309.89998257552156</v>
      </c>
      <c r="AT402" s="6">
        <f t="shared" si="688"/>
        <v>185.97425508967711</v>
      </c>
      <c r="AU402" s="6">
        <f t="shared" si="689"/>
        <v>526.99468792498453</v>
      </c>
      <c r="AV402" s="6">
        <f t="shared" si="690"/>
        <v>726.82703571318234</v>
      </c>
      <c r="AW402" s="58">
        <f t="shared" si="696"/>
        <v>2010</v>
      </c>
      <c r="AX402" s="58">
        <f>COUNTIF(AW$3:AW402,AW402)</f>
        <v>2</v>
      </c>
    </row>
    <row r="403" spans="1:50" x14ac:dyDescent="0.25">
      <c r="A403" s="5">
        <v>40524</v>
      </c>
      <c r="B403">
        <v>1240.4000000000001</v>
      </c>
      <c r="C403">
        <v>0.14000000000000001</v>
      </c>
      <c r="D403" s="6">
        <v>17.61</v>
      </c>
      <c r="E403" s="18">
        <f t="shared" si="709"/>
        <v>19.28</v>
      </c>
      <c r="F403">
        <f t="shared" si="710"/>
        <v>-1</v>
      </c>
      <c r="G403" s="18">
        <f>ROUND(INDEX(Valuation!U:U,MATCH(A403,Valuation!A:A,0)),2)</f>
        <v>238.58</v>
      </c>
      <c r="H403">
        <f t="shared" si="681"/>
        <v>3</v>
      </c>
      <c r="I403" s="18">
        <f>INDEX(WeeklyIndicators!Y:Y,MATCH(A403,WeeklyIndicators!A:A,0))</f>
        <v>105.45</v>
      </c>
      <c r="J403">
        <f t="shared" si="706"/>
        <v>-1</v>
      </c>
      <c r="K403">
        <f>ROUND(INDEX(Economic!AF:AF,MATCH(EOMONTH($A403,-1),Economic!A:A,0)),2)</f>
        <v>76.31</v>
      </c>
      <c r="L403" s="11">
        <f t="shared" ref="L403:L466" si="715">IF(K403&gt;138,3,IF(AND(K403&gt;125,K403&lt;=138),2,IF(AND(K403&gt;111,K403&lt;=125),1,IF(K403&lt;50,-3,IF(AND(K403&lt;80,K403&gt;=50),-2,IF(AND(K403&lt;100,K403&gt;=80),-1,0))))))</f>
        <v>-2</v>
      </c>
      <c r="M403">
        <f>ROUND(INDEX(Manufacturing!P:P,MATCH(EOMONTH($A403,-1),Manufacturing!A:A,0)),2)</f>
        <v>107.46</v>
      </c>
      <c r="N403">
        <f t="shared" si="711"/>
        <v>2</v>
      </c>
      <c r="O403">
        <f>ROUND(INDEX(Housing!AC:AC,MATCH(EOMONTH($A403,-1),Housing!B:B,0)),2)</f>
        <v>28.02</v>
      </c>
      <c r="P403">
        <f t="shared" si="712"/>
        <v>-3</v>
      </c>
      <c r="Q403">
        <f>ROUND(INDEX(Spending!AJ:AJ,MATCH(EOMONTH($A403,-1),Spending!B:B,0)),2)</f>
        <v>55</v>
      </c>
      <c r="R403">
        <f t="shared" ref="R403:R466" si="716">IF(Q403&gt;60,2,IF(AND(Q403&gt;50,Q403&lt;=60),1,IF(Q403&lt;30,-2,IF(AND(Q403&lt;40,Q403&gt;=30),-1,0))))</f>
        <v>1</v>
      </c>
      <c r="S403">
        <f>ROUND(INDEX(Employment!V:V,MATCH(EOMONTH($A403,-1),Employment!A:A,0)),2)</f>
        <v>142.06</v>
      </c>
      <c r="T403" s="11">
        <f t="shared" si="713"/>
        <v>-1</v>
      </c>
      <c r="U403">
        <f t="shared" si="705"/>
        <v>18</v>
      </c>
      <c r="V403">
        <f t="shared" si="697"/>
        <v>61.07</v>
      </c>
      <c r="W403" s="13">
        <f t="shared" si="698"/>
        <v>-6.4000000000000003E-3</v>
      </c>
      <c r="X403" s="13">
        <f t="shared" si="699"/>
        <v>-1.3300000000000001E-2</v>
      </c>
      <c r="Y403">
        <f t="shared" si="691"/>
        <v>75.239999999999995</v>
      </c>
      <c r="Z403" s="13">
        <f t="shared" si="686"/>
        <v>-1.03E-2</v>
      </c>
      <c r="AA403" s="13">
        <f t="shared" si="682"/>
        <v>-2.3900000000000001E-2</v>
      </c>
      <c r="AB403" s="6">
        <f t="shared" si="692"/>
        <v>91.89800000000001</v>
      </c>
      <c r="AC403">
        <f t="shared" si="684"/>
        <v>46</v>
      </c>
      <c r="AD403" s="11">
        <f t="shared" si="685"/>
        <v>1</v>
      </c>
      <c r="AE403">
        <f t="shared" si="683"/>
        <v>21</v>
      </c>
      <c r="AF403">
        <f>IF(AND(AE403&lt;15,OR(AC403&gt;=30,AA403&gt;0.15,X403&gt;=0.15)),2,VLOOKUP(AE403,Table!P:Q,2,FALSE))</f>
        <v>3</v>
      </c>
      <c r="AG403" s="22">
        <f>IF((AB403*0.98)-(D403*0.8)+((AF403-3)*3)+VLOOKUP(AM403,Table!$A$11:$B$13,2,FALSE)&lt;0,0,(AB403*0.98)-(D403*0.8)+((AF403-3)*3)+VLOOKUP(AM403,Table!$A$11:$B$13,2,FALSE))</f>
        <v>83.972040000000021</v>
      </c>
      <c r="AH403" s="22">
        <f t="shared" si="714"/>
        <v>84</v>
      </c>
      <c r="AI403" s="18">
        <f t="shared" si="707"/>
        <v>0.14000000000000001</v>
      </c>
      <c r="AJ403" s="18">
        <f t="shared" si="708"/>
        <v>0.15</v>
      </c>
      <c r="AK403" t="str">
        <f t="shared" si="693"/>
        <v/>
      </c>
      <c r="AL403">
        <f t="shared" si="704"/>
        <v>21.75</v>
      </c>
      <c r="AM403" s="11" t="str">
        <f t="shared" si="694"/>
        <v>Stocks</v>
      </c>
      <c r="AN403" t="str">
        <f t="shared" si="700"/>
        <v>Buy</v>
      </c>
      <c r="AO403" s="13">
        <f t="shared" si="701"/>
        <v>2.8E-3</v>
      </c>
      <c r="AP403" s="13">
        <f t="shared" si="702"/>
        <v>0</v>
      </c>
      <c r="AQ403" s="13">
        <f t="shared" si="703"/>
        <v>2.3999999999999998E-3</v>
      </c>
      <c r="AR403" s="13">
        <f t="shared" si="695"/>
        <v>2.8E-3</v>
      </c>
      <c r="AS403" s="6">
        <f t="shared" si="687"/>
        <v>309.03468545624412</v>
      </c>
      <c r="AT403" s="6">
        <f t="shared" si="688"/>
        <v>185.97425508967711</v>
      </c>
      <c r="AU403" s="6">
        <f t="shared" si="689"/>
        <v>525.73292889563504</v>
      </c>
      <c r="AV403" s="6">
        <f t="shared" si="690"/>
        <v>724.79760242638849</v>
      </c>
      <c r="AW403" s="58">
        <f t="shared" si="696"/>
        <v>2010</v>
      </c>
      <c r="AX403" s="58">
        <f>COUNTIF(AW$3:AW403,AW403)</f>
        <v>3</v>
      </c>
    </row>
    <row r="404" spans="1:50" x14ac:dyDescent="0.25">
      <c r="A404" s="5">
        <v>40517</v>
      </c>
      <c r="B404">
        <v>1224.71</v>
      </c>
      <c r="C404">
        <v>0.16</v>
      </c>
      <c r="D404" s="6">
        <v>18.010000000000002</v>
      </c>
      <c r="E404" s="18">
        <f t="shared" si="709"/>
        <v>19.420000000000002</v>
      </c>
      <c r="F404">
        <f t="shared" si="710"/>
        <v>-1</v>
      </c>
      <c r="G404" s="18">
        <f>ROUND(INDEX(Valuation!U:U,MATCH(A404,Valuation!A:A,0)),2)</f>
        <v>241.32</v>
      </c>
      <c r="H404">
        <f t="shared" si="681"/>
        <v>3</v>
      </c>
      <c r="I404" s="18">
        <f>INDEX(WeeklyIndicators!Y:Y,MATCH(A404,WeeklyIndicators!A:A,0))</f>
        <v>106.64</v>
      </c>
      <c r="J404">
        <f t="shared" si="706"/>
        <v>-1</v>
      </c>
      <c r="K404">
        <f>ROUND(INDEX(Economic!AF:AF,MATCH(EOMONTH($A404,-1),Economic!A:A,0)),2)</f>
        <v>76.31</v>
      </c>
      <c r="L404" s="11">
        <f t="shared" si="715"/>
        <v>-2</v>
      </c>
      <c r="M404">
        <f>ROUND(INDEX(Manufacturing!P:P,MATCH(EOMONTH($A404,-1),Manufacturing!A:A,0)),2)</f>
        <v>107.46</v>
      </c>
      <c r="N404">
        <f t="shared" si="711"/>
        <v>2</v>
      </c>
      <c r="O404">
        <f>ROUND(INDEX(Housing!AC:AC,MATCH(EOMONTH($A404,-1),Housing!B:B,0)),2)</f>
        <v>28.02</v>
      </c>
      <c r="P404">
        <f t="shared" si="712"/>
        <v>-3</v>
      </c>
      <c r="Q404">
        <f>ROUND(INDEX(Spending!AJ:AJ,MATCH(EOMONTH($A404,-1),Spending!B:B,0)),2)</f>
        <v>55</v>
      </c>
      <c r="R404">
        <f t="shared" si="716"/>
        <v>1</v>
      </c>
      <c r="S404">
        <f>ROUND(INDEX(Employment!V:V,MATCH(EOMONTH($A404,-1),Employment!A:A,0)),2)</f>
        <v>142.06</v>
      </c>
      <c r="T404" s="11">
        <f t="shared" si="713"/>
        <v>-1</v>
      </c>
      <c r="U404">
        <f t="shared" si="705"/>
        <v>18</v>
      </c>
      <c r="V404">
        <f t="shared" si="697"/>
        <v>61.19</v>
      </c>
      <c r="W404" s="13">
        <f t="shared" si="698"/>
        <v>-4.3E-3</v>
      </c>
      <c r="X404" s="13">
        <f t="shared" si="699"/>
        <v>-1.46E-2</v>
      </c>
      <c r="Y404">
        <f t="shared" si="691"/>
        <v>75.62</v>
      </c>
      <c r="Z404" s="13">
        <f t="shared" si="686"/>
        <v>-6.8999999999999999E-3</v>
      </c>
      <c r="AA404" s="13">
        <f t="shared" si="682"/>
        <v>-2.18E-2</v>
      </c>
      <c r="AB404" s="6">
        <f t="shared" si="692"/>
        <v>92.682000000000002</v>
      </c>
      <c r="AC404">
        <f t="shared" si="684"/>
        <v>46</v>
      </c>
      <c r="AD404" s="11">
        <f t="shared" si="685"/>
        <v>1</v>
      </c>
      <c r="AE404">
        <f t="shared" si="683"/>
        <v>21</v>
      </c>
      <c r="AF404">
        <f>IF(AND(AE404&lt;15,OR(AC404&gt;=30,AA404&gt;0.15,X404&gt;=0.15)),2,VLOOKUP(AE404,Table!P:Q,2,FALSE))</f>
        <v>3</v>
      </c>
      <c r="AG404" s="22">
        <f>IF((AB404*0.98)-(D404*0.8)+((AF404-3)*3)+VLOOKUP(AM404,Table!$A$11:$B$13,2,FALSE)&lt;0,0,(AB404*0.98)-(D404*0.8)+((AF404-3)*3)+VLOOKUP(AM404,Table!$A$11:$B$13,2,FALSE))</f>
        <v>84.420360000000002</v>
      </c>
      <c r="AH404" s="22">
        <f t="shared" si="714"/>
        <v>85</v>
      </c>
      <c r="AI404" s="18">
        <f t="shared" si="707"/>
        <v>0.14000000000000001</v>
      </c>
      <c r="AJ404" s="18">
        <f t="shared" si="708"/>
        <v>0.15</v>
      </c>
      <c r="AK404" t="str">
        <f t="shared" si="693"/>
        <v/>
      </c>
      <c r="AL404">
        <f t="shared" si="704"/>
        <v>22.25</v>
      </c>
      <c r="AM404" s="11" t="str">
        <f t="shared" si="694"/>
        <v>Stocks</v>
      </c>
      <c r="AN404" t="str">
        <f t="shared" si="700"/>
        <v>Buy</v>
      </c>
      <c r="AO404" s="13">
        <f t="shared" si="701"/>
        <v>1.2800000000000001E-2</v>
      </c>
      <c r="AP404" s="13">
        <f t="shared" si="702"/>
        <v>0</v>
      </c>
      <c r="AQ404" s="13">
        <f t="shared" si="703"/>
        <v>1.09E-2</v>
      </c>
      <c r="AR404" s="13">
        <f t="shared" si="695"/>
        <v>1.2800000000000001E-2</v>
      </c>
      <c r="AS404" s="6">
        <f t="shared" si="687"/>
        <v>305.1290338233058</v>
      </c>
      <c r="AT404" s="6">
        <f t="shared" si="688"/>
        <v>185.97425508967711</v>
      </c>
      <c r="AU404" s="6">
        <f t="shared" si="689"/>
        <v>520.06422880169657</v>
      </c>
      <c r="AV404" s="6">
        <f t="shared" si="690"/>
        <v>715.63744315401709</v>
      </c>
      <c r="AW404" s="58">
        <f t="shared" si="696"/>
        <v>2010</v>
      </c>
      <c r="AX404" s="58">
        <f>COUNTIF(AW$3:AW404,AW404)</f>
        <v>4</v>
      </c>
    </row>
    <row r="405" spans="1:50" x14ac:dyDescent="0.25">
      <c r="A405" s="5">
        <v>40510</v>
      </c>
      <c r="B405">
        <v>1189.4000000000001</v>
      </c>
      <c r="C405">
        <v>0.16</v>
      </c>
      <c r="D405" s="6">
        <v>22.22</v>
      </c>
      <c r="E405" s="18">
        <f t="shared" si="709"/>
        <v>20.29</v>
      </c>
      <c r="F405">
        <f t="shared" si="710"/>
        <v>-1</v>
      </c>
      <c r="G405" s="18">
        <f>ROUND(INDEX(Valuation!U:U,MATCH(A405,Valuation!A:A,0)),2)</f>
        <v>244.44</v>
      </c>
      <c r="H405">
        <f t="shared" si="681"/>
        <v>3</v>
      </c>
      <c r="I405" s="18">
        <f>INDEX(WeeklyIndicators!Y:Y,MATCH(A405,WeeklyIndicators!A:A,0))</f>
        <v>107.07</v>
      </c>
      <c r="J405">
        <f t="shared" si="706"/>
        <v>-1</v>
      </c>
      <c r="K405">
        <f>ROUND(INDEX(Economic!AF:AF,MATCH(EOMONTH($A405,-1),Economic!A:A,0)),2)</f>
        <v>76.64</v>
      </c>
      <c r="L405" s="11">
        <f t="shared" si="715"/>
        <v>-2</v>
      </c>
      <c r="M405">
        <f>ROUND(INDEX(Manufacturing!P:P,MATCH(EOMONTH($A405,-1),Manufacturing!A:A,0)),2)</f>
        <v>113.99</v>
      </c>
      <c r="N405">
        <f t="shared" si="711"/>
        <v>3</v>
      </c>
      <c r="O405">
        <f>ROUND(INDEX(Housing!AC:AC,MATCH(EOMONTH($A405,-1),Housing!B:B,0)),2)</f>
        <v>32.57</v>
      </c>
      <c r="P405">
        <f t="shared" si="712"/>
        <v>-3</v>
      </c>
      <c r="Q405">
        <f>ROUND(INDEX(Spending!AJ:AJ,MATCH(EOMONTH($A405,-1),Spending!B:B,0)),2)</f>
        <v>54.32</v>
      </c>
      <c r="R405">
        <f t="shared" si="716"/>
        <v>1</v>
      </c>
      <c r="S405">
        <f>ROUND(INDEX(Employment!V:V,MATCH(EOMONTH($A405,-1),Employment!A:A,0)),2)</f>
        <v>141.08000000000001</v>
      </c>
      <c r="T405" s="11">
        <f t="shared" si="713"/>
        <v>-1</v>
      </c>
      <c r="U405">
        <f t="shared" si="705"/>
        <v>19</v>
      </c>
      <c r="V405">
        <f t="shared" si="697"/>
        <v>62.37</v>
      </c>
      <c r="W405" s="13">
        <f t="shared" si="698"/>
        <v>2.5999999999999999E-3</v>
      </c>
      <c r="X405" s="13">
        <f t="shared" si="699"/>
        <v>-2.0500000000000001E-2</v>
      </c>
      <c r="Y405">
        <f t="shared" si="691"/>
        <v>76.84</v>
      </c>
      <c r="Z405" s="13">
        <f t="shared" si="686"/>
        <v>-2.2000000000000001E-3</v>
      </c>
      <c r="AA405" s="13">
        <f t="shared" si="682"/>
        <v>-2.2800000000000001E-2</v>
      </c>
      <c r="AB405" s="6">
        <f t="shared" si="692"/>
        <v>94.134</v>
      </c>
      <c r="AC405">
        <f t="shared" si="684"/>
        <v>47</v>
      </c>
      <c r="AD405" s="11">
        <f t="shared" si="685"/>
        <v>1</v>
      </c>
      <c r="AE405">
        <f t="shared" si="683"/>
        <v>22</v>
      </c>
      <c r="AF405">
        <f>IF(AND(AE405&lt;15,OR(AC405&gt;=30,AA405&gt;0.15,X405&gt;=0.15)),2,VLOOKUP(AE405,Table!P:Q,2,FALSE))</f>
        <v>3</v>
      </c>
      <c r="AG405" s="22">
        <f>IF((AB405*0.98)-(D405*0.8)+((AF405-3)*3)+VLOOKUP(AM405,Table!$A$11:$B$13,2,FALSE)&lt;0,0,(AB405*0.98)-(D405*0.8)+((AF405-3)*3)+VLOOKUP(AM405,Table!$A$11:$B$13,2,FALSE))</f>
        <v>82.475319999999996</v>
      </c>
      <c r="AH405" s="22">
        <f t="shared" si="714"/>
        <v>85</v>
      </c>
      <c r="AI405" s="18">
        <f t="shared" si="707"/>
        <v>0.14000000000000001</v>
      </c>
      <c r="AJ405" s="18">
        <f t="shared" si="708"/>
        <v>0.15</v>
      </c>
      <c r="AK405" t="str">
        <f t="shared" si="693"/>
        <v/>
      </c>
      <c r="AL405">
        <f t="shared" si="704"/>
        <v>22.75</v>
      </c>
      <c r="AM405" s="11" t="str">
        <f t="shared" si="694"/>
        <v>Stocks</v>
      </c>
      <c r="AN405" t="str">
        <f t="shared" si="700"/>
        <v>Buy</v>
      </c>
      <c r="AO405" s="13">
        <f t="shared" si="701"/>
        <v>2.9700000000000001E-2</v>
      </c>
      <c r="AP405" s="13">
        <f t="shared" si="702"/>
        <v>0</v>
      </c>
      <c r="AQ405" s="13">
        <f t="shared" si="703"/>
        <v>2.52E-2</v>
      </c>
      <c r="AR405" s="13">
        <f t="shared" si="695"/>
        <v>2.9700000000000001E-2</v>
      </c>
      <c r="AS405" s="6">
        <f t="shared" si="687"/>
        <v>296.32808956327648</v>
      </c>
      <c r="AT405" s="6">
        <f t="shared" si="688"/>
        <v>185.97425508967711</v>
      </c>
      <c r="AU405" s="6">
        <f t="shared" si="689"/>
        <v>507.28075380579071</v>
      </c>
      <c r="AV405" s="6">
        <f t="shared" si="690"/>
        <v>694.99606016705548</v>
      </c>
      <c r="AW405" s="58">
        <f t="shared" si="696"/>
        <v>2010</v>
      </c>
      <c r="AX405" s="58">
        <f>COUNTIF(AW$3:AW405,AW405)</f>
        <v>5</v>
      </c>
    </row>
    <row r="406" spans="1:50" x14ac:dyDescent="0.25">
      <c r="A406" s="5">
        <v>40503</v>
      </c>
      <c r="B406">
        <v>1199.73</v>
      </c>
      <c r="C406">
        <v>0.14000000000000001</v>
      </c>
      <c r="D406" s="6">
        <v>18.04</v>
      </c>
      <c r="E406" s="18">
        <f t="shared" si="709"/>
        <v>18.97</v>
      </c>
      <c r="F406">
        <f t="shared" si="710"/>
        <v>-1</v>
      </c>
      <c r="G406" s="18">
        <f>ROUND(INDEX(Valuation!U:U,MATCH(A406,Valuation!A:A,0)),2)</f>
        <v>248.25</v>
      </c>
      <c r="H406">
        <f t="shared" si="681"/>
        <v>3</v>
      </c>
      <c r="I406" s="18">
        <f>INDEX(WeeklyIndicators!Y:Y,MATCH(A406,WeeklyIndicators!A:A,0))</f>
        <v>105.99</v>
      </c>
      <c r="J406">
        <f t="shared" si="706"/>
        <v>-1</v>
      </c>
      <c r="K406">
        <f>ROUND(INDEX(Economic!AF:AF,MATCH(EOMONTH($A406,-1),Economic!A:A,0)),2)</f>
        <v>76.64</v>
      </c>
      <c r="L406" s="11">
        <f t="shared" si="715"/>
        <v>-2</v>
      </c>
      <c r="M406">
        <f>ROUND(INDEX(Manufacturing!P:P,MATCH(EOMONTH($A406,-1),Manufacturing!A:A,0)),2)</f>
        <v>113.99</v>
      </c>
      <c r="N406">
        <f t="shared" si="711"/>
        <v>3</v>
      </c>
      <c r="O406">
        <f>ROUND(INDEX(Housing!AC:AC,MATCH(EOMONTH($A406,-1),Housing!B:B,0)),2)</f>
        <v>32.57</v>
      </c>
      <c r="P406">
        <f t="shared" si="712"/>
        <v>-3</v>
      </c>
      <c r="Q406">
        <f>ROUND(INDEX(Spending!AJ:AJ,MATCH(EOMONTH($A406,-1),Spending!B:B,0)),2)</f>
        <v>54.32</v>
      </c>
      <c r="R406">
        <f t="shared" si="716"/>
        <v>1</v>
      </c>
      <c r="S406">
        <f>ROUND(INDEX(Employment!V:V,MATCH(EOMONTH($A406,-1),Employment!A:A,0)),2)</f>
        <v>141.08000000000001</v>
      </c>
      <c r="T406" s="11">
        <f t="shared" si="713"/>
        <v>-1</v>
      </c>
      <c r="U406">
        <f t="shared" si="705"/>
        <v>19</v>
      </c>
      <c r="V406">
        <f t="shared" si="697"/>
        <v>62.26</v>
      </c>
      <c r="W406" s="13">
        <f t="shared" si="698"/>
        <v>-5.1999999999999998E-3</v>
      </c>
      <c r="X406" s="13">
        <f t="shared" si="699"/>
        <v>-2.7400000000000001E-2</v>
      </c>
      <c r="Y406">
        <f t="shared" si="691"/>
        <v>77.61</v>
      </c>
      <c r="Z406" s="13">
        <f t="shared" si="686"/>
        <v>-4.4999999999999997E-3</v>
      </c>
      <c r="AA406" s="13">
        <f t="shared" si="682"/>
        <v>-2.4500000000000001E-2</v>
      </c>
      <c r="AB406" s="6">
        <f t="shared" si="692"/>
        <v>95.094999999999999</v>
      </c>
      <c r="AC406">
        <f t="shared" si="684"/>
        <v>48</v>
      </c>
      <c r="AD406" s="11">
        <f t="shared" si="685"/>
        <v>2</v>
      </c>
      <c r="AE406">
        <f t="shared" si="683"/>
        <v>23</v>
      </c>
      <c r="AF406">
        <f>IF(AND(AE406&lt;15,OR(AC406&gt;=30,AA406&gt;0.15,X406&gt;=0.15)),2,VLOOKUP(AE406,Table!P:Q,2,FALSE))</f>
        <v>3</v>
      </c>
      <c r="AG406" s="22">
        <f>IF((AB406*0.98)-(D406*0.8)+((AF406-3)*3)+VLOOKUP(AM406,Table!$A$11:$B$13,2,FALSE)&lt;0,0,(AB406*0.98)-(D406*0.8)+((AF406-3)*3)+VLOOKUP(AM406,Table!$A$11:$B$13,2,FALSE))</f>
        <v>86.761099999999999</v>
      </c>
      <c r="AH406" s="22">
        <f t="shared" si="714"/>
        <v>86</v>
      </c>
      <c r="AI406" s="18">
        <f t="shared" si="707"/>
        <v>0.14000000000000001</v>
      </c>
      <c r="AJ406" s="18">
        <f t="shared" si="708"/>
        <v>0.15</v>
      </c>
      <c r="AK406" t="str">
        <f t="shared" si="693"/>
        <v/>
      </c>
      <c r="AL406">
        <f t="shared" si="704"/>
        <v>23</v>
      </c>
      <c r="AM406" s="11" t="str">
        <f t="shared" si="694"/>
        <v>Stocks</v>
      </c>
      <c r="AN406" t="str">
        <f t="shared" si="700"/>
        <v>Buy</v>
      </c>
      <c r="AO406" s="13">
        <f t="shared" si="701"/>
        <v>-8.6E-3</v>
      </c>
      <c r="AP406" s="13">
        <f t="shared" si="702"/>
        <v>0</v>
      </c>
      <c r="AQ406" s="13">
        <f t="shared" si="703"/>
        <v>-7.4000000000000003E-3</v>
      </c>
      <c r="AR406" s="13">
        <f t="shared" si="695"/>
        <v>-8.6E-3</v>
      </c>
      <c r="AS406" s="6">
        <f t="shared" si="687"/>
        <v>298.89861767528396</v>
      </c>
      <c r="AT406" s="6">
        <f t="shared" si="688"/>
        <v>185.97425508967711</v>
      </c>
      <c r="AU406" s="6">
        <f t="shared" si="689"/>
        <v>511.06261717286992</v>
      </c>
      <c r="AV406" s="6">
        <f t="shared" si="690"/>
        <v>701.02487408417949</v>
      </c>
      <c r="AW406" s="58">
        <f t="shared" si="696"/>
        <v>2010</v>
      </c>
      <c r="AX406" s="58">
        <f>COUNTIF(AW$3:AW406,AW406)</f>
        <v>6</v>
      </c>
    </row>
    <row r="407" spans="1:50" x14ac:dyDescent="0.25">
      <c r="A407" s="5">
        <v>40496</v>
      </c>
      <c r="B407">
        <v>1199.21</v>
      </c>
      <c r="C407">
        <v>0.13</v>
      </c>
      <c r="D407" s="6">
        <v>20.61</v>
      </c>
      <c r="E407" s="18">
        <f t="shared" si="709"/>
        <v>20.02</v>
      </c>
      <c r="F407">
        <f t="shared" si="710"/>
        <v>-1</v>
      </c>
      <c r="G407" s="18">
        <f>ROUND(INDEX(Valuation!U:U,MATCH(A407,Valuation!A:A,0)),2)</f>
        <v>250.22</v>
      </c>
      <c r="H407">
        <f t="shared" si="681"/>
        <v>3</v>
      </c>
      <c r="I407" s="18">
        <f>INDEX(WeeklyIndicators!Y:Y,MATCH(A407,WeeklyIndicators!A:A,0))</f>
        <v>103.54</v>
      </c>
      <c r="J407">
        <f t="shared" si="706"/>
        <v>-1</v>
      </c>
      <c r="K407">
        <f>ROUND(INDEX(Economic!AF:AF,MATCH(EOMONTH($A407,-1),Economic!A:A,0)),2)</f>
        <v>76.64</v>
      </c>
      <c r="L407" s="11">
        <f t="shared" si="715"/>
        <v>-2</v>
      </c>
      <c r="M407">
        <f>ROUND(INDEX(Manufacturing!P:P,MATCH(EOMONTH($A407,-1),Manufacturing!A:A,0)),2)</f>
        <v>113.99</v>
      </c>
      <c r="N407">
        <f t="shared" si="711"/>
        <v>3</v>
      </c>
      <c r="O407">
        <f>ROUND(INDEX(Housing!AC:AC,MATCH(EOMONTH($A407,-1),Housing!B:B,0)),2)</f>
        <v>32.57</v>
      </c>
      <c r="P407">
        <f t="shared" si="712"/>
        <v>-3</v>
      </c>
      <c r="Q407">
        <f>ROUND(INDEX(Spending!AJ:AJ,MATCH(EOMONTH($A407,-1),Spending!B:B,0)),2)</f>
        <v>54.32</v>
      </c>
      <c r="R407">
        <f t="shared" si="716"/>
        <v>1</v>
      </c>
      <c r="S407">
        <f>ROUND(INDEX(Employment!V:V,MATCH(EOMONTH($A407,-1),Employment!A:A,0)),2)</f>
        <v>141.08000000000001</v>
      </c>
      <c r="T407" s="11">
        <f t="shared" si="713"/>
        <v>-1</v>
      </c>
      <c r="U407">
        <f t="shared" si="705"/>
        <v>19</v>
      </c>
      <c r="V407">
        <f t="shared" si="697"/>
        <v>62</v>
      </c>
      <c r="W407" s="13">
        <f t="shared" si="698"/>
        <v>-7.7000000000000002E-3</v>
      </c>
      <c r="X407" s="13">
        <f t="shared" si="699"/>
        <v>-2.3999999999999997E-2</v>
      </c>
      <c r="Y407">
        <f t="shared" si="691"/>
        <v>77.209999999999994</v>
      </c>
      <c r="Z407" s="13">
        <f t="shared" si="686"/>
        <v>-8.2000000000000007E-3</v>
      </c>
      <c r="AA407" s="13">
        <f t="shared" si="682"/>
        <v>-2.1500000000000005E-2</v>
      </c>
      <c r="AB407" s="6">
        <f t="shared" si="692"/>
        <v>95.122</v>
      </c>
      <c r="AC407">
        <f t="shared" si="684"/>
        <v>48</v>
      </c>
      <c r="AD407" s="11">
        <f t="shared" si="685"/>
        <v>2</v>
      </c>
      <c r="AE407">
        <f t="shared" si="683"/>
        <v>23</v>
      </c>
      <c r="AF407">
        <f>IF(AND(AE407&lt;15,OR(AC407&gt;=30,AA407&gt;0.15,X407&gt;=0.15)),2,VLOOKUP(AE407,Table!P:Q,2,FALSE))</f>
        <v>3</v>
      </c>
      <c r="AG407" s="22">
        <f>IF((AB407*0.98)-(D407*0.8)+((AF407-3)*3)+VLOOKUP(AM407,Table!$A$11:$B$13,2,FALSE)&lt;0,0,(AB407*0.98)-(D407*0.8)+((AF407-3)*3)+VLOOKUP(AM407,Table!$A$11:$B$13,2,FALSE))</f>
        <v>84.731560000000002</v>
      </c>
      <c r="AH407" s="22">
        <f t="shared" si="714"/>
        <v>86</v>
      </c>
      <c r="AI407" s="18">
        <f t="shared" si="707"/>
        <v>0.14000000000000001</v>
      </c>
      <c r="AJ407" s="18">
        <f t="shared" si="708"/>
        <v>0.15</v>
      </c>
      <c r="AK407" t="str">
        <f t="shared" si="693"/>
        <v/>
      </c>
      <c r="AL407">
        <f t="shared" si="704"/>
        <v>23</v>
      </c>
      <c r="AM407" s="11" t="str">
        <f t="shared" si="694"/>
        <v>Stocks</v>
      </c>
      <c r="AN407" t="str">
        <f t="shared" si="700"/>
        <v>Buy</v>
      </c>
      <c r="AO407" s="13">
        <f t="shared" si="701"/>
        <v>4.0000000000000002E-4</v>
      </c>
      <c r="AP407" s="13">
        <f t="shared" si="702"/>
        <v>0</v>
      </c>
      <c r="AQ407" s="13">
        <f t="shared" si="703"/>
        <v>2.9999999999999997E-4</v>
      </c>
      <c r="AR407" s="13">
        <f t="shared" si="695"/>
        <v>4.0000000000000002E-4</v>
      </c>
      <c r="AS407" s="6">
        <f t="shared" si="687"/>
        <v>298.7791060328708</v>
      </c>
      <c r="AT407" s="6">
        <f t="shared" si="688"/>
        <v>185.97425508967711</v>
      </c>
      <c r="AU407" s="6">
        <f t="shared" si="689"/>
        <v>510.90934436955905</v>
      </c>
      <c r="AV407" s="6">
        <f t="shared" si="690"/>
        <v>700.74457625367802</v>
      </c>
      <c r="AW407" s="58">
        <f t="shared" si="696"/>
        <v>2010</v>
      </c>
      <c r="AX407" s="58">
        <f>COUNTIF(AW$3:AW407,AW407)</f>
        <v>7</v>
      </c>
    </row>
    <row r="408" spans="1:50" x14ac:dyDescent="0.25">
      <c r="A408" s="5">
        <v>40489</v>
      </c>
      <c r="B408">
        <v>1225.8499999999999</v>
      </c>
      <c r="C408">
        <v>0.13</v>
      </c>
      <c r="D408" s="6">
        <v>18.260000000000002</v>
      </c>
      <c r="E408" s="18">
        <f t="shared" si="709"/>
        <v>19.41</v>
      </c>
      <c r="F408">
        <f t="shared" si="710"/>
        <v>-1</v>
      </c>
      <c r="G408" s="18">
        <f>ROUND(INDEX(Valuation!U:U,MATCH(A408,Valuation!A:A,0)),2)</f>
        <v>250.83</v>
      </c>
      <c r="H408">
        <f t="shared" si="681"/>
        <v>3</v>
      </c>
      <c r="I408" s="18">
        <f>INDEX(WeeklyIndicators!Y:Y,MATCH(A408,WeeklyIndicators!A:A,0))</f>
        <v>102.31</v>
      </c>
      <c r="J408">
        <f t="shared" si="706"/>
        <v>-1</v>
      </c>
      <c r="K408">
        <f>ROUND(INDEX(Economic!AF:AF,MATCH(EOMONTH($A408,-1),Economic!A:A,0)),2)</f>
        <v>76.64</v>
      </c>
      <c r="L408" s="11">
        <f t="shared" si="715"/>
        <v>-2</v>
      </c>
      <c r="M408">
        <f>ROUND(INDEX(Manufacturing!P:P,MATCH(EOMONTH($A408,-1),Manufacturing!A:A,0)),2)</f>
        <v>113.99</v>
      </c>
      <c r="N408">
        <f t="shared" si="711"/>
        <v>3</v>
      </c>
      <c r="O408">
        <f>ROUND(INDEX(Housing!AC:AC,MATCH(EOMONTH($A408,-1),Housing!B:B,0)),2)</f>
        <v>32.57</v>
      </c>
      <c r="P408">
        <f t="shared" si="712"/>
        <v>-3</v>
      </c>
      <c r="Q408">
        <f>ROUND(INDEX(Spending!AJ:AJ,MATCH(EOMONTH($A408,-1),Spending!B:B,0)),2)</f>
        <v>54.32</v>
      </c>
      <c r="R408">
        <f t="shared" si="716"/>
        <v>1</v>
      </c>
      <c r="S408">
        <f>ROUND(INDEX(Employment!V:V,MATCH(EOMONTH($A408,-1),Employment!A:A,0)),2)</f>
        <v>141.08000000000001</v>
      </c>
      <c r="T408" s="11">
        <f t="shared" si="713"/>
        <v>-1</v>
      </c>
      <c r="U408">
        <f t="shared" si="705"/>
        <v>19</v>
      </c>
      <c r="V408">
        <f t="shared" si="697"/>
        <v>61.88</v>
      </c>
      <c r="W408" s="13">
        <f t="shared" si="698"/>
        <v>-1.0200000000000001E-2</v>
      </c>
      <c r="X408" s="13">
        <f t="shared" si="699"/>
        <v>-2.9000000000000001E-2</v>
      </c>
      <c r="Y408">
        <f t="shared" si="691"/>
        <v>77.36</v>
      </c>
      <c r="Z408" s="13">
        <f t="shared" si="686"/>
        <v>-7.9000000000000008E-3</v>
      </c>
      <c r="AA408" s="13">
        <f t="shared" si="682"/>
        <v>-2.5600000000000001E-2</v>
      </c>
      <c r="AB408" s="6">
        <f t="shared" si="692"/>
        <v>95.003</v>
      </c>
      <c r="AC408">
        <f t="shared" si="684"/>
        <v>48</v>
      </c>
      <c r="AD408" s="11">
        <f t="shared" si="685"/>
        <v>2</v>
      </c>
      <c r="AE408">
        <f t="shared" si="683"/>
        <v>23</v>
      </c>
      <c r="AF408">
        <f>IF(AND(AE408&lt;15,OR(AC408&gt;=30,AA408&gt;0.15,X408&gt;=0.15)),2,VLOOKUP(AE408,Table!P:Q,2,FALSE))</f>
        <v>3</v>
      </c>
      <c r="AG408" s="22">
        <f>IF((AB408*0.98)-(D408*0.8)+((AF408-3)*3)+VLOOKUP(AM408,Table!$A$11:$B$13,2,FALSE)&lt;0,0,(AB408*0.98)-(D408*0.8)+((AF408-3)*3)+VLOOKUP(AM408,Table!$A$11:$B$13,2,FALSE))</f>
        <v>86.49494</v>
      </c>
      <c r="AH408" s="22">
        <f t="shared" si="714"/>
        <v>87</v>
      </c>
      <c r="AI408" s="18">
        <f t="shared" si="707"/>
        <v>0.15</v>
      </c>
      <c r="AJ408" s="18">
        <f t="shared" si="708"/>
        <v>0.15</v>
      </c>
      <c r="AK408" t="str">
        <f t="shared" si="693"/>
        <v/>
      </c>
      <c r="AL408">
        <f t="shared" si="704"/>
        <v>23</v>
      </c>
      <c r="AM408" s="11" t="str">
        <f t="shared" si="694"/>
        <v>Stocks</v>
      </c>
      <c r="AN408" t="str">
        <f t="shared" si="700"/>
        <v>Buy</v>
      </c>
      <c r="AO408" s="13">
        <f t="shared" si="701"/>
        <v>-2.1700000000000001E-2</v>
      </c>
      <c r="AP408" s="13">
        <f t="shared" si="702"/>
        <v>0</v>
      </c>
      <c r="AQ408" s="13">
        <f t="shared" si="703"/>
        <v>-1.89E-2</v>
      </c>
      <c r="AR408" s="13">
        <f t="shared" si="695"/>
        <v>-2.1700000000000001E-2</v>
      </c>
      <c r="AS408" s="6">
        <f t="shared" si="687"/>
        <v>305.40642546547156</v>
      </c>
      <c r="AT408" s="6">
        <f t="shared" si="688"/>
        <v>185.97425508967711</v>
      </c>
      <c r="AU408" s="6">
        <f t="shared" si="689"/>
        <v>520.75154863883301</v>
      </c>
      <c r="AV408" s="6">
        <f t="shared" si="690"/>
        <v>716.2880264271472</v>
      </c>
      <c r="AW408" s="58">
        <f t="shared" si="696"/>
        <v>2010</v>
      </c>
      <c r="AX408" s="58">
        <f>COUNTIF(AW$3:AW408,AW408)</f>
        <v>8</v>
      </c>
    </row>
    <row r="409" spans="1:50" x14ac:dyDescent="0.25">
      <c r="A409" s="5">
        <v>40482</v>
      </c>
      <c r="B409">
        <v>1183.26</v>
      </c>
      <c r="C409">
        <v>0.13</v>
      </c>
      <c r="D409" s="6">
        <v>21.2</v>
      </c>
      <c r="E409" s="18">
        <f t="shared" si="709"/>
        <v>19.670000000000002</v>
      </c>
      <c r="F409">
        <f t="shared" si="710"/>
        <v>-1</v>
      </c>
      <c r="G409" s="18">
        <f>ROUND(INDEX(Valuation!U:U,MATCH(A409,Valuation!A:A,0)),2)</f>
        <v>251.07</v>
      </c>
      <c r="H409">
        <f t="shared" si="681"/>
        <v>3</v>
      </c>
      <c r="I409" s="18">
        <f>INDEX(WeeklyIndicators!Y:Y,MATCH(A409,WeeklyIndicators!A:A,0))</f>
        <v>102.17</v>
      </c>
      <c r="J409">
        <f t="shared" si="706"/>
        <v>-1</v>
      </c>
      <c r="K409">
        <f>ROUND(INDEX(Economic!AF:AF,MATCH(EOMONTH($A409,-1),Economic!A:A,0)),2)</f>
        <v>83.17</v>
      </c>
      <c r="L409" s="11">
        <f t="shared" si="715"/>
        <v>-1</v>
      </c>
      <c r="M409">
        <f>ROUND(INDEX(Manufacturing!P:P,MATCH(EOMONTH($A409,-1),Manufacturing!A:A,0)),2)</f>
        <v>114.8</v>
      </c>
      <c r="N409">
        <f t="shared" si="711"/>
        <v>3</v>
      </c>
      <c r="O409">
        <f>ROUND(INDEX(Housing!AC:AC,MATCH(EOMONTH($A409,-1),Housing!B:B,0)),2)</f>
        <v>40.19</v>
      </c>
      <c r="P409">
        <f t="shared" si="712"/>
        <v>-3</v>
      </c>
      <c r="Q409">
        <f>ROUND(INDEX(Spending!AJ:AJ,MATCH(EOMONTH($A409,-1),Spending!B:B,0)),2)</f>
        <v>55.1</v>
      </c>
      <c r="R409">
        <f t="shared" si="716"/>
        <v>1</v>
      </c>
      <c r="S409">
        <f>ROUND(INDEX(Employment!V:V,MATCH(EOMONTH($A409,-1),Employment!A:A,0)),2)</f>
        <v>138.25</v>
      </c>
      <c r="T409" s="11">
        <f t="shared" si="713"/>
        <v>-2</v>
      </c>
      <c r="U409">
        <f t="shared" si="705"/>
        <v>19</v>
      </c>
      <c r="V409">
        <f t="shared" si="697"/>
        <v>63.24</v>
      </c>
      <c r="W409" s="13">
        <f t="shared" si="698"/>
        <v>-4.3E-3</v>
      </c>
      <c r="X409" s="13">
        <f t="shared" si="699"/>
        <v>-2.4799999999999996E-2</v>
      </c>
      <c r="Y409">
        <f t="shared" si="691"/>
        <v>78.66</v>
      </c>
      <c r="Z409" s="13">
        <f t="shared" si="686"/>
        <v>-3.8999999999999998E-3</v>
      </c>
      <c r="AA409" s="13">
        <f t="shared" si="682"/>
        <v>-2.4E-2</v>
      </c>
      <c r="AB409" s="6">
        <f t="shared" si="692"/>
        <v>96.516999999999996</v>
      </c>
      <c r="AC409">
        <f t="shared" si="684"/>
        <v>48</v>
      </c>
      <c r="AD409" s="11">
        <f t="shared" si="685"/>
        <v>2</v>
      </c>
      <c r="AE409">
        <f t="shared" si="683"/>
        <v>23</v>
      </c>
      <c r="AF409">
        <f>IF(AND(AE409&lt;15,OR(AC409&gt;=30,AA409&gt;0.15,X409&gt;=0.15)),2,VLOOKUP(AE409,Table!P:Q,2,FALSE))</f>
        <v>3</v>
      </c>
      <c r="AG409" s="22">
        <f>IF((AB409*0.98)-(D409*0.8)+((AF409-3)*3)+VLOOKUP(AM409,Table!$A$11:$B$13,2,FALSE)&lt;0,0,(AB409*0.98)-(D409*0.8)+((AF409-3)*3)+VLOOKUP(AM409,Table!$A$11:$B$13,2,FALSE))</f>
        <v>85.626659999999987</v>
      </c>
      <c r="AH409" s="22">
        <f t="shared" si="714"/>
        <v>88</v>
      </c>
      <c r="AI409" s="18">
        <f t="shared" si="707"/>
        <v>0.15</v>
      </c>
      <c r="AJ409" s="18">
        <f t="shared" si="708"/>
        <v>0.15</v>
      </c>
      <c r="AK409" t="str">
        <f t="shared" si="693"/>
        <v/>
      </c>
      <c r="AL409">
        <f t="shared" si="704"/>
        <v>23</v>
      </c>
      <c r="AM409" s="11" t="str">
        <f t="shared" si="694"/>
        <v>Stocks</v>
      </c>
      <c r="AN409" t="str">
        <f t="shared" si="700"/>
        <v>Buy</v>
      </c>
      <c r="AO409" s="13">
        <f t="shared" si="701"/>
        <v>3.5999999999999997E-2</v>
      </c>
      <c r="AP409" s="13">
        <f t="shared" si="702"/>
        <v>0</v>
      </c>
      <c r="AQ409" s="13">
        <f t="shared" si="703"/>
        <v>3.1699999999999999E-2</v>
      </c>
      <c r="AR409" s="13">
        <f t="shared" si="695"/>
        <v>3.5999999999999997E-2</v>
      </c>
      <c r="AS409" s="6">
        <f t="shared" si="687"/>
        <v>294.79384697439338</v>
      </c>
      <c r="AT409" s="6">
        <f t="shared" si="688"/>
        <v>185.97425508967711</v>
      </c>
      <c r="AU409" s="6">
        <f t="shared" si="689"/>
        <v>504.75094372281961</v>
      </c>
      <c r="AV409" s="6">
        <f t="shared" si="690"/>
        <v>691.39770890651278</v>
      </c>
      <c r="AW409" s="58">
        <f t="shared" si="696"/>
        <v>2010</v>
      </c>
      <c r="AX409" s="58">
        <f>COUNTIF(AW$3:AW409,AW409)</f>
        <v>9</v>
      </c>
    </row>
    <row r="410" spans="1:50" x14ac:dyDescent="0.25">
      <c r="A410" s="5">
        <v>40475</v>
      </c>
      <c r="B410">
        <v>1183.08</v>
      </c>
      <c r="C410">
        <v>0.14000000000000001</v>
      </c>
      <c r="D410" s="6">
        <v>18.78</v>
      </c>
      <c r="E410" s="18">
        <f t="shared" si="709"/>
        <v>19.510000000000002</v>
      </c>
      <c r="F410">
        <f t="shared" si="710"/>
        <v>-1</v>
      </c>
      <c r="G410" s="18">
        <f>ROUND(INDEX(Valuation!U:U,MATCH(A410,Valuation!A:A,0)),2)</f>
        <v>253.02</v>
      </c>
      <c r="H410">
        <f t="shared" si="681"/>
        <v>3</v>
      </c>
      <c r="I410" s="18">
        <f>INDEX(WeeklyIndicators!Y:Y,MATCH(A410,WeeklyIndicators!A:A,0))</f>
        <v>104.2</v>
      </c>
      <c r="J410">
        <f t="shared" si="706"/>
        <v>-1</v>
      </c>
      <c r="K410">
        <f>ROUND(INDEX(Economic!AF:AF,MATCH(EOMONTH($A410,-1),Economic!A:A,0)),2)</f>
        <v>83.17</v>
      </c>
      <c r="L410" s="11">
        <f t="shared" si="715"/>
        <v>-1</v>
      </c>
      <c r="M410">
        <f>ROUND(INDEX(Manufacturing!P:P,MATCH(EOMONTH($A410,-1),Manufacturing!A:A,0)),2)</f>
        <v>114.8</v>
      </c>
      <c r="N410">
        <f t="shared" si="711"/>
        <v>3</v>
      </c>
      <c r="O410">
        <f>ROUND(INDEX(Housing!AC:AC,MATCH(EOMONTH($A410,-1),Housing!B:B,0)),2)</f>
        <v>40.19</v>
      </c>
      <c r="P410">
        <f t="shared" si="712"/>
        <v>-3</v>
      </c>
      <c r="Q410">
        <f>ROUND(INDEX(Spending!AJ:AJ,MATCH(EOMONTH($A410,-1),Spending!B:B,0)),2)</f>
        <v>55.1</v>
      </c>
      <c r="R410">
        <f t="shared" si="716"/>
        <v>1</v>
      </c>
      <c r="S410">
        <f>ROUND(INDEX(Employment!V:V,MATCH(EOMONTH($A410,-1),Employment!A:A,0)),2)</f>
        <v>138.25</v>
      </c>
      <c r="T410" s="11">
        <f t="shared" si="713"/>
        <v>-2</v>
      </c>
      <c r="U410">
        <f t="shared" si="705"/>
        <v>19</v>
      </c>
      <c r="V410">
        <f t="shared" si="697"/>
        <v>63.45</v>
      </c>
      <c r="W410" s="13">
        <f t="shared" si="698"/>
        <v>-1.8E-3</v>
      </c>
      <c r="X410" s="13">
        <f t="shared" si="699"/>
        <v>-2.3799999999999998E-2</v>
      </c>
      <c r="Y410">
        <f t="shared" si="691"/>
        <v>79.14</v>
      </c>
      <c r="Z410" s="13">
        <f t="shared" si="686"/>
        <v>-1.5E-3</v>
      </c>
      <c r="AA410" s="13">
        <f t="shared" si="682"/>
        <v>-2.1399999999999999E-2</v>
      </c>
      <c r="AB410" s="6">
        <f t="shared" si="692"/>
        <v>97.382000000000005</v>
      </c>
      <c r="AC410">
        <f t="shared" si="684"/>
        <v>49</v>
      </c>
      <c r="AD410" s="11">
        <f t="shared" si="685"/>
        <v>2</v>
      </c>
      <c r="AE410">
        <f t="shared" si="683"/>
        <v>23</v>
      </c>
      <c r="AF410">
        <f>IF(AND(AE410&lt;15,OR(AC410&gt;=30,AA410&gt;0.15,X410&gt;=0.15)),2,VLOOKUP(AE410,Table!P:Q,2,FALSE))</f>
        <v>3</v>
      </c>
      <c r="AG410" s="22">
        <f>IF((AB410*0.98)-(D410*0.8)+((AF410-3)*3)+VLOOKUP(AM410,Table!$A$11:$B$13,2,FALSE)&lt;0,0,(AB410*0.98)-(D410*0.8)+((AF410-3)*3)+VLOOKUP(AM410,Table!$A$11:$B$13,2,FALSE))</f>
        <v>88.410359999999997</v>
      </c>
      <c r="AH410" s="22">
        <f t="shared" si="714"/>
        <v>89</v>
      </c>
      <c r="AI410" s="18">
        <f t="shared" si="707"/>
        <v>0.15</v>
      </c>
      <c r="AJ410" s="18">
        <f t="shared" si="708"/>
        <v>0.14000000000000001</v>
      </c>
      <c r="AK410" t="str">
        <f t="shared" si="693"/>
        <v/>
      </c>
      <c r="AL410">
        <f t="shared" si="704"/>
        <v>23</v>
      </c>
      <c r="AM410" s="11" t="str">
        <f t="shared" si="694"/>
        <v>Stocks</v>
      </c>
      <c r="AN410" t="str">
        <f t="shared" si="700"/>
        <v>Buy</v>
      </c>
      <c r="AO410" s="13">
        <f t="shared" si="701"/>
        <v>2.0000000000000001E-4</v>
      </c>
      <c r="AP410" s="13">
        <f t="shared" si="702"/>
        <v>0</v>
      </c>
      <c r="AQ410" s="13">
        <f t="shared" si="703"/>
        <v>2.0000000000000001E-4</v>
      </c>
      <c r="AR410" s="13">
        <f t="shared" si="695"/>
        <v>2.0000000000000001E-4</v>
      </c>
      <c r="AS410" s="6">
        <f t="shared" si="687"/>
        <v>294.73489999439448</v>
      </c>
      <c r="AT410" s="6">
        <f t="shared" si="688"/>
        <v>185.97425508967711</v>
      </c>
      <c r="AU410" s="6">
        <f t="shared" si="689"/>
        <v>504.65001372007561</v>
      </c>
      <c r="AV410" s="6">
        <f t="shared" si="690"/>
        <v>691.25945701510977</v>
      </c>
      <c r="AW410" s="58">
        <f t="shared" si="696"/>
        <v>2010</v>
      </c>
      <c r="AX410" s="58">
        <f>COUNTIF(AW$3:AW410,AW410)</f>
        <v>10</v>
      </c>
    </row>
    <row r="411" spans="1:50" x14ac:dyDescent="0.25">
      <c r="A411" s="5">
        <v>40468</v>
      </c>
      <c r="B411">
        <v>1176.19</v>
      </c>
      <c r="C411">
        <v>0.14000000000000001</v>
      </c>
      <c r="D411" s="6">
        <v>19.03</v>
      </c>
      <c r="E411" s="18">
        <f t="shared" si="709"/>
        <v>20.75</v>
      </c>
      <c r="F411">
        <f t="shared" si="710"/>
        <v>-1</v>
      </c>
      <c r="G411" s="18">
        <f>ROUND(INDEX(Valuation!U:U,MATCH(A411,Valuation!A:A,0)),2)</f>
        <v>254.39</v>
      </c>
      <c r="H411">
        <f t="shared" si="681"/>
        <v>3</v>
      </c>
      <c r="I411" s="18">
        <f>INDEX(WeeklyIndicators!Y:Y,MATCH(A411,WeeklyIndicators!A:A,0))</f>
        <v>107.82</v>
      </c>
      <c r="J411">
        <f t="shared" si="706"/>
        <v>-1</v>
      </c>
      <c r="K411">
        <f>ROUND(INDEX(Economic!AF:AF,MATCH(EOMONTH($A411,-1),Economic!A:A,0)),2)</f>
        <v>83.17</v>
      </c>
      <c r="L411" s="11">
        <f t="shared" si="715"/>
        <v>-1</v>
      </c>
      <c r="M411">
        <f>ROUND(INDEX(Manufacturing!P:P,MATCH(EOMONTH($A411,-1),Manufacturing!A:A,0)),2)</f>
        <v>114.8</v>
      </c>
      <c r="N411">
        <f t="shared" si="711"/>
        <v>3</v>
      </c>
      <c r="O411">
        <f>ROUND(INDEX(Housing!AC:AC,MATCH(EOMONTH($A411,-1),Housing!B:B,0)),2)</f>
        <v>40.19</v>
      </c>
      <c r="P411">
        <f t="shared" si="712"/>
        <v>-3</v>
      </c>
      <c r="Q411">
        <f>ROUND(INDEX(Spending!AJ:AJ,MATCH(EOMONTH($A411,-1),Spending!B:B,0)),2)</f>
        <v>55.1</v>
      </c>
      <c r="R411">
        <f t="shared" si="716"/>
        <v>1</v>
      </c>
      <c r="S411">
        <f>ROUND(INDEX(Employment!V:V,MATCH(EOMONTH($A411,-1),Employment!A:A,0)),2)</f>
        <v>138.25</v>
      </c>
      <c r="T411" s="11">
        <f t="shared" si="713"/>
        <v>-2</v>
      </c>
      <c r="U411">
        <f t="shared" si="705"/>
        <v>19</v>
      </c>
      <c r="V411">
        <f t="shared" si="697"/>
        <v>63.82</v>
      </c>
      <c r="W411" s="13">
        <f t="shared" si="698"/>
        <v>-1.2699999999999999E-2</v>
      </c>
      <c r="X411" s="13">
        <f t="shared" si="699"/>
        <v>-1.2000000000000002E-2</v>
      </c>
      <c r="Y411">
        <f t="shared" si="691"/>
        <v>79.239999999999995</v>
      </c>
      <c r="Z411" s="13">
        <f t="shared" si="686"/>
        <v>-1.23E-2</v>
      </c>
      <c r="AA411" s="13">
        <f t="shared" si="682"/>
        <v>-8.4999999999999971E-3</v>
      </c>
      <c r="AB411" s="6">
        <f t="shared" si="692"/>
        <v>98.619</v>
      </c>
      <c r="AC411">
        <f t="shared" si="684"/>
        <v>49</v>
      </c>
      <c r="AD411" s="11">
        <f t="shared" si="685"/>
        <v>2</v>
      </c>
      <c r="AE411">
        <f t="shared" si="683"/>
        <v>23</v>
      </c>
      <c r="AF411">
        <f>IF(AND(AE411&lt;15,OR(AC411&gt;=30,AA411&gt;0.15,X411&gt;=0.15)),2,VLOOKUP(AE411,Table!P:Q,2,FALSE))</f>
        <v>3</v>
      </c>
      <c r="AG411" s="22">
        <f>IF((AB411*0.98)-(D411*0.8)+((AF411-3)*3)+VLOOKUP(AM411,Table!$A$11:$B$13,2,FALSE)&lt;0,0,(AB411*0.98)-(D411*0.8)+((AF411-3)*3)+VLOOKUP(AM411,Table!$A$11:$B$13,2,FALSE))</f>
        <v>89.422619999999995</v>
      </c>
      <c r="AH411" s="22">
        <f t="shared" si="714"/>
        <v>89</v>
      </c>
      <c r="AI411" s="18">
        <f t="shared" si="707"/>
        <v>0.15</v>
      </c>
      <c r="AJ411" s="18">
        <f t="shared" si="708"/>
        <v>0.14000000000000001</v>
      </c>
      <c r="AK411" t="str">
        <f t="shared" si="693"/>
        <v/>
      </c>
      <c r="AL411">
        <f t="shared" si="704"/>
        <v>23.25</v>
      </c>
      <c r="AM411" s="11" t="str">
        <f t="shared" si="694"/>
        <v>Stocks</v>
      </c>
      <c r="AN411" t="str">
        <f t="shared" si="700"/>
        <v>Buy</v>
      </c>
      <c r="AO411" s="13">
        <f t="shared" si="701"/>
        <v>5.8999999999999999E-3</v>
      </c>
      <c r="AP411" s="13">
        <f t="shared" si="702"/>
        <v>0</v>
      </c>
      <c r="AQ411" s="13">
        <f t="shared" si="703"/>
        <v>5.3E-3</v>
      </c>
      <c r="AR411" s="13">
        <f t="shared" si="695"/>
        <v>5.8999999999999999E-3</v>
      </c>
      <c r="AS411" s="6">
        <f t="shared" si="687"/>
        <v>293.00616362898347</v>
      </c>
      <c r="AT411" s="6">
        <f t="shared" si="688"/>
        <v>185.97425508967711</v>
      </c>
      <c r="AU411" s="6">
        <f t="shared" si="689"/>
        <v>501.98946953155831</v>
      </c>
      <c r="AV411" s="6">
        <f t="shared" si="690"/>
        <v>687.2049478229543</v>
      </c>
      <c r="AW411" s="58">
        <f t="shared" si="696"/>
        <v>2010</v>
      </c>
      <c r="AX411" s="58">
        <f>COUNTIF(AW$3:AW411,AW411)</f>
        <v>11</v>
      </c>
    </row>
    <row r="412" spans="1:50" x14ac:dyDescent="0.25">
      <c r="A412" s="5">
        <v>40461</v>
      </c>
      <c r="B412">
        <v>1165.1500000000001</v>
      </c>
      <c r="C412">
        <v>0.13</v>
      </c>
      <c r="D412" s="6">
        <v>20.71</v>
      </c>
      <c r="E412" s="18">
        <f t="shared" si="709"/>
        <v>21.64</v>
      </c>
      <c r="F412">
        <f t="shared" si="710"/>
        <v>-1</v>
      </c>
      <c r="G412" s="18">
        <f>ROUND(INDEX(Valuation!U:U,MATCH(A412,Valuation!A:A,0)),2)</f>
        <v>258.29000000000002</v>
      </c>
      <c r="H412">
        <f t="shared" ref="H412:H475" si="717">IF(G412&gt;200,3,IF(AND(G412&gt;160,G412&lt;=200),2,IF(AND(G412&gt;120,G412&lt;=160),1,IF(G412&lt;25,-3,IF(AND(G412&lt;50,G412&gt;=25),-2,IF(AND(G412&lt;90,G412&gt;=50),-1,0))))))</f>
        <v>3</v>
      </c>
      <c r="I412" s="18">
        <f>INDEX(WeeklyIndicators!Y:Y,MATCH(A412,WeeklyIndicators!A:A,0))</f>
        <v>110.15</v>
      </c>
      <c r="J412">
        <f t="shared" si="706"/>
        <v>-1</v>
      </c>
      <c r="K412">
        <f>ROUND(INDEX(Economic!AF:AF,MATCH(EOMONTH($A412,-1),Economic!A:A,0)),2)</f>
        <v>83.17</v>
      </c>
      <c r="L412" s="11">
        <f t="shared" si="715"/>
        <v>-1</v>
      </c>
      <c r="M412">
        <f>ROUND(INDEX(Manufacturing!P:P,MATCH(EOMONTH($A412,-1),Manufacturing!A:A,0)),2)</f>
        <v>114.8</v>
      </c>
      <c r="N412">
        <f t="shared" si="711"/>
        <v>3</v>
      </c>
      <c r="O412">
        <f>ROUND(INDEX(Housing!AC:AC,MATCH(EOMONTH($A412,-1),Housing!B:B,0)),2)</f>
        <v>40.19</v>
      </c>
      <c r="P412">
        <f t="shared" si="712"/>
        <v>-3</v>
      </c>
      <c r="Q412">
        <f>ROUND(INDEX(Spending!AJ:AJ,MATCH(EOMONTH($A412,-1),Spending!B:B,0)),2)</f>
        <v>55.1</v>
      </c>
      <c r="R412">
        <f t="shared" si="716"/>
        <v>1</v>
      </c>
      <c r="S412">
        <f>ROUND(INDEX(Employment!V:V,MATCH(EOMONTH($A412,-1),Employment!A:A,0)),2)</f>
        <v>138.25</v>
      </c>
      <c r="T412" s="11">
        <f t="shared" si="713"/>
        <v>-2</v>
      </c>
      <c r="U412">
        <f t="shared" si="705"/>
        <v>19</v>
      </c>
      <c r="V412">
        <f t="shared" si="697"/>
        <v>64.069999999999993</v>
      </c>
      <c r="W412" s="13">
        <f t="shared" si="698"/>
        <v>-6.0000000000000001E-3</v>
      </c>
      <c r="X412" s="13">
        <f t="shared" si="699"/>
        <v>-8.2999999999999984E-3</v>
      </c>
      <c r="Y412">
        <f t="shared" si="691"/>
        <v>79.599999999999994</v>
      </c>
      <c r="Z412" s="13">
        <f t="shared" si="686"/>
        <v>-6.3E-3</v>
      </c>
      <c r="AA412" s="13">
        <f t="shared" si="682"/>
        <v>2.2000000000000006E-3</v>
      </c>
      <c r="AB412" s="6">
        <f t="shared" si="692"/>
        <v>100.129</v>
      </c>
      <c r="AC412">
        <f t="shared" si="684"/>
        <v>50</v>
      </c>
      <c r="AD412" s="11">
        <f t="shared" si="685"/>
        <v>2</v>
      </c>
      <c r="AE412">
        <f t="shared" si="683"/>
        <v>23</v>
      </c>
      <c r="AF412">
        <f>IF(AND(AE412&lt;15,OR(AC412&gt;=30,AA412&gt;0.15,X412&gt;=0.15)),2,VLOOKUP(AE412,Table!P:Q,2,FALSE))</f>
        <v>3</v>
      </c>
      <c r="AG412" s="22">
        <f>IF((AB412*0.98)-(D412*0.8)+((AF412-3)*3)+VLOOKUP(AM412,Table!$A$11:$B$13,2,FALSE)&lt;0,0,(AB412*0.98)-(D412*0.8)+((AF412-3)*3)+VLOOKUP(AM412,Table!$A$11:$B$13,2,FALSE))</f>
        <v>89.558419999999998</v>
      </c>
      <c r="AH412" s="22">
        <f t="shared" si="714"/>
        <v>89</v>
      </c>
      <c r="AI412" s="18">
        <f t="shared" si="707"/>
        <v>0.15</v>
      </c>
      <c r="AJ412" s="18">
        <f t="shared" si="708"/>
        <v>0.14000000000000001</v>
      </c>
      <c r="AK412" t="str">
        <f t="shared" si="693"/>
        <v/>
      </c>
      <c r="AL412">
        <f t="shared" si="704"/>
        <v>23.25</v>
      </c>
      <c r="AM412" s="11" t="str">
        <f t="shared" si="694"/>
        <v>Stocks</v>
      </c>
      <c r="AN412" t="str">
        <f t="shared" si="700"/>
        <v>Buy</v>
      </c>
      <c r="AO412" s="13">
        <f t="shared" si="701"/>
        <v>9.4999999999999998E-3</v>
      </c>
      <c r="AP412" s="13">
        <f t="shared" si="702"/>
        <v>0</v>
      </c>
      <c r="AQ412" s="13">
        <f t="shared" si="703"/>
        <v>8.5000000000000006E-3</v>
      </c>
      <c r="AR412" s="13">
        <f t="shared" si="695"/>
        <v>9.4999999999999998E-3</v>
      </c>
      <c r="AS412" s="6">
        <f t="shared" si="687"/>
        <v>290.24880002871072</v>
      </c>
      <c r="AT412" s="6">
        <f t="shared" si="688"/>
        <v>185.97425508967711</v>
      </c>
      <c r="AU412" s="6">
        <f t="shared" si="689"/>
        <v>497.75852209376137</v>
      </c>
      <c r="AV412" s="6">
        <f t="shared" si="690"/>
        <v>680.73793741748807</v>
      </c>
      <c r="AW412" s="58">
        <f t="shared" si="696"/>
        <v>2010</v>
      </c>
      <c r="AX412" s="58">
        <f>COUNTIF(AW$3:AW412,AW412)</f>
        <v>12</v>
      </c>
    </row>
    <row r="413" spans="1:50" x14ac:dyDescent="0.25">
      <c r="A413" s="5">
        <v>40454</v>
      </c>
      <c r="B413">
        <v>1146.24</v>
      </c>
      <c r="C413">
        <v>0.16</v>
      </c>
      <c r="D413" s="6">
        <v>22.5</v>
      </c>
      <c r="E413" s="18">
        <f t="shared" si="709"/>
        <v>22.07</v>
      </c>
      <c r="F413">
        <f t="shared" si="710"/>
        <v>-1</v>
      </c>
      <c r="G413" s="18">
        <f>ROUND(INDEX(Valuation!U:U,MATCH(A413,Valuation!A:A,0)),2)</f>
        <v>261.01</v>
      </c>
      <c r="H413">
        <f t="shared" si="717"/>
        <v>3</v>
      </c>
      <c r="I413" s="18">
        <f>INDEX(WeeklyIndicators!Y:Y,MATCH(A413,WeeklyIndicators!A:A,0))</f>
        <v>107.59</v>
      </c>
      <c r="J413">
        <f t="shared" si="706"/>
        <v>-1</v>
      </c>
      <c r="K413">
        <f>ROUND(INDEX(Economic!AF:AF,MATCH(EOMONTH($A413,-1),Economic!A:A,0)),2)</f>
        <v>83.17</v>
      </c>
      <c r="L413" s="11">
        <f t="shared" si="715"/>
        <v>-1</v>
      </c>
      <c r="M413">
        <f>ROUND(INDEX(Manufacturing!P:P,MATCH(EOMONTH($A413,-1),Manufacturing!A:A,0)),2)</f>
        <v>114.8</v>
      </c>
      <c r="N413">
        <f t="shared" si="711"/>
        <v>3</v>
      </c>
      <c r="O413">
        <f>ROUND(INDEX(Housing!AC:AC,MATCH(EOMONTH($A413,-1),Housing!B:B,0)),2)</f>
        <v>40.19</v>
      </c>
      <c r="P413">
        <f t="shared" si="712"/>
        <v>-3</v>
      </c>
      <c r="Q413">
        <f>ROUND(INDEX(Spending!AJ:AJ,MATCH(EOMONTH($A413,-1),Spending!B:B,0)),2)</f>
        <v>55.1</v>
      </c>
      <c r="R413">
        <f t="shared" si="716"/>
        <v>1</v>
      </c>
      <c r="S413">
        <f>ROUND(INDEX(Employment!V:V,MATCH(EOMONTH($A413,-1),Employment!A:A,0)),2)</f>
        <v>138.25</v>
      </c>
      <c r="T413" s="11">
        <f t="shared" si="713"/>
        <v>-2</v>
      </c>
      <c r="U413">
        <f t="shared" si="705"/>
        <v>19</v>
      </c>
      <c r="V413">
        <f t="shared" si="697"/>
        <v>63.8</v>
      </c>
      <c r="W413" s="13">
        <f t="shared" si="698"/>
        <v>-3.3E-3</v>
      </c>
      <c r="X413" s="13">
        <f t="shared" si="699"/>
        <v>-1.6899999999999998E-2</v>
      </c>
      <c r="Y413">
        <f t="shared" si="691"/>
        <v>79.489999999999995</v>
      </c>
      <c r="Z413" s="13">
        <f t="shared" si="686"/>
        <v>-1.2999999999999999E-3</v>
      </c>
      <c r="AA413" s="13">
        <f t="shared" si="682"/>
        <v>-1.4999999999999996E-3</v>
      </c>
      <c r="AB413" s="6">
        <f t="shared" si="692"/>
        <v>99.950999999999993</v>
      </c>
      <c r="AC413">
        <f t="shared" si="684"/>
        <v>50</v>
      </c>
      <c r="AD413" s="11">
        <f t="shared" si="685"/>
        <v>2</v>
      </c>
      <c r="AE413">
        <f t="shared" si="683"/>
        <v>23</v>
      </c>
      <c r="AF413">
        <f>IF(AND(AE413&lt;15,OR(AC413&gt;=30,AA413&gt;0.15,X413&gt;=0.15)),2,VLOOKUP(AE413,Table!P:Q,2,FALSE))</f>
        <v>3</v>
      </c>
      <c r="AG413" s="22">
        <f>IF((AB413*0.98)-(D413*0.8)+((AF413-3)*3)+VLOOKUP(AM413,Table!$A$11:$B$13,2,FALSE)&lt;0,0,(AB413*0.98)-(D413*0.8)+((AF413-3)*3)+VLOOKUP(AM413,Table!$A$11:$B$13,2,FALSE))</f>
        <v>87.951979999999992</v>
      </c>
      <c r="AH413" s="22">
        <f t="shared" si="714"/>
        <v>89</v>
      </c>
      <c r="AI413" s="18">
        <f t="shared" si="707"/>
        <v>0.15</v>
      </c>
      <c r="AJ413" s="18">
        <f t="shared" si="708"/>
        <v>0.14000000000000001</v>
      </c>
      <c r="AK413" t="str">
        <f t="shared" si="693"/>
        <v/>
      </c>
      <c r="AL413">
        <f t="shared" si="704"/>
        <v>23.25</v>
      </c>
      <c r="AM413" s="11" t="str">
        <f t="shared" si="694"/>
        <v>Stocks</v>
      </c>
      <c r="AN413" t="str">
        <f t="shared" si="700"/>
        <v>Buy</v>
      </c>
      <c r="AO413" s="13">
        <f t="shared" si="701"/>
        <v>1.6500000000000001E-2</v>
      </c>
      <c r="AP413" s="13">
        <f t="shared" si="702"/>
        <v>0</v>
      </c>
      <c r="AQ413" s="13">
        <f t="shared" si="703"/>
        <v>1.47E-2</v>
      </c>
      <c r="AR413" s="13">
        <f t="shared" si="695"/>
        <v>1.6500000000000001E-2</v>
      </c>
      <c r="AS413" s="6">
        <f t="shared" si="687"/>
        <v>285.53743239420635</v>
      </c>
      <c r="AT413" s="6">
        <f t="shared" si="688"/>
        <v>185.97425508967711</v>
      </c>
      <c r="AU413" s="6">
        <f t="shared" si="689"/>
        <v>490.54747422268787</v>
      </c>
      <c r="AV413" s="6">
        <f t="shared" si="690"/>
        <v>669.68808403097694</v>
      </c>
      <c r="AW413" s="58">
        <f t="shared" si="696"/>
        <v>2010</v>
      </c>
      <c r="AX413" s="58">
        <f>COUNTIF(AW$3:AW413,AW413)</f>
        <v>13</v>
      </c>
    </row>
    <row r="414" spans="1:50" x14ac:dyDescent="0.25">
      <c r="A414" s="5">
        <v>40447</v>
      </c>
      <c r="B414">
        <v>1148.67</v>
      </c>
      <c r="C414">
        <v>0.16</v>
      </c>
      <c r="D414" s="6">
        <v>21.71</v>
      </c>
      <c r="E414" s="18">
        <f t="shared" si="709"/>
        <v>21.9</v>
      </c>
      <c r="F414">
        <f t="shared" si="710"/>
        <v>-1</v>
      </c>
      <c r="G414" s="18">
        <f>ROUND(INDEX(Valuation!U:U,MATCH(A414,Valuation!A:A,0)),2)</f>
        <v>262.52</v>
      </c>
      <c r="H414">
        <f t="shared" si="717"/>
        <v>3</v>
      </c>
      <c r="I414" s="18">
        <f>INDEX(WeeklyIndicators!Y:Y,MATCH(A414,WeeklyIndicators!A:A,0))</f>
        <v>100.4</v>
      </c>
      <c r="J414">
        <f t="shared" si="706"/>
        <v>-1</v>
      </c>
      <c r="K414">
        <f>ROUND(INDEX(Economic!AF:AF,MATCH(EOMONTH($A414,-1),Economic!A:A,0)),2)</f>
        <v>96.44</v>
      </c>
      <c r="L414" s="11">
        <f t="shared" si="715"/>
        <v>-1</v>
      </c>
      <c r="M414">
        <f>ROUND(INDEX(Manufacturing!P:P,MATCH(EOMONTH($A414,-1),Manufacturing!A:A,0)),2)</f>
        <v>115.62</v>
      </c>
      <c r="N414">
        <f t="shared" si="711"/>
        <v>3</v>
      </c>
      <c r="O414">
        <f>ROUND(INDEX(Housing!AC:AC,MATCH(EOMONTH($A414,-1),Housing!B:B,0)),2)</f>
        <v>49.58</v>
      </c>
      <c r="P414">
        <f t="shared" si="712"/>
        <v>-3</v>
      </c>
      <c r="Q414">
        <f>ROUND(INDEX(Spending!AJ:AJ,MATCH(EOMONTH($A414,-1),Spending!B:B,0)),2)</f>
        <v>55.33</v>
      </c>
      <c r="R414">
        <f t="shared" si="716"/>
        <v>1</v>
      </c>
      <c r="S414">
        <f>ROUND(INDEX(Employment!V:V,MATCH(EOMONTH($A414,-1),Employment!A:A,0)),2)</f>
        <v>145.33000000000001</v>
      </c>
      <c r="T414" s="11">
        <f t="shared" si="713"/>
        <v>-1</v>
      </c>
      <c r="U414">
        <f t="shared" si="705"/>
        <v>20</v>
      </c>
      <c r="V414">
        <f t="shared" si="697"/>
        <v>66.290000000000006</v>
      </c>
      <c r="W414" s="13">
        <f t="shared" si="698"/>
        <v>0.01</v>
      </c>
      <c r="X414" s="13">
        <f t="shared" si="699"/>
        <v>-2.9499999999999998E-2</v>
      </c>
      <c r="Y414">
        <f t="shared" si="691"/>
        <v>82.21</v>
      </c>
      <c r="Z414" s="13">
        <f t="shared" si="686"/>
        <v>1.14E-2</v>
      </c>
      <c r="AA414" s="13">
        <f t="shared" si="682"/>
        <v>-1.32E-2</v>
      </c>
      <c r="AB414" s="6">
        <f t="shared" si="692"/>
        <v>101.99199999999999</v>
      </c>
      <c r="AC414">
        <f t="shared" si="684"/>
        <v>51</v>
      </c>
      <c r="AD414" s="11">
        <f t="shared" si="685"/>
        <v>2</v>
      </c>
      <c r="AE414">
        <f t="shared" si="683"/>
        <v>24</v>
      </c>
      <c r="AF414">
        <f>IF(AND(AE414&lt;15,OR(AC414&gt;=30,AA414&gt;0.15,X414&gt;=0.15)),2,VLOOKUP(AE414,Table!P:Q,2,FALSE))</f>
        <v>3</v>
      </c>
      <c r="AG414" s="22">
        <f>IF((AB414*0.98)-(D414*0.8)+((AF414-3)*3)+VLOOKUP(AM414,Table!$A$11:$B$13,2,FALSE)&lt;0,0,(AB414*0.98)-(D414*0.8)+((AF414-3)*3)+VLOOKUP(AM414,Table!$A$11:$B$13,2,FALSE))</f>
        <v>90.584159999999997</v>
      </c>
      <c r="AH414" s="22">
        <f t="shared" si="714"/>
        <v>88</v>
      </c>
      <c r="AI414" s="18">
        <f t="shared" si="707"/>
        <v>0.15</v>
      </c>
      <c r="AJ414" s="18">
        <f t="shared" si="708"/>
        <v>0.14000000000000001</v>
      </c>
      <c r="AK414" t="str">
        <f t="shared" si="693"/>
        <v/>
      </c>
      <c r="AL414">
        <f t="shared" si="704"/>
        <v>23.25</v>
      </c>
      <c r="AM414" s="11" t="str">
        <f t="shared" si="694"/>
        <v>Stocks</v>
      </c>
      <c r="AN414" t="str">
        <f t="shared" si="700"/>
        <v>Buy</v>
      </c>
      <c r="AO414" s="13">
        <f t="shared" si="701"/>
        <v>-2.0999999999999999E-3</v>
      </c>
      <c r="AP414" s="13">
        <f t="shared" si="702"/>
        <v>0</v>
      </c>
      <c r="AQ414" s="13">
        <f t="shared" si="703"/>
        <v>-1.8E-3</v>
      </c>
      <c r="AR414" s="13">
        <f t="shared" si="695"/>
        <v>-2.0999999999999999E-3</v>
      </c>
      <c r="AS414" s="6">
        <f t="shared" si="687"/>
        <v>286.13832287223806</v>
      </c>
      <c r="AT414" s="6">
        <f t="shared" si="688"/>
        <v>185.97425508967711</v>
      </c>
      <c r="AU414" s="6">
        <f t="shared" si="689"/>
        <v>491.43205191613691</v>
      </c>
      <c r="AV414" s="6">
        <f t="shared" si="690"/>
        <v>671.09738854692546</v>
      </c>
      <c r="AW414" s="58">
        <f t="shared" si="696"/>
        <v>2010</v>
      </c>
      <c r="AX414" s="58">
        <f>COUNTIF(AW$3:AW414,AW414)</f>
        <v>14</v>
      </c>
    </row>
    <row r="415" spans="1:50" x14ac:dyDescent="0.25">
      <c r="A415" s="5">
        <v>40440</v>
      </c>
      <c r="B415">
        <v>1125.5899999999999</v>
      </c>
      <c r="C415">
        <v>0.15</v>
      </c>
      <c r="D415" s="6">
        <v>22.01</v>
      </c>
      <c r="E415" s="18">
        <f t="shared" si="709"/>
        <v>21.77</v>
      </c>
      <c r="F415">
        <f t="shared" si="710"/>
        <v>-1</v>
      </c>
      <c r="G415" s="18">
        <f>ROUND(INDEX(Valuation!U:U,MATCH(A415,Valuation!A:A,0)),2)</f>
        <v>261.8</v>
      </c>
      <c r="H415">
        <f t="shared" si="717"/>
        <v>3</v>
      </c>
      <c r="I415" s="18">
        <f>INDEX(WeeklyIndicators!Y:Y,MATCH(A415,WeeklyIndicators!A:A,0))</f>
        <v>90.28</v>
      </c>
      <c r="J415">
        <f t="shared" si="706"/>
        <v>-2</v>
      </c>
      <c r="K415">
        <f>ROUND(INDEX(Economic!AF:AF,MATCH(EOMONTH($A415,-1),Economic!A:A,0)),2)</f>
        <v>96.44</v>
      </c>
      <c r="L415" s="11">
        <f t="shared" si="715"/>
        <v>-1</v>
      </c>
      <c r="M415">
        <f>ROUND(INDEX(Manufacturing!P:P,MATCH(EOMONTH($A415,-1),Manufacturing!A:A,0)),2)</f>
        <v>115.62</v>
      </c>
      <c r="N415">
        <f t="shared" si="711"/>
        <v>3</v>
      </c>
      <c r="O415">
        <f>ROUND(INDEX(Housing!AC:AC,MATCH(EOMONTH($A415,-1),Housing!B:B,0)),2)</f>
        <v>49.58</v>
      </c>
      <c r="P415">
        <f t="shared" si="712"/>
        <v>-3</v>
      </c>
      <c r="Q415">
        <f>ROUND(INDEX(Spending!AJ:AJ,MATCH(EOMONTH($A415,-1),Spending!B:B,0)),2)</f>
        <v>55.33</v>
      </c>
      <c r="R415">
        <f t="shared" si="716"/>
        <v>1</v>
      </c>
      <c r="S415">
        <f>ROUND(INDEX(Employment!V:V,MATCH(EOMONTH($A415,-1),Employment!A:A,0)),2)</f>
        <v>145.33000000000001</v>
      </c>
      <c r="T415" s="11">
        <f t="shared" si="713"/>
        <v>-1</v>
      </c>
      <c r="U415">
        <f t="shared" si="705"/>
        <v>19</v>
      </c>
      <c r="V415">
        <f t="shared" si="697"/>
        <v>65.239999999999995</v>
      </c>
      <c r="W415" s="13">
        <f t="shared" si="698"/>
        <v>-8.9999999999999993E-3</v>
      </c>
      <c r="X415" s="13">
        <f t="shared" si="699"/>
        <v>-4.2799999999999998E-2</v>
      </c>
      <c r="Y415">
        <f t="shared" si="691"/>
        <v>81.13</v>
      </c>
      <c r="Z415" s="13">
        <f t="shared" si="686"/>
        <v>-1.6000000000000001E-3</v>
      </c>
      <c r="AA415" s="13">
        <f t="shared" si="682"/>
        <v>-3.04E-2</v>
      </c>
      <c r="AB415" s="6">
        <f t="shared" si="692"/>
        <v>99.52000000000001</v>
      </c>
      <c r="AC415">
        <f t="shared" si="684"/>
        <v>50</v>
      </c>
      <c r="AD415" s="11">
        <f t="shared" si="685"/>
        <v>2</v>
      </c>
      <c r="AE415">
        <f t="shared" si="683"/>
        <v>23</v>
      </c>
      <c r="AF415">
        <f>IF(AND(AE415&lt;15,OR(AC415&gt;=30,AA415&gt;0.15,X415&gt;=0.15)),2,VLOOKUP(AE415,Table!P:Q,2,FALSE))</f>
        <v>3</v>
      </c>
      <c r="AG415" s="22">
        <f>IF((AB415*0.98)-(D415*0.8)+((AF415-3)*3)+VLOOKUP(AM415,Table!$A$11:$B$13,2,FALSE)&lt;0,0,(AB415*0.98)-(D415*0.8)+((AF415-3)*3)+VLOOKUP(AM415,Table!$A$11:$B$13,2,FALSE))</f>
        <v>87.921599999999998</v>
      </c>
      <c r="AH415" s="22">
        <f t="shared" si="714"/>
        <v>88</v>
      </c>
      <c r="AI415" s="18">
        <f t="shared" si="707"/>
        <v>0.15</v>
      </c>
      <c r="AJ415" s="18">
        <f t="shared" si="708"/>
        <v>0.13</v>
      </c>
      <c r="AK415" t="str">
        <f t="shared" si="693"/>
        <v/>
      </c>
      <c r="AL415">
        <f t="shared" si="704"/>
        <v>23.5</v>
      </c>
      <c r="AM415" s="11" t="str">
        <f t="shared" si="694"/>
        <v>Stocks</v>
      </c>
      <c r="AN415" t="str">
        <f t="shared" si="700"/>
        <v>Buy</v>
      </c>
      <c r="AO415" s="13">
        <f t="shared" si="701"/>
        <v>2.0500000000000001E-2</v>
      </c>
      <c r="AP415" s="13">
        <f t="shared" si="702"/>
        <v>0</v>
      </c>
      <c r="AQ415" s="13">
        <f t="shared" si="703"/>
        <v>1.7999999999999999E-2</v>
      </c>
      <c r="AR415" s="13">
        <f t="shared" si="695"/>
        <v>2.0500000000000001E-2</v>
      </c>
      <c r="AS415" s="6">
        <f t="shared" si="687"/>
        <v>280.39032128587758</v>
      </c>
      <c r="AT415" s="6">
        <f t="shared" si="688"/>
        <v>185.97425508967711</v>
      </c>
      <c r="AU415" s="6">
        <f t="shared" si="689"/>
        <v>482.74268361113644</v>
      </c>
      <c r="AV415" s="6">
        <f t="shared" si="690"/>
        <v>657.61625531300876</v>
      </c>
      <c r="AW415" s="58">
        <f t="shared" si="696"/>
        <v>2010</v>
      </c>
      <c r="AX415" s="58">
        <f>COUNTIF(AW$3:AW415,AW415)</f>
        <v>15</v>
      </c>
    </row>
    <row r="416" spans="1:50" x14ac:dyDescent="0.25">
      <c r="A416" s="5">
        <v>40433</v>
      </c>
      <c r="B416">
        <v>1109.55</v>
      </c>
      <c r="C416">
        <v>0.14000000000000001</v>
      </c>
      <c r="D416" s="6">
        <v>21.99</v>
      </c>
      <c r="E416" s="18">
        <f t="shared" si="709"/>
        <v>22.58</v>
      </c>
      <c r="F416">
        <f t="shared" si="710"/>
        <v>-1</v>
      </c>
      <c r="G416" s="18">
        <f>ROUND(INDEX(Valuation!U:U,MATCH(A416,Valuation!A:A,0)),2)</f>
        <v>259.62</v>
      </c>
      <c r="H416">
        <f t="shared" si="717"/>
        <v>3</v>
      </c>
      <c r="I416" s="18">
        <f>INDEX(WeeklyIndicators!Y:Y,MATCH(A416,WeeklyIndicators!A:A,0))</f>
        <v>82.68</v>
      </c>
      <c r="J416">
        <f t="shared" si="706"/>
        <v>-2</v>
      </c>
      <c r="K416">
        <f>ROUND(INDEX(Economic!AF:AF,MATCH(EOMONTH($A416,-1),Economic!A:A,0)),2)</f>
        <v>96.44</v>
      </c>
      <c r="L416" s="11">
        <f t="shared" si="715"/>
        <v>-1</v>
      </c>
      <c r="M416">
        <f>ROUND(INDEX(Manufacturing!P:P,MATCH(EOMONTH($A416,-1),Manufacturing!A:A,0)),2)</f>
        <v>115.62</v>
      </c>
      <c r="N416">
        <f t="shared" si="711"/>
        <v>3</v>
      </c>
      <c r="O416">
        <f>ROUND(INDEX(Housing!AC:AC,MATCH(EOMONTH($A416,-1),Housing!B:B,0)),2)</f>
        <v>49.58</v>
      </c>
      <c r="P416">
        <f t="shared" si="712"/>
        <v>-3</v>
      </c>
      <c r="Q416">
        <f>ROUND(INDEX(Spending!AJ:AJ,MATCH(EOMONTH($A416,-1),Spending!B:B,0)),2)</f>
        <v>55.33</v>
      </c>
      <c r="R416">
        <f t="shared" si="716"/>
        <v>1</v>
      </c>
      <c r="S416">
        <f>ROUND(INDEX(Employment!V:V,MATCH(EOMONTH($A416,-1),Employment!A:A,0)),2)</f>
        <v>145.33000000000001</v>
      </c>
      <c r="T416" s="11">
        <f t="shared" si="713"/>
        <v>-1</v>
      </c>
      <c r="U416">
        <f t="shared" si="705"/>
        <v>19</v>
      </c>
      <c r="V416">
        <f t="shared" si="697"/>
        <v>64.45</v>
      </c>
      <c r="W416" s="13">
        <f t="shared" si="698"/>
        <v>-1.46E-2</v>
      </c>
      <c r="X416" s="13">
        <f t="shared" si="699"/>
        <v>-3.5499999999999997E-2</v>
      </c>
      <c r="Y416">
        <f t="shared" si="691"/>
        <v>79.81</v>
      </c>
      <c r="Z416" s="13">
        <f t="shared" si="686"/>
        <v>-0.01</v>
      </c>
      <c r="AA416" s="13">
        <f t="shared" si="682"/>
        <v>-2.7400000000000001E-2</v>
      </c>
      <c r="AB416" s="6">
        <f t="shared" si="692"/>
        <v>98.231999999999999</v>
      </c>
      <c r="AC416">
        <f t="shared" si="684"/>
        <v>49</v>
      </c>
      <c r="AD416" s="11">
        <f t="shared" si="685"/>
        <v>2</v>
      </c>
      <c r="AE416">
        <f t="shared" si="683"/>
        <v>23</v>
      </c>
      <c r="AF416">
        <f>IF(AND(AE416&lt;15,OR(AC416&gt;=30,AA416&gt;0.15,X416&gt;=0.15)),2,VLOOKUP(AE416,Table!P:Q,2,FALSE))</f>
        <v>3</v>
      </c>
      <c r="AG416" s="22">
        <f>IF((AB416*0.98)-(D416*0.8)+((AF416-3)*3)+VLOOKUP(AM416,Table!$A$11:$B$13,2,FALSE)&lt;0,0,(AB416*0.98)-(D416*0.8)+((AF416-3)*3)+VLOOKUP(AM416,Table!$A$11:$B$13,2,FALSE))</f>
        <v>86.675359999999998</v>
      </c>
      <c r="AH416" s="22">
        <f t="shared" si="714"/>
        <v>88</v>
      </c>
      <c r="AI416" s="18">
        <f t="shared" si="707"/>
        <v>0.15</v>
      </c>
      <c r="AJ416" s="18">
        <f t="shared" si="708"/>
        <v>0.13</v>
      </c>
      <c r="AK416" t="str">
        <f t="shared" si="693"/>
        <v/>
      </c>
      <c r="AL416">
        <f t="shared" si="704"/>
        <v>24.25</v>
      </c>
      <c r="AM416" s="11" t="str">
        <f t="shared" si="694"/>
        <v>Stocks</v>
      </c>
      <c r="AN416" t="str">
        <f t="shared" si="700"/>
        <v>Buy</v>
      </c>
      <c r="AO416" s="13">
        <f t="shared" si="701"/>
        <v>1.4500000000000001E-2</v>
      </c>
      <c r="AP416" s="13">
        <f t="shared" si="702"/>
        <v>0</v>
      </c>
      <c r="AQ416" s="13">
        <f t="shared" si="703"/>
        <v>1.2800000000000001E-2</v>
      </c>
      <c r="AR416" s="13">
        <f t="shared" si="695"/>
        <v>1.4500000000000001E-2</v>
      </c>
      <c r="AS416" s="6">
        <f t="shared" si="687"/>
        <v>276.38277110485717</v>
      </c>
      <c r="AT416" s="6">
        <f t="shared" si="688"/>
        <v>185.97425508967711</v>
      </c>
      <c r="AU416" s="6">
        <f t="shared" si="689"/>
        <v>476.64167023216476</v>
      </c>
      <c r="AV416" s="6">
        <f t="shared" si="690"/>
        <v>648.21710725777109</v>
      </c>
      <c r="AW416" s="58">
        <f t="shared" si="696"/>
        <v>2010</v>
      </c>
      <c r="AX416" s="58">
        <f>COUNTIF(AW$3:AW416,AW416)</f>
        <v>16</v>
      </c>
    </row>
    <row r="417" spans="1:50" x14ac:dyDescent="0.25">
      <c r="A417" s="5">
        <v>40426</v>
      </c>
      <c r="B417">
        <v>1104.51</v>
      </c>
      <c r="C417">
        <v>0.14000000000000001</v>
      </c>
      <c r="D417" s="6">
        <v>21.31</v>
      </c>
      <c r="E417" s="18">
        <f t="shared" si="709"/>
        <v>23.75</v>
      </c>
      <c r="F417">
        <f t="shared" si="710"/>
        <v>-1</v>
      </c>
      <c r="G417" s="18">
        <f>ROUND(INDEX(Valuation!U:U,MATCH(A417,Valuation!A:A,0)),2)</f>
        <v>261.11</v>
      </c>
      <c r="H417">
        <f t="shared" si="717"/>
        <v>3</v>
      </c>
      <c r="I417" s="18">
        <f>INDEX(WeeklyIndicators!Y:Y,MATCH(A417,WeeklyIndicators!A:A,0))</f>
        <v>81.58</v>
      </c>
      <c r="J417">
        <f t="shared" si="706"/>
        <v>-2</v>
      </c>
      <c r="K417">
        <f>ROUND(INDEX(Economic!AF:AF,MATCH(EOMONTH($A417,-1),Economic!A:A,0)),2)</f>
        <v>96.44</v>
      </c>
      <c r="L417" s="11">
        <f t="shared" si="715"/>
        <v>-1</v>
      </c>
      <c r="M417">
        <f>ROUND(INDEX(Manufacturing!P:P,MATCH(EOMONTH($A417,-1),Manufacturing!A:A,0)),2)</f>
        <v>115.62</v>
      </c>
      <c r="N417">
        <f t="shared" si="711"/>
        <v>3</v>
      </c>
      <c r="O417">
        <f>ROUND(INDEX(Housing!AC:AC,MATCH(EOMONTH($A417,-1),Housing!B:B,0)),2)</f>
        <v>49.58</v>
      </c>
      <c r="P417">
        <f t="shared" si="712"/>
        <v>-3</v>
      </c>
      <c r="Q417">
        <f>ROUND(INDEX(Spending!AJ:AJ,MATCH(EOMONTH($A417,-1),Spending!B:B,0)),2)</f>
        <v>55.33</v>
      </c>
      <c r="R417">
        <f t="shared" si="716"/>
        <v>1</v>
      </c>
      <c r="S417">
        <f>ROUND(INDEX(Employment!V:V,MATCH(EOMONTH($A417,-1),Employment!A:A,0)),2)</f>
        <v>145.33000000000001</v>
      </c>
      <c r="T417" s="11">
        <f t="shared" si="713"/>
        <v>-1</v>
      </c>
      <c r="U417">
        <f t="shared" si="705"/>
        <v>19</v>
      </c>
      <c r="V417">
        <f t="shared" si="697"/>
        <v>64.34</v>
      </c>
      <c r="W417" s="13">
        <f t="shared" si="698"/>
        <v>-1.5900000000000001E-2</v>
      </c>
      <c r="X417" s="13">
        <f t="shared" si="699"/>
        <v>-2.3200000000000002E-2</v>
      </c>
      <c r="Y417">
        <f t="shared" si="691"/>
        <v>79.459999999999994</v>
      </c>
      <c r="Z417" s="13">
        <f t="shared" si="686"/>
        <v>-1.2999999999999999E-2</v>
      </c>
      <c r="AA417" s="13">
        <f t="shared" si="682"/>
        <v>-1.2399999999999998E-2</v>
      </c>
      <c r="AB417" s="6">
        <f t="shared" si="692"/>
        <v>99.15100000000001</v>
      </c>
      <c r="AC417">
        <f t="shared" si="684"/>
        <v>50</v>
      </c>
      <c r="AD417" s="11">
        <f t="shared" si="685"/>
        <v>2</v>
      </c>
      <c r="AE417">
        <f t="shared" si="683"/>
        <v>23</v>
      </c>
      <c r="AF417">
        <f>IF(AND(AE417&lt;15,OR(AC417&gt;=30,AA417&gt;0.15,X417&gt;=0.15)),2,VLOOKUP(AE417,Table!P:Q,2,FALSE))</f>
        <v>3</v>
      </c>
      <c r="AG417" s="22">
        <f>IF((AB417*0.98)-(D417*0.8)+((AF417-3)*3)+VLOOKUP(AM417,Table!$A$11:$B$13,2,FALSE)&lt;0,0,(AB417*0.98)-(D417*0.8)+((AF417-3)*3)+VLOOKUP(AM417,Table!$A$11:$B$13,2,FALSE))</f>
        <v>88.119980000000012</v>
      </c>
      <c r="AH417" s="22">
        <f t="shared" si="714"/>
        <v>90</v>
      </c>
      <c r="AI417" s="18">
        <f t="shared" si="707"/>
        <v>0.14000000000000001</v>
      </c>
      <c r="AJ417" s="18">
        <f t="shared" si="708"/>
        <v>0.13</v>
      </c>
      <c r="AK417" t="str">
        <f t="shared" si="693"/>
        <v/>
      </c>
      <c r="AL417">
        <f t="shared" si="704"/>
        <v>25</v>
      </c>
      <c r="AM417" s="11" t="str">
        <f t="shared" si="694"/>
        <v>Stocks</v>
      </c>
      <c r="AN417" t="str">
        <f t="shared" si="700"/>
        <v>Buy</v>
      </c>
      <c r="AO417" s="13">
        <f t="shared" si="701"/>
        <v>4.5999999999999999E-3</v>
      </c>
      <c r="AP417" s="13">
        <f t="shared" si="702"/>
        <v>0</v>
      </c>
      <c r="AQ417" s="13">
        <f t="shared" si="703"/>
        <v>4.1000000000000003E-3</v>
      </c>
      <c r="AR417" s="13">
        <f t="shared" si="695"/>
        <v>4.5999999999999999E-3</v>
      </c>
      <c r="AS417" s="6">
        <f t="shared" si="687"/>
        <v>275.11723183840053</v>
      </c>
      <c r="AT417" s="6">
        <f t="shared" si="688"/>
        <v>185.97425508967711</v>
      </c>
      <c r="AU417" s="6">
        <f t="shared" si="689"/>
        <v>474.69541901420649</v>
      </c>
      <c r="AV417" s="6">
        <f t="shared" si="690"/>
        <v>645.24896203242201</v>
      </c>
      <c r="AW417" s="58">
        <f t="shared" si="696"/>
        <v>2010</v>
      </c>
      <c r="AX417" s="58">
        <f>COUNTIF(AW$3:AW417,AW417)</f>
        <v>17</v>
      </c>
    </row>
    <row r="418" spans="1:50" x14ac:dyDescent="0.25">
      <c r="A418" s="5">
        <v>40419</v>
      </c>
      <c r="B418">
        <v>1064.5899999999999</v>
      </c>
      <c r="C418">
        <v>0.16</v>
      </c>
      <c r="D418" s="6">
        <v>24.45</v>
      </c>
      <c r="E418" s="18">
        <f t="shared" si="709"/>
        <v>25.39</v>
      </c>
      <c r="F418">
        <f t="shared" si="710"/>
        <v>-2</v>
      </c>
      <c r="G418" s="18">
        <f>ROUND(INDEX(Valuation!U:U,MATCH(A418,Valuation!A:A,0)),2)</f>
        <v>260.86</v>
      </c>
      <c r="H418">
        <f t="shared" si="717"/>
        <v>3</v>
      </c>
      <c r="I418" s="18">
        <f>INDEX(WeeklyIndicators!Y:Y,MATCH(A418,WeeklyIndicators!A:A,0))</f>
        <v>84.89</v>
      </c>
      <c r="J418">
        <f t="shared" si="706"/>
        <v>-2</v>
      </c>
      <c r="K418">
        <f>ROUND(INDEX(Economic!AF:AF,MATCH(EOMONTH($A418,-1),Economic!A:A,0)),2)</f>
        <v>104.87</v>
      </c>
      <c r="L418" s="11">
        <f t="shared" si="715"/>
        <v>0</v>
      </c>
      <c r="M418">
        <f>ROUND(INDEX(Manufacturing!P:P,MATCH(EOMONTH($A418,-1),Manufacturing!A:A,0)),2)</f>
        <v>111.01</v>
      </c>
      <c r="N418">
        <f t="shared" si="711"/>
        <v>3</v>
      </c>
      <c r="O418">
        <f>ROUND(INDEX(Housing!AC:AC,MATCH(EOMONTH($A418,-1),Housing!B:B,0)),2)</f>
        <v>59.65</v>
      </c>
      <c r="P418">
        <f t="shared" si="712"/>
        <v>-2</v>
      </c>
      <c r="Q418">
        <f>ROUND(INDEX(Spending!AJ:AJ,MATCH(EOMONTH($A418,-1),Spending!B:B,0)),2)</f>
        <v>54.9</v>
      </c>
      <c r="R418">
        <f t="shared" si="716"/>
        <v>1</v>
      </c>
      <c r="S418">
        <f>ROUND(INDEX(Employment!V:V,MATCH(EOMONTH($A418,-1),Employment!A:A,0)),2)</f>
        <v>158.65</v>
      </c>
      <c r="T418" s="11">
        <f t="shared" si="713"/>
        <v>0</v>
      </c>
      <c r="U418">
        <f t="shared" si="705"/>
        <v>21</v>
      </c>
      <c r="V418">
        <f t="shared" si="697"/>
        <v>67</v>
      </c>
      <c r="W418" s="13">
        <f t="shared" si="698"/>
        <v>-3.3E-3</v>
      </c>
      <c r="X418" s="13">
        <f t="shared" si="699"/>
        <v>-9.6000000000000009E-3</v>
      </c>
      <c r="Y418">
        <f t="shared" si="691"/>
        <v>81.510000000000005</v>
      </c>
      <c r="Z418" s="13">
        <f t="shared" si="686"/>
        <v>-5.7999999999999996E-3</v>
      </c>
      <c r="AA418" s="13">
        <f t="shared" si="682"/>
        <v>1.1800000000000001E-2</v>
      </c>
      <c r="AB418" s="6">
        <f t="shared" si="692"/>
        <v>103.026</v>
      </c>
      <c r="AC418">
        <f t="shared" si="684"/>
        <v>52</v>
      </c>
      <c r="AD418" s="11">
        <f t="shared" si="685"/>
        <v>2</v>
      </c>
      <c r="AE418">
        <f t="shared" si="683"/>
        <v>25</v>
      </c>
      <c r="AF418">
        <f>IF(AND(AE418&lt;15,OR(AC418&gt;=30,AA418&gt;0.15,X418&gt;=0.15)),2,VLOOKUP(AE418,Table!P:Q,2,FALSE))</f>
        <v>3</v>
      </c>
      <c r="AG418" s="22">
        <f>IF((AB418*0.98)-(D418*0.8)+((AF418-3)*3)+VLOOKUP(AM418,Table!$A$11:$B$13,2,FALSE)&lt;0,0,(AB418*0.98)-(D418*0.8)+((AF418-3)*3)+VLOOKUP(AM418,Table!$A$11:$B$13,2,FALSE))</f>
        <v>89.405479999999997</v>
      </c>
      <c r="AH418" s="22">
        <f t="shared" si="714"/>
        <v>92</v>
      </c>
      <c r="AI418" s="18">
        <f t="shared" si="707"/>
        <v>0.15</v>
      </c>
      <c r="AJ418" s="18">
        <f t="shared" si="708"/>
        <v>0.13</v>
      </c>
      <c r="AK418" t="str">
        <f t="shared" si="693"/>
        <v/>
      </c>
      <c r="AL418">
        <f t="shared" si="704"/>
        <v>25.75</v>
      </c>
      <c r="AM418" s="11" t="str">
        <f t="shared" si="694"/>
        <v>Stocks</v>
      </c>
      <c r="AN418" t="str">
        <f t="shared" si="700"/>
        <v>Buy</v>
      </c>
      <c r="AO418" s="13">
        <f t="shared" si="701"/>
        <v>3.7499999999999999E-2</v>
      </c>
      <c r="AP418" s="13">
        <f t="shared" si="702"/>
        <v>0</v>
      </c>
      <c r="AQ418" s="13">
        <f t="shared" si="703"/>
        <v>3.4500000000000003E-2</v>
      </c>
      <c r="AR418" s="13">
        <f t="shared" si="695"/>
        <v>3.7499999999999999E-2</v>
      </c>
      <c r="AS418" s="6">
        <f t="shared" si="687"/>
        <v>265.17323550689207</v>
      </c>
      <c r="AT418" s="6">
        <f t="shared" si="688"/>
        <v>185.97425508967711</v>
      </c>
      <c r="AU418" s="6">
        <f t="shared" si="689"/>
        <v>458.86459063722231</v>
      </c>
      <c r="AV418" s="6">
        <f t="shared" si="690"/>
        <v>621.9267103926959</v>
      </c>
      <c r="AW418" s="58">
        <f t="shared" si="696"/>
        <v>2010</v>
      </c>
      <c r="AX418" s="58">
        <f>COUNTIF(AW$3:AW418,AW418)</f>
        <v>18</v>
      </c>
    </row>
    <row r="419" spans="1:50" x14ac:dyDescent="0.25">
      <c r="A419" s="5">
        <v>40412</v>
      </c>
      <c r="B419">
        <v>1071.69</v>
      </c>
      <c r="C419">
        <v>0.16</v>
      </c>
      <c r="D419" s="6">
        <v>25.49</v>
      </c>
      <c r="E419" s="18">
        <f t="shared" si="709"/>
        <v>24.49</v>
      </c>
      <c r="F419">
        <f t="shared" si="710"/>
        <v>-1</v>
      </c>
      <c r="G419" s="18">
        <f>ROUND(INDEX(Valuation!U:U,MATCH(A419,Valuation!A:A,0)),2)</f>
        <v>261.47000000000003</v>
      </c>
      <c r="H419">
        <f t="shared" si="717"/>
        <v>3</v>
      </c>
      <c r="I419" s="18">
        <f>INDEX(WeeklyIndicators!Y:Y,MATCH(A419,WeeklyIndicators!A:A,0))</f>
        <v>88.34</v>
      </c>
      <c r="J419">
        <f t="shared" si="706"/>
        <v>-2</v>
      </c>
      <c r="K419">
        <f>ROUND(INDEX(Economic!AF:AF,MATCH(EOMONTH($A419,-1),Economic!A:A,0)),2)</f>
        <v>104.87</v>
      </c>
      <c r="L419" s="11">
        <f t="shared" si="715"/>
        <v>0</v>
      </c>
      <c r="M419">
        <f>ROUND(INDEX(Manufacturing!P:P,MATCH(EOMONTH($A419,-1),Manufacturing!A:A,0)),2)</f>
        <v>111.01</v>
      </c>
      <c r="N419">
        <f t="shared" si="711"/>
        <v>3</v>
      </c>
      <c r="O419">
        <f>ROUND(INDEX(Housing!AC:AC,MATCH(EOMONTH($A419,-1),Housing!B:B,0)),2)</f>
        <v>59.65</v>
      </c>
      <c r="P419">
        <f t="shared" si="712"/>
        <v>-2</v>
      </c>
      <c r="Q419">
        <f>ROUND(INDEX(Spending!AJ:AJ,MATCH(EOMONTH($A419,-1),Spending!B:B,0)),2)</f>
        <v>54.9</v>
      </c>
      <c r="R419">
        <f t="shared" si="716"/>
        <v>1</v>
      </c>
      <c r="S419">
        <f>ROUND(INDEX(Employment!V:V,MATCH(EOMONTH($A419,-1),Employment!A:A,0)),2)</f>
        <v>158.65</v>
      </c>
      <c r="T419" s="11">
        <f t="shared" si="713"/>
        <v>0</v>
      </c>
      <c r="U419">
        <f t="shared" si="705"/>
        <v>22</v>
      </c>
      <c r="V419">
        <f t="shared" si="697"/>
        <v>67.36</v>
      </c>
      <c r="W419" s="13">
        <f t="shared" si="698"/>
        <v>-1.6999999999999999E-3</v>
      </c>
      <c r="X419" s="13">
        <f t="shared" si="699"/>
        <v>-8.3999999999999995E-3</v>
      </c>
      <c r="Y419">
        <f t="shared" si="691"/>
        <v>82.25</v>
      </c>
      <c r="Z419" s="13">
        <f t="shared" si="686"/>
        <v>1.4E-3</v>
      </c>
      <c r="AA419" s="13">
        <f t="shared" si="682"/>
        <v>2.7900000000000001E-2</v>
      </c>
      <c r="AB419" s="6">
        <f t="shared" si="692"/>
        <v>104.92700000000001</v>
      </c>
      <c r="AC419">
        <f t="shared" si="684"/>
        <v>52</v>
      </c>
      <c r="AD419" s="11">
        <f t="shared" si="685"/>
        <v>2</v>
      </c>
      <c r="AE419">
        <f t="shared" si="683"/>
        <v>26</v>
      </c>
      <c r="AF419">
        <f>IF(AND(AE419&lt;15,OR(AC419&gt;=30,AA419&gt;0.15,X419&gt;=0.15)),2,VLOOKUP(AE419,Table!P:Q,2,FALSE))</f>
        <v>4</v>
      </c>
      <c r="AG419" s="22">
        <f>IF((AB419*0.98)-(D419*0.8)+((AF419-3)*3)+VLOOKUP(AM419,Table!$A$11:$B$13,2,FALSE)&lt;0,0,(AB419*0.98)-(D419*0.8)+((AF419-3)*3)+VLOOKUP(AM419,Table!$A$11:$B$13,2,FALSE))</f>
        <v>93.436460000000011</v>
      </c>
      <c r="AH419" s="22">
        <f t="shared" si="714"/>
        <v>95</v>
      </c>
      <c r="AI419" s="18">
        <f t="shared" si="707"/>
        <v>0.15</v>
      </c>
      <c r="AJ419" s="18">
        <f t="shared" si="708"/>
        <v>0.12</v>
      </c>
      <c r="AK419" t="str">
        <f t="shared" si="693"/>
        <v/>
      </c>
      <c r="AL419">
        <f t="shared" si="704"/>
        <v>26</v>
      </c>
      <c r="AM419" s="11" t="str">
        <f t="shared" si="694"/>
        <v>Stocks</v>
      </c>
      <c r="AN419" t="str">
        <f t="shared" si="700"/>
        <v>Buy</v>
      </c>
      <c r="AO419" s="13">
        <f t="shared" si="701"/>
        <v>-6.6E-3</v>
      </c>
      <c r="AP419" s="13">
        <f t="shared" si="702"/>
        <v>0</v>
      </c>
      <c r="AQ419" s="13">
        <f t="shared" si="703"/>
        <v>-6.3E-3</v>
      </c>
      <c r="AR419" s="13">
        <f t="shared" si="695"/>
        <v>-6.6E-3</v>
      </c>
      <c r="AS419" s="6">
        <f t="shared" si="687"/>
        <v>266.93500655012292</v>
      </c>
      <c r="AT419" s="6">
        <f t="shared" si="688"/>
        <v>185.97425508967711</v>
      </c>
      <c r="AU419" s="6">
        <f t="shared" si="689"/>
        <v>461.77376535898389</v>
      </c>
      <c r="AV419" s="6">
        <f t="shared" si="690"/>
        <v>626.05869779816385</v>
      </c>
      <c r="AW419" s="58">
        <f t="shared" si="696"/>
        <v>2010</v>
      </c>
      <c r="AX419" s="58">
        <f>COUNTIF(AW$3:AW419,AW419)</f>
        <v>19</v>
      </c>
    </row>
    <row r="420" spans="1:50" x14ac:dyDescent="0.25">
      <c r="A420" s="5">
        <v>40405</v>
      </c>
      <c r="B420">
        <v>1079.25</v>
      </c>
      <c r="C420">
        <v>0.15</v>
      </c>
      <c r="D420" s="6">
        <v>26.24</v>
      </c>
      <c r="E420" s="18">
        <f t="shared" si="709"/>
        <v>23.83</v>
      </c>
      <c r="F420">
        <f t="shared" si="710"/>
        <v>-1</v>
      </c>
      <c r="G420" s="18">
        <f>ROUND(INDEX(Valuation!U:U,MATCH(A420,Valuation!A:A,0)),2)</f>
        <v>261.23</v>
      </c>
      <c r="H420">
        <f t="shared" si="717"/>
        <v>3</v>
      </c>
      <c r="I420" s="18">
        <f>INDEX(WeeklyIndicators!Y:Y,MATCH(A420,WeeklyIndicators!A:A,0))</f>
        <v>90.28</v>
      </c>
      <c r="J420">
        <f t="shared" si="706"/>
        <v>-2</v>
      </c>
      <c r="K420">
        <f>ROUND(INDEX(Economic!AF:AF,MATCH(EOMONTH($A420,-1),Economic!A:A,0)),2)</f>
        <v>104.87</v>
      </c>
      <c r="L420" s="11">
        <f t="shared" si="715"/>
        <v>0</v>
      </c>
      <c r="M420">
        <f>ROUND(INDEX(Manufacturing!P:P,MATCH(EOMONTH($A420,-1),Manufacturing!A:A,0)),2)</f>
        <v>111.01</v>
      </c>
      <c r="N420">
        <f t="shared" si="711"/>
        <v>3</v>
      </c>
      <c r="O420">
        <f>ROUND(INDEX(Housing!AC:AC,MATCH(EOMONTH($A420,-1),Housing!B:B,0)),2)</f>
        <v>59.65</v>
      </c>
      <c r="P420">
        <f t="shared" si="712"/>
        <v>-2</v>
      </c>
      <c r="Q420">
        <f>ROUND(INDEX(Spending!AJ:AJ,MATCH(EOMONTH($A420,-1),Spending!B:B,0)),2)</f>
        <v>54.9</v>
      </c>
      <c r="R420">
        <f t="shared" si="716"/>
        <v>1</v>
      </c>
      <c r="S420">
        <f>ROUND(INDEX(Employment!V:V,MATCH(EOMONTH($A420,-1),Employment!A:A,0)),2)</f>
        <v>158.65</v>
      </c>
      <c r="T420" s="11">
        <f t="shared" si="713"/>
        <v>0</v>
      </c>
      <c r="U420">
        <f t="shared" si="705"/>
        <v>22</v>
      </c>
      <c r="V420">
        <f t="shared" si="697"/>
        <v>67.56</v>
      </c>
      <c r="W420" s="13">
        <f t="shared" si="698"/>
        <v>-2.3E-3</v>
      </c>
      <c r="X420" s="13">
        <f t="shared" si="699"/>
        <v>-5.9999999999999993E-3</v>
      </c>
      <c r="Y420">
        <f t="shared" si="691"/>
        <v>82.66</v>
      </c>
      <c r="Z420" s="13">
        <f t="shared" si="686"/>
        <v>5.0000000000000001E-3</v>
      </c>
      <c r="AA420" s="13">
        <f t="shared" si="682"/>
        <v>3.8099999999999995E-2</v>
      </c>
      <c r="AB420" s="6">
        <f t="shared" si="692"/>
        <v>106.02300000000001</v>
      </c>
      <c r="AC420">
        <f t="shared" si="684"/>
        <v>53</v>
      </c>
      <c r="AD420" s="11">
        <f t="shared" si="685"/>
        <v>2</v>
      </c>
      <c r="AE420">
        <f t="shared" si="683"/>
        <v>26</v>
      </c>
      <c r="AF420">
        <f>IF(AND(AE420&lt;15,OR(AC420&gt;=30,AA420&gt;0.15,X420&gt;=0.15)),2,VLOOKUP(AE420,Table!P:Q,2,FALSE))</f>
        <v>4</v>
      </c>
      <c r="AG420" s="22">
        <f>IF((AB420*0.98)-(D420*0.8)+((AF420-3)*3)+VLOOKUP(AM420,Table!$A$11:$B$13,2,FALSE)&lt;0,0,(AB420*0.98)-(D420*0.8)+((AF420-3)*3)+VLOOKUP(AM420,Table!$A$11:$B$13,2,FALSE))</f>
        <v>93.910539999999997</v>
      </c>
      <c r="AH420" s="22">
        <f t="shared" si="714"/>
        <v>97</v>
      </c>
      <c r="AI420" s="18">
        <f t="shared" si="707"/>
        <v>0.15</v>
      </c>
      <c r="AJ420" s="18">
        <f t="shared" si="708"/>
        <v>0.12</v>
      </c>
      <c r="AK420" t="str">
        <f t="shared" si="693"/>
        <v/>
      </c>
      <c r="AL420">
        <f t="shared" si="704"/>
        <v>25.75</v>
      </c>
      <c r="AM420" s="11" t="str">
        <f t="shared" si="694"/>
        <v>Stocks</v>
      </c>
      <c r="AN420" t="str">
        <f t="shared" si="700"/>
        <v>Buy</v>
      </c>
      <c r="AO420" s="13">
        <f t="shared" si="701"/>
        <v>-7.0000000000000001E-3</v>
      </c>
      <c r="AP420" s="13">
        <f t="shared" si="702"/>
        <v>0</v>
      </c>
      <c r="AQ420" s="13">
        <f t="shared" si="703"/>
        <v>-6.7999999999999996E-3</v>
      </c>
      <c r="AR420" s="13">
        <f t="shared" si="695"/>
        <v>-7.0000000000000001E-3</v>
      </c>
      <c r="AS420" s="6">
        <f t="shared" si="687"/>
        <v>268.81672361543093</v>
      </c>
      <c r="AT420" s="6">
        <f t="shared" si="688"/>
        <v>185.97425508967711</v>
      </c>
      <c r="AU420" s="6">
        <f t="shared" si="689"/>
        <v>464.93532557287949</v>
      </c>
      <c r="AV420" s="6">
        <f t="shared" si="690"/>
        <v>630.47200181083974</v>
      </c>
      <c r="AW420" s="58">
        <f t="shared" si="696"/>
        <v>2010</v>
      </c>
      <c r="AX420" s="58">
        <f>COUNTIF(AW$3:AW420,AW420)</f>
        <v>20</v>
      </c>
    </row>
    <row r="421" spans="1:50" x14ac:dyDescent="0.25">
      <c r="A421" s="5">
        <v>40398</v>
      </c>
      <c r="B421">
        <v>1121.6400000000001</v>
      </c>
      <c r="C421">
        <v>0.16</v>
      </c>
      <c r="D421" s="6">
        <v>21.74</v>
      </c>
      <c r="E421" s="18">
        <f t="shared" si="709"/>
        <v>22.9</v>
      </c>
      <c r="F421">
        <f t="shared" si="710"/>
        <v>-1</v>
      </c>
      <c r="G421" s="18">
        <f>ROUND(INDEX(Valuation!U:U,MATCH(A421,Valuation!A:A,0)),2)</f>
        <v>259.83</v>
      </c>
      <c r="H421">
        <f t="shared" si="717"/>
        <v>3</v>
      </c>
      <c r="I421" s="18">
        <f>INDEX(WeeklyIndicators!Y:Y,MATCH(A421,WeeklyIndicators!A:A,0))</f>
        <v>91.4</v>
      </c>
      <c r="J421">
        <f t="shared" si="706"/>
        <v>-2</v>
      </c>
      <c r="K421">
        <f>ROUND(INDEX(Economic!AF:AF,MATCH(EOMONTH($A421,-1),Economic!A:A,0)),2)</f>
        <v>104.87</v>
      </c>
      <c r="L421" s="11">
        <f t="shared" si="715"/>
        <v>0</v>
      </c>
      <c r="M421">
        <f>ROUND(INDEX(Manufacturing!P:P,MATCH(EOMONTH($A421,-1),Manufacturing!A:A,0)),2)</f>
        <v>111.01</v>
      </c>
      <c r="N421">
        <f t="shared" si="711"/>
        <v>3</v>
      </c>
      <c r="O421">
        <f>ROUND(INDEX(Housing!AC:AC,MATCH(EOMONTH($A421,-1),Housing!B:B,0)),2)</f>
        <v>59.65</v>
      </c>
      <c r="P421">
        <f t="shared" si="712"/>
        <v>-2</v>
      </c>
      <c r="Q421">
        <f>ROUND(INDEX(Spending!AJ:AJ,MATCH(EOMONTH($A421,-1),Spending!B:B,0)),2)</f>
        <v>54.9</v>
      </c>
      <c r="R421">
        <f t="shared" si="716"/>
        <v>1</v>
      </c>
      <c r="S421">
        <f>ROUND(INDEX(Employment!V:V,MATCH(EOMONTH($A421,-1),Employment!A:A,0)),2)</f>
        <v>158.65</v>
      </c>
      <c r="T421" s="11">
        <f t="shared" si="713"/>
        <v>0</v>
      </c>
      <c r="U421">
        <f t="shared" si="705"/>
        <v>22</v>
      </c>
      <c r="V421">
        <f t="shared" si="697"/>
        <v>67.67</v>
      </c>
      <c r="W421" s="13">
        <f t="shared" si="698"/>
        <v>-2.3E-3</v>
      </c>
      <c r="X421" s="13">
        <f t="shared" si="699"/>
        <v>1.14E-2</v>
      </c>
      <c r="Y421">
        <f t="shared" si="691"/>
        <v>82.94</v>
      </c>
      <c r="Z421" s="13">
        <f t="shared" si="686"/>
        <v>1.12E-2</v>
      </c>
      <c r="AA421" s="13">
        <f t="shared" si="682"/>
        <v>5.3399999999999996E-2</v>
      </c>
      <c r="AB421" s="6">
        <f t="shared" si="692"/>
        <v>107.373</v>
      </c>
      <c r="AC421">
        <f t="shared" si="684"/>
        <v>54</v>
      </c>
      <c r="AD421" s="11">
        <f t="shared" si="685"/>
        <v>2</v>
      </c>
      <c r="AE421">
        <f t="shared" si="683"/>
        <v>26</v>
      </c>
      <c r="AF421">
        <f>IF(AND(AE421&lt;15,OR(AC421&gt;=30,AA421&gt;0.15,X421&gt;=0.15)),2,VLOOKUP(AE421,Table!P:Q,2,FALSE))</f>
        <v>4</v>
      </c>
      <c r="AG421" s="22">
        <f>IF((AB421*0.98)-(D421*0.8)+((AF421-3)*3)+VLOOKUP(AM421,Table!$A$11:$B$13,2,FALSE)&lt;0,0,(AB421*0.98)-(D421*0.8)+((AF421-3)*3)+VLOOKUP(AM421,Table!$A$11:$B$13,2,FALSE))</f>
        <v>98.833540000000013</v>
      </c>
      <c r="AH421" s="22">
        <f t="shared" si="714"/>
        <v>97</v>
      </c>
      <c r="AI421" s="18">
        <f t="shared" si="707"/>
        <v>0.15</v>
      </c>
      <c r="AJ421" s="18">
        <f t="shared" si="708"/>
        <v>0.12</v>
      </c>
      <c r="AK421" t="str">
        <f t="shared" si="693"/>
        <v/>
      </c>
      <c r="AL421">
        <f t="shared" si="704"/>
        <v>25.25</v>
      </c>
      <c r="AM421" s="11" t="str">
        <f t="shared" si="694"/>
        <v>Stocks</v>
      </c>
      <c r="AN421" t="str">
        <f t="shared" si="700"/>
        <v>Buy</v>
      </c>
      <c r="AO421" s="13">
        <f t="shared" si="701"/>
        <v>-3.78E-2</v>
      </c>
      <c r="AP421" s="13">
        <f t="shared" si="702"/>
        <v>0</v>
      </c>
      <c r="AQ421" s="13">
        <f t="shared" si="703"/>
        <v>-3.6700000000000003E-2</v>
      </c>
      <c r="AR421" s="13">
        <f t="shared" si="695"/>
        <v>-3.78E-2</v>
      </c>
      <c r="AS421" s="6">
        <f t="shared" si="687"/>
        <v>279.37718105947926</v>
      </c>
      <c r="AT421" s="6">
        <f t="shared" si="688"/>
        <v>185.97425508967711</v>
      </c>
      <c r="AU421" s="6">
        <f t="shared" si="689"/>
        <v>482.64852649525534</v>
      </c>
      <c r="AV421" s="6">
        <f t="shared" si="690"/>
        <v>655.24007671049651</v>
      </c>
      <c r="AW421" s="58">
        <f t="shared" si="696"/>
        <v>2010</v>
      </c>
      <c r="AX421" s="58">
        <f>COUNTIF(AW$3:AW421,AW421)</f>
        <v>21</v>
      </c>
    </row>
    <row r="422" spans="1:50" x14ac:dyDescent="0.25">
      <c r="A422" s="5">
        <v>40391</v>
      </c>
      <c r="B422">
        <v>1101.5999999999999</v>
      </c>
      <c r="C422">
        <v>0.15</v>
      </c>
      <c r="D422" s="6">
        <v>23.5</v>
      </c>
      <c r="E422" s="18">
        <f t="shared" si="709"/>
        <v>24.41</v>
      </c>
      <c r="F422">
        <f t="shared" si="710"/>
        <v>-1</v>
      </c>
      <c r="G422" s="18">
        <f>ROUND(INDEX(Valuation!U:U,MATCH(A422,Valuation!A:A,0)),2)</f>
        <v>254.94</v>
      </c>
      <c r="H422">
        <f t="shared" si="717"/>
        <v>3</v>
      </c>
      <c r="I422" s="18">
        <f>INDEX(WeeklyIndicators!Y:Y,MATCH(A422,WeeklyIndicators!A:A,0))</f>
        <v>91.67</v>
      </c>
      <c r="J422">
        <f t="shared" si="706"/>
        <v>-2</v>
      </c>
      <c r="K422">
        <f>ROUND(INDEX(Economic!AF:AF,MATCH(EOMONTH($A422,-1),Economic!A:A,0)),2)</f>
        <v>104.87</v>
      </c>
      <c r="L422" s="11">
        <f t="shared" si="715"/>
        <v>0</v>
      </c>
      <c r="M422">
        <f>ROUND(INDEX(Manufacturing!P:P,MATCH(EOMONTH($A422,-1),Manufacturing!A:A,0)),2)</f>
        <v>111.01</v>
      </c>
      <c r="N422">
        <f t="shared" si="711"/>
        <v>3</v>
      </c>
      <c r="O422">
        <f>ROUND(INDEX(Housing!AC:AC,MATCH(EOMONTH($A422,-1),Housing!B:B,0)),2)</f>
        <v>59.65</v>
      </c>
      <c r="P422">
        <f t="shared" si="712"/>
        <v>-2</v>
      </c>
      <c r="Q422">
        <f>ROUND(INDEX(Spending!AJ:AJ,MATCH(EOMONTH($A422,-1),Spending!B:B,0)),2)</f>
        <v>54.9</v>
      </c>
      <c r="R422">
        <f t="shared" si="716"/>
        <v>1</v>
      </c>
      <c r="S422">
        <f>ROUND(INDEX(Employment!V:V,MATCH(EOMONTH($A422,-1),Employment!A:A,0)),2)</f>
        <v>158.65</v>
      </c>
      <c r="T422" s="11">
        <f t="shared" si="713"/>
        <v>0</v>
      </c>
      <c r="U422">
        <f t="shared" si="705"/>
        <v>22</v>
      </c>
      <c r="V422">
        <f t="shared" si="697"/>
        <v>67.7</v>
      </c>
      <c r="W422" s="13">
        <f t="shared" si="698"/>
        <v>-2.0999999999999999E-3</v>
      </c>
      <c r="X422" s="13">
        <f t="shared" si="699"/>
        <v>3.1399999999999997E-2</v>
      </c>
      <c r="Y422">
        <f t="shared" si="691"/>
        <v>81.900000000000006</v>
      </c>
      <c r="Z422" s="13">
        <f t="shared" si="686"/>
        <v>1.03E-2</v>
      </c>
      <c r="AA422" s="13">
        <f t="shared" si="682"/>
        <v>6.6100000000000006E-2</v>
      </c>
      <c r="AB422" s="6">
        <f t="shared" si="692"/>
        <v>106.89400000000001</v>
      </c>
      <c r="AC422">
        <f t="shared" si="684"/>
        <v>53</v>
      </c>
      <c r="AD422" s="11">
        <f t="shared" si="685"/>
        <v>2</v>
      </c>
      <c r="AE422">
        <f t="shared" si="683"/>
        <v>26</v>
      </c>
      <c r="AF422">
        <f>IF(AND(AE422&lt;15,OR(AC422&gt;=30,AA422&gt;0.15,X422&gt;=0.15)),2,VLOOKUP(AE422,Table!P:Q,2,FALSE))</f>
        <v>4</v>
      </c>
      <c r="AG422" s="22">
        <f>IF((AB422*0.98)-(D422*0.8)+((AF422-3)*3)+VLOOKUP(AM422,Table!$A$11:$B$13,2,FALSE)&lt;0,0,(AB422*0.98)-(D422*0.8)+((AF422-3)*3)+VLOOKUP(AM422,Table!$A$11:$B$13,2,FALSE))</f>
        <v>96.956120000000013</v>
      </c>
      <c r="AH422" s="22">
        <f t="shared" si="714"/>
        <v>94</v>
      </c>
      <c r="AI422" s="18">
        <f t="shared" si="707"/>
        <v>0.15</v>
      </c>
      <c r="AJ422" s="18">
        <f t="shared" si="708"/>
        <v>0.11</v>
      </c>
      <c r="AK422" t="str">
        <f t="shared" si="693"/>
        <v/>
      </c>
      <c r="AL422">
        <f t="shared" si="704"/>
        <v>24.75</v>
      </c>
      <c r="AM422" s="11" t="str">
        <f t="shared" si="694"/>
        <v>Stocks</v>
      </c>
      <c r="AN422" t="str">
        <f t="shared" si="700"/>
        <v>Buy</v>
      </c>
      <c r="AO422" s="13">
        <f t="shared" si="701"/>
        <v>1.8200000000000001E-2</v>
      </c>
      <c r="AP422" s="13">
        <f t="shared" si="702"/>
        <v>0</v>
      </c>
      <c r="AQ422" s="13">
        <f t="shared" si="703"/>
        <v>1.7100000000000001E-2</v>
      </c>
      <c r="AR422" s="13">
        <f t="shared" si="695"/>
        <v>1.8200000000000001E-2</v>
      </c>
      <c r="AS422" s="6">
        <f t="shared" si="687"/>
        <v>274.38340312264705</v>
      </c>
      <c r="AT422" s="6">
        <f t="shared" si="688"/>
        <v>185.97425508967711</v>
      </c>
      <c r="AU422" s="6">
        <f t="shared" si="689"/>
        <v>474.53399517771646</v>
      </c>
      <c r="AV422" s="6">
        <f t="shared" si="690"/>
        <v>643.52786948585401</v>
      </c>
      <c r="AW422" s="58">
        <f t="shared" si="696"/>
        <v>2010</v>
      </c>
      <c r="AX422" s="58">
        <f>COUNTIF(AW$3:AW422,AW422)</f>
        <v>22</v>
      </c>
    </row>
    <row r="423" spans="1:50" x14ac:dyDescent="0.25">
      <c r="A423" s="5">
        <v>40384</v>
      </c>
      <c r="B423">
        <v>1102.6600000000001</v>
      </c>
      <c r="C423">
        <v>0.16</v>
      </c>
      <c r="D423" s="6">
        <v>23.47</v>
      </c>
      <c r="E423" s="18">
        <f t="shared" si="709"/>
        <v>24.9</v>
      </c>
      <c r="F423">
        <f t="shared" si="710"/>
        <v>-1</v>
      </c>
      <c r="G423" s="18">
        <f>ROUND(INDEX(Valuation!U:U,MATCH(A423,Valuation!A:A,0)),2)</f>
        <v>249.29</v>
      </c>
      <c r="H423">
        <f t="shared" si="717"/>
        <v>3</v>
      </c>
      <c r="I423" s="18">
        <f>INDEX(WeeklyIndicators!Y:Y,MATCH(A423,WeeklyIndicators!A:A,0))</f>
        <v>92.38</v>
      </c>
      <c r="J423">
        <f t="shared" si="706"/>
        <v>-2</v>
      </c>
      <c r="K423">
        <f>ROUND(INDEX(Economic!AF:AF,MATCH(EOMONTH($A423,-1),Economic!A:A,0)),2)</f>
        <v>108.33</v>
      </c>
      <c r="L423" s="11">
        <f t="shared" si="715"/>
        <v>0</v>
      </c>
      <c r="M423">
        <f>ROUND(INDEX(Manufacturing!P:P,MATCH(EOMONTH($A423,-1),Manufacturing!A:A,0)),2)</f>
        <v>107.49</v>
      </c>
      <c r="N423">
        <f t="shared" si="711"/>
        <v>2</v>
      </c>
      <c r="O423">
        <f>ROUND(INDEX(Housing!AC:AC,MATCH(EOMONTH($A423,-1),Housing!B:B,0)),2)</f>
        <v>64.069999999999993</v>
      </c>
      <c r="P423">
        <f t="shared" si="712"/>
        <v>-2</v>
      </c>
      <c r="Q423">
        <f>ROUND(INDEX(Spending!AJ:AJ,MATCH(EOMONTH($A423,-1),Spending!B:B,0)),2)</f>
        <v>54.12</v>
      </c>
      <c r="R423">
        <f t="shared" si="716"/>
        <v>1</v>
      </c>
      <c r="S423">
        <f>ROUND(INDEX(Employment!V:V,MATCH(EOMONTH($A423,-1),Employment!A:A,0)),2)</f>
        <v>158.97</v>
      </c>
      <c r="T423" s="11">
        <f t="shared" si="713"/>
        <v>0</v>
      </c>
      <c r="U423">
        <f t="shared" si="705"/>
        <v>21</v>
      </c>
      <c r="V423">
        <f t="shared" si="697"/>
        <v>68.03</v>
      </c>
      <c r="W423" s="13">
        <f t="shared" si="698"/>
        <v>6.9999999999999999E-4</v>
      </c>
      <c r="X423" s="13">
        <f t="shared" si="699"/>
        <v>4.9300000000000004E-2</v>
      </c>
      <c r="Y423">
        <f t="shared" si="691"/>
        <v>81.430000000000007</v>
      </c>
      <c r="Z423" s="13">
        <f t="shared" si="686"/>
        <v>1.1599999999999999E-2</v>
      </c>
      <c r="AA423" s="13">
        <f t="shared" si="682"/>
        <v>8.1600000000000006E-2</v>
      </c>
      <c r="AB423" s="6">
        <f t="shared" si="692"/>
        <v>107.089</v>
      </c>
      <c r="AC423">
        <f t="shared" si="684"/>
        <v>54</v>
      </c>
      <c r="AD423" s="11">
        <f t="shared" si="685"/>
        <v>2</v>
      </c>
      <c r="AE423">
        <f t="shared" si="683"/>
        <v>25</v>
      </c>
      <c r="AF423">
        <f>IF(AND(AE423&lt;15,OR(AC423&gt;=30,AA423&gt;0.15,X423&gt;=0.15)),2,VLOOKUP(AE423,Table!P:Q,2,FALSE))</f>
        <v>3</v>
      </c>
      <c r="AG423" s="22">
        <f>IF((AB423*0.98)-(D423*0.8)+((AF423-3)*3)+VLOOKUP(AM423,Table!$A$11:$B$13,2,FALSE)&lt;0,0,(AB423*0.98)-(D423*0.8)+((AF423-3)*3)+VLOOKUP(AM423,Table!$A$11:$B$13,2,FALSE))</f>
        <v>94.171220000000005</v>
      </c>
      <c r="AH423" s="22">
        <f t="shared" si="714"/>
        <v>92</v>
      </c>
      <c r="AI423" s="18">
        <f t="shared" si="707"/>
        <v>0.15</v>
      </c>
      <c r="AJ423" s="18">
        <f t="shared" si="708"/>
        <v>0.11</v>
      </c>
      <c r="AK423" t="str">
        <f t="shared" si="693"/>
        <v/>
      </c>
      <c r="AL423">
        <f t="shared" si="704"/>
        <v>24.25</v>
      </c>
      <c r="AM423" s="11" t="str">
        <f t="shared" si="694"/>
        <v>Stocks</v>
      </c>
      <c r="AN423" t="str">
        <f t="shared" si="700"/>
        <v>Buy</v>
      </c>
      <c r="AO423" s="13">
        <f t="shared" si="701"/>
        <v>-1E-3</v>
      </c>
      <c r="AP423" s="13">
        <f t="shared" si="702"/>
        <v>0</v>
      </c>
      <c r="AQ423" s="13">
        <f t="shared" si="703"/>
        <v>-8.9999999999999998E-4</v>
      </c>
      <c r="AR423" s="13">
        <f t="shared" si="695"/>
        <v>-1E-3</v>
      </c>
      <c r="AS423" s="6">
        <f t="shared" si="687"/>
        <v>274.65806118383091</v>
      </c>
      <c r="AT423" s="6">
        <f t="shared" si="688"/>
        <v>185.97425508967711</v>
      </c>
      <c r="AU423" s="6">
        <f t="shared" si="689"/>
        <v>474.9614604921594</v>
      </c>
      <c r="AV423" s="6">
        <f t="shared" si="690"/>
        <v>644.17204152738134</v>
      </c>
      <c r="AW423" s="58">
        <f t="shared" si="696"/>
        <v>2010</v>
      </c>
      <c r="AX423" s="58">
        <f>COUNTIF(AW$3:AW423,AW423)</f>
        <v>23</v>
      </c>
    </row>
    <row r="424" spans="1:50" x14ac:dyDescent="0.25">
      <c r="A424" s="5">
        <v>40377</v>
      </c>
      <c r="B424">
        <v>1064.8800000000001</v>
      </c>
      <c r="C424">
        <v>0.15</v>
      </c>
      <c r="D424" s="6">
        <v>26.25</v>
      </c>
      <c r="E424" s="18">
        <f t="shared" si="709"/>
        <v>27.12</v>
      </c>
      <c r="F424">
        <f t="shared" si="710"/>
        <v>-2</v>
      </c>
      <c r="G424" s="18">
        <f>ROUND(INDEX(Valuation!U:U,MATCH(A424,Valuation!A:A,0)),2)</f>
        <v>244.47</v>
      </c>
      <c r="H424">
        <f t="shared" si="717"/>
        <v>3</v>
      </c>
      <c r="I424" s="18">
        <f>INDEX(WeeklyIndicators!Y:Y,MATCH(A424,WeeklyIndicators!A:A,0))</f>
        <v>93.37</v>
      </c>
      <c r="J424">
        <f t="shared" si="706"/>
        <v>-2</v>
      </c>
      <c r="K424">
        <f>ROUND(INDEX(Economic!AF:AF,MATCH(EOMONTH($A424,-1),Economic!A:A,0)),2)</f>
        <v>108.33</v>
      </c>
      <c r="L424" s="11">
        <f t="shared" si="715"/>
        <v>0</v>
      </c>
      <c r="M424">
        <f>ROUND(INDEX(Manufacturing!P:P,MATCH(EOMONTH($A424,-1),Manufacturing!A:A,0)),2)</f>
        <v>107.49</v>
      </c>
      <c r="N424">
        <f t="shared" si="711"/>
        <v>2</v>
      </c>
      <c r="O424">
        <f>ROUND(INDEX(Housing!AC:AC,MATCH(EOMONTH($A424,-1),Housing!B:B,0)),2)</f>
        <v>64.069999999999993</v>
      </c>
      <c r="P424">
        <f t="shared" si="712"/>
        <v>-2</v>
      </c>
      <c r="Q424">
        <f>ROUND(INDEX(Spending!AJ:AJ,MATCH(EOMONTH($A424,-1),Spending!B:B,0)),2)</f>
        <v>54.12</v>
      </c>
      <c r="R424">
        <f t="shared" si="716"/>
        <v>1</v>
      </c>
      <c r="S424">
        <f>ROUND(INDEX(Employment!V:V,MATCH(EOMONTH($A424,-1),Employment!A:A,0)),2)</f>
        <v>158.97</v>
      </c>
      <c r="T424" s="11">
        <f t="shared" si="713"/>
        <v>0</v>
      </c>
      <c r="U424">
        <f t="shared" si="705"/>
        <v>20</v>
      </c>
      <c r="V424">
        <f t="shared" si="697"/>
        <v>68.13</v>
      </c>
      <c r="W424" s="13">
        <f t="shared" si="698"/>
        <v>1.5100000000000001E-2</v>
      </c>
      <c r="X424" s="13">
        <f t="shared" si="699"/>
        <v>4.7400000000000005E-2</v>
      </c>
      <c r="Y424">
        <f t="shared" si="691"/>
        <v>80.22</v>
      </c>
      <c r="Z424" s="13">
        <f t="shared" si="686"/>
        <v>2.0299999999999999E-2</v>
      </c>
      <c r="AA424" s="13">
        <f t="shared" si="682"/>
        <v>8.7000000000000008E-2</v>
      </c>
      <c r="AB424" s="6">
        <f t="shared" si="692"/>
        <v>105.73700000000001</v>
      </c>
      <c r="AC424">
        <f t="shared" si="684"/>
        <v>53</v>
      </c>
      <c r="AD424" s="11">
        <f t="shared" si="685"/>
        <v>2</v>
      </c>
      <c r="AE424">
        <f t="shared" si="683"/>
        <v>24</v>
      </c>
      <c r="AF424">
        <f>IF(AND(AE424&lt;15,OR(AC424&gt;=30,AA424&gt;0.15,X424&gt;=0.15)),2,VLOOKUP(AE424,Table!P:Q,2,FALSE))</f>
        <v>3</v>
      </c>
      <c r="AG424" s="22">
        <f>IF((AB424*0.98)-(D424*0.8)+((AF424-3)*3)+VLOOKUP(AM424,Table!$A$11:$B$13,2,FALSE)&lt;0,0,(AB424*0.98)-(D424*0.8)+((AF424-3)*3)+VLOOKUP(AM424,Table!$A$11:$B$13,2,FALSE))</f>
        <v>90.622260000000011</v>
      </c>
      <c r="AH424" s="22">
        <f t="shared" si="714"/>
        <v>88</v>
      </c>
      <c r="AI424" s="18">
        <f t="shared" si="707"/>
        <v>0.15</v>
      </c>
      <c r="AJ424" s="18">
        <f t="shared" si="708"/>
        <v>0.11</v>
      </c>
      <c r="AK424" t="str">
        <f t="shared" si="693"/>
        <v/>
      </c>
      <c r="AL424">
        <f t="shared" si="704"/>
        <v>24</v>
      </c>
      <c r="AM424" s="11" t="str">
        <f t="shared" si="694"/>
        <v>Stocks</v>
      </c>
      <c r="AN424" t="str">
        <f t="shared" si="700"/>
        <v>Buy</v>
      </c>
      <c r="AO424" s="13">
        <f t="shared" si="701"/>
        <v>3.5499999999999997E-2</v>
      </c>
      <c r="AP424" s="13">
        <f t="shared" si="702"/>
        <v>0</v>
      </c>
      <c r="AQ424" s="13">
        <f t="shared" si="703"/>
        <v>3.1199999999999999E-2</v>
      </c>
      <c r="AR424" s="13">
        <f t="shared" si="695"/>
        <v>3.5499999999999997E-2</v>
      </c>
      <c r="AS424" s="6">
        <f t="shared" si="687"/>
        <v>265.2419712060173</v>
      </c>
      <c r="AT424" s="6">
        <f t="shared" si="688"/>
        <v>185.97425508967711</v>
      </c>
      <c r="AU424" s="6">
        <f t="shared" si="689"/>
        <v>460.59102064794359</v>
      </c>
      <c r="AV424" s="6">
        <f t="shared" si="690"/>
        <v>622.08792035478632</v>
      </c>
      <c r="AW424" s="58">
        <f t="shared" si="696"/>
        <v>2010</v>
      </c>
      <c r="AX424" s="58">
        <f>COUNTIF(AW$3:AW424,AW424)</f>
        <v>24</v>
      </c>
    </row>
    <row r="425" spans="1:50" x14ac:dyDescent="0.25">
      <c r="A425" s="5">
        <v>40370</v>
      </c>
      <c r="B425">
        <v>1077.96</v>
      </c>
      <c r="C425">
        <v>0.16</v>
      </c>
      <c r="D425" s="6">
        <v>24.98</v>
      </c>
      <c r="E425" s="18">
        <f t="shared" si="709"/>
        <v>27.88</v>
      </c>
      <c r="F425">
        <f t="shared" si="710"/>
        <v>-2</v>
      </c>
      <c r="G425" s="18">
        <f>ROUND(INDEX(Valuation!U:U,MATCH(A425,Valuation!A:A,0)),2)</f>
        <v>239.66</v>
      </c>
      <c r="H425">
        <f t="shared" si="717"/>
        <v>3</v>
      </c>
      <c r="I425" s="18">
        <f>INDEX(WeeklyIndicators!Y:Y,MATCH(A425,WeeklyIndicators!A:A,0))</f>
        <v>93.26</v>
      </c>
      <c r="J425">
        <f t="shared" si="706"/>
        <v>-2</v>
      </c>
      <c r="K425">
        <f>ROUND(INDEX(Economic!AF:AF,MATCH(EOMONTH($A425,-1),Economic!A:A,0)),2)</f>
        <v>108.33</v>
      </c>
      <c r="L425" s="11">
        <f t="shared" si="715"/>
        <v>0</v>
      </c>
      <c r="M425">
        <f>ROUND(INDEX(Manufacturing!P:P,MATCH(EOMONTH($A425,-1),Manufacturing!A:A,0)),2)</f>
        <v>107.49</v>
      </c>
      <c r="N425">
        <f t="shared" si="711"/>
        <v>2</v>
      </c>
      <c r="O425">
        <f>ROUND(INDEX(Housing!AC:AC,MATCH(EOMONTH($A425,-1),Housing!B:B,0)),2)</f>
        <v>64.069999999999993</v>
      </c>
      <c r="P425">
        <f t="shared" si="712"/>
        <v>-2</v>
      </c>
      <c r="Q425">
        <f>ROUND(INDEX(Spending!AJ:AJ,MATCH(EOMONTH($A425,-1),Spending!B:B,0)),2)</f>
        <v>54.12</v>
      </c>
      <c r="R425">
        <f t="shared" si="716"/>
        <v>1</v>
      </c>
      <c r="S425">
        <f>ROUND(INDEX(Employment!V:V,MATCH(EOMONTH($A425,-1),Employment!A:A,0)),2)</f>
        <v>158.97</v>
      </c>
      <c r="T425" s="11">
        <f t="shared" si="713"/>
        <v>0</v>
      </c>
      <c r="U425">
        <f t="shared" si="705"/>
        <v>20</v>
      </c>
      <c r="V425">
        <f t="shared" si="697"/>
        <v>68.12</v>
      </c>
      <c r="W425" s="13">
        <f t="shared" si="698"/>
        <v>1.77E-2</v>
      </c>
      <c r="X425" s="13">
        <f t="shared" si="699"/>
        <v>3.4800000000000005E-2</v>
      </c>
      <c r="Y425">
        <f t="shared" si="691"/>
        <v>79.41</v>
      </c>
      <c r="Z425" s="13">
        <f t="shared" si="686"/>
        <v>2.3900000000000001E-2</v>
      </c>
      <c r="AA425" s="13">
        <f t="shared" si="682"/>
        <v>8.0900000000000014E-2</v>
      </c>
      <c r="AB425" s="6">
        <f t="shared" si="692"/>
        <v>103.916</v>
      </c>
      <c r="AC425">
        <f t="shared" si="684"/>
        <v>52</v>
      </c>
      <c r="AD425" s="11">
        <f t="shared" si="685"/>
        <v>2</v>
      </c>
      <c r="AE425">
        <f t="shared" si="683"/>
        <v>24</v>
      </c>
      <c r="AF425">
        <f>IF(AND(AE425&lt;15,OR(AC425&gt;=30,AA425&gt;0.15,X425&gt;=0.15)),2,VLOOKUP(AE425,Table!P:Q,2,FALSE))</f>
        <v>3</v>
      </c>
      <c r="AG425" s="22">
        <f>IF((AB425*0.98)-(D425*0.8)+((AF425-3)*3)+VLOOKUP(AM425,Table!$A$11:$B$13,2,FALSE)&lt;0,0,(AB425*0.98)-(D425*0.8)+((AF425-3)*3)+VLOOKUP(AM425,Table!$A$11:$B$13,2,FALSE))</f>
        <v>89.853679999999997</v>
      </c>
      <c r="AH425" s="22">
        <f t="shared" si="714"/>
        <v>84</v>
      </c>
      <c r="AI425" s="18">
        <f t="shared" si="707"/>
        <v>0.15</v>
      </c>
      <c r="AJ425" s="18">
        <f t="shared" si="708"/>
        <v>0.11</v>
      </c>
      <c r="AK425" t="str">
        <f t="shared" si="693"/>
        <v/>
      </c>
      <c r="AL425">
        <f t="shared" si="704"/>
        <v>23.75</v>
      </c>
      <c r="AM425" s="11" t="str">
        <f t="shared" si="694"/>
        <v>Stocks</v>
      </c>
      <c r="AN425" t="str">
        <f t="shared" si="700"/>
        <v>Buy</v>
      </c>
      <c r="AO425" s="13">
        <f t="shared" si="701"/>
        <v>-1.21E-2</v>
      </c>
      <c r="AP425" s="13">
        <f t="shared" si="702"/>
        <v>0</v>
      </c>
      <c r="AQ425" s="13">
        <f t="shared" si="703"/>
        <v>-1.0200000000000001E-2</v>
      </c>
      <c r="AR425" s="13">
        <f t="shared" si="695"/>
        <v>-1.21E-2</v>
      </c>
      <c r="AS425" s="6">
        <f t="shared" si="687"/>
        <v>268.49070878228292</v>
      </c>
      <c r="AT425" s="6">
        <f t="shared" si="688"/>
        <v>185.97425508967711</v>
      </c>
      <c r="AU425" s="6">
        <f t="shared" si="689"/>
        <v>465.33746276817902</v>
      </c>
      <c r="AV425" s="6">
        <f t="shared" si="690"/>
        <v>629.70737964853356</v>
      </c>
      <c r="AW425" s="58">
        <f t="shared" si="696"/>
        <v>2010</v>
      </c>
      <c r="AX425" s="58">
        <f>COUNTIF(AW$3:AW425,AW425)</f>
        <v>25</v>
      </c>
    </row>
    <row r="426" spans="1:50" x14ac:dyDescent="0.25">
      <c r="A426" s="5">
        <v>40363</v>
      </c>
      <c r="B426">
        <v>1022.58</v>
      </c>
      <c r="C426">
        <v>0.17</v>
      </c>
      <c r="D426" s="6">
        <v>30.12</v>
      </c>
      <c r="E426" s="18">
        <f t="shared" si="709"/>
        <v>27.53</v>
      </c>
      <c r="F426">
        <f t="shared" si="710"/>
        <v>-2</v>
      </c>
      <c r="G426" s="18">
        <f>ROUND(INDEX(Valuation!U:U,MATCH(A426,Valuation!A:A,0)),2)</f>
        <v>234.09</v>
      </c>
      <c r="H426">
        <f t="shared" si="717"/>
        <v>3</v>
      </c>
      <c r="I426" s="18">
        <f>INDEX(WeeklyIndicators!Y:Y,MATCH(A426,WeeklyIndicators!A:A,0))</f>
        <v>90.94</v>
      </c>
      <c r="J426">
        <f t="shared" si="706"/>
        <v>-2</v>
      </c>
      <c r="K426">
        <f>ROUND(INDEX(Economic!AF:AF,MATCH(EOMONTH($A426,-1),Economic!A:A,0)),2)</f>
        <v>108.33</v>
      </c>
      <c r="L426" s="11">
        <f t="shared" si="715"/>
        <v>0</v>
      </c>
      <c r="M426">
        <f>ROUND(INDEX(Manufacturing!P:P,MATCH(EOMONTH($A426,-1),Manufacturing!A:A,0)),2)</f>
        <v>107.49</v>
      </c>
      <c r="N426">
        <f t="shared" si="711"/>
        <v>2</v>
      </c>
      <c r="O426">
        <f>ROUND(INDEX(Housing!AC:AC,MATCH(EOMONTH($A426,-1),Housing!B:B,0)),2)</f>
        <v>64.069999999999993</v>
      </c>
      <c r="P426">
        <f t="shared" si="712"/>
        <v>-2</v>
      </c>
      <c r="Q426">
        <f>ROUND(INDEX(Spending!AJ:AJ,MATCH(EOMONTH($A426,-1),Spending!B:B,0)),2)</f>
        <v>54.12</v>
      </c>
      <c r="R426">
        <f t="shared" si="716"/>
        <v>1</v>
      </c>
      <c r="S426">
        <f>ROUND(INDEX(Employment!V:V,MATCH(EOMONTH($A426,-1),Employment!A:A,0)),2)</f>
        <v>158.97</v>
      </c>
      <c r="T426" s="11">
        <f t="shared" si="713"/>
        <v>0</v>
      </c>
      <c r="U426">
        <f t="shared" si="705"/>
        <v>20</v>
      </c>
      <c r="V426">
        <f t="shared" si="697"/>
        <v>67.88</v>
      </c>
      <c r="W426" s="13">
        <f t="shared" si="698"/>
        <v>1.5800000000000002E-2</v>
      </c>
      <c r="X426" s="13">
        <f t="shared" si="699"/>
        <v>1.6199999999999999E-2</v>
      </c>
      <c r="Y426">
        <f t="shared" si="691"/>
        <v>78.67</v>
      </c>
      <c r="Z426" s="13">
        <f t="shared" si="686"/>
        <v>2.58E-2</v>
      </c>
      <c r="AA426" s="13">
        <f t="shared" si="682"/>
        <v>6.7300000000000013E-2</v>
      </c>
      <c r="AB426" s="6">
        <f t="shared" si="692"/>
        <v>101.509</v>
      </c>
      <c r="AC426">
        <f t="shared" si="684"/>
        <v>51</v>
      </c>
      <c r="AD426" s="11">
        <f t="shared" si="685"/>
        <v>2</v>
      </c>
      <c r="AE426">
        <f t="shared" si="683"/>
        <v>24</v>
      </c>
      <c r="AF426">
        <f>IF(AND(AE426&lt;15,OR(AC426&gt;=30,AA426&gt;0.15,X426&gt;=0.15)),2,VLOOKUP(AE426,Table!P:Q,2,FALSE))</f>
        <v>3</v>
      </c>
      <c r="AG426" s="22">
        <f>IF((AB426*0.98)-(D426*0.8)+((AF426-3)*3)+VLOOKUP(AM426,Table!$A$11:$B$13,2,FALSE)&lt;0,0,(AB426*0.98)-(D426*0.8)+((AF426-3)*3)+VLOOKUP(AM426,Table!$A$11:$B$13,2,FALSE))</f>
        <v>83.382819999999995</v>
      </c>
      <c r="AH426" s="22">
        <f t="shared" si="714"/>
        <v>80</v>
      </c>
      <c r="AI426" s="18">
        <f t="shared" si="707"/>
        <v>0.15</v>
      </c>
      <c r="AJ426" s="18">
        <f t="shared" si="708"/>
        <v>0.11</v>
      </c>
      <c r="AK426" t="str">
        <f t="shared" si="693"/>
        <v/>
      </c>
      <c r="AL426">
        <f t="shared" si="704"/>
        <v>23.5</v>
      </c>
      <c r="AM426" s="11" t="str">
        <f t="shared" si="694"/>
        <v>Stocks</v>
      </c>
      <c r="AN426" t="str">
        <f t="shared" si="700"/>
        <v>Buy</v>
      </c>
      <c r="AO426" s="13">
        <f t="shared" si="701"/>
        <v>5.4199999999999998E-2</v>
      </c>
      <c r="AP426" s="13">
        <f t="shared" si="702"/>
        <v>0</v>
      </c>
      <c r="AQ426" s="13">
        <f t="shared" si="703"/>
        <v>4.3400000000000001E-2</v>
      </c>
      <c r="AR426" s="13">
        <f t="shared" si="695"/>
        <v>5.4199999999999998E-2</v>
      </c>
      <c r="AS426" s="6">
        <f t="shared" si="687"/>
        <v>254.68669017480829</v>
      </c>
      <c r="AT426" s="6">
        <f t="shared" si="688"/>
        <v>185.97425508967711</v>
      </c>
      <c r="AU426" s="6">
        <f t="shared" si="689"/>
        <v>445.98185045828922</v>
      </c>
      <c r="AV426" s="6">
        <f t="shared" si="690"/>
        <v>597.33198600695653</v>
      </c>
      <c r="AW426" s="58">
        <f t="shared" si="696"/>
        <v>2010</v>
      </c>
      <c r="AX426" s="58">
        <f>COUNTIF(AW$3:AW426,AW426)</f>
        <v>26</v>
      </c>
    </row>
    <row r="427" spans="1:50" x14ac:dyDescent="0.25">
      <c r="A427" s="5">
        <v>40356</v>
      </c>
      <c r="B427">
        <v>1076.76</v>
      </c>
      <c r="C427">
        <v>0.13</v>
      </c>
      <c r="D427" s="6">
        <v>28.53</v>
      </c>
      <c r="E427" s="18">
        <f t="shared" si="709"/>
        <v>27.09</v>
      </c>
      <c r="F427">
        <f t="shared" si="710"/>
        <v>-2</v>
      </c>
      <c r="G427" s="18">
        <f>ROUND(INDEX(Valuation!U:U,MATCH(A427,Valuation!A:A,0)),2)</f>
        <v>229.07</v>
      </c>
      <c r="H427">
        <f t="shared" si="717"/>
        <v>3</v>
      </c>
      <c r="I427" s="18">
        <f>INDEX(WeeklyIndicators!Y:Y,MATCH(A427,WeeklyIndicators!A:A,0))</f>
        <v>84.26</v>
      </c>
      <c r="J427">
        <f t="shared" si="706"/>
        <v>-2</v>
      </c>
      <c r="K427">
        <f>ROUND(INDEX(Economic!AF:AF,MATCH(EOMONTH($A427,-1),Economic!A:A,0)),2)</f>
        <v>104.71</v>
      </c>
      <c r="L427" s="11">
        <f t="shared" si="715"/>
        <v>0</v>
      </c>
      <c r="M427">
        <f>ROUND(INDEX(Manufacturing!P:P,MATCH(EOMONTH($A427,-1),Manufacturing!A:A,0)),2)</f>
        <v>103.9</v>
      </c>
      <c r="N427">
        <f t="shared" si="711"/>
        <v>2</v>
      </c>
      <c r="O427">
        <f>ROUND(INDEX(Housing!AC:AC,MATCH(EOMONTH($A427,-1),Housing!B:B,0)),2)</f>
        <v>61.16</v>
      </c>
      <c r="P427">
        <f t="shared" si="712"/>
        <v>-2</v>
      </c>
      <c r="Q427">
        <f>ROUND(INDEX(Spending!AJ:AJ,MATCH(EOMONTH($A427,-1),Spending!B:B,0)),2)</f>
        <v>51.95</v>
      </c>
      <c r="R427">
        <f t="shared" si="716"/>
        <v>1</v>
      </c>
      <c r="S427">
        <f>ROUND(INDEX(Employment!V:V,MATCH(EOMONTH($A427,-1),Employment!A:A,0)),2)</f>
        <v>150.69</v>
      </c>
      <c r="T427" s="11">
        <f t="shared" si="713"/>
        <v>0</v>
      </c>
      <c r="U427">
        <f t="shared" si="705"/>
        <v>20</v>
      </c>
      <c r="V427">
        <f t="shared" si="697"/>
        <v>65.09</v>
      </c>
      <c r="W427" s="13">
        <f t="shared" si="698"/>
        <v>-1.1999999999999999E-3</v>
      </c>
      <c r="X427" s="13">
        <f t="shared" si="699"/>
        <v>-3.1999999999999997E-3</v>
      </c>
      <c r="Y427">
        <f t="shared" si="691"/>
        <v>75.47</v>
      </c>
      <c r="Z427" s="13">
        <f t="shared" si="686"/>
        <v>1.7000000000000001E-2</v>
      </c>
      <c r="AA427" s="13">
        <f t="shared" si="682"/>
        <v>3.0200000000000005E-2</v>
      </c>
      <c r="AB427" s="6">
        <f t="shared" si="692"/>
        <v>95.036999999999992</v>
      </c>
      <c r="AC427">
        <f t="shared" si="684"/>
        <v>48</v>
      </c>
      <c r="AD427" s="11">
        <f t="shared" si="685"/>
        <v>2</v>
      </c>
      <c r="AE427">
        <f t="shared" si="683"/>
        <v>24</v>
      </c>
      <c r="AF427">
        <f>IF(AND(AE427&lt;15,OR(AC427&gt;=30,AA427&gt;0.15,X427&gt;=0.15)),2,VLOOKUP(AE427,Table!P:Q,2,FALSE))</f>
        <v>3</v>
      </c>
      <c r="AG427" s="22">
        <f>IF((AB427*0.98)-(D427*0.8)+((AF427-3)*3)+VLOOKUP(AM427,Table!$A$11:$B$13,2,FALSE)&lt;0,0,(AB427*0.98)-(D427*0.8)+((AF427-3)*3)+VLOOKUP(AM427,Table!$A$11:$B$13,2,FALSE))</f>
        <v>78.312259999999995</v>
      </c>
      <c r="AH427" s="22">
        <f t="shared" si="714"/>
        <v>75</v>
      </c>
      <c r="AI427" s="18">
        <f t="shared" si="707"/>
        <v>0.15</v>
      </c>
      <c r="AJ427" s="18">
        <f t="shared" si="708"/>
        <v>0.1</v>
      </c>
      <c r="AK427" t="str">
        <f t="shared" si="693"/>
        <v/>
      </c>
      <c r="AL427">
        <f t="shared" si="704"/>
        <v>22.75</v>
      </c>
      <c r="AM427" s="11" t="str">
        <f t="shared" si="694"/>
        <v>Stocks</v>
      </c>
      <c r="AN427" t="str">
        <f t="shared" si="700"/>
        <v>Buy</v>
      </c>
      <c r="AO427" s="13">
        <f t="shared" si="701"/>
        <v>-5.0299999999999997E-2</v>
      </c>
      <c r="AP427" s="13">
        <f t="shared" si="702"/>
        <v>0</v>
      </c>
      <c r="AQ427" s="13">
        <f t="shared" si="703"/>
        <v>-3.7699999999999997E-2</v>
      </c>
      <c r="AR427" s="13">
        <f t="shared" si="695"/>
        <v>-5.0299999999999997E-2</v>
      </c>
      <c r="AS427" s="6">
        <f t="shared" si="687"/>
        <v>268.17593995452069</v>
      </c>
      <c r="AT427" s="6">
        <f t="shared" si="688"/>
        <v>185.97425508967711</v>
      </c>
      <c r="AU427" s="6">
        <f t="shared" si="689"/>
        <v>463.45406885408835</v>
      </c>
      <c r="AV427" s="6">
        <f t="shared" si="690"/>
        <v>628.9691334178757</v>
      </c>
      <c r="AW427" s="58">
        <f t="shared" si="696"/>
        <v>2010</v>
      </c>
      <c r="AX427" s="58">
        <f>COUNTIF(AW$3:AW427,AW427)</f>
        <v>27</v>
      </c>
    </row>
    <row r="428" spans="1:50" x14ac:dyDescent="0.25">
      <c r="A428" s="5">
        <v>40349</v>
      </c>
      <c r="B428">
        <v>1117.51</v>
      </c>
      <c r="C428">
        <v>0.09</v>
      </c>
      <c r="D428" s="6">
        <v>23.95</v>
      </c>
      <c r="E428" s="18">
        <f t="shared" si="709"/>
        <v>29.41</v>
      </c>
      <c r="F428">
        <f t="shared" si="710"/>
        <v>-2</v>
      </c>
      <c r="G428" s="18">
        <f>ROUND(INDEX(Valuation!U:U,MATCH(A428,Valuation!A:A,0)),2)</f>
        <v>226.93</v>
      </c>
      <c r="H428">
        <f t="shared" si="717"/>
        <v>3</v>
      </c>
      <c r="I428" s="18">
        <f>INDEX(WeeklyIndicators!Y:Y,MATCH(A428,WeeklyIndicators!A:A,0))</f>
        <v>79.760000000000005</v>
      </c>
      <c r="J428">
        <f t="shared" si="706"/>
        <v>-2</v>
      </c>
      <c r="K428">
        <f>ROUND(INDEX(Economic!AF:AF,MATCH(EOMONTH($A428,-1),Economic!A:A,0)),2)</f>
        <v>104.71</v>
      </c>
      <c r="L428" s="11">
        <f t="shared" si="715"/>
        <v>0</v>
      </c>
      <c r="M428">
        <f>ROUND(INDEX(Manufacturing!P:P,MATCH(EOMONTH($A428,-1),Manufacturing!A:A,0)),2)</f>
        <v>103.9</v>
      </c>
      <c r="N428">
        <f t="shared" si="711"/>
        <v>2</v>
      </c>
      <c r="O428">
        <f>ROUND(INDEX(Housing!AC:AC,MATCH(EOMONTH($A428,-1),Housing!B:B,0)),2)</f>
        <v>61.16</v>
      </c>
      <c r="P428">
        <f t="shared" si="712"/>
        <v>-2</v>
      </c>
      <c r="Q428">
        <f>ROUND(INDEX(Spending!AJ:AJ,MATCH(EOMONTH($A428,-1),Spending!B:B,0)),2)</f>
        <v>51.95</v>
      </c>
      <c r="R428">
        <f t="shared" si="716"/>
        <v>1</v>
      </c>
      <c r="S428">
        <f>ROUND(INDEX(Employment!V:V,MATCH(EOMONTH($A428,-1),Employment!A:A,0)),2)</f>
        <v>150.69</v>
      </c>
      <c r="T428" s="11">
        <f t="shared" si="713"/>
        <v>0</v>
      </c>
      <c r="U428">
        <f t="shared" si="705"/>
        <v>20</v>
      </c>
      <c r="V428">
        <f t="shared" si="697"/>
        <v>64.62</v>
      </c>
      <c r="W428" s="13">
        <f t="shared" si="698"/>
        <v>2.5000000000000001E-3</v>
      </c>
      <c r="X428" s="13">
        <f t="shared" si="699"/>
        <v>-1.7800000000000003E-2</v>
      </c>
      <c r="Y428">
        <f t="shared" si="691"/>
        <v>73.959999999999994</v>
      </c>
      <c r="Z428" s="13">
        <f t="shared" si="686"/>
        <v>1.4200000000000001E-2</v>
      </c>
      <c r="AA428" s="13">
        <f t="shared" si="682"/>
        <v>-1.4399999999999998E-2</v>
      </c>
      <c r="AB428" s="6">
        <f t="shared" si="692"/>
        <v>90.162999999999997</v>
      </c>
      <c r="AC428">
        <f t="shared" si="684"/>
        <v>45</v>
      </c>
      <c r="AD428" s="11">
        <f t="shared" si="685"/>
        <v>1</v>
      </c>
      <c r="AE428">
        <f t="shared" si="683"/>
        <v>23</v>
      </c>
      <c r="AF428">
        <f>IF(AND(AE428&lt;15,OR(AC428&gt;=30,AA428&gt;0.15,X428&gt;=0.15)),2,VLOOKUP(AE428,Table!P:Q,2,FALSE))</f>
        <v>3</v>
      </c>
      <c r="AG428" s="22">
        <f>IF((AB428*0.98)-(D428*0.8)+((AF428-3)*3)+VLOOKUP(AM428,Table!$A$11:$B$13,2,FALSE)&lt;0,0,(AB428*0.98)-(D428*0.8)+((AF428-3)*3)+VLOOKUP(AM428,Table!$A$11:$B$13,2,FALSE))</f>
        <v>77.199740000000006</v>
      </c>
      <c r="AH428" s="22">
        <f t="shared" si="714"/>
        <v>68</v>
      </c>
      <c r="AI428" s="18">
        <f t="shared" si="707"/>
        <v>0.15</v>
      </c>
      <c r="AJ428" s="18">
        <f t="shared" si="708"/>
        <v>0.1</v>
      </c>
      <c r="AK428" t="str">
        <f t="shared" si="693"/>
        <v/>
      </c>
      <c r="AL428">
        <f t="shared" si="704"/>
        <v>21.75</v>
      </c>
      <c r="AM428" s="11" t="str">
        <f t="shared" si="694"/>
        <v>Stocks</v>
      </c>
      <c r="AN428" t="str">
        <f t="shared" si="700"/>
        <v>Buy</v>
      </c>
      <c r="AO428" s="13">
        <f t="shared" si="701"/>
        <v>-3.6499999999999998E-2</v>
      </c>
      <c r="AP428" s="13">
        <f t="shared" si="702"/>
        <v>0</v>
      </c>
      <c r="AQ428" s="13">
        <f t="shared" si="703"/>
        <v>-2.4799999999999999E-2</v>
      </c>
      <c r="AR428" s="13">
        <f t="shared" si="695"/>
        <v>-3.6499999999999998E-2</v>
      </c>
      <c r="AS428" s="6">
        <f t="shared" si="687"/>
        <v>278.33517379815328</v>
      </c>
      <c r="AT428" s="6">
        <f t="shared" si="688"/>
        <v>185.97425508967711</v>
      </c>
      <c r="AU428" s="6">
        <f t="shared" si="689"/>
        <v>475.24002138442205</v>
      </c>
      <c r="AV428" s="6">
        <f t="shared" si="690"/>
        <v>652.79619451777444</v>
      </c>
      <c r="AW428" s="58">
        <f t="shared" si="696"/>
        <v>2010</v>
      </c>
      <c r="AX428" s="58">
        <f>COUNTIF(AW$3:AW428,AW428)</f>
        <v>28</v>
      </c>
    </row>
    <row r="429" spans="1:50" x14ac:dyDescent="0.25">
      <c r="A429" s="5">
        <v>40342</v>
      </c>
      <c r="B429">
        <v>1091.5999999999999</v>
      </c>
      <c r="C429">
        <v>0.1</v>
      </c>
      <c r="D429" s="6">
        <v>28.79</v>
      </c>
      <c r="E429" s="18">
        <f t="shared" si="709"/>
        <v>32.11</v>
      </c>
      <c r="F429">
        <f t="shared" si="710"/>
        <v>-2</v>
      </c>
      <c r="G429" s="18">
        <f>ROUND(INDEX(Valuation!U:U,MATCH(A429,Valuation!A:A,0)),2)</f>
        <v>224.67</v>
      </c>
      <c r="H429">
        <f t="shared" si="717"/>
        <v>3</v>
      </c>
      <c r="I429" s="18">
        <f>INDEX(WeeklyIndicators!Y:Y,MATCH(A429,WeeklyIndicators!A:A,0))</f>
        <v>81.52</v>
      </c>
      <c r="J429">
        <f t="shared" si="706"/>
        <v>-2</v>
      </c>
      <c r="K429">
        <f>ROUND(INDEX(Economic!AF:AF,MATCH(EOMONTH($A429,-1),Economic!A:A,0)),2)</f>
        <v>104.71</v>
      </c>
      <c r="L429" s="11">
        <f t="shared" si="715"/>
        <v>0</v>
      </c>
      <c r="M429">
        <f>ROUND(INDEX(Manufacturing!P:P,MATCH(EOMONTH($A429,-1),Manufacturing!A:A,0)),2)</f>
        <v>103.9</v>
      </c>
      <c r="N429">
        <f t="shared" si="711"/>
        <v>2</v>
      </c>
      <c r="O429">
        <f>ROUND(INDEX(Housing!AC:AC,MATCH(EOMONTH($A429,-1),Housing!B:B,0)),2)</f>
        <v>61.16</v>
      </c>
      <c r="P429">
        <f t="shared" si="712"/>
        <v>-2</v>
      </c>
      <c r="Q429">
        <f>ROUND(INDEX(Spending!AJ:AJ,MATCH(EOMONTH($A429,-1),Spending!B:B,0)),2)</f>
        <v>51.95</v>
      </c>
      <c r="R429">
        <f t="shared" si="716"/>
        <v>1</v>
      </c>
      <c r="S429">
        <f>ROUND(INDEX(Employment!V:V,MATCH(EOMONTH($A429,-1),Employment!A:A,0)),2)</f>
        <v>150.69</v>
      </c>
      <c r="T429" s="11">
        <f t="shared" si="713"/>
        <v>0</v>
      </c>
      <c r="U429">
        <f t="shared" si="705"/>
        <v>20</v>
      </c>
      <c r="V429">
        <f t="shared" si="697"/>
        <v>64.8</v>
      </c>
      <c r="W429" s="13">
        <f t="shared" si="698"/>
        <v>-8.9999999999999998E-4</v>
      </c>
      <c r="X429" s="13">
        <f t="shared" si="699"/>
        <v>-3.5900000000000001E-2</v>
      </c>
      <c r="Y429">
        <f t="shared" si="691"/>
        <v>72.94</v>
      </c>
      <c r="Z429" s="13">
        <f t="shared" si="686"/>
        <v>1.03E-2</v>
      </c>
      <c r="AA429" s="13">
        <f t="shared" si="682"/>
        <v>-7.0800000000000002E-2</v>
      </c>
      <c r="AB429" s="6">
        <f t="shared" si="692"/>
        <v>84.966999999999999</v>
      </c>
      <c r="AC429">
        <f t="shared" si="684"/>
        <v>42</v>
      </c>
      <c r="AD429" s="11">
        <f t="shared" si="685"/>
        <v>1</v>
      </c>
      <c r="AE429">
        <f t="shared" si="683"/>
        <v>23</v>
      </c>
      <c r="AF429">
        <f>IF(AND(AE429&lt;15,OR(AC429&gt;=30,AA429&gt;0.15,X429&gt;=0.15)),2,VLOOKUP(AE429,Table!P:Q,2,FALSE))</f>
        <v>3</v>
      </c>
      <c r="AG429" s="22">
        <f>IF((AB429*0.98)-(D429*0.8)+((AF429-3)*3)+VLOOKUP(AM429,Table!$A$11:$B$13,2,FALSE)&lt;0,0,(AB429*0.98)-(D429*0.8)+((AF429-3)*3)+VLOOKUP(AM429,Table!$A$11:$B$13,2,FALSE))</f>
        <v>68.235659999999996</v>
      </c>
      <c r="AH429" s="22">
        <f t="shared" si="714"/>
        <v>62</v>
      </c>
      <c r="AI429" s="18">
        <f t="shared" si="707"/>
        <v>0.15</v>
      </c>
      <c r="AJ429" s="18">
        <f t="shared" si="708"/>
        <v>0.1</v>
      </c>
      <c r="AK429" t="str">
        <f t="shared" si="693"/>
        <v/>
      </c>
      <c r="AL429">
        <f t="shared" si="704"/>
        <v>21</v>
      </c>
      <c r="AM429" s="11" t="str">
        <f t="shared" si="694"/>
        <v>Stocks</v>
      </c>
      <c r="AN429" t="str">
        <f t="shared" si="700"/>
        <v>Buy</v>
      </c>
      <c r="AO429" s="13">
        <f t="shared" si="701"/>
        <v>2.3699999999999999E-2</v>
      </c>
      <c r="AP429" s="13">
        <f t="shared" si="702"/>
        <v>0</v>
      </c>
      <c r="AQ429" s="13">
        <f t="shared" si="703"/>
        <v>1.47E-2</v>
      </c>
      <c r="AR429" s="13">
        <f t="shared" si="695"/>
        <v>2.3699999999999999E-2</v>
      </c>
      <c r="AS429" s="6">
        <f t="shared" si="687"/>
        <v>271.89134883086183</v>
      </c>
      <c r="AT429" s="6">
        <f t="shared" si="688"/>
        <v>185.97425508967711</v>
      </c>
      <c r="AU429" s="6">
        <f t="shared" si="689"/>
        <v>468.35519994522724</v>
      </c>
      <c r="AV429" s="6">
        <f t="shared" si="690"/>
        <v>637.68310493091178</v>
      </c>
      <c r="AW429" s="58">
        <f t="shared" si="696"/>
        <v>2010</v>
      </c>
      <c r="AX429" s="58">
        <f>COUNTIF(AW$3:AW429,AW429)</f>
        <v>29</v>
      </c>
    </row>
    <row r="430" spans="1:50" x14ac:dyDescent="0.25">
      <c r="A430" s="5">
        <v>40335</v>
      </c>
      <c r="B430">
        <v>1064.8800000000001</v>
      </c>
      <c r="C430">
        <v>0.15</v>
      </c>
      <c r="D430" s="6">
        <v>35.479999999999997</v>
      </c>
      <c r="E430" s="18">
        <f t="shared" si="709"/>
        <v>35.880000000000003</v>
      </c>
      <c r="F430">
        <f t="shared" si="710"/>
        <v>-3</v>
      </c>
      <c r="G430" s="18">
        <f>ROUND(INDEX(Valuation!U:U,MATCH(A430,Valuation!A:A,0)),2)</f>
        <v>221.16</v>
      </c>
      <c r="H430">
        <f t="shared" si="717"/>
        <v>3</v>
      </c>
      <c r="I430" s="18">
        <f>INDEX(WeeklyIndicators!Y:Y,MATCH(A430,WeeklyIndicators!A:A,0))</f>
        <v>86.49</v>
      </c>
      <c r="J430">
        <f t="shared" si="706"/>
        <v>-2</v>
      </c>
      <c r="K430">
        <f>ROUND(INDEX(Economic!AF:AF,MATCH(EOMONTH($A430,-1),Economic!A:A,0)),2)</f>
        <v>104.71</v>
      </c>
      <c r="L430" s="11">
        <f t="shared" si="715"/>
        <v>0</v>
      </c>
      <c r="M430">
        <f>ROUND(INDEX(Manufacturing!P:P,MATCH(EOMONTH($A430,-1),Manufacturing!A:A,0)),2)</f>
        <v>103.9</v>
      </c>
      <c r="N430">
        <f t="shared" si="711"/>
        <v>2</v>
      </c>
      <c r="O430">
        <f>ROUND(INDEX(Housing!AC:AC,MATCH(EOMONTH($A430,-1),Housing!B:B,0)),2)</f>
        <v>61.16</v>
      </c>
      <c r="P430">
        <f t="shared" si="712"/>
        <v>-2</v>
      </c>
      <c r="Q430">
        <f>ROUND(INDEX(Spending!AJ:AJ,MATCH(EOMONTH($A430,-1),Spending!B:B,0)),2)</f>
        <v>51.95</v>
      </c>
      <c r="R430">
        <f t="shared" si="716"/>
        <v>1</v>
      </c>
      <c r="S430">
        <f>ROUND(INDEX(Employment!V:V,MATCH(EOMONTH($A430,-1),Employment!A:A,0)),2)</f>
        <v>150.69</v>
      </c>
      <c r="T430" s="11">
        <f t="shared" si="713"/>
        <v>0</v>
      </c>
      <c r="U430">
        <f t="shared" si="705"/>
        <v>19</v>
      </c>
      <c r="V430">
        <f t="shared" si="697"/>
        <v>65.319999999999993</v>
      </c>
      <c r="W430" s="13">
        <f t="shared" si="698"/>
        <v>-3.5999999999999999E-3</v>
      </c>
      <c r="X430" s="13">
        <f t="shared" si="699"/>
        <v>-4.3000000000000003E-2</v>
      </c>
      <c r="Y430">
        <f t="shared" si="691"/>
        <v>71.75</v>
      </c>
      <c r="Z430" s="13">
        <f t="shared" si="686"/>
        <v>-1.1299999999999999E-2</v>
      </c>
      <c r="AA430" s="13">
        <f t="shared" si="682"/>
        <v>-0.10900000000000001</v>
      </c>
      <c r="AB430" s="6">
        <f t="shared" si="692"/>
        <v>80.805999999999997</v>
      </c>
      <c r="AC430">
        <f t="shared" si="684"/>
        <v>40</v>
      </c>
      <c r="AD430" s="11">
        <f t="shared" si="685"/>
        <v>0</v>
      </c>
      <c r="AE430">
        <f t="shared" si="683"/>
        <v>21</v>
      </c>
      <c r="AF430">
        <f>IF(AND(AE430&lt;15,OR(AC430&gt;=30,AA430&gt;0.15,X430&gt;=0.15)),2,VLOOKUP(AE430,Table!P:Q,2,FALSE))</f>
        <v>3</v>
      </c>
      <c r="AG430" s="22">
        <f>IF((AB430*0.98)-(D430*0.8)+((AF430-3)*3)+VLOOKUP(AM430,Table!$A$11:$B$13,2,FALSE)&lt;0,0,(AB430*0.98)-(D430*0.8)+((AF430-3)*3)+VLOOKUP(AM430,Table!$A$11:$B$13,2,FALSE))</f>
        <v>58.805880000000002</v>
      </c>
      <c r="AH430" s="22">
        <f t="shared" si="714"/>
        <v>58</v>
      </c>
      <c r="AI430" s="18">
        <f t="shared" si="707"/>
        <v>0.16</v>
      </c>
      <c r="AJ430" s="18">
        <f t="shared" si="708"/>
        <v>0.11</v>
      </c>
      <c r="AK430" t="str">
        <f t="shared" si="693"/>
        <v/>
      </c>
      <c r="AL430">
        <f t="shared" si="704"/>
        <v>20.75</v>
      </c>
      <c r="AM430" s="11" t="str">
        <f t="shared" si="694"/>
        <v>Stocks</v>
      </c>
      <c r="AN430" t="str">
        <f t="shared" si="700"/>
        <v>Buy</v>
      </c>
      <c r="AO430" s="13">
        <f t="shared" si="701"/>
        <v>2.5100000000000001E-2</v>
      </c>
      <c r="AP430" s="13">
        <f t="shared" si="702"/>
        <v>0</v>
      </c>
      <c r="AQ430" s="13">
        <f t="shared" si="703"/>
        <v>1.46E-2</v>
      </c>
      <c r="AR430" s="13">
        <f t="shared" si="695"/>
        <v>2.5100000000000001E-2</v>
      </c>
      <c r="AS430" s="6">
        <f t="shared" si="687"/>
        <v>265.2339760324474</v>
      </c>
      <c r="AT430" s="6">
        <f t="shared" si="688"/>
        <v>185.97425508967711</v>
      </c>
      <c r="AU430" s="6">
        <f t="shared" si="689"/>
        <v>461.61561200988297</v>
      </c>
      <c r="AV430" s="6">
        <f t="shared" si="690"/>
        <v>622.06916879417793</v>
      </c>
      <c r="AW430" s="58">
        <f t="shared" si="696"/>
        <v>2010</v>
      </c>
      <c r="AX430" s="58">
        <f>COUNTIF(AW$3:AW430,AW430)</f>
        <v>30</v>
      </c>
    </row>
    <row r="431" spans="1:50" x14ac:dyDescent="0.25">
      <c r="A431" s="5">
        <v>40328</v>
      </c>
      <c r="B431">
        <v>1089.4100000000001</v>
      </c>
      <c r="C431">
        <v>0.17</v>
      </c>
      <c r="D431" s="6">
        <v>32.07</v>
      </c>
      <c r="E431" s="18">
        <f t="shared" si="709"/>
        <v>34.47</v>
      </c>
      <c r="F431">
        <f t="shared" si="710"/>
        <v>-2</v>
      </c>
      <c r="G431" s="18">
        <f>ROUND(INDEX(Valuation!U:U,MATCH(A431,Valuation!A:A,0)),2)</f>
        <v>219.63</v>
      </c>
      <c r="H431">
        <f t="shared" si="717"/>
        <v>3</v>
      </c>
      <c r="I431" s="18">
        <f>INDEX(WeeklyIndicators!Y:Y,MATCH(A431,WeeklyIndicators!A:A,0))</f>
        <v>92.99</v>
      </c>
      <c r="J431">
        <f t="shared" si="706"/>
        <v>-2</v>
      </c>
      <c r="K431">
        <f>ROUND(INDEX(Economic!AF:AF,MATCH(EOMONTH($A431,-1),Economic!A:A,0)),2)</f>
        <v>105.91</v>
      </c>
      <c r="L431" s="11">
        <f t="shared" si="715"/>
        <v>0</v>
      </c>
      <c r="M431">
        <f>ROUND(INDEX(Manufacturing!P:P,MATCH(EOMONTH($A431,-1),Manufacturing!A:A,0)),2)</f>
        <v>101.21</v>
      </c>
      <c r="N431">
        <f t="shared" si="711"/>
        <v>2</v>
      </c>
      <c r="O431">
        <f>ROUND(INDEX(Housing!AC:AC,MATCH(EOMONTH($A431,-1),Housing!B:B,0)),2)</f>
        <v>61.34</v>
      </c>
      <c r="P431">
        <f t="shared" si="712"/>
        <v>-2</v>
      </c>
      <c r="Q431">
        <f>ROUND(INDEX(Spending!AJ:AJ,MATCH(EOMONTH($A431,-1),Spending!B:B,0)),2)</f>
        <v>51.37</v>
      </c>
      <c r="R431">
        <f t="shared" si="716"/>
        <v>1</v>
      </c>
      <c r="S431">
        <f>ROUND(INDEX(Employment!V:V,MATCH(EOMONTH($A431,-1),Employment!A:A,0)),2)</f>
        <v>131.71</v>
      </c>
      <c r="T431" s="11">
        <f t="shared" si="713"/>
        <v>-2</v>
      </c>
      <c r="U431">
        <f t="shared" si="705"/>
        <v>18</v>
      </c>
      <c r="V431">
        <f t="shared" si="697"/>
        <v>64.14</v>
      </c>
      <c r="W431" s="13">
        <f t="shared" si="698"/>
        <v>-1.5800000000000002E-2</v>
      </c>
      <c r="X431" s="13">
        <f t="shared" si="699"/>
        <v>-4.19E-2</v>
      </c>
      <c r="Y431">
        <f t="shared" si="691"/>
        <v>70.89</v>
      </c>
      <c r="Z431" s="13">
        <f t="shared" si="686"/>
        <v>-2.76E-2</v>
      </c>
      <c r="AA431" s="13">
        <f t="shared" si="682"/>
        <v>-0.11470000000000001</v>
      </c>
      <c r="AB431" s="6">
        <f t="shared" si="692"/>
        <v>79.382999999999996</v>
      </c>
      <c r="AC431">
        <f t="shared" si="684"/>
        <v>40</v>
      </c>
      <c r="AD431" s="11">
        <f t="shared" si="685"/>
        <v>0</v>
      </c>
      <c r="AE431">
        <f t="shared" si="683"/>
        <v>20</v>
      </c>
      <c r="AF431">
        <f>IF(AND(AE431&lt;15,OR(AC431&gt;=30,AA431&gt;0.15,X431&gt;=0.15)),2,VLOOKUP(AE431,Table!P:Q,2,FALSE))</f>
        <v>3</v>
      </c>
      <c r="AG431" s="22">
        <f>IF((AB431*0.98)-(D431*0.8)+((AF431-3)*3)+VLOOKUP(AM431,Table!$A$11:$B$13,2,FALSE)&lt;0,0,(AB431*0.98)-(D431*0.8)+((AF431-3)*3)+VLOOKUP(AM431,Table!$A$11:$B$13,2,FALSE))</f>
        <v>60.13933999999999</v>
      </c>
      <c r="AH431" s="22">
        <f t="shared" si="714"/>
        <v>62</v>
      </c>
      <c r="AI431" s="18">
        <f t="shared" si="707"/>
        <v>0.16</v>
      </c>
      <c r="AJ431" s="18">
        <f t="shared" si="708"/>
        <v>0.11</v>
      </c>
      <c r="AK431" t="str">
        <f t="shared" si="693"/>
        <v/>
      </c>
      <c r="AL431">
        <f t="shared" si="704"/>
        <v>21.25</v>
      </c>
      <c r="AM431" s="11" t="str">
        <f t="shared" si="694"/>
        <v>Stocks</v>
      </c>
      <c r="AN431" t="str">
        <f t="shared" si="700"/>
        <v>Sell</v>
      </c>
      <c r="AO431" s="13">
        <f t="shared" si="701"/>
        <v>-2.2499999999999999E-2</v>
      </c>
      <c r="AP431" s="13">
        <f t="shared" si="702"/>
        <v>0</v>
      </c>
      <c r="AQ431" s="13">
        <f t="shared" si="703"/>
        <v>-1.4E-2</v>
      </c>
      <c r="AR431" s="13">
        <f t="shared" si="695"/>
        <v>-2.2499999999999999E-2</v>
      </c>
      <c r="AS431" s="6">
        <f t="shared" si="687"/>
        <v>271.33910591554718</v>
      </c>
      <c r="AT431" s="6">
        <f t="shared" si="688"/>
        <v>185.97425508967711</v>
      </c>
      <c r="AU431" s="6">
        <f t="shared" si="689"/>
        <v>468.16999189643303</v>
      </c>
      <c r="AV431" s="6">
        <f t="shared" si="690"/>
        <v>636.38789646463215</v>
      </c>
      <c r="AW431" s="58">
        <f t="shared" si="696"/>
        <v>2010</v>
      </c>
      <c r="AX431" s="58">
        <f>COUNTIF(AW$3:AW431,AW431)</f>
        <v>31</v>
      </c>
    </row>
    <row r="432" spans="1:50" x14ac:dyDescent="0.25">
      <c r="A432" s="5">
        <v>40321</v>
      </c>
      <c r="B432">
        <v>1087.69</v>
      </c>
      <c r="C432">
        <v>0.17</v>
      </c>
      <c r="D432" s="6">
        <v>40.1</v>
      </c>
      <c r="E432" s="18">
        <f t="shared" si="709"/>
        <v>37.43</v>
      </c>
      <c r="F432">
        <f t="shared" si="710"/>
        <v>-3</v>
      </c>
      <c r="G432" s="18">
        <f>ROUND(INDEX(Valuation!U:U,MATCH(A432,Valuation!A:A,0)),2)</f>
        <v>219.93</v>
      </c>
      <c r="H432">
        <f t="shared" si="717"/>
        <v>3</v>
      </c>
      <c r="I432" s="18">
        <f>INDEX(WeeklyIndicators!Y:Y,MATCH(A432,WeeklyIndicators!A:A,0))</f>
        <v>101.14</v>
      </c>
      <c r="J432">
        <f t="shared" si="706"/>
        <v>-1</v>
      </c>
      <c r="K432">
        <f>ROUND(INDEX(Economic!AF:AF,MATCH(EOMONTH($A432,-1),Economic!A:A,0)),2)</f>
        <v>105.91</v>
      </c>
      <c r="L432" s="11">
        <f t="shared" si="715"/>
        <v>0</v>
      </c>
      <c r="M432">
        <f>ROUND(INDEX(Manufacturing!P:P,MATCH(EOMONTH($A432,-1),Manufacturing!A:A,0)),2)</f>
        <v>101.21</v>
      </c>
      <c r="N432">
        <f t="shared" si="711"/>
        <v>2</v>
      </c>
      <c r="O432">
        <f>ROUND(INDEX(Housing!AC:AC,MATCH(EOMONTH($A432,-1),Housing!B:B,0)),2)</f>
        <v>61.34</v>
      </c>
      <c r="P432">
        <f t="shared" si="712"/>
        <v>-2</v>
      </c>
      <c r="Q432">
        <f>ROUND(INDEX(Spending!AJ:AJ,MATCH(EOMONTH($A432,-1),Spending!B:B,0)),2)</f>
        <v>51.37</v>
      </c>
      <c r="R432">
        <f t="shared" si="716"/>
        <v>1</v>
      </c>
      <c r="S432">
        <f>ROUND(INDEX(Employment!V:V,MATCH(EOMONTH($A432,-1),Employment!A:A,0)),2)</f>
        <v>131.71</v>
      </c>
      <c r="T432" s="11">
        <f t="shared" si="713"/>
        <v>-2</v>
      </c>
      <c r="U432">
        <f t="shared" si="705"/>
        <v>18</v>
      </c>
      <c r="V432">
        <f t="shared" si="697"/>
        <v>64.98</v>
      </c>
      <c r="W432" s="13">
        <f t="shared" si="698"/>
        <v>-1.5599999999999999E-2</v>
      </c>
      <c r="X432" s="13">
        <f t="shared" si="699"/>
        <v>-2.4599999999999997E-2</v>
      </c>
      <c r="Y432">
        <f t="shared" si="691"/>
        <v>70.739999999999995</v>
      </c>
      <c r="Z432" s="13">
        <f t="shared" si="686"/>
        <v>-4.2200000000000001E-2</v>
      </c>
      <c r="AA432" s="13">
        <f t="shared" si="682"/>
        <v>-8.9799999999999991E-2</v>
      </c>
      <c r="AB432" s="6">
        <f t="shared" si="692"/>
        <v>81.132999999999996</v>
      </c>
      <c r="AC432">
        <f t="shared" si="684"/>
        <v>41</v>
      </c>
      <c r="AD432" s="11">
        <f t="shared" si="685"/>
        <v>0</v>
      </c>
      <c r="AE432">
        <f t="shared" si="683"/>
        <v>20</v>
      </c>
      <c r="AF432">
        <f>IF(AND(AE432&lt;15,OR(AC432&gt;=30,AA432&gt;0.15,X432&gt;=0.15)),2,VLOOKUP(AE432,Table!P:Q,2,FALSE))</f>
        <v>3</v>
      </c>
      <c r="AG432" s="22">
        <f>IF((AB432*0.98)-(D432*0.8)+((AF432-3)*3)+VLOOKUP(AM432,Table!$A$11:$B$13,2,FALSE)&lt;0,0,(AB432*0.98)-(D432*0.8)+((AF432-3)*3)+VLOOKUP(AM432,Table!$A$11:$B$13,2,FALSE))</f>
        <v>55.430339999999994</v>
      </c>
      <c r="AH432" s="22">
        <f t="shared" si="714"/>
        <v>64</v>
      </c>
      <c r="AI432" s="18">
        <f t="shared" si="707"/>
        <v>0.15</v>
      </c>
      <c r="AJ432" s="18">
        <f t="shared" si="708"/>
        <v>0.11</v>
      </c>
      <c r="AK432" t="str">
        <f t="shared" si="693"/>
        <v/>
      </c>
      <c r="AL432">
        <f t="shared" si="704"/>
        <v>22.5</v>
      </c>
      <c r="AM432" s="11" t="str">
        <f t="shared" si="694"/>
        <v>Stocks</v>
      </c>
      <c r="AN432" t="str">
        <f t="shared" si="700"/>
        <v>Sell</v>
      </c>
      <c r="AO432" s="13">
        <f t="shared" si="701"/>
        <v>1.6000000000000001E-3</v>
      </c>
      <c r="AP432" s="13">
        <f t="shared" si="702"/>
        <v>0</v>
      </c>
      <c r="AQ432" s="13">
        <f t="shared" si="703"/>
        <v>1E-3</v>
      </c>
      <c r="AR432" s="13">
        <f t="shared" si="695"/>
        <v>1.6000000000000001E-3</v>
      </c>
      <c r="AS432" s="6">
        <f t="shared" si="687"/>
        <v>270.90565686456387</v>
      </c>
      <c r="AT432" s="6">
        <f t="shared" si="688"/>
        <v>185.97425508967711</v>
      </c>
      <c r="AU432" s="6">
        <f t="shared" si="689"/>
        <v>467.70228960682624</v>
      </c>
      <c r="AV432" s="6">
        <f t="shared" si="690"/>
        <v>635.37130238082284</v>
      </c>
      <c r="AW432" s="58">
        <f t="shared" si="696"/>
        <v>2010</v>
      </c>
      <c r="AX432" s="58">
        <f>COUNTIF(AW$3:AW432,AW432)</f>
        <v>32</v>
      </c>
    </row>
    <row r="433" spans="1:50" x14ac:dyDescent="0.25">
      <c r="A433" s="5">
        <v>40314</v>
      </c>
      <c r="B433">
        <v>1135.68</v>
      </c>
      <c r="C433">
        <v>0.16</v>
      </c>
      <c r="D433" s="6">
        <v>31.24</v>
      </c>
      <c r="E433" s="18">
        <f t="shared" si="709"/>
        <v>31.41</v>
      </c>
      <c r="F433">
        <f t="shared" si="710"/>
        <v>-2</v>
      </c>
      <c r="G433" s="18">
        <f>ROUND(INDEX(Valuation!U:U,MATCH(A433,Valuation!A:A,0)),2)</f>
        <v>222.7</v>
      </c>
      <c r="H433">
        <f t="shared" si="717"/>
        <v>3</v>
      </c>
      <c r="I433" s="18">
        <f>INDEX(WeeklyIndicators!Y:Y,MATCH(A433,WeeklyIndicators!A:A,0))</f>
        <v>111.19</v>
      </c>
      <c r="J433">
        <f t="shared" si="706"/>
        <v>-1</v>
      </c>
      <c r="K433">
        <f>ROUND(INDEX(Economic!AF:AF,MATCH(EOMONTH($A433,-1),Economic!A:A,0)),2)</f>
        <v>105.91</v>
      </c>
      <c r="L433" s="11">
        <f t="shared" si="715"/>
        <v>0</v>
      </c>
      <c r="M433">
        <f>ROUND(INDEX(Manufacturing!P:P,MATCH(EOMONTH($A433,-1),Manufacturing!A:A,0)),2)</f>
        <v>101.21</v>
      </c>
      <c r="N433">
        <f t="shared" si="711"/>
        <v>2</v>
      </c>
      <c r="O433">
        <f>ROUND(INDEX(Housing!AC:AC,MATCH(EOMONTH($A433,-1),Housing!B:B,0)),2)</f>
        <v>61.34</v>
      </c>
      <c r="P433">
        <f t="shared" si="712"/>
        <v>-2</v>
      </c>
      <c r="Q433">
        <f>ROUND(INDEX(Spending!AJ:AJ,MATCH(EOMONTH($A433,-1),Spending!B:B,0)),2)</f>
        <v>51.37</v>
      </c>
      <c r="R433">
        <f t="shared" si="716"/>
        <v>1</v>
      </c>
      <c r="S433">
        <f>ROUND(INDEX(Employment!V:V,MATCH(EOMONTH($A433,-1),Employment!A:A,0)),2)</f>
        <v>131.71</v>
      </c>
      <c r="T433" s="11">
        <f t="shared" si="713"/>
        <v>-2</v>
      </c>
      <c r="U433">
        <f t="shared" si="705"/>
        <v>19</v>
      </c>
      <c r="V433">
        <f t="shared" si="697"/>
        <v>66.02</v>
      </c>
      <c r="W433" s="13">
        <f t="shared" si="698"/>
        <v>-8.0000000000000002E-3</v>
      </c>
      <c r="X433" s="13">
        <f t="shared" si="699"/>
        <v>-1.0200000000000001E-2</v>
      </c>
      <c r="Y433">
        <f t="shared" si="691"/>
        <v>74.19</v>
      </c>
      <c r="Z433" s="13">
        <f t="shared" si="686"/>
        <v>-2.7900000000000001E-2</v>
      </c>
      <c r="AA433" s="13">
        <f t="shared" si="682"/>
        <v>-4.7E-2</v>
      </c>
      <c r="AB433" s="6">
        <f t="shared" si="692"/>
        <v>87.91</v>
      </c>
      <c r="AC433">
        <f t="shared" si="684"/>
        <v>44</v>
      </c>
      <c r="AD433" s="11">
        <f t="shared" si="685"/>
        <v>1</v>
      </c>
      <c r="AE433">
        <f t="shared" si="683"/>
        <v>22</v>
      </c>
      <c r="AF433">
        <f>IF(AND(AE433&lt;15,OR(AC433&gt;=30,AA433&gt;0.15,X433&gt;=0.15)),2,VLOOKUP(AE433,Table!P:Q,2,FALSE))</f>
        <v>3</v>
      </c>
      <c r="AG433" s="22">
        <f>IF((AB433*0.98)-(D433*0.8)+((AF433-3)*3)+VLOOKUP(AM433,Table!$A$11:$B$13,2,FALSE)&lt;0,0,(AB433*0.98)-(D433*0.8)+((AF433-3)*3)+VLOOKUP(AM433,Table!$A$11:$B$13,2,FALSE))</f>
        <v>69.15979999999999</v>
      </c>
      <c r="AH433" s="22">
        <f t="shared" si="714"/>
        <v>74</v>
      </c>
      <c r="AI433" s="18">
        <f t="shared" si="707"/>
        <v>0.15</v>
      </c>
      <c r="AJ433" s="18">
        <f t="shared" si="708"/>
        <v>0.11</v>
      </c>
      <c r="AK433" t="str">
        <f t="shared" si="693"/>
        <v/>
      </c>
      <c r="AL433">
        <f t="shared" si="704"/>
        <v>23.75</v>
      </c>
      <c r="AM433" s="11" t="str">
        <f t="shared" si="694"/>
        <v>Stocks</v>
      </c>
      <c r="AN433" t="str">
        <f t="shared" si="700"/>
        <v>Buy</v>
      </c>
      <c r="AO433" s="13">
        <f t="shared" si="701"/>
        <v>-4.2299999999999997E-2</v>
      </c>
      <c r="AP433" s="13">
        <f t="shared" si="702"/>
        <v>0</v>
      </c>
      <c r="AQ433" s="13">
        <f t="shared" si="703"/>
        <v>-3.1300000000000001E-2</v>
      </c>
      <c r="AR433" s="13">
        <f t="shared" si="695"/>
        <v>-4.2299999999999997E-2</v>
      </c>
      <c r="AS433" s="6">
        <f t="shared" si="687"/>
        <v>282.87110458866437</v>
      </c>
      <c r="AT433" s="6">
        <f t="shared" si="688"/>
        <v>185.97425508967711</v>
      </c>
      <c r="AU433" s="6">
        <f t="shared" si="689"/>
        <v>482.81437969115956</v>
      </c>
      <c r="AV433" s="6">
        <f t="shared" si="690"/>
        <v>663.43458534073602</v>
      </c>
      <c r="AW433" s="58">
        <f t="shared" si="696"/>
        <v>2010</v>
      </c>
      <c r="AX433" s="58">
        <f>COUNTIF(AW$3:AW433,AW433)</f>
        <v>33</v>
      </c>
    </row>
    <row r="434" spans="1:50" x14ac:dyDescent="0.25">
      <c r="A434" s="5">
        <v>40307</v>
      </c>
      <c r="B434">
        <v>1110.8800000000001</v>
      </c>
      <c r="C434">
        <v>0.14000000000000001</v>
      </c>
      <c r="D434" s="6">
        <v>40.950000000000003</v>
      </c>
      <c r="E434" s="18">
        <f t="shared" si="709"/>
        <v>26.54</v>
      </c>
      <c r="F434">
        <f t="shared" si="710"/>
        <v>-2</v>
      </c>
      <c r="G434" s="18">
        <f>ROUND(INDEX(Valuation!U:U,MATCH(A434,Valuation!A:A,0)),2)</f>
        <v>221.61</v>
      </c>
      <c r="H434">
        <f t="shared" si="717"/>
        <v>3</v>
      </c>
      <c r="I434" s="18">
        <f>INDEX(WeeklyIndicators!Y:Y,MATCH(A434,WeeklyIndicators!A:A,0))</f>
        <v>123.27</v>
      </c>
      <c r="J434">
        <f t="shared" si="706"/>
        <v>0</v>
      </c>
      <c r="K434">
        <f>ROUND(INDEX(Economic!AF:AF,MATCH(EOMONTH($A434,-1),Economic!A:A,0)),2)</f>
        <v>105.91</v>
      </c>
      <c r="L434" s="11">
        <f t="shared" si="715"/>
        <v>0</v>
      </c>
      <c r="M434">
        <f>ROUND(INDEX(Manufacturing!P:P,MATCH(EOMONTH($A434,-1),Manufacturing!A:A,0)),2)</f>
        <v>101.21</v>
      </c>
      <c r="N434">
        <f t="shared" si="711"/>
        <v>2</v>
      </c>
      <c r="O434">
        <f>ROUND(INDEX(Housing!AC:AC,MATCH(EOMONTH($A434,-1),Housing!B:B,0)),2)</f>
        <v>61.34</v>
      </c>
      <c r="P434">
        <f t="shared" si="712"/>
        <v>-2</v>
      </c>
      <c r="Q434">
        <f>ROUND(INDEX(Spending!AJ:AJ,MATCH(EOMONTH($A434,-1),Spending!B:B,0)),2)</f>
        <v>51.37</v>
      </c>
      <c r="R434">
        <f t="shared" si="716"/>
        <v>1</v>
      </c>
      <c r="S434">
        <f>ROUND(INDEX(Employment!V:V,MATCH(EOMONTH($A434,-1),Employment!A:A,0)),2)</f>
        <v>131.71</v>
      </c>
      <c r="T434" s="11">
        <f t="shared" si="713"/>
        <v>-2</v>
      </c>
      <c r="U434">
        <f t="shared" si="705"/>
        <v>20</v>
      </c>
      <c r="V434">
        <f t="shared" si="697"/>
        <v>67.28</v>
      </c>
      <c r="W434" s="13">
        <f t="shared" si="698"/>
        <v>-2.5000000000000001E-3</v>
      </c>
      <c r="X434" s="13">
        <f t="shared" si="699"/>
        <v>-1.9999999999999966E-4</v>
      </c>
      <c r="Y434">
        <f t="shared" si="691"/>
        <v>77.02</v>
      </c>
      <c r="Z434" s="13">
        <f t="shared" si="686"/>
        <v>-1.7000000000000001E-2</v>
      </c>
      <c r="AA434" s="13">
        <f t="shared" si="682"/>
        <v>-1.4200000000000003E-2</v>
      </c>
      <c r="AB434" s="6">
        <f t="shared" si="692"/>
        <v>92.971000000000004</v>
      </c>
      <c r="AC434">
        <f t="shared" si="684"/>
        <v>46</v>
      </c>
      <c r="AD434" s="11">
        <f t="shared" si="685"/>
        <v>1</v>
      </c>
      <c r="AE434">
        <f t="shared" si="683"/>
        <v>23</v>
      </c>
      <c r="AF434">
        <f>IF(AND(AE434&lt;15,OR(AC434&gt;=30,AA434&gt;0.15,X434&gt;=0.15)),2,VLOOKUP(AE434,Table!P:Q,2,FALSE))</f>
        <v>3</v>
      </c>
      <c r="AG434" s="22">
        <f>IF((AB434*0.98)-(D434*0.8)+((AF434-3)*3)+VLOOKUP(AM434,Table!$A$11:$B$13,2,FALSE)&lt;0,0,(AB434*0.98)-(D434*0.8)+((AF434-3)*3)+VLOOKUP(AM434,Table!$A$11:$B$13,2,FALSE))</f>
        <v>66.351579999999998</v>
      </c>
      <c r="AH434" s="22">
        <f t="shared" si="714"/>
        <v>82</v>
      </c>
      <c r="AI434" s="18">
        <f t="shared" si="707"/>
        <v>0.14000000000000001</v>
      </c>
      <c r="AJ434" s="18">
        <f t="shared" si="708"/>
        <v>0.11</v>
      </c>
      <c r="AK434" t="str">
        <f t="shared" si="693"/>
        <v/>
      </c>
      <c r="AL434">
        <f t="shared" si="704"/>
        <v>24.5</v>
      </c>
      <c r="AM434" s="11" t="str">
        <f t="shared" si="694"/>
        <v>Stocks</v>
      </c>
      <c r="AN434" t="str">
        <f t="shared" si="700"/>
        <v>Buy</v>
      </c>
      <c r="AO434" s="13">
        <f t="shared" si="701"/>
        <v>2.23E-2</v>
      </c>
      <c r="AP434" s="13">
        <f t="shared" si="702"/>
        <v>0</v>
      </c>
      <c r="AQ434" s="13">
        <f t="shared" si="703"/>
        <v>1.83E-2</v>
      </c>
      <c r="AR434" s="13">
        <f t="shared" si="695"/>
        <v>2.23E-2</v>
      </c>
      <c r="AS434" s="6">
        <f t="shared" si="687"/>
        <v>276.70067943721449</v>
      </c>
      <c r="AT434" s="6">
        <f t="shared" si="688"/>
        <v>185.97425508967711</v>
      </c>
      <c r="AU434" s="6">
        <f t="shared" si="689"/>
        <v>474.13766050393752</v>
      </c>
      <c r="AV434" s="6">
        <f t="shared" si="690"/>
        <v>648.96271675705373</v>
      </c>
      <c r="AW434" s="58">
        <f t="shared" si="696"/>
        <v>2010</v>
      </c>
      <c r="AX434" s="58">
        <f>COUNTIF(AW$3:AW434,AW434)</f>
        <v>34</v>
      </c>
    </row>
    <row r="435" spans="1:50" x14ac:dyDescent="0.25">
      <c r="A435" s="5">
        <v>40300</v>
      </c>
      <c r="B435">
        <v>1186.69</v>
      </c>
      <c r="C435">
        <v>0.16</v>
      </c>
      <c r="D435" s="6">
        <v>22.05</v>
      </c>
      <c r="E435" s="18">
        <f t="shared" si="709"/>
        <v>19.010000000000002</v>
      </c>
      <c r="F435">
        <f t="shared" si="710"/>
        <v>-1</v>
      </c>
      <c r="G435" s="18">
        <f>ROUND(INDEX(Valuation!U:U,MATCH(A435,Valuation!A:A,0)),2)</f>
        <v>221.93</v>
      </c>
      <c r="H435">
        <f t="shared" si="717"/>
        <v>3</v>
      </c>
      <c r="I435" s="18">
        <f>INDEX(WeeklyIndicators!Y:Y,MATCH(A435,WeeklyIndicators!A:A,0))</f>
        <v>131.41999999999999</v>
      </c>
      <c r="J435">
        <f t="shared" si="706"/>
        <v>0</v>
      </c>
      <c r="K435">
        <f>ROUND(INDEX(Economic!AF:AF,MATCH(EOMONTH($A435,-1),Economic!A:A,0)),2)</f>
        <v>105.91</v>
      </c>
      <c r="L435" s="11">
        <f t="shared" si="715"/>
        <v>0</v>
      </c>
      <c r="M435">
        <f>ROUND(INDEX(Manufacturing!P:P,MATCH(EOMONTH($A435,-1),Manufacturing!A:A,0)),2)</f>
        <v>101.21</v>
      </c>
      <c r="N435">
        <f t="shared" si="711"/>
        <v>2</v>
      </c>
      <c r="O435">
        <f>ROUND(INDEX(Housing!AC:AC,MATCH(EOMONTH($A435,-1),Housing!B:B,0)),2)</f>
        <v>61.34</v>
      </c>
      <c r="P435">
        <f t="shared" si="712"/>
        <v>-2</v>
      </c>
      <c r="Q435">
        <f>ROUND(INDEX(Spending!AJ:AJ,MATCH(EOMONTH($A435,-1),Spending!B:B,0)),2)</f>
        <v>51.37</v>
      </c>
      <c r="R435">
        <f t="shared" si="716"/>
        <v>1</v>
      </c>
      <c r="S435">
        <f>ROUND(INDEX(Employment!V:V,MATCH(EOMONTH($A435,-1),Employment!A:A,0)),2)</f>
        <v>131.71</v>
      </c>
      <c r="T435" s="11">
        <f t="shared" si="713"/>
        <v>-2</v>
      </c>
      <c r="U435">
        <f t="shared" si="705"/>
        <v>21</v>
      </c>
      <c r="V435">
        <f t="shared" si="697"/>
        <v>68.12</v>
      </c>
      <c r="W435" s="13">
        <f t="shared" si="698"/>
        <v>1.5E-3</v>
      </c>
      <c r="X435" s="13">
        <f t="shared" si="699"/>
        <v>4.5999999999999999E-3</v>
      </c>
      <c r="Y435">
        <f t="shared" si="691"/>
        <v>80.53</v>
      </c>
      <c r="Z435" s="13">
        <f t="shared" si="686"/>
        <v>-2.7000000000000001E-3</v>
      </c>
      <c r="AA435" s="13">
        <f t="shared" ref="AA435:AA498" si="718">SUM(Z435:Z438)</f>
        <v>8.6999999999999994E-3</v>
      </c>
      <c r="AB435" s="6">
        <f t="shared" si="692"/>
        <v>98.123000000000005</v>
      </c>
      <c r="AC435">
        <f t="shared" si="684"/>
        <v>49</v>
      </c>
      <c r="AD435" s="11">
        <f t="shared" si="685"/>
        <v>2</v>
      </c>
      <c r="AE435">
        <f t="shared" si="683"/>
        <v>25</v>
      </c>
      <c r="AF435">
        <f>IF(AND(AE435&lt;15,OR(AC435&gt;=30,AA435&gt;0.15,X435&gt;=0.15)),2,VLOOKUP(AE435,Table!P:Q,2,FALSE))</f>
        <v>3</v>
      </c>
      <c r="AG435" s="22">
        <f>IF((AB435*0.98)-(D435*0.8)+((AF435-3)*3)+VLOOKUP(AM435,Table!$A$11:$B$13,2,FALSE)&lt;0,0,(AB435*0.98)-(D435*0.8)+((AF435-3)*3)+VLOOKUP(AM435,Table!$A$11:$B$13,2,FALSE))</f>
        <v>86.520539999999997</v>
      </c>
      <c r="AH435" s="22">
        <f t="shared" si="714"/>
        <v>90</v>
      </c>
      <c r="AI435" s="18">
        <f t="shared" si="707"/>
        <v>0.14000000000000001</v>
      </c>
      <c r="AJ435" s="18">
        <f t="shared" si="708"/>
        <v>0.11</v>
      </c>
      <c r="AK435" t="str">
        <f t="shared" si="693"/>
        <v/>
      </c>
      <c r="AL435">
        <f t="shared" si="704"/>
        <v>25</v>
      </c>
      <c r="AM435" s="11" t="str">
        <f t="shared" si="694"/>
        <v>Stocks</v>
      </c>
      <c r="AN435" t="str">
        <f t="shared" si="700"/>
        <v>Buy</v>
      </c>
      <c r="AO435" s="13">
        <f t="shared" si="701"/>
        <v>-6.3899999999999998E-2</v>
      </c>
      <c r="AP435" s="13">
        <f t="shared" si="702"/>
        <v>0</v>
      </c>
      <c r="AQ435" s="13">
        <f t="shared" si="703"/>
        <v>-5.7500000000000002E-2</v>
      </c>
      <c r="AR435" s="13">
        <f t="shared" si="695"/>
        <v>-6.3899999999999998E-2</v>
      </c>
      <c r="AS435" s="6">
        <f t="shared" si="687"/>
        <v>295.58880401368924</v>
      </c>
      <c r="AT435" s="6">
        <f t="shared" si="688"/>
        <v>185.97425508967711</v>
      </c>
      <c r="AU435" s="6">
        <f t="shared" si="689"/>
        <v>503.06383077340854</v>
      </c>
      <c r="AV435" s="6">
        <f t="shared" si="690"/>
        <v>693.26216938046548</v>
      </c>
      <c r="AW435" s="58">
        <f t="shared" si="696"/>
        <v>2010</v>
      </c>
      <c r="AX435" s="58">
        <f>COUNTIF(AW$3:AW435,AW435)</f>
        <v>35</v>
      </c>
    </row>
    <row r="436" spans="1:50" x14ac:dyDescent="0.25">
      <c r="A436" s="5">
        <v>40293</v>
      </c>
      <c r="B436">
        <v>1217.28</v>
      </c>
      <c r="C436">
        <v>0.16</v>
      </c>
      <c r="D436" s="6">
        <v>16.62</v>
      </c>
      <c r="E436" s="18">
        <f t="shared" si="709"/>
        <v>17.04</v>
      </c>
      <c r="F436">
        <f t="shared" si="710"/>
        <v>0</v>
      </c>
      <c r="G436" s="18">
        <f>ROUND(INDEX(Valuation!U:U,MATCH(A436,Valuation!A:A,0)),2)</f>
        <v>222.84</v>
      </c>
      <c r="H436">
        <f t="shared" si="717"/>
        <v>3</v>
      </c>
      <c r="I436" s="18">
        <f>INDEX(WeeklyIndicators!Y:Y,MATCH(A436,WeeklyIndicators!A:A,0))</f>
        <v>135.49</v>
      </c>
      <c r="J436">
        <f t="shared" si="706"/>
        <v>1</v>
      </c>
      <c r="K436">
        <f>ROUND(INDEX(Economic!AF:AF,MATCH(EOMONTH($A436,-1),Economic!A:A,0)),2)</f>
        <v>106</v>
      </c>
      <c r="L436" s="11">
        <f t="shared" si="715"/>
        <v>0</v>
      </c>
      <c r="M436">
        <f>ROUND(INDEX(Manufacturing!P:P,MATCH(EOMONTH($A436,-1),Manufacturing!A:A,0)),2)</f>
        <v>98.59</v>
      </c>
      <c r="N436">
        <f t="shared" si="711"/>
        <v>1</v>
      </c>
      <c r="O436">
        <f>ROUND(INDEX(Housing!AC:AC,MATCH(EOMONTH($A436,-1),Housing!B:B,0)),2)</f>
        <v>61.15</v>
      </c>
      <c r="P436">
        <f t="shared" si="712"/>
        <v>-2</v>
      </c>
      <c r="Q436">
        <f>ROUND(INDEX(Spending!AJ:AJ,MATCH(EOMONTH($A436,-1),Spending!B:B,0)),2)</f>
        <v>49.7</v>
      </c>
      <c r="R436">
        <f t="shared" si="716"/>
        <v>0</v>
      </c>
      <c r="S436">
        <f>ROUND(INDEX(Employment!V:V,MATCH(EOMONTH($A436,-1),Employment!A:A,0)),2)</f>
        <v>127.01</v>
      </c>
      <c r="T436" s="11">
        <f t="shared" si="713"/>
        <v>-2</v>
      </c>
      <c r="U436">
        <f t="shared" si="705"/>
        <v>21</v>
      </c>
      <c r="V436">
        <f t="shared" si="697"/>
        <v>67.64</v>
      </c>
      <c r="W436" s="13">
        <f t="shared" si="698"/>
        <v>-1.1999999999999999E-3</v>
      </c>
      <c r="X436" s="13">
        <f t="shared" si="699"/>
        <v>5.8000000000000005E-3</v>
      </c>
      <c r="Y436">
        <f t="shared" si="691"/>
        <v>80.83</v>
      </c>
      <c r="Z436" s="13">
        <f t="shared" si="686"/>
        <v>5.9999999999999995E-4</v>
      </c>
      <c r="AA436" s="13">
        <f t="shared" si="718"/>
        <v>1.83E-2</v>
      </c>
      <c r="AB436" s="6">
        <f t="shared" si="692"/>
        <v>99.154000000000011</v>
      </c>
      <c r="AC436">
        <f t="shared" si="684"/>
        <v>50</v>
      </c>
      <c r="AD436" s="11">
        <f t="shared" si="685"/>
        <v>2</v>
      </c>
      <c r="AE436">
        <f t="shared" si="683"/>
        <v>25</v>
      </c>
      <c r="AF436">
        <f>IF(AND(AE436&lt;15,OR(AC436&gt;=30,AA436&gt;0.15,X436&gt;=0.15)),2,VLOOKUP(AE436,Table!P:Q,2,FALSE))</f>
        <v>3</v>
      </c>
      <c r="AG436" s="22">
        <f>IF((AB436*0.98)-(D436*0.8)+((AF436-3)*3)+VLOOKUP(AM436,Table!$A$11:$B$13,2,FALSE)&lt;0,0,(AB436*0.98)-(D436*0.8)+((AF436-3)*3)+VLOOKUP(AM436,Table!$A$11:$B$13,2,FALSE))</f>
        <v>91.874920000000003</v>
      </c>
      <c r="AH436" s="22">
        <f t="shared" si="714"/>
        <v>92</v>
      </c>
      <c r="AI436" s="18">
        <f t="shared" si="707"/>
        <v>0.13</v>
      </c>
      <c r="AJ436" s="18">
        <f t="shared" si="708"/>
        <v>0.11</v>
      </c>
      <c r="AK436" t="str">
        <f t="shared" si="693"/>
        <v/>
      </c>
      <c r="AL436">
        <f t="shared" si="704"/>
        <v>25</v>
      </c>
      <c r="AM436" s="11" t="str">
        <f t="shared" si="694"/>
        <v>Stocks</v>
      </c>
      <c r="AN436" t="str">
        <f t="shared" si="700"/>
        <v>Buy</v>
      </c>
      <c r="AO436" s="13">
        <f t="shared" si="701"/>
        <v>-2.5100000000000001E-2</v>
      </c>
      <c r="AP436" s="13">
        <f t="shared" si="702"/>
        <v>0</v>
      </c>
      <c r="AQ436" s="13">
        <f t="shared" si="703"/>
        <v>-2.3099999999999999E-2</v>
      </c>
      <c r="AR436" s="13">
        <f t="shared" si="695"/>
        <v>-2.5100000000000001E-2</v>
      </c>
      <c r="AS436" s="6">
        <f t="shared" si="687"/>
        <v>303.19910146034385</v>
      </c>
      <c r="AT436" s="6">
        <f t="shared" si="688"/>
        <v>185.97425508967711</v>
      </c>
      <c r="AU436" s="6">
        <f t="shared" si="689"/>
        <v>514.95939274583736</v>
      </c>
      <c r="AV436" s="6">
        <f t="shared" si="690"/>
        <v>711.11105690887837</v>
      </c>
      <c r="AW436" s="58">
        <f t="shared" si="696"/>
        <v>2010</v>
      </c>
      <c r="AX436" s="58">
        <f>COUNTIF(AW$3:AW436,AW436)</f>
        <v>36</v>
      </c>
    </row>
    <row r="437" spans="1:50" x14ac:dyDescent="0.25">
      <c r="A437" s="5">
        <v>40286</v>
      </c>
      <c r="B437">
        <v>1192.1300000000001</v>
      </c>
      <c r="C437">
        <v>0.16</v>
      </c>
      <c r="D437" s="6">
        <v>18.36</v>
      </c>
      <c r="E437" s="18">
        <f t="shared" si="709"/>
        <v>17.32</v>
      </c>
      <c r="F437">
        <f t="shared" si="710"/>
        <v>0</v>
      </c>
      <c r="G437" s="18">
        <f>ROUND(INDEX(Valuation!U:U,MATCH(A437,Valuation!A:A,0)),2)</f>
        <v>225.14</v>
      </c>
      <c r="H437">
        <f t="shared" si="717"/>
        <v>3</v>
      </c>
      <c r="I437" s="18">
        <f>INDEX(WeeklyIndicators!Y:Y,MATCH(A437,WeeklyIndicators!A:A,0))</f>
        <v>136.9</v>
      </c>
      <c r="J437">
        <f t="shared" si="706"/>
        <v>1</v>
      </c>
      <c r="K437">
        <f>ROUND(INDEX(Economic!AF:AF,MATCH(EOMONTH($A437,-1),Economic!A:A,0)),2)</f>
        <v>106</v>
      </c>
      <c r="L437" s="11">
        <f t="shared" si="715"/>
        <v>0</v>
      </c>
      <c r="M437">
        <f>ROUND(INDEX(Manufacturing!P:P,MATCH(EOMONTH($A437,-1),Manufacturing!A:A,0)),2)</f>
        <v>98.59</v>
      </c>
      <c r="N437">
        <f t="shared" si="711"/>
        <v>1</v>
      </c>
      <c r="O437">
        <f>ROUND(INDEX(Housing!AC:AC,MATCH(EOMONTH($A437,-1),Housing!B:B,0)),2)</f>
        <v>61.15</v>
      </c>
      <c r="P437">
        <f t="shared" si="712"/>
        <v>-2</v>
      </c>
      <c r="Q437">
        <f>ROUND(INDEX(Spending!AJ:AJ,MATCH(EOMONTH($A437,-1),Spending!B:B,0)),2)</f>
        <v>49.7</v>
      </c>
      <c r="R437">
        <f t="shared" si="716"/>
        <v>0</v>
      </c>
      <c r="S437">
        <f>ROUND(INDEX(Employment!V:V,MATCH(EOMONTH($A437,-1),Employment!A:A,0)),2)</f>
        <v>127.01</v>
      </c>
      <c r="T437" s="11">
        <f t="shared" si="713"/>
        <v>-2</v>
      </c>
      <c r="U437">
        <f t="shared" si="705"/>
        <v>21</v>
      </c>
      <c r="V437">
        <f t="shared" si="697"/>
        <v>67.78</v>
      </c>
      <c r="W437" s="13">
        <f t="shared" si="698"/>
        <v>2E-3</v>
      </c>
      <c r="X437" s="13">
        <f t="shared" si="699"/>
        <v>7.8000000000000005E-3</v>
      </c>
      <c r="Y437">
        <f t="shared" si="691"/>
        <v>81.14</v>
      </c>
      <c r="Z437" s="13">
        <f t="shared" si="686"/>
        <v>4.8999999999999998E-3</v>
      </c>
      <c r="AA437" s="13">
        <f t="shared" si="718"/>
        <v>2.4500000000000001E-2</v>
      </c>
      <c r="AB437" s="6">
        <f t="shared" si="692"/>
        <v>100.134</v>
      </c>
      <c r="AC437">
        <f t="shared" si="684"/>
        <v>50</v>
      </c>
      <c r="AD437" s="11">
        <f t="shared" si="685"/>
        <v>2</v>
      </c>
      <c r="AE437">
        <f t="shared" si="683"/>
        <v>25</v>
      </c>
      <c r="AF437">
        <f>IF(AND(AE437&lt;15,OR(AC437&gt;=30,AA437&gt;0.15,X437&gt;=0.15)),2,VLOOKUP(AE437,Table!P:Q,2,FALSE))</f>
        <v>3</v>
      </c>
      <c r="AG437" s="22">
        <f>IF((AB437*0.98)-(D437*0.8)+((AF437-3)*3)+VLOOKUP(AM437,Table!$A$11:$B$13,2,FALSE)&lt;0,0,(AB437*0.98)-(D437*0.8)+((AF437-3)*3)+VLOOKUP(AM437,Table!$A$11:$B$13,2,FALSE))</f>
        <v>91.44332</v>
      </c>
      <c r="AH437" s="22">
        <f t="shared" si="714"/>
        <v>93</v>
      </c>
      <c r="AI437" s="18">
        <f t="shared" si="707"/>
        <v>0.13</v>
      </c>
      <c r="AJ437" s="18">
        <f t="shared" si="708"/>
        <v>0.11</v>
      </c>
      <c r="AK437" t="str">
        <f t="shared" si="693"/>
        <v/>
      </c>
      <c r="AL437">
        <f t="shared" si="704"/>
        <v>25</v>
      </c>
      <c r="AM437" s="11" t="str">
        <f t="shared" si="694"/>
        <v>Stocks</v>
      </c>
      <c r="AN437" t="str">
        <f t="shared" si="700"/>
        <v>Buy</v>
      </c>
      <c r="AO437" s="13">
        <f t="shared" si="701"/>
        <v>2.1100000000000001E-2</v>
      </c>
      <c r="AP437" s="13">
        <f t="shared" si="702"/>
        <v>0</v>
      </c>
      <c r="AQ437" s="13">
        <f t="shared" si="703"/>
        <v>1.9599999999999999E-2</v>
      </c>
      <c r="AR437" s="13">
        <f t="shared" si="695"/>
        <v>2.1100000000000001E-2</v>
      </c>
      <c r="AS437" s="6">
        <f t="shared" si="687"/>
        <v>296.93379831587885</v>
      </c>
      <c r="AT437" s="6">
        <f t="shared" si="688"/>
        <v>185.97425508967711</v>
      </c>
      <c r="AU437" s="6">
        <f t="shared" si="689"/>
        <v>505.06021257928342</v>
      </c>
      <c r="AV437" s="6">
        <f t="shared" si="690"/>
        <v>696.41666527164671</v>
      </c>
      <c r="AW437" s="58">
        <f t="shared" si="696"/>
        <v>2010</v>
      </c>
      <c r="AX437" s="58">
        <f>COUNTIF(AW$3:AW437,AW437)</f>
        <v>37</v>
      </c>
    </row>
    <row r="438" spans="1:50" x14ac:dyDescent="0.25">
      <c r="A438" s="5">
        <v>40279</v>
      </c>
      <c r="B438">
        <v>1194.3699999999999</v>
      </c>
      <c r="C438">
        <v>0.17</v>
      </c>
      <c r="D438" s="6">
        <v>16.14</v>
      </c>
      <c r="E438" s="18">
        <f t="shared" si="709"/>
        <v>17.13</v>
      </c>
      <c r="F438">
        <f t="shared" si="710"/>
        <v>0</v>
      </c>
      <c r="G438" s="18">
        <f>ROUND(INDEX(Valuation!U:U,MATCH(A438,Valuation!A:A,0)),2)</f>
        <v>224.62</v>
      </c>
      <c r="H438">
        <f t="shared" si="717"/>
        <v>3</v>
      </c>
      <c r="I438" s="18">
        <f>INDEX(WeeklyIndicators!Y:Y,MATCH(A438,WeeklyIndicators!A:A,0))</f>
        <v>137.22</v>
      </c>
      <c r="J438">
        <f t="shared" si="706"/>
        <v>1</v>
      </c>
      <c r="K438">
        <f>ROUND(INDEX(Economic!AF:AF,MATCH(EOMONTH($A438,-1),Economic!A:A,0)),2)</f>
        <v>106</v>
      </c>
      <c r="L438" s="11">
        <f t="shared" si="715"/>
        <v>0</v>
      </c>
      <c r="M438">
        <f>ROUND(INDEX(Manufacturing!P:P,MATCH(EOMONTH($A438,-1),Manufacturing!A:A,0)),2)</f>
        <v>98.59</v>
      </c>
      <c r="N438">
        <f t="shared" si="711"/>
        <v>1</v>
      </c>
      <c r="O438">
        <f>ROUND(INDEX(Housing!AC:AC,MATCH(EOMONTH($A438,-1),Housing!B:B,0)),2)</f>
        <v>61.15</v>
      </c>
      <c r="P438">
        <f t="shared" si="712"/>
        <v>-2</v>
      </c>
      <c r="Q438">
        <f>ROUND(INDEX(Spending!AJ:AJ,MATCH(EOMONTH($A438,-1),Spending!B:B,0)),2)</f>
        <v>49.7</v>
      </c>
      <c r="R438">
        <f t="shared" si="716"/>
        <v>0</v>
      </c>
      <c r="S438">
        <f>ROUND(INDEX(Employment!V:V,MATCH(EOMONTH($A438,-1),Employment!A:A,0)),2)</f>
        <v>127.01</v>
      </c>
      <c r="T438" s="11">
        <f t="shared" si="713"/>
        <v>-2</v>
      </c>
      <c r="U438">
        <f t="shared" si="705"/>
        <v>21</v>
      </c>
      <c r="V438">
        <f t="shared" si="697"/>
        <v>67.819999999999993</v>
      </c>
      <c r="W438" s="13">
        <f t="shared" si="698"/>
        <v>2.3E-3</v>
      </c>
      <c r="X438" s="13">
        <f t="shared" si="699"/>
        <v>1.37E-2</v>
      </c>
      <c r="Y438">
        <f t="shared" si="691"/>
        <v>81.180000000000007</v>
      </c>
      <c r="Z438" s="13">
        <f t="shared" si="686"/>
        <v>5.8999999999999999E-3</v>
      </c>
      <c r="AA438" s="13">
        <f t="shared" si="718"/>
        <v>3.32E-2</v>
      </c>
      <c r="AB438" s="6">
        <f t="shared" si="692"/>
        <v>100.762</v>
      </c>
      <c r="AC438">
        <f t="shared" si="684"/>
        <v>50</v>
      </c>
      <c r="AD438" s="11">
        <f t="shared" si="685"/>
        <v>2</v>
      </c>
      <c r="AE438">
        <f t="shared" si="683"/>
        <v>25</v>
      </c>
      <c r="AF438">
        <f>IF(AND(AE438&lt;15,OR(AC438&gt;=30,AA438&gt;0.15,X438&gt;=0.15)),2,VLOOKUP(AE438,Table!P:Q,2,FALSE))</f>
        <v>3</v>
      </c>
      <c r="AG438" s="22">
        <f>IF((AB438*0.98)-(D438*0.8)+((AF438-3)*3)+VLOOKUP(AM438,Table!$A$11:$B$13,2,FALSE)&lt;0,0,(AB438*0.98)-(D438*0.8)+((AF438-3)*3)+VLOOKUP(AM438,Table!$A$11:$B$13,2,FALSE))</f>
        <v>93.834759999999989</v>
      </c>
      <c r="AH438" s="22">
        <f t="shared" si="714"/>
        <v>93</v>
      </c>
      <c r="AI438" s="18">
        <f t="shared" si="707"/>
        <v>0.12</v>
      </c>
      <c r="AJ438" s="18">
        <f t="shared" si="708"/>
        <v>0.11</v>
      </c>
      <c r="AK438" t="str">
        <f t="shared" si="693"/>
        <v/>
      </c>
      <c r="AL438">
        <f t="shared" si="704"/>
        <v>25</v>
      </c>
      <c r="AM438" s="11" t="str">
        <f t="shared" si="694"/>
        <v>Stocks</v>
      </c>
      <c r="AN438" t="str">
        <f t="shared" si="700"/>
        <v>Buy</v>
      </c>
      <c r="AO438" s="13">
        <f t="shared" si="701"/>
        <v>-1.9E-3</v>
      </c>
      <c r="AP438" s="13">
        <f t="shared" si="702"/>
        <v>0</v>
      </c>
      <c r="AQ438" s="13">
        <f t="shared" si="703"/>
        <v>-1.8E-3</v>
      </c>
      <c r="AR438" s="13">
        <f t="shared" si="695"/>
        <v>-1.9E-3</v>
      </c>
      <c r="AS438" s="6">
        <f t="shared" si="687"/>
        <v>297.4990465042369</v>
      </c>
      <c r="AT438" s="6">
        <f t="shared" si="688"/>
        <v>185.97425508967711</v>
      </c>
      <c r="AU438" s="6">
        <f t="shared" si="689"/>
        <v>505.97096030783752</v>
      </c>
      <c r="AV438" s="6">
        <f t="shared" si="690"/>
        <v>697.74237578563941</v>
      </c>
      <c r="AW438" s="58">
        <f t="shared" si="696"/>
        <v>2010</v>
      </c>
      <c r="AX438" s="58">
        <f>COUNTIF(AW$3:AW438,AW438)</f>
        <v>38</v>
      </c>
    </row>
    <row r="439" spans="1:50" x14ac:dyDescent="0.25">
      <c r="A439" s="5">
        <v>40272</v>
      </c>
      <c r="B439">
        <v>1178.0999999999999</v>
      </c>
      <c r="C439">
        <v>0.16</v>
      </c>
      <c r="D439" s="6">
        <v>17.47</v>
      </c>
      <c r="E439" s="18">
        <f t="shared" si="709"/>
        <v>17.399999999999999</v>
      </c>
      <c r="F439">
        <f t="shared" si="710"/>
        <v>0</v>
      </c>
      <c r="G439" s="18">
        <f>ROUND(INDEX(Valuation!U:U,MATCH(A439,Valuation!A:A,0)),2)</f>
        <v>220.56</v>
      </c>
      <c r="H439">
        <f t="shared" si="717"/>
        <v>3</v>
      </c>
      <c r="I439" s="18">
        <f>INDEX(WeeklyIndicators!Y:Y,MATCH(A439,WeeklyIndicators!A:A,0))</f>
        <v>137.80000000000001</v>
      </c>
      <c r="J439">
        <f t="shared" si="706"/>
        <v>1</v>
      </c>
      <c r="K439">
        <f>ROUND(INDEX(Economic!AF:AF,MATCH(EOMONTH($A439,-1),Economic!A:A,0)),2)</f>
        <v>106</v>
      </c>
      <c r="L439" s="11">
        <f t="shared" si="715"/>
        <v>0</v>
      </c>
      <c r="M439">
        <f>ROUND(INDEX(Manufacturing!P:P,MATCH(EOMONTH($A439,-1),Manufacturing!A:A,0)),2)</f>
        <v>98.59</v>
      </c>
      <c r="N439">
        <f t="shared" si="711"/>
        <v>1</v>
      </c>
      <c r="O439">
        <f>ROUND(INDEX(Housing!AC:AC,MATCH(EOMONTH($A439,-1),Housing!B:B,0)),2)</f>
        <v>61.15</v>
      </c>
      <c r="P439">
        <f t="shared" si="712"/>
        <v>-2</v>
      </c>
      <c r="Q439">
        <f>ROUND(INDEX(Spending!AJ:AJ,MATCH(EOMONTH($A439,-1),Spending!B:B,0)),2)</f>
        <v>49.7</v>
      </c>
      <c r="R439">
        <f t="shared" si="716"/>
        <v>0</v>
      </c>
      <c r="S439">
        <f>ROUND(INDEX(Employment!V:V,MATCH(EOMONTH($A439,-1),Employment!A:A,0)),2)</f>
        <v>127.01</v>
      </c>
      <c r="T439" s="11">
        <f t="shared" si="713"/>
        <v>-2</v>
      </c>
      <c r="U439">
        <f t="shared" si="705"/>
        <v>21</v>
      </c>
      <c r="V439">
        <f t="shared" si="697"/>
        <v>67.88</v>
      </c>
      <c r="W439" s="13">
        <f t="shared" si="698"/>
        <v>2.7000000000000001E-3</v>
      </c>
      <c r="X439" s="13">
        <f t="shared" si="699"/>
        <v>2.0900000000000002E-2</v>
      </c>
      <c r="Y439">
        <f t="shared" si="691"/>
        <v>80.69</v>
      </c>
      <c r="Z439" s="13">
        <f t="shared" si="686"/>
        <v>6.8999999999999999E-3</v>
      </c>
      <c r="AA439" s="13">
        <f t="shared" si="718"/>
        <v>4.0399999999999998E-2</v>
      </c>
      <c r="AB439" s="6">
        <f t="shared" si="692"/>
        <v>100.426</v>
      </c>
      <c r="AC439">
        <f t="shared" si="684"/>
        <v>50</v>
      </c>
      <c r="AD439" s="11">
        <f t="shared" si="685"/>
        <v>2</v>
      </c>
      <c r="AE439">
        <f t="shared" si="683"/>
        <v>25</v>
      </c>
      <c r="AF439">
        <f>IF(AND(AE439&lt;15,OR(AC439&gt;=30,AA439&gt;0.15,X439&gt;=0.15)),2,VLOOKUP(AE439,Table!P:Q,2,FALSE))</f>
        <v>3</v>
      </c>
      <c r="AG439" s="22">
        <f>IF((AB439*0.98)-(D439*0.8)+((AF439-3)*3)+VLOOKUP(AM439,Table!$A$11:$B$13,2,FALSE)&lt;0,0,(AB439*0.98)-(D439*0.8)+((AF439-3)*3)+VLOOKUP(AM439,Table!$A$11:$B$13,2,FALSE))</f>
        <v>92.441479999999999</v>
      </c>
      <c r="AH439" s="22">
        <f t="shared" si="714"/>
        <v>92</v>
      </c>
      <c r="AI439" s="18">
        <f t="shared" si="707"/>
        <v>0.11</v>
      </c>
      <c r="AJ439" s="18">
        <f t="shared" si="708"/>
        <v>0.11</v>
      </c>
      <c r="AK439" t="str">
        <f t="shared" si="693"/>
        <v/>
      </c>
      <c r="AL439">
        <f t="shared" si="704"/>
        <v>24.75</v>
      </c>
      <c r="AM439" s="11" t="str">
        <f t="shared" si="694"/>
        <v>Stocks</v>
      </c>
      <c r="AN439" t="str">
        <f t="shared" si="700"/>
        <v>Buy</v>
      </c>
      <c r="AO439" s="13">
        <f t="shared" si="701"/>
        <v>1.38E-2</v>
      </c>
      <c r="AP439" s="13">
        <f t="shared" si="702"/>
        <v>0</v>
      </c>
      <c r="AQ439" s="13">
        <f t="shared" si="703"/>
        <v>1.2699999999999999E-2</v>
      </c>
      <c r="AR439" s="13">
        <f t="shared" si="695"/>
        <v>1.38E-2</v>
      </c>
      <c r="AS439" s="6">
        <f t="shared" si="687"/>
        <v>293.44944417462705</v>
      </c>
      <c r="AT439" s="6">
        <f t="shared" si="688"/>
        <v>185.97425508967711</v>
      </c>
      <c r="AU439" s="6">
        <f t="shared" si="689"/>
        <v>499.62571374329769</v>
      </c>
      <c r="AV439" s="6">
        <f t="shared" si="690"/>
        <v>688.24460030147895</v>
      </c>
      <c r="AW439" s="58">
        <f t="shared" si="696"/>
        <v>2010</v>
      </c>
      <c r="AX439" s="58">
        <f>COUNTIF(AW$3:AW439,AW439)</f>
        <v>39</v>
      </c>
    </row>
    <row r="440" spans="1:50" x14ac:dyDescent="0.25">
      <c r="A440" s="5">
        <v>40265</v>
      </c>
      <c r="B440">
        <v>1166.5899999999999</v>
      </c>
      <c r="C440">
        <v>0.14000000000000001</v>
      </c>
      <c r="D440" s="6">
        <v>17.77</v>
      </c>
      <c r="E440" s="18">
        <f t="shared" si="709"/>
        <v>17.440000000000001</v>
      </c>
      <c r="F440">
        <f t="shared" si="710"/>
        <v>0</v>
      </c>
      <c r="G440" s="18">
        <f>ROUND(INDEX(Valuation!U:U,MATCH(A440,Valuation!A:A,0)),2)</f>
        <v>218.53</v>
      </c>
      <c r="H440">
        <f t="shared" si="717"/>
        <v>3</v>
      </c>
      <c r="I440" s="18">
        <f>INDEX(WeeklyIndicators!Y:Y,MATCH(A440,WeeklyIndicators!A:A,0))</f>
        <v>139.94999999999999</v>
      </c>
      <c r="J440">
        <f t="shared" si="706"/>
        <v>1</v>
      </c>
      <c r="K440">
        <f>ROUND(INDEX(Economic!AF:AF,MATCH(EOMONTH($A440,-1),Economic!A:A,0)),2)</f>
        <v>103.22</v>
      </c>
      <c r="L440" s="11">
        <f t="shared" si="715"/>
        <v>0</v>
      </c>
      <c r="M440">
        <f>ROUND(INDEX(Manufacturing!P:P,MATCH(EOMONTH($A440,-1),Manufacturing!A:A,0)),2)</f>
        <v>97.12</v>
      </c>
      <c r="N440">
        <f t="shared" si="711"/>
        <v>1</v>
      </c>
      <c r="O440">
        <f>ROUND(INDEX(Housing!AC:AC,MATCH(EOMONTH($A440,-1),Housing!B:B,0)),2)</f>
        <v>69.459999999999994</v>
      </c>
      <c r="P440">
        <f t="shared" si="712"/>
        <v>-2</v>
      </c>
      <c r="Q440">
        <f>ROUND(INDEX(Spending!AJ:AJ,MATCH(EOMONTH($A440,-1),Spending!B:B,0)),2)</f>
        <v>50.9</v>
      </c>
      <c r="R440">
        <f t="shared" si="716"/>
        <v>1</v>
      </c>
      <c r="S440">
        <f>ROUND(INDEX(Employment!V:V,MATCH(EOMONTH($A440,-1),Employment!A:A,0)),2)</f>
        <v>117.74</v>
      </c>
      <c r="T440" s="11">
        <f t="shared" si="713"/>
        <v>-3</v>
      </c>
      <c r="U440">
        <f t="shared" si="705"/>
        <v>21</v>
      </c>
      <c r="V440">
        <f t="shared" si="697"/>
        <v>67.38</v>
      </c>
      <c r="W440" s="13">
        <f t="shared" si="698"/>
        <v>8.0000000000000004E-4</v>
      </c>
      <c r="X440" s="13">
        <f t="shared" si="699"/>
        <v>2.7900000000000001E-2</v>
      </c>
      <c r="Y440">
        <f t="shared" si="691"/>
        <v>79.959999999999994</v>
      </c>
      <c r="Z440" s="13">
        <f t="shared" si="686"/>
        <v>6.7999999999999996E-3</v>
      </c>
      <c r="AA440" s="13">
        <f t="shared" si="718"/>
        <v>4.4000000000000004E-2</v>
      </c>
      <c r="AB440" s="6">
        <f t="shared" si="692"/>
        <v>99.783000000000001</v>
      </c>
      <c r="AC440">
        <f t="shared" si="684"/>
        <v>50</v>
      </c>
      <c r="AD440" s="11">
        <f t="shared" si="685"/>
        <v>2</v>
      </c>
      <c r="AE440">
        <f t="shared" ref="AE440:AE503" si="719">IF(AND(AA440&gt;=0.2,AC440&gt;=20,U440+AD440+2&lt;30),U440+AD440+2+12,U440+AD440+2)</f>
        <v>25</v>
      </c>
      <c r="AF440">
        <f>IF(AND(AE440&lt;15,OR(AC440&gt;=30,AA440&gt;0.15,X440&gt;=0.15)),2,VLOOKUP(AE440,Table!P:Q,2,FALSE))</f>
        <v>3</v>
      </c>
      <c r="AG440" s="22">
        <f>IF((AB440*0.98)-(D440*0.8)+((AF440-3)*3)+VLOOKUP(AM440,Table!$A$11:$B$13,2,FALSE)&lt;0,0,(AB440*0.98)-(D440*0.8)+((AF440-3)*3)+VLOOKUP(AM440,Table!$A$11:$B$13,2,FALSE))</f>
        <v>91.571339999999992</v>
      </c>
      <c r="AH440" s="22">
        <f t="shared" si="714"/>
        <v>91</v>
      </c>
      <c r="AI440" s="18">
        <f t="shared" si="707"/>
        <v>0.1</v>
      </c>
      <c r="AJ440" s="18">
        <f t="shared" si="708"/>
        <v>0.11</v>
      </c>
      <c r="AK440" t="str">
        <f t="shared" si="693"/>
        <v/>
      </c>
      <c r="AL440">
        <f t="shared" si="704"/>
        <v>24.25</v>
      </c>
      <c r="AM440" s="11" t="str">
        <f t="shared" si="694"/>
        <v>Stocks</v>
      </c>
      <c r="AN440" t="str">
        <f t="shared" si="700"/>
        <v>Buy</v>
      </c>
      <c r="AO440" s="13">
        <f t="shared" si="701"/>
        <v>9.9000000000000008E-3</v>
      </c>
      <c r="AP440" s="13">
        <f t="shared" si="702"/>
        <v>0</v>
      </c>
      <c r="AQ440" s="13">
        <f t="shared" si="703"/>
        <v>8.9999999999999993E-3</v>
      </c>
      <c r="AR440" s="13">
        <f t="shared" si="695"/>
        <v>9.9000000000000008E-3</v>
      </c>
      <c r="AS440" s="6">
        <f t="shared" si="687"/>
        <v>290.57277371485003</v>
      </c>
      <c r="AT440" s="6">
        <f t="shared" si="688"/>
        <v>185.97425508967711</v>
      </c>
      <c r="AU440" s="6">
        <f t="shared" si="689"/>
        <v>495.16919102408104</v>
      </c>
      <c r="AV440" s="6">
        <f t="shared" si="690"/>
        <v>681.49777235516285</v>
      </c>
      <c r="AW440" s="58">
        <f t="shared" si="696"/>
        <v>2010</v>
      </c>
      <c r="AX440" s="58">
        <f>COUNTIF(AW$3:AW440,AW440)</f>
        <v>40</v>
      </c>
    </row>
    <row r="441" spans="1:50" x14ac:dyDescent="0.25">
      <c r="A441" s="5">
        <v>40258</v>
      </c>
      <c r="B441">
        <v>1159.9000000000001</v>
      </c>
      <c r="C441">
        <v>0.16</v>
      </c>
      <c r="D441" s="6">
        <v>16.97</v>
      </c>
      <c r="E441" s="18">
        <f t="shared" si="709"/>
        <v>17.32</v>
      </c>
      <c r="F441">
        <f t="shared" si="710"/>
        <v>0</v>
      </c>
      <c r="G441" s="18">
        <f>ROUND(INDEX(Valuation!U:U,MATCH(A441,Valuation!A:A,0)),2)</f>
        <v>216.49</v>
      </c>
      <c r="H441">
        <f t="shared" si="717"/>
        <v>3</v>
      </c>
      <c r="I441" s="18">
        <f>INDEX(WeeklyIndicators!Y:Y,MATCH(A441,WeeklyIndicators!A:A,0))</f>
        <v>139.69</v>
      </c>
      <c r="J441">
        <f t="shared" si="706"/>
        <v>1</v>
      </c>
      <c r="K441">
        <f>ROUND(INDEX(Economic!AF:AF,MATCH(EOMONTH($A441,-1),Economic!A:A,0)),2)</f>
        <v>103.22</v>
      </c>
      <c r="L441" s="11">
        <f t="shared" si="715"/>
        <v>0</v>
      </c>
      <c r="M441">
        <f>ROUND(INDEX(Manufacturing!P:P,MATCH(EOMONTH($A441,-1),Manufacturing!A:A,0)),2)</f>
        <v>97.12</v>
      </c>
      <c r="N441">
        <f t="shared" si="711"/>
        <v>1</v>
      </c>
      <c r="O441">
        <f>ROUND(INDEX(Housing!AC:AC,MATCH(EOMONTH($A441,-1),Housing!B:B,0)),2)</f>
        <v>69.459999999999994</v>
      </c>
      <c r="P441">
        <f t="shared" si="712"/>
        <v>-2</v>
      </c>
      <c r="Q441">
        <f>ROUND(INDEX(Spending!AJ:AJ,MATCH(EOMONTH($A441,-1),Spending!B:B,0)),2)</f>
        <v>50.9</v>
      </c>
      <c r="R441">
        <f t="shared" si="716"/>
        <v>1</v>
      </c>
      <c r="S441">
        <f>ROUND(INDEX(Employment!V:V,MATCH(EOMONTH($A441,-1),Employment!A:A,0)),2)</f>
        <v>117.74</v>
      </c>
      <c r="T441" s="11">
        <f t="shared" si="713"/>
        <v>-3</v>
      </c>
      <c r="U441">
        <f t="shared" si="705"/>
        <v>21</v>
      </c>
      <c r="V441">
        <f t="shared" si="697"/>
        <v>67.349999999999994</v>
      </c>
      <c r="W441" s="13">
        <f t="shared" si="698"/>
        <v>7.9000000000000008E-3</v>
      </c>
      <c r="X441" s="13">
        <f t="shared" si="699"/>
        <v>2.8199999999999999E-2</v>
      </c>
      <c r="Y441">
        <f t="shared" si="691"/>
        <v>79.75</v>
      </c>
      <c r="Z441" s="13">
        <f t="shared" si="686"/>
        <v>1.3599999999999999E-2</v>
      </c>
      <c r="AA441" s="13">
        <f t="shared" si="718"/>
        <v>4.0500000000000001E-2</v>
      </c>
      <c r="AB441" s="6">
        <f t="shared" si="692"/>
        <v>99.138999999999996</v>
      </c>
      <c r="AC441">
        <f t="shared" si="684"/>
        <v>50</v>
      </c>
      <c r="AD441" s="11">
        <f t="shared" si="685"/>
        <v>2</v>
      </c>
      <c r="AE441">
        <f t="shared" si="719"/>
        <v>25</v>
      </c>
      <c r="AF441">
        <f>IF(AND(AE441&lt;15,OR(AC441&gt;=30,AA441&gt;0.15,X441&gt;=0.15)),2,VLOOKUP(AE441,Table!P:Q,2,FALSE))</f>
        <v>3</v>
      </c>
      <c r="AG441" s="22">
        <f>IF((AB441*0.98)-(D441*0.8)+((AF441-3)*3)+VLOOKUP(AM441,Table!$A$11:$B$13,2,FALSE)&lt;0,0,(AB441*0.98)-(D441*0.8)+((AF441-3)*3)+VLOOKUP(AM441,Table!$A$11:$B$13,2,FALSE))</f>
        <v>91.580219999999997</v>
      </c>
      <c r="AH441" s="22">
        <f t="shared" si="714"/>
        <v>89</v>
      </c>
      <c r="AI441" s="18">
        <f t="shared" si="707"/>
        <v>0.1</v>
      </c>
      <c r="AJ441" s="18">
        <f t="shared" si="708"/>
        <v>0.11</v>
      </c>
      <c r="AK441" t="str">
        <f t="shared" si="693"/>
        <v/>
      </c>
      <c r="AL441">
        <f t="shared" si="704"/>
        <v>23.5</v>
      </c>
      <c r="AM441" s="11" t="str">
        <f t="shared" si="694"/>
        <v>Stocks</v>
      </c>
      <c r="AN441" t="str">
        <f t="shared" si="700"/>
        <v>Buy</v>
      </c>
      <c r="AO441" s="13">
        <f t="shared" si="701"/>
        <v>5.7999999999999996E-3</v>
      </c>
      <c r="AP441" s="13">
        <f t="shared" si="702"/>
        <v>0</v>
      </c>
      <c r="AQ441" s="13">
        <f t="shared" si="703"/>
        <v>5.1999999999999998E-3</v>
      </c>
      <c r="AR441" s="13">
        <f t="shared" si="695"/>
        <v>5.7999999999999996E-3</v>
      </c>
      <c r="AS441" s="6">
        <f t="shared" si="687"/>
        <v>288.89717012810701</v>
      </c>
      <c r="AT441" s="6">
        <f t="shared" si="688"/>
        <v>185.97425508967711</v>
      </c>
      <c r="AU441" s="6">
        <f t="shared" si="689"/>
        <v>492.60763134110726</v>
      </c>
      <c r="AV441" s="6">
        <f t="shared" si="690"/>
        <v>677.56787865894103</v>
      </c>
      <c r="AW441" s="58">
        <f t="shared" si="696"/>
        <v>2010</v>
      </c>
      <c r="AX441" s="58">
        <f>COUNTIF(AW$3:AW441,AW441)</f>
        <v>41</v>
      </c>
    </row>
    <row r="442" spans="1:50" x14ac:dyDescent="0.25">
      <c r="A442" s="5">
        <v>40251</v>
      </c>
      <c r="B442">
        <v>1149.99</v>
      </c>
      <c r="C442">
        <v>0.16</v>
      </c>
      <c r="D442" s="6">
        <v>17.579999999999998</v>
      </c>
      <c r="E442" s="18">
        <f t="shared" si="709"/>
        <v>18.170000000000002</v>
      </c>
      <c r="F442">
        <f t="shared" si="710"/>
        <v>-1</v>
      </c>
      <c r="G442" s="18">
        <f>ROUND(INDEX(Valuation!U:U,MATCH(A442,Valuation!A:A,0)),2)</f>
        <v>213.18</v>
      </c>
      <c r="H442">
        <f t="shared" si="717"/>
        <v>3</v>
      </c>
      <c r="I442" s="18">
        <f>INDEX(WeeklyIndicators!Y:Y,MATCH(A442,WeeklyIndicators!A:A,0))</f>
        <v>139.41999999999999</v>
      </c>
      <c r="J442">
        <f t="shared" si="706"/>
        <v>1</v>
      </c>
      <c r="K442">
        <f>ROUND(INDEX(Economic!AF:AF,MATCH(EOMONTH($A442,-1),Economic!A:A,0)),2)</f>
        <v>103.22</v>
      </c>
      <c r="L442" s="11">
        <f t="shared" si="715"/>
        <v>0</v>
      </c>
      <c r="M442">
        <f>ROUND(INDEX(Manufacturing!P:P,MATCH(EOMONTH($A442,-1),Manufacturing!A:A,0)),2)</f>
        <v>97.12</v>
      </c>
      <c r="N442">
        <f t="shared" si="711"/>
        <v>1</v>
      </c>
      <c r="O442">
        <f>ROUND(INDEX(Housing!AC:AC,MATCH(EOMONTH($A442,-1),Housing!B:B,0)),2)</f>
        <v>69.459999999999994</v>
      </c>
      <c r="P442">
        <f t="shared" si="712"/>
        <v>-2</v>
      </c>
      <c r="Q442">
        <f>ROUND(INDEX(Spending!AJ:AJ,MATCH(EOMONTH($A442,-1),Spending!B:B,0)),2)</f>
        <v>50.9</v>
      </c>
      <c r="R442">
        <f t="shared" si="716"/>
        <v>1</v>
      </c>
      <c r="S442">
        <f>ROUND(INDEX(Employment!V:V,MATCH(EOMONTH($A442,-1),Employment!A:A,0)),2)</f>
        <v>117.74</v>
      </c>
      <c r="T442" s="11">
        <f t="shared" si="713"/>
        <v>-3</v>
      </c>
      <c r="U442">
        <f t="shared" si="705"/>
        <v>20</v>
      </c>
      <c r="V442">
        <f t="shared" si="697"/>
        <v>67.33</v>
      </c>
      <c r="W442" s="13">
        <f t="shared" si="698"/>
        <v>9.4999999999999998E-3</v>
      </c>
      <c r="X442" s="13">
        <f t="shared" si="699"/>
        <v>1.6600000000000004E-2</v>
      </c>
      <c r="Y442">
        <f t="shared" si="691"/>
        <v>79.05</v>
      </c>
      <c r="Z442" s="13">
        <f t="shared" si="686"/>
        <v>1.3100000000000001E-2</v>
      </c>
      <c r="AA442" s="13">
        <f t="shared" si="718"/>
        <v>1.7900000000000006E-2</v>
      </c>
      <c r="AB442" s="6">
        <f t="shared" si="692"/>
        <v>96.477999999999994</v>
      </c>
      <c r="AC442">
        <f t="shared" si="684"/>
        <v>48</v>
      </c>
      <c r="AD442" s="11">
        <f t="shared" si="685"/>
        <v>2</v>
      </c>
      <c r="AE442">
        <f t="shared" si="719"/>
        <v>24</v>
      </c>
      <c r="AF442">
        <f>IF(AND(AE442&lt;15,OR(AC442&gt;=30,AA442&gt;0.15,X442&gt;=0.15)),2,VLOOKUP(AE442,Table!P:Q,2,FALSE))</f>
        <v>3</v>
      </c>
      <c r="AG442" s="22">
        <f>IF((AB442*0.98)-(D442*0.8)+((AF442-3)*3)+VLOOKUP(AM442,Table!$A$11:$B$13,2,FALSE)&lt;0,0,(AB442*0.98)-(D442*0.8)+((AF442-3)*3)+VLOOKUP(AM442,Table!$A$11:$B$13,2,FALSE))</f>
        <v>88.484440000000006</v>
      </c>
      <c r="AH442" s="22">
        <f t="shared" si="714"/>
        <v>85</v>
      </c>
      <c r="AI442" s="18">
        <f t="shared" si="707"/>
        <v>0.09</v>
      </c>
      <c r="AJ442" s="18">
        <f t="shared" si="708"/>
        <v>0.11</v>
      </c>
      <c r="AK442" t="str">
        <f t="shared" si="693"/>
        <v/>
      </c>
      <c r="AL442">
        <f t="shared" si="704"/>
        <v>22.5</v>
      </c>
      <c r="AM442" s="11" t="str">
        <f t="shared" si="694"/>
        <v>Stocks</v>
      </c>
      <c r="AN442" t="str">
        <f t="shared" si="700"/>
        <v>Buy</v>
      </c>
      <c r="AO442" s="13">
        <f t="shared" si="701"/>
        <v>8.6E-3</v>
      </c>
      <c r="AP442" s="13">
        <f t="shared" si="702"/>
        <v>0</v>
      </c>
      <c r="AQ442" s="13">
        <f t="shared" si="703"/>
        <v>7.3000000000000001E-3</v>
      </c>
      <c r="AR442" s="13">
        <f t="shared" si="695"/>
        <v>8.6E-3</v>
      </c>
      <c r="AS442" s="6">
        <f t="shared" si="687"/>
        <v>286.43383911174601</v>
      </c>
      <c r="AT442" s="6">
        <f t="shared" si="688"/>
        <v>185.97425508967711</v>
      </c>
      <c r="AU442" s="6">
        <f t="shared" si="689"/>
        <v>489.03765644902933</v>
      </c>
      <c r="AV442" s="6">
        <f t="shared" si="690"/>
        <v>671.79048052641394</v>
      </c>
      <c r="AW442" s="58">
        <f t="shared" si="696"/>
        <v>2010</v>
      </c>
      <c r="AX442" s="58">
        <f>COUNTIF(AW$3:AW442,AW442)</f>
        <v>42</v>
      </c>
    </row>
    <row r="443" spans="1:50" x14ac:dyDescent="0.25">
      <c r="A443" s="5">
        <v>40244</v>
      </c>
      <c r="B443">
        <v>1138.7</v>
      </c>
      <c r="C443">
        <v>0.14000000000000001</v>
      </c>
      <c r="D443" s="6">
        <v>17.420000000000002</v>
      </c>
      <c r="E443" s="18">
        <f t="shared" si="709"/>
        <v>18.98</v>
      </c>
      <c r="F443">
        <f t="shared" si="710"/>
        <v>-1</v>
      </c>
      <c r="G443" s="18">
        <f>ROUND(INDEX(Valuation!U:U,MATCH(A443,Valuation!A:A,0)),2)</f>
        <v>210.33</v>
      </c>
      <c r="H443">
        <f t="shared" si="717"/>
        <v>3</v>
      </c>
      <c r="I443" s="18">
        <f>INDEX(WeeklyIndicators!Y:Y,MATCH(A443,WeeklyIndicators!A:A,0))</f>
        <v>138.43</v>
      </c>
      <c r="J443">
        <f t="shared" si="706"/>
        <v>1</v>
      </c>
      <c r="K443">
        <f>ROUND(INDEX(Economic!AF:AF,MATCH(EOMONTH($A443,-1),Economic!A:A,0)),2)</f>
        <v>103.22</v>
      </c>
      <c r="L443" s="11">
        <f t="shared" si="715"/>
        <v>0</v>
      </c>
      <c r="M443">
        <f>ROUND(INDEX(Manufacturing!P:P,MATCH(EOMONTH($A443,-1),Manufacturing!A:A,0)),2)</f>
        <v>97.12</v>
      </c>
      <c r="N443">
        <f t="shared" si="711"/>
        <v>1</v>
      </c>
      <c r="O443">
        <f>ROUND(INDEX(Housing!AC:AC,MATCH(EOMONTH($A443,-1),Housing!B:B,0)),2)</f>
        <v>69.459999999999994</v>
      </c>
      <c r="P443">
        <f t="shared" si="712"/>
        <v>-2</v>
      </c>
      <c r="Q443">
        <f>ROUND(INDEX(Spending!AJ:AJ,MATCH(EOMONTH($A443,-1),Spending!B:B,0)),2)</f>
        <v>50.9</v>
      </c>
      <c r="R443">
        <f t="shared" si="716"/>
        <v>1</v>
      </c>
      <c r="S443">
        <f>ROUND(INDEX(Employment!V:V,MATCH(EOMONTH($A443,-1),Employment!A:A,0)),2)</f>
        <v>117.74</v>
      </c>
      <c r="T443" s="11">
        <f t="shared" si="713"/>
        <v>-3</v>
      </c>
      <c r="U443">
        <f t="shared" si="705"/>
        <v>20</v>
      </c>
      <c r="V443">
        <f t="shared" si="697"/>
        <v>67.22</v>
      </c>
      <c r="W443" s="13">
        <f t="shared" si="698"/>
        <v>9.7000000000000003E-3</v>
      </c>
      <c r="X443" s="13">
        <f t="shared" si="699"/>
        <v>1.4000000000000002E-3</v>
      </c>
      <c r="Y443">
        <f t="shared" si="691"/>
        <v>78.349999999999994</v>
      </c>
      <c r="Z443" s="13">
        <f t="shared" si="686"/>
        <v>1.0500000000000001E-2</v>
      </c>
      <c r="AA443" s="13">
        <f t="shared" si="718"/>
        <v>-1.1000000000000001E-2</v>
      </c>
      <c r="AB443" s="6">
        <f t="shared" si="692"/>
        <v>93.403000000000006</v>
      </c>
      <c r="AC443">
        <f t="shared" si="684"/>
        <v>47</v>
      </c>
      <c r="AD443" s="11">
        <f t="shared" si="685"/>
        <v>1</v>
      </c>
      <c r="AE443">
        <f t="shared" si="719"/>
        <v>23</v>
      </c>
      <c r="AF443">
        <f>IF(AND(AE443&lt;15,OR(AC443&gt;=30,AA443&gt;0.15,X443&gt;=0.15)),2,VLOOKUP(AE443,Table!P:Q,2,FALSE))</f>
        <v>3</v>
      </c>
      <c r="AG443" s="22">
        <f>IF((AB443*0.98)-(D443*0.8)+((AF443-3)*3)+VLOOKUP(AM443,Table!$A$11:$B$13,2,FALSE)&lt;0,0,(AB443*0.98)-(D443*0.8)+((AF443-3)*3)+VLOOKUP(AM443,Table!$A$11:$B$13,2,FALSE))</f>
        <v>85.598939999999999</v>
      </c>
      <c r="AH443" s="22">
        <f t="shared" si="714"/>
        <v>81</v>
      </c>
      <c r="AI443" s="18">
        <f t="shared" si="707"/>
        <v>0.08</v>
      </c>
      <c r="AJ443" s="18">
        <f t="shared" si="708"/>
        <v>0.11</v>
      </c>
      <c r="AK443" t="str">
        <f t="shared" si="693"/>
        <v/>
      </c>
      <c r="AL443">
        <f t="shared" si="704"/>
        <v>21.75</v>
      </c>
      <c r="AM443" s="11" t="str">
        <f t="shared" si="694"/>
        <v>Stocks</v>
      </c>
      <c r="AN443" t="str">
        <f t="shared" si="700"/>
        <v>Buy</v>
      </c>
      <c r="AO443" s="13">
        <f t="shared" si="701"/>
        <v>9.9000000000000008E-3</v>
      </c>
      <c r="AP443" s="13">
        <f t="shared" si="702"/>
        <v>0</v>
      </c>
      <c r="AQ443" s="13">
        <f t="shared" si="703"/>
        <v>8.0000000000000002E-3</v>
      </c>
      <c r="AR443" s="13">
        <f t="shared" si="695"/>
        <v>9.9000000000000008E-3</v>
      </c>
      <c r="AS443" s="6">
        <f t="shared" si="687"/>
        <v>283.62594228314288</v>
      </c>
      <c r="AT443" s="6">
        <f t="shared" si="688"/>
        <v>185.97425508967711</v>
      </c>
      <c r="AU443" s="6">
        <f t="shared" si="689"/>
        <v>485.15640520737037</v>
      </c>
      <c r="AV443" s="6">
        <f t="shared" si="690"/>
        <v>665.20495150649958</v>
      </c>
      <c r="AW443" s="58">
        <f t="shared" si="696"/>
        <v>2010</v>
      </c>
      <c r="AX443" s="58">
        <f>COUNTIF(AW$3:AW443,AW443)</f>
        <v>43</v>
      </c>
    </row>
    <row r="444" spans="1:50" x14ac:dyDescent="0.25">
      <c r="A444" s="5">
        <v>40237</v>
      </c>
      <c r="B444">
        <v>1104.49</v>
      </c>
      <c r="C444">
        <v>0.12</v>
      </c>
      <c r="D444" s="6">
        <v>19.5</v>
      </c>
      <c r="E444" s="18">
        <f t="shared" si="709"/>
        <v>20.75</v>
      </c>
      <c r="F444">
        <f t="shared" si="710"/>
        <v>-1</v>
      </c>
      <c r="G444" s="18">
        <f>ROUND(INDEX(Valuation!U:U,MATCH(A444,Valuation!A:A,0)),2)</f>
        <v>213.04</v>
      </c>
      <c r="H444">
        <f t="shared" si="717"/>
        <v>3</v>
      </c>
      <c r="I444" s="18">
        <f>INDEX(WeeklyIndicators!Y:Y,MATCH(A444,WeeklyIndicators!A:A,0))</f>
        <v>135.87</v>
      </c>
      <c r="J444">
        <f t="shared" si="706"/>
        <v>1</v>
      </c>
      <c r="K444">
        <f>ROUND(INDEX(Economic!AF:AF,MATCH(EOMONTH($A444,-1),Economic!A:A,0)),2)</f>
        <v>96.52</v>
      </c>
      <c r="L444" s="11">
        <f t="shared" si="715"/>
        <v>-1</v>
      </c>
      <c r="M444">
        <f>ROUND(INDEX(Manufacturing!P:P,MATCH(EOMONTH($A444,-1),Manufacturing!A:A,0)),2)</f>
        <v>95.32</v>
      </c>
      <c r="N444">
        <f t="shared" si="711"/>
        <v>1</v>
      </c>
      <c r="O444">
        <f>ROUND(INDEX(Housing!AC:AC,MATCH(EOMONTH($A444,-1),Housing!B:B,0)),2)</f>
        <v>71.400000000000006</v>
      </c>
      <c r="P444">
        <f t="shared" si="712"/>
        <v>-2</v>
      </c>
      <c r="Q444">
        <f>ROUND(INDEX(Spending!AJ:AJ,MATCH(EOMONTH($A444,-1),Spending!B:B,0)),2)</f>
        <v>53.16</v>
      </c>
      <c r="R444">
        <f t="shared" si="716"/>
        <v>1</v>
      </c>
      <c r="S444">
        <f>ROUND(INDEX(Employment!V:V,MATCH(EOMONTH($A444,-1),Employment!A:A,0)),2)</f>
        <v>113.91</v>
      </c>
      <c r="T444" s="11">
        <f t="shared" si="713"/>
        <v>-3</v>
      </c>
      <c r="U444">
        <f t="shared" si="705"/>
        <v>19</v>
      </c>
      <c r="V444">
        <f t="shared" si="697"/>
        <v>65.760000000000005</v>
      </c>
      <c r="W444" s="13">
        <f t="shared" si="698"/>
        <v>1.1000000000000001E-3</v>
      </c>
      <c r="X444" s="13">
        <f t="shared" si="699"/>
        <v>-1.52E-2</v>
      </c>
      <c r="Y444">
        <f t="shared" si="691"/>
        <v>76.569999999999993</v>
      </c>
      <c r="Z444" s="13">
        <f t="shared" si="686"/>
        <v>3.3E-3</v>
      </c>
      <c r="AA444" s="13">
        <f t="shared" si="718"/>
        <v>-4.41E-2</v>
      </c>
      <c r="AB444" s="6">
        <f t="shared" si="692"/>
        <v>89.463999999999999</v>
      </c>
      <c r="AC444">
        <f t="shared" si="684"/>
        <v>45</v>
      </c>
      <c r="AD444" s="11">
        <f t="shared" si="685"/>
        <v>1</v>
      </c>
      <c r="AE444">
        <f t="shared" si="719"/>
        <v>22</v>
      </c>
      <c r="AF444">
        <f>IF(AND(AE444&lt;15,OR(AC444&gt;=30,AA444&gt;0.15,X444&gt;=0.15)),2,VLOOKUP(AE444,Table!P:Q,2,FALSE))</f>
        <v>3</v>
      </c>
      <c r="AG444" s="22">
        <f>IF((AB444*0.98)-(D444*0.8)+((AF444-3)*3)+VLOOKUP(AM444,Table!$A$11:$B$13,2,FALSE)&lt;0,0,(AB444*0.98)-(D444*0.8)+((AF444-3)*3)+VLOOKUP(AM444,Table!$A$11:$B$13,2,FALSE))</f>
        <v>80.074719999999985</v>
      </c>
      <c r="AH444" s="22">
        <f t="shared" si="714"/>
        <v>78</v>
      </c>
      <c r="AI444" s="18">
        <f t="shared" si="707"/>
        <v>7.0000000000000007E-2</v>
      </c>
      <c r="AJ444" s="18">
        <f t="shared" si="708"/>
        <v>0.11</v>
      </c>
      <c r="AK444" t="str">
        <f t="shared" si="693"/>
        <v/>
      </c>
      <c r="AL444">
        <f t="shared" si="704"/>
        <v>21</v>
      </c>
      <c r="AM444" s="11" t="str">
        <f t="shared" si="694"/>
        <v>Stocks</v>
      </c>
      <c r="AN444" t="str">
        <f t="shared" si="700"/>
        <v>Buy</v>
      </c>
      <c r="AO444" s="13">
        <f t="shared" si="701"/>
        <v>3.1E-2</v>
      </c>
      <c r="AP444" s="13">
        <f t="shared" si="702"/>
        <v>0</v>
      </c>
      <c r="AQ444" s="13">
        <f t="shared" si="703"/>
        <v>2.4199999999999999E-2</v>
      </c>
      <c r="AR444" s="13">
        <f t="shared" si="695"/>
        <v>3.1E-2</v>
      </c>
      <c r="AS444" s="6">
        <f t="shared" si="687"/>
        <v>275.0979071611473</v>
      </c>
      <c r="AT444" s="6">
        <f t="shared" si="688"/>
        <v>185.97425508967711</v>
      </c>
      <c r="AU444" s="6">
        <f t="shared" si="689"/>
        <v>473.6930337896606</v>
      </c>
      <c r="AV444" s="6">
        <f t="shared" si="690"/>
        <v>645.20363870659514</v>
      </c>
      <c r="AW444" s="58">
        <f t="shared" si="696"/>
        <v>2010</v>
      </c>
      <c r="AX444" s="58">
        <f>COUNTIF(AW$3:AW444,AW444)</f>
        <v>44</v>
      </c>
    </row>
    <row r="445" spans="1:50" x14ac:dyDescent="0.25">
      <c r="A445" s="5">
        <v>40230</v>
      </c>
      <c r="B445">
        <v>1109.17</v>
      </c>
      <c r="C445">
        <v>0.1</v>
      </c>
      <c r="D445" s="6">
        <v>20.02</v>
      </c>
      <c r="E445" s="18">
        <f t="shared" si="709"/>
        <v>22.95</v>
      </c>
      <c r="F445">
        <f t="shared" si="710"/>
        <v>-1</v>
      </c>
      <c r="G445" s="18">
        <f>ROUND(INDEX(Valuation!U:U,MATCH(A445,Valuation!A:A,0)),2)</f>
        <v>217.8</v>
      </c>
      <c r="H445">
        <f t="shared" si="717"/>
        <v>3</v>
      </c>
      <c r="I445" s="18">
        <f>INDEX(WeeklyIndicators!Y:Y,MATCH(A445,WeeklyIndicators!A:A,0))</f>
        <v>132.80000000000001</v>
      </c>
      <c r="J445">
        <f t="shared" si="706"/>
        <v>0</v>
      </c>
      <c r="K445">
        <f>ROUND(INDEX(Economic!AF:AF,MATCH(EOMONTH($A445,-1),Economic!A:A,0)),2)</f>
        <v>96.52</v>
      </c>
      <c r="L445" s="11">
        <f t="shared" si="715"/>
        <v>-1</v>
      </c>
      <c r="M445">
        <f>ROUND(INDEX(Manufacturing!P:P,MATCH(EOMONTH($A445,-1),Manufacturing!A:A,0)),2)</f>
        <v>95.32</v>
      </c>
      <c r="N445">
        <f t="shared" si="711"/>
        <v>1</v>
      </c>
      <c r="O445">
        <f>ROUND(INDEX(Housing!AC:AC,MATCH(EOMONTH($A445,-1),Housing!B:B,0)),2)</f>
        <v>71.400000000000006</v>
      </c>
      <c r="P445">
        <f t="shared" si="712"/>
        <v>-2</v>
      </c>
      <c r="Q445">
        <f>ROUND(INDEX(Spending!AJ:AJ,MATCH(EOMONTH($A445,-1),Spending!B:B,0)),2)</f>
        <v>53.16</v>
      </c>
      <c r="R445">
        <f t="shared" si="716"/>
        <v>1</v>
      </c>
      <c r="S445">
        <f>ROUND(INDEX(Employment!V:V,MATCH(EOMONTH($A445,-1),Employment!A:A,0)),2)</f>
        <v>113.91</v>
      </c>
      <c r="T445" s="11">
        <f t="shared" si="713"/>
        <v>-3</v>
      </c>
      <c r="U445">
        <f t="shared" si="705"/>
        <v>18</v>
      </c>
      <c r="V445">
        <f t="shared" si="697"/>
        <v>65.44</v>
      </c>
      <c r="W445" s="13">
        <f t="shared" si="698"/>
        <v>-3.7000000000000002E-3</v>
      </c>
      <c r="X445" s="13">
        <f t="shared" si="699"/>
        <v>-2.3000000000000003E-2</v>
      </c>
      <c r="Y445">
        <f t="shared" si="691"/>
        <v>76.02</v>
      </c>
      <c r="Z445" s="13">
        <f t="shared" si="686"/>
        <v>-8.9999999999999993E-3</v>
      </c>
      <c r="AA445" s="13">
        <f t="shared" si="718"/>
        <v>-6.0699999999999997E-2</v>
      </c>
      <c r="AB445" s="6">
        <f t="shared" si="692"/>
        <v>88.18</v>
      </c>
      <c r="AC445">
        <f t="shared" ref="AC445:AC508" si="720">IF(ROUND(AB445/2,0)&lt;0,0,ROUND(AB445/2,0))</f>
        <v>44</v>
      </c>
      <c r="AD445" s="11">
        <f t="shared" si="685"/>
        <v>1</v>
      </c>
      <c r="AE445">
        <f t="shared" si="719"/>
        <v>21</v>
      </c>
      <c r="AF445">
        <f>IF(AND(AE445&lt;15,OR(AC445&gt;=30,AA445&gt;0.15,X445&gt;=0.15)),2,VLOOKUP(AE445,Table!P:Q,2,FALSE))</f>
        <v>3</v>
      </c>
      <c r="AG445" s="22">
        <f>IF((AB445*0.98)-(D445*0.8)+((AF445-3)*3)+VLOOKUP(AM445,Table!$A$11:$B$13,2,FALSE)&lt;0,0,(AB445*0.98)-(D445*0.8)+((AF445-3)*3)+VLOOKUP(AM445,Table!$A$11:$B$13,2,FALSE))</f>
        <v>78.400400000000005</v>
      </c>
      <c r="AH445" s="22">
        <f t="shared" si="714"/>
        <v>77</v>
      </c>
      <c r="AI445" s="18">
        <f t="shared" si="707"/>
        <v>7.0000000000000007E-2</v>
      </c>
      <c r="AJ445" s="18">
        <f t="shared" si="708"/>
        <v>0.11</v>
      </c>
      <c r="AK445" t="str">
        <f t="shared" si="693"/>
        <v/>
      </c>
      <c r="AL445">
        <f t="shared" si="704"/>
        <v>21.25</v>
      </c>
      <c r="AM445" s="11" t="str">
        <f t="shared" si="694"/>
        <v>Stocks</v>
      </c>
      <c r="AN445" t="str">
        <f t="shared" si="700"/>
        <v>Buy</v>
      </c>
      <c r="AO445" s="13">
        <f t="shared" si="701"/>
        <v>-4.1999999999999997E-3</v>
      </c>
      <c r="AP445" s="13">
        <f t="shared" si="702"/>
        <v>0</v>
      </c>
      <c r="AQ445" s="13">
        <f t="shared" si="703"/>
        <v>-3.2000000000000002E-3</v>
      </c>
      <c r="AR445" s="13">
        <f t="shared" si="695"/>
        <v>-4.1999999999999997E-3</v>
      </c>
      <c r="AS445" s="6">
        <f t="shared" si="687"/>
        <v>276.25819156572334</v>
      </c>
      <c r="AT445" s="6">
        <f t="shared" si="688"/>
        <v>185.97425508967711</v>
      </c>
      <c r="AU445" s="6">
        <f t="shared" si="689"/>
        <v>475.21371768625664</v>
      </c>
      <c r="AV445" s="6">
        <f t="shared" si="690"/>
        <v>647.92492338481134</v>
      </c>
      <c r="AW445" s="58">
        <f t="shared" si="696"/>
        <v>2010</v>
      </c>
      <c r="AX445" s="58">
        <f>COUNTIF(AW$3:AW445,AW445)</f>
        <v>45</v>
      </c>
    </row>
    <row r="446" spans="1:50" x14ac:dyDescent="0.25">
      <c r="A446" s="5">
        <v>40223</v>
      </c>
      <c r="B446">
        <v>1075.51</v>
      </c>
      <c r="C446">
        <v>0.11</v>
      </c>
      <c r="D446" s="6">
        <v>22.73</v>
      </c>
      <c r="E446" s="18">
        <f t="shared" si="709"/>
        <v>24.49</v>
      </c>
      <c r="F446">
        <f t="shared" si="710"/>
        <v>-1</v>
      </c>
      <c r="G446" s="18">
        <f>ROUND(INDEX(Valuation!U:U,MATCH(A446,Valuation!A:A,0)),2)</f>
        <v>223.19</v>
      </c>
      <c r="H446">
        <f t="shared" si="717"/>
        <v>3</v>
      </c>
      <c r="I446" s="18">
        <f>INDEX(WeeklyIndicators!Y:Y,MATCH(A446,WeeklyIndicators!A:A,0))</f>
        <v>131.63999999999999</v>
      </c>
      <c r="J446">
        <f t="shared" si="706"/>
        <v>0</v>
      </c>
      <c r="K446">
        <f>ROUND(INDEX(Economic!AF:AF,MATCH(EOMONTH($A446,-1),Economic!A:A,0)),2)</f>
        <v>96.52</v>
      </c>
      <c r="L446" s="11">
        <f t="shared" si="715"/>
        <v>-1</v>
      </c>
      <c r="M446">
        <f>ROUND(INDEX(Manufacturing!P:P,MATCH(EOMONTH($A446,-1),Manufacturing!A:A,0)),2)</f>
        <v>95.32</v>
      </c>
      <c r="N446">
        <f t="shared" si="711"/>
        <v>1</v>
      </c>
      <c r="O446">
        <f>ROUND(INDEX(Housing!AC:AC,MATCH(EOMONTH($A446,-1),Housing!B:B,0)),2)</f>
        <v>71.400000000000006</v>
      </c>
      <c r="P446">
        <f t="shared" si="712"/>
        <v>-2</v>
      </c>
      <c r="Q446">
        <f>ROUND(INDEX(Spending!AJ:AJ,MATCH(EOMONTH($A446,-1),Spending!B:B,0)),2)</f>
        <v>53.16</v>
      </c>
      <c r="R446">
        <f t="shared" si="716"/>
        <v>1</v>
      </c>
      <c r="S446">
        <f>ROUND(INDEX(Employment!V:V,MATCH(EOMONTH($A446,-1),Employment!A:A,0)),2)</f>
        <v>113.91</v>
      </c>
      <c r="T446" s="11">
        <f t="shared" si="713"/>
        <v>-3</v>
      </c>
      <c r="U446">
        <f t="shared" si="705"/>
        <v>18</v>
      </c>
      <c r="V446">
        <f t="shared" si="697"/>
        <v>65.319999999999993</v>
      </c>
      <c r="W446" s="13">
        <f t="shared" si="698"/>
        <v>-5.7000000000000002E-3</v>
      </c>
      <c r="X446" s="13">
        <f t="shared" si="699"/>
        <v>-2.7300000000000001E-2</v>
      </c>
      <c r="Y446">
        <f t="shared" si="691"/>
        <v>75.959999999999994</v>
      </c>
      <c r="Z446" s="13">
        <f t="shared" si="686"/>
        <v>-1.5800000000000002E-2</v>
      </c>
      <c r="AA446" s="13">
        <f t="shared" si="718"/>
        <v>-5.9000000000000004E-2</v>
      </c>
      <c r="AB446" s="6">
        <f t="shared" si="692"/>
        <v>88.728999999999999</v>
      </c>
      <c r="AC446">
        <f t="shared" si="720"/>
        <v>44</v>
      </c>
      <c r="AD446" s="11">
        <f t="shared" ref="AD446:AD509" si="721">IF(AC446&gt;47,2,IF(AND(AC446&gt;41,AC446&lt;=47),1,IF(AC446&lt;15,-2,IF(AND(AC446&lt;32,AC446&gt;=15),-1,0))))</f>
        <v>1</v>
      </c>
      <c r="AE446">
        <f t="shared" si="719"/>
        <v>21</v>
      </c>
      <c r="AF446">
        <f>IF(AND(AE446&lt;15,OR(AC446&gt;=30,AA446&gt;0.15,X446&gt;=0.15)),2,VLOOKUP(AE446,Table!P:Q,2,FALSE))</f>
        <v>3</v>
      </c>
      <c r="AG446" s="22">
        <f>IF((AB446*0.98)-(D446*0.8)+((AF446-3)*3)+VLOOKUP(AM446,Table!$A$11:$B$13,2,FALSE)&lt;0,0,(AB446*0.98)-(D446*0.8)+((AF446-3)*3)+VLOOKUP(AM446,Table!$A$11:$B$13,2,FALSE))</f>
        <v>76.770420000000001</v>
      </c>
      <c r="AH446" s="22">
        <f t="shared" si="714"/>
        <v>78</v>
      </c>
      <c r="AI446" s="18">
        <f t="shared" si="707"/>
        <v>0.06</v>
      </c>
      <c r="AJ446" s="18">
        <f t="shared" si="708"/>
        <v>0.12</v>
      </c>
      <c r="AK446" t="str">
        <f t="shared" si="693"/>
        <v/>
      </c>
      <c r="AL446">
        <f t="shared" si="704"/>
        <v>22</v>
      </c>
      <c r="AM446" s="11" t="str">
        <f t="shared" si="694"/>
        <v>Stocks</v>
      </c>
      <c r="AN446" t="str">
        <f t="shared" si="700"/>
        <v>Buy</v>
      </c>
      <c r="AO446" s="13">
        <f t="shared" si="701"/>
        <v>3.1300000000000001E-2</v>
      </c>
      <c r="AP446" s="13">
        <f t="shared" si="702"/>
        <v>0</v>
      </c>
      <c r="AQ446" s="13">
        <f t="shared" si="703"/>
        <v>2.4400000000000002E-2</v>
      </c>
      <c r="AR446" s="13">
        <f t="shared" si="695"/>
        <v>3.1300000000000001E-2</v>
      </c>
      <c r="AS446" s="6">
        <f t="shared" si="687"/>
        <v>267.87374339738517</v>
      </c>
      <c r="AT446" s="6">
        <f t="shared" si="688"/>
        <v>185.97425508967711</v>
      </c>
      <c r="AU446" s="6">
        <f t="shared" si="689"/>
        <v>463.89468731575232</v>
      </c>
      <c r="AV446" s="6">
        <f t="shared" si="690"/>
        <v>628.26037368836546</v>
      </c>
      <c r="AW446" s="58">
        <f t="shared" si="696"/>
        <v>2010</v>
      </c>
      <c r="AX446" s="58">
        <f>COUNTIF(AW$3:AW446,AW446)</f>
        <v>46</v>
      </c>
    </row>
    <row r="447" spans="1:50" x14ac:dyDescent="0.25">
      <c r="A447" s="5">
        <v>40216</v>
      </c>
      <c r="B447">
        <v>1066.19</v>
      </c>
      <c r="C447">
        <v>0.1</v>
      </c>
      <c r="D447" s="6">
        <v>26.11</v>
      </c>
      <c r="E447" s="18">
        <f t="shared" si="709"/>
        <v>26.01</v>
      </c>
      <c r="F447">
        <f t="shared" si="710"/>
        <v>-2</v>
      </c>
      <c r="G447" s="18">
        <f>ROUND(INDEX(Valuation!U:U,MATCH(A447,Valuation!A:A,0)),2)</f>
        <v>224.62</v>
      </c>
      <c r="H447">
        <f t="shared" si="717"/>
        <v>3</v>
      </c>
      <c r="I447" s="18">
        <f>INDEX(WeeklyIndicators!Y:Y,MATCH(A447,WeeklyIndicators!A:A,0))</f>
        <v>133.78</v>
      </c>
      <c r="J447">
        <f t="shared" si="706"/>
        <v>0</v>
      </c>
      <c r="K447">
        <f>ROUND(INDEX(Economic!AF:AF,MATCH(EOMONTH($A447,-1),Economic!A:A,0)),2)</f>
        <v>96.52</v>
      </c>
      <c r="L447" s="11">
        <f t="shared" si="715"/>
        <v>-1</v>
      </c>
      <c r="M447">
        <f>ROUND(INDEX(Manufacturing!P:P,MATCH(EOMONTH($A447,-1),Manufacturing!A:A,0)),2)</f>
        <v>95.32</v>
      </c>
      <c r="N447">
        <f t="shared" si="711"/>
        <v>1</v>
      </c>
      <c r="O447">
        <f>ROUND(INDEX(Housing!AC:AC,MATCH(EOMONTH($A447,-1),Housing!B:B,0)),2)</f>
        <v>71.400000000000006</v>
      </c>
      <c r="P447">
        <f t="shared" si="712"/>
        <v>-2</v>
      </c>
      <c r="Q447">
        <f>ROUND(INDEX(Spending!AJ:AJ,MATCH(EOMONTH($A447,-1),Spending!B:B,0)),2)</f>
        <v>53.16</v>
      </c>
      <c r="R447">
        <f t="shared" si="716"/>
        <v>1</v>
      </c>
      <c r="S447">
        <f>ROUND(INDEX(Employment!V:V,MATCH(EOMONTH($A447,-1),Employment!A:A,0)),2)</f>
        <v>113.91</v>
      </c>
      <c r="T447" s="11">
        <f t="shared" si="713"/>
        <v>-3</v>
      </c>
      <c r="U447">
        <f t="shared" si="705"/>
        <v>17</v>
      </c>
      <c r="V447">
        <f t="shared" si="697"/>
        <v>65.540000000000006</v>
      </c>
      <c r="W447" s="13">
        <f t="shared" si="698"/>
        <v>-6.8999999999999999E-3</v>
      </c>
      <c r="X447" s="13">
        <f t="shared" si="699"/>
        <v>-2.7700000000000002E-2</v>
      </c>
      <c r="Y447">
        <f t="shared" si="691"/>
        <v>75.81</v>
      </c>
      <c r="Z447" s="13">
        <f t="shared" si="686"/>
        <v>-2.2599999999999999E-2</v>
      </c>
      <c r="AA447" s="13">
        <f t="shared" si="718"/>
        <v>-4.4000000000000004E-2</v>
      </c>
      <c r="AB447" s="6">
        <f t="shared" si="692"/>
        <v>89.731999999999999</v>
      </c>
      <c r="AC447">
        <f t="shared" si="720"/>
        <v>45</v>
      </c>
      <c r="AD447" s="11">
        <f t="shared" si="721"/>
        <v>1</v>
      </c>
      <c r="AE447">
        <f t="shared" si="719"/>
        <v>20</v>
      </c>
      <c r="AF447">
        <f>IF(AND(AE447&lt;15,OR(AC447&gt;=30,AA447&gt;0.15,X447&gt;=0.15)),2,VLOOKUP(AE447,Table!P:Q,2,FALSE))</f>
        <v>3</v>
      </c>
      <c r="AG447" s="22">
        <f>IF((AB447*0.98)-(D447*0.8)+((AF447-3)*3)+VLOOKUP(AM447,Table!$A$11:$B$13,2,FALSE)&lt;0,0,(AB447*0.98)-(D447*0.8)+((AF447-3)*3)+VLOOKUP(AM447,Table!$A$11:$B$13,2,FALSE))</f>
        <v>75.049359999999993</v>
      </c>
      <c r="AH447" s="22">
        <f t="shared" si="714"/>
        <v>79</v>
      </c>
      <c r="AI447" s="18">
        <f t="shared" si="707"/>
        <v>0.06</v>
      </c>
      <c r="AJ447" s="18">
        <f t="shared" si="708"/>
        <v>0.12</v>
      </c>
      <c r="AK447" t="str">
        <f t="shared" si="693"/>
        <v/>
      </c>
      <c r="AL447">
        <f t="shared" si="704"/>
        <v>22.75</v>
      </c>
      <c r="AM447" s="11" t="str">
        <f t="shared" si="694"/>
        <v>Stocks</v>
      </c>
      <c r="AN447" t="str">
        <f t="shared" si="700"/>
        <v>Buy</v>
      </c>
      <c r="AO447" s="13">
        <f t="shared" si="701"/>
        <v>8.6999999999999994E-3</v>
      </c>
      <c r="AP447" s="13">
        <f t="shared" si="702"/>
        <v>0</v>
      </c>
      <c r="AQ447" s="13">
        <f t="shared" si="703"/>
        <v>6.8999999999999999E-3</v>
      </c>
      <c r="AR447" s="13">
        <f t="shared" si="695"/>
        <v>8.6999999999999994E-3</v>
      </c>
      <c r="AS447" s="6">
        <f t="shared" si="687"/>
        <v>265.56334231920806</v>
      </c>
      <c r="AT447" s="6">
        <f t="shared" si="688"/>
        <v>185.97425508967711</v>
      </c>
      <c r="AU447" s="6">
        <f t="shared" si="689"/>
        <v>460.71574865006693</v>
      </c>
      <c r="AV447" s="6">
        <f t="shared" si="690"/>
        <v>622.84165132186524</v>
      </c>
      <c r="AW447" s="58">
        <f t="shared" si="696"/>
        <v>2010</v>
      </c>
      <c r="AX447" s="58">
        <f>COUNTIF(AW$3:AW447,AW447)</f>
        <v>47</v>
      </c>
    </row>
    <row r="448" spans="1:50" x14ac:dyDescent="0.25">
      <c r="A448" s="5">
        <v>40209</v>
      </c>
      <c r="B448">
        <v>1073.8699999999999</v>
      </c>
      <c r="C448">
        <v>7.0000000000000007E-2</v>
      </c>
      <c r="D448" s="6">
        <v>24.62</v>
      </c>
      <c r="E448" s="18">
        <f t="shared" si="709"/>
        <v>23.28</v>
      </c>
      <c r="F448">
        <f t="shared" si="710"/>
        <v>-1</v>
      </c>
      <c r="G448" s="18">
        <f>ROUND(INDEX(Valuation!U:U,MATCH(A448,Valuation!A:A,0)),2)</f>
        <v>231.02</v>
      </c>
      <c r="H448">
        <f t="shared" si="717"/>
        <v>3</v>
      </c>
      <c r="I448" s="18">
        <f>INDEX(WeeklyIndicators!Y:Y,MATCH(A448,WeeklyIndicators!A:A,0))</f>
        <v>137.18</v>
      </c>
      <c r="J448">
        <f t="shared" si="706"/>
        <v>1</v>
      </c>
      <c r="K448">
        <f>ROUND(INDEX(Economic!AF:AF,MATCH(EOMONTH($A448,-1),Economic!A:A,0)),2)</f>
        <v>97.55</v>
      </c>
      <c r="L448" s="11">
        <f t="shared" si="715"/>
        <v>-1</v>
      </c>
      <c r="M448">
        <f>ROUND(INDEX(Manufacturing!P:P,MATCH(EOMONTH($A448,-1),Manufacturing!A:A,0)),2)</f>
        <v>100.63</v>
      </c>
      <c r="N448">
        <f t="shared" si="711"/>
        <v>2</v>
      </c>
      <c r="O448">
        <f>ROUND(INDEX(Housing!AC:AC,MATCH(EOMONTH($A448,-1),Housing!B:B,0)),2)</f>
        <v>72.37</v>
      </c>
      <c r="P448">
        <f t="shared" si="712"/>
        <v>-2</v>
      </c>
      <c r="Q448">
        <f>ROUND(INDEX(Spending!AJ:AJ,MATCH(EOMONTH($A448,-1),Spending!B:B,0)),2)</f>
        <v>57.47</v>
      </c>
      <c r="R448">
        <f t="shared" si="716"/>
        <v>1</v>
      </c>
      <c r="S448">
        <f>ROUND(INDEX(Employment!V:V,MATCH(EOMONTH($A448,-1),Employment!A:A,0)),2)</f>
        <v>101.48</v>
      </c>
      <c r="T448" s="11">
        <f t="shared" si="713"/>
        <v>-3</v>
      </c>
      <c r="U448">
        <f t="shared" si="705"/>
        <v>20</v>
      </c>
      <c r="V448">
        <f t="shared" si="697"/>
        <v>66.16</v>
      </c>
      <c r="W448" s="13">
        <f t="shared" si="698"/>
        <v>-6.7000000000000002E-3</v>
      </c>
      <c r="X448" s="13">
        <f t="shared" si="699"/>
        <v>-2.4100000000000003E-2</v>
      </c>
      <c r="Y448">
        <f t="shared" si="691"/>
        <v>78.099999999999994</v>
      </c>
      <c r="Z448" s="13">
        <f t="shared" ref="Z448:Z511" si="722">ROUND((AVERAGE(Y448:Y450)-AVERAGE(Y449:Y451))/AVERAGE(Y449:Y451),4)</f>
        <v>-1.3299999999999999E-2</v>
      </c>
      <c r="AA448" s="13">
        <f t="shared" si="718"/>
        <v>-2.0299999999999999E-2</v>
      </c>
      <c r="AB448" s="6">
        <f t="shared" si="692"/>
        <v>94.302000000000007</v>
      </c>
      <c r="AC448">
        <f t="shared" si="720"/>
        <v>47</v>
      </c>
      <c r="AD448" s="11">
        <f t="shared" si="721"/>
        <v>1</v>
      </c>
      <c r="AE448">
        <f t="shared" si="719"/>
        <v>23</v>
      </c>
      <c r="AF448">
        <f>IF(AND(AE448&lt;15,OR(AC448&gt;=30,AA448&gt;0.15,X448&gt;=0.15)),2,VLOOKUP(AE448,Table!P:Q,2,FALSE))</f>
        <v>3</v>
      </c>
      <c r="AG448" s="22">
        <f>IF((AB448*0.98)-(D448*0.8)+((AF448-3)*3)+VLOOKUP(AM448,Table!$A$11:$B$13,2,FALSE)&lt;0,0,(AB448*0.98)-(D448*0.8)+((AF448-3)*3)+VLOOKUP(AM448,Table!$A$11:$B$13,2,FALSE))</f>
        <v>80.71996</v>
      </c>
      <c r="AH448" s="22">
        <f t="shared" si="714"/>
        <v>85</v>
      </c>
      <c r="AI448" s="18">
        <f t="shared" si="707"/>
        <v>0.06</v>
      </c>
      <c r="AJ448" s="18">
        <f t="shared" si="708"/>
        <v>0.12</v>
      </c>
      <c r="AK448" t="str">
        <f t="shared" si="693"/>
        <v/>
      </c>
      <c r="AL448">
        <f t="shared" si="704"/>
        <v>23.75</v>
      </c>
      <c r="AM448" s="11" t="str">
        <f t="shared" si="694"/>
        <v>Stocks</v>
      </c>
      <c r="AN448" t="str">
        <f t="shared" si="700"/>
        <v>Buy</v>
      </c>
      <c r="AO448" s="13">
        <f t="shared" si="701"/>
        <v>-7.1999999999999998E-3</v>
      </c>
      <c r="AP448" s="13">
        <f t="shared" si="702"/>
        <v>0</v>
      </c>
      <c r="AQ448" s="13">
        <f t="shared" si="703"/>
        <v>-6.1000000000000004E-3</v>
      </c>
      <c r="AR448" s="13">
        <f t="shared" si="695"/>
        <v>-7.1999999999999998E-3</v>
      </c>
      <c r="AS448" s="6">
        <f t="shared" si="687"/>
        <v>267.48926502740539</v>
      </c>
      <c r="AT448" s="6">
        <f t="shared" si="688"/>
        <v>185.97425508967711</v>
      </c>
      <c r="AU448" s="6">
        <f t="shared" si="689"/>
        <v>463.54336316537569</v>
      </c>
      <c r="AV448" s="6">
        <f t="shared" si="690"/>
        <v>627.35863348294242</v>
      </c>
      <c r="AW448" s="58">
        <f t="shared" si="696"/>
        <v>2010</v>
      </c>
      <c r="AX448" s="58">
        <f>COUNTIF(AW$3:AW448,AW448)</f>
        <v>48</v>
      </c>
    </row>
    <row r="449" spans="1:50" x14ac:dyDescent="0.25">
      <c r="A449" s="5">
        <v>40202</v>
      </c>
      <c r="B449">
        <v>1091.76</v>
      </c>
      <c r="C449">
        <v>0.06</v>
      </c>
      <c r="D449" s="6">
        <v>27.31</v>
      </c>
      <c r="E449" s="18">
        <f t="shared" si="709"/>
        <v>21.12</v>
      </c>
      <c r="F449">
        <f t="shared" si="710"/>
        <v>-1</v>
      </c>
      <c r="G449" s="18">
        <f>ROUND(INDEX(Valuation!U:U,MATCH(A449,Valuation!A:A,0)),2)</f>
        <v>235.65</v>
      </c>
      <c r="H449">
        <f t="shared" si="717"/>
        <v>3</v>
      </c>
      <c r="I449" s="18">
        <f>INDEX(WeeklyIndicators!Y:Y,MATCH(A449,WeeklyIndicators!A:A,0))</f>
        <v>139.97</v>
      </c>
      <c r="J449">
        <f t="shared" si="706"/>
        <v>1</v>
      </c>
      <c r="K449">
        <f>ROUND(INDEX(Economic!AF:AF,MATCH(EOMONTH($A449,-1),Economic!A:A,0)),2)</f>
        <v>97.55</v>
      </c>
      <c r="L449" s="11">
        <f t="shared" si="715"/>
        <v>-1</v>
      </c>
      <c r="M449">
        <f>ROUND(INDEX(Manufacturing!P:P,MATCH(EOMONTH($A449,-1),Manufacturing!A:A,0)),2)</f>
        <v>100.63</v>
      </c>
      <c r="N449">
        <f t="shared" si="711"/>
        <v>2</v>
      </c>
      <c r="O449">
        <f>ROUND(INDEX(Housing!AC:AC,MATCH(EOMONTH($A449,-1),Housing!B:B,0)),2)</f>
        <v>72.37</v>
      </c>
      <c r="P449">
        <f t="shared" si="712"/>
        <v>-2</v>
      </c>
      <c r="Q449">
        <f>ROUND(INDEX(Spending!AJ:AJ,MATCH(EOMONTH($A449,-1),Spending!B:B,0)),2)</f>
        <v>57.47</v>
      </c>
      <c r="R449">
        <f t="shared" si="716"/>
        <v>1</v>
      </c>
      <c r="S449">
        <f>ROUND(INDEX(Employment!V:V,MATCH(EOMONTH($A449,-1),Employment!A:A,0)),2)</f>
        <v>101.48</v>
      </c>
      <c r="T449" s="11">
        <f t="shared" si="713"/>
        <v>-3</v>
      </c>
      <c r="U449">
        <f t="shared" si="705"/>
        <v>20</v>
      </c>
      <c r="V449">
        <f t="shared" si="697"/>
        <v>66.45</v>
      </c>
      <c r="W449" s="13">
        <f t="shared" si="698"/>
        <v>-8.0000000000000002E-3</v>
      </c>
      <c r="X449" s="13">
        <f t="shared" si="699"/>
        <v>-1.6400000000000001E-2</v>
      </c>
      <c r="Y449">
        <f t="shared" si="691"/>
        <v>79.650000000000006</v>
      </c>
      <c r="Z449" s="13">
        <f t="shared" si="722"/>
        <v>-7.3000000000000001E-3</v>
      </c>
      <c r="AA449" s="13">
        <f t="shared" si="718"/>
        <v>1.0000000000000113E-4</v>
      </c>
      <c r="AB449" s="6">
        <f t="shared" si="692"/>
        <v>97.774999999999991</v>
      </c>
      <c r="AC449">
        <f t="shared" si="720"/>
        <v>49</v>
      </c>
      <c r="AD449" s="11">
        <f t="shared" si="721"/>
        <v>2</v>
      </c>
      <c r="AE449">
        <f t="shared" si="719"/>
        <v>24</v>
      </c>
      <c r="AF449">
        <f>IF(AND(AE449&lt;15,OR(AC449&gt;=30,AA449&gt;0.15,X449&gt;=0.15)),2,VLOOKUP(AE449,Table!P:Q,2,FALSE))</f>
        <v>3</v>
      </c>
      <c r="AG449" s="22">
        <f>IF((AB449*0.98)-(D449*0.8)+((AF449-3)*3)+VLOOKUP(AM449,Table!$A$11:$B$13,2,FALSE)&lt;0,0,(AB449*0.98)-(D449*0.8)+((AF449-3)*3)+VLOOKUP(AM449,Table!$A$11:$B$13,2,FALSE))</f>
        <v>81.971499999999992</v>
      </c>
      <c r="AH449" s="22">
        <f t="shared" si="714"/>
        <v>90</v>
      </c>
      <c r="AI449" s="18">
        <f t="shared" si="707"/>
        <v>0.06</v>
      </c>
      <c r="AJ449" s="18">
        <f t="shared" si="708"/>
        <v>0.12</v>
      </c>
      <c r="AK449" t="str">
        <f t="shared" si="693"/>
        <v/>
      </c>
      <c r="AL449">
        <f t="shared" si="704"/>
        <v>24.25</v>
      </c>
      <c r="AM449" s="11" t="str">
        <f t="shared" si="694"/>
        <v>Stocks</v>
      </c>
      <c r="AN449" t="str">
        <f t="shared" si="700"/>
        <v>Buy</v>
      </c>
      <c r="AO449" s="13">
        <f t="shared" si="701"/>
        <v>-1.6400000000000001E-2</v>
      </c>
      <c r="AP449" s="13">
        <f t="shared" si="702"/>
        <v>0</v>
      </c>
      <c r="AQ449" s="13">
        <f t="shared" si="703"/>
        <v>-1.4800000000000001E-2</v>
      </c>
      <c r="AR449" s="13">
        <f t="shared" si="695"/>
        <v>-1.6400000000000001E-2</v>
      </c>
      <c r="AS449" s="6">
        <f t="shared" si="687"/>
        <v>271.94923243941173</v>
      </c>
      <c r="AT449" s="6">
        <f t="shared" si="688"/>
        <v>185.97425508967711</v>
      </c>
      <c r="AU449" s="6">
        <f t="shared" si="689"/>
        <v>470.50686476388114</v>
      </c>
      <c r="AV449" s="6">
        <f t="shared" si="690"/>
        <v>637.81886283341032</v>
      </c>
      <c r="AW449" s="58">
        <f t="shared" si="696"/>
        <v>2010</v>
      </c>
      <c r="AX449" s="58">
        <f>COUNTIF(AW$3:AW449,AW449)</f>
        <v>49</v>
      </c>
    </row>
    <row r="450" spans="1:50" x14ac:dyDescent="0.25">
      <c r="A450" s="5">
        <v>40195</v>
      </c>
      <c r="B450">
        <v>1136.03</v>
      </c>
      <c r="C450">
        <v>0.05</v>
      </c>
      <c r="D450" s="6">
        <v>17.91</v>
      </c>
      <c r="E450" s="18">
        <f t="shared" si="709"/>
        <v>19.239999999999998</v>
      </c>
      <c r="F450">
        <f t="shared" si="710"/>
        <v>-1</v>
      </c>
      <c r="G450" s="18">
        <f>ROUND(INDEX(Valuation!U:U,MATCH(A450,Valuation!A:A,0)),2)</f>
        <v>239.52</v>
      </c>
      <c r="H450">
        <f t="shared" si="717"/>
        <v>3</v>
      </c>
      <c r="I450" s="18">
        <f>INDEX(WeeklyIndicators!Y:Y,MATCH(A450,WeeklyIndicators!A:A,0))</f>
        <v>144.38</v>
      </c>
      <c r="J450">
        <f t="shared" si="706"/>
        <v>1</v>
      </c>
      <c r="K450">
        <f>ROUND(INDEX(Economic!AF:AF,MATCH(EOMONTH($A450,-1),Economic!A:A,0)),2)</f>
        <v>97.55</v>
      </c>
      <c r="L450" s="11">
        <f t="shared" si="715"/>
        <v>-1</v>
      </c>
      <c r="M450">
        <f>ROUND(INDEX(Manufacturing!P:P,MATCH(EOMONTH($A450,-1),Manufacturing!A:A,0)),2)</f>
        <v>100.63</v>
      </c>
      <c r="N450">
        <f t="shared" si="711"/>
        <v>2</v>
      </c>
      <c r="O450">
        <f>ROUND(INDEX(Housing!AC:AC,MATCH(EOMONTH($A450,-1),Housing!B:B,0)),2)</f>
        <v>72.37</v>
      </c>
      <c r="P450">
        <f t="shared" si="712"/>
        <v>-2</v>
      </c>
      <c r="Q450">
        <f>ROUND(INDEX(Spending!AJ:AJ,MATCH(EOMONTH($A450,-1),Spending!B:B,0)),2)</f>
        <v>57.47</v>
      </c>
      <c r="R450">
        <f t="shared" si="716"/>
        <v>1</v>
      </c>
      <c r="S450">
        <f>ROUND(INDEX(Employment!V:V,MATCH(EOMONTH($A450,-1),Employment!A:A,0)),2)</f>
        <v>101.48</v>
      </c>
      <c r="T450" s="11">
        <f t="shared" si="713"/>
        <v>-3</v>
      </c>
      <c r="U450">
        <f t="shared" si="705"/>
        <v>20</v>
      </c>
      <c r="V450">
        <f t="shared" si="697"/>
        <v>66.91</v>
      </c>
      <c r="W450" s="13">
        <f t="shared" si="698"/>
        <v>-6.1000000000000004E-3</v>
      </c>
      <c r="X450" s="13">
        <f t="shared" si="699"/>
        <v>-3.0000000000000009E-3</v>
      </c>
      <c r="Y450">
        <f t="shared" si="691"/>
        <v>81.2</v>
      </c>
      <c r="Z450" s="13">
        <f t="shared" si="722"/>
        <v>-8.0000000000000004E-4</v>
      </c>
      <c r="AA450" s="13">
        <f t="shared" si="718"/>
        <v>2.0900000000000002E-2</v>
      </c>
      <c r="AB450" s="6">
        <f t="shared" si="692"/>
        <v>101.252</v>
      </c>
      <c r="AC450">
        <f t="shared" si="720"/>
        <v>51</v>
      </c>
      <c r="AD450" s="11">
        <f t="shared" si="721"/>
        <v>2</v>
      </c>
      <c r="AE450">
        <f t="shared" si="719"/>
        <v>24</v>
      </c>
      <c r="AF450">
        <f>IF(AND(AE450&lt;15,OR(AC450&gt;=30,AA450&gt;0.15,X450&gt;=0.15)),2,VLOOKUP(AE450,Table!P:Q,2,FALSE))</f>
        <v>3</v>
      </c>
      <c r="AG450" s="22">
        <f>IF((AB450*0.98)-(D450*0.8)+((AF450-3)*3)+VLOOKUP(AM450,Table!$A$11:$B$13,2,FALSE)&lt;0,0,(AB450*0.98)-(D450*0.8)+((AF450-3)*3)+VLOOKUP(AM450,Table!$A$11:$B$13,2,FALSE))</f>
        <v>92.898959999999988</v>
      </c>
      <c r="AH450" s="22">
        <f t="shared" si="714"/>
        <v>94</v>
      </c>
      <c r="AI450" s="18">
        <f t="shared" si="707"/>
        <v>0.06</v>
      </c>
      <c r="AJ450" s="18">
        <f t="shared" si="708"/>
        <v>0.12</v>
      </c>
      <c r="AK450" t="str">
        <f t="shared" si="693"/>
        <v/>
      </c>
      <c r="AL450">
        <f t="shared" si="704"/>
        <v>24.75</v>
      </c>
      <c r="AM450" s="11" t="str">
        <f t="shared" si="694"/>
        <v>Stocks</v>
      </c>
      <c r="AN450" t="str">
        <f t="shared" si="700"/>
        <v>Buy</v>
      </c>
      <c r="AO450" s="13">
        <f t="shared" si="701"/>
        <v>-3.9E-2</v>
      </c>
      <c r="AP450" s="13">
        <f t="shared" si="702"/>
        <v>0</v>
      </c>
      <c r="AQ450" s="13">
        <f t="shared" si="703"/>
        <v>-3.6700000000000003E-2</v>
      </c>
      <c r="AR450" s="13">
        <f t="shared" si="695"/>
        <v>-3.9E-2</v>
      </c>
      <c r="AS450" s="6">
        <f t="shared" si="687"/>
        <v>282.98567371426822</v>
      </c>
      <c r="AT450" s="6">
        <f t="shared" si="688"/>
        <v>185.97425508967711</v>
      </c>
      <c r="AU450" s="6">
        <f t="shared" si="689"/>
        <v>488.43233132345182</v>
      </c>
      <c r="AV450" s="6">
        <f t="shared" si="690"/>
        <v>663.70329118981306</v>
      </c>
      <c r="AW450" s="58">
        <f t="shared" si="696"/>
        <v>2010</v>
      </c>
      <c r="AX450" s="58">
        <f>COUNTIF(AW$3:AW450,AW450)</f>
        <v>50</v>
      </c>
    </row>
    <row r="451" spans="1:50" x14ac:dyDescent="0.25">
      <c r="A451" s="5">
        <v>40188</v>
      </c>
      <c r="B451">
        <v>1144.98</v>
      </c>
      <c r="C451">
        <v>0.06</v>
      </c>
      <c r="D451" s="6">
        <v>18.13</v>
      </c>
      <c r="E451" s="18">
        <f t="shared" si="709"/>
        <v>19.760000000000002</v>
      </c>
      <c r="F451">
        <f t="shared" si="710"/>
        <v>-1</v>
      </c>
      <c r="G451" s="18">
        <f>ROUND(INDEX(Valuation!U:U,MATCH(A451,Valuation!A:A,0)),2)</f>
        <v>237.05</v>
      </c>
      <c r="H451">
        <f t="shared" si="717"/>
        <v>3</v>
      </c>
      <c r="I451" s="18">
        <f>INDEX(WeeklyIndicators!Y:Y,MATCH(A451,WeeklyIndicators!A:A,0))</f>
        <v>150.01</v>
      </c>
      <c r="J451">
        <f t="shared" si="706"/>
        <v>1</v>
      </c>
      <c r="K451">
        <f>ROUND(INDEX(Economic!AF:AF,MATCH(EOMONTH($A451,-1),Economic!A:A,0)),2)</f>
        <v>97.55</v>
      </c>
      <c r="L451" s="11">
        <f t="shared" si="715"/>
        <v>-1</v>
      </c>
      <c r="M451">
        <f>ROUND(INDEX(Manufacturing!P:P,MATCH(EOMONTH($A451,-1),Manufacturing!A:A,0)),2)</f>
        <v>100.63</v>
      </c>
      <c r="N451">
        <f t="shared" si="711"/>
        <v>2</v>
      </c>
      <c r="O451">
        <f>ROUND(INDEX(Housing!AC:AC,MATCH(EOMONTH($A451,-1),Housing!B:B,0)),2)</f>
        <v>72.37</v>
      </c>
      <c r="P451">
        <f t="shared" si="712"/>
        <v>-2</v>
      </c>
      <c r="Q451">
        <f>ROUND(INDEX(Spending!AJ:AJ,MATCH(EOMONTH($A451,-1),Spending!B:B,0)),2)</f>
        <v>57.47</v>
      </c>
      <c r="R451">
        <f t="shared" si="716"/>
        <v>1</v>
      </c>
      <c r="S451">
        <f>ROUND(INDEX(Employment!V:V,MATCH(EOMONTH($A451,-1),Employment!A:A,0)),2)</f>
        <v>101.48</v>
      </c>
      <c r="T451" s="11">
        <f t="shared" si="713"/>
        <v>-3</v>
      </c>
      <c r="U451">
        <f t="shared" si="705"/>
        <v>20</v>
      </c>
      <c r="V451">
        <f t="shared" si="697"/>
        <v>67.5</v>
      </c>
      <c r="W451" s="13">
        <f t="shared" si="698"/>
        <v>-3.3E-3</v>
      </c>
      <c r="X451" s="13">
        <f t="shared" si="699"/>
        <v>3.0600000000000002E-2</v>
      </c>
      <c r="Y451">
        <f t="shared" si="691"/>
        <v>81.33</v>
      </c>
      <c r="Z451" s="13">
        <f t="shared" si="722"/>
        <v>1.1000000000000001E-3</v>
      </c>
      <c r="AA451" s="13">
        <f t="shared" si="718"/>
        <v>5.6499999999999995E-2</v>
      </c>
      <c r="AB451" s="6">
        <f t="shared" si="692"/>
        <v>103.875</v>
      </c>
      <c r="AC451">
        <f t="shared" si="720"/>
        <v>52</v>
      </c>
      <c r="AD451" s="11">
        <f t="shared" si="721"/>
        <v>2</v>
      </c>
      <c r="AE451">
        <f t="shared" si="719"/>
        <v>24</v>
      </c>
      <c r="AF451">
        <f>IF(AND(AE451&lt;15,OR(AC451&gt;=30,AA451&gt;0.15,X451&gt;=0.15)),2,VLOOKUP(AE451,Table!P:Q,2,FALSE))</f>
        <v>3</v>
      </c>
      <c r="AG451" s="22">
        <f>IF((AB451*0.98)-(D451*0.8)+((AF451-3)*3)+VLOOKUP(AM451,Table!$A$11:$B$13,2,FALSE)&lt;0,0,(AB451*0.98)-(D451*0.8)+((AF451-3)*3)+VLOOKUP(AM451,Table!$A$11:$B$13,2,FALSE))</f>
        <v>95.293499999999995</v>
      </c>
      <c r="AH451" s="22">
        <f t="shared" si="714"/>
        <v>97</v>
      </c>
      <c r="AI451" s="18">
        <f t="shared" si="707"/>
        <v>0.06</v>
      </c>
      <c r="AJ451" s="18">
        <f t="shared" si="708"/>
        <v>0.13</v>
      </c>
      <c r="AK451" t="str">
        <f t="shared" si="693"/>
        <v/>
      </c>
      <c r="AL451">
        <f t="shared" si="704"/>
        <v>25.25</v>
      </c>
      <c r="AM451" s="11" t="str">
        <f t="shared" si="694"/>
        <v>Stocks</v>
      </c>
      <c r="AN451" t="str">
        <f t="shared" si="700"/>
        <v>Buy</v>
      </c>
      <c r="AO451" s="13">
        <f t="shared" si="701"/>
        <v>-7.7999999999999996E-3</v>
      </c>
      <c r="AP451" s="13">
        <f t="shared" si="702"/>
        <v>0</v>
      </c>
      <c r="AQ451" s="13">
        <f t="shared" si="703"/>
        <v>-7.6E-3</v>
      </c>
      <c r="AR451" s="13">
        <f t="shared" si="695"/>
        <v>-7.7999999999999996E-3</v>
      </c>
      <c r="AS451" s="6">
        <f t="shared" ref="AS451:AS514" si="723">AS452*(1+AO452)</f>
        <v>285.2103141647533</v>
      </c>
      <c r="AT451" s="6">
        <f t="shared" ref="AT451:AT514" si="724">AT452*(1+AP452)</f>
        <v>185.97425508967711</v>
      </c>
      <c r="AU451" s="6">
        <f t="shared" ref="AU451:AU514" si="725">AU452*(1+AQ452)</f>
        <v>492.17284494503411</v>
      </c>
      <c r="AV451" s="6">
        <f t="shared" ref="AV451:AV514" si="726">AV452*(1+AR452)</f>
        <v>668.92087400706816</v>
      </c>
      <c r="AW451" s="58">
        <f t="shared" si="696"/>
        <v>2010</v>
      </c>
      <c r="AX451" s="58">
        <f>COUNTIF(AW$3:AW451,AW451)</f>
        <v>51</v>
      </c>
    </row>
    <row r="452" spans="1:50" x14ac:dyDescent="0.25">
      <c r="A452" s="5">
        <v>40181</v>
      </c>
      <c r="B452">
        <v>1115.0999999999999</v>
      </c>
      <c r="C452">
        <v>0.08</v>
      </c>
      <c r="D452" s="6">
        <v>21.68</v>
      </c>
      <c r="E452" s="18">
        <f t="shared" si="709"/>
        <v>20.94</v>
      </c>
      <c r="F452">
        <f t="shared" si="710"/>
        <v>-1</v>
      </c>
      <c r="G452" s="18">
        <f>ROUND(INDEX(Valuation!U:U,MATCH(A452,Valuation!A:A,0)),2)</f>
        <v>236.51</v>
      </c>
      <c r="H452">
        <f t="shared" si="717"/>
        <v>3</v>
      </c>
      <c r="I452" s="18">
        <f>INDEX(WeeklyIndicators!Y:Y,MATCH(A452,WeeklyIndicators!A:A,0))</f>
        <v>155.44999999999999</v>
      </c>
      <c r="J452">
        <f t="shared" si="706"/>
        <v>2</v>
      </c>
      <c r="K452">
        <f>ROUND(INDEX(Economic!AF:AF,MATCH(EOMONTH($A452,-1),Economic!A:A,0)),2)</f>
        <v>97.55</v>
      </c>
      <c r="L452" s="11">
        <f t="shared" si="715"/>
        <v>-1</v>
      </c>
      <c r="M452">
        <f>ROUND(INDEX(Manufacturing!P:P,MATCH(EOMONTH($A452,-1),Manufacturing!A:A,0)),2)</f>
        <v>100.63</v>
      </c>
      <c r="N452">
        <f t="shared" si="711"/>
        <v>2</v>
      </c>
      <c r="O452">
        <f>ROUND(INDEX(Housing!AC:AC,MATCH(EOMONTH($A452,-1),Housing!B:B,0)),2)</f>
        <v>72.37</v>
      </c>
      <c r="P452">
        <f t="shared" si="712"/>
        <v>-2</v>
      </c>
      <c r="Q452">
        <f>ROUND(INDEX(Spending!AJ:AJ,MATCH(EOMONTH($A452,-1),Spending!B:B,0)),2)</f>
        <v>57.47</v>
      </c>
      <c r="R452">
        <f t="shared" si="716"/>
        <v>1</v>
      </c>
      <c r="S452">
        <f>ROUND(INDEX(Employment!V:V,MATCH(EOMONTH($A452,-1),Employment!A:A,0)),2)</f>
        <v>101.48</v>
      </c>
      <c r="T452" s="11">
        <f t="shared" si="713"/>
        <v>-3</v>
      </c>
      <c r="U452">
        <f t="shared" si="705"/>
        <v>21</v>
      </c>
      <c r="V452">
        <f t="shared" si="697"/>
        <v>68.06</v>
      </c>
      <c r="W452" s="13">
        <f t="shared" si="698"/>
        <v>1E-3</v>
      </c>
      <c r="X452" s="13">
        <f t="shared" si="699"/>
        <v>6.4799999999999996E-2</v>
      </c>
      <c r="Y452">
        <f t="shared" ref="Y452:Y515" si="727">ROUND(((K452*0.745)+(M452*0.745)+(O452*0.36)+(Q452*0.45)+(S452*0.45)+(I452*0.55)+(G452*0.59)-(E452*1.85))/5.3,2)</f>
        <v>81.42</v>
      </c>
      <c r="Z452" s="13">
        <f t="shared" si="722"/>
        <v>7.1000000000000004E-3</v>
      </c>
      <c r="AA452" s="13">
        <f t="shared" si="718"/>
        <v>8.9900000000000008E-2</v>
      </c>
      <c r="AB452" s="6">
        <f t="shared" ref="AB452:AB515" si="728">IF(ROUND(Y452+(X452*10)+(V452/30)+(AA452*67),2)+5+((G452-125)*0.1)&lt;0,0,ROUND(Y452+(X452*10)+(V452/30)+(AA452*67),2)+5+((G452-125)*0.1))</f>
        <v>106.511</v>
      </c>
      <c r="AC452">
        <f t="shared" si="720"/>
        <v>53</v>
      </c>
      <c r="AD452" s="11">
        <f t="shared" si="721"/>
        <v>2</v>
      </c>
      <c r="AE452">
        <f t="shared" si="719"/>
        <v>25</v>
      </c>
      <c r="AF452">
        <f>IF(AND(AE452&lt;15,OR(AC452&gt;=30,AA452&gt;0.15,X452&gt;=0.15)),2,VLOOKUP(AE452,Table!P:Q,2,FALSE))</f>
        <v>3</v>
      </c>
      <c r="AG452" s="22">
        <f>IF((AB452*0.98)-(D452*0.8)+((AF452-3)*3)+VLOOKUP(AM452,Table!$A$11:$B$13,2,FALSE)&lt;0,0,(AB452*0.98)-(D452*0.8)+((AF452-3)*3)+VLOOKUP(AM452,Table!$A$11:$B$13,2,FALSE))</f>
        <v>95.036779999999993</v>
      </c>
      <c r="AH452" s="22">
        <f t="shared" si="714"/>
        <v>99</v>
      </c>
      <c r="AI452" s="18">
        <f t="shared" si="707"/>
        <v>0.06</v>
      </c>
      <c r="AJ452" s="18">
        <f t="shared" si="708"/>
        <v>0.13</v>
      </c>
      <c r="AK452" t="str">
        <f t="shared" ref="AK452:AK515" si="729">IF(AND(C452&gt;AI452,AI452&gt;AJ452,C452-AJ452&gt;0.15),"Rising Rates",IF(AND(C452&lt;AI452,AI452&lt;AJ452,AJ452-C452&gt;0.15),"Falling Rates",""))</f>
        <v/>
      </c>
      <c r="AL452">
        <f t="shared" si="704"/>
        <v>25.75</v>
      </c>
      <c r="AM452" s="11" t="str">
        <f t="shared" ref="AM452:AM515" si="730">IF(OR(AND(AL452&lt;=18,G452&lt;=25),AND(AL452&lt;=14,G452&lt;200)),"Cash","Stocks")</f>
        <v>Stocks</v>
      </c>
      <c r="AN452" t="str">
        <f t="shared" si="700"/>
        <v>Buy</v>
      </c>
      <c r="AO452" s="13">
        <f t="shared" si="701"/>
        <v>2.6800000000000001E-2</v>
      </c>
      <c r="AP452" s="13">
        <f t="shared" si="702"/>
        <v>0</v>
      </c>
      <c r="AQ452" s="13">
        <f t="shared" si="703"/>
        <v>2.6499999999999999E-2</v>
      </c>
      <c r="AR452" s="13">
        <f t="shared" ref="AR452:AR515" si="731">IF(AM452="Stocks",AO452,AP452)</f>
        <v>2.6800000000000001E-2</v>
      </c>
      <c r="AS452" s="6">
        <f t="shared" si="723"/>
        <v>277.7661805266394</v>
      </c>
      <c r="AT452" s="6">
        <f t="shared" si="724"/>
        <v>185.97425508967711</v>
      </c>
      <c r="AU452" s="6">
        <f t="shared" si="725"/>
        <v>479.46697023383746</v>
      </c>
      <c r="AV452" s="6">
        <f t="shared" si="726"/>
        <v>651.46170043539951</v>
      </c>
      <c r="AW452" s="58">
        <f t="shared" ref="AW452:AW515" si="732">YEAR(A452)</f>
        <v>2010</v>
      </c>
      <c r="AX452" s="58">
        <f>COUNTIF(AW$3:AW452,AW452)</f>
        <v>52</v>
      </c>
    </row>
    <row r="453" spans="1:50" x14ac:dyDescent="0.25">
      <c r="A453" s="5">
        <v>40174</v>
      </c>
      <c r="B453">
        <v>1126.48</v>
      </c>
      <c r="C453">
        <v>7.0000000000000007E-2</v>
      </c>
      <c r="D453" s="6">
        <v>19.47</v>
      </c>
      <c r="E453" s="18">
        <f t="shared" si="709"/>
        <v>20.91</v>
      </c>
      <c r="F453">
        <f t="shared" si="710"/>
        <v>-1</v>
      </c>
      <c r="G453" s="18">
        <f>ROUND(INDEX(Valuation!U:U,MATCH(A453,Valuation!A:A,0)),2)</f>
        <v>235.27</v>
      </c>
      <c r="H453">
        <f t="shared" si="717"/>
        <v>3</v>
      </c>
      <c r="I453" s="18">
        <f>INDEX(WeeklyIndicators!Y:Y,MATCH(A453,WeeklyIndicators!A:A,0))</f>
        <v>159.22</v>
      </c>
      <c r="J453">
        <f t="shared" si="706"/>
        <v>2</v>
      </c>
      <c r="K453">
        <f>ROUND(INDEX(Economic!AF:AF,MATCH(EOMONTH($A453,-1),Economic!A:A,0)),2)</f>
        <v>101.47</v>
      </c>
      <c r="L453" s="11">
        <f t="shared" si="715"/>
        <v>0</v>
      </c>
      <c r="M453">
        <f>ROUND(INDEX(Manufacturing!P:P,MATCH(EOMONTH($A453,-1),Manufacturing!A:A,0)),2)</f>
        <v>97.42</v>
      </c>
      <c r="N453">
        <f t="shared" si="711"/>
        <v>1</v>
      </c>
      <c r="O453">
        <f>ROUND(INDEX(Housing!AC:AC,MATCH(EOMONTH($A453,-1),Housing!B:B,0)),2)</f>
        <v>64.08</v>
      </c>
      <c r="P453">
        <f t="shared" si="712"/>
        <v>-2</v>
      </c>
      <c r="Q453">
        <f>ROUND(INDEX(Spending!AJ:AJ,MATCH(EOMONTH($A453,-1),Spending!B:B,0)),2)</f>
        <v>60.33</v>
      </c>
      <c r="R453">
        <f t="shared" si="716"/>
        <v>2</v>
      </c>
      <c r="S453">
        <f>ROUND(INDEX(Employment!V:V,MATCH(EOMONTH($A453,-1),Employment!A:A,0)),2)</f>
        <v>100.58</v>
      </c>
      <c r="T453" s="11">
        <f t="shared" si="713"/>
        <v>-3</v>
      </c>
      <c r="U453">
        <f t="shared" si="705"/>
        <v>22</v>
      </c>
      <c r="V453">
        <f t="shared" ref="V453:V516" si="733">ROUND(((K453*0.745)+(M453*0.745)+(O453*0.36)+(Q453*0.45)+(S453*0.45)+(I453*0.55)+(60)-(30))/5.3,2)</f>
        <v>68.16</v>
      </c>
      <c r="W453" s="13">
        <f t="shared" ref="W453:W516" si="734">ROUND((AVERAGE(V453:V455)-AVERAGE(V454:V456))/AVERAGE(V454:V456),4)</f>
        <v>5.4000000000000003E-3</v>
      </c>
      <c r="X453" s="13">
        <f t="shared" ref="X453:X516" si="735">SUM(W453:W456)</f>
        <v>9.1799999999999993E-2</v>
      </c>
      <c r="Y453">
        <f t="shared" si="727"/>
        <v>81.39</v>
      </c>
      <c r="Z453" s="13">
        <f t="shared" si="722"/>
        <v>1.35E-2</v>
      </c>
      <c r="AA453" s="13">
        <f t="shared" si="718"/>
        <v>0.1166</v>
      </c>
      <c r="AB453" s="6">
        <f t="shared" si="728"/>
        <v>108.417</v>
      </c>
      <c r="AC453">
        <f t="shared" si="720"/>
        <v>54</v>
      </c>
      <c r="AD453" s="11">
        <f t="shared" si="721"/>
        <v>2</v>
      </c>
      <c r="AE453">
        <f t="shared" si="719"/>
        <v>26</v>
      </c>
      <c r="AF453">
        <f>IF(AND(AE453&lt;15,OR(AC453&gt;=30,AA453&gt;0.15,X453&gt;=0.15)),2,VLOOKUP(AE453,Table!P:Q,2,FALSE))</f>
        <v>4</v>
      </c>
      <c r="AG453" s="22">
        <f>IF((AB453*0.98)-(D453*0.8)+((AF453-3)*3)+VLOOKUP(AM453,Table!$A$11:$B$13,2,FALSE)&lt;0,0,(AB453*0.98)-(D453*0.8)+((AF453-3)*3)+VLOOKUP(AM453,Table!$A$11:$B$13,2,FALSE))</f>
        <v>101.67266000000001</v>
      </c>
      <c r="AH453" s="22">
        <f t="shared" si="714"/>
        <v>98</v>
      </c>
      <c r="AI453" s="18">
        <f t="shared" si="707"/>
        <v>0.06</v>
      </c>
      <c r="AJ453" s="18">
        <f t="shared" si="708"/>
        <v>0.13</v>
      </c>
      <c r="AK453" t="str">
        <f t="shared" si="729"/>
        <v/>
      </c>
      <c r="AL453">
        <f t="shared" si="704"/>
        <v>25.75</v>
      </c>
      <c r="AM453" s="11" t="str">
        <f t="shared" si="730"/>
        <v>Stocks</v>
      </c>
      <c r="AN453" t="str">
        <f t="shared" ref="AN453:AN516" si="736">IF(AND(V453&gt;AG453,V453&lt;65),"Sell","Buy")</f>
        <v>Buy</v>
      </c>
      <c r="AO453" s="13">
        <f t="shared" ref="AO453:AO516" si="737">ROUND((B452/B453)-1,4)</f>
        <v>-1.01E-2</v>
      </c>
      <c r="AP453" s="13">
        <f t="shared" ref="AP453:AP516" si="738">ROUND((C453*0.01)/52,4)</f>
        <v>0</v>
      </c>
      <c r="AQ453" s="13">
        <f t="shared" ref="AQ453:AQ516" si="739">ROUND(((AH453*0.01)*AO453)+(((100-AH453)*0.01)*AP453),4)</f>
        <v>-9.9000000000000008E-3</v>
      </c>
      <c r="AR453" s="13">
        <f t="shared" si="731"/>
        <v>-1.01E-2</v>
      </c>
      <c r="AS453" s="6">
        <f t="shared" si="723"/>
        <v>280.60024298074495</v>
      </c>
      <c r="AT453" s="6">
        <f t="shared" si="724"/>
        <v>185.97425508967711</v>
      </c>
      <c r="AU453" s="6">
        <f t="shared" si="725"/>
        <v>484.26115567502018</v>
      </c>
      <c r="AV453" s="6">
        <f t="shared" si="726"/>
        <v>658.10859726780438</v>
      </c>
      <c r="AW453" s="58">
        <f t="shared" si="732"/>
        <v>2009</v>
      </c>
      <c r="AX453" s="58">
        <f>COUNTIF(AW$3:AW453,AW453)</f>
        <v>1</v>
      </c>
    </row>
    <row r="454" spans="1:50" x14ac:dyDescent="0.25">
      <c r="A454" s="5">
        <v>40167</v>
      </c>
      <c r="B454">
        <v>1102.47</v>
      </c>
      <c r="C454">
        <v>0.04</v>
      </c>
      <c r="D454" s="6">
        <v>21.68</v>
      </c>
      <c r="E454" s="18">
        <f t="shared" si="709"/>
        <v>21.51</v>
      </c>
      <c r="F454">
        <f t="shared" si="710"/>
        <v>-1</v>
      </c>
      <c r="G454" s="18">
        <f>ROUND(INDEX(Valuation!U:U,MATCH(A454,Valuation!A:A,0)),2)</f>
        <v>234.06</v>
      </c>
      <c r="H454">
        <f t="shared" si="717"/>
        <v>3</v>
      </c>
      <c r="I454" s="18">
        <f>INDEX(WeeklyIndicators!Y:Y,MATCH(A454,WeeklyIndicators!A:A,0))</f>
        <v>159.47</v>
      </c>
      <c r="J454">
        <f t="shared" si="706"/>
        <v>2</v>
      </c>
      <c r="K454">
        <f>ROUND(INDEX(Economic!AF:AF,MATCH(EOMONTH($A454,-1),Economic!A:A,0)),2)</f>
        <v>101.47</v>
      </c>
      <c r="L454" s="11">
        <f t="shared" si="715"/>
        <v>0</v>
      </c>
      <c r="M454">
        <f>ROUND(INDEX(Manufacturing!P:P,MATCH(EOMONTH($A454,-1),Manufacturing!A:A,0)),2)</f>
        <v>97.42</v>
      </c>
      <c r="N454">
        <f t="shared" si="711"/>
        <v>1</v>
      </c>
      <c r="O454">
        <f>ROUND(INDEX(Housing!AC:AC,MATCH(EOMONTH($A454,-1),Housing!B:B,0)),2)</f>
        <v>64.08</v>
      </c>
      <c r="P454">
        <f t="shared" si="712"/>
        <v>-2</v>
      </c>
      <c r="Q454">
        <f>ROUND(INDEX(Spending!AJ:AJ,MATCH(EOMONTH($A454,-1),Spending!B:B,0)),2)</f>
        <v>60.33</v>
      </c>
      <c r="R454">
        <f t="shared" si="716"/>
        <v>2</v>
      </c>
      <c r="S454">
        <f>ROUND(INDEX(Employment!V:V,MATCH(EOMONTH($A454,-1),Employment!A:A,0)),2)</f>
        <v>100.58</v>
      </c>
      <c r="T454" s="11">
        <f t="shared" si="713"/>
        <v>-3</v>
      </c>
      <c r="U454">
        <f t="shared" si="705"/>
        <v>22</v>
      </c>
      <c r="V454">
        <f t="shared" si="733"/>
        <v>68.180000000000007</v>
      </c>
      <c r="W454" s="13">
        <f t="shared" si="734"/>
        <v>2.75E-2</v>
      </c>
      <c r="X454" s="13">
        <f t="shared" si="735"/>
        <v>8.7600000000000011E-2</v>
      </c>
      <c r="Y454">
        <f t="shared" si="727"/>
        <v>81.069999999999993</v>
      </c>
      <c r="Z454" s="13">
        <f t="shared" si="722"/>
        <v>3.4799999999999998E-2</v>
      </c>
      <c r="AA454" s="13">
        <f t="shared" si="718"/>
        <v>0.1101</v>
      </c>
      <c r="AB454" s="6">
        <f t="shared" si="728"/>
        <v>107.506</v>
      </c>
      <c r="AC454">
        <f t="shared" si="720"/>
        <v>54</v>
      </c>
      <c r="AD454" s="11">
        <f t="shared" si="721"/>
        <v>2</v>
      </c>
      <c r="AE454">
        <f t="shared" si="719"/>
        <v>26</v>
      </c>
      <c r="AF454">
        <f>IF(AND(AE454&lt;15,OR(AC454&gt;=30,AA454&gt;0.15,X454&gt;=0.15)),2,VLOOKUP(AE454,Table!P:Q,2,FALSE))</f>
        <v>4</v>
      </c>
      <c r="AG454" s="22">
        <f>IF((AB454*0.98)-(D454*0.8)+((AF454-3)*3)+VLOOKUP(AM454,Table!$A$11:$B$13,2,FALSE)&lt;0,0,(AB454*0.98)-(D454*0.8)+((AF454-3)*3)+VLOOKUP(AM454,Table!$A$11:$B$13,2,FALSE))</f>
        <v>99.011879999999991</v>
      </c>
      <c r="AH454" s="22">
        <f t="shared" si="714"/>
        <v>94</v>
      </c>
      <c r="AI454" s="18">
        <f t="shared" si="707"/>
        <v>7.0000000000000007E-2</v>
      </c>
      <c r="AJ454" s="18">
        <f t="shared" si="708"/>
        <v>0.14000000000000001</v>
      </c>
      <c r="AK454" t="str">
        <f t="shared" si="729"/>
        <v/>
      </c>
      <c r="AL454">
        <f t="shared" si="704"/>
        <v>24.75</v>
      </c>
      <c r="AM454" s="11" t="str">
        <f t="shared" si="730"/>
        <v>Stocks</v>
      </c>
      <c r="AN454" t="str">
        <f t="shared" si="736"/>
        <v>Buy</v>
      </c>
      <c r="AO454" s="13">
        <f t="shared" si="737"/>
        <v>2.18E-2</v>
      </c>
      <c r="AP454" s="13">
        <f t="shared" si="738"/>
        <v>0</v>
      </c>
      <c r="AQ454" s="13">
        <f t="shared" si="739"/>
        <v>2.0500000000000001E-2</v>
      </c>
      <c r="AR454" s="13">
        <f t="shared" si="731"/>
        <v>2.18E-2</v>
      </c>
      <c r="AS454" s="6">
        <f t="shared" si="723"/>
        <v>274.61366508195823</v>
      </c>
      <c r="AT454" s="6">
        <f t="shared" si="724"/>
        <v>185.97425508967711</v>
      </c>
      <c r="AU454" s="6">
        <f t="shared" si="725"/>
        <v>474.53322457130838</v>
      </c>
      <c r="AV454" s="6">
        <f t="shared" si="726"/>
        <v>644.06791668409119</v>
      </c>
      <c r="AW454" s="58">
        <f t="shared" si="732"/>
        <v>2009</v>
      </c>
      <c r="AX454" s="58">
        <f>COUNTIF(AW$3:AW454,AW454)</f>
        <v>2</v>
      </c>
    </row>
    <row r="455" spans="1:50" x14ac:dyDescent="0.25">
      <c r="A455" s="5">
        <v>40160</v>
      </c>
      <c r="B455">
        <v>1106.4100000000001</v>
      </c>
      <c r="C455">
        <v>0.03</v>
      </c>
      <c r="D455" s="6">
        <v>21.59</v>
      </c>
      <c r="E455" s="18">
        <f t="shared" si="709"/>
        <v>22.53</v>
      </c>
      <c r="F455">
        <f t="shared" si="710"/>
        <v>-1</v>
      </c>
      <c r="G455" s="18">
        <f>ROUND(INDEX(Valuation!U:U,MATCH(A455,Valuation!A:A,0)),2)</f>
        <v>228.02</v>
      </c>
      <c r="H455">
        <f t="shared" si="717"/>
        <v>3</v>
      </c>
      <c r="I455" s="18">
        <f>INDEX(WeeklyIndicators!Y:Y,MATCH(A455,WeeklyIndicators!A:A,0))</f>
        <v>156.24</v>
      </c>
      <c r="J455">
        <f t="shared" si="706"/>
        <v>2</v>
      </c>
      <c r="K455">
        <f>ROUND(INDEX(Economic!AF:AF,MATCH(EOMONTH($A455,-1),Economic!A:A,0)),2)</f>
        <v>101.47</v>
      </c>
      <c r="L455" s="11">
        <f t="shared" si="715"/>
        <v>0</v>
      </c>
      <c r="M455">
        <f>ROUND(INDEX(Manufacturing!P:P,MATCH(EOMONTH($A455,-1),Manufacturing!A:A,0)),2)</f>
        <v>97.42</v>
      </c>
      <c r="N455">
        <f t="shared" si="711"/>
        <v>1</v>
      </c>
      <c r="O455">
        <f>ROUND(INDEX(Housing!AC:AC,MATCH(EOMONTH($A455,-1),Housing!B:B,0)),2)</f>
        <v>64.08</v>
      </c>
      <c r="P455">
        <f t="shared" si="712"/>
        <v>-2</v>
      </c>
      <c r="Q455">
        <f>ROUND(INDEX(Spending!AJ:AJ,MATCH(EOMONTH($A455,-1),Spending!B:B,0)),2)</f>
        <v>60.33</v>
      </c>
      <c r="R455">
        <f t="shared" si="716"/>
        <v>2</v>
      </c>
      <c r="S455">
        <f>ROUND(INDEX(Employment!V:V,MATCH(EOMONTH($A455,-1),Employment!A:A,0)),2)</f>
        <v>100.58</v>
      </c>
      <c r="T455" s="11">
        <f t="shared" si="713"/>
        <v>-3</v>
      </c>
      <c r="U455">
        <f t="shared" si="705"/>
        <v>22</v>
      </c>
      <c r="V455">
        <f t="shared" si="733"/>
        <v>67.849999999999994</v>
      </c>
      <c r="W455" s="13">
        <f t="shared" si="734"/>
        <v>3.09E-2</v>
      </c>
      <c r="X455" s="13">
        <f t="shared" si="735"/>
        <v>5.3100000000000001E-2</v>
      </c>
      <c r="Y455">
        <f t="shared" si="727"/>
        <v>79.7</v>
      </c>
      <c r="Z455" s="13">
        <f t="shared" si="722"/>
        <v>3.4500000000000003E-2</v>
      </c>
      <c r="AA455" s="13">
        <f t="shared" si="718"/>
        <v>7.2700000000000001E-2</v>
      </c>
      <c r="AB455" s="6">
        <f t="shared" si="728"/>
        <v>102.66200000000001</v>
      </c>
      <c r="AC455">
        <f t="shared" si="720"/>
        <v>51</v>
      </c>
      <c r="AD455" s="11">
        <f t="shared" si="721"/>
        <v>2</v>
      </c>
      <c r="AE455">
        <f t="shared" si="719"/>
        <v>26</v>
      </c>
      <c r="AF455">
        <f>IF(AND(AE455&lt;15,OR(AC455&gt;=30,AA455&gt;0.15,X455&gt;=0.15)),2,VLOOKUP(AE455,Table!P:Q,2,FALSE))</f>
        <v>4</v>
      </c>
      <c r="AG455" s="22">
        <f>IF((AB455*0.98)-(D455*0.8)+((AF455-3)*3)+VLOOKUP(AM455,Table!$A$11:$B$13,2,FALSE)&lt;0,0,(AB455*0.98)-(D455*0.8)+((AF455-3)*3)+VLOOKUP(AM455,Table!$A$11:$B$13,2,FALSE))</f>
        <v>94.336759999999998</v>
      </c>
      <c r="AH455" s="22">
        <f t="shared" si="714"/>
        <v>88</v>
      </c>
      <c r="AI455" s="18">
        <f t="shared" si="707"/>
        <v>7.0000000000000007E-2</v>
      </c>
      <c r="AJ455" s="18">
        <f t="shared" si="708"/>
        <v>0.14000000000000001</v>
      </c>
      <c r="AK455" t="str">
        <f t="shared" si="729"/>
        <v/>
      </c>
      <c r="AL455">
        <f t="shared" si="704"/>
        <v>23.5</v>
      </c>
      <c r="AM455" s="11" t="str">
        <f t="shared" si="730"/>
        <v>Stocks</v>
      </c>
      <c r="AN455" t="str">
        <f t="shared" si="736"/>
        <v>Buy</v>
      </c>
      <c r="AO455" s="13">
        <f t="shared" si="737"/>
        <v>-3.5999999999999999E-3</v>
      </c>
      <c r="AP455" s="13">
        <f t="shared" si="738"/>
        <v>0</v>
      </c>
      <c r="AQ455" s="13">
        <f t="shared" si="739"/>
        <v>-3.2000000000000002E-3</v>
      </c>
      <c r="AR455" s="13">
        <f t="shared" si="731"/>
        <v>-3.5999999999999999E-3</v>
      </c>
      <c r="AS455" s="6">
        <f t="shared" si="723"/>
        <v>275.6058461280191</v>
      </c>
      <c r="AT455" s="6">
        <f t="shared" si="724"/>
        <v>185.97425508967711</v>
      </c>
      <c r="AU455" s="6">
        <f t="shared" si="725"/>
        <v>476.056605709579</v>
      </c>
      <c r="AV455" s="6">
        <f t="shared" si="726"/>
        <v>646.39493846255641</v>
      </c>
      <c r="AW455" s="58">
        <f t="shared" si="732"/>
        <v>2009</v>
      </c>
      <c r="AX455" s="58">
        <f>COUNTIF(AW$3:AW455,AW455)</f>
        <v>3</v>
      </c>
    </row>
    <row r="456" spans="1:50" x14ac:dyDescent="0.25">
      <c r="A456" s="5">
        <v>40153</v>
      </c>
      <c r="B456">
        <v>1105.98</v>
      </c>
      <c r="C456">
        <v>0.06</v>
      </c>
      <c r="D456" s="6">
        <v>21.25</v>
      </c>
      <c r="E456" s="18">
        <f t="shared" si="709"/>
        <v>22.73</v>
      </c>
      <c r="F456">
        <f t="shared" si="710"/>
        <v>-1</v>
      </c>
      <c r="G456" s="18">
        <f>ROUND(INDEX(Valuation!U:U,MATCH(A456,Valuation!A:A,0)),2)</f>
        <v>221.66</v>
      </c>
      <c r="H456">
        <f t="shared" si="717"/>
        <v>3</v>
      </c>
      <c r="I456" s="18">
        <f>INDEX(WeeklyIndicators!Y:Y,MATCH(A456,WeeklyIndicators!A:A,0))</f>
        <v>148.81</v>
      </c>
      <c r="J456">
        <f t="shared" si="706"/>
        <v>1</v>
      </c>
      <c r="K456">
        <f>ROUND(INDEX(Economic!AF:AF,MATCH(EOMONTH($A456,-1),Economic!A:A,0)),2)</f>
        <v>101.47</v>
      </c>
      <c r="L456" s="11">
        <f t="shared" si="715"/>
        <v>0</v>
      </c>
      <c r="M456">
        <f>ROUND(INDEX(Manufacturing!P:P,MATCH(EOMONTH($A456,-1),Manufacturing!A:A,0)),2)</f>
        <v>97.42</v>
      </c>
      <c r="N456">
        <f t="shared" si="711"/>
        <v>1</v>
      </c>
      <c r="O456">
        <f>ROUND(INDEX(Housing!AC:AC,MATCH(EOMONTH($A456,-1),Housing!B:B,0)),2)</f>
        <v>64.08</v>
      </c>
      <c r="P456">
        <f t="shared" si="712"/>
        <v>-2</v>
      </c>
      <c r="Q456">
        <f>ROUND(INDEX(Spending!AJ:AJ,MATCH(EOMONTH($A456,-1),Spending!B:B,0)),2)</f>
        <v>60.33</v>
      </c>
      <c r="R456">
        <f t="shared" si="716"/>
        <v>2</v>
      </c>
      <c r="S456">
        <f>ROUND(INDEX(Employment!V:V,MATCH(EOMONTH($A456,-1),Employment!A:A,0)),2)</f>
        <v>100.58</v>
      </c>
      <c r="T456" s="11">
        <f t="shared" si="713"/>
        <v>-3</v>
      </c>
      <c r="U456">
        <f t="shared" si="705"/>
        <v>21</v>
      </c>
      <c r="V456">
        <f t="shared" si="733"/>
        <v>67.069999999999993</v>
      </c>
      <c r="W456" s="13">
        <f t="shared" si="734"/>
        <v>2.8000000000000001E-2</v>
      </c>
      <c r="X456" s="13">
        <f t="shared" si="735"/>
        <v>5.2600000000000001E-2</v>
      </c>
      <c r="Y456">
        <f t="shared" si="727"/>
        <v>78.16</v>
      </c>
      <c r="Z456" s="13">
        <f t="shared" si="722"/>
        <v>3.3799999999999997E-2</v>
      </c>
      <c r="AA456" s="13">
        <f t="shared" si="718"/>
        <v>5.8999999999999997E-2</v>
      </c>
      <c r="AB456" s="6">
        <f t="shared" si="728"/>
        <v>99.536000000000001</v>
      </c>
      <c r="AC456">
        <f t="shared" si="720"/>
        <v>50</v>
      </c>
      <c r="AD456" s="11">
        <f t="shared" si="721"/>
        <v>2</v>
      </c>
      <c r="AE456">
        <f t="shared" si="719"/>
        <v>25</v>
      </c>
      <c r="AF456">
        <f>IF(AND(AE456&lt;15,OR(AC456&gt;=30,AA456&gt;0.15,X456&gt;=0.15)),2,VLOOKUP(AE456,Table!P:Q,2,FALSE))</f>
        <v>3</v>
      </c>
      <c r="AG456" s="22">
        <f>IF((AB456*0.98)-(D456*0.8)+((AF456-3)*3)+VLOOKUP(AM456,Table!$A$11:$B$13,2,FALSE)&lt;0,0,(AB456*0.98)-(D456*0.8)+((AF456-3)*3)+VLOOKUP(AM456,Table!$A$11:$B$13,2,FALSE))</f>
        <v>88.545280000000005</v>
      </c>
      <c r="AH456" s="22">
        <f t="shared" si="714"/>
        <v>84</v>
      </c>
      <c r="AI456" s="18">
        <f t="shared" si="707"/>
        <v>0.08</v>
      </c>
      <c r="AJ456" s="18">
        <f t="shared" si="708"/>
        <v>0.14000000000000001</v>
      </c>
      <c r="AK456" t="str">
        <f t="shared" si="729"/>
        <v/>
      </c>
      <c r="AL456">
        <f t="shared" si="704"/>
        <v>22</v>
      </c>
      <c r="AM456" s="11" t="str">
        <f t="shared" si="730"/>
        <v>Stocks</v>
      </c>
      <c r="AN456" t="str">
        <f t="shared" si="736"/>
        <v>Buy</v>
      </c>
      <c r="AO456" s="13">
        <f t="shared" si="737"/>
        <v>4.0000000000000002E-4</v>
      </c>
      <c r="AP456" s="13">
        <f t="shared" si="738"/>
        <v>0</v>
      </c>
      <c r="AQ456" s="13">
        <f t="shared" si="739"/>
        <v>2.9999999999999997E-4</v>
      </c>
      <c r="AR456" s="13">
        <f t="shared" si="731"/>
        <v>4.0000000000000002E-4</v>
      </c>
      <c r="AS456" s="6">
        <f t="shared" si="723"/>
        <v>275.49564786887157</v>
      </c>
      <c r="AT456" s="6">
        <f t="shared" si="724"/>
        <v>185.97425508967711</v>
      </c>
      <c r="AU456" s="6">
        <f t="shared" si="725"/>
        <v>475.91383156011096</v>
      </c>
      <c r="AV456" s="6">
        <f t="shared" si="726"/>
        <v>646.13648386900888</v>
      </c>
      <c r="AW456" s="58">
        <f t="shared" si="732"/>
        <v>2009</v>
      </c>
      <c r="AX456" s="58">
        <f>COUNTIF(AW$3:AW456,AW456)</f>
        <v>4</v>
      </c>
    </row>
    <row r="457" spans="1:50" x14ac:dyDescent="0.25">
      <c r="A457" s="5">
        <v>40146</v>
      </c>
      <c r="B457">
        <v>1091.49</v>
      </c>
      <c r="C457">
        <v>0.05</v>
      </c>
      <c r="D457" s="6">
        <v>24.74</v>
      </c>
      <c r="E457" s="18">
        <f t="shared" si="709"/>
        <v>23.43</v>
      </c>
      <c r="F457">
        <f t="shared" si="710"/>
        <v>-1</v>
      </c>
      <c r="G457" s="18">
        <f>ROUND(INDEX(Valuation!U:U,MATCH(A457,Valuation!A:A,0)),2)</f>
        <v>216.76</v>
      </c>
      <c r="H457">
        <f t="shared" si="717"/>
        <v>3</v>
      </c>
      <c r="I457" s="18">
        <f>INDEX(WeeklyIndicators!Y:Y,MATCH(A457,WeeklyIndicators!A:A,0))</f>
        <v>138.02000000000001</v>
      </c>
      <c r="J457">
        <f t="shared" si="706"/>
        <v>1</v>
      </c>
      <c r="K457">
        <f>ROUND(INDEX(Economic!AF:AF,MATCH(EOMONTH($A457,-1),Economic!A:A,0)),2)</f>
        <v>95.35</v>
      </c>
      <c r="L457" s="11">
        <f t="shared" si="715"/>
        <v>-1</v>
      </c>
      <c r="M457">
        <f>ROUND(INDEX(Manufacturing!P:P,MATCH(EOMONTH($A457,-1),Manufacturing!A:A,0)),2)</f>
        <v>91.42</v>
      </c>
      <c r="N457">
        <f t="shared" si="711"/>
        <v>1</v>
      </c>
      <c r="O457">
        <f>ROUND(INDEX(Housing!AC:AC,MATCH(EOMONTH($A457,-1),Housing!B:B,0)),2)</f>
        <v>55.77</v>
      </c>
      <c r="P457">
        <f t="shared" si="712"/>
        <v>-2</v>
      </c>
      <c r="Q457">
        <f>ROUND(INDEX(Spending!AJ:AJ,MATCH(EOMONTH($A457,-1),Spending!B:B,0)),2)</f>
        <v>58.11</v>
      </c>
      <c r="R457">
        <f t="shared" si="716"/>
        <v>1</v>
      </c>
      <c r="S457">
        <f>ROUND(INDEX(Employment!V:V,MATCH(EOMONTH($A457,-1),Employment!A:A,0)),2)</f>
        <v>91.71</v>
      </c>
      <c r="T457" s="11">
        <f t="shared" si="713"/>
        <v>-3</v>
      </c>
      <c r="U457">
        <f t="shared" si="705"/>
        <v>19</v>
      </c>
      <c r="V457">
        <f t="shared" si="733"/>
        <v>62.75</v>
      </c>
      <c r="W457" s="13">
        <f t="shared" si="734"/>
        <v>1.1999999999999999E-3</v>
      </c>
      <c r="X457" s="13">
        <f t="shared" si="735"/>
        <v>6.1399999999999996E-2</v>
      </c>
      <c r="Y457">
        <f t="shared" si="727"/>
        <v>73.040000000000006</v>
      </c>
      <c r="Z457" s="13">
        <f t="shared" si="722"/>
        <v>7.0000000000000001E-3</v>
      </c>
      <c r="AA457" s="13">
        <f t="shared" si="718"/>
        <v>5.3199999999999997E-2</v>
      </c>
      <c r="AB457" s="6">
        <f t="shared" si="728"/>
        <v>93.486000000000004</v>
      </c>
      <c r="AC457">
        <f t="shared" si="720"/>
        <v>47</v>
      </c>
      <c r="AD457" s="11">
        <f t="shared" si="721"/>
        <v>1</v>
      </c>
      <c r="AE457">
        <f t="shared" si="719"/>
        <v>22</v>
      </c>
      <c r="AF457">
        <f>IF(AND(AE457&lt;15,OR(AC457&gt;=30,AA457&gt;0.15,X457&gt;=0.15)),2,VLOOKUP(AE457,Table!P:Q,2,FALSE))</f>
        <v>3</v>
      </c>
      <c r="AG457" s="22">
        <f>IF((AB457*0.98)-(D457*0.8)+((AF457-3)*3)+VLOOKUP(AM457,Table!$A$11:$B$13,2,FALSE)&lt;0,0,(AB457*0.98)-(D457*0.8)+((AF457-3)*3)+VLOOKUP(AM457,Table!$A$11:$B$13,2,FALSE))</f>
        <v>79.824280000000002</v>
      </c>
      <c r="AH457" s="22">
        <f t="shared" si="714"/>
        <v>82</v>
      </c>
      <c r="AI457" s="18">
        <f t="shared" si="707"/>
        <v>0.09</v>
      </c>
      <c r="AJ457" s="18">
        <f t="shared" si="708"/>
        <v>0.15</v>
      </c>
      <c r="AK457" t="str">
        <f t="shared" si="729"/>
        <v/>
      </c>
      <c r="AL457">
        <f t="shared" ref="AL457:AL520" si="740">ROUND(AVERAGE(AE457:AE460),2)</f>
        <v>21.25</v>
      </c>
      <c r="AM457" s="11" t="str">
        <f t="shared" si="730"/>
        <v>Stocks</v>
      </c>
      <c r="AN457" t="str">
        <f t="shared" si="736"/>
        <v>Buy</v>
      </c>
      <c r="AO457" s="13">
        <f t="shared" si="737"/>
        <v>1.3299999999999999E-2</v>
      </c>
      <c r="AP457" s="13">
        <f t="shared" si="738"/>
        <v>0</v>
      </c>
      <c r="AQ457" s="13">
        <f t="shared" si="739"/>
        <v>1.09E-2</v>
      </c>
      <c r="AR457" s="13">
        <f t="shared" si="731"/>
        <v>1.3299999999999999E-2</v>
      </c>
      <c r="AS457" s="6">
        <f t="shared" si="723"/>
        <v>271.87964854324639</v>
      </c>
      <c r="AT457" s="6">
        <f t="shared" si="724"/>
        <v>185.97425508967711</v>
      </c>
      <c r="AU457" s="6">
        <f t="shared" si="725"/>
        <v>470.78230444169651</v>
      </c>
      <c r="AV457" s="6">
        <f t="shared" si="726"/>
        <v>637.65566354387533</v>
      </c>
      <c r="AW457" s="58">
        <f t="shared" si="732"/>
        <v>2009</v>
      </c>
      <c r="AX457" s="58">
        <f>COUNTIF(AW$3:AW457,AW457)</f>
        <v>5</v>
      </c>
    </row>
    <row r="458" spans="1:50" x14ac:dyDescent="0.25">
      <c r="A458" s="5">
        <v>40139</v>
      </c>
      <c r="B458">
        <v>1091.3800000000001</v>
      </c>
      <c r="C458">
        <v>0.04</v>
      </c>
      <c r="D458" s="6">
        <v>22.19</v>
      </c>
      <c r="E458" s="18">
        <f t="shared" si="709"/>
        <v>23.25</v>
      </c>
      <c r="F458">
        <f t="shared" si="710"/>
        <v>-1</v>
      </c>
      <c r="G458" s="18">
        <f>ROUND(INDEX(Valuation!U:U,MATCH(A458,Valuation!A:A,0)),2)</f>
        <v>214.28</v>
      </c>
      <c r="H458">
        <f t="shared" si="717"/>
        <v>3</v>
      </c>
      <c r="I458" s="18">
        <f>INDEX(WeeklyIndicators!Y:Y,MATCH(A458,WeeklyIndicators!A:A,0))</f>
        <v>130.09</v>
      </c>
      <c r="J458">
        <f t="shared" si="706"/>
        <v>0</v>
      </c>
      <c r="K458">
        <f>ROUND(INDEX(Economic!AF:AF,MATCH(EOMONTH($A458,-1),Economic!A:A,0)),2)</f>
        <v>95.35</v>
      </c>
      <c r="L458" s="11">
        <f t="shared" si="715"/>
        <v>-1</v>
      </c>
      <c r="M458">
        <f>ROUND(INDEX(Manufacturing!P:P,MATCH(EOMONTH($A458,-1),Manufacturing!A:A,0)),2)</f>
        <v>91.42</v>
      </c>
      <c r="N458">
        <f t="shared" si="711"/>
        <v>1</v>
      </c>
      <c r="O458">
        <f>ROUND(INDEX(Housing!AC:AC,MATCH(EOMONTH($A458,-1),Housing!B:B,0)),2)</f>
        <v>55.77</v>
      </c>
      <c r="P458">
        <f t="shared" si="712"/>
        <v>-2</v>
      </c>
      <c r="Q458">
        <f>ROUND(INDEX(Spending!AJ:AJ,MATCH(EOMONTH($A458,-1),Spending!B:B,0)),2)</f>
        <v>58.11</v>
      </c>
      <c r="R458">
        <f t="shared" si="716"/>
        <v>1</v>
      </c>
      <c r="S458">
        <f>ROUND(INDEX(Employment!V:V,MATCH(EOMONTH($A458,-1),Employment!A:A,0)),2)</f>
        <v>91.71</v>
      </c>
      <c r="T458" s="11">
        <f t="shared" si="713"/>
        <v>-3</v>
      </c>
      <c r="U458">
        <f t="shared" ref="U458:U521" si="741">F458+H458+J458+L458+N458+P458+R458+T458+20</f>
        <v>18</v>
      </c>
      <c r="V458">
        <f t="shared" si="733"/>
        <v>61.92</v>
      </c>
      <c r="W458" s="13">
        <f t="shared" si="734"/>
        <v>-7.0000000000000001E-3</v>
      </c>
      <c r="X458" s="13">
        <f t="shared" si="735"/>
        <v>0.1079</v>
      </c>
      <c r="Y458">
        <f t="shared" si="727"/>
        <v>72</v>
      </c>
      <c r="Z458" s="13">
        <f t="shared" si="722"/>
        <v>-2.5999999999999999E-3</v>
      </c>
      <c r="AA458" s="13">
        <f t="shared" si="718"/>
        <v>8.5500000000000007E-2</v>
      </c>
      <c r="AB458" s="6">
        <f t="shared" si="728"/>
        <v>94.798000000000002</v>
      </c>
      <c r="AC458">
        <f t="shared" si="720"/>
        <v>47</v>
      </c>
      <c r="AD458" s="11">
        <f t="shared" si="721"/>
        <v>1</v>
      </c>
      <c r="AE458">
        <f t="shared" si="719"/>
        <v>21</v>
      </c>
      <c r="AF458">
        <f>IF(AND(AE458&lt;15,OR(AC458&gt;=30,AA458&gt;0.15,X458&gt;=0.15)),2,VLOOKUP(AE458,Table!P:Q,2,FALSE))</f>
        <v>3</v>
      </c>
      <c r="AG458" s="22">
        <f>IF((AB458*0.98)-(D458*0.8)+((AF458-3)*3)+VLOOKUP(AM458,Table!$A$11:$B$13,2,FALSE)&lt;0,0,(AB458*0.98)-(D458*0.8)+((AF458-3)*3)+VLOOKUP(AM458,Table!$A$11:$B$13,2,FALSE))</f>
        <v>83.15003999999999</v>
      </c>
      <c r="AH458" s="22">
        <f t="shared" si="714"/>
        <v>84</v>
      </c>
      <c r="AI458" s="18">
        <f t="shared" si="707"/>
        <v>0.09</v>
      </c>
      <c r="AJ458" s="18">
        <f t="shared" si="708"/>
        <v>0.16</v>
      </c>
      <c r="AK458" t="str">
        <f t="shared" si="729"/>
        <v/>
      </c>
      <c r="AL458">
        <f t="shared" si="740"/>
        <v>21.5</v>
      </c>
      <c r="AM458" s="11" t="str">
        <f t="shared" si="730"/>
        <v>Stocks</v>
      </c>
      <c r="AN458" t="str">
        <f t="shared" si="736"/>
        <v>Buy</v>
      </c>
      <c r="AO458" s="13">
        <f t="shared" si="737"/>
        <v>1E-4</v>
      </c>
      <c r="AP458" s="13">
        <f t="shared" si="738"/>
        <v>0</v>
      </c>
      <c r="AQ458" s="13">
        <f t="shared" si="739"/>
        <v>1E-4</v>
      </c>
      <c r="AR458" s="13">
        <f t="shared" si="731"/>
        <v>1E-4</v>
      </c>
      <c r="AS458" s="6">
        <f t="shared" si="723"/>
        <v>271.85246329691671</v>
      </c>
      <c r="AT458" s="6">
        <f t="shared" si="724"/>
        <v>185.97425508967711</v>
      </c>
      <c r="AU458" s="6">
        <f t="shared" si="725"/>
        <v>470.73523091860466</v>
      </c>
      <c r="AV458" s="6">
        <f t="shared" si="726"/>
        <v>637.59190435343999</v>
      </c>
      <c r="AW458" s="58">
        <f t="shared" si="732"/>
        <v>2009</v>
      </c>
      <c r="AX458" s="58">
        <f>COUNTIF(AW$3:AW458,AW458)</f>
        <v>6</v>
      </c>
    </row>
    <row r="459" spans="1:50" x14ac:dyDescent="0.25">
      <c r="A459" s="5">
        <v>40132</v>
      </c>
      <c r="B459">
        <v>1093.48</v>
      </c>
      <c r="C459">
        <v>7.0000000000000007E-2</v>
      </c>
      <c r="D459" s="6">
        <v>23.36</v>
      </c>
      <c r="E459" s="18">
        <f t="shared" si="709"/>
        <v>26.08</v>
      </c>
      <c r="F459">
        <f t="shared" si="710"/>
        <v>-2</v>
      </c>
      <c r="G459" s="18">
        <f>ROUND(INDEX(Valuation!U:U,MATCH(A459,Valuation!A:A,0)),2)</f>
        <v>213.66</v>
      </c>
      <c r="H459">
        <f t="shared" si="717"/>
        <v>3</v>
      </c>
      <c r="I459" s="18">
        <f>INDEX(WeeklyIndicators!Y:Y,MATCH(A459,WeeklyIndicators!A:A,0))</f>
        <v>129.35</v>
      </c>
      <c r="J459">
        <f t="shared" si="706"/>
        <v>0</v>
      </c>
      <c r="K459">
        <f>ROUND(INDEX(Economic!AF:AF,MATCH(EOMONTH($A459,-1),Economic!A:A,0)),2)</f>
        <v>95.35</v>
      </c>
      <c r="L459" s="11">
        <f t="shared" si="715"/>
        <v>-1</v>
      </c>
      <c r="M459">
        <f>ROUND(INDEX(Manufacturing!P:P,MATCH(EOMONTH($A459,-1),Manufacturing!A:A,0)),2)</f>
        <v>91.42</v>
      </c>
      <c r="N459">
        <f t="shared" si="711"/>
        <v>1</v>
      </c>
      <c r="O459">
        <f>ROUND(INDEX(Housing!AC:AC,MATCH(EOMONTH($A459,-1),Housing!B:B,0)),2)</f>
        <v>55.77</v>
      </c>
      <c r="P459">
        <f t="shared" si="712"/>
        <v>-2</v>
      </c>
      <c r="Q459">
        <f>ROUND(INDEX(Spending!AJ:AJ,MATCH(EOMONTH($A459,-1),Spending!B:B,0)),2)</f>
        <v>58.11</v>
      </c>
      <c r="R459">
        <f t="shared" si="716"/>
        <v>1</v>
      </c>
      <c r="S459">
        <f>ROUND(INDEX(Employment!V:V,MATCH(EOMONTH($A459,-1),Employment!A:A,0)),2)</f>
        <v>91.71</v>
      </c>
      <c r="T459" s="11">
        <f t="shared" si="713"/>
        <v>-3</v>
      </c>
      <c r="U459">
        <f t="shared" si="741"/>
        <v>17</v>
      </c>
      <c r="V459">
        <f t="shared" si="733"/>
        <v>61.85</v>
      </c>
      <c r="W459" s="13">
        <f t="shared" si="734"/>
        <v>3.04E-2</v>
      </c>
      <c r="X459" s="13">
        <f t="shared" si="735"/>
        <v>0.12759999999999999</v>
      </c>
      <c r="Y459">
        <f t="shared" si="727"/>
        <v>70.87</v>
      </c>
      <c r="Z459" s="13">
        <f t="shared" si="722"/>
        <v>2.0799999999999999E-2</v>
      </c>
      <c r="AA459" s="13">
        <f t="shared" si="718"/>
        <v>0.10059999999999999</v>
      </c>
      <c r="AB459" s="6">
        <f t="shared" si="728"/>
        <v>94.816000000000003</v>
      </c>
      <c r="AC459">
        <f t="shared" si="720"/>
        <v>47</v>
      </c>
      <c r="AD459" s="11">
        <f t="shared" si="721"/>
        <v>1</v>
      </c>
      <c r="AE459">
        <f t="shared" si="719"/>
        <v>20</v>
      </c>
      <c r="AF459">
        <f>IF(AND(AE459&lt;15,OR(AC459&gt;=30,AA459&gt;0.15,X459&gt;=0.15)),2,VLOOKUP(AE459,Table!P:Q,2,FALSE))</f>
        <v>3</v>
      </c>
      <c r="AG459" s="22">
        <f>IF((AB459*0.98)-(D459*0.8)+((AF459-3)*3)+VLOOKUP(AM459,Table!$A$11:$B$13,2,FALSE)&lt;0,0,(AB459*0.98)-(D459*0.8)+((AF459-3)*3)+VLOOKUP(AM459,Table!$A$11:$B$13,2,FALSE))</f>
        <v>82.231679999999997</v>
      </c>
      <c r="AH459" s="22">
        <f t="shared" si="714"/>
        <v>84</v>
      </c>
      <c r="AI459" s="18">
        <f t="shared" si="707"/>
        <v>0.1</v>
      </c>
      <c r="AJ459" s="18">
        <f t="shared" si="708"/>
        <v>0.16</v>
      </c>
      <c r="AK459" t="str">
        <f t="shared" si="729"/>
        <v/>
      </c>
      <c r="AL459">
        <f t="shared" si="740"/>
        <v>20.75</v>
      </c>
      <c r="AM459" s="11" t="str">
        <f t="shared" si="730"/>
        <v>Stocks</v>
      </c>
      <c r="AN459" t="str">
        <f t="shared" si="736"/>
        <v>Buy</v>
      </c>
      <c r="AO459" s="13">
        <f t="shared" si="737"/>
        <v>-1.9E-3</v>
      </c>
      <c r="AP459" s="13">
        <f t="shared" si="738"/>
        <v>0</v>
      </c>
      <c r="AQ459" s="13">
        <f t="shared" si="739"/>
        <v>-1.6000000000000001E-3</v>
      </c>
      <c r="AR459" s="13">
        <f t="shared" si="731"/>
        <v>-1.9E-3</v>
      </c>
      <c r="AS459" s="6">
        <f t="shared" si="723"/>
        <v>272.36996623275894</v>
      </c>
      <c r="AT459" s="6">
        <f t="shared" si="724"/>
        <v>185.97425508967711</v>
      </c>
      <c r="AU459" s="6">
        <f t="shared" si="725"/>
        <v>471.48961430148705</v>
      </c>
      <c r="AV459" s="6">
        <f t="shared" si="726"/>
        <v>638.8056350600541</v>
      </c>
      <c r="AW459" s="58">
        <f t="shared" si="732"/>
        <v>2009</v>
      </c>
      <c r="AX459" s="58">
        <f>COUNTIF(AW$3:AW459,AW459)</f>
        <v>7</v>
      </c>
    </row>
    <row r="460" spans="1:50" x14ac:dyDescent="0.25">
      <c r="A460" s="5">
        <v>40125</v>
      </c>
      <c r="B460">
        <v>1069.3</v>
      </c>
      <c r="C460">
        <v>0.05</v>
      </c>
      <c r="D460" s="6">
        <v>24.19</v>
      </c>
      <c r="E460" s="18">
        <f t="shared" si="709"/>
        <v>25.72</v>
      </c>
      <c r="F460">
        <f t="shared" si="710"/>
        <v>-2</v>
      </c>
      <c r="G460" s="18">
        <f>ROUND(INDEX(Valuation!U:U,MATCH(A460,Valuation!A:A,0)),2)</f>
        <v>212.56</v>
      </c>
      <c r="H460">
        <f t="shared" si="717"/>
        <v>3</v>
      </c>
      <c r="I460" s="18">
        <f>INDEX(WeeklyIndicators!Y:Y,MATCH(A460,WeeklyIndicators!A:A,0))</f>
        <v>135.83000000000001</v>
      </c>
      <c r="J460">
        <f t="shared" si="706"/>
        <v>1</v>
      </c>
      <c r="K460">
        <f>ROUND(INDEX(Economic!AF:AF,MATCH(EOMONTH($A460,-1),Economic!A:A,0)),2)</f>
        <v>95.35</v>
      </c>
      <c r="L460" s="11">
        <f t="shared" si="715"/>
        <v>-1</v>
      </c>
      <c r="M460">
        <f>ROUND(INDEX(Manufacturing!P:P,MATCH(EOMONTH($A460,-1),Manufacturing!A:A,0)),2)</f>
        <v>91.42</v>
      </c>
      <c r="N460">
        <f t="shared" si="711"/>
        <v>1</v>
      </c>
      <c r="O460">
        <f>ROUND(INDEX(Housing!AC:AC,MATCH(EOMONTH($A460,-1),Housing!B:B,0)),2)</f>
        <v>55.77</v>
      </c>
      <c r="P460">
        <f t="shared" si="712"/>
        <v>-2</v>
      </c>
      <c r="Q460">
        <f>ROUND(INDEX(Spending!AJ:AJ,MATCH(EOMONTH($A460,-1),Spending!B:B,0)),2)</f>
        <v>58.11</v>
      </c>
      <c r="R460">
        <f t="shared" si="716"/>
        <v>1</v>
      </c>
      <c r="S460">
        <f>ROUND(INDEX(Employment!V:V,MATCH(EOMONTH($A460,-1),Employment!A:A,0)),2)</f>
        <v>91.71</v>
      </c>
      <c r="T460" s="11">
        <f t="shared" si="713"/>
        <v>-3</v>
      </c>
      <c r="U460">
        <f t="shared" si="741"/>
        <v>18</v>
      </c>
      <c r="V460">
        <f t="shared" si="733"/>
        <v>62.52</v>
      </c>
      <c r="W460" s="13">
        <f t="shared" si="734"/>
        <v>3.6799999999999999E-2</v>
      </c>
      <c r="X460" s="13">
        <f t="shared" si="735"/>
        <v>0.17359999999999998</v>
      </c>
      <c r="Y460">
        <f t="shared" si="727"/>
        <v>71.540000000000006</v>
      </c>
      <c r="Z460" s="13">
        <f t="shared" si="722"/>
        <v>2.8000000000000001E-2</v>
      </c>
      <c r="AA460" s="13">
        <f t="shared" si="718"/>
        <v>0.13929999999999998</v>
      </c>
      <c r="AB460" s="6">
        <f t="shared" si="728"/>
        <v>98.445999999999998</v>
      </c>
      <c r="AC460">
        <f t="shared" si="720"/>
        <v>49</v>
      </c>
      <c r="AD460" s="11">
        <f t="shared" si="721"/>
        <v>2</v>
      </c>
      <c r="AE460">
        <f t="shared" si="719"/>
        <v>22</v>
      </c>
      <c r="AF460">
        <f>IF(AND(AE460&lt;15,OR(AC460&gt;=30,AA460&gt;0.15,X460&gt;=0.15)),2,VLOOKUP(AE460,Table!P:Q,2,FALSE))</f>
        <v>3</v>
      </c>
      <c r="AG460" s="22">
        <f>IF((AB460*0.98)-(D460*0.8)+((AF460-3)*3)+VLOOKUP(AM460,Table!$A$11:$B$13,2,FALSE)&lt;0,0,(AB460*0.98)-(D460*0.8)+((AF460-3)*3)+VLOOKUP(AM460,Table!$A$11:$B$13,2,FALSE))</f>
        <v>85.125079999999997</v>
      </c>
      <c r="AH460" s="22">
        <f t="shared" si="714"/>
        <v>83</v>
      </c>
      <c r="AI460" s="18">
        <f t="shared" si="707"/>
        <v>0.11</v>
      </c>
      <c r="AJ460" s="18">
        <f t="shared" si="708"/>
        <v>0.17</v>
      </c>
      <c r="AK460" t="str">
        <f t="shared" si="729"/>
        <v/>
      </c>
      <c r="AL460">
        <f t="shared" si="740"/>
        <v>20</v>
      </c>
      <c r="AM460" s="11" t="str">
        <f t="shared" si="730"/>
        <v>Stocks</v>
      </c>
      <c r="AN460" t="str">
        <f t="shared" si="736"/>
        <v>Buy</v>
      </c>
      <c r="AO460" s="13">
        <f t="shared" si="737"/>
        <v>2.2599999999999999E-2</v>
      </c>
      <c r="AP460" s="13">
        <f t="shared" si="738"/>
        <v>0</v>
      </c>
      <c r="AQ460" s="13">
        <f t="shared" si="739"/>
        <v>1.8800000000000001E-2</v>
      </c>
      <c r="AR460" s="13">
        <f t="shared" si="731"/>
        <v>2.2599999999999999E-2</v>
      </c>
      <c r="AS460" s="6">
        <f t="shared" si="723"/>
        <v>266.35044614977409</v>
      </c>
      <c r="AT460" s="6">
        <f t="shared" si="724"/>
        <v>185.97425508967711</v>
      </c>
      <c r="AU460" s="6">
        <f t="shared" si="725"/>
        <v>462.7891777596065</v>
      </c>
      <c r="AV460" s="6">
        <f t="shared" si="726"/>
        <v>624.68769319387263</v>
      </c>
      <c r="AW460" s="58">
        <f t="shared" si="732"/>
        <v>2009</v>
      </c>
      <c r="AX460" s="58">
        <f>COUNTIF(AW$3:AW460,AW460)</f>
        <v>8</v>
      </c>
    </row>
    <row r="461" spans="1:50" x14ac:dyDescent="0.25">
      <c r="A461" s="5">
        <v>40118</v>
      </c>
      <c r="B461">
        <v>1036.19</v>
      </c>
      <c r="C461">
        <v>7.0000000000000007E-2</v>
      </c>
      <c r="D461" s="6">
        <v>30.69</v>
      </c>
      <c r="E461" s="18">
        <f t="shared" si="709"/>
        <v>24.8</v>
      </c>
      <c r="F461">
        <f t="shared" si="710"/>
        <v>-1</v>
      </c>
      <c r="G461" s="18">
        <f>ROUND(INDEX(Valuation!U:U,MATCH(A461,Valuation!A:A,0)),2)</f>
        <v>212.27</v>
      </c>
      <c r="H461">
        <f t="shared" si="717"/>
        <v>3</v>
      </c>
      <c r="I461" s="18">
        <f>INDEX(WeeklyIndicators!Y:Y,MATCH(A461,WeeklyIndicators!A:A,0))</f>
        <v>142.83000000000001</v>
      </c>
      <c r="J461">
        <f t="shared" si="706"/>
        <v>1</v>
      </c>
      <c r="K461">
        <f>ROUND(INDEX(Economic!AF:AF,MATCH(EOMONTH($A461,-1),Economic!A:A,0)),2)</f>
        <v>95.35</v>
      </c>
      <c r="L461" s="11">
        <f t="shared" si="715"/>
        <v>-1</v>
      </c>
      <c r="M461">
        <f>ROUND(INDEX(Manufacturing!P:P,MATCH(EOMONTH($A461,-1),Manufacturing!A:A,0)),2)</f>
        <v>91.42</v>
      </c>
      <c r="N461">
        <f t="shared" si="711"/>
        <v>1</v>
      </c>
      <c r="O461">
        <f>ROUND(INDEX(Housing!AC:AC,MATCH(EOMONTH($A461,-1),Housing!B:B,0)),2)</f>
        <v>55.77</v>
      </c>
      <c r="P461">
        <f t="shared" si="712"/>
        <v>-2</v>
      </c>
      <c r="Q461">
        <f>ROUND(INDEX(Spending!AJ:AJ,MATCH(EOMONTH($A461,-1),Spending!B:B,0)),2)</f>
        <v>58.11</v>
      </c>
      <c r="R461">
        <f t="shared" si="716"/>
        <v>1</v>
      </c>
      <c r="S461">
        <f>ROUND(INDEX(Employment!V:V,MATCH(EOMONTH($A461,-1),Employment!A:A,0)),2)</f>
        <v>91.71</v>
      </c>
      <c r="T461" s="11">
        <f t="shared" si="713"/>
        <v>-3</v>
      </c>
      <c r="U461">
        <f t="shared" si="741"/>
        <v>19</v>
      </c>
      <c r="V461">
        <f t="shared" si="733"/>
        <v>63.24</v>
      </c>
      <c r="W461" s="13">
        <f t="shared" si="734"/>
        <v>4.7699999999999999E-2</v>
      </c>
      <c r="X461" s="13">
        <f t="shared" si="735"/>
        <v>0.21509999999999996</v>
      </c>
      <c r="Y461">
        <f t="shared" si="727"/>
        <v>72.56</v>
      </c>
      <c r="Z461" s="13">
        <f t="shared" si="722"/>
        <v>3.9300000000000002E-2</v>
      </c>
      <c r="AA461" s="13">
        <f t="shared" si="718"/>
        <v>0.1681</v>
      </c>
      <c r="AB461" s="6">
        <f t="shared" si="728"/>
        <v>101.807</v>
      </c>
      <c r="AC461">
        <f t="shared" si="720"/>
        <v>51</v>
      </c>
      <c r="AD461" s="11">
        <f t="shared" si="721"/>
        <v>2</v>
      </c>
      <c r="AE461">
        <f t="shared" si="719"/>
        <v>23</v>
      </c>
      <c r="AF461">
        <f>IF(AND(AE461&lt;15,OR(AC461&gt;=30,AA461&gt;0.15,X461&gt;=0.15)),2,VLOOKUP(AE461,Table!P:Q,2,FALSE))</f>
        <v>3</v>
      </c>
      <c r="AG461" s="22">
        <f>IF((AB461*0.98)-(D461*0.8)+((AF461-3)*3)+VLOOKUP(AM461,Table!$A$11:$B$13,2,FALSE)&lt;0,0,(AB461*0.98)-(D461*0.8)+((AF461-3)*3)+VLOOKUP(AM461,Table!$A$11:$B$13,2,FALSE))</f>
        <v>83.218859999999992</v>
      </c>
      <c r="AH461" s="22">
        <f t="shared" si="714"/>
        <v>82</v>
      </c>
      <c r="AI461" s="18">
        <f t="shared" si="707"/>
        <v>0.12</v>
      </c>
      <c r="AJ461" s="18">
        <f t="shared" si="708"/>
        <v>0.17</v>
      </c>
      <c r="AK461" t="str">
        <f t="shared" si="729"/>
        <v/>
      </c>
      <c r="AL461">
        <f t="shared" si="740"/>
        <v>18.5</v>
      </c>
      <c r="AM461" s="11" t="str">
        <f t="shared" si="730"/>
        <v>Stocks</v>
      </c>
      <c r="AN461" t="str">
        <f t="shared" si="736"/>
        <v>Buy</v>
      </c>
      <c r="AO461" s="13">
        <f t="shared" si="737"/>
        <v>3.2000000000000001E-2</v>
      </c>
      <c r="AP461" s="13">
        <f t="shared" si="738"/>
        <v>0</v>
      </c>
      <c r="AQ461" s="13">
        <f t="shared" si="739"/>
        <v>2.6200000000000001E-2</v>
      </c>
      <c r="AR461" s="13">
        <f t="shared" si="731"/>
        <v>3.2000000000000001E-2</v>
      </c>
      <c r="AS461" s="6">
        <f t="shared" si="723"/>
        <v>258.09151758699039</v>
      </c>
      <c r="AT461" s="6">
        <f t="shared" si="724"/>
        <v>185.97425508967711</v>
      </c>
      <c r="AU461" s="6">
        <f t="shared" si="725"/>
        <v>450.97366766673798</v>
      </c>
      <c r="AV461" s="6">
        <f t="shared" si="726"/>
        <v>605.31753216460527</v>
      </c>
      <c r="AW461" s="58">
        <f t="shared" si="732"/>
        <v>2009</v>
      </c>
      <c r="AX461" s="58">
        <f>COUNTIF(AW$3:AW461,AW461)</f>
        <v>9</v>
      </c>
    </row>
    <row r="462" spans="1:50" x14ac:dyDescent="0.25">
      <c r="A462" s="5">
        <v>40111</v>
      </c>
      <c r="B462">
        <v>1079.5999999999999</v>
      </c>
      <c r="C462">
        <v>7.0000000000000007E-2</v>
      </c>
      <c r="D462" s="6">
        <v>22.27</v>
      </c>
      <c r="E462" s="18">
        <f t="shared" si="709"/>
        <v>22.27</v>
      </c>
      <c r="F462">
        <f t="shared" si="710"/>
        <v>-1</v>
      </c>
      <c r="G462" s="18">
        <f>ROUND(INDEX(Valuation!U:U,MATCH(A462,Valuation!A:A,0)),2)</f>
        <v>212.03</v>
      </c>
      <c r="H462">
        <f t="shared" si="717"/>
        <v>3</v>
      </c>
      <c r="I462" s="18">
        <f>INDEX(WeeklyIndicators!Y:Y,MATCH(A462,WeeklyIndicators!A:A,0))</f>
        <v>145.63</v>
      </c>
      <c r="J462">
        <f t="shared" si="706"/>
        <v>1</v>
      </c>
      <c r="K462">
        <f>ROUND(INDEX(Economic!AF:AF,MATCH(EOMONTH($A462,-1),Economic!A:A,0)),2)</f>
        <v>77.63</v>
      </c>
      <c r="L462" s="11">
        <f t="shared" si="715"/>
        <v>-2</v>
      </c>
      <c r="M462">
        <f>ROUND(INDEX(Manufacturing!P:P,MATCH(EOMONTH($A462,-1),Manufacturing!A:A,0)),2)</f>
        <v>70.42</v>
      </c>
      <c r="N462">
        <f t="shared" si="711"/>
        <v>-2</v>
      </c>
      <c r="O462">
        <f>ROUND(INDEX(Housing!AC:AC,MATCH(EOMONTH($A462,-1),Housing!B:B,0)),2)</f>
        <v>47.22</v>
      </c>
      <c r="P462">
        <f t="shared" si="712"/>
        <v>-3</v>
      </c>
      <c r="Q462">
        <f>ROUND(INDEX(Spending!AJ:AJ,MATCH(EOMONTH($A462,-1),Spending!B:B,0)),2)</f>
        <v>53.17</v>
      </c>
      <c r="R462">
        <f t="shared" si="716"/>
        <v>1</v>
      </c>
      <c r="S462">
        <f>ROUND(INDEX(Employment!V:V,MATCH(EOMONTH($A462,-1),Employment!A:A,0)),2)</f>
        <v>82.58</v>
      </c>
      <c r="T462" s="11">
        <f t="shared" si="713"/>
        <v>-3</v>
      </c>
      <c r="U462">
        <f t="shared" si="741"/>
        <v>14</v>
      </c>
      <c r="V462">
        <f t="shared" si="733"/>
        <v>56.32</v>
      </c>
      <c r="W462" s="13">
        <f t="shared" si="734"/>
        <v>1.2699999999999999E-2</v>
      </c>
      <c r="X462" s="13">
        <f t="shared" si="735"/>
        <v>0.23980000000000001</v>
      </c>
      <c r="Y462">
        <f t="shared" si="727"/>
        <v>66.489999999999995</v>
      </c>
      <c r="Z462" s="13">
        <f t="shared" si="722"/>
        <v>1.2500000000000001E-2</v>
      </c>
      <c r="AA462" s="13">
        <f t="shared" si="718"/>
        <v>0.18079999999999999</v>
      </c>
      <c r="AB462" s="6">
        <f t="shared" si="728"/>
        <v>96.582999999999998</v>
      </c>
      <c r="AC462">
        <f t="shared" si="720"/>
        <v>48</v>
      </c>
      <c r="AD462" s="11">
        <f t="shared" si="721"/>
        <v>2</v>
      </c>
      <c r="AE462">
        <f t="shared" si="719"/>
        <v>18</v>
      </c>
      <c r="AF462">
        <f>IF(AND(AE462&lt;15,OR(AC462&gt;=30,AA462&gt;0.15,X462&gt;=0.15)),2,VLOOKUP(AE462,Table!P:Q,2,FALSE))</f>
        <v>2</v>
      </c>
      <c r="AG462" s="22">
        <f>IF((AB462*0.98)-(D462*0.8)+((AF462-3)*3)+VLOOKUP(AM462,Table!$A$11:$B$13,2,FALSE)&lt;0,0,(AB462*0.98)-(D462*0.8)+((AF462-3)*3)+VLOOKUP(AM462,Table!$A$11:$B$13,2,FALSE))</f>
        <v>81.835339999999988</v>
      </c>
      <c r="AH462" s="22">
        <f t="shared" si="714"/>
        <v>80</v>
      </c>
      <c r="AI462" s="18">
        <f t="shared" si="707"/>
        <v>0.13</v>
      </c>
      <c r="AJ462" s="18">
        <f t="shared" si="708"/>
        <v>0.18</v>
      </c>
      <c r="AK462" t="str">
        <f t="shared" si="729"/>
        <v/>
      </c>
      <c r="AL462">
        <f t="shared" si="740"/>
        <v>16.5</v>
      </c>
      <c r="AM462" s="11" t="str">
        <f t="shared" si="730"/>
        <v>Stocks</v>
      </c>
      <c r="AN462" t="str">
        <f t="shared" si="736"/>
        <v>Buy</v>
      </c>
      <c r="AO462" s="13">
        <f t="shared" si="737"/>
        <v>-4.02E-2</v>
      </c>
      <c r="AP462" s="13">
        <f t="shared" si="738"/>
        <v>0</v>
      </c>
      <c r="AQ462" s="13">
        <f t="shared" si="739"/>
        <v>-3.2199999999999999E-2</v>
      </c>
      <c r="AR462" s="13">
        <f t="shared" si="731"/>
        <v>-4.02E-2</v>
      </c>
      <c r="AS462" s="6">
        <f t="shared" si="723"/>
        <v>268.90135193476806</v>
      </c>
      <c r="AT462" s="6">
        <f t="shared" si="724"/>
        <v>185.97425508967711</v>
      </c>
      <c r="AU462" s="6">
        <f t="shared" si="725"/>
        <v>465.97816456575532</v>
      </c>
      <c r="AV462" s="6">
        <f t="shared" si="726"/>
        <v>630.6704856893158</v>
      </c>
      <c r="AW462" s="58">
        <f t="shared" si="732"/>
        <v>2009</v>
      </c>
      <c r="AX462" s="58">
        <f>COUNTIF(AW$3:AW462,AW462)</f>
        <v>10</v>
      </c>
    </row>
    <row r="463" spans="1:50" x14ac:dyDescent="0.25">
      <c r="A463" s="5">
        <v>40104</v>
      </c>
      <c r="B463">
        <v>1087.68</v>
      </c>
      <c r="C463">
        <v>7.0000000000000007E-2</v>
      </c>
      <c r="D463" s="6">
        <v>21.43</v>
      </c>
      <c r="E463" s="18">
        <f t="shared" si="709"/>
        <v>24.41</v>
      </c>
      <c r="F463">
        <f t="shared" si="710"/>
        <v>-1</v>
      </c>
      <c r="G463" s="18">
        <f>ROUND(INDEX(Valuation!U:U,MATCH(A463,Valuation!A:A,0)),2)</f>
        <v>214.84</v>
      </c>
      <c r="H463">
        <f t="shared" si="717"/>
        <v>3</v>
      </c>
      <c r="I463" s="18">
        <f>INDEX(WeeklyIndicators!Y:Y,MATCH(A463,WeeklyIndicators!A:A,0))</f>
        <v>143.16999999999999</v>
      </c>
      <c r="J463">
        <f t="shared" ref="J463:J526" si="742">IF(I463&gt;170,3,IF(AND(I463&gt;152,I463&lt;=170),2,IF(AND(I463&gt;135,I463&lt;=152),1,IF(I463&lt;60,-3,IF(AND(I463&lt;95,I463&gt;=60),-2,IF(AND(I463&lt;120,I463&gt;=95),-1,0))))))</f>
        <v>1</v>
      </c>
      <c r="K463">
        <f>ROUND(INDEX(Economic!AF:AF,MATCH(EOMONTH($A463,-1),Economic!A:A,0)),2)</f>
        <v>77.63</v>
      </c>
      <c r="L463" s="11">
        <f t="shared" si="715"/>
        <v>-2</v>
      </c>
      <c r="M463">
        <f>ROUND(INDEX(Manufacturing!P:P,MATCH(EOMONTH($A463,-1),Manufacturing!A:A,0)),2)</f>
        <v>70.42</v>
      </c>
      <c r="N463">
        <f t="shared" si="711"/>
        <v>-2</v>
      </c>
      <c r="O463">
        <f>ROUND(INDEX(Housing!AC:AC,MATCH(EOMONTH($A463,-1),Housing!B:B,0)),2)</f>
        <v>47.22</v>
      </c>
      <c r="P463">
        <f t="shared" si="712"/>
        <v>-3</v>
      </c>
      <c r="Q463">
        <f>ROUND(INDEX(Spending!AJ:AJ,MATCH(EOMONTH($A463,-1),Spending!B:B,0)),2)</f>
        <v>53.17</v>
      </c>
      <c r="R463">
        <f t="shared" si="716"/>
        <v>1</v>
      </c>
      <c r="S463">
        <f>ROUND(INDEX(Employment!V:V,MATCH(EOMONTH($A463,-1),Employment!A:A,0)),2)</f>
        <v>82.58</v>
      </c>
      <c r="T463" s="11">
        <f t="shared" si="713"/>
        <v>-3</v>
      </c>
      <c r="U463">
        <f t="shared" si="741"/>
        <v>14</v>
      </c>
      <c r="V463">
        <f t="shared" si="733"/>
        <v>56.06</v>
      </c>
      <c r="W463" s="13">
        <f t="shared" si="734"/>
        <v>7.6399999999999996E-2</v>
      </c>
      <c r="X463" s="13">
        <f t="shared" si="735"/>
        <v>0.21730000000000002</v>
      </c>
      <c r="Y463">
        <f t="shared" si="727"/>
        <v>65.8</v>
      </c>
      <c r="Z463" s="13">
        <f t="shared" si="722"/>
        <v>5.9499999999999997E-2</v>
      </c>
      <c r="AA463" s="13">
        <f t="shared" si="718"/>
        <v>0.1585</v>
      </c>
      <c r="AB463" s="6">
        <f t="shared" si="728"/>
        <v>94.443999999999988</v>
      </c>
      <c r="AC463">
        <f t="shared" si="720"/>
        <v>47</v>
      </c>
      <c r="AD463" s="11">
        <f t="shared" si="721"/>
        <v>1</v>
      </c>
      <c r="AE463">
        <f t="shared" si="719"/>
        <v>17</v>
      </c>
      <c r="AF463">
        <f>IF(AND(AE463&lt;15,OR(AC463&gt;=30,AA463&gt;0.15,X463&gt;=0.15)),2,VLOOKUP(AE463,Table!P:Q,2,FALSE))</f>
        <v>2</v>
      </c>
      <c r="AG463" s="22">
        <f>IF((AB463*0.98)-(D463*0.8)+((AF463-3)*3)+VLOOKUP(AM463,Table!$A$11:$B$13,2,FALSE)&lt;0,0,(AB463*0.98)-(D463*0.8)+((AF463-3)*3)+VLOOKUP(AM463,Table!$A$11:$B$13,2,FALSE))</f>
        <v>80.411119999999983</v>
      </c>
      <c r="AH463" s="22">
        <f t="shared" si="714"/>
        <v>76</v>
      </c>
      <c r="AI463" s="18">
        <f t="shared" ref="AI463:AI526" si="743">ROUND(AVERAGE(C463:C475),2)</f>
        <v>0.14000000000000001</v>
      </c>
      <c r="AJ463" s="18">
        <f t="shared" ref="AJ463:AJ526" si="744">ROUND(AVERAGE(C463:C501),2)</f>
        <v>0.18</v>
      </c>
      <c r="AK463" t="str">
        <f t="shared" si="729"/>
        <v/>
      </c>
      <c r="AL463">
        <f t="shared" si="740"/>
        <v>15</v>
      </c>
      <c r="AM463" s="11" t="str">
        <f t="shared" si="730"/>
        <v>Stocks</v>
      </c>
      <c r="AN463" t="str">
        <f t="shared" si="736"/>
        <v>Buy</v>
      </c>
      <c r="AO463" s="13">
        <f t="shared" si="737"/>
        <v>-7.4000000000000003E-3</v>
      </c>
      <c r="AP463" s="13">
        <f t="shared" si="738"/>
        <v>0</v>
      </c>
      <c r="AQ463" s="13">
        <f t="shared" si="739"/>
        <v>-5.5999999999999999E-3</v>
      </c>
      <c r="AR463" s="13">
        <f t="shared" si="731"/>
        <v>-7.4000000000000003E-3</v>
      </c>
      <c r="AS463" s="6">
        <f t="shared" si="723"/>
        <v>270.90605675475319</v>
      </c>
      <c r="AT463" s="6">
        <f t="shared" si="724"/>
        <v>185.97425508967711</v>
      </c>
      <c r="AU463" s="6">
        <f t="shared" si="725"/>
        <v>468.60233765663247</v>
      </c>
      <c r="AV463" s="6">
        <f t="shared" si="726"/>
        <v>635.37224026729371</v>
      </c>
      <c r="AW463" s="58">
        <f t="shared" si="732"/>
        <v>2009</v>
      </c>
      <c r="AX463" s="58">
        <f>COUNTIF(AW$3:AW463,AW463)</f>
        <v>11</v>
      </c>
    </row>
    <row r="464" spans="1:50" x14ac:dyDescent="0.25">
      <c r="A464" s="5">
        <v>40097</v>
      </c>
      <c r="B464">
        <v>1071.49</v>
      </c>
      <c r="C464">
        <v>0.08</v>
      </c>
      <c r="D464" s="6">
        <v>23.12</v>
      </c>
      <c r="E464" s="18">
        <f t="shared" si="709"/>
        <v>25.8</v>
      </c>
      <c r="F464">
        <f t="shared" si="710"/>
        <v>-2</v>
      </c>
      <c r="G464" s="18">
        <f>ROUND(INDEX(Valuation!U:U,MATCH(A464,Valuation!A:A,0)),2)</f>
        <v>217.78</v>
      </c>
      <c r="H464">
        <f t="shared" si="717"/>
        <v>3</v>
      </c>
      <c r="I464" s="18">
        <f>INDEX(WeeklyIndicators!Y:Y,MATCH(A464,WeeklyIndicators!A:A,0))</f>
        <v>135.28</v>
      </c>
      <c r="J464">
        <f t="shared" si="742"/>
        <v>1</v>
      </c>
      <c r="K464">
        <f>ROUND(INDEX(Economic!AF:AF,MATCH(EOMONTH($A464,-1),Economic!A:A,0)),2)</f>
        <v>77.63</v>
      </c>
      <c r="L464" s="11">
        <f t="shared" si="715"/>
        <v>-2</v>
      </c>
      <c r="M464">
        <f>ROUND(INDEX(Manufacturing!P:P,MATCH(EOMONTH($A464,-1),Manufacturing!A:A,0)),2)</f>
        <v>70.42</v>
      </c>
      <c r="N464">
        <f t="shared" si="711"/>
        <v>-2</v>
      </c>
      <c r="O464">
        <f>ROUND(INDEX(Housing!AC:AC,MATCH(EOMONTH($A464,-1),Housing!B:B,0)),2)</f>
        <v>47.22</v>
      </c>
      <c r="P464">
        <f t="shared" si="712"/>
        <v>-3</v>
      </c>
      <c r="Q464">
        <f>ROUND(INDEX(Spending!AJ:AJ,MATCH(EOMONTH($A464,-1),Spending!B:B,0)),2)</f>
        <v>53.17</v>
      </c>
      <c r="R464">
        <f t="shared" si="716"/>
        <v>1</v>
      </c>
      <c r="S464">
        <f>ROUND(INDEX(Employment!V:V,MATCH(EOMONTH($A464,-1),Employment!A:A,0)),2)</f>
        <v>82.58</v>
      </c>
      <c r="T464" s="11">
        <f t="shared" si="713"/>
        <v>-3</v>
      </c>
      <c r="U464">
        <f t="shared" si="741"/>
        <v>13</v>
      </c>
      <c r="V464">
        <f t="shared" si="733"/>
        <v>55.24</v>
      </c>
      <c r="W464" s="13">
        <f t="shared" si="734"/>
        <v>7.8299999999999995E-2</v>
      </c>
      <c r="X464" s="13">
        <f t="shared" si="735"/>
        <v>0.19090000000000001</v>
      </c>
      <c r="Y464">
        <f t="shared" si="727"/>
        <v>64.819999999999993</v>
      </c>
      <c r="Z464" s="13">
        <f t="shared" si="722"/>
        <v>5.6800000000000003E-2</v>
      </c>
      <c r="AA464" s="13">
        <f t="shared" si="718"/>
        <v>0.13850000000000001</v>
      </c>
      <c r="AB464" s="6">
        <f t="shared" si="728"/>
        <v>92.128</v>
      </c>
      <c r="AC464">
        <f t="shared" si="720"/>
        <v>46</v>
      </c>
      <c r="AD464" s="11">
        <f t="shared" si="721"/>
        <v>1</v>
      </c>
      <c r="AE464">
        <f t="shared" si="719"/>
        <v>16</v>
      </c>
      <c r="AF464">
        <f>IF(AND(AE464&lt;15,OR(AC464&gt;=30,AA464&gt;0.15,X464&gt;=0.15)),2,VLOOKUP(AE464,Table!P:Q,2,FALSE))</f>
        <v>2</v>
      </c>
      <c r="AG464" s="22">
        <f>IF((AB464*0.98)-(D464*0.8)+((AF464-3)*3)+VLOOKUP(AM464,Table!$A$11:$B$13,2,FALSE)&lt;0,0,(AB464*0.98)-(D464*0.8)+((AF464-3)*3)+VLOOKUP(AM464,Table!$A$11:$B$13,2,FALSE))</f>
        <v>76.789439999999985</v>
      </c>
      <c r="AH464" s="22">
        <f t="shared" si="714"/>
        <v>70</v>
      </c>
      <c r="AI464" s="18">
        <f t="shared" si="743"/>
        <v>0.15</v>
      </c>
      <c r="AJ464" s="18">
        <f t="shared" si="744"/>
        <v>0.18</v>
      </c>
      <c r="AK464" t="str">
        <f t="shared" si="729"/>
        <v/>
      </c>
      <c r="AL464">
        <f t="shared" si="740"/>
        <v>13.75</v>
      </c>
      <c r="AM464" s="11" t="str">
        <f t="shared" si="730"/>
        <v>Stocks</v>
      </c>
      <c r="AN464" t="str">
        <f t="shared" si="736"/>
        <v>Buy</v>
      </c>
      <c r="AO464" s="13">
        <f t="shared" si="737"/>
        <v>1.5100000000000001E-2</v>
      </c>
      <c r="AP464" s="13">
        <f t="shared" si="738"/>
        <v>0</v>
      </c>
      <c r="AQ464" s="13">
        <f t="shared" si="739"/>
        <v>1.06E-2</v>
      </c>
      <c r="AR464" s="13">
        <f t="shared" si="731"/>
        <v>1.5100000000000001E-2</v>
      </c>
      <c r="AS464" s="6">
        <f t="shared" si="723"/>
        <v>266.87622574598879</v>
      </c>
      <c r="AT464" s="6">
        <f t="shared" si="724"/>
        <v>185.97425508967711</v>
      </c>
      <c r="AU464" s="6">
        <f t="shared" si="725"/>
        <v>463.68725277719426</v>
      </c>
      <c r="AV464" s="6">
        <f t="shared" si="726"/>
        <v>625.92083564899394</v>
      </c>
      <c r="AW464" s="58">
        <f t="shared" si="732"/>
        <v>2009</v>
      </c>
      <c r="AX464" s="58">
        <f>COUNTIF(AW$3:AW464,AW464)</f>
        <v>12</v>
      </c>
    </row>
    <row r="465" spans="1:50" x14ac:dyDescent="0.25">
      <c r="A465" s="5">
        <v>40090</v>
      </c>
      <c r="B465">
        <v>1025.21</v>
      </c>
      <c r="C465">
        <v>0.12</v>
      </c>
      <c r="D465" s="6">
        <v>28.68</v>
      </c>
      <c r="E465" s="18">
        <f t="shared" ref="E465:E528" si="745">ROUND(AVERAGE(D465:D467),2)</f>
        <v>26.07</v>
      </c>
      <c r="F465">
        <f t="shared" ref="F465:F528" si="746">IF(E465&lt;11,3,IF(AND(E465&lt;14,E465&gt;=11),2,IF(AND(E465&lt;16,E465&gt;=14),1,IF(E465&gt;35,-3,IF(AND(E465&gt;25,E465&lt;=35),-2,IF(AND(E465&gt;18,E465&lt;=25),-1,0))))))</f>
        <v>-2</v>
      </c>
      <c r="G465" s="18">
        <f>ROUND(INDEX(Valuation!U:U,MATCH(A465,Valuation!A:A,0)),2)</f>
        <v>220.97</v>
      </c>
      <c r="H465">
        <f t="shared" si="717"/>
        <v>3</v>
      </c>
      <c r="I465" s="18">
        <f>INDEX(WeeklyIndicators!Y:Y,MATCH(A465,WeeklyIndicators!A:A,0))</f>
        <v>125.44</v>
      </c>
      <c r="J465">
        <f t="shared" si="742"/>
        <v>0</v>
      </c>
      <c r="K465">
        <f>ROUND(INDEX(Economic!AF:AF,MATCH(EOMONTH($A465,-1),Economic!A:A,0)),2)</f>
        <v>77.63</v>
      </c>
      <c r="L465" s="11">
        <f t="shared" si="715"/>
        <v>-2</v>
      </c>
      <c r="M465">
        <f>ROUND(INDEX(Manufacturing!P:P,MATCH(EOMONTH($A465,-1),Manufacturing!A:A,0)),2)</f>
        <v>70.42</v>
      </c>
      <c r="N465">
        <f t="shared" si="711"/>
        <v>-2</v>
      </c>
      <c r="O465">
        <f>ROUND(INDEX(Housing!AC:AC,MATCH(EOMONTH($A465,-1),Housing!B:B,0)),2)</f>
        <v>47.22</v>
      </c>
      <c r="P465">
        <f t="shared" si="712"/>
        <v>-3</v>
      </c>
      <c r="Q465">
        <f>ROUND(INDEX(Spending!AJ:AJ,MATCH(EOMONTH($A465,-1),Spending!B:B,0)),2)</f>
        <v>53.17</v>
      </c>
      <c r="R465">
        <f t="shared" si="716"/>
        <v>1</v>
      </c>
      <c r="S465">
        <f>ROUND(INDEX(Employment!V:V,MATCH(EOMONTH($A465,-1),Employment!A:A,0)),2)</f>
        <v>82.58</v>
      </c>
      <c r="T465" s="11">
        <f t="shared" si="713"/>
        <v>-3</v>
      </c>
      <c r="U465">
        <f t="shared" si="741"/>
        <v>12</v>
      </c>
      <c r="V465">
        <f t="shared" si="733"/>
        <v>54.22</v>
      </c>
      <c r="W465" s="13">
        <f t="shared" si="734"/>
        <v>7.2400000000000006E-2</v>
      </c>
      <c r="X465" s="13">
        <f t="shared" si="735"/>
        <v>0.16770000000000002</v>
      </c>
      <c r="Y465">
        <f t="shared" si="727"/>
        <v>64.06</v>
      </c>
      <c r="Z465" s="13">
        <f t="shared" si="722"/>
        <v>5.1999999999999998E-2</v>
      </c>
      <c r="AA465" s="13">
        <f t="shared" si="718"/>
        <v>0.1212</v>
      </c>
      <c r="AB465" s="6">
        <f t="shared" si="728"/>
        <v>90.257000000000005</v>
      </c>
      <c r="AC465">
        <f t="shared" si="720"/>
        <v>45</v>
      </c>
      <c r="AD465" s="11">
        <f t="shared" si="721"/>
        <v>1</v>
      </c>
      <c r="AE465">
        <f t="shared" si="719"/>
        <v>15</v>
      </c>
      <c r="AF465">
        <f>IF(AND(AE465&lt;15,OR(AC465&gt;=30,AA465&gt;0.15,X465&gt;=0.15)),2,VLOOKUP(AE465,Table!P:Q,2,FALSE))</f>
        <v>2</v>
      </c>
      <c r="AG465" s="22">
        <f>IF((AB465*0.98)-(D465*0.8)+((AF465-3)*3)+VLOOKUP(AM465,Table!$A$11:$B$13,2,FALSE)&lt;0,0,(AB465*0.98)-(D465*0.8)+((AF465-3)*3)+VLOOKUP(AM465,Table!$A$11:$B$13,2,FALSE))</f>
        <v>70.507859999999994</v>
      </c>
      <c r="AH465" s="22">
        <f t="shared" si="714"/>
        <v>67</v>
      </c>
      <c r="AI465" s="18">
        <f t="shared" si="743"/>
        <v>0.16</v>
      </c>
      <c r="AJ465" s="18">
        <f t="shared" si="744"/>
        <v>0.18</v>
      </c>
      <c r="AK465" t="str">
        <f t="shared" si="729"/>
        <v/>
      </c>
      <c r="AL465">
        <f t="shared" si="740"/>
        <v>12.75</v>
      </c>
      <c r="AM465" s="11" t="str">
        <f t="shared" si="730"/>
        <v>Stocks</v>
      </c>
      <c r="AN465" t="str">
        <f t="shared" si="736"/>
        <v>Buy</v>
      </c>
      <c r="AO465" s="13">
        <f t="shared" si="737"/>
        <v>4.5100000000000001E-2</v>
      </c>
      <c r="AP465" s="13">
        <f t="shared" si="738"/>
        <v>0</v>
      </c>
      <c r="AQ465" s="13">
        <f t="shared" si="739"/>
        <v>3.0200000000000001E-2</v>
      </c>
      <c r="AR465" s="13">
        <f t="shared" si="731"/>
        <v>4.5100000000000001E-2</v>
      </c>
      <c r="AS465" s="6">
        <f t="shared" si="723"/>
        <v>255.3595117653706</v>
      </c>
      <c r="AT465" s="6">
        <f t="shared" si="724"/>
        <v>185.97425508967711</v>
      </c>
      <c r="AU465" s="6">
        <f t="shared" si="725"/>
        <v>450.09440184157859</v>
      </c>
      <c r="AV465" s="6">
        <f t="shared" si="726"/>
        <v>598.90999487991007</v>
      </c>
      <c r="AW465" s="58">
        <f t="shared" si="732"/>
        <v>2009</v>
      </c>
      <c r="AX465" s="58">
        <f>COUNTIF(AW$3:AW465,AW465)</f>
        <v>13</v>
      </c>
    </row>
    <row r="466" spans="1:50" x14ac:dyDescent="0.25">
      <c r="A466" s="5">
        <v>40083</v>
      </c>
      <c r="B466">
        <v>1044.3800000000001</v>
      </c>
      <c r="C466">
        <v>0.11</v>
      </c>
      <c r="D466" s="6">
        <v>25.61</v>
      </c>
      <c r="E466" s="18">
        <f t="shared" si="745"/>
        <v>24.56</v>
      </c>
      <c r="F466">
        <f t="shared" si="746"/>
        <v>-1</v>
      </c>
      <c r="G466" s="18">
        <f>ROUND(INDEX(Valuation!U:U,MATCH(A466,Valuation!A:A,0)),2)</f>
        <v>222.66</v>
      </c>
      <c r="H466">
        <f t="shared" si="717"/>
        <v>3</v>
      </c>
      <c r="I466" s="18">
        <f>INDEX(WeeklyIndicators!Y:Y,MATCH(A466,WeeklyIndicators!A:A,0))</f>
        <v>115.61</v>
      </c>
      <c r="J466">
        <f t="shared" si="742"/>
        <v>-1</v>
      </c>
      <c r="K466">
        <f>ROUND(INDEX(Economic!AF:AF,MATCH(EOMONTH($A466,-1),Economic!A:A,0)),2)</f>
        <v>57.89</v>
      </c>
      <c r="L466" s="11">
        <f t="shared" si="715"/>
        <v>-2</v>
      </c>
      <c r="M466">
        <f>ROUND(INDEX(Manufacturing!P:P,MATCH(EOMONTH($A466,-1),Manufacturing!A:A,0)),2)</f>
        <v>53.96</v>
      </c>
      <c r="N466">
        <f t="shared" ref="N466:N529" si="747">IF(M466&gt;108,3,IF(AND(M466&gt;100,M466&lt;=108),2,IF(AND(M466&gt;90,M466&lt;=100),1,IF(M466&lt;63,-3,IF(AND(M466&lt;74,M466&gt;=63),-2,IF(AND(M466&lt;84,M466&gt;=74),-1,0))))))</f>
        <v>-3</v>
      </c>
      <c r="O466">
        <f>ROUND(INDEX(Housing!AC:AC,MATCH(EOMONTH($A466,-1),Housing!B:B,0)),2)</f>
        <v>33.29</v>
      </c>
      <c r="P466">
        <f t="shared" ref="P466:P529" si="748">IF(O466&gt;140,3,IF(AND(O466&gt;128,O466&lt;=140),2,IF(AND(O466&gt;115,O466&lt;=128),1,IF(O466&lt;50,-3,IF(AND(O466&lt;75,O466&gt;=50),-2,IF(AND(O466&lt;100,O466&gt;=75),-1,0))))))</f>
        <v>-3</v>
      </c>
      <c r="Q466">
        <f>ROUND(INDEX(Spending!AJ:AJ,MATCH(EOMONTH($A466,-1),Spending!B:B,0)),2)</f>
        <v>41.23</v>
      </c>
      <c r="R466">
        <f t="shared" si="716"/>
        <v>0</v>
      </c>
      <c r="S466">
        <f>ROUND(INDEX(Employment!V:V,MATCH(EOMONTH($A466,-1),Employment!A:A,0)),2)</f>
        <v>60.84</v>
      </c>
      <c r="T466" s="11">
        <f t="shared" ref="T466:T529" si="749">IF(S466&gt;190,3,IF(AND(S466&gt;175,S466&lt;=190),2,IF(AND(S466&gt;160,S466&lt;=175),1,IF(S466&lt;120,-3,IF(AND(S466&lt;140,S466&gt;=120),-2,IF(AND(S466&lt;150,S466&gt;=140),-1,0))))))</f>
        <v>-3</v>
      </c>
      <c r="U466">
        <f t="shared" si="741"/>
        <v>10</v>
      </c>
      <c r="V466">
        <f t="shared" si="733"/>
        <v>44.31</v>
      </c>
      <c r="W466" s="13">
        <f t="shared" si="734"/>
        <v>-9.7999999999999997E-3</v>
      </c>
      <c r="X466" s="13">
        <f t="shared" si="735"/>
        <v>0.17130000000000001</v>
      </c>
      <c r="Y466">
        <f t="shared" si="727"/>
        <v>54.86</v>
      </c>
      <c r="Z466" s="13">
        <f t="shared" si="722"/>
        <v>-9.7999999999999997E-3</v>
      </c>
      <c r="AA466" s="13">
        <f t="shared" si="718"/>
        <v>0.1215</v>
      </c>
      <c r="AB466" s="6">
        <f t="shared" si="728"/>
        <v>80.956000000000003</v>
      </c>
      <c r="AC466">
        <f t="shared" si="720"/>
        <v>40</v>
      </c>
      <c r="AD466" s="11">
        <f t="shared" si="721"/>
        <v>0</v>
      </c>
      <c r="AE466">
        <f t="shared" si="719"/>
        <v>12</v>
      </c>
      <c r="AF466">
        <f>IF(AND(AE466&lt;15,OR(AC466&gt;=30,AA466&gt;0.15,X466&gt;=0.15)),2,VLOOKUP(AE466,Table!P:Q,2,FALSE))</f>
        <v>2</v>
      </c>
      <c r="AG466" s="22">
        <f>IF((AB466*0.98)-(D466*0.8)+((AF466-3)*3)+VLOOKUP(AM466,Table!$A$11:$B$13,2,FALSE)&lt;0,0,(AB466*0.98)-(D466*0.8)+((AF466-3)*3)+VLOOKUP(AM466,Table!$A$11:$B$13,2,FALSE))</f>
        <v>63.848880000000008</v>
      </c>
      <c r="AH466" s="22">
        <f t="shared" ref="AH466:AH529" si="750">IF(ROUND(AVERAGE(AG466:AG468),0)&lt;0,0,IF(ROUND(AVERAGE(AG466:AG468),0)&gt;100,100,ROUND(AVERAGE(AG466:AG468),0)))</f>
        <v>66</v>
      </c>
      <c r="AI466" s="18">
        <f t="shared" si="743"/>
        <v>0.16</v>
      </c>
      <c r="AJ466" s="18">
        <f t="shared" si="744"/>
        <v>0.18</v>
      </c>
      <c r="AK466" t="str">
        <f t="shared" si="729"/>
        <v/>
      </c>
      <c r="AL466">
        <f t="shared" si="740"/>
        <v>12.25</v>
      </c>
      <c r="AM466" s="11" t="str">
        <f t="shared" si="730"/>
        <v>Stocks</v>
      </c>
      <c r="AN466" t="str">
        <f t="shared" si="736"/>
        <v>Buy</v>
      </c>
      <c r="AO466" s="13">
        <f t="shared" si="737"/>
        <v>-1.84E-2</v>
      </c>
      <c r="AP466" s="13">
        <f t="shared" si="738"/>
        <v>0</v>
      </c>
      <c r="AQ466" s="13">
        <f t="shared" si="739"/>
        <v>-1.21E-2</v>
      </c>
      <c r="AR466" s="13">
        <f t="shared" si="731"/>
        <v>-1.84E-2</v>
      </c>
      <c r="AS466" s="6">
        <f t="shared" si="723"/>
        <v>260.14620187996189</v>
      </c>
      <c r="AT466" s="6">
        <f t="shared" si="724"/>
        <v>185.97425508967711</v>
      </c>
      <c r="AU466" s="6">
        <f t="shared" si="725"/>
        <v>455.60724956126995</v>
      </c>
      <c r="AV466" s="6">
        <f t="shared" si="726"/>
        <v>610.13650660137534</v>
      </c>
      <c r="AW466" s="58">
        <f t="shared" si="732"/>
        <v>2009</v>
      </c>
      <c r="AX466" s="58">
        <f>COUNTIF(AW$3:AW466,AW466)</f>
        <v>14</v>
      </c>
    </row>
    <row r="467" spans="1:50" x14ac:dyDescent="0.25">
      <c r="A467" s="5">
        <v>40076</v>
      </c>
      <c r="B467">
        <v>1068.3</v>
      </c>
      <c r="C467">
        <v>0.11</v>
      </c>
      <c r="D467" s="6">
        <v>23.92</v>
      </c>
      <c r="E467" s="18">
        <f t="shared" si="745"/>
        <v>24.44</v>
      </c>
      <c r="F467">
        <f t="shared" si="746"/>
        <v>-1</v>
      </c>
      <c r="G467" s="18">
        <f>ROUND(INDEX(Valuation!U:U,MATCH(A467,Valuation!A:A,0)),2)</f>
        <v>225.18</v>
      </c>
      <c r="H467">
        <f t="shared" si="717"/>
        <v>3</v>
      </c>
      <c r="I467" s="18">
        <f>INDEX(WeeklyIndicators!Y:Y,MATCH(A467,WeeklyIndicators!A:A,0))</f>
        <v>113.29</v>
      </c>
      <c r="J467">
        <f t="shared" si="742"/>
        <v>-1</v>
      </c>
      <c r="K467">
        <f>ROUND(INDEX(Economic!AF:AF,MATCH(EOMONTH($A467,-1),Economic!A:A,0)),2)</f>
        <v>57.89</v>
      </c>
      <c r="L467" s="11">
        <f t="shared" ref="L467:L530" si="751">IF(K467&gt;138,3,IF(AND(K467&gt;125,K467&lt;=138),2,IF(AND(K467&gt;111,K467&lt;=125),1,IF(K467&lt;50,-3,IF(AND(K467&lt;80,K467&gt;=50),-2,IF(AND(K467&lt;100,K467&gt;=80),-1,0))))))</f>
        <v>-2</v>
      </c>
      <c r="M467">
        <f>ROUND(INDEX(Manufacturing!P:P,MATCH(EOMONTH($A467,-1),Manufacturing!A:A,0)),2)</f>
        <v>53.96</v>
      </c>
      <c r="N467">
        <f t="shared" si="747"/>
        <v>-3</v>
      </c>
      <c r="O467">
        <f>ROUND(INDEX(Housing!AC:AC,MATCH(EOMONTH($A467,-1),Housing!B:B,0)),2)</f>
        <v>33.29</v>
      </c>
      <c r="P467">
        <f t="shared" si="748"/>
        <v>-3</v>
      </c>
      <c r="Q467">
        <f>ROUND(INDEX(Spending!AJ:AJ,MATCH(EOMONTH($A467,-1),Spending!B:B,0)),2)</f>
        <v>41.23</v>
      </c>
      <c r="R467">
        <f t="shared" ref="R467:R530" si="752">IF(Q467&gt;60,2,IF(AND(Q467&gt;50,Q467&lt;=60),1,IF(Q467&lt;30,-2,IF(AND(Q467&lt;40,Q467&gt;=30),-1,0))))</f>
        <v>0</v>
      </c>
      <c r="S467">
        <f>ROUND(INDEX(Employment!V:V,MATCH(EOMONTH($A467,-1),Employment!A:A,0)),2)</f>
        <v>60.84</v>
      </c>
      <c r="T467" s="11">
        <f t="shared" si="749"/>
        <v>-3</v>
      </c>
      <c r="U467">
        <f t="shared" si="741"/>
        <v>10</v>
      </c>
      <c r="V467">
        <f t="shared" si="733"/>
        <v>44.07</v>
      </c>
      <c r="W467" s="13">
        <f t="shared" si="734"/>
        <v>0.05</v>
      </c>
      <c r="X467" s="13">
        <f t="shared" si="735"/>
        <v>0.20219999999999999</v>
      </c>
      <c r="Y467">
        <f t="shared" si="727"/>
        <v>54.94</v>
      </c>
      <c r="Z467" s="13">
        <f t="shared" si="722"/>
        <v>3.95E-2</v>
      </c>
      <c r="AA467" s="13">
        <f t="shared" si="718"/>
        <v>0.1381</v>
      </c>
      <c r="AB467" s="6">
        <f t="shared" si="728"/>
        <v>82.698000000000008</v>
      </c>
      <c r="AC467">
        <f t="shared" si="720"/>
        <v>41</v>
      </c>
      <c r="AD467" s="11">
        <f t="shared" si="721"/>
        <v>0</v>
      </c>
      <c r="AE467">
        <f t="shared" si="719"/>
        <v>12</v>
      </c>
      <c r="AF467">
        <f>IF(AND(AE467&lt;15,OR(AC467&gt;=30,AA467&gt;0.15,X467&gt;=0.15)),2,VLOOKUP(AE467,Table!P:Q,2,FALSE))</f>
        <v>2</v>
      </c>
      <c r="AG467" s="22">
        <f>IF((AB467*0.98)-(D467*0.8)+((AF467-3)*3)+VLOOKUP(AM467,Table!$A$11:$B$13,2,FALSE)&lt;0,0,(AB467*0.98)-(D467*0.8)+((AF467-3)*3)+VLOOKUP(AM467,Table!$A$11:$B$13,2,FALSE))</f>
        <v>66.90804</v>
      </c>
      <c r="AH467" s="22">
        <f t="shared" si="750"/>
        <v>69</v>
      </c>
      <c r="AI467" s="18">
        <f t="shared" si="743"/>
        <v>0.17</v>
      </c>
      <c r="AJ467" s="18">
        <f t="shared" si="744"/>
        <v>0.18</v>
      </c>
      <c r="AK467" t="str">
        <f t="shared" si="729"/>
        <v/>
      </c>
      <c r="AL467">
        <f t="shared" si="740"/>
        <v>15.25</v>
      </c>
      <c r="AM467" s="11" t="str">
        <f t="shared" si="730"/>
        <v>Stocks</v>
      </c>
      <c r="AN467" t="str">
        <f t="shared" si="736"/>
        <v>Buy</v>
      </c>
      <c r="AO467" s="13">
        <f t="shared" si="737"/>
        <v>-2.24E-2</v>
      </c>
      <c r="AP467" s="13">
        <f t="shared" si="738"/>
        <v>0</v>
      </c>
      <c r="AQ467" s="13">
        <f t="shared" si="739"/>
        <v>-1.55E-2</v>
      </c>
      <c r="AR467" s="13">
        <f t="shared" si="731"/>
        <v>-2.24E-2</v>
      </c>
      <c r="AS467" s="6">
        <f t="shared" si="723"/>
        <v>266.10699864971554</v>
      </c>
      <c r="AT467" s="6">
        <f t="shared" si="724"/>
        <v>185.97425508967711</v>
      </c>
      <c r="AU467" s="6">
        <f t="shared" si="725"/>
        <v>462.78034490733359</v>
      </c>
      <c r="AV467" s="6">
        <f t="shared" si="726"/>
        <v>624.116721155253</v>
      </c>
      <c r="AW467" s="58">
        <f t="shared" si="732"/>
        <v>2009</v>
      </c>
      <c r="AX467" s="58">
        <f>COUNTIF(AW$3:AW467,AW467)</f>
        <v>15</v>
      </c>
    </row>
    <row r="468" spans="1:50" x14ac:dyDescent="0.25">
      <c r="A468" s="5">
        <v>40069</v>
      </c>
      <c r="B468">
        <v>1042.73</v>
      </c>
      <c r="C468">
        <v>0.14000000000000001</v>
      </c>
      <c r="D468" s="6">
        <v>24.15</v>
      </c>
      <c r="E468" s="18">
        <f t="shared" si="745"/>
        <v>24.72</v>
      </c>
      <c r="F468">
        <f t="shared" si="746"/>
        <v>-1</v>
      </c>
      <c r="G468" s="18">
        <f>ROUND(INDEX(Valuation!U:U,MATCH(A468,Valuation!A:A,0)),2)</f>
        <v>225.97</v>
      </c>
      <c r="H468">
        <f t="shared" si="717"/>
        <v>3</v>
      </c>
      <c r="I468" s="18">
        <f>INDEX(WeeklyIndicators!Y:Y,MATCH(A468,WeeklyIndicators!A:A,0))</f>
        <v>118.33</v>
      </c>
      <c r="J468">
        <f t="shared" si="742"/>
        <v>-1</v>
      </c>
      <c r="K468">
        <f>ROUND(INDEX(Economic!AF:AF,MATCH(EOMONTH($A468,-1),Economic!A:A,0)),2)</f>
        <v>57.89</v>
      </c>
      <c r="L468" s="11">
        <f t="shared" si="751"/>
        <v>-2</v>
      </c>
      <c r="M468">
        <f>ROUND(INDEX(Manufacturing!P:P,MATCH(EOMONTH($A468,-1),Manufacturing!A:A,0)),2)</f>
        <v>53.96</v>
      </c>
      <c r="N468">
        <f t="shared" si="747"/>
        <v>-3</v>
      </c>
      <c r="O468">
        <f>ROUND(INDEX(Housing!AC:AC,MATCH(EOMONTH($A468,-1),Housing!B:B,0)),2)</f>
        <v>33.29</v>
      </c>
      <c r="P468">
        <f t="shared" si="748"/>
        <v>-3</v>
      </c>
      <c r="Q468">
        <f>ROUND(INDEX(Spending!AJ:AJ,MATCH(EOMONTH($A468,-1),Spending!B:B,0)),2)</f>
        <v>41.23</v>
      </c>
      <c r="R468">
        <f t="shared" si="752"/>
        <v>0</v>
      </c>
      <c r="S468">
        <f>ROUND(INDEX(Employment!V:V,MATCH(EOMONTH($A468,-1),Employment!A:A,0)),2)</f>
        <v>60.84</v>
      </c>
      <c r="T468" s="11">
        <f t="shared" si="749"/>
        <v>-3</v>
      </c>
      <c r="U468">
        <f t="shared" si="741"/>
        <v>10</v>
      </c>
      <c r="V468">
        <f t="shared" si="733"/>
        <v>44.59</v>
      </c>
      <c r="W468" s="13">
        <f t="shared" si="734"/>
        <v>5.5100000000000003E-2</v>
      </c>
      <c r="X468" s="13">
        <f t="shared" si="735"/>
        <v>0.193</v>
      </c>
      <c r="Y468">
        <f t="shared" si="727"/>
        <v>55.46</v>
      </c>
      <c r="Z468" s="13">
        <f t="shared" si="722"/>
        <v>3.95E-2</v>
      </c>
      <c r="AA468" s="13">
        <f t="shared" si="718"/>
        <v>0.12309999999999999</v>
      </c>
      <c r="AB468" s="6">
        <f t="shared" si="728"/>
        <v>82.217000000000013</v>
      </c>
      <c r="AC468">
        <f t="shared" si="720"/>
        <v>41</v>
      </c>
      <c r="AD468" s="11">
        <f t="shared" si="721"/>
        <v>0</v>
      </c>
      <c r="AE468">
        <f t="shared" si="719"/>
        <v>12</v>
      </c>
      <c r="AF468">
        <f>IF(AND(AE468&lt;15,OR(AC468&gt;=30,AA468&gt;0.15,X468&gt;=0.15)),2,VLOOKUP(AE468,Table!P:Q,2,FALSE))</f>
        <v>2</v>
      </c>
      <c r="AG468" s="22">
        <f>IF((AB468*0.98)-(D468*0.8)+((AF468-3)*3)+VLOOKUP(AM468,Table!$A$11:$B$13,2,FALSE)&lt;0,0,(AB468*0.98)-(D468*0.8)+((AF468-3)*3)+VLOOKUP(AM468,Table!$A$11:$B$13,2,FALSE))</f>
        <v>66.25266000000002</v>
      </c>
      <c r="AH468" s="22">
        <f t="shared" si="750"/>
        <v>71</v>
      </c>
      <c r="AI468" s="18">
        <f t="shared" si="743"/>
        <v>0.17</v>
      </c>
      <c r="AJ468" s="18">
        <f t="shared" si="744"/>
        <v>0.18</v>
      </c>
      <c r="AK468" t="str">
        <f t="shared" si="729"/>
        <v/>
      </c>
      <c r="AL468">
        <f t="shared" si="740"/>
        <v>18.5</v>
      </c>
      <c r="AM468" s="11" t="str">
        <f t="shared" si="730"/>
        <v>Stocks</v>
      </c>
      <c r="AN468" t="str">
        <f t="shared" si="736"/>
        <v>Buy</v>
      </c>
      <c r="AO468" s="13">
        <f t="shared" si="737"/>
        <v>2.4500000000000001E-2</v>
      </c>
      <c r="AP468" s="13">
        <f t="shared" si="738"/>
        <v>0</v>
      </c>
      <c r="AQ468" s="13">
        <f t="shared" si="739"/>
        <v>1.7399999999999999E-2</v>
      </c>
      <c r="AR468" s="13">
        <f t="shared" si="731"/>
        <v>2.4500000000000001E-2</v>
      </c>
      <c r="AS468" s="6">
        <f t="shared" si="723"/>
        <v>259.74328809147443</v>
      </c>
      <c r="AT468" s="6">
        <f t="shared" si="724"/>
        <v>185.97425508967711</v>
      </c>
      <c r="AU468" s="6">
        <f t="shared" si="725"/>
        <v>454.86568203984035</v>
      </c>
      <c r="AV468" s="6">
        <f t="shared" si="726"/>
        <v>609.19152870205278</v>
      </c>
      <c r="AW468" s="58">
        <f t="shared" si="732"/>
        <v>2009</v>
      </c>
      <c r="AX468" s="58">
        <f>COUNTIF(AW$3:AW468,AW468)</f>
        <v>16</v>
      </c>
    </row>
    <row r="469" spans="1:50" x14ac:dyDescent="0.25">
      <c r="A469" s="5">
        <v>40062</v>
      </c>
      <c r="B469">
        <v>1016.4</v>
      </c>
      <c r="C469">
        <v>0.14000000000000001</v>
      </c>
      <c r="D469" s="6">
        <v>25.26</v>
      </c>
      <c r="E469" s="18">
        <f t="shared" si="745"/>
        <v>25.01</v>
      </c>
      <c r="F469">
        <f t="shared" si="746"/>
        <v>-2</v>
      </c>
      <c r="G469" s="18">
        <f>ROUND(INDEX(Valuation!U:U,MATCH(A469,Valuation!A:A,0)),2)</f>
        <v>226.78</v>
      </c>
      <c r="H469">
        <f t="shared" si="717"/>
        <v>3</v>
      </c>
      <c r="I469" s="18">
        <f>INDEX(WeeklyIndicators!Y:Y,MATCH(A469,WeeklyIndicators!A:A,0))</f>
        <v>128.38</v>
      </c>
      <c r="J469">
        <f t="shared" si="742"/>
        <v>0</v>
      </c>
      <c r="K469">
        <f>ROUND(INDEX(Economic!AF:AF,MATCH(EOMONTH($A469,-1),Economic!A:A,0)),2)</f>
        <v>57.89</v>
      </c>
      <c r="L469" s="11">
        <f t="shared" si="751"/>
        <v>-2</v>
      </c>
      <c r="M469">
        <f>ROUND(INDEX(Manufacturing!P:P,MATCH(EOMONTH($A469,-1),Manufacturing!A:A,0)),2)</f>
        <v>53.96</v>
      </c>
      <c r="N469">
        <f t="shared" si="747"/>
        <v>-3</v>
      </c>
      <c r="O469">
        <f>ROUND(INDEX(Housing!AC:AC,MATCH(EOMONTH($A469,-1),Housing!B:B,0)),2)</f>
        <v>33.29</v>
      </c>
      <c r="P469">
        <f t="shared" si="748"/>
        <v>-3</v>
      </c>
      <c r="Q469">
        <f>ROUND(INDEX(Spending!AJ:AJ,MATCH(EOMONTH($A469,-1),Spending!B:B,0)),2)</f>
        <v>41.23</v>
      </c>
      <c r="R469">
        <f t="shared" si="752"/>
        <v>0</v>
      </c>
      <c r="S469">
        <f>ROUND(INDEX(Employment!V:V,MATCH(EOMONTH($A469,-1),Employment!A:A,0)),2)</f>
        <v>60.84</v>
      </c>
      <c r="T469" s="11">
        <f t="shared" si="749"/>
        <v>-3</v>
      </c>
      <c r="U469">
        <f t="shared" si="741"/>
        <v>10</v>
      </c>
      <c r="V469">
        <f t="shared" si="733"/>
        <v>45.63</v>
      </c>
      <c r="W469" s="13">
        <f t="shared" si="734"/>
        <v>7.5999999999999998E-2</v>
      </c>
      <c r="X469" s="13">
        <f t="shared" si="735"/>
        <v>0.30479999999999996</v>
      </c>
      <c r="Y469">
        <f t="shared" si="727"/>
        <v>56.49</v>
      </c>
      <c r="Z469" s="13">
        <f t="shared" si="722"/>
        <v>5.2299999999999999E-2</v>
      </c>
      <c r="AA469" s="13">
        <f t="shared" si="718"/>
        <v>0.19890000000000002</v>
      </c>
      <c r="AB469" s="6">
        <f t="shared" si="728"/>
        <v>89.567999999999998</v>
      </c>
      <c r="AC469">
        <f t="shared" si="720"/>
        <v>45</v>
      </c>
      <c r="AD469" s="11">
        <f t="shared" si="721"/>
        <v>1</v>
      </c>
      <c r="AE469">
        <f t="shared" si="719"/>
        <v>13</v>
      </c>
      <c r="AF469">
        <f>IF(AND(AE469&lt;15,OR(AC469&gt;=30,AA469&gt;0.15,X469&gt;=0.15)),2,VLOOKUP(AE469,Table!P:Q,2,FALSE))</f>
        <v>2</v>
      </c>
      <c r="AG469" s="22">
        <f>IF((AB469*0.98)-(D469*0.8)+((AF469-3)*3)+VLOOKUP(AM469,Table!$A$11:$B$13,2,FALSE)&lt;0,0,(AB469*0.98)-(D469*0.8)+((AF469-3)*3)+VLOOKUP(AM469,Table!$A$11:$B$13,2,FALSE))</f>
        <v>72.568640000000002</v>
      </c>
      <c r="AH469" s="22">
        <f t="shared" si="750"/>
        <v>78</v>
      </c>
      <c r="AI469" s="18">
        <f t="shared" si="743"/>
        <v>0.18</v>
      </c>
      <c r="AJ469" s="18">
        <f t="shared" si="744"/>
        <v>0.17</v>
      </c>
      <c r="AK469" t="str">
        <f t="shared" si="729"/>
        <v/>
      </c>
      <c r="AL469">
        <f t="shared" si="740"/>
        <v>21.5</v>
      </c>
      <c r="AM469" s="11" t="str">
        <f t="shared" si="730"/>
        <v>Stocks</v>
      </c>
      <c r="AN469" t="str">
        <f t="shared" si="736"/>
        <v>Buy</v>
      </c>
      <c r="AO469" s="13">
        <f t="shared" si="737"/>
        <v>2.5899999999999999E-2</v>
      </c>
      <c r="AP469" s="13">
        <f t="shared" si="738"/>
        <v>0</v>
      </c>
      <c r="AQ469" s="13">
        <f t="shared" si="739"/>
        <v>2.0199999999999999E-2</v>
      </c>
      <c r="AR469" s="13">
        <f t="shared" si="731"/>
        <v>2.5899999999999999E-2</v>
      </c>
      <c r="AS469" s="6">
        <f t="shared" si="723"/>
        <v>253.1857764806262</v>
      </c>
      <c r="AT469" s="6">
        <f t="shared" si="724"/>
        <v>185.97425508967711</v>
      </c>
      <c r="AU469" s="6">
        <f t="shared" si="725"/>
        <v>445.85932370107855</v>
      </c>
      <c r="AV469" s="6">
        <f t="shared" si="726"/>
        <v>593.81180300424285</v>
      </c>
      <c r="AW469" s="58">
        <f t="shared" si="732"/>
        <v>2009</v>
      </c>
      <c r="AX469" s="58">
        <f>COUNTIF(AW$3:AW469,AW469)</f>
        <v>17</v>
      </c>
    </row>
    <row r="470" spans="1:50" x14ac:dyDescent="0.25">
      <c r="A470" s="5">
        <v>40055</v>
      </c>
      <c r="B470">
        <v>1028.93</v>
      </c>
      <c r="C470">
        <v>0.16</v>
      </c>
      <c r="D470" s="6">
        <v>24.76</v>
      </c>
      <c r="E470" s="18">
        <f t="shared" si="745"/>
        <v>24.68</v>
      </c>
      <c r="F470">
        <f t="shared" si="746"/>
        <v>-1</v>
      </c>
      <c r="G470" s="18">
        <f>ROUND(INDEX(Valuation!U:U,MATCH(A470,Valuation!A:A,0)),2)</f>
        <v>226.44</v>
      </c>
      <c r="H470">
        <f t="shared" si="717"/>
        <v>3</v>
      </c>
      <c r="I470" s="18">
        <f>INDEX(WeeklyIndicators!Y:Y,MATCH(A470,WeeklyIndicators!A:A,0))</f>
        <v>136.74</v>
      </c>
      <c r="J470">
        <f t="shared" si="742"/>
        <v>1</v>
      </c>
      <c r="K470">
        <f>ROUND(INDEX(Economic!AF:AF,MATCH(EOMONTH($A470,-1),Economic!A:A,0)),2)</f>
        <v>39.65</v>
      </c>
      <c r="L470" s="11">
        <f t="shared" si="751"/>
        <v>-3</v>
      </c>
      <c r="M470">
        <f>ROUND(INDEX(Manufacturing!P:P,MATCH(EOMONTH($A470,-1),Manufacturing!A:A,0)),2)</f>
        <v>37.729999999999997</v>
      </c>
      <c r="N470">
        <f t="shared" si="747"/>
        <v>-3</v>
      </c>
      <c r="O470">
        <f>ROUND(INDEX(Housing!AC:AC,MATCH(EOMONTH($A470,-1),Housing!B:B,0)),2)</f>
        <v>18.940000000000001</v>
      </c>
      <c r="P470">
        <f t="shared" si="748"/>
        <v>-3</v>
      </c>
      <c r="Q470">
        <f>ROUND(INDEX(Spending!AJ:AJ,MATCH(EOMONTH($A470,-1),Spending!B:B,0)),2)</f>
        <v>29.61</v>
      </c>
      <c r="R470">
        <f t="shared" si="752"/>
        <v>-2</v>
      </c>
      <c r="S470">
        <f>ROUND(INDEX(Employment!V:V,MATCH(EOMONTH($A470,-1),Employment!A:A,0)),2)</f>
        <v>36.99</v>
      </c>
      <c r="T470" s="11">
        <f t="shared" si="749"/>
        <v>-3</v>
      </c>
      <c r="U470">
        <f t="shared" si="741"/>
        <v>9</v>
      </c>
      <c r="V470">
        <f t="shared" si="733"/>
        <v>37.67</v>
      </c>
      <c r="W470" s="13">
        <f t="shared" si="734"/>
        <v>2.1100000000000001E-2</v>
      </c>
      <c r="X470" s="13">
        <f t="shared" si="735"/>
        <v>0.41720000000000002</v>
      </c>
      <c r="Y470">
        <f t="shared" si="727"/>
        <v>48.6</v>
      </c>
      <c r="Z470" s="13">
        <f t="shared" si="722"/>
        <v>6.7999999999999996E-3</v>
      </c>
      <c r="AA470" s="13">
        <f t="shared" si="718"/>
        <v>0.2787</v>
      </c>
      <c r="AB470" s="6">
        <f t="shared" si="728"/>
        <v>87.844000000000008</v>
      </c>
      <c r="AC470">
        <f t="shared" si="720"/>
        <v>44</v>
      </c>
      <c r="AD470" s="11">
        <f t="shared" si="721"/>
        <v>1</v>
      </c>
      <c r="AE470">
        <f t="shared" si="719"/>
        <v>24</v>
      </c>
      <c r="AF470">
        <f>IF(AND(AE470&lt;15,OR(AC470&gt;=30,AA470&gt;0.15,X470&gt;=0.15)),2,VLOOKUP(AE470,Table!P:Q,2,FALSE))</f>
        <v>3</v>
      </c>
      <c r="AG470" s="22">
        <f>IF((AB470*0.98)-(D470*0.8)+((AF470-3)*3)+VLOOKUP(AM470,Table!$A$11:$B$13,2,FALSE)&lt;0,0,(AB470*0.98)-(D470*0.8)+((AF470-3)*3)+VLOOKUP(AM470,Table!$A$11:$B$13,2,FALSE))</f>
        <v>74.279120000000006</v>
      </c>
      <c r="AH470" s="22">
        <f t="shared" si="750"/>
        <v>82</v>
      </c>
      <c r="AI470" s="18">
        <f t="shared" si="743"/>
        <v>0.18</v>
      </c>
      <c r="AJ470" s="18">
        <f t="shared" si="744"/>
        <v>0.17</v>
      </c>
      <c r="AK470" t="str">
        <f t="shared" si="729"/>
        <v/>
      </c>
      <c r="AL470">
        <f t="shared" si="740"/>
        <v>24</v>
      </c>
      <c r="AM470" s="11" t="str">
        <f t="shared" si="730"/>
        <v>Stocks</v>
      </c>
      <c r="AN470" t="str">
        <f t="shared" si="736"/>
        <v>Buy</v>
      </c>
      <c r="AO470" s="13">
        <f t="shared" si="737"/>
        <v>-1.2200000000000001E-2</v>
      </c>
      <c r="AP470" s="13">
        <f t="shared" si="738"/>
        <v>0</v>
      </c>
      <c r="AQ470" s="13">
        <f t="shared" si="739"/>
        <v>-0.01</v>
      </c>
      <c r="AR470" s="13">
        <f t="shared" si="731"/>
        <v>-1.2200000000000001E-2</v>
      </c>
      <c r="AS470" s="6">
        <f t="shared" si="723"/>
        <v>256.31279254973293</v>
      </c>
      <c r="AT470" s="6">
        <f t="shared" si="724"/>
        <v>185.97425508967711</v>
      </c>
      <c r="AU470" s="6">
        <f t="shared" si="725"/>
        <v>450.36295323341267</v>
      </c>
      <c r="AV470" s="6">
        <f t="shared" si="726"/>
        <v>601.14578153901891</v>
      </c>
      <c r="AW470" s="58">
        <f t="shared" si="732"/>
        <v>2009</v>
      </c>
      <c r="AX470" s="58">
        <f>COUNTIF(AW$3:AW470,AW470)</f>
        <v>18</v>
      </c>
    </row>
    <row r="471" spans="1:50" x14ac:dyDescent="0.25">
      <c r="A471" s="5">
        <v>40048</v>
      </c>
      <c r="B471">
        <v>1026.1300000000001</v>
      </c>
      <c r="C471">
        <v>0.17</v>
      </c>
      <c r="D471" s="6">
        <v>25.01</v>
      </c>
      <c r="E471" s="18">
        <f t="shared" si="745"/>
        <v>24.68</v>
      </c>
      <c r="F471">
        <f t="shared" si="746"/>
        <v>-1</v>
      </c>
      <c r="G471" s="18">
        <f>ROUND(INDEX(Valuation!U:U,MATCH(A471,Valuation!A:A,0)),2)</f>
        <v>231.09</v>
      </c>
      <c r="H471">
        <f t="shared" si="717"/>
        <v>3</v>
      </c>
      <c r="I471" s="18">
        <f>INDEX(WeeklyIndicators!Y:Y,MATCH(A471,WeeklyIndicators!A:A,0))</f>
        <v>139.06</v>
      </c>
      <c r="J471">
        <f t="shared" si="742"/>
        <v>1</v>
      </c>
      <c r="K471">
        <f>ROUND(INDEX(Economic!AF:AF,MATCH(EOMONTH($A471,-1),Economic!A:A,0)),2)</f>
        <v>39.65</v>
      </c>
      <c r="L471" s="11">
        <f t="shared" si="751"/>
        <v>-3</v>
      </c>
      <c r="M471">
        <f>ROUND(INDEX(Manufacturing!P:P,MATCH(EOMONTH($A471,-1),Manufacturing!A:A,0)),2)</f>
        <v>37.729999999999997</v>
      </c>
      <c r="N471">
        <f t="shared" si="747"/>
        <v>-3</v>
      </c>
      <c r="O471">
        <f>ROUND(INDEX(Housing!AC:AC,MATCH(EOMONTH($A471,-1),Housing!B:B,0)),2)</f>
        <v>18.940000000000001</v>
      </c>
      <c r="P471">
        <f t="shared" si="748"/>
        <v>-3</v>
      </c>
      <c r="Q471">
        <f>ROUND(INDEX(Spending!AJ:AJ,MATCH(EOMONTH($A471,-1),Spending!B:B,0)),2)</f>
        <v>29.61</v>
      </c>
      <c r="R471">
        <f t="shared" si="752"/>
        <v>-2</v>
      </c>
      <c r="S471">
        <f>ROUND(INDEX(Employment!V:V,MATCH(EOMONTH($A471,-1),Employment!A:A,0)),2)</f>
        <v>36.99</v>
      </c>
      <c r="T471" s="11">
        <f t="shared" si="749"/>
        <v>-3</v>
      </c>
      <c r="U471">
        <f t="shared" si="741"/>
        <v>9</v>
      </c>
      <c r="V471">
        <f t="shared" si="733"/>
        <v>37.909999999999997</v>
      </c>
      <c r="W471" s="13">
        <f t="shared" si="734"/>
        <v>4.0800000000000003E-2</v>
      </c>
      <c r="X471" s="13">
        <f t="shared" si="735"/>
        <v>0.6069</v>
      </c>
      <c r="Y471">
        <f t="shared" si="727"/>
        <v>49.36</v>
      </c>
      <c r="Z471" s="13">
        <f t="shared" si="722"/>
        <v>2.4500000000000001E-2</v>
      </c>
      <c r="AA471" s="13">
        <f t="shared" si="718"/>
        <v>0.41100000000000003</v>
      </c>
      <c r="AB471" s="6">
        <f t="shared" si="728"/>
        <v>99.838999999999999</v>
      </c>
      <c r="AC471">
        <f t="shared" si="720"/>
        <v>50</v>
      </c>
      <c r="AD471" s="11">
        <f t="shared" si="721"/>
        <v>2</v>
      </c>
      <c r="AE471">
        <f t="shared" si="719"/>
        <v>25</v>
      </c>
      <c r="AF471">
        <f>IF(AND(AE471&lt;15,OR(AC471&gt;=30,AA471&gt;0.15,X471&gt;=0.15)),2,VLOOKUP(AE471,Table!P:Q,2,FALSE))</f>
        <v>3</v>
      </c>
      <c r="AG471" s="22">
        <f>IF((AB471*0.98)-(D471*0.8)+((AF471-3)*3)+VLOOKUP(AM471,Table!$A$11:$B$13,2,FALSE)&lt;0,0,(AB471*0.98)-(D471*0.8)+((AF471-3)*3)+VLOOKUP(AM471,Table!$A$11:$B$13,2,FALSE))</f>
        <v>85.834219999999988</v>
      </c>
      <c r="AH471" s="22">
        <f t="shared" si="750"/>
        <v>85</v>
      </c>
      <c r="AI471" s="18">
        <f t="shared" si="743"/>
        <v>0.18</v>
      </c>
      <c r="AJ471" s="18">
        <f t="shared" si="744"/>
        <v>0.17</v>
      </c>
      <c r="AK471" t="str">
        <f t="shared" si="729"/>
        <v/>
      </c>
      <c r="AL471">
        <f t="shared" si="740"/>
        <v>23.5</v>
      </c>
      <c r="AM471" s="11" t="str">
        <f t="shared" si="730"/>
        <v>Stocks</v>
      </c>
      <c r="AN471" t="str">
        <f t="shared" si="736"/>
        <v>Buy</v>
      </c>
      <c r="AO471" s="13">
        <f t="shared" si="737"/>
        <v>2.7000000000000001E-3</v>
      </c>
      <c r="AP471" s="13">
        <f t="shared" si="738"/>
        <v>0</v>
      </c>
      <c r="AQ471" s="13">
        <f t="shared" si="739"/>
        <v>2.3E-3</v>
      </c>
      <c r="AR471" s="13">
        <f t="shared" si="731"/>
        <v>2.7000000000000001E-3</v>
      </c>
      <c r="AS471" s="6">
        <f t="shared" si="723"/>
        <v>255.6226114986865</v>
      </c>
      <c r="AT471" s="6">
        <f t="shared" si="724"/>
        <v>185.97425508967711</v>
      </c>
      <c r="AU471" s="6">
        <f t="shared" si="725"/>
        <v>449.32949539400647</v>
      </c>
      <c r="AV471" s="6">
        <f t="shared" si="726"/>
        <v>599.52705848111998</v>
      </c>
      <c r="AW471" s="58">
        <f t="shared" si="732"/>
        <v>2009</v>
      </c>
      <c r="AX471" s="58">
        <f>COUNTIF(AW$3:AW471,AW471)</f>
        <v>19</v>
      </c>
    </row>
    <row r="472" spans="1:50" x14ac:dyDescent="0.25">
      <c r="A472" s="5">
        <v>40041</v>
      </c>
      <c r="B472">
        <v>1004.09</v>
      </c>
      <c r="C472">
        <v>0.18</v>
      </c>
      <c r="D472" s="6">
        <v>24.27</v>
      </c>
      <c r="E472" s="18">
        <f t="shared" si="745"/>
        <v>24.98</v>
      </c>
      <c r="F472">
        <f t="shared" si="746"/>
        <v>-1</v>
      </c>
      <c r="G472" s="18">
        <f>ROUND(INDEX(Valuation!U:U,MATCH(A472,Valuation!A:A,0)),2)</f>
        <v>234.58</v>
      </c>
      <c r="H472">
        <f t="shared" si="717"/>
        <v>3</v>
      </c>
      <c r="I472" s="18">
        <f>INDEX(WeeklyIndicators!Y:Y,MATCH(A472,WeeklyIndicators!A:A,0))</f>
        <v>130.99</v>
      </c>
      <c r="J472">
        <f t="shared" si="742"/>
        <v>0</v>
      </c>
      <c r="K472">
        <f>ROUND(INDEX(Economic!AF:AF,MATCH(EOMONTH($A472,-1),Economic!A:A,0)),2)</f>
        <v>39.65</v>
      </c>
      <c r="L472" s="11">
        <f t="shared" si="751"/>
        <v>-3</v>
      </c>
      <c r="M472">
        <f>ROUND(INDEX(Manufacturing!P:P,MATCH(EOMONTH($A472,-1),Manufacturing!A:A,0)),2)</f>
        <v>37.729999999999997</v>
      </c>
      <c r="N472">
        <f t="shared" si="747"/>
        <v>-3</v>
      </c>
      <c r="O472">
        <f>ROUND(INDEX(Housing!AC:AC,MATCH(EOMONTH($A472,-1),Housing!B:B,0)),2)</f>
        <v>18.940000000000001</v>
      </c>
      <c r="P472">
        <f t="shared" si="748"/>
        <v>-3</v>
      </c>
      <c r="Q472">
        <f>ROUND(INDEX(Spending!AJ:AJ,MATCH(EOMONTH($A472,-1),Spending!B:B,0)),2)</f>
        <v>29.61</v>
      </c>
      <c r="R472">
        <f t="shared" si="752"/>
        <v>-2</v>
      </c>
      <c r="S472">
        <f>ROUND(INDEX(Employment!V:V,MATCH(EOMONTH($A472,-1),Employment!A:A,0)),2)</f>
        <v>36.99</v>
      </c>
      <c r="T472" s="11">
        <f t="shared" si="749"/>
        <v>-3</v>
      </c>
      <c r="U472">
        <f t="shared" si="741"/>
        <v>8</v>
      </c>
      <c r="V472">
        <f t="shared" si="733"/>
        <v>37.07</v>
      </c>
      <c r="W472" s="13">
        <f t="shared" si="734"/>
        <v>0.16689999999999999</v>
      </c>
      <c r="X472" s="13">
        <f t="shared" si="735"/>
        <v>0.60630000000000006</v>
      </c>
      <c r="Y472">
        <f t="shared" si="727"/>
        <v>48.81</v>
      </c>
      <c r="Z472" s="13">
        <f t="shared" si="722"/>
        <v>0.1153</v>
      </c>
      <c r="AA472" s="13">
        <f t="shared" si="718"/>
        <v>0.41070000000000001</v>
      </c>
      <c r="AB472" s="6">
        <f t="shared" si="728"/>
        <v>99.587999999999994</v>
      </c>
      <c r="AC472">
        <f t="shared" si="720"/>
        <v>50</v>
      </c>
      <c r="AD472" s="11">
        <f t="shared" si="721"/>
        <v>2</v>
      </c>
      <c r="AE472">
        <f t="shared" si="719"/>
        <v>24</v>
      </c>
      <c r="AF472">
        <f>IF(AND(AE472&lt;15,OR(AC472&gt;=30,AA472&gt;0.15,X472&gt;=0.15)),2,VLOOKUP(AE472,Table!P:Q,2,FALSE))</f>
        <v>3</v>
      </c>
      <c r="AG472" s="22">
        <f>IF((AB472*0.98)-(D472*0.8)+((AF472-3)*3)+VLOOKUP(AM472,Table!$A$11:$B$13,2,FALSE)&lt;0,0,(AB472*0.98)-(D472*0.8)+((AF472-3)*3)+VLOOKUP(AM472,Table!$A$11:$B$13,2,FALSE))</f>
        <v>86.180239999999998</v>
      </c>
      <c r="AH472" s="22">
        <f t="shared" si="750"/>
        <v>81</v>
      </c>
      <c r="AI472" s="18">
        <f t="shared" si="743"/>
        <v>0.18</v>
      </c>
      <c r="AJ472" s="18">
        <f t="shared" si="744"/>
        <v>0.16</v>
      </c>
      <c r="AK472" t="str">
        <f t="shared" si="729"/>
        <v/>
      </c>
      <c r="AL472">
        <f t="shared" si="740"/>
        <v>22</v>
      </c>
      <c r="AM472" s="11" t="str">
        <f t="shared" si="730"/>
        <v>Stocks</v>
      </c>
      <c r="AN472" t="str">
        <f t="shared" si="736"/>
        <v>Buy</v>
      </c>
      <c r="AO472" s="13">
        <f t="shared" si="737"/>
        <v>2.1999999999999999E-2</v>
      </c>
      <c r="AP472" s="13">
        <f t="shared" si="738"/>
        <v>0</v>
      </c>
      <c r="AQ472" s="13">
        <f t="shared" si="739"/>
        <v>1.78E-2</v>
      </c>
      <c r="AR472" s="13">
        <f t="shared" si="731"/>
        <v>2.1999999999999999E-2</v>
      </c>
      <c r="AS472" s="6">
        <f t="shared" si="723"/>
        <v>250.11997211221771</v>
      </c>
      <c r="AT472" s="6">
        <f t="shared" si="724"/>
        <v>185.97425508967711</v>
      </c>
      <c r="AU472" s="6">
        <f t="shared" si="725"/>
        <v>441.47130614463202</v>
      </c>
      <c r="AV472" s="6">
        <f t="shared" si="726"/>
        <v>586.6213879463013</v>
      </c>
      <c r="AW472" s="58">
        <f t="shared" si="732"/>
        <v>2009</v>
      </c>
      <c r="AX472" s="58">
        <f>COUNTIF(AW$3:AW472,AW472)</f>
        <v>20</v>
      </c>
    </row>
    <row r="473" spans="1:50" x14ac:dyDescent="0.25">
      <c r="A473" s="5">
        <v>40034</v>
      </c>
      <c r="B473">
        <v>1010.48</v>
      </c>
      <c r="C473">
        <v>0.18</v>
      </c>
      <c r="D473" s="6">
        <v>24.76</v>
      </c>
      <c r="E473" s="18">
        <f t="shared" si="745"/>
        <v>24.59</v>
      </c>
      <c r="F473">
        <f t="shared" si="746"/>
        <v>-1</v>
      </c>
      <c r="G473" s="18">
        <f>ROUND(INDEX(Valuation!U:U,MATCH(A473,Valuation!A:A,0)),2)</f>
        <v>238.17</v>
      </c>
      <c r="H473">
        <f t="shared" si="717"/>
        <v>3</v>
      </c>
      <c r="I473" s="18">
        <f>INDEX(WeeklyIndicators!Y:Y,MATCH(A473,WeeklyIndicators!A:A,0))</f>
        <v>114.34</v>
      </c>
      <c r="J473">
        <f t="shared" si="742"/>
        <v>-1</v>
      </c>
      <c r="K473">
        <f>ROUND(INDEX(Economic!AF:AF,MATCH(EOMONTH($A473,-1),Economic!A:A,0)),2)</f>
        <v>39.65</v>
      </c>
      <c r="L473" s="11">
        <f t="shared" si="751"/>
        <v>-3</v>
      </c>
      <c r="M473">
        <f>ROUND(INDEX(Manufacturing!P:P,MATCH(EOMONTH($A473,-1),Manufacturing!A:A,0)),2)</f>
        <v>37.729999999999997</v>
      </c>
      <c r="N473">
        <f t="shared" si="747"/>
        <v>-3</v>
      </c>
      <c r="O473">
        <f>ROUND(INDEX(Housing!AC:AC,MATCH(EOMONTH($A473,-1),Housing!B:B,0)),2)</f>
        <v>18.940000000000001</v>
      </c>
      <c r="P473">
        <f t="shared" si="748"/>
        <v>-3</v>
      </c>
      <c r="Q473">
        <f>ROUND(INDEX(Spending!AJ:AJ,MATCH(EOMONTH($A473,-1),Spending!B:B,0)),2)</f>
        <v>29.61</v>
      </c>
      <c r="R473">
        <f t="shared" si="752"/>
        <v>-2</v>
      </c>
      <c r="S473">
        <f>ROUND(INDEX(Employment!V:V,MATCH(EOMONTH($A473,-1),Employment!A:A,0)),2)</f>
        <v>36.99</v>
      </c>
      <c r="T473" s="11">
        <f t="shared" si="749"/>
        <v>-3</v>
      </c>
      <c r="U473">
        <f t="shared" si="741"/>
        <v>7</v>
      </c>
      <c r="V473">
        <f t="shared" si="733"/>
        <v>35.340000000000003</v>
      </c>
      <c r="W473" s="13">
        <f t="shared" si="734"/>
        <v>0.18840000000000001</v>
      </c>
      <c r="X473" s="13">
        <f t="shared" si="735"/>
        <v>0.5917</v>
      </c>
      <c r="Y473">
        <f t="shared" si="727"/>
        <v>47.61</v>
      </c>
      <c r="Z473" s="13">
        <f t="shared" si="722"/>
        <v>0.1321</v>
      </c>
      <c r="AA473" s="13">
        <f t="shared" si="718"/>
        <v>0.37040000000000001</v>
      </c>
      <c r="AB473" s="6">
        <f t="shared" si="728"/>
        <v>95.836999999999989</v>
      </c>
      <c r="AC473">
        <f t="shared" si="720"/>
        <v>48</v>
      </c>
      <c r="AD473" s="11">
        <f t="shared" si="721"/>
        <v>2</v>
      </c>
      <c r="AE473">
        <f t="shared" si="719"/>
        <v>23</v>
      </c>
      <c r="AF473">
        <f>IF(AND(AE473&lt;15,OR(AC473&gt;=30,AA473&gt;0.15,X473&gt;=0.15)),2,VLOOKUP(AE473,Table!P:Q,2,FALSE))</f>
        <v>3</v>
      </c>
      <c r="AG473" s="22">
        <f>IF((AB473*0.98)-(D473*0.8)+((AF473-3)*3)+VLOOKUP(AM473,Table!$A$11:$B$13,2,FALSE)&lt;0,0,(AB473*0.98)-(D473*0.8)+((AF473-3)*3)+VLOOKUP(AM473,Table!$A$11:$B$13,2,FALSE))</f>
        <v>82.112259999999978</v>
      </c>
      <c r="AH473" s="22">
        <f t="shared" si="750"/>
        <v>72</v>
      </c>
      <c r="AI473" s="18">
        <f t="shared" si="743"/>
        <v>0.18</v>
      </c>
      <c r="AJ473" s="18">
        <f t="shared" si="744"/>
        <v>0.17</v>
      </c>
      <c r="AK473" t="str">
        <f t="shared" si="729"/>
        <v/>
      </c>
      <c r="AL473">
        <f t="shared" si="740"/>
        <v>20.75</v>
      </c>
      <c r="AM473" s="11" t="str">
        <f t="shared" si="730"/>
        <v>Stocks</v>
      </c>
      <c r="AN473" t="str">
        <f t="shared" si="736"/>
        <v>Buy</v>
      </c>
      <c r="AO473" s="13">
        <f t="shared" si="737"/>
        <v>-6.3E-3</v>
      </c>
      <c r="AP473" s="13">
        <f t="shared" si="738"/>
        <v>0</v>
      </c>
      <c r="AQ473" s="13">
        <f t="shared" si="739"/>
        <v>-4.4999999999999997E-3</v>
      </c>
      <c r="AR473" s="13">
        <f t="shared" si="731"/>
        <v>-6.3E-3</v>
      </c>
      <c r="AS473" s="6">
        <f t="shared" si="723"/>
        <v>251.70571813647751</v>
      </c>
      <c r="AT473" s="6">
        <f t="shared" si="724"/>
        <v>185.97425508967711</v>
      </c>
      <c r="AU473" s="6">
        <f t="shared" si="725"/>
        <v>443.46690722715419</v>
      </c>
      <c r="AV473" s="6">
        <f t="shared" si="726"/>
        <v>590.34053330612994</v>
      </c>
      <c r="AW473" s="58">
        <f t="shared" si="732"/>
        <v>2009</v>
      </c>
      <c r="AX473" s="58">
        <f>COUNTIF(AW$3:AW473,AW473)</f>
        <v>21</v>
      </c>
    </row>
    <row r="474" spans="1:50" x14ac:dyDescent="0.25">
      <c r="A474" s="5">
        <v>40027</v>
      </c>
      <c r="B474">
        <v>987.48</v>
      </c>
      <c r="C474">
        <v>0.19</v>
      </c>
      <c r="D474" s="6">
        <v>25.92</v>
      </c>
      <c r="E474" s="18">
        <f t="shared" si="745"/>
        <v>24.45</v>
      </c>
      <c r="F474">
        <f t="shared" si="746"/>
        <v>-1</v>
      </c>
      <c r="G474" s="18">
        <f>ROUND(INDEX(Valuation!U:U,MATCH(A474,Valuation!A:A,0)),2)</f>
        <v>237.91</v>
      </c>
      <c r="H474">
        <f t="shared" si="717"/>
        <v>3</v>
      </c>
      <c r="I474" s="18">
        <f>INDEX(WeeklyIndicators!Y:Y,MATCH(A474,WeeklyIndicators!A:A,0))</f>
        <v>97.47</v>
      </c>
      <c r="J474">
        <f t="shared" si="742"/>
        <v>-1</v>
      </c>
      <c r="K474">
        <f>ROUND(INDEX(Economic!AF:AF,MATCH(EOMONTH($A474,-1),Economic!A:A,0)),2)</f>
        <v>39.65</v>
      </c>
      <c r="L474" s="11">
        <f t="shared" si="751"/>
        <v>-3</v>
      </c>
      <c r="M474">
        <f>ROUND(INDEX(Manufacturing!P:P,MATCH(EOMONTH($A474,-1),Manufacturing!A:A,0)),2)</f>
        <v>37.729999999999997</v>
      </c>
      <c r="N474">
        <f t="shared" si="747"/>
        <v>-3</v>
      </c>
      <c r="O474">
        <f>ROUND(INDEX(Housing!AC:AC,MATCH(EOMONTH($A474,-1),Housing!B:B,0)),2)</f>
        <v>18.940000000000001</v>
      </c>
      <c r="P474">
        <f t="shared" si="748"/>
        <v>-3</v>
      </c>
      <c r="Q474">
        <f>ROUND(INDEX(Spending!AJ:AJ,MATCH(EOMONTH($A474,-1),Spending!B:B,0)),2)</f>
        <v>29.61</v>
      </c>
      <c r="R474">
        <f t="shared" si="752"/>
        <v>-2</v>
      </c>
      <c r="S474">
        <f>ROUND(INDEX(Employment!V:V,MATCH(EOMONTH($A474,-1),Employment!A:A,0)),2)</f>
        <v>36.99</v>
      </c>
      <c r="T474" s="11">
        <f t="shared" si="749"/>
        <v>-3</v>
      </c>
      <c r="U474">
        <f t="shared" si="741"/>
        <v>7</v>
      </c>
      <c r="V474">
        <f t="shared" si="733"/>
        <v>33.590000000000003</v>
      </c>
      <c r="W474" s="13">
        <f t="shared" si="734"/>
        <v>0.21079999999999999</v>
      </c>
      <c r="X474" s="13">
        <f t="shared" si="735"/>
        <v>0.57979999999999998</v>
      </c>
      <c r="Y474">
        <f t="shared" si="727"/>
        <v>45.88</v>
      </c>
      <c r="Z474" s="13">
        <f t="shared" si="722"/>
        <v>0.1391</v>
      </c>
      <c r="AA474" s="13">
        <f t="shared" si="718"/>
        <v>0.31430000000000002</v>
      </c>
      <c r="AB474" s="6">
        <f t="shared" si="728"/>
        <v>90.150999999999996</v>
      </c>
      <c r="AC474">
        <f t="shared" si="720"/>
        <v>45</v>
      </c>
      <c r="AD474" s="11">
        <f t="shared" si="721"/>
        <v>1</v>
      </c>
      <c r="AE474">
        <f t="shared" si="719"/>
        <v>22</v>
      </c>
      <c r="AF474">
        <f>IF(AND(AE474&lt;15,OR(AC474&gt;=30,AA474&gt;0.15,X474&gt;=0.15)),2,VLOOKUP(AE474,Table!P:Q,2,FALSE))</f>
        <v>3</v>
      </c>
      <c r="AG474" s="22">
        <f>IF((AB474*0.98)-(D474*0.8)+((AF474-3)*3)+VLOOKUP(AM474,Table!$A$11:$B$13,2,FALSE)&lt;0,0,(AB474*0.98)-(D474*0.8)+((AF474-3)*3)+VLOOKUP(AM474,Table!$A$11:$B$13,2,FALSE))</f>
        <v>75.611979999999988</v>
      </c>
      <c r="AH474" s="22">
        <f t="shared" si="750"/>
        <v>62</v>
      </c>
      <c r="AI474" s="18">
        <f t="shared" si="743"/>
        <v>0.18</v>
      </c>
      <c r="AJ474" s="18">
        <f t="shared" si="744"/>
        <v>0.17</v>
      </c>
      <c r="AK474" t="str">
        <f t="shared" si="729"/>
        <v/>
      </c>
      <c r="AL474">
        <f t="shared" si="740"/>
        <v>16.75</v>
      </c>
      <c r="AM474" s="11" t="str">
        <f t="shared" si="730"/>
        <v>Stocks</v>
      </c>
      <c r="AN474" t="str">
        <f t="shared" si="736"/>
        <v>Buy</v>
      </c>
      <c r="AO474" s="13">
        <f t="shared" si="737"/>
        <v>2.3300000000000001E-2</v>
      </c>
      <c r="AP474" s="13">
        <f t="shared" si="738"/>
        <v>0</v>
      </c>
      <c r="AQ474" s="13">
        <f t="shared" si="739"/>
        <v>1.44E-2</v>
      </c>
      <c r="AR474" s="13">
        <f t="shared" si="731"/>
        <v>2.3300000000000001E-2</v>
      </c>
      <c r="AS474" s="6">
        <f t="shared" si="723"/>
        <v>245.97451200672089</v>
      </c>
      <c r="AT474" s="6">
        <f t="shared" si="724"/>
        <v>185.97425508967711</v>
      </c>
      <c r="AU474" s="6">
        <f t="shared" si="725"/>
        <v>437.17163567345642</v>
      </c>
      <c r="AV474" s="6">
        <f t="shared" si="726"/>
        <v>576.8987914649955</v>
      </c>
      <c r="AW474" s="58">
        <f t="shared" si="732"/>
        <v>2009</v>
      </c>
      <c r="AX474" s="58">
        <f>COUNTIF(AW$3:AW474,AW474)</f>
        <v>22</v>
      </c>
    </row>
    <row r="475" spans="1:50" x14ac:dyDescent="0.25">
      <c r="A475" s="5">
        <v>40020</v>
      </c>
      <c r="B475">
        <v>979.26</v>
      </c>
      <c r="C475">
        <v>0.19</v>
      </c>
      <c r="D475" s="6">
        <v>23.09</v>
      </c>
      <c r="E475" s="18">
        <f t="shared" si="745"/>
        <v>25.48</v>
      </c>
      <c r="F475">
        <f t="shared" si="746"/>
        <v>-2</v>
      </c>
      <c r="G475" s="18">
        <f>ROUND(INDEX(Valuation!U:U,MATCH(A475,Valuation!A:A,0)),2)</f>
        <v>240.29</v>
      </c>
      <c r="H475">
        <f t="shared" si="717"/>
        <v>3</v>
      </c>
      <c r="I475" s="18">
        <f>INDEX(WeeklyIndicators!Y:Y,MATCH(A475,WeeklyIndicators!A:A,0))</f>
        <v>83.7</v>
      </c>
      <c r="J475">
        <f t="shared" si="742"/>
        <v>-2</v>
      </c>
      <c r="K475">
        <f>ROUND(INDEX(Economic!AF:AF,MATCH(EOMONTH($A475,-1),Economic!A:A,0)),2)</f>
        <v>12.26</v>
      </c>
      <c r="L475" s="11">
        <f t="shared" si="751"/>
        <v>-3</v>
      </c>
      <c r="M475">
        <f>ROUND(INDEX(Manufacturing!P:P,MATCH(EOMONTH($A475,-1),Manufacturing!A:A,0)),2)</f>
        <v>22.49</v>
      </c>
      <c r="N475">
        <f t="shared" si="747"/>
        <v>-3</v>
      </c>
      <c r="O475">
        <f>ROUND(INDEX(Housing!AC:AC,MATCH(EOMONTH($A475,-1),Housing!B:B,0)),2)</f>
        <v>0</v>
      </c>
      <c r="P475">
        <f t="shared" si="748"/>
        <v>-3</v>
      </c>
      <c r="Q475">
        <f>ROUND(INDEX(Spending!AJ:AJ,MATCH(EOMONTH($A475,-1),Spending!B:B,0)),2)</f>
        <v>17.579999999999998</v>
      </c>
      <c r="R475">
        <f t="shared" si="752"/>
        <v>-2</v>
      </c>
      <c r="S475">
        <f>ROUND(INDEX(Employment!V:V,MATCH(EOMONTH($A475,-1),Employment!A:A,0)),2)</f>
        <v>13.97</v>
      </c>
      <c r="T475" s="11">
        <f t="shared" si="749"/>
        <v>-3</v>
      </c>
      <c r="U475">
        <f t="shared" si="741"/>
        <v>5</v>
      </c>
      <c r="V475">
        <f t="shared" si="733"/>
        <v>21.91</v>
      </c>
      <c r="W475" s="13">
        <f t="shared" si="734"/>
        <v>4.02E-2</v>
      </c>
      <c r="X475" s="13">
        <f t="shared" si="735"/>
        <v>0.55940000000000001</v>
      </c>
      <c r="Y475">
        <f t="shared" si="727"/>
        <v>34.1</v>
      </c>
      <c r="Z475" s="13">
        <f t="shared" si="722"/>
        <v>2.4199999999999999E-2</v>
      </c>
      <c r="AA475" s="13">
        <f t="shared" si="718"/>
        <v>0.24199999999999999</v>
      </c>
      <c r="AB475" s="6">
        <f t="shared" si="728"/>
        <v>73.168999999999997</v>
      </c>
      <c r="AC475">
        <f t="shared" si="720"/>
        <v>37</v>
      </c>
      <c r="AD475" s="11">
        <f t="shared" si="721"/>
        <v>0</v>
      </c>
      <c r="AE475">
        <f t="shared" si="719"/>
        <v>19</v>
      </c>
      <c r="AF475">
        <f>IF(AND(AE475&lt;15,OR(AC475&gt;=30,AA475&gt;0.15,X475&gt;=0.15)),2,VLOOKUP(AE475,Table!P:Q,2,FALSE))</f>
        <v>2</v>
      </c>
      <c r="AG475" s="22">
        <f>IF((AB475*0.98)-(D475*0.8)+((AF475-3)*3)+VLOOKUP(AM475,Table!$A$11:$B$13,2,FALSE)&lt;0,0,(AB475*0.98)-(D475*0.8)+((AF475-3)*3)+VLOOKUP(AM475,Table!$A$11:$B$13,2,FALSE))</f>
        <v>58.233619999999995</v>
      </c>
      <c r="AH475" s="22">
        <f t="shared" si="750"/>
        <v>52</v>
      </c>
      <c r="AI475" s="18">
        <f t="shared" si="743"/>
        <v>0.18</v>
      </c>
      <c r="AJ475" s="18">
        <f t="shared" si="744"/>
        <v>0.18</v>
      </c>
      <c r="AK475" t="str">
        <f t="shared" si="729"/>
        <v/>
      </c>
      <c r="AL475">
        <f t="shared" si="740"/>
        <v>12.75</v>
      </c>
      <c r="AM475" s="11" t="str">
        <f t="shared" si="730"/>
        <v>Stocks</v>
      </c>
      <c r="AN475" t="str">
        <f t="shared" si="736"/>
        <v>Buy</v>
      </c>
      <c r="AO475" s="13">
        <f t="shared" si="737"/>
        <v>8.3999999999999995E-3</v>
      </c>
      <c r="AP475" s="13">
        <f t="shared" si="738"/>
        <v>0</v>
      </c>
      <c r="AQ475" s="13">
        <f t="shared" si="739"/>
        <v>4.4000000000000003E-3</v>
      </c>
      <c r="AR475" s="13">
        <f t="shared" si="731"/>
        <v>8.3999999999999995E-3</v>
      </c>
      <c r="AS475" s="6">
        <f t="shared" si="723"/>
        <v>243.92553749178987</v>
      </c>
      <c r="AT475" s="6">
        <f t="shared" si="724"/>
        <v>185.97425508967711</v>
      </c>
      <c r="AU475" s="6">
        <f t="shared" si="725"/>
        <v>435.25650704246959</v>
      </c>
      <c r="AV475" s="6">
        <f t="shared" si="726"/>
        <v>572.0932085134823</v>
      </c>
      <c r="AW475" s="58">
        <f t="shared" si="732"/>
        <v>2009</v>
      </c>
      <c r="AX475" s="58">
        <f>COUNTIF(AW$3:AW475,AW475)</f>
        <v>23</v>
      </c>
    </row>
    <row r="476" spans="1:50" x14ac:dyDescent="0.25">
      <c r="A476" s="5">
        <v>40013</v>
      </c>
      <c r="B476">
        <v>940.38</v>
      </c>
      <c r="C476">
        <v>0.18</v>
      </c>
      <c r="D476" s="6">
        <v>24.34</v>
      </c>
      <c r="E476" s="18">
        <f t="shared" si="745"/>
        <v>27.1</v>
      </c>
      <c r="F476">
        <f t="shared" si="746"/>
        <v>-2</v>
      </c>
      <c r="G476" s="18">
        <f>ROUND(INDEX(Valuation!U:U,MATCH(A476,Valuation!A:A,0)),2)</f>
        <v>241.62</v>
      </c>
      <c r="H476">
        <f t="shared" ref="H476:H539" si="753">IF(G476&gt;200,3,IF(AND(G476&gt;160,G476&lt;=200),2,IF(AND(G476&gt;120,G476&lt;=160),1,IF(G476&lt;25,-3,IF(AND(G476&lt;50,G476&gt;=25),-2,IF(AND(G476&lt;90,G476&gt;=50),-1,0))))))</f>
        <v>3</v>
      </c>
      <c r="I476" s="18">
        <f>INDEX(WeeklyIndicators!Y:Y,MATCH(A476,WeeklyIndicators!A:A,0))</f>
        <v>74.37</v>
      </c>
      <c r="J476">
        <f t="shared" si="742"/>
        <v>-2</v>
      </c>
      <c r="K476">
        <f>ROUND(INDEX(Economic!AF:AF,MATCH(EOMONTH($A476,-1),Economic!A:A,0)),2)</f>
        <v>12.26</v>
      </c>
      <c r="L476" s="11">
        <f t="shared" si="751"/>
        <v>-3</v>
      </c>
      <c r="M476">
        <f>ROUND(INDEX(Manufacturing!P:P,MATCH(EOMONTH($A476,-1),Manufacturing!A:A,0)),2)</f>
        <v>22.49</v>
      </c>
      <c r="N476">
        <f t="shared" si="747"/>
        <v>-3</v>
      </c>
      <c r="O476">
        <f>ROUND(INDEX(Housing!AC:AC,MATCH(EOMONTH($A476,-1),Housing!B:B,0)),2)</f>
        <v>0</v>
      </c>
      <c r="P476">
        <f t="shared" si="748"/>
        <v>-3</v>
      </c>
      <c r="Q476">
        <f>ROUND(INDEX(Spending!AJ:AJ,MATCH(EOMONTH($A476,-1),Spending!B:B,0)),2)</f>
        <v>17.579999999999998</v>
      </c>
      <c r="R476">
        <f t="shared" si="752"/>
        <v>-2</v>
      </c>
      <c r="S476">
        <f>ROUND(INDEX(Employment!V:V,MATCH(EOMONTH($A476,-1),Employment!A:A,0)),2)</f>
        <v>13.97</v>
      </c>
      <c r="T476" s="11">
        <f t="shared" si="749"/>
        <v>-3</v>
      </c>
      <c r="U476">
        <f t="shared" si="741"/>
        <v>5</v>
      </c>
      <c r="V476">
        <f t="shared" si="733"/>
        <v>20.94</v>
      </c>
      <c r="W476" s="13">
        <f t="shared" si="734"/>
        <v>0.15229999999999999</v>
      </c>
      <c r="X476" s="13">
        <f t="shared" si="735"/>
        <v>0.52910000000000001</v>
      </c>
      <c r="Y476">
        <f t="shared" si="727"/>
        <v>32.72</v>
      </c>
      <c r="Z476" s="13">
        <f t="shared" si="722"/>
        <v>7.4999999999999997E-2</v>
      </c>
      <c r="AA476" s="13">
        <f t="shared" si="718"/>
        <v>0.20629999999999998</v>
      </c>
      <c r="AB476" s="6">
        <f t="shared" si="728"/>
        <v>69.192000000000007</v>
      </c>
      <c r="AC476">
        <f t="shared" si="720"/>
        <v>35</v>
      </c>
      <c r="AD476" s="11">
        <f t="shared" si="721"/>
        <v>0</v>
      </c>
      <c r="AE476">
        <f t="shared" si="719"/>
        <v>19</v>
      </c>
      <c r="AF476">
        <f>IF(AND(AE476&lt;15,OR(AC476&gt;=30,AA476&gt;0.15,X476&gt;=0.15)),2,VLOOKUP(AE476,Table!P:Q,2,FALSE))</f>
        <v>2</v>
      </c>
      <c r="AG476" s="22">
        <f>IF((AB476*0.98)-(D476*0.8)+((AF476-3)*3)+VLOOKUP(AM476,Table!$A$11:$B$13,2,FALSE)&lt;0,0,(AB476*0.98)-(D476*0.8)+((AF476-3)*3)+VLOOKUP(AM476,Table!$A$11:$B$13,2,FALSE))</f>
        <v>53.33616</v>
      </c>
      <c r="AH476" s="22">
        <f t="shared" si="750"/>
        <v>46</v>
      </c>
      <c r="AI476" s="18">
        <f t="shared" si="743"/>
        <v>0.17</v>
      </c>
      <c r="AJ476" s="18">
        <f t="shared" si="744"/>
        <v>0.2</v>
      </c>
      <c r="AK476" t="str">
        <f t="shared" si="729"/>
        <v/>
      </c>
      <c r="AL476">
        <f t="shared" si="740"/>
        <v>9.25</v>
      </c>
      <c r="AM476" s="11" t="str">
        <f t="shared" si="730"/>
        <v>Stocks</v>
      </c>
      <c r="AN476" t="str">
        <f t="shared" si="736"/>
        <v>Buy</v>
      </c>
      <c r="AO476" s="13">
        <f t="shared" si="737"/>
        <v>4.1300000000000003E-2</v>
      </c>
      <c r="AP476" s="13">
        <f t="shared" si="738"/>
        <v>0</v>
      </c>
      <c r="AQ476" s="13">
        <f t="shared" si="739"/>
        <v>1.9E-2</v>
      </c>
      <c r="AR476" s="13">
        <f t="shared" si="731"/>
        <v>4.1300000000000003E-2</v>
      </c>
      <c r="AS476" s="6">
        <f t="shared" si="723"/>
        <v>234.25097233437995</v>
      </c>
      <c r="AT476" s="6">
        <f t="shared" si="724"/>
        <v>185.97425508967711</v>
      </c>
      <c r="AU476" s="6">
        <f t="shared" si="725"/>
        <v>427.1408312487435</v>
      </c>
      <c r="AV476" s="6">
        <f t="shared" si="726"/>
        <v>549.40286998317697</v>
      </c>
      <c r="AW476" s="58">
        <f t="shared" si="732"/>
        <v>2009</v>
      </c>
      <c r="AX476" s="58">
        <f>COUNTIF(AW$3:AW476,AW476)</f>
        <v>24</v>
      </c>
    </row>
    <row r="477" spans="1:50" x14ac:dyDescent="0.25">
      <c r="A477" s="5">
        <v>40006</v>
      </c>
      <c r="B477">
        <v>879.13</v>
      </c>
      <c r="C477">
        <v>0.19</v>
      </c>
      <c r="D477" s="6">
        <v>29.02</v>
      </c>
      <c r="E477" s="18">
        <f t="shared" si="745"/>
        <v>27.63</v>
      </c>
      <c r="F477">
        <f t="shared" si="746"/>
        <v>-2</v>
      </c>
      <c r="G477" s="18">
        <f>ROUND(INDEX(Valuation!U:U,MATCH(A477,Valuation!A:A,0)),2)</f>
        <v>243.83</v>
      </c>
      <c r="H477">
        <f t="shared" si="753"/>
        <v>3</v>
      </c>
      <c r="I477" s="18">
        <f>INDEX(WeeklyIndicators!Y:Y,MATCH(A477,WeeklyIndicators!A:A,0))</f>
        <v>67.989999999999995</v>
      </c>
      <c r="J477">
        <f t="shared" si="742"/>
        <v>-2</v>
      </c>
      <c r="K477">
        <f>ROUND(INDEX(Economic!AF:AF,MATCH(EOMONTH($A477,-1),Economic!A:A,0)),2)</f>
        <v>12.26</v>
      </c>
      <c r="L477" s="11">
        <f t="shared" si="751"/>
        <v>-3</v>
      </c>
      <c r="M477">
        <f>ROUND(INDEX(Manufacturing!P:P,MATCH(EOMONTH($A477,-1),Manufacturing!A:A,0)),2)</f>
        <v>22.49</v>
      </c>
      <c r="N477">
        <f t="shared" si="747"/>
        <v>-3</v>
      </c>
      <c r="O477">
        <f>ROUND(INDEX(Housing!AC:AC,MATCH(EOMONTH($A477,-1),Housing!B:B,0)),2)</f>
        <v>0</v>
      </c>
      <c r="P477">
        <f t="shared" si="748"/>
        <v>-3</v>
      </c>
      <c r="Q477">
        <f>ROUND(INDEX(Spending!AJ:AJ,MATCH(EOMONTH($A477,-1),Spending!B:B,0)),2)</f>
        <v>17.579999999999998</v>
      </c>
      <c r="R477">
        <f t="shared" si="752"/>
        <v>-2</v>
      </c>
      <c r="S477">
        <f>ROUND(INDEX(Employment!V:V,MATCH(EOMONTH($A477,-1),Employment!A:A,0)),2)</f>
        <v>13.97</v>
      </c>
      <c r="T477" s="11">
        <f t="shared" si="749"/>
        <v>-3</v>
      </c>
      <c r="U477">
        <f t="shared" si="741"/>
        <v>5</v>
      </c>
      <c r="V477">
        <f t="shared" si="733"/>
        <v>20.28</v>
      </c>
      <c r="W477" s="13">
        <f t="shared" si="734"/>
        <v>0.17649999999999999</v>
      </c>
      <c r="X477" s="13">
        <f t="shared" si="735"/>
        <v>0.4264</v>
      </c>
      <c r="Y477">
        <f t="shared" si="727"/>
        <v>32.119999999999997</v>
      </c>
      <c r="Z477" s="13">
        <f t="shared" si="722"/>
        <v>7.5999999999999998E-2</v>
      </c>
      <c r="AA477" s="13">
        <f t="shared" si="718"/>
        <v>0.13519999999999996</v>
      </c>
      <c r="AB477" s="6">
        <f t="shared" si="728"/>
        <v>63.003</v>
      </c>
      <c r="AC477">
        <f t="shared" si="720"/>
        <v>32</v>
      </c>
      <c r="AD477" s="11">
        <f t="shared" si="721"/>
        <v>0</v>
      </c>
      <c r="AE477">
        <f t="shared" si="719"/>
        <v>7</v>
      </c>
      <c r="AF477">
        <f>IF(AND(AE477&lt;15,OR(AC477&gt;=30,AA477&gt;0.15,X477&gt;=0.15)),2,VLOOKUP(AE477,Table!P:Q,2,FALSE))</f>
        <v>2</v>
      </c>
      <c r="AG477" s="22">
        <f>IF((AB477*0.98)-(D477*0.8)+((AF477-3)*3)+VLOOKUP(AM477,Table!$A$11:$B$13,2,FALSE)&lt;0,0,(AB477*0.98)-(D477*0.8)+((AF477-3)*3)+VLOOKUP(AM477,Table!$A$11:$B$13,2,FALSE))</f>
        <v>43.526939999999996</v>
      </c>
      <c r="AH477" s="22">
        <f t="shared" si="750"/>
        <v>39</v>
      </c>
      <c r="AI477" s="18">
        <f t="shared" si="743"/>
        <v>0.17</v>
      </c>
      <c r="AJ477" s="18">
        <f t="shared" si="744"/>
        <v>0.21</v>
      </c>
      <c r="AK477" t="str">
        <f t="shared" si="729"/>
        <v/>
      </c>
      <c r="AL477">
        <f t="shared" si="740"/>
        <v>5.75</v>
      </c>
      <c r="AM477" s="11" t="str">
        <f t="shared" si="730"/>
        <v>Stocks</v>
      </c>
      <c r="AN477" t="str">
        <f t="shared" si="736"/>
        <v>Buy</v>
      </c>
      <c r="AO477" s="13">
        <f t="shared" si="737"/>
        <v>6.9699999999999998E-2</v>
      </c>
      <c r="AP477" s="13">
        <f t="shared" si="738"/>
        <v>0</v>
      </c>
      <c r="AQ477" s="13">
        <f t="shared" si="739"/>
        <v>2.7199999999999998E-2</v>
      </c>
      <c r="AR477" s="13">
        <f t="shared" si="731"/>
        <v>6.9699999999999998E-2</v>
      </c>
      <c r="AS477" s="6">
        <f t="shared" si="723"/>
        <v>218.98754074448905</v>
      </c>
      <c r="AT477" s="6">
        <f t="shared" si="724"/>
        <v>185.97425508967711</v>
      </c>
      <c r="AU477" s="6">
        <f t="shared" si="725"/>
        <v>415.83024848982041</v>
      </c>
      <c r="AV477" s="6">
        <f t="shared" si="726"/>
        <v>513.60462744991764</v>
      </c>
      <c r="AW477" s="58">
        <f t="shared" si="732"/>
        <v>2009</v>
      </c>
      <c r="AX477" s="58">
        <f>COUNTIF(AW$3:AW477,AW477)</f>
        <v>25</v>
      </c>
    </row>
    <row r="478" spans="1:50" x14ac:dyDescent="0.25">
      <c r="A478" s="5">
        <v>39999</v>
      </c>
      <c r="B478">
        <v>896.42</v>
      </c>
      <c r="C478">
        <v>0.18</v>
      </c>
      <c r="D478" s="6">
        <v>27.95</v>
      </c>
      <c r="E478" s="18">
        <f t="shared" si="745"/>
        <v>27.29</v>
      </c>
      <c r="F478">
        <f t="shared" si="746"/>
        <v>-2</v>
      </c>
      <c r="G478" s="18">
        <f>ROUND(INDEX(Valuation!U:U,MATCH(A478,Valuation!A:A,0)),2)</f>
        <v>246.78</v>
      </c>
      <c r="H478">
        <f t="shared" si="753"/>
        <v>3</v>
      </c>
      <c r="I478" s="18">
        <f>INDEX(WeeklyIndicators!Y:Y,MATCH(A478,WeeklyIndicators!A:A,0))</f>
        <v>60.21</v>
      </c>
      <c r="J478">
        <f t="shared" si="742"/>
        <v>-2</v>
      </c>
      <c r="K478">
        <f>ROUND(INDEX(Economic!AF:AF,MATCH(EOMONTH($A478,-1),Economic!A:A,0)),2)</f>
        <v>12.26</v>
      </c>
      <c r="L478" s="11">
        <f t="shared" si="751"/>
        <v>-3</v>
      </c>
      <c r="M478">
        <f>ROUND(INDEX(Manufacturing!P:P,MATCH(EOMONTH($A478,-1),Manufacturing!A:A,0)),2)</f>
        <v>22.49</v>
      </c>
      <c r="N478">
        <f t="shared" si="747"/>
        <v>-3</v>
      </c>
      <c r="O478">
        <f>ROUND(INDEX(Housing!AC:AC,MATCH(EOMONTH($A478,-1),Housing!B:B,0)),2)</f>
        <v>0</v>
      </c>
      <c r="P478">
        <f t="shared" si="748"/>
        <v>-3</v>
      </c>
      <c r="Q478">
        <f>ROUND(INDEX(Spending!AJ:AJ,MATCH(EOMONTH($A478,-1),Spending!B:B,0)),2)</f>
        <v>17.579999999999998</v>
      </c>
      <c r="R478">
        <f t="shared" si="752"/>
        <v>-2</v>
      </c>
      <c r="S478">
        <f>ROUND(INDEX(Employment!V:V,MATCH(EOMONTH($A478,-1),Employment!A:A,0)),2)</f>
        <v>13.97</v>
      </c>
      <c r="T478" s="11">
        <f t="shared" si="749"/>
        <v>-3</v>
      </c>
      <c r="U478">
        <f t="shared" si="741"/>
        <v>5</v>
      </c>
      <c r="V478">
        <f t="shared" si="733"/>
        <v>19.47</v>
      </c>
      <c r="W478" s="13">
        <f t="shared" si="734"/>
        <v>0.19040000000000001</v>
      </c>
      <c r="X478" s="13">
        <f t="shared" si="735"/>
        <v>0.32830000000000004</v>
      </c>
      <c r="Y478">
        <f t="shared" si="727"/>
        <v>31.76</v>
      </c>
      <c r="Z478" s="13">
        <f t="shared" si="722"/>
        <v>6.6799999999999998E-2</v>
      </c>
      <c r="AA478" s="13">
        <f t="shared" si="718"/>
        <v>7.9100000000000004E-2</v>
      </c>
      <c r="AB478" s="6">
        <f t="shared" si="728"/>
        <v>58.168000000000006</v>
      </c>
      <c r="AC478">
        <f t="shared" si="720"/>
        <v>29</v>
      </c>
      <c r="AD478" s="11">
        <f t="shared" si="721"/>
        <v>-1</v>
      </c>
      <c r="AE478">
        <f t="shared" si="719"/>
        <v>6</v>
      </c>
      <c r="AF478">
        <f>IF(AND(AE478&lt;15,OR(AC478&gt;=30,AA478&gt;0.15,X478&gt;=0.15)),2,VLOOKUP(AE478,Table!P:Q,2,FALSE))</f>
        <v>2</v>
      </c>
      <c r="AG478" s="22">
        <f>IF((AB478*0.98)-(D478*0.8)+((AF478-3)*3)+VLOOKUP(AM478,Table!$A$11:$B$13,2,FALSE)&lt;0,0,(AB478*0.98)-(D478*0.8)+((AF478-3)*3)+VLOOKUP(AM478,Table!$A$11:$B$13,2,FALSE))</f>
        <v>39.644640000000003</v>
      </c>
      <c r="AH478" s="22">
        <f t="shared" si="750"/>
        <v>37</v>
      </c>
      <c r="AI478" s="18">
        <f t="shared" si="743"/>
        <v>0.17</v>
      </c>
      <c r="AJ478" s="18">
        <f t="shared" si="744"/>
        <v>0.22</v>
      </c>
      <c r="AK478" t="str">
        <f t="shared" si="729"/>
        <v/>
      </c>
      <c r="AL478">
        <f t="shared" si="740"/>
        <v>5.25</v>
      </c>
      <c r="AM478" s="11" t="str">
        <f t="shared" si="730"/>
        <v>Stocks</v>
      </c>
      <c r="AN478" t="str">
        <f t="shared" si="736"/>
        <v>Buy</v>
      </c>
      <c r="AO478" s="13">
        <f t="shared" si="737"/>
        <v>-1.9300000000000001E-2</v>
      </c>
      <c r="AP478" s="13">
        <f t="shared" si="738"/>
        <v>0</v>
      </c>
      <c r="AQ478" s="13">
        <f t="shared" si="739"/>
        <v>-7.1000000000000004E-3</v>
      </c>
      <c r="AR478" s="13">
        <f t="shared" si="731"/>
        <v>-1.9300000000000001E-2</v>
      </c>
      <c r="AS478" s="6">
        <f t="shared" si="723"/>
        <v>223.29717624603757</v>
      </c>
      <c r="AT478" s="6">
        <f t="shared" si="724"/>
        <v>185.97425508967711</v>
      </c>
      <c r="AU478" s="6">
        <f t="shared" si="725"/>
        <v>418.80375515139531</v>
      </c>
      <c r="AV478" s="6">
        <f t="shared" si="726"/>
        <v>523.71227434477169</v>
      </c>
      <c r="AW478" s="58">
        <f t="shared" si="732"/>
        <v>2009</v>
      </c>
      <c r="AX478" s="58">
        <f>COUNTIF(AW$3:AW478,AW478)</f>
        <v>26</v>
      </c>
    </row>
    <row r="479" spans="1:50" x14ac:dyDescent="0.25">
      <c r="A479" s="5">
        <v>39992</v>
      </c>
      <c r="B479">
        <v>918.9</v>
      </c>
      <c r="C479">
        <v>0.19</v>
      </c>
      <c r="D479" s="6">
        <v>25.93</v>
      </c>
      <c r="E479" s="18">
        <f t="shared" si="745"/>
        <v>27.36</v>
      </c>
      <c r="F479">
        <f t="shared" si="746"/>
        <v>-2</v>
      </c>
      <c r="G479" s="18">
        <f>ROUND(INDEX(Valuation!U:U,MATCH(A479,Valuation!A:A,0)),2)</f>
        <v>253.87</v>
      </c>
      <c r="H479">
        <f t="shared" si="753"/>
        <v>3</v>
      </c>
      <c r="I479" s="18">
        <f>INDEX(WeeklyIndicators!Y:Y,MATCH(A479,WeeklyIndicators!A:A,0))</f>
        <v>50.83</v>
      </c>
      <c r="J479">
        <f t="shared" si="742"/>
        <v>-3</v>
      </c>
      <c r="K479">
        <f>ROUND(INDEX(Economic!AF:AF,MATCH(EOMONTH($A479,-1),Economic!A:A,0)),2)</f>
        <v>0</v>
      </c>
      <c r="L479" s="11">
        <f t="shared" si="751"/>
        <v>-3</v>
      </c>
      <c r="M479">
        <f>ROUND(INDEX(Manufacturing!P:P,MATCH(EOMONTH($A479,-1),Manufacturing!A:A,0)),2)</f>
        <v>7.11</v>
      </c>
      <c r="N479">
        <f t="shared" si="747"/>
        <v>-3</v>
      </c>
      <c r="O479">
        <f>ROUND(INDEX(Housing!AC:AC,MATCH(EOMONTH($A479,-1),Housing!B:B,0)),2)</f>
        <v>0</v>
      </c>
      <c r="P479">
        <f t="shared" si="748"/>
        <v>-3</v>
      </c>
      <c r="Q479">
        <f>ROUND(INDEX(Spending!AJ:AJ,MATCH(EOMONTH($A479,-1),Spending!B:B,0)),2)</f>
        <v>8.2200000000000006</v>
      </c>
      <c r="R479">
        <f t="shared" si="752"/>
        <v>-2</v>
      </c>
      <c r="S479">
        <f>ROUND(INDEX(Employment!V:V,MATCH(EOMONTH($A479,-1),Employment!A:A,0)),2)</f>
        <v>3.44</v>
      </c>
      <c r="T479" s="11">
        <f t="shared" si="749"/>
        <v>-3</v>
      </c>
      <c r="U479">
        <f t="shared" si="741"/>
        <v>4</v>
      </c>
      <c r="V479">
        <f t="shared" si="733"/>
        <v>12.92</v>
      </c>
      <c r="W479" s="13">
        <f t="shared" si="734"/>
        <v>9.9000000000000008E-3</v>
      </c>
      <c r="X479" s="13">
        <f t="shared" si="735"/>
        <v>0.2712</v>
      </c>
      <c r="Y479">
        <f t="shared" si="727"/>
        <v>25.98</v>
      </c>
      <c r="Z479" s="13">
        <f t="shared" si="722"/>
        <v>-1.15E-2</v>
      </c>
      <c r="AA479" s="13">
        <f t="shared" si="718"/>
        <v>4.9700000000000008E-2</v>
      </c>
      <c r="AB479" s="6">
        <f t="shared" si="728"/>
        <v>50.337000000000003</v>
      </c>
      <c r="AC479">
        <f t="shared" si="720"/>
        <v>25</v>
      </c>
      <c r="AD479" s="11">
        <f t="shared" si="721"/>
        <v>-1</v>
      </c>
      <c r="AE479">
        <f t="shared" si="719"/>
        <v>5</v>
      </c>
      <c r="AF479">
        <f>IF(AND(AE479&lt;15,OR(AC479&gt;=30,AA479&gt;0.15,X479&gt;=0.15)),2,VLOOKUP(AE479,Table!P:Q,2,FALSE))</f>
        <v>2</v>
      </c>
      <c r="AG479" s="22">
        <f>IF((AB479*0.98)-(D479*0.8)+((AF479-3)*3)+VLOOKUP(AM479,Table!$A$11:$B$13,2,FALSE)&lt;0,0,(AB479*0.98)-(D479*0.8)+((AF479-3)*3)+VLOOKUP(AM479,Table!$A$11:$B$13,2,FALSE))</f>
        <v>33.586260000000003</v>
      </c>
      <c r="AH479" s="22">
        <f t="shared" si="750"/>
        <v>37</v>
      </c>
      <c r="AI479" s="18">
        <f t="shared" si="743"/>
        <v>0.17</v>
      </c>
      <c r="AJ479" s="18">
        <f t="shared" si="744"/>
        <v>0.23</v>
      </c>
      <c r="AK479" t="str">
        <f t="shared" si="729"/>
        <v/>
      </c>
      <c r="AL479">
        <f t="shared" si="740"/>
        <v>5.25</v>
      </c>
      <c r="AM479" s="11" t="str">
        <f t="shared" si="730"/>
        <v>Stocks</v>
      </c>
      <c r="AN479" t="str">
        <f t="shared" si="736"/>
        <v>Buy</v>
      </c>
      <c r="AO479" s="13">
        <f t="shared" si="737"/>
        <v>-2.4500000000000001E-2</v>
      </c>
      <c r="AP479" s="13">
        <f t="shared" si="738"/>
        <v>0</v>
      </c>
      <c r="AQ479" s="13">
        <f t="shared" si="739"/>
        <v>-9.1000000000000004E-3</v>
      </c>
      <c r="AR479" s="13">
        <f t="shared" si="731"/>
        <v>-2.4500000000000001E-2</v>
      </c>
      <c r="AS479" s="6">
        <f t="shared" si="723"/>
        <v>228.90535750490781</v>
      </c>
      <c r="AT479" s="6">
        <f t="shared" si="724"/>
        <v>185.97425508967711</v>
      </c>
      <c r="AU479" s="6">
        <f t="shared" si="725"/>
        <v>422.6498689589215</v>
      </c>
      <c r="AV479" s="6">
        <f t="shared" si="726"/>
        <v>536.86547856973004</v>
      </c>
      <c r="AW479" s="58">
        <f t="shared" si="732"/>
        <v>2009</v>
      </c>
      <c r="AX479" s="58">
        <f>COUNTIF(AW$3:AW479,AW479)</f>
        <v>27</v>
      </c>
    </row>
    <row r="480" spans="1:50" x14ac:dyDescent="0.25">
      <c r="A480" s="5">
        <v>39985</v>
      </c>
      <c r="B480">
        <v>921.23</v>
      </c>
      <c r="C480">
        <v>0.17</v>
      </c>
      <c r="D480" s="6">
        <v>27.99</v>
      </c>
      <c r="E480" s="18">
        <f t="shared" si="745"/>
        <v>28.59</v>
      </c>
      <c r="F480">
        <f t="shared" si="746"/>
        <v>-2</v>
      </c>
      <c r="G480" s="18">
        <f>ROUND(INDEX(Valuation!U:U,MATCH(A480,Valuation!A:A,0)),2)</f>
        <v>260.82</v>
      </c>
      <c r="H480">
        <f t="shared" si="753"/>
        <v>3</v>
      </c>
      <c r="I480" s="18">
        <f>INDEX(WeeklyIndicators!Y:Y,MATCH(A480,WeeklyIndicators!A:A,0))</f>
        <v>45.54</v>
      </c>
      <c r="J480">
        <f t="shared" si="742"/>
        <v>-3</v>
      </c>
      <c r="K480">
        <f>ROUND(INDEX(Economic!AF:AF,MATCH(EOMONTH($A480,-1),Economic!A:A,0)),2)</f>
        <v>0</v>
      </c>
      <c r="L480" s="11">
        <f t="shared" si="751"/>
        <v>-3</v>
      </c>
      <c r="M480">
        <f>ROUND(INDEX(Manufacturing!P:P,MATCH(EOMONTH($A480,-1),Manufacturing!A:A,0)),2)</f>
        <v>7.11</v>
      </c>
      <c r="N480">
        <f t="shared" si="747"/>
        <v>-3</v>
      </c>
      <c r="O480">
        <f>ROUND(INDEX(Housing!AC:AC,MATCH(EOMONTH($A480,-1),Housing!B:B,0)),2)</f>
        <v>0</v>
      </c>
      <c r="P480">
        <f t="shared" si="748"/>
        <v>-3</v>
      </c>
      <c r="Q480">
        <f>ROUND(INDEX(Spending!AJ:AJ,MATCH(EOMONTH($A480,-1),Spending!B:B,0)),2)</f>
        <v>8.2200000000000006</v>
      </c>
      <c r="R480">
        <f t="shared" si="752"/>
        <v>-2</v>
      </c>
      <c r="S480">
        <f>ROUND(INDEX(Employment!V:V,MATCH(EOMONTH($A480,-1),Employment!A:A,0)),2)</f>
        <v>3.44</v>
      </c>
      <c r="T480" s="11">
        <f t="shared" si="749"/>
        <v>-3</v>
      </c>
      <c r="U480">
        <f t="shared" si="741"/>
        <v>4</v>
      </c>
      <c r="V480">
        <f t="shared" si="733"/>
        <v>12.38</v>
      </c>
      <c r="W480" s="13">
        <f t="shared" si="734"/>
        <v>4.9599999999999998E-2</v>
      </c>
      <c r="X480" s="13">
        <f t="shared" si="735"/>
        <v>0.36339999999999995</v>
      </c>
      <c r="Y480">
        <f t="shared" si="727"/>
        <v>25.77</v>
      </c>
      <c r="Z480" s="13">
        <f t="shared" si="722"/>
        <v>3.8999999999999998E-3</v>
      </c>
      <c r="AA480" s="13">
        <f t="shared" si="718"/>
        <v>0.1018</v>
      </c>
      <c r="AB480" s="6">
        <f t="shared" si="728"/>
        <v>55.222000000000001</v>
      </c>
      <c r="AC480">
        <f t="shared" si="720"/>
        <v>28</v>
      </c>
      <c r="AD480" s="11">
        <f t="shared" si="721"/>
        <v>-1</v>
      </c>
      <c r="AE480">
        <f t="shared" si="719"/>
        <v>5</v>
      </c>
      <c r="AF480">
        <f>IF(AND(AE480&lt;15,OR(AC480&gt;=30,AA480&gt;0.15,X480&gt;=0.15)),2,VLOOKUP(AE480,Table!P:Q,2,FALSE))</f>
        <v>2</v>
      </c>
      <c r="AG480" s="22">
        <f>IF((AB480*0.98)-(D480*0.8)+((AF480-3)*3)+VLOOKUP(AM480,Table!$A$11:$B$13,2,FALSE)&lt;0,0,(AB480*0.98)-(D480*0.8)+((AF480-3)*3)+VLOOKUP(AM480,Table!$A$11:$B$13,2,FALSE))</f>
        <v>36.725560000000002</v>
      </c>
      <c r="AH480" s="22">
        <f t="shared" si="750"/>
        <v>41</v>
      </c>
      <c r="AI480" s="18">
        <f t="shared" si="743"/>
        <v>0.17</v>
      </c>
      <c r="AJ480" s="18">
        <f t="shared" si="744"/>
        <v>0.25</v>
      </c>
      <c r="AK480" t="str">
        <f t="shared" si="729"/>
        <v/>
      </c>
      <c r="AL480">
        <f t="shared" si="740"/>
        <v>8.5</v>
      </c>
      <c r="AM480" s="11" t="str">
        <f t="shared" si="730"/>
        <v>Stocks</v>
      </c>
      <c r="AN480" t="str">
        <f t="shared" si="736"/>
        <v>Buy</v>
      </c>
      <c r="AO480" s="13">
        <f t="shared" si="737"/>
        <v>-2.5000000000000001E-3</v>
      </c>
      <c r="AP480" s="13">
        <f t="shared" si="738"/>
        <v>0</v>
      </c>
      <c r="AQ480" s="13">
        <f t="shared" si="739"/>
        <v>-1E-3</v>
      </c>
      <c r="AR480" s="13">
        <f t="shared" si="731"/>
        <v>-2.5000000000000001E-3</v>
      </c>
      <c r="AS480" s="6">
        <f t="shared" si="723"/>
        <v>229.47905514276471</v>
      </c>
      <c r="AT480" s="6">
        <f t="shared" si="724"/>
        <v>185.97425508967711</v>
      </c>
      <c r="AU480" s="6">
        <f t="shared" si="725"/>
        <v>423.07294190082234</v>
      </c>
      <c r="AV480" s="6">
        <f t="shared" si="726"/>
        <v>538.21100608494237</v>
      </c>
      <c r="AW480" s="58">
        <f t="shared" si="732"/>
        <v>2009</v>
      </c>
      <c r="AX480" s="58">
        <f>COUNTIF(AW$3:AW480,AW480)</f>
        <v>28</v>
      </c>
    </row>
    <row r="481" spans="1:50" x14ac:dyDescent="0.25">
      <c r="A481" s="5">
        <v>39978</v>
      </c>
      <c r="B481">
        <v>946.21</v>
      </c>
      <c r="C481">
        <v>0.19</v>
      </c>
      <c r="D481" s="6">
        <v>28.15</v>
      </c>
      <c r="E481" s="18">
        <f t="shared" si="745"/>
        <v>28.9</v>
      </c>
      <c r="F481">
        <f t="shared" si="746"/>
        <v>-2</v>
      </c>
      <c r="G481" s="18">
        <f>ROUND(INDEX(Valuation!U:U,MATCH(A481,Valuation!A:A,0)),2)</f>
        <v>269.17</v>
      </c>
      <c r="H481">
        <f t="shared" si="753"/>
        <v>3</v>
      </c>
      <c r="I481" s="18">
        <f>INDEX(WeeklyIndicators!Y:Y,MATCH(A481,WeeklyIndicators!A:A,0))</f>
        <v>44.92</v>
      </c>
      <c r="J481">
        <f t="shared" si="742"/>
        <v>-3</v>
      </c>
      <c r="K481">
        <f>ROUND(INDEX(Economic!AF:AF,MATCH(EOMONTH($A481,-1),Economic!A:A,0)),2)</f>
        <v>0</v>
      </c>
      <c r="L481" s="11">
        <f t="shared" si="751"/>
        <v>-3</v>
      </c>
      <c r="M481">
        <f>ROUND(INDEX(Manufacturing!P:P,MATCH(EOMONTH($A481,-1),Manufacturing!A:A,0)),2)</f>
        <v>7.11</v>
      </c>
      <c r="N481">
        <f t="shared" si="747"/>
        <v>-3</v>
      </c>
      <c r="O481">
        <f>ROUND(INDEX(Housing!AC:AC,MATCH(EOMONTH($A481,-1),Housing!B:B,0)),2)</f>
        <v>0</v>
      </c>
      <c r="P481">
        <f t="shared" si="748"/>
        <v>-3</v>
      </c>
      <c r="Q481">
        <f>ROUND(INDEX(Spending!AJ:AJ,MATCH(EOMONTH($A481,-1),Spending!B:B,0)),2)</f>
        <v>8.2200000000000006</v>
      </c>
      <c r="R481">
        <f t="shared" si="752"/>
        <v>-2</v>
      </c>
      <c r="S481">
        <f>ROUND(INDEX(Employment!V:V,MATCH(EOMONTH($A481,-1),Employment!A:A,0)),2)</f>
        <v>3.44</v>
      </c>
      <c r="T481" s="11">
        <f t="shared" si="749"/>
        <v>-3</v>
      </c>
      <c r="U481">
        <f t="shared" si="741"/>
        <v>4</v>
      </c>
      <c r="V481">
        <f t="shared" si="733"/>
        <v>12.31</v>
      </c>
      <c r="W481" s="13">
        <f t="shared" si="734"/>
        <v>7.8399999999999997E-2</v>
      </c>
      <c r="X481" s="13">
        <f t="shared" si="735"/>
        <v>0.39859999999999995</v>
      </c>
      <c r="Y481">
        <f t="shared" si="727"/>
        <v>26.53</v>
      </c>
      <c r="Z481" s="13">
        <f t="shared" si="722"/>
        <v>1.9900000000000001E-2</v>
      </c>
      <c r="AA481" s="13">
        <f t="shared" si="718"/>
        <v>0.14879999999999999</v>
      </c>
      <c r="AB481" s="6">
        <f t="shared" si="728"/>
        <v>60.317</v>
      </c>
      <c r="AC481">
        <f t="shared" si="720"/>
        <v>30</v>
      </c>
      <c r="AD481" s="11">
        <f t="shared" si="721"/>
        <v>-1</v>
      </c>
      <c r="AE481">
        <f t="shared" si="719"/>
        <v>5</v>
      </c>
      <c r="AF481">
        <f>IF(AND(AE481&lt;15,OR(AC481&gt;=30,AA481&gt;0.15,X481&gt;=0.15)),2,VLOOKUP(AE481,Table!P:Q,2,FALSE))</f>
        <v>2</v>
      </c>
      <c r="AG481" s="22">
        <f>IF((AB481*0.98)-(D481*0.8)+((AF481-3)*3)+VLOOKUP(AM481,Table!$A$11:$B$13,2,FALSE)&lt;0,0,(AB481*0.98)-(D481*0.8)+((AF481-3)*3)+VLOOKUP(AM481,Table!$A$11:$B$13,2,FALSE))</f>
        <v>41.59066</v>
      </c>
      <c r="AH481" s="22">
        <f t="shared" si="750"/>
        <v>43</v>
      </c>
      <c r="AI481" s="18">
        <f t="shared" si="743"/>
        <v>0.17</v>
      </c>
      <c r="AJ481" s="18">
        <f t="shared" si="744"/>
        <v>0.26</v>
      </c>
      <c r="AK481" t="str">
        <f t="shared" si="729"/>
        <v/>
      </c>
      <c r="AL481">
        <f t="shared" si="740"/>
        <v>11.75</v>
      </c>
      <c r="AM481" s="11" t="str">
        <f t="shared" si="730"/>
        <v>Stocks</v>
      </c>
      <c r="AN481" t="str">
        <f t="shared" si="736"/>
        <v>Buy</v>
      </c>
      <c r="AO481" s="13">
        <f t="shared" si="737"/>
        <v>-2.64E-2</v>
      </c>
      <c r="AP481" s="13">
        <f t="shared" si="738"/>
        <v>0</v>
      </c>
      <c r="AQ481" s="13">
        <f t="shared" si="739"/>
        <v>-1.14E-2</v>
      </c>
      <c r="AR481" s="13">
        <f t="shared" si="731"/>
        <v>-2.64E-2</v>
      </c>
      <c r="AS481" s="6">
        <f t="shared" si="723"/>
        <v>235.70157676947895</v>
      </c>
      <c r="AT481" s="6">
        <f t="shared" si="724"/>
        <v>185.97425508967711</v>
      </c>
      <c r="AU481" s="6">
        <f t="shared" si="725"/>
        <v>427.9515900271316</v>
      </c>
      <c r="AV481" s="6">
        <f t="shared" si="726"/>
        <v>552.80505965996542</v>
      </c>
      <c r="AW481" s="58">
        <f t="shared" si="732"/>
        <v>2009</v>
      </c>
      <c r="AX481" s="58">
        <f>COUNTIF(AW$3:AW481,AW481)</f>
        <v>29</v>
      </c>
    </row>
    <row r="482" spans="1:50" x14ac:dyDescent="0.25">
      <c r="A482" s="5">
        <v>39971</v>
      </c>
      <c r="B482">
        <v>940.09</v>
      </c>
      <c r="C482">
        <v>0.15</v>
      </c>
      <c r="D482" s="6">
        <v>29.62</v>
      </c>
      <c r="E482" s="18">
        <f t="shared" si="745"/>
        <v>30.39</v>
      </c>
      <c r="F482">
        <f t="shared" si="746"/>
        <v>-2</v>
      </c>
      <c r="G482" s="18">
        <f>ROUND(INDEX(Valuation!U:U,MATCH(A482,Valuation!A:A,0)),2)</f>
        <v>274.94</v>
      </c>
      <c r="H482">
        <f t="shared" si="753"/>
        <v>3</v>
      </c>
      <c r="I482" s="18">
        <f>INDEX(WeeklyIndicators!Y:Y,MATCH(A482,WeeklyIndicators!A:A,0))</f>
        <v>47.21</v>
      </c>
      <c r="J482">
        <f t="shared" si="742"/>
        <v>-3</v>
      </c>
      <c r="K482">
        <f>ROUND(INDEX(Economic!AF:AF,MATCH(EOMONTH($A482,-1),Economic!A:A,0)),2)</f>
        <v>0</v>
      </c>
      <c r="L482" s="11">
        <f t="shared" si="751"/>
        <v>-3</v>
      </c>
      <c r="M482">
        <f>ROUND(INDEX(Manufacturing!P:P,MATCH(EOMONTH($A482,-1),Manufacturing!A:A,0)),2)</f>
        <v>7.11</v>
      </c>
      <c r="N482">
        <f t="shared" si="747"/>
        <v>-3</v>
      </c>
      <c r="O482">
        <f>ROUND(INDEX(Housing!AC:AC,MATCH(EOMONTH($A482,-1),Housing!B:B,0)),2)</f>
        <v>0</v>
      </c>
      <c r="P482">
        <f t="shared" si="748"/>
        <v>-3</v>
      </c>
      <c r="Q482">
        <f>ROUND(INDEX(Spending!AJ:AJ,MATCH(EOMONTH($A482,-1),Spending!B:B,0)),2)</f>
        <v>8.2200000000000006</v>
      </c>
      <c r="R482">
        <f t="shared" si="752"/>
        <v>-2</v>
      </c>
      <c r="S482">
        <f>ROUND(INDEX(Employment!V:V,MATCH(EOMONTH($A482,-1),Employment!A:A,0)),2)</f>
        <v>3.44</v>
      </c>
      <c r="T482" s="11">
        <f t="shared" si="749"/>
        <v>-3</v>
      </c>
      <c r="U482">
        <f t="shared" si="741"/>
        <v>4</v>
      </c>
      <c r="V482">
        <f t="shared" si="733"/>
        <v>12.55</v>
      </c>
      <c r="W482" s="13">
        <f t="shared" si="734"/>
        <v>0.1333</v>
      </c>
      <c r="X482" s="13">
        <f t="shared" si="735"/>
        <v>0.38139999999999996</v>
      </c>
      <c r="Y482">
        <f t="shared" si="727"/>
        <v>26.89</v>
      </c>
      <c r="Z482" s="13">
        <f t="shared" si="722"/>
        <v>3.7400000000000003E-2</v>
      </c>
      <c r="AA482" s="13">
        <f t="shared" si="718"/>
        <v>0.18430000000000002</v>
      </c>
      <c r="AB482" s="6">
        <f t="shared" si="728"/>
        <v>63.463999999999999</v>
      </c>
      <c r="AC482">
        <f t="shared" si="720"/>
        <v>32</v>
      </c>
      <c r="AD482" s="11">
        <f t="shared" si="721"/>
        <v>0</v>
      </c>
      <c r="AE482">
        <f t="shared" si="719"/>
        <v>6</v>
      </c>
      <c r="AF482">
        <f>IF(AND(AE482&lt;15,OR(AC482&gt;=30,AA482&gt;0.15,X482&gt;=0.15)),2,VLOOKUP(AE482,Table!P:Q,2,FALSE))</f>
        <v>2</v>
      </c>
      <c r="AG482" s="22">
        <f>IF((AB482*0.98)-(D482*0.8)+((AF482-3)*3)+VLOOKUP(AM482,Table!$A$11:$B$13,2,FALSE)&lt;0,0,(AB482*0.98)-(D482*0.8)+((AF482-3)*3)+VLOOKUP(AM482,Table!$A$11:$B$13,2,FALSE))</f>
        <v>43.498719999999992</v>
      </c>
      <c r="AH482" s="22">
        <f t="shared" si="750"/>
        <v>44</v>
      </c>
      <c r="AI482" s="18">
        <f t="shared" si="743"/>
        <v>0.18</v>
      </c>
      <c r="AJ482" s="18">
        <f t="shared" si="744"/>
        <v>0.3</v>
      </c>
      <c r="AK482" t="str">
        <f t="shared" si="729"/>
        <v/>
      </c>
      <c r="AL482">
        <f t="shared" si="740"/>
        <v>15</v>
      </c>
      <c r="AM482" s="11" t="str">
        <f t="shared" si="730"/>
        <v>Stocks</v>
      </c>
      <c r="AN482" t="str">
        <f t="shared" si="736"/>
        <v>Buy</v>
      </c>
      <c r="AO482" s="13">
        <f t="shared" si="737"/>
        <v>6.4999999999999997E-3</v>
      </c>
      <c r="AP482" s="13">
        <f t="shared" si="738"/>
        <v>0</v>
      </c>
      <c r="AQ482" s="13">
        <f t="shared" si="739"/>
        <v>2.8999999999999998E-3</v>
      </c>
      <c r="AR482" s="13">
        <f t="shared" si="731"/>
        <v>6.4999999999999997E-3</v>
      </c>
      <c r="AS482" s="6">
        <f t="shared" si="723"/>
        <v>234.17941060057521</v>
      </c>
      <c r="AT482" s="6">
        <f t="shared" si="724"/>
        <v>185.97425508967711</v>
      </c>
      <c r="AU482" s="6">
        <f t="shared" si="725"/>
        <v>426.71411908179442</v>
      </c>
      <c r="AV482" s="6">
        <f t="shared" si="726"/>
        <v>549.23503195227568</v>
      </c>
      <c r="AW482" s="58">
        <f t="shared" si="732"/>
        <v>2009</v>
      </c>
      <c r="AX482" s="58">
        <f>COUNTIF(AW$3:AW482,AW482)</f>
        <v>30</v>
      </c>
    </row>
    <row r="483" spans="1:50" x14ac:dyDescent="0.25">
      <c r="A483" s="5">
        <v>39964</v>
      </c>
      <c r="B483">
        <v>919.14</v>
      </c>
      <c r="C483">
        <v>0.16</v>
      </c>
      <c r="D483" s="6">
        <v>28.92</v>
      </c>
      <c r="E483" s="18">
        <f t="shared" si="745"/>
        <v>31.56</v>
      </c>
      <c r="F483">
        <f t="shared" si="746"/>
        <v>-2</v>
      </c>
      <c r="G483" s="18">
        <f>ROUND(INDEX(Valuation!U:U,MATCH(A483,Valuation!A:A,0)),2)</f>
        <v>283.16000000000003</v>
      </c>
      <c r="H483">
        <f t="shared" si="753"/>
        <v>3</v>
      </c>
      <c r="I483" s="18">
        <f>INDEX(WeeklyIndicators!Y:Y,MATCH(A483,WeeklyIndicators!A:A,0))</f>
        <v>45.6</v>
      </c>
      <c r="J483">
        <f t="shared" si="742"/>
        <v>-3</v>
      </c>
      <c r="K483">
        <f>ROUND(INDEX(Economic!AF:AF,MATCH(EOMONTH($A483,-1),Economic!A:A,0)),2)</f>
        <v>0</v>
      </c>
      <c r="L483" s="11">
        <f t="shared" si="751"/>
        <v>-3</v>
      </c>
      <c r="M483">
        <f>ROUND(INDEX(Manufacturing!P:P,MATCH(EOMONTH($A483,-1),Manufacturing!A:A,0)),2)</f>
        <v>0</v>
      </c>
      <c r="N483">
        <f t="shared" si="747"/>
        <v>-3</v>
      </c>
      <c r="O483">
        <f>ROUND(INDEX(Housing!AC:AC,MATCH(EOMONTH($A483,-1),Housing!B:B,0)),2)</f>
        <v>0</v>
      </c>
      <c r="P483">
        <f t="shared" si="748"/>
        <v>-3</v>
      </c>
      <c r="Q483">
        <f>ROUND(INDEX(Spending!AJ:AJ,MATCH(EOMONTH($A483,-1),Spending!B:B,0)),2)</f>
        <v>2.65</v>
      </c>
      <c r="R483">
        <f t="shared" si="752"/>
        <v>-2</v>
      </c>
      <c r="S483">
        <f>ROUND(INDEX(Employment!V:V,MATCH(EOMONTH($A483,-1),Employment!A:A,0)),2)</f>
        <v>0</v>
      </c>
      <c r="T483" s="11">
        <f t="shared" si="749"/>
        <v>-3</v>
      </c>
      <c r="U483">
        <f t="shared" si="741"/>
        <v>4</v>
      </c>
      <c r="V483">
        <f t="shared" si="733"/>
        <v>10.62</v>
      </c>
      <c r="W483" s="13">
        <f t="shared" si="734"/>
        <v>0.1021</v>
      </c>
      <c r="X483" s="13">
        <f t="shared" si="735"/>
        <v>0.31130000000000002</v>
      </c>
      <c r="Y483">
        <f t="shared" si="727"/>
        <v>25.46</v>
      </c>
      <c r="Z483" s="13">
        <f t="shared" si="722"/>
        <v>4.0599999999999997E-2</v>
      </c>
      <c r="AA483" s="13">
        <f t="shared" si="718"/>
        <v>0.2019</v>
      </c>
      <c r="AB483" s="6">
        <f t="shared" si="728"/>
        <v>63.266000000000005</v>
      </c>
      <c r="AC483">
        <f t="shared" si="720"/>
        <v>32</v>
      </c>
      <c r="AD483" s="11">
        <f t="shared" si="721"/>
        <v>0</v>
      </c>
      <c r="AE483">
        <f t="shared" si="719"/>
        <v>18</v>
      </c>
      <c r="AF483">
        <f>IF(AND(AE483&lt;15,OR(AC483&gt;=30,AA483&gt;0.15,X483&gt;=0.15)),2,VLOOKUP(AE483,Table!P:Q,2,FALSE))</f>
        <v>2</v>
      </c>
      <c r="AG483" s="22">
        <f>IF((AB483*0.98)-(D483*0.8)+((AF483-3)*3)+VLOOKUP(AM483,Table!$A$11:$B$13,2,FALSE)&lt;0,0,(AB483*0.98)-(D483*0.8)+((AF483-3)*3)+VLOOKUP(AM483,Table!$A$11:$B$13,2,FALSE))</f>
        <v>43.86468</v>
      </c>
      <c r="AH483" s="22">
        <f t="shared" si="750"/>
        <v>45</v>
      </c>
      <c r="AI483" s="18">
        <f t="shared" si="743"/>
        <v>0.18</v>
      </c>
      <c r="AJ483" s="18">
        <f t="shared" si="744"/>
        <v>0.34</v>
      </c>
      <c r="AK483" t="str">
        <f t="shared" si="729"/>
        <v>Falling Rates</v>
      </c>
      <c r="AL483">
        <f t="shared" si="740"/>
        <v>18</v>
      </c>
      <c r="AM483" s="11" t="str">
        <f t="shared" si="730"/>
        <v>Stocks</v>
      </c>
      <c r="AN483" t="str">
        <f t="shared" si="736"/>
        <v>Buy</v>
      </c>
      <c r="AO483" s="13">
        <f t="shared" si="737"/>
        <v>2.2800000000000001E-2</v>
      </c>
      <c r="AP483" s="13">
        <f t="shared" si="738"/>
        <v>0</v>
      </c>
      <c r="AQ483" s="13">
        <f t="shared" si="739"/>
        <v>1.03E-2</v>
      </c>
      <c r="AR483" s="13">
        <f t="shared" si="731"/>
        <v>2.2800000000000001E-2</v>
      </c>
      <c r="AS483" s="6">
        <f t="shared" si="723"/>
        <v>228.95914215934224</v>
      </c>
      <c r="AT483" s="6">
        <f t="shared" si="724"/>
        <v>185.97425508967711</v>
      </c>
      <c r="AU483" s="6">
        <f t="shared" si="725"/>
        <v>422.36377222784762</v>
      </c>
      <c r="AV483" s="6">
        <f t="shared" si="726"/>
        <v>536.99162294903761</v>
      </c>
      <c r="AW483" s="58">
        <f t="shared" si="732"/>
        <v>2009</v>
      </c>
      <c r="AX483" s="58">
        <f>COUNTIF(AW$3:AW483,AW483)</f>
        <v>31</v>
      </c>
    </row>
    <row r="484" spans="1:50" x14ac:dyDescent="0.25">
      <c r="A484" s="5">
        <v>39957</v>
      </c>
      <c r="B484">
        <v>887</v>
      </c>
      <c r="C484">
        <v>0.18</v>
      </c>
      <c r="D484" s="6">
        <v>32.630000000000003</v>
      </c>
      <c r="E484" s="18">
        <f t="shared" si="745"/>
        <v>32.6</v>
      </c>
      <c r="F484">
        <f t="shared" si="746"/>
        <v>-2</v>
      </c>
      <c r="G484" s="18">
        <f>ROUND(INDEX(Valuation!U:U,MATCH(A484,Valuation!A:A,0)),2)</f>
        <v>290.14</v>
      </c>
      <c r="H484">
        <f t="shared" si="753"/>
        <v>3</v>
      </c>
      <c r="I484" s="18">
        <f>INDEX(WeeklyIndicators!Y:Y,MATCH(A484,WeeklyIndicators!A:A,0))</f>
        <v>37.020000000000003</v>
      </c>
      <c r="J484">
        <f t="shared" si="742"/>
        <v>-3</v>
      </c>
      <c r="K484">
        <f>ROUND(INDEX(Economic!AF:AF,MATCH(EOMONTH($A484,-1),Economic!A:A,0)),2)</f>
        <v>0</v>
      </c>
      <c r="L484" s="11">
        <f t="shared" si="751"/>
        <v>-3</v>
      </c>
      <c r="M484">
        <f>ROUND(INDEX(Manufacturing!P:P,MATCH(EOMONTH($A484,-1),Manufacturing!A:A,0)),2)</f>
        <v>0</v>
      </c>
      <c r="N484">
        <f t="shared" si="747"/>
        <v>-3</v>
      </c>
      <c r="O484">
        <f>ROUND(INDEX(Housing!AC:AC,MATCH(EOMONTH($A484,-1),Housing!B:B,0)),2)</f>
        <v>0</v>
      </c>
      <c r="P484">
        <f t="shared" si="748"/>
        <v>-3</v>
      </c>
      <c r="Q484">
        <f>ROUND(INDEX(Spending!AJ:AJ,MATCH(EOMONTH($A484,-1),Spending!B:B,0)),2)</f>
        <v>2.65</v>
      </c>
      <c r="R484">
        <f t="shared" si="752"/>
        <v>-2</v>
      </c>
      <c r="S484">
        <f>ROUND(INDEX(Employment!V:V,MATCH(EOMONTH($A484,-1),Employment!A:A,0)),2)</f>
        <v>0</v>
      </c>
      <c r="T484" s="11">
        <f t="shared" si="749"/>
        <v>-3</v>
      </c>
      <c r="U484">
        <f t="shared" si="741"/>
        <v>4</v>
      </c>
      <c r="V484">
        <f t="shared" si="733"/>
        <v>9.73</v>
      </c>
      <c r="W484" s="13">
        <f t="shared" si="734"/>
        <v>8.48E-2</v>
      </c>
      <c r="X484" s="13">
        <f t="shared" si="735"/>
        <v>0.29610000000000003</v>
      </c>
      <c r="Y484">
        <f t="shared" si="727"/>
        <v>24.99</v>
      </c>
      <c r="Z484" s="13">
        <f t="shared" si="722"/>
        <v>5.0900000000000001E-2</v>
      </c>
      <c r="AA484" s="13">
        <f t="shared" si="718"/>
        <v>0.24009999999999998</v>
      </c>
      <c r="AB484" s="6">
        <f t="shared" si="728"/>
        <v>65.873999999999995</v>
      </c>
      <c r="AC484">
        <f t="shared" si="720"/>
        <v>33</v>
      </c>
      <c r="AD484" s="11">
        <f t="shared" si="721"/>
        <v>0</v>
      </c>
      <c r="AE484">
        <f t="shared" si="719"/>
        <v>18</v>
      </c>
      <c r="AF484">
        <f>IF(AND(AE484&lt;15,OR(AC484&gt;=30,AA484&gt;0.15,X484&gt;=0.15)),2,VLOOKUP(AE484,Table!P:Q,2,FALSE))</f>
        <v>2</v>
      </c>
      <c r="AG484" s="22">
        <f>IF((AB484*0.98)-(D484*0.8)+((AF484-3)*3)+VLOOKUP(AM484,Table!$A$11:$B$13,2,FALSE)&lt;0,0,(AB484*0.98)-(D484*0.8)+((AF484-3)*3)+VLOOKUP(AM484,Table!$A$11:$B$13,2,FALSE))</f>
        <v>43.452519999999993</v>
      </c>
      <c r="AH484" s="22">
        <f t="shared" si="750"/>
        <v>46</v>
      </c>
      <c r="AI484" s="18">
        <f t="shared" si="743"/>
        <v>0.19</v>
      </c>
      <c r="AJ484" s="18">
        <f t="shared" si="744"/>
        <v>0.38</v>
      </c>
      <c r="AK484" t="str">
        <f t="shared" si="729"/>
        <v>Falling Rates</v>
      </c>
      <c r="AL484">
        <f t="shared" si="740"/>
        <v>17.75</v>
      </c>
      <c r="AM484" s="11" t="str">
        <f t="shared" si="730"/>
        <v>Stocks</v>
      </c>
      <c r="AN484" t="str">
        <f t="shared" si="736"/>
        <v>Buy</v>
      </c>
      <c r="AO484" s="13">
        <f t="shared" si="737"/>
        <v>3.6200000000000003E-2</v>
      </c>
      <c r="AP484" s="13">
        <f t="shared" si="738"/>
        <v>0</v>
      </c>
      <c r="AQ484" s="13">
        <f t="shared" si="739"/>
        <v>1.67E-2</v>
      </c>
      <c r="AR484" s="13">
        <f t="shared" si="731"/>
        <v>3.6200000000000003E-2</v>
      </c>
      <c r="AS484" s="6">
        <f t="shared" si="723"/>
        <v>220.9603765289927</v>
      </c>
      <c r="AT484" s="6">
        <f t="shared" si="724"/>
        <v>185.97425508967711</v>
      </c>
      <c r="AU484" s="6">
        <f t="shared" si="725"/>
        <v>415.42615543213105</v>
      </c>
      <c r="AV484" s="6">
        <f t="shared" si="726"/>
        <v>518.23163766554489</v>
      </c>
      <c r="AW484" s="58">
        <f t="shared" si="732"/>
        <v>2009</v>
      </c>
      <c r="AX484" s="58">
        <f>COUNTIF(AW$3:AW484,AW484)</f>
        <v>32</v>
      </c>
    </row>
    <row r="485" spans="1:50" x14ac:dyDescent="0.25">
      <c r="A485" s="5">
        <v>39950</v>
      </c>
      <c r="B485">
        <v>882.88</v>
      </c>
      <c r="C485">
        <v>0.18</v>
      </c>
      <c r="D485" s="6">
        <v>33.119999999999997</v>
      </c>
      <c r="E485" s="18">
        <f t="shared" si="745"/>
        <v>33.49</v>
      </c>
      <c r="F485">
        <f t="shared" si="746"/>
        <v>-2</v>
      </c>
      <c r="G485" s="18">
        <f>ROUND(INDEX(Valuation!U:U,MATCH(A485,Valuation!A:A,0)),2)</f>
        <v>294.39</v>
      </c>
      <c r="H485">
        <f t="shared" si="753"/>
        <v>3</v>
      </c>
      <c r="I485" s="18">
        <f>INDEX(WeeklyIndicators!Y:Y,MATCH(A485,WeeklyIndicators!A:A,0))</f>
        <v>26.92</v>
      </c>
      <c r="J485">
        <f t="shared" si="742"/>
        <v>-3</v>
      </c>
      <c r="K485">
        <f>ROUND(INDEX(Economic!AF:AF,MATCH(EOMONTH($A485,-1),Economic!A:A,0)),2)</f>
        <v>0</v>
      </c>
      <c r="L485" s="11">
        <f t="shared" si="751"/>
        <v>-3</v>
      </c>
      <c r="M485">
        <f>ROUND(INDEX(Manufacturing!P:P,MATCH(EOMONTH($A485,-1),Manufacturing!A:A,0)),2)</f>
        <v>0</v>
      </c>
      <c r="N485">
        <f t="shared" si="747"/>
        <v>-3</v>
      </c>
      <c r="O485">
        <f>ROUND(INDEX(Housing!AC:AC,MATCH(EOMONTH($A485,-1),Housing!B:B,0)),2)</f>
        <v>0</v>
      </c>
      <c r="P485">
        <f t="shared" si="748"/>
        <v>-3</v>
      </c>
      <c r="Q485">
        <f>ROUND(INDEX(Spending!AJ:AJ,MATCH(EOMONTH($A485,-1),Spending!B:B,0)),2)</f>
        <v>2.65</v>
      </c>
      <c r="R485">
        <f t="shared" si="752"/>
        <v>-2</v>
      </c>
      <c r="S485">
        <f>ROUND(INDEX(Employment!V:V,MATCH(EOMONTH($A485,-1),Employment!A:A,0)),2)</f>
        <v>0</v>
      </c>
      <c r="T485" s="11">
        <f t="shared" si="749"/>
        <v>-3</v>
      </c>
      <c r="U485">
        <f t="shared" si="741"/>
        <v>4</v>
      </c>
      <c r="V485">
        <f t="shared" si="733"/>
        <v>8.68</v>
      </c>
      <c r="W485" s="13">
        <f t="shared" si="734"/>
        <v>6.1199999999999997E-2</v>
      </c>
      <c r="X485" s="13">
        <f t="shared" si="735"/>
        <v>0.3004</v>
      </c>
      <c r="Y485">
        <f t="shared" si="727"/>
        <v>24.1</v>
      </c>
      <c r="Z485" s="13">
        <f t="shared" si="722"/>
        <v>5.5399999999999998E-2</v>
      </c>
      <c r="AA485" s="13">
        <f t="shared" si="718"/>
        <v>0.29909999999999998</v>
      </c>
      <c r="AB485" s="6">
        <f t="shared" si="728"/>
        <v>69.369</v>
      </c>
      <c r="AC485">
        <f t="shared" si="720"/>
        <v>35</v>
      </c>
      <c r="AD485" s="11">
        <f t="shared" si="721"/>
        <v>0</v>
      </c>
      <c r="AE485">
        <f t="shared" si="719"/>
        <v>18</v>
      </c>
      <c r="AF485">
        <f>IF(AND(AE485&lt;15,OR(AC485&gt;=30,AA485&gt;0.15,X485&gt;=0.15)),2,VLOOKUP(AE485,Table!P:Q,2,FALSE))</f>
        <v>2</v>
      </c>
      <c r="AG485" s="22">
        <f>IF((AB485*0.98)-(D485*0.8)+((AF485-3)*3)+VLOOKUP(AM485,Table!$A$11:$B$13,2,FALSE)&lt;0,0,(AB485*0.98)-(D485*0.8)+((AF485-3)*3)+VLOOKUP(AM485,Table!$A$11:$B$13,2,FALSE))</f>
        <v>46.485619999999997</v>
      </c>
      <c r="AH485" s="22">
        <f t="shared" si="750"/>
        <v>48</v>
      </c>
      <c r="AI485" s="18">
        <f t="shared" si="743"/>
        <v>0.2</v>
      </c>
      <c r="AJ485" s="18">
        <f t="shared" si="744"/>
        <v>0.42</v>
      </c>
      <c r="AK485" t="str">
        <f t="shared" si="729"/>
        <v>Falling Rates</v>
      </c>
      <c r="AL485">
        <f t="shared" si="740"/>
        <v>17.5</v>
      </c>
      <c r="AM485" s="11" t="str">
        <f t="shared" si="730"/>
        <v>Stocks</v>
      </c>
      <c r="AN485" t="str">
        <f t="shared" si="736"/>
        <v>Buy</v>
      </c>
      <c r="AO485" s="13">
        <f t="shared" si="737"/>
        <v>4.7000000000000002E-3</v>
      </c>
      <c r="AP485" s="13">
        <f t="shared" si="738"/>
        <v>0</v>
      </c>
      <c r="AQ485" s="13">
        <f t="shared" si="739"/>
        <v>2.3E-3</v>
      </c>
      <c r="AR485" s="13">
        <f t="shared" si="731"/>
        <v>4.7000000000000002E-3</v>
      </c>
      <c r="AS485" s="6">
        <f t="shared" si="723"/>
        <v>219.92672094057201</v>
      </c>
      <c r="AT485" s="6">
        <f t="shared" si="724"/>
        <v>185.97425508967711</v>
      </c>
      <c r="AU485" s="6">
        <f t="shared" si="725"/>
        <v>414.47286783610804</v>
      </c>
      <c r="AV485" s="6">
        <f t="shared" si="726"/>
        <v>515.80734315272707</v>
      </c>
      <c r="AW485" s="58">
        <f t="shared" si="732"/>
        <v>2009</v>
      </c>
      <c r="AX485" s="58">
        <f>COUNTIF(AW$3:AW485,AW485)</f>
        <v>33</v>
      </c>
    </row>
    <row r="486" spans="1:50" x14ac:dyDescent="0.25">
      <c r="A486" s="5">
        <v>39943</v>
      </c>
      <c r="B486">
        <v>929.23</v>
      </c>
      <c r="C486">
        <v>0.19</v>
      </c>
      <c r="D486" s="6">
        <v>32.049999999999997</v>
      </c>
      <c r="E486" s="18">
        <f t="shared" si="745"/>
        <v>34.72</v>
      </c>
      <c r="F486">
        <f t="shared" si="746"/>
        <v>-2</v>
      </c>
      <c r="G486" s="18">
        <f>ROUND(INDEX(Valuation!U:U,MATCH(A486,Valuation!A:A,0)),2)</f>
        <v>291.01</v>
      </c>
      <c r="H486">
        <f t="shared" si="753"/>
        <v>3</v>
      </c>
      <c r="I486" s="18">
        <f>INDEX(WeeklyIndicators!Y:Y,MATCH(A486,WeeklyIndicators!A:A,0))</f>
        <v>19.71</v>
      </c>
      <c r="J486">
        <f t="shared" si="742"/>
        <v>-3</v>
      </c>
      <c r="K486">
        <f>ROUND(INDEX(Economic!AF:AF,MATCH(EOMONTH($A486,-1),Economic!A:A,0)),2)</f>
        <v>0</v>
      </c>
      <c r="L486" s="11">
        <f t="shared" si="751"/>
        <v>-3</v>
      </c>
      <c r="M486">
        <f>ROUND(INDEX(Manufacturing!P:P,MATCH(EOMONTH($A486,-1),Manufacturing!A:A,0)),2)</f>
        <v>0</v>
      </c>
      <c r="N486">
        <f t="shared" si="747"/>
        <v>-3</v>
      </c>
      <c r="O486">
        <f>ROUND(INDEX(Housing!AC:AC,MATCH(EOMONTH($A486,-1),Housing!B:B,0)),2)</f>
        <v>0</v>
      </c>
      <c r="P486">
        <f t="shared" si="748"/>
        <v>-3</v>
      </c>
      <c r="Q486">
        <f>ROUND(INDEX(Spending!AJ:AJ,MATCH(EOMONTH($A486,-1),Spending!B:B,0)),2)</f>
        <v>2.65</v>
      </c>
      <c r="R486">
        <f t="shared" si="752"/>
        <v>-2</v>
      </c>
      <c r="S486">
        <f>ROUND(INDEX(Employment!V:V,MATCH(EOMONTH($A486,-1),Employment!A:A,0)),2)</f>
        <v>0</v>
      </c>
      <c r="T486" s="11">
        <f t="shared" si="749"/>
        <v>-3</v>
      </c>
      <c r="U486">
        <f t="shared" si="741"/>
        <v>4</v>
      </c>
      <c r="V486">
        <f t="shared" si="733"/>
        <v>7.93</v>
      </c>
      <c r="W486" s="13">
        <f t="shared" si="734"/>
        <v>6.3200000000000006E-2</v>
      </c>
      <c r="X486" s="13">
        <f t="shared" si="735"/>
        <v>0.29190000000000005</v>
      </c>
      <c r="Y486">
        <f t="shared" si="727"/>
        <v>22.55</v>
      </c>
      <c r="Z486" s="13">
        <f t="shared" si="722"/>
        <v>5.5E-2</v>
      </c>
      <c r="AA486" s="13">
        <f t="shared" si="718"/>
        <v>0.35909999999999997</v>
      </c>
      <c r="AB486" s="6">
        <f t="shared" si="728"/>
        <v>71.390999999999991</v>
      </c>
      <c r="AC486">
        <f t="shared" si="720"/>
        <v>36</v>
      </c>
      <c r="AD486" s="11">
        <f t="shared" si="721"/>
        <v>0</v>
      </c>
      <c r="AE486">
        <f t="shared" si="719"/>
        <v>18</v>
      </c>
      <c r="AF486">
        <f>IF(AND(AE486&lt;15,OR(AC486&gt;=30,AA486&gt;0.15,X486&gt;=0.15)),2,VLOOKUP(AE486,Table!P:Q,2,FALSE))</f>
        <v>2</v>
      </c>
      <c r="AG486" s="22">
        <f>IF((AB486*0.98)-(D486*0.8)+((AF486-3)*3)+VLOOKUP(AM486,Table!$A$11:$B$13,2,FALSE)&lt;0,0,(AB486*0.98)-(D486*0.8)+((AF486-3)*3)+VLOOKUP(AM486,Table!$A$11:$B$13,2,FALSE))</f>
        <v>49.323179999999994</v>
      </c>
      <c r="AH486" s="22">
        <f t="shared" si="750"/>
        <v>48</v>
      </c>
      <c r="AI486" s="18">
        <f t="shared" si="743"/>
        <v>0.21</v>
      </c>
      <c r="AJ486" s="18">
        <f t="shared" si="744"/>
        <v>0.46</v>
      </c>
      <c r="AK486" t="str">
        <f t="shared" si="729"/>
        <v>Falling Rates</v>
      </c>
      <c r="AL486">
        <f t="shared" si="740"/>
        <v>17.25</v>
      </c>
      <c r="AM486" s="11" t="str">
        <f t="shared" si="730"/>
        <v>Stocks</v>
      </c>
      <c r="AN486" t="str">
        <f t="shared" si="736"/>
        <v>Buy</v>
      </c>
      <c r="AO486" s="13">
        <f t="shared" si="737"/>
        <v>-4.99E-2</v>
      </c>
      <c r="AP486" s="13">
        <f t="shared" si="738"/>
        <v>0</v>
      </c>
      <c r="AQ486" s="13">
        <f t="shared" si="739"/>
        <v>-2.4E-2</v>
      </c>
      <c r="AR486" s="13">
        <f t="shared" si="731"/>
        <v>-4.99E-2</v>
      </c>
      <c r="AS486" s="6">
        <f t="shared" si="723"/>
        <v>231.47744546950008</v>
      </c>
      <c r="AT486" s="6">
        <f t="shared" si="724"/>
        <v>185.97425508967711</v>
      </c>
      <c r="AU486" s="6">
        <f t="shared" si="725"/>
        <v>424.6648236025697</v>
      </c>
      <c r="AV486" s="6">
        <f t="shared" si="726"/>
        <v>542.89795090277562</v>
      </c>
      <c r="AW486" s="58">
        <f t="shared" si="732"/>
        <v>2009</v>
      </c>
      <c r="AX486" s="58">
        <f>COUNTIF(AW$3:AW486,AW486)</f>
        <v>34</v>
      </c>
    </row>
    <row r="487" spans="1:50" x14ac:dyDescent="0.25">
      <c r="A487" s="5">
        <v>39936</v>
      </c>
      <c r="B487">
        <v>877.52</v>
      </c>
      <c r="C487">
        <v>0.13</v>
      </c>
      <c r="D487" s="6">
        <v>35.299999999999997</v>
      </c>
      <c r="E487" s="18">
        <f t="shared" si="745"/>
        <v>35.35</v>
      </c>
      <c r="F487">
        <f t="shared" si="746"/>
        <v>-3</v>
      </c>
      <c r="G487" s="18">
        <f>ROUND(INDEX(Valuation!U:U,MATCH(A487,Valuation!A:A,0)),2)</f>
        <v>286.16000000000003</v>
      </c>
      <c r="H487">
        <f t="shared" si="753"/>
        <v>3</v>
      </c>
      <c r="I487" s="18">
        <f>INDEX(WeeklyIndicators!Y:Y,MATCH(A487,WeeklyIndicators!A:A,0))</f>
        <v>17.18</v>
      </c>
      <c r="J487">
        <f t="shared" si="742"/>
        <v>-3</v>
      </c>
      <c r="K487">
        <f>ROUND(INDEX(Economic!AF:AF,MATCH(EOMONTH($A487,-1),Economic!A:A,0)),2)</f>
        <v>0</v>
      </c>
      <c r="L487" s="11">
        <f t="shared" si="751"/>
        <v>-3</v>
      </c>
      <c r="M487">
        <f>ROUND(INDEX(Manufacturing!P:P,MATCH(EOMONTH($A487,-1),Manufacturing!A:A,0)),2)</f>
        <v>0</v>
      </c>
      <c r="N487">
        <f t="shared" si="747"/>
        <v>-3</v>
      </c>
      <c r="O487">
        <f>ROUND(INDEX(Housing!AC:AC,MATCH(EOMONTH($A487,-1),Housing!B:B,0)),2)</f>
        <v>0</v>
      </c>
      <c r="P487">
        <f t="shared" si="748"/>
        <v>-3</v>
      </c>
      <c r="Q487">
        <f>ROUND(INDEX(Spending!AJ:AJ,MATCH(EOMONTH($A487,-1),Spending!B:B,0)),2)</f>
        <v>2.65</v>
      </c>
      <c r="R487">
        <f t="shared" si="752"/>
        <v>-2</v>
      </c>
      <c r="S487">
        <f>ROUND(INDEX(Employment!V:V,MATCH(EOMONTH($A487,-1),Employment!A:A,0)),2)</f>
        <v>0</v>
      </c>
      <c r="T487" s="11">
        <f t="shared" si="749"/>
        <v>-3</v>
      </c>
      <c r="U487">
        <f t="shared" si="741"/>
        <v>3</v>
      </c>
      <c r="V487">
        <f t="shared" si="733"/>
        <v>7.67</v>
      </c>
      <c r="W487" s="13">
        <f t="shared" si="734"/>
        <v>8.6900000000000005E-2</v>
      </c>
      <c r="X487" s="13">
        <f t="shared" si="735"/>
        <v>0.24579999999999999</v>
      </c>
      <c r="Y487">
        <f t="shared" si="727"/>
        <v>21.52</v>
      </c>
      <c r="Z487" s="13">
        <f t="shared" si="722"/>
        <v>7.8799999999999995E-2</v>
      </c>
      <c r="AA487" s="13">
        <f t="shared" si="718"/>
        <v>0.42269999999999996</v>
      </c>
      <c r="AB487" s="6">
        <f t="shared" si="728"/>
        <v>73.665999999999997</v>
      </c>
      <c r="AC487">
        <f t="shared" si="720"/>
        <v>37</v>
      </c>
      <c r="AD487" s="11">
        <f t="shared" si="721"/>
        <v>0</v>
      </c>
      <c r="AE487">
        <f t="shared" si="719"/>
        <v>17</v>
      </c>
      <c r="AF487">
        <f>IF(AND(AE487&lt;15,OR(AC487&gt;=30,AA487&gt;0.15,X487&gt;=0.15)),2,VLOOKUP(AE487,Table!P:Q,2,FALSE))</f>
        <v>2</v>
      </c>
      <c r="AG487" s="22">
        <f>IF((AB487*0.98)-(D487*0.8)+((AF487-3)*3)+VLOOKUP(AM487,Table!$A$11:$B$13,2,FALSE)&lt;0,0,(AB487*0.98)-(D487*0.8)+((AF487-3)*3)+VLOOKUP(AM487,Table!$A$11:$B$13,2,FALSE))</f>
        <v>48.952680000000001</v>
      </c>
      <c r="AH487" s="22">
        <f t="shared" si="750"/>
        <v>47</v>
      </c>
      <c r="AI487" s="18">
        <f t="shared" si="743"/>
        <v>0.22</v>
      </c>
      <c r="AJ487" s="18">
        <f t="shared" si="744"/>
        <v>0.5</v>
      </c>
      <c r="AK487" t="str">
        <f t="shared" si="729"/>
        <v>Falling Rates</v>
      </c>
      <c r="AL487">
        <f t="shared" si="740"/>
        <v>16.75</v>
      </c>
      <c r="AM487" s="11" t="str">
        <f t="shared" si="730"/>
        <v>Stocks</v>
      </c>
      <c r="AN487" t="str">
        <f t="shared" si="736"/>
        <v>Buy</v>
      </c>
      <c r="AO487" s="13">
        <f t="shared" si="737"/>
        <v>5.8900000000000001E-2</v>
      </c>
      <c r="AP487" s="13">
        <f t="shared" si="738"/>
        <v>0</v>
      </c>
      <c r="AQ487" s="13">
        <f t="shared" si="739"/>
        <v>2.7699999999999999E-2</v>
      </c>
      <c r="AR487" s="13">
        <f t="shared" si="731"/>
        <v>5.8900000000000001E-2</v>
      </c>
      <c r="AS487" s="6">
        <f t="shared" si="723"/>
        <v>218.60179948012097</v>
      </c>
      <c r="AT487" s="6">
        <f t="shared" si="724"/>
        <v>185.97425508967711</v>
      </c>
      <c r="AU487" s="6">
        <f t="shared" si="725"/>
        <v>413.21866653942755</v>
      </c>
      <c r="AV487" s="6">
        <f t="shared" si="726"/>
        <v>512.69992530246066</v>
      </c>
      <c r="AW487" s="58">
        <f t="shared" si="732"/>
        <v>2009</v>
      </c>
      <c r="AX487" s="58">
        <f>COUNTIF(AW$3:AW487,AW487)</f>
        <v>35</v>
      </c>
    </row>
    <row r="488" spans="1:50" x14ac:dyDescent="0.25">
      <c r="A488" s="5">
        <v>39929</v>
      </c>
      <c r="B488">
        <v>866.23</v>
      </c>
      <c r="C488">
        <v>0.13</v>
      </c>
      <c r="D488" s="6">
        <v>36.82</v>
      </c>
      <c r="E488" s="18">
        <f t="shared" si="745"/>
        <v>35.76</v>
      </c>
      <c r="F488">
        <f t="shared" si="746"/>
        <v>-3</v>
      </c>
      <c r="G488" s="18">
        <f>ROUND(INDEX(Valuation!U:U,MATCH(A488,Valuation!A:A,0)),2)</f>
        <v>281.88</v>
      </c>
      <c r="H488">
        <f t="shared" si="753"/>
        <v>3</v>
      </c>
      <c r="I488" s="18">
        <f>INDEX(WeeklyIndicators!Y:Y,MATCH(A488,WeeklyIndicators!A:A,0))</f>
        <v>15.6</v>
      </c>
      <c r="J488">
        <f t="shared" si="742"/>
        <v>-3</v>
      </c>
      <c r="K488">
        <f>ROUND(INDEX(Economic!AF:AF,MATCH(EOMONTH($A488,-1),Economic!A:A,0)),2)</f>
        <v>0</v>
      </c>
      <c r="L488" s="11">
        <f t="shared" si="751"/>
        <v>-3</v>
      </c>
      <c r="M488">
        <f>ROUND(INDEX(Manufacturing!P:P,MATCH(EOMONTH($A488,-1),Manufacturing!A:A,0)),2)</f>
        <v>0</v>
      </c>
      <c r="N488">
        <f t="shared" si="747"/>
        <v>-3</v>
      </c>
      <c r="O488">
        <f>ROUND(INDEX(Housing!AC:AC,MATCH(EOMONTH($A488,-1),Housing!B:B,0)),2)</f>
        <v>0</v>
      </c>
      <c r="P488">
        <f t="shared" si="748"/>
        <v>-3</v>
      </c>
      <c r="Q488">
        <f>ROUND(INDEX(Spending!AJ:AJ,MATCH(EOMONTH($A488,-1),Spending!B:B,0)),2)</f>
        <v>0</v>
      </c>
      <c r="R488">
        <f t="shared" si="752"/>
        <v>-2</v>
      </c>
      <c r="S488">
        <f>ROUND(INDEX(Employment!V:V,MATCH(EOMONTH($A488,-1),Employment!A:A,0)),2)</f>
        <v>0</v>
      </c>
      <c r="T488" s="11">
        <f t="shared" si="749"/>
        <v>-3</v>
      </c>
      <c r="U488">
        <f t="shared" si="741"/>
        <v>3</v>
      </c>
      <c r="V488">
        <f t="shared" si="733"/>
        <v>7.28</v>
      </c>
      <c r="W488" s="13">
        <f t="shared" si="734"/>
        <v>8.9099999999999999E-2</v>
      </c>
      <c r="X488" s="13">
        <f t="shared" si="735"/>
        <v>0.15889999999999999</v>
      </c>
      <c r="Y488">
        <f t="shared" si="727"/>
        <v>20.52</v>
      </c>
      <c r="Z488" s="13">
        <f t="shared" si="722"/>
        <v>0.1099</v>
      </c>
      <c r="AA488" s="13">
        <f t="shared" si="718"/>
        <v>0.43640000000000001</v>
      </c>
      <c r="AB488" s="6">
        <f t="shared" si="728"/>
        <v>72.278000000000006</v>
      </c>
      <c r="AC488">
        <f t="shared" si="720"/>
        <v>36</v>
      </c>
      <c r="AD488" s="11">
        <f t="shared" si="721"/>
        <v>0</v>
      </c>
      <c r="AE488">
        <f t="shared" si="719"/>
        <v>17</v>
      </c>
      <c r="AF488">
        <f>IF(AND(AE488&lt;15,OR(AC488&gt;=30,AA488&gt;0.15,X488&gt;=0.15)),2,VLOOKUP(AE488,Table!P:Q,2,FALSE))</f>
        <v>2</v>
      </c>
      <c r="AG488" s="22">
        <f>IF((AB488*0.98)-(D488*0.8)+((AF488-3)*3)+VLOOKUP(AM488,Table!$A$11:$B$13,2,FALSE)&lt;0,0,(AB488*0.98)-(D488*0.8)+((AF488-3)*3)+VLOOKUP(AM488,Table!$A$11:$B$13,2,FALSE))</f>
        <v>46.376440000000002</v>
      </c>
      <c r="AH488" s="22">
        <f t="shared" si="750"/>
        <v>43</v>
      </c>
      <c r="AI488" s="18">
        <f t="shared" si="743"/>
        <v>0.22</v>
      </c>
      <c r="AJ488" s="18">
        <f t="shared" si="744"/>
        <v>0.54</v>
      </c>
      <c r="AK488" t="str">
        <f t="shared" si="729"/>
        <v>Falling Rates</v>
      </c>
      <c r="AL488">
        <f t="shared" si="740"/>
        <v>16.5</v>
      </c>
      <c r="AM488" s="11" t="str">
        <f t="shared" si="730"/>
        <v>Stocks</v>
      </c>
      <c r="AN488" t="str">
        <f t="shared" si="736"/>
        <v>Buy</v>
      </c>
      <c r="AO488" s="13">
        <f t="shared" si="737"/>
        <v>1.2999999999999999E-2</v>
      </c>
      <c r="AP488" s="13">
        <f t="shared" si="738"/>
        <v>0</v>
      </c>
      <c r="AQ488" s="13">
        <f t="shared" si="739"/>
        <v>5.5999999999999999E-3</v>
      </c>
      <c r="AR488" s="13">
        <f t="shared" si="731"/>
        <v>1.2999999999999999E-2</v>
      </c>
      <c r="AS488" s="6">
        <f t="shared" si="723"/>
        <v>215.7964456862004</v>
      </c>
      <c r="AT488" s="6">
        <f t="shared" si="724"/>
        <v>185.97425508967711</v>
      </c>
      <c r="AU488" s="6">
        <f t="shared" si="725"/>
        <v>410.91752838049672</v>
      </c>
      <c r="AV488" s="6">
        <f t="shared" si="726"/>
        <v>506.12036061447253</v>
      </c>
      <c r="AW488" s="58">
        <f t="shared" si="732"/>
        <v>2009</v>
      </c>
      <c r="AX488" s="58">
        <f>COUNTIF(AW$3:AW488,AW488)</f>
        <v>36</v>
      </c>
    </row>
    <row r="489" spans="1:50" x14ac:dyDescent="0.25">
      <c r="A489" s="5">
        <v>39922</v>
      </c>
      <c r="B489">
        <v>869.6</v>
      </c>
      <c r="C489">
        <v>0.15</v>
      </c>
      <c r="D489" s="6">
        <v>33.94</v>
      </c>
      <c r="E489" s="18">
        <f t="shared" si="745"/>
        <v>36.72</v>
      </c>
      <c r="F489">
        <f t="shared" si="746"/>
        <v>-3</v>
      </c>
      <c r="G489" s="18">
        <f>ROUND(INDEX(Valuation!U:U,MATCH(A489,Valuation!A:A,0)),2)</f>
        <v>279.32</v>
      </c>
      <c r="H489">
        <f t="shared" si="753"/>
        <v>3</v>
      </c>
      <c r="I489" s="18">
        <f>INDEX(WeeklyIndicators!Y:Y,MATCH(A489,WeeklyIndicators!A:A,0))</f>
        <v>8.73</v>
      </c>
      <c r="J489">
        <f t="shared" si="742"/>
        <v>-3</v>
      </c>
      <c r="K489">
        <f>ROUND(INDEX(Economic!AF:AF,MATCH(EOMONTH($A489,-1),Economic!A:A,0)),2)</f>
        <v>0</v>
      </c>
      <c r="L489" s="11">
        <f t="shared" si="751"/>
        <v>-3</v>
      </c>
      <c r="M489">
        <f>ROUND(INDEX(Manufacturing!P:P,MATCH(EOMONTH($A489,-1),Manufacturing!A:A,0)),2)</f>
        <v>0</v>
      </c>
      <c r="N489">
        <f t="shared" si="747"/>
        <v>-3</v>
      </c>
      <c r="O489">
        <f>ROUND(INDEX(Housing!AC:AC,MATCH(EOMONTH($A489,-1),Housing!B:B,0)),2)</f>
        <v>0</v>
      </c>
      <c r="P489">
        <f t="shared" si="748"/>
        <v>-3</v>
      </c>
      <c r="Q489">
        <f>ROUND(INDEX(Spending!AJ:AJ,MATCH(EOMONTH($A489,-1),Spending!B:B,0)),2)</f>
        <v>0</v>
      </c>
      <c r="R489">
        <f t="shared" si="752"/>
        <v>-2</v>
      </c>
      <c r="S489">
        <f>ROUND(INDEX(Employment!V:V,MATCH(EOMONTH($A489,-1),Employment!A:A,0)),2)</f>
        <v>0</v>
      </c>
      <c r="T489" s="11">
        <f t="shared" si="749"/>
        <v>-3</v>
      </c>
      <c r="U489">
        <f t="shared" si="741"/>
        <v>3</v>
      </c>
      <c r="V489">
        <f t="shared" si="733"/>
        <v>6.57</v>
      </c>
      <c r="W489" s="13">
        <f t="shared" si="734"/>
        <v>5.2699999999999997E-2</v>
      </c>
      <c r="X489" s="13">
        <f t="shared" si="735"/>
        <v>6.9800000000000001E-2</v>
      </c>
      <c r="Y489">
        <f t="shared" si="727"/>
        <v>19.18</v>
      </c>
      <c r="Z489" s="13">
        <f t="shared" si="722"/>
        <v>0.1154</v>
      </c>
      <c r="AA489" s="13">
        <f t="shared" si="718"/>
        <v>0.43990000000000001</v>
      </c>
      <c r="AB489" s="6">
        <f t="shared" si="728"/>
        <v>70.001999999999995</v>
      </c>
      <c r="AC489">
        <f t="shared" si="720"/>
        <v>35</v>
      </c>
      <c r="AD489" s="11">
        <f t="shared" si="721"/>
        <v>0</v>
      </c>
      <c r="AE489">
        <f t="shared" si="719"/>
        <v>17</v>
      </c>
      <c r="AF489">
        <f>IF(AND(AE489&lt;15,OR(AC489&gt;=30,AA489&gt;0.15,X489&gt;=0.15)),2,VLOOKUP(AE489,Table!P:Q,2,FALSE))</f>
        <v>2</v>
      </c>
      <c r="AG489" s="22">
        <f>IF((AB489*0.98)-(D489*0.8)+((AF489-3)*3)+VLOOKUP(AM489,Table!$A$11:$B$13,2,FALSE)&lt;0,0,(AB489*0.98)-(D489*0.8)+((AF489-3)*3)+VLOOKUP(AM489,Table!$A$11:$B$13,2,FALSE))</f>
        <v>46.44995999999999</v>
      </c>
      <c r="AH489" s="22">
        <f t="shared" si="750"/>
        <v>35</v>
      </c>
      <c r="AI489" s="18">
        <f t="shared" si="743"/>
        <v>0.22</v>
      </c>
      <c r="AJ489" s="18">
        <f t="shared" si="744"/>
        <v>0.56999999999999995</v>
      </c>
      <c r="AK489" t="str">
        <f t="shared" si="729"/>
        <v>Falling Rates</v>
      </c>
      <c r="AL489">
        <f t="shared" si="740"/>
        <v>13.25</v>
      </c>
      <c r="AM489" s="11" t="str">
        <f t="shared" si="730"/>
        <v>Stocks</v>
      </c>
      <c r="AN489" t="str">
        <f t="shared" si="736"/>
        <v>Buy</v>
      </c>
      <c r="AO489" s="13">
        <f t="shared" si="737"/>
        <v>-3.8999999999999998E-3</v>
      </c>
      <c r="AP489" s="13">
        <f t="shared" si="738"/>
        <v>0</v>
      </c>
      <c r="AQ489" s="13">
        <f t="shared" si="739"/>
        <v>-1.4E-3</v>
      </c>
      <c r="AR489" s="13">
        <f t="shared" si="731"/>
        <v>-3.8999999999999998E-3</v>
      </c>
      <c r="AS489" s="6">
        <f t="shared" si="723"/>
        <v>216.64134693926354</v>
      </c>
      <c r="AT489" s="6">
        <f t="shared" si="724"/>
        <v>185.97425508967711</v>
      </c>
      <c r="AU489" s="6">
        <f t="shared" si="725"/>
        <v>411.49361944772352</v>
      </c>
      <c r="AV489" s="6">
        <f t="shared" si="726"/>
        <v>508.10195825165397</v>
      </c>
      <c r="AW489" s="58">
        <f t="shared" si="732"/>
        <v>2009</v>
      </c>
      <c r="AX489" s="58">
        <f>COUNTIF(AW$3:AW489,AW489)</f>
        <v>37</v>
      </c>
    </row>
    <row r="490" spans="1:50" x14ac:dyDescent="0.25">
      <c r="A490" s="5">
        <v>39915</v>
      </c>
      <c r="B490">
        <v>856.56</v>
      </c>
      <c r="C490">
        <v>0.19</v>
      </c>
      <c r="D490" s="6">
        <v>36.53</v>
      </c>
      <c r="E490" s="18">
        <f t="shared" si="745"/>
        <v>39.090000000000003</v>
      </c>
      <c r="F490">
        <f t="shared" si="746"/>
        <v>-3</v>
      </c>
      <c r="G490" s="18">
        <f>ROUND(INDEX(Valuation!U:U,MATCH(A490,Valuation!A:A,0)),2)</f>
        <v>273.11</v>
      </c>
      <c r="H490">
        <f t="shared" si="753"/>
        <v>3</v>
      </c>
      <c r="I490" s="18">
        <f>INDEX(WeeklyIndicators!Y:Y,MATCH(A490,WeeklyIndicators!A:A,0))</f>
        <v>2.77</v>
      </c>
      <c r="J490">
        <f t="shared" si="742"/>
        <v>-3</v>
      </c>
      <c r="K490">
        <f>ROUND(INDEX(Economic!AF:AF,MATCH(EOMONTH($A490,-1),Economic!A:A,0)),2)</f>
        <v>0</v>
      </c>
      <c r="L490" s="11">
        <f t="shared" si="751"/>
        <v>-3</v>
      </c>
      <c r="M490">
        <f>ROUND(INDEX(Manufacturing!P:P,MATCH(EOMONTH($A490,-1),Manufacturing!A:A,0)),2)</f>
        <v>0</v>
      </c>
      <c r="N490">
        <f t="shared" si="747"/>
        <v>-3</v>
      </c>
      <c r="O490">
        <f>ROUND(INDEX(Housing!AC:AC,MATCH(EOMONTH($A490,-1),Housing!B:B,0)),2)</f>
        <v>0</v>
      </c>
      <c r="P490">
        <f t="shared" si="748"/>
        <v>-3</v>
      </c>
      <c r="Q490">
        <f>ROUND(INDEX(Spending!AJ:AJ,MATCH(EOMONTH($A490,-1),Spending!B:B,0)),2)</f>
        <v>0</v>
      </c>
      <c r="R490">
        <f t="shared" si="752"/>
        <v>-2</v>
      </c>
      <c r="S490">
        <f>ROUND(INDEX(Employment!V:V,MATCH(EOMONTH($A490,-1),Employment!A:A,0)),2)</f>
        <v>0</v>
      </c>
      <c r="T490" s="11">
        <f t="shared" si="749"/>
        <v>-3</v>
      </c>
      <c r="U490">
        <f t="shared" si="741"/>
        <v>3</v>
      </c>
      <c r="V490">
        <f t="shared" si="733"/>
        <v>5.95</v>
      </c>
      <c r="W490" s="13">
        <f t="shared" si="734"/>
        <v>1.7100000000000001E-2</v>
      </c>
      <c r="X490" s="13">
        <f t="shared" si="735"/>
        <v>1.7100000000000001E-2</v>
      </c>
      <c r="Y490">
        <f t="shared" si="727"/>
        <v>17.05</v>
      </c>
      <c r="Z490" s="13">
        <f t="shared" si="722"/>
        <v>0.1186</v>
      </c>
      <c r="AA490" s="13">
        <f t="shared" si="718"/>
        <v>0.37340000000000001</v>
      </c>
      <c r="AB490" s="6">
        <f t="shared" si="728"/>
        <v>62.250999999999998</v>
      </c>
      <c r="AC490">
        <f t="shared" si="720"/>
        <v>31</v>
      </c>
      <c r="AD490" s="11">
        <f t="shared" si="721"/>
        <v>-1</v>
      </c>
      <c r="AE490">
        <f t="shared" si="719"/>
        <v>16</v>
      </c>
      <c r="AF490">
        <f>IF(AND(AE490&lt;15,OR(AC490&gt;=30,AA490&gt;0.15,X490&gt;=0.15)),2,VLOOKUP(AE490,Table!P:Q,2,FALSE))</f>
        <v>2</v>
      </c>
      <c r="AG490" s="22">
        <f>IF((AB490*0.98)-(D490*0.8)+((AF490-3)*3)+VLOOKUP(AM490,Table!$A$11:$B$13,2,FALSE)&lt;0,0,(AB490*0.98)-(D490*0.8)+((AF490-3)*3)+VLOOKUP(AM490,Table!$A$11:$B$13,2,FALSE))</f>
        <v>36.78197999999999</v>
      </c>
      <c r="AH490" s="22">
        <f t="shared" si="750"/>
        <v>23</v>
      </c>
      <c r="AI490" s="18">
        <f t="shared" si="743"/>
        <v>0.22</v>
      </c>
      <c r="AJ490" s="18">
        <f t="shared" si="744"/>
        <v>0.61</v>
      </c>
      <c r="AK490" t="str">
        <f t="shared" si="729"/>
        <v>Falling Rates</v>
      </c>
      <c r="AL490">
        <f t="shared" si="740"/>
        <v>9.75</v>
      </c>
      <c r="AM490" s="11" t="str">
        <f t="shared" si="730"/>
        <v>Stocks</v>
      </c>
      <c r="AN490" t="str">
        <f t="shared" si="736"/>
        <v>Buy</v>
      </c>
      <c r="AO490" s="13">
        <f t="shared" si="737"/>
        <v>1.52E-2</v>
      </c>
      <c r="AP490" s="13">
        <f t="shared" si="738"/>
        <v>0</v>
      </c>
      <c r="AQ490" s="13">
        <f t="shared" si="739"/>
        <v>3.5000000000000001E-3</v>
      </c>
      <c r="AR490" s="13">
        <f t="shared" si="731"/>
        <v>1.52E-2</v>
      </c>
      <c r="AS490" s="6">
        <f t="shared" si="723"/>
        <v>213.39770187082695</v>
      </c>
      <c r="AT490" s="6">
        <f t="shared" si="724"/>
        <v>185.97425508967711</v>
      </c>
      <c r="AU490" s="6">
        <f t="shared" si="725"/>
        <v>410.05841499524013</v>
      </c>
      <c r="AV490" s="6">
        <f t="shared" si="726"/>
        <v>500.49444272227532</v>
      </c>
      <c r="AW490" s="58">
        <f t="shared" si="732"/>
        <v>2009</v>
      </c>
      <c r="AX490" s="58">
        <f>COUNTIF(AW$3:AW490,AW490)</f>
        <v>38</v>
      </c>
    </row>
    <row r="491" spans="1:50" x14ac:dyDescent="0.25">
      <c r="A491" s="5">
        <v>39908</v>
      </c>
      <c r="B491">
        <v>842.5</v>
      </c>
      <c r="C491">
        <v>0.21</v>
      </c>
      <c r="D491" s="6">
        <v>39.700000000000003</v>
      </c>
      <c r="E491" s="18">
        <f t="shared" si="745"/>
        <v>42.21</v>
      </c>
      <c r="F491">
        <f t="shared" si="746"/>
        <v>-3</v>
      </c>
      <c r="G491" s="18">
        <f>ROUND(INDEX(Valuation!U:U,MATCH(A491,Valuation!A:A,0)),2)</f>
        <v>266.24</v>
      </c>
      <c r="H491">
        <f t="shared" si="753"/>
        <v>3</v>
      </c>
      <c r="I491" s="18">
        <f>INDEX(WeeklyIndicators!Y:Y,MATCH(A491,WeeklyIndicators!A:A,0))</f>
        <v>0</v>
      </c>
      <c r="J491">
        <f t="shared" si="742"/>
        <v>-3</v>
      </c>
      <c r="K491">
        <f>ROUND(INDEX(Economic!AF:AF,MATCH(EOMONTH($A491,-1),Economic!A:A,0)),2)</f>
        <v>0</v>
      </c>
      <c r="L491" s="11">
        <f t="shared" si="751"/>
        <v>-3</v>
      </c>
      <c r="M491">
        <f>ROUND(INDEX(Manufacturing!P:P,MATCH(EOMONTH($A491,-1),Manufacturing!A:A,0)),2)</f>
        <v>0</v>
      </c>
      <c r="N491">
        <f t="shared" si="747"/>
        <v>-3</v>
      </c>
      <c r="O491">
        <f>ROUND(INDEX(Housing!AC:AC,MATCH(EOMONTH($A491,-1),Housing!B:B,0)),2)</f>
        <v>0</v>
      </c>
      <c r="P491">
        <f t="shared" si="748"/>
        <v>-3</v>
      </c>
      <c r="Q491">
        <f>ROUND(INDEX(Spending!AJ:AJ,MATCH(EOMONTH($A491,-1),Spending!B:B,0)),2)</f>
        <v>0</v>
      </c>
      <c r="R491">
        <f t="shared" si="752"/>
        <v>-2</v>
      </c>
      <c r="S491">
        <f>ROUND(INDEX(Employment!V:V,MATCH(EOMONTH($A491,-1),Employment!A:A,0)),2)</f>
        <v>0</v>
      </c>
      <c r="T491" s="11">
        <f t="shared" si="749"/>
        <v>-3</v>
      </c>
      <c r="U491">
        <f t="shared" si="741"/>
        <v>3</v>
      </c>
      <c r="V491">
        <f t="shared" si="733"/>
        <v>5.66</v>
      </c>
      <c r="W491" s="13">
        <f t="shared" si="734"/>
        <v>0</v>
      </c>
      <c r="X491" s="13">
        <f t="shared" si="735"/>
        <v>-2.0199999999999999E-2</v>
      </c>
      <c r="Y491">
        <f t="shared" si="727"/>
        <v>14.9</v>
      </c>
      <c r="Z491" s="13">
        <f t="shared" si="722"/>
        <v>9.2499999999999999E-2</v>
      </c>
      <c r="AA491" s="13">
        <f t="shared" si="718"/>
        <v>0.25390000000000001</v>
      </c>
      <c r="AB491" s="6">
        <f t="shared" si="728"/>
        <v>51.024000000000001</v>
      </c>
      <c r="AC491">
        <f t="shared" si="720"/>
        <v>26</v>
      </c>
      <c r="AD491" s="11">
        <f t="shared" si="721"/>
        <v>-1</v>
      </c>
      <c r="AE491">
        <f t="shared" si="719"/>
        <v>16</v>
      </c>
      <c r="AF491">
        <f>IF(AND(AE491&lt;15,OR(AC491&gt;=30,AA491&gt;0.15,X491&gt;=0.15)),2,VLOOKUP(AE491,Table!P:Q,2,FALSE))</f>
        <v>2</v>
      </c>
      <c r="AG491" s="22">
        <f>IF((AB491*0.98)-(D491*0.8)+((AF491-3)*3)+VLOOKUP(AM491,Table!$A$11:$B$13,2,FALSE)&lt;0,0,(AB491*0.98)-(D491*0.8)+((AF491-3)*3)+VLOOKUP(AM491,Table!$A$11:$B$13,2,FALSE))</f>
        <v>23.243519999999997</v>
      </c>
      <c r="AH491" s="22">
        <f t="shared" si="750"/>
        <v>10</v>
      </c>
      <c r="AI491" s="18">
        <f t="shared" si="743"/>
        <v>0.21</v>
      </c>
      <c r="AJ491" s="18">
        <f t="shared" si="744"/>
        <v>0.65</v>
      </c>
      <c r="AK491" t="str">
        <f t="shared" si="729"/>
        <v/>
      </c>
      <c r="AL491">
        <f t="shared" si="740"/>
        <v>6.5</v>
      </c>
      <c r="AM491" s="11" t="str">
        <f t="shared" si="730"/>
        <v>Stocks</v>
      </c>
      <c r="AN491" t="str">
        <f t="shared" si="736"/>
        <v>Buy</v>
      </c>
      <c r="AO491" s="13">
        <f t="shared" si="737"/>
        <v>1.67E-2</v>
      </c>
      <c r="AP491" s="13">
        <f t="shared" si="738"/>
        <v>0</v>
      </c>
      <c r="AQ491" s="13">
        <f t="shared" si="739"/>
        <v>1.6999999999999999E-3</v>
      </c>
      <c r="AR491" s="13">
        <f t="shared" si="731"/>
        <v>1.67E-2</v>
      </c>
      <c r="AS491" s="6">
        <f t="shared" si="723"/>
        <v>209.89249716811938</v>
      </c>
      <c r="AT491" s="6">
        <f t="shared" si="724"/>
        <v>185.97425508967711</v>
      </c>
      <c r="AU491" s="6">
        <f t="shared" si="725"/>
        <v>409.36249874736956</v>
      </c>
      <c r="AV491" s="6">
        <f t="shared" si="726"/>
        <v>492.27347567844532</v>
      </c>
      <c r="AW491" s="58">
        <f t="shared" si="732"/>
        <v>2009</v>
      </c>
      <c r="AX491" s="58">
        <f>COUNTIF(AW$3:AW491,AW491)</f>
        <v>39</v>
      </c>
    </row>
    <row r="492" spans="1:50" x14ac:dyDescent="0.25">
      <c r="A492" s="5">
        <v>39901</v>
      </c>
      <c r="B492">
        <v>815.94</v>
      </c>
      <c r="C492">
        <v>0.18</v>
      </c>
      <c r="D492" s="6">
        <v>41.04</v>
      </c>
      <c r="E492" s="18">
        <f t="shared" si="745"/>
        <v>43.1</v>
      </c>
      <c r="F492">
        <f t="shared" si="746"/>
        <v>-3</v>
      </c>
      <c r="G492" s="18">
        <f>ROUND(INDEX(Valuation!U:U,MATCH(A492,Valuation!A:A,0)),2)</f>
        <v>259.94</v>
      </c>
      <c r="H492">
        <f t="shared" si="753"/>
        <v>3</v>
      </c>
      <c r="I492" s="18">
        <f>INDEX(WeeklyIndicators!Y:Y,MATCH(A492,WeeklyIndicators!A:A,0))</f>
        <v>0</v>
      </c>
      <c r="J492">
        <f t="shared" si="742"/>
        <v>-3</v>
      </c>
      <c r="K492">
        <f>ROUND(INDEX(Economic!AF:AF,MATCH(EOMONTH($A492,-1),Economic!A:A,0)),2)</f>
        <v>0</v>
      </c>
      <c r="L492" s="11">
        <f t="shared" si="751"/>
        <v>-3</v>
      </c>
      <c r="M492">
        <f>ROUND(INDEX(Manufacturing!P:P,MATCH(EOMONTH($A492,-1),Manufacturing!A:A,0)),2)</f>
        <v>0</v>
      </c>
      <c r="N492">
        <f t="shared" si="747"/>
        <v>-3</v>
      </c>
      <c r="O492">
        <f>ROUND(INDEX(Housing!AC:AC,MATCH(EOMONTH($A492,-1),Housing!B:B,0)),2)</f>
        <v>0</v>
      </c>
      <c r="P492">
        <f t="shared" si="748"/>
        <v>-3</v>
      </c>
      <c r="Q492">
        <f>ROUND(INDEX(Spending!AJ:AJ,MATCH(EOMONTH($A492,-1),Spending!B:B,0)),2)</f>
        <v>0</v>
      </c>
      <c r="R492">
        <f t="shared" si="752"/>
        <v>-2</v>
      </c>
      <c r="S492">
        <f>ROUND(INDEX(Employment!V:V,MATCH(EOMONTH($A492,-1),Employment!A:A,0)),2)</f>
        <v>0</v>
      </c>
      <c r="T492" s="11">
        <f t="shared" si="749"/>
        <v>-3</v>
      </c>
      <c r="U492">
        <f t="shared" si="741"/>
        <v>3</v>
      </c>
      <c r="V492">
        <f t="shared" si="733"/>
        <v>5.66</v>
      </c>
      <c r="W492" s="13">
        <f t="shared" si="734"/>
        <v>0</v>
      </c>
      <c r="X492" s="13">
        <f t="shared" si="735"/>
        <v>-0.04</v>
      </c>
      <c r="Y492">
        <f t="shared" si="727"/>
        <v>13.89</v>
      </c>
      <c r="Z492" s="13">
        <f t="shared" si="722"/>
        <v>0.1134</v>
      </c>
      <c r="AA492" s="13">
        <f t="shared" si="718"/>
        <v>0.10559999999999999</v>
      </c>
      <c r="AB492" s="6">
        <f t="shared" si="728"/>
        <v>39.244</v>
      </c>
      <c r="AC492">
        <f t="shared" si="720"/>
        <v>20</v>
      </c>
      <c r="AD492" s="11">
        <f t="shared" si="721"/>
        <v>-1</v>
      </c>
      <c r="AE492">
        <f t="shared" si="719"/>
        <v>4</v>
      </c>
      <c r="AF492">
        <f>IF(AND(AE492&lt;15,OR(AC492&gt;=30,AA492&gt;0.15,X492&gt;=0.15)),2,VLOOKUP(AE492,Table!P:Q,2,FALSE))</f>
        <v>1</v>
      </c>
      <c r="AG492" s="22">
        <f>IF((AB492*0.98)-(D492*0.8)+((AF492-3)*3)+VLOOKUP(AM492,Table!$A$11:$B$13,2,FALSE)&lt;0,0,(AB492*0.98)-(D492*0.8)+((AF492-3)*3)+VLOOKUP(AM492,Table!$A$11:$B$13,2,FALSE))</f>
        <v>7.6271199999999979</v>
      </c>
      <c r="AH492" s="22">
        <f t="shared" si="750"/>
        <v>3</v>
      </c>
      <c r="AI492" s="18">
        <f t="shared" si="743"/>
        <v>0.2</v>
      </c>
      <c r="AJ492" s="18">
        <f t="shared" si="744"/>
        <v>0.69</v>
      </c>
      <c r="AK492" t="str">
        <f t="shared" si="729"/>
        <v>Falling Rates</v>
      </c>
      <c r="AL492">
        <f t="shared" si="740"/>
        <v>3.25</v>
      </c>
      <c r="AM492" s="11" t="str">
        <f t="shared" si="730"/>
        <v>Stocks</v>
      </c>
      <c r="AN492" t="str">
        <f t="shared" si="736"/>
        <v>Buy</v>
      </c>
      <c r="AO492" s="13">
        <f t="shared" si="737"/>
        <v>3.2599999999999997E-2</v>
      </c>
      <c r="AP492" s="13">
        <f t="shared" si="738"/>
        <v>0</v>
      </c>
      <c r="AQ492" s="13">
        <f t="shared" si="739"/>
        <v>1E-3</v>
      </c>
      <c r="AR492" s="13">
        <f t="shared" si="731"/>
        <v>3.2599999999999997E-2</v>
      </c>
      <c r="AS492" s="6">
        <f t="shared" si="723"/>
        <v>203.26602476091361</v>
      </c>
      <c r="AT492" s="6">
        <f t="shared" si="724"/>
        <v>185.97425508967711</v>
      </c>
      <c r="AU492" s="6">
        <f t="shared" si="725"/>
        <v>408.95354520216745</v>
      </c>
      <c r="AV492" s="6">
        <f t="shared" si="726"/>
        <v>476.73201208449092</v>
      </c>
      <c r="AW492" s="58">
        <f t="shared" si="732"/>
        <v>2009</v>
      </c>
      <c r="AX492" s="58">
        <f>COUNTIF(AW$3:AW492,AW492)</f>
        <v>40</v>
      </c>
    </row>
    <row r="493" spans="1:50" x14ac:dyDescent="0.25">
      <c r="A493" s="5">
        <v>39894</v>
      </c>
      <c r="B493">
        <v>768.54</v>
      </c>
      <c r="C493">
        <v>0.22</v>
      </c>
      <c r="D493" s="6">
        <v>45.89</v>
      </c>
      <c r="E493" s="18">
        <f t="shared" si="745"/>
        <v>45.86</v>
      </c>
      <c r="F493">
        <f t="shared" si="746"/>
        <v>-3</v>
      </c>
      <c r="G493" s="18">
        <f>ROUND(INDEX(Valuation!U:U,MATCH(A493,Valuation!A:A,0)),2)</f>
        <v>253.34</v>
      </c>
      <c r="H493">
        <f t="shared" si="753"/>
        <v>3</v>
      </c>
      <c r="I493" s="18">
        <f>INDEX(WeeklyIndicators!Y:Y,MATCH(A493,WeeklyIndicators!A:A,0))</f>
        <v>0</v>
      </c>
      <c r="J493">
        <f t="shared" si="742"/>
        <v>-3</v>
      </c>
      <c r="K493">
        <f>ROUND(INDEX(Economic!AF:AF,MATCH(EOMONTH($A493,-1),Economic!A:A,0)),2)</f>
        <v>0</v>
      </c>
      <c r="L493" s="11">
        <f t="shared" si="751"/>
        <v>-3</v>
      </c>
      <c r="M493">
        <f>ROUND(INDEX(Manufacturing!P:P,MATCH(EOMONTH($A493,-1),Manufacturing!A:A,0)),2)</f>
        <v>0</v>
      </c>
      <c r="N493">
        <f t="shared" si="747"/>
        <v>-3</v>
      </c>
      <c r="O493">
        <f>ROUND(INDEX(Housing!AC:AC,MATCH(EOMONTH($A493,-1),Housing!B:B,0)),2)</f>
        <v>0</v>
      </c>
      <c r="P493">
        <f t="shared" si="748"/>
        <v>-3</v>
      </c>
      <c r="Q493">
        <f>ROUND(INDEX(Spending!AJ:AJ,MATCH(EOMONTH($A493,-1),Spending!B:B,0)),2)</f>
        <v>0</v>
      </c>
      <c r="R493">
        <f t="shared" si="752"/>
        <v>-2</v>
      </c>
      <c r="S493">
        <f>ROUND(INDEX(Employment!V:V,MATCH(EOMONTH($A493,-1),Employment!A:A,0)),2)</f>
        <v>0</v>
      </c>
      <c r="T493" s="11">
        <f t="shared" si="749"/>
        <v>-3</v>
      </c>
      <c r="U493">
        <f t="shared" si="741"/>
        <v>3</v>
      </c>
      <c r="V493">
        <f t="shared" si="733"/>
        <v>5.66</v>
      </c>
      <c r="W493" s="13">
        <f t="shared" si="734"/>
        <v>0</v>
      </c>
      <c r="X493" s="13">
        <f t="shared" si="735"/>
        <v>-7.6999999999999999E-2</v>
      </c>
      <c r="Y493">
        <f t="shared" si="727"/>
        <v>12.19</v>
      </c>
      <c r="Z493" s="13">
        <f t="shared" si="722"/>
        <v>4.8899999999999999E-2</v>
      </c>
      <c r="AA493" s="13">
        <f t="shared" si="718"/>
        <v>-5.62E-2</v>
      </c>
      <c r="AB493" s="6">
        <f t="shared" si="728"/>
        <v>25.673999999999999</v>
      </c>
      <c r="AC493">
        <f t="shared" si="720"/>
        <v>13</v>
      </c>
      <c r="AD493" s="11">
        <f t="shared" si="721"/>
        <v>-2</v>
      </c>
      <c r="AE493">
        <f t="shared" si="719"/>
        <v>3</v>
      </c>
      <c r="AF493">
        <f>IF(AND(AE493&lt;15,OR(AC493&gt;=30,AA493&gt;0.15,X493&gt;=0.15)),2,VLOOKUP(AE493,Table!P:Q,2,FALSE))</f>
        <v>1</v>
      </c>
      <c r="AG493" s="22">
        <f>IF((AB493*0.98)-(D493*0.8)+((AF493-3)*3)+VLOOKUP(AM493,Table!$A$11:$B$13,2,FALSE)&lt;0,0,(AB493*0.98)-(D493*0.8)+((AF493-3)*3)+VLOOKUP(AM493,Table!$A$11:$B$13,2,FALSE))</f>
        <v>0</v>
      </c>
      <c r="AH493" s="22">
        <f t="shared" si="750"/>
        <v>0</v>
      </c>
      <c r="AI493" s="18">
        <f t="shared" si="743"/>
        <v>0.19</v>
      </c>
      <c r="AJ493" s="18">
        <f t="shared" si="744"/>
        <v>0.73</v>
      </c>
      <c r="AK493" t="str">
        <f t="shared" si="729"/>
        <v/>
      </c>
      <c r="AL493">
        <f t="shared" si="740"/>
        <v>3</v>
      </c>
      <c r="AM493" s="11" t="str">
        <f t="shared" si="730"/>
        <v>Stocks</v>
      </c>
      <c r="AN493" t="str">
        <f t="shared" si="736"/>
        <v>Sell</v>
      </c>
      <c r="AO493" s="13">
        <f t="shared" si="737"/>
        <v>6.1699999999999998E-2</v>
      </c>
      <c r="AP493" s="13">
        <f t="shared" si="738"/>
        <v>0</v>
      </c>
      <c r="AQ493" s="13">
        <f t="shared" si="739"/>
        <v>0</v>
      </c>
      <c r="AR493" s="13">
        <f t="shared" si="731"/>
        <v>6.1699999999999998E-2</v>
      </c>
      <c r="AS493" s="6">
        <f t="shared" si="723"/>
        <v>191.45335288774004</v>
      </c>
      <c r="AT493" s="6">
        <f t="shared" si="724"/>
        <v>185.97425508967711</v>
      </c>
      <c r="AU493" s="6">
        <f t="shared" si="725"/>
        <v>408.95354520216745</v>
      </c>
      <c r="AV493" s="6">
        <f t="shared" si="726"/>
        <v>449.02704350050942</v>
      </c>
      <c r="AW493" s="58">
        <f t="shared" si="732"/>
        <v>2009</v>
      </c>
      <c r="AX493" s="58">
        <f>COUNTIF(AW$3:AW493,AW493)</f>
        <v>41</v>
      </c>
    </row>
    <row r="494" spans="1:50" x14ac:dyDescent="0.25">
      <c r="A494" s="5">
        <v>39887</v>
      </c>
      <c r="B494">
        <v>756.55</v>
      </c>
      <c r="C494">
        <v>0.22</v>
      </c>
      <c r="D494" s="6">
        <v>42.36</v>
      </c>
      <c r="E494" s="18">
        <f t="shared" si="745"/>
        <v>46.01</v>
      </c>
      <c r="F494">
        <f t="shared" si="746"/>
        <v>-3</v>
      </c>
      <c r="G494" s="18">
        <f>ROUND(INDEX(Valuation!U:U,MATCH(A494,Valuation!A:A,0)),2)</f>
        <v>246.93</v>
      </c>
      <c r="H494">
        <f t="shared" si="753"/>
        <v>3</v>
      </c>
      <c r="I494" s="18">
        <f>INDEX(WeeklyIndicators!Y:Y,MATCH(A494,WeeklyIndicators!A:A,0))</f>
        <v>0</v>
      </c>
      <c r="J494">
        <f t="shared" si="742"/>
        <v>-3</v>
      </c>
      <c r="K494">
        <f>ROUND(INDEX(Economic!AF:AF,MATCH(EOMONTH($A494,-1),Economic!A:A,0)),2)</f>
        <v>0</v>
      </c>
      <c r="L494" s="11">
        <f t="shared" si="751"/>
        <v>-3</v>
      </c>
      <c r="M494">
        <f>ROUND(INDEX(Manufacturing!P:P,MATCH(EOMONTH($A494,-1),Manufacturing!A:A,0)),2)</f>
        <v>0</v>
      </c>
      <c r="N494">
        <f t="shared" si="747"/>
        <v>-3</v>
      </c>
      <c r="O494">
        <f>ROUND(INDEX(Housing!AC:AC,MATCH(EOMONTH($A494,-1),Housing!B:B,0)),2)</f>
        <v>0</v>
      </c>
      <c r="P494">
        <f t="shared" si="748"/>
        <v>-3</v>
      </c>
      <c r="Q494">
        <f>ROUND(INDEX(Spending!AJ:AJ,MATCH(EOMONTH($A494,-1),Spending!B:B,0)),2)</f>
        <v>0</v>
      </c>
      <c r="R494">
        <f t="shared" si="752"/>
        <v>-2</v>
      </c>
      <c r="S494">
        <f>ROUND(INDEX(Employment!V:V,MATCH(EOMONTH($A494,-1),Employment!A:A,0)),2)</f>
        <v>0</v>
      </c>
      <c r="T494" s="11">
        <f t="shared" si="749"/>
        <v>-3</v>
      </c>
      <c r="U494">
        <f t="shared" si="741"/>
        <v>3</v>
      </c>
      <c r="V494">
        <f t="shared" si="733"/>
        <v>5.66</v>
      </c>
      <c r="W494" s="13">
        <f t="shared" si="734"/>
        <v>-2.0199999999999999E-2</v>
      </c>
      <c r="X494" s="13">
        <f t="shared" si="735"/>
        <v>-0.12820000000000001</v>
      </c>
      <c r="Y494">
        <f t="shared" si="727"/>
        <v>11.43</v>
      </c>
      <c r="Z494" s="13">
        <f t="shared" si="722"/>
        <v>-8.9999999999999998E-4</v>
      </c>
      <c r="AA494" s="13">
        <f t="shared" si="718"/>
        <v>-0.1459</v>
      </c>
      <c r="AB494" s="6">
        <f t="shared" si="728"/>
        <v>17.753</v>
      </c>
      <c r="AC494">
        <f t="shared" si="720"/>
        <v>9</v>
      </c>
      <c r="AD494" s="11">
        <f t="shared" si="721"/>
        <v>-2</v>
      </c>
      <c r="AE494">
        <f t="shared" si="719"/>
        <v>3</v>
      </c>
      <c r="AF494">
        <f>IF(AND(AE494&lt;15,OR(AC494&gt;=30,AA494&gt;0.15,X494&gt;=0.15)),2,VLOOKUP(AE494,Table!P:Q,2,FALSE))</f>
        <v>1</v>
      </c>
      <c r="AG494" s="22">
        <f>IF((AB494*0.98)-(D494*0.8)+((AF494-3)*3)+VLOOKUP(AM494,Table!$A$11:$B$13,2,FALSE)&lt;0,0,(AB494*0.98)-(D494*0.8)+((AF494-3)*3)+VLOOKUP(AM494,Table!$A$11:$B$13,2,FALSE))</f>
        <v>0</v>
      </c>
      <c r="AH494" s="22">
        <f t="shared" si="750"/>
        <v>0</v>
      </c>
      <c r="AI494" s="18">
        <f t="shared" si="743"/>
        <v>0.18</v>
      </c>
      <c r="AJ494" s="18">
        <f t="shared" si="744"/>
        <v>0.77</v>
      </c>
      <c r="AK494" t="str">
        <f t="shared" si="729"/>
        <v/>
      </c>
      <c r="AL494">
        <f t="shared" si="740"/>
        <v>3</v>
      </c>
      <c r="AM494" s="11" t="str">
        <f t="shared" si="730"/>
        <v>Stocks</v>
      </c>
      <c r="AN494" t="str">
        <f t="shared" si="736"/>
        <v>Sell</v>
      </c>
      <c r="AO494" s="13">
        <f t="shared" si="737"/>
        <v>1.5800000000000002E-2</v>
      </c>
      <c r="AP494" s="13">
        <f t="shared" si="738"/>
        <v>0</v>
      </c>
      <c r="AQ494" s="13">
        <f t="shared" si="739"/>
        <v>0</v>
      </c>
      <c r="AR494" s="13">
        <f t="shared" si="731"/>
        <v>1.5800000000000002E-2</v>
      </c>
      <c r="AS494" s="6">
        <f t="shared" si="723"/>
        <v>188.47544092118531</v>
      </c>
      <c r="AT494" s="6">
        <f t="shared" si="724"/>
        <v>185.97425508967711</v>
      </c>
      <c r="AU494" s="6">
        <f t="shared" si="725"/>
        <v>408.95354520216745</v>
      </c>
      <c r="AV494" s="6">
        <f t="shared" si="726"/>
        <v>442.0427677697474</v>
      </c>
      <c r="AW494" s="58">
        <f t="shared" si="732"/>
        <v>2009</v>
      </c>
      <c r="AX494" s="58">
        <f>COUNTIF(AW$3:AW494,AW494)</f>
        <v>42</v>
      </c>
    </row>
    <row r="495" spans="1:50" x14ac:dyDescent="0.25">
      <c r="A495" s="5">
        <v>39880</v>
      </c>
      <c r="B495">
        <v>683.38</v>
      </c>
      <c r="C495">
        <v>0.24</v>
      </c>
      <c r="D495" s="6">
        <v>49.33</v>
      </c>
      <c r="E495" s="18">
        <f t="shared" si="745"/>
        <v>48.33</v>
      </c>
      <c r="F495">
        <f t="shared" si="746"/>
        <v>-3</v>
      </c>
      <c r="G495" s="18">
        <f>ROUND(INDEX(Valuation!U:U,MATCH(A495,Valuation!A:A,0)),2)</f>
        <v>241.97</v>
      </c>
      <c r="H495">
        <f t="shared" si="753"/>
        <v>3</v>
      </c>
      <c r="I495" s="18">
        <f>INDEX(WeeklyIndicators!Y:Y,MATCH(A495,WeeklyIndicators!A:A,0))</f>
        <v>0</v>
      </c>
      <c r="J495">
        <f t="shared" si="742"/>
        <v>-3</v>
      </c>
      <c r="K495">
        <f>ROUND(INDEX(Economic!AF:AF,MATCH(EOMONTH($A495,-1),Economic!A:A,0)),2)</f>
        <v>0</v>
      </c>
      <c r="L495" s="11">
        <f t="shared" si="751"/>
        <v>-3</v>
      </c>
      <c r="M495">
        <f>ROUND(INDEX(Manufacturing!P:P,MATCH(EOMONTH($A495,-1),Manufacturing!A:A,0)),2)</f>
        <v>0</v>
      </c>
      <c r="N495">
        <f t="shared" si="747"/>
        <v>-3</v>
      </c>
      <c r="O495">
        <f>ROUND(INDEX(Housing!AC:AC,MATCH(EOMONTH($A495,-1),Housing!B:B,0)),2)</f>
        <v>0</v>
      </c>
      <c r="P495">
        <f t="shared" si="748"/>
        <v>-3</v>
      </c>
      <c r="Q495">
        <f>ROUND(INDEX(Spending!AJ:AJ,MATCH(EOMONTH($A495,-1),Spending!B:B,0)),2)</f>
        <v>0</v>
      </c>
      <c r="R495">
        <f t="shared" si="752"/>
        <v>-2</v>
      </c>
      <c r="S495">
        <f>ROUND(INDEX(Employment!V:V,MATCH(EOMONTH($A495,-1),Employment!A:A,0)),2)</f>
        <v>0</v>
      </c>
      <c r="T495" s="11">
        <f t="shared" si="749"/>
        <v>-3</v>
      </c>
      <c r="U495">
        <f t="shared" si="741"/>
        <v>3</v>
      </c>
      <c r="V495">
        <f t="shared" si="733"/>
        <v>5.66</v>
      </c>
      <c r="W495" s="13">
        <f t="shared" si="734"/>
        <v>-1.9800000000000002E-2</v>
      </c>
      <c r="X495" s="13">
        <f t="shared" si="735"/>
        <v>-0.24760000000000001</v>
      </c>
      <c r="Y495">
        <f t="shared" si="727"/>
        <v>10.07</v>
      </c>
      <c r="Z495" s="13">
        <f t="shared" si="722"/>
        <v>-5.5800000000000002E-2</v>
      </c>
      <c r="AA495" s="13">
        <f t="shared" si="718"/>
        <v>-0.2399</v>
      </c>
      <c r="AB495" s="6">
        <f t="shared" si="728"/>
        <v>8.4070000000000018</v>
      </c>
      <c r="AC495">
        <f t="shared" si="720"/>
        <v>4</v>
      </c>
      <c r="AD495" s="11">
        <f t="shared" si="721"/>
        <v>-2</v>
      </c>
      <c r="AE495">
        <f t="shared" si="719"/>
        <v>3</v>
      </c>
      <c r="AF495">
        <f>IF(AND(AE495&lt;15,OR(AC495&gt;=30,AA495&gt;0.15,X495&gt;=0.15)),2,VLOOKUP(AE495,Table!P:Q,2,FALSE))</f>
        <v>1</v>
      </c>
      <c r="AG495" s="22">
        <f>IF((AB495*0.98)-(D495*0.8)+((AF495-3)*3)+VLOOKUP(AM495,Table!$A$11:$B$13,2,FALSE)&lt;0,0,(AB495*0.98)-(D495*0.8)+((AF495-3)*3)+VLOOKUP(AM495,Table!$A$11:$B$13,2,FALSE))</f>
        <v>0</v>
      </c>
      <c r="AH495" s="22">
        <f t="shared" si="750"/>
        <v>0</v>
      </c>
      <c r="AI495" s="18">
        <f t="shared" si="743"/>
        <v>0.16</v>
      </c>
      <c r="AJ495" s="18">
        <f t="shared" si="744"/>
        <v>0.81</v>
      </c>
      <c r="AK495" t="str">
        <f t="shared" si="729"/>
        <v/>
      </c>
      <c r="AL495">
        <f t="shared" si="740"/>
        <v>3</v>
      </c>
      <c r="AM495" s="11" t="str">
        <f t="shared" si="730"/>
        <v>Stocks</v>
      </c>
      <c r="AN495" t="str">
        <f t="shared" si="736"/>
        <v>Sell</v>
      </c>
      <c r="AO495" s="13">
        <f t="shared" si="737"/>
        <v>0.1071</v>
      </c>
      <c r="AP495" s="13">
        <f t="shared" si="738"/>
        <v>0</v>
      </c>
      <c r="AQ495" s="13">
        <f t="shared" si="739"/>
        <v>0</v>
      </c>
      <c r="AR495" s="13">
        <f t="shared" si="731"/>
        <v>0.1071</v>
      </c>
      <c r="AS495" s="6">
        <f t="shared" si="723"/>
        <v>170.24247215354106</v>
      </c>
      <c r="AT495" s="6">
        <f t="shared" si="724"/>
        <v>185.97425508967711</v>
      </c>
      <c r="AU495" s="6">
        <f t="shared" si="725"/>
        <v>408.95354520216745</v>
      </c>
      <c r="AV495" s="6">
        <f t="shared" si="726"/>
        <v>399.2798914007293</v>
      </c>
      <c r="AW495" s="58">
        <f t="shared" si="732"/>
        <v>2009</v>
      </c>
      <c r="AX495" s="58">
        <f>COUNTIF(AW$3:AW495,AW495)</f>
        <v>43</v>
      </c>
    </row>
    <row r="496" spans="1:50" x14ac:dyDescent="0.25">
      <c r="A496" s="5">
        <v>39873</v>
      </c>
      <c r="B496">
        <v>735.09</v>
      </c>
      <c r="C496">
        <v>0.28999999999999998</v>
      </c>
      <c r="D496" s="6">
        <v>46.35</v>
      </c>
      <c r="E496" s="18">
        <f t="shared" si="745"/>
        <v>46.19</v>
      </c>
      <c r="F496">
        <f t="shared" si="746"/>
        <v>-3</v>
      </c>
      <c r="G496" s="18">
        <f>ROUND(INDEX(Valuation!U:U,MATCH(A496,Valuation!A:A,0)),2)</f>
        <v>240.23</v>
      </c>
      <c r="H496">
        <f t="shared" si="753"/>
        <v>3</v>
      </c>
      <c r="I496" s="18">
        <f>INDEX(WeeklyIndicators!Y:Y,MATCH(A496,WeeklyIndicators!A:A,0))</f>
        <v>0</v>
      </c>
      <c r="J496">
        <f t="shared" si="742"/>
        <v>-3</v>
      </c>
      <c r="K496">
        <f>ROUND(INDEX(Economic!AF:AF,MATCH(EOMONTH($A496,-1),Economic!A:A,0)),2)</f>
        <v>0</v>
      </c>
      <c r="L496" s="11">
        <f t="shared" si="751"/>
        <v>-3</v>
      </c>
      <c r="M496">
        <f>ROUND(INDEX(Manufacturing!P:P,MATCH(EOMONTH($A496,-1),Manufacturing!A:A,0)),2)</f>
        <v>0</v>
      </c>
      <c r="N496">
        <f t="shared" si="747"/>
        <v>-3</v>
      </c>
      <c r="O496">
        <f>ROUND(INDEX(Housing!AC:AC,MATCH(EOMONTH($A496,-1),Housing!B:B,0)),2)</f>
        <v>0</v>
      </c>
      <c r="P496">
        <f t="shared" si="748"/>
        <v>-3</v>
      </c>
      <c r="Q496">
        <f>ROUND(INDEX(Spending!AJ:AJ,MATCH(EOMONTH($A496,-1),Spending!B:B,0)),2)</f>
        <v>0</v>
      </c>
      <c r="R496">
        <f t="shared" si="752"/>
        <v>-2</v>
      </c>
      <c r="S496">
        <f>ROUND(INDEX(Employment!V:V,MATCH(EOMONTH($A496,-1),Employment!A:A,0)),2)</f>
        <v>0</v>
      </c>
      <c r="T496" s="11">
        <f t="shared" si="749"/>
        <v>-3</v>
      </c>
      <c r="U496">
        <f t="shared" si="741"/>
        <v>3</v>
      </c>
      <c r="V496">
        <f t="shared" si="733"/>
        <v>5.66</v>
      </c>
      <c r="W496" s="13">
        <f t="shared" si="734"/>
        <v>-3.6999999999999998E-2</v>
      </c>
      <c r="X496" s="13">
        <f t="shared" si="735"/>
        <v>-0.30909999999999999</v>
      </c>
      <c r="Y496">
        <f t="shared" si="727"/>
        <v>10.62</v>
      </c>
      <c r="Z496" s="13">
        <f t="shared" si="722"/>
        <v>-4.8399999999999999E-2</v>
      </c>
      <c r="AA496" s="13">
        <f t="shared" si="718"/>
        <v>-0.26200000000000001</v>
      </c>
      <c r="AB496" s="6">
        <f t="shared" si="728"/>
        <v>6.6829999999999998</v>
      </c>
      <c r="AC496">
        <f t="shared" si="720"/>
        <v>3</v>
      </c>
      <c r="AD496" s="11">
        <f t="shared" si="721"/>
        <v>-2</v>
      </c>
      <c r="AE496">
        <f t="shared" si="719"/>
        <v>3</v>
      </c>
      <c r="AF496">
        <f>IF(AND(AE496&lt;15,OR(AC496&gt;=30,AA496&gt;0.15,X496&gt;=0.15)),2,VLOOKUP(AE496,Table!P:Q,2,FALSE))</f>
        <v>1</v>
      </c>
      <c r="AG496" s="22">
        <f>IF((AB496*0.98)-(D496*0.8)+((AF496-3)*3)+VLOOKUP(AM496,Table!$A$11:$B$13,2,FALSE)&lt;0,0,(AB496*0.98)-(D496*0.8)+((AF496-3)*3)+VLOOKUP(AM496,Table!$A$11:$B$13,2,FALSE))</f>
        <v>0</v>
      </c>
      <c r="AH496" s="22">
        <f t="shared" si="750"/>
        <v>0</v>
      </c>
      <c r="AI496" s="18">
        <f t="shared" si="743"/>
        <v>0.15</v>
      </c>
      <c r="AJ496" s="18">
        <f t="shared" si="744"/>
        <v>0.86</v>
      </c>
      <c r="AK496" t="str">
        <f t="shared" si="729"/>
        <v/>
      </c>
      <c r="AL496">
        <f t="shared" si="740"/>
        <v>3</v>
      </c>
      <c r="AM496" s="11" t="str">
        <f t="shared" si="730"/>
        <v>Stocks</v>
      </c>
      <c r="AN496" t="str">
        <f t="shared" si="736"/>
        <v>Sell</v>
      </c>
      <c r="AO496" s="13">
        <f t="shared" si="737"/>
        <v>-7.0300000000000001E-2</v>
      </c>
      <c r="AP496" s="13">
        <f t="shared" si="738"/>
        <v>1E-4</v>
      </c>
      <c r="AQ496" s="13">
        <f t="shared" si="739"/>
        <v>1E-4</v>
      </c>
      <c r="AR496" s="13">
        <f t="shared" si="731"/>
        <v>-7.0300000000000001E-2</v>
      </c>
      <c r="AS496" s="6">
        <f t="shared" si="723"/>
        <v>183.11549118375936</v>
      </c>
      <c r="AT496" s="6">
        <f t="shared" si="724"/>
        <v>185.95565952372473</v>
      </c>
      <c r="AU496" s="6">
        <f t="shared" si="725"/>
        <v>408.91265393677378</v>
      </c>
      <c r="AV496" s="6">
        <f t="shared" si="726"/>
        <v>429.47175583600011</v>
      </c>
      <c r="AW496" s="58">
        <f t="shared" si="732"/>
        <v>2009</v>
      </c>
      <c r="AX496" s="58">
        <f>COUNTIF(AW$3:AW496,AW496)</f>
        <v>44</v>
      </c>
    </row>
    <row r="497" spans="1:50" x14ac:dyDescent="0.25">
      <c r="A497" s="5">
        <v>39866</v>
      </c>
      <c r="B497">
        <v>770.05</v>
      </c>
      <c r="C497">
        <v>0.3</v>
      </c>
      <c r="D497" s="6">
        <v>49.3</v>
      </c>
      <c r="E497" s="18">
        <f t="shared" si="745"/>
        <v>45.2</v>
      </c>
      <c r="F497">
        <f t="shared" si="746"/>
        <v>-3</v>
      </c>
      <c r="G497" s="18">
        <f>ROUND(INDEX(Valuation!U:U,MATCH(A497,Valuation!A:A,0)),2)</f>
        <v>241.54</v>
      </c>
      <c r="H497">
        <f t="shared" si="753"/>
        <v>3</v>
      </c>
      <c r="I497" s="18">
        <f>INDEX(WeeklyIndicators!Y:Y,MATCH(A497,WeeklyIndicators!A:A,0))</f>
        <v>0</v>
      </c>
      <c r="J497">
        <f t="shared" si="742"/>
        <v>-3</v>
      </c>
      <c r="K497">
        <f>ROUND(INDEX(Economic!AF:AF,MATCH(EOMONTH($A497,-1),Economic!A:A,0)),2)</f>
        <v>0</v>
      </c>
      <c r="L497" s="11">
        <f t="shared" si="751"/>
        <v>-3</v>
      </c>
      <c r="M497">
        <f>ROUND(INDEX(Manufacturing!P:P,MATCH(EOMONTH($A497,-1),Manufacturing!A:A,0)),2)</f>
        <v>0</v>
      </c>
      <c r="N497">
        <f t="shared" si="747"/>
        <v>-3</v>
      </c>
      <c r="O497">
        <f>ROUND(INDEX(Housing!AC:AC,MATCH(EOMONTH($A497,-1),Housing!B:B,0)),2)</f>
        <v>0</v>
      </c>
      <c r="P497">
        <f t="shared" si="748"/>
        <v>-3</v>
      </c>
      <c r="Q497">
        <f>ROUND(INDEX(Spending!AJ:AJ,MATCH(EOMONTH($A497,-1),Spending!B:B,0)),2)</f>
        <v>4.16</v>
      </c>
      <c r="R497">
        <f t="shared" si="752"/>
        <v>-2</v>
      </c>
      <c r="S497">
        <f>ROUND(INDEX(Employment!V:V,MATCH(EOMONTH($A497,-1),Employment!A:A,0)),2)</f>
        <v>0</v>
      </c>
      <c r="T497" s="11">
        <f t="shared" si="749"/>
        <v>-3</v>
      </c>
      <c r="U497">
        <f t="shared" si="741"/>
        <v>3</v>
      </c>
      <c r="V497">
        <f t="shared" si="733"/>
        <v>6.01</v>
      </c>
      <c r="W497" s="13">
        <f t="shared" si="734"/>
        <v>-5.1200000000000002E-2</v>
      </c>
      <c r="X497" s="13">
        <f t="shared" si="735"/>
        <v>-0.30830000000000002</v>
      </c>
      <c r="Y497">
        <f t="shared" si="727"/>
        <v>11.46</v>
      </c>
      <c r="Z497" s="13">
        <f t="shared" si="722"/>
        <v>-4.0800000000000003E-2</v>
      </c>
      <c r="AA497" s="13">
        <f t="shared" si="718"/>
        <v>-0.2656</v>
      </c>
      <c r="AB497" s="6">
        <f t="shared" si="728"/>
        <v>7.4339999999999993</v>
      </c>
      <c r="AC497">
        <f t="shared" si="720"/>
        <v>4</v>
      </c>
      <c r="AD497" s="11">
        <f t="shared" si="721"/>
        <v>-2</v>
      </c>
      <c r="AE497">
        <f t="shared" si="719"/>
        <v>3</v>
      </c>
      <c r="AF497">
        <f>IF(AND(AE497&lt;15,OR(AC497&gt;=30,AA497&gt;0.15,X497&gt;=0.15)),2,VLOOKUP(AE497,Table!P:Q,2,FALSE))</f>
        <v>1</v>
      </c>
      <c r="AG497" s="22">
        <f>IF((AB497*0.98)-(D497*0.8)+((AF497-3)*3)+VLOOKUP(AM497,Table!$A$11:$B$13,2,FALSE)&lt;0,0,(AB497*0.98)-(D497*0.8)+((AF497-3)*3)+VLOOKUP(AM497,Table!$A$11:$B$13,2,FALSE))</f>
        <v>0</v>
      </c>
      <c r="AH497" s="22">
        <f t="shared" si="750"/>
        <v>0</v>
      </c>
      <c r="AI497" s="18">
        <f t="shared" si="743"/>
        <v>0.13</v>
      </c>
      <c r="AJ497" s="18">
        <f t="shared" si="744"/>
        <v>0.9</v>
      </c>
      <c r="AK497" t="str">
        <f t="shared" si="729"/>
        <v/>
      </c>
      <c r="AL497">
        <f t="shared" si="740"/>
        <v>3</v>
      </c>
      <c r="AM497" s="11" t="str">
        <f t="shared" si="730"/>
        <v>Stocks</v>
      </c>
      <c r="AN497" t="str">
        <f t="shared" si="736"/>
        <v>Sell</v>
      </c>
      <c r="AO497" s="13">
        <f t="shared" si="737"/>
        <v>-4.5400000000000003E-2</v>
      </c>
      <c r="AP497" s="13">
        <f t="shared" si="738"/>
        <v>1E-4</v>
      </c>
      <c r="AQ497" s="13">
        <f t="shared" si="739"/>
        <v>1E-4</v>
      </c>
      <c r="AR497" s="13">
        <f t="shared" si="731"/>
        <v>-4.5400000000000003E-2</v>
      </c>
      <c r="AS497" s="6">
        <f t="shared" si="723"/>
        <v>191.82431508879046</v>
      </c>
      <c r="AT497" s="6">
        <f t="shared" si="724"/>
        <v>185.93706581714301</v>
      </c>
      <c r="AU497" s="6">
        <f t="shared" si="725"/>
        <v>408.87176676009778</v>
      </c>
      <c r="AV497" s="6">
        <f t="shared" si="726"/>
        <v>449.89708342342357</v>
      </c>
      <c r="AW497" s="58">
        <f t="shared" si="732"/>
        <v>2009</v>
      </c>
      <c r="AX497" s="58">
        <f>COUNTIF(AW$3:AW497,AW497)</f>
        <v>45</v>
      </c>
    </row>
    <row r="498" spans="1:50" x14ac:dyDescent="0.25">
      <c r="A498" s="5">
        <v>39859</v>
      </c>
      <c r="B498">
        <v>826.84</v>
      </c>
      <c r="C498">
        <v>0.3</v>
      </c>
      <c r="D498" s="6">
        <v>42.93</v>
      </c>
      <c r="E498" s="18">
        <f t="shared" si="745"/>
        <v>43.71</v>
      </c>
      <c r="F498">
        <f t="shared" si="746"/>
        <v>-3</v>
      </c>
      <c r="G498" s="18">
        <f>ROUND(INDEX(Valuation!U:U,MATCH(A498,Valuation!A:A,0)),2)</f>
        <v>241.42</v>
      </c>
      <c r="H498">
        <f t="shared" si="753"/>
        <v>3</v>
      </c>
      <c r="I498" s="18">
        <f>INDEX(WeeklyIndicators!Y:Y,MATCH(A498,WeeklyIndicators!A:A,0))</f>
        <v>0</v>
      </c>
      <c r="J498">
        <f t="shared" si="742"/>
        <v>-3</v>
      </c>
      <c r="K498">
        <f>ROUND(INDEX(Economic!AF:AF,MATCH(EOMONTH($A498,-1),Economic!A:A,0)),2)</f>
        <v>0</v>
      </c>
      <c r="L498" s="11">
        <f t="shared" si="751"/>
        <v>-3</v>
      </c>
      <c r="M498">
        <f>ROUND(INDEX(Manufacturing!P:P,MATCH(EOMONTH($A498,-1),Manufacturing!A:A,0)),2)</f>
        <v>0</v>
      </c>
      <c r="N498">
        <f t="shared" si="747"/>
        <v>-3</v>
      </c>
      <c r="O498">
        <f>ROUND(INDEX(Housing!AC:AC,MATCH(EOMONTH($A498,-1),Housing!B:B,0)),2)</f>
        <v>0</v>
      </c>
      <c r="P498">
        <f t="shared" si="748"/>
        <v>-3</v>
      </c>
      <c r="Q498">
        <f>ROUND(INDEX(Spending!AJ:AJ,MATCH(EOMONTH($A498,-1),Spending!B:B,0)),2)</f>
        <v>4.16</v>
      </c>
      <c r="R498">
        <f t="shared" si="752"/>
        <v>-2</v>
      </c>
      <c r="S498">
        <f>ROUND(INDEX(Employment!V:V,MATCH(EOMONTH($A498,-1),Employment!A:A,0)),2)</f>
        <v>0</v>
      </c>
      <c r="T498" s="11">
        <f t="shared" si="749"/>
        <v>-3</v>
      </c>
      <c r="U498">
        <f t="shared" si="741"/>
        <v>3</v>
      </c>
      <c r="V498">
        <f t="shared" si="733"/>
        <v>6.01</v>
      </c>
      <c r="W498" s="13">
        <f t="shared" si="734"/>
        <v>-0.1396</v>
      </c>
      <c r="X498" s="13">
        <f t="shared" si="735"/>
        <v>-0.20619999999999999</v>
      </c>
      <c r="Y498">
        <f t="shared" si="727"/>
        <v>11.97</v>
      </c>
      <c r="Z498" s="13">
        <f t="shared" si="722"/>
        <v>-9.4899999999999998E-2</v>
      </c>
      <c r="AA498" s="13">
        <f t="shared" si="718"/>
        <v>-0.19639999999999999</v>
      </c>
      <c r="AB498" s="6">
        <f t="shared" si="728"/>
        <v>13.591999999999999</v>
      </c>
      <c r="AC498">
        <f t="shared" si="720"/>
        <v>7</v>
      </c>
      <c r="AD498" s="11">
        <f t="shared" si="721"/>
        <v>-2</v>
      </c>
      <c r="AE498">
        <f t="shared" si="719"/>
        <v>3</v>
      </c>
      <c r="AF498">
        <f>IF(AND(AE498&lt;15,OR(AC498&gt;=30,AA498&gt;0.15,X498&gt;=0.15)),2,VLOOKUP(AE498,Table!P:Q,2,FALSE))</f>
        <v>1</v>
      </c>
      <c r="AG498" s="22">
        <f>IF((AB498*0.98)-(D498*0.8)+((AF498-3)*3)+VLOOKUP(AM498,Table!$A$11:$B$13,2,FALSE)&lt;0,0,(AB498*0.98)-(D498*0.8)+((AF498-3)*3)+VLOOKUP(AM498,Table!$A$11:$B$13,2,FALSE))</f>
        <v>0</v>
      </c>
      <c r="AH498" s="22">
        <f t="shared" si="750"/>
        <v>0</v>
      </c>
      <c r="AI498" s="18">
        <f t="shared" si="743"/>
        <v>0.11</v>
      </c>
      <c r="AJ498" s="18">
        <f t="shared" si="744"/>
        <v>0.93</v>
      </c>
      <c r="AK498" t="str">
        <f t="shared" si="729"/>
        <v/>
      </c>
      <c r="AL498">
        <f t="shared" si="740"/>
        <v>3</v>
      </c>
      <c r="AM498" s="11" t="str">
        <f t="shared" si="730"/>
        <v>Stocks</v>
      </c>
      <c r="AN498" t="str">
        <f t="shared" si="736"/>
        <v>Sell</v>
      </c>
      <c r="AO498" s="13">
        <f t="shared" si="737"/>
        <v>-6.8699999999999997E-2</v>
      </c>
      <c r="AP498" s="13">
        <f t="shared" si="738"/>
        <v>1E-4</v>
      </c>
      <c r="AQ498" s="13">
        <f t="shared" si="739"/>
        <v>1E-4</v>
      </c>
      <c r="AR498" s="13">
        <f t="shared" si="731"/>
        <v>-6.8699999999999997E-2</v>
      </c>
      <c r="AS498" s="6">
        <f t="shared" si="723"/>
        <v>205.97478265735043</v>
      </c>
      <c r="AT498" s="6">
        <f t="shared" si="724"/>
        <v>185.91847396974603</v>
      </c>
      <c r="AU498" s="6">
        <f t="shared" si="725"/>
        <v>408.83088367173059</v>
      </c>
      <c r="AV498" s="6">
        <f t="shared" si="726"/>
        <v>483.08502461443527</v>
      </c>
      <c r="AW498" s="58">
        <f t="shared" si="732"/>
        <v>2009</v>
      </c>
      <c r="AX498" s="58">
        <f>COUNTIF(AW$3:AW498,AW498)</f>
        <v>46</v>
      </c>
    </row>
    <row r="499" spans="1:50" x14ac:dyDescent="0.25">
      <c r="A499" s="5">
        <v>39852</v>
      </c>
      <c r="B499">
        <v>868.6</v>
      </c>
      <c r="C499">
        <v>0.28999999999999998</v>
      </c>
      <c r="D499" s="6">
        <v>43.37</v>
      </c>
      <c r="E499" s="18">
        <f t="shared" si="745"/>
        <v>45.16</v>
      </c>
      <c r="F499">
        <f t="shared" si="746"/>
        <v>-3</v>
      </c>
      <c r="G499" s="18">
        <f>ROUND(INDEX(Valuation!U:U,MATCH(A499,Valuation!A:A,0)),2)</f>
        <v>246.42</v>
      </c>
      <c r="H499">
        <f t="shared" si="753"/>
        <v>3</v>
      </c>
      <c r="I499" s="18">
        <f>INDEX(WeeklyIndicators!Y:Y,MATCH(A499,WeeklyIndicators!A:A,0))</f>
        <v>3.15</v>
      </c>
      <c r="J499">
        <f t="shared" si="742"/>
        <v>-3</v>
      </c>
      <c r="K499">
        <f>ROUND(INDEX(Economic!AF:AF,MATCH(EOMONTH($A499,-1),Economic!A:A,0)),2)</f>
        <v>0</v>
      </c>
      <c r="L499" s="11">
        <f t="shared" si="751"/>
        <v>-3</v>
      </c>
      <c r="M499">
        <f>ROUND(INDEX(Manufacturing!P:P,MATCH(EOMONTH($A499,-1),Manufacturing!A:A,0)),2)</f>
        <v>0</v>
      </c>
      <c r="N499">
        <f t="shared" si="747"/>
        <v>-3</v>
      </c>
      <c r="O499">
        <f>ROUND(INDEX(Housing!AC:AC,MATCH(EOMONTH($A499,-1),Housing!B:B,0)),2)</f>
        <v>0</v>
      </c>
      <c r="P499">
        <f t="shared" si="748"/>
        <v>-3</v>
      </c>
      <c r="Q499">
        <f>ROUND(INDEX(Spending!AJ:AJ,MATCH(EOMONTH($A499,-1),Spending!B:B,0)),2)</f>
        <v>4.16</v>
      </c>
      <c r="R499">
        <f t="shared" si="752"/>
        <v>-2</v>
      </c>
      <c r="S499">
        <f>ROUND(INDEX(Employment!V:V,MATCH(EOMONTH($A499,-1),Employment!A:A,0)),2)</f>
        <v>0</v>
      </c>
      <c r="T499" s="11">
        <f t="shared" si="749"/>
        <v>-3</v>
      </c>
      <c r="U499">
        <f t="shared" si="741"/>
        <v>3</v>
      </c>
      <c r="V499">
        <f t="shared" si="733"/>
        <v>6.34</v>
      </c>
      <c r="W499" s="13">
        <f t="shared" si="734"/>
        <v>-8.1299999999999997E-2</v>
      </c>
      <c r="X499" s="13">
        <f t="shared" si="735"/>
        <v>-0.307</v>
      </c>
      <c r="Y499">
        <f t="shared" si="727"/>
        <v>12.35</v>
      </c>
      <c r="Z499" s="13">
        <f t="shared" si="722"/>
        <v>-7.7899999999999997E-2</v>
      </c>
      <c r="AA499" s="13">
        <f t="shared" ref="AA499:AA562" si="754">SUM(Z499:Z502)</f>
        <v>-0.18319999999999997</v>
      </c>
      <c r="AB499" s="6">
        <f t="shared" si="728"/>
        <v>14.362</v>
      </c>
      <c r="AC499">
        <f t="shared" si="720"/>
        <v>7</v>
      </c>
      <c r="AD499" s="11">
        <f t="shared" si="721"/>
        <v>-2</v>
      </c>
      <c r="AE499">
        <f t="shared" si="719"/>
        <v>3</v>
      </c>
      <c r="AF499">
        <f>IF(AND(AE499&lt;15,OR(AC499&gt;=30,AA499&gt;0.15,X499&gt;=0.15)),2,VLOOKUP(AE499,Table!P:Q,2,FALSE))</f>
        <v>1</v>
      </c>
      <c r="AG499" s="22">
        <f>IF((AB499*0.98)-(D499*0.8)+((AF499-3)*3)+VLOOKUP(AM499,Table!$A$11:$B$13,2,FALSE)&lt;0,0,(AB499*0.98)-(D499*0.8)+((AF499-3)*3)+VLOOKUP(AM499,Table!$A$11:$B$13,2,FALSE))</f>
        <v>0</v>
      </c>
      <c r="AH499" s="22">
        <f t="shared" si="750"/>
        <v>0</v>
      </c>
      <c r="AI499" s="18">
        <f t="shared" si="743"/>
        <v>0.11</v>
      </c>
      <c r="AJ499" s="18">
        <f t="shared" si="744"/>
        <v>0.97</v>
      </c>
      <c r="AK499" t="str">
        <f t="shared" si="729"/>
        <v/>
      </c>
      <c r="AL499">
        <f t="shared" si="740"/>
        <v>3.25</v>
      </c>
      <c r="AM499" s="11" t="str">
        <f t="shared" si="730"/>
        <v>Stocks</v>
      </c>
      <c r="AN499" t="str">
        <f t="shared" si="736"/>
        <v>Sell</v>
      </c>
      <c r="AO499" s="13">
        <f t="shared" si="737"/>
        <v>-4.8099999999999997E-2</v>
      </c>
      <c r="AP499" s="13">
        <f t="shared" si="738"/>
        <v>1E-4</v>
      </c>
      <c r="AQ499" s="13">
        <f t="shared" si="739"/>
        <v>1E-4</v>
      </c>
      <c r="AR499" s="13">
        <f t="shared" si="731"/>
        <v>-4.8099999999999997E-2</v>
      </c>
      <c r="AS499" s="6">
        <f t="shared" si="723"/>
        <v>216.38279510174434</v>
      </c>
      <c r="AT499" s="6">
        <f t="shared" si="724"/>
        <v>185.8998839813479</v>
      </c>
      <c r="AU499" s="6">
        <f t="shared" si="725"/>
        <v>408.79000467126349</v>
      </c>
      <c r="AV499" s="6">
        <f t="shared" si="726"/>
        <v>507.49556110351432</v>
      </c>
      <c r="AW499" s="58">
        <f t="shared" si="732"/>
        <v>2009</v>
      </c>
      <c r="AX499" s="58">
        <f>COUNTIF(AW$3:AW499,AW499)</f>
        <v>47</v>
      </c>
    </row>
    <row r="500" spans="1:50" x14ac:dyDescent="0.25">
      <c r="A500" s="5">
        <v>39845</v>
      </c>
      <c r="B500">
        <v>825.88</v>
      </c>
      <c r="C500">
        <v>0.19</v>
      </c>
      <c r="D500" s="6">
        <v>44.84</v>
      </c>
      <c r="E500" s="18">
        <f t="shared" si="745"/>
        <v>46.07</v>
      </c>
      <c r="F500">
        <f t="shared" si="746"/>
        <v>-3</v>
      </c>
      <c r="G500" s="18">
        <f>ROUND(INDEX(Valuation!U:U,MATCH(A500,Valuation!A:A,0)),2)</f>
        <v>249.1</v>
      </c>
      <c r="H500">
        <f t="shared" si="753"/>
        <v>3</v>
      </c>
      <c r="I500" s="18">
        <f>INDEX(WeeklyIndicators!Y:Y,MATCH(A500,WeeklyIndicators!A:A,0))</f>
        <v>9.4600000000000009</v>
      </c>
      <c r="J500">
        <f t="shared" si="742"/>
        <v>-3</v>
      </c>
      <c r="K500">
        <f>ROUND(INDEX(Economic!AF:AF,MATCH(EOMONTH($A500,-1),Economic!A:A,0)),2)</f>
        <v>0</v>
      </c>
      <c r="L500" s="11">
        <f t="shared" si="751"/>
        <v>-3</v>
      </c>
      <c r="M500">
        <f>ROUND(INDEX(Manufacturing!P:P,MATCH(EOMONTH($A500,-1),Manufacturing!A:A,0)),2)</f>
        <v>0</v>
      </c>
      <c r="N500">
        <f t="shared" si="747"/>
        <v>-3</v>
      </c>
      <c r="O500">
        <f>ROUND(INDEX(Housing!AC:AC,MATCH(EOMONTH($A500,-1),Housing!B:B,0)),2)</f>
        <v>0</v>
      </c>
      <c r="P500">
        <f t="shared" si="748"/>
        <v>-3</v>
      </c>
      <c r="Q500">
        <f>ROUND(INDEX(Spending!AJ:AJ,MATCH(EOMONTH($A500,-1),Spending!B:B,0)),2)</f>
        <v>4.16</v>
      </c>
      <c r="R500">
        <f t="shared" si="752"/>
        <v>-2</v>
      </c>
      <c r="S500">
        <f>ROUND(INDEX(Employment!V:V,MATCH(EOMONTH($A500,-1),Employment!A:A,0)),2)</f>
        <v>0</v>
      </c>
      <c r="T500" s="11">
        <f t="shared" si="749"/>
        <v>-3</v>
      </c>
      <c r="U500">
        <f t="shared" si="741"/>
        <v>3</v>
      </c>
      <c r="V500">
        <f t="shared" si="733"/>
        <v>7</v>
      </c>
      <c r="W500" s="13">
        <f t="shared" si="734"/>
        <v>-3.6200000000000003E-2</v>
      </c>
      <c r="X500" s="13">
        <f t="shared" si="735"/>
        <v>-0.42780000000000001</v>
      </c>
      <c r="Y500">
        <f t="shared" si="727"/>
        <v>12.98</v>
      </c>
      <c r="Z500" s="13">
        <f t="shared" si="722"/>
        <v>-5.1999999999999998E-2</v>
      </c>
      <c r="AA500" s="13">
        <f t="shared" si="754"/>
        <v>-0.13819999999999999</v>
      </c>
      <c r="AB500" s="6">
        <f t="shared" si="728"/>
        <v>17.09</v>
      </c>
      <c r="AC500">
        <f t="shared" si="720"/>
        <v>9</v>
      </c>
      <c r="AD500" s="11">
        <f t="shared" si="721"/>
        <v>-2</v>
      </c>
      <c r="AE500">
        <f t="shared" si="719"/>
        <v>3</v>
      </c>
      <c r="AF500">
        <f>IF(AND(AE500&lt;15,OR(AC500&gt;=30,AA500&gt;0.15,X500&gt;=0.15)),2,VLOOKUP(AE500,Table!P:Q,2,FALSE))</f>
        <v>1</v>
      </c>
      <c r="AG500" s="22">
        <f>IF((AB500*0.98)-(D500*0.8)+((AF500-3)*3)+VLOOKUP(AM500,Table!$A$11:$B$13,2,FALSE)&lt;0,0,(AB500*0.98)-(D500*0.8)+((AF500-3)*3)+VLOOKUP(AM500,Table!$A$11:$B$13,2,FALSE))</f>
        <v>0</v>
      </c>
      <c r="AH500" s="22">
        <f t="shared" si="750"/>
        <v>0</v>
      </c>
      <c r="AI500" s="18">
        <f t="shared" si="743"/>
        <v>0.11</v>
      </c>
      <c r="AJ500" s="18">
        <f t="shared" si="744"/>
        <v>1.01</v>
      </c>
      <c r="AK500" t="str">
        <f t="shared" si="729"/>
        <v/>
      </c>
      <c r="AL500">
        <f t="shared" si="740"/>
        <v>3.5</v>
      </c>
      <c r="AM500" s="11" t="str">
        <f t="shared" si="730"/>
        <v>Stocks</v>
      </c>
      <c r="AN500" t="str">
        <f t="shared" si="736"/>
        <v>Sell</v>
      </c>
      <c r="AO500" s="13">
        <f t="shared" si="737"/>
        <v>5.1700000000000003E-2</v>
      </c>
      <c r="AP500" s="13">
        <f t="shared" si="738"/>
        <v>0</v>
      </c>
      <c r="AQ500" s="13">
        <f t="shared" si="739"/>
        <v>0</v>
      </c>
      <c r="AR500" s="13">
        <f t="shared" si="731"/>
        <v>5.1700000000000003E-2</v>
      </c>
      <c r="AS500" s="6">
        <f t="shared" si="723"/>
        <v>205.74574032684637</v>
      </c>
      <c r="AT500" s="6">
        <f t="shared" si="724"/>
        <v>185.8998839813479</v>
      </c>
      <c r="AU500" s="6">
        <f t="shared" si="725"/>
        <v>408.79000467126349</v>
      </c>
      <c r="AV500" s="6">
        <f t="shared" si="726"/>
        <v>482.54783788486668</v>
      </c>
      <c r="AW500" s="58">
        <f t="shared" si="732"/>
        <v>2009</v>
      </c>
      <c r="AX500" s="58">
        <f>COUNTIF(AW$3:AW500,AW500)</f>
        <v>48</v>
      </c>
    </row>
    <row r="501" spans="1:50" x14ac:dyDescent="0.25">
      <c r="A501" s="5">
        <v>39838</v>
      </c>
      <c r="B501">
        <v>831.95</v>
      </c>
      <c r="C501">
        <v>0.11</v>
      </c>
      <c r="D501" s="6">
        <v>47.27</v>
      </c>
      <c r="E501" s="18">
        <f t="shared" si="745"/>
        <v>45.4</v>
      </c>
      <c r="F501">
        <f t="shared" si="746"/>
        <v>-3</v>
      </c>
      <c r="G501" s="18">
        <f>ROUND(INDEX(Valuation!U:U,MATCH(A501,Valuation!A:A,0)),2)</f>
        <v>253.71</v>
      </c>
      <c r="H501">
        <f t="shared" si="753"/>
        <v>3</v>
      </c>
      <c r="I501" s="18">
        <f>INDEX(WeeklyIndicators!Y:Y,MATCH(A501,WeeklyIndicators!A:A,0))</f>
        <v>11.82</v>
      </c>
      <c r="J501">
        <f t="shared" si="742"/>
        <v>-3</v>
      </c>
      <c r="K501">
        <f>ROUND(INDEX(Economic!AF:AF,MATCH(EOMONTH($A501,-1),Economic!A:A,0)),2)</f>
        <v>4.29</v>
      </c>
      <c r="L501" s="11">
        <f t="shared" si="751"/>
        <v>-3</v>
      </c>
      <c r="M501">
        <f>ROUND(INDEX(Manufacturing!P:P,MATCH(EOMONTH($A501,-1),Manufacturing!A:A,0)),2)</f>
        <v>0</v>
      </c>
      <c r="N501">
        <f t="shared" si="747"/>
        <v>-3</v>
      </c>
      <c r="O501">
        <f>ROUND(INDEX(Housing!AC:AC,MATCH(EOMONTH($A501,-1),Housing!B:B,0)),2)</f>
        <v>0</v>
      </c>
      <c r="P501">
        <f t="shared" si="748"/>
        <v>-3</v>
      </c>
      <c r="Q501">
        <f>ROUND(INDEX(Spending!AJ:AJ,MATCH(EOMONTH($A501,-1),Spending!B:B,0)),2)</f>
        <v>12.67</v>
      </c>
      <c r="R501">
        <f t="shared" si="752"/>
        <v>-2</v>
      </c>
      <c r="S501">
        <f>ROUND(INDEX(Employment!V:V,MATCH(EOMONTH($A501,-1),Employment!A:A,0)),2)</f>
        <v>6.87</v>
      </c>
      <c r="T501" s="11">
        <f t="shared" si="749"/>
        <v>-3</v>
      </c>
      <c r="U501">
        <f t="shared" si="741"/>
        <v>3</v>
      </c>
      <c r="V501">
        <f t="shared" si="733"/>
        <v>9.15</v>
      </c>
      <c r="W501" s="13">
        <f t="shared" si="734"/>
        <v>5.0900000000000001E-2</v>
      </c>
      <c r="X501" s="13">
        <f t="shared" si="735"/>
        <v>-0.55969999999999998</v>
      </c>
      <c r="Y501">
        <f t="shared" si="727"/>
        <v>15.88</v>
      </c>
      <c r="Z501" s="13">
        <f t="shared" si="722"/>
        <v>2.8400000000000002E-2</v>
      </c>
      <c r="AA501" s="13">
        <f t="shared" si="754"/>
        <v>-9.7699999999999995E-2</v>
      </c>
      <c r="AB501" s="6">
        <f t="shared" si="728"/>
        <v>21.911000000000001</v>
      </c>
      <c r="AC501">
        <f t="shared" si="720"/>
        <v>11</v>
      </c>
      <c r="AD501" s="11">
        <f t="shared" si="721"/>
        <v>-2</v>
      </c>
      <c r="AE501">
        <f t="shared" si="719"/>
        <v>3</v>
      </c>
      <c r="AF501">
        <f>IF(AND(AE501&lt;15,OR(AC501&gt;=30,AA501&gt;0.15,X501&gt;=0.15)),2,VLOOKUP(AE501,Table!P:Q,2,FALSE))</f>
        <v>1</v>
      </c>
      <c r="AG501" s="22">
        <f>IF((AB501*0.98)-(D501*0.8)+((AF501-3)*3)+VLOOKUP(AM501,Table!$A$11:$B$13,2,FALSE)&lt;0,0,(AB501*0.98)-(D501*0.8)+((AF501-3)*3)+VLOOKUP(AM501,Table!$A$11:$B$13,2,FALSE))</f>
        <v>0</v>
      </c>
      <c r="AH501" s="22">
        <f t="shared" si="750"/>
        <v>1</v>
      </c>
      <c r="AI501" s="18">
        <f t="shared" si="743"/>
        <v>0.15</v>
      </c>
      <c r="AJ501" s="18">
        <f t="shared" si="744"/>
        <v>1.04</v>
      </c>
      <c r="AK501" t="str">
        <f t="shared" si="729"/>
        <v>Falling Rates</v>
      </c>
      <c r="AL501">
        <f t="shared" si="740"/>
        <v>3.75</v>
      </c>
      <c r="AM501" s="11" t="str">
        <f t="shared" si="730"/>
        <v>Stocks</v>
      </c>
      <c r="AN501" t="str">
        <f t="shared" si="736"/>
        <v>Sell</v>
      </c>
      <c r="AO501" s="13">
        <f t="shared" si="737"/>
        <v>-7.3000000000000001E-3</v>
      </c>
      <c r="AP501" s="13">
        <f t="shared" si="738"/>
        <v>0</v>
      </c>
      <c r="AQ501" s="13">
        <f t="shared" si="739"/>
        <v>-1E-4</v>
      </c>
      <c r="AR501" s="13">
        <f t="shared" si="731"/>
        <v>-7.3000000000000001E-3</v>
      </c>
      <c r="AS501" s="6">
        <f t="shared" si="723"/>
        <v>207.25872904890338</v>
      </c>
      <c r="AT501" s="6">
        <f t="shared" si="724"/>
        <v>185.8998839813479</v>
      </c>
      <c r="AU501" s="6">
        <f t="shared" si="725"/>
        <v>408.8308877600395</v>
      </c>
      <c r="AV501" s="6">
        <f t="shared" si="726"/>
        <v>486.09634117544744</v>
      </c>
      <c r="AW501" s="58">
        <f t="shared" si="732"/>
        <v>2009</v>
      </c>
      <c r="AX501" s="58">
        <f>COUNTIF(AW$3:AW501,AW501)</f>
        <v>49</v>
      </c>
    </row>
    <row r="502" spans="1:50" x14ac:dyDescent="0.25">
      <c r="A502" s="5">
        <v>39831</v>
      </c>
      <c r="B502">
        <v>850.12</v>
      </c>
      <c r="C502">
        <v>0.12</v>
      </c>
      <c r="D502" s="6">
        <v>46.11</v>
      </c>
      <c r="E502" s="18">
        <f t="shared" si="745"/>
        <v>42.71</v>
      </c>
      <c r="F502">
        <f t="shared" si="746"/>
        <v>-3</v>
      </c>
      <c r="G502" s="18">
        <f>ROUND(INDEX(Valuation!U:U,MATCH(A502,Valuation!A:A,0)),2)</f>
        <v>252.18</v>
      </c>
      <c r="H502">
        <f t="shared" si="753"/>
        <v>3</v>
      </c>
      <c r="I502" s="18">
        <f>INDEX(WeeklyIndicators!Y:Y,MATCH(A502,WeeklyIndicators!A:A,0))</f>
        <v>3.93</v>
      </c>
      <c r="J502">
        <f t="shared" si="742"/>
        <v>-3</v>
      </c>
      <c r="K502">
        <f>ROUND(INDEX(Economic!AF:AF,MATCH(EOMONTH($A502,-1),Economic!A:A,0)),2)</f>
        <v>4.29</v>
      </c>
      <c r="L502" s="11">
        <f t="shared" si="751"/>
        <v>-3</v>
      </c>
      <c r="M502">
        <f>ROUND(INDEX(Manufacturing!P:P,MATCH(EOMONTH($A502,-1),Manufacturing!A:A,0)),2)</f>
        <v>0</v>
      </c>
      <c r="N502">
        <f t="shared" si="747"/>
        <v>-3</v>
      </c>
      <c r="O502">
        <f>ROUND(INDEX(Housing!AC:AC,MATCH(EOMONTH($A502,-1),Housing!B:B,0)),2)</f>
        <v>0</v>
      </c>
      <c r="P502">
        <f t="shared" si="748"/>
        <v>-3</v>
      </c>
      <c r="Q502">
        <f>ROUND(INDEX(Spending!AJ:AJ,MATCH(EOMONTH($A502,-1),Spending!B:B,0)),2)</f>
        <v>12.67</v>
      </c>
      <c r="R502">
        <f t="shared" si="752"/>
        <v>-2</v>
      </c>
      <c r="S502">
        <f>ROUND(INDEX(Employment!V:V,MATCH(EOMONTH($A502,-1),Employment!A:A,0)),2)</f>
        <v>6.87</v>
      </c>
      <c r="T502" s="11">
        <f t="shared" si="749"/>
        <v>-3</v>
      </c>
      <c r="U502">
        <f t="shared" si="741"/>
        <v>3</v>
      </c>
      <c r="V502">
        <f t="shared" si="733"/>
        <v>8.33</v>
      </c>
      <c r="W502" s="13">
        <f t="shared" si="734"/>
        <v>-0.2404</v>
      </c>
      <c r="X502" s="13">
        <f t="shared" si="735"/>
        <v>-0.61060000000000003</v>
      </c>
      <c r="Y502">
        <f t="shared" si="727"/>
        <v>15.83</v>
      </c>
      <c r="Z502" s="13">
        <f t="shared" si="722"/>
        <v>-8.1699999999999995E-2</v>
      </c>
      <c r="AA502" s="13">
        <f t="shared" si="754"/>
        <v>4.2099999999999999E-2</v>
      </c>
      <c r="AB502" s="6">
        <f t="shared" si="728"/>
        <v>30.538000000000004</v>
      </c>
      <c r="AC502">
        <f t="shared" si="720"/>
        <v>15</v>
      </c>
      <c r="AD502" s="11">
        <f t="shared" si="721"/>
        <v>-1</v>
      </c>
      <c r="AE502">
        <f t="shared" si="719"/>
        <v>4</v>
      </c>
      <c r="AF502">
        <f>IF(AND(AE502&lt;15,OR(AC502&gt;=30,AA502&gt;0.15,X502&gt;=0.15)),2,VLOOKUP(AE502,Table!P:Q,2,FALSE))</f>
        <v>1</v>
      </c>
      <c r="AG502" s="22">
        <f>IF((AB502*0.98)-(D502*0.8)+((AF502-3)*3)+VLOOKUP(AM502,Table!$A$11:$B$13,2,FALSE)&lt;0,0,(AB502*0.98)-(D502*0.8)+((AF502-3)*3)+VLOOKUP(AM502,Table!$A$11:$B$13,2,FALSE))</f>
        <v>0</v>
      </c>
      <c r="AH502" s="22">
        <f t="shared" si="750"/>
        <v>2</v>
      </c>
      <c r="AI502" s="18">
        <f t="shared" si="743"/>
        <v>0.22</v>
      </c>
      <c r="AJ502" s="18">
        <f t="shared" si="744"/>
        <v>1.07</v>
      </c>
      <c r="AK502" t="str">
        <f t="shared" si="729"/>
        <v>Falling Rates</v>
      </c>
      <c r="AL502">
        <f t="shared" si="740"/>
        <v>4</v>
      </c>
      <c r="AM502" s="11" t="str">
        <f t="shared" si="730"/>
        <v>Stocks</v>
      </c>
      <c r="AN502" t="str">
        <f t="shared" si="736"/>
        <v>Sell</v>
      </c>
      <c r="AO502" s="13">
        <f t="shared" si="737"/>
        <v>-2.1399999999999999E-2</v>
      </c>
      <c r="AP502" s="13">
        <f t="shared" si="738"/>
        <v>0</v>
      </c>
      <c r="AQ502" s="13">
        <f t="shared" si="739"/>
        <v>-4.0000000000000002E-4</v>
      </c>
      <c r="AR502" s="13">
        <f t="shared" si="731"/>
        <v>-2.1399999999999999E-2</v>
      </c>
      <c r="AS502" s="6">
        <f t="shared" si="723"/>
        <v>211.79105768332656</v>
      </c>
      <c r="AT502" s="6">
        <f t="shared" si="724"/>
        <v>185.8998839813479</v>
      </c>
      <c r="AU502" s="6">
        <f t="shared" si="725"/>
        <v>408.99448555426119</v>
      </c>
      <c r="AV502" s="6">
        <f t="shared" si="726"/>
        <v>496.72628364546028</v>
      </c>
      <c r="AW502" s="58">
        <f t="shared" si="732"/>
        <v>2009</v>
      </c>
      <c r="AX502" s="58">
        <f>COUNTIF(AW$3:AW502,AW502)</f>
        <v>50</v>
      </c>
    </row>
    <row r="503" spans="1:50" x14ac:dyDescent="0.25">
      <c r="A503" s="5">
        <v>39824</v>
      </c>
      <c r="B503">
        <v>890.35</v>
      </c>
      <c r="C503">
        <v>0.11</v>
      </c>
      <c r="D503" s="6">
        <v>42.82</v>
      </c>
      <c r="E503" s="18">
        <f t="shared" si="745"/>
        <v>41.8</v>
      </c>
      <c r="F503">
        <f t="shared" si="746"/>
        <v>-3</v>
      </c>
      <c r="G503" s="18">
        <f>ROUND(INDEX(Valuation!U:U,MATCH(A503,Valuation!A:A,0)),2)</f>
        <v>249.36</v>
      </c>
      <c r="H503">
        <f t="shared" si="753"/>
        <v>3</v>
      </c>
      <c r="I503" s="18">
        <f>INDEX(WeeklyIndicators!Y:Y,MATCH(A503,WeeklyIndicators!A:A,0))</f>
        <v>0</v>
      </c>
      <c r="J503">
        <f t="shared" si="742"/>
        <v>-3</v>
      </c>
      <c r="K503">
        <f>ROUND(INDEX(Economic!AF:AF,MATCH(EOMONTH($A503,-1),Economic!A:A,0)),2)</f>
        <v>4.29</v>
      </c>
      <c r="L503" s="11">
        <f t="shared" si="751"/>
        <v>-3</v>
      </c>
      <c r="M503">
        <f>ROUND(INDEX(Manufacturing!P:P,MATCH(EOMONTH($A503,-1),Manufacturing!A:A,0)),2)</f>
        <v>0</v>
      </c>
      <c r="N503">
        <f t="shared" si="747"/>
        <v>-3</v>
      </c>
      <c r="O503">
        <f>ROUND(INDEX(Housing!AC:AC,MATCH(EOMONTH($A503,-1),Housing!B:B,0)),2)</f>
        <v>0</v>
      </c>
      <c r="P503">
        <f t="shared" si="748"/>
        <v>-3</v>
      </c>
      <c r="Q503">
        <f>ROUND(INDEX(Spending!AJ:AJ,MATCH(EOMONTH($A503,-1),Spending!B:B,0)),2)</f>
        <v>12.67</v>
      </c>
      <c r="R503">
        <f t="shared" si="752"/>
        <v>-2</v>
      </c>
      <c r="S503">
        <f>ROUND(INDEX(Employment!V:V,MATCH(EOMONTH($A503,-1),Employment!A:A,0)),2)</f>
        <v>6.87</v>
      </c>
      <c r="T503" s="11">
        <f t="shared" si="749"/>
        <v>-3</v>
      </c>
      <c r="U503">
        <f t="shared" si="741"/>
        <v>3</v>
      </c>
      <c r="V503">
        <f t="shared" si="733"/>
        <v>7.92</v>
      </c>
      <c r="W503" s="13">
        <f t="shared" si="734"/>
        <v>-0.2021</v>
      </c>
      <c r="X503" s="13">
        <f t="shared" si="735"/>
        <v>-0.50659999999999994</v>
      </c>
      <c r="Y503">
        <f t="shared" si="727"/>
        <v>15.43</v>
      </c>
      <c r="Z503" s="13">
        <f t="shared" si="722"/>
        <v>-3.2899999999999999E-2</v>
      </c>
      <c r="AA503" s="13">
        <f t="shared" si="754"/>
        <v>9.849999999999999E-2</v>
      </c>
      <c r="AB503" s="6">
        <f t="shared" si="728"/>
        <v>34.666000000000004</v>
      </c>
      <c r="AC503">
        <f t="shared" si="720"/>
        <v>17</v>
      </c>
      <c r="AD503" s="11">
        <f t="shared" si="721"/>
        <v>-1</v>
      </c>
      <c r="AE503">
        <f t="shared" si="719"/>
        <v>4</v>
      </c>
      <c r="AF503">
        <f>IF(AND(AE503&lt;15,OR(AC503&gt;=30,AA503&gt;0.15,X503&gt;=0.15)),2,VLOOKUP(AE503,Table!P:Q,2,FALSE))</f>
        <v>1</v>
      </c>
      <c r="AG503" s="22">
        <f>IF((AB503*0.98)-(D503*0.8)+((AF503-3)*3)+VLOOKUP(AM503,Table!$A$11:$B$13,2,FALSE)&lt;0,0,(AB503*0.98)-(D503*0.8)+((AF503-3)*3)+VLOOKUP(AM503,Table!$A$11:$B$13,2,FALSE))</f>
        <v>1.7166800000000038</v>
      </c>
      <c r="AH503" s="22">
        <f t="shared" si="750"/>
        <v>2</v>
      </c>
      <c r="AI503" s="18">
        <f t="shared" si="743"/>
        <v>0.24</v>
      </c>
      <c r="AJ503" s="18">
        <f t="shared" si="744"/>
        <v>1.1000000000000001</v>
      </c>
      <c r="AK503" t="str">
        <f t="shared" si="729"/>
        <v>Falling Rates</v>
      </c>
      <c r="AL503">
        <f t="shared" si="740"/>
        <v>3.75</v>
      </c>
      <c r="AM503" s="11" t="str">
        <f t="shared" si="730"/>
        <v>Stocks</v>
      </c>
      <c r="AN503" t="str">
        <f t="shared" si="736"/>
        <v>Sell</v>
      </c>
      <c r="AO503" s="13">
        <f t="shared" si="737"/>
        <v>-4.5199999999999997E-2</v>
      </c>
      <c r="AP503" s="13">
        <f t="shared" si="738"/>
        <v>0</v>
      </c>
      <c r="AQ503" s="13">
        <f t="shared" si="739"/>
        <v>-8.9999999999999998E-4</v>
      </c>
      <c r="AR503" s="13">
        <f t="shared" si="731"/>
        <v>-4.5199999999999997E-2</v>
      </c>
      <c r="AS503" s="6">
        <f t="shared" si="723"/>
        <v>221.81719489246603</v>
      </c>
      <c r="AT503" s="6">
        <f t="shared" si="724"/>
        <v>185.8998839813479</v>
      </c>
      <c r="AU503" s="6">
        <f t="shared" si="725"/>
        <v>409.36291217521887</v>
      </c>
      <c r="AV503" s="6">
        <f t="shared" si="726"/>
        <v>520.24118521728144</v>
      </c>
      <c r="AW503" s="58">
        <f t="shared" si="732"/>
        <v>2009</v>
      </c>
      <c r="AX503" s="58">
        <f>COUNTIF(AW$3:AW503,AW503)</f>
        <v>51</v>
      </c>
    </row>
    <row r="504" spans="1:50" x14ac:dyDescent="0.25">
      <c r="A504" s="5">
        <v>39817</v>
      </c>
      <c r="B504">
        <v>931.8</v>
      </c>
      <c r="C504">
        <v>0.09</v>
      </c>
      <c r="D504" s="6">
        <v>39.19</v>
      </c>
      <c r="E504" s="18">
        <f t="shared" si="745"/>
        <v>42.5</v>
      </c>
      <c r="F504">
        <f t="shared" si="746"/>
        <v>-3</v>
      </c>
      <c r="G504" s="18">
        <f>ROUND(INDEX(Valuation!U:U,MATCH(A504,Valuation!A:A,0)),2)</f>
        <v>243.89</v>
      </c>
      <c r="H504">
        <f t="shared" si="753"/>
        <v>3</v>
      </c>
      <c r="I504" s="18">
        <f>INDEX(WeeklyIndicators!Y:Y,MATCH(A504,WeeklyIndicators!A:A,0))</f>
        <v>0</v>
      </c>
      <c r="J504">
        <f t="shared" si="742"/>
        <v>-3</v>
      </c>
      <c r="K504">
        <f>ROUND(INDEX(Economic!AF:AF,MATCH(EOMONTH($A504,-1),Economic!A:A,0)),2)</f>
        <v>4.29</v>
      </c>
      <c r="L504" s="11">
        <f t="shared" si="751"/>
        <v>-3</v>
      </c>
      <c r="M504">
        <f>ROUND(INDEX(Manufacturing!P:P,MATCH(EOMONTH($A504,-1),Manufacturing!A:A,0)),2)</f>
        <v>0</v>
      </c>
      <c r="N504">
        <f t="shared" si="747"/>
        <v>-3</v>
      </c>
      <c r="O504">
        <f>ROUND(INDEX(Housing!AC:AC,MATCH(EOMONTH($A504,-1),Housing!B:B,0)),2)</f>
        <v>0</v>
      </c>
      <c r="P504">
        <f t="shared" si="748"/>
        <v>-3</v>
      </c>
      <c r="Q504">
        <f>ROUND(INDEX(Spending!AJ:AJ,MATCH(EOMONTH($A504,-1),Spending!B:B,0)),2)</f>
        <v>12.67</v>
      </c>
      <c r="R504">
        <f t="shared" si="752"/>
        <v>-2</v>
      </c>
      <c r="S504">
        <f>ROUND(INDEX(Employment!V:V,MATCH(EOMONTH($A504,-1),Employment!A:A,0)),2)</f>
        <v>6.87</v>
      </c>
      <c r="T504" s="11">
        <f t="shared" si="749"/>
        <v>-3</v>
      </c>
      <c r="U504">
        <f t="shared" si="741"/>
        <v>3</v>
      </c>
      <c r="V504">
        <f t="shared" si="733"/>
        <v>7.92</v>
      </c>
      <c r="W504" s="13">
        <f t="shared" si="734"/>
        <v>-0.1681</v>
      </c>
      <c r="X504" s="13">
        <f t="shared" si="735"/>
        <v>-0.42699999999999999</v>
      </c>
      <c r="Y504">
        <f t="shared" si="727"/>
        <v>14.58</v>
      </c>
      <c r="Z504" s="13">
        <f t="shared" si="722"/>
        <v>-1.15E-2</v>
      </c>
      <c r="AA504" s="13">
        <f t="shared" si="754"/>
        <v>8.3999999999999991E-2</v>
      </c>
      <c r="AB504" s="6">
        <f t="shared" si="728"/>
        <v>33.088999999999999</v>
      </c>
      <c r="AC504">
        <f t="shared" si="720"/>
        <v>17</v>
      </c>
      <c r="AD504" s="11">
        <f t="shared" si="721"/>
        <v>-1</v>
      </c>
      <c r="AE504">
        <f t="shared" ref="AE504:AE567" si="755">IF(AND(AA504&gt;=0.2,AC504&gt;=20,U504+AD504+2&lt;30),U504+AD504+2+12,U504+AD504+2)</f>
        <v>4</v>
      </c>
      <c r="AF504">
        <f>IF(AND(AE504&lt;15,OR(AC504&gt;=30,AA504&gt;0.15,X504&gt;=0.15)),2,VLOOKUP(AE504,Table!P:Q,2,FALSE))</f>
        <v>1</v>
      </c>
      <c r="AG504" s="22">
        <f>IF((AB504*0.98)-(D504*0.8)+((AF504-3)*3)+VLOOKUP(AM504,Table!$A$11:$B$13,2,FALSE)&lt;0,0,(AB504*0.98)-(D504*0.8)+((AF504-3)*3)+VLOOKUP(AM504,Table!$A$11:$B$13,2,FALSE))</f>
        <v>3.0752199999999981</v>
      </c>
      <c r="AH504" s="22">
        <f t="shared" si="750"/>
        <v>1</v>
      </c>
      <c r="AI504" s="18">
        <f t="shared" si="743"/>
        <v>0.28000000000000003</v>
      </c>
      <c r="AJ504" s="18">
        <f t="shared" si="744"/>
        <v>1.1299999999999999</v>
      </c>
      <c r="AK504" t="str">
        <f t="shared" si="729"/>
        <v>Falling Rates</v>
      </c>
      <c r="AL504">
        <f t="shared" si="740"/>
        <v>3.5</v>
      </c>
      <c r="AM504" s="11" t="str">
        <f t="shared" si="730"/>
        <v>Stocks</v>
      </c>
      <c r="AN504" t="str">
        <f t="shared" si="736"/>
        <v>Sell</v>
      </c>
      <c r="AO504" s="13">
        <f t="shared" si="737"/>
        <v>-4.4499999999999998E-2</v>
      </c>
      <c r="AP504" s="13">
        <f t="shared" si="738"/>
        <v>0</v>
      </c>
      <c r="AQ504" s="13">
        <f t="shared" si="739"/>
        <v>-4.0000000000000002E-4</v>
      </c>
      <c r="AR504" s="13">
        <f t="shared" si="731"/>
        <v>-4.4499999999999998E-2</v>
      </c>
      <c r="AS504" s="6">
        <f t="shared" si="723"/>
        <v>232.14777068808584</v>
      </c>
      <c r="AT504" s="6">
        <f t="shared" si="724"/>
        <v>185.8998839813479</v>
      </c>
      <c r="AU504" s="6">
        <f t="shared" si="725"/>
        <v>409.52672286436461</v>
      </c>
      <c r="AV504" s="6">
        <f t="shared" si="726"/>
        <v>544.47010488464832</v>
      </c>
      <c r="AW504" s="58">
        <f t="shared" si="732"/>
        <v>2009</v>
      </c>
      <c r="AX504" s="58">
        <f>COUNTIF(AW$3:AW504,AW504)</f>
        <v>52</v>
      </c>
    </row>
    <row r="505" spans="1:50" x14ac:dyDescent="0.25">
      <c r="A505" s="5">
        <v>39810</v>
      </c>
      <c r="B505">
        <v>872.8</v>
      </c>
      <c r="C505">
        <v>0.02</v>
      </c>
      <c r="D505" s="6">
        <v>43.38</v>
      </c>
      <c r="E505" s="18">
        <f t="shared" si="745"/>
        <v>47.53</v>
      </c>
      <c r="F505">
        <f t="shared" si="746"/>
        <v>-3</v>
      </c>
      <c r="G505" s="18">
        <f>ROUND(INDEX(Valuation!U:U,MATCH(A505,Valuation!A:A,0)),2)</f>
        <v>235.1</v>
      </c>
      <c r="H505">
        <f t="shared" si="753"/>
        <v>3</v>
      </c>
      <c r="I505" s="18">
        <f>INDEX(WeeklyIndicators!Y:Y,MATCH(A505,WeeklyIndicators!A:A,0))</f>
        <v>0</v>
      </c>
      <c r="J505">
        <f t="shared" si="742"/>
        <v>-3</v>
      </c>
      <c r="K505">
        <f>ROUND(INDEX(Economic!AF:AF,MATCH(EOMONTH($A505,-1),Economic!A:A,0)),2)</f>
        <v>30.59</v>
      </c>
      <c r="L505" s="11">
        <f t="shared" si="751"/>
        <v>-3</v>
      </c>
      <c r="M505">
        <f>ROUND(INDEX(Manufacturing!P:P,MATCH(EOMONTH($A505,-1),Manufacturing!A:A,0)),2)</f>
        <v>13.42</v>
      </c>
      <c r="N505">
        <f t="shared" si="747"/>
        <v>-3</v>
      </c>
      <c r="O505">
        <f>ROUND(INDEX(Housing!AC:AC,MATCH(EOMONTH($A505,-1),Housing!B:B,0)),2)</f>
        <v>0</v>
      </c>
      <c r="P505">
        <f t="shared" si="748"/>
        <v>-3</v>
      </c>
      <c r="Q505">
        <f>ROUND(INDEX(Spending!AJ:AJ,MATCH(EOMONTH($A505,-1),Spending!B:B,0)),2)</f>
        <v>26.76</v>
      </c>
      <c r="R505">
        <f t="shared" si="752"/>
        <v>-2</v>
      </c>
      <c r="S505">
        <f>ROUND(INDEX(Employment!V:V,MATCH(EOMONTH($A505,-1),Employment!A:A,0)),2)</f>
        <v>21.98</v>
      </c>
      <c r="T505" s="11">
        <f t="shared" si="749"/>
        <v>-3</v>
      </c>
      <c r="U505">
        <f t="shared" si="741"/>
        <v>3</v>
      </c>
      <c r="V505">
        <f t="shared" si="733"/>
        <v>15.98</v>
      </c>
      <c r="W505" s="13">
        <f t="shared" si="734"/>
        <v>0</v>
      </c>
      <c r="X505" s="13">
        <f t="shared" si="735"/>
        <v>-0.36799999999999999</v>
      </c>
      <c r="Y505">
        <f t="shared" si="727"/>
        <v>19.91</v>
      </c>
      <c r="Z505" s="13">
        <f t="shared" si="722"/>
        <v>0.16819999999999999</v>
      </c>
      <c r="AA505" s="13">
        <f t="shared" si="754"/>
        <v>-1.0200000000000001E-2</v>
      </c>
      <c r="AB505" s="6">
        <f t="shared" si="728"/>
        <v>32.089999999999996</v>
      </c>
      <c r="AC505">
        <f t="shared" si="720"/>
        <v>16</v>
      </c>
      <c r="AD505" s="11">
        <f t="shared" si="721"/>
        <v>-1</v>
      </c>
      <c r="AE505">
        <f t="shared" si="755"/>
        <v>4</v>
      </c>
      <c r="AF505">
        <f>IF(AND(AE505&lt;15,OR(AC505&gt;=30,AA505&gt;0.15,X505&gt;=0.15)),2,VLOOKUP(AE505,Table!P:Q,2,FALSE))</f>
        <v>1</v>
      </c>
      <c r="AG505" s="22">
        <f>IF((AB505*0.98)-(D505*0.8)+((AF505-3)*3)+VLOOKUP(AM505,Table!$A$11:$B$13,2,FALSE)&lt;0,0,(AB505*0.98)-(D505*0.8)+((AF505-3)*3)+VLOOKUP(AM505,Table!$A$11:$B$13,2,FALSE))</f>
        <v>0</v>
      </c>
      <c r="AH505" s="22">
        <f t="shared" si="750"/>
        <v>0</v>
      </c>
      <c r="AI505" s="18">
        <f t="shared" si="743"/>
        <v>0.33</v>
      </c>
      <c r="AJ505" s="18">
        <f t="shared" si="744"/>
        <v>1.1599999999999999</v>
      </c>
      <c r="AK505" t="str">
        <f t="shared" si="729"/>
        <v>Falling Rates</v>
      </c>
      <c r="AL505">
        <f t="shared" si="740"/>
        <v>3.5</v>
      </c>
      <c r="AM505" s="11" t="str">
        <f t="shared" si="730"/>
        <v>Stocks</v>
      </c>
      <c r="AN505" t="str">
        <f t="shared" si="736"/>
        <v>Sell</v>
      </c>
      <c r="AO505" s="13">
        <f t="shared" si="737"/>
        <v>6.7599999999999993E-2</v>
      </c>
      <c r="AP505" s="13">
        <f t="shared" si="738"/>
        <v>0</v>
      </c>
      <c r="AQ505" s="13">
        <f t="shared" si="739"/>
        <v>0</v>
      </c>
      <c r="AR505" s="13">
        <f t="shared" si="731"/>
        <v>6.7599999999999993E-2</v>
      </c>
      <c r="AS505" s="6">
        <f t="shared" si="723"/>
        <v>217.44826778576791</v>
      </c>
      <c r="AT505" s="6">
        <f t="shared" si="724"/>
        <v>185.8998839813479</v>
      </c>
      <c r="AU505" s="6">
        <f t="shared" si="725"/>
        <v>409.52672286436461</v>
      </c>
      <c r="AV505" s="6">
        <f t="shared" si="726"/>
        <v>509.99447816096693</v>
      </c>
      <c r="AW505" s="58">
        <f t="shared" si="732"/>
        <v>2008</v>
      </c>
      <c r="AX505" s="58">
        <f>COUNTIF(AW$3:AW505,AW505)</f>
        <v>1</v>
      </c>
    </row>
    <row r="506" spans="1:50" x14ac:dyDescent="0.25">
      <c r="A506" s="5">
        <v>39803</v>
      </c>
      <c r="B506">
        <v>887.88</v>
      </c>
      <c r="C506">
        <v>0.03</v>
      </c>
      <c r="D506" s="6">
        <v>44.93</v>
      </c>
      <c r="E506" s="18">
        <f t="shared" si="745"/>
        <v>53.05</v>
      </c>
      <c r="F506">
        <f t="shared" si="746"/>
        <v>-3</v>
      </c>
      <c r="G506" s="18">
        <f>ROUND(INDEX(Valuation!U:U,MATCH(A506,Valuation!A:A,0)),2)</f>
        <v>227.44</v>
      </c>
      <c r="H506">
        <f t="shared" si="753"/>
        <v>3</v>
      </c>
      <c r="I506" s="18">
        <f>INDEX(WeeklyIndicators!Y:Y,MATCH(A506,WeeklyIndicators!A:A,0))</f>
        <v>0</v>
      </c>
      <c r="J506">
        <f t="shared" si="742"/>
        <v>-3</v>
      </c>
      <c r="K506">
        <f>ROUND(INDEX(Economic!AF:AF,MATCH(EOMONTH($A506,-1),Economic!A:A,0)),2)</f>
        <v>30.59</v>
      </c>
      <c r="L506" s="11">
        <f t="shared" si="751"/>
        <v>-3</v>
      </c>
      <c r="M506">
        <f>ROUND(INDEX(Manufacturing!P:P,MATCH(EOMONTH($A506,-1),Manufacturing!A:A,0)),2)</f>
        <v>13.42</v>
      </c>
      <c r="N506">
        <f t="shared" si="747"/>
        <v>-3</v>
      </c>
      <c r="O506">
        <f>ROUND(INDEX(Housing!AC:AC,MATCH(EOMONTH($A506,-1),Housing!B:B,0)),2)</f>
        <v>0</v>
      </c>
      <c r="P506">
        <f t="shared" si="748"/>
        <v>-3</v>
      </c>
      <c r="Q506">
        <f>ROUND(INDEX(Spending!AJ:AJ,MATCH(EOMONTH($A506,-1),Spending!B:B,0)),2)</f>
        <v>26.76</v>
      </c>
      <c r="R506">
        <f t="shared" si="752"/>
        <v>-2</v>
      </c>
      <c r="S506">
        <f>ROUND(INDEX(Employment!V:V,MATCH(EOMONTH($A506,-1),Employment!A:A,0)),2)</f>
        <v>21.98</v>
      </c>
      <c r="T506" s="11">
        <f t="shared" si="749"/>
        <v>-3</v>
      </c>
      <c r="U506">
        <f t="shared" si="741"/>
        <v>3</v>
      </c>
      <c r="V506">
        <f t="shared" si="733"/>
        <v>15.98</v>
      </c>
      <c r="W506" s="13">
        <f t="shared" si="734"/>
        <v>-0.13639999999999999</v>
      </c>
      <c r="X506" s="13">
        <f t="shared" si="735"/>
        <v>-0.36619999999999997</v>
      </c>
      <c r="Y506">
        <f t="shared" si="727"/>
        <v>17.13</v>
      </c>
      <c r="Z506" s="13">
        <f t="shared" si="722"/>
        <v>-2.53E-2</v>
      </c>
      <c r="AA506" s="13">
        <f t="shared" si="754"/>
        <v>-0.1268</v>
      </c>
      <c r="AB506" s="6">
        <f t="shared" si="728"/>
        <v>20.753999999999998</v>
      </c>
      <c r="AC506">
        <f t="shared" si="720"/>
        <v>10</v>
      </c>
      <c r="AD506" s="11">
        <f t="shared" si="721"/>
        <v>-2</v>
      </c>
      <c r="AE506">
        <f t="shared" si="755"/>
        <v>3</v>
      </c>
      <c r="AF506">
        <f>IF(AND(AE506&lt;15,OR(AC506&gt;=30,AA506&gt;0.15,X506&gt;=0.15)),2,VLOOKUP(AE506,Table!P:Q,2,FALSE))</f>
        <v>1</v>
      </c>
      <c r="AG506" s="22">
        <f>IF((AB506*0.98)-(D506*0.8)+((AF506-3)*3)+VLOOKUP(AM506,Table!$A$11:$B$13,2,FALSE)&lt;0,0,(AB506*0.98)-(D506*0.8)+((AF506-3)*3)+VLOOKUP(AM506,Table!$A$11:$B$13,2,FALSE))</f>
        <v>0</v>
      </c>
      <c r="AH506" s="22">
        <f t="shared" si="750"/>
        <v>0</v>
      </c>
      <c r="AI506" s="18">
        <f t="shared" si="743"/>
        <v>0.39</v>
      </c>
      <c r="AJ506" s="18">
        <f t="shared" si="744"/>
        <v>1.19</v>
      </c>
      <c r="AK506" t="str">
        <f t="shared" si="729"/>
        <v>Falling Rates</v>
      </c>
      <c r="AL506">
        <f t="shared" si="740"/>
        <v>4</v>
      </c>
      <c r="AM506" s="11" t="str">
        <f t="shared" si="730"/>
        <v>Stocks</v>
      </c>
      <c r="AN506" t="str">
        <f t="shared" si="736"/>
        <v>Sell</v>
      </c>
      <c r="AO506" s="13">
        <f t="shared" si="737"/>
        <v>-1.7000000000000001E-2</v>
      </c>
      <c r="AP506" s="13">
        <f t="shared" si="738"/>
        <v>0</v>
      </c>
      <c r="AQ506" s="13">
        <f t="shared" si="739"/>
        <v>0</v>
      </c>
      <c r="AR506" s="13">
        <f t="shared" si="731"/>
        <v>-1.7000000000000001E-2</v>
      </c>
      <c r="AS506" s="6">
        <f t="shared" si="723"/>
        <v>221.20881768643736</v>
      </c>
      <c r="AT506" s="6">
        <f t="shared" si="724"/>
        <v>185.8998839813479</v>
      </c>
      <c r="AU506" s="6">
        <f t="shared" si="725"/>
        <v>409.52672286436461</v>
      </c>
      <c r="AV506" s="6">
        <f t="shared" si="726"/>
        <v>518.81432162865406</v>
      </c>
      <c r="AW506" s="58">
        <f t="shared" si="732"/>
        <v>2008</v>
      </c>
      <c r="AX506" s="58">
        <f>COUNTIF(AW$3:AW506,AW506)</f>
        <v>2</v>
      </c>
    </row>
    <row r="507" spans="1:50" x14ac:dyDescent="0.25">
      <c r="A507" s="5">
        <v>39796</v>
      </c>
      <c r="B507">
        <v>879.73</v>
      </c>
      <c r="C507">
        <v>0.02</v>
      </c>
      <c r="D507" s="6">
        <v>54.28</v>
      </c>
      <c r="E507" s="18">
        <f t="shared" si="745"/>
        <v>56.5</v>
      </c>
      <c r="F507">
        <f t="shared" si="746"/>
        <v>-3</v>
      </c>
      <c r="G507" s="18">
        <f>ROUND(INDEX(Valuation!U:U,MATCH(A507,Valuation!A:A,0)),2)</f>
        <v>220.75</v>
      </c>
      <c r="H507">
        <f t="shared" si="753"/>
        <v>3</v>
      </c>
      <c r="I507" s="18">
        <f>INDEX(WeeklyIndicators!Y:Y,MATCH(A507,WeeklyIndicators!A:A,0))</f>
        <v>0</v>
      </c>
      <c r="J507">
        <f t="shared" si="742"/>
        <v>-3</v>
      </c>
      <c r="K507">
        <f>ROUND(INDEX(Economic!AF:AF,MATCH(EOMONTH($A507,-1),Economic!A:A,0)),2)</f>
        <v>30.59</v>
      </c>
      <c r="L507" s="11">
        <f t="shared" si="751"/>
        <v>-3</v>
      </c>
      <c r="M507">
        <f>ROUND(INDEX(Manufacturing!P:P,MATCH(EOMONTH($A507,-1),Manufacturing!A:A,0)),2)</f>
        <v>13.42</v>
      </c>
      <c r="N507">
        <f t="shared" si="747"/>
        <v>-3</v>
      </c>
      <c r="O507">
        <f>ROUND(INDEX(Housing!AC:AC,MATCH(EOMONTH($A507,-1),Housing!B:B,0)),2)</f>
        <v>0</v>
      </c>
      <c r="P507">
        <f t="shared" si="748"/>
        <v>-3</v>
      </c>
      <c r="Q507">
        <f>ROUND(INDEX(Spending!AJ:AJ,MATCH(EOMONTH($A507,-1),Spending!B:B,0)),2)</f>
        <v>26.76</v>
      </c>
      <c r="R507">
        <f t="shared" si="752"/>
        <v>-2</v>
      </c>
      <c r="S507">
        <f>ROUND(INDEX(Employment!V:V,MATCH(EOMONTH($A507,-1),Employment!A:A,0)),2)</f>
        <v>21.98</v>
      </c>
      <c r="T507" s="11">
        <f t="shared" si="749"/>
        <v>-3</v>
      </c>
      <c r="U507">
        <f t="shared" si="741"/>
        <v>3</v>
      </c>
      <c r="V507">
        <f t="shared" si="733"/>
        <v>15.98</v>
      </c>
      <c r="W507" s="13">
        <f t="shared" si="734"/>
        <v>-0.1225</v>
      </c>
      <c r="X507" s="13">
        <f t="shared" si="735"/>
        <v>-0.22540000000000002</v>
      </c>
      <c r="Y507">
        <f t="shared" si="727"/>
        <v>15.18</v>
      </c>
      <c r="Z507" s="13">
        <f t="shared" si="722"/>
        <v>-4.7399999999999998E-2</v>
      </c>
      <c r="AA507" s="13">
        <f t="shared" si="754"/>
        <v>-1.7900000000000013E-2</v>
      </c>
      <c r="AB507" s="6">
        <f t="shared" si="728"/>
        <v>26.835000000000001</v>
      </c>
      <c r="AC507">
        <f t="shared" si="720"/>
        <v>13</v>
      </c>
      <c r="AD507" s="11">
        <f t="shared" si="721"/>
        <v>-2</v>
      </c>
      <c r="AE507">
        <f t="shared" si="755"/>
        <v>3</v>
      </c>
      <c r="AF507">
        <f>IF(AND(AE507&lt;15,OR(AC507&gt;=30,AA507&gt;0.15,X507&gt;=0.15)),2,VLOOKUP(AE507,Table!P:Q,2,FALSE))</f>
        <v>1</v>
      </c>
      <c r="AG507" s="22">
        <f>IF((AB507*0.98)-(D507*0.8)+((AF507-3)*3)+VLOOKUP(AM507,Table!$A$11:$B$13,2,FALSE)&lt;0,0,(AB507*0.98)-(D507*0.8)+((AF507-3)*3)+VLOOKUP(AM507,Table!$A$11:$B$13,2,FALSE))</f>
        <v>0</v>
      </c>
      <c r="AH507" s="22">
        <f t="shared" si="750"/>
        <v>0</v>
      </c>
      <c r="AI507" s="18">
        <f t="shared" si="743"/>
        <v>0.44</v>
      </c>
      <c r="AJ507" s="18">
        <f t="shared" si="744"/>
        <v>1.21</v>
      </c>
      <c r="AK507" t="str">
        <f t="shared" si="729"/>
        <v>Falling Rates</v>
      </c>
      <c r="AL507">
        <f t="shared" si="740"/>
        <v>4.25</v>
      </c>
      <c r="AM507" s="11" t="str">
        <f t="shared" si="730"/>
        <v>Stocks</v>
      </c>
      <c r="AN507" t="str">
        <f t="shared" si="736"/>
        <v>Sell</v>
      </c>
      <c r="AO507" s="13">
        <f t="shared" si="737"/>
        <v>9.2999999999999992E-3</v>
      </c>
      <c r="AP507" s="13">
        <f t="shared" si="738"/>
        <v>0</v>
      </c>
      <c r="AQ507" s="13">
        <f t="shared" si="739"/>
        <v>0</v>
      </c>
      <c r="AR507" s="13">
        <f t="shared" si="731"/>
        <v>9.2999999999999992E-3</v>
      </c>
      <c r="AS507" s="6">
        <f t="shared" si="723"/>
        <v>219.17053174124376</v>
      </c>
      <c r="AT507" s="6">
        <f t="shared" si="724"/>
        <v>185.8998839813479</v>
      </c>
      <c r="AU507" s="6">
        <f t="shared" si="725"/>
        <v>409.52672286436461</v>
      </c>
      <c r="AV507" s="6">
        <f t="shared" si="726"/>
        <v>514.03380722149416</v>
      </c>
      <c r="AW507" s="58">
        <f t="shared" si="732"/>
        <v>2008</v>
      </c>
      <c r="AX507" s="58">
        <f>COUNTIF(AW$3:AW507,AW507)</f>
        <v>3</v>
      </c>
    </row>
    <row r="508" spans="1:50" x14ac:dyDescent="0.25">
      <c r="A508" s="5">
        <v>39789</v>
      </c>
      <c r="B508">
        <v>876.07</v>
      </c>
      <c r="C508">
        <v>0.04</v>
      </c>
      <c r="D508" s="6">
        <v>59.93</v>
      </c>
      <c r="E508" s="18">
        <f t="shared" si="745"/>
        <v>62.63</v>
      </c>
      <c r="F508">
        <f t="shared" si="746"/>
        <v>-3</v>
      </c>
      <c r="G508" s="18">
        <f>ROUND(INDEX(Valuation!U:U,MATCH(A508,Valuation!A:A,0)),2)</f>
        <v>214.94</v>
      </c>
      <c r="H508">
        <f t="shared" si="753"/>
        <v>3</v>
      </c>
      <c r="I508" s="18">
        <f>INDEX(WeeklyIndicators!Y:Y,MATCH(A508,WeeklyIndicators!A:A,0))</f>
        <v>0</v>
      </c>
      <c r="J508">
        <f t="shared" si="742"/>
        <v>-3</v>
      </c>
      <c r="K508">
        <f>ROUND(INDEX(Economic!AF:AF,MATCH(EOMONTH($A508,-1),Economic!A:A,0)),2)</f>
        <v>30.59</v>
      </c>
      <c r="L508" s="11">
        <f t="shared" si="751"/>
        <v>-3</v>
      </c>
      <c r="M508">
        <f>ROUND(INDEX(Manufacturing!P:P,MATCH(EOMONTH($A508,-1),Manufacturing!A:A,0)),2)</f>
        <v>13.42</v>
      </c>
      <c r="N508">
        <f t="shared" si="747"/>
        <v>-3</v>
      </c>
      <c r="O508">
        <f>ROUND(INDEX(Housing!AC:AC,MATCH(EOMONTH($A508,-1),Housing!B:B,0)),2)</f>
        <v>0</v>
      </c>
      <c r="P508">
        <f t="shared" si="748"/>
        <v>-3</v>
      </c>
      <c r="Q508">
        <f>ROUND(INDEX(Spending!AJ:AJ,MATCH(EOMONTH($A508,-1),Spending!B:B,0)),2)</f>
        <v>26.76</v>
      </c>
      <c r="R508">
        <f t="shared" si="752"/>
        <v>-2</v>
      </c>
      <c r="S508">
        <f>ROUND(INDEX(Employment!V:V,MATCH(EOMONTH($A508,-1),Employment!A:A,0)),2)</f>
        <v>21.98</v>
      </c>
      <c r="T508" s="11">
        <f t="shared" si="749"/>
        <v>-3</v>
      </c>
      <c r="U508">
        <f t="shared" si="741"/>
        <v>3</v>
      </c>
      <c r="V508">
        <f t="shared" si="733"/>
        <v>15.98</v>
      </c>
      <c r="W508" s="13">
        <f t="shared" si="734"/>
        <v>-0.1091</v>
      </c>
      <c r="X508" s="13">
        <f t="shared" si="735"/>
        <v>-0.1628</v>
      </c>
      <c r="Y508">
        <f t="shared" si="727"/>
        <v>12.39</v>
      </c>
      <c r="Z508" s="13">
        <f t="shared" si="722"/>
        <v>-0.1057</v>
      </c>
      <c r="AA508" s="13">
        <f t="shared" si="754"/>
        <v>6.069999999999999E-2</v>
      </c>
      <c r="AB508" s="6">
        <f t="shared" si="728"/>
        <v>29.353999999999999</v>
      </c>
      <c r="AC508">
        <f t="shared" si="720"/>
        <v>15</v>
      </c>
      <c r="AD508" s="11">
        <f t="shared" si="721"/>
        <v>-1</v>
      </c>
      <c r="AE508">
        <f t="shared" si="755"/>
        <v>4</v>
      </c>
      <c r="AF508">
        <f>IF(AND(AE508&lt;15,OR(AC508&gt;=30,AA508&gt;0.15,X508&gt;=0.15)),2,VLOOKUP(AE508,Table!P:Q,2,FALSE))</f>
        <v>1</v>
      </c>
      <c r="AG508" s="22">
        <f>IF((AB508*0.98)-(D508*0.8)+((AF508-3)*3)+VLOOKUP(AM508,Table!$A$11:$B$13,2,FALSE)&lt;0,0,(AB508*0.98)-(D508*0.8)+((AF508-3)*3)+VLOOKUP(AM508,Table!$A$11:$B$13,2,FALSE))</f>
        <v>0</v>
      </c>
      <c r="AH508" s="22">
        <f t="shared" si="750"/>
        <v>0</v>
      </c>
      <c r="AI508" s="18">
        <f t="shared" si="743"/>
        <v>0.56000000000000005</v>
      </c>
      <c r="AJ508" s="18">
        <f t="shared" si="744"/>
        <v>1.24</v>
      </c>
      <c r="AK508" t="str">
        <f t="shared" si="729"/>
        <v>Falling Rates</v>
      </c>
      <c r="AL508">
        <f t="shared" si="740"/>
        <v>4.5</v>
      </c>
      <c r="AM508" s="11" t="str">
        <f t="shared" si="730"/>
        <v>Stocks</v>
      </c>
      <c r="AN508" t="str">
        <f t="shared" si="736"/>
        <v>Sell</v>
      </c>
      <c r="AO508" s="13">
        <f t="shared" si="737"/>
        <v>4.1999999999999997E-3</v>
      </c>
      <c r="AP508" s="13">
        <f t="shared" si="738"/>
        <v>0</v>
      </c>
      <c r="AQ508" s="13">
        <f t="shared" si="739"/>
        <v>0</v>
      </c>
      <c r="AR508" s="13">
        <f t="shared" si="731"/>
        <v>4.1999999999999997E-3</v>
      </c>
      <c r="AS508" s="6">
        <f t="shared" si="723"/>
        <v>218.25386550611807</v>
      </c>
      <c r="AT508" s="6">
        <f t="shared" si="724"/>
        <v>185.8998839813479</v>
      </c>
      <c r="AU508" s="6">
        <f t="shared" si="725"/>
        <v>409.52672286436461</v>
      </c>
      <c r="AV508" s="6">
        <f t="shared" si="726"/>
        <v>511.88389486306932</v>
      </c>
      <c r="AW508" s="58">
        <f t="shared" si="732"/>
        <v>2008</v>
      </c>
      <c r="AX508" s="58">
        <f>COUNTIF(AW$3:AW508,AW508)</f>
        <v>4</v>
      </c>
    </row>
    <row r="509" spans="1:50" x14ac:dyDescent="0.25">
      <c r="A509" s="5">
        <v>39782</v>
      </c>
      <c r="B509">
        <v>896.24</v>
      </c>
      <c r="C509">
        <v>7.0000000000000007E-2</v>
      </c>
      <c r="D509" s="6">
        <v>55.28</v>
      </c>
      <c r="E509" s="18">
        <f t="shared" si="745"/>
        <v>64.75</v>
      </c>
      <c r="F509">
        <f t="shared" si="746"/>
        <v>-3</v>
      </c>
      <c r="G509" s="18">
        <f>ROUND(INDEX(Valuation!U:U,MATCH(A509,Valuation!A:A,0)),2)</f>
        <v>206.65</v>
      </c>
      <c r="H509">
        <f t="shared" si="753"/>
        <v>3</v>
      </c>
      <c r="I509" s="18">
        <f>INDEX(WeeklyIndicators!Y:Y,MATCH(A509,WeeklyIndicators!A:A,0))</f>
        <v>1.17</v>
      </c>
      <c r="J509">
        <f t="shared" si="742"/>
        <v>-3</v>
      </c>
      <c r="K509">
        <f>ROUND(INDEX(Economic!AF:AF,MATCH(EOMONTH($A509,-1),Economic!A:A,0)),2)</f>
        <v>43.9</v>
      </c>
      <c r="L509" s="11">
        <f t="shared" si="751"/>
        <v>-3</v>
      </c>
      <c r="M509">
        <f>ROUND(INDEX(Manufacturing!P:P,MATCH(EOMONTH($A509,-1),Manufacturing!A:A,0)),2)</f>
        <v>34.57</v>
      </c>
      <c r="N509">
        <f t="shared" si="747"/>
        <v>-3</v>
      </c>
      <c r="O509">
        <f>ROUND(INDEX(Housing!AC:AC,MATCH(EOMONTH($A509,-1),Housing!B:B,0)),2)</f>
        <v>0</v>
      </c>
      <c r="P509">
        <f t="shared" si="748"/>
        <v>-3</v>
      </c>
      <c r="Q509">
        <f>ROUND(INDEX(Spending!AJ:AJ,MATCH(EOMONTH($A509,-1),Spending!B:B,0)),2)</f>
        <v>41.79</v>
      </c>
      <c r="R509">
        <f t="shared" si="752"/>
        <v>0</v>
      </c>
      <c r="S509">
        <f>ROUND(INDEX(Employment!V:V,MATCH(EOMONTH($A509,-1),Employment!A:A,0)),2)</f>
        <v>37.520000000000003</v>
      </c>
      <c r="T509" s="11">
        <f t="shared" si="749"/>
        <v>-3</v>
      </c>
      <c r="U509">
        <f t="shared" si="741"/>
        <v>5</v>
      </c>
      <c r="V509">
        <f t="shared" si="733"/>
        <v>23.55</v>
      </c>
      <c r="W509" s="13">
        <f t="shared" si="734"/>
        <v>1.8E-3</v>
      </c>
      <c r="X509" s="13">
        <f t="shared" si="735"/>
        <v>-0.1139</v>
      </c>
      <c r="Y509">
        <f t="shared" si="727"/>
        <v>18.29</v>
      </c>
      <c r="Z509" s="13">
        <f t="shared" si="722"/>
        <v>5.16E-2</v>
      </c>
      <c r="AA509" s="13">
        <f t="shared" si="754"/>
        <v>8.1299999999999997E-2</v>
      </c>
      <c r="AB509" s="6">
        <f t="shared" si="728"/>
        <v>36.545000000000002</v>
      </c>
      <c r="AC509">
        <f t="shared" ref="AC509:AC572" si="756">IF(ROUND(AB509/2,0)&lt;0,0,ROUND(AB509/2,0))</f>
        <v>18</v>
      </c>
      <c r="AD509" s="11">
        <f t="shared" si="721"/>
        <v>-1</v>
      </c>
      <c r="AE509">
        <f t="shared" si="755"/>
        <v>6</v>
      </c>
      <c r="AF509">
        <f>IF(AND(AE509&lt;15,OR(AC509&gt;=30,AA509&gt;0.15,X509&gt;=0.15)),2,VLOOKUP(AE509,Table!P:Q,2,FALSE))</f>
        <v>1</v>
      </c>
      <c r="AG509" s="22">
        <f>IF((AB509*0.98)-(D509*0.8)+((AF509-3)*3)+VLOOKUP(AM509,Table!$A$11:$B$13,2,FALSE)&lt;0,0,(AB509*0.98)-(D509*0.8)+((AF509-3)*3)+VLOOKUP(AM509,Table!$A$11:$B$13,2,FALSE))</f>
        <v>0</v>
      </c>
      <c r="AH509" s="22">
        <f t="shared" si="750"/>
        <v>0</v>
      </c>
      <c r="AI509" s="18">
        <f t="shared" si="743"/>
        <v>0.68</v>
      </c>
      <c r="AJ509" s="18">
        <f t="shared" si="744"/>
        <v>1.28</v>
      </c>
      <c r="AK509" t="str">
        <f t="shared" si="729"/>
        <v>Falling Rates</v>
      </c>
      <c r="AL509">
        <f t="shared" si="740"/>
        <v>4.5</v>
      </c>
      <c r="AM509" s="11" t="str">
        <f t="shared" si="730"/>
        <v>Stocks</v>
      </c>
      <c r="AN509" t="str">
        <f t="shared" si="736"/>
        <v>Sell</v>
      </c>
      <c r="AO509" s="13">
        <f t="shared" si="737"/>
        <v>-2.2499999999999999E-2</v>
      </c>
      <c r="AP509" s="13">
        <f t="shared" si="738"/>
        <v>0</v>
      </c>
      <c r="AQ509" s="13">
        <f t="shared" si="739"/>
        <v>0</v>
      </c>
      <c r="AR509" s="13">
        <f t="shared" si="731"/>
        <v>-2.2499999999999999E-2</v>
      </c>
      <c r="AS509" s="6">
        <f t="shared" si="723"/>
        <v>223.27761177096477</v>
      </c>
      <c r="AT509" s="6">
        <f t="shared" si="724"/>
        <v>185.8998839813479</v>
      </c>
      <c r="AU509" s="6">
        <f t="shared" si="725"/>
        <v>409.52672286436461</v>
      </c>
      <c r="AV509" s="6">
        <f t="shared" si="726"/>
        <v>523.66638860672049</v>
      </c>
      <c r="AW509" s="58">
        <f t="shared" si="732"/>
        <v>2008</v>
      </c>
      <c r="AX509" s="58">
        <f>COUNTIF(AW$3:AW509,AW509)</f>
        <v>5</v>
      </c>
    </row>
    <row r="510" spans="1:50" x14ac:dyDescent="0.25">
      <c r="A510" s="5">
        <v>39775</v>
      </c>
      <c r="B510">
        <v>800.03</v>
      </c>
      <c r="C510">
        <v>7.0000000000000007E-2</v>
      </c>
      <c r="D510" s="6">
        <v>72.67</v>
      </c>
      <c r="E510" s="18">
        <f t="shared" si="745"/>
        <v>65.03</v>
      </c>
      <c r="F510">
        <f t="shared" si="746"/>
        <v>-3</v>
      </c>
      <c r="G510" s="18">
        <f>ROUND(INDEX(Valuation!U:U,MATCH(A510,Valuation!A:A,0)),2)</f>
        <v>198.45</v>
      </c>
      <c r="H510">
        <f t="shared" si="753"/>
        <v>2</v>
      </c>
      <c r="I510" s="18">
        <f>INDEX(WeeklyIndicators!Y:Y,MATCH(A510,WeeklyIndicators!A:A,0))</f>
        <v>2.92</v>
      </c>
      <c r="J510">
        <f t="shared" si="742"/>
        <v>-3</v>
      </c>
      <c r="K510">
        <f>ROUND(INDEX(Economic!AF:AF,MATCH(EOMONTH($A510,-1),Economic!A:A,0)),2)</f>
        <v>43.9</v>
      </c>
      <c r="L510" s="11">
        <f t="shared" si="751"/>
        <v>-3</v>
      </c>
      <c r="M510">
        <f>ROUND(INDEX(Manufacturing!P:P,MATCH(EOMONTH($A510,-1),Manufacturing!A:A,0)),2)</f>
        <v>34.57</v>
      </c>
      <c r="N510">
        <f t="shared" si="747"/>
        <v>-3</v>
      </c>
      <c r="O510">
        <f>ROUND(INDEX(Housing!AC:AC,MATCH(EOMONTH($A510,-1),Housing!B:B,0)),2)</f>
        <v>0</v>
      </c>
      <c r="P510">
        <f t="shared" si="748"/>
        <v>-3</v>
      </c>
      <c r="Q510">
        <f>ROUND(INDEX(Spending!AJ:AJ,MATCH(EOMONTH($A510,-1),Spending!B:B,0)),2)</f>
        <v>41.79</v>
      </c>
      <c r="R510">
        <f t="shared" si="752"/>
        <v>0</v>
      </c>
      <c r="S510">
        <f>ROUND(INDEX(Employment!V:V,MATCH(EOMONTH($A510,-1),Employment!A:A,0)),2)</f>
        <v>37.520000000000003</v>
      </c>
      <c r="T510" s="11">
        <f t="shared" si="749"/>
        <v>-3</v>
      </c>
      <c r="U510">
        <f t="shared" si="741"/>
        <v>4</v>
      </c>
      <c r="V510">
        <f t="shared" si="733"/>
        <v>23.73</v>
      </c>
      <c r="W510" s="13">
        <f t="shared" si="734"/>
        <v>4.4000000000000003E-3</v>
      </c>
      <c r="X510" s="13">
        <f t="shared" si="735"/>
        <v>-0.17249999999999999</v>
      </c>
      <c r="Y510">
        <f t="shared" si="727"/>
        <v>17.46</v>
      </c>
      <c r="Z510" s="13">
        <f t="shared" si="722"/>
        <v>8.3599999999999994E-2</v>
      </c>
      <c r="AA510" s="13">
        <f t="shared" si="754"/>
        <v>-0.13200000000000001</v>
      </c>
      <c r="AB510" s="6">
        <f t="shared" si="728"/>
        <v>20.024999999999999</v>
      </c>
      <c r="AC510">
        <f t="shared" si="756"/>
        <v>10</v>
      </c>
      <c r="AD510" s="11">
        <f t="shared" ref="AD510:AD573" si="757">IF(AC510&gt;47,2,IF(AND(AC510&gt;41,AC510&lt;=47),1,IF(AC510&lt;15,-2,IF(AND(AC510&lt;32,AC510&gt;=15),-1,0))))</f>
        <v>-2</v>
      </c>
      <c r="AE510">
        <f t="shared" si="755"/>
        <v>4</v>
      </c>
      <c r="AF510">
        <f>IF(AND(AE510&lt;15,OR(AC510&gt;=30,AA510&gt;0.15,X510&gt;=0.15)),2,VLOOKUP(AE510,Table!P:Q,2,FALSE))</f>
        <v>1</v>
      </c>
      <c r="AG510" s="22">
        <f>IF((AB510*0.98)-(D510*0.8)+((AF510-3)*3)+VLOOKUP(AM510,Table!$A$11:$B$13,2,FALSE)&lt;0,0,(AB510*0.98)-(D510*0.8)+((AF510-3)*3)+VLOOKUP(AM510,Table!$A$11:$B$13,2,FALSE))</f>
        <v>0</v>
      </c>
      <c r="AH510" s="22">
        <f t="shared" si="750"/>
        <v>0</v>
      </c>
      <c r="AI510" s="18">
        <f t="shared" si="743"/>
        <v>0.81</v>
      </c>
      <c r="AJ510" s="18">
        <f t="shared" si="744"/>
        <v>1.33</v>
      </c>
      <c r="AK510" t="str">
        <f t="shared" si="729"/>
        <v>Falling Rates</v>
      </c>
      <c r="AL510">
        <f t="shared" si="740"/>
        <v>4</v>
      </c>
      <c r="AM510" s="11" t="str">
        <f t="shared" si="730"/>
        <v>Cash</v>
      </c>
      <c r="AN510" t="str">
        <f t="shared" si="736"/>
        <v>Sell</v>
      </c>
      <c r="AO510" s="13">
        <f t="shared" si="737"/>
        <v>0.1203</v>
      </c>
      <c r="AP510" s="13">
        <f t="shared" si="738"/>
        <v>0</v>
      </c>
      <c r="AQ510" s="13">
        <f t="shared" si="739"/>
        <v>0</v>
      </c>
      <c r="AR510" s="13">
        <f t="shared" si="731"/>
        <v>0</v>
      </c>
      <c r="AS510" s="6">
        <f t="shared" si="723"/>
        <v>199.30162614564381</v>
      </c>
      <c r="AT510" s="6">
        <f t="shared" si="724"/>
        <v>185.8998839813479</v>
      </c>
      <c r="AU510" s="6">
        <f t="shared" si="725"/>
        <v>409.52672286436461</v>
      </c>
      <c r="AV510" s="6">
        <f t="shared" si="726"/>
        <v>523.66638860672049</v>
      </c>
      <c r="AW510" s="58">
        <f t="shared" si="732"/>
        <v>2008</v>
      </c>
      <c r="AX510" s="58">
        <f>COUNTIF(AW$3:AW510,AW510)</f>
        <v>6</v>
      </c>
    </row>
    <row r="511" spans="1:50" x14ac:dyDescent="0.25">
      <c r="A511" s="5">
        <v>39768</v>
      </c>
      <c r="B511">
        <v>873.29</v>
      </c>
      <c r="C511">
        <v>0.21</v>
      </c>
      <c r="D511" s="6">
        <v>66.31</v>
      </c>
      <c r="E511" s="18">
        <f t="shared" si="745"/>
        <v>60.77</v>
      </c>
      <c r="F511">
        <f t="shared" si="746"/>
        <v>-3</v>
      </c>
      <c r="G511" s="18">
        <f>ROUND(INDEX(Valuation!U:U,MATCH(A511,Valuation!A:A,0)),2)</f>
        <v>190.68</v>
      </c>
      <c r="H511">
        <f t="shared" si="753"/>
        <v>2</v>
      </c>
      <c r="I511" s="18">
        <f>INDEX(WeeklyIndicators!Y:Y,MATCH(A511,WeeklyIndicators!A:A,0))</f>
        <v>2.92</v>
      </c>
      <c r="J511">
        <f t="shared" si="742"/>
        <v>-3</v>
      </c>
      <c r="K511">
        <f>ROUND(INDEX(Economic!AF:AF,MATCH(EOMONTH($A511,-1),Economic!A:A,0)),2)</f>
        <v>43.9</v>
      </c>
      <c r="L511" s="11">
        <f t="shared" si="751"/>
        <v>-3</v>
      </c>
      <c r="M511">
        <f>ROUND(INDEX(Manufacturing!P:P,MATCH(EOMONTH($A511,-1),Manufacturing!A:A,0)),2)</f>
        <v>34.57</v>
      </c>
      <c r="N511">
        <f t="shared" si="747"/>
        <v>-3</v>
      </c>
      <c r="O511">
        <f>ROUND(INDEX(Housing!AC:AC,MATCH(EOMONTH($A511,-1),Housing!B:B,0)),2)</f>
        <v>0</v>
      </c>
      <c r="P511">
        <f t="shared" si="748"/>
        <v>-3</v>
      </c>
      <c r="Q511">
        <f>ROUND(INDEX(Spending!AJ:AJ,MATCH(EOMONTH($A511,-1),Spending!B:B,0)),2)</f>
        <v>41.79</v>
      </c>
      <c r="R511">
        <f t="shared" si="752"/>
        <v>0</v>
      </c>
      <c r="S511">
        <f>ROUND(INDEX(Employment!V:V,MATCH(EOMONTH($A511,-1),Employment!A:A,0)),2)</f>
        <v>37.520000000000003</v>
      </c>
      <c r="T511" s="11">
        <f t="shared" si="749"/>
        <v>-3</v>
      </c>
      <c r="U511">
        <f t="shared" si="741"/>
        <v>4</v>
      </c>
      <c r="V511">
        <f t="shared" si="733"/>
        <v>23.73</v>
      </c>
      <c r="W511" s="13">
        <f t="shared" si="734"/>
        <v>-5.9900000000000002E-2</v>
      </c>
      <c r="X511" s="13">
        <f t="shared" si="735"/>
        <v>-0.1835</v>
      </c>
      <c r="Y511">
        <f t="shared" si="727"/>
        <v>18.079999999999998</v>
      </c>
      <c r="Z511" s="13">
        <f t="shared" si="722"/>
        <v>3.1199999999999999E-2</v>
      </c>
      <c r="AA511" s="13">
        <f t="shared" si="754"/>
        <v>-0.36850000000000005</v>
      </c>
      <c r="AB511" s="6">
        <f t="shared" si="728"/>
        <v>3.918000000000001</v>
      </c>
      <c r="AC511">
        <f t="shared" si="756"/>
        <v>2</v>
      </c>
      <c r="AD511" s="11">
        <f t="shared" si="757"/>
        <v>-2</v>
      </c>
      <c r="AE511">
        <f t="shared" si="755"/>
        <v>4</v>
      </c>
      <c r="AF511">
        <f>IF(AND(AE511&lt;15,OR(AC511&gt;=30,AA511&gt;0.15,X511&gt;=0.15)),2,VLOOKUP(AE511,Table!P:Q,2,FALSE))</f>
        <v>1</v>
      </c>
      <c r="AG511" s="22">
        <f>IF((AB511*0.98)-(D511*0.8)+((AF511-3)*3)+VLOOKUP(AM511,Table!$A$11:$B$13,2,FALSE)&lt;0,0,(AB511*0.98)-(D511*0.8)+((AF511-3)*3)+VLOOKUP(AM511,Table!$A$11:$B$13,2,FALSE))</f>
        <v>0</v>
      </c>
      <c r="AH511" s="22">
        <f t="shared" si="750"/>
        <v>0</v>
      </c>
      <c r="AI511" s="18">
        <f t="shared" si="743"/>
        <v>0.94</v>
      </c>
      <c r="AJ511" s="18">
        <f t="shared" si="744"/>
        <v>1.39</v>
      </c>
      <c r="AK511" t="str">
        <f t="shared" si="729"/>
        <v>Falling Rates</v>
      </c>
      <c r="AL511">
        <f t="shared" si="740"/>
        <v>4.25</v>
      </c>
      <c r="AM511" s="11" t="str">
        <f t="shared" si="730"/>
        <v>Cash</v>
      </c>
      <c r="AN511" t="str">
        <f t="shared" si="736"/>
        <v>Sell</v>
      </c>
      <c r="AO511" s="13">
        <f t="shared" si="737"/>
        <v>-8.3900000000000002E-2</v>
      </c>
      <c r="AP511" s="13">
        <f t="shared" si="738"/>
        <v>0</v>
      </c>
      <c r="AQ511" s="13">
        <f t="shared" si="739"/>
        <v>0</v>
      </c>
      <c r="AR511" s="13">
        <f t="shared" si="731"/>
        <v>0</v>
      </c>
      <c r="AS511" s="6">
        <f t="shared" si="723"/>
        <v>217.55444399699138</v>
      </c>
      <c r="AT511" s="6">
        <f t="shared" si="724"/>
        <v>185.8998839813479</v>
      </c>
      <c r="AU511" s="6">
        <f t="shared" si="725"/>
        <v>409.52672286436461</v>
      </c>
      <c r="AV511" s="6">
        <f t="shared" si="726"/>
        <v>523.66638860672049</v>
      </c>
      <c r="AW511" s="58">
        <f t="shared" si="732"/>
        <v>2008</v>
      </c>
      <c r="AX511" s="58">
        <f>COUNTIF(AW$3:AW511,AW511)</f>
        <v>7</v>
      </c>
    </row>
    <row r="512" spans="1:50" x14ac:dyDescent="0.25">
      <c r="A512" s="5">
        <v>39761</v>
      </c>
      <c r="B512">
        <v>930.99</v>
      </c>
      <c r="C512">
        <v>0.39</v>
      </c>
      <c r="D512" s="6">
        <v>56.1</v>
      </c>
      <c r="E512" s="18">
        <f t="shared" si="745"/>
        <v>65.040000000000006</v>
      </c>
      <c r="F512">
        <f t="shared" si="746"/>
        <v>-3</v>
      </c>
      <c r="G512" s="18">
        <f>ROUND(INDEX(Valuation!U:U,MATCH(A512,Valuation!A:A,0)),2)</f>
        <v>184.97</v>
      </c>
      <c r="H512">
        <f t="shared" si="753"/>
        <v>2</v>
      </c>
      <c r="I512" s="18">
        <f>INDEX(WeeklyIndicators!Y:Y,MATCH(A512,WeeklyIndicators!A:A,0))</f>
        <v>0</v>
      </c>
      <c r="J512">
        <f t="shared" si="742"/>
        <v>-3</v>
      </c>
      <c r="K512">
        <f>ROUND(INDEX(Economic!AF:AF,MATCH(EOMONTH($A512,-1),Economic!A:A,0)),2)</f>
        <v>43.9</v>
      </c>
      <c r="L512" s="11">
        <f t="shared" si="751"/>
        <v>-3</v>
      </c>
      <c r="M512">
        <f>ROUND(INDEX(Manufacturing!P:P,MATCH(EOMONTH($A512,-1),Manufacturing!A:A,0)),2)</f>
        <v>34.57</v>
      </c>
      <c r="N512">
        <f t="shared" si="747"/>
        <v>-3</v>
      </c>
      <c r="O512">
        <f>ROUND(INDEX(Housing!AC:AC,MATCH(EOMONTH($A512,-1),Housing!B:B,0)),2)</f>
        <v>0</v>
      </c>
      <c r="P512">
        <f t="shared" si="748"/>
        <v>-3</v>
      </c>
      <c r="Q512">
        <f>ROUND(INDEX(Spending!AJ:AJ,MATCH(EOMONTH($A512,-1),Spending!B:B,0)),2)</f>
        <v>41.79</v>
      </c>
      <c r="R512">
        <f t="shared" si="752"/>
        <v>0</v>
      </c>
      <c r="S512">
        <f>ROUND(INDEX(Employment!V:V,MATCH(EOMONTH($A512,-1),Employment!A:A,0)),2)</f>
        <v>37.520000000000003</v>
      </c>
      <c r="T512" s="11">
        <f t="shared" si="749"/>
        <v>-3</v>
      </c>
      <c r="U512">
        <f t="shared" si="741"/>
        <v>4</v>
      </c>
      <c r="V512">
        <f t="shared" si="733"/>
        <v>23.42</v>
      </c>
      <c r="W512" s="13">
        <f t="shared" si="734"/>
        <v>-6.0199999999999997E-2</v>
      </c>
      <c r="X512" s="13">
        <f t="shared" si="735"/>
        <v>-0.14709999999999998</v>
      </c>
      <c r="Y512">
        <f t="shared" si="727"/>
        <v>15.65</v>
      </c>
      <c r="Z512" s="13">
        <f t="shared" ref="Z512:Z575" si="758">ROUND((AVERAGE(Y512:Y514)-AVERAGE(Y513:Y515))/AVERAGE(Y513:Y515),4)</f>
        <v>-8.5099999999999995E-2</v>
      </c>
      <c r="AA512" s="13">
        <f t="shared" si="754"/>
        <v>-0.53400000000000003</v>
      </c>
      <c r="AB512" s="6">
        <f t="shared" si="728"/>
        <v>0</v>
      </c>
      <c r="AC512">
        <f t="shared" si="756"/>
        <v>0</v>
      </c>
      <c r="AD512" s="11">
        <f t="shared" si="757"/>
        <v>-2</v>
      </c>
      <c r="AE512">
        <f t="shared" si="755"/>
        <v>4</v>
      </c>
      <c r="AF512">
        <f>IF(AND(AE512&lt;15,OR(AC512&gt;=30,AA512&gt;0.15,X512&gt;=0.15)),2,VLOOKUP(AE512,Table!P:Q,2,FALSE))</f>
        <v>1</v>
      </c>
      <c r="AG512" s="22">
        <f>IF((AB512*0.98)-(D512*0.8)+((AF512-3)*3)+VLOOKUP(AM512,Table!$A$11:$B$13,2,FALSE)&lt;0,0,(AB512*0.98)-(D512*0.8)+((AF512-3)*3)+VLOOKUP(AM512,Table!$A$11:$B$13,2,FALSE))</f>
        <v>0</v>
      </c>
      <c r="AH512" s="22">
        <f t="shared" si="750"/>
        <v>0</v>
      </c>
      <c r="AI512" s="18">
        <f t="shared" si="743"/>
        <v>1.06</v>
      </c>
      <c r="AJ512" s="18">
        <f t="shared" si="744"/>
        <v>1.44</v>
      </c>
      <c r="AK512" t="str">
        <f t="shared" si="729"/>
        <v>Falling Rates</v>
      </c>
      <c r="AL512">
        <f t="shared" si="740"/>
        <v>4.5</v>
      </c>
      <c r="AM512" s="11" t="str">
        <f t="shared" si="730"/>
        <v>Cash</v>
      </c>
      <c r="AN512" t="str">
        <f t="shared" si="736"/>
        <v>Sell</v>
      </c>
      <c r="AO512" s="13">
        <f t="shared" si="737"/>
        <v>-6.2E-2</v>
      </c>
      <c r="AP512" s="13">
        <f t="shared" si="738"/>
        <v>1E-4</v>
      </c>
      <c r="AQ512" s="13">
        <f t="shared" si="739"/>
        <v>1E-4</v>
      </c>
      <c r="AR512" s="13">
        <f t="shared" si="731"/>
        <v>1E-4</v>
      </c>
      <c r="AS512" s="6">
        <f t="shared" si="723"/>
        <v>231.93437526331707</v>
      </c>
      <c r="AT512" s="6">
        <f t="shared" si="724"/>
        <v>185.88129585176273</v>
      </c>
      <c r="AU512" s="6">
        <f t="shared" si="725"/>
        <v>409.48577428693591</v>
      </c>
      <c r="AV512" s="6">
        <f t="shared" si="726"/>
        <v>523.61402720400008</v>
      </c>
      <c r="AW512" s="58">
        <f t="shared" si="732"/>
        <v>2008</v>
      </c>
      <c r="AX512" s="58">
        <f>COUNTIF(AW$3:AW512,AW512)</f>
        <v>8</v>
      </c>
    </row>
    <row r="513" spans="1:50" x14ac:dyDescent="0.25">
      <c r="A513" s="5">
        <v>39754</v>
      </c>
      <c r="B513">
        <v>968.75</v>
      </c>
      <c r="C513">
        <v>0.61</v>
      </c>
      <c r="D513" s="6">
        <v>59.89</v>
      </c>
      <c r="E513" s="18">
        <f t="shared" si="745"/>
        <v>69.78</v>
      </c>
      <c r="F513">
        <f t="shared" si="746"/>
        <v>-3</v>
      </c>
      <c r="G513" s="18">
        <f>ROUND(INDEX(Valuation!U:U,MATCH(A513,Valuation!A:A,0)),2)</f>
        <v>180.61</v>
      </c>
      <c r="H513">
        <f t="shared" si="753"/>
        <v>2</v>
      </c>
      <c r="I513" s="18">
        <f>INDEX(WeeklyIndicators!Y:Y,MATCH(A513,WeeklyIndicators!A:A,0))</f>
        <v>0</v>
      </c>
      <c r="J513">
        <f t="shared" si="742"/>
        <v>-3</v>
      </c>
      <c r="K513">
        <f>ROUND(INDEX(Economic!AF:AF,MATCH(EOMONTH($A513,-1),Economic!A:A,0)),2)</f>
        <v>43.9</v>
      </c>
      <c r="L513" s="11">
        <f t="shared" si="751"/>
        <v>-3</v>
      </c>
      <c r="M513">
        <f>ROUND(INDEX(Manufacturing!P:P,MATCH(EOMONTH($A513,-1),Manufacturing!A:A,0)),2)</f>
        <v>34.57</v>
      </c>
      <c r="N513">
        <f t="shared" si="747"/>
        <v>-3</v>
      </c>
      <c r="O513">
        <f>ROUND(INDEX(Housing!AC:AC,MATCH(EOMONTH($A513,-1),Housing!B:B,0)),2)</f>
        <v>0</v>
      </c>
      <c r="P513">
        <f t="shared" si="748"/>
        <v>-3</v>
      </c>
      <c r="Q513">
        <f>ROUND(INDEX(Spending!AJ:AJ,MATCH(EOMONTH($A513,-1),Spending!B:B,0)),2)</f>
        <v>41.79</v>
      </c>
      <c r="R513">
        <f t="shared" si="752"/>
        <v>0</v>
      </c>
      <c r="S513">
        <f>ROUND(INDEX(Employment!V:V,MATCH(EOMONTH($A513,-1),Employment!A:A,0)),2)</f>
        <v>37.520000000000003</v>
      </c>
      <c r="T513" s="11">
        <f t="shared" si="749"/>
        <v>-3</v>
      </c>
      <c r="U513">
        <f t="shared" si="741"/>
        <v>4</v>
      </c>
      <c r="V513">
        <f t="shared" si="733"/>
        <v>23.42</v>
      </c>
      <c r="W513" s="13">
        <f t="shared" si="734"/>
        <v>-5.6800000000000003E-2</v>
      </c>
      <c r="X513" s="13">
        <f t="shared" si="735"/>
        <v>-0.1308</v>
      </c>
      <c r="Y513">
        <f t="shared" si="727"/>
        <v>13.51</v>
      </c>
      <c r="Z513" s="13">
        <f t="shared" si="758"/>
        <v>-0.16170000000000001</v>
      </c>
      <c r="AA513" s="13">
        <f t="shared" si="754"/>
        <v>-0.56609999999999994</v>
      </c>
      <c r="AB513" s="6">
        <f t="shared" si="728"/>
        <v>0</v>
      </c>
      <c r="AC513">
        <f t="shared" si="756"/>
        <v>0</v>
      </c>
      <c r="AD513" s="11">
        <f t="shared" si="757"/>
        <v>-2</v>
      </c>
      <c r="AE513">
        <f t="shared" si="755"/>
        <v>4</v>
      </c>
      <c r="AF513">
        <f>IF(AND(AE513&lt;15,OR(AC513&gt;=30,AA513&gt;0.15,X513&gt;=0.15)),2,VLOOKUP(AE513,Table!P:Q,2,FALSE))</f>
        <v>1</v>
      </c>
      <c r="AG513" s="22">
        <f>IF((AB513*0.98)-(D513*0.8)+((AF513-3)*3)+VLOOKUP(AM513,Table!$A$11:$B$13,2,FALSE)&lt;0,0,(AB513*0.98)-(D513*0.8)+((AF513-3)*3)+VLOOKUP(AM513,Table!$A$11:$B$13,2,FALSE))</f>
        <v>0</v>
      </c>
      <c r="AH513" s="22">
        <f t="shared" si="750"/>
        <v>0</v>
      </c>
      <c r="AI513" s="18">
        <f t="shared" si="743"/>
        <v>1.1599999999999999</v>
      </c>
      <c r="AJ513" s="18">
        <f t="shared" si="744"/>
        <v>1.48</v>
      </c>
      <c r="AK513" t="str">
        <f t="shared" si="729"/>
        <v>Falling Rates</v>
      </c>
      <c r="AL513">
        <f t="shared" si="740"/>
        <v>4.75</v>
      </c>
      <c r="AM513" s="11" t="str">
        <f t="shared" si="730"/>
        <v>Cash</v>
      </c>
      <c r="AN513" t="str">
        <f t="shared" si="736"/>
        <v>Sell</v>
      </c>
      <c r="AO513" s="13">
        <f t="shared" si="737"/>
        <v>-3.9E-2</v>
      </c>
      <c r="AP513" s="13">
        <f t="shared" si="738"/>
        <v>1E-4</v>
      </c>
      <c r="AQ513" s="13">
        <f t="shared" si="739"/>
        <v>1E-4</v>
      </c>
      <c r="AR513" s="13">
        <f t="shared" si="731"/>
        <v>1E-4</v>
      </c>
      <c r="AS513" s="6">
        <f t="shared" si="723"/>
        <v>241.34690454039239</v>
      </c>
      <c r="AT513" s="6">
        <f t="shared" si="724"/>
        <v>185.86270958080465</v>
      </c>
      <c r="AU513" s="6">
        <f t="shared" si="725"/>
        <v>409.44482980395554</v>
      </c>
      <c r="AV513" s="6">
        <f t="shared" si="726"/>
        <v>523.56167103689643</v>
      </c>
      <c r="AW513" s="58">
        <f t="shared" si="732"/>
        <v>2008</v>
      </c>
      <c r="AX513" s="58">
        <f>COUNTIF(AW$3:AW513,AW513)</f>
        <v>9</v>
      </c>
    </row>
    <row r="514" spans="1:50" x14ac:dyDescent="0.25">
      <c r="A514" s="5">
        <v>39747</v>
      </c>
      <c r="B514">
        <v>876.77</v>
      </c>
      <c r="C514">
        <v>1.04</v>
      </c>
      <c r="D514" s="6">
        <v>79.13</v>
      </c>
      <c r="E514" s="18">
        <f t="shared" si="745"/>
        <v>73.14</v>
      </c>
      <c r="F514">
        <f t="shared" si="746"/>
        <v>-3</v>
      </c>
      <c r="G514" s="18">
        <f>ROUND(INDEX(Valuation!U:U,MATCH(A514,Valuation!A:A,0)),2)</f>
        <v>176.2</v>
      </c>
      <c r="H514">
        <f t="shared" si="753"/>
        <v>2</v>
      </c>
      <c r="I514" s="18">
        <f>INDEX(WeeklyIndicators!Y:Y,MATCH(A514,WeeklyIndicators!A:A,0))</f>
        <v>0</v>
      </c>
      <c r="J514">
        <f t="shared" si="742"/>
        <v>-3</v>
      </c>
      <c r="K514">
        <f>ROUND(INDEX(Economic!AF:AF,MATCH(EOMONTH($A514,-1),Economic!A:A,0)),2)</f>
        <v>43.17</v>
      </c>
      <c r="L514" s="11">
        <f t="shared" si="751"/>
        <v>-3</v>
      </c>
      <c r="M514">
        <f>ROUND(INDEX(Manufacturing!P:P,MATCH(EOMONTH($A514,-1),Manufacturing!A:A,0)),2)</f>
        <v>54.61</v>
      </c>
      <c r="N514">
        <f t="shared" si="747"/>
        <v>-3</v>
      </c>
      <c r="O514">
        <f>ROUND(INDEX(Housing!AC:AC,MATCH(EOMONTH($A514,-1),Housing!B:B,0)),2)</f>
        <v>4.37</v>
      </c>
      <c r="P514">
        <f t="shared" si="748"/>
        <v>-3</v>
      </c>
      <c r="Q514">
        <f>ROUND(INDEX(Spending!AJ:AJ,MATCH(EOMONTH($A514,-1),Spending!B:B,0)),2)</f>
        <v>52.53</v>
      </c>
      <c r="R514">
        <f t="shared" si="752"/>
        <v>1</v>
      </c>
      <c r="S514">
        <f>ROUND(INDEX(Employment!V:V,MATCH(EOMONTH($A514,-1),Employment!A:A,0)),2)</f>
        <v>47.89</v>
      </c>
      <c r="T514" s="11">
        <f t="shared" si="749"/>
        <v>-3</v>
      </c>
      <c r="U514">
        <f t="shared" si="741"/>
        <v>5</v>
      </c>
      <c r="V514">
        <f t="shared" si="733"/>
        <v>28.23</v>
      </c>
      <c r="W514" s="13">
        <f t="shared" si="734"/>
        <v>-6.6E-3</v>
      </c>
      <c r="X514" s="13">
        <f t="shared" si="735"/>
        <v>-0.11280000000000001</v>
      </c>
      <c r="Y514">
        <f t="shared" si="727"/>
        <v>16.649999999999999</v>
      </c>
      <c r="Z514" s="13">
        <f t="shared" si="758"/>
        <v>-0.15290000000000001</v>
      </c>
      <c r="AA514" s="13">
        <f t="shared" si="754"/>
        <v>-0.48349999999999999</v>
      </c>
      <c r="AB514" s="6">
        <f t="shared" si="728"/>
        <v>0</v>
      </c>
      <c r="AC514">
        <f t="shared" si="756"/>
        <v>0</v>
      </c>
      <c r="AD514" s="11">
        <f t="shared" si="757"/>
        <v>-2</v>
      </c>
      <c r="AE514">
        <f t="shared" si="755"/>
        <v>5</v>
      </c>
      <c r="AF514">
        <f>IF(AND(AE514&lt;15,OR(AC514&gt;=30,AA514&gt;0.15,X514&gt;=0.15)),2,VLOOKUP(AE514,Table!P:Q,2,FALSE))</f>
        <v>1</v>
      </c>
      <c r="AG514" s="22">
        <f>IF((AB514*0.98)-(D514*0.8)+((AF514-3)*3)+VLOOKUP(AM514,Table!$A$11:$B$13,2,FALSE)&lt;0,0,(AB514*0.98)-(D514*0.8)+((AF514-3)*3)+VLOOKUP(AM514,Table!$A$11:$B$13,2,FALSE))</f>
        <v>0</v>
      </c>
      <c r="AH514" s="22">
        <f t="shared" si="750"/>
        <v>0</v>
      </c>
      <c r="AI514" s="18">
        <f t="shared" si="743"/>
        <v>1.24</v>
      </c>
      <c r="AJ514" s="18">
        <f t="shared" si="744"/>
        <v>1.52</v>
      </c>
      <c r="AK514" t="str">
        <f t="shared" si="729"/>
        <v>Falling Rates</v>
      </c>
      <c r="AL514">
        <f t="shared" si="740"/>
        <v>4.75</v>
      </c>
      <c r="AM514" s="11" t="str">
        <f t="shared" si="730"/>
        <v>Cash</v>
      </c>
      <c r="AN514" t="str">
        <f t="shared" si="736"/>
        <v>Sell</v>
      </c>
      <c r="AO514" s="13">
        <f t="shared" si="737"/>
        <v>0.10489999999999999</v>
      </c>
      <c r="AP514" s="13">
        <f t="shared" si="738"/>
        <v>2.0000000000000001E-4</v>
      </c>
      <c r="AQ514" s="13">
        <f t="shared" si="739"/>
        <v>2.0000000000000001E-4</v>
      </c>
      <c r="AR514" s="13">
        <f t="shared" si="731"/>
        <v>2.0000000000000001E-4</v>
      </c>
      <c r="AS514" s="6">
        <f t="shared" si="723"/>
        <v>218.43325598732227</v>
      </c>
      <c r="AT514" s="6">
        <f t="shared" si="724"/>
        <v>185.82554447191026</v>
      </c>
      <c r="AU514" s="6">
        <f t="shared" si="725"/>
        <v>409.36295721251304</v>
      </c>
      <c r="AV514" s="6">
        <f t="shared" si="726"/>
        <v>523.45697964096826</v>
      </c>
      <c r="AW514" s="58">
        <f t="shared" si="732"/>
        <v>2008</v>
      </c>
      <c r="AX514" s="58">
        <f>COUNTIF(AW$3:AW514,AW514)</f>
        <v>10</v>
      </c>
    </row>
    <row r="515" spans="1:50" x14ac:dyDescent="0.25">
      <c r="A515" s="5">
        <v>39740</v>
      </c>
      <c r="B515">
        <v>940.55</v>
      </c>
      <c r="C515">
        <v>0.45</v>
      </c>
      <c r="D515" s="6">
        <v>70.33</v>
      </c>
      <c r="E515" s="18">
        <f t="shared" si="745"/>
        <v>61.81</v>
      </c>
      <c r="F515">
        <f t="shared" si="746"/>
        <v>-3</v>
      </c>
      <c r="G515" s="18">
        <f>ROUND(INDEX(Valuation!U:U,MATCH(A515,Valuation!A:A,0)),2)</f>
        <v>169.92</v>
      </c>
      <c r="H515">
        <f t="shared" si="753"/>
        <v>2</v>
      </c>
      <c r="I515" s="18">
        <f>INDEX(WeeklyIndicators!Y:Y,MATCH(A515,WeeklyIndicators!A:A,0))</f>
        <v>0</v>
      </c>
      <c r="J515">
        <f t="shared" si="742"/>
        <v>-3</v>
      </c>
      <c r="K515">
        <f>ROUND(INDEX(Economic!AF:AF,MATCH(EOMONTH($A515,-1),Economic!A:A,0)),2)</f>
        <v>43.17</v>
      </c>
      <c r="L515" s="11">
        <f t="shared" si="751"/>
        <v>-3</v>
      </c>
      <c r="M515">
        <f>ROUND(INDEX(Manufacturing!P:P,MATCH(EOMONTH($A515,-1),Manufacturing!A:A,0)),2)</f>
        <v>54.61</v>
      </c>
      <c r="N515">
        <f t="shared" si="747"/>
        <v>-3</v>
      </c>
      <c r="O515">
        <f>ROUND(INDEX(Housing!AC:AC,MATCH(EOMONTH($A515,-1),Housing!B:B,0)),2)</f>
        <v>4.37</v>
      </c>
      <c r="P515">
        <f t="shared" si="748"/>
        <v>-3</v>
      </c>
      <c r="Q515">
        <f>ROUND(INDEX(Spending!AJ:AJ,MATCH(EOMONTH($A515,-1),Spending!B:B,0)),2)</f>
        <v>52.53</v>
      </c>
      <c r="R515">
        <f t="shared" si="752"/>
        <v>1</v>
      </c>
      <c r="S515">
        <f>ROUND(INDEX(Employment!V:V,MATCH(EOMONTH($A515,-1),Employment!A:A,0)),2)</f>
        <v>47.89</v>
      </c>
      <c r="T515" s="11">
        <f t="shared" si="749"/>
        <v>-3</v>
      </c>
      <c r="U515">
        <f t="shared" si="741"/>
        <v>5</v>
      </c>
      <c r="V515">
        <f t="shared" si="733"/>
        <v>28.23</v>
      </c>
      <c r="W515" s="13">
        <f t="shared" si="734"/>
        <v>-2.35E-2</v>
      </c>
      <c r="X515" s="13">
        <f t="shared" si="735"/>
        <v>-0.122</v>
      </c>
      <c r="Y515">
        <f t="shared" si="727"/>
        <v>19.91</v>
      </c>
      <c r="Z515" s="13">
        <f t="shared" si="758"/>
        <v>-0.1343</v>
      </c>
      <c r="AA515" s="13">
        <f t="shared" si="754"/>
        <v>-0.37340000000000001</v>
      </c>
      <c r="AB515" s="6">
        <f t="shared" si="728"/>
        <v>4.1019999999999994</v>
      </c>
      <c r="AC515">
        <f t="shared" si="756"/>
        <v>2</v>
      </c>
      <c r="AD515" s="11">
        <f t="shared" si="757"/>
        <v>-2</v>
      </c>
      <c r="AE515">
        <f t="shared" si="755"/>
        <v>5</v>
      </c>
      <c r="AF515">
        <f>IF(AND(AE515&lt;15,OR(AC515&gt;=30,AA515&gt;0.15,X515&gt;=0.15)),2,VLOOKUP(AE515,Table!P:Q,2,FALSE))</f>
        <v>1</v>
      </c>
      <c r="AG515" s="22">
        <f>IF((AB515*0.98)-(D515*0.8)+((AF515-3)*3)+VLOOKUP(AM515,Table!$A$11:$B$13,2,FALSE)&lt;0,0,(AB515*0.98)-(D515*0.8)+((AF515-3)*3)+VLOOKUP(AM515,Table!$A$11:$B$13,2,FALSE))</f>
        <v>0</v>
      </c>
      <c r="AH515" s="22">
        <f t="shared" si="750"/>
        <v>0</v>
      </c>
      <c r="AI515" s="18">
        <f t="shared" si="743"/>
        <v>1.28</v>
      </c>
      <c r="AJ515" s="18">
        <f t="shared" si="744"/>
        <v>1.55</v>
      </c>
      <c r="AK515" t="str">
        <f t="shared" si="729"/>
        <v>Falling Rates</v>
      </c>
      <c r="AL515">
        <f t="shared" si="740"/>
        <v>5</v>
      </c>
      <c r="AM515" s="11" t="str">
        <f t="shared" si="730"/>
        <v>Cash</v>
      </c>
      <c r="AN515" t="str">
        <f t="shared" si="736"/>
        <v>Sell</v>
      </c>
      <c r="AO515" s="13">
        <f t="shared" si="737"/>
        <v>-6.7799999999999999E-2</v>
      </c>
      <c r="AP515" s="13">
        <f t="shared" si="738"/>
        <v>1E-4</v>
      </c>
      <c r="AQ515" s="13">
        <f t="shared" si="739"/>
        <v>1E-4</v>
      </c>
      <c r="AR515" s="13">
        <f t="shared" si="731"/>
        <v>1E-4</v>
      </c>
      <c r="AS515" s="6">
        <f t="shared" ref="AS515:AS578" si="759">AS516*(1+AO516)</f>
        <v>234.32016304153856</v>
      </c>
      <c r="AT515" s="6">
        <f t="shared" ref="AT515:AT578" si="760">AT516*(1+AP516)</f>
        <v>185.80696377553272</v>
      </c>
      <c r="AU515" s="6">
        <f t="shared" ref="AU515:AU578" si="761">AU516*(1+AQ516)</f>
        <v>409.32202501001206</v>
      </c>
      <c r="AV515" s="6">
        <f t="shared" ref="AV515:AV578" si="762">AV516*(1+AR516)</f>
        <v>523.40463917705051</v>
      </c>
      <c r="AW515" s="58">
        <f t="shared" si="732"/>
        <v>2008</v>
      </c>
      <c r="AX515" s="58">
        <f>COUNTIF(AW$3:AW515,AW515)</f>
        <v>11</v>
      </c>
    </row>
    <row r="516" spans="1:50" x14ac:dyDescent="0.25">
      <c r="A516" s="5">
        <v>39733</v>
      </c>
      <c r="B516">
        <v>899.22</v>
      </c>
      <c r="C516">
        <v>0.56999999999999995</v>
      </c>
      <c r="D516" s="6">
        <v>69.95</v>
      </c>
      <c r="E516" s="18">
        <f t="shared" si="745"/>
        <v>49.94</v>
      </c>
      <c r="F516">
        <f t="shared" si="746"/>
        <v>-3</v>
      </c>
      <c r="G516" s="18">
        <f>ROUND(INDEX(Valuation!U:U,MATCH(A516,Valuation!A:A,0)),2)</f>
        <v>162.01</v>
      </c>
      <c r="H516">
        <f t="shared" si="753"/>
        <v>2</v>
      </c>
      <c r="I516" s="18">
        <f>INDEX(WeeklyIndicators!Y:Y,MATCH(A516,WeeklyIndicators!A:A,0))</f>
        <v>0</v>
      </c>
      <c r="J516">
        <f t="shared" si="742"/>
        <v>-3</v>
      </c>
      <c r="K516">
        <f>ROUND(INDEX(Economic!AF:AF,MATCH(EOMONTH($A516,-1),Economic!A:A,0)),2)</f>
        <v>43.17</v>
      </c>
      <c r="L516" s="11">
        <f t="shared" si="751"/>
        <v>-3</v>
      </c>
      <c r="M516">
        <f>ROUND(INDEX(Manufacturing!P:P,MATCH(EOMONTH($A516,-1),Manufacturing!A:A,0)),2)</f>
        <v>54.61</v>
      </c>
      <c r="N516">
        <f t="shared" si="747"/>
        <v>-3</v>
      </c>
      <c r="O516">
        <f>ROUND(INDEX(Housing!AC:AC,MATCH(EOMONTH($A516,-1),Housing!B:B,0)),2)</f>
        <v>4.37</v>
      </c>
      <c r="P516">
        <f t="shared" si="748"/>
        <v>-3</v>
      </c>
      <c r="Q516">
        <f>ROUND(INDEX(Spending!AJ:AJ,MATCH(EOMONTH($A516,-1),Spending!B:B,0)),2)</f>
        <v>52.53</v>
      </c>
      <c r="R516">
        <f t="shared" si="752"/>
        <v>1</v>
      </c>
      <c r="S516">
        <f>ROUND(INDEX(Employment!V:V,MATCH(EOMONTH($A516,-1),Employment!A:A,0)),2)</f>
        <v>47.89</v>
      </c>
      <c r="T516" s="11">
        <f t="shared" si="749"/>
        <v>-3</v>
      </c>
      <c r="U516">
        <f t="shared" si="741"/>
        <v>5</v>
      </c>
      <c r="V516">
        <f t="shared" si="733"/>
        <v>28.23</v>
      </c>
      <c r="W516" s="13">
        <f t="shared" si="734"/>
        <v>-4.3900000000000002E-2</v>
      </c>
      <c r="X516" s="13">
        <f t="shared" si="735"/>
        <v>-8.8300000000000003E-2</v>
      </c>
      <c r="Y516">
        <f t="shared" ref="Y516:Y579" si="763">ROUND(((K516*0.745)+(M516*0.745)+(O516*0.36)+(Q516*0.45)+(S516*0.45)+(I516*0.55)+(G516*0.59)-(E516*1.85))/5.3,2)</f>
        <v>23.17</v>
      </c>
      <c r="Z516" s="13">
        <f t="shared" si="758"/>
        <v>-0.1172</v>
      </c>
      <c r="AA516" s="13">
        <f t="shared" si="754"/>
        <v>-0.24760000000000001</v>
      </c>
      <c r="AB516" s="6">
        <f t="shared" ref="AB516:AB579" si="764">IF(ROUND(Y516+(X516*10)+(V516/30)+(AA516*67),2)+5+((G516-125)*0.1)&lt;0,0,ROUND(Y516+(X516*10)+(V516/30)+(AA516*67),2)+5+((G516-125)*0.1))</f>
        <v>15.340999999999999</v>
      </c>
      <c r="AC516">
        <f t="shared" si="756"/>
        <v>8</v>
      </c>
      <c r="AD516" s="11">
        <f t="shared" si="757"/>
        <v>-2</v>
      </c>
      <c r="AE516">
        <f t="shared" si="755"/>
        <v>5</v>
      </c>
      <c r="AF516">
        <f>IF(AND(AE516&lt;15,OR(AC516&gt;=30,AA516&gt;0.15,X516&gt;=0.15)),2,VLOOKUP(AE516,Table!P:Q,2,FALSE))</f>
        <v>1</v>
      </c>
      <c r="AG516" s="22">
        <f>IF((AB516*0.98)-(D516*0.8)+((AF516-3)*3)+VLOOKUP(AM516,Table!$A$11:$B$13,2,FALSE)&lt;0,0,(AB516*0.98)-(D516*0.8)+((AF516-3)*3)+VLOOKUP(AM516,Table!$A$11:$B$13,2,FALSE))</f>
        <v>0</v>
      </c>
      <c r="AH516" s="22">
        <f t="shared" si="750"/>
        <v>0</v>
      </c>
      <c r="AI516" s="18">
        <f t="shared" si="743"/>
        <v>1.36</v>
      </c>
      <c r="AJ516" s="18">
        <f t="shared" si="744"/>
        <v>1.62</v>
      </c>
      <c r="AK516" t="str">
        <f t="shared" ref="AK516:AK579" si="765">IF(AND(C516&gt;AI516,AI516&gt;AJ516,C516-AJ516&gt;0.15),"Rising Rates",IF(AND(C516&lt;AI516,AI516&lt;AJ516,AJ516-C516&gt;0.15),"Falling Rates",""))</f>
        <v>Falling Rates</v>
      </c>
      <c r="AL516">
        <f t="shared" si="740"/>
        <v>5.25</v>
      </c>
      <c r="AM516" s="11" t="str">
        <f t="shared" ref="AM516:AM579" si="766">IF(OR(AND(AL516&lt;=18,G516&lt;=25),AND(AL516&lt;=14,G516&lt;200)),"Cash","Stocks")</f>
        <v>Cash</v>
      </c>
      <c r="AN516" t="str">
        <f t="shared" si="736"/>
        <v>Sell</v>
      </c>
      <c r="AO516" s="13">
        <f t="shared" si="737"/>
        <v>4.5999999999999999E-2</v>
      </c>
      <c r="AP516" s="13">
        <f t="shared" si="738"/>
        <v>1E-4</v>
      </c>
      <c r="AQ516" s="13">
        <f t="shared" si="739"/>
        <v>1E-4</v>
      </c>
      <c r="AR516" s="13">
        <f t="shared" ref="AR516:AR579" si="767">IF(AM516="Stocks",AO516,AP516)</f>
        <v>1E-4</v>
      </c>
      <c r="AS516" s="6">
        <f t="shared" si="759"/>
        <v>224.01545223856459</v>
      </c>
      <c r="AT516" s="6">
        <f t="shared" si="760"/>
        <v>185.78838493703901</v>
      </c>
      <c r="AU516" s="6">
        <f t="shared" si="761"/>
        <v>409.28109690032204</v>
      </c>
      <c r="AV516" s="6">
        <f t="shared" si="762"/>
        <v>523.35230394665587</v>
      </c>
      <c r="AW516" s="58">
        <f t="shared" ref="AW516:AW579" si="768">YEAR(A516)</f>
        <v>2008</v>
      </c>
      <c r="AX516" s="58">
        <f>COUNTIF(AW$3:AW516,AW516)</f>
        <v>12</v>
      </c>
    </row>
    <row r="517" spans="1:50" x14ac:dyDescent="0.25">
      <c r="A517" s="5">
        <v>39726</v>
      </c>
      <c r="B517">
        <v>1099.23</v>
      </c>
      <c r="C517">
        <v>0.76</v>
      </c>
      <c r="D517" s="6">
        <v>45.14</v>
      </c>
      <c r="E517" s="18">
        <f t="shared" si="745"/>
        <v>37.32</v>
      </c>
      <c r="F517">
        <f t="shared" si="746"/>
        <v>-3</v>
      </c>
      <c r="G517" s="18">
        <f>ROUND(INDEX(Valuation!U:U,MATCH(A517,Valuation!A:A,0)),2)</f>
        <v>155.63999999999999</v>
      </c>
      <c r="H517">
        <f t="shared" si="753"/>
        <v>1</v>
      </c>
      <c r="I517" s="18">
        <f>INDEX(WeeklyIndicators!Y:Y,MATCH(A517,WeeklyIndicators!A:A,0))</f>
        <v>5.46</v>
      </c>
      <c r="J517">
        <f t="shared" si="742"/>
        <v>-3</v>
      </c>
      <c r="K517">
        <f>ROUND(INDEX(Economic!AF:AF,MATCH(EOMONTH($A517,-1),Economic!A:A,0)),2)</f>
        <v>43.17</v>
      </c>
      <c r="L517" s="11">
        <f t="shared" si="751"/>
        <v>-3</v>
      </c>
      <c r="M517">
        <f>ROUND(INDEX(Manufacturing!P:P,MATCH(EOMONTH($A517,-1),Manufacturing!A:A,0)),2)</f>
        <v>54.61</v>
      </c>
      <c r="N517">
        <f t="shared" si="747"/>
        <v>-3</v>
      </c>
      <c r="O517">
        <f>ROUND(INDEX(Housing!AC:AC,MATCH(EOMONTH($A517,-1),Housing!B:B,0)),2)</f>
        <v>4.37</v>
      </c>
      <c r="P517">
        <f t="shared" si="748"/>
        <v>-3</v>
      </c>
      <c r="Q517">
        <f>ROUND(INDEX(Spending!AJ:AJ,MATCH(EOMONTH($A517,-1),Spending!B:B,0)),2)</f>
        <v>52.53</v>
      </c>
      <c r="R517">
        <f t="shared" si="752"/>
        <v>1</v>
      </c>
      <c r="S517">
        <f>ROUND(INDEX(Employment!V:V,MATCH(EOMONTH($A517,-1),Employment!A:A,0)),2)</f>
        <v>47.89</v>
      </c>
      <c r="T517" s="11">
        <f t="shared" si="749"/>
        <v>-3</v>
      </c>
      <c r="U517">
        <f t="shared" si="741"/>
        <v>4</v>
      </c>
      <c r="V517">
        <f t="shared" ref="V517:V580" si="769">ROUND(((K517*0.745)+(M517*0.745)+(O517*0.36)+(Q517*0.45)+(S517*0.45)+(I517*0.55)+(60)-(30))/5.3,2)</f>
        <v>28.79</v>
      </c>
      <c r="W517" s="13">
        <f t="shared" ref="W517:W580" si="770">ROUND((AVERAGE(V517:V519)-AVERAGE(V518:V520))/AVERAGE(V518:V520),4)</f>
        <v>-3.8800000000000001E-2</v>
      </c>
      <c r="X517" s="13">
        <f t="shared" ref="X517:X580" si="771">SUM(W517:W520)</f>
        <v>-3.8600000000000002E-2</v>
      </c>
      <c r="Y517">
        <f t="shared" si="763"/>
        <v>27.43</v>
      </c>
      <c r="Z517" s="13">
        <f t="shared" si="758"/>
        <v>-7.9100000000000004E-2</v>
      </c>
      <c r="AA517" s="13">
        <f t="shared" si="754"/>
        <v>-0.12980000000000003</v>
      </c>
      <c r="AB517" s="6">
        <f t="shared" si="764"/>
        <v>27.373999999999999</v>
      </c>
      <c r="AC517">
        <f t="shared" si="756"/>
        <v>14</v>
      </c>
      <c r="AD517" s="11">
        <f t="shared" si="757"/>
        <v>-2</v>
      </c>
      <c r="AE517">
        <f t="shared" si="755"/>
        <v>4</v>
      </c>
      <c r="AF517">
        <f>IF(AND(AE517&lt;15,OR(AC517&gt;=30,AA517&gt;0.15,X517&gt;=0.15)),2,VLOOKUP(AE517,Table!P:Q,2,FALSE))</f>
        <v>1</v>
      </c>
      <c r="AG517" s="22">
        <f>IF((AB517*0.98)-(D517*0.8)+((AF517-3)*3)+VLOOKUP(AM517,Table!$A$11:$B$13,2,FALSE)&lt;0,0,(AB517*0.98)-(D517*0.8)+((AF517-3)*3)+VLOOKUP(AM517,Table!$A$11:$B$13,2,FALSE))</f>
        <v>0</v>
      </c>
      <c r="AH517" s="22">
        <f t="shared" si="750"/>
        <v>0</v>
      </c>
      <c r="AI517" s="18">
        <f t="shared" si="743"/>
        <v>1.45</v>
      </c>
      <c r="AJ517" s="18">
        <f t="shared" si="744"/>
        <v>1.68</v>
      </c>
      <c r="AK517" t="str">
        <f t="shared" si="765"/>
        <v>Falling Rates</v>
      </c>
      <c r="AL517">
        <f t="shared" si="740"/>
        <v>5.75</v>
      </c>
      <c r="AM517" s="11" t="str">
        <f t="shared" si="766"/>
        <v>Cash</v>
      </c>
      <c r="AN517" t="str">
        <f t="shared" ref="AN517:AN580" si="772">IF(AND(V517&gt;AG517,V517&lt;65),"Sell","Buy")</f>
        <v>Sell</v>
      </c>
      <c r="AO517" s="13">
        <f t="shared" ref="AO517:AO580" si="773">ROUND((B516/B517)-1,4)</f>
        <v>-0.182</v>
      </c>
      <c r="AP517" s="13">
        <f t="shared" ref="AP517:AP580" si="774">ROUND((C517*0.01)/52,4)</f>
        <v>1E-4</v>
      </c>
      <c r="AQ517" s="13">
        <f t="shared" ref="AQ517:AQ580" si="775">ROUND(((AH517*0.01)*AO517)+(((100-AH517)*0.01)*AP517),4)</f>
        <v>1E-4</v>
      </c>
      <c r="AR517" s="13">
        <f t="shared" si="767"/>
        <v>1E-4</v>
      </c>
      <c r="AS517" s="6">
        <f t="shared" si="759"/>
        <v>273.85752107403982</v>
      </c>
      <c r="AT517" s="6">
        <f t="shared" si="760"/>
        <v>185.7698079562434</v>
      </c>
      <c r="AU517" s="6">
        <f t="shared" si="761"/>
        <v>409.24017288303372</v>
      </c>
      <c r="AV517" s="6">
        <f t="shared" si="762"/>
        <v>523.2999739492609</v>
      </c>
      <c r="AW517" s="58">
        <f t="shared" si="768"/>
        <v>2008</v>
      </c>
      <c r="AX517" s="58">
        <f>COUNTIF(AW$3:AW517,AW517)</f>
        <v>13</v>
      </c>
    </row>
    <row r="518" spans="1:50" x14ac:dyDescent="0.25">
      <c r="A518" s="5">
        <v>39719</v>
      </c>
      <c r="B518">
        <v>1213.27</v>
      </c>
      <c r="C518">
        <v>0.84</v>
      </c>
      <c r="D518" s="6">
        <v>34.74</v>
      </c>
      <c r="E518" s="18">
        <f t="shared" si="745"/>
        <v>30.82</v>
      </c>
      <c r="F518">
        <f t="shared" si="746"/>
        <v>-2</v>
      </c>
      <c r="G518" s="18">
        <f>ROUND(INDEX(Valuation!U:U,MATCH(A518,Valuation!A:A,0)),2)</f>
        <v>152.54</v>
      </c>
      <c r="H518">
        <f t="shared" si="753"/>
        <v>1</v>
      </c>
      <c r="I518" s="18">
        <f>INDEX(WeeklyIndicators!Y:Y,MATCH(A518,WeeklyIndicators!A:A,0))</f>
        <v>21.37</v>
      </c>
      <c r="J518">
        <f t="shared" si="742"/>
        <v>-3</v>
      </c>
      <c r="K518">
        <f>ROUND(INDEX(Economic!AF:AF,MATCH(EOMONTH($A518,-1),Economic!A:A,0)),2)</f>
        <v>28.85</v>
      </c>
      <c r="L518" s="11">
        <f t="shared" si="751"/>
        <v>-3</v>
      </c>
      <c r="M518">
        <f>ROUND(INDEX(Manufacturing!P:P,MATCH(EOMONTH($A518,-1),Manufacturing!A:A,0)),2)</f>
        <v>61.42</v>
      </c>
      <c r="N518">
        <f t="shared" si="747"/>
        <v>-3</v>
      </c>
      <c r="O518">
        <f>ROUND(INDEX(Housing!AC:AC,MATCH(EOMONTH($A518,-1),Housing!B:B,0)),2)</f>
        <v>8.43</v>
      </c>
      <c r="P518">
        <f t="shared" si="748"/>
        <v>-3</v>
      </c>
      <c r="Q518">
        <f>ROUND(INDEX(Spending!AJ:AJ,MATCH(EOMONTH($A518,-1),Spending!B:B,0)),2)</f>
        <v>52.9</v>
      </c>
      <c r="R518">
        <f t="shared" si="752"/>
        <v>1</v>
      </c>
      <c r="S518">
        <f>ROUND(INDEX(Employment!V:V,MATCH(EOMONTH($A518,-1),Employment!A:A,0)),2)</f>
        <v>54.8</v>
      </c>
      <c r="T518" s="11">
        <f t="shared" si="749"/>
        <v>-3</v>
      </c>
      <c r="U518">
        <f t="shared" si="741"/>
        <v>5</v>
      </c>
      <c r="V518">
        <f t="shared" si="769"/>
        <v>30.28</v>
      </c>
      <c r="W518" s="13">
        <f t="shared" si="770"/>
        <v>-1.5800000000000002E-2</v>
      </c>
      <c r="X518" s="13">
        <f t="shared" si="771"/>
        <v>-1.2600000000000002E-2</v>
      </c>
      <c r="Y518">
        <f t="shared" si="763"/>
        <v>30.85</v>
      </c>
      <c r="Z518" s="13">
        <f t="shared" si="758"/>
        <v>-4.2799999999999998E-2</v>
      </c>
      <c r="AA518" s="13">
        <f t="shared" si="754"/>
        <v>-5.2799999999999993E-2</v>
      </c>
      <c r="AB518" s="6">
        <f t="shared" si="764"/>
        <v>35.954000000000001</v>
      </c>
      <c r="AC518">
        <f t="shared" si="756"/>
        <v>18</v>
      </c>
      <c r="AD518" s="11">
        <f t="shared" si="757"/>
        <v>-1</v>
      </c>
      <c r="AE518">
        <f t="shared" si="755"/>
        <v>6</v>
      </c>
      <c r="AF518">
        <f>IF(AND(AE518&lt;15,OR(AC518&gt;=30,AA518&gt;0.15,X518&gt;=0.15)),2,VLOOKUP(AE518,Table!P:Q,2,FALSE))</f>
        <v>1</v>
      </c>
      <c r="AG518" s="22">
        <f>IF((AB518*0.98)-(D518*0.8)+((AF518-3)*3)+VLOOKUP(AM518,Table!$A$11:$B$13,2,FALSE)&lt;0,0,(AB518*0.98)-(D518*0.8)+((AF518-3)*3)+VLOOKUP(AM518,Table!$A$11:$B$13,2,FALSE))</f>
        <v>0</v>
      </c>
      <c r="AH518" s="22">
        <f t="shared" si="750"/>
        <v>0</v>
      </c>
      <c r="AI518" s="18">
        <f t="shared" si="743"/>
        <v>1.53</v>
      </c>
      <c r="AJ518" s="18">
        <f t="shared" si="744"/>
        <v>1.75</v>
      </c>
      <c r="AK518" t="str">
        <f t="shared" si="765"/>
        <v>Falling Rates</v>
      </c>
      <c r="AL518">
        <f t="shared" si="740"/>
        <v>6.5</v>
      </c>
      <c r="AM518" s="11" t="str">
        <f t="shared" si="766"/>
        <v>Cash</v>
      </c>
      <c r="AN518" t="str">
        <f t="shared" si="772"/>
        <v>Sell</v>
      </c>
      <c r="AO518" s="13">
        <f t="shared" si="773"/>
        <v>-9.4E-2</v>
      </c>
      <c r="AP518" s="13">
        <f t="shared" si="774"/>
        <v>2.0000000000000001E-4</v>
      </c>
      <c r="AQ518" s="13">
        <f t="shared" si="775"/>
        <v>2.0000000000000001E-4</v>
      </c>
      <c r="AR518" s="13">
        <f t="shared" si="767"/>
        <v>2.0000000000000001E-4</v>
      </c>
      <c r="AS518" s="6">
        <f t="shared" si="759"/>
        <v>302.27099456295787</v>
      </c>
      <c r="AT518" s="6">
        <f t="shared" si="760"/>
        <v>185.7326614239586</v>
      </c>
      <c r="AU518" s="6">
        <f t="shared" si="761"/>
        <v>409.15834121479077</v>
      </c>
      <c r="AV518" s="6">
        <f t="shared" si="762"/>
        <v>523.19533488228444</v>
      </c>
      <c r="AW518" s="58">
        <f t="shared" si="768"/>
        <v>2008</v>
      </c>
      <c r="AX518" s="58">
        <f>COUNTIF(AW$3:AW518,AW518)</f>
        <v>14</v>
      </c>
    </row>
    <row r="519" spans="1:50" x14ac:dyDescent="0.25">
      <c r="A519" s="5">
        <v>39712</v>
      </c>
      <c r="B519">
        <v>1255.08</v>
      </c>
      <c r="C519">
        <v>0.62</v>
      </c>
      <c r="D519" s="6">
        <v>32.07</v>
      </c>
      <c r="E519" s="18">
        <f t="shared" si="745"/>
        <v>26.93</v>
      </c>
      <c r="F519">
        <f t="shared" si="746"/>
        <v>-2</v>
      </c>
      <c r="G519" s="18">
        <f>ROUND(INDEX(Valuation!U:U,MATCH(A519,Valuation!A:A,0)),2)</f>
        <v>150.91</v>
      </c>
      <c r="H519">
        <f t="shared" si="753"/>
        <v>1</v>
      </c>
      <c r="I519" s="18">
        <f>INDEX(WeeklyIndicators!Y:Y,MATCH(A519,WeeklyIndicators!A:A,0))</f>
        <v>40.19</v>
      </c>
      <c r="J519">
        <f t="shared" si="742"/>
        <v>-3</v>
      </c>
      <c r="K519">
        <f>ROUND(INDEX(Economic!AF:AF,MATCH(EOMONTH($A519,-1),Economic!A:A,0)),2)</f>
        <v>28.85</v>
      </c>
      <c r="L519" s="11">
        <f t="shared" si="751"/>
        <v>-3</v>
      </c>
      <c r="M519">
        <f>ROUND(INDEX(Manufacturing!P:P,MATCH(EOMONTH($A519,-1),Manufacturing!A:A,0)),2)</f>
        <v>61.42</v>
      </c>
      <c r="N519">
        <f t="shared" si="747"/>
        <v>-3</v>
      </c>
      <c r="O519">
        <f>ROUND(INDEX(Housing!AC:AC,MATCH(EOMONTH($A519,-1),Housing!B:B,0)),2)</f>
        <v>8.43</v>
      </c>
      <c r="P519">
        <f t="shared" si="748"/>
        <v>-3</v>
      </c>
      <c r="Q519">
        <f>ROUND(INDEX(Spending!AJ:AJ,MATCH(EOMONTH($A519,-1),Spending!B:B,0)),2)</f>
        <v>52.9</v>
      </c>
      <c r="R519">
        <f t="shared" si="752"/>
        <v>1</v>
      </c>
      <c r="S519">
        <f>ROUND(INDEX(Employment!V:V,MATCH(EOMONTH($A519,-1),Employment!A:A,0)),2)</f>
        <v>54.8</v>
      </c>
      <c r="T519" s="11">
        <f t="shared" si="749"/>
        <v>-3</v>
      </c>
      <c r="U519">
        <f t="shared" si="741"/>
        <v>5</v>
      </c>
      <c r="V519">
        <f t="shared" si="769"/>
        <v>32.24</v>
      </c>
      <c r="W519" s="13">
        <f t="shared" si="770"/>
        <v>1.0200000000000001E-2</v>
      </c>
      <c r="X519" s="13">
        <f t="shared" si="771"/>
        <v>-2.3699999999999999E-2</v>
      </c>
      <c r="Y519">
        <f t="shared" si="763"/>
        <v>33.979999999999997</v>
      </c>
      <c r="Z519" s="13">
        <f t="shared" si="758"/>
        <v>-8.5000000000000006E-3</v>
      </c>
      <c r="AA519" s="13">
        <f t="shared" si="754"/>
        <v>-1.77E-2</v>
      </c>
      <c r="AB519" s="6">
        <f t="shared" si="764"/>
        <v>41.221000000000004</v>
      </c>
      <c r="AC519">
        <f t="shared" si="756"/>
        <v>21</v>
      </c>
      <c r="AD519" s="11">
        <f t="shared" si="757"/>
        <v>-1</v>
      </c>
      <c r="AE519">
        <f t="shared" si="755"/>
        <v>6</v>
      </c>
      <c r="AF519">
        <f>IF(AND(AE519&lt;15,OR(AC519&gt;=30,AA519&gt;0.15,X519&gt;=0.15)),2,VLOOKUP(AE519,Table!P:Q,2,FALSE))</f>
        <v>1</v>
      </c>
      <c r="AG519" s="22">
        <f>IF((AB519*0.98)-(D519*0.8)+((AF519-3)*3)+VLOOKUP(AM519,Table!$A$11:$B$13,2,FALSE)&lt;0,0,(AB519*0.98)-(D519*0.8)+((AF519-3)*3)+VLOOKUP(AM519,Table!$A$11:$B$13,2,FALSE))</f>
        <v>0</v>
      </c>
      <c r="AH519" s="22">
        <f t="shared" si="750"/>
        <v>0</v>
      </c>
      <c r="AI519" s="18">
        <f t="shared" si="743"/>
        <v>1.6</v>
      </c>
      <c r="AJ519" s="18">
        <f t="shared" si="744"/>
        <v>1.81</v>
      </c>
      <c r="AK519" t="str">
        <f t="shared" si="765"/>
        <v>Falling Rates</v>
      </c>
      <c r="AL519">
        <f t="shared" si="740"/>
        <v>6.5</v>
      </c>
      <c r="AM519" s="11" t="str">
        <f t="shared" si="766"/>
        <v>Cash</v>
      </c>
      <c r="AN519" t="str">
        <f t="shared" si="772"/>
        <v>Sell</v>
      </c>
      <c r="AO519" s="13">
        <f t="shared" si="773"/>
        <v>-3.3300000000000003E-2</v>
      </c>
      <c r="AP519" s="13">
        <f t="shared" si="774"/>
        <v>1E-4</v>
      </c>
      <c r="AQ519" s="13">
        <f t="shared" si="775"/>
        <v>1E-4</v>
      </c>
      <c r="AR519" s="13">
        <f t="shared" si="767"/>
        <v>1E-4</v>
      </c>
      <c r="AS519" s="6">
        <f t="shared" si="759"/>
        <v>312.68335012202118</v>
      </c>
      <c r="AT519" s="6">
        <f t="shared" si="760"/>
        <v>185.71409001495712</v>
      </c>
      <c r="AU519" s="6">
        <f t="shared" si="761"/>
        <v>409.11742947184359</v>
      </c>
      <c r="AV519" s="6">
        <f t="shared" si="762"/>
        <v>523.14302058022645</v>
      </c>
      <c r="AW519" s="58">
        <f t="shared" si="768"/>
        <v>2008</v>
      </c>
      <c r="AX519" s="58">
        <f>COUNTIF(AW$3:AW519,AW519)</f>
        <v>15</v>
      </c>
    </row>
    <row r="520" spans="1:50" x14ac:dyDescent="0.25">
      <c r="A520" s="5">
        <v>39705</v>
      </c>
      <c r="B520">
        <v>1251.7</v>
      </c>
      <c r="C520">
        <v>1.6</v>
      </c>
      <c r="D520" s="6">
        <v>25.66</v>
      </c>
      <c r="E520" s="18">
        <f t="shared" si="745"/>
        <v>23.12</v>
      </c>
      <c r="F520">
        <f t="shared" si="746"/>
        <v>-1</v>
      </c>
      <c r="G520" s="18">
        <f>ROUND(INDEX(Valuation!U:U,MATCH(A520,Valuation!A:A,0)),2)</f>
        <v>149.26</v>
      </c>
      <c r="H520">
        <f t="shared" si="753"/>
        <v>1</v>
      </c>
      <c r="I520" s="18">
        <f>INDEX(WeeklyIndicators!Y:Y,MATCH(A520,WeeklyIndicators!A:A,0))</f>
        <v>42.52</v>
      </c>
      <c r="J520">
        <f t="shared" si="742"/>
        <v>-3</v>
      </c>
      <c r="K520">
        <f>ROUND(INDEX(Economic!AF:AF,MATCH(EOMONTH($A520,-1),Economic!A:A,0)),2)</f>
        <v>28.85</v>
      </c>
      <c r="L520" s="11">
        <f t="shared" si="751"/>
        <v>-3</v>
      </c>
      <c r="M520">
        <f>ROUND(INDEX(Manufacturing!P:P,MATCH(EOMONTH($A520,-1),Manufacturing!A:A,0)),2)</f>
        <v>61.42</v>
      </c>
      <c r="N520">
        <f t="shared" si="747"/>
        <v>-3</v>
      </c>
      <c r="O520">
        <f>ROUND(INDEX(Housing!AC:AC,MATCH(EOMONTH($A520,-1),Housing!B:B,0)),2)</f>
        <v>8.43</v>
      </c>
      <c r="P520">
        <f t="shared" si="748"/>
        <v>-3</v>
      </c>
      <c r="Q520">
        <f>ROUND(INDEX(Spending!AJ:AJ,MATCH(EOMONTH($A520,-1),Spending!B:B,0)),2)</f>
        <v>52.9</v>
      </c>
      <c r="R520">
        <f t="shared" si="752"/>
        <v>1</v>
      </c>
      <c r="S520">
        <f>ROUND(INDEX(Employment!V:V,MATCH(EOMONTH($A520,-1),Employment!A:A,0)),2)</f>
        <v>54.8</v>
      </c>
      <c r="T520" s="11">
        <f t="shared" si="749"/>
        <v>-3</v>
      </c>
      <c r="U520">
        <f t="shared" si="741"/>
        <v>6</v>
      </c>
      <c r="V520">
        <f t="shared" si="769"/>
        <v>32.479999999999997</v>
      </c>
      <c r="W520" s="13">
        <f t="shared" si="770"/>
        <v>5.7999999999999996E-3</v>
      </c>
      <c r="X520" s="13">
        <f t="shared" si="771"/>
        <v>-5.8200000000000002E-2</v>
      </c>
      <c r="Y520">
        <f t="shared" si="763"/>
        <v>35.36</v>
      </c>
      <c r="Z520" s="13">
        <f t="shared" si="758"/>
        <v>5.9999999999999995E-4</v>
      </c>
      <c r="AA520" s="13">
        <f t="shared" si="754"/>
        <v>-0.01</v>
      </c>
      <c r="AB520" s="6">
        <f t="shared" si="764"/>
        <v>42.616</v>
      </c>
      <c r="AC520">
        <f t="shared" si="756"/>
        <v>21</v>
      </c>
      <c r="AD520" s="11">
        <f t="shared" si="757"/>
        <v>-1</v>
      </c>
      <c r="AE520">
        <f t="shared" si="755"/>
        <v>7</v>
      </c>
      <c r="AF520">
        <f>IF(AND(AE520&lt;15,OR(AC520&gt;=30,AA520&gt;0.15,X520&gt;=0.15)),2,VLOOKUP(AE520,Table!P:Q,2,FALSE))</f>
        <v>1</v>
      </c>
      <c r="AG520" s="22">
        <f>IF((AB520*0.98)-(D520*0.8)+((AF520-3)*3)+VLOOKUP(AM520,Table!$A$11:$B$13,2,FALSE)&lt;0,0,(AB520*0.98)-(D520*0.8)+((AF520-3)*3)+VLOOKUP(AM520,Table!$A$11:$B$13,2,FALSE))</f>
        <v>0</v>
      </c>
      <c r="AH520" s="22">
        <f t="shared" si="750"/>
        <v>1</v>
      </c>
      <c r="AI520" s="18">
        <f t="shared" si="743"/>
        <v>1.7</v>
      </c>
      <c r="AJ520" s="18">
        <f t="shared" si="744"/>
        <v>1.86</v>
      </c>
      <c r="AK520" t="str">
        <f t="shared" si="765"/>
        <v>Falling Rates</v>
      </c>
      <c r="AL520">
        <f t="shared" si="740"/>
        <v>6.5</v>
      </c>
      <c r="AM520" s="11" t="str">
        <f t="shared" si="766"/>
        <v>Cash</v>
      </c>
      <c r="AN520" t="str">
        <f t="shared" si="772"/>
        <v>Sell</v>
      </c>
      <c r="AO520" s="13">
        <f t="shared" si="773"/>
        <v>2.7000000000000001E-3</v>
      </c>
      <c r="AP520" s="13">
        <f t="shared" si="774"/>
        <v>2.9999999999999997E-4</v>
      </c>
      <c r="AQ520" s="13">
        <f t="shared" si="775"/>
        <v>2.9999999999999997E-4</v>
      </c>
      <c r="AR520" s="13">
        <f t="shared" si="767"/>
        <v>2.9999999999999997E-4</v>
      </c>
      <c r="AS520" s="6">
        <f t="shared" si="759"/>
        <v>311.84137840034026</v>
      </c>
      <c r="AT520" s="6">
        <f t="shared" si="760"/>
        <v>185.65839249720796</v>
      </c>
      <c r="AU520" s="6">
        <f t="shared" si="761"/>
        <v>408.99473105252787</v>
      </c>
      <c r="AV520" s="6">
        <f t="shared" si="762"/>
        <v>522.98612474280367</v>
      </c>
      <c r="AW520" s="58">
        <f t="shared" si="768"/>
        <v>2008</v>
      </c>
      <c r="AX520" s="58">
        <f>COUNTIF(AW$3:AW520,AW520)</f>
        <v>16</v>
      </c>
    </row>
    <row r="521" spans="1:50" x14ac:dyDescent="0.25">
      <c r="A521" s="5">
        <v>39698</v>
      </c>
      <c r="B521">
        <v>1242.31</v>
      </c>
      <c r="C521">
        <v>1.67</v>
      </c>
      <c r="D521" s="6">
        <v>23.06</v>
      </c>
      <c r="E521" s="18">
        <f t="shared" si="745"/>
        <v>20.84</v>
      </c>
      <c r="F521">
        <f t="shared" si="746"/>
        <v>-1</v>
      </c>
      <c r="G521" s="18">
        <f>ROUND(INDEX(Valuation!U:U,MATCH(A521,Valuation!A:A,0)),2)</f>
        <v>147.88</v>
      </c>
      <c r="H521">
        <f t="shared" si="753"/>
        <v>1</v>
      </c>
      <c r="I521" s="18">
        <f>INDEX(WeeklyIndicators!Y:Y,MATCH(A521,WeeklyIndicators!A:A,0))</f>
        <v>36.04</v>
      </c>
      <c r="J521">
        <f t="shared" si="742"/>
        <v>-3</v>
      </c>
      <c r="K521">
        <f>ROUND(INDEX(Economic!AF:AF,MATCH(EOMONTH($A521,-1),Economic!A:A,0)),2)</f>
        <v>28.85</v>
      </c>
      <c r="L521" s="11">
        <f t="shared" si="751"/>
        <v>-3</v>
      </c>
      <c r="M521">
        <f>ROUND(INDEX(Manufacturing!P:P,MATCH(EOMONTH($A521,-1),Manufacturing!A:A,0)),2)</f>
        <v>61.42</v>
      </c>
      <c r="N521">
        <f t="shared" si="747"/>
        <v>-3</v>
      </c>
      <c r="O521">
        <f>ROUND(INDEX(Housing!AC:AC,MATCH(EOMONTH($A521,-1),Housing!B:B,0)),2)</f>
        <v>8.43</v>
      </c>
      <c r="P521">
        <f t="shared" si="748"/>
        <v>-3</v>
      </c>
      <c r="Q521">
        <f>ROUND(INDEX(Spending!AJ:AJ,MATCH(EOMONTH($A521,-1),Spending!B:B,0)),2)</f>
        <v>52.9</v>
      </c>
      <c r="R521">
        <f t="shared" si="752"/>
        <v>1</v>
      </c>
      <c r="S521">
        <f>ROUND(INDEX(Employment!V:V,MATCH(EOMONTH($A521,-1),Employment!A:A,0)),2)</f>
        <v>54.8</v>
      </c>
      <c r="T521" s="11">
        <f t="shared" si="749"/>
        <v>-3</v>
      </c>
      <c r="U521">
        <f t="shared" si="741"/>
        <v>6</v>
      </c>
      <c r="V521">
        <f t="shared" si="769"/>
        <v>31.81</v>
      </c>
      <c r="W521" s="13">
        <f t="shared" si="770"/>
        <v>-1.2800000000000001E-2</v>
      </c>
      <c r="X521" s="13">
        <f t="shared" si="771"/>
        <v>-8.6400000000000005E-2</v>
      </c>
      <c r="Y521">
        <f t="shared" si="763"/>
        <v>35.33</v>
      </c>
      <c r="Z521" s="13">
        <f t="shared" si="758"/>
        <v>-2.0999999999999999E-3</v>
      </c>
      <c r="AA521" s="13">
        <f t="shared" si="754"/>
        <v>-0.01</v>
      </c>
      <c r="AB521" s="6">
        <f t="shared" si="764"/>
        <v>42.147999999999996</v>
      </c>
      <c r="AC521">
        <f t="shared" si="756"/>
        <v>21</v>
      </c>
      <c r="AD521" s="11">
        <f t="shared" si="757"/>
        <v>-1</v>
      </c>
      <c r="AE521">
        <f t="shared" si="755"/>
        <v>7</v>
      </c>
      <c r="AF521">
        <f>IF(AND(AE521&lt;15,OR(AC521&gt;=30,AA521&gt;0.15,X521&gt;=0.15)),2,VLOOKUP(AE521,Table!P:Q,2,FALSE))</f>
        <v>1</v>
      </c>
      <c r="AG521" s="22">
        <f>IF((AB521*0.98)-(D521*0.8)+((AF521-3)*3)+VLOOKUP(AM521,Table!$A$11:$B$13,2,FALSE)&lt;0,0,(AB521*0.98)-(D521*0.8)+((AF521-3)*3)+VLOOKUP(AM521,Table!$A$11:$B$13,2,FALSE))</f>
        <v>0.8570399999999978</v>
      </c>
      <c r="AH521" s="22">
        <f t="shared" si="750"/>
        <v>3</v>
      </c>
      <c r="AI521" s="18">
        <f t="shared" si="743"/>
        <v>1.72</v>
      </c>
      <c r="AJ521" s="18">
        <f t="shared" si="744"/>
        <v>1.9</v>
      </c>
      <c r="AK521" t="str">
        <f t="shared" si="765"/>
        <v>Falling Rates</v>
      </c>
      <c r="AL521">
        <f t="shared" ref="AL521:AL584" si="776">ROUND(AVERAGE(AE521:AE524),2)</f>
        <v>6.25</v>
      </c>
      <c r="AM521" s="11" t="str">
        <f t="shared" si="766"/>
        <v>Cash</v>
      </c>
      <c r="AN521" t="str">
        <f t="shared" si="772"/>
        <v>Sell</v>
      </c>
      <c r="AO521" s="13">
        <f t="shared" si="773"/>
        <v>7.6E-3</v>
      </c>
      <c r="AP521" s="13">
        <f t="shared" si="774"/>
        <v>2.9999999999999997E-4</v>
      </c>
      <c r="AQ521" s="13">
        <f t="shared" si="775"/>
        <v>5.0000000000000001E-4</v>
      </c>
      <c r="AR521" s="13">
        <f t="shared" si="767"/>
        <v>2.9999999999999997E-4</v>
      </c>
      <c r="AS521" s="6">
        <f t="shared" si="759"/>
        <v>309.48926002415664</v>
      </c>
      <c r="AT521" s="6">
        <f t="shared" si="760"/>
        <v>185.60271168370286</v>
      </c>
      <c r="AU521" s="6">
        <f t="shared" si="761"/>
        <v>408.7903358845856</v>
      </c>
      <c r="AV521" s="6">
        <f t="shared" si="762"/>
        <v>522.82927596001571</v>
      </c>
      <c r="AW521" s="58">
        <f t="shared" si="768"/>
        <v>2008</v>
      </c>
      <c r="AX521" s="58">
        <f>COUNTIF(AW$3:AW521,AW521)</f>
        <v>17</v>
      </c>
    </row>
    <row r="522" spans="1:50" x14ac:dyDescent="0.25">
      <c r="A522" s="5">
        <v>39691</v>
      </c>
      <c r="B522">
        <v>1282.83</v>
      </c>
      <c r="C522">
        <v>1.69</v>
      </c>
      <c r="D522" s="6">
        <v>20.65</v>
      </c>
      <c r="E522" s="18">
        <f t="shared" si="745"/>
        <v>19.68</v>
      </c>
      <c r="F522">
        <f t="shared" si="746"/>
        <v>-1</v>
      </c>
      <c r="G522" s="18">
        <f>ROUND(INDEX(Valuation!U:U,MATCH(A522,Valuation!A:A,0)),2)</f>
        <v>145.02000000000001</v>
      </c>
      <c r="H522">
        <f t="shared" si="753"/>
        <v>1</v>
      </c>
      <c r="I522" s="18">
        <f>INDEX(WeeklyIndicators!Y:Y,MATCH(A522,WeeklyIndicators!A:A,0))</f>
        <v>32.67</v>
      </c>
      <c r="J522">
        <f t="shared" si="742"/>
        <v>-3</v>
      </c>
      <c r="K522">
        <f>ROUND(INDEX(Economic!AF:AF,MATCH(EOMONTH($A522,-1),Economic!A:A,0)),2)</f>
        <v>24.86</v>
      </c>
      <c r="L522" s="11">
        <f t="shared" si="751"/>
        <v>-3</v>
      </c>
      <c r="M522">
        <f>ROUND(INDEX(Manufacturing!P:P,MATCH(EOMONTH($A522,-1),Manufacturing!A:A,0)),2)</f>
        <v>61.91</v>
      </c>
      <c r="N522">
        <f t="shared" si="747"/>
        <v>-3</v>
      </c>
      <c r="O522">
        <f>ROUND(INDEX(Housing!AC:AC,MATCH(EOMONTH($A522,-1),Housing!B:B,0)),2)</f>
        <v>10</v>
      </c>
      <c r="P522">
        <f t="shared" si="748"/>
        <v>-3</v>
      </c>
      <c r="Q522">
        <f>ROUND(INDEX(Spending!AJ:AJ,MATCH(EOMONTH($A522,-1),Spending!B:B,0)),2)</f>
        <v>48.23</v>
      </c>
      <c r="R522">
        <f t="shared" si="752"/>
        <v>0</v>
      </c>
      <c r="S522">
        <f>ROUND(INDEX(Employment!V:V,MATCH(EOMONTH($A522,-1),Employment!A:A,0)),2)</f>
        <v>61.81</v>
      </c>
      <c r="T522" s="11">
        <f t="shared" si="749"/>
        <v>-3</v>
      </c>
      <c r="U522">
        <f t="shared" ref="U522:U585" si="777">F522+H522+J522+L522+N522+P522+R522+T522+20</f>
        <v>5</v>
      </c>
      <c r="V522">
        <f t="shared" si="769"/>
        <v>31.27</v>
      </c>
      <c r="W522" s="13">
        <f t="shared" si="770"/>
        <v>-2.69E-2</v>
      </c>
      <c r="X522" s="13">
        <f t="shared" si="771"/>
        <v>-8.9099999999999999E-2</v>
      </c>
      <c r="Y522">
        <f t="shared" si="763"/>
        <v>34.880000000000003</v>
      </c>
      <c r="Z522" s="13">
        <f t="shared" si="758"/>
        <v>-7.7000000000000002E-3</v>
      </c>
      <c r="AA522" s="13">
        <f t="shared" si="754"/>
        <v>-3.8000000000000004E-3</v>
      </c>
      <c r="AB522" s="6">
        <f t="shared" si="764"/>
        <v>41.782000000000004</v>
      </c>
      <c r="AC522">
        <f t="shared" si="756"/>
        <v>21</v>
      </c>
      <c r="AD522" s="11">
        <f t="shared" si="757"/>
        <v>-1</v>
      </c>
      <c r="AE522">
        <f t="shared" si="755"/>
        <v>6</v>
      </c>
      <c r="AF522">
        <f>IF(AND(AE522&lt;15,OR(AC522&gt;=30,AA522&gt;0.15,X522&gt;=0.15)),2,VLOOKUP(AE522,Table!P:Q,2,FALSE))</f>
        <v>1</v>
      </c>
      <c r="AG522" s="22">
        <f>IF((AB522*0.98)-(D522*0.8)+((AF522-3)*3)+VLOOKUP(AM522,Table!$A$11:$B$13,2,FALSE)&lt;0,0,(AB522*0.98)-(D522*0.8)+((AF522-3)*3)+VLOOKUP(AM522,Table!$A$11:$B$13,2,FALSE))</f>
        <v>2.4263600000000061</v>
      </c>
      <c r="AH522" s="22">
        <f t="shared" si="750"/>
        <v>4</v>
      </c>
      <c r="AI522" s="18">
        <f t="shared" si="743"/>
        <v>1.73</v>
      </c>
      <c r="AJ522" s="18">
        <f t="shared" si="744"/>
        <v>1.93</v>
      </c>
      <c r="AK522" t="str">
        <f t="shared" si="765"/>
        <v>Falling Rates</v>
      </c>
      <c r="AL522">
        <f t="shared" si="776"/>
        <v>6</v>
      </c>
      <c r="AM522" s="11" t="str">
        <f t="shared" si="766"/>
        <v>Cash</v>
      </c>
      <c r="AN522" t="str">
        <f t="shared" si="772"/>
        <v>Sell</v>
      </c>
      <c r="AO522" s="13">
        <f t="shared" si="773"/>
        <v>-3.1600000000000003E-2</v>
      </c>
      <c r="AP522" s="13">
        <f t="shared" si="774"/>
        <v>2.9999999999999997E-4</v>
      </c>
      <c r="AQ522" s="13">
        <f t="shared" si="775"/>
        <v>-1E-3</v>
      </c>
      <c r="AR522" s="13">
        <f t="shared" si="767"/>
        <v>2.9999999999999997E-4</v>
      </c>
      <c r="AS522" s="6">
        <f t="shared" si="759"/>
        <v>319.58824868252441</v>
      </c>
      <c r="AT522" s="6">
        <f t="shared" si="760"/>
        <v>185.54704756943204</v>
      </c>
      <c r="AU522" s="6">
        <f t="shared" si="761"/>
        <v>409.19953542000559</v>
      </c>
      <c r="AV522" s="6">
        <f t="shared" si="762"/>
        <v>522.67247421775039</v>
      </c>
      <c r="AW522" s="58">
        <f t="shared" si="768"/>
        <v>2008</v>
      </c>
      <c r="AX522" s="58">
        <f>COUNTIF(AW$3:AW522,AW522)</f>
        <v>18</v>
      </c>
    </row>
    <row r="523" spans="1:50" x14ac:dyDescent="0.25">
      <c r="A523" s="5">
        <v>39684</v>
      </c>
      <c r="B523">
        <v>1292.2</v>
      </c>
      <c r="C523">
        <v>1.72</v>
      </c>
      <c r="D523" s="6">
        <v>18.809999999999999</v>
      </c>
      <c r="E523" s="18">
        <f t="shared" si="745"/>
        <v>19.68</v>
      </c>
      <c r="F523">
        <f t="shared" si="746"/>
        <v>-1</v>
      </c>
      <c r="G523" s="18">
        <f>ROUND(INDEX(Valuation!U:U,MATCH(A523,Valuation!A:A,0)),2)</f>
        <v>142.82</v>
      </c>
      <c r="H523">
        <f t="shared" si="753"/>
        <v>1</v>
      </c>
      <c r="I523" s="18">
        <f>INDEX(WeeklyIndicators!Y:Y,MATCH(A523,WeeklyIndicators!A:A,0))</f>
        <v>39.04</v>
      </c>
      <c r="J523">
        <f t="shared" si="742"/>
        <v>-3</v>
      </c>
      <c r="K523">
        <f>ROUND(INDEX(Economic!AF:AF,MATCH(EOMONTH($A523,-1),Economic!A:A,0)),2)</f>
        <v>24.86</v>
      </c>
      <c r="L523" s="11">
        <f t="shared" si="751"/>
        <v>-3</v>
      </c>
      <c r="M523">
        <f>ROUND(INDEX(Manufacturing!P:P,MATCH(EOMONTH($A523,-1),Manufacturing!A:A,0)),2)</f>
        <v>61.91</v>
      </c>
      <c r="N523">
        <f t="shared" si="747"/>
        <v>-3</v>
      </c>
      <c r="O523">
        <f>ROUND(INDEX(Housing!AC:AC,MATCH(EOMONTH($A523,-1),Housing!B:B,0)),2)</f>
        <v>10</v>
      </c>
      <c r="P523">
        <f t="shared" si="748"/>
        <v>-3</v>
      </c>
      <c r="Q523">
        <f>ROUND(INDEX(Spending!AJ:AJ,MATCH(EOMONTH($A523,-1),Spending!B:B,0)),2)</f>
        <v>48.23</v>
      </c>
      <c r="R523">
        <f t="shared" si="752"/>
        <v>0</v>
      </c>
      <c r="S523">
        <f>ROUND(INDEX(Employment!V:V,MATCH(EOMONTH($A523,-1),Employment!A:A,0)),2)</f>
        <v>61.81</v>
      </c>
      <c r="T523" s="11">
        <f t="shared" si="749"/>
        <v>-3</v>
      </c>
      <c r="U523">
        <f t="shared" si="777"/>
        <v>5</v>
      </c>
      <c r="V523">
        <f t="shared" si="769"/>
        <v>31.93</v>
      </c>
      <c r="W523" s="13">
        <f t="shared" si="770"/>
        <v>-2.4299999999999999E-2</v>
      </c>
      <c r="X523" s="13">
        <f t="shared" si="771"/>
        <v>-7.6200000000000004E-2</v>
      </c>
      <c r="Y523">
        <f t="shared" si="763"/>
        <v>35.299999999999997</v>
      </c>
      <c r="Z523" s="13">
        <f t="shared" si="758"/>
        <v>-8.0000000000000004E-4</v>
      </c>
      <c r="AA523" s="13">
        <f t="shared" si="754"/>
        <v>2.4000000000000002E-3</v>
      </c>
      <c r="AB523" s="6">
        <f t="shared" si="764"/>
        <v>42.541999999999994</v>
      </c>
      <c r="AC523">
        <f t="shared" si="756"/>
        <v>21</v>
      </c>
      <c r="AD523" s="11">
        <f t="shared" si="757"/>
        <v>-1</v>
      </c>
      <c r="AE523">
        <f t="shared" si="755"/>
        <v>6</v>
      </c>
      <c r="AF523">
        <f>IF(AND(AE523&lt;15,OR(AC523&gt;=30,AA523&gt;0.15,X523&gt;=0.15)),2,VLOOKUP(AE523,Table!P:Q,2,FALSE))</f>
        <v>1</v>
      </c>
      <c r="AG523" s="22">
        <f>IF((AB523*0.98)-(D523*0.8)+((AF523-3)*3)+VLOOKUP(AM523,Table!$A$11:$B$13,2,FALSE)&lt;0,0,(AB523*0.98)-(D523*0.8)+((AF523-3)*3)+VLOOKUP(AM523,Table!$A$11:$B$13,2,FALSE))</f>
        <v>4.6431599999999946</v>
      </c>
      <c r="AH523" s="22">
        <f t="shared" si="750"/>
        <v>3</v>
      </c>
      <c r="AI523" s="18">
        <f t="shared" si="743"/>
        <v>1.75</v>
      </c>
      <c r="AJ523" s="18">
        <f t="shared" si="744"/>
        <v>1.97</v>
      </c>
      <c r="AK523" t="str">
        <f t="shared" si="765"/>
        <v>Falling Rates</v>
      </c>
      <c r="AL523">
        <f t="shared" si="776"/>
        <v>6.25</v>
      </c>
      <c r="AM523" s="11" t="str">
        <f t="shared" si="766"/>
        <v>Cash</v>
      </c>
      <c r="AN523" t="str">
        <f t="shared" si="772"/>
        <v>Sell</v>
      </c>
      <c r="AO523" s="13">
        <f t="shared" si="773"/>
        <v>-7.3000000000000001E-3</v>
      </c>
      <c r="AP523" s="13">
        <f t="shared" si="774"/>
        <v>2.9999999999999997E-4</v>
      </c>
      <c r="AQ523" s="13">
        <f t="shared" si="775"/>
        <v>1E-4</v>
      </c>
      <c r="AR523" s="13">
        <f t="shared" si="767"/>
        <v>2.9999999999999997E-4</v>
      </c>
      <c r="AS523" s="6">
        <f t="shared" si="759"/>
        <v>321.93839899518929</v>
      </c>
      <c r="AT523" s="6">
        <f t="shared" si="760"/>
        <v>185.49140014938723</v>
      </c>
      <c r="AU523" s="6">
        <f t="shared" si="761"/>
        <v>409.15861955804979</v>
      </c>
      <c r="AV523" s="6">
        <f t="shared" si="762"/>
        <v>522.51571950189987</v>
      </c>
      <c r="AW523" s="58">
        <f t="shared" si="768"/>
        <v>2008</v>
      </c>
      <c r="AX523" s="58">
        <f>COUNTIF(AW$3:AW523,AW523)</f>
        <v>19</v>
      </c>
    </row>
    <row r="524" spans="1:50" x14ac:dyDescent="0.25">
      <c r="A524" s="5">
        <v>39677</v>
      </c>
      <c r="B524">
        <v>1298.2</v>
      </c>
      <c r="C524">
        <v>1.83</v>
      </c>
      <c r="D524" s="6">
        <v>19.579999999999998</v>
      </c>
      <c r="E524" s="18">
        <f t="shared" si="745"/>
        <v>20.94</v>
      </c>
      <c r="F524">
        <f t="shared" si="746"/>
        <v>-1</v>
      </c>
      <c r="G524" s="18">
        <f>ROUND(INDEX(Valuation!U:U,MATCH(A524,Valuation!A:A,0)),2)</f>
        <v>139.11000000000001</v>
      </c>
      <c r="H524">
        <f t="shared" si="753"/>
        <v>1</v>
      </c>
      <c r="I524" s="18">
        <f>INDEX(WeeklyIndicators!Y:Y,MATCH(A524,WeeklyIndicators!A:A,0))</f>
        <v>49.68</v>
      </c>
      <c r="J524">
        <f t="shared" si="742"/>
        <v>-3</v>
      </c>
      <c r="K524">
        <f>ROUND(INDEX(Economic!AF:AF,MATCH(EOMONTH($A524,-1),Economic!A:A,0)),2)</f>
        <v>24.86</v>
      </c>
      <c r="L524" s="11">
        <f t="shared" si="751"/>
        <v>-3</v>
      </c>
      <c r="M524">
        <f>ROUND(INDEX(Manufacturing!P:P,MATCH(EOMONTH($A524,-1),Manufacturing!A:A,0)),2)</f>
        <v>61.91</v>
      </c>
      <c r="N524">
        <f t="shared" si="747"/>
        <v>-3</v>
      </c>
      <c r="O524">
        <f>ROUND(INDEX(Housing!AC:AC,MATCH(EOMONTH($A524,-1),Housing!B:B,0)),2)</f>
        <v>10</v>
      </c>
      <c r="P524">
        <f t="shared" si="748"/>
        <v>-3</v>
      </c>
      <c r="Q524">
        <f>ROUND(INDEX(Spending!AJ:AJ,MATCH(EOMONTH($A524,-1),Spending!B:B,0)),2)</f>
        <v>48.23</v>
      </c>
      <c r="R524">
        <f t="shared" si="752"/>
        <v>0</v>
      </c>
      <c r="S524">
        <f>ROUND(INDEX(Employment!V:V,MATCH(EOMONTH($A524,-1),Employment!A:A,0)),2)</f>
        <v>61.81</v>
      </c>
      <c r="T524" s="11">
        <f t="shared" si="749"/>
        <v>-3</v>
      </c>
      <c r="U524">
        <f t="shared" si="777"/>
        <v>5</v>
      </c>
      <c r="V524">
        <f t="shared" si="769"/>
        <v>33.04</v>
      </c>
      <c r="W524" s="13">
        <f t="shared" si="770"/>
        <v>-2.24E-2</v>
      </c>
      <c r="X524" s="13">
        <f t="shared" si="771"/>
        <v>-6.1400000000000003E-2</v>
      </c>
      <c r="Y524">
        <f t="shared" si="763"/>
        <v>35.549999999999997</v>
      </c>
      <c r="Z524" s="13">
        <f t="shared" si="758"/>
        <v>5.9999999999999995E-4</v>
      </c>
      <c r="AA524" s="13">
        <f t="shared" si="754"/>
        <v>-5.9000000000000007E-3</v>
      </c>
      <c r="AB524" s="6">
        <f t="shared" si="764"/>
        <v>42.051000000000002</v>
      </c>
      <c r="AC524">
        <f t="shared" si="756"/>
        <v>21</v>
      </c>
      <c r="AD524" s="11">
        <f t="shared" si="757"/>
        <v>-1</v>
      </c>
      <c r="AE524">
        <f t="shared" si="755"/>
        <v>6</v>
      </c>
      <c r="AF524">
        <f>IF(AND(AE524&lt;15,OR(AC524&gt;=30,AA524&gt;0.15,X524&gt;=0.15)),2,VLOOKUP(AE524,Table!P:Q,2,FALSE))</f>
        <v>1</v>
      </c>
      <c r="AG524" s="22">
        <f>IF((AB524*0.98)-(D524*0.8)+((AF524-3)*3)+VLOOKUP(AM524,Table!$A$11:$B$13,2,FALSE)&lt;0,0,(AB524*0.98)-(D524*0.8)+((AF524-3)*3)+VLOOKUP(AM524,Table!$A$11:$B$13,2,FALSE))</f>
        <v>3.5459800000000001</v>
      </c>
      <c r="AH524" s="22">
        <f t="shared" si="750"/>
        <v>1</v>
      </c>
      <c r="AI524" s="18">
        <f t="shared" si="743"/>
        <v>1.76</v>
      </c>
      <c r="AJ524" s="18">
        <f t="shared" si="744"/>
        <v>2</v>
      </c>
      <c r="AK524" t="str">
        <f t="shared" si="765"/>
        <v/>
      </c>
      <c r="AL524">
        <f t="shared" si="776"/>
        <v>6.5</v>
      </c>
      <c r="AM524" s="11" t="str">
        <f t="shared" si="766"/>
        <v>Cash</v>
      </c>
      <c r="AN524" t="str">
        <f t="shared" si="772"/>
        <v>Sell</v>
      </c>
      <c r="AO524" s="13">
        <f t="shared" si="773"/>
        <v>-4.5999999999999999E-3</v>
      </c>
      <c r="AP524" s="13">
        <f t="shared" si="774"/>
        <v>4.0000000000000002E-4</v>
      </c>
      <c r="AQ524" s="13">
        <f t="shared" si="775"/>
        <v>4.0000000000000002E-4</v>
      </c>
      <c r="AR524" s="13">
        <f t="shared" si="767"/>
        <v>4.0000000000000002E-4</v>
      </c>
      <c r="AS524" s="6">
        <f t="shared" si="759"/>
        <v>323.42615932809855</v>
      </c>
      <c r="AT524" s="6">
        <f t="shared" si="760"/>
        <v>185.41723325608481</v>
      </c>
      <c r="AU524" s="6">
        <f t="shared" si="761"/>
        <v>408.99502154943002</v>
      </c>
      <c r="AV524" s="6">
        <f t="shared" si="762"/>
        <v>522.30679678318666</v>
      </c>
      <c r="AW524" s="58">
        <f t="shared" si="768"/>
        <v>2008</v>
      </c>
      <c r="AX524" s="58">
        <f>COUNTIF(AW$3:AW524,AW524)</f>
        <v>20</v>
      </c>
    </row>
    <row r="525" spans="1:50" x14ac:dyDescent="0.25">
      <c r="A525" s="5">
        <v>39670</v>
      </c>
      <c r="B525">
        <v>1296.32</v>
      </c>
      <c r="C525">
        <v>1.67</v>
      </c>
      <c r="D525" s="6">
        <v>20.66</v>
      </c>
      <c r="E525" s="18">
        <f t="shared" si="745"/>
        <v>22.05</v>
      </c>
      <c r="F525">
        <f t="shared" si="746"/>
        <v>-1</v>
      </c>
      <c r="G525" s="18">
        <f>ROUND(INDEX(Valuation!U:U,MATCH(A525,Valuation!A:A,0)),2)</f>
        <v>135.88</v>
      </c>
      <c r="H525">
        <f t="shared" si="753"/>
        <v>1</v>
      </c>
      <c r="I525" s="18">
        <f>INDEX(WeeklyIndicators!Y:Y,MATCH(A525,WeeklyIndicators!A:A,0))</f>
        <v>58.32</v>
      </c>
      <c r="J525">
        <f t="shared" si="742"/>
        <v>-3</v>
      </c>
      <c r="K525">
        <f>ROUND(INDEX(Economic!AF:AF,MATCH(EOMONTH($A525,-1),Economic!A:A,0)),2)</f>
        <v>24.86</v>
      </c>
      <c r="L525" s="11">
        <f t="shared" si="751"/>
        <v>-3</v>
      </c>
      <c r="M525">
        <f>ROUND(INDEX(Manufacturing!P:P,MATCH(EOMONTH($A525,-1),Manufacturing!A:A,0)),2)</f>
        <v>61.91</v>
      </c>
      <c r="N525">
        <f t="shared" si="747"/>
        <v>-3</v>
      </c>
      <c r="O525">
        <f>ROUND(INDEX(Housing!AC:AC,MATCH(EOMONTH($A525,-1),Housing!B:B,0)),2)</f>
        <v>10</v>
      </c>
      <c r="P525">
        <f t="shared" si="748"/>
        <v>-3</v>
      </c>
      <c r="Q525">
        <f>ROUND(INDEX(Spending!AJ:AJ,MATCH(EOMONTH($A525,-1),Spending!B:B,0)),2)</f>
        <v>48.23</v>
      </c>
      <c r="R525">
        <f t="shared" si="752"/>
        <v>0</v>
      </c>
      <c r="S525">
        <f>ROUND(INDEX(Employment!V:V,MATCH(EOMONTH($A525,-1),Employment!A:A,0)),2)</f>
        <v>61.81</v>
      </c>
      <c r="T525" s="11">
        <f t="shared" si="749"/>
        <v>-3</v>
      </c>
      <c r="U525">
        <f t="shared" si="777"/>
        <v>5</v>
      </c>
      <c r="V525">
        <f t="shared" si="769"/>
        <v>33.93</v>
      </c>
      <c r="W525" s="13">
        <f t="shared" si="770"/>
        <v>-1.55E-2</v>
      </c>
      <c r="X525" s="13">
        <f t="shared" si="771"/>
        <v>-7.9699999999999993E-2</v>
      </c>
      <c r="Y525">
        <f t="shared" si="763"/>
        <v>35.700000000000003</v>
      </c>
      <c r="Z525" s="13">
        <f t="shared" si="758"/>
        <v>4.1000000000000003E-3</v>
      </c>
      <c r="AA525" s="13">
        <f t="shared" si="754"/>
        <v>-5.3100000000000001E-2</v>
      </c>
      <c r="AB525" s="6">
        <f t="shared" si="764"/>
        <v>38.567999999999998</v>
      </c>
      <c r="AC525">
        <f t="shared" si="756"/>
        <v>19</v>
      </c>
      <c r="AD525" s="11">
        <f t="shared" si="757"/>
        <v>-1</v>
      </c>
      <c r="AE525">
        <f t="shared" si="755"/>
        <v>6</v>
      </c>
      <c r="AF525">
        <f>IF(AND(AE525&lt;15,OR(AC525&gt;=30,AA525&gt;0.15,X525&gt;=0.15)),2,VLOOKUP(AE525,Table!P:Q,2,FALSE))</f>
        <v>1</v>
      </c>
      <c r="AG525" s="22">
        <f>IF((AB525*0.98)-(D525*0.8)+((AF525-3)*3)+VLOOKUP(AM525,Table!$A$11:$B$13,2,FALSE)&lt;0,0,(AB525*0.98)-(D525*0.8)+((AF525-3)*3)+VLOOKUP(AM525,Table!$A$11:$B$13,2,FALSE))</f>
        <v>0</v>
      </c>
      <c r="AH525" s="22">
        <f t="shared" si="750"/>
        <v>0</v>
      </c>
      <c r="AI525" s="18">
        <f t="shared" si="743"/>
        <v>1.75</v>
      </c>
      <c r="AJ525" s="18">
        <f t="shared" si="744"/>
        <v>2.04</v>
      </c>
      <c r="AK525" t="str">
        <f t="shared" si="765"/>
        <v>Falling Rates</v>
      </c>
      <c r="AL525">
        <f t="shared" si="776"/>
        <v>6.5</v>
      </c>
      <c r="AM525" s="11" t="str">
        <f t="shared" si="766"/>
        <v>Cash</v>
      </c>
      <c r="AN525" t="str">
        <f t="shared" si="772"/>
        <v>Sell</v>
      </c>
      <c r="AO525" s="13">
        <f t="shared" si="773"/>
        <v>1.5E-3</v>
      </c>
      <c r="AP525" s="13">
        <f t="shared" si="774"/>
        <v>2.9999999999999997E-4</v>
      </c>
      <c r="AQ525" s="13">
        <f t="shared" si="775"/>
        <v>2.9999999999999997E-4</v>
      </c>
      <c r="AR525" s="13">
        <f t="shared" si="767"/>
        <v>2.9999999999999997E-4</v>
      </c>
      <c r="AS525" s="6">
        <f t="shared" si="759"/>
        <v>322.94174670803648</v>
      </c>
      <c r="AT525" s="6">
        <f t="shared" si="760"/>
        <v>185.36162476865422</v>
      </c>
      <c r="AU525" s="6">
        <f t="shared" si="761"/>
        <v>408.87235984147759</v>
      </c>
      <c r="AV525" s="6">
        <f t="shared" si="762"/>
        <v>522.1501517376654</v>
      </c>
      <c r="AW525" s="58">
        <f t="shared" si="768"/>
        <v>2008</v>
      </c>
      <c r="AX525" s="58">
        <f>COUNTIF(AW$3:AW525,AW525)</f>
        <v>21</v>
      </c>
    </row>
    <row r="526" spans="1:50" x14ac:dyDescent="0.25">
      <c r="A526" s="5">
        <v>39663</v>
      </c>
      <c r="B526">
        <v>1260.31</v>
      </c>
      <c r="C526">
        <v>1.67</v>
      </c>
      <c r="D526" s="6">
        <v>22.57</v>
      </c>
      <c r="E526" s="18">
        <f t="shared" si="745"/>
        <v>23.18</v>
      </c>
      <c r="F526">
        <f t="shared" si="746"/>
        <v>-1</v>
      </c>
      <c r="G526" s="18">
        <f>ROUND(INDEX(Valuation!U:U,MATCH(A526,Valuation!A:A,0)),2)</f>
        <v>132.44</v>
      </c>
      <c r="H526">
        <f t="shared" si="753"/>
        <v>1</v>
      </c>
      <c r="I526" s="18">
        <f>INDEX(WeeklyIndicators!Y:Y,MATCH(A526,WeeklyIndicators!A:A,0))</f>
        <v>62.75</v>
      </c>
      <c r="J526">
        <f t="shared" si="742"/>
        <v>-2</v>
      </c>
      <c r="K526">
        <f>ROUND(INDEX(Economic!AF:AF,MATCH(EOMONTH($A526,-1),Economic!A:A,0)),2)</f>
        <v>24.86</v>
      </c>
      <c r="L526" s="11">
        <f t="shared" si="751"/>
        <v>-3</v>
      </c>
      <c r="M526">
        <f>ROUND(INDEX(Manufacturing!P:P,MATCH(EOMONTH($A526,-1),Manufacturing!A:A,0)),2)</f>
        <v>61.91</v>
      </c>
      <c r="N526">
        <f t="shared" si="747"/>
        <v>-3</v>
      </c>
      <c r="O526">
        <f>ROUND(INDEX(Housing!AC:AC,MATCH(EOMONTH($A526,-1),Housing!B:B,0)),2)</f>
        <v>10</v>
      </c>
      <c r="P526">
        <f t="shared" si="748"/>
        <v>-3</v>
      </c>
      <c r="Q526">
        <f>ROUND(INDEX(Spending!AJ:AJ,MATCH(EOMONTH($A526,-1),Spending!B:B,0)),2)</f>
        <v>48.23</v>
      </c>
      <c r="R526">
        <f t="shared" si="752"/>
        <v>0</v>
      </c>
      <c r="S526">
        <f>ROUND(INDEX(Employment!V:V,MATCH(EOMONTH($A526,-1),Employment!A:A,0)),2)</f>
        <v>61.81</v>
      </c>
      <c r="T526" s="11">
        <f t="shared" si="749"/>
        <v>-3</v>
      </c>
      <c r="U526">
        <f t="shared" si="777"/>
        <v>6</v>
      </c>
      <c r="V526">
        <f t="shared" si="769"/>
        <v>34.39</v>
      </c>
      <c r="W526" s="13">
        <f t="shared" si="770"/>
        <v>-1.4E-2</v>
      </c>
      <c r="X526" s="13">
        <f t="shared" si="771"/>
        <v>-0.10010000000000001</v>
      </c>
      <c r="Y526">
        <f t="shared" si="763"/>
        <v>35.380000000000003</v>
      </c>
      <c r="Z526" s="13">
        <f t="shared" si="758"/>
        <v>-1.5E-3</v>
      </c>
      <c r="AA526" s="13">
        <f t="shared" si="754"/>
        <v>-9.8000000000000004E-2</v>
      </c>
      <c r="AB526" s="6">
        <f t="shared" si="764"/>
        <v>34.704000000000001</v>
      </c>
      <c r="AC526">
        <f t="shared" si="756"/>
        <v>17</v>
      </c>
      <c r="AD526" s="11">
        <f t="shared" si="757"/>
        <v>-1</v>
      </c>
      <c r="AE526">
        <f t="shared" si="755"/>
        <v>7</v>
      </c>
      <c r="AF526">
        <f>IF(AND(AE526&lt;15,OR(AC526&gt;=30,AA526&gt;0.15,X526&gt;=0.15)),2,VLOOKUP(AE526,Table!P:Q,2,FALSE))</f>
        <v>1</v>
      </c>
      <c r="AG526" s="22">
        <f>IF((AB526*0.98)-(D526*0.8)+((AF526-3)*3)+VLOOKUP(AM526,Table!$A$11:$B$13,2,FALSE)&lt;0,0,(AB526*0.98)-(D526*0.8)+((AF526-3)*3)+VLOOKUP(AM526,Table!$A$11:$B$13,2,FALSE))</f>
        <v>0</v>
      </c>
      <c r="AH526" s="22">
        <f t="shared" si="750"/>
        <v>0</v>
      </c>
      <c r="AI526" s="18">
        <f t="shared" si="743"/>
        <v>1.75</v>
      </c>
      <c r="AJ526" s="18">
        <f t="shared" si="744"/>
        <v>2.09</v>
      </c>
      <c r="AK526" t="str">
        <f t="shared" si="765"/>
        <v>Falling Rates</v>
      </c>
      <c r="AL526">
        <f t="shared" si="776"/>
        <v>6.5</v>
      </c>
      <c r="AM526" s="11" t="str">
        <f t="shared" si="766"/>
        <v>Cash</v>
      </c>
      <c r="AN526" t="str">
        <f t="shared" si="772"/>
        <v>Sell</v>
      </c>
      <c r="AO526" s="13">
        <f t="shared" si="773"/>
        <v>2.86E-2</v>
      </c>
      <c r="AP526" s="13">
        <f t="shared" si="774"/>
        <v>2.9999999999999997E-4</v>
      </c>
      <c r="AQ526" s="13">
        <f t="shared" si="775"/>
        <v>2.9999999999999997E-4</v>
      </c>
      <c r="AR526" s="13">
        <f t="shared" si="767"/>
        <v>2.9999999999999997E-4</v>
      </c>
      <c r="AS526" s="6">
        <f t="shared" si="759"/>
        <v>313.96242145443949</v>
      </c>
      <c r="AT526" s="6">
        <f t="shared" si="760"/>
        <v>185.30603295876659</v>
      </c>
      <c r="AU526" s="6">
        <f t="shared" si="761"/>
        <v>408.74973492100128</v>
      </c>
      <c r="AV526" s="6">
        <f t="shared" si="762"/>
        <v>521.99355367156397</v>
      </c>
      <c r="AW526" s="58">
        <f t="shared" si="768"/>
        <v>2008</v>
      </c>
      <c r="AX526" s="58">
        <f>COUNTIF(AW$3:AW526,AW526)</f>
        <v>22</v>
      </c>
    </row>
    <row r="527" spans="1:50" x14ac:dyDescent="0.25">
      <c r="A527" s="5">
        <v>39656</v>
      </c>
      <c r="B527">
        <v>1257.76</v>
      </c>
      <c r="C527">
        <v>1.57</v>
      </c>
      <c r="D527" s="6">
        <v>22.91</v>
      </c>
      <c r="E527" s="18">
        <f t="shared" si="745"/>
        <v>24.82</v>
      </c>
      <c r="F527">
        <f t="shared" si="746"/>
        <v>-1</v>
      </c>
      <c r="G527" s="18">
        <f>ROUND(INDEX(Valuation!U:U,MATCH(A527,Valuation!A:A,0)),2)</f>
        <v>129.83000000000001</v>
      </c>
      <c r="H527">
        <f t="shared" si="753"/>
        <v>1</v>
      </c>
      <c r="I527" s="18">
        <f>INDEX(WeeklyIndicators!Y:Y,MATCH(A527,WeeklyIndicators!A:A,0))</f>
        <v>63.56</v>
      </c>
      <c r="J527">
        <f t="shared" ref="J527:J590" si="778">IF(I527&gt;170,3,IF(AND(I527&gt;152,I527&lt;=170),2,IF(AND(I527&gt;135,I527&lt;=152),1,IF(I527&lt;60,-3,IF(AND(I527&lt;95,I527&gt;=60),-2,IF(AND(I527&lt;120,I527&gt;=95),-1,0))))))</f>
        <v>-2</v>
      </c>
      <c r="K527">
        <f>ROUND(INDEX(Economic!AF:AF,MATCH(EOMONTH($A527,-1),Economic!A:A,0)),2)</f>
        <v>28.41</v>
      </c>
      <c r="L527" s="11">
        <f t="shared" si="751"/>
        <v>-3</v>
      </c>
      <c r="M527">
        <f>ROUND(INDEX(Manufacturing!P:P,MATCH(EOMONTH($A527,-1),Manufacturing!A:A,0)),2)</f>
        <v>62.19</v>
      </c>
      <c r="N527">
        <f t="shared" si="747"/>
        <v>-3</v>
      </c>
      <c r="O527">
        <f>ROUND(INDEX(Housing!AC:AC,MATCH(EOMONTH($A527,-1),Housing!B:B,0)),2)</f>
        <v>7.62</v>
      </c>
      <c r="P527">
        <f t="shared" si="748"/>
        <v>-3</v>
      </c>
      <c r="Q527">
        <f>ROUND(INDEX(Spending!AJ:AJ,MATCH(EOMONTH($A527,-1),Spending!B:B,0)),2)</f>
        <v>42.7</v>
      </c>
      <c r="R527">
        <f t="shared" si="752"/>
        <v>0</v>
      </c>
      <c r="S527">
        <f>ROUND(INDEX(Employment!V:V,MATCH(EOMONTH($A527,-1),Employment!A:A,0)),2)</f>
        <v>73.290000000000006</v>
      </c>
      <c r="T527" s="11">
        <f t="shared" si="749"/>
        <v>-3</v>
      </c>
      <c r="U527">
        <f t="shared" si="777"/>
        <v>6</v>
      </c>
      <c r="V527">
        <f t="shared" si="769"/>
        <v>35.36</v>
      </c>
      <c r="W527" s="13">
        <f t="shared" si="770"/>
        <v>-9.4999999999999998E-3</v>
      </c>
      <c r="X527" s="13">
        <f t="shared" si="771"/>
        <v>-0.11720000000000001</v>
      </c>
      <c r="Y527">
        <f t="shared" si="763"/>
        <v>35.49</v>
      </c>
      <c r="Z527" s="13">
        <f t="shared" si="758"/>
        <v>-9.1000000000000004E-3</v>
      </c>
      <c r="AA527" s="13">
        <f t="shared" si="754"/>
        <v>-0.13340000000000002</v>
      </c>
      <c r="AB527" s="6">
        <f t="shared" si="764"/>
        <v>32.042999999999999</v>
      </c>
      <c r="AC527">
        <f t="shared" si="756"/>
        <v>16</v>
      </c>
      <c r="AD527" s="11">
        <f t="shared" si="757"/>
        <v>-1</v>
      </c>
      <c r="AE527">
        <f t="shared" si="755"/>
        <v>7</v>
      </c>
      <c r="AF527">
        <f>IF(AND(AE527&lt;15,OR(AC527&gt;=30,AA527&gt;0.15,X527&gt;=0.15)),2,VLOOKUP(AE527,Table!P:Q,2,FALSE))</f>
        <v>1</v>
      </c>
      <c r="AG527" s="22">
        <f>IF((AB527*0.98)-(D527*0.8)+((AF527-3)*3)+VLOOKUP(AM527,Table!$A$11:$B$13,2,FALSE)&lt;0,0,(AB527*0.98)-(D527*0.8)+((AF527-3)*3)+VLOOKUP(AM527,Table!$A$11:$B$13,2,FALSE))</f>
        <v>0</v>
      </c>
      <c r="AH527" s="22">
        <f t="shared" si="750"/>
        <v>0</v>
      </c>
      <c r="AI527" s="18">
        <f t="shared" ref="AI527:AI590" si="779">ROUND(AVERAGE(C527:C539),2)</f>
        <v>1.73</v>
      </c>
      <c r="AJ527" s="18">
        <f t="shared" ref="AJ527:AJ590" si="780">ROUND(AVERAGE(C527:C565),2)</f>
        <v>2.14</v>
      </c>
      <c r="AK527" t="str">
        <f t="shared" si="765"/>
        <v>Falling Rates</v>
      </c>
      <c r="AL527">
        <f t="shared" si="776"/>
        <v>6.5</v>
      </c>
      <c r="AM527" s="11" t="str">
        <f t="shared" si="766"/>
        <v>Cash</v>
      </c>
      <c r="AN527" t="str">
        <f t="shared" si="772"/>
        <v>Sell</v>
      </c>
      <c r="AO527" s="13">
        <f t="shared" si="773"/>
        <v>2E-3</v>
      </c>
      <c r="AP527" s="13">
        <f t="shared" si="774"/>
        <v>2.9999999999999997E-4</v>
      </c>
      <c r="AQ527" s="13">
        <f t="shared" si="775"/>
        <v>2.9999999999999997E-4</v>
      </c>
      <c r="AR527" s="13">
        <f t="shared" si="767"/>
        <v>2.9999999999999997E-4</v>
      </c>
      <c r="AS527" s="6">
        <f t="shared" si="759"/>
        <v>313.33574995453046</v>
      </c>
      <c r="AT527" s="6">
        <f t="shared" si="760"/>
        <v>185.25045782142018</v>
      </c>
      <c r="AU527" s="6">
        <f t="shared" si="761"/>
        <v>408.62714677696817</v>
      </c>
      <c r="AV527" s="6">
        <f t="shared" si="762"/>
        <v>521.83700257079272</v>
      </c>
      <c r="AW527" s="58">
        <f t="shared" si="768"/>
        <v>2008</v>
      </c>
      <c r="AX527" s="58">
        <f>COUNTIF(AW$3:AW527,AW527)</f>
        <v>23</v>
      </c>
    </row>
    <row r="528" spans="1:50" x14ac:dyDescent="0.25">
      <c r="A528" s="5">
        <v>39649</v>
      </c>
      <c r="B528">
        <v>1260.68</v>
      </c>
      <c r="C528">
        <v>1.41</v>
      </c>
      <c r="D528" s="6">
        <v>24.05</v>
      </c>
      <c r="E528" s="18">
        <f t="shared" si="745"/>
        <v>25.44</v>
      </c>
      <c r="F528">
        <f t="shared" si="746"/>
        <v>-2</v>
      </c>
      <c r="G528" s="18">
        <f>ROUND(INDEX(Valuation!U:U,MATCH(A528,Valuation!A:A,0)),2)</f>
        <v>127.87</v>
      </c>
      <c r="H528">
        <f t="shared" si="753"/>
        <v>1</v>
      </c>
      <c r="I528" s="18">
        <f>INDEX(WeeklyIndicators!Y:Y,MATCH(A528,WeeklyIndicators!A:A,0))</f>
        <v>65.55</v>
      </c>
      <c r="J528">
        <f t="shared" si="778"/>
        <v>-2</v>
      </c>
      <c r="K528">
        <f>ROUND(INDEX(Economic!AF:AF,MATCH(EOMONTH($A528,-1),Economic!A:A,0)),2)</f>
        <v>28.41</v>
      </c>
      <c r="L528" s="11">
        <f t="shared" si="751"/>
        <v>-3</v>
      </c>
      <c r="M528">
        <f>ROUND(INDEX(Manufacturing!P:P,MATCH(EOMONTH($A528,-1),Manufacturing!A:A,0)),2)</f>
        <v>62.19</v>
      </c>
      <c r="N528">
        <f t="shared" si="747"/>
        <v>-3</v>
      </c>
      <c r="O528">
        <f>ROUND(INDEX(Housing!AC:AC,MATCH(EOMONTH($A528,-1),Housing!B:B,0)),2)</f>
        <v>7.62</v>
      </c>
      <c r="P528">
        <f t="shared" si="748"/>
        <v>-3</v>
      </c>
      <c r="Q528">
        <f>ROUND(INDEX(Spending!AJ:AJ,MATCH(EOMONTH($A528,-1),Spending!B:B,0)),2)</f>
        <v>42.7</v>
      </c>
      <c r="R528">
        <f t="shared" si="752"/>
        <v>0</v>
      </c>
      <c r="S528">
        <f>ROUND(INDEX(Employment!V:V,MATCH(EOMONTH($A528,-1),Employment!A:A,0)),2)</f>
        <v>73.290000000000006</v>
      </c>
      <c r="T528" s="11">
        <f t="shared" si="749"/>
        <v>-3</v>
      </c>
      <c r="U528">
        <f t="shared" si="777"/>
        <v>5</v>
      </c>
      <c r="V528">
        <f t="shared" si="769"/>
        <v>35.56</v>
      </c>
      <c r="W528" s="13">
        <f t="shared" si="770"/>
        <v>-4.07E-2</v>
      </c>
      <c r="X528" s="13">
        <f t="shared" si="771"/>
        <v>-0.1115</v>
      </c>
      <c r="Y528">
        <f t="shared" si="763"/>
        <v>35.26</v>
      </c>
      <c r="Z528" s="13">
        <f t="shared" si="758"/>
        <v>-4.6600000000000003E-2</v>
      </c>
      <c r="AA528" s="13">
        <f t="shared" si="754"/>
        <v>-0.1346</v>
      </c>
      <c r="AB528" s="6">
        <f t="shared" si="764"/>
        <v>31.596999999999998</v>
      </c>
      <c r="AC528">
        <f t="shared" si="756"/>
        <v>16</v>
      </c>
      <c r="AD528" s="11">
        <f t="shared" si="757"/>
        <v>-1</v>
      </c>
      <c r="AE528">
        <f t="shared" si="755"/>
        <v>6</v>
      </c>
      <c r="AF528">
        <f>IF(AND(AE528&lt;15,OR(AC528&gt;=30,AA528&gt;0.15,X528&gt;=0.15)),2,VLOOKUP(AE528,Table!P:Q,2,FALSE))</f>
        <v>1</v>
      </c>
      <c r="AG528" s="22">
        <f>IF((AB528*0.98)-(D528*0.8)+((AF528-3)*3)+VLOOKUP(AM528,Table!$A$11:$B$13,2,FALSE)&lt;0,0,(AB528*0.98)-(D528*0.8)+((AF528-3)*3)+VLOOKUP(AM528,Table!$A$11:$B$13,2,FALSE))</f>
        <v>0</v>
      </c>
      <c r="AH528" s="22">
        <f t="shared" si="750"/>
        <v>0</v>
      </c>
      <c r="AI528" s="18">
        <f t="shared" si="779"/>
        <v>1.71</v>
      </c>
      <c r="AJ528" s="18">
        <f t="shared" si="780"/>
        <v>2.2000000000000002</v>
      </c>
      <c r="AK528" t="str">
        <f t="shared" si="765"/>
        <v>Falling Rates</v>
      </c>
      <c r="AL528">
        <f t="shared" si="776"/>
        <v>6.5</v>
      </c>
      <c r="AM528" s="11" t="str">
        <f t="shared" si="766"/>
        <v>Cash</v>
      </c>
      <c r="AN528" t="str">
        <f t="shared" si="772"/>
        <v>Sell</v>
      </c>
      <c r="AO528" s="13">
        <f t="shared" si="773"/>
        <v>-2.3E-3</v>
      </c>
      <c r="AP528" s="13">
        <f t="shared" si="774"/>
        <v>2.9999999999999997E-4</v>
      </c>
      <c r="AQ528" s="13">
        <f t="shared" si="775"/>
        <v>2.9999999999999997E-4</v>
      </c>
      <c r="AR528" s="13">
        <f t="shared" si="767"/>
        <v>2.9999999999999997E-4</v>
      </c>
      <c r="AS528" s="6">
        <f t="shared" si="759"/>
        <v>314.05808354668784</v>
      </c>
      <c r="AT528" s="6">
        <f t="shared" si="760"/>
        <v>185.19489935161471</v>
      </c>
      <c r="AU528" s="6">
        <f t="shared" si="761"/>
        <v>408.50459539834867</v>
      </c>
      <c r="AV528" s="6">
        <f t="shared" si="762"/>
        <v>521.68049842126641</v>
      </c>
      <c r="AW528" s="58">
        <f t="shared" si="768"/>
        <v>2008</v>
      </c>
      <c r="AX528" s="58">
        <f>COUNTIF(AW$3:AW528,AW528)</f>
        <v>24</v>
      </c>
    </row>
    <row r="529" spans="1:50" x14ac:dyDescent="0.25">
      <c r="A529" s="5">
        <v>39642</v>
      </c>
      <c r="B529">
        <v>1239.49</v>
      </c>
      <c r="C529">
        <v>1.74</v>
      </c>
      <c r="D529" s="6">
        <v>27.49</v>
      </c>
      <c r="E529" s="18">
        <f t="shared" ref="E529:E592" si="781">ROUND(AVERAGE(D529:D531),2)</f>
        <v>25.24</v>
      </c>
      <c r="F529">
        <f t="shared" ref="F529:F592" si="782">IF(E529&lt;11,3,IF(AND(E529&lt;14,E529&gt;=11),2,IF(AND(E529&lt;16,E529&gt;=14),1,IF(E529&gt;35,-3,IF(AND(E529&gt;25,E529&lt;=35),-2,IF(AND(E529&gt;18,E529&lt;=25),-1,0))))))</f>
        <v>-2</v>
      </c>
      <c r="G529" s="18">
        <f>ROUND(INDEX(Valuation!U:U,MATCH(A529,Valuation!A:A,0)),2)</f>
        <v>126.85</v>
      </c>
      <c r="H529">
        <f t="shared" si="753"/>
        <v>1</v>
      </c>
      <c r="I529" s="18">
        <f>INDEX(WeeklyIndicators!Y:Y,MATCH(A529,WeeklyIndicators!A:A,0))</f>
        <v>68.650000000000006</v>
      </c>
      <c r="J529">
        <f t="shared" si="778"/>
        <v>-2</v>
      </c>
      <c r="K529">
        <f>ROUND(INDEX(Economic!AF:AF,MATCH(EOMONTH($A529,-1),Economic!A:A,0)),2)</f>
        <v>28.41</v>
      </c>
      <c r="L529" s="11">
        <f t="shared" si="751"/>
        <v>-3</v>
      </c>
      <c r="M529">
        <f>ROUND(INDEX(Manufacturing!P:P,MATCH(EOMONTH($A529,-1),Manufacturing!A:A,0)),2)</f>
        <v>62.19</v>
      </c>
      <c r="N529">
        <f t="shared" si="747"/>
        <v>-3</v>
      </c>
      <c r="O529">
        <f>ROUND(INDEX(Housing!AC:AC,MATCH(EOMONTH($A529,-1),Housing!B:B,0)),2)</f>
        <v>7.62</v>
      </c>
      <c r="P529">
        <f t="shared" si="748"/>
        <v>-3</v>
      </c>
      <c r="Q529">
        <f>ROUND(INDEX(Spending!AJ:AJ,MATCH(EOMONTH($A529,-1),Spending!B:B,0)),2)</f>
        <v>42.7</v>
      </c>
      <c r="R529">
        <f t="shared" si="752"/>
        <v>0</v>
      </c>
      <c r="S529">
        <f>ROUND(INDEX(Employment!V:V,MATCH(EOMONTH($A529,-1),Employment!A:A,0)),2)</f>
        <v>73.290000000000006</v>
      </c>
      <c r="T529" s="11">
        <f t="shared" si="749"/>
        <v>-3</v>
      </c>
      <c r="U529">
        <f t="shared" si="777"/>
        <v>5</v>
      </c>
      <c r="V529">
        <f t="shared" si="769"/>
        <v>35.89</v>
      </c>
      <c r="W529" s="13">
        <f t="shared" si="770"/>
        <v>-3.5900000000000001E-2</v>
      </c>
      <c r="X529" s="13">
        <f t="shared" si="771"/>
        <v>-8.3799999999999999E-2</v>
      </c>
      <c r="Y529">
        <f t="shared" si="763"/>
        <v>35.54</v>
      </c>
      <c r="Z529" s="13">
        <f t="shared" si="758"/>
        <v>-4.0800000000000003E-2</v>
      </c>
      <c r="AA529" s="13">
        <f t="shared" si="754"/>
        <v>-0.11420000000000001</v>
      </c>
      <c r="AB529" s="6">
        <f t="shared" si="764"/>
        <v>33.435000000000002</v>
      </c>
      <c r="AC529">
        <f t="shared" si="756"/>
        <v>17</v>
      </c>
      <c r="AD529" s="11">
        <f t="shared" si="757"/>
        <v>-1</v>
      </c>
      <c r="AE529">
        <f t="shared" si="755"/>
        <v>6</v>
      </c>
      <c r="AF529">
        <f>IF(AND(AE529&lt;15,OR(AC529&gt;=30,AA529&gt;0.15,X529&gt;=0.15)),2,VLOOKUP(AE529,Table!P:Q,2,FALSE))</f>
        <v>1</v>
      </c>
      <c r="AG529" s="22">
        <f>IF((AB529*0.98)-(D529*0.8)+((AF529-3)*3)+VLOOKUP(AM529,Table!$A$11:$B$13,2,FALSE)&lt;0,0,(AB529*0.98)-(D529*0.8)+((AF529-3)*3)+VLOOKUP(AM529,Table!$A$11:$B$13,2,FALSE))</f>
        <v>0</v>
      </c>
      <c r="AH529" s="22">
        <f t="shared" si="750"/>
        <v>0</v>
      </c>
      <c r="AI529" s="18">
        <f t="shared" si="779"/>
        <v>1.69</v>
      </c>
      <c r="AJ529" s="18">
        <f t="shared" si="780"/>
        <v>2.2599999999999998</v>
      </c>
      <c r="AK529" t="str">
        <f t="shared" si="765"/>
        <v/>
      </c>
      <c r="AL529">
        <f t="shared" si="776"/>
        <v>6.75</v>
      </c>
      <c r="AM529" s="11" t="str">
        <f t="shared" si="766"/>
        <v>Cash</v>
      </c>
      <c r="AN529" t="str">
        <f t="shared" si="772"/>
        <v>Sell</v>
      </c>
      <c r="AO529" s="13">
        <f t="shared" si="773"/>
        <v>1.7100000000000001E-2</v>
      </c>
      <c r="AP529" s="13">
        <f t="shared" si="774"/>
        <v>2.9999999999999997E-4</v>
      </c>
      <c r="AQ529" s="13">
        <f t="shared" si="775"/>
        <v>2.9999999999999997E-4</v>
      </c>
      <c r="AR529" s="13">
        <f t="shared" si="767"/>
        <v>2.9999999999999997E-4</v>
      </c>
      <c r="AS529" s="6">
        <f t="shared" si="759"/>
        <v>308.7779800871968</v>
      </c>
      <c r="AT529" s="6">
        <f t="shared" si="760"/>
        <v>185.13935754435141</v>
      </c>
      <c r="AU529" s="6">
        <f t="shared" si="761"/>
        <v>408.38208077411645</v>
      </c>
      <c r="AV529" s="6">
        <f t="shared" si="762"/>
        <v>521.52404120890378</v>
      </c>
      <c r="AW529" s="58">
        <f t="shared" si="768"/>
        <v>2008</v>
      </c>
      <c r="AX529" s="58">
        <f>COUNTIF(AW$3:AW529,AW529)</f>
        <v>25</v>
      </c>
    </row>
    <row r="530" spans="1:50" x14ac:dyDescent="0.25">
      <c r="A530" s="5">
        <v>39635</v>
      </c>
      <c r="B530">
        <v>1262.9000000000001</v>
      </c>
      <c r="C530">
        <v>1.83</v>
      </c>
      <c r="D530" s="6">
        <v>24.78</v>
      </c>
      <c r="E530" s="18">
        <f t="shared" si="781"/>
        <v>23.7</v>
      </c>
      <c r="F530">
        <f t="shared" si="782"/>
        <v>-1</v>
      </c>
      <c r="G530" s="18">
        <f>ROUND(INDEX(Valuation!U:U,MATCH(A530,Valuation!A:A,0)),2)</f>
        <v>125.98</v>
      </c>
      <c r="H530">
        <f t="shared" si="753"/>
        <v>1</v>
      </c>
      <c r="I530" s="18">
        <f>INDEX(WeeklyIndicators!Y:Y,MATCH(A530,WeeklyIndicators!A:A,0))</f>
        <v>73.42</v>
      </c>
      <c r="J530">
        <f t="shared" si="778"/>
        <v>-2</v>
      </c>
      <c r="K530">
        <f>ROUND(INDEX(Economic!AF:AF,MATCH(EOMONTH($A530,-1),Economic!A:A,0)),2)</f>
        <v>28.41</v>
      </c>
      <c r="L530" s="11">
        <f t="shared" si="751"/>
        <v>-3</v>
      </c>
      <c r="M530">
        <f>ROUND(INDEX(Manufacturing!P:P,MATCH(EOMONTH($A530,-1),Manufacturing!A:A,0)),2)</f>
        <v>62.19</v>
      </c>
      <c r="N530">
        <f t="shared" ref="N530:N593" si="783">IF(M530&gt;108,3,IF(AND(M530&gt;100,M530&lt;=108),2,IF(AND(M530&gt;90,M530&lt;=100),1,IF(M530&lt;63,-3,IF(AND(M530&lt;74,M530&gt;=63),-2,IF(AND(M530&lt;84,M530&gt;=74),-1,0))))))</f>
        <v>-3</v>
      </c>
      <c r="O530">
        <f>ROUND(INDEX(Housing!AC:AC,MATCH(EOMONTH($A530,-1),Housing!B:B,0)),2)</f>
        <v>7.62</v>
      </c>
      <c r="P530">
        <f t="shared" ref="P530:P593" si="784">IF(O530&gt;140,3,IF(AND(O530&gt;128,O530&lt;=140),2,IF(AND(O530&gt;115,O530&lt;=128),1,IF(O530&lt;50,-3,IF(AND(O530&lt;75,O530&gt;=50),-2,IF(AND(O530&lt;100,O530&gt;=75),-1,0))))))</f>
        <v>-3</v>
      </c>
      <c r="Q530">
        <f>ROUND(INDEX(Spending!AJ:AJ,MATCH(EOMONTH($A530,-1),Spending!B:B,0)),2)</f>
        <v>42.7</v>
      </c>
      <c r="R530">
        <f t="shared" si="752"/>
        <v>0</v>
      </c>
      <c r="S530">
        <f>ROUND(INDEX(Employment!V:V,MATCH(EOMONTH($A530,-1),Employment!A:A,0)),2)</f>
        <v>73.290000000000006</v>
      </c>
      <c r="T530" s="11">
        <f t="shared" ref="T530:T593" si="785">IF(S530&gt;190,3,IF(AND(S530&gt;175,S530&lt;=190),2,IF(AND(S530&gt;160,S530&lt;=175),1,IF(S530&lt;120,-3,IF(AND(S530&lt;140,S530&gt;=120),-2,IF(AND(S530&lt;150,S530&gt;=140),-1,0))))))</f>
        <v>-3</v>
      </c>
      <c r="U530">
        <f t="shared" si="777"/>
        <v>6</v>
      </c>
      <c r="V530">
        <f t="shared" si="769"/>
        <v>36.380000000000003</v>
      </c>
      <c r="W530" s="13">
        <f t="shared" si="770"/>
        <v>-3.1099999999999999E-2</v>
      </c>
      <c r="X530" s="13">
        <f t="shared" si="771"/>
        <v>-9.98E-2</v>
      </c>
      <c r="Y530">
        <f t="shared" si="763"/>
        <v>36.47</v>
      </c>
      <c r="Z530" s="13">
        <f t="shared" si="758"/>
        <v>-3.6900000000000002E-2</v>
      </c>
      <c r="AA530" s="13">
        <f t="shared" si="754"/>
        <v>-0.1303</v>
      </c>
      <c r="AB530" s="6">
        <f t="shared" si="764"/>
        <v>33.048000000000002</v>
      </c>
      <c r="AC530">
        <f t="shared" si="756"/>
        <v>17</v>
      </c>
      <c r="AD530" s="11">
        <f t="shared" si="757"/>
        <v>-1</v>
      </c>
      <c r="AE530">
        <f t="shared" si="755"/>
        <v>7</v>
      </c>
      <c r="AF530">
        <f>IF(AND(AE530&lt;15,OR(AC530&gt;=30,AA530&gt;0.15,X530&gt;=0.15)),2,VLOOKUP(AE530,Table!P:Q,2,FALSE))</f>
        <v>1</v>
      </c>
      <c r="AG530" s="22">
        <f>IF((AB530*0.98)-(D530*0.8)+((AF530-3)*3)+VLOOKUP(AM530,Table!$A$11:$B$13,2,FALSE)&lt;0,0,(AB530*0.98)-(D530*0.8)+((AF530-3)*3)+VLOOKUP(AM530,Table!$A$11:$B$13,2,FALSE))</f>
        <v>0</v>
      </c>
      <c r="AH530" s="22">
        <f t="shared" ref="AH530:AH593" si="786">IF(ROUND(AVERAGE(AG530:AG532),0)&lt;0,0,IF(ROUND(AVERAGE(AG530:AG532),0)&gt;100,100,ROUND(AVERAGE(AG530:AG532),0)))</f>
        <v>0</v>
      </c>
      <c r="AI530" s="18">
        <f t="shared" si="779"/>
        <v>1.65</v>
      </c>
      <c r="AJ530" s="18">
        <f t="shared" si="780"/>
        <v>2.3199999999999998</v>
      </c>
      <c r="AK530" t="str">
        <f t="shared" si="765"/>
        <v/>
      </c>
      <c r="AL530">
        <f t="shared" si="776"/>
        <v>7</v>
      </c>
      <c r="AM530" s="11" t="str">
        <f t="shared" si="766"/>
        <v>Cash</v>
      </c>
      <c r="AN530" t="str">
        <f t="shared" si="772"/>
        <v>Sell</v>
      </c>
      <c r="AO530" s="13">
        <f t="shared" si="773"/>
        <v>-1.8499999999999999E-2</v>
      </c>
      <c r="AP530" s="13">
        <f t="shared" si="774"/>
        <v>4.0000000000000002E-4</v>
      </c>
      <c r="AQ530" s="13">
        <f t="shared" si="775"/>
        <v>4.0000000000000002E-4</v>
      </c>
      <c r="AR530" s="13">
        <f t="shared" si="767"/>
        <v>4.0000000000000002E-4</v>
      </c>
      <c r="AS530" s="6">
        <f t="shared" si="759"/>
        <v>314.59804389933447</v>
      </c>
      <c r="AT530" s="6">
        <f t="shared" si="760"/>
        <v>185.0653314117867</v>
      </c>
      <c r="AU530" s="6">
        <f t="shared" si="761"/>
        <v>408.21879325681374</v>
      </c>
      <c r="AV530" s="6">
        <f t="shared" si="762"/>
        <v>521.31551500290266</v>
      </c>
      <c r="AW530" s="58">
        <f t="shared" si="768"/>
        <v>2008</v>
      </c>
      <c r="AX530" s="58">
        <f>COUNTIF(AW$3:AW530,AW530)</f>
        <v>26</v>
      </c>
    </row>
    <row r="531" spans="1:50" x14ac:dyDescent="0.25">
      <c r="A531" s="5">
        <v>39628</v>
      </c>
      <c r="B531">
        <v>1278.3800000000001</v>
      </c>
      <c r="C531">
        <v>1.75</v>
      </c>
      <c r="D531" s="6">
        <v>23.44</v>
      </c>
      <c r="E531" s="18">
        <f t="shared" si="781"/>
        <v>22.51</v>
      </c>
      <c r="F531">
        <f t="shared" si="782"/>
        <v>-1</v>
      </c>
      <c r="G531" s="18">
        <f>ROUND(INDEX(Valuation!U:U,MATCH(A531,Valuation!A:A,0)),2)</f>
        <v>124.67</v>
      </c>
      <c r="H531">
        <f t="shared" si="753"/>
        <v>1</v>
      </c>
      <c r="I531" s="18">
        <f>INDEX(WeeklyIndicators!Y:Y,MATCH(A531,WeeklyIndicators!A:A,0))</f>
        <v>76.22</v>
      </c>
      <c r="J531">
        <f t="shared" si="778"/>
        <v>-2</v>
      </c>
      <c r="K531">
        <f>ROUND(INDEX(Economic!AF:AF,MATCH(EOMONTH($A531,-1),Economic!A:A,0)),2)</f>
        <v>43.16</v>
      </c>
      <c r="L531" s="11">
        <f t="shared" ref="L531:L594" si="787">IF(K531&gt;138,3,IF(AND(K531&gt;125,K531&lt;=138),2,IF(AND(K531&gt;111,K531&lt;=125),1,IF(K531&lt;50,-3,IF(AND(K531&lt;80,K531&gt;=50),-2,IF(AND(K531&lt;100,K531&gt;=80),-1,0))))))</f>
        <v>-3</v>
      </c>
      <c r="M531">
        <f>ROUND(INDEX(Manufacturing!P:P,MATCH(EOMONTH($A531,-1),Manufacturing!A:A,0)),2)</f>
        <v>65.75</v>
      </c>
      <c r="N531">
        <f t="shared" si="783"/>
        <v>-2</v>
      </c>
      <c r="O531">
        <f>ROUND(INDEX(Housing!AC:AC,MATCH(EOMONTH($A531,-1),Housing!B:B,0)),2)</f>
        <v>7.55</v>
      </c>
      <c r="P531">
        <f t="shared" si="784"/>
        <v>-3</v>
      </c>
      <c r="Q531">
        <f>ROUND(INDEX(Spending!AJ:AJ,MATCH(EOMONTH($A531,-1),Spending!B:B,0)),2)</f>
        <v>39.83</v>
      </c>
      <c r="R531">
        <f t="shared" ref="R531:R594" si="788">IF(Q531&gt;60,2,IF(AND(Q531&gt;50,Q531&lt;=60),1,IF(Q531&lt;30,-2,IF(AND(Q531&lt;40,Q531&gt;=30),-1,0))))</f>
        <v>-1</v>
      </c>
      <c r="S531">
        <f>ROUND(INDEX(Employment!V:V,MATCH(EOMONTH($A531,-1),Employment!A:A,0)),2)</f>
        <v>86.79</v>
      </c>
      <c r="T531" s="11">
        <f t="shared" si="785"/>
        <v>-3</v>
      </c>
      <c r="U531">
        <f t="shared" si="777"/>
        <v>6</v>
      </c>
      <c r="V531">
        <f t="shared" si="769"/>
        <v>40.14</v>
      </c>
      <c r="W531" s="13">
        <f t="shared" si="770"/>
        <v>-3.8E-3</v>
      </c>
      <c r="X531" s="13">
        <f t="shared" si="771"/>
        <v>-0.1164</v>
      </c>
      <c r="Y531">
        <f t="shared" si="763"/>
        <v>40.5</v>
      </c>
      <c r="Z531" s="13">
        <f t="shared" si="758"/>
        <v>-1.03E-2</v>
      </c>
      <c r="AA531" s="13">
        <f t="shared" si="754"/>
        <v>-0.1444</v>
      </c>
      <c r="AB531" s="6">
        <f t="shared" si="764"/>
        <v>35.966999999999999</v>
      </c>
      <c r="AC531">
        <f t="shared" si="756"/>
        <v>18</v>
      </c>
      <c r="AD531" s="11">
        <f t="shared" si="757"/>
        <v>-1</v>
      </c>
      <c r="AE531">
        <f t="shared" si="755"/>
        <v>7</v>
      </c>
      <c r="AF531">
        <f>IF(AND(AE531&lt;15,OR(AC531&gt;=30,AA531&gt;0.15,X531&gt;=0.15)),2,VLOOKUP(AE531,Table!P:Q,2,FALSE))</f>
        <v>1</v>
      </c>
      <c r="AG531" s="22">
        <f>IF((AB531*0.98)-(D531*0.8)+((AF531-3)*3)+VLOOKUP(AM531,Table!$A$11:$B$13,2,FALSE)&lt;0,0,(AB531*0.98)-(D531*0.8)+((AF531-3)*3)+VLOOKUP(AM531,Table!$A$11:$B$13,2,FALSE))</f>
        <v>0</v>
      </c>
      <c r="AH531" s="22">
        <f t="shared" si="786"/>
        <v>0</v>
      </c>
      <c r="AI531" s="18">
        <f t="shared" si="779"/>
        <v>1.62</v>
      </c>
      <c r="AJ531" s="18">
        <f t="shared" si="780"/>
        <v>2.37</v>
      </c>
      <c r="AK531" t="str">
        <f t="shared" si="765"/>
        <v/>
      </c>
      <c r="AL531">
        <f t="shared" si="776"/>
        <v>7</v>
      </c>
      <c r="AM531" s="11" t="str">
        <f t="shared" si="766"/>
        <v>Cash</v>
      </c>
      <c r="AN531" t="str">
        <f t="shared" si="772"/>
        <v>Sell</v>
      </c>
      <c r="AO531" s="13">
        <f t="shared" si="773"/>
        <v>-1.21E-2</v>
      </c>
      <c r="AP531" s="13">
        <f t="shared" si="774"/>
        <v>2.9999999999999997E-4</v>
      </c>
      <c r="AQ531" s="13">
        <f t="shared" si="775"/>
        <v>2.9999999999999997E-4</v>
      </c>
      <c r="AR531" s="13">
        <f t="shared" si="767"/>
        <v>2.9999999999999997E-4</v>
      </c>
      <c r="AS531" s="6">
        <f t="shared" si="759"/>
        <v>318.45130468603548</v>
      </c>
      <c r="AT531" s="6">
        <f t="shared" si="760"/>
        <v>185.00982846324774</v>
      </c>
      <c r="AU531" s="6">
        <f t="shared" si="761"/>
        <v>408.09636434750951</v>
      </c>
      <c r="AV531" s="6">
        <f t="shared" si="762"/>
        <v>521.15916725272689</v>
      </c>
      <c r="AW531" s="58">
        <f t="shared" si="768"/>
        <v>2008</v>
      </c>
      <c r="AX531" s="58">
        <f>COUNTIF(AW$3:AW531,AW531)</f>
        <v>27</v>
      </c>
    </row>
    <row r="532" spans="1:50" x14ac:dyDescent="0.25">
      <c r="A532" s="5">
        <v>39621</v>
      </c>
      <c r="B532">
        <v>1317.93</v>
      </c>
      <c r="C532">
        <v>1.92</v>
      </c>
      <c r="D532" s="6">
        <v>22.87</v>
      </c>
      <c r="E532" s="18">
        <f t="shared" si="781"/>
        <v>22.55</v>
      </c>
      <c r="F532">
        <f t="shared" si="782"/>
        <v>-1</v>
      </c>
      <c r="G532" s="18">
        <f>ROUND(INDEX(Valuation!U:U,MATCH(A532,Valuation!A:A,0)),2)</f>
        <v>123.73</v>
      </c>
      <c r="H532">
        <f t="shared" si="753"/>
        <v>1</v>
      </c>
      <c r="I532" s="18">
        <f>INDEX(WeeklyIndicators!Y:Y,MATCH(A532,WeeklyIndicators!A:A,0))</f>
        <v>75.650000000000006</v>
      </c>
      <c r="J532">
        <f t="shared" si="778"/>
        <v>-2</v>
      </c>
      <c r="K532">
        <f>ROUND(INDEX(Economic!AF:AF,MATCH(EOMONTH($A532,-1),Economic!A:A,0)),2)</f>
        <v>43.16</v>
      </c>
      <c r="L532" s="11">
        <f t="shared" si="787"/>
        <v>-3</v>
      </c>
      <c r="M532">
        <f>ROUND(INDEX(Manufacturing!P:P,MATCH(EOMONTH($A532,-1),Manufacturing!A:A,0)),2)</f>
        <v>65.75</v>
      </c>
      <c r="N532">
        <f t="shared" si="783"/>
        <v>-2</v>
      </c>
      <c r="O532">
        <f>ROUND(INDEX(Housing!AC:AC,MATCH(EOMONTH($A532,-1),Housing!B:B,0)),2)</f>
        <v>7.55</v>
      </c>
      <c r="P532">
        <f t="shared" si="784"/>
        <v>-3</v>
      </c>
      <c r="Q532">
        <f>ROUND(INDEX(Spending!AJ:AJ,MATCH(EOMONTH($A532,-1),Spending!B:B,0)),2)</f>
        <v>39.83</v>
      </c>
      <c r="R532">
        <f t="shared" si="788"/>
        <v>-1</v>
      </c>
      <c r="S532">
        <f>ROUND(INDEX(Employment!V:V,MATCH(EOMONTH($A532,-1),Employment!A:A,0)),2)</f>
        <v>86.79</v>
      </c>
      <c r="T532" s="11">
        <f t="shared" si="785"/>
        <v>-3</v>
      </c>
      <c r="U532">
        <f t="shared" si="777"/>
        <v>6</v>
      </c>
      <c r="V532">
        <f t="shared" si="769"/>
        <v>40.08</v>
      </c>
      <c r="W532" s="13">
        <f t="shared" si="770"/>
        <v>-1.2999999999999999E-2</v>
      </c>
      <c r="X532" s="13">
        <f t="shared" si="771"/>
        <v>-0.1449</v>
      </c>
      <c r="Y532">
        <f t="shared" si="763"/>
        <v>40.33</v>
      </c>
      <c r="Z532" s="13">
        <f t="shared" si="758"/>
        <v>-2.6200000000000001E-2</v>
      </c>
      <c r="AA532" s="13">
        <f t="shared" si="754"/>
        <v>-0.16309999999999999</v>
      </c>
      <c r="AB532" s="6">
        <f t="shared" si="764"/>
        <v>34.162999999999997</v>
      </c>
      <c r="AC532">
        <f t="shared" si="756"/>
        <v>17</v>
      </c>
      <c r="AD532" s="11">
        <f t="shared" si="757"/>
        <v>-1</v>
      </c>
      <c r="AE532">
        <f t="shared" si="755"/>
        <v>7</v>
      </c>
      <c r="AF532">
        <f>IF(AND(AE532&lt;15,OR(AC532&gt;=30,AA532&gt;0.15,X532&gt;=0.15)),2,VLOOKUP(AE532,Table!P:Q,2,FALSE))</f>
        <v>1</v>
      </c>
      <c r="AG532" s="22">
        <f>IF((AB532*0.98)-(D532*0.8)+((AF532-3)*3)+VLOOKUP(AM532,Table!$A$11:$B$13,2,FALSE)&lt;0,0,(AB532*0.98)-(D532*0.8)+((AF532-3)*3)+VLOOKUP(AM532,Table!$A$11:$B$13,2,FALSE))</f>
        <v>0</v>
      </c>
      <c r="AH532" s="22">
        <f t="shared" si="786"/>
        <v>0</v>
      </c>
      <c r="AI532" s="18">
        <f t="shared" si="779"/>
        <v>1.58</v>
      </c>
      <c r="AJ532" s="18">
        <f t="shared" si="780"/>
        <v>2.42</v>
      </c>
      <c r="AK532" t="str">
        <f t="shared" si="765"/>
        <v/>
      </c>
      <c r="AL532">
        <f t="shared" si="776"/>
        <v>7.25</v>
      </c>
      <c r="AM532" s="11" t="str">
        <f t="shared" si="766"/>
        <v>Cash</v>
      </c>
      <c r="AN532" t="str">
        <f t="shared" si="772"/>
        <v>Sell</v>
      </c>
      <c r="AO532" s="13">
        <f t="shared" si="773"/>
        <v>-0.03</v>
      </c>
      <c r="AP532" s="13">
        <f t="shared" si="774"/>
        <v>4.0000000000000002E-4</v>
      </c>
      <c r="AQ532" s="13">
        <f t="shared" si="775"/>
        <v>4.0000000000000002E-4</v>
      </c>
      <c r="AR532" s="13">
        <f t="shared" si="767"/>
        <v>4.0000000000000002E-4</v>
      </c>
      <c r="AS532" s="6">
        <f t="shared" si="759"/>
        <v>328.30031410931497</v>
      </c>
      <c r="AT532" s="6">
        <f t="shared" si="760"/>
        <v>184.93585412159911</v>
      </c>
      <c r="AU532" s="6">
        <f t="shared" si="761"/>
        <v>407.93319107108107</v>
      </c>
      <c r="AV532" s="6">
        <f t="shared" si="762"/>
        <v>520.95078693795176</v>
      </c>
      <c r="AW532" s="58">
        <f t="shared" si="768"/>
        <v>2008</v>
      </c>
      <c r="AX532" s="58">
        <f>COUNTIF(AW$3:AW532,AW532)</f>
        <v>28</v>
      </c>
    </row>
    <row r="533" spans="1:50" x14ac:dyDescent="0.25">
      <c r="A533" s="5">
        <v>39614</v>
      </c>
      <c r="B533">
        <v>1360.03</v>
      </c>
      <c r="C533">
        <v>1.93</v>
      </c>
      <c r="D533" s="6">
        <v>21.22</v>
      </c>
      <c r="E533" s="18">
        <f t="shared" si="781"/>
        <v>20.87</v>
      </c>
      <c r="F533">
        <f t="shared" si="782"/>
        <v>-1</v>
      </c>
      <c r="G533" s="18">
        <f>ROUND(INDEX(Valuation!U:U,MATCH(A533,Valuation!A:A,0)),2)</f>
        <v>123.85</v>
      </c>
      <c r="H533">
        <f t="shared" si="753"/>
        <v>1</v>
      </c>
      <c r="I533" s="18">
        <f>INDEX(WeeklyIndicators!Y:Y,MATCH(A533,WeeklyIndicators!A:A,0))</f>
        <v>75.98</v>
      </c>
      <c r="J533">
        <f t="shared" si="778"/>
        <v>-2</v>
      </c>
      <c r="K533">
        <f>ROUND(INDEX(Economic!AF:AF,MATCH(EOMONTH($A533,-1),Economic!A:A,0)),2)</f>
        <v>43.16</v>
      </c>
      <c r="L533" s="11">
        <f t="shared" si="787"/>
        <v>-3</v>
      </c>
      <c r="M533">
        <f>ROUND(INDEX(Manufacturing!P:P,MATCH(EOMONTH($A533,-1),Manufacturing!A:A,0)),2)</f>
        <v>65.75</v>
      </c>
      <c r="N533">
        <f t="shared" si="783"/>
        <v>-2</v>
      </c>
      <c r="O533">
        <f>ROUND(INDEX(Housing!AC:AC,MATCH(EOMONTH($A533,-1),Housing!B:B,0)),2)</f>
        <v>7.55</v>
      </c>
      <c r="P533">
        <f t="shared" si="784"/>
        <v>-3</v>
      </c>
      <c r="Q533">
        <f>ROUND(INDEX(Spending!AJ:AJ,MATCH(EOMONTH($A533,-1),Spending!B:B,0)),2)</f>
        <v>39.83</v>
      </c>
      <c r="R533">
        <f t="shared" si="788"/>
        <v>-1</v>
      </c>
      <c r="S533">
        <f>ROUND(INDEX(Employment!V:V,MATCH(EOMONTH($A533,-1),Employment!A:A,0)),2)</f>
        <v>86.79</v>
      </c>
      <c r="T533" s="11">
        <f t="shared" si="785"/>
        <v>-3</v>
      </c>
      <c r="U533">
        <f t="shared" si="777"/>
        <v>6</v>
      </c>
      <c r="V533">
        <f t="shared" si="769"/>
        <v>40.119999999999997</v>
      </c>
      <c r="W533" s="13">
        <f t="shared" si="770"/>
        <v>-5.1900000000000002E-2</v>
      </c>
      <c r="X533" s="13">
        <f t="shared" si="771"/>
        <v>-0.11789999999999999</v>
      </c>
      <c r="Y533">
        <f t="shared" si="763"/>
        <v>40.96</v>
      </c>
      <c r="Z533" s="13">
        <f t="shared" si="758"/>
        <v>-5.6899999999999999E-2</v>
      </c>
      <c r="AA533" s="13">
        <f t="shared" si="754"/>
        <v>-0.1229</v>
      </c>
      <c r="AB533" s="6">
        <f t="shared" si="764"/>
        <v>37.765000000000001</v>
      </c>
      <c r="AC533">
        <f t="shared" si="756"/>
        <v>19</v>
      </c>
      <c r="AD533" s="11">
        <f t="shared" si="757"/>
        <v>-1</v>
      </c>
      <c r="AE533">
        <f t="shared" si="755"/>
        <v>7</v>
      </c>
      <c r="AF533">
        <f>IF(AND(AE533&lt;15,OR(AC533&gt;=30,AA533&gt;0.15,X533&gt;=0.15)),2,VLOOKUP(AE533,Table!P:Q,2,FALSE))</f>
        <v>1</v>
      </c>
      <c r="AG533" s="22">
        <f>IF((AB533*0.98)-(D533*0.8)+((AF533-3)*3)+VLOOKUP(AM533,Table!$A$11:$B$13,2,FALSE)&lt;0,0,(AB533*0.98)-(D533*0.8)+((AF533-3)*3)+VLOOKUP(AM533,Table!$A$11:$B$13,2,FALSE))</f>
        <v>0</v>
      </c>
      <c r="AH533" s="22">
        <f t="shared" si="786"/>
        <v>4</v>
      </c>
      <c r="AI533" s="18">
        <f t="shared" si="779"/>
        <v>1.5</v>
      </c>
      <c r="AJ533" s="18">
        <f t="shared" si="780"/>
        <v>2.4700000000000002</v>
      </c>
      <c r="AK533" t="str">
        <f t="shared" si="765"/>
        <v/>
      </c>
      <c r="AL533">
        <f t="shared" si="776"/>
        <v>8</v>
      </c>
      <c r="AM533" s="11" t="str">
        <f t="shared" si="766"/>
        <v>Cash</v>
      </c>
      <c r="AN533" t="str">
        <f t="shared" si="772"/>
        <v>Sell</v>
      </c>
      <c r="AO533" s="13">
        <f t="shared" si="773"/>
        <v>-3.1E-2</v>
      </c>
      <c r="AP533" s="13">
        <f t="shared" si="774"/>
        <v>4.0000000000000002E-4</v>
      </c>
      <c r="AQ533" s="13">
        <f t="shared" si="775"/>
        <v>-8.9999999999999998E-4</v>
      </c>
      <c r="AR533" s="13">
        <f t="shared" si="767"/>
        <v>4.0000000000000002E-4</v>
      </c>
      <c r="AS533" s="6">
        <f t="shared" si="759"/>
        <v>338.80321373510316</v>
      </c>
      <c r="AT533" s="6">
        <f t="shared" si="760"/>
        <v>184.86190935785598</v>
      </c>
      <c r="AU533" s="6">
        <f t="shared" si="761"/>
        <v>408.30066166658099</v>
      </c>
      <c r="AV533" s="6">
        <f t="shared" si="762"/>
        <v>520.74248994197501</v>
      </c>
      <c r="AW533" s="58">
        <f t="shared" si="768"/>
        <v>2008</v>
      </c>
      <c r="AX533" s="58">
        <f>COUNTIF(AW$3:AW533,AW533)</f>
        <v>29</v>
      </c>
    </row>
    <row r="534" spans="1:50" x14ac:dyDescent="0.25">
      <c r="A534" s="5">
        <v>39607</v>
      </c>
      <c r="B534">
        <v>1360.68</v>
      </c>
      <c r="C534">
        <v>1.82</v>
      </c>
      <c r="D534" s="6">
        <v>23.56</v>
      </c>
      <c r="E534" s="18">
        <f t="shared" si="781"/>
        <v>20.309999999999999</v>
      </c>
      <c r="F534">
        <f t="shared" si="782"/>
        <v>-1</v>
      </c>
      <c r="G534" s="18">
        <f>ROUND(INDEX(Valuation!U:U,MATCH(A534,Valuation!A:A,0)),2)</f>
        <v>125.08</v>
      </c>
      <c r="H534">
        <f t="shared" si="753"/>
        <v>1</v>
      </c>
      <c r="I534" s="18">
        <f>INDEX(WeeklyIndicators!Y:Y,MATCH(A534,WeeklyIndicators!A:A,0))</f>
        <v>80.58</v>
      </c>
      <c r="J534">
        <f t="shared" si="778"/>
        <v>-2</v>
      </c>
      <c r="K534">
        <f>ROUND(INDEX(Economic!AF:AF,MATCH(EOMONTH($A534,-1),Economic!A:A,0)),2)</f>
        <v>43.16</v>
      </c>
      <c r="L534" s="11">
        <f t="shared" si="787"/>
        <v>-3</v>
      </c>
      <c r="M534">
        <f>ROUND(INDEX(Manufacturing!P:P,MATCH(EOMONTH($A534,-1),Manufacturing!A:A,0)),2)</f>
        <v>65.75</v>
      </c>
      <c r="N534">
        <f t="shared" si="783"/>
        <v>-2</v>
      </c>
      <c r="O534">
        <f>ROUND(INDEX(Housing!AC:AC,MATCH(EOMONTH($A534,-1),Housing!B:B,0)),2)</f>
        <v>7.55</v>
      </c>
      <c r="P534">
        <f t="shared" si="784"/>
        <v>-3</v>
      </c>
      <c r="Q534">
        <f>ROUND(INDEX(Spending!AJ:AJ,MATCH(EOMONTH($A534,-1),Spending!B:B,0)),2)</f>
        <v>39.83</v>
      </c>
      <c r="R534">
        <f t="shared" si="788"/>
        <v>-1</v>
      </c>
      <c r="S534">
        <f>ROUND(INDEX(Employment!V:V,MATCH(EOMONTH($A534,-1),Employment!A:A,0)),2)</f>
        <v>86.79</v>
      </c>
      <c r="T534" s="11">
        <f t="shared" si="785"/>
        <v>-3</v>
      </c>
      <c r="U534">
        <f t="shared" si="777"/>
        <v>6</v>
      </c>
      <c r="V534">
        <f t="shared" si="769"/>
        <v>40.6</v>
      </c>
      <c r="W534" s="13">
        <f t="shared" si="770"/>
        <v>-4.7699999999999999E-2</v>
      </c>
      <c r="X534" s="13">
        <f t="shared" si="771"/>
        <v>-6.8699999999999997E-2</v>
      </c>
      <c r="Y534">
        <f t="shared" si="763"/>
        <v>41.77</v>
      </c>
      <c r="Z534" s="13">
        <f t="shared" si="758"/>
        <v>-5.0999999999999997E-2</v>
      </c>
      <c r="AA534" s="13">
        <f t="shared" si="754"/>
        <v>-6.4100000000000004E-2</v>
      </c>
      <c r="AB534" s="6">
        <f t="shared" si="764"/>
        <v>43.148000000000003</v>
      </c>
      <c r="AC534">
        <f t="shared" si="756"/>
        <v>22</v>
      </c>
      <c r="AD534" s="11">
        <f t="shared" si="757"/>
        <v>-1</v>
      </c>
      <c r="AE534">
        <f t="shared" si="755"/>
        <v>7</v>
      </c>
      <c r="AF534">
        <f>IF(AND(AE534&lt;15,OR(AC534&gt;=30,AA534&gt;0.15,X534&gt;=0.15)),2,VLOOKUP(AE534,Table!P:Q,2,FALSE))</f>
        <v>1</v>
      </c>
      <c r="AG534" s="22">
        <f>IF((AB534*0.98)-(D534*0.8)+((AF534-3)*3)+VLOOKUP(AM534,Table!$A$11:$B$13,2,FALSE)&lt;0,0,(AB534*0.98)-(D534*0.8)+((AF534-3)*3)+VLOOKUP(AM534,Table!$A$11:$B$13,2,FALSE))</f>
        <v>1.4370400000000032</v>
      </c>
      <c r="AH534" s="22">
        <f t="shared" si="786"/>
        <v>10</v>
      </c>
      <c r="AI534" s="18">
        <f t="shared" si="779"/>
        <v>1.45</v>
      </c>
      <c r="AJ534" s="18">
        <f t="shared" si="780"/>
        <v>2.52</v>
      </c>
      <c r="AK534" t="str">
        <f t="shared" si="765"/>
        <v/>
      </c>
      <c r="AL534">
        <f t="shared" si="776"/>
        <v>8.75</v>
      </c>
      <c r="AM534" s="11" t="str">
        <f t="shared" si="766"/>
        <v>Cash</v>
      </c>
      <c r="AN534" t="str">
        <f t="shared" si="772"/>
        <v>Sell</v>
      </c>
      <c r="AO534" s="13">
        <f t="shared" si="773"/>
        <v>-5.0000000000000001E-4</v>
      </c>
      <c r="AP534" s="13">
        <f t="shared" si="774"/>
        <v>4.0000000000000002E-4</v>
      </c>
      <c r="AQ534" s="13">
        <f t="shared" si="775"/>
        <v>2.9999999999999997E-4</v>
      </c>
      <c r="AR534" s="13">
        <f t="shared" si="767"/>
        <v>4.0000000000000002E-4</v>
      </c>
      <c r="AS534" s="6">
        <f t="shared" si="759"/>
        <v>338.97270008514573</v>
      </c>
      <c r="AT534" s="6">
        <f t="shared" si="760"/>
        <v>184.78799416019191</v>
      </c>
      <c r="AU534" s="6">
        <f t="shared" si="761"/>
        <v>408.17820820411976</v>
      </c>
      <c r="AV534" s="6">
        <f t="shared" si="762"/>
        <v>520.53427623148241</v>
      </c>
      <c r="AW534" s="58">
        <f t="shared" si="768"/>
        <v>2008</v>
      </c>
      <c r="AX534" s="58">
        <f>COUNTIF(AW$3:AW534,AW534)</f>
        <v>30</v>
      </c>
    </row>
    <row r="535" spans="1:50" x14ac:dyDescent="0.25">
      <c r="A535" s="5">
        <v>39600</v>
      </c>
      <c r="B535">
        <v>1400.38</v>
      </c>
      <c r="C535">
        <v>1.86</v>
      </c>
      <c r="D535" s="6">
        <v>17.829999999999998</v>
      </c>
      <c r="E535" s="18">
        <f t="shared" si="781"/>
        <v>17.95</v>
      </c>
      <c r="F535">
        <f t="shared" si="782"/>
        <v>0</v>
      </c>
      <c r="G535" s="18">
        <f>ROUND(INDEX(Valuation!U:U,MATCH(A535,Valuation!A:A,0)),2)</f>
        <v>124.87</v>
      </c>
      <c r="H535">
        <f t="shared" si="753"/>
        <v>1</v>
      </c>
      <c r="I535" s="18">
        <f>INDEX(WeeklyIndicators!Y:Y,MATCH(A535,WeeklyIndicators!A:A,0))</f>
        <v>90.9</v>
      </c>
      <c r="J535">
        <f t="shared" si="778"/>
        <v>-2</v>
      </c>
      <c r="K535">
        <f>ROUND(INDEX(Economic!AF:AF,MATCH(EOMONTH($A535,-1),Economic!A:A,0)),2)</f>
        <v>43.16</v>
      </c>
      <c r="L535" s="11">
        <f t="shared" si="787"/>
        <v>-3</v>
      </c>
      <c r="M535">
        <f>ROUND(INDEX(Manufacturing!P:P,MATCH(EOMONTH($A535,-1),Manufacturing!A:A,0)),2)</f>
        <v>65.75</v>
      </c>
      <c r="N535">
        <f t="shared" si="783"/>
        <v>-2</v>
      </c>
      <c r="O535">
        <f>ROUND(INDEX(Housing!AC:AC,MATCH(EOMONTH($A535,-1),Housing!B:B,0)),2)</f>
        <v>7.55</v>
      </c>
      <c r="P535">
        <f t="shared" si="784"/>
        <v>-3</v>
      </c>
      <c r="Q535">
        <f>ROUND(INDEX(Spending!AJ:AJ,MATCH(EOMONTH($A535,-1),Spending!B:B,0)),2)</f>
        <v>39.83</v>
      </c>
      <c r="R535">
        <f t="shared" si="788"/>
        <v>-1</v>
      </c>
      <c r="S535">
        <f>ROUND(INDEX(Employment!V:V,MATCH(EOMONTH($A535,-1),Employment!A:A,0)),2)</f>
        <v>86.79</v>
      </c>
      <c r="T535" s="11">
        <f t="shared" si="785"/>
        <v>-3</v>
      </c>
      <c r="U535">
        <f t="shared" si="777"/>
        <v>7</v>
      </c>
      <c r="V535">
        <f t="shared" si="769"/>
        <v>41.67</v>
      </c>
      <c r="W535" s="13">
        <f t="shared" si="770"/>
        <v>-3.2300000000000002E-2</v>
      </c>
      <c r="X535" s="13">
        <f t="shared" si="771"/>
        <v>-2.2200000000000004E-2</v>
      </c>
      <c r="Y535">
        <f t="shared" si="763"/>
        <v>43.64</v>
      </c>
      <c r="Z535" s="13">
        <f t="shared" si="758"/>
        <v>-2.9000000000000001E-2</v>
      </c>
      <c r="AA535" s="13">
        <f t="shared" si="754"/>
        <v>-1.0100000000000001E-2</v>
      </c>
      <c r="AB535" s="6">
        <f t="shared" si="764"/>
        <v>49.117000000000004</v>
      </c>
      <c r="AC535">
        <f t="shared" si="756"/>
        <v>25</v>
      </c>
      <c r="AD535" s="11">
        <f t="shared" si="757"/>
        <v>-1</v>
      </c>
      <c r="AE535">
        <f t="shared" si="755"/>
        <v>8</v>
      </c>
      <c r="AF535">
        <f>IF(AND(AE535&lt;15,OR(AC535&gt;=30,AA535&gt;0.15,X535&gt;=0.15)),2,VLOOKUP(AE535,Table!P:Q,2,FALSE))</f>
        <v>1</v>
      </c>
      <c r="AG535" s="22">
        <f>IF((AB535*0.98)-(D535*0.8)+((AF535-3)*3)+VLOOKUP(AM535,Table!$A$11:$B$13,2,FALSE)&lt;0,0,(AB535*0.98)-(D535*0.8)+((AF535-3)*3)+VLOOKUP(AM535,Table!$A$11:$B$13,2,FALSE))</f>
        <v>11.870660000000001</v>
      </c>
      <c r="AH535" s="22">
        <f t="shared" si="786"/>
        <v>17</v>
      </c>
      <c r="AI535" s="18">
        <f t="shared" si="779"/>
        <v>1.43</v>
      </c>
      <c r="AJ535" s="18">
        <f t="shared" si="780"/>
        <v>2.58</v>
      </c>
      <c r="AK535" t="str">
        <f t="shared" si="765"/>
        <v/>
      </c>
      <c r="AL535">
        <f t="shared" si="776"/>
        <v>9.25</v>
      </c>
      <c r="AM535" s="11" t="str">
        <f t="shared" si="766"/>
        <v>Cash</v>
      </c>
      <c r="AN535" t="str">
        <f t="shared" si="772"/>
        <v>Sell</v>
      </c>
      <c r="AO535" s="13">
        <f t="shared" si="773"/>
        <v>-2.8299999999999999E-2</v>
      </c>
      <c r="AP535" s="13">
        <f t="shared" si="774"/>
        <v>4.0000000000000002E-4</v>
      </c>
      <c r="AQ535" s="13">
        <f t="shared" si="775"/>
        <v>-4.4999999999999997E-3</v>
      </c>
      <c r="AR535" s="13">
        <f t="shared" si="767"/>
        <v>4.0000000000000002E-4</v>
      </c>
      <c r="AS535" s="6">
        <f t="shared" si="759"/>
        <v>348.84501398080243</v>
      </c>
      <c r="AT535" s="6">
        <f t="shared" si="760"/>
        <v>184.71410851678522</v>
      </c>
      <c r="AU535" s="6">
        <f t="shared" si="761"/>
        <v>410.02331311312884</v>
      </c>
      <c r="AV535" s="6">
        <f t="shared" si="762"/>
        <v>520.32614577317315</v>
      </c>
      <c r="AW535" s="58">
        <f t="shared" si="768"/>
        <v>2008</v>
      </c>
      <c r="AX535" s="58">
        <f>COUNTIF(AW$3:AW535,AW535)</f>
        <v>31</v>
      </c>
    </row>
    <row r="536" spans="1:50" x14ac:dyDescent="0.25">
      <c r="A536" s="5">
        <v>39593</v>
      </c>
      <c r="B536">
        <v>1375.93</v>
      </c>
      <c r="C536">
        <v>1.82</v>
      </c>
      <c r="D536" s="6">
        <v>19.55</v>
      </c>
      <c r="E536" s="18">
        <f t="shared" si="781"/>
        <v>18.48</v>
      </c>
      <c r="F536">
        <f t="shared" si="782"/>
        <v>-1</v>
      </c>
      <c r="G536" s="18">
        <f>ROUND(INDEX(Valuation!U:U,MATCH(A536,Valuation!A:A,0)),2)</f>
        <v>124.56</v>
      </c>
      <c r="H536">
        <f t="shared" si="753"/>
        <v>1</v>
      </c>
      <c r="I536" s="18">
        <f>INDEX(WeeklyIndicators!Y:Y,MATCH(A536,WeeklyIndicators!A:A,0))</f>
        <v>100.41</v>
      </c>
      <c r="J536">
        <f t="shared" si="778"/>
        <v>-1</v>
      </c>
      <c r="K536">
        <f>ROUND(INDEX(Economic!AF:AF,MATCH(EOMONTH($A536,-1),Economic!A:A,0)),2)</f>
        <v>58.41</v>
      </c>
      <c r="L536" s="11">
        <f t="shared" si="787"/>
        <v>-2</v>
      </c>
      <c r="M536">
        <f>ROUND(INDEX(Manufacturing!P:P,MATCH(EOMONTH($A536,-1),Manufacturing!A:A,0)),2)</f>
        <v>69.05</v>
      </c>
      <c r="N536">
        <f t="shared" si="783"/>
        <v>-2</v>
      </c>
      <c r="O536">
        <f>ROUND(INDEX(Housing!AC:AC,MATCH(EOMONTH($A536,-1),Housing!B:B,0)),2)</f>
        <v>7.13</v>
      </c>
      <c r="P536">
        <f t="shared" si="784"/>
        <v>-3</v>
      </c>
      <c r="Q536">
        <f>ROUND(INDEX(Spending!AJ:AJ,MATCH(EOMONTH($A536,-1),Spending!B:B,0)),2)</f>
        <v>43.36</v>
      </c>
      <c r="R536">
        <f t="shared" si="788"/>
        <v>0</v>
      </c>
      <c r="S536">
        <f>ROUND(INDEX(Employment!V:V,MATCH(EOMONTH($A536,-1),Employment!A:A,0)),2)</f>
        <v>101.98</v>
      </c>
      <c r="T536" s="11">
        <f t="shared" si="785"/>
        <v>-3</v>
      </c>
      <c r="U536">
        <f t="shared" si="777"/>
        <v>9</v>
      </c>
      <c r="V536">
        <f t="shared" si="769"/>
        <v>46.82</v>
      </c>
      <c r="W536" s="13">
        <f t="shared" si="770"/>
        <v>1.4E-2</v>
      </c>
      <c r="X536" s="13">
        <f t="shared" si="771"/>
        <v>6.6000000000000017E-3</v>
      </c>
      <c r="Y536">
        <f t="shared" si="763"/>
        <v>48.58</v>
      </c>
      <c r="Z536" s="13">
        <f t="shared" si="758"/>
        <v>1.4E-2</v>
      </c>
      <c r="AA536" s="13">
        <f t="shared" si="754"/>
        <v>2.3599999999999999E-2</v>
      </c>
      <c r="AB536" s="6">
        <f t="shared" si="764"/>
        <v>56.746000000000002</v>
      </c>
      <c r="AC536">
        <f t="shared" si="756"/>
        <v>28</v>
      </c>
      <c r="AD536" s="11">
        <f t="shared" si="757"/>
        <v>-1</v>
      </c>
      <c r="AE536">
        <f t="shared" si="755"/>
        <v>10</v>
      </c>
      <c r="AF536">
        <f>IF(AND(AE536&lt;15,OR(AC536&gt;=30,AA536&gt;0.15,X536&gt;=0.15)),2,VLOOKUP(AE536,Table!P:Q,2,FALSE))</f>
        <v>1</v>
      </c>
      <c r="AG536" s="22">
        <f>IF((AB536*0.98)-(D536*0.8)+((AF536-3)*3)+VLOOKUP(AM536,Table!$A$11:$B$13,2,FALSE)&lt;0,0,(AB536*0.98)-(D536*0.8)+((AF536-3)*3)+VLOOKUP(AM536,Table!$A$11:$B$13,2,FALSE))</f>
        <v>17.971080000000001</v>
      </c>
      <c r="AH536" s="22">
        <f t="shared" si="786"/>
        <v>20</v>
      </c>
      <c r="AI536" s="18">
        <f t="shared" si="779"/>
        <v>1.44</v>
      </c>
      <c r="AJ536" s="18">
        <f t="shared" si="780"/>
        <v>2.64</v>
      </c>
      <c r="AK536" t="str">
        <f t="shared" si="765"/>
        <v/>
      </c>
      <c r="AL536">
        <f t="shared" si="776"/>
        <v>9.5</v>
      </c>
      <c r="AM536" s="11" t="str">
        <f t="shared" si="766"/>
        <v>Cash</v>
      </c>
      <c r="AN536" t="str">
        <f t="shared" si="772"/>
        <v>Sell</v>
      </c>
      <c r="AO536" s="13">
        <f t="shared" si="773"/>
        <v>1.78E-2</v>
      </c>
      <c r="AP536" s="13">
        <f t="shared" si="774"/>
        <v>4.0000000000000002E-4</v>
      </c>
      <c r="AQ536" s="13">
        <f t="shared" si="775"/>
        <v>3.8999999999999998E-3</v>
      </c>
      <c r="AR536" s="13">
        <f t="shared" si="767"/>
        <v>4.0000000000000002E-4</v>
      </c>
      <c r="AS536" s="6">
        <f t="shared" si="759"/>
        <v>342.74416779406801</v>
      </c>
      <c r="AT536" s="6">
        <f t="shared" si="760"/>
        <v>184.64025241581891</v>
      </c>
      <c r="AU536" s="6">
        <f t="shared" si="761"/>
        <v>408.43043441889512</v>
      </c>
      <c r="AV536" s="6">
        <f t="shared" si="762"/>
        <v>520.11809853375962</v>
      </c>
      <c r="AW536" s="58">
        <f t="shared" si="768"/>
        <v>2008</v>
      </c>
      <c r="AX536" s="58">
        <f>COUNTIF(AW$3:AW536,AW536)</f>
        <v>32</v>
      </c>
    </row>
    <row r="537" spans="1:50" x14ac:dyDescent="0.25">
      <c r="A537" s="5">
        <v>39586</v>
      </c>
      <c r="B537">
        <v>1425.35</v>
      </c>
      <c r="C537">
        <v>1.79</v>
      </c>
      <c r="D537" s="6">
        <v>16.47</v>
      </c>
      <c r="E537" s="18">
        <f t="shared" si="781"/>
        <v>18.02</v>
      </c>
      <c r="F537">
        <f t="shared" si="782"/>
        <v>-1</v>
      </c>
      <c r="G537" s="18">
        <f>ROUND(INDEX(Valuation!U:U,MATCH(A537,Valuation!A:A,0)),2)</f>
        <v>124.42</v>
      </c>
      <c r="H537">
        <f t="shared" si="753"/>
        <v>1</v>
      </c>
      <c r="I537" s="18">
        <f>INDEX(WeeklyIndicators!Y:Y,MATCH(A537,WeeklyIndicators!A:A,0))</f>
        <v>102.77</v>
      </c>
      <c r="J537">
        <f t="shared" si="778"/>
        <v>-1</v>
      </c>
      <c r="K537">
        <f>ROUND(INDEX(Economic!AF:AF,MATCH(EOMONTH($A537,-1),Economic!A:A,0)),2)</f>
        <v>58.41</v>
      </c>
      <c r="L537" s="11">
        <f t="shared" si="787"/>
        <v>-2</v>
      </c>
      <c r="M537">
        <f>ROUND(INDEX(Manufacturing!P:P,MATCH(EOMONTH($A537,-1),Manufacturing!A:A,0)),2)</f>
        <v>69.05</v>
      </c>
      <c r="N537">
        <f t="shared" si="783"/>
        <v>-2</v>
      </c>
      <c r="O537">
        <f>ROUND(INDEX(Housing!AC:AC,MATCH(EOMONTH($A537,-1),Housing!B:B,0)),2)</f>
        <v>7.13</v>
      </c>
      <c r="P537">
        <f t="shared" si="784"/>
        <v>-3</v>
      </c>
      <c r="Q537">
        <f>ROUND(INDEX(Spending!AJ:AJ,MATCH(EOMONTH($A537,-1),Spending!B:B,0)),2)</f>
        <v>43.36</v>
      </c>
      <c r="R537">
        <f t="shared" si="788"/>
        <v>0</v>
      </c>
      <c r="S537">
        <f>ROUND(INDEX(Employment!V:V,MATCH(EOMONTH($A537,-1),Employment!A:A,0)),2)</f>
        <v>101.98</v>
      </c>
      <c r="T537" s="11">
        <f t="shared" si="785"/>
        <v>-3</v>
      </c>
      <c r="U537">
        <f t="shared" si="777"/>
        <v>9</v>
      </c>
      <c r="V537">
        <f t="shared" si="769"/>
        <v>47.07</v>
      </c>
      <c r="W537" s="13">
        <f t="shared" si="770"/>
        <v>-2.7000000000000001E-3</v>
      </c>
      <c r="X537" s="13">
        <f t="shared" si="771"/>
        <v>1.04E-2</v>
      </c>
      <c r="Y537">
        <f t="shared" si="763"/>
        <v>48.97</v>
      </c>
      <c r="Z537" s="13">
        <f t="shared" si="758"/>
        <v>1.9E-3</v>
      </c>
      <c r="AA537" s="13">
        <f t="shared" si="754"/>
        <v>3.6299999999999999E-2</v>
      </c>
      <c r="AB537" s="6">
        <f t="shared" si="764"/>
        <v>58.021999999999998</v>
      </c>
      <c r="AC537">
        <f t="shared" si="756"/>
        <v>29</v>
      </c>
      <c r="AD537" s="11">
        <f t="shared" si="757"/>
        <v>-1</v>
      </c>
      <c r="AE537">
        <f t="shared" si="755"/>
        <v>10</v>
      </c>
      <c r="AF537">
        <f>IF(AND(AE537&lt;15,OR(AC537&gt;=30,AA537&gt;0.15,X537&gt;=0.15)),2,VLOOKUP(AE537,Table!P:Q,2,FALSE))</f>
        <v>1</v>
      </c>
      <c r="AG537" s="22">
        <f>IF((AB537*0.98)-(D537*0.8)+((AF537-3)*3)+VLOOKUP(AM537,Table!$A$11:$B$13,2,FALSE)&lt;0,0,(AB537*0.98)-(D537*0.8)+((AF537-3)*3)+VLOOKUP(AM537,Table!$A$11:$B$13,2,FALSE))</f>
        <v>21.685559999999995</v>
      </c>
      <c r="AH537" s="22">
        <f t="shared" si="786"/>
        <v>20</v>
      </c>
      <c r="AI537" s="18">
        <f t="shared" si="779"/>
        <v>1.46</v>
      </c>
      <c r="AJ537" s="18">
        <f t="shared" si="780"/>
        <v>2.69</v>
      </c>
      <c r="AK537" t="str">
        <f t="shared" si="765"/>
        <v/>
      </c>
      <c r="AL537">
        <f t="shared" si="776"/>
        <v>9.5</v>
      </c>
      <c r="AM537" s="11" t="str">
        <f t="shared" si="766"/>
        <v>Cash</v>
      </c>
      <c r="AN537" t="str">
        <f t="shared" si="772"/>
        <v>Sell</v>
      </c>
      <c r="AO537" s="13">
        <f t="shared" si="773"/>
        <v>-3.4700000000000002E-2</v>
      </c>
      <c r="AP537" s="13">
        <f t="shared" si="774"/>
        <v>2.9999999999999997E-4</v>
      </c>
      <c r="AQ537" s="13">
        <f t="shared" si="775"/>
        <v>-6.7000000000000002E-3</v>
      </c>
      <c r="AR537" s="13">
        <f t="shared" si="767"/>
        <v>2.9999999999999997E-4</v>
      </c>
      <c r="AS537" s="6">
        <f t="shared" si="759"/>
        <v>355.06492053669115</v>
      </c>
      <c r="AT537" s="6">
        <f t="shared" si="760"/>
        <v>184.58487695273308</v>
      </c>
      <c r="AU537" s="6">
        <f t="shared" si="761"/>
        <v>411.18537644105015</v>
      </c>
      <c r="AV537" s="6">
        <f t="shared" si="762"/>
        <v>519.96210990078941</v>
      </c>
      <c r="AW537" s="58">
        <f t="shared" si="768"/>
        <v>2008</v>
      </c>
      <c r="AX537" s="58">
        <f>COUNTIF(AW$3:AW537,AW537)</f>
        <v>33</v>
      </c>
    </row>
    <row r="538" spans="1:50" x14ac:dyDescent="0.25">
      <c r="A538" s="5">
        <v>39579</v>
      </c>
      <c r="B538">
        <v>1388.28</v>
      </c>
      <c r="C538">
        <v>1.61</v>
      </c>
      <c r="D538" s="6">
        <v>19.41</v>
      </c>
      <c r="E538" s="18">
        <f t="shared" si="781"/>
        <v>19.059999999999999</v>
      </c>
      <c r="F538">
        <f t="shared" si="782"/>
        <v>-1</v>
      </c>
      <c r="G538" s="18">
        <f>ROUND(INDEX(Valuation!U:U,MATCH(A538,Valuation!A:A,0)),2)</f>
        <v>125.45</v>
      </c>
      <c r="H538">
        <f t="shared" si="753"/>
        <v>1</v>
      </c>
      <c r="I538" s="18">
        <f>INDEX(WeeklyIndicators!Y:Y,MATCH(A538,WeeklyIndicators!A:A,0))</f>
        <v>94.44</v>
      </c>
      <c r="J538">
        <f t="shared" si="778"/>
        <v>-2</v>
      </c>
      <c r="K538">
        <f>ROUND(INDEX(Economic!AF:AF,MATCH(EOMONTH($A538,-1),Economic!A:A,0)),2)</f>
        <v>58.41</v>
      </c>
      <c r="L538" s="11">
        <f t="shared" si="787"/>
        <v>-2</v>
      </c>
      <c r="M538">
        <f>ROUND(INDEX(Manufacturing!P:P,MATCH(EOMONTH($A538,-1),Manufacturing!A:A,0)),2)</f>
        <v>69.05</v>
      </c>
      <c r="N538">
        <f t="shared" si="783"/>
        <v>-2</v>
      </c>
      <c r="O538">
        <f>ROUND(INDEX(Housing!AC:AC,MATCH(EOMONTH($A538,-1),Housing!B:B,0)),2)</f>
        <v>7.13</v>
      </c>
      <c r="P538">
        <f t="shared" si="784"/>
        <v>-3</v>
      </c>
      <c r="Q538">
        <f>ROUND(INDEX(Spending!AJ:AJ,MATCH(EOMONTH($A538,-1),Spending!B:B,0)),2)</f>
        <v>43.36</v>
      </c>
      <c r="R538">
        <f t="shared" si="788"/>
        <v>0</v>
      </c>
      <c r="S538">
        <f>ROUND(INDEX(Employment!V:V,MATCH(EOMONTH($A538,-1),Employment!A:A,0)),2)</f>
        <v>101.98</v>
      </c>
      <c r="T538" s="11">
        <f t="shared" si="785"/>
        <v>-3</v>
      </c>
      <c r="U538">
        <f t="shared" si="777"/>
        <v>8</v>
      </c>
      <c r="V538">
        <f t="shared" si="769"/>
        <v>46.2</v>
      </c>
      <c r="W538" s="13">
        <f t="shared" si="770"/>
        <v>-1.1999999999999999E-3</v>
      </c>
      <c r="X538" s="13">
        <f t="shared" si="771"/>
        <v>9.7000000000000003E-3</v>
      </c>
      <c r="Y538">
        <f t="shared" si="763"/>
        <v>47.85</v>
      </c>
      <c r="Z538" s="13">
        <f t="shared" si="758"/>
        <v>3.0000000000000001E-3</v>
      </c>
      <c r="AA538" s="13">
        <f t="shared" si="754"/>
        <v>4.6800000000000001E-2</v>
      </c>
      <c r="AB538" s="6">
        <f t="shared" si="764"/>
        <v>57.664999999999999</v>
      </c>
      <c r="AC538">
        <f t="shared" si="756"/>
        <v>29</v>
      </c>
      <c r="AD538" s="11">
        <f t="shared" si="757"/>
        <v>-1</v>
      </c>
      <c r="AE538">
        <f t="shared" si="755"/>
        <v>9</v>
      </c>
      <c r="AF538">
        <f>IF(AND(AE538&lt;15,OR(AC538&gt;=30,AA538&gt;0.15,X538&gt;=0.15)),2,VLOOKUP(AE538,Table!P:Q,2,FALSE))</f>
        <v>1</v>
      </c>
      <c r="AG538" s="22">
        <f>IF((AB538*0.98)-(D538*0.8)+((AF538-3)*3)+VLOOKUP(AM538,Table!$A$11:$B$13,2,FALSE)&lt;0,0,(AB538*0.98)-(D538*0.8)+((AF538-3)*3)+VLOOKUP(AM538,Table!$A$11:$B$13,2,FALSE))</f>
        <v>18.983699999999999</v>
      </c>
      <c r="AH538" s="22">
        <f t="shared" si="786"/>
        <v>18</v>
      </c>
      <c r="AI538" s="18">
        <f t="shared" si="779"/>
        <v>1.5</v>
      </c>
      <c r="AJ538" s="18">
        <f t="shared" si="780"/>
        <v>2.75</v>
      </c>
      <c r="AK538" t="str">
        <f t="shared" si="765"/>
        <v/>
      </c>
      <c r="AL538">
        <f t="shared" si="776"/>
        <v>9.25</v>
      </c>
      <c r="AM538" s="11" t="str">
        <f t="shared" si="766"/>
        <v>Cash</v>
      </c>
      <c r="AN538" t="str">
        <f t="shared" si="772"/>
        <v>Sell</v>
      </c>
      <c r="AO538" s="13">
        <f t="shared" si="773"/>
        <v>2.6700000000000002E-2</v>
      </c>
      <c r="AP538" s="13">
        <f t="shared" si="774"/>
        <v>2.9999999999999997E-4</v>
      </c>
      <c r="AQ538" s="13">
        <f t="shared" si="775"/>
        <v>5.1000000000000004E-3</v>
      </c>
      <c r="AR538" s="13">
        <f t="shared" si="767"/>
        <v>2.9999999999999997E-4</v>
      </c>
      <c r="AS538" s="6">
        <f t="shared" si="759"/>
        <v>345.83122678162187</v>
      </c>
      <c r="AT538" s="6">
        <f t="shared" si="760"/>
        <v>184.52951809730391</v>
      </c>
      <c r="AU538" s="6">
        <f t="shared" si="761"/>
        <v>409.09897168545427</v>
      </c>
      <c r="AV538" s="6">
        <f t="shared" si="762"/>
        <v>519.80616805037437</v>
      </c>
      <c r="AW538" s="58">
        <f t="shared" si="768"/>
        <v>2008</v>
      </c>
      <c r="AX538" s="58">
        <f>COUNTIF(AW$3:AW538,AW538)</f>
        <v>34</v>
      </c>
    </row>
    <row r="539" spans="1:50" x14ac:dyDescent="0.25">
      <c r="A539" s="5">
        <v>39572</v>
      </c>
      <c r="B539">
        <v>1413.9</v>
      </c>
      <c r="C539">
        <v>1.43</v>
      </c>
      <c r="D539" s="6">
        <v>18.18</v>
      </c>
      <c r="E539" s="18">
        <f t="shared" si="781"/>
        <v>19.3</v>
      </c>
      <c r="F539">
        <f t="shared" si="782"/>
        <v>-1</v>
      </c>
      <c r="G539" s="18">
        <f>ROUND(INDEX(Valuation!U:U,MATCH(A539,Valuation!A:A,0)),2)</f>
        <v>126.48</v>
      </c>
      <c r="H539">
        <f t="shared" si="753"/>
        <v>1</v>
      </c>
      <c r="I539" s="18">
        <f>INDEX(WeeklyIndicators!Y:Y,MATCH(A539,WeeklyIndicators!A:A,0))</f>
        <v>81.790000000000006</v>
      </c>
      <c r="J539">
        <f t="shared" si="778"/>
        <v>-2</v>
      </c>
      <c r="K539">
        <f>ROUND(INDEX(Economic!AF:AF,MATCH(EOMONTH($A539,-1),Economic!A:A,0)),2)</f>
        <v>58.41</v>
      </c>
      <c r="L539" s="11">
        <f t="shared" si="787"/>
        <v>-2</v>
      </c>
      <c r="M539">
        <f>ROUND(INDEX(Manufacturing!P:P,MATCH(EOMONTH($A539,-1),Manufacturing!A:A,0)),2)</f>
        <v>69.05</v>
      </c>
      <c r="N539">
        <f t="shared" si="783"/>
        <v>-2</v>
      </c>
      <c r="O539">
        <f>ROUND(INDEX(Housing!AC:AC,MATCH(EOMONTH($A539,-1),Housing!B:B,0)),2)</f>
        <v>7.13</v>
      </c>
      <c r="P539">
        <f t="shared" si="784"/>
        <v>-3</v>
      </c>
      <c r="Q539">
        <f>ROUND(INDEX(Spending!AJ:AJ,MATCH(EOMONTH($A539,-1),Spending!B:B,0)),2)</f>
        <v>43.36</v>
      </c>
      <c r="R539">
        <f t="shared" si="788"/>
        <v>0</v>
      </c>
      <c r="S539">
        <f>ROUND(INDEX(Employment!V:V,MATCH(EOMONTH($A539,-1),Employment!A:A,0)),2)</f>
        <v>101.98</v>
      </c>
      <c r="T539" s="11">
        <f t="shared" si="785"/>
        <v>-3</v>
      </c>
      <c r="U539">
        <f t="shared" si="777"/>
        <v>8</v>
      </c>
      <c r="V539">
        <f t="shared" si="769"/>
        <v>44.89</v>
      </c>
      <c r="W539" s="13">
        <f t="shared" si="770"/>
        <v>-3.5000000000000001E-3</v>
      </c>
      <c r="X539" s="13">
        <f t="shared" si="771"/>
        <v>-6.3999999999999994E-3</v>
      </c>
      <c r="Y539">
        <f t="shared" si="763"/>
        <v>46.57</v>
      </c>
      <c r="Z539" s="13">
        <f t="shared" si="758"/>
        <v>4.7000000000000002E-3</v>
      </c>
      <c r="AA539" s="13">
        <f t="shared" si="754"/>
        <v>4.1200000000000007E-2</v>
      </c>
      <c r="AB539" s="6">
        <f t="shared" si="764"/>
        <v>55.908000000000001</v>
      </c>
      <c r="AC539">
        <f t="shared" si="756"/>
        <v>28</v>
      </c>
      <c r="AD539" s="11">
        <f t="shared" si="757"/>
        <v>-1</v>
      </c>
      <c r="AE539">
        <f t="shared" si="755"/>
        <v>9</v>
      </c>
      <c r="AF539">
        <f>IF(AND(AE539&lt;15,OR(AC539&gt;=30,AA539&gt;0.15,X539&gt;=0.15)),2,VLOOKUP(AE539,Table!P:Q,2,FALSE))</f>
        <v>1</v>
      </c>
      <c r="AG539" s="22">
        <f>IF((AB539*0.98)-(D539*0.8)+((AF539-3)*3)+VLOOKUP(AM539,Table!$A$11:$B$13,2,FALSE)&lt;0,0,(AB539*0.98)-(D539*0.8)+((AF539-3)*3)+VLOOKUP(AM539,Table!$A$11:$B$13,2,FALSE))</f>
        <v>18.245840000000001</v>
      </c>
      <c r="AH539" s="22">
        <f t="shared" si="786"/>
        <v>17</v>
      </c>
      <c r="AI539" s="18">
        <f t="shared" si="779"/>
        <v>1.54</v>
      </c>
      <c r="AJ539" s="18">
        <f t="shared" si="780"/>
        <v>2.82</v>
      </c>
      <c r="AK539" t="str">
        <f t="shared" si="765"/>
        <v>Falling Rates</v>
      </c>
      <c r="AL539">
        <f t="shared" si="776"/>
        <v>9.25</v>
      </c>
      <c r="AM539" s="11" t="str">
        <f t="shared" si="766"/>
        <v>Cash</v>
      </c>
      <c r="AN539" t="str">
        <f t="shared" si="772"/>
        <v>Sell</v>
      </c>
      <c r="AO539" s="13">
        <f t="shared" si="773"/>
        <v>-1.8100000000000002E-2</v>
      </c>
      <c r="AP539" s="13">
        <f t="shared" si="774"/>
        <v>2.9999999999999997E-4</v>
      </c>
      <c r="AQ539" s="13">
        <f t="shared" si="775"/>
        <v>-2.8E-3</v>
      </c>
      <c r="AR539" s="13">
        <f t="shared" si="767"/>
        <v>2.9999999999999997E-4</v>
      </c>
      <c r="AS539" s="6">
        <f t="shared" si="759"/>
        <v>352.20615824587213</v>
      </c>
      <c r="AT539" s="6">
        <f t="shared" si="760"/>
        <v>184.47417584455056</v>
      </c>
      <c r="AU539" s="6">
        <f t="shared" si="761"/>
        <v>410.2476651478683</v>
      </c>
      <c r="AV539" s="6">
        <f t="shared" si="762"/>
        <v>519.65027296848382</v>
      </c>
      <c r="AW539" s="58">
        <f t="shared" si="768"/>
        <v>2008</v>
      </c>
      <c r="AX539" s="58">
        <f>COUNTIF(AW$3:AW539,AW539)</f>
        <v>35</v>
      </c>
    </row>
    <row r="540" spans="1:50" x14ac:dyDescent="0.25">
      <c r="A540" s="5">
        <v>39565</v>
      </c>
      <c r="B540">
        <v>1397.84</v>
      </c>
      <c r="C540">
        <v>1.28</v>
      </c>
      <c r="D540" s="6">
        <v>19.59</v>
      </c>
      <c r="E540" s="18">
        <f t="shared" si="781"/>
        <v>21.06</v>
      </c>
      <c r="F540">
        <f t="shared" si="782"/>
        <v>-1</v>
      </c>
      <c r="G540" s="18">
        <f>ROUND(INDEX(Valuation!U:U,MATCH(A540,Valuation!A:A,0)),2)</f>
        <v>128.24</v>
      </c>
      <c r="H540">
        <f t="shared" ref="H540:H603" si="789">IF(G540&gt;200,3,IF(AND(G540&gt;160,G540&lt;=200),2,IF(AND(G540&gt;120,G540&lt;=160),1,IF(G540&lt;25,-3,IF(AND(G540&lt;50,G540&gt;=25),-2,IF(AND(G540&lt;90,G540&gt;=50),-1,0))))))</f>
        <v>1</v>
      </c>
      <c r="I540" s="18">
        <f>INDEX(WeeklyIndicators!Y:Y,MATCH(A540,WeeklyIndicators!A:A,0))</f>
        <v>68.290000000000006</v>
      </c>
      <c r="J540">
        <f t="shared" si="778"/>
        <v>-2</v>
      </c>
      <c r="K540">
        <f>ROUND(INDEX(Economic!AF:AF,MATCH(EOMONTH($A540,-1),Economic!A:A,0)),2)</f>
        <v>72.34</v>
      </c>
      <c r="L540" s="11">
        <f t="shared" si="787"/>
        <v>-2</v>
      </c>
      <c r="M540">
        <f>ROUND(INDEX(Manufacturing!P:P,MATCH(EOMONTH($A540,-1),Manufacturing!A:A,0)),2)</f>
        <v>74.69</v>
      </c>
      <c r="N540">
        <f t="shared" si="783"/>
        <v>-1</v>
      </c>
      <c r="O540">
        <f>ROUND(INDEX(Housing!AC:AC,MATCH(EOMONTH($A540,-1),Housing!B:B,0)),2)</f>
        <v>3.38</v>
      </c>
      <c r="P540">
        <f t="shared" si="784"/>
        <v>-3</v>
      </c>
      <c r="Q540">
        <f>ROUND(INDEX(Spending!AJ:AJ,MATCH(EOMONTH($A540,-1),Spending!B:B,0)),2)</f>
        <v>47.36</v>
      </c>
      <c r="R540">
        <f t="shared" si="788"/>
        <v>0</v>
      </c>
      <c r="S540">
        <f>ROUND(INDEX(Employment!V:V,MATCH(EOMONTH($A540,-1),Employment!A:A,0)),2)</f>
        <v>115.07</v>
      </c>
      <c r="T540" s="11">
        <f t="shared" si="785"/>
        <v>-3</v>
      </c>
      <c r="U540">
        <f t="shared" si="777"/>
        <v>9</v>
      </c>
      <c r="V540">
        <f t="shared" si="769"/>
        <v>47.44</v>
      </c>
      <c r="W540" s="13">
        <f t="shared" si="770"/>
        <v>1.78E-2</v>
      </c>
      <c r="X540" s="13">
        <f t="shared" si="771"/>
        <v>-2.7400000000000001E-2</v>
      </c>
      <c r="Y540">
        <f t="shared" si="763"/>
        <v>48.7</v>
      </c>
      <c r="Z540" s="13">
        <f t="shared" si="758"/>
        <v>2.6700000000000002E-2</v>
      </c>
      <c r="AA540" s="13">
        <f t="shared" si="754"/>
        <v>2.3900000000000005E-2</v>
      </c>
      <c r="AB540" s="6">
        <f t="shared" si="764"/>
        <v>56.933999999999997</v>
      </c>
      <c r="AC540">
        <f t="shared" si="756"/>
        <v>28</v>
      </c>
      <c r="AD540" s="11">
        <f t="shared" si="757"/>
        <v>-1</v>
      </c>
      <c r="AE540">
        <f t="shared" si="755"/>
        <v>10</v>
      </c>
      <c r="AF540">
        <f>IF(AND(AE540&lt;15,OR(AC540&gt;=30,AA540&gt;0.15,X540&gt;=0.15)),2,VLOOKUP(AE540,Table!P:Q,2,FALSE))</f>
        <v>1</v>
      </c>
      <c r="AG540" s="22">
        <f>IF((AB540*0.98)-(D540*0.8)+((AF540-3)*3)+VLOOKUP(AM540,Table!$A$11:$B$13,2,FALSE)&lt;0,0,(AB540*0.98)-(D540*0.8)+((AF540-3)*3)+VLOOKUP(AM540,Table!$A$11:$B$13,2,FALSE))</f>
        <v>18.123319999999993</v>
      </c>
      <c r="AH540" s="22">
        <f t="shared" si="786"/>
        <v>13</v>
      </c>
      <c r="AI540" s="18">
        <f t="shared" si="779"/>
        <v>1.59</v>
      </c>
      <c r="AJ540" s="18">
        <f t="shared" si="780"/>
        <v>2.91</v>
      </c>
      <c r="AK540" t="str">
        <f t="shared" si="765"/>
        <v>Falling Rates</v>
      </c>
      <c r="AL540">
        <f t="shared" si="776"/>
        <v>9.25</v>
      </c>
      <c r="AM540" s="11" t="str">
        <f t="shared" si="766"/>
        <v>Cash</v>
      </c>
      <c r="AN540" t="str">
        <f t="shared" si="772"/>
        <v>Sell</v>
      </c>
      <c r="AO540" s="13">
        <f t="shared" si="773"/>
        <v>1.15E-2</v>
      </c>
      <c r="AP540" s="13">
        <f t="shared" si="774"/>
        <v>2.0000000000000001E-4</v>
      </c>
      <c r="AQ540" s="13">
        <f t="shared" si="775"/>
        <v>1.6999999999999999E-3</v>
      </c>
      <c r="AR540" s="13">
        <f t="shared" si="767"/>
        <v>2.0000000000000001E-4</v>
      </c>
      <c r="AS540" s="6">
        <f t="shared" si="759"/>
        <v>348.20183711900359</v>
      </c>
      <c r="AT540" s="6">
        <f t="shared" si="760"/>
        <v>184.43728838687318</v>
      </c>
      <c r="AU540" s="6">
        <f t="shared" si="761"/>
        <v>409.55142772074305</v>
      </c>
      <c r="AV540" s="6">
        <f t="shared" si="762"/>
        <v>519.54636369574473</v>
      </c>
      <c r="AW540" s="58">
        <f t="shared" si="768"/>
        <v>2008</v>
      </c>
      <c r="AX540" s="58">
        <f>COUNTIF(AW$3:AW540,AW540)</f>
        <v>36</v>
      </c>
    </row>
    <row r="541" spans="1:50" x14ac:dyDescent="0.25">
      <c r="A541" s="5">
        <v>39558</v>
      </c>
      <c r="B541">
        <v>1390.33</v>
      </c>
      <c r="C541">
        <v>1.1599999999999999</v>
      </c>
      <c r="D541" s="6">
        <v>20.13</v>
      </c>
      <c r="E541" s="18">
        <f t="shared" si="781"/>
        <v>22.01</v>
      </c>
      <c r="F541">
        <f t="shared" si="782"/>
        <v>-1</v>
      </c>
      <c r="G541" s="18">
        <f>ROUND(INDEX(Valuation!U:U,MATCH(A541,Valuation!A:A,0)),2)</f>
        <v>129.4</v>
      </c>
      <c r="H541">
        <f t="shared" si="789"/>
        <v>1</v>
      </c>
      <c r="I541" s="18">
        <f>INDEX(WeeklyIndicators!Y:Y,MATCH(A541,WeeklyIndicators!A:A,0))</f>
        <v>57.93</v>
      </c>
      <c r="J541">
        <f t="shared" si="778"/>
        <v>-3</v>
      </c>
      <c r="K541">
        <f>ROUND(INDEX(Economic!AF:AF,MATCH(EOMONTH($A541,-1),Economic!A:A,0)),2)</f>
        <v>72.34</v>
      </c>
      <c r="L541" s="11">
        <f t="shared" si="787"/>
        <v>-2</v>
      </c>
      <c r="M541">
        <f>ROUND(INDEX(Manufacturing!P:P,MATCH(EOMONTH($A541,-1),Manufacturing!A:A,0)),2)</f>
        <v>74.69</v>
      </c>
      <c r="N541">
        <f t="shared" si="783"/>
        <v>-1</v>
      </c>
      <c r="O541">
        <f>ROUND(INDEX(Housing!AC:AC,MATCH(EOMONTH($A541,-1),Housing!B:B,0)),2)</f>
        <v>3.38</v>
      </c>
      <c r="P541">
        <f t="shared" si="784"/>
        <v>-3</v>
      </c>
      <c r="Q541">
        <f>ROUND(INDEX(Spending!AJ:AJ,MATCH(EOMONTH($A541,-1),Spending!B:B,0)),2)</f>
        <v>47.36</v>
      </c>
      <c r="R541">
        <f t="shared" si="788"/>
        <v>0</v>
      </c>
      <c r="S541">
        <f>ROUND(INDEX(Employment!V:V,MATCH(EOMONTH($A541,-1),Employment!A:A,0)),2)</f>
        <v>115.07</v>
      </c>
      <c r="T541" s="11">
        <f t="shared" si="785"/>
        <v>-3</v>
      </c>
      <c r="U541">
        <f t="shared" si="777"/>
        <v>8</v>
      </c>
      <c r="V541">
        <f t="shared" si="769"/>
        <v>46.36</v>
      </c>
      <c r="W541" s="13">
        <f t="shared" si="770"/>
        <v>-3.3999999999999998E-3</v>
      </c>
      <c r="X541" s="13">
        <f t="shared" si="771"/>
        <v>-6.1800000000000008E-2</v>
      </c>
      <c r="Y541">
        <f t="shared" si="763"/>
        <v>47.42</v>
      </c>
      <c r="Z541" s="13">
        <f t="shared" si="758"/>
        <v>1.24E-2</v>
      </c>
      <c r="AA541" s="13">
        <f t="shared" si="754"/>
        <v>-1.89E-2</v>
      </c>
      <c r="AB541" s="6">
        <f t="shared" si="764"/>
        <v>52.519999999999996</v>
      </c>
      <c r="AC541">
        <f t="shared" si="756"/>
        <v>26</v>
      </c>
      <c r="AD541" s="11">
        <f t="shared" si="757"/>
        <v>-1</v>
      </c>
      <c r="AE541">
        <f t="shared" si="755"/>
        <v>9</v>
      </c>
      <c r="AF541">
        <f>IF(AND(AE541&lt;15,OR(AC541&gt;=30,AA541&gt;0.15,X541&gt;=0.15)),2,VLOOKUP(AE541,Table!P:Q,2,FALSE))</f>
        <v>1</v>
      </c>
      <c r="AG541" s="22">
        <f>IF((AB541*0.98)-(D541*0.8)+((AF541-3)*3)+VLOOKUP(AM541,Table!$A$11:$B$13,2,FALSE)&lt;0,0,(AB541*0.98)-(D541*0.8)+((AF541-3)*3)+VLOOKUP(AM541,Table!$A$11:$B$13,2,FALSE))</f>
        <v>13.365599999999993</v>
      </c>
      <c r="AH541" s="22">
        <f t="shared" si="786"/>
        <v>9</v>
      </c>
      <c r="AI541" s="18">
        <f t="shared" si="779"/>
        <v>1.67</v>
      </c>
      <c r="AJ541" s="18">
        <f t="shared" si="780"/>
        <v>3</v>
      </c>
      <c r="AK541" t="str">
        <f t="shared" si="765"/>
        <v>Falling Rates</v>
      </c>
      <c r="AL541">
        <f t="shared" si="776"/>
        <v>9.25</v>
      </c>
      <c r="AM541" s="11" t="str">
        <f t="shared" si="766"/>
        <v>Cash</v>
      </c>
      <c r="AN541" t="str">
        <f t="shared" si="772"/>
        <v>Sell</v>
      </c>
      <c r="AO541" s="13">
        <f t="shared" si="773"/>
        <v>5.4000000000000003E-3</v>
      </c>
      <c r="AP541" s="13">
        <f t="shared" si="774"/>
        <v>2.0000000000000001E-4</v>
      </c>
      <c r="AQ541" s="13">
        <f t="shared" si="775"/>
        <v>6.9999999999999999E-4</v>
      </c>
      <c r="AR541" s="13">
        <f t="shared" si="767"/>
        <v>2.0000000000000001E-4</v>
      </c>
      <c r="AS541" s="6">
        <f t="shared" si="759"/>
        <v>346.33164622936499</v>
      </c>
      <c r="AT541" s="6">
        <f t="shared" si="760"/>
        <v>184.40040830521215</v>
      </c>
      <c r="AU541" s="6">
        <f t="shared" si="761"/>
        <v>409.26494226116029</v>
      </c>
      <c r="AV541" s="6">
        <f t="shared" si="762"/>
        <v>519.44247520070462</v>
      </c>
      <c r="AW541" s="58">
        <f t="shared" si="768"/>
        <v>2008</v>
      </c>
      <c r="AX541" s="58">
        <f>COUNTIF(AW$3:AW541,AW541)</f>
        <v>37</v>
      </c>
    </row>
    <row r="542" spans="1:50" x14ac:dyDescent="0.25">
      <c r="A542" s="5">
        <v>39551</v>
      </c>
      <c r="B542">
        <v>1332.83</v>
      </c>
      <c r="C542">
        <v>1.31</v>
      </c>
      <c r="D542" s="6">
        <v>23.46</v>
      </c>
      <c r="E542" s="18">
        <f t="shared" si="781"/>
        <v>23.87</v>
      </c>
      <c r="F542">
        <f t="shared" si="782"/>
        <v>-1</v>
      </c>
      <c r="G542" s="18">
        <f>ROUND(INDEX(Valuation!U:U,MATCH(A542,Valuation!A:A,0)),2)</f>
        <v>130.41999999999999</v>
      </c>
      <c r="H542">
        <f t="shared" si="789"/>
        <v>1</v>
      </c>
      <c r="I542" s="18">
        <f>INDEX(WeeklyIndicators!Y:Y,MATCH(A542,WeeklyIndicators!A:A,0))</f>
        <v>48.47</v>
      </c>
      <c r="J542">
        <f t="shared" si="778"/>
        <v>-3</v>
      </c>
      <c r="K542">
        <f>ROUND(INDEX(Economic!AF:AF,MATCH(EOMONTH($A542,-1),Economic!A:A,0)),2)</f>
        <v>72.34</v>
      </c>
      <c r="L542" s="11">
        <f t="shared" si="787"/>
        <v>-2</v>
      </c>
      <c r="M542">
        <f>ROUND(INDEX(Manufacturing!P:P,MATCH(EOMONTH($A542,-1),Manufacturing!A:A,0)),2)</f>
        <v>74.69</v>
      </c>
      <c r="N542">
        <f t="shared" si="783"/>
        <v>-1</v>
      </c>
      <c r="O542">
        <f>ROUND(INDEX(Housing!AC:AC,MATCH(EOMONTH($A542,-1),Housing!B:B,0)),2)</f>
        <v>3.38</v>
      </c>
      <c r="P542">
        <f t="shared" si="784"/>
        <v>-3</v>
      </c>
      <c r="Q542">
        <f>ROUND(INDEX(Spending!AJ:AJ,MATCH(EOMONTH($A542,-1),Spending!B:B,0)),2)</f>
        <v>47.36</v>
      </c>
      <c r="R542">
        <f t="shared" si="788"/>
        <v>0</v>
      </c>
      <c r="S542">
        <f>ROUND(INDEX(Employment!V:V,MATCH(EOMONTH($A542,-1),Employment!A:A,0)),2)</f>
        <v>115.07</v>
      </c>
      <c r="T542" s="11">
        <f t="shared" si="785"/>
        <v>-3</v>
      </c>
      <c r="U542">
        <f t="shared" si="777"/>
        <v>8</v>
      </c>
      <c r="V542">
        <f t="shared" si="769"/>
        <v>45.38</v>
      </c>
      <c r="W542" s="13">
        <f t="shared" si="770"/>
        <v>-1.7299999999999999E-2</v>
      </c>
      <c r="X542" s="13">
        <f t="shared" si="771"/>
        <v>-7.0900000000000005E-2</v>
      </c>
      <c r="Y542">
        <f t="shared" si="763"/>
        <v>45.9</v>
      </c>
      <c r="Z542" s="13">
        <f t="shared" si="758"/>
        <v>-2.5999999999999999E-3</v>
      </c>
      <c r="AA542" s="13">
        <f t="shared" si="754"/>
        <v>-4.5999999999999999E-2</v>
      </c>
      <c r="AB542" s="6">
        <f t="shared" si="764"/>
        <v>49.161999999999999</v>
      </c>
      <c r="AC542">
        <f t="shared" si="756"/>
        <v>25</v>
      </c>
      <c r="AD542" s="11">
        <f t="shared" si="757"/>
        <v>-1</v>
      </c>
      <c r="AE542">
        <f t="shared" si="755"/>
        <v>9</v>
      </c>
      <c r="AF542">
        <f>IF(AND(AE542&lt;15,OR(AC542&gt;=30,AA542&gt;0.15,X542&gt;=0.15)),2,VLOOKUP(AE542,Table!P:Q,2,FALSE))</f>
        <v>1</v>
      </c>
      <c r="AG542" s="22">
        <f>IF((AB542*0.98)-(D542*0.8)+((AF542-3)*3)+VLOOKUP(AM542,Table!$A$11:$B$13,2,FALSE)&lt;0,0,(AB542*0.98)-(D542*0.8)+((AF542-3)*3)+VLOOKUP(AM542,Table!$A$11:$B$13,2,FALSE))</f>
        <v>7.4107599999999962</v>
      </c>
      <c r="AH542" s="22">
        <f t="shared" si="786"/>
        <v>6</v>
      </c>
      <c r="AI542" s="18">
        <f t="shared" si="779"/>
        <v>1.81</v>
      </c>
      <c r="AJ542" s="18">
        <f t="shared" si="780"/>
        <v>3.09</v>
      </c>
      <c r="AK542" t="str">
        <f t="shared" si="765"/>
        <v>Falling Rates</v>
      </c>
      <c r="AL542">
        <f t="shared" si="776"/>
        <v>9.5</v>
      </c>
      <c r="AM542" s="11" t="str">
        <f t="shared" si="766"/>
        <v>Cash</v>
      </c>
      <c r="AN542" t="str">
        <f t="shared" si="772"/>
        <v>Sell</v>
      </c>
      <c r="AO542" s="13">
        <f t="shared" si="773"/>
        <v>4.3099999999999999E-2</v>
      </c>
      <c r="AP542" s="13">
        <f t="shared" si="774"/>
        <v>2.9999999999999997E-4</v>
      </c>
      <c r="AQ542" s="13">
        <f t="shared" si="775"/>
        <v>2.8999999999999998E-3</v>
      </c>
      <c r="AR542" s="13">
        <f t="shared" si="767"/>
        <v>2.9999999999999997E-4</v>
      </c>
      <c r="AS542" s="6">
        <f t="shared" si="759"/>
        <v>332.02151877036238</v>
      </c>
      <c r="AT542" s="6">
        <f t="shared" si="760"/>
        <v>184.34510477378004</v>
      </c>
      <c r="AU542" s="6">
        <f t="shared" si="761"/>
        <v>408.0815058940675</v>
      </c>
      <c r="AV542" s="6">
        <f t="shared" si="762"/>
        <v>519.28668919394647</v>
      </c>
      <c r="AW542" s="58">
        <f t="shared" si="768"/>
        <v>2008</v>
      </c>
      <c r="AX542" s="58">
        <f>COUNTIF(AW$3:AW542,AW542)</f>
        <v>38</v>
      </c>
    </row>
    <row r="543" spans="1:50" x14ac:dyDescent="0.25">
      <c r="A543" s="5">
        <v>39544</v>
      </c>
      <c r="B543">
        <v>1370.4</v>
      </c>
      <c r="C543">
        <v>1.37</v>
      </c>
      <c r="D543" s="6">
        <v>22.45</v>
      </c>
      <c r="E543" s="18">
        <f t="shared" si="781"/>
        <v>24.93</v>
      </c>
      <c r="F543">
        <f t="shared" si="782"/>
        <v>-1</v>
      </c>
      <c r="G543" s="18">
        <f>ROUND(INDEX(Valuation!U:U,MATCH(A543,Valuation!A:A,0)),2)</f>
        <v>129.08000000000001</v>
      </c>
      <c r="H543">
        <f t="shared" si="789"/>
        <v>1</v>
      </c>
      <c r="I543" s="18">
        <f>INDEX(WeeklyIndicators!Y:Y,MATCH(A543,WeeklyIndicators!A:A,0))</f>
        <v>44.89</v>
      </c>
      <c r="J543">
        <f t="shared" si="778"/>
        <v>-3</v>
      </c>
      <c r="K543">
        <f>ROUND(INDEX(Economic!AF:AF,MATCH(EOMONTH($A543,-1),Economic!A:A,0)),2)</f>
        <v>72.34</v>
      </c>
      <c r="L543" s="11">
        <f t="shared" si="787"/>
        <v>-2</v>
      </c>
      <c r="M543">
        <f>ROUND(INDEX(Manufacturing!P:P,MATCH(EOMONTH($A543,-1),Manufacturing!A:A,0)),2)</f>
        <v>74.69</v>
      </c>
      <c r="N543">
        <f t="shared" si="783"/>
        <v>-1</v>
      </c>
      <c r="O543">
        <f>ROUND(INDEX(Housing!AC:AC,MATCH(EOMONTH($A543,-1),Housing!B:B,0)),2)</f>
        <v>3.38</v>
      </c>
      <c r="P543">
        <f t="shared" si="784"/>
        <v>-3</v>
      </c>
      <c r="Q543">
        <f>ROUND(INDEX(Spending!AJ:AJ,MATCH(EOMONTH($A543,-1),Spending!B:B,0)),2)</f>
        <v>47.36</v>
      </c>
      <c r="R543">
        <f t="shared" si="788"/>
        <v>0</v>
      </c>
      <c r="S543">
        <f>ROUND(INDEX(Employment!V:V,MATCH(EOMONTH($A543,-1),Employment!A:A,0)),2)</f>
        <v>115.07</v>
      </c>
      <c r="T543" s="11">
        <f t="shared" si="785"/>
        <v>-3</v>
      </c>
      <c r="U543">
        <f t="shared" si="777"/>
        <v>8</v>
      </c>
      <c r="V543">
        <f t="shared" si="769"/>
        <v>45.01</v>
      </c>
      <c r="W543" s="13">
        <f t="shared" si="770"/>
        <v>-2.4500000000000001E-2</v>
      </c>
      <c r="X543" s="13">
        <f t="shared" si="771"/>
        <v>-7.4199999999999988E-2</v>
      </c>
      <c r="Y543">
        <f t="shared" si="763"/>
        <v>45.01</v>
      </c>
      <c r="Z543" s="13">
        <f t="shared" si="758"/>
        <v>-1.26E-2</v>
      </c>
      <c r="AA543" s="13">
        <f t="shared" si="754"/>
        <v>-6.5500000000000003E-2</v>
      </c>
      <c r="AB543" s="6">
        <f t="shared" si="764"/>
        <v>46.788000000000004</v>
      </c>
      <c r="AC543">
        <f t="shared" si="756"/>
        <v>23</v>
      </c>
      <c r="AD543" s="11">
        <f t="shared" si="757"/>
        <v>-1</v>
      </c>
      <c r="AE543">
        <f t="shared" si="755"/>
        <v>9</v>
      </c>
      <c r="AF543">
        <f>IF(AND(AE543&lt;15,OR(AC543&gt;=30,AA543&gt;0.15,X543&gt;=0.15)),2,VLOOKUP(AE543,Table!P:Q,2,FALSE))</f>
        <v>1</v>
      </c>
      <c r="AG543" s="22">
        <f>IF((AB543*0.98)-(D543*0.8)+((AF543-3)*3)+VLOOKUP(AM543,Table!$A$11:$B$13,2,FALSE)&lt;0,0,(AB543*0.98)-(D543*0.8)+((AF543-3)*3)+VLOOKUP(AM543,Table!$A$11:$B$13,2,FALSE))</f>
        <v>5.892240000000001</v>
      </c>
      <c r="AH543" s="22">
        <f t="shared" si="786"/>
        <v>4</v>
      </c>
      <c r="AI543" s="18">
        <f t="shared" si="779"/>
        <v>1.95</v>
      </c>
      <c r="AJ543" s="18">
        <f t="shared" si="780"/>
        <v>3.18</v>
      </c>
      <c r="AK543" t="str">
        <f t="shared" si="765"/>
        <v>Falling Rates</v>
      </c>
      <c r="AL543">
        <f t="shared" si="776"/>
        <v>10</v>
      </c>
      <c r="AM543" s="11" t="str">
        <f t="shared" si="766"/>
        <v>Cash</v>
      </c>
      <c r="AN543" t="str">
        <f t="shared" si="772"/>
        <v>Sell</v>
      </c>
      <c r="AO543" s="13">
        <f t="shared" si="773"/>
        <v>-2.7400000000000001E-2</v>
      </c>
      <c r="AP543" s="13">
        <f t="shared" si="774"/>
        <v>2.9999999999999997E-4</v>
      </c>
      <c r="AQ543" s="13">
        <f t="shared" si="775"/>
        <v>-8.0000000000000004E-4</v>
      </c>
      <c r="AR543" s="13">
        <f t="shared" si="767"/>
        <v>2.9999999999999997E-4</v>
      </c>
      <c r="AS543" s="6">
        <f t="shared" si="759"/>
        <v>341.37519922924366</v>
      </c>
      <c r="AT543" s="6">
        <f t="shared" si="760"/>
        <v>184.28981782843152</v>
      </c>
      <c r="AU543" s="6">
        <f t="shared" si="761"/>
        <v>408.40823248005154</v>
      </c>
      <c r="AV543" s="6">
        <f t="shared" si="762"/>
        <v>519.13094990897378</v>
      </c>
      <c r="AW543" s="58">
        <f t="shared" si="768"/>
        <v>2008</v>
      </c>
      <c r="AX543" s="58">
        <f>COUNTIF(AW$3:AW543,AW543)</f>
        <v>39</v>
      </c>
    </row>
    <row r="544" spans="1:50" x14ac:dyDescent="0.25">
      <c r="A544" s="5">
        <v>39537</v>
      </c>
      <c r="B544">
        <v>1315.22</v>
      </c>
      <c r="C544">
        <v>1.27</v>
      </c>
      <c r="D544" s="6">
        <v>25.71</v>
      </c>
      <c r="E544" s="18">
        <f t="shared" si="781"/>
        <v>27.83</v>
      </c>
      <c r="F544">
        <f t="shared" si="782"/>
        <v>-2</v>
      </c>
      <c r="G544" s="18">
        <f>ROUND(INDEX(Valuation!U:U,MATCH(A544,Valuation!A:A,0)),2)</f>
        <v>128.27000000000001</v>
      </c>
      <c r="H544">
        <f t="shared" si="789"/>
        <v>1</v>
      </c>
      <c r="I544" s="18">
        <f>INDEX(WeeklyIndicators!Y:Y,MATCH(A544,WeeklyIndicators!A:A,0))</f>
        <v>46.07</v>
      </c>
      <c r="J544">
        <f t="shared" si="778"/>
        <v>-3</v>
      </c>
      <c r="K544">
        <f>ROUND(INDEX(Economic!AF:AF,MATCH(EOMONTH($A544,-1),Economic!A:A,0)),2)</f>
        <v>77.209999999999994</v>
      </c>
      <c r="L544" s="11">
        <f t="shared" si="787"/>
        <v>-2</v>
      </c>
      <c r="M544">
        <f>ROUND(INDEX(Manufacturing!P:P,MATCH(EOMONTH($A544,-1),Manufacturing!A:A,0)),2)</f>
        <v>77.62</v>
      </c>
      <c r="N544">
        <f t="shared" si="783"/>
        <v>-1</v>
      </c>
      <c r="O544">
        <f>ROUND(INDEX(Housing!AC:AC,MATCH(EOMONTH($A544,-1),Housing!B:B,0)),2)</f>
        <v>1.9</v>
      </c>
      <c r="P544">
        <f t="shared" si="784"/>
        <v>-3</v>
      </c>
      <c r="Q544">
        <f>ROUND(INDEX(Spending!AJ:AJ,MATCH(EOMONTH($A544,-1),Spending!B:B,0)),2)</f>
        <v>50.02</v>
      </c>
      <c r="R544">
        <f t="shared" si="788"/>
        <v>1</v>
      </c>
      <c r="S544">
        <f>ROUND(INDEX(Employment!V:V,MATCH(EOMONTH($A544,-1),Employment!A:A,0)),2)</f>
        <v>120.65</v>
      </c>
      <c r="T544" s="11">
        <f t="shared" si="785"/>
        <v>-2</v>
      </c>
      <c r="U544">
        <f t="shared" si="777"/>
        <v>9</v>
      </c>
      <c r="V544">
        <f t="shared" si="769"/>
        <v>46.82</v>
      </c>
      <c r="W544" s="13">
        <f t="shared" si="770"/>
        <v>-1.66E-2</v>
      </c>
      <c r="X544" s="13">
        <f t="shared" si="771"/>
        <v>-7.0699999999999999E-2</v>
      </c>
      <c r="Y544">
        <f t="shared" si="763"/>
        <v>45.73</v>
      </c>
      <c r="Z544" s="13">
        <f t="shared" si="758"/>
        <v>-1.61E-2</v>
      </c>
      <c r="AA544" s="13">
        <f t="shared" si="754"/>
        <v>-7.0599999999999996E-2</v>
      </c>
      <c r="AB544" s="6">
        <f t="shared" si="764"/>
        <v>47.177</v>
      </c>
      <c r="AC544">
        <f t="shared" si="756"/>
        <v>24</v>
      </c>
      <c r="AD544" s="11">
        <f t="shared" si="757"/>
        <v>-1</v>
      </c>
      <c r="AE544">
        <f t="shared" si="755"/>
        <v>10</v>
      </c>
      <c r="AF544">
        <f>IF(AND(AE544&lt;15,OR(AC544&gt;=30,AA544&gt;0.15,X544&gt;=0.15)),2,VLOOKUP(AE544,Table!P:Q,2,FALSE))</f>
        <v>1</v>
      </c>
      <c r="AG544" s="22">
        <f>IF((AB544*0.98)-(D544*0.8)+((AF544-3)*3)+VLOOKUP(AM544,Table!$A$11:$B$13,2,FALSE)&lt;0,0,(AB544*0.98)-(D544*0.8)+((AF544-3)*3)+VLOOKUP(AM544,Table!$A$11:$B$13,2,FALSE))</f>
        <v>3.6654599999999995</v>
      </c>
      <c r="AH544" s="22">
        <f t="shared" si="786"/>
        <v>2</v>
      </c>
      <c r="AI544" s="18">
        <f t="shared" si="779"/>
        <v>2.09</v>
      </c>
      <c r="AJ544" s="18">
        <f t="shared" si="780"/>
        <v>3.27</v>
      </c>
      <c r="AK544" t="str">
        <f t="shared" si="765"/>
        <v>Falling Rates</v>
      </c>
      <c r="AL544">
        <f t="shared" si="776"/>
        <v>10.5</v>
      </c>
      <c r="AM544" s="11" t="str">
        <f t="shared" si="766"/>
        <v>Cash</v>
      </c>
      <c r="AN544" t="str">
        <f t="shared" si="772"/>
        <v>Sell</v>
      </c>
      <c r="AO544" s="13">
        <f t="shared" si="773"/>
        <v>4.2000000000000003E-2</v>
      </c>
      <c r="AP544" s="13">
        <f t="shared" si="774"/>
        <v>2.0000000000000001E-4</v>
      </c>
      <c r="AQ544" s="13">
        <f t="shared" si="775"/>
        <v>1E-3</v>
      </c>
      <c r="AR544" s="13">
        <f t="shared" si="767"/>
        <v>2.0000000000000001E-4</v>
      </c>
      <c r="AS544" s="6">
        <f t="shared" si="759"/>
        <v>327.61535434668298</v>
      </c>
      <c r="AT544" s="6">
        <f t="shared" si="760"/>
        <v>184.25296723498454</v>
      </c>
      <c r="AU544" s="6">
        <f t="shared" si="761"/>
        <v>408.00023224780375</v>
      </c>
      <c r="AV544" s="6">
        <f t="shared" si="762"/>
        <v>519.02714448007782</v>
      </c>
      <c r="AW544" s="58">
        <f t="shared" si="768"/>
        <v>2008</v>
      </c>
      <c r="AX544" s="58">
        <f>COUNTIF(AW$3:AW544,AW544)</f>
        <v>40</v>
      </c>
    </row>
    <row r="545" spans="1:50" x14ac:dyDescent="0.25">
      <c r="A545" s="5">
        <v>39530</v>
      </c>
      <c r="B545">
        <v>1329.51</v>
      </c>
      <c r="C545">
        <v>0.81</v>
      </c>
      <c r="D545" s="6">
        <v>26.62</v>
      </c>
      <c r="E545" s="18">
        <f t="shared" si="781"/>
        <v>28.42</v>
      </c>
      <c r="F545">
        <f t="shared" si="782"/>
        <v>-2</v>
      </c>
      <c r="G545" s="18">
        <f>ROUND(INDEX(Valuation!U:U,MATCH(A545,Valuation!A:A,0)),2)</f>
        <v>126.25</v>
      </c>
      <c r="H545">
        <f t="shared" si="789"/>
        <v>1</v>
      </c>
      <c r="I545" s="18">
        <f>INDEX(WeeklyIndicators!Y:Y,MATCH(A545,WeeklyIndicators!A:A,0))</f>
        <v>55.38</v>
      </c>
      <c r="J545">
        <f t="shared" si="778"/>
        <v>-3</v>
      </c>
      <c r="K545">
        <f>ROUND(INDEX(Economic!AF:AF,MATCH(EOMONTH($A545,-1),Economic!A:A,0)),2)</f>
        <v>77.209999999999994</v>
      </c>
      <c r="L545" s="11">
        <f t="shared" si="787"/>
        <v>-2</v>
      </c>
      <c r="M545">
        <f>ROUND(INDEX(Manufacturing!P:P,MATCH(EOMONTH($A545,-1),Manufacturing!A:A,0)),2)</f>
        <v>77.62</v>
      </c>
      <c r="N545">
        <f t="shared" si="783"/>
        <v>-1</v>
      </c>
      <c r="O545">
        <f>ROUND(INDEX(Housing!AC:AC,MATCH(EOMONTH($A545,-1),Housing!B:B,0)),2)</f>
        <v>1.9</v>
      </c>
      <c r="P545">
        <f t="shared" si="784"/>
        <v>-3</v>
      </c>
      <c r="Q545">
        <f>ROUND(INDEX(Spending!AJ:AJ,MATCH(EOMONTH($A545,-1),Spending!B:B,0)),2)</f>
        <v>50.02</v>
      </c>
      <c r="R545">
        <f t="shared" si="788"/>
        <v>1</v>
      </c>
      <c r="S545">
        <f>ROUND(INDEX(Employment!V:V,MATCH(EOMONTH($A545,-1),Employment!A:A,0)),2)</f>
        <v>120.65</v>
      </c>
      <c r="T545" s="11">
        <f t="shared" si="785"/>
        <v>-2</v>
      </c>
      <c r="U545">
        <f t="shared" si="777"/>
        <v>9</v>
      </c>
      <c r="V545">
        <f t="shared" si="769"/>
        <v>47.79</v>
      </c>
      <c r="W545" s="13">
        <f t="shared" si="770"/>
        <v>-1.2500000000000001E-2</v>
      </c>
      <c r="X545" s="13">
        <f t="shared" si="771"/>
        <v>-7.8800000000000009E-2</v>
      </c>
      <c r="Y545">
        <f t="shared" si="763"/>
        <v>46.26</v>
      </c>
      <c r="Z545" s="13">
        <f t="shared" si="758"/>
        <v>-1.47E-2</v>
      </c>
      <c r="AA545" s="13">
        <f t="shared" si="754"/>
        <v>-7.1500000000000008E-2</v>
      </c>
      <c r="AB545" s="6">
        <f t="shared" si="764"/>
        <v>47.395000000000003</v>
      </c>
      <c r="AC545">
        <f t="shared" si="756"/>
        <v>24</v>
      </c>
      <c r="AD545" s="11">
        <f t="shared" si="757"/>
        <v>-1</v>
      </c>
      <c r="AE545">
        <f t="shared" si="755"/>
        <v>10</v>
      </c>
      <c r="AF545">
        <f>IF(AND(AE545&lt;15,OR(AC545&gt;=30,AA545&gt;0.15,X545&gt;=0.15)),2,VLOOKUP(AE545,Table!P:Q,2,FALSE))</f>
        <v>1</v>
      </c>
      <c r="AG545" s="22">
        <f>IF((AB545*0.98)-(D545*0.8)+((AF545-3)*3)+VLOOKUP(AM545,Table!$A$11:$B$13,2,FALSE)&lt;0,0,(AB545*0.98)-(D545*0.8)+((AF545-3)*3)+VLOOKUP(AM545,Table!$A$11:$B$13,2,FALSE))</f>
        <v>3.151099999999996</v>
      </c>
      <c r="AH545" s="22">
        <f t="shared" si="786"/>
        <v>3</v>
      </c>
      <c r="AI545" s="18">
        <f t="shared" si="779"/>
        <v>2.2400000000000002</v>
      </c>
      <c r="AJ545" s="18">
        <f t="shared" si="780"/>
        <v>3.36</v>
      </c>
      <c r="AK545" t="str">
        <f t="shared" si="765"/>
        <v>Falling Rates</v>
      </c>
      <c r="AL545">
        <f t="shared" si="776"/>
        <v>10.5</v>
      </c>
      <c r="AM545" s="11" t="str">
        <f t="shared" si="766"/>
        <v>Cash</v>
      </c>
      <c r="AN545" t="str">
        <f t="shared" si="772"/>
        <v>Sell</v>
      </c>
      <c r="AO545" s="13">
        <f t="shared" si="773"/>
        <v>-1.0699999999999999E-2</v>
      </c>
      <c r="AP545" s="13">
        <f t="shared" si="774"/>
        <v>2.0000000000000001E-4</v>
      </c>
      <c r="AQ545" s="13">
        <f t="shared" si="775"/>
        <v>-1E-4</v>
      </c>
      <c r="AR545" s="13">
        <f t="shared" si="767"/>
        <v>2.0000000000000001E-4</v>
      </c>
      <c r="AS545" s="6">
        <f t="shared" si="759"/>
        <v>331.1587530038239</v>
      </c>
      <c r="AT545" s="6">
        <f t="shared" si="760"/>
        <v>184.21612401018251</v>
      </c>
      <c r="AU545" s="6">
        <f t="shared" si="761"/>
        <v>408.04103635143889</v>
      </c>
      <c r="AV545" s="6">
        <f t="shared" si="762"/>
        <v>518.92335980811617</v>
      </c>
      <c r="AW545" s="58">
        <f t="shared" si="768"/>
        <v>2008</v>
      </c>
      <c r="AX545" s="58">
        <f>COUNTIF(AW$3:AW545,AW545)</f>
        <v>41</v>
      </c>
    </row>
    <row r="546" spans="1:50" x14ac:dyDescent="0.25">
      <c r="A546" s="5">
        <v>39523</v>
      </c>
      <c r="B546">
        <v>1288.1400000000001</v>
      </c>
      <c r="C546">
        <v>1.34</v>
      </c>
      <c r="D546" s="6">
        <v>31.16</v>
      </c>
      <c r="E546" s="18">
        <f t="shared" si="781"/>
        <v>28.4</v>
      </c>
      <c r="F546">
        <f t="shared" si="782"/>
        <v>-2</v>
      </c>
      <c r="G546" s="18">
        <f>ROUND(INDEX(Valuation!U:U,MATCH(A546,Valuation!A:A,0)),2)</f>
        <v>124.17</v>
      </c>
      <c r="H546">
        <f t="shared" si="789"/>
        <v>1</v>
      </c>
      <c r="I546" s="18">
        <f>INDEX(WeeklyIndicators!Y:Y,MATCH(A546,WeeklyIndicators!A:A,0))</f>
        <v>62.27</v>
      </c>
      <c r="J546">
        <f t="shared" si="778"/>
        <v>-2</v>
      </c>
      <c r="K546">
        <f>ROUND(INDEX(Economic!AF:AF,MATCH(EOMONTH($A546,-1),Economic!A:A,0)),2)</f>
        <v>77.209999999999994</v>
      </c>
      <c r="L546" s="11">
        <f t="shared" si="787"/>
        <v>-2</v>
      </c>
      <c r="M546">
        <f>ROUND(INDEX(Manufacturing!P:P,MATCH(EOMONTH($A546,-1),Manufacturing!A:A,0)),2)</f>
        <v>77.62</v>
      </c>
      <c r="N546">
        <f t="shared" si="783"/>
        <v>-1</v>
      </c>
      <c r="O546">
        <f>ROUND(INDEX(Housing!AC:AC,MATCH(EOMONTH($A546,-1),Housing!B:B,0)),2)</f>
        <v>1.9</v>
      </c>
      <c r="P546">
        <f t="shared" si="784"/>
        <v>-3</v>
      </c>
      <c r="Q546">
        <f>ROUND(INDEX(Spending!AJ:AJ,MATCH(EOMONTH($A546,-1),Spending!B:B,0)),2)</f>
        <v>50.02</v>
      </c>
      <c r="R546">
        <f t="shared" si="788"/>
        <v>1</v>
      </c>
      <c r="S546">
        <f>ROUND(INDEX(Employment!V:V,MATCH(EOMONTH($A546,-1),Employment!A:A,0)),2)</f>
        <v>120.65</v>
      </c>
      <c r="T546" s="11">
        <f t="shared" si="785"/>
        <v>-2</v>
      </c>
      <c r="U546">
        <f t="shared" si="777"/>
        <v>10</v>
      </c>
      <c r="V546">
        <f t="shared" si="769"/>
        <v>48.51</v>
      </c>
      <c r="W546" s="13">
        <f t="shared" si="770"/>
        <v>-2.06E-2</v>
      </c>
      <c r="X546" s="13">
        <f t="shared" si="771"/>
        <v>-8.0600000000000005E-2</v>
      </c>
      <c r="Y546">
        <f t="shared" si="763"/>
        <v>46.76</v>
      </c>
      <c r="Z546" s="13">
        <f t="shared" si="758"/>
        <v>-2.2100000000000002E-2</v>
      </c>
      <c r="AA546" s="13">
        <f t="shared" si="754"/>
        <v>-6.4000000000000001E-2</v>
      </c>
      <c r="AB546" s="6">
        <f t="shared" si="764"/>
        <v>48.197000000000003</v>
      </c>
      <c r="AC546">
        <f t="shared" si="756"/>
        <v>24</v>
      </c>
      <c r="AD546" s="11">
        <f t="shared" si="757"/>
        <v>-1</v>
      </c>
      <c r="AE546">
        <f t="shared" si="755"/>
        <v>11</v>
      </c>
      <c r="AF546">
        <f>IF(AND(AE546&lt;15,OR(AC546&gt;=30,AA546&gt;0.15,X546&gt;=0.15)),2,VLOOKUP(AE546,Table!P:Q,2,FALSE))</f>
        <v>1</v>
      </c>
      <c r="AG546" s="22">
        <f>IF((AB546*0.98)-(D546*0.8)+((AF546-3)*3)+VLOOKUP(AM546,Table!$A$11:$B$13,2,FALSE)&lt;0,0,(AB546*0.98)-(D546*0.8)+((AF546-3)*3)+VLOOKUP(AM546,Table!$A$11:$B$13,2,FALSE))</f>
        <v>0.305060000000001</v>
      </c>
      <c r="AH546" s="22">
        <f t="shared" si="786"/>
        <v>4</v>
      </c>
      <c r="AI546" s="18">
        <f t="shared" si="779"/>
        <v>2.4</v>
      </c>
      <c r="AJ546" s="18">
        <f t="shared" si="780"/>
        <v>3.46</v>
      </c>
      <c r="AK546" t="str">
        <f t="shared" si="765"/>
        <v>Falling Rates</v>
      </c>
      <c r="AL546">
        <f t="shared" si="776"/>
        <v>10.5</v>
      </c>
      <c r="AM546" s="11" t="str">
        <f t="shared" si="766"/>
        <v>Cash</v>
      </c>
      <c r="AN546" t="str">
        <f t="shared" si="772"/>
        <v>Sell</v>
      </c>
      <c r="AO546" s="13">
        <f t="shared" si="773"/>
        <v>3.2099999999999997E-2</v>
      </c>
      <c r="AP546" s="13">
        <f t="shared" si="774"/>
        <v>2.9999999999999997E-4</v>
      </c>
      <c r="AQ546" s="13">
        <f t="shared" si="775"/>
        <v>1.6000000000000001E-3</v>
      </c>
      <c r="AR546" s="13">
        <f t="shared" si="767"/>
        <v>2.9999999999999997E-4</v>
      </c>
      <c r="AS546" s="6">
        <f t="shared" si="759"/>
        <v>320.8591735334017</v>
      </c>
      <c r="AT546" s="6">
        <f t="shared" si="760"/>
        <v>184.16087574745828</v>
      </c>
      <c r="AU546" s="6">
        <f t="shared" si="761"/>
        <v>407.38921360966339</v>
      </c>
      <c r="AV546" s="6">
        <f t="shared" si="762"/>
        <v>518.76772948926941</v>
      </c>
      <c r="AW546" s="58">
        <f t="shared" si="768"/>
        <v>2008</v>
      </c>
      <c r="AX546" s="58">
        <f>COUNTIF(AW$3:AW546,AW546)</f>
        <v>42</v>
      </c>
    </row>
    <row r="547" spans="1:50" x14ac:dyDescent="0.25">
      <c r="A547" s="5">
        <v>39516</v>
      </c>
      <c r="B547">
        <v>1293.3699999999999</v>
      </c>
      <c r="C547">
        <v>1.52</v>
      </c>
      <c r="D547" s="6">
        <v>27.49</v>
      </c>
      <c r="E547" s="18">
        <f t="shared" si="781"/>
        <v>26.03</v>
      </c>
      <c r="F547">
        <f t="shared" si="782"/>
        <v>-2</v>
      </c>
      <c r="G547" s="18">
        <f>ROUND(INDEX(Valuation!U:U,MATCH(A547,Valuation!A:A,0)),2)</f>
        <v>121.32</v>
      </c>
      <c r="H547">
        <f t="shared" si="789"/>
        <v>1</v>
      </c>
      <c r="I547" s="18">
        <f>INDEX(WeeklyIndicators!Y:Y,MATCH(A547,WeeklyIndicators!A:A,0))</f>
        <v>69.38</v>
      </c>
      <c r="J547">
        <f t="shared" si="778"/>
        <v>-2</v>
      </c>
      <c r="K547">
        <f>ROUND(INDEX(Economic!AF:AF,MATCH(EOMONTH($A547,-1),Economic!A:A,0)),2)</f>
        <v>77.209999999999994</v>
      </c>
      <c r="L547" s="11">
        <f t="shared" si="787"/>
        <v>-2</v>
      </c>
      <c r="M547">
        <f>ROUND(INDEX(Manufacturing!P:P,MATCH(EOMONTH($A547,-1),Manufacturing!A:A,0)),2)</f>
        <v>77.62</v>
      </c>
      <c r="N547">
        <f t="shared" si="783"/>
        <v>-1</v>
      </c>
      <c r="O547">
        <f>ROUND(INDEX(Housing!AC:AC,MATCH(EOMONTH($A547,-1),Housing!B:B,0)),2)</f>
        <v>1.9</v>
      </c>
      <c r="P547">
        <f t="shared" si="784"/>
        <v>-3</v>
      </c>
      <c r="Q547">
        <f>ROUND(INDEX(Spending!AJ:AJ,MATCH(EOMONTH($A547,-1),Spending!B:B,0)),2)</f>
        <v>50.02</v>
      </c>
      <c r="R547">
        <f t="shared" si="788"/>
        <v>1</v>
      </c>
      <c r="S547">
        <f>ROUND(INDEX(Employment!V:V,MATCH(EOMONTH($A547,-1),Employment!A:A,0)),2)</f>
        <v>120.65</v>
      </c>
      <c r="T547" s="11">
        <f t="shared" si="785"/>
        <v>-2</v>
      </c>
      <c r="U547">
        <f t="shared" si="777"/>
        <v>10</v>
      </c>
      <c r="V547">
        <f t="shared" si="769"/>
        <v>49.24</v>
      </c>
      <c r="W547" s="13">
        <f t="shared" si="770"/>
        <v>-2.1000000000000001E-2</v>
      </c>
      <c r="X547" s="13">
        <f t="shared" si="771"/>
        <v>-7.2700000000000001E-2</v>
      </c>
      <c r="Y547">
        <f t="shared" si="763"/>
        <v>48</v>
      </c>
      <c r="Z547" s="13">
        <f t="shared" si="758"/>
        <v>-1.77E-2</v>
      </c>
      <c r="AA547" s="13">
        <f t="shared" si="754"/>
        <v>-4.6600000000000003E-2</v>
      </c>
      <c r="AB547" s="6">
        <f t="shared" si="764"/>
        <v>50.421999999999997</v>
      </c>
      <c r="AC547">
        <f t="shared" si="756"/>
        <v>25</v>
      </c>
      <c r="AD547" s="11">
        <f t="shared" si="757"/>
        <v>-1</v>
      </c>
      <c r="AE547">
        <f t="shared" si="755"/>
        <v>11</v>
      </c>
      <c r="AF547">
        <f>IF(AND(AE547&lt;15,OR(AC547&gt;=30,AA547&gt;0.15,X547&gt;=0.15)),2,VLOOKUP(AE547,Table!P:Q,2,FALSE))</f>
        <v>1</v>
      </c>
      <c r="AG547" s="22">
        <f>IF((AB547*0.98)-(D547*0.8)+((AF547-3)*3)+VLOOKUP(AM547,Table!$A$11:$B$13,2,FALSE)&lt;0,0,(AB547*0.98)-(D547*0.8)+((AF547-3)*3)+VLOOKUP(AM547,Table!$A$11:$B$13,2,FALSE))</f>
        <v>5.4215599999999959</v>
      </c>
      <c r="AH547" s="22">
        <f t="shared" si="786"/>
        <v>9</v>
      </c>
      <c r="AI547" s="18">
        <f t="shared" si="779"/>
        <v>2.52</v>
      </c>
      <c r="AJ547" s="18">
        <f t="shared" si="780"/>
        <v>3.54</v>
      </c>
      <c r="AK547" t="str">
        <f t="shared" si="765"/>
        <v>Falling Rates</v>
      </c>
      <c r="AL547">
        <f t="shared" si="776"/>
        <v>10.25</v>
      </c>
      <c r="AM547" s="11" t="str">
        <f t="shared" si="766"/>
        <v>Cash</v>
      </c>
      <c r="AN547" t="str">
        <f t="shared" si="772"/>
        <v>Sell</v>
      </c>
      <c r="AO547" s="13">
        <f t="shared" si="773"/>
        <v>-4.0000000000000001E-3</v>
      </c>
      <c r="AP547" s="13">
        <f t="shared" si="774"/>
        <v>2.9999999999999997E-4</v>
      </c>
      <c r="AQ547" s="13">
        <f t="shared" si="775"/>
        <v>-1E-4</v>
      </c>
      <c r="AR547" s="13">
        <f t="shared" si="767"/>
        <v>2.9999999999999997E-4</v>
      </c>
      <c r="AS547" s="6">
        <f t="shared" si="759"/>
        <v>322.14776459176881</v>
      </c>
      <c r="AT547" s="6">
        <f t="shared" si="760"/>
        <v>184.10564405424202</v>
      </c>
      <c r="AU547" s="6">
        <f t="shared" si="761"/>
        <v>407.42995660532392</v>
      </c>
      <c r="AV547" s="6">
        <f t="shared" si="762"/>
        <v>518.61214584551578</v>
      </c>
      <c r="AW547" s="58">
        <f t="shared" si="768"/>
        <v>2008</v>
      </c>
      <c r="AX547" s="58">
        <f>COUNTIF(AW$3:AW547,AW547)</f>
        <v>43</v>
      </c>
    </row>
    <row r="548" spans="1:50" x14ac:dyDescent="0.25">
      <c r="A548" s="5">
        <v>39509</v>
      </c>
      <c r="B548">
        <v>1330.63</v>
      </c>
      <c r="C548">
        <v>1.97</v>
      </c>
      <c r="D548" s="6">
        <v>26.54</v>
      </c>
      <c r="E548" s="18">
        <f t="shared" si="781"/>
        <v>25.21</v>
      </c>
      <c r="F548">
        <f t="shared" si="782"/>
        <v>-2</v>
      </c>
      <c r="G548" s="18">
        <f>ROUND(INDEX(Valuation!U:U,MATCH(A548,Valuation!A:A,0)),2)</f>
        <v>118.5</v>
      </c>
      <c r="H548">
        <f t="shared" si="789"/>
        <v>0</v>
      </c>
      <c r="I548" s="18">
        <f>INDEX(WeeklyIndicators!Y:Y,MATCH(A548,WeeklyIndicators!A:A,0))</f>
        <v>73.12</v>
      </c>
      <c r="J548">
        <f t="shared" si="778"/>
        <v>-2</v>
      </c>
      <c r="K548">
        <f>ROUND(INDEX(Economic!AF:AF,MATCH(EOMONTH($A548,-1),Economic!A:A,0)),2)</f>
        <v>77.209999999999994</v>
      </c>
      <c r="L548" s="11">
        <f t="shared" si="787"/>
        <v>-2</v>
      </c>
      <c r="M548">
        <f>ROUND(INDEX(Manufacturing!P:P,MATCH(EOMONTH($A548,-1),Manufacturing!A:A,0)),2)</f>
        <v>77.62</v>
      </c>
      <c r="N548">
        <f t="shared" si="783"/>
        <v>-1</v>
      </c>
      <c r="O548">
        <f>ROUND(INDEX(Housing!AC:AC,MATCH(EOMONTH($A548,-1),Housing!B:B,0)),2)</f>
        <v>1.9</v>
      </c>
      <c r="P548">
        <f t="shared" si="784"/>
        <v>-3</v>
      </c>
      <c r="Q548">
        <f>ROUND(INDEX(Spending!AJ:AJ,MATCH(EOMONTH($A548,-1),Spending!B:B,0)),2)</f>
        <v>50.02</v>
      </c>
      <c r="R548">
        <f t="shared" si="788"/>
        <v>1</v>
      </c>
      <c r="S548">
        <f>ROUND(INDEX(Employment!V:V,MATCH(EOMONTH($A548,-1),Employment!A:A,0)),2)</f>
        <v>120.65</v>
      </c>
      <c r="T548" s="11">
        <f t="shared" si="785"/>
        <v>-2</v>
      </c>
      <c r="U548">
        <f t="shared" si="777"/>
        <v>9</v>
      </c>
      <c r="V548">
        <f t="shared" si="769"/>
        <v>49.63</v>
      </c>
      <c r="W548" s="13">
        <f t="shared" si="770"/>
        <v>-2.47E-2</v>
      </c>
      <c r="X548" s="13">
        <f t="shared" si="771"/>
        <v>-5.3799999999999994E-2</v>
      </c>
      <c r="Y548">
        <f t="shared" si="763"/>
        <v>48.36</v>
      </c>
      <c r="Z548" s="13">
        <f t="shared" si="758"/>
        <v>-1.7000000000000001E-2</v>
      </c>
      <c r="AA548" s="13">
        <f t="shared" si="754"/>
        <v>-2.92E-2</v>
      </c>
      <c r="AB548" s="6">
        <f t="shared" si="764"/>
        <v>51.870000000000005</v>
      </c>
      <c r="AC548">
        <f t="shared" si="756"/>
        <v>26</v>
      </c>
      <c r="AD548" s="11">
        <f t="shared" si="757"/>
        <v>-1</v>
      </c>
      <c r="AE548">
        <f t="shared" si="755"/>
        <v>10</v>
      </c>
      <c r="AF548">
        <f>IF(AND(AE548&lt;15,OR(AC548&gt;=30,AA548&gt;0.15,X548&gt;=0.15)),2,VLOOKUP(AE548,Table!P:Q,2,FALSE))</f>
        <v>1</v>
      </c>
      <c r="AG548" s="22">
        <f>IF((AB548*0.98)-(D548*0.8)+((AF548-3)*3)+VLOOKUP(AM548,Table!$A$11:$B$13,2,FALSE)&lt;0,0,(AB548*0.98)-(D548*0.8)+((AF548-3)*3)+VLOOKUP(AM548,Table!$A$11:$B$13,2,FALSE))</f>
        <v>7.6006000000000071</v>
      </c>
      <c r="AH548" s="22">
        <f t="shared" si="786"/>
        <v>11</v>
      </c>
      <c r="AI548" s="18">
        <f t="shared" si="779"/>
        <v>2.63</v>
      </c>
      <c r="AJ548" s="18">
        <f t="shared" si="780"/>
        <v>3.62</v>
      </c>
      <c r="AK548" t="str">
        <f t="shared" si="765"/>
        <v>Falling Rates</v>
      </c>
      <c r="AL548">
        <f t="shared" si="776"/>
        <v>10.25</v>
      </c>
      <c r="AM548" s="11" t="str">
        <f t="shared" si="766"/>
        <v>Cash</v>
      </c>
      <c r="AN548" t="str">
        <f t="shared" si="772"/>
        <v>Sell</v>
      </c>
      <c r="AO548" s="13">
        <f t="shared" si="773"/>
        <v>-2.8000000000000001E-2</v>
      </c>
      <c r="AP548" s="13">
        <f t="shared" si="774"/>
        <v>4.0000000000000002E-4</v>
      </c>
      <c r="AQ548" s="13">
        <f t="shared" si="775"/>
        <v>-2.7000000000000001E-3</v>
      </c>
      <c r="AR548" s="13">
        <f t="shared" si="767"/>
        <v>4.0000000000000002E-4</v>
      </c>
      <c r="AS548" s="6">
        <f t="shared" si="759"/>
        <v>331.42774134955641</v>
      </c>
      <c r="AT548" s="6">
        <f t="shared" si="760"/>
        <v>184.03203124174533</v>
      </c>
      <c r="AU548" s="6">
        <f t="shared" si="761"/>
        <v>408.53299569369693</v>
      </c>
      <c r="AV548" s="6">
        <f t="shared" si="762"/>
        <v>518.40478393194303</v>
      </c>
      <c r="AW548" s="58">
        <f t="shared" si="768"/>
        <v>2008</v>
      </c>
      <c r="AX548" s="58">
        <f>COUNTIF(AW$3:AW548,AW548)</f>
        <v>44</v>
      </c>
    </row>
    <row r="549" spans="1:50" x14ac:dyDescent="0.25">
      <c r="A549" s="5">
        <v>39502</v>
      </c>
      <c r="B549">
        <v>1353.11</v>
      </c>
      <c r="C549">
        <v>2.1800000000000002</v>
      </c>
      <c r="D549" s="6">
        <v>24.06</v>
      </c>
      <c r="E549" s="18">
        <f t="shared" si="781"/>
        <v>25.7</v>
      </c>
      <c r="F549">
        <f t="shared" si="782"/>
        <v>-2</v>
      </c>
      <c r="G549" s="18">
        <f>ROUND(INDEX(Valuation!U:U,MATCH(A549,Valuation!A:A,0)),2)</f>
        <v>116.89</v>
      </c>
      <c r="H549">
        <f t="shared" si="789"/>
        <v>0</v>
      </c>
      <c r="I549" s="18">
        <f>INDEX(WeeklyIndicators!Y:Y,MATCH(A549,WeeklyIndicators!A:A,0))</f>
        <v>80.08</v>
      </c>
      <c r="J549">
        <f t="shared" si="778"/>
        <v>-2</v>
      </c>
      <c r="K549">
        <f>ROUND(INDEX(Economic!AF:AF,MATCH(EOMONTH($A549,-1),Economic!A:A,0)),2)</f>
        <v>77.36</v>
      </c>
      <c r="L549" s="11">
        <f t="shared" si="787"/>
        <v>-2</v>
      </c>
      <c r="M549">
        <f>ROUND(INDEX(Manufacturing!P:P,MATCH(EOMONTH($A549,-1),Manufacturing!A:A,0)),2)</f>
        <v>80.8</v>
      </c>
      <c r="N549">
        <f t="shared" si="783"/>
        <v>-1</v>
      </c>
      <c r="O549">
        <f>ROUND(INDEX(Housing!AC:AC,MATCH(EOMONTH($A549,-1),Housing!B:B,0)),2)</f>
        <v>1.42</v>
      </c>
      <c r="P549">
        <f t="shared" si="784"/>
        <v>-3</v>
      </c>
      <c r="Q549">
        <f>ROUND(INDEX(Spending!AJ:AJ,MATCH(EOMONTH($A549,-1),Spending!B:B,0)),2)</f>
        <v>50.12</v>
      </c>
      <c r="R549">
        <f t="shared" si="788"/>
        <v>1</v>
      </c>
      <c r="S549">
        <f>ROUND(INDEX(Employment!V:V,MATCH(EOMONTH($A549,-1),Employment!A:A,0)),2)</f>
        <v>130.22999999999999</v>
      </c>
      <c r="T549" s="11">
        <f t="shared" si="785"/>
        <v>-2</v>
      </c>
      <c r="U549">
        <f t="shared" si="777"/>
        <v>9</v>
      </c>
      <c r="V549">
        <f t="shared" si="769"/>
        <v>51.61</v>
      </c>
      <c r="W549" s="13">
        <f t="shared" si="770"/>
        <v>-1.43E-2</v>
      </c>
      <c r="X549" s="13">
        <f t="shared" si="771"/>
        <v>-2.4800000000000003E-2</v>
      </c>
      <c r="Y549">
        <f t="shared" si="763"/>
        <v>49.99</v>
      </c>
      <c r="Z549" s="13">
        <f t="shared" si="758"/>
        <v>-7.1999999999999998E-3</v>
      </c>
      <c r="AA549" s="13">
        <f t="shared" si="754"/>
        <v>-9.300000000000001E-3</v>
      </c>
      <c r="AB549" s="6">
        <f t="shared" si="764"/>
        <v>55.029000000000003</v>
      </c>
      <c r="AC549">
        <f t="shared" si="756"/>
        <v>28</v>
      </c>
      <c r="AD549" s="11">
        <f t="shared" si="757"/>
        <v>-1</v>
      </c>
      <c r="AE549">
        <f t="shared" si="755"/>
        <v>10</v>
      </c>
      <c r="AF549">
        <f>IF(AND(AE549&lt;15,OR(AC549&gt;=30,AA549&gt;0.15,X549&gt;=0.15)),2,VLOOKUP(AE549,Table!P:Q,2,FALSE))</f>
        <v>1</v>
      </c>
      <c r="AG549" s="22">
        <f>IF((AB549*0.98)-(D549*0.8)+((AF549-3)*3)+VLOOKUP(AM549,Table!$A$11:$B$13,2,FALSE)&lt;0,0,(AB549*0.98)-(D549*0.8)+((AF549-3)*3)+VLOOKUP(AM549,Table!$A$11:$B$13,2,FALSE))</f>
        <v>12.680419999999998</v>
      </c>
      <c r="AH549" s="22">
        <f t="shared" si="786"/>
        <v>13</v>
      </c>
      <c r="AI549" s="18">
        <f t="shared" si="779"/>
        <v>2.71</v>
      </c>
      <c r="AJ549" s="18">
        <f t="shared" si="780"/>
        <v>3.69</v>
      </c>
      <c r="AK549" t="str">
        <f t="shared" si="765"/>
        <v>Falling Rates</v>
      </c>
      <c r="AL549">
        <f t="shared" si="776"/>
        <v>10.5</v>
      </c>
      <c r="AM549" s="11" t="str">
        <f t="shared" si="766"/>
        <v>Cash</v>
      </c>
      <c r="AN549" t="str">
        <f t="shared" si="772"/>
        <v>Sell</v>
      </c>
      <c r="AO549" s="13">
        <f t="shared" si="773"/>
        <v>-1.66E-2</v>
      </c>
      <c r="AP549" s="13">
        <f t="shared" si="774"/>
        <v>4.0000000000000002E-4</v>
      </c>
      <c r="AQ549" s="13">
        <f t="shared" si="775"/>
        <v>-1.8E-3</v>
      </c>
      <c r="AR549" s="13">
        <f t="shared" si="767"/>
        <v>4.0000000000000002E-4</v>
      </c>
      <c r="AS549" s="6">
        <f t="shared" si="759"/>
        <v>337.02231172417777</v>
      </c>
      <c r="AT549" s="6">
        <f t="shared" si="760"/>
        <v>183.95844786260031</v>
      </c>
      <c r="AU549" s="6">
        <f t="shared" si="761"/>
        <v>409.2696811197124</v>
      </c>
      <c r="AV549" s="6">
        <f t="shared" si="762"/>
        <v>518.19750492997105</v>
      </c>
      <c r="AW549" s="58">
        <f t="shared" si="768"/>
        <v>2008</v>
      </c>
      <c r="AX549" s="58">
        <f>COUNTIF(AW$3:AW549,AW549)</f>
        <v>45</v>
      </c>
    </row>
    <row r="550" spans="1:50" x14ac:dyDescent="0.25">
      <c r="A550" s="5">
        <v>39495</v>
      </c>
      <c r="B550">
        <v>1349.99</v>
      </c>
      <c r="C550">
        <v>2.23</v>
      </c>
      <c r="D550" s="6">
        <v>25.02</v>
      </c>
      <c r="E550" s="18">
        <f t="shared" si="781"/>
        <v>25.68</v>
      </c>
      <c r="F550">
        <f t="shared" si="782"/>
        <v>-2</v>
      </c>
      <c r="G550" s="18">
        <f>ROUND(INDEX(Valuation!U:U,MATCH(A550,Valuation!A:A,0)),2)</f>
        <v>114.87</v>
      </c>
      <c r="H550">
        <f t="shared" si="789"/>
        <v>0</v>
      </c>
      <c r="I550" s="18">
        <f>INDEX(WeeklyIndicators!Y:Y,MATCH(A550,WeeklyIndicators!A:A,0))</f>
        <v>88.34</v>
      </c>
      <c r="J550">
        <f t="shared" si="778"/>
        <v>-2</v>
      </c>
      <c r="K550">
        <f>ROUND(INDEX(Economic!AF:AF,MATCH(EOMONTH($A550,-1),Economic!A:A,0)),2)</f>
        <v>77.36</v>
      </c>
      <c r="L550" s="11">
        <f t="shared" si="787"/>
        <v>-2</v>
      </c>
      <c r="M550">
        <f>ROUND(INDEX(Manufacturing!P:P,MATCH(EOMONTH($A550,-1),Manufacturing!A:A,0)),2)</f>
        <v>80.8</v>
      </c>
      <c r="N550">
        <f t="shared" si="783"/>
        <v>-1</v>
      </c>
      <c r="O550">
        <f>ROUND(INDEX(Housing!AC:AC,MATCH(EOMONTH($A550,-1),Housing!B:B,0)),2)</f>
        <v>1.42</v>
      </c>
      <c r="P550">
        <f t="shared" si="784"/>
        <v>-3</v>
      </c>
      <c r="Q550">
        <f>ROUND(INDEX(Spending!AJ:AJ,MATCH(EOMONTH($A550,-1),Spending!B:B,0)),2)</f>
        <v>50.12</v>
      </c>
      <c r="R550">
        <f t="shared" si="788"/>
        <v>1</v>
      </c>
      <c r="S550">
        <f>ROUND(INDEX(Employment!V:V,MATCH(EOMONTH($A550,-1),Employment!A:A,0)),2)</f>
        <v>130.22999999999999</v>
      </c>
      <c r="T550" s="11">
        <f t="shared" si="785"/>
        <v>-2</v>
      </c>
      <c r="U550">
        <f t="shared" si="777"/>
        <v>9</v>
      </c>
      <c r="V550">
        <f t="shared" si="769"/>
        <v>52.47</v>
      </c>
      <c r="W550" s="13">
        <f t="shared" si="770"/>
        <v>-1.2699999999999999E-2</v>
      </c>
      <c r="X550" s="13">
        <f t="shared" si="771"/>
        <v>3.2000000000000015E-3</v>
      </c>
      <c r="Y550">
        <f t="shared" si="763"/>
        <v>50.63</v>
      </c>
      <c r="Z550" s="13">
        <f t="shared" si="758"/>
        <v>-4.7000000000000002E-3</v>
      </c>
      <c r="AA550" s="13">
        <f t="shared" si="754"/>
        <v>5.9999999999999993E-3</v>
      </c>
      <c r="AB550" s="6">
        <f t="shared" si="764"/>
        <v>56.797000000000004</v>
      </c>
      <c r="AC550">
        <f t="shared" si="756"/>
        <v>28</v>
      </c>
      <c r="AD550" s="11">
        <f t="shared" si="757"/>
        <v>-1</v>
      </c>
      <c r="AE550">
        <f t="shared" si="755"/>
        <v>10</v>
      </c>
      <c r="AF550">
        <f>IF(AND(AE550&lt;15,OR(AC550&gt;=30,AA550&gt;0.15,X550&gt;=0.15)),2,VLOOKUP(AE550,Table!P:Q,2,FALSE))</f>
        <v>1</v>
      </c>
      <c r="AG550" s="22">
        <f>IF((AB550*0.98)-(D550*0.8)+((AF550-3)*3)+VLOOKUP(AM550,Table!$A$11:$B$13,2,FALSE)&lt;0,0,(AB550*0.98)-(D550*0.8)+((AF550-3)*3)+VLOOKUP(AM550,Table!$A$11:$B$13,2,FALSE))</f>
        <v>13.645060000000001</v>
      </c>
      <c r="AH550" s="22">
        <f t="shared" si="786"/>
        <v>14</v>
      </c>
      <c r="AI550" s="18">
        <f t="shared" si="779"/>
        <v>2.79</v>
      </c>
      <c r="AJ550" s="18">
        <f t="shared" si="780"/>
        <v>3.75</v>
      </c>
      <c r="AK550" t="str">
        <f t="shared" si="765"/>
        <v>Falling Rates</v>
      </c>
      <c r="AL550">
        <f t="shared" si="776"/>
        <v>10.5</v>
      </c>
      <c r="AM550" s="11" t="str">
        <f t="shared" si="766"/>
        <v>Cash</v>
      </c>
      <c r="AN550" t="str">
        <f t="shared" si="772"/>
        <v>Sell</v>
      </c>
      <c r="AO550" s="13">
        <f t="shared" si="773"/>
        <v>2.3E-3</v>
      </c>
      <c r="AP550" s="13">
        <f t="shared" si="774"/>
        <v>4.0000000000000002E-4</v>
      </c>
      <c r="AQ550" s="13">
        <f t="shared" si="775"/>
        <v>6.9999999999999999E-4</v>
      </c>
      <c r="AR550" s="13">
        <f t="shared" si="767"/>
        <v>4.0000000000000002E-4</v>
      </c>
      <c r="AS550" s="6">
        <f t="shared" si="759"/>
        <v>336.24893916410036</v>
      </c>
      <c r="AT550" s="6">
        <f t="shared" si="760"/>
        <v>183.8848939050383</v>
      </c>
      <c r="AU550" s="6">
        <f t="shared" si="761"/>
        <v>408.9833927447911</v>
      </c>
      <c r="AV550" s="6">
        <f t="shared" si="762"/>
        <v>517.99030880644852</v>
      </c>
      <c r="AW550" s="58">
        <f t="shared" si="768"/>
        <v>2008</v>
      </c>
      <c r="AX550" s="58">
        <f>COUNTIF(AW$3:AW550,AW550)</f>
        <v>46</v>
      </c>
    </row>
    <row r="551" spans="1:50" x14ac:dyDescent="0.25">
      <c r="A551" s="5">
        <v>39488</v>
      </c>
      <c r="B551">
        <v>1331.29</v>
      </c>
      <c r="C551">
        <v>2.14</v>
      </c>
      <c r="D551" s="6">
        <v>28.01</v>
      </c>
      <c r="E551" s="18">
        <f t="shared" si="781"/>
        <v>27.04</v>
      </c>
      <c r="F551">
        <f t="shared" si="782"/>
        <v>-2</v>
      </c>
      <c r="G551" s="18">
        <f>ROUND(INDEX(Valuation!U:U,MATCH(A551,Valuation!A:A,0)),2)</f>
        <v>112.38</v>
      </c>
      <c r="H551">
        <f t="shared" si="789"/>
        <v>0</v>
      </c>
      <c r="I551" s="18">
        <f>INDEX(WeeklyIndicators!Y:Y,MATCH(A551,WeeklyIndicators!A:A,0))</f>
        <v>98.44</v>
      </c>
      <c r="J551">
        <f t="shared" si="778"/>
        <v>-1</v>
      </c>
      <c r="K551">
        <f>ROUND(INDEX(Economic!AF:AF,MATCH(EOMONTH($A551,-1),Economic!A:A,0)),2)</f>
        <v>77.36</v>
      </c>
      <c r="L551" s="11">
        <f t="shared" si="787"/>
        <v>-2</v>
      </c>
      <c r="M551">
        <f>ROUND(INDEX(Manufacturing!P:P,MATCH(EOMONTH($A551,-1),Manufacturing!A:A,0)),2)</f>
        <v>80.8</v>
      </c>
      <c r="N551">
        <f t="shared" si="783"/>
        <v>-1</v>
      </c>
      <c r="O551">
        <f>ROUND(INDEX(Housing!AC:AC,MATCH(EOMONTH($A551,-1),Housing!B:B,0)),2)</f>
        <v>1.42</v>
      </c>
      <c r="P551">
        <f t="shared" si="784"/>
        <v>-3</v>
      </c>
      <c r="Q551">
        <f>ROUND(INDEX(Spending!AJ:AJ,MATCH(EOMONTH($A551,-1),Spending!B:B,0)),2)</f>
        <v>50.12</v>
      </c>
      <c r="R551">
        <f t="shared" si="788"/>
        <v>1</v>
      </c>
      <c r="S551">
        <f>ROUND(INDEX(Employment!V:V,MATCH(EOMONTH($A551,-1),Employment!A:A,0)),2)</f>
        <v>130.22999999999999</v>
      </c>
      <c r="T551" s="11">
        <f t="shared" si="785"/>
        <v>-2</v>
      </c>
      <c r="U551">
        <f t="shared" si="777"/>
        <v>10</v>
      </c>
      <c r="V551">
        <f t="shared" si="769"/>
        <v>53.52</v>
      </c>
      <c r="W551" s="13">
        <f t="shared" si="770"/>
        <v>-2.0999999999999999E-3</v>
      </c>
      <c r="X551" s="13">
        <f t="shared" si="771"/>
        <v>2.4199999999999999E-2</v>
      </c>
      <c r="Y551">
        <f t="shared" si="763"/>
        <v>50.93</v>
      </c>
      <c r="Z551" s="13">
        <f t="shared" si="758"/>
        <v>-2.9999999999999997E-4</v>
      </c>
      <c r="AA551" s="13">
        <f t="shared" si="754"/>
        <v>1.5800000000000002E-2</v>
      </c>
      <c r="AB551" s="6">
        <f t="shared" si="764"/>
        <v>57.747999999999998</v>
      </c>
      <c r="AC551">
        <f t="shared" si="756"/>
        <v>29</v>
      </c>
      <c r="AD551" s="11">
        <f t="shared" si="757"/>
        <v>-1</v>
      </c>
      <c r="AE551">
        <f t="shared" si="755"/>
        <v>11</v>
      </c>
      <c r="AF551">
        <f>IF(AND(AE551&lt;15,OR(AC551&gt;=30,AA551&gt;0.15,X551&gt;=0.15)),2,VLOOKUP(AE551,Table!P:Q,2,FALSE))</f>
        <v>1</v>
      </c>
      <c r="AG551" s="22">
        <f>IF((AB551*0.98)-(D551*0.8)+((AF551-3)*3)+VLOOKUP(AM551,Table!$A$11:$B$13,2,FALSE)&lt;0,0,(AB551*0.98)-(D551*0.8)+((AF551-3)*3)+VLOOKUP(AM551,Table!$A$11:$B$13,2,FALSE))</f>
        <v>12.185039999999994</v>
      </c>
      <c r="AH551" s="22">
        <f t="shared" si="786"/>
        <v>13</v>
      </c>
      <c r="AI551" s="18">
        <f t="shared" si="779"/>
        <v>2.87</v>
      </c>
      <c r="AJ551" s="18">
        <f t="shared" si="780"/>
        <v>3.82</v>
      </c>
      <c r="AK551" t="str">
        <f t="shared" si="765"/>
        <v>Falling Rates</v>
      </c>
      <c r="AL551">
        <f t="shared" si="776"/>
        <v>10.75</v>
      </c>
      <c r="AM551" s="11" t="str">
        <f t="shared" si="766"/>
        <v>Cash</v>
      </c>
      <c r="AN551" t="str">
        <f t="shared" si="772"/>
        <v>Sell</v>
      </c>
      <c r="AO551" s="13">
        <f t="shared" si="773"/>
        <v>1.4E-2</v>
      </c>
      <c r="AP551" s="13">
        <f t="shared" si="774"/>
        <v>4.0000000000000002E-4</v>
      </c>
      <c r="AQ551" s="13">
        <f t="shared" si="775"/>
        <v>2.2000000000000001E-3</v>
      </c>
      <c r="AR551" s="13">
        <f t="shared" si="767"/>
        <v>4.0000000000000002E-4</v>
      </c>
      <c r="AS551" s="6">
        <f t="shared" si="759"/>
        <v>331.60644887978339</v>
      </c>
      <c r="AT551" s="6">
        <f t="shared" si="760"/>
        <v>183.81136935729538</v>
      </c>
      <c r="AU551" s="6">
        <f t="shared" si="761"/>
        <v>408.08560441507797</v>
      </c>
      <c r="AV551" s="6">
        <f t="shared" si="762"/>
        <v>517.78319552823723</v>
      </c>
      <c r="AW551" s="58">
        <f t="shared" si="768"/>
        <v>2008</v>
      </c>
      <c r="AX551" s="58">
        <f>COUNTIF(AW$3:AW551,AW551)</f>
        <v>47</v>
      </c>
    </row>
    <row r="552" spans="1:50" x14ac:dyDescent="0.25">
      <c r="A552" s="5">
        <v>39481</v>
      </c>
      <c r="B552">
        <v>1395.42</v>
      </c>
      <c r="C552">
        <v>2.13</v>
      </c>
      <c r="D552" s="6">
        <v>24.02</v>
      </c>
      <c r="E552" s="18">
        <f t="shared" si="781"/>
        <v>26.76</v>
      </c>
      <c r="F552">
        <f t="shared" si="782"/>
        <v>-2</v>
      </c>
      <c r="G552" s="18">
        <f>ROUND(INDEX(Valuation!U:U,MATCH(A552,Valuation!A:A,0)),2)</f>
        <v>109.52</v>
      </c>
      <c r="H552">
        <f t="shared" si="789"/>
        <v>0</v>
      </c>
      <c r="I552" s="18">
        <f>INDEX(WeeklyIndicators!Y:Y,MATCH(A552,WeeklyIndicators!A:A,0))</f>
        <v>102.14</v>
      </c>
      <c r="J552">
        <f t="shared" si="778"/>
        <v>-1</v>
      </c>
      <c r="K552">
        <f>ROUND(INDEX(Economic!AF:AF,MATCH(EOMONTH($A552,-1),Economic!A:A,0)),2)</f>
        <v>77.36</v>
      </c>
      <c r="L552" s="11">
        <f t="shared" si="787"/>
        <v>-2</v>
      </c>
      <c r="M552">
        <f>ROUND(INDEX(Manufacturing!P:P,MATCH(EOMONTH($A552,-1),Manufacturing!A:A,0)),2)</f>
        <v>80.8</v>
      </c>
      <c r="N552">
        <f t="shared" si="783"/>
        <v>-1</v>
      </c>
      <c r="O552">
        <f>ROUND(INDEX(Housing!AC:AC,MATCH(EOMONTH($A552,-1),Housing!B:B,0)),2)</f>
        <v>1.42</v>
      </c>
      <c r="P552">
        <f t="shared" si="784"/>
        <v>-3</v>
      </c>
      <c r="Q552">
        <f>ROUND(INDEX(Spending!AJ:AJ,MATCH(EOMONTH($A552,-1),Spending!B:B,0)),2)</f>
        <v>50.12</v>
      </c>
      <c r="R552">
        <f t="shared" si="788"/>
        <v>1</v>
      </c>
      <c r="S552">
        <f>ROUND(INDEX(Employment!V:V,MATCH(EOMONTH($A552,-1),Employment!A:A,0)),2)</f>
        <v>130.22999999999999</v>
      </c>
      <c r="T552" s="11">
        <f t="shared" si="785"/>
        <v>-2</v>
      </c>
      <c r="U552">
        <f t="shared" si="777"/>
        <v>10</v>
      </c>
      <c r="V552">
        <f t="shared" si="769"/>
        <v>53.9</v>
      </c>
      <c r="W552" s="13">
        <f t="shared" si="770"/>
        <v>4.3E-3</v>
      </c>
      <c r="X552" s="13">
        <f t="shared" si="771"/>
        <v>3.1100000000000003E-2</v>
      </c>
      <c r="Y552">
        <f t="shared" si="763"/>
        <v>51.09</v>
      </c>
      <c r="Z552" s="13">
        <f t="shared" si="758"/>
        <v>2.8999999999999998E-3</v>
      </c>
      <c r="AA552" s="13">
        <f t="shared" si="754"/>
        <v>2.01E-2</v>
      </c>
      <c r="AB552" s="6">
        <f t="shared" si="764"/>
        <v>57.991999999999997</v>
      </c>
      <c r="AC552">
        <f t="shared" si="756"/>
        <v>29</v>
      </c>
      <c r="AD552" s="11">
        <f t="shared" si="757"/>
        <v>-1</v>
      </c>
      <c r="AE552">
        <f t="shared" si="755"/>
        <v>11</v>
      </c>
      <c r="AF552">
        <f>IF(AND(AE552&lt;15,OR(AC552&gt;=30,AA552&gt;0.15,X552&gt;=0.15)),2,VLOOKUP(AE552,Table!P:Q,2,FALSE))</f>
        <v>1</v>
      </c>
      <c r="AG552" s="22">
        <f>IF((AB552*0.98)-(D552*0.8)+((AF552-3)*3)+VLOOKUP(AM552,Table!$A$11:$B$13,2,FALSE)&lt;0,0,(AB552*0.98)-(D552*0.8)+((AF552-3)*3)+VLOOKUP(AM552,Table!$A$11:$B$13,2,FALSE))</f>
        <v>15.616159999999994</v>
      </c>
      <c r="AH552" s="22">
        <f t="shared" si="786"/>
        <v>13</v>
      </c>
      <c r="AI552" s="18">
        <f t="shared" si="779"/>
        <v>2.97</v>
      </c>
      <c r="AJ552" s="18">
        <f t="shared" si="780"/>
        <v>3.88</v>
      </c>
      <c r="AK552" t="str">
        <f t="shared" si="765"/>
        <v>Falling Rates</v>
      </c>
      <c r="AL552">
        <f t="shared" si="776"/>
        <v>10.5</v>
      </c>
      <c r="AM552" s="11" t="str">
        <f t="shared" si="766"/>
        <v>Cash</v>
      </c>
      <c r="AN552" t="str">
        <f t="shared" si="772"/>
        <v>Sell</v>
      </c>
      <c r="AO552" s="13">
        <f t="shared" si="773"/>
        <v>-4.5999999999999999E-2</v>
      </c>
      <c r="AP552" s="13">
        <f t="shared" si="774"/>
        <v>4.0000000000000002E-4</v>
      </c>
      <c r="AQ552" s="13">
        <f t="shared" si="775"/>
        <v>-5.5999999999999999E-3</v>
      </c>
      <c r="AR552" s="13">
        <f t="shared" si="767"/>
        <v>4.0000000000000002E-4</v>
      </c>
      <c r="AS552" s="6">
        <f t="shared" si="759"/>
        <v>347.59585836455284</v>
      </c>
      <c r="AT552" s="6">
        <f t="shared" si="760"/>
        <v>183.73787420761235</v>
      </c>
      <c r="AU552" s="6">
        <f t="shared" si="761"/>
        <v>410.38375343431011</v>
      </c>
      <c r="AV552" s="6">
        <f t="shared" si="762"/>
        <v>517.57616506221234</v>
      </c>
      <c r="AW552" s="58">
        <f t="shared" si="768"/>
        <v>2008</v>
      </c>
      <c r="AX552" s="58">
        <f>COUNTIF(AW$3:AW552,AW552)</f>
        <v>48</v>
      </c>
    </row>
    <row r="553" spans="1:50" x14ac:dyDescent="0.25">
      <c r="A553" s="5">
        <v>39474</v>
      </c>
      <c r="B553">
        <v>1330.61</v>
      </c>
      <c r="C553">
        <v>2.2599999999999998</v>
      </c>
      <c r="D553" s="6">
        <v>29.08</v>
      </c>
      <c r="E553" s="18">
        <f t="shared" si="781"/>
        <v>26.65</v>
      </c>
      <c r="F553">
        <f t="shared" si="782"/>
        <v>-2</v>
      </c>
      <c r="G553" s="18">
        <f>ROUND(INDEX(Valuation!U:U,MATCH(A553,Valuation!A:A,0)),2)</f>
        <v>105.86</v>
      </c>
      <c r="H553">
        <f t="shared" si="789"/>
        <v>0</v>
      </c>
      <c r="I553" s="18">
        <f>INDEX(WeeklyIndicators!Y:Y,MATCH(A553,WeeklyIndicators!A:A,0))</f>
        <v>103.15</v>
      </c>
      <c r="J553">
        <f t="shared" si="778"/>
        <v>-1</v>
      </c>
      <c r="K553">
        <f>ROUND(INDEX(Economic!AF:AF,MATCH(EOMONTH($A553,-1),Economic!A:A,0)),2)</f>
        <v>77.91</v>
      </c>
      <c r="L553" s="11">
        <f t="shared" si="787"/>
        <v>-2</v>
      </c>
      <c r="M553">
        <f>ROUND(INDEX(Manufacturing!P:P,MATCH(EOMONTH($A553,-1),Manufacturing!A:A,0)),2)</f>
        <v>81.8</v>
      </c>
      <c r="N553">
        <f t="shared" si="783"/>
        <v>-1</v>
      </c>
      <c r="O553">
        <f>ROUND(INDEX(Housing!AC:AC,MATCH(EOMONTH($A553,-1),Housing!B:B,0)),2)</f>
        <v>2.83</v>
      </c>
      <c r="P553">
        <f t="shared" si="784"/>
        <v>-3</v>
      </c>
      <c r="Q553">
        <f>ROUND(INDEX(Spending!AJ:AJ,MATCH(EOMONTH($A553,-1),Spending!B:B,0)),2)</f>
        <v>48.61</v>
      </c>
      <c r="R553">
        <f t="shared" si="788"/>
        <v>0</v>
      </c>
      <c r="S553">
        <f>ROUND(INDEX(Employment!V:V,MATCH(EOMONTH($A553,-1),Employment!A:A,0)),2)</f>
        <v>134.22999999999999</v>
      </c>
      <c r="T553" s="11">
        <f t="shared" si="785"/>
        <v>-2</v>
      </c>
      <c r="U553">
        <f t="shared" si="777"/>
        <v>9</v>
      </c>
      <c r="V553">
        <f t="shared" si="769"/>
        <v>54.53</v>
      </c>
      <c r="W553" s="13">
        <f t="shared" si="770"/>
        <v>1.37E-2</v>
      </c>
      <c r="X553" s="13">
        <f t="shared" si="771"/>
        <v>2.4499999999999997E-2</v>
      </c>
      <c r="Y553">
        <f t="shared" si="763"/>
        <v>51.35</v>
      </c>
      <c r="Z553" s="13">
        <f t="shared" si="758"/>
        <v>8.0999999999999996E-3</v>
      </c>
      <c r="AA553" s="13">
        <f t="shared" si="754"/>
        <v>1.95E-2</v>
      </c>
      <c r="AB553" s="6">
        <f t="shared" si="764"/>
        <v>57.805999999999997</v>
      </c>
      <c r="AC553">
        <f t="shared" si="756"/>
        <v>29</v>
      </c>
      <c r="AD553" s="11">
        <f t="shared" si="757"/>
        <v>-1</v>
      </c>
      <c r="AE553">
        <f t="shared" si="755"/>
        <v>10</v>
      </c>
      <c r="AF553">
        <f>IF(AND(AE553&lt;15,OR(AC553&gt;=30,AA553&gt;0.15,X553&gt;=0.15)),2,VLOOKUP(AE553,Table!P:Q,2,FALSE))</f>
        <v>1</v>
      </c>
      <c r="AG553" s="22">
        <f>IF((AB553*0.98)-(D553*0.8)+((AF553-3)*3)+VLOOKUP(AM553,Table!$A$11:$B$13,2,FALSE)&lt;0,0,(AB553*0.98)-(D553*0.8)+((AF553-3)*3)+VLOOKUP(AM553,Table!$A$11:$B$13,2,FALSE))</f>
        <v>11.38588</v>
      </c>
      <c r="AH553" s="22">
        <f t="shared" si="786"/>
        <v>12</v>
      </c>
      <c r="AI553" s="18">
        <f t="shared" si="779"/>
        <v>3.1</v>
      </c>
      <c r="AJ553" s="18">
        <f t="shared" si="780"/>
        <v>3.95</v>
      </c>
      <c r="AK553" t="str">
        <f t="shared" si="765"/>
        <v>Falling Rates</v>
      </c>
      <c r="AL553">
        <f t="shared" si="776"/>
        <v>10.25</v>
      </c>
      <c r="AM553" s="11" t="str">
        <f t="shared" si="766"/>
        <v>Cash</v>
      </c>
      <c r="AN553" t="str">
        <f t="shared" si="772"/>
        <v>Sell</v>
      </c>
      <c r="AO553" s="13">
        <f t="shared" si="773"/>
        <v>4.87E-2</v>
      </c>
      <c r="AP553" s="13">
        <f t="shared" si="774"/>
        <v>4.0000000000000002E-4</v>
      </c>
      <c r="AQ553" s="13">
        <f t="shared" si="775"/>
        <v>6.1999999999999998E-3</v>
      </c>
      <c r="AR553" s="13">
        <f t="shared" si="767"/>
        <v>4.0000000000000002E-4</v>
      </c>
      <c r="AS553" s="6">
        <f t="shared" si="759"/>
        <v>331.45404630929039</v>
      </c>
      <c r="AT553" s="6">
        <f t="shared" si="760"/>
        <v>183.66440844423465</v>
      </c>
      <c r="AU553" s="6">
        <f t="shared" si="761"/>
        <v>407.85505211122057</v>
      </c>
      <c r="AV553" s="6">
        <f t="shared" si="762"/>
        <v>517.36921737526222</v>
      </c>
      <c r="AW553" s="58">
        <f t="shared" si="768"/>
        <v>2008</v>
      </c>
      <c r="AX553" s="58">
        <f>COUNTIF(AW$3:AW553,AW553)</f>
        <v>49</v>
      </c>
    </row>
    <row r="554" spans="1:50" x14ac:dyDescent="0.25">
      <c r="A554" s="5">
        <v>39467</v>
      </c>
      <c r="B554">
        <v>1325.19</v>
      </c>
      <c r="C554">
        <v>3.01</v>
      </c>
      <c r="D554" s="6">
        <v>27.18</v>
      </c>
      <c r="E554" s="18">
        <f t="shared" si="781"/>
        <v>24.93</v>
      </c>
      <c r="F554">
        <f t="shared" si="782"/>
        <v>-1</v>
      </c>
      <c r="G554" s="18">
        <f>ROUND(INDEX(Valuation!U:U,MATCH(A554,Valuation!A:A,0)),2)</f>
        <v>103.09</v>
      </c>
      <c r="H554">
        <f t="shared" si="789"/>
        <v>0</v>
      </c>
      <c r="I554" s="18">
        <f>INDEX(WeeklyIndicators!Y:Y,MATCH(A554,WeeklyIndicators!A:A,0))</f>
        <v>96.7</v>
      </c>
      <c r="J554">
        <f t="shared" si="778"/>
        <v>-1</v>
      </c>
      <c r="K554">
        <f>ROUND(INDEX(Economic!AF:AF,MATCH(EOMONTH($A554,-1),Economic!A:A,0)),2)</f>
        <v>77.91</v>
      </c>
      <c r="L554" s="11">
        <f t="shared" si="787"/>
        <v>-2</v>
      </c>
      <c r="M554">
        <f>ROUND(INDEX(Manufacturing!P:P,MATCH(EOMONTH($A554,-1),Manufacturing!A:A,0)),2)</f>
        <v>81.8</v>
      </c>
      <c r="N554">
        <f t="shared" si="783"/>
        <v>-1</v>
      </c>
      <c r="O554">
        <f>ROUND(INDEX(Housing!AC:AC,MATCH(EOMONTH($A554,-1),Housing!B:B,0)),2)</f>
        <v>2.83</v>
      </c>
      <c r="P554">
        <f t="shared" si="784"/>
        <v>-3</v>
      </c>
      <c r="Q554">
        <f>ROUND(INDEX(Spending!AJ:AJ,MATCH(EOMONTH($A554,-1),Spending!B:B,0)),2)</f>
        <v>48.61</v>
      </c>
      <c r="R554">
        <f t="shared" si="788"/>
        <v>0</v>
      </c>
      <c r="S554">
        <f>ROUND(INDEX(Employment!V:V,MATCH(EOMONTH($A554,-1),Employment!A:A,0)),2)</f>
        <v>134.22999999999999</v>
      </c>
      <c r="T554" s="11">
        <f t="shared" si="785"/>
        <v>-2</v>
      </c>
      <c r="U554">
        <f t="shared" si="777"/>
        <v>10</v>
      </c>
      <c r="V554">
        <f t="shared" si="769"/>
        <v>53.86</v>
      </c>
      <c r="W554" s="13">
        <f t="shared" si="770"/>
        <v>8.3000000000000001E-3</v>
      </c>
      <c r="X554" s="13">
        <f t="shared" si="771"/>
        <v>8.5000000000000006E-3</v>
      </c>
      <c r="Y554">
        <f t="shared" si="763"/>
        <v>50.98</v>
      </c>
      <c r="Z554" s="13">
        <f t="shared" si="758"/>
        <v>5.1000000000000004E-3</v>
      </c>
      <c r="AA554" s="13">
        <f t="shared" si="754"/>
        <v>1.4500000000000001E-2</v>
      </c>
      <c r="AB554" s="6">
        <f t="shared" si="764"/>
        <v>56.638999999999996</v>
      </c>
      <c r="AC554">
        <f t="shared" si="756"/>
        <v>28</v>
      </c>
      <c r="AD554" s="11">
        <f t="shared" si="757"/>
        <v>-1</v>
      </c>
      <c r="AE554">
        <f t="shared" si="755"/>
        <v>11</v>
      </c>
      <c r="AF554">
        <f>IF(AND(AE554&lt;15,OR(AC554&gt;=30,AA554&gt;0.15,X554&gt;=0.15)),2,VLOOKUP(AE554,Table!P:Q,2,FALSE))</f>
        <v>1</v>
      </c>
      <c r="AG554" s="22">
        <f>IF((AB554*0.98)-(D554*0.8)+((AF554-3)*3)+VLOOKUP(AM554,Table!$A$11:$B$13,2,FALSE)&lt;0,0,(AB554*0.98)-(D554*0.8)+((AF554-3)*3)+VLOOKUP(AM554,Table!$A$11:$B$13,2,FALSE))</f>
        <v>11.762219999999992</v>
      </c>
      <c r="AH554" s="22">
        <f t="shared" si="786"/>
        <v>12</v>
      </c>
      <c r="AI554" s="18">
        <f t="shared" si="779"/>
        <v>3.22</v>
      </c>
      <c r="AJ554" s="18">
        <f t="shared" si="780"/>
        <v>4.0199999999999996</v>
      </c>
      <c r="AK554" t="str">
        <f t="shared" si="765"/>
        <v>Falling Rates</v>
      </c>
      <c r="AL554">
        <f t="shared" si="776"/>
        <v>10.5</v>
      </c>
      <c r="AM554" s="11" t="str">
        <f t="shared" si="766"/>
        <v>Cash</v>
      </c>
      <c r="AN554" t="str">
        <f t="shared" si="772"/>
        <v>Sell</v>
      </c>
      <c r="AO554" s="13">
        <f t="shared" si="773"/>
        <v>4.1000000000000003E-3</v>
      </c>
      <c r="AP554" s="13">
        <f t="shared" si="774"/>
        <v>5.9999999999999995E-4</v>
      </c>
      <c r="AQ554" s="13">
        <f t="shared" si="775"/>
        <v>1E-3</v>
      </c>
      <c r="AR554" s="13">
        <f t="shared" si="767"/>
        <v>5.9999999999999995E-4</v>
      </c>
      <c r="AS554" s="6">
        <f t="shared" si="759"/>
        <v>330.10063371107498</v>
      </c>
      <c r="AT554" s="6">
        <f t="shared" si="760"/>
        <v>183.55427587870744</v>
      </c>
      <c r="AU554" s="6">
        <f t="shared" si="761"/>
        <v>407.4476045067139</v>
      </c>
      <c r="AV554" s="6">
        <f t="shared" si="762"/>
        <v>517.05898198607065</v>
      </c>
      <c r="AW554" s="58">
        <f t="shared" si="768"/>
        <v>2008</v>
      </c>
      <c r="AX554" s="58">
        <f>COUNTIF(AW$3:AW554,AW554)</f>
        <v>50</v>
      </c>
    </row>
    <row r="555" spans="1:50" x14ac:dyDescent="0.25">
      <c r="A555" s="5">
        <v>39460</v>
      </c>
      <c r="B555">
        <v>1401.02</v>
      </c>
      <c r="C555">
        <v>3.14</v>
      </c>
      <c r="D555" s="6">
        <v>23.68</v>
      </c>
      <c r="E555" s="18">
        <f t="shared" si="781"/>
        <v>22.79</v>
      </c>
      <c r="F555">
        <f t="shared" si="782"/>
        <v>-1</v>
      </c>
      <c r="G555" s="18">
        <f>ROUND(INDEX(Valuation!U:U,MATCH(A555,Valuation!A:A,0)),2)</f>
        <v>99.23</v>
      </c>
      <c r="H555">
        <f t="shared" si="789"/>
        <v>0</v>
      </c>
      <c r="I555" s="18">
        <f>INDEX(WeeklyIndicators!Y:Y,MATCH(A555,WeeklyIndicators!A:A,0))</f>
        <v>90.42</v>
      </c>
      <c r="J555">
        <f t="shared" si="778"/>
        <v>-2</v>
      </c>
      <c r="K555">
        <f>ROUND(INDEX(Economic!AF:AF,MATCH(EOMONTH($A555,-1),Economic!A:A,0)),2)</f>
        <v>77.91</v>
      </c>
      <c r="L555" s="11">
        <f t="shared" si="787"/>
        <v>-2</v>
      </c>
      <c r="M555">
        <f>ROUND(INDEX(Manufacturing!P:P,MATCH(EOMONTH($A555,-1),Manufacturing!A:A,0)),2)</f>
        <v>81.8</v>
      </c>
      <c r="N555">
        <f t="shared" si="783"/>
        <v>-1</v>
      </c>
      <c r="O555">
        <f>ROUND(INDEX(Housing!AC:AC,MATCH(EOMONTH($A555,-1),Housing!B:B,0)),2)</f>
        <v>2.83</v>
      </c>
      <c r="P555">
        <f t="shared" si="784"/>
        <v>-3</v>
      </c>
      <c r="Q555">
        <f>ROUND(INDEX(Spending!AJ:AJ,MATCH(EOMONTH($A555,-1),Spending!B:B,0)),2)</f>
        <v>48.61</v>
      </c>
      <c r="R555">
        <f t="shared" si="788"/>
        <v>0</v>
      </c>
      <c r="S555">
        <f>ROUND(INDEX(Employment!V:V,MATCH(EOMONTH($A555,-1),Employment!A:A,0)),2)</f>
        <v>134.22999999999999</v>
      </c>
      <c r="T555" s="11">
        <f t="shared" si="785"/>
        <v>-2</v>
      </c>
      <c r="U555">
        <f t="shared" si="777"/>
        <v>9</v>
      </c>
      <c r="V555">
        <f t="shared" si="769"/>
        <v>53.21</v>
      </c>
      <c r="W555" s="13">
        <f t="shared" si="770"/>
        <v>4.7999999999999996E-3</v>
      </c>
      <c r="X555" s="13">
        <f t="shared" si="771"/>
        <v>-4.2000000000000006E-3</v>
      </c>
      <c r="Y555">
        <f t="shared" si="763"/>
        <v>50.64</v>
      </c>
      <c r="Z555" s="13">
        <f t="shared" si="758"/>
        <v>4.0000000000000001E-3</v>
      </c>
      <c r="AA555" s="13">
        <f t="shared" si="754"/>
        <v>1.29E-2</v>
      </c>
      <c r="AB555" s="6">
        <f t="shared" si="764"/>
        <v>55.663000000000004</v>
      </c>
      <c r="AC555">
        <f t="shared" si="756"/>
        <v>28</v>
      </c>
      <c r="AD555" s="11">
        <f t="shared" si="757"/>
        <v>-1</v>
      </c>
      <c r="AE555">
        <f t="shared" si="755"/>
        <v>10</v>
      </c>
      <c r="AF555">
        <f>IF(AND(AE555&lt;15,OR(AC555&gt;=30,AA555&gt;0.15,X555&gt;=0.15)),2,VLOOKUP(AE555,Table!P:Q,2,FALSE))</f>
        <v>1</v>
      </c>
      <c r="AG555" s="22">
        <f>IF((AB555*0.98)-(D555*0.8)+((AF555-3)*3)+VLOOKUP(AM555,Table!$A$11:$B$13,2,FALSE)&lt;0,0,(AB555*0.98)-(D555*0.8)+((AF555-3)*3)+VLOOKUP(AM555,Table!$A$11:$B$13,2,FALSE))</f>
        <v>13.605739999999997</v>
      </c>
      <c r="AH555" s="22">
        <f t="shared" si="786"/>
        <v>13</v>
      </c>
      <c r="AI555" s="18">
        <f t="shared" si="779"/>
        <v>3.29</v>
      </c>
      <c r="AJ555" s="18">
        <f t="shared" si="780"/>
        <v>4.07</v>
      </c>
      <c r="AK555" t="str">
        <f t="shared" si="765"/>
        <v>Falling Rates</v>
      </c>
      <c r="AL555">
        <f t="shared" si="776"/>
        <v>10.5</v>
      </c>
      <c r="AM555" s="11" t="str">
        <f t="shared" si="766"/>
        <v>Cash</v>
      </c>
      <c r="AN555" t="str">
        <f t="shared" si="772"/>
        <v>Sell</v>
      </c>
      <c r="AO555" s="13">
        <f t="shared" si="773"/>
        <v>-5.4100000000000002E-2</v>
      </c>
      <c r="AP555" s="13">
        <f t="shared" si="774"/>
        <v>5.9999999999999995E-4</v>
      </c>
      <c r="AQ555" s="13">
        <f t="shared" si="775"/>
        <v>-6.4999999999999997E-3</v>
      </c>
      <c r="AR555" s="13">
        <f t="shared" si="767"/>
        <v>5.9999999999999995E-4</v>
      </c>
      <c r="AS555" s="6">
        <f t="shared" si="759"/>
        <v>348.98047754633154</v>
      </c>
      <c r="AT555" s="6">
        <f t="shared" si="760"/>
        <v>183.4442093530956</v>
      </c>
      <c r="AU555" s="6">
        <f t="shared" si="761"/>
        <v>410.11334122467429</v>
      </c>
      <c r="AV555" s="6">
        <f t="shared" si="762"/>
        <v>516.74893262649482</v>
      </c>
      <c r="AW555" s="58">
        <f t="shared" si="768"/>
        <v>2008</v>
      </c>
      <c r="AX555" s="58">
        <f>COUNTIF(AW$3:AW555,AW555)</f>
        <v>51</v>
      </c>
    </row>
    <row r="556" spans="1:50" x14ac:dyDescent="0.25">
      <c r="A556" s="5">
        <v>39453</v>
      </c>
      <c r="B556">
        <v>1411.63</v>
      </c>
      <c r="C556">
        <v>3.19</v>
      </c>
      <c r="D556" s="6">
        <v>23.94</v>
      </c>
      <c r="E556" s="18">
        <f t="shared" si="781"/>
        <v>21.05</v>
      </c>
      <c r="F556">
        <f t="shared" si="782"/>
        <v>-1</v>
      </c>
      <c r="G556" s="18">
        <f>ROUND(INDEX(Valuation!U:U,MATCH(A556,Valuation!A:A,0)),2)</f>
        <v>96.83</v>
      </c>
      <c r="H556">
        <f t="shared" si="789"/>
        <v>0</v>
      </c>
      <c r="I556" s="18">
        <f>INDEX(WeeklyIndicators!Y:Y,MATCH(A556,WeeklyIndicators!A:A,0))</f>
        <v>82.14</v>
      </c>
      <c r="J556">
        <f t="shared" si="778"/>
        <v>-2</v>
      </c>
      <c r="K556">
        <f>ROUND(INDEX(Economic!AF:AF,MATCH(EOMONTH($A556,-1),Economic!A:A,0)),2)</f>
        <v>77.91</v>
      </c>
      <c r="L556" s="11">
        <f t="shared" si="787"/>
        <v>-2</v>
      </c>
      <c r="M556">
        <f>ROUND(INDEX(Manufacturing!P:P,MATCH(EOMONTH($A556,-1),Manufacturing!A:A,0)),2)</f>
        <v>81.8</v>
      </c>
      <c r="N556">
        <f t="shared" si="783"/>
        <v>-1</v>
      </c>
      <c r="O556">
        <f>ROUND(INDEX(Housing!AC:AC,MATCH(EOMONTH($A556,-1),Housing!B:B,0)),2)</f>
        <v>2.83</v>
      </c>
      <c r="P556">
        <f t="shared" si="784"/>
        <v>-3</v>
      </c>
      <c r="Q556">
        <f>ROUND(INDEX(Spending!AJ:AJ,MATCH(EOMONTH($A556,-1),Spending!B:B,0)),2)</f>
        <v>48.61</v>
      </c>
      <c r="R556">
        <f t="shared" si="788"/>
        <v>0</v>
      </c>
      <c r="S556">
        <f>ROUND(INDEX(Employment!V:V,MATCH(EOMONTH($A556,-1),Employment!A:A,0)),2)</f>
        <v>134.22999999999999</v>
      </c>
      <c r="T556" s="11">
        <f t="shared" si="785"/>
        <v>-2</v>
      </c>
      <c r="U556">
        <f t="shared" si="777"/>
        <v>9</v>
      </c>
      <c r="V556">
        <f t="shared" si="769"/>
        <v>52.35</v>
      </c>
      <c r="W556" s="13">
        <f t="shared" si="770"/>
        <v>-2.3E-3</v>
      </c>
      <c r="X556" s="13">
        <f t="shared" si="771"/>
        <v>-1.9300000000000001E-2</v>
      </c>
      <c r="Y556">
        <f t="shared" si="763"/>
        <v>50.12</v>
      </c>
      <c r="Z556" s="13">
        <f t="shared" si="758"/>
        <v>2.3E-3</v>
      </c>
      <c r="AA556" s="13">
        <f t="shared" si="754"/>
        <v>6.3E-3</v>
      </c>
      <c r="AB556" s="6">
        <f t="shared" si="764"/>
        <v>54.273000000000003</v>
      </c>
      <c r="AC556">
        <f t="shared" si="756"/>
        <v>27</v>
      </c>
      <c r="AD556" s="11">
        <f t="shared" si="757"/>
        <v>-1</v>
      </c>
      <c r="AE556">
        <f t="shared" si="755"/>
        <v>10</v>
      </c>
      <c r="AF556">
        <f>IF(AND(AE556&lt;15,OR(AC556&gt;=30,AA556&gt;0.15,X556&gt;=0.15)),2,VLOOKUP(AE556,Table!P:Q,2,FALSE))</f>
        <v>1</v>
      </c>
      <c r="AG556" s="22">
        <f>IF((AB556*0.98)-(D556*0.8)+((AF556-3)*3)+VLOOKUP(AM556,Table!$A$11:$B$13,2,FALSE)&lt;0,0,(AB556*0.98)-(D556*0.8)+((AF556-3)*3)+VLOOKUP(AM556,Table!$A$11:$B$13,2,FALSE))</f>
        <v>12.035540000000005</v>
      </c>
      <c r="AH556" s="22">
        <f t="shared" si="786"/>
        <v>13</v>
      </c>
      <c r="AI556" s="18">
        <f t="shared" si="779"/>
        <v>3.36</v>
      </c>
      <c r="AJ556" s="18">
        <f t="shared" si="780"/>
        <v>4.1100000000000003</v>
      </c>
      <c r="AK556" t="str">
        <f t="shared" si="765"/>
        <v>Falling Rates</v>
      </c>
      <c r="AL556">
        <f t="shared" si="776"/>
        <v>10.75</v>
      </c>
      <c r="AM556" s="11" t="str">
        <f t="shared" si="766"/>
        <v>Cash</v>
      </c>
      <c r="AN556" t="str">
        <f t="shared" si="772"/>
        <v>Sell</v>
      </c>
      <c r="AO556" s="13">
        <f t="shared" si="773"/>
        <v>-7.4999999999999997E-3</v>
      </c>
      <c r="AP556" s="13">
        <f t="shared" si="774"/>
        <v>5.9999999999999995E-4</v>
      </c>
      <c r="AQ556" s="13">
        <f t="shared" si="775"/>
        <v>-5.0000000000000001E-4</v>
      </c>
      <c r="AR556" s="13">
        <f t="shared" si="767"/>
        <v>5.9999999999999995E-4</v>
      </c>
      <c r="AS556" s="6">
        <f t="shared" si="759"/>
        <v>351.61760961847006</v>
      </c>
      <c r="AT556" s="6">
        <f t="shared" si="760"/>
        <v>183.33420882779893</v>
      </c>
      <c r="AU556" s="6">
        <f t="shared" si="761"/>
        <v>410.31850047491173</v>
      </c>
      <c r="AV556" s="6">
        <f t="shared" si="762"/>
        <v>516.43906918498385</v>
      </c>
      <c r="AW556" s="58">
        <f t="shared" si="768"/>
        <v>2008</v>
      </c>
      <c r="AX556" s="58">
        <f>COUNTIF(AW$3:AW556,AW556)</f>
        <v>52</v>
      </c>
    </row>
    <row r="557" spans="1:50" x14ac:dyDescent="0.25">
      <c r="A557" s="5">
        <v>39446</v>
      </c>
      <c r="B557">
        <v>1478.49</v>
      </c>
      <c r="C557">
        <v>3.17</v>
      </c>
      <c r="D557" s="6">
        <v>20.74</v>
      </c>
      <c r="E557" s="18">
        <f t="shared" si="781"/>
        <v>20.83</v>
      </c>
      <c r="F557">
        <f t="shared" si="782"/>
        <v>-1</v>
      </c>
      <c r="G557" s="18">
        <f>ROUND(INDEX(Valuation!U:U,MATCH(A557,Valuation!A:A,0)),2)</f>
        <v>95.13</v>
      </c>
      <c r="H557">
        <f t="shared" si="789"/>
        <v>0</v>
      </c>
      <c r="I557" s="18">
        <f>INDEX(WeeklyIndicators!Y:Y,MATCH(A557,WeeklyIndicators!A:A,0))</f>
        <v>76.22</v>
      </c>
      <c r="J557">
        <f t="shared" si="778"/>
        <v>-2</v>
      </c>
      <c r="K557">
        <f>ROUND(INDEX(Economic!AF:AF,MATCH(EOMONTH($A557,-1),Economic!A:A,0)),2)</f>
        <v>82.05</v>
      </c>
      <c r="L557" s="11">
        <f t="shared" si="787"/>
        <v>-1</v>
      </c>
      <c r="M557">
        <f>ROUND(INDEX(Manufacturing!P:P,MATCH(EOMONTH($A557,-1),Manufacturing!A:A,0)),2)</f>
        <v>83.96</v>
      </c>
      <c r="N557">
        <f t="shared" si="783"/>
        <v>-1</v>
      </c>
      <c r="O557">
        <f>ROUND(INDEX(Housing!AC:AC,MATCH(EOMONTH($A557,-1),Housing!B:B,0)),2)</f>
        <v>1.9</v>
      </c>
      <c r="P557">
        <f t="shared" si="784"/>
        <v>-3</v>
      </c>
      <c r="Q557">
        <f>ROUND(INDEX(Spending!AJ:AJ,MATCH(EOMONTH($A557,-1),Spending!B:B,0)),2)</f>
        <v>46.01</v>
      </c>
      <c r="R557">
        <f t="shared" si="788"/>
        <v>0</v>
      </c>
      <c r="S557">
        <f>ROUND(INDEX(Employment!V:V,MATCH(EOMONTH($A557,-1),Employment!A:A,0)),2)</f>
        <v>136.72</v>
      </c>
      <c r="T557" s="11">
        <f t="shared" si="785"/>
        <v>-2</v>
      </c>
      <c r="U557">
        <f t="shared" si="777"/>
        <v>10</v>
      </c>
      <c r="V557">
        <f t="shared" si="769"/>
        <v>52.55</v>
      </c>
      <c r="W557" s="13">
        <f t="shared" si="770"/>
        <v>-2.3E-3</v>
      </c>
      <c r="X557" s="13">
        <f t="shared" si="771"/>
        <v>-3.0800000000000001E-2</v>
      </c>
      <c r="Y557">
        <f t="shared" si="763"/>
        <v>50.21</v>
      </c>
      <c r="Z557" s="13">
        <f t="shared" si="758"/>
        <v>3.0999999999999999E-3</v>
      </c>
      <c r="AA557" s="13">
        <f t="shared" si="754"/>
        <v>-5.2999999999999992E-3</v>
      </c>
      <c r="AB557" s="6">
        <f t="shared" si="764"/>
        <v>53.312999999999995</v>
      </c>
      <c r="AC557">
        <f t="shared" si="756"/>
        <v>27</v>
      </c>
      <c r="AD557" s="11">
        <f t="shared" si="757"/>
        <v>-1</v>
      </c>
      <c r="AE557">
        <f t="shared" si="755"/>
        <v>11</v>
      </c>
      <c r="AF557">
        <f>IF(AND(AE557&lt;15,OR(AC557&gt;=30,AA557&gt;0.15,X557&gt;=0.15)),2,VLOOKUP(AE557,Table!P:Q,2,FALSE))</f>
        <v>1</v>
      </c>
      <c r="AG557" s="22">
        <f>IF((AB557*0.98)-(D557*0.8)+((AF557-3)*3)+VLOOKUP(AM557,Table!$A$11:$B$13,2,FALSE)&lt;0,0,(AB557*0.98)-(D557*0.8)+((AF557-3)*3)+VLOOKUP(AM557,Table!$A$11:$B$13,2,FALSE))</f>
        <v>13.654739999999997</v>
      </c>
      <c r="AH557" s="22">
        <f t="shared" si="786"/>
        <v>11</v>
      </c>
      <c r="AI557" s="18">
        <f t="shared" si="779"/>
        <v>3.41</v>
      </c>
      <c r="AJ557" s="18">
        <f t="shared" si="780"/>
        <v>4.1500000000000004</v>
      </c>
      <c r="AK557" t="str">
        <f t="shared" si="765"/>
        <v>Falling Rates</v>
      </c>
      <c r="AL557">
        <f t="shared" si="776"/>
        <v>11</v>
      </c>
      <c r="AM557" s="11" t="str">
        <f t="shared" si="766"/>
        <v>Cash</v>
      </c>
      <c r="AN557" t="str">
        <f t="shared" si="772"/>
        <v>Sell</v>
      </c>
      <c r="AO557" s="13">
        <f t="shared" si="773"/>
        <v>-4.5199999999999997E-2</v>
      </c>
      <c r="AP557" s="13">
        <f t="shared" si="774"/>
        <v>5.9999999999999995E-4</v>
      </c>
      <c r="AQ557" s="13">
        <f t="shared" si="775"/>
        <v>-4.4000000000000003E-3</v>
      </c>
      <c r="AR557" s="13">
        <f t="shared" si="767"/>
        <v>5.9999999999999995E-4</v>
      </c>
      <c r="AS557" s="6">
        <f t="shared" si="759"/>
        <v>368.26310182076884</v>
      </c>
      <c r="AT557" s="6">
        <f t="shared" si="760"/>
        <v>183.224274263241</v>
      </c>
      <c r="AU557" s="6">
        <f t="shared" si="761"/>
        <v>412.13188075021264</v>
      </c>
      <c r="AV557" s="6">
        <f t="shared" si="762"/>
        <v>516.12939155005381</v>
      </c>
      <c r="AW557" s="58">
        <f t="shared" si="768"/>
        <v>2007</v>
      </c>
      <c r="AX557" s="58">
        <f>COUNTIF(AW$3:AW557,AW557)</f>
        <v>1</v>
      </c>
    </row>
    <row r="558" spans="1:50" x14ac:dyDescent="0.25">
      <c r="A558" s="5">
        <v>39439</v>
      </c>
      <c r="B558">
        <v>1484.46</v>
      </c>
      <c r="C558">
        <v>2.92</v>
      </c>
      <c r="D558" s="6">
        <v>18.47</v>
      </c>
      <c r="E558" s="18">
        <f t="shared" si="781"/>
        <v>20.86</v>
      </c>
      <c r="F558">
        <f t="shared" si="782"/>
        <v>-1</v>
      </c>
      <c r="G558" s="18">
        <f>ROUND(INDEX(Valuation!U:U,MATCH(A558,Valuation!A:A,0)),2)</f>
        <v>94.51</v>
      </c>
      <c r="H558">
        <f t="shared" si="789"/>
        <v>0</v>
      </c>
      <c r="I558" s="18">
        <f>INDEX(WeeklyIndicators!Y:Y,MATCH(A558,WeeklyIndicators!A:A,0))</f>
        <v>75.33</v>
      </c>
      <c r="J558">
        <f t="shared" si="778"/>
        <v>-2</v>
      </c>
      <c r="K558">
        <f>ROUND(INDEX(Economic!AF:AF,MATCH(EOMONTH($A558,-1),Economic!A:A,0)),2)</f>
        <v>82.05</v>
      </c>
      <c r="L558" s="11">
        <f t="shared" si="787"/>
        <v>-1</v>
      </c>
      <c r="M558">
        <f>ROUND(INDEX(Manufacturing!P:P,MATCH(EOMONTH($A558,-1),Manufacturing!A:A,0)),2)</f>
        <v>83.96</v>
      </c>
      <c r="N558">
        <f t="shared" si="783"/>
        <v>-1</v>
      </c>
      <c r="O558">
        <f>ROUND(INDEX(Housing!AC:AC,MATCH(EOMONTH($A558,-1),Housing!B:B,0)),2)</f>
        <v>1.9</v>
      </c>
      <c r="P558">
        <f t="shared" si="784"/>
        <v>-3</v>
      </c>
      <c r="Q558">
        <f>ROUND(INDEX(Spending!AJ:AJ,MATCH(EOMONTH($A558,-1),Spending!B:B,0)),2)</f>
        <v>46.01</v>
      </c>
      <c r="R558">
        <f t="shared" si="788"/>
        <v>0</v>
      </c>
      <c r="S558">
        <f>ROUND(INDEX(Employment!V:V,MATCH(EOMONTH($A558,-1),Employment!A:A,0)),2)</f>
        <v>136.72</v>
      </c>
      <c r="T558" s="11">
        <f t="shared" si="785"/>
        <v>-2</v>
      </c>
      <c r="U558">
        <f t="shared" si="777"/>
        <v>10</v>
      </c>
      <c r="V558">
        <f t="shared" si="769"/>
        <v>52.46</v>
      </c>
      <c r="W558" s="13">
        <f t="shared" si="770"/>
        <v>-4.4000000000000003E-3</v>
      </c>
      <c r="X558" s="13">
        <f t="shared" si="771"/>
        <v>-4.87E-2</v>
      </c>
      <c r="Y558">
        <f t="shared" si="763"/>
        <v>50.04</v>
      </c>
      <c r="Z558" s="13">
        <f t="shared" si="758"/>
        <v>3.5000000000000001E-3</v>
      </c>
      <c r="AA558" s="13">
        <f t="shared" si="754"/>
        <v>-3.1300000000000001E-2</v>
      </c>
      <c r="AB558" s="6">
        <f t="shared" si="764"/>
        <v>51.151000000000003</v>
      </c>
      <c r="AC558">
        <f t="shared" si="756"/>
        <v>26</v>
      </c>
      <c r="AD558" s="11">
        <f t="shared" si="757"/>
        <v>-1</v>
      </c>
      <c r="AE558">
        <f t="shared" si="755"/>
        <v>11</v>
      </c>
      <c r="AF558">
        <f>IF(AND(AE558&lt;15,OR(AC558&gt;=30,AA558&gt;0.15,X558&gt;=0.15)),2,VLOOKUP(AE558,Table!P:Q,2,FALSE))</f>
        <v>1</v>
      </c>
      <c r="AG558" s="22">
        <f>IF((AB558*0.98)-(D558*0.8)+((AF558-3)*3)+VLOOKUP(AM558,Table!$A$11:$B$13,2,FALSE)&lt;0,0,(AB558*0.98)-(D558*0.8)+((AF558-3)*3)+VLOOKUP(AM558,Table!$A$11:$B$13,2,FALSE))</f>
        <v>13.351979999999998</v>
      </c>
      <c r="AH558" s="22">
        <f t="shared" si="786"/>
        <v>8</v>
      </c>
      <c r="AI558" s="18">
        <f t="shared" si="779"/>
        <v>3.45</v>
      </c>
      <c r="AJ558" s="18">
        <f t="shared" si="780"/>
        <v>4.2</v>
      </c>
      <c r="AK558" t="str">
        <f t="shared" si="765"/>
        <v>Falling Rates</v>
      </c>
      <c r="AL558">
        <f t="shared" si="776"/>
        <v>11</v>
      </c>
      <c r="AM558" s="11" t="str">
        <f t="shared" si="766"/>
        <v>Cash</v>
      </c>
      <c r="AN558" t="str">
        <f t="shared" si="772"/>
        <v>Sell</v>
      </c>
      <c r="AO558" s="13">
        <f t="shared" si="773"/>
        <v>-4.0000000000000001E-3</v>
      </c>
      <c r="AP558" s="13">
        <f t="shared" si="774"/>
        <v>5.9999999999999995E-4</v>
      </c>
      <c r="AQ558" s="13">
        <f t="shared" si="775"/>
        <v>2.0000000000000001E-4</v>
      </c>
      <c r="AR558" s="13">
        <f t="shared" si="767"/>
        <v>5.9999999999999995E-4</v>
      </c>
      <c r="AS558" s="6">
        <f t="shared" si="759"/>
        <v>369.74207010117351</v>
      </c>
      <c r="AT558" s="6">
        <f t="shared" si="760"/>
        <v>183.1144056198691</v>
      </c>
      <c r="AU558" s="6">
        <f t="shared" si="761"/>
        <v>412.04947085604147</v>
      </c>
      <c r="AV558" s="6">
        <f t="shared" si="762"/>
        <v>515.81989961028762</v>
      </c>
      <c r="AW558" s="58">
        <f t="shared" si="768"/>
        <v>2007</v>
      </c>
      <c r="AX558" s="58">
        <f>COUNTIF(AW$3:AW558,AW558)</f>
        <v>2</v>
      </c>
    </row>
    <row r="559" spans="1:50" x14ac:dyDescent="0.25">
      <c r="A559" s="5">
        <v>39432</v>
      </c>
      <c r="B559">
        <v>1467.95</v>
      </c>
      <c r="C559">
        <v>2.85</v>
      </c>
      <c r="D559" s="6">
        <v>23.27</v>
      </c>
      <c r="E559" s="18">
        <f t="shared" si="781"/>
        <v>22.33</v>
      </c>
      <c r="F559">
        <f t="shared" si="782"/>
        <v>-1</v>
      </c>
      <c r="G559" s="18">
        <f>ROUND(INDEX(Valuation!U:U,MATCH(A559,Valuation!A:A,0)),2)</f>
        <v>94.52</v>
      </c>
      <c r="H559">
        <f t="shared" si="789"/>
        <v>0</v>
      </c>
      <c r="I559" s="18">
        <f>INDEX(WeeklyIndicators!Y:Y,MATCH(A559,WeeklyIndicators!A:A,0))</f>
        <v>77.760000000000005</v>
      </c>
      <c r="J559">
        <f t="shared" si="778"/>
        <v>-2</v>
      </c>
      <c r="K559">
        <f>ROUND(INDEX(Economic!AF:AF,MATCH(EOMONTH($A559,-1),Economic!A:A,0)),2)</f>
        <v>82.05</v>
      </c>
      <c r="L559" s="11">
        <f t="shared" si="787"/>
        <v>-1</v>
      </c>
      <c r="M559">
        <f>ROUND(INDEX(Manufacturing!P:P,MATCH(EOMONTH($A559,-1),Manufacturing!A:A,0)),2)</f>
        <v>83.96</v>
      </c>
      <c r="N559">
        <f t="shared" si="783"/>
        <v>-1</v>
      </c>
      <c r="O559">
        <f>ROUND(INDEX(Housing!AC:AC,MATCH(EOMONTH($A559,-1),Housing!B:B,0)),2)</f>
        <v>1.9</v>
      </c>
      <c r="P559">
        <f t="shared" si="784"/>
        <v>-3</v>
      </c>
      <c r="Q559">
        <f>ROUND(INDEX(Spending!AJ:AJ,MATCH(EOMONTH($A559,-1),Spending!B:B,0)),2)</f>
        <v>46.01</v>
      </c>
      <c r="R559">
        <f t="shared" si="788"/>
        <v>0</v>
      </c>
      <c r="S559">
        <f>ROUND(INDEX(Employment!V:V,MATCH(EOMONTH($A559,-1),Employment!A:A,0)),2)</f>
        <v>136.72</v>
      </c>
      <c r="T559" s="11">
        <f t="shared" si="785"/>
        <v>-2</v>
      </c>
      <c r="U559">
        <f t="shared" si="777"/>
        <v>10</v>
      </c>
      <c r="V559">
        <f t="shared" si="769"/>
        <v>52.71</v>
      </c>
      <c r="W559" s="13">
        <f t="shared" si="770"/>
        <v>-1.03E-2</v>
      </c>
      <c r="X559" s="13">
        <f t="shared" si="771"/>
        <v>-6.6699999999999995E-2</v>
      </c>
      <c r="Y559">
        <f t="shared" si="763"/>
        <v>49.78</v>
      </c>
      <c r="Z559" s="13">
        <f t="shared" si="758"/>
        <v>-2.5999999999999999E-3</v>
      </c>
      <c r="AA559" s="13">
        <f t="shared" si="754"/>
        <v>-6.6899999999999987E-2</v>
      </c>
      <c r="AB559" s="6">
        <f t="shared" si="764"/>
        <v>48.341999999999999</v>
      </c>
      <c r="AC559">
        <f t="shared" si="756"/>
        <v>24</v>
      </c>
      <c r="AD559" s="11">
        <f t="shared" si="757"/>
        <v>-1</v>
      </c>
      <c r="AE559">
        <f t="shared" si="755"/>
        <v>11</v>
      </c>
      <c r="AF559">
        <f>IF(AND(AE559&lt;15,OR(AC559&gt;=30,AA559&gt;0.15,X559&gt;=0.15)),2,VLOOKUP(AE559,Table!P:Q,2,FALSE))</f>
        <v>1</v>
      </c>
      <c r="AG559" s="22">
        <f>IF((AB559*0.98)-(D559*0.8)+((AF559-3)*3)+VLOOKUP(AM559,Table!$A$11:$B$13,2,FALSE)&lt;0,0,(AB559*0.98)-(D559*0.8)+((AF559-3)*3)+VLOOKUP(AM559,Table!$A$11:$B$13,2,FALSE))</f>
        <v>6.7591600000000014</v>
      </c>
      <c r="AH559" s="22">
        <f t="shared" si="786"/>
        <v>4</v>
      </c>
      <c r="AI559" s="18">
        <f t="shared" si="779"/>
        <v>3.52</v>
      </c>
      <c r="AJ559" s="18">
        <f t="shared" si="780"/>
        <v>4.25</v>
      </c>
      <c r="AK559" t="str">
        <f t="shared" si="765"/>
        <v>Falling Rates</v>
      </c>
      <c r="AL559">
        <f t="shared" si="776"/>
        <v>11</v>
      </c>
      <c r="AM559" s="11" t="str">
        <f t="shared" si="766"/>
        <v>Cash</v>
      </c>
      <c r="AN559" t="str">
        <f t="shared" si="772"/>
        <v>Sell</v>
      </c>
      <c r="AO559" s="13">
        <f t="shared" si="773"/>
        <v>1.12E-2</v>
      </c>
      <c r="AP559" s="13">
        <f t="shared" si="774"/>
        <v>5.0000000000000001E-4</v>
      </c>
      <c r="AQ559" s="13">
        <f t="shared" si="775"/>
        <v>8.9999999999999998E-4</v>
      </c>
      <c r="AR559" s="13">
        <f t="shared" si="767"/>
        <v>5.0000000000000001E-4</v>
      </c>
      <c r="AS559" s="6">
        <f t="shared" si="759"/>
        <v>365.64682565385033</v>
      </c>
      <c r="AT559" s="6">
        <f t="shared" si="760"/>
        <v>183.02289417278271</v>
      </c>
      <c r="AU559" s="6">
        <f t="shared" si="761"/>
        <v>411.67895979222851</v>
      </c>
      <c r="AV559" s="6">
        <f t="shared" si="762"/>
        <v>515.56211855101219</v>
      </c>
      <c r="AW559" s="58">
        <f t="shared" si="768"/>
        <v>2007</v>
      </c>
      <c r="AX559" s="58">
        <f>COUNTIF(AW$3:AW559,AW559)</f>
        <v>3</v>
      </c>
    </row>
    <row r="560" spans="1:50" x14ac:dyDescent="0.25">
      <c r="A560" s="5">
        <v>39425</v>
      </c>
      <c r="B560">
        <v>1504.66</v>
      </c>
      <c r="C560">
        <v>3.01</v>
      </c>
      <c r="D560" s="6">
        <v>20.85</v>
      </c>
      <c r="E560" s="18">
        <f t="shared" si="781"/>
        <v>23.11</v>
      </c>
      <c r="F560">
        <f t="shared" si="782"/>
        <v>-1</v>
      </c>
      <c r="G560" s="18">
        <f>ROUND(INDEX(Valuation!U:U,MATCH(A560,Valuation!A:A,0)),2)</f>
        <v>94.95</v>
      </c>
      <c r="H560">
        <f t="shared" si="789"/>
        <v>0</v>
      </c>
      <c r="I560" s="18">
        <f>INDEX(WeeklyIndicators!Y:Y,MATCH(A560,WeeklyIndicators!A:A,0))</f>
        <v>79.67</v>
      </c>
      <c r="J560">
        <f t="shared" si="778"/>
        <v>-2</v>
      </c>
      <c r="K560">
        <f>ROUND(INDEX(Economic!AF:AF,MATCH(EOMONTH($A560,-1),Economic!A:A,0)),2)</f>
        <v>82.05</v>
      </c>
      <c r="L560" s="11">
        <f t="shared" si="787"/>
        <v>-1</v>
      </c>
      <c r="M560">
        <f>ROUND(INDEX(Manufacturing!P:P,MATCH(EOMONTH($A560,-1),Manufacturing!A:A,0)),2)</f>
        <v>83.96</v>
      </c>
      <c r="N560">
        <f t="shared" si="783"/>
        <v>-1</v>
      </c>
      <c r="O560">
        <f>ROUND(INDEX(Housing!AC:AC,MATCH(EOMONTH($A560,-1),Housing!B:B,0)),2)</f>
        <v>1.9</v>
      </c>
      <c r="P560">
        <f t="shared" si="784"/>
        <v>-3</v>
      </c>
      <c r="Q560">
        <f>ROUND(INDEX(Spending!AJ:AJ,MATCH(EOMONTH($A560,-1),Spending!B:B,0)),2)</f>
        <v>46.01</v>
      </c>
      <c r="R560">
        <f t="shared" si="788"/>
        <v>0</v>
      </c>
      <c r="S560">
        <f>ROUND(INDEX(Employment!V:V,MATCH(EOMONTH($A560,-1),Employment!A:A,0)),2)</f>
        <v>136.72</v>
      </c>
      <c r="T560" s="11">
        <f t="shared" si="785"/>
        <v>-2</v>
      </c>
      <c r="U560">
        <f t="shared" si="777"/>
        <v>10</v>
      </c>
      <c r="V560">
        <f t="shared" si="769"/>
        <v>52.91</v>
      </c>
      <c r="W560" s="13">
        <f t="shared" si="770"/>
        <v>-1.38E-2</v>
      </c>
      <c r="X560" s="13">
        <f t="shared" si="771"/>
        <v>-9.4200000000000006E-2</v>
      </c>
      <c r="Y560">
        <f t="shared" si="763"/>
        <v>49.75</v>
      </c>
      <c r="Z560" s="13">
        <f t="shared" si="758"/>
        <v>-9.2999999999999992E-3</v>
      </c>
      <c r="AA560" s="13">
        <f t="shared" si="754"/>
        <v>-0.1143</v>
      </c>
      <c r="AB560" s="6">
        <f t="shared" si="764"/>
        <v>44.904999999999994</v>
      </c>
      <c r="AC560">
        <f t="shared" si="756"/>
        <v>22</v>
      </c>
      <c r="AD560" s="11">
        <f t="shared" si="757"/>
        <v>-1</v>
      </c>
      <c r="AE560">
        <f t="shared" si="755"/>
        <v>11</v>
      </c>
      <c r="AF560">
        <f>IF(AND(AE560&lt;15,OR(AC560&gt;=30,AA560&gt;0.15,X560&gt;=0.15)),2,VLOOKUP(AE560,Table!P:Q,2,FALSE))</f>
        <v>1</v>
      </c>
      <c r="AG560" s="22">
        <f>IF((AB560*0.98)-(D560*0.8)+((AF560-3)*3)+VLOOKUP(AM560,Table!$A$11:$B$13,2,FALSE)&lt;0,0,(AB560*0.98)-(D560*0.8)+((AF560-3)*3)+VLOOKUP(AM560,Table!$A$11:$B$13,2,FALSE))</f>
        <v>5.3268999999999913</v>
      </c>
      <c r="AH560" s="22">
        <f t="shared" si="786"/>
        <v>2</v>
      </c>
      <c r="AI560" s="18">
        <f t="shared" si="779"/>
        <v>3.6</v>
      </c>
      <c r="AJ560" s="18">
        <f t="shared" si="780"/>
        <v>4.3</v>
      </c>
      <c r="AK560" t="str">
        <f t="shared" si="765"/>
        <v>Falling Rates</v>
      </c>
      <c r="AL560">
        <f t="shared" si="776"/>
        <v>11</v>
      </c>
      <c r="AM560" s="11" t="str">
        <f t="shared" si="766"/>
        <v>Cash</v>
      </c>
      <c r="AN560" t="str">
        <f t="shared" si="772"/>
        <v>Sell</v>
      </c>
      <c r="AO560" s="13">
        <f t="shared" si="773"/>
        <v>-2.4400000000000002E-2</v>
      </c>
      <c r="AP560" s="13">
        <f t="shared" si="774"/>
        <v>5.9999999999999995E-4</v>
      </c>
      <c r="AQ560" s="13">
        <f t="shared" si="775"/>
        <v>1E-4</v>
      </c>
      <c r="AR560" s="13">
        <f t="shared" si="767"/>
        <v>5.9999999999999995E-4</v>
      </c>
      <c r="AS560" s="6">
        <f t="shared" si="759"/>
        <v>374.79174421263872</v>
      </c>
      <c r="AT560" s="6">
        <f t="shared" si="760"/>
        <v>182.91314628501172</v>
      </c>
      <c r="AU560" s="6">
        <f t="shared" si="761"/>
        <v>411.63779601262723</v>
      </c>
      <c r="AV560" s="6">
        <f t="shared" si="762"/>
        <v>515.25296677094968</v>
      </c>
      <c r="AW560" s="58">
        <f t="shared" si="768"/>
        <v>2007</v>
      </c>
      <c r="AX560" s="58">
        <f>COUNTIF(AW$3:AW560,AW560)</f>
        <v>4</v>
      </c>
    </row>
    <row r="561" spans="1:50" x14ac:dyDescent="0.25">
      <c r="A561" s="5">
        <v>39418</v>
      </c>
      <c r="B561">
        <v>1481.14</v>
      </c>
      <c r="C561">
        <v>3.02</v>
      </c>
      <c r="D561" s="6">
        <v>22.87</v>
      </c>
      <c r="E561" s="18">
        <f t="shared" si="781"/>
        <v>24.66</v>
      </c>
      <c r="F561">
        <f t="shared" si="782"/>
        <v>-1</v>
      </c>
      <c r="G561" s="18">
        <f>ROUND(INDEX(Valuation!U:U,MATCH(A561,Valuation!A:A,0)),2)</f>
        <v>95.45</v>
      </c>
      <c r="H561">
        <f t="shared" si="789"/>
        <v>0</v>
      </c>
      <c r="I561" s="18">
        <f>INDEX(WeeklyIndicators!Y:Y,MATCH(A561,WeeklyIndicators!A:A,0))</f>
        <v>82.09</v>
      </c>
      <c r="J561">
        <f t="shared" si="778"/>
        <v>-2</v>
      </c>
      <c r="K561">
        <f>ROUND(INDEX(Economic!AF:AF,MATCH(EOMONTH($A561,-1),Economic!A:A,0)),2)</f>
        <v>82.05</v>
      </c>
      <c r="L561" s="11">
        <f t="shared" si="787"/>
        <v>-1</v>
      </c>
      <c r="M561">
        <f>ROUND(INDEX(Manufacturing!P:P,MATCH(EOMONTH($A561,-1),Manufacturing!A:A,0)),2)</f>
        <v>83.96</v>
      </c>
      <c r="N561">
        <f t="shared" si="783"/>
        <v>-1</v>
      </c>
      <c r="O561">
        <f>ROUND(INDEX(Housing!AC:AC,MATCH(EOMONTH($A561,-1),Housing!B:B,0)),2)</f>
        <v>1.9</v>
      </c>
      <c r="P561">
        <f t="shared" si="784"/>
        <v>-3</v>
      </c>
      <c r="Q561">
        <f>ROUND(INDEX(Spending!AJ:AJ,MATCH(EOMONTH($A561,-1),Spending!B:B,0)),2)</f>
        <v>46.01</v>
      </c>
      <c r="R561">
        <f t="shared" si="788"/>
        <v>0</v>
      </c>
      <c r="S561">
        <f>ROUND(INDEX(Employment!V:V,MATCH(EOMONTH($A561,-1),Employment!A:A,0)),2)</f>
        <v>136.72</v>
      </c>
      <c r="T561" s="11">
        <f t="shared" si="785"/>
        <v>-2</v>
      </c>
      <c r="U561">
        <f t="shared" si="777"/>
        <v>10</v>
      </c>
      <c r="V561">
        <f t="shared" si="769"/>
        <v>53.16</v>
      </c>
      <c r="W561" s="13">
        <f t="shared" si="770"/>
        <v>-2.0199999999999999E-2</v>
      </c>
      <c r="X561" s="13">
        <f t="shared" si="771"/>
        <v>-0.11399999999999999</v>
      </c>
      <c r="Y561">
        <f t="shared" si="763"/>
        <v>49.52</v>
      </c>
      <c r="Z561" s="13">
        <f t="shared" si="758"/>
        <v>-2.29E-2</v>
      </c>
      <c r="AA561" s="13">
        <f t="shared" si="754"/>
        <v>-0.14860000000000001</v>
      </c>
      <c r="AB561" s="6">
        <f t="shared" si="764"/>
        <v>42.245000000000005</v>
      </c>
      <c r="AC561">
        <f t="shared" si="756"/>
        <v>21</v>
      </c>
      <c r="AD561" s="11">
        <f t="shared" si="757"/>
        <v>-1</v>
      </c>
      <c r="AE561">
        <f t="shared" si="755"/>
        <v>11</v>
      </c>
      <c r="AF561">
        <f>IF(AND(AE561&lt;15,OR(AC561&gt;=30,AA561&gt;0.15,X561&gt;=0.15)),2,VLOOKUP(AE561,Table!P:Q,2,FALSE))</f>
        <v>1</v>
      </c>
      <c r="AG561" s="22">
        <f>IF((AB561*0.98)-(D561*0.8)+((AF561-3)*3)+VLOOKUP(AM561,Table!$A$11:$B$13,2,FALSE)&lt;0,0,(AB561*0.98)-(D561*0.8)+((AF561-3)*3)+VLOOKUP(AM561,Table!$A$11:$B$13,2,FALSE))</f>
        <v>1.104099999999999</v>
      </c>
      <c r="AH561" s="22">
        <f t="shared" si="786"/>
        <v>1</v>
      </c>
      <c r="AI561" s="18">
        <f t="shared" si="779"/>
        <v>3.69</v>
      </c>
      <c r="AJ561" s="18">
        <f t="shared" si="780"/>
        <v>4.3499999999999996</v>
      </c>
      <c r="AK561" t="str">
        <f t="shared" si="765"/>
        <v>Falling Rates</v>
      </c>
      <c r="AL561">
        <f t="shared" si="776"/>
        <v>11.5</v>
      </c>
      <c r="AM561" s="11" t="str">
        <f t="shared" si="766"/>
        <v>Cash</v>
      </c>
      <c r="AN561" t="str">
        <f t="shared" si="772"/>
        <v>Sell</v>
      </c>
      <c r="AO561" s="13">
        <f t="shared" si="773"/>
        <v>1.5900000000000001E-2</v>
      </c>
      <c r="AP561" s="13">
        <f t="shared" si="774"/>
        <v>5.9999999999999995E-4</v>
      </c>
      <c r="AQ561" s="13">
        <f t="shared" si="775"/>
        <v>8.0000000000000004E-4</v>
      </c>
      <c r="AR561" s="13">
        <f t="shared" si="767"/>
        <v>5.9999999999999995E-4</v>
      </c>
      <c r="AS561" s="6">
        <f t="shared" si="759"/>
        <v>368.92582361712641</v>
      </c>
      <c r="AT561" s="6">
        <f t="shared" si="760"/>
        <v>182.80346420648783</v>
      </c>
      <c r="AU561" s="6">
        <f t="shared" si="761"/>
        <v>411.30874901341656</v>
      </c>
      <c r="AV561" s="6">
        <f t="shared" si="762"/>
        <v>514.94400037072728</v>
      </c>
      <c r="AW561" s="58">
        <f t="shared" si="768"/>
        <v>2007</v>
      </c>
      <c r="AX561" s="58">
        <f>COUNTIF(AW$3:AW561,AW561)</f>
        <v>5</v>
      </c>
    </row>
    <row r="562" spans="1:50" x14ac:dyDescent="0.25">
      <c r="A562" s="5">
        <v>39411</v>
      </c>
      <c r="B562">
        <v>1440.7</v>
      </c>
      <c r="C562">
        <v>3.17</v>
      </c>
      <c r="D562" s="6">
        <v>25.61</v>
      </c>
      <c r="E562" s="18">
        <f t="shared" si="781"/>
        <v>26.53</v>
      </c>
      <c r="F562">
        <f t="shared" si="782"/>
        <v>-2</v>
      </c>
      <c r="G562" s="18">
        <f>ROUND(INDEX(Valuation!U:U,MATCH(A562,Valuation!A:A,0)),2)</f>
        <v>96.33</v>
      </c>
      <c r="H562">
        <f t="shared" si="789"/>
        <v>0</v>
      </c>
      <c r="I562" s="18">
        <f>INDEX(WeeklyIndicators!Y:Y,MATCH(A562,WeeklyIndicators!A:A,0))</f>
        <v>85.94</v>
      </c>
      <c r="J562">
        <f t="shared" si="778"/>
        <v>-2</v>
      </c>
      <c r="K562">
        <f>ROUND(INDEX(Economic!AF:AF,MATCH(EOMONTH($A562,-1),Economic!A:A,0)),2)</f>
        <v>88.11</v>
      </c>
      <c r="L562" s="11">
        <f t="shared" si="787"/>
        <v>-1</v>
      </c>
      <c r="M562">
        <f>ROUND(INDEX(Manufacturing!P:P,MATCH(EOMONTH($A562,-1),Manufacturing!A:A,0)),2)</f>
        <v>85.99</v>
      </c>
      <c r="N562">
        <f t="shared" si="783"/>
        <v>0</v>
      </c>
      <c r="O562">
        <f>ROUND(INDEX(Housing!AC:AC,MATCH(EOMONTH($A562,-1),Housing!B:B,0)),2)</f>
        <v>4.42</v>
      </c>
      <c r="P562">
        <f t="shared" si="784"/>
        <v>-3</v>
      </c>
      <c r="Q562">
        <f>ROUND(INDEX(Spending!AJ:AJ,MATCH(EOMONTH($A562,-1),Spending!B:B,0)),2)</f>
        <v>44.66</v>
      </c>
      <c r="R562">
        <f t="shared" si="788"/>
        <v>0</v>
      </c>
      <c r="S562">
        <f>ROUND(INDEX(Employment!V:V,MATCH(EOMONTH($A562,-1),Employment!A:A,0)),2)</f>
        <v>132.15</v>
      </c>
      <c r="T562" s="11">
        <f t="shared" si="785"/>
        <v>-2</v>
      </c>
      <c r="U562">
        <f t="shared" si="777"/>
        <v>10</v>
      </c>
      <c r="V562">
        <f t="shared" si="769"/>
        <v>54.36</v>
      </c>
      <c r="W562" s="13">
        <f t="shared" si="770"/>
        <v>-2.24E-2</v>
      </c>
      <c r="X562" s="13">
        <f t="shared" si="771"/>
        <v>-0.11509999999999999</v>
      </c>
      <c r="Y562">
        <f t="shared" si="763"/>
        <v>50.17</v>
      </c>
      <c r="Z562" s="13">
        <f t="shared" si="758"/>
        <v>-3.2099999999999997E-2</v>
      </c>
      <c r="AA562" s="13">
        <f t="shared" si="754"/>
        <v>-0.156</v>
      </c>
      <c r="AB562" s="6">
        <f t="shared" si="764"/>
        <v>42.513000000000005</v>
      </c>
      <c r="AC562">
        <f t="shared" si="756"/>
        <v>21</v>
      </c>
      <c r="AD562" s="11">
        <f t="shared" si="757"/>
        <v>-1</v>
      </c>
      <c r="AE562">
        <f t="shared" si="755"/>
        <v>11</v>
      </c>
      <c r="AF562">
        <f>IF(AND(AE562&lt;15,OR(AC562&gt;=30,AA562&gt;0.15,X562&gt;=0.15)),2,VLOOKUP(AE562,Table!P:Q,2,FALSE))</f>
        <v>1</v>
      </c>
      <c r="AG562" s="22">
        <f>IF((AB562*0.98)-(D562*0.8)+((AF562-3)*3)+VLOOKUP(AM562,Table!$A$11:$B$13,2,FALSE)&lt;0,0,(AB562*0.98)-(D562*0.8)+((AF562-3)*3)+VLOOKUP(AM562,Table!$A$11:$B$13,2,FALSE))</f>
        <v>0</v>
      </c>
      <c r="AH562" s="22">
        <f t="shared" si="786"/>
        <v>12</v>
      </c>
      <c r="AI562" s="18">
        <f t="shared" si="779"/>
        <v>3.77</v>
      </c>
      <c r="AJ562" s="18">
        <f t="shared" si="780"/>
        <v>4.41</v>
      </c>
      <c r="AK562" t="str">
        <f t="shared" si="765"/>
        <v>Falling Rates</v>
      </c>
      <c r="AL562">
        <f t="shared" si="776"/>
        <v>12.25</v>
      </c>
      <c r="AM562" s="11" t="str">
        <f t="shared" si="766"/>
        <v>Cash</v>
      </c>
      <c r="AN562" t="str">
        <f t="shared" si="772"/>
        <v>Sell</v>
      </c>
      <c r="AO562" s="13">
        <f t="shared" si="773"/>
        <v>2.81E-2</v>
      </c>
      <c r="AP562" s="13">
        <f t="shared" si="774"/>
        <v>5.9999999999999995E-4</v>
      </c>
      <c r="AQ562" s="13">
        <f t="shared" si="775"/>
        <v>3.8999999999999998E-3</v>
      </c>
      <c r="AR562" s="13">
        <f t="shared" si="767"/>
        <v>5.9999999999999995E-4</v>
      </c>
      <c r="AS562" s="6">
        <f t="shared" si="759"/>
        <v>358.84235348421981</v>
      </c>
      <c r="AT562" s="6">
        <f t="shared" si="760"/>
        <v>182.69384789774918</v>
      </c>
      <c r="AU562" s="6">
        <f t="shared" si="761"/>
        <v>409.71087659469725</v>
      </c>
      <c r="AV562" s="6">
        <f t="shared" si="762"/>
        <v>514.63521923918381</v>
      </c>
      <c r="AW562" s="58">
        <f t="shared" si="768"/>
        <v>2007</v>
      </c>
      <c r="AX562" s="58">
        <f>COUNTIF(AW$3:AW562,AW562)</f>
        <v>6</v>
      </c>
    </row>
    <row r="563" spans="1:50" x14ac:dyDescent="0.25">
      <c r="A563" s="5">
        <v>39404</v>
      </c>
      <c r="B563">
        <v>1458.74</v>
      </c>
      <c r="C563">
        <v>3.32</v>
      </c>
      <c r="D563" s="6">
        <v>25.49</v>
      </c>
      <c r="E563" s="18">
        <f t="shared" si="781"/>
        <v>25.67</v>
      </c>
      <c r="F563">
        <f t="shared" si="782"/>
        <v>-2</v>
      </c>
      <c r="G563" s="18">
        <f>ROUND(INDEX(Valuation!U:U,MATCH(A563,Valuation!A:A,0)),2)</f>
        <v>95.36</v>
      </c>
      <c r="H563">
        <f t="shared" si="789"/>
        <v>0</v>
      </c>
      <c r="I563" s="18">
        <f>INDEX(WeeklyIndicators!Y:Y,MATCH(A563,WeeklyIndicators!A:A,0))</f>
        <v>93.6</v>
      </c>
      <c r="J563">
        <f t="shared" si="778"/>
        <v>-2</v>
      </c>
      <c r="K563">
        <f>ROUND(INDEX(Economic!AF:AF,MATCH(EOMONTH($A563,-1),Economic!A:A,0)),2)</f>
        <v>88.11</v>
      </c>
      <c r="L563" s="11">
        <f t="shared" si="787"/>
        <v>-1</v>
      </c>
      <c r="M563">
        <f>ROUND(INDEX(Manufacturing!P:P,MATCH(EOMONTH($A563,-1),Manufacturing!A:A,0)),2)</f>
        <v>85.99</v>
      </c>
      <c r="N563">
        <f t="shared" si="783"/>
        <v>0</v>
      </c>
      <c r="O563">
        <f>ROUND(INDEX(Housing!AC:AC,MATCH(EOMONTH($A563,-1),Housing!B:B,0)),2)</f>
        <v>4.42</v>
      </c>
      <c r="P563">
        <f t="shared" si="784"/>
        <v>-3</v>
      </c>
      <c r="Q563">
        <f>ROUND(INDEX(Spending!AJ:AJ,MATCH(EOMONTH($A563,-1),Spending!B:B,0)),2)</f>
        <v>44.66</v>
      </c>
      <c r="R563">
        <f t="shared" si="788"/>
        <v>0</v>
      </c>
      <c r="S563">
        <f>ROUND(INDEX(Employment!V:V,MATCH(EOMONTH($A563,-1),Employment!A:A,0)),2)</f>
        <v>132.15</v>
      </c>
      <c r="T563" s="11">
        <f t="shared" si="785"/>
        <v>-2</v>
      </c>
      <c r="U563">
        <f t="shared" si="777"/>
        <v>10</v>
      </c>
      <c r="V563">
        <f t="shared" si="769"/>
        <v>55.16</v>
      </c>
      <c r="W563" s="13">
        <f t="shared" si="770"/>
        <v>-3.78E-2</v>
      </c>
      <c r="X563" s="13">
        <f t="shared" si="771"/>
        <v>-8.6799999999999988E-2</v>
      </c>
      <c r="Y563">
        <f t="shared" si="763"/>
        <v>51.15</v>
      </c>
      <c r="Z563" s="13">
        <f t="shared" si="758"/>
        <v>-0.05</v>
      </c>
      <c r="AA563" s="13">
        <f t="shared" ref="AA563:AA626" si="790">SUM(Z563:Z566)</f>
        <v>-0.12230000000000001</v>
      </c>
      <c r="AB563" s="6">
        <f t="shared" si="764"/>
        <v>45.966000000000001</v>
      </c>
      <c r="AC563">
        <f t="shared" si="756"/>
        <v>23</v>
      </c>
      <c r="AD563" s="11">
        <f t="shared" si="757"/>
        <v>-1</v>
      </c>
      <c r="AE563">
        <f t="shared" si="755"/>
        <v>11</v>
      </c>
      <c r="AF563">
        <f>IF(AND(AE563&lt;15,OR(AC563&gt;=30,AA563&gt;0.15,X563&gt;=0.15)),2,VLOOKUP(AE563,Table!P:Q,2,FALSE))</f>
        <v>1</v>
      </c>
      <c r="AG563" s="22">
        <f>IF((AB563*0.98)-(D563*0.8)+((AF563-3)*3)+VLOOKUP(AM563,Table!$A$11:$B$13,2,FALSE)&lt;0,0,(AB563*0.98)-(D563*0.8)+((AF563-3)*3)+VLOOKUP(AM563,Table!$A$11:$B$13,2,FALSE))</f>
        <v>2.6546800000000026</v>
      </c>
      <c r="AH563" s="22">
        <f t="shared" si="786"/>
        <v>27</v>
      </c>
      <c r="AI563" s="18">
        <f t="shared" si="779"/>
        <v>3.8</v>
      </c>
      <c r="AJ563" s="18">
        <f t="shared" si="780"/>
        <v>4.45</v>
      </c>
      <c r="AK563" t="str">
        <f t="shared" si="765"/>
        <v>Falling Rates</v>
      </c>
      <c r="AL563">
        <f t="shared" si="776"/>
        <v>13.75</v>
      </c>
      <c r="AM563" s="11" t="str">
        <f t="shared" si="766"/>
        <v>Cash</v>
      </c>
      <c r="AN563" t="str">
        <f t="shared" si="772"/>
        <v>Sell</v>
      </c>
      <c r="AO563" s="13">
        <f t="shared" si="773"/>
        <v>-1.24E-2</v>
      </c>
      <c r="AP563" s="13">
        <f t="shared" si="774"/>
        <v>5.9999999999999995E-4</v>
      </c>
      <c r="AQ563" s="13">
        <f t="shared" si="775"/>
        <v>-2.8999999999999998E-3</v>
      </c>
      <c r="AR563" s="13">
        <f t="shared" si="767"/>
        <v>5.9999999999999995E-4</v>
      </c>
      <c r="AS563" s="6">
        <f t="shared" si="759"/>
        <v>363.3478670354595</v>
      </c>
      <c r="AT563" s="6">
        <f t="shared" si="760"/>
        <v>182.58429731935757</v>
      </c>
      <c r="AU563" s="6">
        <f t="shared" si="761"/>
        <v>410.90249382679497</v>
      </c>
      <c r="AV563" s="6">
        <f t="shared" si="762"/>
        <v>514.32662326522473</v>
      </c>
      <c r="AW563" s="58">
        <f t="shared" si="768"/>
        <v>2007</v>
      </c>
      <c r="AX563" s="58">
        <f>COUNTIF(AW$3:AW563,AW563)</f>
        <v>7</v>
      </c>
    </row>
    <row r="564" spans="1:50" x14ac:dyDescent="0.25">
      <c r="A564" s="5">
        <v>39397</v>
      </c>
      <c r="B564">
        <v>1453.7</v>
      </c>
      <c r="C564">
        <v>3.43</v>
      </c>
      <c r="D564" s="6">
        <v>28.5</v>
      </c>
      <c r="E564" s="18">
        <f t="shared" si="781"/>
        <v>23.69</v>
      </c>
      <c r="F564">
        <f t="shared" si="782"/>
        <v>-1</v>
      </c>
      <c r="G564" s="18">
        <f>ROUND(INDEX(Valuation!U:U,MATCH(A564,Valuation!A:A,0)),2)</f>
        <v>94.04</v>
      </c>
      <c r="H564">
        <f t="shared" si="789"/>
        <v>0</v>
      </c>
      <c r="I564" s="18">
        <f>INDEX(WeeklyIndicators!Y:Y,MATCH(A564,WeeklyIndicators!A:A,0))</f>
        <v>106.74</v>
      </c>
      <c r="J564">
        <f t="shared" si="778"/>
        <v>-1</v>
      </c>
      <c r="K564">
        <f>ROUND(INDEX(Economic!AF:AF,MATCH(EOMONTH($A564,-1),Economic!A:A,0)),2)</f>
        <v>88.11</v>
      </c>
      <c r="L564" s="11">
        <f t="shared" si="787"/>
        <v>-1</v>
      </c>
      <c r="M564">
        <f>ROUND(INDEX(Manufacturing!P:P,MATCH(EOMONTH($A564,-1),Manufacturing!A:A,0)),2)</f>
        <v>85.99</v>
      </c>
      <c r="N564">
        <f t="shared" si="783"/>
        <v>0</v>
      </c>
      <c r="O564">
        <f>ROUND(INDEX(Housing!AC:AC,MATCH(EOMONTH($A564,-1),Housing!B:B,0)),2)</f>
        <v>4.42</v>
      </c>
      <c r="P564">
        <f t="shared" si="784"/>
        <v>-3</v>
      </c>
      <c r="Q564">
        <f>ROUND(INDEX(Spending!AJ:AJ,MATCH(EOMONTH($A564,-1),Spending!B:B,0)),2)</f>
        <v>44.66</v>
      </c>
      <c r="R564">
        <f t="shared" si="788"/>
        <v>0</v>
      </c>
      <c r="S564">
        <f>ROUND(INDEX(Employment!V:V,MATCH(EOMONTH($A564,-1),Employment!A:A,0)),2)</f>
        <v>132.15</v>
      </c>
      <c r="T564" s="11">
        <f t="shared" si="785"/>
        <v>-2</v>
      </c>
      <c r="U564">
        <f t="shared" si="777"/>
        <v>12</v>
      </c>
      <c r="V564">
        <f t="shared" si="769"/>
        <v>56.52</v>
      </c>
      <c r="W564" s="13">
        <f t="shared" si="770"/>
        <v>-3.3599999999999998E-2</v>
      </c>
      <c r="X564" s="13">
        <f t="shared" si="771"/>
        <v>-4.2999999999999997E-2</v>
      </c>
      <c r="Y564">
        <f t="shared" si="763"/>
        <v>53.06</v>
      </c>
      <c r="Z564" s="13">
        <f t="shared" si="758"/>
        <v>-4.36E-2</v>
      </c>
      <c r="AA564" s="13">
        <f t="shared" si="790"/>
        <v>-6.4299999999999996E-2</v>
      </c>
      <c r="AB564" s="6">
        <f t="shared" si="764"/>
        <v>52.114000000000004</v>
      </c>
      <c r="AC564">
        <f t="shared" si="756"/>
        <v>26</v>
      </c>
      <c r="AD564" s="11">
        <f t="shared" si="757"/>
        <v>-1</v>
      </c>
      <c r="AE564">
        <f t="shared" si="755"/>
        <v>13</v>
      </c>
      <c r="AF564">
        <f>IF(AND(AE564&lt;15,OR(AC564&gt;=30,AA564&gt;0.15,X564&gt;=0.15)),2,VLOOKUP(AE564,Table!P:Q,2,FALSE))</f>
        <v>2</v>
      </c>
      <c r="AG564" s="22">
        <f>IF((AB564*0.98)-(D564*0.8)+((AF564-3)*3)+VLOOKUP(AM564,Table!$A$11:$B$13,2,FALSE)&lt;0,0,(AB564*0.98)-(D564*0.8)+((AF564-3)*3)+VLOOKUP(AM564,Table!$A$11:$B$13,2,FALSE))</f>
        <v>33.271720000000002</v>
      </c>
      <c r="AH564" s="22">
        <f t="shared" si="786"/>
        <v>44</v>
      </c>
      <c r="AI564" s="18">
        <f t="shared" si="779"/>
        <v>3.87</v>
      </c>
      <c r="AJ564" s="18">
        <f t="shared" si="780"/>
        <v>4.5</v>
      </c>
      <c r="AK564" t="str">
        <f t="shared" si="765"/>
        <v>Falling Rates</v>
      </c>
      <c r="AL564">
        <f t="shared" si="776"/>
        <v>15.25</v>
      </c>
      <c r="AM564" s="11" t="str">
        <f t="shared" si="766"/>
        <v>Stocks</v>
      </c>
      <c r="AN564" t="str">
        <f t="shared" si="772"/>
        <v>Sell</v>
      </c>
      <c r="AO564" s="13">
        <f t="shared" si="773"/>
        <v>3.5000000000000001E-3</v>
      </c>
      <c r="AP564" s="13">
        <f t="shared" si="774"/>
        <v>6.9999999999999999E-4</v>
      </c>
      <c r="AQ564" s="13">
        <f t="shared" si="775"/>
        <v>1.9E-3</v>
      </c>
      <c r="AR564" s="13">
        <f t="shared" si="767"/>
        <v>3.5000000000000001E-3</v>
      </c>
      <c r="AS564" s="6">
        <f t="shared" si="759"/>
        <v>362.08058498800148</v>
      </c>
      <c r="AT564" s="6">
        <f t="shared" si="760"/>
        <v>182.45657771495712</v>
      </c>
      <c r="AU564" s="6">
        <f t="shared" si="761"/>
        <v>410.12325963349133</v>
      </c>
      <c r="AV564" s="6">
        <f t="shared" si="762"/>
        <v>512.53275861008933</v>
      </c>
      <c r="AW564" s="58">
        <f t="shared" si="768"/>
        <v>2007</v>
      </c>
      <c r="AX564" s="58">
        <f>COUNTIF(AW$3:AW564,AW564)</f>
        <v>8</v>
      </c>
    </row>
    <row r="565" spans="1:50" x14ac:dyDescent="0.25">
      <c r="A565" s="5">
        <v>39390</v>
      </c>
      <c r="B565">
        <v>1509.65</v>
      </c>
      <c r="C565">
        <v>3.77</v>
      </c>
      <c r="D565" s="6">
        <v>23.01</v>
      </c>
      <c r="E565" s="18">
        <f t="shared" si="781"/>
        <v>21.84</v>
      </c>
      <c r="F565">
        <f t="shared" si="782"/>
        <v>-1</v>
      </c>
      <c r="G565" s="18">
        <f>ROUND(INDEX(Valuation!U:U,MATCH(A565,Valuation!A:A,0)),2)</f>
        <v>93.48</v>
      </c>
      <c r="H565">
        <f t="shared" si="789"/>
        <v>0</v>
      </c>
      <c r="I565" s="18">
        <f>INDEX(WeeklyIndicators!Y:Y,MATCH(A565,WeeklyIndicators!A:A,0))</f>
        <v>122.6</v>
      </c>
      <c r="J565">
        <f t="shared" si="778"/>
        <v>0</v>
      </c>
      <c r="K565">
        <f>ROUND(INDEX(Economic!AF:AF,MATCH(EOMONTH($A565,-1),Economic!A:A,0)),2)</f>
        <v>88.11</v>
      </c>
      <c r="L565" s="11">
        <f t="shared" si="787"/>
        <v>-1</v>
      </c>
      <c r="M565">
        <f>ROUND(INDEX(Manufacturing!P:P,MATCH(EOMONTH($A565,-1),Manufacturing!A:A,0)),2)</f>
        <v>85.99</v>
      </c>
      <c r="N565">
        <f t="shared" si="783"/>
        <v>0</v>
      </c>
      <c r="O565">
        <f>ROUND(INDEX(Housing!AC:AC,MATCH(EOMONTH($A565,-1),Housing!B:B,0)),2)</f>
        <v>4.42</v>
      </c>
      <c r="P565">
        <f t="shared" si="784"/>
        <v>-3</v>
      </c>
      <c r="Q565">
        <f>ROUND(INDEX(Spending!AJ:AJ,MATCH(EOMONTH($A565,-1),Spending!B:B,0)),2)</f>
        <v>44.66</v>
      </c>
      <c r="R565">
        <f t="shared" si="788"/>
        <v>0</v>
      </c>
      <c r="S565">
        <f>ROUND(INDEX(Employment!V:V,MATCH(EOMONTH($A565,-1),Employment!A:A,0)),2)</f>
        <v>132.15</v>
      </c>
      <c r="T565" s="11">
        <f t="shared" si="785"/>
        <v>-2</v>
      </c>
      <c r="U565">
        <f t="shared" si="777"/>
        <v>13</v>
      </c>
      <c r="V565">
        <f t="shared" si="769"/>
        <v>58.17</v>
      </c>
      <c r="W565" s="13">
        <f t="shared" si="770"/>
        <v>-2.1299999999999999E-2</v>
      </c>
      <c r="X565" s="13">
        <f t="shared" si="771"/>
        <v>8.0000000000000036E-4</v>
      </c>
      <c r="Y565">
        <f t="shared" si="763"/>
        <v>55.29</v>
      </c>
      <c r="Z565" s="13">
        <f t="shared" si="758"/>
        <v>-3.0300000000000001E-2</v>
      </c>
      <c r="AA565" s="13">
        <f t="shared" si="790"/>
        <v>0</v>
      </c>
      <c r="AB565" s="6">
        <f t="shared" si="764"/>
        <v>59.088000000000001</v>
      </c>
      <c r="AC565">
        <f t="shared" si="756"/>
        <v>30</v>
      </c>
      <c r="AD565" s="11">
        <f t="shared" si="757"/>
        <v>-1</v>
      </c>
      <c r="AE565">
        <f t="shared" si="755"/>
        <v>14</v>
      </c>
      <c r="AF565">
        <f>IF(AND(AE565&lt;15,OR(AC565&gt;=30,AA565&gt;0.15,X565&gt;=0.15)),2,VLOOKUP(AE565,Table!P:Q,2,FALSE))</f>
        <v>2</v>
      </c>
      <c r="AG565" s="22">
        <f>IF((AB565*0.98)-(D565*0.8)+((AF565-3)*3)+VLOOKUP(AM565,Table!$A$11:$B$13,2,FALSE)&lt;0,0,(AB565*0.98)-(D565*0.8)+((AF565-3)*3)+VLOOKUP(AM565,Table!$A$11:$B$13,2,FALSE))</f>
        <v>44.498239999999996</v>
      </c>
      <c r="AH565" s="22">
        <f t="shared" si="786"/>
        <v>52</v>
      </c>
      <c r="AI565" s="18">
        <f t="shared" si="779"/>
        <v>3.96</v>
      </c>
      <c r="AJ565" s="18">
        <f t="shared" si="780"/>
        <v>4.54</v>
      </c>
      <c r="AK565" t="str">
        <f t="shared" si="765"/>
        <v>Falling Rates</v>
      </c>
      <c r="AL565">
        <f t="shared" si="776"/>
        <v>16.5</v>
      </c>
      <c r="AM565" s="11" t="str">
        <f t="shared" si="766"/>
        <v>Stocks</v>
      </c>
      <c r="AN565" t="str">
        <f t="shared" si="772"/>
        <v>Sell</v>
      </c>
      <c r="AO565" s="13">
        <f t="shared" si="773"/>
        <v>-3.7100000000000001E-2</v>
      </c>
      <c r="AP565" s="13">
        <f t="shared" si="774"/>
        <v>6.9999999999999999E-4</v>
      </c>
      <c r="AQ565" s="13">
        <f t="shared" si="775"/>
        <v>-1.9E-2</v>
      </c>
      <c r="AR565" s="13">
        <f t="shared" si="767"/>
        <v>-3.7100000000000001E-2</v>
      </c>
      <c r="AS565" s="6">
        <f t="shared" si="759"/>
        <v>376.03134799875528</v>
      </c>
      <c r="AT565" s="6">
        <f t="shared" si="760"/>
        <v>182.3289474517409</v>
      </c>
      <c r="AU565" s="6">
        <f t="shared" si="761"/>
        <v>418.06652358154059</v>
      </c>
      <c r="AV565" s="6">
        <f t="shared" si="762"/>
        <v>532.28035996478275</v>
      </c>
      <c r="AW565" s="58">
        <f t="shared" si="768"/>
        <v>2007</v>
      </c>
      <c r="AX565" s="58">
        <f>COUNTIF(AW$3:AW565,AW565)</f>
        <v>9</v>
      </c>
    </row>
    <row r="566" spans="1:50" x14ac:dyDescent="0.25">
      <c r="A566" s="5">
        <v>39383</v>
      </c>
      <c r="B566">
        <v>1535.28</v>
      </c>
      <c r="C566">
        <v>3.85</v>
      </c>
      <c r="D566" s="6">
        <v>19.559999999999999</v>
      </c>
      <c r="E566" s="18">
        <f t="shared" si="781"/>
        <v>20.079999999999998</v>
      </c>
      <c r="F566">
        <f t="shared" si="782"/>
        <v>-1</v>
      </c>
      <c r="G566" s="18">
        <f>ROUND(INDEX(Valuation!U:U,MATCH(A566,Valuation!A:A,0)),2)</f>
        <v>93.22</v>
      </c>
      <c r="H566">
        <f t="shared" si="789"/>
        <v>0</v>
      </c>
      <c r="I566" s="18">
        <f>INDEX(WeeklyIndicators!Y:Y,MATCH(A566,WeeklyIndicators!A:A,0))</f>
        <v>139.28</v>
      </c>
      <c r="J566">
        <f t="shared" si="778"/>
        <v>1</v>
      </c>
      <c r="K566">
        <f>ROUND(INDEX(Economic!AF:AF,MATCH(EOMONTH($A566,-1),Economic!A:A,0)),2)</f>
        <v>95.78</v>
      </c>
      <c r="L566" s="11">
        <f t="shared" si="787"/>
        <v>-1</v>
      </c>
      <c r="M566">
        <f>ROUND(INDEX(Manufacturing!P:P,MATCH(EOMONTH($A566,-1),Manufacturing!A:A,0)),2)</f>
        <v>90.06</v>
      </c>
      <c r="N566">
        <f t="shared" si="783"/>
        <v>1</v>
      </c>
      <c r="O566">
        <f>ROUND(INDEX(Housing!AC:AC,MATCH(EOMONTH($A566,-1),Housing!B:B,0)),2)</f>
        <v>10.85</v>
      </c>
      <c r="P566">
        <f t="shared" si="784"/>
        <v>-3</v>
      </c>
      <c r="Q566">
        <f>ROUND(INDEX(Spending!AJ:AJ,MATCH(EOMONTH($A566,-1),Spending!B:B,0)),2)</f>
        <v>44.89</v>
      </c>
      <c r="R566">
        <f t="shared" si="788"/>
        <v>0</v>
      </c>
      <c r="S566">
        <f>ROUND(INDEX(Employment!V:V,MATCH(EOMONTH($A566,-1),Employment!A:A,0)),2)</f>
        <v>130.19999999999999</v>
      </c>
      <c r="T566" s="11">
        <f t="shared" si="785"/>
        <v>-2</v>
      </c>
      <c r="U566">
        <f t="shared" si="777"/>
        <v>15</v>
      </c>
      <c r="V566">
        <f t="shared" si="769"/>
        <v>61.84</v>
      </c>
      <c r="W566" s="13">
        <f t="shared" si="770"/>
        <v>5.8999999999999999E-3</v>
      </c>
      <c r="X566" s="13">
        <f t="shared" si="771"/>
        <v>3.0300000000000001E-2</v>
      </c>
      <c r="Y566">
        <f t="shared" si="763"/>
        <v>59.55</v>
      </c>
      <c r="Z566" s="13">
        <f t="shared" si="758"/>
        <v>1.6000000000000001E-3</v>
      </c>
      <c r="AA566" s="13">
        <f t="shared" si="790"/>
        <v>5.1199999999999996E-2</v>
      </c>
      <c r="AB566" s="6">
        <f t="shared" si="764"/>
        <v>67.162000000000006</v>
      </c>
      <c r="AC566">
        <f t="shared" si="756"/>
        <v>34</v>
      </c>
      <c r="AD566" s="11">
        <f t="shared" si="757"/>
        <v>0</v>
      </c>
      <c r="AE566">
        <f t="shared" si="755"/>
        <v>17</v>
      </c>
      <c r="AF566">
        <f>IF(AND(AE566&lt;15,OR(AC566&gt;=30,AA566&gt;0.15,X566&gt;=0.15)),2,VLOOKUP(AE566,Table!P:Q,2,FALSE))</f>
        <v>2</v>
      </c>
      <c r="AG566" s="22">
        <f>IF((AB566*0.98)-(D566*0.8)+((AF566-3)*3)+VLOOKUP(AM566,Table!$A$11:$B$13,2,FALSE)&lt;0,0,(AB566*0.98)-(D566*0.8)+((AF566-3)*3)+VLOOKUP(AM566,Table!$A$11:$B$13,2,FALSE))</f>
        <v>55.170760000000016</v>
      </c>
      <c r="AH566" s="22">
        <f t="shared" si="786"/>
        <v>57</v>
      </c>
      <c r="AI566" s="18">
        <f t="shared" si="779"/>
        <v>4.04</v>
      </c>
      <c r="AJ566" s="18">
        <f t="shared" si="780"/>
        <v>4.57</v>
      </c>
      <c r="AK566" t="str">
        <f t="shared" si="765"/>
        <v>Falling Rates</v>
      </c>
      <c r="AL566">
        <f t="shared" si="776"/>
        <v>17.25</v>
      </c>
      <c r="AM566" s="11" t="str">
        <f t="shared" si="766"/>
        <v>Stocks</v>
      </c>
      <c r="AN566" t="str">
        <f t="shared" si="772"/>
        <v>Sell</v>
      </c>
      <c r="AO566" s="13">
        <f t="shared" si="773"/>
        <v>-1.67E-2</v>
      </c>
      <c r="AP566" s="13">
        <f t="shared" si="774"/>
        <v>6.9999999999999999E-4</v>
      </c>
      <c r="AQ566" s="13">
        <f t="shared" si="775"/>
        <v>-9.1999999999999998E-3</v>
      </c>
      <c r="AR566" s="13">
        <f t="shared" si="767"/>
        <v>-1.67E-2</v>
      </c>
      <c r="AS566" s="6">
        <f t="shared" si="759"/>
        <v>382.41772398937792</v>
      </c>
      <c r="AT566" s="6">
        <f t="shared" si="760"/>
        <v>182.20140646721387</v>
      </c>
      <c r="AU566" s="6">
        <f t="shared" si="761"/>
        <v>421.94844931524079</v>
      </c>
      <c r="AV566" s="6">
        <f t="shared" si="762"/>
        <v>541.32041082556975</v>
      </c>
      <c r="AW566" s="58">
        <f t="shared" si="768"/>
        <v>2007</v>
      </c>
      <c r="AX566" s="58">
        <f>COUNTIF(AW$3:AW566,AW566)</f>
        <v>10</v>
      </c>
    </row>
    <row r="567" spans="1:50" x14ac:dyDescent="0.25">
      <c r="A567" s="5">
        <v>39376</v>
      </c>
      <c r="B567">
        <v>1500.63</v>
      </c>
      <c r="C567">
        <v>3.93</v>
      </c>
      <c r="D567" s="6">
        <v>22.96</v>
      </c>
      <c r="E567" s="18">
        <f t="shared" si="781"/>
        <v>19.2</v>
      </c>
      <c r="F567">
        <f t="shared" si="782"/>
        <v>-1</v>
      </c>
      <c r="G567" s="18">
        <f>ROUND(INDEX(Valuation!U:U,MATCH(A567,Valuation!A:A,0)),2)</f>
        <v>93.73</v>
      </c>
      <c r="H567">
        <f t="shared" si="789"/>
        <v>0</v>
      </c>
      <c r="I567" s="18">
        <f>INDEX(WeeklyIndicators!Y:Y,MATCH(A567,WeeklyIndicators!A:A,0))</f>
        <v>147.11000000000001</v>
      </c>
      <c r="J567">
        <f t="shared" si="778"/>
        <v>1</v>
      </c>
      <c r="K567">
        <f>ROUND(INDEX(Economic!AF:AF,MATCH(EOMONTH($A567,-1),Economic!A:A,0)),2)</f>
        <v>95.78</v>
      </c>
      <c r="L567" s="11">
        <f t="shared" si="787"/>
        <v>-1</v>
      </c>
      <c r="M567">
        <f>ROUND(INDEX(Manufacturing!P:P,MATCH(EOMONTH($A567,-1),Manufacturing!A:A,0)),2)</f>
        <v>90.06</v>
      </c>
      <c r="N567">
        <f t="shared" si="783"/>
        <v>1</v>
      </c>
      <c r="O567">
        <f>ROUND(INDEX(Housing!AC:AC,MATCH(EOMONTH($A567,-1),Housing!B:B,0)),2)</f>
        <v>10.85</v>
      </c>
      <c r="P567">
        <f t="shared" si="784"/>
        <v>-3</v>
      </c>
      <c r="Q567">
        <f>ROUND(INDEX(Spending!AJ:AJ,MATCH(EOMONTH($A567,-1),Spending!B:B,0)),2)</f>
        <v>44.89</v>
      </c>
      <c r="R567">
        <f t="shared" si="788"/>
        <v>0</v>
      </c>
      <c r="S567">
        <f>ROUND(INDEX(Employment!V:V,MATCH(EOMONTH($A567,-1),Employment!A:A,0)),2)</f>
        <v>130.19999999999999</v>
      </c>
      <c r="T567" s="11">
        <f t="shared" si="785"/>
        <v>-2</v>
      </c>
      <c r="U567">
        <f t="shared" si="777"/>
        <v>15</v>
      </c>
      <c r="V567">
        <f t="shared" si="769"/>
        <v>62.65</v>
      </c>
      <c r="W567" s="13">
        <f t="shared" si="770"/>
        <v>6.0000000000000001E-3</v>
      </c>
      <c r="X567" s="13">
        <f t="shared" si="771"/>
        <v>4.1599999999999998E-2</v>
      </c>
      <c r="Y567">
        <f t="shared" si="763"/>
        <v>60.72</v>
      </c>
      <c r="Z567" s="13">
        <f t="shared" si="758"/>
        <v>8.0000000000000002E-3</v>
      </c>
      <c r="AA567" s="13">
        <f t="shared" si="790"/>
        <v>7.3599999999999999E-2</v>
      </c>
      <c r="AB567" s="6">
        <f t="shared" si="764"/>
        <v>70.033000000000001</v>
      </c>
      <c r="AC567">
        <f t="shared" si="756"/>
        <v>35</v>
      </c>
      <c r="AD567" s="11">
        <f t="shared" si="757"/>
        <v>0</v>
      </c>
      <c r="AE567">
        <f t="shared" si="755"/>
        <v>17</v>
      </c>
      <c r="AF567">
        <f>IF(AND(AE567&lt;15,OR(AC567&gt;=30,AA567&gt;0.15,X567&gt;=0.15)),2,VLOOKUP(AE567,Table!P:Q,2,FALSE))</f>
        <v>2</v>
      </c>
      <c r="AG567" s="22">
        <f>IF((AB567*0.98)-(D567*0.8)+((AF567-3)*3)+VLOOKUP(AM567,Table!$A$11:$B$13,2,FALSE)&lt;0,0,(AB567*0.98)-(D567*0.8)+((AF567-3)*3)+VLOOKUP(AM567,Table!$A$11:$B$13,2,FALSE))</f>
        <v>55.264339999999997</v>
      </c>
      <c r="AH567" s="22">
        <f t="shared" si="786"/>
        <v>57</v>
      </c>
      <c r="AI567" s="18">
        <f t="shared" si="779"/>
        <v>4.1100000000000003</v>
      </c>
      <c r="AJ567" s="18">
        <f t="shared" si="780"/>
        <v>4.5999999999999996</v>
      </c>
      <c r="AK567" t="str">
        <f t="shared" si="765"/>
        <v>Falling Rates</v>
      </c>
      <c r="AL567">
        <f t="shared" si="776"/>
        <v>16.75</v>
      </c>
      <c r="AM567" s="11" t="str">
        <f t="shared" si="766"/>
        <v>Stocks</v>
      </c>
      <c r="AN567" t="str">
        <f t="shared" si="772"/>
        <v>Sell</v>
      </c>
      <c r="AO567" s="13">
        <f t="shared" si="773"/>
        <v>2.3099999999999999E-2</v>
      </c>
      <c r="AP567" s="13">
        <f t="shared" si="774"/>
        <v>8.0000000000000004E-4</v>
      </c>
      <c r="AQ567" s="13">
        <f t="shared" si="775"/>
        <v>1.35E-2</v>
      </c>
      <c r="AR567" s="13">
        <f t="shared" si="767"/>
        <v>2.3099999999999999E-2</v>
      </c>
      <c r="AS567" s="6">
        <f t="shared" si="759"/>
        <v>373.78332908745767</v>
      </c>
      <c r="AT567" s="6">
        <f t="shared" si="760"/>
        <v>182.0557618577277</v>
      </c>
      <c r="AU567" s="6">
        <f t="shared" si="761"/>
        <v>416.32802103131797</v>
      </c>
      <c r="AV567" s="6">
        <f t="shared" si="762"/>
        <v>529.0982414481183</v>
      </c>
      <c r="AW567" s="58">
        <f t="shared" si="768"/>
        <v>2007</v>
      </c>
      <c r="AX567" s="58">
        <f>COUNTIF(AW$3:AW567,AW567)</f>
        <v>11</v>
      </c>
    </row>
    <row r="568" spans="1:50" x14ac:dyDescent="0.25">
      <c r="A568" s="5">
        <v>39369</v>
      </c>
      <c r="B568">
        <v>1561.8</v>
      </c>
      <c r="C568">
        <v>4</v>
      </c>
      <c r="D568" s="6">
        <v>17.73</v>
      </c>
      <c r="E568" s="18">
        <f t="shared" si="781"/>
        <v>17.55</v>
      </c>
      <c r="F568">
        <f t="shared" si="782"/>
        <v>0</v>
      </c>
      <c r="G568" s="18">
        <f>ROUND(INDEX(Valuation!U:U,MATCH(A568,Valuation!A:A,0)),2)</f>
        <v>93.59</v>
      </c>
      <c r="H568">
        <f t="shared" si="789"/>
        <v>0</v>
      </c>
      <c r="I568" s="18">
        <f>INDEX(WeeklyIndicators!Y:Y,MATCH(A568,WeeklyIndicators!A:A,0))</f>
        <v>142.19</v>
      </c>
      <c r="J568">
        <f t="shared" si="778"/>
        <v>1</v>
      </c>
      <c r="K568">
        <f>ROUND(INDEX(Economic!AF:AF,MATCH(EOMONTH($A568,-1),Economic!A:A,0)),2)</f>
        <v>95.78</v>
      </c>
      <c r="L568" s="11">
        <f t="shared" si="787"/>
        <v>-1</v>
      </c>
      <c r="M568">
        <f>ROUND(INDEX(Manufacturing!P:P,MATCH(EOMONTH($A568,-1),Manufacturing!A:A,0)),2)</f>
        <v>90.06</v>
      </c>
      <c r="N568">
        <f t="shared" si="783"/>
        <v>1</v>
      </c>
      <c r="O568">
        <f>ROUND(INDEX(Housing!AC:AC,MATCH(EOMONTH($A568,-1),Housing!B:B,0)),2)</f>
        <v>10.85</v>
      </c>
      <c r="P568">
        <f t="shared" si="784"/>
        <v>-3</v>
      </c>
      <c r="Q568">
        <f>ROUND(INDEX(Spending!AJ:AJ,MATCH(EOMONTH($A568,-1),Spending!B:B,0)),2)</f>
        <v>44.89</v>
      </c>
      <c r="R568">
        <f t="shared" si="788"/>
        <v>0</v>
      </c>
      <c r="S568">
        <f>ROUND(INDEX(Employment!V:V,MATCH(EOMONTH($A568,-1),Employment!A:A,0)),2)</f>
        <v>130.19999999999999</v>
      </c>
      <c r="T568" s="11">
        <f t="shared" si="785"/>
        <v>-2</v>
      </c>
      <c r="U568">
        <f t="shared" si="777"/>
        <v>16</v>
      </c>
      <c r="V568">
        <f t="shared" si="769"/>
        <v>62.14</v>
      </c>
      <c r="W568" s="13">
        <f t="shared" si="770"/>
        <v>1.0200000000000001E-2</v>
      </c>
      <c r="X568" s="13">
        <f t="shared" si="771"/>
        <v>4.4600000000000001E-2</v>
      </c>
      <c r="Y568">
        <f t="shared" si="763"/>
        <v>60.77</v>
      </c>
      <c r="Z568" s="13">
        <f t="shared" si="758"/>
        <v>2.07E-2</v>
      </c>
      <c r="AA568" s="13">
        <f t="shared" si="790"/>
        <v>7.8799999999999995E-2</v>
      </c>
      <c r="AB568" s="6">
        <f t="shared" si="764"/>
        <v>70.428999999999988</v>
      </c>
      <c r="AC568">
        <f t="shared" si="756"/>
        <v>35</v>
      </c>
      <c r="AD568" s="11">
        <f t="shared" si="757"/>
        <v>0</v>
      </c>
      <c r="AE568">
        <f t="shared" ref="AE568:AE631" si="791">IF(AND(AA568&gt;=0.2,AC568&gt;=20,U568+AD568+2&lt;30),U568+AD568+2+12,U568+AD568+2)</f>
        <v>18</v>
      </c>
      <c r="AF568">
        <f>IF(AND(AE568&lt;15,OR(AC568&gt;=30,AA568&gt;0.15,X568&gt;=0.15)),2,VLOOKUP(AE568,Table!P:Q,2,FALSE))</f>
        <v>2</v>
      </c>
      <c r="AG568" s="22">
        <f>IF((AB568*0.98)-(D568*0.8)+((AF568-3)*3)+VLOOKUP(AM568,Table!$A$11:$B$13,2,FALSE)&lt;0,0,(AB568*0.98)-(D568*0.8)+((AF568-3)*3)+VLOOKUP(AM568,Table!$A$11:$B$13,2,FALSE))</f>
        <v>59.83641999999999</v>
      </c>
      <c r="AH568" s="22">
        <f t="shared" si="786"/>
        <v>56</v>
      </c>
      <c r="AI568" s="18">
        <f t="shared" si="779"/>
        <v>4.18</v>
      </c>
      <c r="AJ568" s="18">
        <f t="shared" si="780"/>
        <v>4.63</v>
      </c>
      <c r="AK568" t="str">
        <f t="shared" si="765"/>
        <v>Falling Rates</v>
      </c>
      <c r="AL568">
        <f t="shared" si="776"/>
        <v>16.25</v>
      </c>
      <c r="AM568" s="11" t="str">
        <f t="shared" si="766"/>
        <v>Stocks</v>
      </c>
      <c r="AN568" t="str">
        <f t="shared" si="772"/>
        <v>Sell</v>
      </c>
      <c r="AO568" s="13">
        <f t="shared" si="773"/>
        <v>-3.9199999999999999E-2</v>
      </c>
      <c r="AP568" s="13">
        <f t="shared" si="774"/>
        <v>8.0000000000000004E-4</v>
      </c>
      <c r="AQ568" s="13">
        <f t="shared" si="775"/>
        <v>-2.1600000000000001E-2</v>
      </c>
      <c r="AR568" s="13">
        <f t="shared" si="767"/>
        <v>-3.9199999999999999E-2</v>
      </c>
      <c r="AS568" s="6">
        <f t="shared" si="759"/>
        <v>389.03343993282442</v>
      </c>
      <c r="AT568" s="6">
        <f t="shared" si="760"/>
        <v>181.91023367079109</v>
      </c>
      <c r="AU568" s="6">
        <f t="shared" si="761"/>
        <v>425.51923654059482</v>
      </c>
      <c r="AV568" s="6">
        <f t="shared" si="762"/>
        <v>550.68509726073933</v>
      </c>
      <c r="AW568" s="58">
        <f t="shared" si="768"/>
        <v>2007</v>
      </c>
      <c r="AX568" s="58">
        <f>COUNTIF(AW$3:AW568,AW568)</f>
        <v>12</v>
      </c>
    </row>
    <row r="569" spans="1:50" x14ac:dyDescent="0.25">
      <c r="A569" s="5">
        <v>39362</v>
      </c>
      <c r="B569">
        <v>1557.59</v>
      </c>
      <c r="C569">
        <v>3.86</v>
      </c>
      <c r="D569" s="6">
        <v>16.91</v>
      </c>
      <c r="E569" s="18">
        <f t="shared" si="781"/>
        <v>17.97</v>
      </c>
      <c r="F569">
        <f t="shared" si="782"/>
        <v>0</v>
      </c>
      <c r="G569" s="18">
        <f>ROUND(INDEX(Valuation!U:U,MATCH(A569,Valuation!A:A,0)),2)</f>
        <v>93.88</v>
      </c>
      <c r="H569">
        <f t="shared" si="789"/>
        <v>0</v>
      </c>
      <c r="I569" s="18">
        <f>INDEX(WeeklyIndicators!Y:Y,MATCH(A569,WeeklyIndicators!A:A,0))</f>
        <v>128.72999999999999</v>
      </c>
      <c r="J569">
        <f t="shared" si="778"/>
        <v>0</v>
      </c>
      <c r="K569">
        <f>ROUND(INDEX(Economic!AF:AF,MATCH(EOMONTH($A569,-1),Economic!A:A,0)),2)</f>
        <v>95.78</v>
      </c>
      <c r="L569" s="11">
        <f t="shared" si="787"/>
        <v>-1</v>
      </c>
      <c r="M569">
        <f>ROUND(INDEX(Manufacturing!P:P,MATCH(EOMONTH($A569,-1),Manufacturing!A:A,0)),2)</f>
        <v>90.06</v>
      </c>
      <c r="N569">
        <f t="shared" si="783"/>
        <v>1</v>
      </c>
      <c r="O569">
        <f>ROUND(INDEX(Housing!AC:AC,MATCH(EOMONTH($A569,-1),Housing!B:B,0)),2)</f>
        <v>10.85</v>
      </c>
      <c r="P569">
        <f t="shared" si="784"/>
        <v>-3</v>
      </c>
      <c r="Q569">
        <f>ROUND(INDEX(Spending!AJ:AJ,MATCH(EOMONTH($A569,-1),Spending!B:B,0)),2)</f>
        <v>44.89</v>
      </c>
      <c r="R569">
        <f t="shared" si="788"/>
        <v>0</v>
      </c>
      <c r="S569">
        <f>ROUND(INDEX(Employment!V:V,MATCH(EOMONTH($A569,-1),Employment!A:A,0)),2)</f>
        <v>130.19999999999999</v>
      </c>
      <c r="T569" s="11">
        <f t="shared" si="785"/>
        <v>-2</v>
      </c>
      <c r="U569">
        <f t="shared" si="777"/>
        <v>15</v>
      </c>
      <c r="V569">
        <f t="shared" si="769"/>
        <v>60.75</v>
      </c>
      <c r="W569" s="13">
        <f t="shared" si="770"/>
        <v>8.2000000000000007E-3</v>
      </c>
      <c r="X569" s="13">
        <f t="shared" si="771"/>
        <v>1.44E-2</v>
      </c>
      <c r="Y569">
        <f t="shared" si="763"/>
        <v>59.26</v>
      </c>
      <c r="Z569" s="13">
        <f t="shared" si="758"/>
        <v>2.0899999999999998E-2</v>
      </c>
      <c r="AA569" s="13">
        <f t="shared" si="790"/>
        <v>4.1599999999999998E-2</v>
      </c>
      <c r="AB569" s="6">
        <f t="shared" si="764"/>
        <v>66.108000000000004</v>
      </c>
      <c r="AC569">
        <f t="shared" si="756"/>
        <v>33</v>
      </c>
      <c r="AD569" s="11">
        <f t="shared" si="757"/>
        <v>0</v>
      </c>
      <c r="AE569">
        <f t="shared" si="791"/>
        <v>17</v>
      </c>
      <c r="AF569">
        <f>IF(AND(AE569&lt;15,OR(AC569&gt;=30,AA569&gt;0.15,X569&gt;=0.15)),2,VLOOKUP(AE569,Table!P:Q,2,FALSE))</f>
        <v>2</v>
      </c>
      <c r="AG569" s="22">
        <f>IF((AB569*0.98)-(D569*0.8)+((AF569-3)*3)+VLOOKUP(AM569,Table!$A$11:$B$13,2,FALSE)&lt;0,0,(AB569*0.98)-(D569*0.8)+((AF569-3)*3)+VLOOKUP(AM569,Table!$A$11:$B$13,2,FALSE))</f>
        <v>56.257840000000009</v>
      </c>
      <c r="AH569" s="22">
        <f t="shared" si="786"/>
        <v>51</v>
      </c>
      <c r="AI569" s="18">
        <f t="shared" si="779"/>
        <v>4.25</v>
      </c>
      <c r="AJ569" s="18">
        <f t="shared" si="780"/>
        <v>4.6500000000000004</v>
      </c>
      <c r="AK569" t="str">
        <f t="shared" si="765"/>
        <v>Falling Rates</v>
      </c>
      <c r="AL569">
        <f t="shared" si="776"/>
        <v>15.25</v>
      </c>
      <c r="AM569" s="11" t="str">
        <f t="shared" si="766"/>
        <v>Stocks</v>
      </c>
      <c r="AN569" t="str">
        <f t="shared" si="772"/>
        <v>Sell</v>
      </c>
      <c r="AO569" s="13">
        <f t="shared" si="773"/>
        <v>2.7000000000000001E-3</v>
      </c>
      <c r="AP569" s="13">
        <f t="shared" si="774"/>
        <v>6.9999999999999999E-4</v>
      </c>
      <c r="AQ569" s="13">
        <f t="shared" si="775"/>
        <v>1.6999999999999999E-3</v>
      </c>
      <c r="AR569" s="13">
        <f t="shared" si="767"/>
        <v>2.7000000000000001E-3</v>
      </c>
      <c r="AS569" s="6">
        <f t="shared" si="759"/>
        <v>387.98587806205688</v>
      </c>
      <c r="AT569" s="6">
        <f t="shared" si="760"/>
        <v>181.78298558088449</v>
      </c>
      <c r="AU569" s="6">
        <f t="shared" si="761"/>
        <v>424.79708150204135</v>
      </c>
      <c r="AV569" s="6">
        <f t="shared" si="762"/>
        <v>549.20225118254655</v>
      </c>
      <c r="AW569" s="58">
        <f t="shared" si="768"/>
        <v>2007</v>
      </c>
      <c r="AX569" s="58">
        <f>COUNTIF(AW$3:AW569,AW569)</f>
        <v>13</v>
      </c>
    </row>
    <row r="570" spans="1:50" x14ac:dyDescent="0.25">
      <c r="A570" s="5">
        <v>39355</v>
      </c>
      <c r="B570">
        <v>1526.75</v>
      </c>
      <c r="C570">
        <v>3.69</v>
      </c>
      <c r="D570" s="6">
        <v>18</v>
      </c>
      <c r="E570" s="18">
        <f t="shared" si="781"/>
        <v>20.64</v>
      </c>
      <c r="F570">
        <f t="shared" si="782"/>
        <v>-1</v>
      </c>
      <c r="G570" s="18">
        <f>ROUND(INDEX(Valuation!U:U,MATCH(A570,Valuation!A:A,0)),2)</f>
        <v>95.21</v>
      </c>
      <c r="H570">
        <f t="shared" si="789"/>
        <v>0</v>
      </c>
      <c r="I570" s="18">
        <f>INDEX(WeeklyIndicators!Y:Y,MATCH(A570,WeeklyIndicators!A:A,0))</f>
        <v>113.94</v>
      </c>
      <c r="J570">
        <f t="shared" si="778"/>
        <v>-1</v>
      </c>
      <c r="K570">
        <f>ROUND(INDEX(Economic!AF:AF,MATCH(EOMONTH($A570,-1),Economic!A:A,0)),2)</f>
        <v>101.79</v>
      </c>
      <c r="L570" s="11">
        <f t="shared" si="787"/>
        <v>0</v>
      </c>
      <c r="M570">
        <f>ROUND(INDEX(Manufacturing!P:P,MATCH(EOMONTH($A570,-1),Manufacturing!A:A,0)),2)</f>
        <v>94.37</v>
      </c>
      <c r="N570">
        <f t="shared" si="783"/>
        <v>1</v>
      </c>
      <c r="O570">
        <f>ROUND(INDEX(Housing!AC:AC,MATCH(EOMONTH($A570,-1),Housing!B:B,0)),2)</f>
        <v>16.329999999999998</v>
      </c>
      <c r="P570">
        <f t="shared" si="784"/>
        <v>-3</v>
      </c>
      <c r="Q570">
        <f>ROUND(INDEX(Spending!AJ:AJ,MATCH(EOMONTH($A570,-1),Spending!B:B,0)),2)</f>
        <v>47.7</v>
      </c>
      <c r="R570">
        <f t="shared" si="788"/>
        <v>0</v>
      </c>
      <c r="S570">
        <f>ROUND(INDEX(Employment!V:V,MATCH(EOMONTH($A570,-1),Employment!A:A,0)),2)</f>
        <v>133.52000000000001</v>
      </c>
      <c r="T570" s="11">
        <f t="shared" si="785"/>
        <v>-2</v>
      </c>
      <c r="U570">
        <f t="shared" si="777"/>
        <v>14</v>
      </c>
      <c r="V570">
        <f t="shared" si="769"/>
        <v>61.55</v>
      </c>
      <c r="W570" s="13">
        <f t="shared" si="770"/>
        <v>1.72E-2</v>
      </c>
      <c r="X570" s="13">
        <f t="shared" si="771"/>
        <v>-2.6199999999999998E-2</v>
      </c>
      <c r="Y570">
        <f t="shared" si="763"/>
        <v>59.29</v>
      </c>
      <c r="Z570" s="13">
        <f t="shared" si="758"/>
        <v>2.4E-2</v>
      </c>
      <c r="AA570" s="13">
        <f t="shared" si="790"/>
        <v>-5.1000000000000038E-3</v>
      </c>
      <c r="AB570" s="6">
        <f t="shared" si="764"/>
        <v>62.76100000000001</v>
      </c>
      <c r="AC570">
        <f t="shared" si="756"/>
        <v>31</v>
      </c>
      <c r="AD570" s="11">
        <f t="shared" si="757"/>
        <v>-1</v>
      </c>
      <c r="AE570">
        <f t="shared" si="791"/>
        <v>15</v>
      </c>
      <c r="AF570">
        <f>IF(AND(AE570&lt;15,OR(AC570&gt;=30,AA570&gt;0.15,X570&gt;=0.15)),2,VLOOKUP(AE570,Table!P:Q,2,FALSE))</f>
        <v>2</v>
      </c>
      <c r="AG570" s="22">
        <f>IF((AB570*0.98)-(D570*0.8)+((AF570-3)*3)+VLOOKUP(AM570,Table!$A$11:$B$13,2,FALSE)&lt;0,0,(AB570*0.98)-(D570*0.8)+((AF570-3)*3)+VLOOKUP(AM570,Table!$A$11:$B$13,2,FALSE))</f>
        <v>52.10578000000001</v>
      </c>
      <c r="AH570" s="22">
        <f t="shared" si="786"/>
        <v>44</v>
      </c>
      <c r="AI570" s="18">
        <f t="shared" si="779"/>
        <v>4.32</v>
      </c>
      <c r="AJ570" s="18">
        <f t="shared" si="780"/>
        <v>4.68</v>
      </c>
      <c r="AK570" t="str">
        <f t="shared" si="765"/>
        <v>Falling Rates</v>
      </c>
      <c r="AL570">
        <f t="shared" si="776"/>
        <v>14.5</v>
      </c>
      <c r="AM570" s="11" t="str">
        <f t="shared" si="766"/>
        <v>Stocks</v>
      </c>
      <c r="AN570" t="str">
        <f t="shared" si="772"/>
        <v>Sell</v>
      </c>
      <c r="AO570" s="13">
        <f t="shared" si="773"/>
        <v>2.0199999999999999E-2</v>
      </c>
      <c r="AP570" s="13">
        <f t="shared" si="774"/>
        <v>6.9999999999999999E-4</v>
      </c>
      <c r="AQ570" s="13">
        <f t="shared" si="775"/>
        <v>9.2999999999999992E-3</v>
      </c>
      <c r="AR570" s="13">
        <f t="shared" si="767"/>
        <v>2.0199999999999999E-2</v>
      </c>
      <c r="AS570" s="6">
        <f t="shared" si="759"/>
        <v>380.30374246427846</v>
      </c>
      <c r="AT570" s="6">
        <f t="shared" si="760"/>
        <v>181.65582650233287</v>
      </c>
      <c r="AU570" s="6">
        <f t="shared" si="761"/>
        <v>420.88287080356815</v>
      </c>
      <c r="AV570" s="6">
        <f t="shared" si="762"/>
        <v>538.32802507601116</v>
      </c>
      <c r="AW570" s="58">
        <f t="shared" si="768"/>
        <v>2007</v>
      </c>
      <c r="AX570" s="58">
        <f>COUNTIF(AW$3:AW570,AW570)</f>
        <v>14</v>
      </c>
    </row>
    <row r="571" spans="1:50" x14ac:dyDescent="0.25">
      <c r="A571" s="5">
        <v>39348</v>
      </c>
      <c r="B571">
        <v>1525.75</v>
      </c>
      <c r="C571">
        <v>3.82</v>
      </c>
      <c r="D571" s="6">
        <v>19</v>
      </c>
      <c r="E571" s="18">
        <f t="shared" si="781"/>
        <v>23.38</v>
      </c>
      <c r="F571">
        <f t="shared" si="782"/>
        <v>-1</v>
      </c>
      <c r="G571" s="18">
        <f>ROUND(INDEX(Valuation!U:U,MATCH(A571,Valuation!A:A,0)),2)</f>
        <v>95.81</v>
      </c>
      <c r="H571">
        <f t="shared" si="789"/>
        <v>0</v>
      </c>
      <c r="I571" s="18">
        <f>INDEX(WeeklyIndicators!Y:Y,MATCH(A571,WeeklyIndicators!A:A,0))</f>
        <v>101.7</v>
      </c>
      <c r="J571">
        <f t="shared" si="778"/>
        <v>-1</v>
      </c>
      <c r="K571">
        <f>ROUND(INDEX(Economic!AF:AF,MATCH(EOMONTH($A571,-1),Economic!A:A,0)),2)</f>
        <v>101.79</v>
      </c>
      <c r="L571" s="11">
        <f t="shared" si="787"/>
        <v>0</v>
      </c>
      <c r="M571">
        <f>ROUND(INDEX(Manufacturing!P:P,MATCH(EOMONTH($A571,-1),Manufacturing!A:A,0)),2)</f>
        <v>94.37</v>
      </c>
      <c r="N571">
        <f t="shared" si="783"/>
        <v>1</v>
      </c>
      <c r="O571">
        <f>ROUND(INDEX(Housing!AC:AC,MATCH(EOMONTH($A571,-1),Housing!B:B,0)),2)</f>
        <v>16.329999999999998</v>
      </c>
      <c r="P571">
        <f t="shared" si="784"/>
        <v>-3</v>
      </c>
      <c r="Q571">
        <f>ROUND(INDEX(Spending!AJ:AJ,MATCH(EOMONTH($A571,-1),Spending!B:B,0)),2)</f>
        <v>47.7</v>
      </c>
      <c r="R571">
        <f t="shared" si="788"/>
        <v>0</v>
      </c>
      <c r="S571">
        <f>ROUND(INDEX(Employment!V:V,MATCH(EOMONTH($A571,-1),Employment!A:A,0)),2)</f>
        <v>133.52000000000001</v>
      </c>
      <c r="T571" s="11">
        <f t="shared" si="785"/>
        <v>-2</v>
      </c>
      <c r="U571">
        <f t="shared" si="777"/>
        <v>14</v>
      </c>
      <c r="V571">
        <f t="shared" si="769"/>
        <v>60.28</v>
      </c>
      <c r="W571" s="13">
        <f t="shared" si="770"/>
        <v>8.9999999999999993E-3</v>
      </c>
      <c r="X571" s="13">
        <f t="shared" si="771"/>
        <v>-8.0699999999999994E-2</v>
      </c>
      <c r="Y571">
        <f t="shared" si="763"/>
        <v>57.13</v>
      </c>
      <c r="Z571" s="13">
        <f t="shared" si="758"/>
        <v>1.32E-2</v>
      </c>
      <c r="AA571" s="13">
        <f t="shared" si="790"/>
        <v>-6.6299999999999998E-2</v>
      </c>
      <c r="AB571" s="6">
        <f t="shared" si="764"/>
        <v>55.971000000000004</v>
      </c>
      <c r="AC571">
        <f t="shared" si="756"/>
        <v>28</v>
      </c>
      <c r="AD571" s="11">
        <f t="shared" si="757"/>
        <v>-1</v>
      </c>
      <c r="AE571">
        <f t="shared" si="791"/>
        <v>15</v>
      </c>
      <c r="AF571">
        <f>IF(AND(AE571&lt;15,OR(AC571&gt;=30,AA571&gt;0.15,X571&gt;=0.15)),2,VLOOKUP(AE571,Table!P:Q,2,FALSE))</f>
        <v>2</v>
      </c>
      <c r="AG571" s="22">
        <f>IF((AB571*0.98)-(D571*0.8)+((AF571-3)*3)+VLOOKUP(AM571,Table!$A$11:$B$13,2,FALSE)&lt;0,0,(AB571*0.98)-(D571*0.8)+((AF571-3)*3)+VLOOKUP(AM571,Table!$A$11:$B$13,2,FALSE))</f>
        <v>44.651580000000003</v>
      </c>
      <c r="AH571" s="22">
        <f t="shared" si="786"/>
        <v>38</v>
      </c>
      <c r="AI571" s="18">
        <f t="shared" si="779"/>
        <v>4.3899999999999997</v>
      </c>
      <c r="AJ571" s="18">
        <f t="shared" si="780"/>
        <v>4.71</v>
      </c>
      <c r="AK571" t="str">
        <f t="shared" si="765"/>
        <v>Falling Rates</v>
      </c>
      <c r="AL571">
        <f t="shared" si="776"/>
        <v>14.25</v>
      </c>
      <c r="AM571" s="11" t="str">
        <f t="shared" si="766"/>
        <v>Stocks</v>
      </c>
      <c r="AN571" t="str">
        <f t="shared" si="772"/>
        <v>Sell</v>
      </c>
      <c r="AO571" s="13">
        <f t="shared" si="773"/>
        <v>6.9999999999999999E-4</v>
      </c>
      <c r="AP571" s="13">
        <f t="shared" si="774"/>
        <v>6.9999999999999999E-4</v>
      </c>
      <c r="AQ571" s="13">
        <f t="shared" si="775"/>
        <v>6.9999999999999999E-4</v>
      </c>
      <c r="AR571" s="13">
        <f t="shared" si="767"/>
        <v>6.9999999999999999E-4</v>
      </c>
      <c r="AS571" s="6">
        <f t="shared" si="759"/>
        <v>380.03771606303434</v>
      </c>
      <c r="AT571" s="6">
        <f t="shared" si="760"/>
        <v>181.52875637287187</v>
      </c>
      <c r="AU571" s="6">
        <f t="shared" si="761"/>
        <v>420.58845888235055</v>
      </c>
      <c r="AV571" s="6">
        <f t="shared" si="762"/>
        <v>537.95145905467291</v>
      </c>
      <c r="AW571" s="58">
        <f t="shared" si="768"/>
        <v>2007</v>
      </c>
      <c r="AX571" s="58">
        <f>COUNTIF(AW$3:AW571,AW571)</f>
        <v>15</v>
      </c>
    </row>
    <row r="572" spans="1:50" x14ac:dyDescent="0.25">
      <c r="A572" s="5">
        <v>39341</v>
      </c>
      <c r="B572">
        <v>1484.25</v>
      </c>
      <c r="C572">
        <v>3.93</v>
      </c>
      <c r="D572" s="6">
        <v>24.92</v>
      </c>
      <c r="E572" s="18">
        <f t="shared" si="781"/>
        <v>24.84</v>
      </c>
      <c r="F572">
        <f t="shared" si="782"/>
        <v>-1</v>
      </c>
      <c r="G572" s="18">
        <f>ROUND(INDEX(Valuation!U:U,MATCH(A572,Valuation!A:A,0)),2)</f>
        <v>96.44</v>
      </c>
      <c r="H572">
        <f t="shared" si="789"/>
        <v>0</v>
      </c>
      <c r="I572" s="18">
        <f>INDEX(WeeklyIndicators!Y:Y,MATCH(A572,WeeklyIndicators!A:A,0))</f>
        <v>91.85</v>
      </c>
      <c r="J572">
        <f t="shared" si="778"/>
        <v>-2</v>
      </c>
      <c r="K572">
        <f>ROUND(INDEX(Economic!AF:AF,MATCH(EOMONTH($A572,-1),Economic!A:A,0)),2)</f>
        <v>101.79</v>
      </c>
      <c r="L572" s="11">
        <f t="shared" si="787"/>
        <v>0</v>
      </c>
      <c r="M572">
        <f>ROUND(INDEX(Manufacturing!P:P,MATCH(EOMONTH($A572,-1),Manufacturing!A:A,0)),2)</f>
        <v>94.37</v>
      </c>
      <c r="N572">
        <f t="shared" si="783"/>
        <v>1</v>
      </c>
      <c r="O572">
        <f>ROUND(INDEX(Housing!AC:AC,MATCH(EOMONTH($A572,-1),Housing!B:B,0)),2)</f>
        <v>16.329999999999998</v>
      </c>
      <c r="P572">
        <f t="shared" si="784"/>
        <v>-3</v>
      </c>
      <c r="Q572">
        <f>ROUND(INDEX(Spending!AJ:AJ,MATCH(EOMONTH($A572,-1),Spending!B:B,0)),2)</f>
        <v>47.7</v>
      </c>
      <c r="R572">
        <f t="shared" si="788"/>
        <v>0</v>
      </c>
      <c r="S572">
        <f>ROUND(INDEX(Employment!V:V,MATCH(EOMONTH($A572,-1),Employment!A:A,0)),2)</f>
        <v>133.52000000000001</v>
      </c>
      <c r="T572" s="11">
        <f t="shared" si="785"/>
        <v>-2</v>
      </c>
      <c r="U572">
        <f t="shared" si="777"/>
        <v>13</v>
      </c>
      <c r="V572">
        <f t="shared" si="769"/>
        <v>59.26</v>
      </c>
      <c r="W572" s="13">
        <f t="shared" si="770"/>
        <v>-0.02</v>
      </c>
      <c r="X572" s="13">
        <f t="shared" si="771"/>
        <v>-0.1104</v>
      </c>
      <c r="Y572">
        <f t="shared" si="763"/>
        <v>55.67</v>
      </c>
      <c r="Z572" s="13">
        <f t="shared" si="758"/>
        <v>-1.6500000000000001E-2</v>
      </c>
      <c r="AA572" s="13">
        <f t="shared" si="790"/>
        <v>-0.1079</v>
      </c>
      <c r="AB572" s="6">
        <f t="shared" si="764"/>
        <v>51.454000000000001</v>
      </c>
      <c r="AC572">
        <f t="shared" si="756"/>
        <v>26</v>
      </c>
      <c r="AD572" s="11">
        <f t="shared" si="757"/>
        <v>-1</v>
      </c>
      <c r="AE572">
        <f t="shared" si="791"/>
        <v>14</v>
      </c>
      <c r="AF572">
        <f>IF(AND(AE572&lt;15,OR(AC572&gt;=30,AA572&gt;0.15,X572&gt;=0.15)),2,VLOOKUP(AE572,Table!P:Q,2,FALSE))</f>
        <v>2</v>
      </c>
      <c r="AG572" s="22">
        <f>IF((AB572*0.98)-(D572*0.8)+((AF572-3)*3)+VLOOKUP(AM572,Table!$A$11:$B$13,2,FALSE)&lt;0,0,(AB572*0.98)-(D572*0.8)+((AF572-3)*3)+VLOOKUP(AM572,Table!$A$11:$B$13,2,FALSE))</f>
        <v>35.488919999999993</v>
      </c>
      <c r="AH572" s="22">
        <f t="shared" si="786"/>
        <v>34</v>
      </c>
      <c r="AI572" s="18">
        <f t="shared" si="779"/>
        <v>4.45</v>
      </c>
      <c r="AJ572" s="18">
        <f t="shared" si="780"/>
        <v>4.7300000000000004</v>
      </c>
      <c r="AK572" t="str">
        <f t="shared" si="765"/>
        <v>Falling Rates</v>
      </c>
      <c r="AL572">
        <f t="shared" si="776"/>
        <v>14.5</v>
      </c>
      <c r="AM572" s="11" t="str">
        <f t="shared" si="766"/>
        <v>Stocks</v>
      </c>
      <c r="AN572" t="str">
        <f t="shared" si="772"/>
        <v>Sell</v>
      </c>
      <c r="AO572" s="13">
        <f t="shared" si="773"/>
        <v>2.8000000000000001E-2</v>
      </c>
      <c r="AP572" s="13">
        <f t="shared" si="774"/>
        <v>8.0000000000000004E-4</v>
      </c>
      <c r="AQ572" s="13">
        <f t="shared" si="775"/>
        <v>0.01</v>
      </c>
      <c r="AR572" s="13">
        <f t="shared" si="767"/>
        <v>2.8000000000000001E-2</v>
      </c>
      <c r="AS572" s="6">
        <f t="shared" si="759"/>
        <v>369.68649422474158</v>
      </c>
      <c r="AT572" s="6">
        <f t="shared" si="760"/>
        <v>181.38364945330923</v>
      </c>
      <c r="AU572" s="6">
        <f t="shared" si="761"/>
        <v>416.42421671519855</v>
      </c>
      <c r="AV572" s="6">
        <f t="shared" si="762"/>
        <v>523.29908468353392</v>
      </c>
      <c r="AW572" s="58">
        <f t="shared" si="768"/>
        <v>2007</v>
      </c>
      <c r="AX572" s="58">
        <f>COUNTIF(AW$3:AW572,AW572)</f>
        <v>16</v>
      </c>
    </row>
    <row r="573" spans="1:50" x14ac:dyDescent="0.25">
      <c r="A573" s="5">
        <v>39334</v>
      </c>
      <c r="B573">
        <v>1453.55</v>
      </c>
      <c r="C573">
        <v>4.18</v>
      </c>
      <c r="D573" s="6">
        <v>26.23</v>
      </c>
      <c r="E573" s="18">
        <f t="shared" si="781"/>
        <v>23.44</v>
      </c>
      <c r="F573">
        <f t="shared" si="782"/>
        <v>-1</v>
      </c>
      <c r="G573" s="18">
        <f>ROUND(INDEX(Valuation!U:U,MATCH(A573,Valuation!A:A,0)),2)</f>
        <v>95.28</v>
      </c>
      <c r="H573">
        <f t="shared" si="789"/>
        <v>0</v>
      </c>
      <c r="I573" s="18">
        <f>INDEX(WeeklyIndicators!Y:Y,MATCH(A573,WeeklyIndicators!A:A,0))</f>
        <v>84.35</v>
      </c>
      <c r="J573">
        <f t="shared" si="778"/>
        <v>-2</v>
      </c>
      <c r="K573">
        <f>ROUND(INDEX(Economic!AF:AF,MATCH(EOMONTH($A573,-1),Economic!A:A,0)),2)</f>
        <v>101.79</v>
      </c>
      <c r="L573" s="11">
        <f t="shared" si="787"/>
        <v>0</v>
      </c>
      <c r="M573">
        <f>ROUND(INDEX(Manufacturing!P:P,MATCH(EOMONTH($A573,-1),Manufacturing!A:A,0)),2)</f>
        <v>94.37</v>
      </c>
      <c r="N573">
        <f t="shared" si="783"/>
        <v>1</v>
      </c>
      <c r="O573">
        <f>ROUND(INDEX(Housing!AC:AC,MATCH(EOMONTH($A573,-1),Housing!B:B,0)),2)</f>
        <v>16.329999999999998</v>
      </c>
      <c r="P573">
        <f t="shared" si="784"/>
        <v>-3</v>
      </c>
      <c r="Q573">
        <f>ROUND(INDEX(Spending!AJ:AJ,MATCH(EOMONTH($A573,-1),Spending!B:B,0)),2)</f>
        <v>47.7</v>
      </c>
      <c r="R573">
        <f t="shared" si="788"/>
        <v>0</v>
      </c>
      <c r="S573">
        <f>ROUND(INDEX(Employment!V:V,MATCH(EOMONTH($A573,-1),Employment!A:A,0)),2)</f>
        <v>133.52000000000001</v>
      </c>
      <c r="T573" s="11">
        <f t="shared" si="785"/>
        <v>-2</v>
      </c>
      <c r="U573">
        <f t="shared" si="777"/>
        <v>13</v>
      </c>
      <c r="V573">
        <f t="shared" si="769"/>
        <v>58.48</v>
      </c>
      <c r="W573" s="13">
        <f t="shared" si="770"/>
        <v>-3.2399999999999998E-2</v>
      </c>
      <c r="X573" s="13">
        <f t="shared" si="771"/>
        <v>-0.11119999999999999</v>
      </c>
      <c r="Y573">
        <f t="shared" si="763"/>
        <v>55.25</v>
      </c>
      <c r="Z573" s="13">
        <f t="shared" si="758"/>
        <v>-2.58E-2</v>
      </c>
      <c r="AA573" s="13">
        <f t="shared" si="790"/>
        <v>-0.12540000000000001</v>
      </c>
      <c r="AB573" s="6">
        <f t="shared" si="764"/>
        <v>49.717999999999996</v>
      </c>
      <c r="AC573">
        <f t="shared" ref="AC573:AC636" si="792">IF(ROUND(AB573/2,0)&lt;0,0,ROUND(AB573/2,0))</f>
        <v>25</v>
      </c>
      <c r="AD573" s="11">
        <f t="shared" si="757"/>
        <v>-1</v>
      </c>
      <c r="AE573">
        <f t="shared" si="791"/>
        <v>14</v>
      </c>
      <c r="AF573">
        <f>IF(AND(AE573&lt;15,OR(AC573&gt;=30,AA573&gt;0.15,X573&gt;=0.15)),2,VLOOKUP(AE573,Table!P:Q,2,FALSE))</f>
        <v>2</v>
      </c>
      <c r="AG573" s="22">
        <f>IF((AB573*0.98)-(D573*0.8)+((AF573-3)*3)+VLOOKUP(AM573,Table!$A$11:$B$13,2,FALSE)&lt;0,0,(AB573*0.98)-(D573*0.8)+((AF573-3)*3)+VLOOKUP(AM573,Table!$A$11:$B$13,2,FALSE))</f>
        <v>32.739639999999994</v>
      </c>
      <c r="AH573" s="22">
        <f t="shared" si="786"/>
        <v>37</v>
      </c>
      <c r="AI573" s="18">
        <f t="shared" si="779"/>
        <v>4.5</v>
      </c>
      <c r="AJ573" s="18">
        <f t="shared" si="780"/>
        <v>4.76</v>
      </c>
      <c r="AK573" t="str">
        <f t="shared" si="765"/>
        <v>Falling Rates</v>
      </c>
      <c r="AL573">
        <f t="shared" si="776"/>
        <v>15</v>
      </c>
      <c r="AM573" s="11" t="str">
        <f t="shared" si="766"/>
        <v>Stocks</v>
      </c>
      <c r="AN573" t="str">
        <f t="shared" si="772"/>
        <v>Sell</v>
      </c>
      <c r="AO573" s="13">
        <f t="shared" si="773"/>
        <v>2.1100000000000001E-2</v>
      </c>
      <c r="AP573" s="13">
        <f t="shared" si="774"/>
        <v>8.0000000000000004E-4</v>
      </c>
      <c r="AQ573" s="13">
        <f t="shared" si="775"/>
        <v>8.3000000000000001E-3</v>
      </c>
      <c r="AR573" s="13">
        <f t="shared" si="767"/>
        <v>2.1100000000000001E-2</v>
      </c>
      <c r="AS573" s="6">
        <f t="shared" si="759"/>
        <v>362.04729627337343</v>
      </c>
      <c r="AT573" s="6">
        <f t="shared" si="760"/>
        <v>181.23865852648805</v>
      </c>
      <c r="AU573" s="6">
        <f t="shared" si="761"/>
        <v>412.99634703480962</v>
      </c>
      <c r="AV573" s="6">
        <f t="shared" si="762"/>
        <v>512.485637727484</v>
      </c>
      <c r="AW573" s="58">
        <f t="shared" si="768"/>
        <v>2007</v>
      </c>
      <c r="AX573" s="58">
        <f>COUNTIF(AW$3:AW573,AW573)</f>
        <v>17</v>
      </c>
    </row>
    <row r="574" spans="1:50" x14ac:dyDescent="0.25">
      <c r="A574" s="5">
        <v>39327</v>
      </c>
      <c r="B574">
        <v>1473.99</v>
      </c>
      <c r="C574">
        <v>4.0599999999999996</v>
      </c>
      <c r="D574" s="6">
        <v>23.38</v>
      </c>
      <c r="E574" s="18">
        <f t="shared" si="781"/>
        <v>24.7</v>
      </c>
      <c r="F574">
        <f t="shared" si="782"/>
        <v>-1</v>
      </c>
      <c r="G574" s="18">
        <f>ROUND(INDEX(Valuation!U:U,MATCH(A574,Valuation!A:A,0)),2)</f>
        <v>94.57</v>
      </c>
      <c r="H574">
        <f t="shared" si="789"/>
        <v>0</v>
      </c>
      <c r="I574" s="18">
        <f>INDEX(WeeklyIndicators!Y:Y,MATCH(A574,WeeklyIndicators!A:A,0))</f>
        <v>86.4</v>
      </c>
      <c r="J574">
        <f t="shared" si="778"/>
        <v>-2</v>
      </c>
      <c r="K574">
        <f>ROUND(INDEX(Economic!AF:AF,MATCH(EOMONTH($A574,-1),Economic!A:A,0)),2)</f>
        <v>101.79</v>
      </c>
      <c r="L574" s="11">
        <f t="shared" si="787"/>
        <v>0</v>
      </c>
      <c r="M574">
        <f>ROUND(INDEX(Manufacturing!P:P,MATCH(EOMONTH($A574,-1),Manufacturing!A:A,0)),2)</f>
        <v>94.37</v>
      </c>
      <c r="N574">
        <f t="shared" si="783"/>
        <v>1</v>
      </c>
      <c r="O574">
        <f>ROUND(INDEX(Housing!AC:AC,MATCH(EOMONTH($A574,-1),Housing!B:B,0)),2)</f>
        <v>16.329999999999998</v>
      </c>
      <c r="P574">
        <f t="shared" si="784"/>
        <v>-3</v>
      </c>
      <c r="Q574">
        <f>ROUND(INDEX(Spending!AJ:AJ,MATCH(EOMONTH($A574,-1),Spending!B:B,0)),2)</f>
        <v>47.7</v>
      </c>
      <c r="R574">
        <f t="shared" si="788"/>
        <v>0</v>
      </c>
      <c r="S574">
        <f>ROUND(INDEX(Employment!V:V,MATCH(EOMONTH($A574,-1),Employment!A:A,0)),2)</f>
        <v>133.52000000000001</v>
      </c>
      <c r="T574" s="11">
        <f t="shared" si="785"/>
        <v>-2</v>
      </c>
      <c r="U574">
        <f t="shared" si="777"/>
        <v>13</v>
      </c>
      <c r="V574">
        <f t="shared" si="769"/>
        <v>58.7</v>
      </c>
      <c r="W574" s="13">
        <f t="shared" si="770"/>
        <v>-3.73E-2</v>
      </c>
      <c r="X574" s="13">
        <f t="shared" si="771"/>
        <v>-8.8499999999999995E-2</v>
      </c>
      <c r="Y574">
        <f t="shared" si="763"/>
        <v>54.94</v>
      </c>
      <c r="Z574" s="13">
        <f t="shared" si="758"/>
        <v>-3.7199999999999997E-2</v>
      </c>
      <c r="AA574" s="13">
        <f t="shared" si="790"/>
        <v>-0.1244</v>
      </c>
      <c r="AB574" s="6">
        <f t="shared" si="764"/>
        <v>49.637</v>
      </c>
      <c r="AC574">
        <f t="shared" si="792"/>
        <v>25</v>
      </c>
      <c r="AD574" s="11">
        <f t="shared" ref="AD574:AD637" si="793">IF(AC574&gt;47,2,IF(AND(AC574&gt;41,AC574&lt;=47),1,IF(AC574&lt;15,-2,IF(AND(AC574&lt;32,AC574&gt;=15),-1,0))))</f>
        <v>-1</v>
      </c>
      <c r="AE574">
        <f t="shared" si="791"/>
        <v>14</v>
      </c>
      <c r="AF574">
        <f>IF(AND(AE574&lt;15,OR(AC574&gt;=30,AA574&gt;0.15,X574&gt;=0.15)),2,VLOOKUP(AE574,Table!P:Q,2,FALSE))</f>
        <v>2</v>
      </c>
      <c r="AG574" s="22">
        <f>IF((AB574*0.98)-(D574*0.8)+((AF574-3)*3)+VLOOKUP(AM574,Table!$A$11:$B$13,2,FALSE)&lt;0,0,(AB574*0.98)-(D574*0.8)+((AF574-3)*3)+VLOOKUP(AM574,Table!$A$11:$B$13,2,FALSE))</f>
        <v>34.940260000000002</v>
      </c>
      <c r="AH574" s="22">
        <f t="shared" si="786"/>
        <v>39</v>
      </c>
      <c r="AI574" s="18">
        <f t="shared" si="779"/>
        <v>4.54</v>
      </c>
      <c r="AJ574" s="18">
        <f t="shared" si="780"/>
        <v>4.7699999999999996</v>
      </c>
      <c r="AK574" t="str">
        <f t="shared" si="765"/>
        <v>Falling Rates</v>
      </c>
      <c r="AL574">
        <f t="shared" si="776"/>
        <v>16</v>
      </c>
      <c r="AM574" s="11" t="str">
        <f t="shared" si="766"/>
        <v>Stocks</v>
      </c>
      <c r="AN574" t="str">
        <f t="shared" si="772"/>
        <v>Sell</v>
      </c>
      <c r="AO574" s="13">
        <f t="shared" si="773"/>
        <v>-1.3899999999999999E-2</v>
      </c>
      <c r="AP574" s="13">
        <f t="shared" si="774"/>
        <v>8.0000000000000004E-4</v>
      </c>
      <c r="AQ574" s="13">
        <f t="shared" si="775"/>
        <v>-4.8999999999999998E-3</v>
      </c>
      <c r="AR574" s="13">
        <f t="shared" si="767"/>
        <v>-1.3899999999999999E-2</v>
      </c>
      <c r="AS574" s="6">
        <f t="shared" si="759"/>
        <v>367.15069087655758</v>
      </c>
      <c r="AT574" s="6">
        <f t="shared" si="760"/>
        <v>181.09378349968833</v>
      </c>
      <c r="AU574" s="6">
        <f t="shared" si="761"/>
        <v>415.02999400543627</v>
      </c>
      <c r="AV574" s="6">
        <f t="shared" si="762"/>
        <v>519.70960118394078</v>
      </c>
      <c r="AW574" s="58">
        <f t="shared" si="768"/>
        <v>2007</v>
      </c>
      <c r="AX574" s="58">
        <f>COUNTIF(AW$3:AW574,AW574)</f>
        <v>18</v>
      </c>
    </row>
    <row r="575" spans="1:50" x14ac:dyDescent="0.25">
      <c r="A575" s="5">
        <v>39320</v>
      </c>
      <c r="B575">
        <v>1479.37</v>
      </c>
      <c r="C575">
        <v>3.62</v>
      </c>
      <c r="D575" s="6">
        <v>20.72</v>
      </c>
      <c r="E575" s="18">
        <f t="shared" si="781"/>
        <v>26.34</v>
      </c>
      <c r="F575">
        <f t="shared" si="782"/>
        <v>-2</v>
      </c>
      <c r="G575" s="18">
        <f>ROUND(INDEX(Valuation!U:U,MATCH(A575,Valuation!A:A,0)),2)</f>
        <v>93.77</v>
      </c>
      <c r="H575">
        <f t="shared" si="789"/>
        <v>0</v>
      </c>
      <c r="I575" s="18">
        <f>INDEX(WeeklyIndicators!Y:Y,MATCH(A575,WeeklyIndicators!A:A,0))</f>
        <v>99.44</v>
      </c>
      <c r="J575">
        <f t="shared" si="778"/>
        <v>-1</v>
      </c>
      <c r="K575">
        <f>ROUND(INDEX(Economic!AF:AF,MATCH(EOMONTH($A575,-1),Economic!A:A,0)),2)</f>
        <v>106.95</v>
      </c>
      <c r="L575" s="11">
        <f t="shared" si="787"/>
        <v>0</v>
      </c>
      <c r="M575">
        <f>ROUND(INDEX(Manufacturing!P:P,MATCH(EOMONTH($A575,-1),Manufacturing!A:A,0)),2)</f>
        <v>97.96</v>
      </c>
      <c r="N575">
        <f t="shared" si="783"/>
        <v>1</v>
      </c>
      <c r="O575">
        <f>ROUND(INDEX(Housing!AC:AC,MATCH(EOMONTH($A575,-1),Housing!B:B,0)),2)</f>
        <v>25.97</v>
      </c>
      <c r="P575">
        <f t="shared" si="784"/>
        <v>-3</v>
      </c>
      <c r="Q575">
        <f>ROUND(INDEX(Spending!AJ:AJ,MATCH(EOMONTH($A575,-1),Spending!B:B,0)),2)</f>
        <v>51.75</v>
      </c>
      <c r="R575">
        <f t="shared" si="788"/>
        <v>1</v>
      </c>
      <c r="S575">
        <f>ROUND(INDEX(Employment!V:V,MATCH(EOMONTH($A575,-1),Employment!A:A,0)),2)</f>
        <v>140.47</v>
      </c>
      <c r="T575" s="11">
        <f t="shared" si="785"/>
        <v>-1</v>
      </c>
      <c r="U575">
        <f t="shared" si="777"/>
        <v>15</v>
      </c>
      <c r="V575">
        <f t="shared" si="769"/>
        <v>62.87</v>
      </c>
      <c r="W575" s="13">
        <f t="shared" si="770"/>
        <v>-2.07E-2</v>
      </c>
      <c r="X575" s="13">
        <f t="shared" si="771"/>
        <v>-5.0399999999999993E-2</v>
      </c>
      <c r="Y575">
        <f t="shared" si="763"/>
        <v>58.45</v>
      </c>
      <c r="Z575" s="13">
        <f t="shared" si="758"/>
        <v>-2.8400000000000002E-2</v>
      </c>
      <c r="AA575" s="13">
        <f t="shared" si="790"/>
        <v>-9.7799999999999998E-2</v>
      </c>
      <c r="AB575" s="6">
        <f t="shared" si="764"/>
        <v>55.367000000000004</v>
      </c>
      <c r="AC575">
        <f t="shared" si="792"/>
        <v>28</v>
      </c>
      <c r="AD575" s="11">
        <f t="shared" si="793"/>
        <v>-1</v>
      </c>
      <c r="AE575">
        <f t="shared" si="791"/>
        <v>16</v>
      </c>
      <c r="AF575">
        <f>IF(AND(AE575&lt;15,OR(AC575&gt;=30,AA575&gt;0.15,X575&gt;=0.15)),2,VLOOKUP(AE575,Table!P:Q,2,FALSE))</f>
        <v>2</v>
      </c>
      <c r="AG575" s="22">
        <f>IF((AB575*0.98)-(D575*0.8)+((AF575-3)*3)+VLOOKUP(AM575,Table!$A$11:$B$13,2,FALSE)&lt;0,0,(AB575*0.98)-(D575*0.8)+((AF575-3)*3)+VLOOKUP(AM575,Table!$A$11:$B$13,2,FALSE))</f>
        <v>42.683660000000003</v>
      </c>
      <c r="AH575" s="22">
        <f t="shared" si="786"/>
        <v>42</v>
      </c>
      <c r="AI575" s="18">
        <f t="shared" si="779"/>
        <v>4.58</v>
      </c>
      <c r="AJ575" s="18">
        <f t="shared" si="780"/>
        <v>4.8</v>
      </c>
      <c r="AK575" t="str">
        <f t="shared" si="765"/>
        <v>Falling Rates</v>
      </c>
      <c r="AL575">
        <f t="shared" si="776"/>
        <v>17.5</v>
      </c>
      <c r="AM575" s="11" t="str">
        <f t="shared" si="766"/>
        <v>Stocks</v>
      </c>
      <c r="AN575" t="str">
        <f t="shared" si="772"/>
        <v>Sell</v>
      </c>
      <c r="AO575" s="13">
        <f t="shared" si="773"/>
        <v>-3.5999999999999999E-3</v>
      </c>
      <c r="AP575" s="13">
        <f t="shared" si="774"/>
        <v>6.9999999999999999E-4</v>
      </c>
      <c r="AQ575" s="13">
        <f t="shared" si="775"/>
        <v>-1.1000000000000001E-3</v>
      </c>
      <c r="AR575" s="13">
        <f t="shared" si="767"/>
        <v>-3.5999999999999999E-3</v>
      </c>
      <c r="AS575" s="6">
        <f t="shared" si="759"/>
        <v>368.4772088283396</v>
      </c>
      <c r="AT575" s="6">
        <f t="shared" si="760"/>
        <v>180.96710652512076</v>
      </c>
      <c r="AU575" s="6">
        <f t="shared" si="761"/>
        <v>415.48702973814824</v>
      </c>
      <c r="AV575" s="6">
        <f t="shared" si="762"/>
        <v>521.58731551981214</v>
      </c>
      <c r="AW575" s="58">
        <f t="shared" si="768"/>
        <v>2007</v>
      </c>
      <c r="AX575" s="58">
        <f>COUNTIF(AW$3:AW575,AW575)</f>
        <v>19</v>
      </c>
    </row>
    <row r="576" spans="1:50" x14ac:dyDescent="0.25">
      <c r="A576" s="5">
        <v>39313</v>
      </c>
      <c r="B576">
        <v>1445.94</v>
      </c>
      <c r="C576">
        <v>4.1100000000000003</v>
      </c>
      <c r="D576" s="6">
        <v>29.99</v>
      </c>
      <c r="E576" s="18">
        <f t="shared" si="781"/>
        <v>27.82</v>
      </c>
      <c r="F576">
        <f t="shared" si="782"/>
        <v>-2</v>
      </c>
      <c r="G576" s="18">
        <f>ROUND(INDEX(Valuation!U:U,MATCH(A576,Valuation!A:A,0)),2)</f>
        <v>95.02</v>
      </c>
      <c r="H576">
        <f t="shared" si="789"/>
        <v>0</v>
      </c>
      <c r="I576" s="18">
        <f>INDEX(WeeklyIndicators!Y:Y,MATCH(A576,WeeklyIndicators!A:A,0))</f>
        <v>115.31</v>
      </c>
      <c r="J576">
        <f t="shared" si="778"/>
        <v>-1</v>
      </c>
      <c r="K576">
        <f>ROUND(INDEX(Economic!AF:AF,MATCH(EOMONTH($A576,-1),Economic!A:A,0)),2)</f>
        <v>106.95</v>
      </c>
      <c r="L576" s="11">
        <f t="shared" si="787"/>
        <v>0</v>
      </c>
      <c r="M576">
        <f>ROUND(INDEX(Manufacturing!P:P,MATCH(EOMONTH($A576,-1),Manufacturing!A:A,0)),2)</f>
        <v>97.96</v>
      </c>
      <c r="N576">
        <f t="shared" si="783"/>
        <v>1</v>
      </c>
      <c r="O576">
        <f>ROUND(INDEX(Housing!AC:AC,MATCH(EOMONTH($A576,-1),Housing!B:B,0)),2)</f>
        <v>25.97</v>
      </c>
      <c r="P576">
        <f t="shared" si="784"/>
        <v>-3</v>
      </c>
      <c r="Q576">
        <f>ROUND(INDEX(Spending!AJ:AJ,MATCH(EOMONTH($A576,-1),Spending!B:B,0)),2)</f>
        <v>51.75</v>
      </c>
      <c r="R576">
        <f t="shared" si="788"/>
        <v>1</v>
      </c>
      <c r="S576">
        <f>ROUND(INDEX(Employment!V:V,MATCH(EOMONTH($A576,-1),Employment!A:A,0)),2)</f>
        <v>140.47</v>
      </c>
      <c r="T576" s="11">
        <f t="shared" si="785"/>
        <v>-1</v>
      </c>
      <c r="U576">
        <f t="shared" si="777"/>
        <v>15</v>
      </c>
      <c r="V576">
        <f t="shared" si="769"/>
        <v>64.510000000000005</v>
      </c>
      <c r="W576" s="13">
        <f t="shared" si="770"/>
        <v>-2.0799999999999999E-2</v>
      </c>
      <c r="X576" s="13">
        <f t="shared" si="771"/>
        <v>-1.72E-2</v>
      </c>
      <c r="Y576">
        <f t="shared" si="763"/>
        <v>59.72</v>
      </c>
      <c r="Z576" s="13">
        <f t="shared" ref="Z576:Z639" si="794">ROUND((AVERAGE(Y576:Y578)-AVERAGE(Y577:Y579))/AVERAGE(Y577:Y579),4)</f>
        <v>-3.4000000000000002E-2</v>
      </c>
      <c r="AA576" s="13">
        <f t="shared" si="790"/>
        <v>-6.4399999999999999E-2</v>
      </c>
      <c r="AB576" s="6">
        <f t="shared" si="764"/>
        <v>59.382000000000005</v>
      </c>
      <c r="AC576">
        <f t="shared" si="792"/>
        <v>30</v>
      </c>
      <c r="AD576" s="11">
        <f t="shared" si="793"/>
        <v>-1</v>
      </c>
      <c r="AE576">
        <f t="shared" si="791"/>
        <v>16</v>
      </c>
      <c r="AF576">
        <f>IF(AND(AE576&lt;15,OR(AC576&gt;=30,AA576&gt;0.15,X576&gt;=0.15)),2,VLOOKUP(AE576,Table!P:Q,2,FALSE))</f>
        <v>2</v>
      </c>
      <c r="AG576" s="22">
        <f>IF((AB576*0.98)-(D576*0.8)+((AF576-3)*3)+VLOOKUP(AM576,Table!$A$11:$B$13,2,FALSE)&lt;0,0,(AB576*0.98)-(D576*0.8)+((AF576-3)*3)+VLOOKUP(AM576,Table!$A$11:$B$13,2,FALSE))</f>
        <v>39.202359999999999</v>
      </c>
      <c r="AH576" s="22">
        <f t="shared" si="786"/>
        <v>46</v>
      </c>
      <c r="AI576" s="18">
        <f t="shared" si="779"/>
        <v>4.67</v>
      </c>
      <c r="AJ576" s="18">
        <f t="shared" si="780"/>
        <v>4.83</v>
      </c>
      <c r="AK576" t="str">
        <f t="shared" si="765"/>
        <v>Falling Rates</v>
      </c>
      <c r="AL576">
        <f t="shared" si="776"/>
        <v>18.25</v>
      </c>
      <c r="AM576" s="11" t="str">
        <f t="shared" si="766"/>
        <v>Stocks</v>
      </c>
      <c r="AN576" t="str">
        <f t="shared" si="772"/>
        <v>Sell</v>
      </c>
      <c r="AO576" s="13">
        <f t="shared" si="773"/>
        <v>2.3099999999999999E-2</v>
      </c>
      <c r="AP576" s="13">
        <f t="shared" si="774"/>
        <v>8.0000000000000004E-4</v>
      </c>
      <c r="AQ576" s="13">
        <f t="shared" si="775"/>
        <v>1.11E-2</v>
      </c>
      <c r="AR576" s="13">
        <f t="shared" si="767"/>
        <v>2.3099999999999999E-2</v>
      </c>
      <c r="AS576" s="6">
        <f t="shared" si="759"/>
        <v>360.15756898479094</v>
      </c>
      <c r="AT576" s="6">
        <f t="shared" si="760"/>
        <v>180.82244856626775</v>
      </c>
      <c r="AU576" s="6">
        <f t="shared" si="761"/>
        <v>410.92575387018911</v>
      </c>
      <c r="AV576" s="6">
        <f t="shared" si="762"/>
        <v>509.81068861285524</v>
      </c>
      <c r="AW576" s="58">
        <f t="shared" si="768"/>
        <v>2007</v>
      </c>
      <c r="AX576" s="58">
        <f>COUNTIF(AW$3:AW576,AW576)</f>
        <v>20</v>
      </c>
    </row>
    <row r="577" spans="1:50" x14ac:dyDescent="0.25">
      <c r="A577" s="5">
        <v>39306</v>
      </c>
      <c r="B577">
        <v>1453.64</v>
      </c>
      <c r="C577">
        <v>4.6900000000000004</v>
      </c>
      <c r="D577" s="6">
        <v>28.3</v>
      </c>
      <c r="E577" s="18">
        <f t="shared" si="781"/>
        <v>25.88</v>
      </c>
      <c r="F577">
        <f t="shared" si="782"/>
        <v>-2</v>
      </c>
      <c r="G577" s="18">
        <f>ROUND(INDEX(Valuation!U:U,MATCH(A577,Valuation!A:A,0)),2)</f>
        <v>93.58</v>
      </c>
      <c r="H577">
        <f t="shared" si="789"/>
        <v>0</v>
      </c>
      <c r="I577" s="18">
        <f>INDEX(WeeklyIndicators!Y:Y,MATCH(A577,WeeklyIndicators!A:A,0))</f>
        <v>128.77000000000001</v>
      </c>
      <c r="J577">
        <f t="shared" si="778"/>
        <v>0</v>
      </c>
      <c r="K577">
        <f>ROUND(INDEX(Economic!AF:AF,MATCH(EOMONTH($A577,-1),Economic!A:A,0)),2)</f>
        <v>106.95</v>
      </c>
      <c r="L577" s="11">
        <f t="shared" si="787"/>
        <v>0</v>
      </c>
      <c r="M577">
        <f>ROUND(INDEX(Manufacturing!P:P,MATCH(EOMONTH($A577,-1),Manufacturing!A:A,0)),2)</f>
        <v>97.96</v>
      </c>
      <c r="N577">
        <f t="shared" si="783"/>
        <v>1</v>
      </c>
      <c r="O577">
        <f>ROUND(INDEX(Housing!AC:AC,MATCH(EOMONTH($A577,-1),Housing!B:B,0)),2)</f>
        <v>25.97</v>
      </c>
      <c r="P577">
        <f t="shared" si="784"/>
        <v>-3</v>
      </c>
      <c r="Q577">
        <f>ROUND(INDEX(Spending!AJ:AJ,MATCH(EOMONTH($A577,-1),Spending!B:B,0)),2)</f>
        <v>51.75</v>
      </c>
      <c r="R577">
        <f t="shared" si="788"/>
        <v>1</v>
      </c>
      <c r="S577">
        <f>ROUND(INDEX(Employment!V:V,MATCH(EOMONTH($A577,-1),Employment!A:A,0)),2)</f>
        <v>140.47</v>
      </c>
      <c r="T577" s="11">
        <f t="shared" si="785"/>
        <v>-1</v>
      </c>
      <c r="U577">
        <f t="shared" si="777"/>
        <v>16</v>
      </c>
      <c r="V577">
        <f t="shared" si="769"/>
        <v>65.91</v>
      </c>
      <c r="W577" s="13">
        <f t="shared" si="770"/>
        <v>-9.7000000000000003E-3</v>
      </c>
      <c r="X577" s="13">
        <f t="shared" si="771"/>
        <v>8.3000000000000018E-3</v>
      </c>
      <c r="Y577">
        <f t="shared" si="763"/>
        <v>61.63</v>
      </c>
      <c r="Z577" s="13">
        <f t="shared" si="794"/>
        <v>-2.4799999999999999E-2</v>
      </c>
      <c r="AA577" s="13">
        <f t="shared" si="790"/>
        <v>-2.8199999999999999E-2</v>
      </c>
      <c r="AB577" s="6">
        <f t="shared" si="764"/>
        <v>63.878000000000007</v>
      </c>
      <c r="AC577">
        <f t="shared" si="792"/>
        <v>32</v>
      </c>
      <c r="AD577" s="11">
        <f t="shared" si="793"/>
        <v>0</v>
      </c>
      <c r="AE577">
        <f t="shared" si="791"/>
        <v>18</v>
      </c>
      <c r="AF577">
        <f>IF(AND(AE577&lt;15,OR(AC577&gt;=30,AA577&gt;0.15,X577&gt;=0.15)),2,VLOOKUP(AE577,Table!P:Q,2,FALSE))</f>
        <v>2</v>
      </c>
      <c r="AG577" s="22">
        <f>IF((AB577*0.98)-(D577*0.8)+((AF577-3)*3)+VLOOKUP(AM577,Table!$A$11:$B$13,2,FALSE)&lt;0,0,(AB577*0.98)-(D577*0.8)+((AF577-3)*3)+VLOOKUP(AM577,Table!$A$11:$B$13,2,FALSE))</f>
        <v>44.960440000000006</v>
      </c>
      <c r="AH577" s="22">
        <f t="shared" si="786"/>
        <v>50</v>
      </c>
      <c r="AI577" s="18">
        <f t="shared" si="779"/>
        <v>4.72</v>
      </c>
      <c r="AJ577" s="18">
        <f t="shared" si="780"/>
        <v>4.8499999999999996</v>
      </c>
      <c r="AK577" t="str">
        <f t="shared" si="765"/>
        <v>Falling Rates</v>
      </c>
      <c r="AL577">
        <f t="shared" si="776"/>
        <v>19.25</v>
      </c>
      <c r="AM577" s="11" t="str">
        <f t="shared" si="766"/>
        <v>Stocks</v>
      </c>
      <c r="AN577" t="str">
        <f t="shared" si="772"/>
        <v>Buy</v>
      </c>
      <c r="AO577" s="13">
        <f t="shared" si="773"/>
        <v>-5.3E-3</v>
      </c>
      <c r="AP577" s="13">
        <f t="shared" si="774"/>
        <v>8.9999999999999998E-4</v>
      </c>
      <c r="AQ577" s="13">
        <f t="shared" si="775"/>
        <v>-2.2000000000000001E-3</v>
      </c>
      <c r="AR577" s="13">
        <f t="shared" si="767"/>
        <v>-5.3E-3</v>
      </c>
      <c r="AS577" s="6">
        <f t="shared" si="759"/>
        <v>362.07657483139735</v>
      </c>
      <c r="AT577" s="6">
        <f t="shared" si="760"/>
        <v>180.65985469704043</v>
      </c>
      <c r="AU577" s="6">
        <f t="shared" si="761"/>
        <v>411.8317837945371</v>
      </c>
      <c r="AV577" s="6">
        <f t="shared" si="762"/>
        <v>512.52708214824088</v>
      </c>
      <c r="AW577" s="58">
        <f t="shared" si="768"/>
        <v>2007</v>
      </c>
      <c r="AX577" s="58">
        <f>COUNTIF(AW$3:AW577,AW577)</f>
        <v>21</v>
      </c>
    </row>
    <row r="578" spans="1:50" x14ac:dyDescent="0.25">
      <c r="A578" s="5">
        <v>39299</v>
      </c>
      <c r="B578">
        <v>1433.06</v>
      </c>
      <c r="C578">
        <v>4.7699999999999996</v>
      </c>
      <c r="D578" s="6">
        <v>25.16</v>
      </c>
      <c r="E578" s="18">
        <f t="shared" si="781"/>
        <v>22.09</v>
      </c>
      <c r="F578">
        <f t="shared" si="782"/>
        <v>-1</v>
      </c>
      <c r="G578" s="18">
        <f>ROUND(INDEX(Valuation!U:U,MATCH(A578,Valuation!A:A,0)),2)</f>
        <v>90.82</v>
      </c>
      <c r="H578">
        <f t="shared" si="789"/>
        <v>0</v>
      </c>
      <c r="I578" s="18">
        <f>INDEX(WeeklyIndicators!Y:Y,MATCH(A578,WeeklyIndicators!A:A,0))</f>
        <v>138.91999999999999</v>
      </c>
      <c r="J578">
        <f t="shared" si="778"/>
        <v>1</v>
      </c>
      <c r="K578">
        <f>ROUND(INDEX(Economic!AF:AF,MATCH(EOMONTH($A578,-1),Economic!A:A,0)),2)</f>
        <v>106.95</v>
      </c>
      <c r="L578" s="11">
        <f t="shared" si="787"/>
        <v>0</v>
      </c>
      <c r="M578">
        <f>ROUND(INDEX(Manufacturing!P:P,MATCH(EOMONTH($A578,-1),Manufacturing!A:A,0)),2)</f>
        <v>97.96</v>
      </c>
      <c r="N578">
        <f t="shared" si="783"/>
        <v>1</v>
      </c>
      <c r="O578">
        <f>ROUND(INDEX(Housing!AC:AC,MATCH(EOMONTH($A578,-1),Housing!B:B,0)),2)</f>
        <v>25.97</v>
      </c>
      <c r="P578">
        <f t="shared" si="784"/>
        <v>-3</v>
      </c>
      <c r="Q578">
        <f>ROUND(INDEX(Spending!AJ:AJ,MATCH(EOMONTH($A578,-1),Spending!B:B,0)),2)</f>
        <v>51.75</v>
      </c>
      <c r="R578">
        <f t="shared" si="788"/>
        <v>1</v>
      </c>
      <c r="S578">
        <f>ROUND(INDEX(Employment!V:V,MATCH(EOMONTH($A578,-1),Employment!A:A,0)),2)</f>
        <v>140.47</v>
      </c>
      <c r="T578" s="11">
        <f t="shared" si="785"/>
        <v>-1</v>
      </c>
      <c r="U578">
        <f t="shared" si="777"/>
        <v>18</v>
      </c>
      <c r="V578">
        <f t="shared" si="769"/>
        <v>66.959999999999994</v>
      </c>
      <c r="W578" s="13">
        <f t="shared" si="770"/>
        <v>8.0000000000000004E-4</v>
      </c>
      <c r="X578" s="13">
        <f t="shared" si="771"/>
        <v>3.2000000000000015E-3</v>
      </c>
      <c r="Y578">
        <f t="shared" si="763"/>
        <v>63.7</v>
      </c>
      <c r="Z578" s="13">
        <f t="shared" si="794"/>
        <v>-1.06E-2</v>
      </c>
      <c r="AA578" s="13">
        <f t="shared" si="790"/>
        <v>-1.9699999999999999E-2</v>
      </c>
      <c r="AB578" s="6">
        <f t="shared" si="764"/>
        <v>66.221999999999994</v>
      </c>
      <c r="AC578">
        <f t="shared" si="792"/>
        <v>33</v>
      </c>
      <c r="AD578" s="11">
        <f t="shared" si="793"/>
        <v>0</v>
      </c>
      <c r="AE578">
        <f t="shared" si="791"/>
        <v>20</v>
      </c>
      <c r="AF578">
        <f>IF(AND(AE578&lt;15,OR(AC578&gt;=30,AA578&gt;0.15,X578&gt;=0.15)),2,VLOOKUP(AE578,Table!P:Q,2,FALSE))</f>
        <v>3</v>
      </c>
      <c r="AG578" s="22">
        <f>IF((AB578*0.98)-(D578*0.8)+((AF578-3)*3)+VLOOKUP(AM578,Table!$A$11:$B$13,2,FALSE)&lt;0,0,(AB578*0.98)-(D578*0.8)+((AF578-3)*3)+VLOOKUP(AM578,Table!$A$11:$B$13,2,FALSE))</f>
        <v>52.769559999999998</v>
      </c>
      <c r="AH578" s="22">
        <f t="shared" si="786"/>
        <v>54</v>
      </c>
      <c r="AI578" s="18">
        <f t="shared" si="779"/>
        <v>4.72</v>
      </c>
      <c r="AJ578" s="18">
        <f t="shared" si="780"/>
        <v>4.8600000000000003</v>
      </c>
      <c r="AK578" t="str">
        <f t="shared" si="765"/>
        <v/>
      </c>
      <c r="AL578">
        <f t="shared" si="776"/>
        <v>19.75</v>
      </c>
      <c r="AM578" s="11" t="str">
        <f t="shared" si="766"/>
        <v>Stocks</v>
      </c>
      <c r="AN578" t="str">
        <f t="shared" si="772"/>
        <v>Buy</v>
      </c>
      <c r="AO578" s="13">
        <f t="shared" si="773"/>
        <v>1.44E-2</v>
      </c>
      <c r="AP578" s="13">
        <f t="shared" si="774"/>
        <v>8.9999999999999998E-4</v>
      </c>
      <c r="AQ578" s="13">
        <f t="shared" si="775"/>
        <v>8.2000000000000007E-3</v>
      </c>
      <c r="AR578" s="13">
        <f t="shared" si="767"/>
        <v>1.44E-2</v>
      </c>
      <c r="AS578" s="6">
        <f t="shared" si="759"/>
        <v>356.93668654514727</v>
      </c>
      <c r="AT578" s="6">
        <f t="shared" si="760"/>
        <v>180.49740703071279</v>
      </c>
      <c r="AU578" s="6">
        <f t="shared" si="761"/>
        <v>408.48222951253433</v>
      </c>
      <c r="AV578" s="6">
        <f t="shared" si="762"/>
        <v>505.2514611082816</v>
      </c>
      <c r="AW578" s="58">
        <f t="shared" si="768"/>
        <v>2007</v>
      </c>
      <c r="AX578" s="58">
        <f>COUNTIF(AW$3:AW578,AW578)</f>
        <v>22</v>
      </c>
    </row>
    <row r="579" spans="1:50" x14ac:dyDescent="0.25">
      <c r="A579" s="5">
        <v>39292</v>
      </c>
      <c r="B579">
        <v>1458.95</v>
      </c>
      <c r="C579">
        <v>4.82</v>
      </c>
      <c r="D579" s="6">
        <v>24.17</v>
      </c>
      <c r="E579" s="18">
        <f t="shared" si="781"/>
        <v>18.760000000000002</v>
      </c>
      <c r="F579">
        <f t="shared" si="782"/>
        <v>-1</v>
      </c>
      <c r="G579" s="18">
        <f>ROUND(INDEX(Valuation!U:U,MATCH(A579,Valuation!A:A,0)),2)</f>
        <v>87.55</v>
      </c>
      <c r="H579">
        <f t="shared" si="789"/>
        <v>-1</v>
      </c>
      <c r="I579" s="18">
        <f>INDEX(WeeklyIndicators!Y:Y,MATCH(A579,WeeklyIndicators!A:A,0))</f>
        <v>140.13999999999999</v>
      </c>
      <c r="J579">
        <f t="shared" si="778"/>
        <v>1</v>
      </c>
      <c r="K579">
        <f>ROUND(INDEX(Economic!AF:AF,MATCH(EOMONTH($A579,-1),Economic!A:A,0)),2)</f>
        <v>107.18</v>
      </c>
      <c r="L579" s="11">
        <f t="shared" si="787"/>
        <v>0</v>
      </c>
      <c r="M579">
        <f>ROUND(INDEX(Manufacturing!P:P,MATCH(EOMONTH($A579,-1),Manufacturing!A:A,0)),2)</f>
        <v>97.52</v>
      </c>
      <c r="N579">
        <f t="shared" si="783"/>
        <v>1</v>
      </c>
      <c r="O579">
        <f>ROUND(INDEX(Housing!AC:AC,MATCH(EOMONTH($A579,-1),Housing!B:B,0)),2)</f>
        <v>36.270000000000003</v>
      </c>
      <c r="P579">
        <f t="shared" si="784"/>
        <v>-3</v>
      </c>
      <c r="Q579">
        <f>ROUND(INDEX(Spending!AJ:AJ,MATCH(EOMONTH($A579,-1),Spending!B:B,0)),2)</f>
        <v>56.01</v>
      </c>
      <c r="R579">
        <f t="shared" si="788"/>
        <v>1</v>
      </c>
      <c r="S579">
        <f>ROUND(INDEX(Employment!V:V,MATCH(EOMONTH($A579,-1),Employment!A:A,0)),2)</f>
        <v>147.35</v>
      </c>
      <c r="T579" s="11">
        <f t="shared" si="785"/>
        <v>-1</v>
      </c>
      <c r="U579">
        <f t="shared" si="777"/>
        <v>17</v>
      </c>
      <c r="V579">
        <f t="shared" si="769"/>
        <v>68.709999999999994</v>
      </c>
      <c r="W579" s="13">
        <f t="shared" si="770"/>
        <v>1.2500000000000001E-2</v>
      </c>
      <c r="X579" s="13">
        <f t="shared" si="771"/>
        <v>-2.5700000000000001E-2</v>
      </c>
      <c r="Y579">
        <f t="shared" si="763"/>
        <v>66.239999999999995</v>
      </c>
      <c r="Z579" s="13">
        <f t="shared" si="794"/>
        <v>5.0000000000000001E-3</v>
      </c>
      <c r="AA579" s="13">
        <f t="shared" si="790"/>
        <v>-4.0099999999999997E-2</v>
      </c>
      <c r="AB579" s="6">
        <f t="shared" si="764"/>
        <v>66.844999999999999</v>
      </c>
      <c r="AC579">
        <f t="shared" si="792"/>
        <v>33</v>
      </c>
      <c r="AD579" s="11">
        <f t="shared" si="793"/>
        <v>0</v>
      </c>
      <c r="AE579">
        <f t="shared" si="791"/>
        <v>19</v>
      </c>
      <c r="AF579">
        <f>IF(AND(AE579&lt;15,OR(AC579&gt;=30,AA579&gt;0.15,X579&gt;=0.15)),2,VLOOKUP(AE579,Table!P:Q,2,FALSE))</f>
        <v>2</v>
      </c>
      <c r="AG579" s="22">
        <f>IF((AB579*0.98)-(D579*0.8)+((AF579-3)*3)+VLOOKUP(AM579,Table!$A$11:$B$13,2,FALSE)&lt;0,0,(AB579*0.98)-(D579*0.8)+((AF579-3)*3)+VLOOKUP(AM579,Table!$A$11:$B$13,2,FALSE))</f>
        <v>51.1721</v>
      </c>
      <c r="AH579" s="22">
        <f t="shared" si="786"/>
        <v>55</v>
      </c>
      <c r="AI579" s="18">
        <f t="shared" si="779"/>
        <v>4.72</v>
      </c>
      <c r="AJ579" s="18">
        <f t="shared" si="780"/>
        <v>4.8600000000000003</v>
      </c>
      <c r="AK579" t="str">
        <f t="shared" si="765"/>
        <v/>
      </c>
      <c r="AL579">
        <f t="shared" si="776"/>
        <v>19.5</v>
      </c>
      <c r="AM579" s="11" t="str">
        <f t="shared" si="766"/>
        <v>Stocks</v>
      </c>
      <c r="AN579" t="str">
        <f t="shared" si="772"/>
        <v>Buy</v>
      </c>
      <c r="AO579" s="13">
        <f t="shared" si="773"/>
        <v>-1.77E-2</v>
      </c>
      <c r="AP579" s="13">
        <f t="shared" si="774"/>
        <v>8.9999999999999998E-4</v>
      </c>
      <c r="AQ579" s="13">
        <f t="shared" si="775"/>
        <v>-9.2999999999999992E-3</v>
      </c>
      <c r="AR579" s="13">
        <f t="shared" si="767"/>
        <v>-1.77E-2</v>
      </c>
      <c r="AS579" s="6">
        <f t="shared" ref="AS579:AS642" si="795">AS580*(1+AO580)</f>
        <v>363.36830555344324</v>
      </c>
      <c r="AT579" s="6">
        <f t="shared" ref="AT579:AT642" si="796">AT580*(1+AP580)</f>
        <v>180.33510543582057</v>
      </c>
      <c r="AU579" s="6">
        <f t="shared" ref="AU579:AU642" si="797">AU580*(1+AQ580)</f>
        <v>412.31677552491607</v>
      </c>
      <c r="AV579" s="6">
        <f t="shared" ref="AV579:AV642" si="798">AV580*(1+AR580)</f>
        <v>514.35555442154293</v>
      </c>
      <c r="AW579" s="58">
        <f t="shared" si="768"/>
        <v>2007</v>
      </c>
      <c r="AX579" s="58">
        <f>COUNTIF(AW$3:AW579,AW579)</f>
        <v>23</v>
      </c>
    </row>
    <row r="580" spans="1:50" x14ac:dyDescent="0.25">
      <c r="A580" s="5">
        <v>39285</v>
      </c>
      <c r="B580">
        <v>1534.1</v>
      </c>
      <c r="C580">
        <v>4.83</v>
      </c>
      <c r="D580" s="6">
        <v>16.95</v>
      </c>
      <c r="E580" s="18">
        <f t="shared" si="781"/>
        <v>15.61</v>
      </c>
      <c r="F580">
        <f t="shared" si="782"/>
        <v>1</v>
      </c>
      <c r="G580" s="18">
        <f>ROUND(INDEX(Valuation!U:U,MATCH(A580,Valuation!A:A,0)),2)</f>
        <v>87.36</v>
      </c>
      <c r="H580">
        <f t="shared" si="789"/>
        <v>-1</v>
      </c>
      <c r="I580" s="18">
        <f>INDEX(WeeklyIndicators!Y:Y,MATCH(A580,WeeklyIndicators!A:A,0))</f>
        <v>132.27000000000001</v>
      </c>
      <c r="J580">
        <f t="shared" si="778"/>
        <v>0</v>
      </c>
      <c r="K580">
        <f>ROUND(INDEX(Economic!AF:AF,MATCH(EOMONTH($A580,-1),Economic!A:A,0)),2)</f>
        <v>107.18</v>
      </c>
      <c r="L580" s="11">
        <f t="shared" si="787"/>
        <v>0</v>
      </c>
      <c r="M580">
        <f>ROUND(INDEX(Manufacturing!P:P,MATCH(EOMONTH($A580,-1),Manufacturing!A:A,0)),2)</f>
        <v>97.52</v>
      </c>
      <c r="N580">
        <f t="shared" si="783"/>
        <v>1</v>
      </c>
      <c r="O580">
        <f>ROUND(INDEX(Housing!AC:AC,MATCH(EOMONTH($A580,-1),Housing!B:B,0)),2)</f>
        <v>36.270000000000003</v>
      </c>
      <c r="P580">
        <f t="shared" si="784"/>
        <v>-3</v>
      </c>
      <c r="Q580">
        <f>ROUND(INDEX(Spending!AJ:AJ,MATCH(EOMONTH($A580,-1),Spending!B:B,0)),2)</f>
        <v>56.01</v>
      </c>
      <c r="R580">
        <f t="shared" si="788"/>
        <v>1</v>
      </c>
      <c r="S580">
        <f>ROUND(INDEX(Employment!V:V,MATCH(EOMONTH($A580,-1),Employment!A:A,0)),2)</f>
        <v>147.35</v>
      </c>
      <c r="T580" s="11">
        <f t="shared" si="785"/>
        <v>-1</v>
      </c>
      <c r="U580">
        <f t="shared" si="777"/>
        <v>18</v>
      </c>
      <c r="V580">
        <f t="shared" si="769"/>
        <v>67.89</v>
      </c>
      <c r="W580" s="13">
        <f t="shared" si="770"/>
        <v>4.7000000000000002E-3</v>
      </c>
      <c r="X580" s="13">
        <f t="shared" si="771"/>
        <v>-6.8900000000000003E-2</v>
      </c>
      <c r="Y580">
        <f t="shared" ref="Y580:Y643" si="799">ROUND(((K580*0.745)+(M580*0.745)+(O580*0.36)+(Q580*0.45)+(S580*0.45)+(I580*0.55)+(G580*0.59)-(E580*1.85))/5.3,2)</f>
        <v>66.510000000000005</v>
      </c>
      <c r="Z580" s="13">
        <f t="shared" si="794"/>
        <v>2.2000000000000001E-3</v>
      </c>
      <c r="AA580" s="13">
        <f t="shared" si="790"/>
        <v>-7.8800000000000009E-2</v>
      </c>
      <c r="AB580" s="6">
        <f t="shared" ref="AB580:AB643" si="800">IF(ROUND(Y580+(X580*10)+(V580/30)+(AA580*67),2)+5+((G580-125)*0.1)&lt;0,0,ROUND(Y580+(X580*10)+(V580/30)+(AA580*67),2)+5+((G580-125)*0.1))</f>
        <v>64.036000000000001</v>
      </c>
      <c r="AC580">
        <f t="shared" si="792"/>
        <v>32</v>
      </c>
      <c r="AD580" s="11">
        <f t="shared" si="793"/>
        <v>0</v>
      </c>
      <c r="AE580">
        <f t="shared" si="791"/>
        <v>20</v>
      </c>
      <c r="AF580">
        <f>IF(AND(AE580&lt;15,OR(AC580&gt;=30,AA580&gt;0.15,X580&gt;=0.15)),2,VLOOKUP(AE580,Table!P:Q,2,FALSE))</f>
        <v>3</v>
      </c>
      <c r="AG580" s="22">
        <f>IF((AB580*0.98)-(D580*0.8)+((AF580-3)*3)+VLOOKUP(AM580,Table!$A$11:$B$13,2,FALSE)&lt;0,0,(AB580*0.98)-(D580*0.8)+((AF580-3)*3)+VLOOKUP(AM580,Table!$A$11:$B$13,2,FALSE))</f>
        <v>57.195279999999997</v>
      </c>
      <c r="AH580" s="22">
        <f t="shared" si="786"/>
        <v>56</v>
      </c>
      <c r="AI580" s="18">
        <f t="shared" si="779"/>
        <v>4.72</v>
      </c>
      <c r="AJ580" s="18">
        <f t="shared" si="780"/>
        <v>4.87</v>
      </c>
      <c r="AK580" t="str">
        <f t="shared" ref="AK580:AK643" si="801">IF(AND(C580&gt;AI580,AI580&gt;AJ580,C580-AJ580&gt;0.15),"Rising Rates",IF(AND(C580&lt;AI580,AI580&lt;AJ580,AJ580-C580&gt;0.15),"Falling Rates",""))</f>
        <v/>
      </c>
      <c r="AL580">
        <f t="shared" si="776"/>
        <v>20</v>
      </c>
      <c r="AM580" s="11" t="str">
        <f t="shared" ref="AM580:AM643" si="802">IF(OR(AND(AL580&lt;=18,G580&lt;=25),AND(AL580&lt;=14,G580&lt;200)),"Cash","Stocks")</f>
        <v>Stocks</v>
      </c>
      <c r="AN580" t="str">
        <f t="shared" si="772"/>
        <v>Buy</v>
      </c>
      <c r="AO580" s="13">
        <f t="shared" si="773"/>
        <v>-4.9000000000000002E-2</v>
      </c>
      <c r="AP580" s="13">
        <f t="shared" si="774"/>
        <v>8.9999999999999998E-4</v>
      </c>
      <c r="AQ580" s="13">
        <f t="shared" si="775"/>
        <v>-2.7E-2</v>
      </c>
      <c r="AR580" s="13">
        <f t="shared" ref="AR580:AR643" si="803">IF(AM580="Stocks",AO580,AP580)</f>
        <v>-4.9000000000000002E-2</v>
      </c>
      <c r="AS580" s="6">
        <f t="shared" si="795"/>
        <v>382.09075242212748</v>
      </c>
      <c r="AT580" s="6">
        <f t="shared" si="796"/>
        <v>180.17294978101768</v>
      </c>
      <c r="AU580" s="6">
        <f t="shared" si="797"/>
        <v>423.75824822704635</v>
      </c>
      <c r="AV580" s="6">
        <f t="shared" si="798"/>
        <v>540.85757562727963</v>
      </c>
      <c r="AW580" s="58">
        <f t="shared" ref="AW580:AW643" si="804">YEAR(A580)</f>
        <v>2007</v>
      </c>
      <c r="AX580" s="58">
        <f>COUNTIF(AW$3:AW580,AW580)</f>
        <v>24</v>
      </c>
    </row>
    <row r="581" spans="1:50" x14ac:dyDescent="0.25">
      <c r="A581" s="5">
        <v>39278</v>
      </c>
      <c r="B581">
        <v>1552.5</v>
      </c>
      <c r="C581">
        <v>4.82</v>
      </c>
      <c r="D581" s="6">
        <v>15.15</v>
      </c>
      <c r="E581" s="18">
        <f t="shared" si="781"/>
        <v>15.37</v>
      </c>
      <c r="F581">
        <f t="shared" si="782"/>
        <v>1</v>
      </c>
      <c r="G581" s="18">
        <f>ROUND(INDEX(Valuation!U:U,MATCH(A581,Valuation!A:A,0)),2)</f>
        <v>90.02</v>
      </c>
      <c r="H581">
        <f t="shared" si="789"/>
        <v>0</v>
      </c>
      <c r="I581" s="18">
        <f>INDEX(WeeklyIndicators!Y:Y,MATCH(A581,WeeklyIndicators!A:A,0))</f>
        <v>121.79</v>
      </c>
      <c r="J581">
        <f t="shared" si="778"/>
        <v>0</v>
      </c>
      <c r="K581">
        <f>ROUND(INDEX(Economic!AF:AF,MATCH(EOMONTH($A581,-1),Economic!A:A,0)),2)</f>
        <v>107.18</v>
      </c>
      <c r="L581" s="11">
        <f t="shared" si="787"/>
        <v>0</v>
      </c>
      <c r="M581">
        <f>ROUND(INDEX(Manufacturing!P:P,MATCH(EOMONTH($A581,-1),Manufacturing!A:A,0)),2)</f>
        <v>97.52</v>
      </c>
      <c r="N581">
        <f t="shared" si="783"/>
        <v>1</v>
      </c>
      <c r="O581">
        <f>ROUND(INDEX(Housing!AC:AC,MATCH(EOMONTH($A581,-1),Housing!B:B,0)),2)</f>
        <v>36.270000000000003</v>
      </c>
      <c r="P581">
        <f t="shared" si="784"/>
        <v>-3</v>
      </c>
      <c r="Q581">
        <f>ROUND(INDEX(Spending!AJ:AJ,MATCH(EOMONTH($A581,-1),Spending!B:B,0)),2)</f>
        <v>56.01</v>
      </c>
      <c r="R581">
        <f t="shared" si="788"/>
        <v>1</v>
      </c>
      <c r="S581">
        <f>ROUND(INDEX(Employment!V:V,MATCH(EOMONTH($A581,-1),Employment!A:A,0)),2)</f>
        <v>147.35</v>
      </c>
      <c r="T581" s="11">
        <f t="shared" si="785"/>
        <v>-1</v>
      </c>
      <c r="U581">
        <f t="shared" si="777"/>
        <v>19</v>
      </c>
      <c r="V581">
        <f t="shared" ref="V581:V644" si="805">ROUND(((K581*0.745)+(M581*0.745)+(O581*0.36)+(Q581*0.45)+(S581*0.45)+(I581*0.55)+(60)-(30))/5.3,2)</f>
        <v>66.8</v>
      </c>
      <c r="W581" s="13">
        <f t="shared" ref="W581:W644" si="806">ROUND((AVERAGE(V581:V583)-AVERAGE(V582:V584))/AVERAGE(V582:V584),4)</f>
        <v>-1.4800000000000001E-2</v>
      </c>
      <c r="X581" s="13">
        <f t="shared" ref="X581:X644" si="807">SUM(W581:W584)</f>
        <v>-9.2899999999999996E-2</v>
      </c>
      <c r="Y581">
        <f t="shared" si="799"/>
        <v>65.8</v>
      </c>
      <c r="Z581" s="13">
        <f t="shared" si="794"/>
        <v>-1.6299999999999999E-2</v>
      </c>
      <c r="AA581" s="13">
        <f t="shared" si="790"/>
        <v>-0.10379999999999999</v>
      </c>
      <c r="AB581" s="6">
        <f t="shared" si="800"/>
        <v>61.642000000000003</v>
      </c>
      <c r="AC581">
        <f t="shared" si="792"/>
        <v>31</v>
      </c>
      <c r="AD581" s="11">
        <f t="shared" si="793"/>
        <v>-1</v>
      </c>
      <c r="AE581">
        <f t="shared" si="791"/>
        <v>20</v>
      </c>
      <c r="AF581">
        <f>IF(AND(AE581&lt;15,OR(AC581&gt;=30,AA581&gt;0.15,X581&gt;=0.15)),2,VLOOKUP(AE581,Table!P:Q,2,FALSE))</f>
        <v>3</v>
      </c>
      <c r="AG581" s="22">
        <f>IF((AB581*0.98)-(D581*0.8)+((AF581-3)*3)+VLOOKUP(AM581,Table!$A$11:$B$13,2,FALSE)&lt;0,0,(AB581*0.98)-(D581*0.8)+((AF581-3)*3)+VLOOKUP(AM581,Table!$A$11:$B$13,2,FALSE))</f>
        <v>56.289159999999995</v>
      </c>
      <c r="AH581" s="22">
        <f t="shared" si="786"/>
        <v>56</v>
      </c>
      <c r="AI581" s="18">
        <f t="shared" si="779"/>
        <v>4.72</v>
      </c>
      <c r="AJ581" s="18">
        <f t="shared" si="780"/>
        <v>4.87</v>
      </c>
      <c r="AK581" t="str">
        <f t="shared" si="801"/>
        <v/>
      </c>
      <c r="AL581">
        <f t="shared" si="776"/>
        <v>20.75</v>
      </c>
      <c r="AM581" s="11" t="str">
        <f t="shared" si="802"/>
        <v>Stocks</v>
      </c>
      <c r="AN581" t="str">
        <f t="shared" ref="AN581:AN644" si="808">IF(AND(V581&gt;AG581,V581&lt;65),"Sell","Buy")</f>
        <v>Buy</v>
      </c>
      <c r="AO581" s="13">
        <f t="shared" ref="AO581:AO644" si="809">ROUND((B580/B581)-1,4)</f>
        <v>-1.1900000000000001E-2</v>
      </c>
      <c r="AP581" s="13">
        <f t="shared" ref="AP581:AP644" si="810">ROUND((C581*0.01)/52,4)</f>
        <v>8.9999999999999998E-4</v>
      </c>
      <c r="AQ581" s="13">
        <f t="shared" ref="AQ581:AQ644" si="811">ROUND(((AH581*0.01)*AO581)+(((100-AH581)*0.01)*AP581),4)</f>
        <v>-6.3E-3</v>
      </c>
      <c r="AR581" s="13">
        <f t="shared" si="803"/>
        <v>-1.1900000000000001E-2</v>
      </c>
      <c r="AS581" s="6">
        <f t="shared" si="795"/>
        <v>386.69239188556571</v>
      </c>
      <c r="AT581" s="6">
        <f t="shared" si="796"/>
        <v>180.01093993507612</v>
      </c>
      <c r="AU581" s="6">
        <f t="shared" si="797"/>
        <v>426.44485078700444</v>
      </c>
      <c r="AV581" s="6">
        <f t="shared" si="798"/>
        <v>547.37129402619132</v>
      </c>
      <c r="AW581" s="58">
        <f t="shared" si="804"/>
        <v>2007</v>
      </c>
      <c r="AX581" s="58">
        <f>COUNTIF(AW$3:AW581,AW581)</f>
        <v>25</v>
      </c>
    </row>
    <row r="582" spans="1:50" x14ac:dyDescent="0.25">
      <c r="A582" s="5">
        <v>39271</v>
      </c>
      <c r="B582">
        <v>1530.44</v>
      </c>
      <c r="C582">
        <v>4.8099999999999996</v>
      </c>
      <c r="D582" s="6">
        <v>14.72</v>
      </c>
      <c r="E582" s="18">
        <f t="shared" si="781"/>
        <v>15.57</v>
      </c>
      <c r="F582">
        <f t="shared" si="782"/>
        <v>1</v>
      </c>
      <c r="G582" s="18">
        <f>ROUND(INDEX(Valuation!U:U,MATCH(A582,Valuation!A:A,0)),2)</f>
        <v>91.23</v>
      </c>
      <c r="H582">
        <f t="shared" si="789"/>
        <v>0</v>
      </c>
      <c r="I582" s="18">
        <f>INDEX(WeeklyIndicators!Y:Y,MATCH(A582,WeeklyIndicators!A:A,0))</f>
        <v>115.9</v>
      </c>
      <c r="J582">
        <f t="shared" si="778"/>
        <v>-1</v>
      </c>
      <c r="K582">
        <f>ROUND(INDEX(Economic!AF:AF,MATCH(EOMONTH($A582,-1),Economic!A:A,0)),2)</f>
        <v>107.18</v>
      </c>
      <c r="L582" s="11">
        <f t="shared" si="787"/>
        <v>0</v>
      </c>
      <c r="M582">
        <f>ROUND(INDEX(Manufacturing!P:P,MATCH(EOMONTH($A582,-1),Manufacturing!A:A,0)),2)</f>
        <v>97.52</v>
      </c>
      <c r="N582">
        <f t="shared" si="783"/>
        <v>1</v>
      </c>
      <c r="O582">
        <f>ROUND(INDEX(Housing!AC:AC,MATCH(EOMONTH($A582,-1),Housing!B:B,0)),2)</f>
        <v>36.270000000000003</v>
      </c>
      <c r="P582">
        <f t="shared" si="784"/>
        <v>-3</v>
      </c>
      <c r="Q582">
        <f>ROUND(INDEX(Spending!AJ:AJ,MATCH(EOMONTH($A582,-1),Spending!B:B,0)),2)</f>
        <v>56.01</v>
      </c>
      <c r="R582">
        <f t="shared" si="788"/>
        <v>1</v>
      </c>
      <c r="S582">
        <f>ROUND(INDEX(Employment!V:V,MATCH(EOMONTH($A582,-1),Employment!A:A,0)),2)</f>
        <v>147.35</v>
      </c>
      <c r="T582" s="11">
        <f t="shared" si="785"/>
        <v>-1</v>
      </c>
      <c r="U582">
        <f t="shared" si="777"/>
        <v>18</v>
      </c>
      <c r="V582">
        <f t="shared" si="805"/>
        <v>66.19</v>
      </c>
      <c r="W582" s="13">
        <f t="shared" si="806"/>
        <v>-2.81E-2</v>
      </c>
      <c r="X582" s="13">
        <f t="shared" si="807"/>
        <v>-8.4500000000000006E-2</v>
      </c>
      <c r="Y582">
        <f t="shared" si="799"/>
        <v>65.25</v>
      </c>
      <c r="Z582" s="13">
        <f t="shared" si="794"/>
        <v>-3.1E-2</v>
      </c>
      <c r="AA582" s="13">
        <f t="shared" si="790"/>
        <v>-9.6400000000000013E-2</v>
      </c>
      <c r="AB582" s="6">
        <f t="shared" si="800"/>
        <v>61.773000000000003</v>
      </c>
      <c r="AC582">
        <f t="shared" si="792"/>
        <v>31</v>
      </c>
      <c r="AD582" s="11">
        <f t="shared" si="793"/>
        <v>-1</v>
      </c>
      <c r="AE582">
        <f t="shared" si="791"/>
        <v>19</v>
      </c>
      <c r="AF582">
        <f>IF(AND(AE582&lt;15,OR(AC582&gt;=30,AA582&gt;0.15,X582&gt;=0.15)),2,VLOOKUP(AE582,Table!P:Q,2,FALSE))</f>
        <v>2</v>
      </c>
      <c r="AG582" s="22">
        <f>IF((AB582*0.98)-(D582*0.8)+((AF582-3)*3)+VLOOKUP(AM582,Table!$A$11:$B$13,2,FALSE)&lt;0,0,(AB582*0.98)-(D582*0.8)+((AF582-3)*3)+VLOOKUP(AM582,Table!$A$11:$B$13,2,FALSE))</f>
        <v>53.761539999999997</v>
      </c>
      <c r="AH582" s="22">
        <f t="shared" si="786"/>
        <v>60</v>
      </c>
      <c r="AI582" s="18">
        <f t="shared" si="779"/>
        <v>4.7300000000000004</v>
      </c>
      <c r="AJ582" s="18">
        <f t="shared" si="780"/>
        <v>4.87</v>
      </c>
      <c r="AK582" t="str">
        <f t="shared" si="801"/>
        <v/>
      </c>
      <c r="AL582">
        <f t="shared" si="776"/>
        <v>22</v>
      </c>
      <c r="AM582" s="11" t="str">
        <f t="shared" si="802"/>
        <v>Stocks</v>
      </c>
      <c r="AN582" t="str">
        <f t="shared" si="808"/>
        <v>Buy</v>
      </c>
      <c r="AO582" s="13">
        <f t="shared" si="809"/>
        <v>1.44E-2</v>
      </c>
      <c r="AP582" s="13">
        <f t="shared" si="810"/>
        <v>8.9999999999999998E-4</v>
      </c>
      <c r="AQ582" s="13">
        <f t="shared" si="811"/>
        <v>8.9999999999999993E-3</v>
      </c>
      <c r="AR582" s="13">
        <f t="shared" si="803"/>
        <v>1.44E-2</v>
      </c>
      <c r="AS582" s="6">
        <f t="shared" si="795"/>
        <v>381.20306771053401</v>
      </c>
      <c r="AT582" s="6">
        <f t="shared" si="796"/>
        <v>179.84907576688593</v>
      </c>
      <c r="AU582" s="6">
        <f t="shared" si="797"/>
        <v>422.6410810574871</v>
      </c>
      <c r="AV582" s="6">
        <f t="shared" si="798"/>
        <v>539.60103906367442</v>
      </c>
      <c r="AW582" s="58">
        <f t="shared" si="804"/>
        <v>2007</v>
      </c>
      <c r="AX582" s="58">
        <f>COUNTIF(AW$3:AW582,AW582)</f>
        <v>26</v>
      </c>
    </row>
    <row r="583" spans="1:50" x14ac:dyDescent="0.25">
      <c r="A583" s="5">
        <v>39264</v>
      </c>
      <c r="B583">
        <v>1503.35</v>
      </c>
      <c r="C583">
        <v>4.67</v>
      </c>
      <c r="D583" s="6">
        <v>16.23</v>
      </c>
      <c r="E583" s="18">
        <f t="shared" si="781"/>
        <v>15.31</v>
      </c>
      <c r="F583">
        <f t="shared" si="782"/>
        <v>1</v>
      </c>
      <c r="G583" s="18">
        <f>ROUND(INDEX(Valuation!U:U,MATCH(A583,Valuation!A:A,0)),2)</f>
        <v>91.04</v>
      </c>
      <c r="H583">
        <f t="shared" si="789"/>
        <v>0</v>
      </c>
      <c r="I583" s="18">
        <f>INDEX(WeeklyIndicators!Y:Y,MATCH(A583,WeeklyIndicators!A:A,0))</f>
        <v>123.17</v>
      </c>
      <c r="J583">
        <f t="shared" si="778"/>
        <v>0</v>
      </c>
      <c r="K583">
        <f>ROUND(INDEX(Economic!AF:AF,MATCH(EOMONTH($A583,-1),Economic!A:A,0)),2)</f>
        <v>107.18</v>
      </c>
      <c r="L583" s="11">
        <f t="shared" si="787"/>
        <v>0</v>
      </c>
      <c r="M583">
        <f>ROUND(INDEX(Manufacturing!P:P,MATCH(EOMONTH($A583,-1),Manufacturing!A:A,0)),2)</f>
        <v>97.52</v>
      </c>
      <c r="N583">
        <f t="shared" si="783"/>
        <v>1</v>
      </c>
      <c r="O583">
        <f>ROUND(INDEX(Housing!AC:AC,MATCH(EOMONTH($A583,-1),Housing!B:B,0)),2)</f>
        <v>36.270000000000003</v>
      </c>
      <c r="P583">
        <f t="shared" si="784"/>
        <v>-3</v>
      </c>
      <c r="Q583">
        <f>ROUND(INDEX(Spending!AJ:AJ,MATCH(EOMONTH($A583,-1),Spending!B:B,0)),2)</f>
        <v>56.01</v>
      </c>
      <c r="R583">
        <f t="shared" si="788"/>
        <v>1</v>
      </c>
      <c r="S583">
        <f>ROUND(INDEX(Employment!V:V,MATCH(EOMONTH($A583,-1),Employment!A:A,0)),2)</f>
        <v>147.35</v>
      </c>
      <c r="T583" s="11">
        <f t="shared" si="785"/>
        <v>-1</v>
      </c>
      <c r="U583">
        <f t="shared" si="777"/>
        <v>19</v>
      </c>
      <c r="V583">
        <f t="shared" si="805"/>
        <v>66.95</v>
      </c>
      <c r="W583" s="13">
        <f t="shared" si="806"/>
        <v>-3.0700000000000002E-2</v>
      </c>
      <c r="X583" s="13">
        <f t="shared" si="807"/>
        <v>-4.7900000000000005E-2</v>
      </c>
      <c r="Y583">
        <f t="shared" si="799"/>
        <v>66.08</v>
      </c>
      <c r="Z583" s="13">
        <f t="shared" si="794"/>
        <v>-3.3700000000000001E-2</v>
      </c>
      <c r="AA583" s="13">
        <f t="shared" si="790"/>
        <v>-5.9299999999999999E-2</v>
      </c>
      <c r="AB583" s="6">
        <f t="shared" si="800"/>
        <v>65.463999999999999</v>
      </c>
      <c r="AC583">
        <f t="shared" si="792"/>
        <v>33</v>
      </c>
      <c r="AD583" s="11">
        <f t="shared" si="793"/>
        <v>0</v>
      </c>
      <c r="AE583">
        <f t="shared" si="791"/>
        <v>21</v>
      </c>
      <c r="AF583">
        <f>IF(AND(AE583&lt;15,OR(AC583&gt;=30,AA583&gt;0.15,X583&gt;=0.15)),2,VLOOKUP(AE583,Table!P:Q,2,FALSE))</f>
        <v>3</v>
      </c>
      <c r="AG583" s="22">
        <f>IF((AB583*0.98)-(D583*0.8)+((AF583-3)*3)+VLOOKUP(AM583,Table!$A$11:$B$13,2,FALSE)&lt;0,0,(AB583*0.98)-(D583*0.8)+((AF583-3)*3)+VLOOKUP(AM583,Table!$A$11:$B$13,2,FALSE))</f>
        <v>59.170719999999996</v>
      </c>
      <c r="AH583" s="22">
        <f t="shared" si="786"/>
        <v>66</v>
      </c>
      <c r="AI583" s="18">
        <f t="shared" si="779"/>
        <v>4.74</v>
      </c>
      <c r="AJ583" s="18">
        <f t="shared" si="780"/>
        <v>4.87</v>
      </c>
      <c r="AK583" t="str">
        <f t="shared" si="801"/>
        <v>Falling Rates</v>
      </c>
      <c r="AL583">
        <f t="shared" si="776"/>
        <v>23.75</v>
      </c>
      <c r="AM583" s="11" t="str">
        <f t="shared" si="802"/>
        <v>Stocks</v>
      </c>
      <c r="AN583" t="str">
        <f t="shared" si="808"/>
        <v>Buy</v>
      </c>
      <c r="AO583" s="13">
        <f t="shared" si="809"/>
        <v>1.7999999999999999E-2</v>
      </c>
      <c r="AP583" s="13">
        <f t="shared" si="810"/>
        <v>8.9999999999999998E-4</v>
      </c>
      <c r="AQ583" s="13">
        <f t="shared" si="811"/>
        <v>1.2200000000000001E-2</v>
      </c>
      <c r="AR583" s="13">
        <f t="shared" si="803"/>
        <v>1.7999999999999999E-2</v>
      </c>
      <c r="AS583" s="6">
        <f t="shared" si="795"/>
        <v>374.46273841899216</v>
      </c>
      <c r="AT583" s="6">
        <f t="shared" si="796"/>
        <v>179.68735714545505</v>
      </c>
      <c r="AU583" s="6">
        <f t="shared" si="797"/>
        <v>417.54700756519179</v>
      </c>
      <c r="AV583" s="6">
        <f t="shared" si="798"/>
        <v>530.05995978749945</v>
      </c>
      <c r="AW583" s="58">
        <f t="shared" si="804"/>
        <v>2007</v>
      </c>
      <c r="AX583" s="58">
        <f>COUNTIF(AW$3:AW583,AW583)</f>
        <v>27</v>
      </c>
    </row>
    <row r="584" spans="1:50" x14ac:dyDescent="0.25">
      <c r="A584" s="5">
        <v>39257</v>
      </c>
      <c r="B584">
        <v>1502.56</v>
      </c>
      <c r="C584">
        <v>4.5599999999999996</v>
      </c>
      <c r="D584" s="6">
        <v>15.75</v>
      </c>
      <c r="E584" s="18">
        <f t="shared" si="781"/>
        <v>14.84</v>
      </c>
      <c r="F584">
        <f t="shared" si="782"/>
        <v>1</v>
      </c>
      <c r="G584" s="18">
        <f>ROUND(INDEX(Valuation!U:U,MATCH(A584,Valuation!A:A,0)),2)</f>
        <v>90.8</v>
      </c>
      <c r="H584">
        <f t="shared" si="789"/>
        <v>0</v>
      </c>
      <c r="I584" s="18">
        <f>INDEX(WeeklyIndicators!Y:Y,MATCH(A584,WeeklyIndicators!A:A,0))</f>
        <v>139.15</v>
      </c>
      <c r="J584">
        <f t="shared" si="778"/>
        <v>1</v>
      </c>
      <c r="K584">
        <f>ROUND(INDEX(Economic!AF:AF,MATCH(EOMONTH($A584,-1),Economic!A:A,0)),2)</f>
        <v>109.89</v>
      </c>
      <c r="L584" s="11">
        <f t="shared" si="787"/>
        <v>0</v>
      </c>
      <c r="M584">
        <f>ROUND(INDEX(Manufacturing!P:P,MATCH(EOMONTH($A584,-1),Manufacturing!A:A,0)),2)</f>
        <v>94.24</v>
      </c>
      <c r="N584">
        <f t="shared" si="783"/>
        <v>1</v>
      </c>
      <c r="O584">
        <f>ROUND(INDEX(Housing!AC:AC,MATCH(EOMONTH($A584,-1),Housing!B:B,0)),2)</f>
        <v>46.35</v>
      </c>
      <c r="P584">
        <f t="shared" si="784"/>
        <v>-3</v>
      </c>
      <c r="Q584">
        <f>ROUND(INDEX(Spending!AJ:AJ,MATCH(EOMONTH($A584,-1),Spending!B:B,0)),2)</f>
        <v>57.33</v>
      </c>
      <c r="R584">
        <f t="shared" si="788"/>
        <v>1</v>
      </c>
      <c r="S584">
        <f>ROUND(INDEX(Employment!V:V,MATCH(EOMONTH($A584,-1),Employment!A:A,0)),2)</f>
        <v>153.05000000000001</v>
      </c>
      <c r="T584" s="11">
        <f t="shared" si="785"/>
        <v>0</v>
      </c>
      <c r="U584">
        <f t="shared" si="777"/>
        <v>21</v>
      </c>
      <c r="V584">
        <f t="shared" si="805"/>
        <v>69.8</v>
      </c>
      <c r="W584" s="13">
        <f t="shared" si="806"/>
        <v>-1.9300000000000001E-2</v>
      </c>
      <c r="X584" s="13">
        <f t="shared" si="807"/>
        <v>5.0000000000000044E-4</v>
      </c>
      <c r="Y584">
        <f t="shared" si="799"/>
        <v>69.069999999999993</v>
      </c>
      <c r="Z584" s="13">
        <f t="shared" si="794"/>
        <v>-2.2800000000000001E-2</v>
      </c>
      <c r="AA584" s="13">
        <f t="shared" si="790"/>
        <v>-8.6999999999999994E-3</v>
      </c>
      <c r="AB584" s="6">
        <f t="shared" si="800"/>
        <v>72.399999999999991</v>
      </c>
      <c r="AC584">
        <f t="shared" si="792"/>
        <v>36</v>
      </c>
      <c r="AD584" s="11">
        <f t="shared" si="793"/>
        <v>0</v>
      </c>
      <c r="AE584">
        <f t="shared" si="791"/>
        <v>23</v>
      </c>
      <c r="AF584">
        <f>IF(AND(AE584&lt;15,OR(AC584&gt;=30,AA584&gt;0.15,X584&gt;=0.15)),2,VLOOKUP(AE584,Table!P:Q,2,FALSE))</f>
        <v>3</v>
      </c>
      <c r="AG584" s="22">
        <f>IF((AB584*0.98)-(D584*0.8)+((AF584-3)*3)+VLOOKUP(AM584,Table!$A$11:$B$13,2,FALSE)&lt;0,0,(AB584*0.98)-(D584*0.8)+((AF584-3)*3)+VLOOKUP(AM584,Table!$A$11:$B$13,2,FALSE))</f>
        <v>66.351999999999975</v>
      </c>
      <c r="AH584" s="22">
        <f t="shared" si="786"/>
        <v>73</v>
      </c>
      <c r="AI584" s="18">
        <f t="shared" si="779"/>
        <v>4.76</v>
      </c>
      <c r="AJ584" s="18">
        <f t="shared" si="780"/>
        <v>4.87</v>
      </c>
      <c r="AK584" t="str">
        <f t="shared" si="801"/>
        <v>Falling Rates</v>
      </c>
      <c r="AL584">
        <f t="shared" si="776"/>
        <v>25</v>
      </c>
      <c r="AM584" s="11" t="str">
        <f t="shared" si="802"/>
        <v>Stocks</v>
      </c>
      <c r="AN584" t="str">
        <f t="shared" si="808"/>
        <v>Buy</v>
      </c>
      <c r="AO584" s="13">
        <f t="shared" si="809"/>
        <v>5.0000000000000001E-4</v>
      </c>
      <c r="AP584" s="13">
        <f t="shared" si="810"/>
        <v>8.9999999999999998E-4</v>
      </c>
      <c r="AQ584" s="13">
        <f t="shared" si="811"/>
        <v>5.9999999999999995E-4</v>
      </c>
      <c r="AR584" s="13">
        <f t="shared" si="803"/>
        <v>5.0000000000000001E-4</v>
      </c>
      <c r="AS584" s="6">
        <f t="shared" si="795"/>
        <v>374.27560061868286</v>
      </c>
      <c r="AT584" s="6">
        <f t="shared" si="796"/>
        <v>179.52578393990916</v>
      </c>
      <c r="AU584" s="6">
        <f t="shared" si="797"/>
        <v>417.29662958743933</v>
      </c>
      <c r="AV584" s="6">
        <f t="shared" si="798"/>
        <v>529.79506225637124</v>
      </c>
      <c r="AW584" s="58">
        <f t="shared" si="804"/>
        <v>2007</v>
      </c>
      <c r="AX584" s="58">
        <f>COUNTIF(AW$3:AW584,AW584)</f>
        <v>28</v>
      </c>
    </row>
    <row r="585" spans="1:50" x14ac:dyDescent="0.25">
      <c r="A585" s="5">
        <v>39250</v>
      </c>
      <c r="B585">
        <v>1532.91</v>
      </c>
      <c r="C585">
        <v>4.53</v>
      </c>
      <c r="D585" s="6">
        <v>13.94</v>
      </c>
      <c r="E585" s="18">
        <f t="shared" si="781"/>
        <v>13.85</v>
      </c>
      <c r="F585">
        <f t="shared" si="782"/>
        <v>2</v>
      </c>
      <c r="G585" s="18">
        <f>ROUND(INDEX(Valuation!U:U,MATCH(A585,Valuation!A:A,0)),2)</f>
        <v>90.73</v>
      </c>
      <c r="H585">
        <f t="shared" si="789"/>
        <v>0</v>
      </c>
      <c r="I585" s="18">
        <f>INDEX(WeeklyIndicators!Y:Y,MATCH(A585,WeeklyIndicators!A:A,0))</f>
        <v>160.88999999999999</v>
      </c>
      <c r="J585">
        <f t="shared" si="778"/>
        <v>2</v>
      </c>
      <c r="K585">
        <f>ROUND(INDEX(Economic!AF:AF,MATCH(EOMONTH($A585,-1),Economic!A:A,0)),2)</f>
        <v>109.89</v>
      </c>
      <c r="L585" s="11">
        <f t="shared" si="787"/>
        <v>0</v>
      </c>
      <c r="M585">
        <f>ROUND(INDEX(Manufacturing!P:P,MATCH(EOMONTH($A585,-1),Manufacturing!A:A,0)),2)</f>
        <v>94.24</v>
      </c>
      <c r="N585">
        <f t="shared" si="783"/>
        <v>1</v>
      </c>
      <c r="O585">
        <f>ROUND(INDEX(Housing!AC:AC,MATCH(EOMONTH($A585,-1),Housing!B:B,0)),2)</f>
        <v>46.35</v>
      </c>
      <c r="P585">
        <f t="shared" si="784"/>
        <v>-3</v>
      </c>
      <c r="Q585">
        <f>ROUND(INDEX(Spending!AJ:AJ,MATCH(EOMONTH($A585,-1),Spending!B:B,0)),2)</f>
        <v>57.33</v>
      </c>
      <c r="R585">
        <f t="shared" si="788"/>
        <v>1</v>
      </c>
      <c r="S585">
        <f>ROUND(INDEX(Employment!V:V,MATCH(EOMONTH($A585,-1),Employment!A:A,0)),2)</f>
        <v>153.05000000000001</v>
      </c>
      <c r="T585" s="11">
        <f t="shared" si="785"/>
        <v>0</v>
      </c>
      <c r="U585">
        <f t="shared" si="777"/>
        <v>23</v>
      </c>
      <c r="V585">
        <f t="shared" si="805"/>
        <v>72.06</v>
      </c>
      <c r="W585" s="13">
        <f t="shared" si="806"/>
        <v>-6.4000000000000003E-3</v>
      </c>
      <c r="X585" s="13">
        <f t="shared" si="807"/>
        <v>3.6699999999999997E-2</v>
      </c>
      <c r="Y585">
        <f t="shared" si="799"/>
        <v>71.67</v>
      </c>
      <c r="Z585" s="13">
        <f t="shared" si="794"/>
        <v>-8.8999999999999999E-3</v>
      </c>
      <c r="AA585" s="13">
        <f t="shared" si="790"/>
        <v>3.0799999999999998E-2</v>
      </c>
      <c r="AB585" s="6">
        <f t="shared" si="800"/>
        <v>78.073000000000008</v>
      </c>
      <c r="AC585">
        <f t="shared" si="792"/>
        <v>39</v>
      </c>
      <c r="AD585" s="11">
        <f t="shared" si="793"/>
        <v>0</v>
      </c>
      <c r="AE585">
        <f t="shared" si="791"/>
        <v>25</v>
      </c>
      <c r="AF585">
        <f>IF(AND(AE585&lt;15,OR(AC585&gt;=30,AA585&gt;0.15,X585&gt;=0.15)),2,VLOOKUP(AE585,Table!P:Q,2,FALSE))</f>
        <v>3</v>
      </c>
      <c r="AG585" s="22">
        <f>IF((AB585*0.98)-(D585*0.8)+((AF585-3)*3)+VLOOKUP(AM585,Table!$A$11:$B$13,2,FALSE)&lt;0,0,(AB585*0.98)-(D585*0.8)+((AF585-3)*3)+VLOOKUP(AM585,Table!$A$11:$B$13,2,FALSE))</f>
        <v>73.35954000000001</v>
      </c>
      <c r="AH585" s="22">
        <f t="shared" si="786"/>
        <v>77</v>
      </c>
      <c r="AI585" s="18">
        <f t="shared" si="779"/>
        <v>4.78</v>
      </c>
      <c r="AJ585" s="18">
        <f t="shared" si="780"/>
        <v>4.88</v>
      </c>
      <c r="AK585" t="str">
        <f t="shared" si="801"/>
        <v>Falling Rates</v>
      </c>
      <c r="AL585">
        <f t="shared" ref="AL585:AL648" si="812">ROUND(AVERAGE(AE585:AE588),2)</f>
        <v>26</v>
      </c>
      <c r="AM585" s="11" t="str">
        <f t="shared" si="802"/>
        <v>Stocks</v>
      </c>
      <c r="AN585" t="str">
        <f t="shared" si="808"/>
        <v>Buy</v>
      </c>
      <c r="AO585" s="13">
        <f t="shared" si="809"/>
        <v>-1.9800000000000002E-2</v>
      </c>
      <c r="AP585" s="13">
        <f t="shared" si="810"/>
        <v>8.9999999999999998E-4</v>
      </c>
      <c r="AQ585" s="13">
        <f t="shared" si="811"/>
        <v>-1.4999999999999999E-2</v>
      </c>
      <c r="AR585" s="13">
        <f t="shared" si="803"/>
        <v>-1.9800000000000002E-2</v>
      </c>
      <c r="AS585" s="6">
        <f t="shared" si="795"/>
        <v>381.83595247774218</v>
      </c>
      <c r="AT585" s="6">
        <f t="shared" si="796"/>
        <v>179.36435601949162</v>
      </c>
      <c r="AU585" s="6">
        <f t="shared" si="797"/>
        <v>423.65140059638509</v>
      </c>
      <c r="AV585" s="6">
        <f t="shared" si="798"/>
        <v>540.49690089407397</v>
      </c>
      <c r="AW585" s="58">
        <f t="shared" si="804"/>
        <v>2007</v>
      </c>
      <c r="AX585" s="58">
        <f>COUNTIF(AW$3:AW585,AW585)</f>
        <v>29</v>
      </c>
    </row>
    <row r="586" spans="1:50" x14ac:dyDescent="0.25">
      <c r="A586" s="5">
        <v>39243</v>
      </c>
      <c r="B586">
        <v>1507.67</v>
      </c>
      <c r="C586">
        <v>4.67</v>
      </c>
      <c r="D586" s="6">
        <v>14.84</v>
      </c>
      <c r="E586" s="18">
        <f t="shared" si="781"/>
        <v>13.65</v>
      </c>
      <c r="F586">
        <f t="shared" si="782"/>
        <v>2</v>
      </c>
      <c r="G586" s="18">
        <f>ROUND(INDEX(Valuation!U:U,MATCH(A586,Valuation!A:A,0)),2)</f>
        <v>91.22</v>
      </c>
      <c r="H586">
        <f t="shared" si="789"/>
        <v>0</v>
      </c>
      <c r="I586" s="18">
        <f>INDEX(WeeklyIndicators!Y:Y,MATCH(A586,WeeklyIndicators!A:A,0))</f>
        <v>175.33</v>
      </c>
      <c r="J586">
        <f t="shared" si="778"/>
        <v>3</v>
      </c>
      <c r="K586">
        <f>ROUND(INDEX(Economic!AF:AF,MATCH(EOMONTH($A586,-1),Economic!A:A,0)),2)</f>
        <v>109.89</v>
      </c>
      <c r="L586" s="11">
        <f t="shared" si="787"/>
        <v>0</v>
      </c>
      <c r="M586">
        <f>ROUND(INDEX(Manufacturing!P:P,MATCH(EOMONTH($A586,-1),Manufacturing!A:A,0)),2)</f>
        <v>94.24</v>
      </c>
      <c r="N586">
        <f t="shared" si="783"/>
        <v>1</v>
      </c>
      <c r="O586">
        <f>ROUND(INDEX(Housing!AC:AC,MATCH(EOMONTH($A586,-1),Housing!B:B,0)),2)</f>
        <v>46.35</v>
      </c>
      <c r="P586">
        <f t="shared" si="784"/>
        <v>-3</v>
      </c>
      <c r="Q586">
        <f>ROUND(INDEX(Spending!AJ:AJ,MATCH(EOMONTH($A586,-1),Spending!B:B,0)),2)</f>
        <v>57.33</v>
      </c>
      <c r="R586">
        <f t="shared" si="788"/>
        <v>1</v>
      </c>
      <c r="S586">
        <f>ROUND(INDEX(Employment!V:V,MATCH(EOMONTH($A586,-1),Employment!A:A,0)),2)</f>
        <v>153.05000000000001</v>
      </c>
      <c r="T586" s="11">
        <f t="shared" si="785"/>
        <v>0</v>
      </c>
      <c r="U586">
        <f t="shared" ref="U586:U649" si="813">F586+H586+J586+L586+N586+P586+R586+T586+20</f>
        <v>24</v>
      </c>
      <c r="V586">
        <f t="shared" si="805"/>
        <v>73.56</v>
      </c>
      <c r="W586" s="13">
        <f t="shared" si="806"/>
        <v>8.5000000000000006E-3</v>
      </c>
      <c r="X586" s="13">
        <f t="shared" si="807"/>
        <v>4.7E-2</v>
      </c>
      <c r="Y586">
        <f t="shared" si="799"/>
        <v>73.290000000000006</v>
      </c>
      <c r="Z586" s="13">
        <f t="shared" si="794"/>
        <v>6.1000000000000004E-3</v>
      </c>
      <c r="AA586" s="13">
        <f t="shared" si="790"/>
        <v>4.2999999999999997E-2</v>
      </c>
      <c r="AB586" s="6">
        <f t="shared" si="800"/>
        <v>80.712000000000003</v>
      </c>
      <c r="AC586">
        <f t="shared" si="792"/>
        <v>40</v>
      </c>
      <c r="AD586" s="11">
        <f t="shared" si="793"/>
        <v>0</v>
      </c>
      <c r="AE586">
        <f t="shared" si="791"/>
        <v>26</v>
      </c>
      <c r="AF586">
        <f>IF(AND(AE586&lt;15,OR(AC586&gt;=30,AA586&gt;0.15,X586&gt;=0.15)),2,VLOOKUP(AE586,Table!P:Q,2,FALSE))</f>
        <v>4</v>
      </c>
      <c r="AG586" s="22">
        <f>IF((AB586*0.98)-(D586*0.8)+((AF586-3)*3)+VLOOKUP(AM586,Table!$A$11:$B$13,2,FALSE)&lt;0,0,(AB586*0.98)-(D586*0.8)+((AF586-3)*3)+VLOOKUP(AM586,Table!$A$11:$B$13,2,FALSE))</f>
        <v>78.225760000000008</v>
      </c>
      <c r="AH586" s="22">
        <f t="shared" si="786"/>
        <v>78</v>
      </c>
      <c r="AI586" s="18">
        <f t="shared" si="779"/>
        <v>4.8099999999999996</v>
      </c>
      <c r="AJ586" s="18">
        <f t="shared" si="780"/>
        <v>4.8899999999999997</v>
      </c>
      <c r="AK586" t="str">
        <f t="shared" si="801"/>
        <v>Falling Rates</v>
      </c>
      <c r="AL586">
        <f t="shared" si="812"/>
        <v>26.25</v>
      </c>
      <c r="AM586" s="11" t="str">
        <f t="shared" si="802"/>
        <v>Stocks</v>
      </c>
      <c r="AN586" t="str">
        <f t="shared" si="808"/>
        <v>Buy</v>
      </c>
      <c r="AO586" s="13">
        <f t="shared" si="809"/>
        <v>1.67E-2</v>
      </c>
      <c r="AP586" s="13">
        <f t="shared" si="810"/>
        <v>8.9999999999999998E-4</v>
      </c>
      <c r="AQ586" s="13">
        <f t="shared" si="811"/>
        <v>1.32E-2</v>
      </c>
      <c r="AR586" s="13">
        <f t="shared" si="803"/>
        <v>1.67E-2</v>
      </c>
      <c r="AS586" s="6">
        <f t="shared" si="795"/>
        <v>375.564033124562</v>
      </c>
      <c r="AT586" s="6">
        <f t="shared" si="796"/>
        <v>179.20307325356345</v>
      </c>
      <c r="AU586" s="6">
        <f t="shared" si="797"/>
        <v>418.13205743820077</v>
      </c>
      <c r="AV586" s="6">
        <f t="shared" si="798"/>
        <v>531.61886583463559</v>
      </c>
      <c r="AW586" s="58">
        <f t="shared" si="804"/>
        <v>2007</v>
      </c>
      <c r="AX586" s="58">
        <f>COUNTIF(AW$3:AW586,AW586)</f>
        <v>30</v>
      </c>
    </row>
    <row r="587" spans="1:50" x14ac:dyDescent="0.25">
      <c r="A587" s="5">
        <v>39236</v>
      </c>
      <c r="B587">
        <v>1536.34</v>
      </c>
      <c r="C587">
        <v>4.68</v>
      </c>
      <c r="D587" s="6">
        <v>12.78</v>
      </c>
      <c r="E587" s="18">
        <f t="shared" si="781"/>
        <v>12.96</v>
      </c>
      <c r="F587">
        <f t="shared" si="782"/>
        <v>2</v>
      </c>
      <c r="G587" s="18">
        <f>ROUND(INDEX(Valuation!U:U,MATCH(A587,Valuation!A:A,0)),2)</f>
        <v>91.65</v>
      </c>
      <c r="H587">
        <f t="shared" si="789"/>
        <v>0</v>
      </c>
      <c r="I587" s="18">
        <f>INDEX(WeeklyIndicators!Y:Y,MATCH(A587,WeeklyIndicators!A:A,0))</f>
        <v>179.93</v>
      </c>
      <c r="J587">
        <f t="shared" si="778"/>
        <v>3</v>
      </c>
      <c r="K587">
        <f>ROUND(INDEX(Economic!AF:AF,MATCH(EOMONTH($A587,-1),Economic!A:A,0)),2)</f>
        <v>109.89</v>
      </c>
      <c r="L587" s="11">
        <f t="shared" si="787"/>
        <v>0</v>
      </c>
      <c r="M587">
        <f>ROUND(INDEX(Manufacturing!P:P,MATCH(EOMONTH($A587,-1),Manufacturing!A:A,0)),2)</f>
        <v>94.24</v>
      </c>
      <c r="N587">
        <f t="shared" si="783"/>
        <v>1</v>
      </c>
      <c r="O587">
        <f>ROUND(INDEX(Housing!AC:AC,MATCH(EOMONTH($A587,-1),Housing!B:B,0)),2)</f>
        <v>46.35</v>
      </c>
      <c r="P587">
        <f t="shared" si="784"/>
        <v>-3</v>
      </c>
      <c r="Q587">
        <f>ROUND(INDEX(Spending!AJ:AJ,MATCH(EOMONTH($A587,-1),Spending!B:B,0)),2)</f>
        <v>57.33</v>
      </c>
      <c r="R587">
        <f t="shared" si="788"/>
        <v>1</v>
      </c>
      <c r="S587">
        <f>ROUND(INDEX(Employment!V:V,MATCH(EOMONTH($A587,-1),Employment!A:A,0)),2)</f>
        <v>153.05000000000001</v>
      </c>
      <c r="T587" s="11">
        <f t="shared" si="785"/>
        <v>0</v>
      </c>
      <c r="U587">
        <f t="shared" si="813"/>
        <v>24</v>
      </c>
      <c r="V587">
        <f t="shared" si="805"/>
        <v>74.040000000000006</v>
      </c>
      <c r="W587" s="13">
        <f t="shared" si="806"/>
        <v>1.77E-2</v>
      </c>
      <c r="X587" s="13">
        <f t="shared" si="807"/>
        <v>3.09E-2</v>
      </c>
      <c r="Y587">
        <f t="shared" si="799"/>
        <v>74.06</v>
      </c>
      <c r="Z587" s="13">
        <f t="shared" si="794"/>
        <v>1.6899999999999998E-2</v>
      </c>
      <c r="AA587" s="13">
        <f t="shared" si="790"/>
        <v>2.7399999999999994E-2</v>
      </c>
      <c r="AB587" s="6">
        <f t="shared" si="800"/>
        <v>80.335000000000008</v>
      </c>
      <c r="AC587">
        <f t="shared" si="792"/>
        <v>40</v>
      </c>
      <c r="AD587" s="11">
        <f t="shared" si="793"/>
        <v>0</v>
      </c>
      <c r="AE587">
        <f t="shared" si="791"/>
        <v>26</v>
      </c>
      <c r="AF587">
        <f>IF(AND(AE587&lt;15,OR(AC587&gt;=30,AA587&gt;0.15,X587&gt;=0.15)),2,VLOOKUP(AE587,Table!P:Q,2,FALSE))</f>
        <v>4</v>
      </c>
      <c r="AG587" s="22">
        <f>IF((AB587*0.98)-(D587*0.8)+((AF587-3)*3)+VLOOKUP(AM587,Table!$A$11:$B$13,2,FALSE)&lt;0,0,(AB587*0.98)-(D587*0.8)+((AF587-3)*3)+VLOOKUP(AM587,Table!$A$11:$B$13,2,FALSE))</f>
        <v>79.504300000000001</v>
      </c>
      <c r="AH587" s="22">
        <f t="shared" si="786"/>
        <v>77</v>
      </c>
      <c r="AI587" s="18">
        <f t="shared" si="779"/>
        <v>4.84</v>
      </c>
      <c r="AJ587" s="18">
        <f t="shared" si="780"/>
        <v>4.8899999999999997</v>
      </c>
      <c r="AK587" t="str">
        <f t="shared" si="801"/>
        <v>Falling Rates</v>
      </c>
      <c r="AL587">
        <f t="shared" si="812"/>
        <v>26</v>
      </c>
      <c r="AM587" s="11" t="str">
        <f t="shared" si="802"/>
        <v>Stocks</v>
      </c>
      <c r="AN587" t="str">
        <f t="shared" si="808"/>
        <v>Buy</v>
      </c>
      <c r="AO587" s="13">
        <f t="shared" si="809"/>
        <v>-1.8700000000000001E-2</v>
      </c>
      <c r="AP587" s="13">
        <f t="shared" si="810"/>
        <v>8.9999999999999998E-4</v>
      </c>
      <c r="AQ587" s="13">
        <f t="shared" si="811"/>
        <v>-1.4200000000000001E-2</v>
      </c>
      <c r="AR587" s="13">
        <f t="shared" si="803"/>
        <v>-1.8700000000000001E-2</v>
      </c>
      <c r="AS587" s="6">
        <f t="shared" si="795"/>
        <v>382.7209142204851</v>
      </c>
      <c r="AT587" s="6">
        <f t="shared" si="796"/>
        <v>179.04193551160301</v>
      </c>
      <c r="AU587" s="6">
        <f t="shared" si="797"/>
        <v>424.15505927997646</v>
      </c>
      <c r="AV587" s="6">
        <f t="shared" si="798"/>
        <v>541.74958303743563</v>
      </c>
      <c r="AW587" s="58">
        <f t="shared" si="804"/>
        <v>2007</v>
      </c>
      <c r="AX587" s="58">
        <f>COUNTIF(AW$3:AW587,AW587)</f>
        <v>31</v>
      </c>
    </row>
    <row r="588" spans="1:50" x14ac:dyDescent="0.25">
      <c r="A588" s="5">
        <v>39229</v>
      </c>
      <c r="B588">
        <v>1515.73</v>
      </c>
      <c r="C588">
        <v>4.7699999999999996</v>
      </c>
      <c r="D588" s="6">
        <v>13.34</v>
      </c>
      <c r="E588" s="18">
        <f t="shared" si="781"/>
        <v>13.02</v>
      </c>
      <c r="F588">
        <f t="shared" si="782"/>
        <v>2</v>
      </c>
      <c r="G588" s="18">
        <f>ROUND(INDEX(Valuation!U:U,MATCH(A588,Valuation!A:A,0)),2)</f>
        <v>93.03</v>
      </c>
      <c r="H588">
        <f t="shared" si="789"/>
        <v>0</v>
      </c>
      <c r="I588" s="18">
        <f>INDEX(WeeklyIndicators!Y:Y,MATCH(A588,WeeklyIndicators!A:A,0))</f>
        <v>171.17</v>
      </c>
      <c r="J588">
        <f t="shared" si="778"/>
        <v>3</v>
      </c>
      <c r="K588">
        <f>ROUND(INDEX(Economic!AF:AF,MATCH(EOMONTH($A588,-1),Economic!A:A,0)),2)</f>
        <v>114.46</v>
      </c>
      <c r="L588" s="11">
        <f t="shared" si="787"/>
        <v>1</v>
      </c>
      <c r="M588">
        <f>ROUND(INDEX(Manufacturing!P:P,MATCH(EOMONTH($A588,-1),Manufacturing!A:A,0)),2)</f>
        <v>90.83</v>
      </c>
      <c r="N588">
        <f t="shared" si="783"/>
        <v>1</v>
      </c>
      <c r="O588">
        <f>ROUND(INDEX(Housing!AC:AC,MATCH(EOMONTH($A588,-1),Housing!B:B,0)),2)</f>
        <v>49.65</v>
      </c>
      <c r="P588">
        <f t="shared" si="784"/>
        <v>-3</v>
      </c>
      <c r="Q588">
        <f>ROUND(INDEX(Spending!AJ:AJ,MATCH(EOMONTH($A588,-1),Spending!B:B,0)),2)</f>
        <v>55.64</v>
      </c>
      <c r="R588">
        <f t="shared" si="788"/>
        <v>1</v>
      </c>
      <c r="S588">
        <f>ROUND(INDEX(Employment!V:V,MATCH(EOMONTH($A588,-1),Employment!A:A,0)),2)</f>
        <v>154.33000000000001</v>
      </c>
      <c r="T588" s="11">
        <f t="shared" si="785"/>
        <v>0</v>
      </c>
      <c r="U588">
        <f t="shared" si="813"/>
        <v>25</v>
      </c>
      <c r="V588">
        <f t="shared" si="805"/>
        <v>73.48</v>
      </c>
      <c r="W588" s="13">
        <f t="shared" si="806"/>
        <v>1.6899999999999998E-2</v>
      </c>
      <c r="X588" s="13">
        <f t="shared" si="807"/>
        <v>1.4000000000000002E-3</v>
      </c>
      <c r="Y588">
        <f t="shared" si="799"/>
        <v>73.63</v>
      </c>
      <c r="Z588" s="13">
        <f t="shared" si="794"/>
        <v>1.67E-2</v>
      </c>
      <c r="AA588" s="13">
        <f t="shared" si="790"/>
        <v>-2.9999999999999992E-3</v>
      </c>
      <c r="AB588" s="6">
        <f t="shared" si="800"/>
        <v>77.692999999999998</v>
      </c>
      <c r="AC588">
        <f t="shared" si="792"/>
        <v>39</v>
      </c>
      <c r="AD588" s="11">
        <f t="shared" si="793"/>
        <v>0</v>
      </c>
      <c r="AE588">
        <f t="shared" si="791"/>
        <v>27</v>
      </c>
      <c r="AF588">
        <f>IF(AND(AE588&lt;15,OR(AC588&gt;=30,AA588&gt;0.15,X588&gt;=0.15)),2,VLOOKUP(AE588,Table!P:Q,2,FALSE))</f>
        <v>4</v>
      </c>
      <c r="AG588" s="22">
        <f>IF((AB588*0.98)-(D588*0.8)+((AF588-3)*3)+VLOOKUP(AM588,Table!$A$11:$B$13,2,FALSE)&lt;0,0,(AB588*0.98)-(D588*0.8)+((AF588-3)*3)+VLOOKUP(AM588,Table!$A$11:$B$13,2,FALSE))</f>
        <v>76.467140000000001</v>
      </c>
      <c r="AH588" s="22">
        <f t="shared" si="786"/>
        <v>73</v>
      </c>
      <c r="AI588" s="18">
        <f t="shared" si="779"/>
        <v>4.8600000000000003</v>
      </c>
      <c r="AJ588" s="18">
        <f t="shared" si="780"/>
        <v>4.9000000000000004</v>
      </c>
      <c r="AK588" t="str">
        <f t="shared" si="801"/>
        <v/>
      </c>
      <c r="AL588">
        <f t="shared" si="812"/>
        <v>25.75</v>
      </c>
      <c r="AM588" s="11" t="str">
        <f t="shared" si="802"/>
        <v>Stocks</v>
      </c>
      <c r="AN588" t="str">
        <f t="shared" si="808"/>
        <v>Buy</v>
      </c>
      <c r="AO588" s="13">
        <f t="shared" si="809"/>
        <v>1.3599999999999999E-2</v>
      </c>
      <c r="AP588" s="13">
        <f t="shared" si="810"/>
        <v>8.9999999999999998E-4</v>
      </c>
      <c r="AQ588" s="13">
        <f t="shared" si="811"/>
        <v>1.0200000000000001E-2</v>
      </c>
      <c r="AR588" s="13">
        <f t="shared" si="803"/>
        <v>1.3599999999999999E-2</v>
      </c>
      <c r="AS588" s="6">
        <f t="shared" si="795"/>
        <v>377.58574804704529</v>
      </c>
      <c r="AT588" s="6">
        <f t="shared" si="796"/>
        <v>178.88094266320616</v>
      </c>
      <c r="AU588" s="6">
        <f t="shared" si="797"/>
        <v>419.87236119577949</v>
      </c>
      <c r="AV588" s="6">
        <f t="shared" si="798"/>
        <v>534.48064624845654</v>
      </c>
      <c r="AW588" s="58">
        <f t="shared" si="804"/>
        <v>2007</v>
      </c>
      <c r="AX588" s="58">
        <f>COUNTIF(AW$3:AW588,AW588)</f>
        <v>32</v>
      </c>
    </row>
    <row r="589" spans="1:50" x14ac:dyDescent="0.25">
      <c r="A589" s="5">
        <v>39222</v>
      </c>
      <c r="B589">
        <v>1522.75</v>
      </c>
      <c r="C589">
        <v>4.6900000000000004</v>
      </c>
      <c r="D589" s="6">
        <v>12.76</v>
      </c>
      <c r="E589" s="18">
        <f t="shared" si="781"/>
        <v>12.87</v>
      </c>
      <c r="F589">
        <f t="shared" si="782"/>
        <v>2</v>
      </c>
      <c r="G589" s="18">
        <f>ROUND(INDEX(Valuation!U:U,MATCH(A589,Valuation!A:A,0)),2)</f>
        <v>93.56</v>
      </c>
      <c r="H589">
        <f t="shared" si="789"/>
        <v>0</v>
      </c>
      <c r="I589" s="18">
        <f>INDEX(WeeklyIndicators!Y:Y,MATCH(A589,WeeklyIndicators!A:A,0))</f>
        <v>153.97999999999999</v>
      </c>
      <c r="J589">
        <f t="shared" si="778"/>
        <v>2</v>
      </c>
      <c r="K589">
        <f>ROUND(INDEX(Economic!AF:AF,MATCH(EOMONTH($A589,-1),Economic!A:A,0)),2)</f>
        <v>114.46</v>
      </c>
      <c r="L589" s="11">
        <f t="shared" si="787"/>
        <v>1</v>
      </c>
      <c r="M589">
        <f>ROUND(INDEX(Manufacturing!P:P,MATCH(EOMONTH($A589,-1),Manufacturing!A:A,0)),2)</f>
        <v>90.83</v>
      </c>
      <c r="N589">
        <f t="shared" si="783"/>
        <v>1</v>
      </c>
      <c r="O589">
        <f>ROUND(INDEX(Housing!AC:AC,MATCH(EOMONTH($A589,-1),Housing!B:B,0)),2)</f>
        <v>49.65</v>
      </c>
      <c r="P589">
        <f t="shared" si="784"/>
        <v>-3</v>
      </c>
      <c r="Q589">
        <f>ROUND(INDEX(Spending!AJ:AJ,MATCH(EOMONTH($A589,-1),Spending!B:B,0)),2)</f>
        <v>55.64</v>
      </c>
      <c r="R589">
        <f t="shared" si="788"/>
        <v>1</v>
      </c>
      <c r="S589">
        <f>ROUND(INDEX(Employment!V:V,MATCH(EOMONTH($A589,-1),Employment!A:A,0)),2)</f>
        <v>154.33000000000001</v>
      </c>
      <c r="T589" s="11">
        <f t="shared" si="785"/>
        <v>0</v>
      </c>
      <c r="U589">
        <f t="shared" si="813"/>
        <v>24</v>
      </c>
      <c r="V589">
        <f t="shared" si="805"/>
        <v>71.7</v>
      </c>
      <c r="W589" s="13">
        <f t="shared" si="806"/>
        <v>3.8999999999999998E-3</v>
      </c>
      <c r="X589" s="13">
        <f t="shared" si="807"/>
        <v>-2.0999999999999998E-2</v>
      </c>
      <c r="Y589">
        <f t="shared" si="799"/>
        <v>71.959999999999994</v>
      </c>
      <c r="Z589" s="13">
        <f t="shared" si="794"/>
        <v>3.3E-3</v>
      </c>
      <c r="AA589" s="13">
        <f t="shared" si="790"/>
        <v>-2.6299999999999997E-2</v>
      </c>
      <c r="AB589" s="6">
        <f t="shared" si="800"/>
        <v>74.23599999999999</v>
      </c>
      <c r="AC589">
        <f t="shared" si="792"/>
        <v>37</v>
      </c>
      <c r="AD589" s="11">
        <f t="shared" si="793"/>
        <v>0</v>
      </c>
      <c r="AE589">
        <f t="shared" si="791"/>
        <v>26</v>
      </c>
      <c r="AF589">
        <f>IF(AND(AE589&lt;15,OR(AC589&gt;=30,AA589&gt;0.15,X589&gt;=0.15)),2,VLOOKUP(AE589,Table!P:Q,2,FALSE))</f>
        <v>4</v>
      </c>
      <c r="AG589" s="22">
        <f>IF((AB589*0.98)-(D589*0.8)+((AF589-3)*3)+VLOOKUP(AM589,Table!$A$11:$B$13,2,FALSE)&lt;0,0,(AB589*0.98)-(D589*0.8)+((AF589-3)*3)+VLOOKUP(AM589,Table!$A$11:$B$13,2,FALSE))</f>
        <v>73.543279999999996</v>
      </c>
      <c r="AH589" s="22">
        <f t="shared" si="786"/>
        <v>71</v>
      </c>
      <c r="AI589" s="18">
        <f t="shared" si="779"/>
        <v>4.88</v>
      </c>
      <c r="AJ589" s="18">
        <f t="shared" si="780"/>
        <v>4.9000000000000004</v>
      </c>
      <c r="AK589" t="str">
        <f t="shared" si="801"/>
        <v>Falling Rates</v>
      </c>
      <c r="AL589">
        <f t="shared" si="812"/>
        <v>25.25</v>
      </c>
      <c r="AM589" s="11" t="str">
        <f t="shared" si="802"/>
        <v>Stocks</v>
      </c>
      <c r="AN589" t="str">
        <f t="shared" si="808"/>
        <v>Buy</v>
      </c>
      <c r="AO589" s="13">
        <f t="shared" si="809"/>
        <v>-4.5999999999999999E-3</v>
      </c>
      <c r="AP589" s="13">
        <f t="shared" si="810"/>
        <v>8.9999999999999998E-4</v>
      </c>
      <c r="AQ589" s="13">
        <f t="shared" si="811"/>
        <v>-3.0000000000000001E-3</v>
      </c>
      <c r="AR589" s="13">
        <f t="shared" si="803"/>
        <v>-4.5999999999999999E-3</v>
      </c>
      <c r="AS589" s="6">
        <f t="shared" si="795"/>
        <v>379.33066912502039</v>
      </c>
      <c r="AT589" s="6">
        <f t="shared" si="796"/>
        <v>178.72009457808591</v>
      </c>
      <c r="AU589" s="6">
        <f t="shared" si="797"/>
        <v>421.13576850128334</v>
      </c>
      <c r="AV589" s="6">
        <f t="shared" si="798"/>
        <v>536.95061909629953</v>
      </c>
      <c r="AW589" s="58">
        <f t="shared" si="804"/>
        <v>2007</v>
      </c>
      <c r="AX589" s="58">
        <f>COUNTIF(AW$3:AW589,AW589)</f>
        <v>33</v>
      </c>
    </row>
    <row r="590" spans="1:50" x14ac:dyDescent="0.25">
      <c r="A590" s="5">
        <v>39215</v>
      </c>
      <c r="B590">
        <v>1505.85</v>
      </c>
      <c r="C590">
        <v>4.75</v>
      </c>
      <c r="D590" s="6">
        <v>12.95</v>
      </c>
      <c r="E590" s="18">
        <f t="shared" si="781"/>
        <v>12.77</v>
      </c>
      <c r="F590">
        <f t="shared" si="782"/>
        <v>2</v>
      </c>
      <c r="G590" s="18">
        <f>ROUND(INDEX(Valuation!U:U,MATCH(A590,Valuation!A:A,0)),2)</f>
        <v>92.43</v>
      </c>
      <c r="H590">
        <f t="shared" si="789"/>
        <v>0</v>
      </c>
      <c r="I590" s="18">
        <f>INDEX(WeeklyIndicators!Y:Y,MATCH(A590,WeeklyIndicators!A:A,0))</f>
        <v>139.87</v>
      </c>
      <c r="J590">
        <f t="shared" si="778"/>
        <v>1</v>
      </c>
      <c r="K590">
        <f>ROUND(INDEX(Economic!AF:AF,MATCH(EOMONTH($A590,-1),Economic!A:A,0)),2)</f>
        <v>114.46</v>
      </c>
      <c r="L590" s="11">
        <f t="shared" si="787"/>
        <v>1</v>
      </c>
      <c r="M590">
        <f>ROUND(INDEX(Manufacturing!P:P,MATCH(EOMONTH($A590,-1),Manufacturing!A:A,0)),2)</f>
        <v>90.83</v>
      </c>
      <c r="N590">
        <f t="shared" si="783"/>
        <v>1</v>
      </c>
      <c r="O590">
        <f>ROUND(INDEX(Housing!AC:AC,MATCH(EOMONTH($A590,-1),Housing!B:B,0)),2)</f>
        <v>49.65</v>
      </c>
      <c r="P590">
        <f t="shared" si="784"/>
        <v>-3</v>
      </c>
      <c r="Q590">
        <f>ROUND(INDEX(Spending!AJ:AJ,MATCH(EOMONTH($A590,-1),Spending!B:B,0)),2)</f>
        <v>55.64</v>
      </c>
      <c r="R590">
        <f t="shared" si="788"/>
        <v>1</v>
      </c>
      <c r="S590">
        <f>ROUND(INDEX(Employment!V:V,MATCH(EOMONTH($A590,-1),Employment!A:A,0)),2)</f>
        <v>154.33000000000001</v>
      </c>
      <c r="T590" s="11">
        <f t="shared" si="785"/>
        <v>0</v>
      </c>
      <c r="U590">
        <f t="shared" si="813"/>
        <v>23</v>
      </c>
      <c r="V590">
        <f t="shared" si="805"/>
        <v>70.23</v>
      </c>
      <c r="W590" s="13">
        <f t="shared" si="806"/>
        <v>-7.6E-3</v>
      </c>
      <c r="X590" s="13">
        <f t="shared" si="807"/>
        <v>-2.1699999999999997E-2</v>
      </c>
      <c r="Y590">
        <f t="shared" si="799"/>
        <v>70.400000000000006</v>
      </c>
      <c r="Z590" s="13">
        <f t="shared" si="794"/>
        <v>-9.4999999999999998E-3</v>
      </c>
      <c r="AA590" s="13">
        <f t="shared" si="790"/>
        <v>-2.5700000000000001E-2</v>
      </c>
      <c r="AB590" s="6">
        <f t="shared" si="800"/>
        <v>72.542999999999992</v>
      </c>
      <c r="AC590">
        <f t="shared" si="792"/>
        <v>36</v>
      </c>
      <c r="AD590" s="11">
        <f t="shared" si="793"/>
        <v>0</v>
      </c>
      <c r="AE590">
        <f t="shared" si="791"/>
        <v>25</v>
      </c>
      <c r="AF590">
        <f>IF(AND(AE590&lt;15,OR(AC590&gt;=30,AA590&gt;0.15,X590&gt;=0.15)),2,VLOOKUP(AE590,Table!P:Q,2,FALSE))</f>
        <v>3</v>
      </c>
      <c r="AG590" s="22">
        <f>IF((AB590*0.98)-(D590*0.8)+((AF590-3)*3)+VLOOKUP(AM590,Table!$A$11:$B$13,2,FALSE)&lt;0,0,(AB590*0.98)-(D590*0.8)+((AF590-3)*3)+VLOOKUP(AM590,Table!$A$11:$B$13,2,FALSE))</f>
        <v>68.732139999999987</v>
      </c>
      <c r="AH590" s="22">
        <f t="shared" si="786"/>
        <v>71</v>
      </c>
      <c r="AI590" s="18">
        <f t="shared" si="779"/>
        <v>4.91</v>
      </c>
      <c r="AJ590" s="18">
        <f t="shared" si="780"/>
        <v>4.91</v>
      </c>
      <c r="AK590" t="str">
        <f t="shared" si="801"/>
        <v/>
      </c>
      <c r="AL590">
        <f t="shared" si="812"/>
        <v>25.25</v>
      </c>
      <c r="AM590" s="11" t="str">
        <f t="shared" si="802"/>
        <v>Stocks</v>
      </c>
      <c r="AN590" t="str">
        <f t="shared" si="808"/>
        <v>Buy</v>
      </c>
      <c r="AO590" s="13">
        <f t="shared" si="809"/>
        <v>1.12E-2</v>
      </c>
      <c r="AP590" s="13">
        <f t="shared" si="810"/>
        <v>8.9999999999999998E-4</v>
      </c>
      <c r="AQ590" s="13">
        <f t="shared" si="811"/>
        <v>8.2000000000000007E-3</v>
      </c>
      <c r="AR590" s="13">
        <f t="shared" si="803"/>
        <v>1.12E-2</v>
      </c>
      <c r="AS590" s="6">
        <f t="shared" si="795"/>
        <v>375.12922184040781</v>
      </c>
      <c r="AT590" s="6">
        <f t="shared" si="796"/>
        <v>178.55939112607246</v>
      </c>
      <c r="AU590" s="6">
        <f t="shared" si="797"/>
        <v>417.71054205642071</v>
      </c>
      <c r="AV590" s="6">
        <f t="shared" si="798"/>
        <v>531.00338122656194</v>
      </c>
      <c r="AW590" s="58">
        <f t="shared" si="804"/>
        <v>2007</v>
      </c>
      <c r="AX590" s="58">
        <f>COUNTIF(AW$3:AW590,AW590)</f>
        <v>34</v>
      </c>
    </row>
    <row r="591" spans="1:50" x14ac:dyDescent="0.25">
      <c r="A591" s="5">
        <v>39208</v>
      </c>
      <c r="B591">
        <v>1505.62</v>
      </c>
      <c r="C591">
        <v>4.7699999999999996</v>
      </c>
      <c r="D591" s="6">
        <v>12.91</v>
      </c>
      <c r="E591" s="18">
        <f t="shared" si="781"/>
        <v>12.48</v>
      </c>
      <c r="F591">
        <f t="shared" si="782"/>
        <v>2</v>
      </c>
      <c r="G591" s="18">
        <f>ROUND(INDEX(Valuation!U:U,MATCH(A591,Valuation!A:A,0)),2)</f>
        <v>91.73</v>
      </c>
      <c r="H591">
        <f t="shared" si="789"/>
        <v>0</v>
      </c>
      <c r="I591" s="18">
        <f>INDEX(WeeklyIndicators!Y:Y,MATCH(A591,WeeklyIndicators!A:A,0))</f>
        <v>136.62</v>
      </c>
      <c r="J591">
        <f t="shared" ref="J591:J654" si="814">IF(I591&gt;170,3,IF(AND(I591&gt;152,I591&lt;=170),2,IF(AND(I591&gt;135,I591&lt;=152),1,IF(I591&lt;60,-3,IF(AND(I591&lt;95,I591&gt;=60),-2,IF(AND(I591&lt;120,I591&gt;=95),-1,0))))))</f>
        <v>1</v>
      </c>
      <c r="K591">
        <f>ROUND(INDEX(Economic!AF:AF,MATCH(EOMONTH($A591,-1),Economic!A:A,0)),2)</f>
        <v>114.46</v>
      </c>
      <c r="L591" s="11">
        <f t="shared" si="787"/>
        <v>1</v>
      </c>
      <c r="M591">
        <f>ROUND(INDEX(Manufacturing!P:P,MATCH(EOMONTH($A591,-1),Manufacturing!A:A,0)),2)</f>
        <v>90.83</v>
      </c>
      <c r="N591">
        <f t="shared" si="783"/>
        <v>1</v>
      </c>
      <c r="O591">
        <f>ROUND(INDEX(Housing!AC:AC,MATCH(EOMONTH($A591,-1),Housing!B:B,0)),2)</f>
        <v>49.65</v>
      </c>
      <c r="P591">
        <f t="shared" si="784"/>
        <v>-3</v>
      </c>
      <c r="Q591">
        <f>ROUND(INDEX(Spending!AJ:AJ,MATCH(EOMONTH($A591,-1),Spending!B:B,0)),2)</f>
        <v>55.64</v>
      </c>
      <c r="R591">
        <f t="shared" si="788"/>
        <v>1</v>
      </c>
      <c r="S591">
        <f>ROUND(INDEX(Employment!V:V,MATCH(EOMONTH($A591,-1),Employment!A:A,0)),2)</f>
        <v>154.33000000000001</v>
      </c>
      <c r="T591" s="11">
        <f t="shared" si="785"/>
        <v>0</v>
      </c>
      <c r="U591">
        <f t="shared" si="813"/>
        <v>23</v>
      </c>
      <c r="V591">
        <f t="shared" si="805"/>
        <v>69.89</v>
      </c>
      <c r="W591" s="13">
        <f t="shared" si="806"/>
        <v>-1.18E-2</v>
      </c>
      <c r="X591" s="13">
        <f t="shared" si="807"/>
        <v>5.0000000000000044E-4</v>
      </c>
      <c r="Y591">
        <f t="shared" si="799"/>
        <v>70.09</v>
      </c>
      <c r="Z591" s="13">
        <f t="shared" si="794"/>
        <v>-1.35E-2</v>
      </c>
      <c r="AA591" s="13">
        <f t="shared" si="790"/>
        <v>-1.2999999999999991E-3</v>
      </c>
      <c r="AB591" s="6">
        <f t="shared" si="800"/>
        <v>74.013000000000005</v>
      </c>
      <c r="AC591">
        <f t="shared" si="792"/>
        <v>37</v>
      </c>
      <c r="AD591" s="11">
        <f t="shared" si="793"/>
        <v>0</v>
      </c>
      <c r="AE591">
        <f t="shared" si="791"/>
        <v>25</v>
      </c>
      <c r="AF591">
        <f>IF(AND(AE591&lt;15,OR(AC591&gt;=30,AA591&gt;0.15,X591&gt;=0.15)),2,VLOOKUP(AE591,Table!P:Q,2,FALSE))</f>
        <v>3</v>
      </c>
      <c r="AG591" s="22">
        <f>IF((AB591*0.98)-(D591*0.8)+((AF591-3)*3)+VLOOKUP(AM591,Table!$A$11:$B$13,2,FALSE)&lt;0,0,(AB591*0.98)-(D591*0.8)+((AF591-3)*3)+VLOOKUP(AM591,Table!$A$11:$B$13,2,FALSE))</f>
        <v>70.204740000000001</v>
      </c>
      <c r="AH591" s="22">
        <f t="shared" si="786"/>
        <v>75</v>
      </c>
      <c r="AI591" s="18">
        <f t="shared" ref="AI591:AI654" si="815">ROUND(AVERAGE(C591:C603),2)</f>
        <v>4.93</v>
      </c>
      <c r="AJ591" s="18">
        <f t="shared" ref="AJ591:AJ654" si="816">ROUND(AVERAGE(C591:C629),2)</f>
        <v>4.92</v>
      </c>
      <c r="AK591" t="str">
        <f t="shared" si="801"/>
        <v/>
      </c>
      <c r="AL591">
        <f t="shared" si="812"/>
        <v>25.5</v>
      </c>
      <c r="AM591" s="11" t="str">
        <f t="shared" si="802"/>
        <v>Stocks</v>
      </c>
      <c r="AN591" t="str">
        <f t="shared" si="808"/>
        <v>Buy</v>
      </c>
      <c r="AO591" s="13">
        <f t="shared" si="809"/>
        <v>2.0000000000000001E-4</v>
      </c>
      <c r="AP591" s="13">
        <f t="shared" si="810"/>
        <v>8.9999999999999998E-4</v>
      </c>
      <c r="AQ591" s="13">
        <f t="shared" si="811"/>
        <v>4.0000000000000002E-4</v>
      </c>
      <c r="AR591" s="13">
        <f t="shared" si="803"/>
        <v>2.0000000000000001E-4</v>
      </c>
      <c r="AS591" s="6">
        <f t="shared" si="795"/>
        <v>375.05421099820819</v>
      </c>
      <c r="AT591" s="6">
        <f t="shared" si="796"/>
        <v>178.39883217711306</v>
      </c>
      <c r="AU591" s="6">
        <f t="shared" si="797"/>
        <v>417.5435246465621</v>
      </c>
      <c r="AV591" s="6">
        <f t="shared" si="798"/>
        <v>530.89720178620473</v>
      </c>
      <c r="AW591" s="58">
        <f t="shared" si="804"/>
        <v>2007</v>
      </c>
      <c r="AX591" s="58">
        <f>COUNTIF(AW$3:AW591,AW591)</f>
        <v>35</v>
      </c>
    </row>
    <row r="592" spans="1:50" x14ac:dyDescent="0.25">
      <c r="A592" s="5">
        <v>39201</v>
      </c>
      <c r="B592">
        <v>1494.07</v>
      </c>
      <c r="C592">
        <v>4.83</v>
      </c>
      <c r="D592" s="6">
        <v>12.45</v>
      </c>
      <c r="E592" s="18">
        <f t="shared" si="781"/>
        <v>12.24</v>
      </c>
      <c r="F592">
        <f t="shared" si="782"/>
        <v>2</v>
      </c>
      <c r="G592" s="18">
        <f>ROUND(INDEX(Valuation!U:U,MATCH(A592,Valuation!A:A,0)),2)</f>
        <v>92.74</v>
      </c>
      <c r="H592">
        <f t="shared" si="789"/>
        <v>0</v>
      </c>
      <c r="I592" s="18">
        <f>INDEX(WeeklyIndicators!Y:Y,MATCH(A592,WeeklyIndicators!A:A,0))</f>
        <v>142.76</v>
      </c>
      <c r="J592">
        <f t="shared" si="814"/>
        <v>1</v>
      </c>
      <c r="K592">
        <f>ROUND(INDEX(Economic!AF:AF,MATCH(EOMONTH($A592,-1),Economic!A:A,0)),2)</f>
        <v>120.7</v>
      </c>
      <c r="L592" s="11">
        <f t="shared" si="787"/>
        <v>1</v>
      </c>
      <c r="M592">
        <f>ROUND(INDEX(Manufacturing!P:P,MATCH(EOMONTH($A592,-1),Manufacturing!A:A,0)),2)</f>
        <v>86.71</v>
      </c>
      <c r="N592">
        <f t="shared" si="783"/>
        <v>0</v>
      </c>
      <c r="O592">
        <f>ROUND(INDEX(Housing!AC:AC,MATCH(EOMONTH($A592,-1),Housing!B:B,0)),2)</f>
        <v>52.91</v>
      </c>
      <c r="P592">
        <f t="shared" si="784"/>
        <v>-2</v>
      </c>
      <c r="Q592">
        <f>ROUND(INDEX(Spending!AJ:AJ,MATCH(EOMONTH($A592,-1),Spending!B:B,0)),2)</f>
        <v>51</v>
      </c>
      <c r="R592">
        <f t="shared" si="788"/>
        <v>1</v>
      </c>
      <c r="S592">
        <f>ROUND(INDEX(Employment!V:V,MATCH(EOMONTH($A592,-1),Employment!A:A,0)),2)</f>
        <v>156.96</v>
      </c>
      <c r="T592" s="11">
        <f t="shared" si="785"/>
        <v>0</v>
      </c>
      <c r="U592">
        <f t="shared" si="813"/>
        <v>23</v>
      </c>
      <c r="V592">
        <f t="shared" si="805"/>
        <v>70.88</v>
      </c>
      <c r="W592" s="13">
        <f t="shared" si="806"/>
        <v>-5.4999999999999997E-3</v>
      </c>
      <c r="X592" s="13">
        <f t="shared" si="807"/>
        <v>2.6599999999999999E-2</v>
      </c>
      <c r="Y592">
        <f t="shared" si="799"/>
        <v>71.27</v>
      </c>
      <c r="Z592" s="13">
        <f t="shared" si="794"/>
        <v>-6.6E-3</v>
      </c>
      <c r="AA592" s="13">
        <f t="shared" si="790"/>
        <v>3.0099999999999998E-2</v>
      </c>
      <c r="AB592" s="6">
        <f t="shared" si="800"/>
        <v>77.694000000000003</v>
      </c>
      <c r="AC592">
        <f t="shared" si="792"/>
        <v>39</v>
      </c>
      <c r="AD592" s="11">
        <f t="shared" si="793"/>
        <v>0</v>
      </c>
      <c r="AE592">
        <f t="shared" si="791"/>
        <v>25</v>
      </c>
      <c r="AF592">
        <f>IF(AND(AE592&lt;15,OR(AC592&gt;=30,AA592&gt;0.15,X592&gt;=0.15)),2,VLOOKUP(AE592,Table!P:Q,2,FALSE))</f>
        <v>3</v>
      </c>
      <c r="AG592" s="22">
        <f>IF((AB592*0.98)-(D592*0.8)+((AF592-3)*3)+VLOOKUP(AM592,Table!$A$11:$B$13,2,FALSE)&lt;0,0,(AB592*0.98)-(D592*0.8)+((AF592-3)*3)+VLOOKUP(AM592,Table!$A$11:$B$13,2,FALSE))</f>
        <v>74.180119999999988</v>
      </c>
      <c r="AH592" s="22">
        <f t="shared" si="786"/>
        <v>78</v>
      </c>
      <c r="AI592" s="18">
        <f t="shared" si="815"/>
        <v>4.95</v>
      </c>
      <c r="AJ592" s="18">
        <f t="shared" si="816"/>
        <v>4.92</v>
      </c>
      <c r="AK592" t="str">
        <f t="shared" si="801"/>
        <v/>
      </c>
      <c r="AL592">
        <f t="shared" si="812"/>
        <v>25.75</v>
      </c>
      <c r="AM592" s="11" t="str">
        <f t="shared" si="802"/>
        <v>Stocks</v>
      </c>
      <c r="AN592" t="str">
        <f t="shared" si="808"/>
        <v>Buy</v>
      </c>
      <c r="AO592" s="13">
        <f t="shared" si="809"/>
        <v>7.7000000000000002E-3</v>
      </c>
      <c r="AP592" s="13">
        <f t="shared" si="810"/>
        <v>8.9999999999999998E-4</v>
      </c>
      <c r="AQ592" s="13">
        <f t="shared" si="811"/>
        <v>6.1999999999999998E-3</v>
      </c>
      <c r="AR592" s="13">
        <f t="shared" si="803"/>
        <v>7.7000000000000002E-3</v>
      </c>
      <c r="AS592" s="6">
        <f t="shared" si="795"/>
        <v>372.18836062142321</v>
      </c>
      <c r="AT592" s="6">
        <f t="shared" si="796"/>
        <v>178.23841760127195</v>
      </c>
      <c r="AU592" s="6">
        <f t="shared" si="797"/>
        <v>414.97070626770238</v>
      </c>
      <c r="AV592" s="6">
        <f t="shared" si="798"/>
        <v>526.84052970745734</v>
      </c>
      <c r="AW592" s="58">
        <f t="shared" si="804"/>
        <v>2007</v>
      </c>
      <c r="AX592" s="58">
        <f>COUNTIF(AW$3:AW592,AW592)</f>
        <v>36</v>
      </c>
    </row>
    <row r="593" spans="1:50" x14ac:dyDescent="0.25">
      <c r="A593" s="5">
        <v>39194</v>
      </c>
      <c r="B593">
        <v>1484.35</v>
      </c>
      <c r="C593">
        <v>4.8600000000000003</v>
      </c>
      <c r="D593" s="6">
        <v>12.07</v>
      </c>
      <c r="E593" s="18">
        <f t="shared" ref="E593:E656" si="817">ROUND(AVERAGE(D593:D595),2)</f>
        <v>12.5</v>
      </c>
      <c r="F593">
        <f t="shared" ref="F593:F656" si="818">IF(E593&lt;11,3,IF(AND(E593&lt;14,E593&gt;=11),2,IF(AND(E593&lt;16,E593&gt;=14),1,IF(E593&gt;35,-3,IF(AND(E593&gt;25,E593&lt;=35),-2,IF(AND(E593&gt;18,E593&lt;=25),-1,0))))))</f>
        <v>2</v>
      </c>
      <c r="G593" s="18">
        <f>ROUND(INDEX(Valuation!U:U,MATCH(A593,Valuation!A:A,0)),2)</f>
        <v>95.21</v>
      </c>
      <c r="H593">
        <f t="shared" si="789"/>
        <v>0</v>
      </c>
      <c r="I593" s="18">
        <f>INDEX(WeeklyIndicators!Y:Y,MATCH(A593,WeeklyIndicators!A:A,0))</f>
        <v>152.1</v>
      </c>
      <c r="J593">
        <f t="shared" si="814"/>
        <v>2</v>
      </c>
      <c r="K593">
        <f>ROUND(INDEX(Economic!AF:AF,MATCH(EOMONTH($A593,-1),Economic!A:A,0)),2)</f>
        <v>120.7</v>
      </c>
      <c r="L593" s="11">
        <f t="shared" si="787"/>
        <v>1</v>
      </c>
      <c r="M593">
        <f>ROUND(INDEX(Manufacturing!P:P,MATCH(EOMONTH($A593,-1),Manufacturing!A:A,0)),2)</f>
        <v>86.71</v>
      </c>
      <c r="N593">
        <f t="shared" si="783"/>
        <v>0</v>
      </c>
      <c r="O593">
        <f>ROUND(INDEX(Housing!AC:AC,MATCH(EOMONTH($A593,-1),Housing!B:B,0)),2)</f>
        <v>52.91</v>
      </c>
      <c r="P593">
        <f t="shared" si="784"/>
        <v>-2</v>
      </c>
      <c r="Q593">
        <f>ROUND(INDEX(Spending!AJ:AJ,MATCH(EOMONTH($A593,-1),Spending!B:B,0)),2)</f>
        <v>51</v>
      </c>
      <c r="R593">
        <f t="shared" si="788"/>
        <v>1</v>
      </c>
      <c r="S593">
        <f>ROUND(INDEX(Employment!V:V,MATCH(EOMONTH($A593,-1),Employment!A:A,0)),2)</f>
        <v>156.96</v>
      </c>
      <c r="T593" s="11">
        <f t="shared" si="785"/>
        <v>0</v>
      </c>
      <c r="U593">
        <f t="shared" si="813"/>
        <v>24</v>
      </c>
      <c r="V593">
        <f t="shared" si="805"/>
        <v>71.849999999999994</v>
      </c>
      <c r="W593" s="13">
        <f t="shared" si="806"/>
        <v>3.2000000000000002E-3</v>
      </c>
      <c r="X593" s="13">
        <f t="shared" si="807"/>
        <v>4.2200000000000001E-2</v>
      </c>
      <c r="Y593">
        <f t="shared" si="799"/>
        <v>72.430000000000007</v>
      </c>
      <c r="Z593" s="13">
        <f t="shared" si="794"/>
        <v>3.8999999999999998E-3</v>
      </c>
      <c r="AA593" s="13">
        <f t="shared" si="790"/>
        <v>4.6899999999999997E-2</v>
      </c>
      <c r="AB593" s="6">
        <f t="shared" si="800"/>
        <v>80.411000000000001</v>
      </c>
      <c r="AC593">
        <f t="shared" si="792"/>
        <v>40</v>
      </c>
      <c r="AD593" s="11">
        <f t="shared" si="793"/>
        <v>0</v>
      </c>
      <c r="AE593">
        <f t="shared" si="791"/>
        <v>26</v>
      </c>
      <c r="AF593">
        <f>IF(AND(AE593&lt;15,OR(AC593&gt;=30,AA593&gt;0.15,X593&gt;=0.15)),2,VLOOKUP(AE593,Table!P:Q,2,FALSE))</f>
        <v>4</v>
      </c>
      <c r="AG593" s="22">
        <f>IF((AB593*0.98)-(D593*0.8)+((AF593-3)*3)+VLOOKUP(AM593,Table!$A$11:$B$13,2,FALSE)&lt;0,0,(AB593*0.98)-(D593*0.8)+((AF593-3)*3)+VLOOKUP(AM593,Table!$A$11:$B$13,2,FALSE))</f>
        <v>80.146779999999993</v>
      </c>
      <c r="AH593" s="22">
        <f t="shared" si="786"/>
        <v>80</v>
      </c>
      <c r="AI593" s="18">
        <f t="shared" si="815"/>
        <v>4.96</v>
      </c>
      <c r="AJ593" s="18">
        <f t="shared" si="816"/>
        <v>4.93</v>
      </c>
      <c r="AK593" t="str">
        <f t="shared" si="801"/>
        <v/>
      </c>
      <c r="AL593">
        <f t="shared" si="812"/>
        <v>25.5</v>
      </c>
      <c r="AM593" s="11" t="str">
        <f t="shared" si="802"/>
        <v>Stocks</v>
      </c>
      <c r="AN593" t="str">
        <f t="shared" si="808"/>
        <v>Buy</v>
      </c>
      <c r="AO593" s="13">
        <f t="shared" si="809"/>
        <v>6.4999999999999997E-3</v>
      </c>
      <c r="AP593" s="13">
        <f t="shared" si="810"/>
        <v>8.9999999999999998E-4</v>
      </c>
      <c r="AQ593" s="13">
        <f t="shared" si="811"/>
        <v>5.4000000000000003E-3</v>
      </c>
      <c r="AR593" s="13">
        <f t="shared" si="803"/>
        <v>6.4999999999999997E-3</v>
      </c>
      <c r="AS593" s="6">
        <f t="shared" si="795"/>
        <v>369.78475968348062</v>
      </c>
      <c r="AT593" s="6">
        <f t="shared" si="796"/>
        <v>178.07814726873011</v>
      </c>
      <c r="AU593" s="6">
        <f t="shared" si="797"/>
        <v>412.741900007661</v>
      </c>
      <c r="AV593" s="6">
        <f t="shared" si="798"/>
        <v>523.4381815275284</v>
      </c>
      <c r="AW593" s="58">
        <f t="shared" si="804"/>
        <v>2007</v>
      </c>
      <c r="AX593" s="58">
        <f>COUNTIF(AW$3:AW593,AW593)</f>
        <v>37</v>
      </c>
    </row>
    <row r="594" spans="1:50" x14ac:dyDescent="0.25">
      <c r="A594" s="5">
        <v>39187</v>
      </c>
      <c r="B594">
        <v>1452.85</v>
      </c>
      <c r="C594">
        <v>4.8899999999999997</v>
      </c>
      <c r="D594" s="6">
        <v>12.2</v>
      </c>
      <c r="E594" s="18">
        <f t="shared" si="817"/>
        <v>13.36</v>
      </c>
      <c r="F594">
        <f t="shared" si="818"/>
        <v>2</v>
      </c>
      <c r="G594" s="18">
        <f>ROUND(INDEX(Valuation!U:U,MATCH(A594,Valuation!A:A,0)),2)</f>
        <v>97.91</v>
      </c>
      <c r="H594">
        <f t="shared" si="789"/>
        <v>0</v>
      </c>
      <c r="I594" s="18">
        <f>INDEX(WeeklyIndicators!Y:Y,MATCH(A594,WeeklyIndicators!A:A,0))</f>
        <v>157.71</v>
      </c>
      <c r="J594">
        <f t="shared" si="814"/>
        <v>2</v>
      </c>
      <c r="K594">
        <f>ROUND(INDEX(Economic!AF:AF,MATCH(EOMONTH($A594,-1),Economic!A:A,0)),2)</f>
        <v>120.7</v>
      </c>
      <c r="L594" s="11">
        <f t="shared" si="787"/>
        <v>1</v>
      </c>
      <c r="M594">
        <f>ROUND(INDEX(Manufacturing!P:P,MATCH(EOMONTH($A594,-1),Manufacturing!A:A,0)),2)</f>
        <v>86.71</v>
      </c>
      <c r="N594">
        <f t="shared" ref="N594:N657" si="819">IF(M594&gt;108,3,IF(AND(M594&gt;100,M594&lt;=108),2,IF(AND(M594&gt;90,M594&lt;=100),1,IF(M594&lt;63,-3,IF(AND(M594&lt;74,M594&gt;=63),-2,IF(AND(M594&lt;84,M594&gt;=74),-1,0))))))</f>
        <v>0</v>
      </c>
      <c r="O594">
        <f>ROUND(INDEX(Housing!AC:AC,MATCH(EOMONTH($A594,-1),Housing!B:B,0)),2)</f>
        <v>52.91</v>
      </c>
      <c r="P594">
        <f t="shared" ref="P594:P657" si="820">IF(O594&gt;140,3,IF(AND(O594&gt;128,O594&lt;=140),2,IF(AND(O594&gt;115,O594&lt;=128),1,IF(O594&lt;50,-3,IF(AND(O594&lt;75,O594&gt;=50),-2,IF(AND(O594&lt;100,O594&gt;=75),-1,0))))))</f>
        <v>-2</v>
      </c>
      <c r="Q594">
        <f>ROUND(INDEX(Spending!AJ:AJ,MATCH(EOMONTH($A594,-1),Spending!B:B,0)),2)</f>
        <v>51</v>
      </c>
      <c r="R594">
        <f t="shared" si="788"/>
        <v>1</v>
      </c>
      <c r="S594">
        <f>ROUND(INDEX(Employment!V:V,MATCH(EOMONTH($A594,-1),Employment!A:A,0)),2)</f>
        <v>156.96</v>
      </c>
      <c r="T594" s="11">
        <f t="shared" ref="T594:T657" si="821">IF(S594&gt;190,3,IF(AND(S594&gt;175,S594&lt;=190),2,IF(AND(S594&gt;160,S594&lt;=175),1,IF(S594&lt;120,-3,IF(AND(S594&lt;140,S594&gt;=120),-2,IF(AND(S594&lt;150,S594&gt;=140),-1,0))))))</f>
        <v>0</v>
      </c>
      <c r="U594">
        <f t="shared" si="813"/>
        <v>24</v>
      </c>
      <c r="V594">
        <f t="shared" si="805"/>
        <v>72.430000000000007</v>
      </c>
      <c r="W594" s="13">
        <f t="shared" si="806"/>
        <v>1.46E-2</v>
      </c>
      <c r="X594" s="13">
        <f t="shared" si="807"/>
        <v>0.04</v>
      </c>
      <c r="Y594">
        <f t="shared" si="799"/>
        <v>73.010000000000005</v>
      </c>
      <c r="Z594" s="13">
        <f t="shared" si="794"/>
        <v>1.49E-2</v>
      </c>
      <c r="AA594" s="13">
        <f t="shared" si="790"/>
        <v>4.2399999999999993E-2</v>
      </c>
      <c r="AB594" s="6">
        <f t="shared" si="800"/>
        <v>80.960999999999999</v>
      </c>
      <c r="AC594">
        <f t="shared" si="792"/>
        <v>40</v>
      </c>
      <c r="AD594" s="11">
        <f t="shared" si="793"/>
        <v>0</v>
      </c>
      <c r="AE594">
        <f t="shared" si="791"/>
        <v>26</v>
      </c>
      <c r="AF594">
        <f>IF(AND(AE594&lt;15,OR(AC594&gt;=30,AA594&gt;0.15,X594&gt;=0.15)),2,VLOOKUP(AE594,Table!P:Q,2,FALSE))</f>
        <v>4</v>
      </c>
      <c r="AG594" s="22">
        <f>IF((AB594*0.98)-(D594*0.8)+((AF594-3)*3)+VLOOKUP(AM594,Table!$A$11:$B$13,2,FALSE)&lt;0,0,(AB594*0.98)-(D594*0.8)+((AF594-3)*3)+VLOOKUP(AM594,Table!$A$11:$B$13,2,FALSE))</f>
        <v>80.581779999999995</v>
      </c>
      <c r="AH594" s="22">
        <f t="shared" ref="AH594:AH657" si="822">IF(ROUND(AVERAGE(AG594:AG596),0)&lt;0,0,IF(ROUND(AVERAGE(AG594:AG596),0)&gt;100,100,ROUND(AVERAGE(AG594:AG596),0)))</f>
        <v>77</v>
      </c>
      <c r="AI594" s="18">
        <f t="shared" si="815"/>
        <v>4.97</v>
      </c>
      <c r="AJ594" s="18">
        <f t="shared" si="816"/>
        <v>4.93</v>
      </c>
      <c r="AK594" t="str">
        <f t="shared" si="801"/>
        <v/>
      </c>
      <c r="AL594">
        <f t="shared" si="812"/>
        <v>24.25</v>
      </c>
      <c r="AM594" s="11" t="str">
        <f t="shared" si="802"/>
        <v>Stocks</v>
      </c>
      <c r="AN594" t="str">
        <f t="shared" si="808"/>
        <v>Buy</v>
      </c>
      <c r="AO594" s="13">
        <f t="shared" si="809"/>
        <v>2.1700000000000001E-2</v>
      </c>
      <c r="AP594" s="13">
        <f t="shared" si="810"/>
        <v>8.9999999999999998E-4</v>
      </c>
      <c r="AQ594" s="13">
        <f t="shared" si="811"/>
        <v>1.6899999999999998E-2</v>
      </c>
      <c r="AR594" s="13">
        <f t="shared" si="803"/>
        <v>2.1700000000000001E-2</v>
      </c>
      <c r="AS594" s="6">
        <f t="shared" si="795"/>
        <v>361.93086002102439</v>
      </c>
      <c r="AT594" s="6">
        <f t="shared" si="796"/>
        <v>177.91802104978532</v>
      </c>
      <c r="AU594" s="6">
        <f t="shared" si="797"/>
        <v>405.88248599435639</v>
      </c>
      <c r="AV594" s="6">
        <f t="shared" si="798"/>
        <v>512.32081973918798</v>
      </c>
      <c r="AW594" s="58">
        <f t="shared" si="804"/>
        <v>2007</v>
      </c>
      <c r="AX594" s="58">
        <f>COUNTIF(AW$3:AW594,AW594)</f>
        <v>38</v>
      </c>
    </row>
    <row r="595" spans="1:50" x14ac:dyDescent="0.25">
      <c r="A595" s="5">
        <v>39180</v>
      </c>
      <c r="B595">
        <v>1443.76</v>
      </c>
      <c r="C595">
        <v>4.91</v>
      </c>
      <c r="D595" s="6">
        <v>13.23</v>
      </c>
      <c r="E595" s="18">
        <f t="shared" si="817"/>
        <v>13.61</v>
      </c>
      <c r="F595">
        <f t="shared" si="818"/>
        <v>2</v>
      </c>
      <c r="G595" s="18">
        <f>ROUND(INDEX(Valuation!U:U,MATCH(A595,Valuation!A:A,0)),2)</f>
        <v>99.26</v>
      </c>
      <c r="H595">
        <f t="shared" si="789"/>
        <v>0</v>
      </c>
      <c r="I595" s="18">
        <f>INDEX(WeeklyIndicators!Y:Y,MATCH(A595,WeeklyIndicators!A:A,0))</f>
        <v>154.26</v>
      </c>
      <c r="J595">
        <f t="shared" si="814"/>
        <v>2</v>
      </c>
      <c r="K595">
        <f>ROUND(INDEX(Economic!AF:AF,MATCH(EOMONTH($A595,-1),Economic!A:A,0)),2)</f>
        <v>120.7</v>
      </c>
      <c r="L595" s="11">
        <f t="shared" ref="L595:L658" si="823">IF(K595&gt;138,3,IF(AND(K595&gt;125,K595&lt;=138),2,IF(AND(K595&gt;111,K595&lt;=125),1,IF(K595&lt;50,-3,IF(AND(K595&lt;80,K595&gt;=50),-2,IF(AND(K595&lt;100,K595&gt;=80),-1,0))))))</f>
        <v>1</v>
      </c>
      <c r="M595">
        <f>ROUND(INDEX(Manufacturing!P:P,MATCH(EOMONTH($A595,-1),Manufacturing!A:A,0)),2)</f>
        <v>86.71</v>
      </c>
      <c r="N595">
        <f t="shared" si="819"/>
        <v>0</v>
      </c>
      <c r="O595">
        <f>ROUND(INDEX(Housing!AC:AC,MATCH(EOMONTH($A595,-1),Housing!B:B,0)),2)</f>
        <v>52.91</v>
      </c>
      <c r="P595">
        <f t="shared" si="820"/>
        <v>-2</v>
      </c>
      <c r="Q595">
        <f>ROUND(INDEX(Spending!AJ:AJ,MATCH(EOMONTH($A595,-1),Spending!B:B,0)),2)</f>
        <v>51</v>
      </c>
      <c r="R595">
        <f t="shared" ref="R595:R658" si="824">IF(Q595&gt;60,2,IF(AND(Q595&gt;50,Q595&lt;=60),1,IF(Q595&lt;30,-2,IF(AND(Q595&lt;40,Q595&gt;=30),-1,0))))</f>
        <v>1</v>
      </c>
      <c r="S595">
        <f>ROUND(INDEX(Employment!V:V,MATCH(EOMONTH($A595,-1),Employment!A:A,0)),2)</f>
        <v>156.96</v>
      </c>
      <c r="T595" s="11">
        <f t="shared" si="821"/>
        <v>0</v>
      </c>
      <c r="U595">
        <f t="shared" si="813"/>
        <v>24</v>
      </c>
      <c r="V595">
        <f t="shared" si="805"/>
        <v>72.069999999999993</v>
      </c>
      <c r="W595" s="13">
        <f t="shared" si="806"/>
        <v>1.43E-2</v>
      </c>
      <c r="X595" s="13">
        <f t="shared" si="807"/>
        <v>2.92E-2</v>
      </c>
      <c r="Y595">
        <f t="shared" si="799"/>
        <v>72.709999999999994</v>
      </c>
      <c r="Z595" s="13">
        <f t="shared" si="794"/>
        <v>1.7899999999999999E-2</v>
      </c>
      <c r="AA595" s="13">
        <f t="shared" si="790"/>
        <v>2.2200000000000001E-2</v>
      </c>
      <c r="AB595" s="6">
        <f t="shared" si="800"/>
        <v>79.316000000000003</v>
      </c>
      <c r="AC595">
        <f t="shared" si="792"/>
        <v>40</v>
      </c>
      <c r="AD595" s="11">
        <f t="shared" si="793"/>
        <v>0</v>
      </c>
      <c r="AE595">
        <f t="shared" si="791"/>
        <v>26</v>
      </c>
      <c r="AF595">
        <f>IF(AND(AE595&lt;15,OR(AC595&gt;=30,AA595&gt;0.15,X595&gt;=0.15)),2,VLOOKUP(AE595,Table!P:Q,2,FALSE))</f>
        <v>4</v>
      </c>
      <c r="AG595" s="22">
        <f>IF((AB595*0.98)-(D595*0.8)+((AF595-3)*3)+VLOOKUP(AM595,Table!$A$11:$B$13,2,FALSE)&lt;0,0,(AB595*0.98)-(D595*0.8)+((AF595-3)*3)+VLOOKUP(AM595,Table!$A$11:$B$13,2,FALSE))</f>
        <v>78.145679999999999</v>
      </c>
      <c r="AH595" s="22">
        <f t="shared" si="822"/>
        <v>73</v>
      </c>
      <c r="AI595" s="18">
        <f t="shared" si="815"/>
        <v>4.9800000000000004</v>
      </c>
      <c r="AJ595" s="18">
        <f t="shared" si="816"/>
        <v>4.93</v>
      </c>
      <c r="AK595" t="str">
        <f t="shared" si="801"/>
        <v/>
      </c>
      <c r="AL595">
        <f t="shared" si="812"/>
        <v>22.5</v>
      </c>
      <c r="AM595" s="11" t="str">
        <f t="shared" si="802"/>
        <v>Stocks</v>
      </c>
      <c r="AN595" t="str">
        <f t="shared" si="808"/>
        <v>Buy</v>
      </c>
      <c r="AO595" s="13">
        <f t="shared" si="809"/>
        <v>6.3E-3</v>
      </c>
      <c r="AP595" s="13">
        <f t="shared" si="810"/>
        <v>8.9999999999999998E-4</v>
      </c>
      <c r="AQ595" s="13">
        <f t="shared" si="811"/>
        <v>4.7999999999999996E-3</v>
      </c>
      <c r="AR595" s="13">
        <f t="shared" si="803"/>
        <v>6.3E-3</v>
      </c>
      <c r="AS595" s="6">
        <f t="shared" si="795"/>
        <v>359.66497070557926</v>
      </c>
      <c r="AT595" s="6">
        <f t="shared" si="796"/>
        <v>177.75803881485197</v>
      </c>
      <c r="AU595" s="6">
        <f t="shared" si="797"/>
        <v>403.94355692113498</v>
      </c>
      <c r="AV595" s="6">
        <f t="shared" si="798"/>
        <v>509.11340528588687</v>
      </c>
      <c r="AW595" s="58">
        <f t="shared" si="804"/>
        <v>2007</v>
      </c>
      <c r="AX595" s="58">
        <f>COUNTIF(AW$3:AW595,AW595)</f>
        <v>39</v>
      </c>
    </row>
    <row r="596" spans="1:50" x14ac:dyDescent="0.25">
      <c r="A596" s="5">
        <v>39173</v>
      </c>
      <c r="B596">
        <v>1420.86</v>
      </c>
      <c r="C596">
        <v>4.92</v>
      </c>
      <c r="D596" s="6">
        <v>14.64</v>
      </c>
      <c r="E596" s="18">
        <f t="shared" si="817"/>
        <v>14.79</v>
      </c>
      <c r="F596">
        <f t="shared" si="818"/>
        <v>1</v>
      </c>
      <c r="G596" s="18">
        <f>ROUND(INDEX(Valuation!U:U,MATCH(A596,Valuation!A:A,0)),2)</f>
        <v>100.97</v>
      </c>
      <c r="H596">
        <f t="shared" si="789"/>
        <v>0</v>
      </c>
      <c r="I596" s="18">
        <f>INDEX(WeeklyIndicators!Y:Y,MATCH(A596,WeeklyIndicators!A:A,0))</f>
        <v>145.46</v>
      </c>
      <c r="J596">
        <f t="shared" si="814"/>
        <v>1</v>
      </c>
      <c r="K596">
        <f>ROUND(INDEX(Economic!AF:AF,MATCH(EOMONTH($A596,-1),Economic!A:A,0)),2)</f>
        <v>120.7</v>
      </c>
      <c r="L596" s="11">
        <f t="shared" si="823"/>
        <v>1</v>
      </c>
      <c r="M596">
        <f>ROUND(INDEX(Manufacturing!P:P,MATCH(EOMONTH($A596,-1),Manufacturing!A:A,0)),2)</f>
        <v>86.71</v>
      </c>
      <c r="N596">
        <f t="shared" si="819"/>
        <v>0</v>
      </c>
      <c r="O596">
        <f>ROUND(INDEX(Housing!AC:AC,MATCH(EOMONTH($A596,-1),Housing!B:B,0)),2)</f>
        <v>52.91</v>
      </c>
      <c r="P596">
        <f t="shared" si="820"/>
        <v>-2</v>
      </c>
      <c r="Q596">
        <f>ROUND(INDEX(Spending!AJ:AJ,MATCH(EOMONTH($A596,-1),Spending!B:B,0)),2)</f>
        <v>51</v>
      </c>
      <c r="R596">
        <f t="shared" si="824"/>
        <v>1</v>
      </c>
      <c r="S596">
        <f>ROUND(INDEX(Employment!V:V,MATCH(EOMONTH($A596,-1),Employment!A:A,0)),2)</f>
        <v>156.96</v>
      </c>
      <c r="T596" s="11">
        <f t="shared" si="821"/>
        <v>0</v>
      </c>
      <c r="U596">
        <f t="shared" si="813"/>
        <v>22</v>
      </c>
      <c r="V596">
        <f t="shared" si="805"/>
        <v>71.16</v>
      </c>
      <c r="W596" s="13">
        <f t="shared" si="806"/>
        <v>1.01E-2</v>
      </c>
      <c r="X596" s="13">
        <f t="shared" si="807"/>
        <v>1.9099999999999999E-2</v>
      </c>
      <c r="Y596">
        <f t="shared" si="799"/>
        <v>71.58</v>
      </c>
      <c r="Z596" s="13">
        <f t="shared" si="794"/>
        <v>1.0200000000000001E-2</v>
      </c>
      <c r="AA596" s="13">
        <f t="shared" si="790"/>
        <v>8.000000000000008E-4</v>
      </c>
      <c r="AB596" s="6">
        <f t="shared" si="800"/>
        <v>76.796999999999997</v>
      </c>
      <c r="AC596">
        <f t="shared" si="792"/>
        <v>38</v>
      </c>
      <c r="AD596" s="11">
        <f t="shared" si="793"/>
        <v>0</v>
      </c>
      <c r="AE596">
        <f t="shared" si="791"/>
        <v>24</v>
      </c>
      <c r="AF596">
        <f>IF(AND(AE596&lt;15,OR(AC596&gt;=30,AA596&gt;0.15,X596&gt;=0.15)),2,VLOOKUP(AE596,Table!P:Q,2,FALSE))</f>
        <v>3</v>
      </c>
      <c r="AG596" s="22">
        <f>IF((AB596*0.98)-(D596*0.8)+((AF596-3)*3)+VLOOKUP(AM596,Table!$A$11:$B$13,2,FALSE)&lt;0,0,(AB596*0.98)-(D596*0.8)+((AF596-3)*3)+VLOOKUP(AM596,Table!$A$11:$B$13,2,FALSE))</f>
        <v>71.549059999999997</v>
      </c>
      <c r="AH596" s="22">
        <f t="shared" si="822"/>
        <v>68</v>
      </c>
      <c r="AI596" s="18">
        <f t="shared" si="815"/>
        <v>4.9800000000000004</v>
      </c>
      <c r="AJ596" s="18">
        <f t="shared" si="816"/>
        <v>4.93</v>
      </c>
      <c r="AK596" t="str">
        <f t="shared" si="801"/>
        <v/>
      </c>
      <c r="AL596">
        <f t="shared" si="812"/>
        <v>21</v>
      </c>
      <c r="AM596" s="11" t="str">
        <f t="shared" si="802"/>
        <v>Stocks</v>
      </c>
      <c r="AN596" t="str">
        <f t="shared" si="808"/>
        <v>Buy</v>
      </c>
      <c r="AO596" s="13">
        <f t="shared" si="809"/>
        <v>1.61E-2</v>
      </c>
      <c r="AP596" s="13">
        <f t="shared" si="810"/>
        <v>8.9999999999999998E-4</v>
      </c>
      <c r="AQ596" s="13">
        <f t="shared" si="811"/>
        <v>1.12E-2</v>
      </c>
      <c r="AR596" s="13">
        <f t="shared" si="803"/>
        <v>1.61E-2</v>
      </c>
      <c r="AS596" s="6">
        <f t="shared" si="795"/>
        <v>353.96611623420853</v>
      </c>
      <c r="AT596" s="6">
        <f t="shared" si="796"/>
        <v>177.59820043446098</v>
      </c>
      <c r="AU596" s="6">
        <f t="shared" si="797"/>
        <v>399.46949853751477</v>
      </c>
      <c r="AV596" s="6">
        <f t="shared" si="798"/>
        <v>501.04655573849709</v>
      </c>
      <c r="AW596" s="58">
        <f t="shared" si="804"/>
        <v>2007</v>
      </c>
      <c r="AX596" s="58">
        <f>COUNTIF(AW$3:AW596,AW596)</f>
        <v>40</v>
      </c>
    </row>
    <row r="597" spans="1:50" x14ac:dyDescent="0.25">
      <c r="A597" s="5">
        <v>39166</v>
      </c>
      <c r="B597">
        <v>1436.11</v>
      </c>
      <c r="C597">
        <v>4.92</v>
      </c>
      <c r="D597" s="6">
        <v>12.95</v>
      </c>
      <c r="E597" s="18">
        <f t="shared" si="817"/>
        <v>14.61</v>
      </c>
      <c r="F597">
        <f t="shared" si="818"/>
        <v>1</v>
      </c>
      <c r="G597" s="18">
        <f>ROUND(INDEX(Valuation!U:U,MATCH(A597,Valuation!A:A,0)),2)</f>
        <v>101.08</v>
      </c>
      <c r="H597">
        <f t="shared" si="789"/>
        <v>0</v>
      </c>
      <c r="I597" s="18">
        <f>INDEX(WeeklyIndicators!Y:Y,MATCH(A597,WeeklyIndicators!A:A,0))</f>
        <v>136.03</v>
      </c>
      <c r="J597">
        <f t="shared" si="814"/>
        <v>1</v>
      </c>
      <c r="K597">
        <f>ROUND(INDEX(Economic!AF:AF,MATCH(EOMONTH($A597,-1),Economic!A:A,0)),2)</f>
        <v>121.83</v>
      </c>
      <c r="L597" s="11">
        <f t="shared" si="823"/>
        <v>1</v>
      </c>
      <c r="M597">
        <f>ROUND(INDEX(Manufacturing!P:P,MATCH(EOMONTH($A597,-1),Manufacturing!A:A,0)),2)</f>
        <v>83.03</v>
      </c>
      <c r="N597">
        <f t="shared" si="819"/>
        <v>-1</v>
      </c>
      <c r="O597">
        <f>ROUND(INDEX(Housing!AC:AC,MATCH(EOMONTH($A597,-1),Housing!B:B,0)),2)</f>
        <v>49.58</v>
      </c>
      <c r="P597">
        <f t="shared" si="820"/>
        <v>-3</v>
      </c>
      <c r="Q597">
        <f>ROUND(INDEX(Spending!AJ:AJ,MATCH(EOMONTH($A597,-1),Spending!B:B,0)),2)</f>
        <v>46.79</v>
      </c>
      <c r="R597">
        <f t="shared" si="824"/>
        <v>0</v>
      </c>
      <c r="S597">
        <f>ROUND(INDEX(Employment!V:V,MATCH(EOMONTH($A597,-1),Employment!A:A,0)),2)</f>
        <v>157.9</v>
      </c>
      <c r="T597" s="11">
        <f t="shared" si="821"/>
        <v>0</v>
      </c>
      <c r="U597">
        <f t="shared" si="813"/>
        <v>19</v>
      </c>
      <c r="V597">
        <f t="shared" si="805"/>
        <v>69.319999999999993</v>
      </c>
      <c r="W597" s="13">
        <f t="shared" si="806"/>
        <v>1E-3</v>
      </c>
      <c r="X597" s="13">
        <f t="shared" si="807"/>
        <v>1.3000000000000001E-2</v>
      </c>
      <c r="Y597">
        <f t="shared" si="799"/>
        <v>69.81</v>
      </c>
      <c r="Z597" s="13">
        <f t="shared" si="794"/>
        <v>-5.9999999999999995E-4</v>
      </c>
      <c r="AA597" s="13">
        <f t="shared" si="790"/>
        <v>-1.11E-2</v>
      </c>
      <c r="AB597" s="6">
        <f t="shared" si="800"/>
        <v>74.118000000000009</v>
      </c>
      <c r="AC597">
        <f t="shared" si="792"/>
        <v>37</v>
      </c>
      <c r="AD597" s="11">
        <f t="shared" si="793"/>
        <v>0</v>
      </c>
      <c r="AE597">
        <f t="shared" si="791"/>
        <v>21</v>
      </c>
      <c r="AF597">
        <f>IF(AND(AE597&lt;15,OR(AC597&gt;=30,AA597&gt;0.15,X597&gt;=0.15)),2,VLOOKUP(AE597,Table!P:Q,2,FALSE))</f>
        <v>3</v>
      </c>
      <c r="AG597" s="22">
        <f>IF((AB597*0.98)-(D597*0.8)+((AF597-3)*3)+VLOOKUP(AM597,Table!$A$11:$B$13,2,FALSE)&lt;0,0,(AB597*0.98)-(D597*0.8)+((AF597-3)*3)+VLOOKUP(AM597,Table!$A$11:$B$13,2,FALSE))</f>
        <v>70.27564000000001</v>
      </c>
      <c r="AH597" s="22">
        <f t="shared" si="822"/>
        <v>67</v>
      </c>
      <c r="AI597" s="18">
        <f t="shared" si="815"/>
        <v>4.97</v>
      </c>
      <c r="AJ597" s="18">
        <f t="shared" si="816"/>
        <v>4.93</v>
      </c>
      <c r="AK597" t="str">
        <f t="shared" si="801"/>
        <v/>
      </c>
      <c r="AL597">
        <f t="shared" si="812"/>
        <v>20.25</v>
      </c>
      <c r="AM597" s="11" t="str">
        <f t="shared" si="802"/>
        <v>Stocks</v>
      </c>
      <c r="AN597" t="str">
        <f t="shared" si="808"/>
        <v>Buy</v>
      </c>
      <c r="AO597" s="13">
        <f t="shared" si="809"/>
        <v>-1.06E-2</v>
      </c>
      <c r="AP597" s="13">
        <f t="shared" si="810"/>
        <v>8.9999999999999998E-4</v>
      </c>
      <c r="AQ597" s="13">
        <f t="shared" si="811"/>
        <v>-6.7999999999999996E-3</v>
      </c>
      <c r="AR597" s="13">
        <f t="shared" si="803"/>
        <v>-1.06E-2</v>
      </c>
      <c r="AS597" s="6">
        <f t="shared" si="795"/>
        <v>357.75835479503593</v>
      </c>
      <c r="AT597" s="6">
        <f t="shared" si="796"/>
        <v>177.43850577925966</v>
      </c>
      <c r="AU597" s="6">
        <f t="shared" si="797"/>
        <v>402.20448906314414</v>
      </c>
      <c r="AV597" s="6">
        <f t="shared" si="798"/>
        <v>506.41454996815963</v>
      </c>
      <c r="AW597" s="58">
        <f t="shared" si="804"/>
        <v>2007</v>
      </c>
      <c r="AX597" s="58">
        <f>COUNTIF(AW$3:AW597,AW597)</f>
        <v>41</v>
      </c>
    </row>
    <row r="598" spans="1:50" x14ac:dyDescent="0.25">
      <c r="A598" s="5">
        <v>39159</v>
      </c>
      <c r="B598">
        <v>1386.95</v>
      </c>
      <c r="C598">
        <v>4.93</v>
      </c>
      <c r="D598" s="6">
        <v>16.79</v>
      </c>
      <c r="E598" s="18">
        <f t="shared" si="817"/>
        <v>16.5</v>
      </c>
      <c r="F598">
        <f t="shared" si="818"/>
        <v>0</v>
      </c>
      <c r="G598" s="18">
        <f>ROUND(INDEX(Valuation!U:U,MATCH(A598,Valuation!A:A,0)),2)</f>
        <v>101.37</v>
      </c>
      <c r="H598">
        <f t="shared" si="789"/>
        <v>0</v>
      </c>
      <c r="I598" s="18">
        <f>INDEX(WeeklyIndicators!Y:Y,MATCH(A598,WeeklyIndicators!A:A,0))</f>
        <v>133.76</v>
      </c>
      <c r="J598">
        <f t="shared" si="814"/>
        <v>0</v>
      </c>
      <c r="K598">
        <f>ROUND(INDEX(Economic!AF:AF,MATCH(EOMONTH($A598,-1),Economic!A:A,0)),2)</f>
        <v>121.83</v>
      </c>
      <c r="L598" s="11">
        <f t="shared" si="823"/>
        <v>1</v>
      </c>
      <c r="M598">
        <f>ROUND(INDEX(Manufacturing!P:P,MATCH(EOMONTH($A598,-1),Manufacturing!A:A,0)),2)</f>
        <v>83.03</v>
      </c>
      <c r="N598">
        <f t="shared" si="819"/>
        <v>-1</v>
      </c>
      <c r="O598">
        <f>ROUND(INDEX(Housing!AC:AC,MATCH(EOMONTH($A598,-1),Housing!B:B,0)),2)</f>
        <v>49.58</v>
      </c>
      <c r="P598">
        <f t="shared" si="820"/>
        <v>-3</v>
      </c>
      <c r="Q598">
        <f>ROUND(INDEX(Spending!AJ:AJ,MATCH(EOMONTH($A598,-1),Spending!B:B,0)),2)</f>
        <v>46.79</v>
      </c>
      <c r="R598">
        <f t="shared" si="824"/>
        <v>0</v>
      </c>
      <c r="S598">
        <f>ROUND(INDEX(Employment!V:V,MATCH(EOMONTH($A598,-1),Employment!A:A,0)),2)</f>
        <v>157.9</v>
      </c>
      <c r="T598" s="11">
        <f t="shared" si="821"/>
        <v>0</v>
      </c>
      <c r="U598">
        <f t="shared" si="813"/>
        <v>17</v>
      </c>
      <c r="V598">
        <f t="shared" si="805"/>
        <v>69.08</v>
      </c>
      <c r="W598" s="13">
        <f t="shared" si="806"/>
        <v>3.8E-3</v>
      </c>
      <c r="X598" s="13">
        <f t="shared" si="807"/>
        <v>0.01</v>
      </c>
      <c r="Y598">
        <f t="shared" si="799"/>
        <v>68.95</v>
      </c>
      <c r="Z598" s="13">
        <f t="shared" si="794"/>
        <v>-5.3E-3</v>
      </c>
      <c r="AA598" s="13">
        <f t="shared" si="790"/>
        <v>-1.4E-2</v>
      </c>
      <c r="AB598" s="6">
        <f t="shared" si="800"/>
        <v>73.046999999999997</v>
      </c>
      <c r="AC598">
        <f t="shared" si="792"/>
        <v>37</v>
      </c>
      <c r="AD598" s="11">
        <f t="shared" si="793"/>
        <v>0</v>
      </c>
      <c r="AE598">
        <f t="shared" si="791"/>
        <v>19</v>
      </c>
      <c r="AF598">
        <f>IF(AND(AE598&lt;15,OR(AC598&gt;=30,AA598&gt;0.15,X598&gt;=0.15)),2,VLOOKUP(AE598,Table!P:Q,2,FALSE))</f>
        <v>2</v>
      </c>
      <c r="AG598" s="22">
        <f>IF((AB598*0.98)-(D598*0.8)+((AF598-3)*3)+VLOOKUP(AM598,Table!$A$11:$B$13,2,FALSE)&lt;0,0,(AB598*0.98)-(D598*0.8)+((AF598-3)*3)+VLOOKUP(AM598,Table!$A$11:$B$13,2,FALSE))</f>
        <v>63.154059999999987</v>
      </c>
      <c r="AH598" s="22">
        <f t="shared" si="822"/>
        <v>66</v>
      </c>
      <c r="AI598" s="18">
        <f t="shared" si="815"/>
        <v>4.97</v>
      </c>
      <c r="AJ598" s="18">
        <f t="shared" si="816"/>
        <v>4.93</v>
      </c>
      <c r="AK598" t="str">
        <f t="shared" si="801"/>
        <v/>
      </c>
      <c r="AL598">
        <f t="shared" si="812"/>
        <v>20.5</v>
      </c>
      <c r="AM598" s="11" t="str">
        <f t="shared" si="802"/>
        <v>Stocks</v>
      </c>
      <c r="AN598" t="str">
        <f t="shared" si="808"/>
        <v>Buy</v>
      </c>
      <c r="AO598" s="13">
        <f t="shared" si="809"/>
        <v>3.5400000000000001E-2</v>
      </c>
      <c r="AP598" s="13">
        <f t="shared" si="810"/>
        <v>8.9999999999999998E-4</v>
      </c>
      <c r="AQ598" s="13">
        <f t="shared" si="811"/>
        <v>2.3699999999999999E-2</v>
      </c>
      <c r="AR598" s="13">
        <f t="shared" si="803"/>
        <v>3.5400000000000001E-2</v>
      </c>
      <c r="AS598" s="6">
        <f t="shared" si="795"/>
        <v>345.52670928630084</v>
      </c>
      <c r="AT598" s="6">
        <f t="shared" si="796"/>
        <v>177.27895472001165</v>
      </c>
      <c r="AU598" s="6">
        <f t="shared" si="797"/>
        <v>392.89292670034592</v>
      </c>
      <c r="AV598" s="6">
        <f t="shared" si="798"/>
        <v>489.10039595147731</v>
      </c>
      <c r="AW598" s="58">
        <f t="shared" si="804"/>
        <v>2007</v>
      </c>
      <c r="AX598" s="58">
        <f>COUNTIF(AW$3:AW598,AW598)</f>
        <v>42</v>
      </c>
    </row>
    <row r="599" spans="1:50" x14ac:dyDescent="0.25">
      <c r="A599" s="5">
        <v>39152</v>
      </c>
      <c r="B599">
        <v>1402.84</v>
      </c>
      <c r="C599">
        <v>4.97</v>
      </c>
      <c r="D599" s="6">
        <v>14.09</v>
      </c>
      <c r="E599" s="18">
        <f t="shared" si="817"/>
        <v>14.43</v>
      </c>
      <c r="F599">
        <f t="shared" si="818"/>
        <v>1</v>
      </c>
      <c r="G599" s="18">
        <f>ROUND(INDEX(Valuation!U:U,MATCH(A599,Valuation!A:A,0)),2)</f>
        <v>99.61</v>
      </c>
      <c r="H599">
        <f t="shared" si="789"/>
        <v>0</v>
      </c>
      <c r="I599" s="18">
        <f>INDEX(WeeklyIndicators!Y:Y,MATCH(A599,WeeklyIndicators!A:A,0))</f>
        <v>133.65</v>
      </c>
      <c r="J599">
        <f t="shared" si="814"/>
        <v>0</v>
      </c>
      <c r="K599">
        <f>ROUND(INDEX(Economic!AF:AF,MATCH(EOMONTH($A599,-1),Economic!A:A,0)),2)</f>
        <v>121.83</v>
      </c>
      <c r="L599" s="11">
        <f t="shared" si="823"/>
        <v>1</v>
      </c>
      <c r="M599">
        <f>ROUND(INDEX(Manufacturing!P:P,MATCH(EOMONTH($A599,-1),Manufacturing!A:A,0)),2)</f>
        <v>83.03</v>
      </c>
      <c r="N599">
        <f t="shared" si="819"/>
        <v>-1</v>
      </c>
      <c r="O599">
        <f>ROUND(INDEX(Housing!AC:AC,MATCH(EOMONTH($A599,-1),Housing!B:B,0)),2)</f>
        <v>49.58</v>
      </c>
      <c r="P599">
        <f t="shared" si="820"/>
        <v>-3</v>
      </c>
      <c r="Q599">
        <f>ROUND(INDEX(Spending!AJ:AJ,MATCH(EOMONTH($A599,-1),Spending!B:B,0)),2)</f>
        <v>46.79</v>
      </c>
      <c r="R599">
        <f t="shared" si="824"/>
        <v>0</v>
      </c>
      <c r="S599">
        <f>ROUND(INDEX(Employment!V:V,MATCH(EOMONTH($A599,-1),Employment!A:A,0)),2)</f>
        <v>157.9</v>
      </c>
      <c r="T599" s="11">
        <f t="shared" si="821"/>
        <v>0</v>
      </c>
      <c r="U599">
        <f t="shared" si="813"/>
        <v>18</v>
      </c>
      <c r="V599">
        <f t="shared" si="805"/>
        <v>69.069999999999993</v>
      </c>
      <c r="W599" s="13">
        <f t="shared" si="806"/>
        <v>4.1999999999999997E-3</v>
      </c>
      <c r="X599" s="13">
        <f t="shared" si="807"/>
        <v>7.899999999999999E-3</v>
      </c>
      <c r="Y599">
        <f t="shared" si="799"/>
        <v>69.459999999999994</v>
      </c>
      <c r="Z599" s="13">
        <f t="shared" si="794"/>
        <v>-3.5000000000000001E-3</v>
      </c>
      <c r="AA599" s="13">
        <f t="shared" si="790"/>
        <v>-7.7999999999999996E-3</v>
      </c>
      <c r="AB599" s="6">
        <f t="shared" si="800"/>
        <v>73.780999999999992</v>
      </c>
      <c r="AC599">
        <f t="shared" si="792"/>
        <v>37</v>
      </c>
      <c r="AD599" s="11">
        <f t="shared" si="793"/>
        <v>0</v>
      </c>
      <c r="AE599">
        <f t="shared" si="791"/>
        <v>20</v>
      </c>
      <c r="AF599">
        <f>IF(AND(AE599&lt;15,OR(AC599&gt;=30,AA599&gt;0.15,X599&gt;=0.15)),2,VLOOKUP(AE599,Table!P:Q,2,FALSE))</f>
        <v>3</v>
      </c>
      <c r="AG599" s="22">
        <f>IF((AB599*0.98)-(D599*0.8)+((AF599-3)*3)+VLOOKUP(AM599,Table!$A$11:$B$13,2,FALSE)&lt;0,0,(AB599*0.98)-(D599*0.8)+((AF599-3)*3)+VLOOKUP(AM599,Table!$A$11:$B$13,2,FALSE))</f>
        <v>69.033379999999994</v>
      </c>
      <c r="AH599" s="22">
        <f t="shared" si="822"/>
        <v>69</v>
      </c>
      <c r="AI599" s="18">
        <f t="shared" si="815"/>
        <v>4.96</v>
      </c>
      <c r="AJ599" s="18">
        <f t="shared" si="816"/>
        <v>4.92</v>
      </c>
      <c r="AK599" t="str">
        <f t="shared" si="801"/>
        <v/>
      </c>
      <c r="AL599">
        <f t="shared" si="812"/>
        <v>21.25</v>
      </c>
      <c r="AM599" s="11" t="str">
        <f t="shared" si="802"/>
        <v>Stocks</v>
      </c>
      <c r="AN599" t="str">
        <f t="shared" si="808"/>
        <v>Buy</v>
      </c>
      <c r="AO599" s="13">
        <f t="shared" si="809"/>
        <v>-1.1299999999999999E-2</v>
      </c>
      <c r="AP599" s="13">
        <f t="shared" si="810"/>
        <v>1E-3</v>
      </c>
      <c r="AQ599" s="13">
        <f t="shared" si="811"/>
        <v>-7.4999999999999997E-3</v>
      </c>
      <c r="AR599" s="13">
        <f t="shared" si="803"/>
        <v>-1.1299999999999999E-2</v>
      </c>
      <c r="AS599" s="6">
        <f t="shared" si="795"/>
        <v>349.47578566430752</v>
      </c>
      <c r="AT599" s="6">
        <f t="shared" si="796"/>
        <v>177.10185286714452</v>
      </c>
      <c r="AU599" s="6">
        <f t="shared" si="797"/>
        <v>395.86189088196062</v>
      </c>
      <c r="AV599" s="6">
        <f t="shared" si="798"/>
        <v>494.69039744257844</v>
      </c>
      <c r="AW599" s="58">
        <f t="shared" si="804"/>
        <v>2007</v>
      </c>
      <c r="AX599" s="58">
        <f>COUNTIF(AW$3:AW599,AW599)</f>
        <v>43</v>
      </c>
    </row>
    <row r="600" spans="1:50" x14ac:dyDescent="0.25">
      <c r="A600" s="5">
        <v>39145</v>
      </c>
      <c r="B600">
        <v>1387.17</v>
      </c>
      <c r="C600">
        <v>5.01</v>
      </c>
      <c r="D600" s="6">
        <v>18.61</v>
      </c>
      <c r="E600" s="18">
        <f t="shared" si="817"/>
        <v>13.07</v>
      </c>
      <c r="F600">
        <f t="shared" si="818"/>
        <v>2</v>
      </c>
      <c r="G600" s="18">
        <f>ROUND(INDEX(Valuation!U:U,MATCH(A600,Valuation!A:A,0)),2)</f>
        <v>99.21</v>
      </c>
      <c r="H600">
        <f t="shared" si="789"/>
        <v>0</v>
      </c>
      <c r="I600" s="18">
        <f>INDEX(WeeklyIndicators!Y:Y,MATCH(A600,WeeklyIndicators!A:A,0))</f>
        <v>134.03</v>
      </c>
      <c r="J600">
        <f t="shared" si="814"/>
        <v>0</v>
      </c>
      <c r="K600">
        <f>ROUND(INDEX(Economic!AF:AF,MATCH(EOMONTH($A600,-1),Economic!A:A,0)),2)</f>
        <v>121.83</v>
      </c>
      <c r="L600" s="11">
        <f t="shared" si="823"/>
        <v>1</v>
      </c>
      <c r="M600">
        <f>ROUND(INDEX(Manufacturing!P:P,MATCH(EOMONTH($A600,-1),Manufacturing!A:A,0)),2)</f>
        <v>83.03</v>
      </c>
      <c r="N600">
        <f t="shared" si="819"/>
        <v>-1</v>
      </c>
      <c r="O600">
        <f>ROUND(INDEX(Housing!AC:AC,MATCH(EOMONTH($A600,-1),Housing!B:B,0)),2)</f>
        <v>49.58</v>
      </c>
      <c r="P600">
        <f t="shared" si="820"/>
        <v>-3</v>
      </c>
      <c r="Q600">
        <f>ROUND(INDEX(Spending!AJ:AJ,MATCH(EOMONTH($A600,-1),Spending!B:B,0)),2)</f>
        <v>46.79</v>
      </c>
      <c r="R600">
        <f t="shared" si="824"/>
        <v>0</v>
      </c>
      <c r="S600">
        <f>ROUND(INDEX(Employment!V:V,MATCH(EOMONTH($A600,-1),Employment!A:A,0)),2)</f>
        <v>157.9</v>
      </c>
      <c r="T600" s="11">
        <f t="shared" si="821"/>
        <v>0</v>
      </c>
      <c r="U600">
        <f t="shared" si="813"/>
        <v>19</v>
      </c>
      <c r="V600">
        <f t="shared" si="805"/>
        <v>69.11</v>
      </c>
      <c r="W600" s="13">
        <f t="shared" si="806"/>
        <v>4.0000000000000001E-3</v>
      </c>
      <c r="X600" s="13">
        <f t="shared" si="807"/>
        <v>4.5999999999999999E-3</v>
      </c>
      <c r="Y600">
        <f t="shared" si="799"/>
        <v>69.930000000000007</v>
      </c>
      <c r="Z600" s="13">
        <f t="shared" si="794"/>
        <v>-1.6999999999999999E-3</v>
      </c>
      <c r="AA600" s="13">
        <f t="shared" si="790"/>
        <v>-4.8000000000000004E-3</v>
      </c>
      <c r="AB600" s="6">
        <f t="shared" si="800"/>
        <v>74.381</v>
      </c>
      <c r="AC600">
        <f t="shared" si="792"/>
        <v>37</v>
      </c>
      <c r="AD600" s="11">
        <f t="shared" si="793"/>
        <v>0</v>
      </c>
      <c r="AE600">
        <f t="shared" si="791"/>
        <v>21</v>
      </c>
      <c r="AF600">
        <f>IF(AND(AE600&lt;15,OR(AC600&gt;=30,AA600&gt;0.15,X600&gt;=0.15)),2,VLOOKUP(AE600,Table!P:Q,2,FALSE))</f>
        <v>3</v>
      </c>
      <c r="AG600" s="22">
        <f>IF((AB600*0.98)-(D600*0.8)+((AF600-3)*3)+VLOOKUP(AM600,Table!$A$11:$B$13,2,FALSE)&lt;0,0,(AB600*0.98)-(D600*0.8)+((AF600-3)*3)+VLOOKUP(AM600,Table!$A$11:$B$13,2,FALSE))</f>
        <v>66.005380000000002</v>
      </c>
      <c r="AH600" s="22">
        <f t="shared" si="822"/>
        <v>71</v>
      </c>
      <c r="AI600" s="18">
        <f t="shared" si="815"/>
        <v>4.95</v>
      </c>
      <c r="AJ600" s="18">
        <f t="shared" si="816"/>
        <v>4.92</v>
      </c>
      <c r="AK600" t="str">
        <f t="shared" si="801"/>
        <v/>
      </c>
      <c r="AL600">
        <f t="shared" si="812"/>
        <v>21.75</v>
      </c>
      <c r="AM600" s="11" t="str">
        <f t="shared" si="802"/>
        <v>Stocks</v>
      </c>
      <c r="AN600" t="str">
        <f t="shared" si="808"/>
        <v>Buy</v>
      </c>
      <c r="AO600" s="13">
        <f t="shared" si="809"/>
        <v>1.1299999999999999E-2</v>
      </c>
      <c r="AP600" s="13">
        <f t="shared" si="810"/>
        <v>1E-3</v>
      </c>
      <c r="AQ600" s="13">
        <f t="shared" si="811"/>
        <v>8.3000000000000001E-3</v>
      </c>
      <c r="AR600" s="13">
        <f t="shared" si="803"/>
        <v>1.1299999999999999E-2</v>
      </c>
      <c r="AS600" s="6">
        <f t="shared" si="795"/>
        <v>345.57083522625084</v>
      </c>
      <c r="AT600" s="6">
        <f t="shared" si="796"/>
        <v>176.92492793920533</v>
      </c>
      <c r="AU600" s="6">
        <f t="shared" si="797"/>
        <v>392.60328362784946</v>
      </c>
      <c r="AV600" s="6">
        <f t="shared" si="798"/>
        <v>489.16285715670762</v>
      </c>
      <c r="AW600" s="58">
        <f t="shared" si="804"/>
        <v>2007</v>
      </c>
      <c r="AX600" s="58">
        <f>COUNTIF(AW$3:AW600,AW600)</f>
        <v>44</v>
      </c>
    </row>
    <row r="601" spans="1:50" x14ac:dyDescent="0.25">
      <c r="A601" s="5">
        <v>39138</v>
      </c>
      <c r="B601">
        <v>1451.19</v>
      </c>
      <c r="C601">
        <v>5.05</v>
      </c>
      <c r="D601" s="6">
        <v>10.58</v>
      </c>
      <c r="E601" s="18">
        <f t="shared" si="817"/>
        <v>10.57</v>
      </c>
      <c r="F601">
        <f t="shared" si="818"/>
        <v>3</v>
      </c>
      <c r="G601" s="18">
        <f>ROUND(INDEX(Valuation!U:U,MATCH(A601,Valuation!A:A,0)),2)</f>
        <v>99.94</v>
      </c>
      <c r="H601">
        <f t="shared" si="789"/>
        <v>0</v>
      </c>
      <c r="I601" s="18">
        <f>INDEX(WeeklyIndicators!Y:Y,MATCH(A601,WeeklyIndicators!A:A,0))</f>
        <v>132.82</v>
      </c>
      <c r="J601">
        <f t="shared" si="814"/>
        <v>0</v>
      </c>
      <c r="K601">
        <f>ROUND(INDEX(Economic!AF:AF,MATCH(EOMONTH($A601,-1),Economic!A:A,0)),2)</f>
        <v>122.78</v>
      </c>
      <c r="L601" s="11">
        <f t="shared" si="823"/>
        <v>1</v>
      </c>
      <c r="M601">
        <f>ROUND(INDEX(Manufacturing!P:P,MATCH(EOMONTH($A601,-1),Manufacturing!A:A,0)),2)</f>
        <v>79.430000000000007</v>
      </c>
      <c r="N601">
        <f t="shared" si="819"/>
        <v>-1</v>
      </c>
      <c r="O601">
        <f>ROUND(INDEX(Housing!AC:AC,MATCH(EOMONTH($A601,-1),Housing!B:B,0)),2)</f>
        <v>44.76</v>
      </c>
      <c r="P601">
        <f t="shared" si="820"/>
        <v>-3</v>
      </c>
      <c r="Q601">
        <f>ROUND(INDEX(Spending!AJ:AJ,MATCH(EOMONTH($A601,-1),Spending!B:B,0)),2)</f>
        <v>45.53</v>
      </c>
      <c r="R601">
        <f t="shared" si="824"/>
        <v>0</v>
      </c>
      <c r="S601">
        <f>ROUND(INDEX(Employment!V:V,MATCH(EOMONTH($A601,-1),Employment!A:A,0)),2)</f>
        <v>159.15</v>
      </c>
      <c r="T601" s="11">
        <f t="shared" si="821"/>
        <v>0</v>
      </c>
      <c r="U601">
        <f t="shared" si="813"/>
        <v>20</v>
      </c>
      <c r="V601">
        <f t="shared" si="805"/>
        <v>68.290000000000006</v>
      </c>
      <c r="W601" s="13">
        <f t="shared" si="806"/>
        <v>-2E-3</v>
      </c>
      <c r="X601" s="13">
        <f t="shared" si="807"/>
        <v>3.6999999999999997E-3</v>
      </c>
      <c r="Y601">
        <f t="shared" si="799"/>
        <v>70.06</v>
      </c>
      <c r="Z601" s="13">
        <f t="shared" si="794"/>
        <v>-3.5000000000000001E-3</v>
      </c>
      <c r="AA601" s="13">
        <f t="shared" si="790"/>
        <v>-1.2999999999999999E-3</v>
      </c>
      <c r="AB601" s="6">
        <f t="shared" si="800"/>
        <v>74.784000000000006</v>
      </c>
      <c r="AC601">
        <f t="shared" si="792"/>
        <v>37</v>
      </c>
      <c r="AD601" s="11">
        <f t="shared" si="793"/>
        <v>0</v>
      </c>
      <c r="AE601">
        <f t="shared" si="791"/>
        <v>22</v>
      </c>
      <c r="AF601">
        <f>IF(AND(AE601&lt;15,OR(AC601&gt;=30,AA601&gt;0.15,X601&gt;=0.15)),2,VLOOKUP(AE601,Table!P:Q,2,FALSE))</f>
        <v>3</v>
      </c>
      <c r="AG601" s="22">
        <f>IF((AB601*0.98)-(D601*0.8)+((AF601-3)*3)+VLOOKUP(AM601,Table!$A$11:$B$13,2,FALSE)&lt;0,0,(AB601*0.98)-(D601*0.8)+((AF601-3)*3)+VLOOKUP(AM601,Table!$A$11:$B$13,2,FALSE))</f>
        <v>72.82432</v>
      </c>
      <c r="AH601" s="22">
        <f t="shared" si="822"/>
        <v>73</v>
      </c>
      <c r="AI601" s="18">
        <f t="shared" si="815"/>
        <v>4.9400000000000004</v>
      </c>
      <c r="AJ601" s="18">
        <f t="shared" si="816"/>
        <v>4.91</v>
      </c>
      <c r="AK601" t="str">
        <f t="shared" si="801"/>
        <v/>
      </c>
      <c r="AL601">
        <f t="shared" si="812"/>
        <v>22.25</v>
      </c>
      <c r="AM601" s="11" t="str">
        <f t="shared" si="802"/>
        <v>Stocks</v>
      </c>
      <c r="AN601" t="str">
        <f t="shared" si="808"/>
        <v>Buy</v>
      </c>
      <c r="AO601" s="13">
        <f t="shared" si="809"/>
        <v>-4.41E-2</v>
      </c>
      <c r="AP601" s="13">
        <f t="shared" si="810"/>
        <v>1E-3</v>
      </c>
      <c r="AQ601" s="13">
        <f t="shared" si="811"/>
        <v>-3.1899999999999998E-2</v>
      </c>
      <c r="AR601" s="13">
        <f t="shared" si="803"/>
        <v>-4.41E-2</v>
      </c>
      <c r="AS601" s="6">
        <f t="shared" si="795"/>
        <v>361.51358429359851</v>
      </c>
      <c r="AT601" s="6">
        <f t="shared" si="796"/>
        <v>176.74817975944592</v>
      </c>
      <c r="AU601" s="6">
        <f t="shared" si="797"/>
        <v>405.54000994509812</v>
      </c>
      <c r="AV601" s="6">
        <f t="shared" si="798"/>
        <v>511.7301570841172</v>
      </c>
      <c r="AW601" s="58">
        <f t="shared" si="804"/>
        <v>2007</v>
      </c>
      <c r="AX601" s="58">
        <f>COUNTIF(AW$3:AW601,AW601)</f>
        <v>45</v>
      </c>
    </row>
    <row r="602" spans="1:50" x14ac:dyDescent="0.25">
      <c r="A602" s="5">
        <v>39131</v>
      </c>
      <c r="B602">
        <v>1455.54</v>
      </c>
      <c r="C602">
        <v>5.03</v>
      </c>
      <c r="D602" s="6">
        <v>10.02</v>
      </c>
      <c r="E602" s="18">
        <f t="shared" si="817"/>
        <v>10.4</v>
      </c>
      <c r="F602">
        <f t="shared" si="818"/>
        <v>3</v>
      </c>
      <c r="G602" s="18">
        <f>ROUND(INDEX(Valuation!U:U,MATCH(A602,Valuation!A:A,0)),2)</f>
        <v>101.39</v>
      </c>
      <c r="H602">
        <f t="shared" si="789"/>
        <v>0</v>
      </c>
      <c r="I602" s="18">
        <f>INDEX(WeeklyIndicators!Y:Y,MATCH(A602,WeeklyIndicators!A:A,0))</f>
        <v>132.03</v>
      </c>
      <c r="J602">
        <f t="shared" si="814"/>
        <v>0</v>
      </c>
      <c r="K602">
        <f>ROUND(INDEX(Economic!AF:AF,MATCH(EOMONTH($A602,-1),Economic!A:A,0)),2)</f>
        <v>122.78</v>
      </c>
      <c r="L602" s="11">
        <f t="shared" si="823"/>
        <v>1</v>
      </c>
      <c r="M602">
        <f>ROUND(INDEX(Manufacturing!P:P,MATCH(EOMONTH($A602,-1),Manufacturing!A:A,0)),2)</f>
        <v>79.430000000000007</v>
      </c>
      <c r="N602">
        <f t="shared" si="819"/>
        <v>-1</v>
      </c>
      <c r="O602">
        <f>ROUND(INDEX(Housing!AC:AC,MATCH(EOMONTH($A602,-1),Housing!B:B,0)),2)</f>
        <v>44.76</v>
      </c>
      <c r="P602">
        <f t="shared" si="820"/>
        <v>-3</v>
      </c>
      <c r="Q602">
        <f>ROUND(INDEX(Spending!AJ:AJ,MATCH(EOMONTH($A602,-1),Spending!B:B,0)),2)</f>
        <v>45.53</v>
      </c>
      <c r="R602">
        <f t="shared" si="824"/>
        <v>0</v>
      </c>
      <c r="S602">
        <f>ROUND(INDEX(Employment!V:V,MATCH(EOMONTH($A602,-1),Employment!A:A,0)),2)</f>
        <v>159.15</v>
      </c>
      <c r="T602" s="11">
        <f t="shared" si="821"/>
        <v>0</v>
      </c>
      <c r="U602">
        <f t="shared" si="813"/>
        <v>20</v>
      </c>
      <c r="V602">
        <f t="shared" si="805"/>
        <v>68.2</v>
      </c>
      <c r="W602" s="13">
        <f t="shared" si="806"/>
        <v>1.6999999999999999E-3</v>
      </c>
      <c r="X602" s="13">
        <f t="shared" si="807"/>
        <v>6.6E-3</v>
      </c>
      <c r="Y602">
        <f t="shared" si="799"/>
        <v>70.2</v>
      </c>
      <c r="Z602" s="13">
        <f t="shared" si="794"/>
        <v>8.9999999999999998E-4</v>
      </c>
      <c r="AA602" s="13">
        <f t="shared" si="790"/>
        <v>1.8999999999999998E-3</v>
      </c>
      <c r="AB602" s="6">
        <f t="shared" si="800"/>
        <v>75.308999999999997</v>
      </c>
      <c r="AC602">
        <f t="shared" si="792"/>
        <v>38</v>
      </c>
      <c r="AD602" s="11">
        <f t="shared" si="793"/>
        <v>0</v>
      </c>
      <c r="AE602">
        <f t="shared" si="791"/>
        <v>22</v>
      </c>
      <c r="AF602">
        <f>IF(AND(AE602&lt;15,OR(AC602&gt;=30,AA602&gt;0.15,X602&gt;=0.15)),2,VLOOKUP(AE602,Table!P:Q,2,FALSE))</f>
        <v>3</v>
      </c>
      <c r="AG602" s="22">
        <f>IF((AB602*0.98)-(D602*0.8)+((AF602-3)*3)+VLOOKUP(AM602,Table!$A$11:$B$13,2,FALSE)&lt;0,0,(AB602*0.98)-(D602*0.8)+((AF602-3)*3)+VLOOKUP(AM602,Table!$A$11:$B$13,2,FALSE))</f>
        <v>73.786819999999992</v>
      </c>
      <c r="AH602" s="22">
        <f t="shared" si="822"/>
        <v>74</v>
      </c>
      <c r="AI602" s="18">
        <f t="shared" si="815"/>
        <v>4.93</v>
      </c>
      <c r="AJ602" s="18">
        <f t="shared" si="816"/>
        <v>4.9000000000000004</v>
      </c>
      <c r="AK602" t="str">
        <f t="shared" si="801"/>
        <v/>
      </c>
      <c r="AL602">
        <f t="shared" si="812"/>
        <v>22.5</v>
      </c>
      <c r="AM602" s="11" t="str">
        <f t="shared" si="802"/>
        <v>Stocks</v>
      </c>
      <c r="AN602" t="str">
        <f t="shared" si="808"/>
        <v>Buy</v>
      </c>
      <c r="AO602" s="13">
        <f t="shared" si="809"/>
        <v>-3.0000000000000001E-3</v>
      </c>
      <c r="AP602" s="13">
        <f t="shared" si="810"/>
        <v>1E-3</v>
      </c>
      <c r="AQ602" s="13">
        <f t="shared" si="811"/>
        <v>-2E-3</v>
      </c>
      <c r="AR602" s="13">
        <f t="shared" si="803"/>
        <v>-3.0000000000000001E-3</v>
      </c>
      <c r="AS602" s="6">
        <f t="shared" si="795"/>
        <v>362.60138845897546</v>
      </c>
      <c r="AT602" s="6">
        <f t="shared" si="796"/>
        <v>176.57160815129464</v>
      </c>
      <c r="AU602" s="6">
        <f t="shared" si="797"/>
        <v>406.35271537584981</v>
      </c>
      <c r="AV602" s="6">
        <f t="shared" si="798"/>
        <v>513.26996698507241</v>
      </c>
      <c r="AW602" s="58">
        <f t="shared" si="804"/>
        <v>2007</v>
      </c>
      <c r="AX602" s="58">
        <f>COUNTIF(AW$3:AW602,AW602)</f>
        <v>46</v>
      </c>
    </row>
    <row r="603" spans="1:50" x14ac:dyDescent="0.25">
      <c r="A603" s="5">
        <v>39124</v>
      </c>
      <c r="B603">
        <v>1438.06</v>
      </c>
      <c r="C603">
        <v>5.0199999999999996</v>
      </c>
      <c r="D603" s="6">
        <v>11.1</v>
      </c>
      <c r="E603" s="18">
        <f t="shared" si="817"/>
        <v>10.77</v>
      </c>
      <c r="F603">
        <f t="shared" si="818"/>
        <v>3</v>
      </c>
      <c r="G603" s="18">
        <f>ROUND(INDEX(Valuation!U:U,MATCH(A603,Valuation!A:A,0)),2)</f>
        <v>102.4</v>
      </c>
      <c r="H603">
        <f t="shared" si="789"/>
        <v>0</v>
      </c>
      <c r="I603" s="18">
        <f>INDEX(WeeklyIndicators!Y:Y,MATCH(A603,WeeklyIndicators!A:A,0))</f>
        <v>132.99</v>
      </c>
      <c r="J603">
        <f t="shared" si="814"/>
        <v>0</v>
      </c>
      <c r="K603">
        <f>ROUND(INDEX(Economic!AF:AF,MATCH(EOMONTH($A603,-1),Economic!A:A,0)),2)</f>
        <v>122.78</v>
      </c>
      <c r="L603" s="11">
        <f t="shared" si="823"/>
        <v>1</v>
      </c>
      <c r="M603">
        <f>ROUND(INDEX(Manufacturing!P:P,MATCH(EOMONTH($A603,-1),Manufacturing!A:A,0)),2)</f>
        <v>79.430000000000007</v>
      </c>
      <c r="N603">
        <f t="shared" si="819"/>
        <v>-1</v>
      </c>
      <c r="O603">
        <f>ROUND(INDEX(Housing!AC:AC,MATCH(EOMONTH($A603,-1),Housing!B:B,0)),2)</f>
        <v>44.76</v>
      </c>
      <c r="P603">
        <f t="shared" si="820"/>
        <v>-3</v>
      </c>
      <c r="Q603">
        <f>ROUND(INDEX(Spending!AJ:AJ,MATCH(EOMONTH($A603,-1),Spending!B:B,0)),2)</f>
        <v>45.53</v>
      </c>
      <c r="R603">
        <f t="shared" si="824"/>
        <v>0</v>
      </c>
      <c r="S603">
        <f>ROUND(INDEX(Employment!V:V,MATCH(EOMONTH($A603,-1),Employment!A:A,0)),2)</f>
        <v>159.15</v>
      </c>
      <c r="T603" s="11">
        <f t="shared" si="821"/>
        <v>0</v>
      </c>
      <c r="U603">
        <f t="shared" si="813"/>
        <v>20</v>
      </c>
      <c r="V603">
        <f t="shared" si="805"/>
        <v>68.3</v>
      </c>
      <c r="W603" s="13">
        <f t="shared" si="806"/>
        <v>8.9999999999999998E-4</v>
      </c>
      <c r="X603" s="13">
        <f t="shared" si="807"/>
        <v>1.32E-2</v>
      </c>
      <c r="Y603">
        <f t="shared" si="799"/>
        <v>70.28</v>
      </c>
      <c r="Z603" s="13">
        <f t="shared" si="794"/>
        <v>-5.0000000000000001E-4</v>
      </c>
      <c r="AA603" s="13">
        <f t="shared" si="790"/>
        <v>6.6E-3</v>
      </c>
      <c r="AB603" s="6">
        <f t="shared" si="800"/>
        <v>75.86999999999999</v>
      </c>
      <c r="AC603">
        <f t="shared" si="792"/>
        <v>38</v>
      </c>
      <c r="AD603" s="11">
        <f t="shared" si="793"/>
        <v>0</v>
      </c>
      <c r="AE603">
        <f t="shared" si="791"/>
        <v>22</v>
      </c>
      <c r="AF603">
        <f>IF(AND(AE603&lt;15,OR(AC603&gt;=30,AA603&gt;0.15,X603&gt;=0.15)),2,VLOOKUP(AE603,Table!P:Q,2,FALSE))</f>
        <v>3</v>
      </c>
      <c r="AG603" s="22">
        <f>IF((AB603*0.98)-(D603*0.8)+((AF603-3)*3)+VLOOKUP(AM603,Table!$A$11:$B$13,2,FALSE)&lt;0,0,(AB603*0.98)-(D603*0.8)+((AF603-3)*3)+VLOOKUP(AM603,Table!$A$11:$B$13,2,FALSE))</f>
        <v>73.4726</v>
      </c>
      <c r="AH603" s="22">
        <f t="shared" si="822"/>
        <v>75</v>
      </c>
      <c r="AI603" s="18">
        <f t="shared" si="815"/>
        <v>4.93</v>
      </c>
      <c r="AJ603" s="18">
        <f t="shared" si="816"/>
        <v>4.8899999999999997</v>
      </c>
      <c r="AK603" t="str">
        <f t="shared" si="801"/>
        <v/>
      </c>
      <c r="AL603">
        <f t="shared" si="812"/>
        <v>22.75</v>
      </c>
      <c r="AM603" s="11" t="str">
        <f t="shared" si="802"/>
        <v>Stocks</v>
      </c>
      <c r="AN603" t="str">
        <f t="shared" si="808"/>
        <v>Buy</v>
      </c>
      <c r="AO603" s="13">
        <f t="shared" si="809"/>
        <v>1.2200000000000001E-2</v>
      </c>
      <c r="AP603" s="13">
        <f t="shared" si="810"/>
        <v>1E-3</v>
      </c>
      <c r="AQ603" s="13">
        <f t="shared" si="811"/>
        <v>9.4000000000000004E-3</v>
      </c>
      <c r="AR603" s="13">
        <f t="shared" si="803"/>
        <v>1.2200000000000001E-2</v>
      </c>
      <c r="AS603" s="6">
        <f t="shared" si="795"/>
        <v>358.23097061744267</v>
      </c>
      <c r="AT603" s="6">
        <f t="shared" si="796"/>
        <v>176.39521293835631</v>
      </c>
      <c r="AU603" s="6">
        <f t="shared" si="797"/>
        <v>402.56857081023361</v>
      </c>
      <c r="AV603" s="6">
        <f t="shared" si="798"/>
        <v>507.08354770309467</v>
      </c>
      <c r="AW603" s="58">
        <f t="shared" si="804"/>
        <v>2007</v>
      </c>
      <c r="AX603" s="58">
        <f>COUNTIF(AW$3:AW603,AW603)</f>
        <v>47</v>
      </c>
    </row>
    <row r="604" spans="1:50" x14ac:dyDescent="0.25">
      <c r="A604" s="5">
        <v>39117</v>
      </c>
      <c r="B604">
        <v>1448.39</v>
      </c>
      <c r="C604">
        <v>5</v>
      </c>
      <c r="D604" s="6">
        <v>10.08</v>
      </c>
      <c r="E604" s="18">
        <f t="shared" si="817"/>
        <v>10.54</v>
      </c>
      <c r="F604">
        <f t="shared" si="818"/>
        <v>3</v>
      </c>
      <c r="G604" s="18">
        <f>ROUND(INDEX(Valuation!U:U,MATCH(A604,Valuation!A:A,0)),2)</f>
        <v>102.6</v>
      </c>
      <c r="H604">
        <f t="shared" ref="H604:H667" si="825">IF(G604&gt;200,3,IF(AND(G604&gt;160,G604&lt;=200),2,IF(AND(G604&gt;120,G604&lt;=160),1,IF(G604&lt;25,-3,IF(AND(G604&lt;50,G604&gt;=25),-2,IF(AND(G604&lt;90,G604&gt;=50),-1,0))))))</f>
        <v>0</v>
      </c>
      <c r="I604" s="18">
        <f>INDEX(WeeklyIndicators!Y:Y,MATCH(A604,WeeklyIndicators!A:A,0))</f>
        <v>136.87</v>
      </c>
      <c r="J604">
        <f t="shared" si="814"/>
        <v>1</v>
      </c>
      <c r="K604">
        <f>ROUND(INDEX(Economic!AF:AF,MATCH(EOMONTH($A604,-1),Economic!A:A,0)),2)</f>
        <v>122.78</v>
      </c>
      <c r="L604" s="11">
        <f t="shared" si="823"/>
        <v>1</v>
      </c>
      <c r="M604">
        <f>ROUND(INDEX(Manufacturing!P:P,MATCH(EOMONTH($A604,-1),Manufacturing!A:A,0)),2)</f>
        <v>79.430000000000007</v>
      </c>
      <c r="N604">
        <f t="shared" si="819"/>
        <v>-1</v>
      </c>
      <c r="O604">
        <f>ROUND(INDEX(Housing!AC:AC,MATCH(EOMONTH($A604,-1),Housing!B:B,0)),2)</f>
        <v>44.76</v>
      </c>
      <c r="P604">
        <f t="shared" si="820"/>
        <v>-3</v>
      </c>
      <c r="Q604">
        <f>ROUND(INDEX(Spending!AJ:AJ,MATCH(EOMONTH($A604,-1),Spending!B:B,0)),2)</f>
        <v>45.53</v>
      </c>
      <c r="R604">
        <f t="shared" si="824"/>
        <v>0</v>
      </c>
      <c r="S604">
        <f>ROUND(INDEX(Employment!V:V,MATCH(EOMONTH($A604,-1),Employment!A:A,0)),2)</f>
        <v>159.15</v>
      </c>
      <c r="T604" s="11">
        <f t="shared" si="821"/>
        <v>0</v>
      </c>
      <c r="U604">
        <f t="shared" si="813"/>
        <v>21</v>
      </c>
      <c r="V604">
        <f t="shared" si="805"/>
        <v>68.709999999999994</v>
      </c>
      <c r="W604" s="13">
        <f t="shared" si="806"/>
        <v>3.0999999999999999E-3</v>
      </c>
      <c r="X604" s="13">
        <f t="shared" si="807"/>
        <v>2.6000000000000002E-2</v>
      </c>
      <c r="Y604">
        <f t="shared" si="799"/>
        <v>70.790000000000006</v>
      </c>
      <c r="Z604" s="13">
        <f t="shared" si="794"/>
        <v>1.8E-3</v>
      </c>
      <c r="AA604" s="13">
        <f t="shared" si="790"/>
        <v>1.78E-2</v>
      </c>
      <c r="AB604" s="6">
        <f t="shared" si="800"/>
        <v>77.290000000000006</v>
      </c>
      <c r="AC604">
        <f t="shared" si="792"/>
        <v>39</v>
      </c>
      <c r="AD604" s="11">
        <f t="shared" si="793"/>
        <v>0</v>
      </c>
      <c r="AE604">
        <f t="shared" si="791"/>
        <v>23</v>
      </c>
      <c r="AF604">
        <f>IF(AND(AE604&lt;15,OR(AC604&gt;=30,AA604&gt;0.15,X604&gt;=0.15)),2,VLOOKUP(AE604,Table!P:Q,2,FALSE))</f>
        <v>3</v>
      </c>
      <c r="AG604" s="22">
        <f>IF((AB604*0.98)-(D604*0.8)+((AF604-3)*3)+VLOOKUP(AM604,Table!$A$11:$B$13,2,FALSE)&lt;0,0,(AB604*0.98)-(D604*0.8)+((AF604-3)*3)+VLOOKUP(AM604,Table!$A$11:$B$13,2,FALSE))</f>
        <v>75.680200000000013</v>
      </c>
      <c r="AH604" s="22">
        <f t="shared" si="822"/>
        <v>76</v>
      </c>
      <c r="AI604" s="18">
        <f t="shared" si="815"/>
        <v>4.92</v>
      </c>
      <c r="AJ604" s="18">
        <f t="shared" si="816"/>
        <v>4.88</v>
      </c>
      <c r="AK604" t="str">
        <f t="shared" si="801"/>
        <v/>
      </c>
      <c r="AL604">
        <f t="shared" si="812"/>
        <v>22.75</v>
      </c>
      <c r="AM604" s="11" t="str">
        <f t="shared" si="802"/>
        <v>Stocks</v>
      </c>
      <c r="AN604" t="str">
        <f t="shared" si="808"/>
        <v>Buy</v>
      </c>
      <c r="AO604" s="13">
        <f t="shared" si="809"/>
        <v>-7.1000000000000004E-3</v>
      </c>
      <c r="AP604" s="13">
        <f t="shared" si="810"/>
        <v>1E-3</v>
      </c>
      <c r="AQ604" s="13">
        <f t="shared" si="811"/>
        <v>-5.1999999999999998E-3</v>
      </c>
      <c r="AR604" s="13">
        <f t="shared" si="803"/>
        <v>-7.1000000000000004E-3</v>
      </c>
      <c r="AS604" s="6">
        <f t="shared" si="795"/>
        <v>360.79259806369492</v>
      </c>
      <c r="AT604" s="6">
        <f t="shared" si="796"/>
        <v>176.21899394441192</v>
      </c>
      <c r="AU604" s="6">
        <f t="shared" si="797"/>
        <v>404.67286973284439</v>
      </c>
      <c r="AV604" s="6">
        <f t="shared" si="798"/>
        <v>510.70958576200491</v>
      </c>
      <c r="AW604" s="58">
        <f t="shared" si="804"/>
        <v>2007</v>
      </c>
      <c r="AX604" s="58">
        <f>COUNTIF(AW$3:AW604,AW604)</f>
        <v>48</v>
      </c>
    </row>
    <row r="605" spans="1:50" x14ac:dyDescent="0.25">
      <c r="A605" s="5">
        <v>39110</v>
      </c>
      <c r="B605">
        <v>1422.18</v>
      </c>
      <c r="C605">
        <v>5</v>
      </c>
      <c r="D605" s="6">
        <v>11.13</v>
      </c>
      <c r="E605" s="18">
        <f t="shared" si="817"/>
        <v>10.56</v>
      </c>
      <c r="F605">
        <f t="shared" si="818"/>
        <v>3</v>
      </c>
      <c r="G605" s="18">
        <f>ROUND(INDEX(Valuation!U:U,MATCH(A605,Valuation!A:A,0)),2)</f>
        <v>103.41</v>
      </c>
      <c r="H605">
        <f t="shared" si="825"/>
        <v>0</v>
      </c>
      <c r="I605" s="18">
        <f>INDEX(WeeklyIndicators!Y:Y,MATCH(A605,WeeklyIndicators!A:A,0))</f>
        <v>140.91999999999999</v>
      </c>
      <c r="J605">
        <f t="shared" si="814"/>
        <v>1</v>
      </c>
      <c r="K605">
        <f>ROUND(INDEX(Economic!AF:AF,MATCH(EOMONTH($A605,-1),Economic!A:A,0)),2)</f>
        <v>119.97</v>
      </c>
      <c r="L605" s="11">
        <f t="shared" si="823"/>
        <v>1</v>
      </c>
      <c r="M605">
        <f>ROUND(INDEX(Manufacturing!P:P,MATCH(EOMONTH($A605,-1),Manufacturing!A:A,0)),2)</f>
        <v>79.52</v>
      </c>
      <c r="N605">
        <f t="shared" si="819"/>
        <v>-1</v>
      </c>
      <c r="O605">
        <f>ROUND(INDEX(Housing!AC:AC,MATCH(EOMONTH($A605,-1),Housing!B:B,0)),2)</f>
        <v>36.090000000000003</v>
      </c>
      <c r="P605">
        <f t="shared" si="820"/>
        <v>-3</v>
      </c>
      <c r="Q605">
        <f>ROUND(INDEX(Spending!AJ:AJ,MATCH(EOMONTH($A605,-1),Spending!B:B,0)),2)</f>
        <v>46.06</v>
      </c>
      <c r="R605">
        <f t="shared" si="824"/>
        <v>0</v>
      </c>
      <c r="S605">
        <f>ROUND(INDEX(Employment!V:V,MATCH(EOMONTH($A605,-1),Employment!A:A,0)),2)</f>
        <v>155.1</v>
      </c>
      <c r="T605" s="11">
        <f t="shared" si="821"/>
        <v>0</v>
      </c>
      <c r="U605">
        <f t="shared" si="813"/>
        <v>21</v>
      </c>
      <c r="V605">
        <f t="shared" si="805"/>
        <v>67.86</v>
      </c>
      <c r="W605" s="13">
        <f t="shared" si="806"/>
        <v>8.9999999999999998E-4</v>
      </c>
      <c r="X605" s="13">
        <f t="shared" si="807"/>
        <v>3.8599999999999995E-2</v>
      </c>
      <c r="Y605">
        <f t="shared" si="799"/>
        <v>70.02</v>
      </c>
      <c r="Z605" s="13">
        <f t="shared" si="794"/>
        <v>-2.9999999999999997E-4</v>
      </c>
      <c r="AA605" s="13">
        <f t="shared" si="790"/>
        <v>2.81E-2</v>
      </c>
      <c r="AB605" s="6">
        <f t="shared" si="800"/>
        <v>77.390999999999991</v>
      </c>
      <c r="AC605">
        <f t="shared" si="792"/>
        <v>39</v>
      </c>
      <c r="AD605" s="11">
        <f t="shared" si="793"/>
        <v>0</v>
      </c>
      <c r="AE605">
        <f t="shared" si="791"/>
        <v>23</v>
      </c>
      <c r="AF605">
        <f>IF(AND(AE605&lt;15,OR(AC605&gt;=30,AA605&gt;0.15,X605&gt;=0.15)),2,VLOOKUP(AE605,Table!P:Q,2,FALSE))</f>
        <v>3</v>
      </c>
      <c r="AG605" s="22">
        <f>IF((AB605*0.98)-(D605*0.8)+((AF605-3)*3)+VLOOKUP(AM605,Table!$A$11:$B$13,2,FALSE)&lt;0,0,(AB605*0.98)-(D605*0.8)+((AF605-3)*3)+VLOOKUP(AM605,Table!$A$11:$B$13,2,FALSE))</f>
        <v>74.939179999999993</v>
      </c>
      <c r="AH605" s="22">
        <f t="shared" si="822"/>
        <v>76</v>
      </c>
      <c r="AI605" s="18">
        <f t="shared" si="815"/>
        <v>4.92</v>
      </c>
      <c r="AJ605" s="18">
        <f t="shared" si="816"/>
        <v>4.88</v>
      </c>
      <c r="AK605" t="str">
        <f t="shared" si="801"/>
        <v/>
      </c>
      <c r="AL605">
        <f t="shared" si="812"/>
        <v>22.5</v>
      </c>
      <c r="AM605" s="11" t="str">
        <f t="shared" si="802"/>
        <v>Stocks</v>
      </c>
      <c r="AN605" t="str">
        <f t="shared" si="808"/>
        <v>Buy</v>
      </c>
      <c r="AO605" s="13">
        <f t="shared" si="809"/>
        <v>1.84E-2</v>
      </c>
      <c r="AP605" s="13">
        <f t="shared" si="810"/>
        <v>1E-3</v>
      </c>
      <c r="AQ605" s="13">
        <f t="shared" si="811"/>
        <v>1.4200000000000001E-2</v>
      </c>
      <c r="AR605" s="13">
        <f t="shared" si="803"/>
        <v>1.84E-2</v>
      </c>
      <c r="AS605" s="6">
        <f t="shared" si="795"/>
        <v>354.27395725028958</v>
      </c>
      <c r="AT605" s="6">
        <f t="shared" si="796"/>
        <v>176.04295099341851</v>
      </c>
      <c r="AU605" s="6">
        <f t="shared" si="797"/>
        <v>399.00697074821966</v>
      </c>
      <c r="AV605" s="6">
        <f t="shared" si="798"/>
        <v>501.48231123527586</v>
      </c>
      <c r="AW605" s="58">
        <f t="shared" si="804"/>
        <v>2007</v>
      </c>
      <c r="AX605" s="58">
        <f>COUNTIF(AW$3:AW605,AW605)</f>
        <v>49</v>
      </c>
    </row>
    <row r="606" spans="1:50" x14ac:dyDescent="0.25">
      <c r="A606" s="5">
        <v>39103</v>
      </c>
      <c r="B606">
        <v>1430.5</v>
      </c>
      <c r="C606">
        <v>4.99</v>
      </c>
      <c r="D606" s="6">
        <v>10.4</v>
      </c>
      <c r="E606" s="18">
        <f t="shared" si="817"/>
        <v>10.9</v>
      </c>
      <c r="F606">
        <f t="shared" si="818"/>
        <v>3</v>
      </c>
      <c r="G606" s="18">
        <f>ROUND(INDEX(Valuation!U:U,MATCH(A606,Valuation!A:A,0)),2)</f>
        <v>105.27</v>
      </c>
      <c r="H606">
        <f t="shared" si="825"/>
        <v>0</v>
      </c>
      <c r="I606" s="18">
        <f>INDEX(WeeklyIndicators!Y:Y,MATCH(A606,WeeklyIndicators!A:A,0))</f>
        <v>143.5</v>
      </c>
      <c r="J606">
        <f t="shared" si="814"/>
        <v>1</v>
      </c>
      <c r="K606">
        <f>ROUND(INDEX(Economic!AF:AF,MATCH(EOMONTH($A606,-1),Economic!A:A,0)),2)</f>
        <v>119.97</v>
      </c>
      <c r="L606" s="11">
        <f t="shared" si="823"/>
        <v>1</v>
      </c>
      <c r="M606">
        <f>ROUND(INDEX(Manufacturing!P:P,MATCH(EOMONTH($A606,-1),Manufacturing!A:A,0)),2)</f>
        <v>79.52</v>
      </c>
      <c r="N606">
        <f t="shared" si="819"/>
        <v>-1</v>
      </c>
      <c r="O606">
        <f>ROUND(INDEX(Housing!AC:AC,MATCH(EOMONTH($A606,-1),Housing!B:B,0)),2)</f>
        <v>36.090000000000003</v>
      </c>
      <c r="P606">
        <f t="shared" si="820"/>
        <v>-3</v>
      </c>
      <c r="Q606">
        <f>ROUND(INDEX(Spending!AJ:AJ,MATCH(EOMONTH($A606,-1),Spending!B:B,0)),2)</f>
        <v>46.06</v>
      </c>
      <c r="R606">
        <f t="shared" si="824"/>
        <v>0</v>
      </c>
      <c r="S606">
        <f>ROUND(INDEX(Employment!V:V,MATCH(EOMONTH($A606,-1),Employment!A:A,0)),2)</f>
        <v>155.1</v>
      </c>
      <c r="T606" s="11">
        <f t="shared" si="821"/>
        <v>0</v>
      </c>
      <c r="U606">
        <f t="shared" si="813"/>
        <v>21</v>
      </c>
      <c r="V606">
        <f t="shared" si="805"/>
        <v>68.12</v>
      </c>
      <c r="W606" s="13">
        <f t="shared" si="806"/>
        <v>8.3000000000000001E-3</v>
      </c>
      <c r="X606" s="13">
        <f t="shared" si="807"/>
        <v>5.0299999999999997E-2</v>
      </c>
      <c r="Y606">
        <f t="shared" si="799"/>
        <v>70.38</v>
      </c>
      <c r="Z606" s="13">
        <f t="shared" si="794"/>
        <v>5.5999999999999999E-3</v>
      </c>
      <c r="AA606" s="13">
        <f t="shared" si="790"/>
        <v>3.85E-2</v>
      </c>
      <c r="AB606" s="6">
        <f t="shared" si="800"/>
        <v>78.757000000000005</v>
      </c>
      <c r="AC606">
        <f t="shared" si="792"/>
        <v>39</v>
      </c>
      <c r="AD606" s="11">
        <f t="shared" si="793"/>
        <v>0</v>
      </c>
      <c r="AE606">
        <f t="shared" si="791"/>
        <v>23</v>
      </c>
      <c r="AF606">
        <f>IF(AND(AE606&lt;15,OR(AC606&gt;=30,AA606&gt;0.15,X606&gt;=0.15)),2,VLOOKUP(AE606,Table!P:Q,2,FALSE))</f>
        <v>3</v>
      </c>
      <c r="AG606" s="22">
        <f>IF((AB606*0.98)-(D606*0.8)+((AF606-3)*3)+VLOOKUP(AM606,Table!$A$11:$B$13,2,FALSE)&lt;0,0,(AB606*0.98)-(D606*0.8)+((AF606-3)*3)+VLOOKUP(AM606,Table!$A$11:$B$13,2,FALSE))</f>
        <v>76.861860000000007</v>
      </c>
      <c r="AH606" s="22">
        <f t="shared" si="822"/>
        <v>76</v>
      </c>
      <c r="AI606" s="18">
        <f t="shared" si="815"/>
        <v>4.92</v>
      </c>
      <c r="AJ606" s="18">
        <f t="shared" si="816"/>
        <v>4.87</v>
      </c>
      <c r="AK606" t="str">
        <f t="shared" si="801"/>
        <v/>
      </c>
      <c r="AL606">
        <f t="shared" si="812"/>
        <v>22.25</v>
      </c>
      <c r="AM606" s="11" t="str">
        <f t="shared" si="802"/>
        <v>Stocks</v>
      </c>
      <c r="AN606" t="str">
        <f t="shared" si="808"/>
        <v>Buy</v>
      </c>
      <c r="AO606" s="13">
        <f t="shared" si="809"/>
        <v>-5.7999999999999996E-3</v>
      </c>
      <c r="AP606" s="13">
        <f t="shared" si="810"/>
        <v>1E-3</v>
      </c>
      <c r="AQ606" s="13">
        <f t="shared" si="811"/>
        <v>-4.1999999999999997E-3</v>
      </c>
      <c r="AR606" s="13">
        <f t="shared" si="803"/>
        <v>-5.7999999999999996E-3</v>
      </c>
      <c r="AS606" s="6">
        <f t="shared" si="795"/>
        <v>356.34073350461637</v>
      </c>
      <c r="AT606" s="6">
        <f t="shared" si="796"/>
        <v>175.86708390950903</v>
      </c>
      <c r="AU606" s="6">
        <f t="shared" si="797"/>
        <v>400.68986819463714</v>
      </c>
      <c r="AV606" s="6">
        <f t="shared" si="798"/>
        <v>504.4078769214201</v>
      </c>
      <c r="AW606" s="58">
        <f t="shared" si="804"/>
        <v>2007</v>
      </c>
      <c r="AX606" s="58">
        <f>COUNTIF(AW$3:AW606,AW606)</f>
        <v>50</v>
      </c>
    </row>
    <row r="607" spans="1:50" x14ac:dyDescent="0.25">
      <c r="A607" s="5">
        <v>39096</v>
      </c>
      <c r="B607">
        <v>1430.73</v>
      </c>
      <c r="C607">
        <v>4.96</v>
      </c>
      <c r="D607" s="6">
        <v>10.15</v>
      </c>
      <c r="E607" s="18">
        <f t="shared" si="817"/>
        <v>11.28</v>
      </c>
      <c r="F607">
        <f t="shared" si="818"/>
        <v>2</v>
      </c>
      <c r="G607" s="18">
        <f>ROUND(INDEX(Valuation!U:U,MATCH(A607,Valuation!A:A,0)),2)</f>
        <v>107.12</v>
      </c>
      <c r="H607">
        <f t="shared" si="825"/>
        <v>0</v>
      </c>
      <c r="I607" s="18">
        <f>INDEX(WeeklyIndicators!Y:Y,MATCH(A607,WeeklyIndicators!A:A,0))</f>
        <v>143.09</v>
      </c>
      <c r="J607">
        <f t="shared" si="814"/>
        <v>1</v>
      </c>
      <c r="K607">
        <f>ROUND(INDEX(Economic!AF:AF,MATCH(EOMONTH($A607,-1),Economic!A:A,0)),2)</f>
        <v>119.97</v>
      </c>
      <c r="L607" s="11">
        <f t="shared" si="823"/>
        <v>1</v>
      </c>
      <c r="M607">
        <f>ROUND(INDEX(Manufacturing!P:P,MATCH(EOMONTH($A607,-1),Manufacturing!A:A,0)),2)</f>
        <v>79.52</v>
      </c>
      <c r="N607">
        <f t="shared" si="819"/>
        <v>-1</v>
      </c>
      <c r="O607">
        <f>ROUND(INDEX(Housing!AC:AC,MATCH(EOMONTH($A607,-1),Housing!B:B,0)),2)</f>
        <v>36.090000000000003</v>
      </c>
      <c r="P607">
        <f t="shared" si="820"/>
        <v>-3</v>
      </c>
      <c r="Q607">
        <f>ROUND(INDEX(Spending!AJ:AJ,MATCH(EOMONTH($A607,-1),Spending!B:B,0)),2)</f>
        <v>46.06</v>
      </c>
      <c r="R607">
        <f t="shared" si="824"/>
        <v>0</v>
      </c>
      <c r="S607">
        <f>ROUND(INDEX(Employment!V:V,MATCH(EOMONTH($A607,-1),Employment!A:A,0)),2)</f>
        <v>155.1</v>
      </c>
      <c r="T607" s="11">
        <f t="shared" si="821"/>
        <v>0</v>
      </c>
      <c r="U607">
        <f t="shared" si="813"/>
        <v>20</v>
      </c>
      <c r="V607">
        <f t="shared" si="805"/>
        <v>68.08</v>
      </c>
      <c r="W607" s="13">
        <f t="shared" si="806"/>
        <v>1.37E-2</v>
      </c>
      <c r="X607" s="13">
        <f t="shared" si="807"/>
        <v>4.9499999999999995E-2</v>
      </c>
      <c r="Y607">
        <f t="shared" si="799"/>
        <v>70.41</v>
      </c>
      <c r="Z607" s="13">
        <f t="shared" si="794"/>
        <v>1.0699999999999999E-2</v>
      </c>
      <c r="AA607" s="13">
        <f t="shared" si="790"/>
        <v>3.5799999999999998E-2</v>
      </c>
      <c r="AB607" s="6">
        <f t="shared" si="800"/>
        <v>78.781999999999996</v>
      </c>
      <c r="AC607">
        <f t="shared" si="792"/>
        <v>39</v>
      </c>
      <c r="AD607" s="11">
        <f t="shared" si="793"/>
        <v>0</v>
      </c>
      <c r="AE607">
        <f t="shared" si="791"/>
        <v>22</v>
      </c>
      <c r="AF607">
        <f>IF(AND(AE607&lt;15,OR(AC607&gt;=30,AA607&gt;0.15,X607&gt;=0.15)),2,VLOOKUP(AE607,Table!P:Q,2,FALSE))</f>
        <v>3</v>
      </c>
      <c r="AG607" s="22">
        <f>IF((AB607*0.98)-(D607*0.8)+((AF607-3)*3)+VLOOKUP(AM607,Table!$A$11:$B$13,2,FALSE)&lt;0,0,(AB607*0.98)-(D607*0.8)+((AF607-3)*3)+VLOOKUP(AM607,Table!$A$11:$B$13,2,FALSE))</f>
        <v>77.086359999999985</v>
      </c>
      <c r="AH607" s="22">
        <f t="shared" si="822"/>
        <v>75</v>
      </c>
      <c r="AI607" s="18">
        <f t="shared" si="815"/>
        <v>4.92</v>
      </c>
      <c r="AJ607" s="18">
        <f t="shared" si="816"/>
        <v>4.8600000000000003</v>
      </c>
      <c r="AK607" t="str">
        <f t="shared" si="801"/>
        <v/>
      </c>
      <c r="AL607">
        <f t="shared" si="812"/>
        <v>21.75</v>
      </c>
      <c r="AM607" s="11" t="str">
        <f t="shared" si="802"/>
        <v>Stocks</v>
      </c>
      <c r="AN607" t="str">
        <f t="shared" si="808"/>
        <v>Buy</v>
      </c>
      <c r="AO607" s="13">
        <f t="shared" si="809"/>
        <v>-2.0000000000000001E-4</v>
      </c>
      <c r="AP607" s="13">
        <f t="shared" si="810"/>
        <v>1E-3</v>
      </c>
      <c r="AQ607" s="13">
        <f t="shared" si="811"/>
        <v>1E-4</v>
      </c>
      <c r="AR607" s="13">
        <f t="shared" si="803"/>
        <v>-2.0000000000000001E-4</v>
      </c>
      <c r="AS607" s="6">
        <f t="shared" si="795"/>
        <v>356.41201590779792</v>
      </c>
      <c r="AT607" s="6">
        <f t="shared" si="796"/>
        <v>175.69139251699207</v>
      </c>
      <c r="AU607" s="6">
        <f t="shared" si="797"/>
        <v>400.64980321431574</v>
      </c>
      <c r="AV607" s="6">
        <f t="shared" si="798"/>
        <v>504.50877867715553</v>
      </c>
      <c r="AW607" s="58">
        <f t="shared" si="804"/>
        <v>2007</v>
      </c>
      <c r="AX607" s="58">
        <f>COUNTIF(AW$3:AW607,AW607)</f>
        <v>51</v>
      </c>
    </row>
    <row r="608" spans="1:50" x14ac:dyDescent="0.25">
      <c r="A608" s="5">
        <v>39089</v>
      </c>
      <c r="B608">
        <v>1409.71</v>
      </c>
      <c r="C608">
        <v>4.92</v>
      </c>
      <c r="D608" s="6">
        <v>12.14</v>
      </c>
      <c r="E608" s="18">
        <f t="shared" si="817"/>
        <v>11.69</v>
      </c>
      <c r="F608">
        <f t="shared" si="818"/>
        <v>2</v>
      </c>
      <c r="G608" s="18">
        <f>ROUND(INDEX(Valuation!U:U,MATCH(A608,Valuation!A:A,0)),2)</f>
        <v>109.03</v>
      </c>
      <c r="H608">
        <f t="shared" si="825"/>
        <v>0</v>
      </c>
      <c r="I608" s="18">
        <f>INDEX(WeeklyIndicators!Y:Y,MATCH(A608,WeeklyIndicators!A:A,0))</f>
        <v>139.21</v>
      </c>
      <c r="J608">
        <f t="shared" si="814"/>
        <v>1</v>
      </c>
      <c r="K608">
        <f>ROUND(INDEX(Economic!AF:AF,MATCH(EOMONTH($A608,-1),Economic!A:A,0)),2)</f>
        <v>119.97</v>
      </c>
      <c r="L608" s="11">
        <f t="shared" si="823"/>
        <v>1</v>
      </c>
      <c r="M608">
        <f>ROUND(INDEX(Manufacturing!P:P,MATCH(EOMONTH($A608,-1),Manufacturing!A:A,0)),2)</f>
        <v>79.52</v>
      </c>
      <c r="N608">
        <f t="shared" si="819"/>
        <v>-1</v>
      </c>
      <c r="O608">
        <f>ROUND(INDEX(Housing!AC:AC,MATCH(EOMONTH($A608,-1),Housing!B:B,0)),2)</f>
        <v>36.090000000000003</v>
      </c>
      <c r="P608">
        <f t="shared" si="820"/>
        <v>-3</v>
      </c>
      <c r="Q608">
        <f>ROUND(INDEX(Spending!AJ:AJ,MATCH(EOMONTH($A608,-1),Spending!B:B,0)),2)</f>
        <v>46.06</v>
      </c>
      <c r="R608">
        <f t="shared" si="824"/>
        <v>0</v>
      </c>
      <c r="S608">
        <f>ROUND(INDEX(Employment!V:V,MATCH(EOMONTH($A608,-1),Employment!A:A,0)),2)</f>
        <v>155.1</v>
      </c>
      <c r="T608" s="11">
        <f t="shared" si="821"/>
        <v>0</v>
      </c>
      <c r="U608">
        <f t="shared" si="813"/>
        <v>20</v>
      </c>
      <c r="V608">
        <f t="shared" si="805"/>
        <v>67.680000000000007</v>
      </c>
      <c r="W608" s="13">
        <f t="shared" si="806"/>
        <v>1.5699999999999999E-2</v>
      </c>
      <c r="X608" s="13">
        <f t="shared" si="807"/>
        <v>4.19E-2</v>
      </c>
      <c r="Y608">
        <f t="shared" si="799"/>
        <v>70.08</v>
      </c>
      <c r="Z608" s="13">
        <f t="shared" si="794"/>
        <v>1.21E-2</v>
      </c>
      <c r="AA608" s="13">
        <f t="shared" si="790"/>
        <v>2.5299999999999996E-2</v>
      </c>
      <c r="AB608" s="6">
        <f t="shared" si="800"/>
        <v>77.853000000000009</v>
      </c>
      <c r="AC608">
        <f t="shared" si="792"/>
        <v>39</v>
      </c>
      <c r="AD608" s="11">
        <f t="shared" si="793"/>
        <v>0</v>
      </c>
      <c r="AE608">
        <f t="shared" si="791"/>
        <v>22</v>
      </c>
      <c r="AF608">
        <f>IF(AND(AE608&lt;15,OR(AC608&gt;=30,AA608&gt;0.15,X608&gt;=0.15)),2,VLOOKUP(AE608,Table!P:Q,2,FALSE))</f>
        <v>3</v>
      </c>
      <c r="AG608" s="22">
        <f>IF((AB608*0.98)-(D608*0.8)+((AF608-3)*3)+VLOOKUP(AM608,Table!$A$11:$B$13,2,FALSE)&lt;0,0,(AB608*0.98)-(D608*0.8)+((AF608-3)*3)+VLOOKUP(AM608,Table!$A$11:$B$13,2,FALSE))</f>
        <v>74.583939999999998</v>
      </c>
      <c r="AH608" s="22">
        <f t="shared" si="822"/>
        <v>73</v>
      </c>
      <c r="AI608" s="18">
        <f t="shared" si="815"/>
        <v>4.91</v>
      </c>
      <c r="AJ608" s="18">
        <f t="shared" si="816"/>
        <v>4.8499999999999996</v>
      </c>
      <c r="AK608" t="str">
        <f t="shared" si="801"/>
        <v/>
      </c>
      <c r="AL608">
        <f t="shared" si="812"/>
        <v>21.25</v>
      </c>
      <c r="AM608" s="11" t="str">
        <f t="shared" si="802"/>
        <v>Stocks</v>
      </c>
      <c r="AN608" t="str">
        <f t="shared" si="808"/>
        <v>Buy</v>
      </c>
      <c r="AO608" s="13">
        <f t="shared" si="809"/>
        <v>1.49E-2</v>
      </c>
      <c r="AP608" s="13">
        <f t="shared" si="810"/>
        <v>8.9999999999999998E-4</v>
      </c>
      <c r="AQ608" s="13">
        <f t="shared" si="811"/>
        <v>1.11E-2</v>
      </c>
      <c r="AR608" s="13">
        <f t="shared" si="803"/>
        <v>1.49E-2</v>
      </c>
      <c r="AS608" s="6">
        <f t="shared" si="795"/>
        <v>351.17944221873876</v>
      </c>
      <c r="AT608" s="6">
        <f t="shared" si="796"/>
        <v>175.53341244579087</v>
      </c>
      <c r="AU608" s="6">
        <f t="shared" si="797"/>
        <v>396.25141253517523</v>
      </c>
      <c r="AV608" s="6">
        <f t="shared" si="798"/>
        <v>497.10195948089029</v>
      </c>
      <c r="AW608" s="58">
        <f t="shared" si="804"/>
        <v>2007</v>
      </c>
      <c r="AX608" s="58">
        <f>COUNTIF(AW$3:AW608,AW608)</f>
        <v>52</v>
      </c>
    </row>
    <row r="609" spans="1:50" x14ac:dyDescent="0.25">
      <c r="A609" s="5">
        <v>39082</v>
      </c>
      <c r="B609">
        <v>1418.3</v>
      </c>
      <c r="C609">
        <v>4.87</v>
      </c>
      <c r="D609" s="6">
        <v>11.56</v>
      </c>
      <c r="E609" s="18">
        <f t="shared" si="817"/>
        <v>10.99</v>
      </c>
      <c r="F609">
        <f t="shared" si="818"/>
        <v>3</v>
      </c>
      <c r="G609" s="18">
        <f>ROUND(INDEX(Valuation!U:U,MATCH(A609,Valuation!A:A,0)),2)</f>
        <v>110.09</v>
      </c>
      <c r="H609">
        <f t="shared" si="825"/>
        <v>0</v>
      </c>
      <c r="I609" s="18">
        <f>INDEX(WeeklyIndicators!Y:Y,MATCH(A609,WeeklyIndicators!A:A,0))</f>
        <v>131.5</v>
      </c>
      <c r="J609">
        <f t="shared" si="814"/>
        <v>0</v>
      </c>
      <c r="K609">
        <f>ROUND(INDEX(Economic!AF:AF,MATCH(EOMONTH($A609,-1),Economic!A:A,0)),2)</f>
        <v>113.73</v>
      </c>
      <c r="L609" s="11">
        <f t="shared" si="823"/>
        <v>1</v>
      </c>
      <c r="M609">
        <f>ROUND(INDEX(Manufacturing!P:P,MATCH(EOMONTH($A609,-1),Manufacturing!A:A,0)),2)</f>
        <v>82.74</v>
      </c>
      <c r="N609">
        <f t="shared" si="819"/>
        <v>-1</v>
      </c>
      <c r="O609">
        <f>ROUND(INDEX(Housing!AC:AC,MATCH(EOMONTH($A609,-1),Housing!B:B,0)),2)</f>
        <v>32.57</v>
      </c>
      <c r="P609">
        <f t="shared" si="820"/>
        <v>-3</v>
      </c>
      <c r="Q609">
        <f>ROUND(INDEX(Spending!AJ:AJ,MATCH(EOMONTH($A609,-1),Spending!B:B,0)),2)</f>
        <v>49.73</v>
      </c>
      <c r="R609">
        <f t="shared" si="824"/>
        <v>0</v>
      </c>
      <c r="S609">
        <f>ROUND(INDEX(Employment!V:V,MATCH(EOMONTH($A609,-1),Employment!A:A,0)),2)</f>
        <v>154.08000000000001</v>
      </c>
      <c r="T609" s="11">
        <f t="shared" si="821"/>
        <v>0</v>
      </c>
      <c r="U609">
        <f t="shared" si="813"/>
        <v>20</v>
      </c>
      <c r="V609">
        <f t="shared" si="805"/>
        <v>66.44</v>
      </c>
      <c r="W609" s="13">
        <f t="shared" si="806"/>
        <v>1.26E-2</v>
      </c>
      <c r="X609" s="13">
        <f t="shared" si="807"/>
        <v>2.4300000000000002E-2</v>
      </c>
      <c r="Y609">
        <f t="shared" si="799"/>
        <v>69.2</v>
      </c>
      <c r="Z609" s="13">
        <f t="shared" si="794"/>
        <v>1.01E-2</v>
      </c>
      <c r="AA609" s="13">
        <f t="shared" si="790"/>
        <v>5.5999999999999999E-3</v>
      </c>
      <c r="AB609" s="6">
        <f t="shared" si="800"/>
        <v>75.539000000000001</v>
      </c>
      <c r="AC609">
        <f t="shared" si="792"/>
        <v>38</v>
      </c>
      <c r="AD609" s="11">
        <f t="shared" si="793"/>
        <v>0</v>
      </c>
      <c r="AE609">
        <f t="shared" si="791"/>
        <v>22</v>
      </c>
      <c r="AF609">
        <f>IF(AND(AE609&lt;15,OR(AC609&gt;=30,AA609&gt;0.15,X609&gt;=0.15)),2,VLOOKUP(AE609,Table!P:Q,2,FALSE))</f>
        <v>3</v>
      </c>
      <c r="AG609" s="22">
        <f>IF((AB609*0.98)-(D609*0.8)+((AF609-3)*3)+VLOOKUP(AM609,Table!$A$11:$B$13,2,FALSE)&lt;0,0,(AB609*0.98)-(D609*0.8)+((AF609-3)*3)+VLOOKUP(AM609,Table!$A$11:$B$13,2,FALSE))</f>
        <v>72.78022</v>
      </c>
      <c r="AH609" s="22">
        <f t="shared" si="822"/>
        <v>71</v>
      </c>
      <c r="AI609" s="18">
        <f t="shared" si="815"/>
        <v>4.9000000000000004</v>
      </c>
      <c r="AJ609" s="18">
        <f t="shared" si="816"/>
        <v>4.84</v>
      </c>
      <c r="AK609" t="str">
        <f t="shared" si="801"/>
        <v/>
      </c>
      <c r="AL609">
        <f t="shared" si="812"/>
        <v>20.75</v>
      </c>
      <c r="AM609" s="11" t="str">
        <f t="shared" si="802"/>
        <v>Stocks</v>
      </c>
      <c r="AN609" t="str">
        <f t="shared" si="808"/>
        <v>Buy</v>
      </c>
      <c r="AO609" s="13">
        <f t="shared" si="809"/>
        <v>-6.1000000000000004E-3</v>
      </c>
      <c r="AP609" s="13">
        <f t="shared" si="810"/>
        <v>8.9999999999999998E-4</v>
      </c>
      <c r="AQ609" s="13">
        <f t="shared" si="811"/>
        <v>-4.1000000000000003E-3</v>
      </c>
      <c r="AR609" s="13">
        <f t="shared" si="803"/>
        <v>-6.1000000000000004E-3</v>
      </c>
      <c r="AS609" s="6">
        <f t="shared" si="795"/>
        <v>353.33478440360074</v>
      </c>
      <c r="AT609" s="6">
        <f t="shared" si="796"/>
        <v>175.37557442880495</v>
      </c>
      <c r="AU609" s="6">
        <f t="shared" si="797"/>
        <v>397.88273173528989</v>
      </c>
      <c r="AV609" s="6">
        <f t="shared" si="798"/>
        <v>500.1528921228396</v>
      </c>
      <c r="AW609" s="58">
        <f t="shared" si="804"/>
        <v>2006</v>
      </c>
      <c r="AX609" s="58">
        <f>COUNTIF(AW$3:AW609,AW609)</f>
        <v>1</v>
      </c>
    </row>
    <row r="610" spans="1:50" x14ac:dyDescent="0.25">
      <c r="A610" s="5">
        <v>39075</v>
      </c>
      <c r="B610">
        <v>1410.76</v>
      </c>
      <c r="C610">
        <v>4.84</v>
      </c>
      <c r="D610" s="6">
        <v>11.36</v>
      </c>
      <c r="E610" s="18">
        <f t="shared" si="817"/>
        <v>11.16</v>
      </c>
      <c r="F610">
        <f t="shared" si="818"/>
        <v>2</v>
      </c>
      <c r="G610" s="18">
        <f>ROUND(INDEX(Valuation!U:U,MATCH(A610,Valuation!A:A,0)),2)</f>
        <v>111.44</v>
      </c>
      <c r="H610">
        <f t="shared" si="825"/>
        <v>0</v>
      </c>
      <c r="I610" s="18">
        <f>INDEX(WeeklyIndicators!Y:Y,MATCH(A610,WeeklyIndicators!A:A,0))</f>
        <v>120.97</v>
      </c>
      <c r="J610">
        <f t="shared" si="814"/>
        <v>0</v>
      </c>
      <c r="K610">
        <f>ROUND(INDEX(Economic!AF:AF,MATCH(EOMONTH($A610,-1),Economic!A:A,0)),2)</f>
        <v>113.73</v>
      </c>
      <c r="L610" s="11">
        <f t="shared" si="823"/>
        <v>1</v>
      </c>
      <c r="M610">
        <f>ROUND(INDEX(Manufacturing!P:P,MATCH(EOMONTH($A610,-1),Manufacturing!A:A,0)),2)</f>
        <v>82.74</v>
      </c>
      <c r="N610">
        <f t="shared" si="819"/>
        <v>-1</v>
      </c>
      <c r="O610">
        <f>ROUND(INDEX(Housing!AC:AC,MATCH(EOMONTH($A610,-1),Housing!B:B,0)),2)</f>
        <v>32.57</v>
      </c>
      <c r="P610">
        <f t="shared" si="820"/>
        <v>-3</v>
      </c>
      <c r="Q610">
        <f>ROUND(INDEX(Spending!AJ:AJ,MATCH(EOMONTH($A610,-1),Spending!B:B,0)),2)</f>
        <v>49.73</v>
      </c>
      <c r="R610">
        <f t="shared" si="824"/>
        <v>0</v>
      </c>
      <c r="S610">
        <f>ROUND(INDEX(Employment!V:V,MATCH(EOMONTH($A610,-1),Employment!A:A,0)),2)</f>
        <v>154.08000000000001</v>
      </c>
      <c r="T610" s="11">
        <f t="shared" si="821"/>
        <v>0</v>
      </c>
      <c r="U610">
        <f t="shared" si="813"/>
        <v>19</v>
      </c>
      <c r="V610">
        <f t="shared" si="805"/>
        <v>65.349999999999994</v>
      </c>
      <c r="W610" s="13">
        <f t="shared" si="806"/>
        <v>7.4999999999999997E-3</v>
      </c>
      <c r="X610" s="13">
        <f t="shared" si="807"/>
        <v>3.6000000000000008E-3</v>
      </c>
      <c r="Y610">
        <f t="shared" si="799"/>
        <v>68.2</v>
      </c>
      <c r="Z610" s="13">
        <f t="shared" si="794"/>
        <v>2.8999999999999998E-3</v>
      </c>
      <c r="AA610" s="13">
        <f t="shared" si="790"/>
        <v>-1.4500000000000001E-2</v>
      </c>
      <c r="AB610" s="6">
        <f t="shared" si="800"/>
        <v>73.084000000000003</v>
      </c>
      <c r="AC610">
        <f t="shared" si="792"/>
        <v>37</v>
      </c>
      <c r="AD610" s="11">
        <f t="shared" si="793"/>
        <v>0</v>
      </c>
      <c r="AE610">
        <f t="shared" si="791"/>
        <v>21</v>
      </c>
      <c r="AF610">
        <f>IF(AND(AE610&lt;15,OR(AC610&gt;=30,AA610&gt;0.15,X610&gt;=0.15)),2,VLOOKUP(AE610,Table!P:Q,2,FALSE))</f>
        <v>3</v>
      </c>
      <c r="AG610" s="22">
        <f>IF((AB610*0.98)-(D610*0.8)+((AF610-3)*3)+VLOOKUP(AM610,Table!$A$11:$B$13,2,FALSE)&lt;0,0,(AB610*0.98)-(D610*0.8)+((AF610-3)*3)+VLOOKUP(AM610,Table!$A$11:$B$13,2,FALSE))</f>
        <v>70.534320000000008</v>
      </c>
      <c r="AH610" s="22">
        <f t="shared" si="822"/>
        <v>69</v>
      </c>
      <c r="AI610" s="18">
        <f t="shared" si="815"/>
        <v>4.8899999999999997</v>
      </c>
      <c r="AJ610" s="18">
        <f t="shared" si="816"/>
        <v>4.83</v>
      </c>
      <c r="AK610" t="str">
        <f t="shared" si="801"/>
        <v/>
      </c>
      <c r="AL610">
        <f t="shared" si="812"/>
        <v>20.5</v>
      </c>
      <c r="AM610" s="11" t="str">
        <f t="shared" si="802"/>
        <v>Stocks</v>
      </c>
      <c r="AN610" t="str">
        <f t="shared" si="808"/>
        <v>Buy</v>
      </c>
      <c r="AO610" s="13">
        <f t="shared" si="809"/>
        <v>5.3E-3</v>
      </c>
      <c r="AP610" s="13">
        <f t="shared" si="810"/>
        <v>8.9999999999999998E-4</v>
      </c>
      <c r="AQ610" s="13">
        <f t="shared" si="811"/>
        <v>3.8999999999999998E-3</v>
      </c>
      <c r="AR610" s="13">
        <f t="shared" si="803"/>
        <v>5.3E-3</v>
      </c>
      <c r="AS610" s="6">
        <f t="shared" si="795"/>
        <v>351.47198289426115</v>
      </c>
      <c r="AT610" s="6">
        <f t="shared" si="796"/>
        <v>175.21787833830049</v>
      </c>
      <c r="AU610" s="6">
        <f t="shared" si="797"/>
        <v>396.33701736755643</v>
      </c>
      <c r="AV610" s="6">
        <f t="shared" si="798"/>
        <v>497.51605702063023</v>
      </c>
      <c r="AW610" s="58">
        <f t="shared" si="804"/>
        <v>2006</v>
      </c>
      <c r="AX610" s="58">
        <f>COUNTIF(AW$3:AW610,AW610)</f>
        <v>2</v>
      </c>
    </row>
    <row r="611" spans="1:50" x14ac:dyDescent="0.25">
      <c r="A611" s="5">
        <v>39068</v>
      </c>
      <c r="B611">
        <v>1427.09</v>
      </c>
      <c r="C611">
        <v>4.8099999999999996</v>
      </c>
      <c r="D611" s="6">
        <v>10.050000000000001</v>
      </c>
      <c r="E611" s="18">
        <f t="shared" si="817"/>
        <v>11.26</v>
      </c>
      <c r="F611">
        <f t="shared" si="818"/>
        <v>2</v>
      </c>
      <c r="G611" s="18">
        <f>ROUND(INDEX(Valuation!U:U,MATCH(A611,Valuation!A:A,0)),2)</f>
        <v>113.04</v>
      </c>
      <c r="H611">
        <f t="shared" si="825"/>
        <v>0</v>
      </c>
      <c r="I611" s="18">
        <f>INDEX(WeeklyIndicators!Y:Y,MATCH(A611,WeeklyIndicators!A:A,0))</f>
        <v>113.76</v>
      </c>
      <c r="J611">
        <f t="shared" si="814"/>
        <v>-1</v>
      </c>
      <c r="K611">
        <f>ROUND(INDEX(Economic!AF:AF,MATCH(EOMONTH($A611,-1),Economic!A:A,0)),2)</f>
        <v>113.73</v>
      </c>
      <c r="L611" s="11">
        <f t="shared" si="823"/>
        <v>1</v>
      </c>
      <c r="M611">
        <f>ROUND(INDEX(Manufacturing!P:P,MATCH(EOMONTH($A611,-1),Manufacturing!A:A,0)),2)</f>
        <v>82.74</v>
      </c>
      <c r="N611">
        <f t="shared" si="819"/>
        <v>-1</v>
      </c>
      <c r="O611">
        <f>ROUND(INDEX(Housing!AC:AC,MATCH(EOMONTH($A611,-1),Housing!B:B,0)),2)</f>
        <v>32.57</v>
      </c>
      <c r="P611">
        <f t="shared" si="820"/>
        <v>-3</v>
      </c>
      <c r="Q611">
        <f>ROUND(INDEX(Spending!AJ:AJ,MATCH(EOMONTH($A611,-1),Spending!B:B,0)),2)</f>
        <v>49.73</v>
      </c>
      <c r="R611">
        <f t="shared" si="824"/>
        <v>0</v>
      </c>
      <c r="S611">
        <f>ROUND(INDEX(Employment!V:V,MATCH(EOMONTH($A611,-1),Employment!A:A,0)),2)</f>
        <v>154.08000000000001</v>
      </c>
      <c r="T611" s="11">
        <f t="shared" si="821"/>
        <v>0</v>
      </c>
      <c r="U611">
        <f t="shared" si="813"/>
        <v>18</v>
      </c>
      <c r="V611">
        <f t="shared" si="805"/>
        <v>64.599999999999994</v>
      </c>
      <c r="W611" s="13">
        <f t="shared" si="806"/>
        <v>6.1000000000000004E-3</v>
      </c>
      <c r="X611" s="13">
        <f t="shared" si="807"/>
        <v>-2.0699999999999996E-2</v>
      </c>
      <c r="Y611">
        <f t="shared" si="799"/>
        <v>67.59</v>
      </c>
      <c r="Z611" s="13">
        <f t="shared" si="794"/>
        <v>2.0000000000000001E-4</v>
      </c>
      <c r="AA611" s="13">
        <f t="shared" si="790"/>
        <v>-3.3699999999999994E-2</v>
      </c>
      <c r="AB611" s="6">
        <f t="shared" si="800"/>
        <v>71.084000000000003</v>
      </c>
      <c r="AC611">
        <f t="shared" si="792"/>
        <v>36</v>
      </c>
      <c r="AD611" s="11">
        <f t="shared" si="793"/>
        <v>0</v>
      </c>
      <c r="AE611">
        <f t="shared" si="791"/>
        <v>20</v>
      </c>
      <c r="AF611">
        <f>IF(AND(AE611&lt;15,OR(AC611&gt;=30,AA611&gt;0.15,X611&gt;=0.15)),2,VLOOKUP(AE611,Table!P:Q,2,FALSE))</f>
        <v>3</v>
      </c>
      <c r="AG611" s="22">
        <f>IF((AB611*0.98)-(D611*0.8)+((AF611-3)*3)+VLOOKUP(AM611,Table!$A$11:$B$13,2,FALSE)&lt;0,0,(AB611*0.98)-(D611*0.8)+((AF611-3)*3)+VLOOKUP(AM611,Table!$A$11:$B$13,2,FALSE))</f>
        <v>69.622320000000002</v>
      </c>
      <c r="AH611" s="22">
        <f t="shared" si="822"/>
        <v>68</v>
      </c>
      <c r="AI611" s="18">
        <f t="shared" si="815"/>
        <v>4.8899999999999997</v>
      </c>
      <c r="AJ611" s="18">
        <f t="shared" si="816"/>
        <v>4.82</v>
      </c>
      <c r="AK611" t="str">
        <f t="shared" si="801"/>
        <v/>
      </c>
      <c r="AL611">
        <f t="shared" si="812"/>
        <v>21</v>
      </c>
      <c r="AM611" s="11" t="str">
        <f t="shared" si="802"/>
        <v>Stocks</v>
      </c>
      <c r="AN611" t="str">
        <f t="shared" si="808"/>
        <v>Buy</v>
      </c>
      <c r="AO611" s="13">
        <f t="shared" si="809"/>
        <v>-1.14E-2</v>
      </c>
      <c r="AP611" s="13">
        <f t="shared" si="810"/>
        <v>8.9999999999999998E-4</v>
      </c>
      <c r="AQ611" s="13">
        <f t="shared" si="811"/>
        <v>-7.4999999999999997E-3</v>
      </c>
      <c r="AR611" s="13">
        <f t="shared" si="803"/>
        <v>-1.14E-2</v>
      </c>
      <c r="AS611" s="6">
        <f t="shared" si="795"/>
        <v>355.52496752403516</v>
      </c>
      <c r="AT611" s="6">
        <f t="shared" si="796"/>
        <v>175.06032404665851</v>
      </c>
      <c r="AU611" s="6">
        <f t="shared" si="797"/>
        <v>399.33200742323066</v>
      </c>
      <c r="AV611" s="6">
        <f t="shared" si="798"/>
        <v>503.25314284911008</v>
      </c>
      <c r="AW611" s="58">
        <f t="shared" si="804"/>
        <v>2006</v>
      </c>
      <c r="AX611" s="58">
        <f>COUNTIF(AW$3:AW611,AW611)</f>
        <v>3</v>
      </c>
    </row>
    <row r="612" spans="1:50" x14ac:dyDescent="0.25">
      <c r="A612" s="5">
        <v>39061</v>
      </c>
      <c r="B612">
        <v>1409.84</v>
      </c>
      <c r="C612">
        <v>4.8600000000000003</v>
      </c>
      <c r="D612" s="6">
        <v>12.07</v>
      </c>
      <c r="E612" s="18">
        <f t="shared" si="817"/>
        <v>11.49</v>
      </c>
      <c r="F612">
        <f t="shared" si="818"/>
        <v>2</v>
      </c>
      <c r="G612" s="18">
        <f>ROUND(INDEX(Valuation!U:U,MATCH(A612,Valuation!A:A,0)),2)</f>
        <v>115.13</v>
      </c>
      <c r="H612">
        <f t="shared" si="825"/>
        <v>0</v>
      </c>
      <c r="I612" s="18">
        <f>INDEX(WeeklyIndicators!Y:Y,MATCH(A612,WeeklyIndicators!A:A,0))</f>
        <v>108</v>
      </c>
      <c r="J612">
        <f t="shared" si="814"/>
        <v>-1</v>
      </c>
      <c r="K612">
        <f>ROUND(INDEX(Economic!AF:AF,MATCH(EOMONTH($A612,-1),Economic!A:A,0)),2)</f>
        <v>113.73</v>
      </c>
      <c r="L612" s="11">
        <f t="shared" si="823"/>
        <v>1</v>
      </c>
      <c r="M612">
        <f>ROUND(INDEX(Manufacturing!P:P,MATCH(EOMONTH($A612,-1),Manufacturing!A:A,0)),2)</f>
        <v>82.74</v>
      </c>
      <c r="N612">
        <f t="shared" si="819"/>
        <v>-1</v>
      </c>
      <c r="O612">
        <f>ROUND(INDEX(Housing!AC:AC,MATCH(EOMONTH($A612,-1),Housing!B:B,0)),2)</f>
        <v>32.57</v>
      </c>
      <c r="P612">
        <f t="shared" si="820"/>
        <v>-3</v>
      </c>
      <c r="Q612">
        <f>ROUND(INDEX(Spending!AJ:AJ,MATCH(EOMONTH($A612,-1),Spending!B:B,0)),2)</f>
        <v>49.73</v>
      </c>
      <c r="R612">
        <f t="shared" si="824"/>
        <v>0</v>
      </c>
      <c r="S612">
        <f>ROUND(INDEX(Employment!V:V,MATCH(EOMONTH($A612,-1),Employment!A:A,0)),2)</f>
        <v>154.08000000000001</v>
      </c>
      <c r="T612" s="11">
        <f t="shared" si="821"/>
        <v>0</v>
      </c>
      <c r="U612">
        <f t="shared" si="813"/>
        <v>18</v>
      </c>
      <c r="V612">
        <f t="shared" si="805"/>
        <v>64</v>
      </c>
      <c r="W612" s="13">
        <f t="shared" si="806"/>
        <v>-1.9E-3</v>
      </c>
      <c r="X612" s="13">
        <f t="shared" si="807"/>
        <v>-4.4699999999999997E-2</v>
      </c>
      <c r="Y612">
        <f t="shared" si="799"/>
        <v>67.150000000000006</v>
      </c>
      <c r="Z612" s="13">
        <f t="shared" si="794"/>
        <v>-7.6E-3</v>
      </c>
      <c r="AA612" s="13">
        <f t="shared" si="790"/>
        <v>-5.0299999999999997E-2</v>
      </c>
      <c r="AB612" s="6">
        <f t="shared" si="800"/>
        <v>69.483000000000004</v>
      </c>
      <c r="AC612">
        <f t="shared" si="792"/>
        <v>35</v>
      </c>
      <c r="AD612" s="11">
        <f t="shared" si="793"/>
        <v>0</v>
      </c>
      <c r="AE612">
        <f t="shared" si="791"/>
        <v>20</v>
      </c>
      <c r="AF612">
        <f>IF(AND(AE612&lt;15,OR(AC612&gt;=30,AA612&gt;0.15,X612&gt;=0.15)),2,VLOOKUP(AE612,Table!P:Q,2,FALSE))</f>
        <v>3</v>
      </c>
      <c r="AG612" s="22">
        <f>IF((AB612*0.98)-(D612*0.8)+((AF612-3)*3)+VLOOKUP(AM612,Table!$A$11:$B$13,2,FALSE)&lt;0,0,(AB612*0.98)-(D612*0.8)+((AF612-3)*3)+VLOOKUP(AM612,Table!$A$11:$B$13,2,FALSE))</f>
        <v>66.437340000000006</v>
      </c>
      <c r="AH612" s="22">
        <f t="shared" si="822"/>
        <v>67</v>
      </c>
      <c r="AI612" s="18">
        <f t="shared" si="815"/>
        <v>4.8899999999999997</v>
      </c>
      <c r="AJ612" s="18">
        <f t="shared" si="816"/>
        <v>4.8099999999999996</v>
      </c>
      <c r="AK612" t="str">
        <f t="shared" si="801"/>
        <v/>
      </c>
      <c r="AL612">
        <f t="shared" si="812"/>
        <v>21.75</v>
      </c>
      <c r="AM612" s="11" t="str">
        <f t="shared" si="802"/>
        <v>Stocks</v>
      </c>
      <c r="AN612" t="str">
        <f t="shared" si="808"/>
        <v>Buy</v>
      </c>
      <c r="AO612" s="13">
        <f t="shared" si="809"/>
        <v>1.2200000000000001E-2</v>
      </c>
      <c r="AP612" s="13">
        <f t="shared" si="810"/>
        <v>8.9999999999999998E-4</v>
      </c>
      <c r="AQ612" s="13">
        <f t="shared" si="811"/>
        <v>8.5000000000000006E-3</v>
      </c>
      <c r="AR612" s="13">
        <f t="shared" si="803"/>
        <v>1.2200000000000001E-2</v>
      </c>
      <c r="AS612" s="6">
        <f t="shared" si="795"/>
        <v>351.2398414582446</v>
      </c>
      <c r="AT612" s="6">
        <f t="shared" si="796"/>
        <v>174.9029114263748</v>
      </c>
      <c r="AU612" s="6">
        <f t="shared" si="797"/>
        <v>395.96629392486932</v>
      </c>
      <c r="AV612" s="6">
        <f t="shared" si="798"/>
        <v>497.18745588728518</v>
      </c>
      <c r="AW612" s="58">
        <f t="shared" si="804"/>
        <v>2006</v>
      </c>
      <c r="AX612" s="58">
        <f>COUNTIF(AW$3:AW612,AW612)</f>
        <v>4</v>
      </c>
    </row>
    <row r="613" spans="1:50" x14ac:dyDescent="0.25">
      <c r="A613" s="5">
        <v>39054</v>
      </c>
      <c r="B613">
        <v>1396.71</v>
      </c>
      <c r="C613">
        <v>4.91</v>
      </c>
      <c r="D613" s="6">
        <v>11.66</v>
      </c>
      <c r="E613" s="18">
        <f t="shared" si="817"/>
        <v>10.81</v>
      </c>
      <c r="F613">
        <f t="shared" si="818"/>
        <v>3</v>
      </c>
      <c r="G613" s="18">
        <f>ROUND(INDEX(Valuation!U:U,MATCH(A613,Valuation!A:A,0)),2)</f>
        <v>118.06</v>
      </c>
      <c r="H613">
        <f t="shared" si="825"/>
        <v>0</v>
      </c>
      <c r="I613" s="18">
        <f>INDEX(WeeklyIndicators!Y:Y,MATCH(A613,WeeklyIndicators!A:A,0))</f>
        <v>107.1</v>
      </c>
      <c r="J613">
        <f t="shared" si="814"/>
        <v>-1</v>
      </c>
      <c r="K613">
        <f>ROUND(INDEX(Economic!AF:AF,MATCH(EOMONTH($A613,-1),Economic!A:A,0)),2)</f>
        <v>113.73</v>
      </c>
      <c r="L613" s="11">
        <f t="shared" si="823"/>
        <v>1</v>
      </c>
      <c r="M613">
        <f>ROUND(INDEX(Manufacturing!P:P,MATCH(EOMONTH($A613,-1),Manufacturing!A:A,0)),2)</f>
        <v>82.74</v>
      </c>
      <c r="N613">
        <f t="shared" si="819"/>
        <v>-1</v>
      </c>
      <c r="O613">
        <f>ROUND(INDEX(Housing!AC:AC,MATCH(EOMONTH($A613,-1),Housing!B:B,0)),2)</f>
        <v>32.57</v>
      </c>
      <c r="P613">
        <f t="shared" si="820"/>
        <v>-3</v>
      </c>
      <c r="Q613">
        <f>ROUND(INDEX(Spending!AJ:AJ,MATCH(EOMONTH($A613,-1),Spending!B:B,0)),2)</f>
        <v>49.73</v>
      </c>
      <c r="R613">
        <f t="shared" si="824"/>
        <v>0</v>
      </c>
      <c r="S613">
        <f>ROUND(INDEX(Employment!V:V,MATCH(EOMONTH($A613,-1),Employment!A:A,0)),2)</f>
        <v>154.08000000000001</v>
      </c>
      <c r="T613" s="11">
        <f t="shared" si="821"/>
        <v>0</v>
      </c>
      <c r="U613">
        <f t="shared" si="813"/>
        <v>19</v>
      </c>
      <c r="V613">
        <f t="shared" si="805"/>
        <v>63.91</v>
      </c>
      <c r="W613" s="13">
        <f t="shared" si="806"/>
        <v>-8.0999999999999996E-3</v>
      </c>
      <c r="X613" s="13">
        <f t="shared" si="807"/>
        <v>-6.0699999999999997E-2</v>
      </c>
      <c r="Y613">
        <f t="shared" si="799"/>
        <v>67.62</v>
      </c>
      <c r="Z613" s="13">
        <f t="shared" si="794"/>
        <v>-0.01</v>
      </c>
      <c r="AA613" s="13">
        <f t="shared" si="790"/>
        <v>-6.1400000000000003E-2</v>
      </c>
      <c r="AB613" s="6">
        <f t="shared" si="800"/>
        <v>69.335999999999999</v>
      </c>
      <c r="AC613">
        <f t="shared" si="792"/>
        <v>35</v>
      </c>
      <c r="AD613" s="11">
        <f t="shared" si="793"/>
        <v>0</v>
      </c>
      <c r="AE613">
        <f t="shared" si="791"/>
        <v>21</v>
      </c>
      <c r="AF613">
        <f>IF(AND(AE613&lt;15,OR(AC613&gt;=30,AA613&gt;0.15,X613&gt;=0.15)),2,VLOOKUP(AE613,Table!P:Q,2,FALSE))</f>
        <v>3</v>
      </c>
      <c r="AG613" s="22">
        <f>IF((AB613*0.98)-(D613*0.8)+((AF613-3)*3)+VLOOKUP(AM613,Table!$A$11:$B$13,2,FALSE)&lt;0,0,(AB613*0.98)-(D613*0.8)+((AF613-3)*3)+VLOOKUP(AM613,Table!$A$11:$B$13,2,FALSE))</f>
        <v>66.621279999999999</v>
      </c>
      <c r="AH613" s="22">
        <f t="shared" si="822"/>
        <v>68</v>
      </c>
      <c r="AI613" s="18">
        <f t="shared" si="815"/>
        <v>4.8899999999999997</v>
      </c>
      <c r="AJ613" s="18">
        <f t="shared" si="816"/>
        <v>4.8</v>
      </c>
      <c r="AK613" t="str">
        <f t="shared" si="801"/>
        <v/>
      </c>
      <c r="AL613">
        <f t="shared" si="812"/>
        <v>22.75</v>
      </c>
      <c r="AM613" s="11" t="str">
        <f t="shared" si="802"/>
        <v>Stocks</v>
      </c>
      <c r="AN613" t="str">
        <f t="shared" si="808"/>
        <v>Buy</v>
      </c>
      <c r="AO613" s="13">
        <f t="shared" si="809"/>
        <v>9.4000000000000004E-3</v>
      </c>
      <c r="AP613" s="13">
        <f t="shared" si="810"/>
        <v>8.9999999999999998E-4</v>
      </c>
      <c r="AQ613" s="13">
        <f t="shared" si="811"/>
        <v>6.7000000000000002E-3</v>
      </c>
      <c r="AR613" s="13">
        <f t="shared" si="803"/>
        <v>9.4000000000000004E-3</v>
      </c>
      <c r="AS613" s="6">
        <f t="shared" si="795"/>
        <v>347.96893348349965</v>
      </c>
      <c r="AT613" s="6">
        <f t="shared" si="796"/>
        <v>174.74564035005977</v>
      </c>
      <c r="AU613" s="6">
        <f t="shared" si="797"/>
        <v>393.33097638310255</v>
      </c>
      <c r="AV613" s="6">
        <f t="shared" si="798"/>
        <v>492.5574161752379</v>
      </c>
      <c r="AW613" s="58">
        <f t="shared" si="804"/>
        <v>2006</v>
      </c>
      <c r="AX613" s="58">
        <f>COUNTIF(AW$3:AW613,AW613)</f>
        <v>5</v>
      </c>
    </row>
    <row r="614" spans="1:50" x14ac:dyDescent="0.25">
      <c r="A614" s="5">
        <v>39047</v>
      </c>
      <c r="B614">
        <v>1400.95</v>
      </c>
      <c r="C614">
        <v>4.93</v>
      </c>
      <c r="D614" s="6">
        <v>10.73</v>
      </c>
      <c r="E614" s="18">
        <f t="shared" si="817"/>
        <v>10.52</v>
      </c>
      <c r="F614">
        <f t="shared" si="818"/>
        <v>3</v>
      </c>
      <c r="G614" s="18">
        <f>ROUND(INDEX(Valuation!U:U,MATCH(A614,Valuation!A:A,0)),2)</f>
        <v>120.75</v>
      </c>
      <c r="H614">
        <f t="shared" si="825"/>
        <v>1</v>
      </c>
      <c r="I614" s="18">
        <f>INDEX(WeeklyIndicators!Y:Y,MATCH(A614,WeeklyIndicators!A:A,0))</f>
        <v>110.32</v>
      </c>
      <c r="J614">
        <f t="shared" si="814"/>
        <v>-1</v>
      </c>
      <c r="K614">
        <f>ROUND(INDEX(Economic!AF:AF,MATCH(EOMONTH($A614,-1),Economic!A:A,0)),2)</f>
        <v>104.36</v>
      </c>
      <c r="L614" s="11">
        <f t="shared" si="823"/>
        <v>0</v>
      </c>
      <c r="M614">
        <f>ROUND(INDEX(Manufacturing!P:P,MATCH(EOMONTH($A614,-1),Manufacturing!A:A,0)),2)</f>
        <v>84.96</v>
      </c>
      <c r="N614">
        <f t="shared" si="819"/>
        <v>0</v>
      </c>
      <c r="O614">
        <f>ROUND(INDEX(Housing!AC:AC,MATCH(EOMONTH($A614,-1),Housing!B:B,0)),2)</f>
        <v>31.75</v>
      </c>
      <c r="P614">
        <f t="shared" si="820"/>
        <v>-3</v>
      </c>
      <c r="Q614">
        <f>ROUND(INDEX(Spending!AJ:AJ,MATCH(EOMONTH($A614,-1),Spending!B:B,0)),2)</f>
        <v>51.81</v>
      </c>
      <c r="R614">
        <f t="shared" si="824"/>
        <v>1</v>
      </c>
      <c r="S614">
        <f>ROUND(INDEX(Employment!V:V,MATCH(EOMONTH($A614,-1),Employment!A:A,0)),2)</f>
        <v>155.09</v>
      </c>
      <c r="T614" s="11">
        <f t="shared" si="821"/>
        <v>0</v>
      </c>
      <c r="U614">
        <f t="shared" si="813"/>
        <v>21</v>
      </c>
      <c r="V614">
        <f t="shared" si="805"/>
        <v>63.44</v>
      </c>
      <c r="W614" s="13">
        <f t="shared" si="806"/>
        <v>-1.6799999999999999E-2</v>
      </c>
      <c r="X614" s="13">
        <f t="shared" si="807"/>
        <v>-6.6399999999999987E-2</v>
      </c>
      <c r="Y614">
        <f t="shared" si="799"/>
        <v>67.55</v>
      </c>
      <c r="Z614" s="13">
        <f t="shared" si="794"/>
        <v>-1.6299999999999999E-2</v>
      </c>
      <c r="AA614" s="13">
        <f t="shared" si="790"/>
        <v>-6.7000000000000004E-2</v>
      </c>
      <c r="AB614" s="6">
        <f t="shared" si="800"/>
        <v>69.085000000000008</v>
      </c>
      <c r="AC614">
        <f t="shared" si="792"/>
        <v>35</v>
      </c>
      <c r="AD614" s="11">
        <f t="shared" si="793"/>
        <v>0</v>
      </c>
      <c r="AE614">
        <f t="shared" si="791"/>
        <v>23</v>
      </c>
      <c r="AF614">
        <f>IF(AND(AE614&lt;15,OR(AC614&gt;=30,AA614&gt;0.15,X614&gt;=0.15)),2,VLOOKUP(AE614,Table!P:Q,2,FALSE))</f>
        <v>3</v>
      </c>
      <c r="AG614" s="22">
        <f>IF((AB614*0.98)-(D614*0.8)+((AF614-3)*3)+VLOOKUP(AM614,Table!$A$11:$B$13,2,FALSE)&lt;0,0,(AB614*0.98)-(D614*0.8)+((AF614-3)*3)+VLOOKUP(AM614,Table!$A$11:$B$13,2,FALSE))</f>
        <v>67.11930000000001</v>
      </c>
      <c r="AH614" s="22">
        <f t="shared" si="822"/>
        <v>69</v>
      </c>
      <c r="AI614" s="18">
        <f t="shared" si="815"/>
        <v>4.8899999999999997</v>
      </c>
      <c r="AJ614" s="18">
        <f t="shared" si="816"/>
        <v>4.79</v>
      </c>
      <c r="AK614" t="str">
        <f t="shared" si="801"/>
        <v/>
      </c>
      <c r="AL614">
        <f t="shared" si="812"/>
        <v>23.75</v>
      </c>
      <c r="AM614" s="11" t="str">
        <f t="shared" si="802"/>
        <v>Stocks</v>
      </c>
      <c r="AN614" t="str">
        <f t="shared" si="808"/>
        <v>Buy</v>
      </c>
      <c r="AO614" s="13">
        <f t="shared" si="809"/>
        <v>-3.0000000000000001E-3</v>
      </c>
      <c r="AP614" s="13">
        <f t="shared" si="810"/>
        <v>8.9999999999999998E-4</v>
      </c>
      <c r="AQ614" s="13">
        <f t="shared" si="811"/>
        <v>-1.8E-3</v>
      </c>
      <c r="AR614" s="13">
        <f t="shared" si="803"/>
        <v>-3.0000000000000001E-3</v>
      </c>
      <c r="AS614" s="6">
        <f t="shared" si="795"/>
        <v>349.015981427783</v>
      </c>
      <c r="AT614" s="6">
        <f t="shared" si="796"/>
        <v>174.5885106904384</v>
      </c>
      <c r="AU614" s="6">
        <f t="shared" si="797"/>
        <v>394.04024883099834</v>
      </c>
      <c r="AV614" s="6">
        <f t="shared" si="798"/>
        <v>494.03953477957663</v>
      </c>
      <c r="AW614" s="58">
        <f t="shared" si="804"/>
        <v>2006</v>
      </c>
      <c r="AX614" s="58">
        <f>COUNTIF(AW$3:AW614,AW614)</f>
        <v>6</v>
      </c>
    </row>
    <row r="615" spans="1:50" x14ac:dyDescent="0.25">
      <c r="A615" s="5">
        <v>39040</v>
      </c>
      <c r="B615">
        <v>1401.2</v>
      </c>
      <c r="C615">
        <v>4.96</v>
      </c>
      <c r="D615" s="6">
        <v>10.050000000000001</v>
      </c>
      <c r="E615" s="18">
        <f t="shared" si="817"/>
        <v>10.67</v>
      </c>
      <c r="F615">
        <f t="shared" si="818"/>
        <v>3</v>
      </c>
      <c r="G615" s="18">
        <f>ROUND(INDEX(Valuation!U:U,MATCH(A615,Valuation!A:A,0)),2)</f>
        <v>123.35</v>
      </c>
      <c r="H615">
        <f t="shared" si="825"/>
        <v>1</v>
      </c>
      <c r="I615" s="18">
        <f>INDEX(WeeklyIndicators!Y:Y,MATCH(A615,WeeklyIndicators!A:A,0))</f>
        <v>119.11</v>
      </c>
      <c r="J615">
        <f t="shared" si="814"/>
        <v>-1</v>
      </c>
      <c r="K615">
        <f>ROUND(INDEX(Economic!AF:AF,MATCH(EOMONTH($A615,-1),Economic!A:A,0)),2)</f>
        <v>104.36</v>
      </c>
      <c r="L615" s="11">
        <f t="shared" si="823"/>
        <v>0</v>
      </c>
      <c r="M615">
        <f>ROUND(INDEX(Manufacturing!P:P,MATCH(EOMONTH($A615,-1),Manufacturing!A:A,0)),2)</f>
        <v>84.96</v>
      </c>
      <c r="N615">
        <f t="shared" si="819"/>
        <v>0</v>
      </c>
      <c r="O615">
        <f>ROUND(INDEX(Housing!AC:AC,MATCH(EOMONTH($A615,-1),Housing!B:B,0)),2)</f>
        <v>31.75</v>
      </c>
      <c r="P615">
        <f t="shared" si="820"/>
        <v>-3</v>
      </c>
      <c r="Q615">
        <f>ROUND(INDEX(Spending!AJ:AJ,MATCH(EOMONTH($A615,-1),Spending!B:B,0)),2)</f>
        <v>51.81</v>
      </c>
      <c r="R615">
        <f t="shared" si="824"/>
        <v>1</v>
      </c>
      <c r="S615">
        <f>ROUND(INDEX(Employment!V:V,MATCH(EOMONTH($A615,-1),Employment!A:A,0)),2)</f>
        <v>155.09</v>
      </c>
      <c r="T615" s="11">
        <f t="shared" si="821"/>
        <v>0</v>
      </c>
      <c r="U615">
        <f t="shared" si="813"/>
        <v>21</v>
      </c>
      <c r="V615">
        <f t="shared" si="805"/>
        <v>64.36</v>
      </c>
      <c r="W615" s="13">
        <f t="shared" si="806"/>
        <v>-1.7899999999999999E-2</v>
      </c>
      <c r="X615" s="13">
        <f t="shared" si="807"/>
        <v>-5.5E-2</v>
      </c>
      <c r="Y615">
        <f t="shared" si="799"/>
        <v>68.7</v>
      </c>
      <c r="Z615" s="13">
        <f t="shared" si="794"/>
        <v>-1.6400000000000001E-2</v>
      </c>
      <c r="AA615" s="13">
        <f t="shared" si="790"/>
        <v>-5.8900000000000008E-2</v>
      </c>
      <c r="AB615" s="6">
        <f t="shared" si="800"/>
        <v>71.184999999999988</v>
      </c>
      <c r="AC615">
        <f t="shared" si="792"/>
        <v>36</v>
      </c>
      <c r="AD615" s="11">
        <f t="shared" si="793"/>
        <v>0</v>
      </c>
      <c r="AE615">
        <f t="shared" si="791"/>
        <v>23</v>
      </c>
      <c r="AF615">
        <f>IF(AND(AE615&lt;15,OR(AC615&gt;=30,AA615&gt;0.15,X615&gt;=0.15)),2,VLOOKUP(AE615,Table!P:Q,2,FALSE))</f>
        <v>3</v>
      </c>
      <c r="AG615" s="22">
        <f>IF((AB615*0.98)-(D615*0.8)+((AF615-3)*3)+VLOOKUP(AM615,Table!$A$11:$B$13,2,FALSE)&lt;0,0,(AB615*0.98)-(D615*0.8)+((AF615-3)*3)+VLOOKUP(AM615,Table!$A$11:$B$13,2,FALSE))</f>
        <v>69.721299999999985</v>
      </c>
      <c r="AH615" s="22">
        <f t="shared" si="822"/>
        <v>72</v>
      </c>
      <c r="AI615" s="18">
        <f t="shared" si="815"/>
        <v>4.8899999999999997</v>
      </c>
      <c r="AJ615" s="18">
        <f t="shared" si="816"/>
        <v>4.78</v>
      </c>
      <c r="AK615" t="str">
        <f t="shared" si="801"/>
        <v>Rising Rates</v>
      </c>
      <c r="AL615">
        <f t="shared" si="812"/>
        <v>24.25</v>
      </c>
      <c r="AM615" s="11" t="str">
        <f t="shared" si="802"/>
        <v>Stocks</v>
      </c>
      <c r="AN615" t="str">
        <f t="shared" si="808"/>
        <v>Buy</v>
      </c>
      <c r="AO615" s="13">
        <f t="shared" si="809"/>
        <v>-2.0000000000000001E-4</v>
      </c>
      <c r="AP615" s="13">
        <f t="shared" si="810"/>
        <v>1E-3</v>
      </c>
      <c r="AQ615" s="13">
        <f t="shared" si="811"/>
        <v>1E-4</v>
      </c>
      <c r="AR615" s="13">
        <f t="shared" si="803"/>
        <v>-2.0000000000000001E-4</v>
      </c>
      <c r="AS615" s="6">
        <f t="shared" si="795"/>
        <v>349.08579858750051</v>
      </c>
      <c r="AT615" s="6">
        <f t="shared" si="796"/>
        <v>174.41409659384456</v>
      </c>
      <c r="AU615" s="6">
        <f t="shared" si="797"/>
        <v>394.00084874612372</v>
      </c>
      <c r="AV615" s="6">
        <f t="shared" si="798"/>
        <v>494.13836245206704</v>
      </c>
      <c r="AW615" s="58">
        <f t="shared" si="804"/>
        <v>2006</v>
      </c>
      <c r="AX615" s="58">
        <f>COUNTIF(AW$3:AW615,AW615)</f>
        <v>7</v>
      </c>
    </row>
    <row r="616" spans="1:50" x14ac:dyDescent="0.25">
      <c r="A616" s="5">
        <v>39033</v>
      </c>
      <c r="B616">
        <v>1380.9</v>
      </c>
      <c r="C616">
        <v>4.96</v>
      </c>
      <c r="D616" s="6">
        <v>10.79</v>
      </c>
      <c r="E616" s="18">
        <f t="shared" si="817"/>
        <v>10.92</v>
      </c>
      <c r="F616">
        <f t="shared" si="818"/>
        <v>3</v>
      </c>
      <c r="G616" s="18">
        <f>ROUND(INDEX(Valuation!U:U,MATCH(A616,Valuation!A:A,0)),2)</f>
        <v>122.83</v>
      </c>
      <c r="H616">
        <f t="shared" si="825"/>
        <v>1</v>
      </c>
      <c r="I616" s="18">
        <f>INDEX(WeeklyIndicators!Y:Y,MATCH(A616,WeeklyIndicators!A:A,0))</f>
        <v>129.97</v>
      </c>
      <c r="J616">
        <f t="shared" si="814"/>
        <v>0</v>
      </c>
      <c r="K616">
        <f>ROUND(INDEX(Economic!AF:AF,MATCH(EOMONTH($A616,-1),Economic!A:A,0)),2)</f>
        <v>104.36</v>
      </c>
      <c r="L616" s="11">
        <f t="shared" si="823"/>
        <v>0</v>
      </c>
      <c r="M616">
        <f>ROUND(INDEX(Manufacturing!P:P,MATCH(EOMONTH($A616,-1),Manufacturing!A:A,0)),2)</f>
        <v>84.96</v>
      </c>
      <c r="N616">
        <f t="shared" si="819"/>
        <v>0</v>
      </c>
      <c r="O616">
        <f>ROUND(INDEX(Housing!AC:AC,MATCH(EOMONTH($A616,-1),Housing!B:B,0)),2)</f>
        <v>31.75</v>
      </c>
      <c r="P616">
        <f t="shared" si="820"/>
        <v>-3</v>
      </c>
      <c r="Q616">
        <f>ROUND(INDEX(Spending!AJ:AJ,MATCH(EOMONTH($A616,-1),Spending!B:B,0)),2)</f>
        <v>51.81</v>
      </c>
      <c r="R616">
        <f t="shared" si="824"/>
        <v>1</v>
      </c>
      <c r="S616">
        <f>ROUND(INDEX(Employment!V:V,MATCH(EOMONTH($A616,-1),Employment!A:A,0)),2)</f>
        <v>155.09</v>
      </c>
      <c r="T616" s="11">
        <f t="shared" si="821"/>
        <v>0</v>
      </c>
      <c r="U616">
        <f t="shared" si="813"/>
        <v>22</v>
      </c>
      <c r="V616">
        <f t="shared" si="805"/>
        <v>65.48</v>
      </c>
      <c r="W616" s="13">
        <f t="shared" si="806"/>
        <v>-1.7899999999999999E-2</v>
      </c>
      <c r="X616" s="13">
        <f t="shared" si="807"/>
        <v>-3.0800000000000001E-2</v>
      </c>
      <c r="Y616">
        <f t="shared" si="799"/>
        <v>69.680000000000007</v>
      </c>
      <c r="Z616" s="13">
        <f t="shared" si="794"/>
        <v>-1.8700000000000001E-2</v>
      </c>
      <c r="AA616" s="13">
        <f t="shared" si="790"/>
        <v>-3.8999999999999993E-2</v>
      </c>
      <c r="AB616" s="6">
        <f t="shared" si="800"/>
        <v>73.722999999999999</v>
      </c>
      <c r="AC616">
        <f t="shared" si="792"/>
        <v>37</v>
      </c>
      <c r="AD616" s="11">
        <f t="shared" si="793"/>
        <v>0</v>
      </c>
      <c r="AE616">
        <f t="shared" si="791"/>
        <v>24</v>
      </c>
      <c r="AF616">
        <f>IF(AND(AE616&lt;15,OR(AC616&gt;=30,AA616&gt;0.15,X616&gt;=0.15)),2,VLOOKUP(AE616,Table!P:Q,2,FALSE))</f>
        <v>3</v>
      </c>
      <c r="AG616" s="22">
        <f>IF((AB616*0.98)-(D616*0.8)+((AF616-3)*3)+VLOOKUP(AM616,Table!$A$11:$B$13,2,FALSE)&lt;0,0,(AB616*0.98)-(D616*0.8)+((AF616-3)*3)+VLOOKUP(AM616,Table!$A$11:$B$13,2,FALSE))</f>
        <v>71.616539999999986</v>
      </c>
      <c r="AH616" s="22">
        <f t="shared" si="822"/>
        <v>75</v>
      </c>
      <c r="AI616" s="18">
        <f t="shared" si="815"/>
        <v>4.9000000000000004</v>
      </c>
      <c r="AJ616" s="18">
        <f t="shared" si="816"/>
        <v>4.7699999999999996</v>
      </c>
      <c r="AK616" t="str">
        <f t="shared" si="801"/>
        <v>Rising Rates</v>
      </c>
      <c r="AL616">
        <f t="shared" si="812"/>
        <v>25</v>
      </c>
      <c r="AM616" s="11" t="str">
        <f t="shared" si="802"/>
        <v>Stocks</v>
      </c>
      <c r="AN616" t="str">
        <f t="shared" si="808"/>
        <v>Buy</v>
      </c>
      <c r="AO616" s="13">
        <f t="shared" si="809"/>
        <v>1.47E-2</v>
      </c>
      <c r="AP616" s="13">
        <f t="shared" si="810"/>
        <v>1E-3</v>
      </c>
      <c r="AQ616" s="13">
        <f t="shared" si="811"/>
        <v>1.1299999999999999E-2</v>
      </c>
      <c r="AR616" s="13">
        <f t="shared" si="803"/>
        <v>1.47E-2</v>
      </c>
      <c r="AS616" s="6">
        <f t="shared" si="795"/>
        <v>344.02857848378881</v>
      </c>
      <c r="AT616" s="6">
        <f t="shared" si="796"/>
        <v>174.23985673710749</v>
      </c>
      <c r="AU616" s="6">
        <f t="shared" si="797"/>
        <v>389.59838697332509</v>
      </c>
      <c r="AV616" s="6">
        <f t="shared" si="798"/>
        <v>486.97975998035582</v>
      </c>
      <c r="AW616" s="58">
        <f t="shared" si="804"/>
        <v>2006</v>
      </c>
      <c r="AX616" s="58">
        <f>COUNTIF(AW$3:AW616,AW616)</f>
        <v>8</v>
      </c>
    </row>
    <row r="617" spans="1:50" x14ac:dyDescent="0.25">
      <c r="A617" s="5">
        <v>39026</v>
      </c>
      <c r="B617">
        <v>1364.3</v>
      </c>
      <c r="C617">
        <v>4.95</v>
      </c>
      <c r="D617" s="6">
        <v>11.16</v>
      </c>
      <c r="E617" s="18">
        <f t="shared" si="817"/>
        <v>10.86</v>
      </c>
      <c r="F617">
        <f t="shared" si="818"/>
        <v>3</v>
      </c>
      <c r="G617" s="18">
        <f>ROUND(INDEX(Valuation!U:U,MATCH(A617,Valuation!A:A,0)),2)</f>
        <v>122.92</v>
      </c>
      <c r="H617">
        <f t="shared" si="825"/>
        <v>1</v>
      </c>
      <c r="I617" s="18">
        <f>INDEX(WeeklyIndicators!Y:Y,MATCH(A617,WeeklyIndicators!A:A,0))</f>
        <v>142.07</v>
      </c>
      <c r="J617">
        <f t="shared" si="814"/>
        <v>1</v>
      </c>
      <c r="K617">
        <f>ROUND(INDEX(Economic!AF:AF,MATCH(EOMONTH($A617,-1),Economic!A:A,0)),2)</f>
        <v>104.36</v>
      </c>
      <c r="L617" s="11">
        <f t="shared" si="823"/>
        <v>0</v>
      </c>
      <c r="M617">
        <f>ROUND(INDEX(Manufacturing!P:P,MATCH(EOMONTH($A617,-1),Manufacturing!A:A,0)),2)</f>
        <v>84.96</v>
      </c>
      <c r="N617">
        <f t="shared" si="819"/>
        <v>0</v>
      </c>
      <c r="O617">
        <f>ROUND(INDEX(Housing!AC:AC,MATCH(EOMONTH($A617,-1),Housing!B:B,0)),2)</f>
        <v>31.75</v>
      </c>
      <c r="P617">
        <f t="shared" si="820"/>
        <v>-3</v>
      </c>
      <c r="Q617">
        <f>ROUND(INDEX(Spending!AJ:AJ,MATCH(EOMONTH($A617,-1),Spending!B:B,0)),2)</f>
        <v>51.81</v>
      </c>
      <c r="R617">
        <f t="shared" si="824"/>
        <v>1</v>
      </c>
      <c r="S617">
        <f>ROUND(INDEX(Employment!V:V,MATCH(EOMONTH($A617,-1),Employment!A:A,0)),2)</f>
        <v>155.09</v>
      </c>
      <c r="T617" s="11">
        <f t="shared" si="821"/>
        <v>0</v>
      </c>
      <c r="U617">
        <f t="shared" si="813"/>
        <v>23</v>
      </c>
      <c r="V617">
        <f t="shared" si="805"/>
        <v>66.739999999999995</v>
      </c>
      <c r="W617" s="13">
        <f t="shared" si="806"/>
        <v>-1.38E-2</v>
      </c>
      <c r="X617" s="13">
        <f t="shared" si="807"/>
        <v>-6.0000000000000157E-4</v>
      </c>
      <c r="Y617">
        <f t="shared" si="799"/>
        <v>70.97</v>
      </c>
      <c r="Z617" s="13">
        <f t="shared" si="794"/>
        <v>-1.5599999999999999E-2</v>
      </c>
      <c r="AA617" s="13">
        <f t="shared" si="790"/>
        <v>-1.1000000000000003E-2</v>
      </c>
      <c r="AB617" s="6">
        <f t="shared" si="800"/>
        <v>77.242000000000004</v>
      </c>
      <c r="AC617">
        <f t="shared" si="792"/>
        <v>39</v>
      </c>
      <c r="AD617" s="11">
        <f t="shared" si="793"/>
        <v>0</v>
      </c>
      <c r="AE617">
        <f t="shared" si="791"/>
        <v>25</v>
      </c>
      <c r="AF617">
        <f>IF(AND(AE617&lt;15,OR(AC617&gt;=30,AA617&gt;0.15,X617&gt;=0.15)),2,VLOOKUP(AE617,Table!P:Q,2,FALSE))</f>
        <v>3</v>
      </c>
      <c r="AG617" s="22">
        <f>IF((AB617*0.98)-(D617*0.8)+((AF617-3)*3)+VLOOKUP(AM617,Table!$A$11:$B$13,2,FALSE)&lt;0,0,(AB617*0.98)-(D617*0.8)+((AF617-3)*3)+VLOOKUP(AM617,Table!$A$11:$B$13,2,FALSE))</f>
        <v>74.769159999999999</v>
      </c>
      <c r="AH617" s="22">
        <f t="shared" si="822"/>
        <v>79</v>
      </c>
      <c r="AI617" s="18">
        <f t="shared" si="815"/>
        <v>4.8899999999999997</v>
      </c>
      <c r="AJ617" s="18">
        <f t="shared" si="816"/>
        <v>4.75</v>
      </c>
      <c r="AK617" t="str">
        <f t="shared" si="801"/>
        <v>Rising Rates</v>
      </c>
      <c r="AL617">
        <f t="shared" si="812"/>
        <v>25.5</v>
      </c>
      <c r="AM617" s="11" t="str">
        <f t="shared" si="802"/>
        <v>Stocks</v>
      </c>
      <c r="AN617" t="str">
        <f t="shared" si="808"/>
        <v>Buy</v>
      </c>
      <c r="AO617" s="13">
        <f t="shared" si="809"/>
        <v>1.2200000000000001E-2</v>
      </c>
      <c r="AP617" s="13">
        <f t="shared" si="810"/>
        <v>1E-3</v>
      </c>
      <c r="AQ617" s="13">
        <f t="shared" si="811"/>
        <v>9.7999999999999997E-3</v>
      </c>
      <c r="AR617" s="13">
        <f t="shared" si="803"/>
        <v>1.2200000000000001E-2</v>
      </c>
      <c r="AS617" s="6">
        <f t="shared" si="795"/>
        <v>339.88201786582573</v>
      </c>
      <c r="AT617" s="6">
        <f t="shared" si="796"/>
        <v>174.06579094616134</v>
      </c>
      <c r="AU617" s="6">
        <f t="shared" si="797"/>
        <v>385.81737668184303</v>
      </c>
      <c r="AV617" s="6">
        <f t="shared" si="798"/>
        <v>481.11021535304866</v>
      </c>
      <c r="AW617" s="58">
        <f t="shared" si="804"/>
        <v>2006</v>
      </c>
      <c r="AX617" s="58">
        <f>COUNTIF(AW$3:AW617,AW617)</f>
        <v>9</v>
      </c>
    </row>
    <row r="618" spans="1:50" x14ac:dyDescent="0.25">
      <c r="A618" s="5">
        <v>39019</v>
      </c>
      <c r="B618">
        <v>1377.34</v>
      </c>
      <c r="C618">
        <v>4.99</v>
      </c>
      <c r="D618" s="6">
        <v>10.8</v>
      </c>
      <c r="E618" s="18">
        <f t="shared" si="817"/>
        <v>10.73</v>
      </c>
      <c r="F618">
        <f t="shared" si="818"/>
        <v>3</v>
      </c>
      <c r="G618" s="18">
        <f>ROUND(INDEX(Valuation!U:U,MATCH(A618,Valuation!A:A,0)),2)</f>
        <v>122.81</v>
      </c>
      <c r="H618">
        <f t="shared" si="825"/>
        <v>1</v>
      </c>
      <c r="I618" s="18">
        <f>INDEX(WeeklyIndicators!Y:Y,MATCH(A618,WeeklyIndicators!A:A,0))</f>
        <v>155.13</v>
      </c>
      <c r="J618">
        <f t="shared" si="814"/>
        <v>2</v>
      </c>
      <c r="K618">
        <f>ROUND(INDEX(Economic!AF:AF,MATCH(EOMONTH($A618,-1),Economic!A:A,0)),2)</f>
        <v>98.03</v>
      </c>
      <c r="L618" s="11">
        <f t="shared" si="823"/>
        <v>-1</v>
      </c>
      <c r="M618">
        <f>ROUND(INDEX(Manufacturing!P:P,MATCH(EOMONTH($A618,-1),Manufacturing!A:A,0)),2)</f>
        <v>86.12</v>
      </c>
      <c r="N618">
        <f t="shared" si="819"/>
        <v>0</v>
      </c>
      <c r="O618">
        <f>ROUND(INDEX(Housing!AC:AC,MATCH(EOMONTH($A618,-1),Housing!B:B,0)),2)</f>
        <v>35.799999999999997</v>
      </c>
      <c r="P618">
        <f t="shared" si="820"/>
        <v>-3</v>
      </c>
      <c r="Q618">
        <f>ROUND(INDEX(Spending!AJ:AJ,MATCH(EOMONTH($A618,-1),Spending!B:B,0)),2)</f>
        <v>53.54</v>
      </c>
      <c r="R618">
        <f t="shared" si="824"/>
        <v>1</v>
      </c>
      <c r="S618">
        <f>ROUND(INDEX(Employment!V:V,MATCH(EOMONTH($A618,-1),Employment!A:A,0)),2)</f>
        <v>156.85</v>
      </c>
      <c r="T618" s="11">
        <f t="shared" si="821"/>
        <v>0</v>
      </c>
      <c r="U618">
        <f t="shared" si="813"/>
        <v>23</v>
      </c>
      <c r="V618">
        <f t="shared" si="805"/>
        <v>67.94</v>
      </c>
      <c r="W618" s="13">
        <f t="shared" si="806"/>
        <v>-5.4000000000000003E-3</v>
      </c>
      <c r="X618" s="13">
        <f t="shared" si="807"/>
        <v>2.58E-2</v>
      </c>
      <c r="Y618">
        <f t="shared" si="799"/>
        <v>72.2</v>
      </c>
      <c r="Z618" s="13">
        <f t="shared" si="794"/>
        <v>-8.2000000000000007E-3</v>
      </c>
      <c r="AA618" s="13">
        <f t="shared" si="790"/>
        <v>1.4099999999999998E-2</v>
      </c>
      <c r="AB618" s="6">
        <f t="shared" si="800"/>
        <v>80.451000000000008</v>
      </c>
      <c r="AC618">
        <f t="shared" si="792"/>
        <v>40</v>
      </c>
      <c r="AD618" s="11">
        <f t="shared" si="793"/>
        <v>0</v>
      </c>
      <c r="AE618">
        <f t="shared" si="791"/>
        <v>25</v>
      </c>
      <c r="AF618">
        <f>IF(AND(AE618&lt;15,OR(AC618&gt;=30,AA618&gt;0.15,X618&gt;=0.15)),2,VLOOKUP(AE618,Table!P:Q,2,FALSE))</f>
        <v>3</v>
      </c>
      <c r="AG618" s="22">
        <f>IF((AB618*0.98)-(D618*0.8)+((AF618-3)*3)+VLOOKUP(AM618,Table!$A$11:$B$13,2,FALSE)&lt;0,0,(AB618*0.98)-(D618*0.8)+((AF618-3)*3)+VLOOKUP(AM618,Table!$A$11:$B$13,2,FALSE))</f>
        <v>78.201980000000006</v>
      </c>
      <c r="AH618" s="22">
        <f t="shared" si="822"/>
        <v>82</v>
      </c>
      <c r="AI618" s="18">
        <f t="shared" si="815"/>
        <v>4.9000000000000004</v>
      </c>
      <c r="AJ618" s="18">
        <f t="shared" si="816"/>
        <v>4.74</v>
      </c>
      <c r="AK618" t="str">
        <f t="shared" si="801"/>
        <v>Rising Rates</v>
      </c>
      <c r="AL618">
        <f t="shared" si="812"/>
        <v>25.25</v>
      </c>
      <c r="AM618" s="11" t="str">
        <f t="shared" si="802"/>
        <v>Stocks</v>
      </c>
      <c r="AN618" t="str">
        <f t="shared" si="808"/>
        <v>Buy</v>
      </c>
      <c r="AO618" s="13">
        <f t="shared" si="809"/>
        <v>-9.4999999999999998E-3</v>
      </c>
      <c r="AP618" s="13">
        <f t="shared" si="810"/>
        <v>1E-3</v>
      </c>
      <c r="AQ618" s="13">
        <f t="shared" si="811"/>
        <v>-7.6E-3</v>
      </c>
      <c r="AR618" s="13">
        <f t="shared" si="803"/>
        <v>-9.4999999999999998E-3</v>
      </c>
      <c r="AS618" s="6">
        <f t="shared" si="795"/>
        <v>343.14186558892044</v>
      </c>
      <c r="AT618" s="6">
        <f t="shared" si="796"/>
        <v>173.89189904711424</v>
      </c>
      <c r="AU618" s="6">
        <f t="shared" si="797"/>
        <v>388.77204421789907</v>
      </c>
      <c r="AV618" s="6">
        <f t="shared" si="798"/>
        <v>485.72459904396629</v>
      </c>
      <c r="AW618" s="58">
        <f t="shared" si="804"/>
        <v>2006</v>
      </c>
      <c r="AX618" s="58">
        <f>COUNTIF(AW$3:AW618,AW618)</f>
        <v>10</v>
      </c>
    </row>
    <row r="619" spans="1:50" x14ac:dyDescent="0.25">
      <c r="A619" s="5">
        <v>39012</v>
      </c>
      <c r="B619">
        <v>1368.6</v>
      </c>
      <c r="C619">
        <v>4.96</v>
      </c>
      <c r="D619" s="6">
        <v>10.63</v>
      </c>
      <c r="E619" s="18">
        <f t="shared" si="817"/>
        <v>10.98</v>
      </c>
      <c r="F619">
        <f t="shared" si="818"/>
        <v>3</v>
      </c>
      <c r="G619" s="18">
        <f>ROUND(INDEX(Valuation!U:U,MATCH(A619,Valuation!A:A,0)),2)</f>
        <v>126.66</v>
      </c>
      <c r="H619">
        <f t="shared" si="825"/>
        <v>1</v>
      </c>
      <c r="I619" s="18">
        <f>INDEX(WeeklyIndicators!Y:Y,MATCH(A619,WeeklyIndicators!A:A,0))</f>
        <v>166.62</v>
      </c>
      <c r="J619">
        <f t="shared" si="814"/>
        <v>2</v>
      </c>
      <c r="K619">
        <f>ROUND(INDEX(Economic!AF:AF,MATCH(EOMONTH($A619,-1),Economic!A:A,0)),2)</f>
        <v>98.03</v>
      </c>
      <c r="L619" s="11">
        <f t="shared" si="823"/>
        <v>-1</v>
      </c>
      <c r="M619">
        <f>ROUND(INDEX(Manufacturing!P:P,MATCH(EOMONTH($A619,-1),Manufacturing!A:A,0)),2)</f>
        <v>86.12</v>
      </c>
      <c r="N619">
        <f t="shared" si="819"/>
        <v>0</v>
      </c>
      <c r="O619">
        <f>ROUND(INDEX(Housing!AC:AC,MATCH(EOMONTH($A619,-1),Housing!B:B,0)),2)</f>
        <v>35.799999999999997</v>
      </c>
      <c r="P619">
        <f t="shared" si="820"/>
        <v>-3</v>
      </c>
      <c r="Q619">
        <f>ROUND(INDEX(Spending!AJ:AJ,MATCH(EOMONTH($A619,-1),Spending!B:B,0)),2)</f>
        <v>53.54</v>
      </c>
      <c r="R619">
        <f t="shared" si="824"/>
        <v>1</v>
      </c>
      <c r="S619">
        <f>ROUND(INDEX(Employment!V:V,MATCH(EOMONTH($A619,-1),Employment!A:A,0)),2)</f>
        <v>156.85</v>
      </c>
      <c r="T619" s="11">
        <f t="shared" si="821"/>
        <v>0</v>
      </c>
      <c r="U619">
        <f t="shared" si="813"/>
        <v>23</v>
      </c>
      <c r="V619">
        <f t="shared" si="805"/>
        <v>69.13</v>
      </c>
      <c r="W619" s="13">
        <f t="shared" si="806"/>
        <v>6.3E-3</v>
      </c>
      <c r="X619" s="13">
        <f t="shared" si="807"/>
        <v>3.6799999999999999E-2</v>
      </c>
      <c r="Y619">
        <f t="shared" si="799"/>
        <v>73.739999999999995</v>
      </c>
      <c r="Z619" s="13">
        <f t="shared" si="794"/>
        <v>3.5000000000000001E-3</v>
      </c>
      <c r="AA619" s="13">
        <f t="shared" si="790"/>
        <v>2.5899999999999999E-2</v>
      </c>
      <c r="AB619" s="6">
        <f t="shared" si="800"/>
        <v>83.316000000000003</v>
      </c>
      <c r="AC619">
        <f t="shared" si="792"/>
        <v>42</v>
      </c>
      <c r="AD619" s="11">
        <f t="shared" si="793"/>
        <v>1</v>
      </c>
      <c r="AE619">
        <f t="shared" si="791"/>
        <v>26</v>
      </c>
      <c r="AF619">
        <f>IF(AND(AE619&lt;15,OR(AC619&gt;=30,AA619&gt;0.15,X619&gt;=0.15)),2,VLOOKUP(AE619,Table!P:Q,2,FALSE))</f>
        <v>4</v>
      </c>
      <c r="AG619" s="22">
        <f>IF((AB619*0.98)-(D619*0.8)+((AF619-3)*3)+VLOOKUP(AM619,Table!$A$11:$B$13,2,FALSE)&lt;0,0,(AB619*0.98)-(D619*0.8)+((AF619-3)*3)+VLOOKUP(AM619,Table!$A$11:$B$13,2,FALSE))</f>
        <v>84.145679999999999</v>
      </c>
      <c r="AH619" s="22">
        <f t="shared" si="822"/>
        <v>83</v>
      </c>
      <c r="AI619" s="18">
        <f t="shared" si="815"/>
        <v>4.8899999999999997</v>
      </c>
      <c r="AJ619" s="18">
        <f t="shared" si="816"/>
        <v>4.72</v>
      </c>
      <c r="AK619" t="str">
        <f t="shared" si="801"/>
        <v>Rising Rates</v>
      </c>
      <c r="AL619">
        <f t="shared" si="812"/>
        <v>25</v>
      </c>
      <c r="AM619" s="11" t="str">
        <f t="shared" si="802"/>
        <v>Stocks</v>
      </c>
      <c r="AN619" t="str">
        <f t="shared" si="808"/>
        <v>Buy</v>
      </c>
      <c r="AO619" s="13">
        <f t="shared" si="809"/>
        <v>6.4000000000000003E-3</v>
      </c>
      <c r="AP619" s="13">
        <f t="shared" si="810"/>
        <v>1E-3</v>
      </c>
      <c r="AQ619" s="13">
        <f t="shared" si="811"/>
        <v>5.4999999999999997E-3</v>
      </c>
      <c r="AR619" s="13">
        <f t="shared" si="803"/>
        <v>6.4000000000000003E-3</v>
      </c>
      <c r="AS619" s="6">
        <f t="shared" si="795"/>
        <v>340.95972335942014</v>
      </c>
      <c r="AT619" s="6">
        <f t="shared" si="796"/>
        <v>173.71818086624802</v>
      </c>
      <c r="AU619" s="6">
        <f t="shared" si="797"/>
        <v>386.64549400089413</v>
      </c>
      <c r="AV619" s="6">
        <f t="shared" si="798"/>
        <v>482.63573036960088</v>
      </c>
      <c r="AW619" s="58">
        <f t="shared" si="804"/>
        <v>2006</v>
      </c>
      <c r="AX619" s="58">
        <f>COUNTIF(AW$3:AW619,AW619)</f>
        <v>11</v>
      </c>
    </row>
    <row r="620" spans="1:50" x14ac:dyDescent="0.25">
      <c r="A620" s="5">
        <v>39005</v>
      </c>
      <c r="B620">
        <v>1365.62</v>
      </c>
      <c r="C620">
        <v>4.9000000000000004</v>
      </c>
      <c r="D620" s="6">
        <v>10.75</v>
      </c>
      <c r="E620" s="18">
        <f t="shared" si="817"/>
        <v>11.43</v>
      </c>
      <c r="F620">
        <f t="shared" si="818"/>
        <v>2</v>
      </c>
      <c r="G620" s="18">
        <f>ROUND(INDEX(Valuation!U:U,MATCH(A620,Valuation!A:A,0)),2)</f>
        <v>129.78</v>
      </c>
      <c r="H620">
        <f t="shared" si="825"/>
        <v>1</v>
      </c>
      <c r="I620" s="18">
        <f>INDEX(WeeklyIndicators!Y:Y,MATCH(A620,WeeklyIndicators!A:A,0))</f>
        <v>171.15</v>
      </c>
      <c r="J620">
        <f t="shared" si="814"/>
        <v>3</v>
      </c>
      <c r="K620">
        <f>ROUND(INDEX(Economic!AF:AF,MATCH(EOMONTH($A620,-1),Economic!A:A,0)),2)</f>
        <v>98.03</v>
      </c>
      <c r="L620" s="11">
        <f t="shared" si="823"/>
        <v>-1</v>
      </c>
      <c r="M620">
        <f>ROUND(INDEX(Manufacturing!P:P,MATCH(EOMONTH($A620,-1),Manufacturing!A:A,0)),2)</f>
        <v>86.12</v>
      </c>
      <c r="N620">
        <f t="shared" si="819"/>
        <v>0</v>
      </c>
      <c r="O620">
        <f>ROUND(INDEX(Housing!AC:AC,MATCH(EOMONTH($A620,-1),Housing!B:B,0)),2)</f>
        <v>35.799999999999997</v>
      </c>
      <c r="P620">
        <f t="shared" si="820"/>
        <v>-3</v>
      </c>
      <c r="Q620">
        <f>ROUND(INDEX(Spending!AJ:AJ,MATCH(EOMONTH($A620,-1),Spending!B:B,0)),2)</f>
        <v>53.54</v>
      </c>
      <c r="R620">
        <f t="shared" si="824"/>
        <v>1</v>
      </c>
      <c r="S620">
        <f>ROUND(INDEX(Employment!V:V,MATCH(EOMONTH($A620,-1),Employment!A:A,0)),2)</f>
        <v>156.85</v>
      </c>
      <c r="T620" s="11">
        <f t="shared" si="821"/>
        <v>0</v>
      </c>
      <c r="U620">
        <f t="shared" si="813"/>
        <v>23</v>
      </c>
      <c r="V620">
        <f t="shared" si="805"/>
        <v>69.599999999999994</v>
      </c>
      <c r="W620" s="13">
        <f t="shared" si="806"/>
        <v>1.23E-2</v>
      </c>
      <c r="X620" s="13">
        <f t="shared" si="807"/>
        <v>3.0499999999999999E-2</v>
      </c>
      <c r="Y620">
        <f t="shared" si="799"/>
        <v>74.400000000000006</v>
      </c>
      <c r="Z620" s="13">
        <f t="shared" si="794"/>
        <v>9.2999999999999992E-3</v>
      </c>
      <c r="AA620" s="13">
        <f t="shared" si="790"/>
        <v>1.9999999999999997E-2</v>
      </c>
      <c r="AB620" s="6">
        <f t="shared" si="800"/>
        <v>83.847999999999999</v>
      </c>
      <c r="AC620">
        <f t="shared" si="792"/>
        <v>42</v>
      </c>
      <c r="AD620" s="11">
        <f t="shared" si="793"/>
        <v>1</v>
      </c>
      <c r="AE620">
        <f t="shared" si="791"/>
        <v>26</v>
      </c>
      <c r="AF620">
        <f>IF(AND(AE620&lt;15,OR(AC620&gt;=30,AA620&gt;0.15,X620&gt;=0.15)),2,VLOOKUP(AE620,Table!P:Q,2,FALSE))</f>
        <v>4</v>
      </c>
      <c r="AG620" s="22">
        <f>IF((AB620*0.98)-(D620*0.8)+((AF620-3)*3)+VLOOKUP(AM620,Table!$A$11:$B$13,2,FALSE)&lt;0,0,(AB620*0.98)-(D620*0.8)+((AF620-3)*3)+VLOOKUP(AM620,Table!$A$11:$B$13,2,FALSE))</f>
        <v>84.571039999999996</v>
      </c>
      <c r="AH620" s="22">
        <f t="shared" si="822"/>
        <v>80</v>
      </c>
      <c r="AI620" s="18">
        <f t="shared" si="815"/>
        <v>4.9000000000000004</v>
      </c>
      <c r="AJ620" s="18">
        <f t="shared" si="816"/>
        <v>4.7</v>
      </c>
      <c r="AK620" t="str">
        <f t="shared" si="801"/>
        <v/>
      </c>
      <c r="AL620">
        <f t="shared" si="812"/>
        <v>24.25</v>
      </c>
      <c r="AM620" s="11" t="str">
        <f t="shared" si="802"/>
        <v>Stocks</v>
      </c>
      <c r="AN620" t="str">
        <f t="shared" si="808"/>
        <v>Buy</v>
      </c>
      <c r="AO620" s="13">
        <f t="shared" si="809"/>
        <v>2.2000000000000001E-3</v>
      </c>
      <c r="AP620" s="13">
        <f t="shared" si="810"/>
        <v>8.9999999999999998E-4</v>
      </c>
      <c r="AQ620" s="13">
        <f t="shared" si="811"/>
        <v>1.9E-3</v>
      </c>
      <c r="AR620" s="13">
        <f t="shared" si="803"/>
        <v>2.2000000000000001E-3</v>
      </c>
      <c r="AS620" s="6">
        <f t="shared" si="795"/>
        <v>340.21125859052103</v>
      </c>
      <c r="AT620" s="6">
        <f t="shared" si="796"/>
        <v>173.56197508866825</v>
      </c>
      <c r="AU620" s="6">
        <f t="shared" si="797"/>
        <v>385.91226070555359</v>
      </c>
      <c r="AV620" s="6">
        <f t="shared" si="798"/>
        <v>481.57626259189868</v>
      </c>
      <c r="AW620" s="58">
        <f t="shared" si="804"/>
        <v>2006</v>
      </c>
      <c r="AX620" s="58">
        <f>COUNTIF(AW$3:AW620,AW620)</f>
        <v>12</v>
      </c>
    </row>
    <row r="621" spans="1:50" x14ac:dyDescent="0.25">
      <c r="A621" s="5">
        <v>38998</v>
      </c>
      <c r="B621">
        <v>1349.59</v>
      </c>
      <c r="C621">
        <v>4.79</v>
      </c>
      <c r="D621" s="6">
        <v>11.56</v>
      </c>
      <c r="E621" s="18">
        <f t="shared" si="817"/>
        <v>12.04</v>
      </c>
      <c r="F621">
        <f t="shared" si="818"/>
        <v>2</v>
      </c>
      <c r="G621" s="18">
        <f>ROUND(INDEX(Valuation!U:U,MATCH(A621,Valuation!A:A,0)),2)</f>
        <v>133.16999999999999</v>
      </c>
      <c r="H621">
        <f t="shared" si="825"/>
        <v>1</v>
      </c>
      <c r="I621" s="18">
        <f>INDEX(WeeklyIndicators!Y:Y,MATCH(A621,WeeklyIndicators!A:A,0))</f>
        <v>165.95</v>
      </c>
      <c r="J621">
        <f t="shared" si="814"/>
        <v>2</v>
      </c>
      <c r="K621">
        <f>ROUND(INDEX(Economic!AF:AF,MATCH(EOMONTH($A621,-1),Economic!A:A,0)),2)</f>
        <v>98.03</v>
      </c>
      <c r="L621" s="11">
        <f t="shared" si="823"/>
        <v>-1</v>
      </c>
      <c r="M621">
        <f>ROUND(INDEX(Manufacturing!P:P,MATCH(EOMONTH($A621,-1),Manufacturing!A:A,0)),2)</f>
        <v>86.12</v>
      </c>
      <c r="N621">
        <f t="shared" si="819"/>
        <v>0</v>
      </c>
      <c r="O621">
        <f>ROUND(INDEX(Housing!AC:AC,MATCH(EOMONTH($A621,-1),Housing!B:B,0)),2)</f>
        <v>35.799999999999997</v>
      </c>
      <c r="P621">
        <f t="shared" si="820"/>
        <v>-3</v>
      </c>
      <c r="Q621">
        <f>ROUND(INDEX(Spending!AJ:AJ,MATCH(EOMONTH($A621,-1),Spending!B:B,0)),2)</f>
        <v>53.54</v>
      </c>
      <c r="R621">
        <f t="shared" si="824"/>
        <v>1</v>
      </c>
      <c r="S621">
        <f>ROUND(INDEX(Employment!V:V,MATCH(EOMONTH($A621,-1),Employment!A:A,0)),2)</f>
        <v>156.85</v>
      </c>
      <c r="T621" s="11">
        <f t="shared" si="821"/>
        <v>0</v>
      </c>
      <c r="U621">
        <f t="shared" si="813"/>
        <v>22</v>
      </c>
      <c r="V621">
        <f t="shared" si="805"/>
        <v>69.06</v>
      </c>
      <c r="W621" s="13">
        <f t="shared" si="806"/>
        <v>1.26E-2</v>
      </c>
      <c r="X621" s="13">
        <f t="shared" si="807"/>
        <v>4.3000000000000017E-3</v>
      </c>
      <c r="Y621">
        <f t="shared" si="799"/>
        <v>74.02</v>
      </c>
      <c r="Z621" s="13">
        <f t="shared" si="794"/>
        <v>9.4999999999999998E-3</v>
      </c>
      <c r="AA621" s="13">
        <f t="shared" si="790"/>
        <v>-2.9999999999999992E-3</v>
      </c>
      <c r="AB621" s="6">
        <f t="shared" si="800"/>
        <v>81.97699999999999</v>
      </c>
      <c r="AC621">
        <f t="shared" si="792"/>
        <v>41</v>
      </c>
      <c r="AD621" s="11">
        <f t="shared" si="793"/>
        <v>0</v>
      </c>
      <c r="AE621">
        <f t="shared" si="791"/>
        <v>24</v>
      </c>
      <c r="AF621">
        <f>IF(AND(AE621&lt;15,OR(AC621&gt;=30,AA621&gt;0.15,X621&gt;=0.15)),2,VLOOKUP(AE621,Table!P:Q,2,FALSE))</f>
        <v>3</v>
      </c>
      <c r="AG621" s="22">
        <f>IF((AB621*0.98)-(D621*0.8)+((AF621-3)*3)+VLOOKUP(AM621,Table!$A$11:$B$13,2,FALSE)&lt;0,0,(AB621*0.98)-(D621*0.8)+((AF621-3)*3)+VLOOKUP(AM621,Table!$A$11:$B$13,2,FALSE))</f>
        <v>79.089459999999988</v>
      </c>
      <c r="AH621" s="22">
        <f t="shared" si="822"/>
        <v>77</v>
      </c>
      <c r="AI621" s="18">
        <f t="shared" si="815"/>
        <v>4.9000000000000004</v>
      </c>
      <c r="AJ621" s="18">
        <f t="shared" si="816"/>
        <v>4.6900000000000004</v>
      </c>
      <c r="AK621" t="str">
        <f t="shared" si="801"/>
        <v/>
      </c>
      <c r="AL621">
        <f t="shared" si="812"/>
        <v>23.25</v>
      </c>
      <c r="AM621" s="11" t="str">
        <f t="shared" si="802"/>
        <v>Stocks</v>
      </c>
      <c r="AN621" t="str">
        <f t="shared" si="808"/>
        <v>Buy</v>
      </c>
      <c r="AO621" s="13">
        <f t="shared" si="809"/>
        <v>1.1900000000000001E-2</v>
      </c>
      <c r="AP621" s="13">
        <f t="shared" si="810"/>
        <v>8.9999999999999998E-4</v>
      </c>
      <c r="AQ621" s="13">
        <f t="shared" si="811"/>
        <v>9.4000000000000004E-3</v>
      </c>
      <c r="AR621" s="13">
        <f t="shared" si="803"/>
        <v>1.1900000000000001E-2</v>
      </c>
      <c r="AS621" s="6">
        <f t="shared" si="795"/>
        <v>336.21035536171661</v>
      </c>
      <c r="AT621" s="6">
        <f t="shared" si="796"/>
        <v>173.40590976987536</v>
      </c>
      <c r="AU621" s="6">
        <f t="shared" si="797"/>
        <v>382.31846711467563</v>
      </c>
      <c r="AV621" s="6">
        <f t="shared" si="798"/>
        <v>475.91289909269557</v>
      </c>
      <c r="AW621" s="58">
        <f t="shared" si="804"/>
        <v>2006</v>
      </c>
      <c r="AX621" s="58">
        <f>COUNTIF(AW$3:AW621,AW621)</f>
        <v>13</v>
      </c>
    </row>
    <row r="622" spans="1:50" x14ac:dyDescent="0.25">
      <c r="A622" s="5">
        <v>38991</v>
      </c>
      <c r="B622">
        <v>1335.85</v>
      </c>
      <c r="C622">
        <v>4.76</v>
      </c>
      <c r="D622" s="6">
        <v>11.98</v>
      </c>
      <c r="E622" s="18">
        <f t="shared" si="817"/>
        <v>12.11</v>
      </c>
      <c r="F622">
        <f t="shared" si="818"/>
        <v>2</v>
      </c>
      <c r="G622" s="18">
        <f>ROUND(INDEX(Valuation!U:U,MATCH(A622,Valuation!A:A,0)),2)</f>
        <v>135.03</v>
      </c>
      <c r="H622">
        <f t="shared" si="825"/>
        <v>1</v>
      </c>
      <c r="I622" s="18">
        <f>INDEX(WeeklyIndicators!Y:Y,MATCH(A622,WeeklyIndicators!A:A,0))</f>
        <v>153.94999999999999</v>
      </c>
      <c r="J622">
        <f t="shared" si="814"/>
        <v>2</v>
      </c>
      <c r="K622">
        <f>ROUND(INDEX(Economic!AF:AF,MATCH(EOMONTH($A622,-1),Economic!A:A,0)),2)</f>
        <v>98.03</v>
      </c>
      <c r="L622" s="11">
        <f t="shared" si="823"/>
        <v>-1</v>
      </c>
      <c r="M622">
        <f>ROUND(INDEX(Manufacturing!P:P,MATCH(EOMONTH($A622,-1),Manufacturing!A:A,0)),2)</f>
        <v>86.12</v>
      </c>
      <c r="N622">
        <f t="shared" si="819"/>
        <v>0</v>
      </c>
      <c r="O622">
        <f>ROUND(INDEX(Housing!AC:AC,MATCH(EOMONTH($A622,-1),Housing!B:B,0)),2)</f>
        <v>35.799999999999997</v>
      </c>
      <c r="P622">
        <f t="shared" si="820"/>
        <v>-3</v>
      </c>
      <c r="Q622">
        <f>ROUND(INDEX(Spending!AJ:AJ,MATCH(EOMONTH($A622,-1),Spending!B:B,0)),2)</f>
        <v>53.54</v>
      </c>
      <c r="R622">
        <f t="shared" si="824"/>
        <v>1</v>
      </c>
      <c r="S622">
        <f>ROUND(INDEX(Employment!V:V,MATCH(EOMONTH($A622,-1),Employment!A:A,0)),2)</f>
        <v>156.85</v>
      </c>
      <c r="T622" s="11">
        <f t="shared" si="821"/>
        <v>0</v>
      </c>
      <c r="U622">
        <f t="shared" si="813"/>
        <v>22</v>
      </c>
      <c r="V622">
        <f t="shared" si="805"/>
        <v>67.819999999999993</v>
      </c>
      <c r="W622" s="13">
        <f t="shared" si="806"/>
        <v>5.5999999999999999E-3</v>
      </c>
      <c r="X622" s="13">
        <f t="shared" si="807"/>
        <v>-1.8699999999999998E-2</v>
      </c>
      <c r="Y622">
        <f t="shared" si="799"/>
        <v>72.959999999999994</v>
      </c>
      <c r="Z622" s="13">
        <f t="shared" si="794"/>
        <v>3.5999999999999999E-3</v>
      </c>
      <c r="AA622" s="13">
        <f t="shared" si="790"/>
        <v>-2.2200000000000001E-2</v>
      </c>
      <c r="AB622" s="6">
        <f t="shared" si="800"/>
        <v>79.552999999999997</v>
      </c>
      <c r="AC622">
        <f t="shared" si="792"/>
        <v>40</v>
      </c>
      <c r="AD622" s="11">
        <f t="shared" si="793"/>
        <v>0</v>
      </c>
      <c r="AE622">
        <f t="shared" si="791"/>
        <v>24</v>
      </c>
      <c r="AF622">
        <f>IF(AND(AE622&lt;15,OR(AC622&gt;=30,AA622&gt;0.15,X622&gt;=0.15)),2,VLOOKUP(AE622,Table!P:Q,2,FALSE))</f>
        <v>3</v>
      </c>
      <c r="AG622" s="22">
        <f>IF((AB622*0.98)-(D622*0.8)+((AF622-3)*3)+VLOOKUP(AM622,Table!$A$11:$B$13,2,FALSE)&lt;0,0,(AB622*0.98)-(D622*0.8)+((AF622-3)*3)+VLOOKUP(AM622,Table!$A$11:$B$13,2,FALSE))</f>
        <v>76.377939999999995</v>
      </c>
      <c r="AH622" s="22">
        <f t="shared" si="822"/>
        <v>76</v>
      </c>
      <c r="AI622" s="18">
        <f t="shared" si="815"/>
        <v>4.91</v>
      </c>
      <c r="AJ622" s="18">
        <f t="shared" si="816"/>
        <v>4.67</v>
      </c>
      <c r="AK622" t="str">
        <f t="shared" si="801"/>
        <v/>
      </c>
      <c r="AL622">
        <f t="shared" si="812"/>
        <v>23</v>
      </c>
      <c r="AM622" s="11" t="str">
        <f t="shared" si="802"/>
        <v>Stocks</v>
      </c>
      <c r="AN622" t="str">
        <f t="shared" si="808"/>
        <v>Buy</v>
      </c>
      <c r="AO622" s="13">
        <f t="shared" si="809"/>
        <v>1.03E-2</v>
      </c>
      <c r="AP622" s="13">
        <f t="shared" si="810"/>
        <v>8.9999999999999998E-4</v>
      </c>
      <c r="AQ622" s="13">
        <f t="shared" si="811"/>
        <v>8.0000000000000002E-3</v>
      </c>
      <c r="AR622" s="13">
        <f t="shared" si="803"/>
        <v>1.03E-2</v>
      </c>
      <c r="AS622" s="6">
        <f t="shared" si="795"/>
        <v>332.7826936174568</v>
      </c>
      <c r="AT622" s="6">
        <f t="shared" si="796"/>
        <v>173.24998478357017</v>
      </c>
      <c r="AU622" s="6">
        <f t="shared" si="797"/>
        <v>379.28419356614643</v>
      </c>
      <c r="AV622" s="6">
        <f t="shared" si="798"/>
        <v>471.0609710904638</v>
      </c>
      <c r="AW622" s="58">
        <f t="shared" si="804"/>
        <v>2006</v>
      </c>
      <c r="AX622" s="58">
        <f>COUNTIF(AW$3:AW622,AW622)</f>
        <v>14</v>
      </c>
    </row>
    <row r="623" spans="1:50" x14ac:dyDescent="0.25">
      <c r="A623" s="5">
        <v>38984</v>
      </c>
      <c r="B623">
        <v>1314.78</v>
      </c>
      <c r="C623">
        <v>4.8099999999999996</v>
      </c>
      <c r="D623" s="6">
        <v>12.59</v>
      </c>
      <c r="E623" s="18">
        <f t="shared" si="817"/>
        <v>12.5</v>
      </c>
      <c r="F623">
        <f t="shared" si="818"/>
        <v>2</v>
      </c>
      <c r="G623" s="18">
        <f>ROUND(INDEX(Valuation!U:U,MATCH(A623,Valuation!A:A,0)),2)</f>
        <v>137.30000000000001</v>
      </c>
      <c r="H623">
        <f t="shared" si="825"/>
        <v>1</v>
      </c>
      <c r="I623" s="18">
        <f>INDEX(WeeklyIndicators!Y:Y,MATCH(A623,WeeklyIndicators!A:A,0))</f>
        <v>140.41999999999999</v>
      </c>
      <c r="J623">
        <f t="shared" si="814"/>
        <v>1</v>
      </c>
      <c r="K623">
        <f>ROUND(INDEX(Economic!AF:AF,MATCH(EOMONTH($A623,-1),Economic!A:A,0)),2)</f>
        <v>98.22</v>
      </c>
      <c r="L623" s="11">
        <f t="shared" si="823"/>
        <v>-1</v>
      </c>
      <c r="M623">
        <f>ROUND(INDEX(Manufacturing!P:P,MATCH(EOMONTH($A623,-1),Manufacturing!A:A,0)),2)</f>
        <v>85.02</v>
      </c>
      <c r="N623">
        <f t="shared" si="819"/>
        <v>0</v>
      </c>
      <c r="O623">
        <f>ROUND(INDEX(Housing!AC:AC,MATCH(EOMONTH($A623,-1),Housing!B:B,0)),2)</f>
        <v>47.69</v>
      </c>
      <c r="P623">
        <f t="shared" si="820"/>
        <v>-3</v>
      </c>
      <c r="Q623">
        <f>ROUND(INDEX(Spending!AJ:AJ,MATCH(EOMONTH($A623,-1),Spending!B:B,0)),2)</f>
        <v>56.15</v>
      </c>
      <c r="R623">
        <f t="shared" si="824"/>
        <v>1</v>
      </c>
      <c r="S623">
        <f>ROUND(INDEX(Employment!V:V,MATCH(EOMONTH($A623,-1),Employment!A:A,0)),2)</f>
        <v>154.35</v>
      </c>
      <c r="T623" s="11">
        <f t="shared" si="821"/>
        <v>0</v>
      </c>
      <c r="U623">
        <f t="shared" si="813"/>
        <v>21</v>
      </c>
      <c r="V623">
        <f t="shared" si="805"/>
        <v>67.099999999999994</v>
      </c>
      <c r="W623" s="13">
        <f t="shared" si="806"/>
        <v>0</v>
      </c>
      <c r="X623" s="13">
        <f t="shared" si="807"/>
        <v>-2.8799999999999999E-2</v>
      </c>
      <c r="Y623">
        <f t="shared" si="799"/>
        <v>72.36</v>
      </c>
      <c r="Z623" s="13">
        <f t="shared" si="794"/>
        <v>-2.3999999999999998E-3</v>
      </c>
      <c r="AA623" s="13">
        <f t="shared" si="790"/>
        <v>-2.7199999999999998E-2</v>
      </c>
      <c r="AB623" s="6">
        <f t="shared" si="800"/>
        <v>78.72</v>
      </c>
      <c r="AC623">
        <f t="shared" si="792"/>
        <v>39</v>
      </c>
      <c r="AD623" s="11">
        <f t="shared" si="793"/>
        <v>0</v>
      </c>
      <c r="AE623">
        <f t="shared" si="791"/>
        <v>23</v>
      </c>
      <c r="AF623">
        <f>IF(AND(AE623&lt;15,OR(AC623&gt;=30,AA623&gt;0.15,X623&gt;=0.15)),2,VLOOKUP(AE623,Table!P:Q,2,FALSE))</f>
        <v>3</v>
      </c>
      <c r="AG623" s="22">
        <f>IF((AB623*0.98)-(D623*0.8)+((AF623-3)*3)+VLOOKUP(AM623,Table!$A$11:$B$13,2,FALSE)&lt;0,0,(AB623*0.98)-(D623*0.8)+((AF623-3)*3)+VLOOKUP(AM623,Table!$A$11:$B$13,2,FALSE))</f>
        <v>75.073599999999999</v>
      </c>
      <c r="AH623" s="22">
        <f t="shared" si="822"/>
        <v>76</v>
      </c>
      <c r="AI623" s="18">
        <f t="shared" si="815"/>
        <v>4.92</v>
      </c>
      <c r="AJ623" s="18">
        <f t="shared" si="816"/>
        <v>4.6500000000000004</v>
      </c>
      <c r="AK623" t="str">
        <f t="shared" si="801"/>
        <v/>
      </c>
      <c r="AL623">
        <f t="shared" si="812"/>
        <v>22.75</v>
      </c>
      <c r="AM623" s="11" t="str">
        <f t="shared" si="802"/>
        <v>Stocks</v>
      </c>
      <c r="AN623" t="str">
        <f t="shared" si="808"/>
        <v>Buy</v>
      </c>
      <c r="AO623" s="13">
        <f t="shared" si="809"/>
        <v>1.6E-2</v>
      </c>
      <c r="AP623" s="13">
        <f t="shared" si="810"/>
        <v>8.9999999999999998E-4</v>
      </c>
      <c r="AQ623" s="13">
        <f t="shared" si="811"/>
        <v>1.24E-2</v>
      </c>
      <c r="AR623" s="13">
        <f t="shared" si="803"/>
        <v>1.6E-2</v>
      </c>
      <c r="AS623" s="6">
        <f t="shared" si="795"/>
        <v>327.54202127702439</v>
      </c>
      <c r="AT623" s="6">
        <f t="shared" si="796"/>
        <v>173.09420000356698</v>
      </c>
      <c r="AU623" s="6">
        <f t="shared" si="797"/>
        <v>374.63867400844174</v>
      </c>
      <c r="AV623" s="6">
        <f t="shared" si="798"/>
        <v>463.64268808116515</v>
      </c>
      <c r="AW623" s="58">
        <f t="shared" si="804"/>
        <v>2006</v>
      </c>
      <c r="AX623" s="58">
        <f>COUNTIF(AW$3:AW623,AW623)</f>
        <v>15</v>
      </c>
    </row>
    <row r="624" spans="1:50" x14ac:dyDescent="0.25">
      <c r="A624" s="5">
        <v>38977</v>
      </c>
      <c r="B624">
        <v>1319.66</v>
      </c>
      <c r="C624">
        <v>4.8099999999999996</v>
      </c>
      <c r="D624" s="6">
        <v>11.76</v>
      </c>
      <c r="E624" s="18">
        <f t="shared" si="817"/>
        <v>12.29</v>
      </c>
      <c r="F624">
        <f t="shared" si="818"/>
        <v>2</v>
      </c>
      <c r="G624" s="18">
        <f>ROUND(INDEX(Valuation!U:U,MATCH(A624,Valuation!A:A,0)),2)</f>
        <v>138.25</v>
      </c>
      <c r="H624">
        <f t="shared" si="825"/>
        <v>1</v>
      </c>
      <c r="I624" s="18">
        <f>INDEX(WeeklyIndicators!Y:Y,MATCH(A624,WeeklyIndicators!A:A,0))</f>
        <v>134.84</v>
      </c>
      <c r="J624">
        <f t="shared" si="814"/>
        <v>0</v>
      </c>
      <c r="K624">
        <f>ROUND(INDEX(Economic!AF:AF,MATCH(EOMONTH($A624,-1),Economic!A:A,0)),2)</f>
        <v>98.22</v>
      </c>
      <c r="L624" s="11">
        <f t="shared" si="823"/>
        <v>-1</v>
      </c>
      <c r="M624">
        <f>ROUND(INDEX(Manufacturing!P:P,MATCH(EOMONTH($A624,-1),Manufacturing!A:A,0)),2)</f>
        <v>85.02</v>
      </c>
      <c r="N624">
        <f t="shared" si="819"/>
        <v>0</v>
      </c>
      <c r="O624">
        <f>ROUND(INDEX(Housing!AC:AC,MATCH(EOMONTH($A624,-1),Housing!B:B,0)),2)</f>
        <v>47.69</v>
      </c>
      <c r="P624">
        <f t="shared" si="820"/>
        <v>-3</v>
      </c>
      <c r="Q624">
        <f>ROUND(INDEX(Spending!AJ:AJ,MATCH(EOMONTH($A624,-1),Spending!B:B,0)),2)</f>
        <v>56.15</v>
      </c>
      <c r="R624">
        <f t="shared" si="824"/>
        <v>1</v>
      </c>
      <c r="S624">
        <f>ROUND(INDEX(Employment!V:V,MATCH(EOMONTH($A624,-1),Employment!A:A,0)),2)</f>
        <v>154.35</v>
      </c>
      <c r="T624" s="11">
        <f t="shared" si="821"/>
        <v>0</v>
      </c>
      <c r="U624">
        <f t="shared" si="813"/>
        <v>20</v>
      </c>
      <c r="V624">
        <f t="shared" si="805"/>
        <v>66.52</v>
      </c>
      <c r="W624" s="13">
        <f t="shared" si="806"/>
        <v>-1.3899999999999999E-2</v>
      </c>
      <c r="X624" s="13">
        <f t="shared" si="807"/>
        <v>-1.9599999999999999E-2</v>
      </c>
      <c r="Y624">
        <f t="shared" si="799"/>
        <v>71.959999999999994</v>
      </c>
      <c r="Z624" s="13">
        <f t="shared" si="794"/>
        <v>-1.37E-2</v>
      </c>
      <c r="AA624" s="13">
        <f t="shared" si="790"/>
        <v>-1.2299999999999998E-2</v>
      </c>
      <c r="AB624" s="6">
        <f t="shared" si="800"/>
        <v>79.484999999999999</v>
      </c>
      <c r="AC624">
        <f t="shared" si="792"/>
        <v>40</v>
      </c>
      <c r="AD624" s="11">
        <f t="shared" si="793"/>
        <v>0</v>
      </c>
      <c r="AE624">
        <f t="shared" si="791"/>
        <v>22</v>
      </c>
      <c r="AF624">
        <f>IF(AND(AE624&lt;15,OR(AC624&gt;=30,AA624&gt;0.15,X624&gt;=0.15)),2,VLOOKUP(AE624,Table!P:Q,2,FALSE))</f>
        <v>3</v>
      </c>
      <c r="AG624" s="22">
        <f>IF((AB624*0.98)-(D624*0.8)+((AF624-3)*3)+VLOOKUP(AM624,Table!$A$11:$B$13,2,FALSE)&lt;0,0,(AB624*0.98)-(D624*0.8)+((AF624-3)*3)+VLOOKUP(AM624,Table!$A$11:$B$13,2,FALSE))</f>
        <v>76.487299999999991</v>
      </c>
      <c r="AH624" s="22">
        <f t="shared" si="822"/>
        <v>77</v>
      </c>
      <c r="AI624" s="18">
        <f t="shared" si="815"/>
        <v>4.92</v>
      </c>
      <c r="AJ624" s="18">
        <f t="shared" si="816"/>
        <v>4.62</v>
      </c>
      <c r="AK624" t="str">
        <f t="shared" si="801"/>
        <v/>
      </c>
      <c r="AL624">
        <f t="shared" si="812"/>
        <v>23.25</v>
      </c>
      <c r="AM624" s="11" t="str">
        <f t="shared" si="802"/>
        <v>Stocks</v>
      </c>
      <c r="AN624" t="str">
        <f t="shared" si="808"/>
        <v>Buy</v>
      </c>
      <c r="AO624" s="13">
        <f t="shared" si="809"/>
        <v>-3.7000000000000002E-3</v>
      </c>
      <c r="AP624" s="13">
        <f t="shared" si="810"/>
        <v>8.9999999999999998E-4</v>
      </c>
      <c r="AQ624" s="13">
        <f t="shared" si="811"/>
        <v>-2.5999999999999999E-3</v>
      </c>
      <c r="AR624" s="13">
        <f t="shared" si="803"/>
        <v>-3.7000000000000002E-3</v>
      </c>
      <c r="AS624" s="6">
        <f t="shared" si="795"/>
        <v>328.75842745862133</v>
      </c>
      <c r="AT624" s="6">
        <f t="shared" si="796"/>
        <v>172.93855530379358</v>
      </c>
      <c r="AU624" s="6">
        <f t="shared" si="797"/>
        <v>375.61527372011403</v>
      </c>
      <c r="AV624" s="6">
        <f t="shared" si="798"/>
        <v>465.36453686757517</v>
      </c>
      <c r="AW624" s="58">
        <f t="shared" si="804"/>
        <v>2006</v>
      </c>
      <c r="AX624" s="58">
        <f>COUNTIF(AW$3:AW624,AW624)</f>
        <v>16</v>
      </c>
    </row>
    <row r="625" spans="1:50" x14ac:dyDescent="0.25">
      <c r="A625" s="5">
        <v>38970</v>
      </c>
      <c r="B625">
        <v>1298.92</v>
      </c>
      <c r="C625">
        <v>4.84</v>
      </c>
      <c r="D625" s="6">
        <v>13.16</v>
      </c>
      <c r="E625" s="18">
        <f t="shared" si="817"/>
        <v>12.48</v>
      </c>
      <c r="F625">
        <f t="shared" si="818"/>
        <v>2</v>
      </c>
      <c r="G625" s="18">
        <f>ROUND(INDEX(Valuation!U:U,MATCH(A625,Valuation!A:A,0)),2)</f>
        <v>139.36000000000001</v>
      </c>
      <c r="H625">
        <f t="shared" si="825"/>
        <v>1</v>
      </c>
      <c r="I625" s="18">
        <f>INDEX(WeeklyIndicators!Y:Y,MATCH(A625,WeeklyIndicators!A:A,0))</f>
        <v>136.41999999999999</v>
      </c>
      <c r="J625">
        <f t="shared" si="814"/>
        <v>1</v>
      </c>
      <c r="K625">
        <f>ROUND(INDEX(Economic!AF:AF,MATCH(EOMONTH($A625,-1),Economic!A:A,0)),2)</f>
        <v>98.22</v>
      </c>
      <c r="L625" s="11">
        <f t="shared" si="823"/>
        <v>-1</v>
      </c>
      <c r="M625">
        <f>ROUND(INDEX(Manufacturing!P:P,MATCH(EOMONTH($A625,-1),Manufacturing!A:A,0)),2)</f>
        <v>85.02</v>
      </c>
      <c r="N625">
        <f t="shared" si="819"/>
        <v>0</v>
      </c>
      <c r="O625">
        <f>ROUND(INDEX(Housing!AC:AC,MATCH(EOMONTH($A625,-1),Housing!B:B,0)),2)</f>
        <v>47.69</v>
      </c>
      <c r="P625">
        <f t="shared" si="820"/>
        <v>-3</v>
      </c>
      <c r="Q625">
        <f>ROUND(INDEX(Spending!AJ:AJ,MATCH(EOMONTH($A625,-1),Spending!B:B,0)),2)</f>
        <v>56.15</v>
      </c>
      <c r="R625">
        <f t="shared" si="824"/>
        <v>1</v>
      </c>
      <c r="S625">
        <f>ROUND(INDEX(Employment!V:V,MATCH(EOMONTH($A625,-1),Employment!A:A,0)),2)</f>
        <v>154.35</v>
      </c>
      <c r="T625" s="11">
        <f t="shared" si="821"/>
        <v>0</v>
      </c>
      <c r="U625">
        <f t="shared" si="813"/>
        <v>21</v>
      </c>
      <c r="V625">
        <f t="shared" si="805"/>
        <v>66.69</v>
      </c>
      <c r="W625" s="13">
        <f t="shared" si="806"/>
        <v>-1.04E-2</v>
      </c>
      <c r="X625" s="13">
        <f t="shared" si="807"/>
        <v>-2.07E-2</v>
      </c>
      <c r="Y625">
        <f t="shared" si="799"/>
        <v>72.180000000000007</v>
      </c>
      <c r="Z625" s="13">
        <f t="shared" si="794"/>
        <v>-9.7000000000000003E-3</v>
      </c>
      <c r="AA625" s="13">
        <f t="shared" si="790"/>
        <v>-7.1999999999999998E-3</v>
      </c>
      <c r="AB625" s="6">
        <f t="shared" si="800"/>
        <v>80.146000000000001</v>
      </c>
      <c r="AC625">
        <f t="shared" si="792"/>
        <v>40</v>
      </c>
      <c r="AD625" s="11">
        <f t="shared" si="793"/>
        <v>0</v>
      </c>
      <c r="AE625">
        <f t="shared" si="791"/>
        <v>23</v>
      </c>
      <c r="AF625">
        <f>IF(AND(AE625&lt;15,OR(AC625&gt;=30,AA625&gt;0.15,X625&gt;=0.15)),2,VLOOKUP(AE625,Table!P:Q,2,FALSE))</f>
        <v>3</v>
      </c>
      <c r="AG625" s="22">
        <f>IF((AB625*0.98)-(D625*0.8)+((AF625-3)*3)+VLOOKUP(AM625,Table!$A$11:$B$13,2,FALSE)&lt;0,0,(AB625*0.98)-(D625*0.8)+((AF625-3)*3)+VLOOKUP(AM625,Table!$A$11:$B$13,2,FALSE))</f>
        <v>76.015079999999998</v>
      </c>
      <c r="AH625" s="22">
        <f t="shared" si="822"/>
        <v>77</v>
      </c>
      <c r="AI625" s="18">
        <f t="shared" si="815"/>
        <v>4.91</v>
      </c>
      <c r="AJ625" s="18">
        <f t="shared" si="816"/>
        <v>4.5999999999999996</v>
      </c>
      <c r="AK625" t="str">
        <f t="shared" si="801"/>
        <v/>
      </c>
      <c r="AL625">
        <f t="shared" si="812"/>
        <v>24</v>
      </c>
      <c r="AM625" s="11" t="str">
        <f t="shared" si="802"/>
        <v>Stocks</v>
      </c>
      <c r="AN625" t="str">
        <f t="shared" si="808"/>
        <v>Buy</v>
      </c>
      <c r="AO625" s="13">
        <f t="shared" si="809"/>
        <v>1.6E-2</v>
      </c>
      <c r="AP625" s="13">
        <f t="shared" si="810"/>
        <v>8.9999999999999998E-4</v>
      </c>
      <c r="AQ625" s="13">
        <f t="shared" si="811"/>
        <v>1.2500000000000001E-2</v>
      </c>
      <c r="AR625" s="13">
        <f t="shared" si="803"/>
        <v>1.6E-2</v>
      </c>
      <c r="AS625" s="6">
        <f t="shared" si="795"/>
        <v>323.58112938840679</v>
      </c>
      <c r="AT625" s="6">
        <f t="shared" si="796"/>
        <v>172.78305055829114</v>
      </c>
      <c r="AU625" s="6">
        <f t="shared" si="797"/>
        <v>370.97804811863114</v>
      </c>
      <c r="AV625" s="6">
        <f t="shared" si="798"/>
        <v>458.03596148383383</v>
      </c>
      <c r="AW625" s="58">
        <f t="shared" si="804"/>
        <v>2006</v>
      </c>
      <c r="AX625" s="58">
        <f>COUNTIF(AW$3:AW625,AW625)</f>
        <v>17</v>
      </c>
    </row>
    <row r="626" spans="1:50" x14ac:dyDescent="0.25">
      <c r="A626" s="5">
        <v>38963</v>
      </c>
      <c r="B626">
        <v>1311.01</v>
      </c>
      <c r="C626">
        <v>4.93</v>
      </c>
      <c r="D626" s="6">
        <v>11.96</v>
      </c>
      <c r="E626" s="18">
        <f t="shared" si="817"/>
        <v>11.97</v>
      </c>
      <c r="F626">
        <f t="shared" si="818"/>
        <v>2</v>
      </c>
      <c r="G626" s="18">
        <f>ROUND(INDEX(Valuation!U:U,MATCH(A626,Valuation!A:A,0)),2)</f>
        <v>140.12</v>
      </c>
      <c r="H626">
        <f t="shared" si="825"/>
        <v>1</v>
      </c>
      <c r="I626" s="18">
        <f>INDEX(WeeklyIndicators!Y:Y,MATCH(A626,WeeklyIndicators!A:A,0))</f>
        <v>140.53</v>
      </c>
      <c r="J626">
        <f t="shared" si="814"/>
        <v>1</v>
      </c>
      <c r="K626">
        <f>ROUND(INDEX(Economic!AF:AF,MATCH(EOMONTH($A626,-1),Economic!A:A,0)),2)</f>
        <v>98.22</v>
      </c>
      <c r="L626" s="11">
        <f t="shared" si="823"/>
        <v>-1</v>
      </c>
      <c r="M626">
        <f>ROUND(INDEX(Manufacturing!P:P,MATCH(EOMONTH($A626,-1),Manufacturing!A:A,0)),2)</f>
        <v>85.02</v>
      </c>
      <c r="N626">
        <f t="shared" si="819"/>
        <v>0</v>
      </c>
      <c r="O626">
        <f>ROUND(INDEX(Housing!AC:AC,MATCH(EOMONTH($A626,-1),Housing!B:B,0)),2)</f>
        <v>47.69</v>
      </c>
      <c r="P626">
        <f t="shared" si="820"/>
        <v>-3</v>
      </c>
      <c r="Q626">
        <f>ROUND(INDEX(Spending!AJ:AJ,MATCH(EOMONTH($A626,-1),Spending!B:B,0)),2)</f>
        <v>56.15</v>
      </c>
      <c r="R626">
        <f t="shared" si="824"/>
        <v>1</v>
      </c>
      <c r="S626">
        <f>ROUND(INDEX(Employment!V:V,MATCH(EOMONTH($A626,-1),Employment!A:A,0)),2)</f>
        <v>154.35</v>
      </c>
      <c r="T626" s="11">
        <f t="shared" si="821"/>
        <v>0</v>
      </c>
      <c r="U626">
        <f t="shared" si="813"/>
        <v>21</v>
      </c>
      <c r="V626">
        <f t="shared" si="805"/>
        <v>67.11</v>
      </c>
      <c r="W626" s="13">
        <f t="shared" si="806"/>
        <v>-4.4999999999999997E-3</v>
      </c>
      <c r="X626" s="13">
        <f t="shared" si="807"/>
        <v>-3.2799999999999996E-2</v>
      </c>
      <c r="Y626">
        <f t="shared" si="799"/>
        <v>72.87</v>
      </c>
      <c r="Z626" s="13">
        <f t="shared" si="794"/>
        <v>-1.4E-3</v>
      </c>
      <c r="AA626" s="13">
        <f t="shared" si="790"/>
        <v>-1.52E-2</v>
      </c>
      <c r="AB626" s="6">
        <f t="shared" si="800"/>
        <v>80.272000000000006</v>
      </c>
      <c r="AC626">
        <f t="shared" si="792"/>
        <v>40</v>
      </c>
      <c r="AD626" s="11">
        <f t="shared" si="793"/>
        <v>0</v>
      </c>
      <c r="AE626">
        <f t="shared" si="791"/>
        <v>23</v>
      </c>
      <c r="AF626">
        <f>IF(AND(AE626&lt;15,OR(AC626&gt;=30,AA626&gt;0.15,X626&gt;=0.15)),2,VLOOKUP(AE626,Table!P:Q,2,FALSE))</f>
        <v>3</v>
      </c>
      <c r="AG626" s="22">
        <f>IF((AB626*0.98)-(D626*0.8)+((AF626-3)*3)+VLOOKUP(AM626,Table!$A$11:$B$13,2,FALSE)&lt;0,0,(AB626*0.98)-(D626*0.8)+((AF626-3)*3)+VLOOKUP(AM626,Table!$A$11:$B$13,2,FALSE))</f>
        <v>77.098560000000006</v>
      </c>
      <c r="AH626" s="22">
        <f t="shared" si="822"/>
        <v>76</v>
      </c>
      <c r="AI626" s="18">
        <f t="shared" si="815"/>
        <v>4.9000000000000004</v>
      </c>
      <c r="AJ626" s="18">
        <f t="shared" si="816"/>
        <v>4.57</v>
      </c>
      <c r="AK626" t="str">
        <f t="shared" si="801"/>
        <v>Rising Rates</v>
      </c>
      <c r="AL626">
        <f t="shared" si="812"/>
        <v>24</v>
      </c>
      <c r="AM626" s="11" t="str">
        <f t="shared" si="802"/>
        <v>Stocks</v>
      </c>
      <c r="AN626" t="str">
        <f t="shared" si="808"/>
        <v>Buy</v>
      </c>
      <c r="AO626" s="13">
        <f t="shared" si="809"/>
        <v>-9.1999999999999998E-3</v>
      </c>
      <c r="AP626" s="13">
        <f t="shared" si="810"/>
        <v>8.9999999999999998E-4</v>
      </c>
      <c r="AQ626" s="13">
        <f t="shared" si="811"/>
        <v>-6.7999999999999996E-3</v>
      </c>
      <c r="AR626" s="13">
        <f t="shared" si="803"/>
        <v>-9.1999999999999998E-3</v>
      </c>
      <c r="AS626" s="6">
        <f t="shared" si="795"/>
        <v>326.58571799395116</v>
      </c>
      <c r="AT626" s="6">
        <f t="shared" si="796"/>
        <v>172.62768564121407</v>
      </c>
      <c r="AU626" s="6">
        <f t="shared" si="797"/>
        <v>373.51797031678529</v>
      </c>
      <c r="AV626" s="6">
        <f t="shared" si="798"/>
        <v>462.28902047217787</v>
      </c>
      <c r="AW626" s="58">
        <f t="shared" si="804"/>
        <v>2006</v>
      </c>
      <c r="AX626" s="58">
        <f>COUNTIF(AW$3:AW626,AW626)</f>
        <v>18</v>
      </c>
    </row>
    <row r="627" spans="1:50" x14ac:dyDescent="0.25">
      <c r="A627" s="5">
        <v>38956</v>
      </c>
      <c r="B627">
        <v>1295.0899999999999</v>
      </c>
      <c r="C627">
        <v>4.97</v>
      </c>
      <c r="D627" s="6">
        <v>12.31</v>
      </c>
      <c r="E627" s="18">
        <f t="shared" si="817"/>
        <v>12.75</v>
      </c>
      <c r="F627">
        <f t="shared" si="818"/>
        <v>2</v>
      </c>
      <c r="G627" s="18">
        <f>ROUND(INDEX(Valuation!U:U,MATCH(A627,Valuation!A:A,0)),2)</f>
        <v>141.38</v>
      </c>
      <c r="H627">
        <f t="shared" si="825"/>
        <v>1</v>
      </c>
      <c r="I627" s="18">
        <f>INDEX(WeeklyIndicators!Y:Y,MATCH(A627,WeeklyIndicators!A:A,0))</f>
        <v>141.18</v>
      </c>
      <c r="J627">
        <f t="shared" si="814"/>
        <v>1</v>
      </c>
      <c r="K627">
        <f>ROUND(INDEX(Economic!AF:AF,MATCH(EOMONTH($A627,-1),Economic!A:A,0)),2)</f>
        <v>104.33</v>
      </c>
      <c r="L627" s="11">
        <f t="shared" si="823"/>
        <v>0</v>
      </c>
      <c r="M627">
        <f>ROUND(INDEX(Manufacturing!P:P,MATCH(EOMONTH($A627,-1),Manufacturing!A:A,0)),2)</f>
        <v>85.63</v>
      </c>
      <c r="N627">
        <f t="shared" si="819"/>
        <v>0</v>
      </c>
      <c r="O627">
        <f>ROUND(INDEX(Housing!AC:AC,MATCH(EOMONTH($A627,-1),Housing!B:B,0)),2)</f>
        <v>60.92</v>
      </c>
      <c r="P627">
        <f t="shared" si="820"/>
        <v>-2</v>
      </c>
      <c r="Q627">
        <f>ROUND(INDEX(Spending!AJ:AJ,MATCH(EOMONTH($A627,-1),Spending!B:B,0)),2)</f>
        <v>58.3</v>
      </c>
      <c r="R627">
        <f t="shared" si="824"/>
        <v>1</v>
      </c>
      <c r="S627">
        <f>ROUND(INDEX(Employment!V:V,MATCH(EOMONTH($A627,-1),Employment!A:A,0)),2)</f>
        <v>155.99</v>
      </c>
      <c r="T627" s="11">
        <f t="shared" si="821"/>
        <v>0</v>
      </c>
      <c r="U627">
        <f t="shared" si="813"/>
        <v>23</v>
      </c>
      <c r="V627">
        <f t="shared" si="805"/>
        <v>69.349999999999994</v>
      </c>
      <c r="W627" s="13">
        <f t="shared" si="806"/>
        <v>9.1999999999999998E-3</v>
      </c>
      <c r="X627" s="13">
        <f t="shared" si="807"/>
        <v>-5.6999999999999995E-2</v>
      </c>
      <c r="Y627">
        <f t="shared" si="799"/>
        <v>74.97</v>
      </c>
      <c r="Z627" s="13">
        <f t="shared" si="794"/>
        <v>1.2500000000000001E-2</v>
      </c>
      <c r="AA627" s="13">
        <f t="shared" ref="AA627:AA690" si="826">SUM(Z627:Z630)</f>
        <v>-4.1200000000000001E-2</v>
      </c>
      <c r="AB627" s="6">
        <f t="shared" si="800"/>
        <v>80.588000000000008</v>
      </c>
      <c r="AC627">
        <f t="shared" si="792"/>
        <v>40</v>
      </c>
      <c r="AD627" s="11">
        <f t="shared" si="793"/>
        <v>0</v>
      </c>
      <c r="AE627">
        <f t="shared" si="791"/>
        <v>25</v>
      </c>
      <c r="AF627">
        <f>IF(AND(AE627&lt;15,OR(AC627&gt;=30,AA627&gt;0.15,X627&gt;=0.15)),2,VLOOKUP(AE627,Table!P:Q,2,FALSE))</f>
        <v>3</v>
      </c>
      <c r="AG627" s="22">
        <f>IF((AB627*0.98)-(D627*0.8)+((AF627-3)*3)+VLOOKUP(AM627,Table!$A$11:$B$13,2,FALSE)&lt;0,0,(AB627*0.98)-(D627*0.8)+((AF627-3)*3)+VLOOKUP(AM627,Table!$A$11:$B$13,2,FALSE))</f>
        <v>77.128240000000005</v>
      </c>
      <c r="AH627" s="22">
        <f t="shared" si="822"/>
        <v>75</v>
      </c>
      <c r="AI627" s="18">
        <f t="shared" si="815"/>
        <v>4.8899999999999997</v>
      </c>
      <c r="AJ627" s="18">
        <f t="shared" si="816"/>
        <v>4.55</v>
      </c>
      <c r="AK627" t="str">
        <f t="shared" si="801"/>
        <v>Rising Rates</v>
      </c>
      <c r="AL627">
        <f t="shared" si="812"/>
        <v>24</v>
      </c>
      <c r="AM627" s="11" t="str">
        <f t="shared" si="802"/>
        <v>Stocks</v>
      </c>
      <c r="AN627" t="str">
        <f t="shared" si="808"/>
        <v>Buy</v>
      </c>
      <c r="AO627" s="13">
        <f t="shared" si="809"/>
        <v>1.23E-2</v>
      </c>
      <c r="AP627" s="13">
        <f t="shared" si="810"/>
        <v>1E-3</v>
      </c>
      <c r="AQ627" s="13">
        <f t="shared" si="811"/>
        <v>9.4999999999999998E-3</v>
      </c>
      <c r="AR627" s="13">
        <f t="shared" si="803"/>
        <v>1.23E-2</v>
      </c>
      <c r="AS627" s="6">
        <f t="shared" si="795"/>
        <v>322.61752246759971</v>
      </c>
      <c r="AT627" s="6">
        <f t="shared" si="796"/>
        <v>172.4552304108033</v>
      </c>
      <c r="AU627" s="6">
        <f t="shared" si="797"/>
        <v>370.00294236432421</v>
      </c>
      <c r="AV627" s="6">
        <f t="shared" si="798"/>
        <v>456.67195542050564</v>
      </c>
      <c r="AW627" s="58">
        <f t="shared" si="804"/>
        <v>2006</v>
      </c>
      <c r="AX627" s="58">
        <f>COUNTIF(AW$3:AW627,AW627)</f>
        <v>19</v>
      </c>
    </row>
    <row r="628" spans="1:50" x14ac:dyDescent="0.25">
      <c r="A628" s="5">
        <v>38949</v>
      </c>
      <c r="B628">
        <v>1302.3</v>
      </c>
      <c r="C628">
        <v>4.97</v>
      </c>
      <c r="D628" s="6">
        <v>11.64</v>
      </c>
      <c r="E628" s="18">
        <f t="shared" si="817"/>
        <v>13.43</v>
      </c>
      <c r="F628">
        <f t="shared" si="818"/>
        <v>2</v>
      </c>
      <c r="G628" s="18">
        <f>ROUND(INDEX(Valuation!U:U,MATCH(A628,Valuation!A:A,0)),2)</f>
        <v>142.46</v>
      </c>
      <c r="H628">
        <f t="shared" si="825"/>
        <v>1</v>
      </c>
      <c r="I628" s="18">
        <f>INDEX(WeeklyIndicators!Y:Y,MATCH(A628,WeeklyIndicators!A:A,0))</f>
        <v>136.22999999999999</v>
      </c>
      <c r="J628">
        <f t="shared" si="814"/>
        <v>1</v>
      </c>
      <c r="K628">
        <f>ROUND(INDEX(Economic!AF:AF,MATCH(EOMONTH($A628,-1),Economic!A:A,0)),2)</f>
        <v>104.33</v>
      </c>
      <c r="L628" s="11">
        <f t="shared" si="823"/>
        <v>0</v>
      </c>
      <c r="M628">
        <f>ROUND(INDEX(Manufacturing!P:P,MATCH(EOMONTH($A628,-1),Manufacturing!A:A,0)),2)</f>
        <v>85.63</v>
      </c>
      <c r="N628">
        <f t="shared" si="819"/>
        <v>0</v>
      </c>
      <c r="O628">
        <f>ROUND(INDEX(Housing!AC:AC,MATCH(EOMONTH($A628,-1),Housing!B:B,0)),2)</f>
        <v>60.92</v>
      </c>
      <c r="P628">
        <f t="shared" si="820"/>
        <v>-2</v>
      </c>
      <c r="Q628">
        <f>ROUND(INDEX(Spending!AJ:AJ,MATCH(EOMONTH($A628,-1),Spending!B:B,0)),2)</f>
        <v>58.3</v>
      </c>
      <c r="R628">
        <f t="shared" si="824"/>
        <v>1</v>
      </c>
      <c r="S628">
        <f>ROUND(INDEX(Employment!V:V,MATCH(EOMONTH($A628,-1),Employment!A:A,0)),2)</f>
        <v>155.99</v>
      </c>
      <c r="T628" s="11">
        <f t="shared" si="821"/>
        <v>0</v>
      </c>
      <c r="U628">
        <f t="shared" si="813"/>
        <v>23</v>
      </c>
      <c r="V628">
        <f t="shared" si="805"/>
        <v>68.83</v>
      </c>
      <c r="W628" s="13">
        <f t="shared" si="806"/>
        <v>-1.4999999999999999E-2</v>
      </c>
      <c r="X628" s="13">
        <f t="shared" si="807"/>
        <v>-7.6399999999999996E-2</v>
      </c>
      <c r="Y628">
        <f t="shared" si="799"/>
        <v>74.34</v>
      </c>
      <c r="Z628" s="13">
        <f t="shared" si="794"/>
        <v>-8.6E-3</v>
      </c>
      <c r="AA628" s="13">
        <f t="shared" si="826"/>
        <v>-6.7099999999999993E-2</v>
      </c>
      <c r="AB628" s="6">
        <f t="shared" si="800"/>
        <v>78.116</v>
      </c>
      <c r="AC628">
        <f t="shared" si="792"/>
        <v>39</v>
      </c>
      <c r="AD628" s="11">
        <f t="shared" si="793"/>
        <v>0</v>
      </c>
      <c r="AE628">
        <f t="shared" si="791"/>
        <v>25</v>
      </c>
      <c r="AF628">
        <f>IF(AND(AE628&lt;15,OR(AC628&gt;=30,AA628&gt;0.15,X628&gt;=0.15)),2,VLOOKUP(AE628,Table!P:Q,2,FALSE))</f>
        <v>3</v>
      </c>
      <c r="AG628" s="22">
        <f>IF((AB628*0.98)-(D628*0.8)+((AF628-3)*3)+VLOOKUP(AM628,Table!$A$11:$B$13,2,FALSE)&lt;0,0,(AB628*0.98)-(D628*0.8)+((AF628-3)*3)+VLOOKUP(AM628,Table!$A$11:$B$13,2,FALSE))</f>
        <v>75.241680000000002</v>
      </c>
      <c r="AH628" s="22">
        <f t="shared" si="822"/>
        <v>73</v>
      </c>
      <c r="AI628" s="18">
        <f t="shared" si="815"/>
        <v>4.87</v>
      </c>
      <c r="AJ628" s="18">
        <f t="shared" si="816"/>
        <v>4.5199999999999996</v>
      </c>
      <c r="AK628" t="str">
        <f t="shared" si="801"/>
        <v>Rising Rates</v>
      </c>
      <c r="AL628">
        <f t="shared" si="812"/>
        <v>24</v>
      </c>
      <c r="AM628" s="11" t="str">
        <f t="shared" si="802"/>
        <v>Stocks</v>
      </c>
      <c r="AN628" t="str">
        <f t="shared" si="808"/>
        <v>Buy</v>
      </c>
      <c r="AO628" s="13">
        <f t="shared" si="809"/>
        <v>-5.4999999999999997E-3</v>
      </c>
      <c r="AP628" s="13">
        <f t="shared" si="810"/>
        <v>1E-3</v>
      </c>
      <c r="AQ628" s="13">
        <f t="shared" si="811"/>
        <v>-3.7000000000000002E-3</v>
      </c>
      <c r="AR628" s="13">
        <f t="shared" si="803"/>
        <v>-5.4999999999999997E-3</v>
      </c>
      <c r="AS628" s="6">
        <f t="shared" si="795"/>
        <v>324.40173199356428</v>
      </c>
      <c r="AT628" s="6">
        <f t="shared" si="796"/>
        <v>172.28294746333998</v>
      </c>
      <c r="AU628" s="6">
        <f t="shared" si="797"/>
        <v>371.37703740271428</v>
      </c>
      <c r="AV628" s="6">
        <f t="shared" si="798"/>
        <v>459.19754190096091</v>
      </c>
      <c r="AW628" s="58">
        <f t="shared" si="804"/>
        <v>2006</v>
      </c>
      <c r="AX628" s="58">
        <f>COUNTIF(AW$3:AW628,AW628)</f>
        <v>20</v>
      </c>
    </row>
    <row r="629" spans="1:50" x14ac:dyDescent="0.25">
      <c r="A629" s="5">
        <v>38942</v>
      </c>
      <c r="B629">
        <v>1266.74</v>
      </c>
      <c r="C629">
        <v>4.95</v>
      </c>
      <c r="D629" s="6">
        <v>14.3</v>
      </c>
      <c r="E629" s="18">
        <f t="shared" si="817"/>
        <v>14.32</v>
      </c>
      <c r="F629">
        <f t="shared" si="818"/>
        <v>1</v>
      </c>
      <c r="G629" s="18">
        <f>ROUND(INDEX(Valuation!U:U,MATCH(A629,Valuation!A:A,0)),2)</f>
        <v>142.16</v>
      </c>
      <c r="H629">
        <f t="shared" si="825"/>
        <v>1</v>
      </c>
      <c r="I629" s="18">
        <f>INDEX(WeeklyIndicators!Y:Y,MATCH(A629,WeeklyIndicators!A:A,0))</f>
        <v>128.47</v>
      </c>
      <c r="J629">
        <f t="shared" si="814"/>
        <v>0</v>
      </c>
      <c r="K629">
        <f>ROUND(INDEX(Economic!AF:AF,MATCH(EOMONTH($A629,-1),Economic!A:A,0)),2)</f>
        <v>104.33</v>
      </c>
      <c r="L629" s="11">
        <f t="shared" si="823"/>
        <v>0</v>
      </c>
      <c r="M629">
        <f>ROUND(INDEX(Manufacturing!P:P,MATCH(EOMONTH($A629,-1),Manufacturing!A:A,0)),2)</f>
        <v>85.63</v>
      </c>
      <c r="N629">
        <f t="shared" si="819"/>
        <v>0</v>
      </c>
      <c r="O629">
        <f>ROUND(INDEX(Housing!AC:AC,MATCH(EOMONTH($A629,-1),Housing!B:B,0)),2)</f>
        <v>60.92</v>
      </c>
      <c r="P629">
        <f t="shared" si="820"/>
        <v>-2</v>
      </c>
      <c r="Q629">
        <f>ROUND(INDEX(Spending!AJ:AJ,MATCH(EOMONTH($A629,-1),Spending!B:B,0)),2)</f>
        <v>58.3</v>
      </c>
      <c r="R629">
        <f t="shared" si="824"/>
        <v>1</v>
      </c>
      <c r="S629">
        <f>ROUND(INDEX(Employment!V:V,MATCH(EOMONTH($A629,-1),Employment!A:A,0)),2)</f>
        <v>155.99</v>
      </c>
      <c r="T629" s="11">
        <f t="shared" si="821"/>
        <v>0</v>
      </c>
      <c r="U629">
        <f t="shared" si="813"/>
        <v>21</v>
      </c>
      <c r="V629">
        <f t="shared" si="805"/>
        <v>68.03</v>
      </c>
      <c r="W629" s="13">
        <f t="shared" si="806"/>
        <v>-2.2499999999999999E-2</v>
      </c>
      <c r="X629" s="13">
        <f t="shared" si="807"/>
        <v>-6.7799999999999999E-2</v>
      </c>
      <c r="Y629">
        <f t="shared" si="799"/>
        <v>73.19</v>
      </c>
      <c r="Z629" s="13">
        <f t="shared" si="794"/>
        <v>-1.77E-2</v>
      </c>
      <c r="AA629" s="13">
        <f t="shared" si="826"/>
        <v>-6.6900000000000001E-2</v>
      </c>
      <c r="AB629" s="6">
        <f t="shared" si="800"/>
        <v>77.015999999999991</v>
      </c>
      <c r="AC629">
        <f t="shared" si="792"/>
        <v>39</v>
      </c>
      <c r="AD629" s="11">
        <f t="shared" si="793"/>
        <v>0</v>
      </c>
      <c r="AE629">
        <f t="shared" si="791"/>
        <v>23</v>
      </c>
      <c r="AF629">
        <f>IF(AND(AE629&lt;15,OR(AC629&gt;=30,AA629&gt;0.15,X629&gt;=0.15)),2,VLOOKUP(AE629,Table!P:Q,2,FALSE))</f>
        <v>3</v>
      </c>
      <c r="AG629" s="22">
        <f>IF((AB629*0.98)-(D629*0.8)+((AF629-3)*3)+VLOOKUP(AM629,Table!$A$11:$B$13,2,FALSE)&lt;0,0,(AB629*0.98)-(D629*0.8)+((AF629-3)*3)+VLOOKUP(AM629,Table!$A$11:$B$13,2,FALSE))</f>
        <v>72.035679999999999</v>
      </c>
      <c r="AH629" s="22">
        <f t="shared" si="822"/>
        <v>73</v>
      </c>
      <c r="AI629" s="18">
        <f t="shared" si="815"/>
        <v>4.8499999999999996</v>
      </c>
      <c r="AJ629" s="18">
        <f t="shared" si="816"/>
        <v>4.49</v>
      </c>
      <c r="AK629" t="str">
        <f t="shared" si="801"/>
        <v>Rising Rates</v>
      </c>
      <c r="AL629">
        <f t="shared" si="812"/>
        <v>24.25</v>
      </c>
      <c r="AM629" s="11" t="str">
        <f t="shared" si="802"/>
        <v>Stocks</v>
      </c>
      <c r="AN629" t="str">
        <f t="shared" si="808"/>
        <v>Buy</v>
      </c>
      <c r="AO629" s="13">
        <f t="shared" si="809"/>
        <v>2.81E-2</v>
      </c>
      <c r="AP629" s="13">
        <f t="shared" si="810"/>
        <v>1E-3</v>
      </c>
      <c r="AQ629" s="13">
        <f t="shared" si="811"/>
        <v>2.0799999999999999E-2</v>
      </c>
      <c r="AR629" s="13">
        <f t="shared" si="803"/>
        <v>2.81E-2</v>
      </c>
      <c r="AS629" s="6">
        <f t="shared" si="795"/>
        <v>315.5351930683438</v>
      </c>
      <c r="AT629" s="6">
        <f t="shared" si="796"/>
        <v>172.11083662671328</v>
      </c>
      <c r="AU629" s="6">
        <f t="shared" si="797"/>
        <v>363.80979369388155</v>
      </c>
      <c r="AV629" s="6">
        <f t="shared" si="798"/>
        <v>446.64676772780945</v>
      </c>
      <c r="AW629" s="58">
        <f t="shared" si="804"/>
        <v>2006</v>
      </c>
      <c r="AX629" s="58">
        <f>COUNTIF(AW$3:AW629,AW629)</f>
        <v>21</v>
      </c>
    </row>
    <row r="630" spans="1:50" x14ac:dyDescent="0.25">
      <c r="A630" s="5">
        <v>38935</v>
      </c>
      <c r="B630">
        <v>1279.3599999999999</v>
      </c>
      <c r="C630">
        <v>4.97</v>
      </c>
      <c r="D630" s="6">
        <v>14.34</v>
      </c>
      <c r="E630" s="18">
        <f t="shared" si="817"/>
        <v>15.36</v>
      </c>
      <c r="F630">
        <f t="shared" si="818"/>
        <v>1</v>
      </c>
      <c r="G630" s="18">
        <f>ROUND(INDEX(Valuation!U:U,MATCH(A630,Valuation!A:A,0)),2)</f>
        <v>141.83000000000001</v>
      </c>
      <c r="H630">
        <f t="shared" si="825"/>
        <v>1</v>
      </c>
      <c r="I630" s="18">
        <f>INDEX(WeeklyIndicators!Y:Y,MATCH(A630,WeeklyIndicators!A:A,0))</f>
        <v>123.07</v>
      </c>
      <c r="J630">
        <f t="shared" si="814"/>
        <v>0</v>
      </c>
      <c r="K630">
        <f>ROUND(INDEX(Economic!AF:AF,MATCH(EOMONTH($A630,-1),Economic!A:A,0)),2)</f>
        <v>104.33</v>
      </c>
      <c r="L630" s="11">
        <f t="shared" si="823"/>
        <v>0</v>
      </c>
      <c r="M630">
        <f>ROUND(INDEX(Manufacturing!P:P,MATCH(EOMONTH($A630,-1),Manufacturing!A:A,0)),2)</f>
        <v>85.63</v>
      </c>
      <c r="N630">
        <f t="shared" si="819"/>
        <v>0</v>
      </c>
      <c r="O630">
        <f>ROUND(INDEX(Housing!AC:AC,MATCH(EOMONTH($A630,-1),Housing!B:B,0)),2)</f>
        <v>60.92</v>
      </c>
      <c r="P630">
        <f t="shared" si="820"/>
        <v>-2</v>
      </c>
      <c r="Q630">
        <f>ROUND(INDEX(Spending!AJ:AJ,MATCH(EOMONTH($A630,-1),Spending!B:B,0)),2)</f>
        <v>58.3</v>
      </c>
      <c r="R630">
        <f t="shared" si="824"/>
        <v>1</v>
      </c>
      <c r="S630">
        <f>ROUND(INDEX(Employment!V:V,MATCH(EOMONTH($A630,-1),Employment!A:A,0)),2)</f>
        <v>155.99</v>
      </c>
      <c r="T630" s="11">
        <f t="shared" si="821"/>
        <v>0</v>
      </c>
      <c r="U630">
        <f t="shared" si="813"/>
        <v>21</v>
      </c>
      <c r="V630">
        <f t="shared" si="805"/>
        <v>67.47</v>
      </c>
      <c r="W630" s="13">
        <f t="shared" si="806"/>
        <v>-2.87E-2</v>
      </c>
      <c r="X630" s="13">
        <f t="shared" si="807"/>
        <v>-6.1800000000000008E-2</v>
      </c>
      <c r="Y630">
        <f t="shared" si="799"/>
        <v>72.23</v>
      </c>
      <c r="Z630" s="13">
        <f t="shared" si="794"/>
        <v>-2.7400000000000001E-2</v>
      </c>
      <c r="AA630" s="13">
        <f t="shared" si="826"/>
        <v>-6.3200000000000006E-2</v>
      </c>
      <c r="AB630" s="6">
        <f t="shared" si="800"/>
        <v>76.313000000000002</v>
      </c>
      <c r="AC630">
        <f t="shared" si="792"/>
        <v>38</v>
      </c>
      <c r="AD630" s="11">
        <f t="shared" si="793"/>
        <v>0</v>
      </c>
      <c r="AE630">
        <f t="shared" si="791"/>
        <v>23</v>
      </c>
      <c r="AF630">
        <f>IF(AND(AE630&lt;15,OR(AC630&gt;=30,AA630&gt;0.15,X630&gt;=0.15)),2,VLOOKUP(AE630,Table!P:Q,2,FALSE))</f>
        <v>3</v>
      </c>
      <c r="AG630" s="22">
        <f>IF((AB630*0.98)-(D630*0.8)+((AF630-3)*3)+VLOOKUP(AM630,Table!$A$11:$B$13,2,FALSE)&lt;0,0,(AB630*0.98)-(D630*0.8)+((AF630-3)*3)+VLOOKUP(AM630,Table!$A$11:$B$13,2,FALSE))</f>
        <v>71.31474</v>
      </c>
      <c r="AH630" s="22">
        <f t="shared" si="822"/>
        <v>76</v>
      </c>
      <c r="AI630" s="18">
        <f t="shared" si="815"/>
        <v>4.83</v>
      </c>
      <c r="AJ630" s="18">
        <f t="shared" si="816"/>
        <v>4.47</v>
      </c>
      <c r="AK630" t="str">
        <f t="shared" si="801"/>
        <v>Rising Rates</v>
      </c>
      <c r="AL630">
        <f t="shared" si="812"/>
        <v>25.5</v>
      </c>
      <c r="AM630" s="11" t="str">
        <f t="shared" si="802"/>
        <v>Stocks</v>
      </c>
      <c r="AN630" t="str">
        <f t="shared" si="808"/>
        <v>Buy</v>
      </c>
      <c r="AO630" s="13">
        <f t="shared" si="809"/>
        <v>-9.9000000000000008E-3</v>
      </c>
      <c r="AP630" s="13">
        <f t="shared" si="810"/>
        <v>1E-3</v>
      </c>
      <c r="AQ630" s="13">
        <f t="shared" si="811"/>
        <v>-7.3000000000000001E-3</v>
      </c>
      <c r="AR630" s="13">
        <f t="shared" si="803"/>
        <v>-9.9000000000000008E-3</v>
      </c>
      <c r="AS630" s="6">
        <f t="shared" si="795"/>
        <v>318.69022630880096</v>
      </c>
      <c r="AT630" s="6">
        <f t="shared" si="796"/>
        <v>171.9388977289843</v>
      </c>
      <c r="AU630" s="6">
        <f t="shared" si="797"/>
        <v>366.48513518070064</v>
      </c>
      <c r="AV630" s="6">
        <f t="shared" si="798"/>
        <v>451.11278429230327</v>
      </c>
      <c r="AW630" s="58">
        <f t="shared" si="804"/>
        <v>2006</v>
      </c>
      <c r="AX630" s="58">
        <f>COUNTIF(AW$3:AW630,AW630)</f>
        <v>22</v>
      </c>
    </row>
    <row r="631" spans="1:50" x14ac:dyDescent="0.25">
      <c r="A631" s="5">
        <v>38928</v>
      </c>
      <c r="B631">
        <v>1278.55</v>
      </c>
      <c r="C631">
        <v>4.97</v>
      </c>
      <c r="D631" s="6">
        <v>14.33</v>
      </c>
      <c r="E631" s="18">
        <f t="shared" si="817"/>
        <v>16.59</v>
      </c>
      <c r="F631">
        <f t="shared" si="818"/>
        <v>0</v>
      </c>
      <c r="G631" s="18">
        <f>ROUND(INDEX(Valuation!U:U,MATCH(A631,Valuation!A:A,0)),2)</f>
        <v>141.41999999999999</v>
      </c>
      <c r="H631">
        <f t="shared" si="825"/>
        <v>1</v>
      </c>
      <c r="I631" s="18">
        <f>INDEX(WeeklyIndicators!Y:Y,MATCH(A631,WeeklyIndicators!A:A,0))</f>
        <v>125.54</v>
      </c>
      <c r="J631">
        <f t="shared" si="814"/>
        <v>0</v>
      </c>
      <c r="K631">
        <f>ROUND(INDEX(Economic!AF:AF,MATCH(EOMONTH($A631,-1),Economic!A:A,0)),2)</f>
        <v>119.94</v>
      </c>
      <c r="L631" s="11">
        <f t="shared" si="823"/>
        <v>1</v>
      </c>
      <c r="M631">
        <f>ROUND(INDEX(Manufacturing!P:P,MATCH(EOMONTH($A631,-1),Manufacturing!A:A,0)),2)</f>
        <v>87.3</v>
      </c>
      <c r="N631">
        <f t="shared" si="819"/>
        <v>0</v>
      </c>
      <c r="O631">
        <f>ROUND(INDEX(Housing!AC:AC,MATCH(EOMONTH($A631,-1),Housing!B:B,0)),2)</f>
        <v>74.069999999999993</v>
      </c>
      <c r="P631">
        <f t="shared" si="820"/>
        <v>-2</v>
      </c>
      <c r="Q631">
        <f>ROUND(INDEX(Spending!AJ:AJ,MATCH(EOMONTH($A631,-1),Spending!B:B,0)),2)</f>
        <v>61.06</v>
      </c>
      <c r="R631">
        <f t="shared" si="824"/>
        <v>2</v>
      </c>
      <c r="S631">
        <f>ROUND(INDEX(Employment!V:V,MATCH(EOMONTH($A631,-1),Employment!A:A,0)),2)</f>
        <v>163.85</v>
      </c>
      <c r="T631" s="11">
        <f t="shared" si="821"/>
        <v>1</v>
      </c>
      <c r="U631">
        <f t="shared" si="813"/>
        <v>23</v>
      </c>
      <c r="V631">
        <f t="shared" si="805"/>
        <v>71.95</v>
      </c>
      <c r="W631" s="13">
        <f t="shared" si="806"/>
        <v>-1.0200000000000001E-2</v>
      </c>
      <c r="X631" s="13">
        <f t="shared" si="807"/>
        <v>-4.1500000000000002E-2</v>
      </c>
      <c r="Y631">
        <f t="shared" si="799"/>
        <v>76.239999999999995</v>
      </c>
      <c r="Z631" s="13">
        <f t="shared" si="794"/>
        <v>-1.34E-2</v>
      </c>
      <c r="AA631" s="13">
        <f t="shared" si="826"/>
        <v>-4.1399999999999999E-2</v>
      </c>
      <c r="AB631" s="6">
        <f t="shared" si="800"/>
        <v>82.091999999999999</v>
      </c>
      <c r="AC631">
        <f t="shared" si="792"/>
        <v>41</v>
      </c>
      <c r="AD631" s="11">
        <f t="shared" si="793"/>
        <v>0</v>
      </c>
      <c r="AE631">
        <f t="shared" si="791"/>
        <v>25</v>
      </c>
      <c r="AF631">
        <f>IF(AND(AE631&lt;15,OR(AC631&gt;=30,AA631&gt;0.15,X631&gt;=0.15)),2,VLOOKUP(AE631,Table!P:Q,2,FALSE))</f>
        <v>3</v>
      </c>
      <c r="AG631" s="22">
        <f>IF((AB631*0.98)-(D631*0.8)+((AF631-3)*3)+VLOOKUP(AM631,Table!$A$11:$B$13,2,FALSE)&lt;0,0,(AB631*0.98)-(D631*0.8)+((AF631-3)*3)+VLOOKUP(AM631,Table!$A$11:$B$13,2,FALSE))</f>
        <v>76.986159999999998</v>
      </c>
      <c r="AH631" s="22">
        <f t="shared" si="822"/>
        <v>79</v>
      </c>
      <c r="AI631" s="18">
        <f t="shared" si="815"/>
        <v>4.8099999999999996</v>
      </c>
      <c r="AJ631" s="18">
        <f t="shared" si="816"/>
        <v>4.4400000000000004</v>
      </c>
      <c r="AK631" t="str">
        <f t="shared" si="801"/>
        <v>Rising Rates</v>
      </c>
      <c r="AL631">
        <f t="shared" si="812"/>
        <v>26.75</v>
      </c>
      <c r="AM631" s="11" t="str">
        <f t="shared" si="802"/>
        <v>Stocks</v>
      </c>
      <c r="AN631" t="str">
        <f t="shared" si="808"/>
        <v>Buy</v>
      </c>
      <c r="AO631" s="13">
        <f t="shared" si="809"/>
        <v>5.9999999999999995E-4</v>
      </c>
      <c r="AP631" s="13">
        <f t="shared" si="810"/>
        <v>1E-3</v>
      </c>
      <c r="AQ631" s="13">
        <f t="shared" si="811"/>
        <v>6.9999999999999999E-4</v>
      </c>
      <c r="AR631" s="13">
        <f t="shared" si="803"/>
        <v>5.9999999999999995E-4</v>
      </c>
      <c r="AS631" s="6">
        <f t="shared" si="795"/>
        <v>318.49912683270134</v>
      </c>
      <c r="AT631" s="6">
        <f t="shared" si="796"/>
        <v>171.76713059838593</v>
      </c>
      <c r="AU631" s="6">
        <f t="shared" si="797"/>
        <v>366.22877503817392</v>
      </c>
      <c r="AV631" s="6">
        <f t="shared" si="798"/>
        <v>450.84227892494835</v>
      </c>
      <c r="AW631" s="58">
        <f t="shared" si="804"/>
        <v>2006</v>
      </c>
      <c r="AX631" s="58">
        <f>COUNTIF(AW$3:AW631,AW631)</f>
        <v>23</v>
      </c>
    </row>
    <row r="632" spans="1:50" x14ac:dyDescent="0.25">
      <c r="A632" s="5">
        <v>38921</v>
      </c>
      <c r="B632">
        <v>1240.29</v>
      </c>
      <c r="C632">
        <v>4.97</v>
      </c>
      <c r="D632" s="6">
        <v>17.399999999999999</v>
      </c>
      <c r="E632" s="18">
        <f t="shared" si="817"/>
        <v>16.47</v>
      </c>
      <c r="F632">
        <f t="shared" si="818"/>
        <v>0</v>
      </c>
      <c r="G632" s="18">
        <f>ROUND(INDEX(Valuation!U:U,MATCH(A632,Valuation!A:A,0)),2)</f>
        <v>141.81</v>
      </c>
      <c r="H632">
        <f t="shared" si="825"/>
        <v>1</v>
      </c>
      <c r="I632" s="18">
        <f>INDEX(WeeklyIndicators!Y:Y,MATCH(A632,WeeklyIndicators!A:A,0))</f>
        <v>133.75</v>
      </c>
      <c r="J632">
        <f t="shared" si="814"/>
        <v>0</v>
      </c>
      <c r="K632">
        <f>ROUND(INDEX(Economic!AF:AF,MATCH(EOMONTH($A632,-1),Economic!A:A,0)),2)</f>
        <v>119.94</v>
      </c>
      <c r="L632" s="11">
        <f t="shared" si="823"/>
        <v>1</v>
      </c>
      <c r="M632">
        <f>ROUND(INDEX(Manufacturing!P:P,MATCH(EOMONTH($A632,-1),Manufacturing!A:A,0)),2)</f>
        <v>87.3</v>
      </c>
      <c r="N632">
        <f t="shared" si="819"/>
        <v>0</v>
      </c>
      <c r="O632">
        <f>ROUND(INDEX(Housing!AC:AC,MATCH(EOMONTH($A632,-1),Housing!B:B,0)),2)</f>
        <v>74.069999999999993</v>
      </c>
      <c r="P632">
        <f t="shared" si="820"/>
        <v>-2</v>
      </c>
      <c r="Q632">
        <f>ROUND(INDEX(Spending!AJ:AJ,MATCH(EOMONTH($A632,-1),Spending!B:B,0)),2)</f>
        <v>61.06</v>
      </c>
      <c r="R632">
        <f t="shared" si="824"/>
        <v>2</v>
      </c>
      <c r="S632">
        <f>ROUND(INDEX(Employment!V:V,MATCH(EOMONTH($A632,-1),Employment!A:A,0)),2)</f>
        <v>163.85</v>
      </c>
      <c r="T632" s="11">
        <f t="shared" si="821"/>
        <v>1</v>
      </c>
      <c r="U632">
        <f t="shared" si="813"/>
        <v>23</v>
      </c>
      <c r="V632">
        <f t="shared" si="805"/>
        <v>72.8</v>
      </c>
      <c r="W632" s="13">
        <f t="shared" si="806"/>
        <v>-6.4000000000000003E-3</v>
      </c>
      <c r="X632" s="13">
        <f t="shared" si="807"/>
        <v>-3.5099999999999999E-2</v>
      </c>
      <c r="Y632">
        <f t="shared" si="799"/>
        <v>77.180000000000007</v>
      </c>
      <c r="Z632" s="13">
        <f t="shared" si="794"/>
        <v>-8.3999999999999995E-3</v>
      </c>
      <c r="AA632" s="13">
        <f t="shared" si="826"/>
        <v>-3.1200000000000002E-2</v>
      </c>
      <c r="AB632" s="6">
        <f t="shared" si="800"/>
        <v>83.850999999999999</v>
      </c>
      <c r="AC632">
        <f t="shared" si="792"/>
        <v>42</v>
      </c>
      <c r="AD632" s="11">
        <f t="shared" si="793"/>
        <v>1</v>
      </c>
      <c r="AE632">
        <f t="shared" ref="AE632:AE695" si="827">IF(AND(AA632&gt;=0.2,AC632&gt;=20,U632+AD632+2&lt;30),U632+AD632+2+12,U632+AD632+2)</f>
        <v>26</v>
      </c>
      <c r="AF632">
        <f>IF(AND(AE632&lt;15,OR(AC632&gt;=30,AA632&gt;0.15,X632&gt;=0.15)),2,VLOOKUP(AE632,Table!P:Q,2,FALSE))</f>
        <v>4</v>
      </c>
      <c r="AG632" s="22">
        <f>IF((AB632*0.98)-(D632*0.8)+((AF632-3)*3)+VLOOKUP(AM632,Table!$A$11:$B$13,2,FALSE)&lt;0,0,(AB632*0.98)-(D632*0.8)+((AF632-3)*3)+VLOOKUP(AM632,Table!$A$11:$B$13,2,FALSE))</f>
        <v>79.253979999999999</v>
      </c>
      <c r="AH632" s="22">
        <f t="shared" si="822"/>
        <v>82</v>
      </c>
      <c r="AI632" s="18">
        <f t="shared" si="815"/>
        <v>4.79</v>
      </c>
      <c r="AJ632" s="18">
        <f t="shared" si="816"/>
        <v>4.41</v>
      </c>
      <c r="AK632" t="str">
        <f t="shared" si="801"/>
        <v>Rising Rates</v>
      </c>
      <c r="AL632">
        <f t="shared" si="812"/>
        <v>27.5</v>
      </c>
      <c r="AM632" s="11" t="str">
        <f t="shared" si="802"/>
        <v>Stocks</v>
      </c>
      <c r="AN632" t="str">
        <f t="shared" si="808"/>
        <v>Buy</v>
      </c>
      <c r="AO632" s="13">
        <f t="shared" si="809"/>
        <v>3.0800000000000001E-2</v>
      </c>
      <c r="AP632" s="13">
        <f t="shared" si="810"/>
        <v>1E-3</v>
      </c>
      <c r="AQ632" s="13">
        <f t="shared" si="811"/>
        <v>2.5399999999999999E-2</v>
      </c>
      <c r="AR632" s="13">
        <f t="shared" si="803"/>
        <v>3.0800000000000001E-2</v>
      </c>
      <c r="AS632" s="6">
        <f t="shared" si="795"/>
        <v>308.98246685361016</v>
      </c>
      <c r="AT632" s="6">
        <f t="shared" si="796"/>
        <v>171.59553506332264</v>
      </c>
      <c r="AU632" s="6">
        <f t="shared" si="797"/>
        <v>357.1569875542948</v>
      </c>
      <c r="AV632" s="6">
        <f t="shared" si="798"/>
        <v>437.37124459152926</v>
      </c>
      <c r="AW632" s="58">
        <f t="shared" si="804"/>
        <v>2006</v>
      </c>
      <c r="AX632" s="58">
        <f>COUNTIF(AW$3:AW632,AW632)</f>
        <v>24</v>
      </c>
    </row>
    <row r="633" spans="1:50" x14ac:dyDescent="0.25">
      <c r="A633" s="5">
        <v>38914</v>
      </c>
      <c r="B633">
        <v>1236.2</v>
      </c>
      <c r="C633">
        <v>4.93</v>
      </c>
      <c r="D633" s="6">
        <v>18.05</v>
      </c>
      <c r="E633" s="18">
        <f t="shared" si="817"/>
        <v>15.03</v>
      </c>
      <c r="F633">
        <f t="shared" si="818"/>
        <v>1</v>
      </c>
      <c r="G633" s="18">
        <f>ROUND(INDEX(Valuation!U:U,MATCH(A633,Valuation!A:A,0)),2)</f>
        <v>141.65</v>
      </c>
      <c r="H633">
        <f t="shared" si="825"/>
        <v>1</v>
      </c>
      <c r="I633" s="18">
        <f>INDEX(WeeklyIndicators!Y:Y,MATCH(A633,WeeklyIndicators!A:A,0))</f>
        <v>142.68</v>
      </c>
      <c r="J633">
        <f t="shared" si="814"/>
        <v>1</v>
      </c>
      <c r="K633">
        <f>ROUND(INDEX(Economic!AF:AF,MATCH(EOMONTH($A633,-1),Economic!A:A,0)),2)</f>
        <v>119.94</v>
      </c>
      <c r="L633" s="11">
        <f t="shared" si="823"/>
        <v>1</v>
      </c>
      <c r="M633">
        <f>ROUND(INDEX(Manufacturing!P:P,MATCH(EOMONTH($A633,-1),Manufacturing!A:A,0)),2)</f>
        <v>87.3</v>
      </c>
      <c r="N633">
        <f t="shared" si="819"/>
        <v>0</v>
      </c>
      <c r="O633">
        <f>ROUND(INDEX(Housing!AC:AC,MATCH(EOMONTH($A633,-1),Housing!B:B,0)),2)</f>
        <v>74.069999999999993</v>
      </c>
      <c r="P633">
        <f t="shared" si="820"/>
        <v>-2</v>
      </c>
      <c r="Q633">
        <f>ROUND(INDEX(Spending!AJ:AJ,MATCH(EOMONTH($A633,-1),Spending!B:B,0)),2)</f>
        <v>61.06</v>
      </c>
      <c r="R633">
        <f t="shared" si="824"/>
        <v>2</v>
      </c>
      <c r="S633">
        <f>ROUND(INDEX(Employment!V:V,MATCH(EOMONTH($A633,-1),Employment!A:A,0)),2)</f>
        <v>163.85</v>
      </c>
      <c r="T633" s="11">
        <f t="shared" si="821"/>
        <v>1</v>
      </c>
      <c r="U633">
        <f t="shared" si="813"/>
        <v>25</v>
      </c>
      <c r="V633">
        <f t="shared" si="805"/>
        <v>73.73</v>
      </c>
      <c r="W633" s="13">
        <f t="shared" si="806"/>
        <v>-1.6500000000000001E-2</v>
      </c>
      <c r="X633" s="13">
        <f t="shared" si="807"/>
        <v>-1.8200000000000001E-2</v>
      </c>
      <c r="Y633">
        <f t="shared" si="799"/>
        <v>78.59</v>
      </c>
      <c r="Z633" s="13">
        <f t="shared" si="794"/>
        <v>-1.4E-2</v>
      </c>
      <c r="AA633" s="13">
        <f t="shared" si="826"/>
        <v>-1.5000000000000001E-2</v>
      </c>
      <c r="AB633" s="6">
        <f t="shared" si="800"/>
        <v>86.525000000000006</v>
      </c>
      <c r="AC633">
        <f t="shared" si="792"/>
        <v>43</v>
      </c>
      <c r="AD633" s="11">
        <f t="shared" si="793"/>
        <v>1</v>
      </c>
      <c r="AE633">
        <f t="shared" si="827"/>
        <v>28</v>
      </c>
      <c r="AF633">
        <f>IF(AND(AE633&lt;15,OR(AC633&gt;=30,AA633&gt;0.15,X633&gt;=0.15)),2,VLOOKUP(AE633,Table!P:Q,2,FALSE))</f>
        <v>4</v>
      </c>
      <c r="AG633" s="22">
        <f>IF((AB633*0.98)-(D633*0.8)+((AF633-3)*3)+VLOOKUP(AM633,Table!$A$11:$B$13,2,FALSE)&lt;0,0,(AB633*0.98)-(D633*0.8)+((AF633-3)*3)+VLOOKUP(AM633,Table!$A$11:$B$13,2,FALSE))</f>
        <v>81.354500000000002</v>
      </c>
      <c r="AH633" s="22">
        <f t="shared" si="822"/>
        <v>84</v>
      </c>
      <c r="AI633" s="18">
        <f t="shared" si="815"/>
        <v>4.76</v>
      </c>
      <c r="AJ633" s="18">
        <f t="shared" si="816"/>
        <v>4.38</v>
      </c>
      <c r="AK633" t="str">
        <f t="shared" si="801"/>
        <v>Rising Rates</v>
      </c>
      <c r="AL633">
        <f t="shared" si="812"/>
        <v>28.5</v>
      </c>
      <c r="AM633" s="11" t="str">
        <f t="shared" si="802"/>
        <v>Stocks</v>
      </c>
      <c r="AN633" t="str">
        <f t="shared" si="808"/>
        <v>Buy</v>
      </c>
      <c r="AO633" s="13">
        <f t="shared" si="809"/>
        <v>3.3E-3</v>
      </c>
      <c r="AP633" s="13">
        <f t="shared" si="810"/>
        <v>8.9999999999999998E-4</v>
      </c>
      <c r="AQ633" s="13">
        <f t="shared" si="811"/>
        <v>2.8999999999999998E-3</v>
      </c>
      <c r="AR633" s="13">
        <f t="shared" si="803"/>
        <v>3.3E-3</v>
      </c>
      <c r="AS633" s="6">
        <f t="shared" si="795"/>
        <v>307.96617846467672</v>
      </c>
      <c r="AT633" s="6">
        <f t="shared" si="796"/>
        <v>171.4412379491684</v>
      </c>
      <c r="AU633" s="6">
        <f t="shared" si="797"/>
        <v>356.12422729513895</v>
      </c>
      <c r="AV633" s="6">
        <f t="shared" si="798"/>
        <v>435.93266679111855</v>
      </c>
      <c r="AW633" s="58">
        <f t="shared" si="804"/>
        <v>2006</v>
      </c>
      <c r="AX633" s="58">
        <f>COUNTIF(AW$3:AW633,AW633)</f>
        <v>25</v>
      </c>
    </row>
    <row r="634" spans="1:50" x14ac:dyDescent="0.25">
      <c r="A634" s="5">
        <v>38907</v>
      </c>
      <c r="B634">
        <v>1265.48</v>
      </c>
      <c r="C634">
        <v>4.9000000000000004</v>
      </c>
      <c r="D634" s="6">
        <v>13.97</v>
      </c>
      <c r="E634" s="18">
        <f t="shared" si="817"/>
        <v>14.31</v>
      </c>
      <c r="F634">
        <f t="shared" si="818"/>
        <v>1</v>
      </c>
      <c r="G634" s="18">
        <f>ROUND(INDEX(Valuation!U:U,MATCH(A634,Valuation!A:A,0)),2)</f>
        <v>142.26</v>
      </c>
      <c r="H634">
        <f t="shared" si="825"/>
        <v>1</v>
      </c>
      <c r="I634" s="18">
        <f>INDEX(WeeklyIndicators!Y:Y,MATCH(A634,WeeklyIndicators!A:A,0))</f>
        <v>147.31</v>
      </c>
      <c r="J634">
        <f t="shared" si="814"/>
        <v>1</v>
      </c>
      <c r="K634">
        <f>ROUND(INDEX(Economic!AF:AF,MATCH(EOMONTH($A634,-1),Economic!A:A,0)),2)</f>
        <v>119.94</v>
      </c>
      <c r="L634" s="11">
        <f t="shared" si="823"/>
        <v>1</v>
      </c>
      <c r="M634">
        <f>ROUND(INDEX(Manufacturing!P:P,MATCH(EOMONTH($A634,-1),Manufacturing!A:A,0)),2)</f>
        <v>87.3</v>
      </c>
      <c r="N634">
        <f t="shared" si="819"/>
        <v>0</v>
      </c>
      <c r="O634">
        <f>ROUND(INDEX(Housing!AC:AC,MATCH(EOMONTH($A634,-1),Housing!B:B,0)),2)</f>
        <v>74.069999999999993</v>
      </c>
      <c r="P634">
        <f t="shared" si="820"/>
        <v>-2</v>
      </c>
      <c r="Q634">
        <f>ROUND(INDEX(Spending!AJ:AJ,MATCH(EOMONTH($A634,-1),Spending!B:B,0)),2)</f>
        <v>61.06</v>
      </c>
      <c r="R634">
        <f t="shared" si="824"/>
        <v>2</v>
      </c>
      <c r="S634">
        <f>ROUND(INDEX(Employment!V:V,MATCH(EOMONTH($A634,-1),Employment!A:A,0)),2)</f>
        <v>163.85</v>
      </c>
      <c r="T634" s="11">
        <f t="shared" si="821"/>
        <v>1</v>
      </c>
      <c r="U634">
        <f t="shared" si="813"/>
        <v>25</v>
      </c>
      <c r="V634">
        <f t="shared" si="805"/>
        <v>74.209999999999994</v>
      </c>
      <c r="W634" s="13">
        <f t="shared" si="806"/>
        <v>-8.3999999999999995E-3</v>
      </c>
      <c r="X634" s="13">
        <f t="shared" si="807"/>
        <v>-1.1699999999999999E-2</v>
      </c>
      <c r="Y634">
        <f t="shared" si="799"/>
        <v>79.39</v>
      </c>
      <c r="Z634" s="13">
        <f t="shared" si="794"/>
        <v>-5.5999999999999999E-3</v>
      </c>
      <c r="AA634" s="13">
        <f t="shared" si="826"/>
        <v>-1.2400000000000001E-2</v>
      </c>
      <c r="AB634" s="6">
        <f t="shared" si="800"/>
        <v>87.646000000000001</v>
      </c>
      <c r="AC634">
        <f t="shared" si="792"/>
        <v>44</v>
      </c>
      <c r="AD634" s="11">
        <f t="shared" si="793"/>
        <v>1</v>
      </c>
      <c r="AE634">
        <f t="shared" si="827"/>
        <v>28</v>
      </c>
      <c r="AF634">
        <f>IF(AND(AE634&lt;15,OR(AC634&gt;=30,AA634&gt;0.15,X634&gt;=0.15)),2,VLOOKUP(AE634,Table!P:Q,2,FALSE))</f>
        <v>4</v>
      </c>
      <c r="AG634" s="22">
        <f>IF((AB634*0.98)-(D634*0.8)+((AF634-3)*3)+VLOOKUP(AM634,Table!$A$11:$B$13,2,FALSE)&lt;0,0,(AB634*0.98)-(D634*0.8)+((AF634-3)*3)+VLOOKUP(AM634,Table!$A$11:$B$13,2,FALSE))</f>
        <v>85.717079999999996</v>
      </c>
      <c r="AH634" s="22">
        <f t="shared" si="822"/>
        <v>85</v>
      </c>
      <c r="AI634" s="18">
        <f t="shared" si="815"/>
        <v>4.7300000000000004</v>
      </c>
      <c r="AJ634" s="18">
        <f t="shared" si="816"/>
        <v>4.34</v>
      </c>
      <c r="AK634" t="str">
        <f t="shared" si="801"/>
        <v>Rising Rates</v>
      </c>
      <c r="AL634">
        <f t="shared" si="812"/>
        <v>28.75</v>
      </c>
      <c r="AM634" s="11" t="str">
        <f t="shared" si="802"/>
        <v>Stocks</v>
      </c>
      <c r="AN634" t="str">
        <f t="shared" si="808"/>
        <v>Buy</v>
      </c>
      <c r="AO634" s="13">
        <f t="shared" si="809"/>
        <v>-2.3099999999999999E-2</v>
      </c>
      <c r="AP634" s="13">
        <f t="shared" si="810"/>
        <v>8.9999999999999998E-4</v>
      </c>
      <c r="AQ634" s="13">
        <f t="shared" si="811"/>
        <v>-1.95E-2</v>
      </c>
      <c r="AR634" s="13">
        <f t="shared" si="803"/>
        <v>-2.3099999999999999E-2</v>
      </c>
      <c r="AS634" s="6">
        <f t="shared" si="795"/>
        <v>315.24841689495008</v>
      </c>
      <c r="AT634" s="6">
        <f t="shared" si="796"/>
        <v>171.28707957754861</v>
      </c>
      <c r="AU634" s="6">
        <f t="shared" si="797"/>
        <v>363.20675909754101</v>
      </c>
      <c r="AV634" s="6">
        <f t="shared" si="798"/>
        <v>446.24082996327007</v>
      </c>
      <c r="AW634" s="58">
        <f t="shared" si="804"/>
        <v>2006</v>
      </c>
      <c r="AX634" s="58">
        <f>COUNTIF(AW$3:AW634,AW634)</f>
        <v>26</v>
      </c>
    </row>
    <row r="635" spans="1:50" x14ac:dyDescent="0.25">
      <c r="A635" s="5">
        <v>38900</v>
      </c>
      <c r="B635">
        <v>1270.2</v>
      </c>
      <c r="C635">
        <v>4.8899999999999997</v>
      </c>
      <c r="D635" s="6">
        <v>13.08</v>
      </c>
      <c r="E635" s="18">
        <f t="shared" si="817"/>
        <v>15.41</v>
      </c>
      <c r="F635">
        <f t="shared" si="818"/>
        <v>1</v>
      </c>
      <c r="G635" s="18">
        <f>ROUND(INDEX(Valuation!U:U,MATCH(A635,Valuation!A:A,0)),2)</f>
        <v>143.65</v>
      </c>
      <c r="H635">
        <f t="shared" si="825"/>
        <v>1</v>
      </c>
      <c r="I635" s="18">
        <f>INDEX(WeeklyIndicators!Y:Y,MATCH(A635,WeeklyIndicators!A:A,0))</f>
        <v>147.57</v>
      </c>
      <c r="J635">
        <f t="shared" si="814"/>
        <v>1</v>
      </c>
      <c r="K635">
        <f>ROUND(INDEX(Economic!AF:AF,MATCH(EOMONTH($A635,-1),Economic!A:A,0)),2)</f>
        <v>119.94</v>
      </c>
      <c r="L635" s="11">
        <f t="shared" si="823"/>
        <v>1</v>
      </c>
      <c r="M635">
        <f>ROUND(INDEX(Manufacturing!P:P,MATCH(EOMONTH($A635,-1),Manufacturing!A:A,0)),2)</f>
        <v>87.3</v>
      </c>
      <c r="N635">
        <f t="shared" si="819"/>
        <v>0</v>
      </c>
      <c r="O635">
        <f>ROUND(INDEX(Housing!AC:AC,MATCH(EOMONTH($A635,-1),Housing!B:B,0)),2)</f>
        <v>74.069999999999993</v>
      </c>
      <c r="P635">
        <f t="shared" si="820"/>
        <v>-2</v>
      </c>
      <c r="Q635">
        <f>ROUND(INDEX(Spending!AJ:AJ,MATCH(EOMONTH($A635,-1),Spending!B:B,0)),2)</f>
        <v>61.06</v>
      </c>
      <c r="R635">
        <f t="shared" si="824"/>
        <v>2</v>
      </c>
      <c r="S635">
        <f>ROUND(INDEX(Employment!V:V,MATCH(EOMONTH($A635,-1),Employment!A:A,0)),2)</f>
        <v>163.85</v>
      </c>
      <c r="T635" s="11">
        <f t="shared" si="821"/>
        <v>1</v>
      </c>
      <c r="U635">
        <f t="shared" si="813"/>
        <v>25</v>
      </c>
      <c r="V635">
        <f t="shared" si="805"/>
        <v>74.23</v>
      </c>
      <c r="W635" s="13">
        <f t="shared" si="806"/>
        <v>-3.8E-3</v>
      </c>
      <c r="X635" s="13">
        <f t="shared" si="807"/>
        <v>-2.0799999999999999E-2</v>
      </c>
      <c r="Y635">
        <f t="shared" si="799"/>
        <v>79.180000000000007</v>
      </c>
      <c r="Z635" s="13">
        <f t="shared" si="794"/>
        <v>-3.2000000000000002E-3</v>
      </c>
      <c r="AA635" s="13">
        <f t="shared" si="826"/>
        <v>-2.53E-2</v>
      </c>
      <c r="AB635" s="6">
        <f t="shared" si="800"/>
        <v>86.614999999999995</v>
      </c>
      <c r="AC635">
        <f t="shared" si="792"/>
        <v>43</v>
      </c>
      <c r="AD635" s="11">
        <f t="shared" si="793"/>
        <v>1</v>
      </c>
      <c r="AE635">
        <f t="shared" si="827"/>
        <v>28</v>
      </c>
      <c r="AF635">
        <f>IF(AND(AE635&lt;15,OR(AC635&gt;=30,AA635&gt;0.15,X635&gt;=0.15)),2,VLOOKUP(AE635,Table!P:Q,2,FALSE))</f>
        <v>4</v>
      </c>
      <c r="AG635" s="22">
        <f>IF((AB635*0.98)-(D635*0.8)+((AF635-3)*3)+VLOOKUP(AM635,Table!$A$11:$B$13,2,FALSE)&lt;0,0,(AB635*0.98)-(D635*0.8)+((AF635-3)*3)+VLOOKUP(AM635,Table!$A$11:$B$13,2,FALSE))</f>
        <v>85.418700000000001</v>
      </c>
      <c r="AH635" s="22">
        <f t="shared" si="822"/>
        <v>84</v>
      </c>
      <c r="AI635" s="18">
        <f t="shared" si="815"/>
        <v>4.71</v>
      </c>
      <c r="AJ635" s="18">
        <f t="shared" si="816"/>
        <v>4.3099999999999996</v>
      </c>
      <c r="AK635" t="str">
        <f t="shared" si="801"/>
        <v>Rising Rates</v>
      </c>
      <c r="AL635">
        <f t="shared" si="812"/>
        <v>29</v>
      </c>
      <c r="AM635" s="11" t="str">
        <f t="shared" si="802"/>
        <v>Stocks</v>
      </c>
      <c r="AN635" t="str">
        <f t="shared" si="808"/>
        <v>Buy</v>
      </c>
      <c r="AO635" s="13">
        <f t="shared" si="809"/>
        <v>-3.7000000000000002E-3</v>
      </c>
      <c r="AP635" s="13">
        <f t="shared" si="810"/>
        <v>8.9999999999999998E-4</v>
      </c>
      <c r="AQ635" s="13">
        <f t="shared" si="811"/>
        <v>-3.0000000000000001E-3</v>
      </c>
      <c r="AR635" s="13">
        <f t="shared" si="803"/>
        <v>-3.7000000000000002E-3</v>
      </c>
      <c r="AS635" s="6">
        <f t="shared" si="795"/>
        <v>316.41916781586883</v>
      </c>
      <c r="AT635" s="6">
        <f t="shared" si="796"/>
        <v>171.1330598237073</v>
      </c>
      <c r="AU635" s="6">
        <f t="shared" si="797"/>
        <v>364.29965807175626</v>
      </c>
      <c r="AV635" s="6">
        <f t="shared" si="798"/>
        <v>447.89805275847647</v>
      </c>
      <c r="AW635" s="58">
        <f t="shared" si="804"/>
        <v>2006</v>
      </c>
      <c r="AX635" s="58">
        <f>COUNTIF(AW$3:AW635,AW635)</f>
        <v>27</v>
      </c>
    </row>
    <row r="636" spans="1:50" x14ac:dyDescent="0.25">
      <c r="A636" s="5">
        <v>38893</v>
      </c>
      <c r="B636">
        <v>1244.5</v>
      </c>
      <c r="C636">
        <v>4.8099999999999996</v>
      </c>
      <c r="D636" s="6">
        <v>15.89</v>
      </c>
      <c r="E636" s="18">
        <f t="shared" si="817"/>
        <v>17.09</v>
      </c>
      <c r="F636">
        <f t="shared" si="818"/>
        <v>0</v>
      </c>
      <c r="G636" s="18">
        <f>ROUND(INDEX(Valuation!U:U,MATCH(A636,Valuation!A:A,0)),2)</f>
        <v>144.99</v>
      </c>
      <c r="H636">
        <f t="shared" si="825"/>
        <v>1</v>
      </c>
      <c r="I636" s="18">
        <f>INDEX(WeeklyIndicators!Y:Y,MATCH(A636,WeeklyIndicators!A:A,0))</f>
        <v>141.16999999999999</v>
      </c>
      <c r="J636">
        <f t="shared" si="814"/>
        <v>1</v>
      </c>
      <c r="K636">
        <f>ROUND(INDEX(Economic!AF:AF,MATCH(EOMONTH($A636,-1),Economic!A:A,0)),2)</f>
        <v>133.62</v>
      </c>
      <c r="L636" s="11">
        <f t="shared" si="823"/>
        <v>2</v>
      </c>
      <c r="M636">
        <f>ROUND(INDEX(Manufacturing!P:P,MATCH(EOMONTH($A636,-1),Manufacturing!A:A,0)),2)</f>
        <v>88.22</v>
      </c>
      <c r="N636">
        <f t="shared" si="819"/>
        <v>0</v>
      </c>
      <c r="O636">
        <f>ROUND(INDEX(Housing!AC:AC,MATCH(EOMONTH($A636,-1),Housing!B:B,0)),2)</f>
        <v>84.91</v>
      </c>
      <c r="P636">
        <f t="shared" si="820"/>
        <v>-1</v>
      </c>
      <c r="Q636">
        <f>ROUND(INDEX(Spending!AJ:AJ,MATCH(EOMONTH($A636,-1),Spending!B:B,0)),2)</f>
        <v>62.46</v>
      </c>
      <c r="R636">
        <f t="shared" si="824"/>
        <v>2</v>
      </c>
      <c r="S636">
        <f>ROUND(INDEX(Employment!V:V,MATCH(EOMONTH($A636,-1),Employment!A:A,0)),2)</f>
        <v>175.31</v>
      </c>
      <c r="T636" s="11">
        <f t="shared" si="821"/>
        <v>2</v>
      </c>
      <c r="U636">
        <f t="shared" si="813"/>
        <v>27</v>
      </c>
      <c r="V636">
        <f t="shared" si="805"/>
        <v>77.45</v>
      </c>
      <c r="W636" s="13">
        <f t="shared" si="806"/>
        <v>1.0500000000000001E-2</v>
      </c>
      <c r="X636" s="13">
        <f t="shared" si="807"/>
        <v>-3.7400000000000003E-2</v>
      </c>
      <c r="Y636">
        <f t="shared" si="799"/>
        <v>81.96</v>
      </c>
      <c r="Z636" s="13">
        <f t="shared" si="794"/>
        <v>7.7999999999999996E-3</v>
      </c>
      <c r="AA636" s="13">
        <f t="shared" si="826"/>
        <v>-4.4800000000000006E-2</v>
      </c>
      <c r="AB636" s="6">
        <f t="shared" si="800"/>
        <v>88.168999999999997</v>
      </c>
      <c r="AC636">
        <f t="shared" si="792"/>
        <v>44</v>
      </c>
      <c r="AD636" s="11">
        <f t="shared" si="793"/>
        <v>1</v>
      </c>
      <c r="AE636">
        <f t="shared" si="827"/>
        <v>30</v>
      </c>
      <c r="AF636">
        <f>IF(AND(AE636&lt;15,OR(AC636&gt;=30,AA636&gt;0.15,X636&gt;=0.15)),2,VLOOKUP(AE636,Table!P:Q,2,FALSE))</f>
        <v>4</v>
      </c>
      <c r="AG636" s="22">
        <f>IF((AB636*0.98)-(D636*0.8)+((AF636-3)*3)+VLOOKUP(AM636,Table!$A$11:$B$13,2,FALSE)&lt;0,0,(AB636*0.98)-(D636*0.8)+((AF636-3)*3)+VLOOKUP(AM636,Table!$A$11:$B$13,2,FALSE))</f>
        <v>84.693619999999996</v>
      </c>
      <c r="AH636" s="22">
        <f t="shared" si="822"/>
        <v>82</v>
      </c>
      <c r="AI636" s="18">
        <f t="shared" si="815"/>
        <v>4.68</v>
      </c>
      <c r="AJ636" s="18">
        <f t="shared" si="816"/>
        <v>4.2699999999999996</v>
      </c>
      <c r="AK636" t="str">
        <f t="shared" si="801"/>
        <v>Rising Rates</v>
      </c>
      <c r="AL636">
        <f t="shared" si="812"/>
        <v>29.25</v>
      </c>
      <c r="AM636" s="11" t="str">
        <f t="shared" si="802"/>
        <v>Stocks</v>
      </c>
      <c r="AN636" t="str">
        <f t="shared" si="808"/>
        <v>Buy</v>
      </c>
      <c r="AO636" s="13">
        <f t="shared" si="809"/>
        <v>2.07E-2</v>
      </c>
      <c r="AP636" s="13">
        <f t="shared" si="810"/>
        <v>8.9999999999999998E-4</v>
      </c>
      <c r="AQ636" s="13">
        <f t="shared" si="811"/>
        <v>1.7100000000000001E-2</v>
      </c>
      <c r="AR636" s="13">
        <f t="shared" si="803"/>
        <v>2.07E-2</v>
      </c>
      <c r="AS636" s="6">
        <f t="shared" si="795"/>
        <v>310.00212385212978</v>
      </c>
      <c r="AT636" s="6">
        <f t="shared" si="796"/>
        <v>170.9791785630006</v>
      </c>
      <c r="AU636" s="6">
        <f t="shared" si="797"/>
        <v>358.17486783183199</v>
      </c>
      <c r="AV636" s="6">
        <f t="shared" si="798"/>
        <v>438.81459073035808</v>
      </c>
      <c r="AW636" s="58">
        <f t="shared" si="804"/>
        <v>2006</v>
      </c>
      <c r="AX636" s="58">
        <f>COUNTIF(AW$3:AW636,AW636)</f>
        <v>28</v>
      </c>
    </row>
    <row r="637" spans="1:50" x14ac:dyDescent="0.25">
      <c r="A637" s="5">
        <v>38886</v>
      </c>
      <c r="B637">
        <v>1251.54</v>
      </c>
      <c r="C637">
        <v>4.76</v>
      </c>
      <c r="D637" s="6">
        <v>17.25</v>
      </c>
      <c r="E637" s="18">
        <f t="shared" si="817"/>
        <v>16.559999999999999</v>
      </c>
      <c r="F637">
        <f t="shared" si="818"/>
        <v>0</v>
      </c>
      <c r="G637" s="18">
        <f>ROUND(INDEX(Valuation!U:U,MATCH(A637,Valuation!A:A,0)),2)</f>
        <v>144.34</v>
      </c>
      <c r="H637">
        <f t="shared" si="825"/>
        <v>1</v>
      </c>
      <c r="I637" s="18">
        <f>INDEX(WeeklyIndicators!Y:Y,MATCH(A637,WeeklyIndicators!A:A,0))</f>
        <v>128.4</v>
      </c>
      <c r="J637">
        <f t="shared" si="814"/>
        <v>0</v>
      </c>
      <c r="K637">
        <f>ROUND(INDEX(Economic!AF:AF,MATCH(EOMONTH($A637,-1),Economic!A:A,0)),2)</f>
        <v>133.62</v>
      </c>
      <c r="L637" s="11">
        <f t="shared" si="823"/>
        <v>2</v>
      </c>
      <c r="M637">
        <f>ROUND(INDEX(Manufacturing!P:P,MATCH(EOMONTH($A637,-1),Manufacturing!A:A,0)),2)</f>
        <v>88.22</v>
      </c>
      <c r="N637">
        <f t="shared" si="819"/>
        <v>0</v>
      </c>
      <c r="O637">
        <f>ROUND(INDEX(Housing!AC:AC,MATCH(EOMONTH($A637,-1),Housing!B:B,0)),2)</f>
        <v>84.91</v>
      </c>
      <c r="P637">
        <f t="shared" si="820"/>
        <v>-1</v>
      </c>
      <c r="Q637">
        <f>ROUND(INDEX(Spending!AJ:AJ,MATCH(EOMONTH($A637,-1),Spending!B:B,0)),2)</f>
        <v>62.46</v>
      </c>
      <c r="R637">
        <f t="shared" si="824"/>
        <v>2</v>
      </c>
      <c r="S637">
        <f>ROUND(INDEX(Employment!V:V,MATCH(EOMONTH($A637,-1),Employment!A:A,0)),2)</f>
        <v>175.31</v>
      </c>
      <c r="T637" s="11">
        <f t="shared" si="821"/>
        <v>2</v>
      </c>
      <c r="U637">
        <f t="shared" si="813"/>
        <v>26</v>
      </c>
      <c r="V637">
        <f t="shared" si="805"/>
        <v>76.12</v>
      </c>
      <c r="W637" s="13">
        <f t="shared" si="806"/>
        <v>-0.01</v>
      </c>
      <c r="X637" s="13">
        <f t="shared" si="807"/>
        <v>-5.6600000000000004E-2</v>
      </c>
      <c r="Y637">
        <f t="shared" si="799"/>
        <v>80.75</v>
      </c>
      <c r="Z637" s="13">
        <f t="shared" si="794"/>
        <v>-1.14E-2</v>
      </c>
      <c r="AA637" s="13">
        <f t="shared" si="826"/>
        <v>-6.4399999999999999E-2</v>
      </c>
      <c r="AB637" s="6">
        <f t="shared" si="800"/>
        <v>85.343999999999994</v>
      </c>
      <c r="AC637">
        <f t="shared" ref="AC637:AC700" si="828">IF(ROUND(AB637/2,0)&lt;0,0,ROUND(AB637/2,0))</f>
        <v>43</v>
      </c>
      <c r="AD637" s="11">
        <f t="shared" si="793"/>
        <v>1</v>
      </c>
      <c r="AE637">
        <f t="shared" si="827"/>
        <v>29</v>
      </c>
      <c r="AF637">
        <f>IF(AND(AE637&lt;15,OR(AC637&gt;=30,AA637&gt;0.15,X637&gt;=0.15)),2,VLOOKUP(AE637,Table!P:Q,2,FALSE))</f>
        <v>4</v>
      </c>
      <c r="AG637" s="22">
        <f>IF((AB637*0.98)-(D637*0.8)+((AF637-3)*3)+VLOOKUP(AM637,Table!$A$11:$B$13,2,FALSE)&lt;0,0,(AB637*0.98)-(D637*0.8)+((AF637-3)*3)+VLOOKUP(AM637,Table!$A$11:$B$13,2,FALSE))</f>
        <v>80.837119999999999</v>
      </c>
      <c r="AH637" s="22">
        <f t="shared" si="822"/>
        <v>81</v>
      </c>
      <c r="AI637" s="18">
        <f t="shared" si="815"/>
        <v>4.66</v>
      </c>
      <c r="AJ637" s="18">
        <f t="shared" si="816"/>
        <v>4.24</v>
      </c>
      <c r="AK637" t="str">
        <f t="shared" si="801"/>
        <v>Rising Rates</v>
      </c>
      <c r="AL637">
        <f t="shared" si="812"/>
        <v>29.75</v>
      </c>
      <c r="AM637" s="11" t="str">
        <f t="shared" si="802"/>
        <v>Stocks</v>
      </c>
      <c r="AN637" t="str">
        <f t="shared" si="808"/>
        <v>Buy</v>
      </c>
      <c r="AO637" s="13">
        <f t="shared" si="809"/>
        <v>-5.5999999999999999E-3</v>
      </c>
      <c r="AP637" s="13">
        <f t="shared" si="810"/>
        <v>8.9999999999999998E-4</v>
      </c>
      <c r="AQ637" s="13">
        <f t="shared" si="811"/>
        <v>-4.4000000000000003E-3</v>
      </c>
      <c r="AR637" s="13">
        <f t="shared" si="803"/>
        <v>-5.5999999999999999E-3</v>
      </c>
      <c r="AS637" s="6">
        <f t="shared" si="795"/>
        <v>311.74791216022709</v>
      </c>
      <c r="AT637" s="6">
        <f t="shared" si="796"/>
        <v>170.82543567089681</v>
      </c>
      <c r="AU637" s="6">
        <f t="shared" si="797"/>
        <v>359.75780216134189</v>
      </c>
      <c r="AV637" s="6">
        <f t="shared" si="798"/>
        <v>441.28579116085893</v>
      </c>
      <c r="AW637" s="58">
        <f t="shared" si="804"/>
        <v>2006</v>
      </c>
      <c r="AX637" s="58">
        <f>COUNTIF(AW$3:AW637,AW637)</f>
        <v>29</v>
      </c>
    </row>
    <row r="638" spans="1:50" x14ac:dyDescent="0.25">
      <c r="A638" s="5">
        <v>38879</v>
      </c>
      <c r="B638">
        <v>1252.3</v>
      </c>
      <c r="C638">
        <v>4.74</v>
      </c>
      <c r="D638" s="6">
        <v>18.12</v>
      </c>
      <c r="E638" s="18">
        <f t="shared" si="817"/>
        <v>15.57</v>
      </c>
      <c r="F638">
        <f t="shared" si="818"/>
        <v>1</v>
      </c>
      <c r="G638" s="18">
        <f>ROUND(INDEX(Valuation!U:U,MATCH(A638,Valuation!A:A,0)),2)</f>
        <v>143.32</v>
      </c>
      <c r="H638">
        <f t="shared" si="825"/>
        <v>1</v>
      </c>
      <c r="I638" s="18">
        <f>INDEX(WeeklyIndicators!Y:Y,MATCH(A638,WeeklyIndicators!A:A,0))</f>
        <v>118.43</v>
      </c>
      <c r="J638">
        <f t="shared" si="814"/>
        <v>-1</v>
      </c>
      <c r="K638">
        <f>ROUND(INDEX(Economic!AF:AF,MATCH(EOMONTH($A638,-1),Economic!A:A,0)),2)</f>
        <v>133.62</v>
      </c>
      <c r="L638" s="11">
        <f t="shared" si="823"/>
        <v>2</v>
      </c>
      <c r="M638">
        <f>ROUND(INDEX(Manufacturing!P:P,MATCH(EOMONTH($A638,-1),Manufacturing!A:A,0)),2)</f>
        <v>88.22</v>
      </c>
      <c r="N638">
        <f t="shared" si="819"/>
        <v>0</v>
      </c>
      <c r="O638">
        <f>ROUND(INDEX(Housing!AC:AC,MATCH(EOMONTH($A638,-1),Housing!B:B,0)),2)</f>
        <v>84.91</v>
      </c>
      <c r="P638">
        <f t="shared" si="820"/>
        <v>-1</v>
      </c>
      <c r="Q638">
        <f>ROUND(INDEX(Spending!AJ:AJ,MATCH(EOMONTH($A638,-1),Spending!B:B,0)),2)</f>
        <v>62.46</v>
      </c>
      <c r="R638">
        <f t="shared" si="824"/>
        <v>2</v>
      </c>
      <c r="S638">
        <f>ROUND(INDEX(Employment!V:V,MATCH(EOMONTH($A638,-1),Employment!A:A,0)),2)</f>
        <v>175.31</v>
      </c>
      <c r="T638" s="11">
        <f t="shared" si="821"/>
        <v>2</v>
      </c>
      <c r="U638">
        <f t="shared" si="813"/>
        <v>26</v>
      </c>
      <c r="V638">
        <f t="shared" si="805"/>
        <v>75.09</v>
      </c>
      <c r="W638" s="13">
        <f t="shared" si="806"/>
        <v>-1.7500000000000002E-2</v>
      </c>
      <c r="X638" s="13">
        <f t="shared" si="807"/>
        <v>-5.5400000000000005E-2</v>
      </c>
      <c r="Y638">
        <f t="shared" si="799"/>
        <v>79.95</v>
      </c>
      <c r="Z638" s="13">
        <f t="shared" si="794"/>
        <v>-1.8499999999999999E-2</v>
      </c>
      <c r="AA638" s="13">
        <f t="shared" si="826"/>
        <v>-6.3200000000000006E-2</v>
      </c>
      <c r="AB638" s="6">
        <f t="shared" si="800"/>
        <v>84.49199999999999</v>
      </c>
      <c r="AC638">
        <f t="shared" si="828"/>
        <v>42</v>
      </c>
      <c r="AD638" s="11">
        <f t="shared" ref="AD638:AD701" si="829">IF(AC638&gt;47,2,IF(AND(AC638&gt;41,AC638&lt;=47),1,IF(AC638&lt;15,-2,IF(AND(AC638&lt;32,AC638&gt;=15),-1,0))))</f>
        <v>1</v>
      </c>
      <c r="AE638">
        <f t="shared" si="827"/>
        <v>29</v>
      </c>
      <c r="AF638">
        <f>IF(AND(AE638&lt;15,OR(AC638&gt;=30,AA638&gt;0.15,X638&gt;=0.15)),2,VLOOKUP(AE638,Table!P:Q,2,FALSE))</f>
        <v>4</v>
      </c>
      <c r="AG638" s="22">
        <f>IF((AB638*0.98)-(D638*0.8)+((AF638-3)*3)+VLOOKUP(AM638,Table!$A$11:$B$13,2,FALSE)&lt;0,0,(AB638*0.98)-(D638*0.8)+((AF638-3)*3)+VLOOKUP(AM638,Table!$A$11:$B$13,2,FALSE))</f>
        <v>79.306159999999977</v>
      </c>
      <c r="AH638" s="22">
        <f t="shared" si="822"/>
        <v>85</v>
      </c>
      <c r="AI638" s="18">
        <f t="shared" si="815"/>
        <v>4.6399999999999997</v>
      </c>
      <c r="AJ638" s="18">
        <f t="shared" si="816"/>
        <v>4.2</v>
      </c>
      <c r="AK638" t="str">
        <f t="shared" si="801"/>
        <v>Rising Rates</v>
      </c>
      <c r="AL638">
        <f t="shared" si="812"/>
        <v>30.5</v>
      </c>
      <c r="AM638" s="11" t="str">
        <f t="shared" si="802"/>
        <v>Stocks</v>
      </c>
      <c r="AN638" t="str">
        <f t="shared" si="808"/>
        <v>Buy</v>
      </c>
      <c r="AO638" s="13">
        <f t="shared" si="809"/>
        <v>-5.9999999999999995E-4</v>
      </c>
      <c r="AP638" s="13">
        <f t="shared" si="810"/>
        <v>8.9999999999999998E-4</v>
      </c>
      <c r="AQ638" s="13">
        <f t="shared" si="811"/>
        <v>-4.0000000000000002E-4</v>
      </c>
      <c r="AR638" s="13">
        <f t="shared" si="803"/>
        <v>-5.9999999999999995E-4</v>
      </c>
      <c r="AS638" s="6">
        <f t="shared" si="795"/>
        <v>311.9350732041496</v>
      </c>
      <c r="AT638" s="6">
        <f t="shared" si="796"/>
        <v>170.67183102297614</v>
      </c>
      <c r="AU638" s="6">
        <f t="shared" si="797"/>
        <v>359.90176286648847</v>
      </c>
      <c r="AV638" s="6">
        <f t="shared" si="798"/>
        <v>441.55072159381524</v>
      </c>
      <c r="AW638" s="58">
        <f t="shared" si="804"/>
        <v>2006</v>
      </c>
      <c r="AX638" s="58">
        <f>COUNTIF(AW$3:AW638,AW638)</f>
        <v>30</v>
      </c>
    </row>
    <row r="639" spans="1:50" x14ac:dyDescent="0.25">
      <c r="A639" s="5">
        <v>38872</v>
      </c>
      <c r="B639">
        <v>1288.22</v>
      </c>
      <c r="C639">
        <v>4.72</v>
      </c>
      <c r="D639" s="6">
        <v>14.32</v>
      </c>
      <c r="E639" s="18">
        <f t="shared" si="817"/>
        <v>15.25</v>
      </c>
      <c r="F639">
        <f t="shared" si="818"/>
        <v>1</v>
      </c>
      <c r="G639" s="18">
        <f>ROUND(INDEX(Valuation!U:U,MATCH(A639,Valuation!A:A,0)),2)</f>
        <v>143.51</v>
      </c>
      <c r="H639">
        <f t="shared" si="825"/>
        <v>1</v>
      </c>
      <c r="I639" s="18">
        <f>INDEX(WeeklyIndicators!Y:Y,MATCH(A639,WeeklyIndicators!A:A,0))</f>
        <v>118.3</v>
      </c>
      <c r="J639">
        <f t="shared" si="814"/>
        <v>-1</v>
      </c>
      <c r="K639">
        <f>ROUND(INDEX(Economic!AF:AF,MATCH(EOMONTH($A639,-1),Economic!A:A,0)),2)</f>
        <v>133.62</v>
      </c>
      <c r="L639" s="11">
        <f t="shared" si="823"/>
        <v>2</v>
      </c>
      <c r="M639">
        <f>ROUND(INDEX(Manufacturing!P:P,MATCH(EOMONTH($A639,-1),Manufacturing!A:A,0)),2)</f>
        <v>88.22</v>
      </c>
      <c r="N639">
        <f t="shared" si="819"/>
        <v>0</v>
      </c>
      <c r="O639">
        <f>ROUND(INDEX(Housing!AC:AC,MATCH(EOMONTH($A639,-1),Housing!B:B,0)),2)</f>
        <v>84.91</v>
      </c>
      <c r="P639">
        <f t="shared" si="820"/>
        <v>-1</v>
      </c>
      <c r="Q639">
        <f>ROUND(INDEX(Spending!AJ:AJ,MATCH(EOMONTH($A639,-1),Spending!B:B,0)),2)</f>
        <v>62.46</v>
      </c>
      <c r="R639">
        <f t="shared" si="824"/>
        <v>2</v>
      </c>
      <c r="S639">
        <f>ROUND(INDEX(Employment!V:V,MATCH(EOMONTH($A639,-1),Employment!A:A,0)),2)</f>
        <v>175.31</v>
      </c>
      <c r="T639" s="11">
        <f t="shared" si="821"/>
        <v>2</v>
      </c>
      <c r="U639">
        <f t="shared" si="813"/>
        <v>26</v>
      </c>
      <c r="V639">
        <f t="shared" si="805"/>
        <v>75.08</v>
      </c>
      <c r="W639" s="13">
        <f t="shared" si="806"/>
        <v>-2.0400000000000001E-2</v>
      </c>
      <c r="X639" s="13">
        <f t="shared" si="807"/>
        <v>-4.4000000000000004E-2</v>
      </c>
      <c r="Y639">
        <f t="shared" si="799"/>
        <v>80.069999999999993</v>
      </c>
      <c r="Z639" s="13">
        <f t="shared" si="794"/>
        <v>-2.2700000000000001E-2</v>
      </c>
      <c r="AA639" s="13">
        <f t="shared" si="826"/>
        <v>-4.99E-2</v>
      </c>
      <c r="AB639" s="6">
        <f t="shared" si="800"/>
        <v>85.641000000000005</v>
      </c>
      <c r="AC639">
        <f t="shared" si="828"/>
        <v>43</v>
      </c>
      <c r="AD639" s="11">
        <f t="shared" si="829"/>
        <v>1</v>
      </c>
      <c r="AE639">
        <f t="shared" si="827"/>
        <v>29</v>
      </c>
      <c r="AF639">
        <f>IF(AND(AE639&lt;15,OR(AC639&gt;=30,AA639&gt;0.15,X639&gt;=0.15)),2,VLOOKUP(AE639,Table!P:Q,2,FALSE))</f>
        <v>4</v>
      </c>
      <c r="AG639" s="22">
        <f>IF((AB639*0.98)-(D639*0.8)+((AF639-3)*3)+VLOOKUP(AM639,Table!$A$11:$B$13,2,FALSE)&lt;0,0,(AB639*0.98)-(D639*0.8)+((AF639-3)*3)+VLOOKUP(AM639,Table!$A$11:$B$13,2,FALSE))</f>
        <v>83.472179999999994</v>
      </c>
      <c r="AH639" s="22">
        <f t="shared" si="822"/>
        <v>89</v>
      </c>
      <c r="AI639" s="18">
        <f t="shared" si="815"/>
        <v>4.62</v>
      </c>
      <c r="AJ639" s="18">
        <f t="shared" si="816"/>
        <v>4.17</v>
      </c>
      <c r="AK639" t="str">
        <f t="shared" si="801"/>
        <v>Rising Rates</v>
      </c>
      <c r="AL639">
        <f t="shared" si="812"/>
        <v>31.75</v>
      </c>
      <c r="AM639" s="11" t="str">
        <f t="shared" si="802"/>
        <v>Stocks</v>
      </c>
      <c r="AN639" t="str">
        <f t="shared" si="808"/>
        <v>Buy</v>
      </c>
      <c r="AO639" s="13">
        <f t="shared" si="809"/>
        <v>-2.7900000000000001E-2</v>
      </c>
      <c r="AP639" s="13">
        <f t="shared" si="810"/>
        <v>8.9999999999999998E-4</v>
      </c>
      <c r="AQ639" s="13">
        <f t="shared" si="811"/>
        <v>-2.47E-2</v>
      </c>
      <c r="AR639" s="13">
        <f t="shared" si="803"/>
        <v>-2.7900000000000001E-2</v>
      </c>
      <c r="AS639" s="6">
        <f t="shared" si="795"/>
        <v>320.88784405323486</v>
      </c>
      <c r="AT639" s="6">
        <f t="shared" si="796"/>
        <v>170.51836449493072</v>
      </c>
      <c r="AU639" s="6">
        <f t="shared" si="797"/>
        <v>369.01646966727003</v>
      </c>
      <c r="AV639" s="6">
        <f t="shared" si="798"/>
        <v>454.22355888675577</v>
      </c>
      <c r="AW639" s="58">
        <f t="shared" si="804"/>
        <v>2006</v>
      </c>
      <c r="AX639" s="58">
        <f>COUNTIF(AW$3:AW639,AW639)</f>
        <v>31</v>
      </c>
    </row>
    <row r="640" spans="1:50" x14ac:dyDescent="0.25">
      <c r="A640" s="5">
        <v>38865</v>
      </c>
      <c r="B640">
        <v>1280.1600000000001</v>
      </c>
      <c r="C640">
        <v>4.71</v>
      </c>
      <c r="D640" s="6">
        <v>14.26</v>
      </c>
      <c r="E640" s="18">
        <f t="shared" si="817"/>
        <v>15.21</v>
      </c>
      <c r="F640">
        <f t="shared" si="818"/>
        <v>1</v>
      </c>
      <c r="G640" s="18">
        <f>ROUND(INDEX(Valuation!U:U,MATCH(A640,Valuation!A:A,0)),2)</f>
        <v>144.49</v>
      </c>
      <c r="H640">
        <f t="shared" si="825"/>
        <v>1</v>
      </c>
      <c r="I640" s="18">
        <f>INDEX(WeeklyIndicators!Y:Y,MATCH(A640,WeeklyIndicators!A:A,0))</f>
        <v>123.69</v>
      </c>
      <c r="J640">
        <f t="shared" si="814"/>
        <v>0</v>
      </c>
      <c r="K640">
        <f>ROUND(INDEX(Economic!AF:AF,MATCH(EOMONTH($A640,-1),Economic!A:A,0)),2)</f>
        <v>139.88</v>
      </c>
      <c r="L640" s="11">
        <f t="shared" si="823"/>
        <v>3</v>
      </c>
      <c r="M640">
        <f>ROUND(INDEX(Manufacturing!P:P,MATCH(EOMONTH($A640,-1),Manufacturing!A:A,0)),2)</f>
        <v>91.35</v>
      </c>
      <c r="N640">
        <f t="shared" si="819"/>
        <v>1</v>
      </c>
      <c r="O640">
        <f>ROUND(INDEX(Housing!AC:AC,MATCH(EOMONTH($A640,-1),Housing!B:B,0)),2)</f>
        <v>97.18</v>
      </c>
      <c r="P640">
        <f t="shared" si="820"/>
        <v>-1</v>
      </c>
      <c r="Q640">
        <f>ROUND(INDEX(Spending!AJ:AJ,MATCH(EOMONTH($A640,-1),Spending!B:B,0)),2)</f>
        <v>60.51</v>
      </c>
      <c r="R640">
        <f t="shared" si="824"/>
        <v>2</v>
      </c>
      <c r="S640">
        <f>ROUND(INDEX(Employment!V:V,MATCH(EOMONTH($A640,-1),Employment!A:A,0)),2)</f>
        <v>184.54</v>
      </c>
      <c r="T640" s="11">
        <f t="shared" si="821"/>
        <v>2</v>
      </c>
      <c r="U640">
        <f t="shared" si="813"/>
        <v>29</v>
      </c>
      <c r="V640">
        <f t="shared" si="805"/>
        <v>78.41</v>
      </c>
      <c r="W640" s="13">
        <f t="shared" si="806"/>
        <v>-8.6999999999999994E-3</v>
      </c>
      <c r="X640" s="13">
        <f t="shared" si="807"/>
        <v>-2.7200000000000002E-2</v>
      </c>
      <c r="Y640">
        <f t="shared" si="799"/>
        <v>83.52</v>
      </c>
      <c r="Z640" s="13">
        <f t="shared" ref="Z640:Z703" si="830">ROUND((AVERAGE(Y640:Y642)-AVERAGE(Y641:Y643))/AVERAGE(Y641:Y643),4)</f>
        <v>-1.18E-2</v>
      </c>
      <c r="AA640" s="13">
        <f t="shared" si="826"/>
        <v>-3.0199999999999998E-2</v>
      </c>
      <c r="AB640" s="6">
        <f t="shared" si="800"/>
        <v>90.789000000000001</v>
      </c>
      <c r="AC640">
        <f t="shared" si="828"/>
        <v>45</v>
      </c>
      <c r="AD640" s="11">
        <f t="shared" si="829"/>
        <v>1</v>
      </c>
      <c r="AE640">
        <f t="shared" si="827"/>
        <v>32</v>
      </c>
      <c r="AF640">
        <f>IF(AND(AE640&lt;15,OR(AC640&gt;=30,AA640&gt;0.15,X640&gt;=0.15)),2,VLOOKUP(AE640,Table!P:Q,2,FALSE))</f>
        <v>5</v>
      </c>
      <c r="AG640" s="22">
        <f>IF((AB640*0.98)-(D640*0.8)+((AF640-3)*3)+VLOOKUP(AM640,Table!$A$11:$B$13,2,FALSE)&lt;0,0,(AB640*0.98)-(D640*0.8)+((AF640-3)*3)+VLOOKUP(AM640,Table!$A$11:$B$13,2,FALSE))</f>
        <v>91.565219999999997</v>
      </c>
      <c r="AH640" s="22">
        <f t="shared" si="822"/>
        <v>93</v>
      </c>
      <c r="AI640" s="18">
        <f t="shared" si="815"/>
        <v>4.5999999999999996</v>
      </c>
      <c r="AJ640" s="18">
        <f t="shared" si="816"/>
        <v>4.13</v>
      </c>
      <c r="AK640" t="str">
        <f t="shared" si="801"/>
        <v>Rising Rates</v>
      </c>
      <c r="AL640">
        <f t="shared" si="812"/>
        <v>33.25</v>
      </c>
      <c r="AM640" s="11" t="str">
        <f t="shared" si="802"/>
        <v>Stocks</v>
      </c>
      <c r="AN640" t="str">
        <f t="shared" si="808"/>
        <v>Buy</v>
      </c>
      <c r="AO640" s="13">
        <f t="shared" si="809"/>
        <v>6.3E-3</v>
      </c>
      <c r="AP640" s="13">
        <f t="shared" si="810"/>
        <v>8.9999999999999998E-4</v>
      </c>
      <c r="AQ640" s="13">
        <f t="shared" si="811"/>
        <v>5.8999999999999999E-3</v>
      </c>
      <c r="AR640" s="13">
        <f t="shared" si="803"/>
        <v>6.3E-3</v>
      </c>
      <c r="AS640" s="6">
        <f t="shared" si="795"/>
        <v>318.8789069395159</v>
      </c>
      <c r="AT640" s="6">
        <f t="shared" si="796"/>
        <v>170.36503596256443</v>
      </c>
      <c r="AU640" s="6">
        <f t="shared" si="797"/>
        <v>366.85204261583658</v>
      </c>
      <c r="AV640" s="6">
        <f t="shared" si="798"/>
        <v>451.37986573264016</v>
      </c>
      <c r="AW640" s="58">
        <f t="shared" si="804"/>
        <v>2006</v>
      </c>
      <c r="AX640" s="58">
        <f>COUNTIF(AW$3:AW640,AW640)</f>
        <v>32</v>
      </c>
    </row>
    <row r="641" spans="1:50" x14ac:dyDescent="0.25">
      <c r="A641" s="5">
        <v>38858</v>
      </c>
      <c r="B641">
        <v>1267.03</v>
      </c>
      <c r="C641">
        <v>4.71</v>
      </c>
      <c r="D641" s="6">
        <v>17.18</v>
      </c>
      <c r="E641" s="18">
        <f t="shared" si="817"/>
        <v>14.33</v>
      </c>
      <c r="F641">
        <f t="shared" si="818"/>
        <v>1</v>
      </c>
      <c r="G641" s="18">
        <f>ROUND(INDEX(Valuation!U:U,MATCH(A641,Valuation!A:A,0)),2)</f>
        <v>144.07</v>
      </c>
      <c r="H641">
        <f t="shared" si="825"/>
        <v>1</v>
      </c>
      <c r="I641" s="18">
        <f>INDEX(WeeklyIndicators!Y:Y,MATCH(A641,WeeklyIndicators!A:A,0))</f>
        <v>130.9</v>
      </c>
      <c r="J641">
        <f t="shared" si="814"/>
        <v>0</v>
      </c>
      <c r="K641">
        <f>ROUND(INDEX(Economic!AF:AF,MATCH(EOMONTH($A641,-1),Economic!A:A,0)),2)</f>
        <v>139.88</v>
      </c>
      <c r="L641" s="11">
        <f t="shared" si="823"/>
        <v>3</v>
      </c>
      <c r="M641">
        <f>ROUND(INDEX(Manufacturing!P:P,MATCH(EOMONTH($A641,-1),Manufacturing!A:A,0)),2)</f>
        <v>91.35</v>
      </c>
      <c r="N641">
        <f t="shared" si="819"/>
        <v>1</v>
      </c>
      <c r="O641">
        <f>ROUND(INDEX(Housing!AC:AC,MATCH(EOMONTH($A641,-1),Housing!B:B,0)),2)</f>
        <v>97.18</v>
      </c>
      <c r="P641">
        <f t="shared" si="820"/>
        <v>-1</v>
      </c>
      <c r="Q641">
        <f>ROUND(INDEX(Spending!AJ:AJ,MATCH(EOMONTH($A641,-1),Spending!B:B,0)),2)</f>
        <v>60.51</v>
      </c>
      <c r="R641">
        <f t="shared" si="824"/>
        <v>2</v>
      </c>
      <c r="S641">
        <f>ROUND(INDEX(Employment!V:V,MATCH(EOMONTH($A641,-1),Employment!A:A,0)),2)</f>
        <v>184.54</v>
      </c>
      <c r="T641" s="11">
        <f t="shared" si="821"/>
        <v>2</v>
      </c>
      <c r="U641">
        <f t="shared" si="813"/>
        <v>29</v>
      </c>
      <c r="V641">
        <f t="shared" si="805"/>
        <v>79.150000000000006</v>
      </c>
      <c r="W641" s="13">
        <f t="shared" si="806"/>
        <v>-8.8000000000000005E-3</v>
      </c>
      <c r="X641" s="13">
        <f t="shared" si="807"/>
        <v>-1.6799999999999999E-2</v>
      </c>
      <c r="Y641">
        <f t="shared" si="799"/>
        <v>84.53</v>
      </c>
      <c r="Z641" s="13">
        <f t="shared" si="830"/>
        <v>-1.0200000000000001E-2</v>
      </c>
      <c r="AA641" s="13">
        <f t="shared" si="826"/>
        <v>-1.8599999999999998E-2</v>
      </c>
      <c r="AB641" s="6">
        <f t="shared" si="800"/>
        <v>92.656999999999996</v>
      </c>
      <c r="AC641">
        <f t="shared" si="828"/>
        <v>46</v>
      </c>
      <c r="AD641" s="11">
        <f t="shared" si="829"/>
        <v>1</v>
      </c>
      <c r="AE641">
        <f t="shared" si="827"/>
        <v>32</v>
      </c>
      <c r="AF641">
        <f>IF(AND(AE641&lt;15,OR(AC641&gt;=30,AA641&gt;0.15,X641&gt;=0.15)),2,VLOOKUP(AE641,Table!P:Q,2,FALSE))</f>
        <v>5</v>
      </c>
      <c r="AG641" s="22">
        <f>IF((AB641*0.98)-(D641*0.8)+((AF641-3)*3)+VLOOKUP(AM641,Table!$A$11:$B$13,2,FALSE)&lt;0,0,(AB641*0.98)-(D641*0.8)+((AF641-3)*3)+VLOOKUP(AM641,Table!$A$11:$B$13,2,FALSE))</f>
        <v>91.05986</v>
      </c>
      <c r="AH641" s="22">
        <f t="shared" si="822"/>
        <v>95</v>
      </c>
      <c r="AI641" s="18">
        <f t="shared" si="815"/>
        <v>4.58</v>
      </c>
      <c r="AJ641" s="18">
        <f t="shared" si="816"/>
        <v>4.0999999999999996</v>
      </c>
      <c r="AK641" t="str">
        <f t="shared" si="801"/>
        <v>Rising Rates</v>
      </c>
      <c r="AL641">
        <f t="shared" si="812"/>
        <v>33.75</v>
      </c>
      <c r="AM641" s="11" t="str">
        <f t="shared" si="802"/>
        <v>Stocks</v>
      </c>
      <c r="AN641" t="str">
        <f t="shared" si="808"/>
        <v>Buy</v>
      </c>
      <c r="AO641" s="13">
        <f t="shared" si="809"/>
        <v>1.04E-2</v>
      </c>
      <c r="AP641" s="13">
        <f t="shared" si="810"/>
        <v>8.9999999999999998E-4</v>
      </c>
      <c r="AQ641" s="13">
        <f t="shared" si="811"/>
        <v>9.9000000000000008E-3</v>
      </c>
      <c r="AR641" s="13">
        <f t="shared" si="803"/>
        <v>1.04E-2</v>
      </c>
      <c r="AS641" s="6">
        <f t="shared" si="795"/>
        <v>315.59670124655179</v>
      </c>
      <c r="AT641" s="6">
        <f t="shared" si="796"/>
        <v>170.21184530179283</v>
      </c>
      <c r="AU641" s="6">
        <f t="shared" si="797"/>
        <v>363.25581009588728</v>
      </c>
      <c r="AV641" s="6">
        <f t="shared" si="798"/>
        <v>446.73383386049107</v>
      </c>
      <c r="AW641" s="58">
        <f t="shared" si="804"/>
        <v>2006</v>
      </c>
      <c r="AX641" s="58">
        <f>COUNTIF(AW$3:AW641,AW641)</f>
        <v>33</v>
      </c>
    </row>
    <row r="642" spans="1:50" x14ac:dyDescent="0.25">
      <c r="A642" s="5">
        <v>38851</v>
      </c>
      <c r="B642">
        <v>1291.24</v>
      </c>
      <c r="C642">
        <v>4.74</v>
      </c>
      <c r="D642" s="6">
        <v>14.19</v>
      </c>
      <c r="E642" s="18">
        <f t="shared" si="817"/>
        <v>12.47</v>
      </c>
      <c r="F642">
        <f t="shared" si="818"/>
        <v>2</v>
      </c>
      <c r="G642" s="18">
        <f>ROUND(INDEX(Valuation!U:U,MATCH(A642,Valuation!A:A,0)),2)</f>
        <v>143.05000000000001</v>
      </c>
      <c r="H642">
        <f t="shared" si="825"/>
        <v>1</v>
      </c>
      <c r="I642" s="18">
        <f>INDEX(WeeklyIndicators!Y:Y,MATCH(A642,WeeklyIndicators!A:A,0))</f>
        <v>138.28</v>
      </c>
      <c r="J642">
        <f t="shared" si="814"/>
        <v>1</v>
      </c>
      <c r="K642">
        <f>ROUND(INDEX(Economic!AF:AF,MATCH(EOMONTH($A642,-1),Economic!A:A,0)),2)</f>
        <v>139.88</v>
      </c>
      <c r="L642" s="11">
        <f t="shared" si="823"/>
        <v>3</v>
      </c>
      <c r="M642">
        <f>ROUND(INDEX(Manufacturing!P:P,MATCH(EOMONTH($A642,-1),Manufacturing!A:A,0)),2)</f>
        <v>91.35</v>
      </c>
      <c r="N642">
        <f t="shared" si="819"/>
        <v>1</v>
      </c>
      <c r="O642">
        <f>ROUND(INDEX(Housing!AC:AC,MATCH(EOMONTH($A642,-1),Housing!B:B,0)),2)</f>
        <v>97.18</v>
      </c>
      <c r="P642">
        <f t="shared" si="820"/>
        <v>-1</v>
      </c>
      <c r="Q642">
        <f>ROUND(INDEX(Spending!AJ:AJ,MATCH(EOMONTH($A642,-1),Spending!B:B,0)),2)</f>
        <v>60.51</v>
      </c>
      <c r="R642">
        <f t="shared" si="824"/>
        <v>2</v>
      </c>
      <c r="S642">
        <f>ROUND(INDEX(Employment!V:V,MATCH(EOMONTH($A642,-1),Employment!A:A,0)),2)</f>
        <v>184.54</v>
      </c>
      <c r="T642" s="11">
        <f t="shared" si="821"/>
        <v>2</v>
      </c>
      <c r="U642">
        <f t="shared" si="813"/>
        <v>31</v>
      </c>
      <c r="V642">
        <f t="shared" si="805"/>
        <v>79.92</v>
      </c>
      <c r="W642" s="13">
        <f t="shared" si="806"/>
        <v>-6.1000000000000004E-3</v>
      </c>
      <c r="X642" s="13">
        <f t="shared" si="807"/>
        <v>-3.8999999999999998E-3</v>
      </c>
      <c r="Y642">
        <f t="shared" si="799"/>
        <v>85.83</v>
      </c>
      <c r="Z642" s="13">
        <f t="shared" si="830"/>
        <v>-5.1999999999999998E-3</v>
      </c>
      <c r="AA642" s="13">
        <f t="shared" si="826"/>
        <v>-7.899999999999999E-3</v>
      </c>
      <c r="AB642" s="6">
        <f t="shared" si="800"/>
        <v>94.735000000000014</v>
      </c>
      <c r="AC642">
        <f t="shared" si="828"/>
        <v>47</v>
      </c>
      <c r="AD642" s="11">
        <f t="shared" si="829"/>
        <v>1</v>
      </c>
      <c r="AE642">
        <f t="shared" si="827"/>
        <v>34</v>
      </c>
      <c r="AF642">
        <f>IF(AND(AE642&lt;15,OR(AC642&gt;=30,AA642&gt;0.15,X642&gt;=0.15)),2,VLOOKUP(AE642,Table!P:Q,2,FALSE))</f>
        <v>5</v>
      </c>
      <c r="AG642" s="22">
        <f>IF((AB642*0.98)-(D642*0.8)+((AF642-3)*3)+VLOOKUP(AM642,Table!$A$11:$B$13,2,FALSE)&lt;0,0,(AB642*0.98)-(D642*0.8)+((AF642-3)*3)+VLOOKUP(AM642,Table!$A$11:$B$13,2,FALSE))</f>
        <v>95.48830000000001</v>
      </c>
      <c r="AH642" s="22">
        <f t="shared" si="822"/>
        <v>98</v>
      </c>
      <c r="AI642" s="18">
        <f t="shared" si="815"/>
        <v>4.5599999999999996</v>
      </c>
      <c r="AJ642" s="18">
        <f t="shared" si="816"/>
        <v>4.07</v>
      </c>
      <c r="AK642" t="str">
        <f t="shared" si="801"/>
        <v>Rising Rates</v>
      </c>
      <c r="AL642">
        <f t="shared" si="812"/>
        <v>34.25</v>
      </c>
      <c r="AM642" s="11" t="str">
        <f t="shared" si="802"/>
        <v>Stocks</v>
      </c>
      <c r="AN642" t="str">
        <f t="shared" si="808"/>
        <v>Buy</v>
      </c>
      <c r="AO642" s="13">
        <f t="shared" si="809"/>
        <v>-1.8700000000000001E-2</v>
      </c>
      <c r="AP642" s="13">
        <f t="shared" si="810"/>
        <v>8.9999999999999998E-4</v>
      </c>
      <c r="AQ642" s="13">
        <f t="shared" si="811"/>
        <v>-1.83E-2</v>
      </c>
      <c r="AR642" s="13">
        <f t="shared" si="803"/>
        <v>-1.8700000000000001E-2</v>
      </c>
      <c r="AS642" s="6">
        <f t="shared" si="795"/>
        <v>321.61082364878405</v>
      </c>
      <c r="AT642" s="6">
        <f t="shared" si="796"/>
        <v>170.05879238864307</v>
      </c>
      <c r="AU642" s="6">
        <f t="shared" si="797"/>
        <v>370.0273098664432</v>
      </c>
      <c r="AV642" s="6">
        <f t="shared" si="798"/>
        <v>455.24695186027833</v>
      </c>
      <c r="AW642" s="58">
        <f t="shared" si="804"/>
        <v>2006</v>
      </c>
      <c r="AX642" s="58">
        <f>COUNTIF(AW$3:AW642,AW642)</f>
        <v>34</v>
      </c>
    </row>
    <row r="643" spans="1:50" x14ac:dyDescent="0.25">
      <c r="A643" s="5">
        <v>38844</v>
      </c>
      <c r="B643">
        <v>1325.76</v>
      </c>
      <c r="C643">
        <v>4.6900000000000004</v>
      </c>
      <c r="D643" s="6">
        <v>11.62</v>
      </c>
      <c r="E643" s="18">
        <f t="shared" si="817"/>
        <v>11.6</v>
      </c>
      <c r="F643">
        <f t="shared" si="818"/>
        <v>2</v>
      </c>
      <c r="G643" s="18">
        <f>ROUND(INDEX(Valuation!U:U,MATCH(A643,Valuation!A:A,0)),2)</f>
        <v>141.44999999999999</v>
      </c>
      <c r="H643">
        <f t="shared" si="825"/>
        <v>1</v>
      </c>
      <c r="I643" s="18">
        <f>INDEX(WeeklyIndicators!Y:Y,MATCH(A643,WeeklyIndicators!A:A,0))</f>
        <v>143.87</v>
      </c>
      <c r="J643">
        <f t="shared" si="814"/>
        <v>1</v>
      </c>
      <c r="K643">
        <f>ROUND(INDEX(Economic!AF:AF,MATCH(EOMONTH($A643,-1),Economic!A:A,0)),2)</f>
        <v>139.88</v>
      </c>
      <c r="L643" s="11">
        <f t="shared" si="823"/>
        <v>3</v>
      </c>
      <c r="M643">
        <f>ROUND(INDEX(Manufacturing!P:P,MATCH(EOMONTH($A643,-1),Manufacturing!A:A,0)),2)</f>
        <v>91.35</v>
      </c>
      <c r="N643">
        <f t="shared" si="819"/>
        <v>1</v>
      </c>
      <c r="O643">
        <f>ROUND(INDEX(Housing!AC:AC,MATCH(EOMONTH($A643,-1),Housing!B:B,0)),2)</f>
        <v>97.18</v>
      </c>
      <c r="P643">
        <f t="shared" si="820"/>
        <v>-1</v>
      </c>
      <c r="Q643">
        <f>ROUND(INDEX(Spending!AJ:AJ,MATCH(EOMONTH($A643,-1),Spending!B:B,0)),2)</f>
        <v>60.51</v>
      </c>
      <c r="R643">
        <f t="shared" si="824"/>
        <v>2</v>
      </c>
      <c r="S643">
        <f>ROUND(INDEX(Employment!V:V,MATCH(EOMONTH($A643,-1),Employment!A:A,0)),2)</f>
        <v>184.54</v>
      </c>
      <c r="T643" s="11">
        <f t="shared" si="821"/>
        <v>2</v>
      </c>
      <c r="U643">
        <f t="shared" si="813"/>
        <v>31</v>
      </c>
      <c r="V643">
        <f t="shared" si="805"/>
        <v>80.5</v>
      </c>
      <c r="W643" s="13">
        <f t="shared" si="806"/>
        <v>-3.5999999999999999E-3</v>
      </c>
      <c r="X643" s="13">
        <f t="shared" si="807"/>
        <v>9.5000000000000015E-3</v>
      </c>
      <c r="Y643">
        <f t="shared" si="799"/>
        <v>86.54</v>
      </c>
      <c r="Z643" s="13">
        <f t="shared" si="830"/>
        <v>-3.0000000000000001E-3</v>
      </c>
      <c r="AA643" s="13">
        <f t="shared" si="826"/>
        <v>5.9999999999999984E-4</v>
      </c>
      <c r="AB643" s="6">
        <f t="shared" si="800"/>
        <v>96.004999999999995</v>
      </c>
      <c r="AC643">
        <f t="shared" si="828"/>
        <v>48</v>
      </c>
      <c r="AD643" s="11">
        <f t="shared" si="829"/>
        <v>2</v>
      </c>
      <c r="AE643">
        <f t="shared" si="827"/>
        <v>35</v>
      </c>
      <c r="AF643">
        <f>IF(AND(AE643&lt;15,OR(AC643&gt;=30,AA643&gt;0.15,X643&gt;=0.15)),2,VLOOKUP(AE643,Table!P:Q,2,FALSE))</f>
        <v>5</v>
      </c>
      <c r="AG643" s="22">
        <f>IF((AB643*0.98)-(D643*0.8)+((AF643-3)*3)+VLOOKUP(AM643,Table!$A$11:$B$13,2,FALSE)&lt;0,0,(AB643*0.98)-(D643*0.8)+((AF643-3)*3)+VLOOKUP(AM643,Table!$A$11:$B$13,2,FALSE))</f>
        <v>98.788899999999984</v>
      </c>
      <c r="AH643" s="22">
        <f t="shared" si="822"/>
        <v>100</v>
      </c>
      <c r="AI643" s="18">
        <f t="shared" si="815"/>
        <v>4.54</v>
      </c>
      <c r="AJ643" s="18">
        <f t="shared" si="816"/>
        <v>4.04</v>
      </c>
      <c r="AK643" t="str">
        <f t="shared" si="801"/>
        <v>Rising Rates</v>
      </c>
      <c r="AL643">
        <f t="shared" si="812"/>
        <v>34.25</v>
      </c>
      <c r="AM643" s="11" t="str">
        <f t="shared" si="802"/>
        <v>Stocks</v>
      </c>
      <c r="AN643" t="str">
        <f t="shared" si="808"/>
        <v>Buy</v>
      </c>
      <c r="AO643" s="13">
        <f t="shared" si="809"/>
        <v>-2.5999999999999999E-2</v>
      </c>
      <c r="AP643" s="13">
        <f t="shared" si="810"/>
        <v>8.9999999999999998E-4</v>
      </c>
      <c r="AQ643" s="13">
        <f t="shared" si="811"/>
        <v>-2.5999999999999999E-2</v>
      </c>
      <c r="AR643" s="13">
        <f t="shared" si="803"/>
        <v>-2.5999999999999999E-2</v>
      </c>
      <c r="AS643" s="6">
        <f t="shared" ref="AS643:AS706" si="831">AS644*(1+AO644)</f>
        <v>330.19591750388508</v>
      </c>
      <c r="AT643" s="6">
        <f t="shared" ref="AT643:AT706" si="832">AT644*(1+AP644)</f>
        <v>169.90587709925376</v>
      </c>
      <c r="AU643" s="6">
        <f t="shared" ref="AU643:AU706" si="833">AU644*(1+AQ644)</f>
        <v>379.90483559183082</v>
      </c>
      <c r="AV643" s="6">
        <f t="shared" ref="AV643:AV706" si="834">AV644*(1+AR644)</f>
        <v>467.39933455880731</v>
      </c>
      <c r="AW643" s="58">
        <f t="shared" si="804"/>
        <v>2006</v>
      </c>
      <c r="AX643" s="58">
        <f>COUNTIF(AW$3:AW643,AW643)</f>
        <v>35</v>
      </c>
    </row>
    <row r="644" spans="1:50" x14ac:dyDescent="0.25">
      <c r="A644" s="5">
        <v>38837</v>
      </c>
      <c r="B644">
        <v>1310.6099999999999</v>
      </c>
      <c r="C644">
        <v>4.66</v>
      </c>
      <c r="D644" s="6">
        <v>11.59</v>
      </c>
      <c r="E644" s="18">
        <f t="shared" si="817"/>
        <v>11.85</v>
      </c>
      <c r="F644">
        <f t="shared" si="818"/>
        <v>2</v>
      </c>
      <c r="G644" s="18">
        <f>ROUND(INDEX(Valuation!U:U,MATCH(A644,Valuation!A:A,0)),2)</f>
        <v>141.02000000000001</v>
      </c>
      <c r="H644">
        <f t="shared" si="825"/>
        <v>1</v>
      </c>
      <c r="I644" s="18">
        <f>INDEX(WeeklyIndicators!Y:Y,MATCH(A644,WeeklyIndicators!A:A,0))</f>
        <v>147.26</v>
      </c>
      <c r="J644">
        <f t="shared" si="814"/>
        <v>1</v>
      </c>
      <c r="K644">
        <f>ROUND(INDEX(Economic!AF:AF,MATCH(EOMONTH($A644,-1),Economic!A:A,0)),2)</f>
        <v>136.13</v>
      </c>
      <c r="L644" s="11">
        <f t="shared" si="823"/>
        <v>2</v>
      </c>
      <c r="M644">
        <f>ROUND(INDEX(Manufacturing!P:P,MATCH(EOMONTH($A644,-1),Manufacturing!A:A,0)),2)</f>
        <v>93.31</v>
      </c>
      <c r="N644">
        <f t="shared" si="819"/>
        <v>1</v>
      </c>
      <c r="O644">
        <f>ROUND(INDEX(Housing!AC:AC,MATCH(EOMONTH($A644,-1),Housing!B:B,0)),2)</f>
        <v>103.07</v>
      </c>
      <c r="P644">
        <f t="shared" si="820"/>
        <v>0</v>
      </c>
      <c r="Q644">
        <f>ROUND(INDEX(Spending!AJ:AJ,MATCH(EOMONTH($A644,-1),Spending!B:B,0)),2)</f>
        <v>58.78</v>
      </c>
      <c r="R644">
        <f t="shared" si="824"/>
        <v>1</v>
      </c>
      <c r="S644">
        <f>ROUND(INDEX(Employment!V:V,MATCH(EOMONTH($A644,-1),Employment!A:A,0)),2)</f>
        <v>189.56</v>
      </c>
      <c r="T644" s="11">
        <f t="shared" si="821"/>
        <v>2</v>
      </c>
      <c r="U644">
        <f t="shared" si="813"/>
        <v>30</v>
      </c>
      <c r="V644">
        <f t="shared" si="805"/>
        <v>81.28</v>
      </c>
      <c r="W644" s="13">
        <f t="shared" si="806"/>
        <v>1.6999999999999999E-3</v>
      </c>
      <c r="X644" s="13">
        <f t="shared" si="807"/>
        <v>1.8700000000000001E-2</v>
      </c>
      <c r="Y644">
        <f t="shared" ref="Y644:Y707" si="835">ROUND(((K644*0.745)+(M644*0.745)+(O644*0.36)+(Q644*0.45)+(S644*0.45)+(I644*0.55)+(G644*0.59)-(E644*1.85))/5.3,2)</f>
        <v>87.18</v>
      </c>
      <c r="Z644" s="13">
        <f t="shared" si="830"/>
        <v>-2.0000000000000001E-4</v>
      </c>
      <c r="AA644" s="13">
        <f t="shared" si="826"/>
        <v>6.1999999999999998E-3</v>
      </c>
      <c r="AB644" s="6">
        <f t="shared" ref="AB644:AB707" si="836">IF(ROUND(Y644+(X644*10)+(V644/30)+(AA644*67),2)+5+((G644-125)*0.1)&lt;0,0,ROUND(Y644+(X644*10)+(V644/30)+(AA644*67),2)+5+((G644-125)*0.1))</f>
        <v>97.091999999999999</v>
      </c>
      <c r="AC644">
        <f t="shared" si="828"/>
        <v>49</v>
      </c>
      <c r="AD644" s="11">
        <f t="shared" si="829"/>
        <v>2</v>
      </c>
      <c r="AE644">
        <f t="shared" si="827"/>
        <v>34</v>
      </c>
      <c r="AF644">
        <f>IF(AND(AE644&lt;15,OR(AC644&gt;=30,AA644&gt;0.15,X644&gt;=0.15)),2,VLOOKUP(AE644,Table!P:Q,2,FALSE))</f>
        <v>5</v>
      </c>
      <c r="AG644" s="22">
        <f>IF((AB644*0.98)-(D644*0.8)+((AF644-3)*3)+VLOOKUP(AM644,Table!$A$11:$B$13,2,FALSE)&lt;0,0,(AB644*0.98)-(D644*0.8)+((AF644-3)*3)+VLOOKUP(AM644,Table!$A$11:$B$13,2,FALSE))</f>
        <v>99.878159999999994</v>
      </c>
      <c r="AH644" s="22">
        <f t="shared" si="822"/>
        <v>100</v>
      </c>
      <c r="AI644" s="18">
        <f t="shared" si="815"/>
        <v>4.51</v>
      </c>
      <c r="AJ644" s="18">
        <f t="shared" si="816"/>
        <v>4</v>
      </c>
      <c r="AK644" t="str">
        <f t="shared" ref="AK644:AK707" si="837">IF(AND(C644&gt;AI644,AI644&gt;AJ644,C644-AJ644&gt;0.15),"Rising Rates",IF(AND(C644&lt;AI644,AI644&lt;AJ644,AJ644-C644&gt;0.15),"Falling Rates",""))</f>
        <v>Rising Rates</v>
      </c>
      <c r="AL644">
        <f t="shared" si="812"/>
        <v>34</v>
      </c>
      <c r="AM644" s="11" t="str">
        <f t="shared" ref="AM644:AM707" si="838">IF(OR(AND(AL644&lt;=18,G644&lt;=25),AND(AL644&lt;=14,G644&lt;200)),"Cash","Stocks")</f>
        <v>Stocks</v>
      </c>
      <c r="AN644" t="str">
        <f t="shared" si="808"/>
        <v>Buy</v>
      </c>
      <c r="AO644" s="13">
        <f t="shared" si="809"/>
        <v>1.1599999999999999E-2</v>
      </c>
      <c r="AP644" s="13">
        <f t="shared" si="810"/>
        <v>8.9999999999999998E-4</v>
      </c>
      <c r="AQ644" s="13">
        <f t="shared" si="811"/>
        <v>1.1599999999999999E-2</v>
      </c>
      <c r="AR644" s="13">
        <f t="shared" ref="AR644:AR707" si="839">IF(AM644="Stocks",AO644,AP644)</f>
        <v>1.1599999999999999E-2</v>
      </c>
      <c r="AS644" s="6">
        <f t="shared" si="831"/>
        <v>326.40956653211254</v>
      </c>
      <c r="AT644" s="6">
        <f t="shared" si="832"/>
        <v>169.7530993098749</v>
      </c>
      <c r="AU644" s="6">
        <f t="shared" si="833"/>
        <v>375.54847330153302</v>
      </c>
      <c r="AV644" s="6">
        <f t="shared" si="834"/>
        <v>462.03967433650382</v>
      </c>
      <c r="AW644" s="58">
        <f t="shared" ref="AW644:AW707" si="840">YEAR(A644)</f>
        <v>2006</v>
      </c>
      <c r="AX644" s="58">
        <f>COUNTIF(AW$3:AW644,AW644)</f>
        <v>36</v>
      </c>
    </row>
    <row r="645" spans="1:50" x14ac:dyDescent="0.25">
      <c r="A645" s="5">
        <v>38830</v>
      </c>
      <c r="B645">
        <v>1311.28</v>
      </c>
      <c r="C645">
        <v>4.6100000000000003</v>
      </c>
      <c r="D645" s="6">
        <v>11.59</v>
      </c>
      <c r="E645" s="18">
        <f t="shared" si="817"/>
        <v>12.08</v>
      </c>
      <c r="F645">
        <f t="shared" si="818"/>
        <v>2</v>
      </c>
      <c r="G645" s="18">
        <f>ROUND(INDEX(Valuation!U:U,MATCH(A645,Valuation!A:A,0)),2)</f>
        <v>140.63</v>
      </c>
      <c r="H645">
        <f t="shared" si="825"/>
        <v>1</v>
      </c>
      <c r="I645" s="18">
        <f>INDEX(WeeklyIndicators!Y:Y,MATCH(A645,WeeklyIndicators!A:A,0))</f>
        <v>148.49</v>
      </c>
      <c r="J645">
        <f t="shared" si="814"/>
        <v>1</v>
      </c>
      <c r="K645">
        <f>ROUND(INDEX(Economic!AF:AF,MATCH(EOMONTH($A645,-1),Economic!A:A,0)),2)</f>
        <v>136.13</v>
      </c>
      <c r="L645" s="11">
        <f t="shared" si="823"/>
        <v>2</v>
      </c>
      <c r="M645">
        <f>ROUND(INDEX(Manufacturing!P:P,MATCH(EOMONTH($A645,-1),Manufacturing!A:A,0)),2)</f>
        <v>93.31</v>
      </c>
      <c r="N645">
        <f t="shared" si="819"/>
        <v>1</v>
      </c>
      <c r="O645">
        <f>ROUND(INDEX(Housing!AC:AC,MATCH(EOMONTH($A645,-1),Housing!B:B,0)),2)</f>
        <v>103.07</v>
      </c>
      <c r="P645">
        <f t="shared" si="820"/>
        <v>0</v>
      </c>
      <c r="Q645">
        <f>ROUND(INDEX(Spending!AJ:AJ,MATCH(EOMONTH($A645,-1),Spending!B:B,0)),2)</f>
        <v>58.78</v>
      </c>
      <c r="R645">
        <f t="shared" si="824"/>
        <v>1</v>
      </c>
      <c r="S645">
        <f>ROUND(INDEX(Employment!V:V,MATCH(EOMONTH($A645,-1),Employment!A:A,0)),2)</f>
        <v>189.56</v>
      </c>
      <c r="T645" s="11">
        <f t="shared" si="821"/>
        <v>2</v>
      </c>
      <c r="U645">
        <f t="shared" si="813"/>
        <v>30</v>
      </c>
      <c r="V645">
        <f t="shared" ref="V645:V708" si="841">ROUND(((K645*0.745)+(M645*0.745)+(O645*0.36)+(Q645*0.45)+(S645*0.45)+(I645*0.55)+(60)-(30))/5.3,2)</f>
        <v>81.41</v>
      </c>
      <c r="W645" s="13">
        <f t="shared" ref="W645:W708" si="842">ROUND((AVERAGE(V645:V647)-AVERAGE(V646:V648))/AVERAGE(V646:V648),4)</f>
        <v>4.1000000000000003E-3</v>
      </c>
      <c r="X645" s="13">
        <f t="shared" ref="X645:X708" si="843">SUM(W645:W648)</f>
        <v>1.9700000000000002E-2</v>
      </c>
      <c r="Y645">
        <f t="shared" si="835"/>
        <v>87.19</v>
      </c>
      <c r="Z645" s="13">
        <f t="shared" si="830"/>
        <v>5.0000000000000001E-4</v>
      </c>
      <c r="AA645" s="13">
        <f t="shared" si="826"/>
        <v>5.7999999999999996E-3</v>
      </c>
      <c r="AB645" s="6">
        <f t="shared" si="836"/>
        <v>97.052999999999997</v>
      </c>
      <c r="AC645">
        <f t="shared" si="828"/>
        <v>49</v>
      </c>
      <c r="AD645" s="11">
        <f t="shared" si="829"/>
        <v>2</v>
      </c>
      <c r="AE645">
        <f t="shared" si="827"/>
        <v>34</v>
      </c>
      <c r="AF645">
        <f>IF(AND(AE645&lt;15,OR(AC645&gt;=30,AA645&gt;0.15,X645&gt;=0.15)),2,VLOOKUP(AE645,Table!P:Q,2,FALSE))</f>
        <v>5</v>
      </c>
      <c r="AG645" s="22">
        <f>IF((AB645*0.98)-(D645*0.8)+((AF645-3)*3)+VLOOKUP(AM645,Table!$A$11:$B$13,2,FALSE)&lt;0,0,(AB645*0.98)-(D645*0.8)+((AF645-3)*3)+VLOOKUP(AM645,Table!$A$11:$B$13,2,FALSE))</f>
        <v>99.839939999999984</v>
      </c>
      <c r="AH645" s="22">
        <f t="shared" si="822"/>
        <v>99</v>
      </c>
      <c r="AI645" s="18">
        <f t="shared" si="815"/>
        <v>4.49</v>
      </c>
      <c r="AJ645" s="18">
        <f t="shared" si="816"/>
        <v>3.97</v>
      </c>
      <c r="AK645" t="str">
        <f t="shared" si="837"/>
        <v>Rising Rates</v>
      </c>
      <c r="AL645">
        <f t="shared" si="812"/>
        <v>34</v>
      </c>
      <c r="AM645" s="11" t="str">
        <f t="shared" si="838"/>
        <v>Stocks</v>
      </c>
      <c r="AN645" t="str">
        <f t="shared" ref="AN645:AN708" si="844">IF(AND(V645&gt;AG645,V645&lt;65),"Sell","Buy")</f>
        <v>Buy</v>
      </c>
      <c r="AO645" s="13">
        <f t="shared" ref="AO645:AO708" si="845">ROUND((B644/B645)-1,4)</f>
        <v>-5.0000000000000001E-4</v>
      </c>
      <c r="AP645" s="13">
        <f t="shared" ref="AP645:AP708" si="846">ROUND((C645*0.01)/52,4)</f>
        <v>8.9999999999999998E-4</v>
      </c>
      <c r="AQ645" s="13">
        <f t="shared" ref="AQ645:AQ708" si="847">ROUND(((AH645*0.01)*AO645)+(((100-AH645)*0.01)*AP645),4)</f>
        <v>-5.0000000000000001E-4</v>
      </c>
      <c r="AR645" s="13">
        <f t="shared" si="839"/>
        <v>-5.0000000000000001E-4</v>
      </c>
      <c r="AS645" s="6">
        <f t="shared" si="831"/>
        <v>326.5728529585918</v>
      </c>
      <c r="AT645" s="6">
        <f t="shared" si="832"/>
        <v>169.60045889686774</v>
      </c>
      <c r="AU645" s="6">
        <f t="shared" si="833"/>
        <v>375.73634147226915</v>
      </c>
      <c r="AV645" s="6">
        <f t="shared" si="834"/>
        <v>462.27080974137448</v>
      </c>
      <c r="AW645" s="58">
        <f t="shared" si="840"/>
        <v>2006</v>
      </c>
      <c r="AX645" s="58">
        <f>COUNTIF(AW$3:AW645,AW645)</f>
        <v>37</v>
      </c>
    </row>
    <row r="646" spans="1:50" x14ac:dyDescent="0.25">
      <c r="A646" s="5">
        <v>38823</v>
      </c>
      <c r="B646">
        <v>1289.1199999999999</v>
      </c>
      <c r="C646">
        <v>4.58</v>
      </c>
      <c r="D646" s="6">
        <v>12.38</v>
      </c>
      <c r="E646" s="18">
        <f t="shared" si="817"/>
        <v>12.01</v>
      </c>
      <c r="F646">
        <f t="shared" si="818"/>
        <v>2</v>
      </c>
      <c r="G646" s="18">
        <f>ROUND(INDEX(Valuation!U:U,MATCH(A646,Valuation!A:A,0)),2)</f>
        <v>142.04</v>
      </c>
      <c r="H646">
        <f t="shared" si="825"/>
        <v>1</v>
      </c>
      <c r="I646" s="18">
        <f>INDEX(WeeklyIndicators!Y:Y,MATCH(A646,WeeklyIndicators!A:A,0))</f>
        <v>148.11000000000001</v>
      </c>
      <c r="J646">
        <f t="shared" si="814"/>
        <v>1</v>
      </c>
      <c r="K646">
        <f>ROUND(INDEX(Economic!AF:AF,MATCH(EOMONTH($A646,-1),Economic!A:A,0)),2)</f>
        <v>136.13</v>
      </c>
      <c r="L646" s="11">
        <f t="shared" si="823"/>
        <v>2</v>
      </c>
      <c r="M646">
        <f>ROUND(INDEX(Manufacturing!P:P,MATCH(EOMONTH($A646,-1),Manufacturing!A:A,0)),2)</f>
        <v>93.31</v>
      </c>
      <c r="N646">
        <f t="shared" si="819"/>
        <v>1</v>
      </c>
      <c r="O646">
        <f>ROUND(INDEX(Housing!AC:AC,MATCH(EOMONTH($A646,-1),Housing!B:B,0)),2)</f>
        <v>103.07</v>
      </c>
      <c r="P646">
        <f t="shared" si="820"/>
        <v>0</v>
      </c>
      <c r="Q646">
        <f>ROUND(INDEX(Spending!AJ:AJ,MATCH(EOMONTH($A646,-1),Spending!B:B,0)),2)</f>
        <v>58.78</v>
      </c>
      <c r="R646">
        <f t="shared" si="824"/>
        <v>1</v>
      </c>
      <c r="S646">
        <f>ROUND(INDEX(Employment!V:V,MATCH(EOMONTH($A646,-1),Employment!A:A,0)),2)</f>
        <v>189.56</v>
      </c>
      <c r="T646" s="11">
        <f t="shared" si="821"/>
        <v>2</v>
      </c>
      <c r="U646">
        <f t="shared" si="813"/>
        <v>30</v>
      </c>
      <c r="V646">
        <f t="shared" si="841"/>
        <v>81.37</v>
      </c>
      <c r="W646" s="13">
        <f t="shared" si="842"/>
        <v>7.3000000000000001E-3</v>
      </c>
      <c r="X646" s="13">
        <f t="shared" si="843"/>
        <v>1.2999999999999999E-2</v>
      </c>
      <c r="Y646">
        <f t="shared" si="835"/>
        <v>87.33</v>
      </c>
      <c r="Z646" s="13">
        <f t="shared" si="830"/>
        <v>3.3E-3</v>
      </c>
      <c r="AA646" s="13">
        <f t="shared" si="826"/>
        <v>2.9999999999999992E-4</v>
      </c>
      <c r="AB646" s="6">
        <f t="shared" si="836"/>
        <v>96.893999999999991</v>
      </c>
      <c r="AC646">
        <f t="shared" si="828"/>
        <v>48</v>
      </c>
      <c r="AD646" s="11">
        <f t="shared" si="829"/>
        <v>2</v>
      </c>
      <c r="AE646">
        <f t="shared" si="827"/>
        <v>34</v>
      </c>
      <c r="AF646">
        <f>IF(AND(AE646&lt;15,OR(AC646&gt;=30,AA646&gt;0.15,X646&gt;=0.15)),2,VLOOKUP(AE646,Table!P:Q,2,FALSE))</f>
        <v>5</v>
      </c>
      <c r="AG646" s="22">
        <f>IF((AB646*0.98)-(D646*0.8)+((AF646-3)*3)+VLOOKUP(AM646,Table!$A$11:$B$13,2,FALSE)&lt;0,0,(AB646*0.98)-(D646*0.8)+((AF646-3)*3)+VLOOKUP(AM646,Table!$A$11:$B$13,2,FALSE))</f>
        <v>99.052119999999988</v>
      </c>
      <c r="AH646" s="22">
        <f t="shared" si="822"/>
        <v>99</v>
      </c>
      <c r="AI646" s="18">
        <f t="shared" si="815"/>
        <v>4.46</v>
      </c>
      <c r="AJ646" s="18">
        <f t="shared" si="816"/>
        <v>3.94</v>
      </c>
      <c r="AK646" t="str">
        <f t="shared" si="837"/>
        <v>Rising Rates</v>
      </c>
      <c r="AL646">
        <f t="shared" si="812"/>
        <v>34</v>
      </c>
      <c r="AM646" s="11" t="str">
        <f t="shared" si="838"/>
        <v>Stocks</v>
      </c>
      <c r="AN646" t="str">
        <f t="shared" si="844"/>
        <v>Buy</v>
      </c>
      <c r="AO646" s="13">
        <f t="shared" si="845"/>
        <v>1.72E-2</v>
      </c>
      <c r="AP646" s="13">
        <f t="shared" si="846"/>
        <v>8.9999999999999998E-4</v>
      </c>
      <c r="AQ646" s="13">
        <f t="shared" si="847"/>
        <v>1.7000000000000001E-2</v>
      </c>
      <c r="AR646" s="13">
        <f t="shared" si="839"/>
        <v>1.72E-2</v>
      </c>
      <c r="AS646" s="6">
        <f t="shared" si="831"/>
        <v>321.05077955032613</v>
      </c>
      <c r="AT646" s="6">
        <f t="shared" si="832"/>
        <v>169.44795573670473</v>
      </c>
      <c r="AU646" s="6">
        <f t="shared" si="833"/>
        <v>369.45559633458129</v>
      </c>
      <c r="AV646" s="6">
        <f t="shared" si="834"/>
        <v>454.4541975436241</v>
      </c>
      <c r="AW646" s="58">
        <f t="shared" si="840"/>
        <v>2006</v>
      </c>
      <c r="AX646" s="58">
        <f>COUNTIF(AW$3:AW646,AW646)</f>
        <v>38</v>
      </c>
    </row>
    <row r="647" spans="1:50" x14ac:dyDescent="0.25">
      <c r="A647" s="5">
        <v>38816</v>
      </c>
      <c r="B647">
        <v>1295.5</v>
      </c>
      <c r="C647">
        <v>4.5599999999999996</v>
      </c>
      <c r="D647" s="6">
        <v>12.26</v>
      </c>
      <c r="E647" s="18">
        <f t="shared" si="817"/>
        <v>11.61</v>
      </c>
      <c r="F647">
        <f t="shared" si="818"/>
        <v>2</v>
      </c>
      <c r="G647" s="18">
        <f>ROUND(INDEX(Valuation!U:U,MATCH(A647,Valuation!A:A,0)),2)</f>
        <v>144.51</v>
      </c>
      <c r="H647">
        <f t="shared" si="825"/>
        <v>1</v>
      </c>
      <c r="I647" s="18">
        <f>INDEX(WeeklyIndicators!Y:Y,MATCH(A647,WeeklyIndicators!A:A,0))</f>
        <v>143.22</v>
      </c>
      <c r="J647">
        <f t="shared" si="814"/>
        <v>1</v>
      </c>
      <c r="K647">
        <f>ROUND(INDEX(Economic!AF:AF,MATCH(EOMONTH($A647,-1),Economic!A:A,0)),2)</f>
        <v>136.13</v>
      </c>
      <c r="L647" s="11">
        <f t="shared" si="823"/>
        <v>2</v>
      </c>
      <c r="M647">
        <f>ROUND(INDEX(Manufacturing!P:P,MATCH(EOMONTH($A647,-1),Manufacturing!A:A,0)),2)</f>
        <v>93.31</v>
      </c>
      <c r="N647">
        <f t="shared" si="819"/>
        <v>1</v>
      </c>
      <c r="O647">
        <f>ROUND(INDEX(Housing!AC:AC,MATCH(EOMONTH($A647,-1),Housing!B:B,0)),2)</f>
        <v>103.07</v>
      </c>
      <c r="P647">
        <f t="shared" si="820"/>
        <v>0</v>
      </c>
      <c r="Q647">
        <f>ROUND(INDEX(Spending!AJ:AJ,MATCH(EOMONTH($A647,-1),Spending!B:B,0)),2)</f>
        <v>58.78</v>
      </c>
      <c r="R647">
        <f t="shared" si="824"/>
        <v>1</v>
      </c>
      <c r="S647">
        <f>ROUND(INDEX(Employment!V:V,MATCH(EOMONTH($A647,-1),Employment!A:A,0)),2)</f>
        <v>189.56</v>
      </c>
      <c r="T647" s="11">
        <f t="shared" si="821"/>
        <v>2</v>
      </c>
      <c r="U647">
        <f t="shared" si="813"/>
        <v>30</v>
      </c>
      <c r="V647">
        <f t="shared" si="841"/>
        <v>80.86</v>
      </c>
      <c r="W647" s="13">
        <f t="shared" si="842"/>
        <v>5.5999999999999999E-3</v>
      </c>
      <c r="X647" s="13">
        <f t="shared" si="843"/>
        <v>4.8000000000000004E-3</v>
      </c>
      <c r="Y647">
        <f t="shared" si="835"/>
        <v>87.23</v>
      </c>
      <c r="Z647" s="13">
        <f t="shared" si="830"/>
        <v>2.5999999999999999E-3</v>
      </c>
      <c r="AA647" s="13">
        <f t="shared" si="826"/>
        <v>-5.7999999999999996E-3</v>
      </c>
      <c r="AB647" s="6">
        <f t="shared" si="836"/>
        <v>96.530999999999992</v>
      </c>
      <c r="AC647">
        <f t="shared" si="828"/>
        <v>48</v>
      </c>
      <c r="AD647" s="11">
        <f t="shared" si="829"/>
        <v>2</v>
      </c>
      <c r="AE647">
        <f t="shared" si="827"/>
        <v>34</v>
      </c>
      <c r="AF647">
        <f>IF(AND(AE647&lt;15,OR(AC647&gt;=30,AA647&gt;0.15,X647&gt;=0.15)),2,VLOOKUP(AE647,Table!P:Q,2,FALSE))</f>
        <v>5</v>
      </c>
      <c r="AG647" s="22">
        <f>IF((AB647*0.98)-(D647*0.8)+((AF647-3)*3)+VLOOKUP(AM647,Table!$A$11:$B$13,2,FALSE)&lt;0,0,(AB647*0.98)-(D647*0.8)+((AF647-3)*3)+VLOOKUP(AM647,Table!$A$11:$B$13,2,FALSE))</f>
        <v>98.79237999999998</v>
      </c>
      <c r="AH647" s="22">
        <f t="shared" si="822"/>
        <v>99</v>
      </c>
      <c r="AI647" s="18">
        <f t="shared" si="815"/>
        <v>4.43</v>
      </c>
      <c r="AJ647" s="18">
        <f t="shared" si="816"/>
        <v>3.9</v>
      </c>
      <c r="AK647" t="str">
        <f t="shared" si="837"/>
        <v>Rising Rates</v>
      </c>
      <c r="AL647">
        <f t="shared" si="812"/>
        <v>34</v>
      </c>
      <c r="AM647" s="11" t="str">
        <f t="shared" si="838"/>
        <v>Stocks</v>
      </c>
      <c r="AN647" t="str">
        <f t="shared" si="844"/>
        <v>Buy</v>
      </c>
      <c r="AO647" s="13">
        <f t="shared" si="845"/>
        <v>-4.8999999999999998E-3</v>
      </c>
      <c r="AP647" s="13">
        <f t="shared" si="846"/>
        <v>8.9999999999999998E-4</v>
      </c>
      <c r="AQ647" s="13">
        <f t="shared" si="847"/>
        <v>-4.7999999999999996E-3</v>
      </c>
      <c r="AR647" s="13">
        <f t="shared" si="839"/>
        <v>-4.8999999999999998E-3</v>
      </c>
      <c r="AS647" s="6">
        <f t="shared" si="831"/>
        <v>322.63167475663363</v>
      </c>
      <c r="AT647" s="6">
        <f t="shared" si="832"/>
        <v>169.29558970596938</v>
      </c>
      <c r="AU647" s="6">
        <f t="shared" si="833"/>
        <v>371.23753650982849</v>
      </c>
      <c r="AV647" s="6">
        <f t="shared" si="834"/>
        <v>456.6919882862266</v>
      </c>
      <c r="AW647" s="58">
        <f t="shared" si="840"/>
        <v>2006</v>
      </c>
      <c r="AX647" s="58">
        <f>COUNTIF(AW$3:AW647,AW647)</f>
        <v>39</v>
      </c>
    </row>
    <row r="648" spans="1:50" x14ac:dyDescent="0.25">
      <c r="A648" s="5">
        <v>38809</v>
      </c>
      <c r="B648">
        <v>1294.8699999999999</v>
      </c>
      <c r="C648">
        <v>4.51</v>
      </c>
      <c r="D648" s="6">
        <v>11.39</v>
      </c>
      <c r="E648" s="18">
        <f t="shared" si="817"/>
        <v>11.57</v>
      </c>
      <c r="F648">
        <f t="shared" si="818"/>
        <v>2</v>
      </c>
      <c r="G648" s="18">
        <f>ROUND(INDEX(Valuation!U:U,MATCH(A648,Valuation!A:A,0)),2)</f>
        <v>146.66999999999999</v>
      </c>
      <c r="H648">
        <f t="shared" si="825"/>
        <v>1</v>
      </c>
      <c r="I648" s="18">
        <f>INDEX(WeeklyIndicators!Y:Y,MATCH(A648,WeeklyIndicators!A:A,0))</f>
        <v>138.96</v>
      </c>
      <c r="J648">
        <f t="shared" si="814"/>
        <v>1</v>
      </c>
      <c r="K648">
        <f>ROUND(INDEX(Economic!AF:AF,MATCH(EOMONTH($A648,-1),Economic!A:A,0)),2)</f>
        <v>136.13</v>
      </c>
      <c r="L648" s="11">
        <f t="shared" si="823"/>
        <v>2</v>
      </c>
      <c r="M648">
        <f>ROUND(INDEX(Manufacturing!P:P,MATCH(EOMONTH($A648,-1),Manufacturing!A:A,0)),2)</f>
        <v>93.31</v>
      </c>
      <c r="N648">
        <f t="shared" si="819"/>
        <v>1</v>
      </c>
      <c r="O648">
        <f>ROUND(INDEX(Housing!AC:AC,MATCH(EOMONTH($A648,-1),Housing!B:B,0)),2)</f>
        <v>103.07</v>
      </c>
      <c r="P648">
        <f t="shared" si="820"/>
        <v>0</v>
      </c>
      <c r="Q648">
        <f>ROUND(INDEX(Spending!AJ:AJ,MATCH(EOMONTH($A648,-1),Spending!B:B,0)),2)</f>
        <v>58.78</v>
      </c>
      <c r="R648">
        <f t="shared" si="824"/>
        <v>1</v>
      </c>
      <c r="S648">
        <f>ROUND(INDEX(Employment!V:V,MATCH(EOMONTH($A648,-1),Employment!A:A,0)),2)</f>
        <v>189.56</v>
      </c>
      <c r="T648" s="11">
        <f t="shared" si="821"/>
        <v>2</v>
      </c>
      <c r="U648">
        <f t="shared" si="813"/>
        <v>30</v>
      </c>
      <c r="V648">
        <f t="shared" si="841"/>
        <v>80.42</v>
      </c>
      <c r="W648" s="13">
        <f t="shared" si="842"/>
        <v>2.7000000000000001E-3</v>
      </c>
      <c r="X648" s="13">
        <f t="shared" si="843"/>
        <v>-5.2999999999999992E-3</v>
      </c>
      <c r="Y648">
        <f t="shared" si="835"/>
        <v>87.05</v>
      </c>
      <c r="Z648" s="13">
        <f t="shared" si="830"/>
        <v>-5.9999999999999995E-4</v>
      </c>
      <c r="AA648" s="13">
        <f t="shared" si="826"/>
        <v>-1.32E-2</v>
      </c>
      <c r="AB648" s="6">
        <f t="shared" si="836"/>
        <v>95.957000000000008</v>
      </c>
      <c r="AC648">
        <f t="shared" si="828"/>
        <v>48</v>
      </c>
      <c r="AD648" s="11">
        <f t="shared" si="829"/>
        <v>2</v>
      </c>
      <c r="AE648">
        <f t="shared" si="827"/>
        <v>34</v>
      </c>
      <c r="AF648">
        <f>IF(AND(AE648&lt;15,OR(AC648&gt;=30,AA648&gt;0.15,X648&gt;=0.15)),2,VLOOKUP(AE648,Table!P:Q,2,FALSE))</f>
        <v>5</v>
      </c>
      <c r="AG648" s="22">
        <f>IF((AB648*0.98)-(D648*0.8)+((AF648-3)*3)+VLOOKUP(AM648,Table!$A$11:$B$13,2,FALSE)&lt;0,0,(AB648*0.98)-(D648*0.8)+((AF648-3)*3)+VLOOKUP(AM648,Table!$A$11:$B$13,2,FALSE))</f>
        <v>98.925860000000014</v>
      </c>
      <c r="AH648" s="22">
        <f t="shared" si="822"/>
        <v>98</v>
      </c>
      <c r="AI648" s="18">
        <f t="shared" si="815"/>
        <v>4.3899999999999997</v>
      </c>
      <c r="AJ648" s="18">
        <f t="shared" si="816"/>
        <v>3.86</v>
      </c>
      <c r="AK648" t="str">
        <f t="shared" si="837"/>
        <v>Rising Rates</v>
      </c>
      <c r="AL648">
        <f t="shared" si="812"/>
        <v>34</v>
      </c>
      <c r="AM648" s="11" t="str">
        <f t="shared" si="838"/>
        <v>Stocks</v>
      </c>
      <c r="AN648" t="str">
        <f t="shared" si="844"/>
        <v>Buy</v>
      </c>
      <c r="AO648" s="13">
        <f t="shared" si="845"/>
        <v>5.0000000000000001E-4</v>
      </c>
      <c r="AP648" s="13">
        <f t="shared" si="846"/>
        <v>8.9999999999999998E-4</v>
      </c>
      <c r="AQ648" s="13">
        <f t="shared" si="847"/>
        <v>5.0000000000000001E-4</v>
      </c>
      <c r="AR648" s="13">
        <f t="shared" si="839"/>
        <v>5.0000000000000001E-4</v>
      </c>
      <c r="AS648" s="6">
        <f t="shared" si="831"/>
        <v>322.47043953686523</v>
      </c>
      <c r="AT648" s="6">
        <f t="shared" si="832"/>
        <v>169.14336068135617</v>
      </c>
      <c r="AU648" s="6">
        <f t="shared" si="833"/>
        <v>371.05201050457623</v>
      </c>
      <c r="AV648" s="6">
        <f t="shared" si="834"/>
        <v>456.46375640802262</v>
      </c>
      <c r="AW648" s="58">
        <f t="shared" si="840"/>
        <v>2006</v>
      </c>
      <c r="AX648" s="58">
        <f>COUNTIF(AW$3:AW648,AW648)</f>
        <v>40</v>
      </c>
    </row>
    <row r="649" spans="1:50" x14ac:dyDescent="0.25">
      <c r="A649" s="5">
        <v>38802</v>
      </c>
      <c r="B649">
        <v>1302.95</v>
      </c>
      <c r="C649">
        <v>4.5599999999999996</v>
      </c>
      <c r="D649" s="6">
        <v>11.19</v>
      </c>
      <c r="E649" s="18">
        <f t="shared" si="817"/>
        <v>11.72</v>
      </c>
      <c r="F649">
        <f t="shared" si="818"/>
        <v>2</v>
      </c>
      <c r="G649" s="18">
        <f>ROUND(INDEX(Valuation!U:U,MATCH(A649,Valuation!A:A,0)),2)</f>
        <v>149.28</v>
      </c>
      <c r="H649">
        <f t="shared" si="825"/>
        <v>1</v>
      </c>
      <c r="I649" s="18">
        <f>INDEX(WeeklyIndicators!Y:Y,MATCH(A649,WeeklyIndicators!A:A,0))</f>
        <v>136.06</v>
      </c>
      <c r="J649">
        <f t="shared" si="814"/>
        <v>1</v>
      </c>
      <c r="K649">
        <f>ROUND(INDEX(Economic!AF:AF,MATCH(EOMONTH($A649,-1),Economic!A:A,0)),2)</f>
        <v>127.31</v>
      </c>
      <c r="L649" s="11">
        <f t="shared" si="823"/>
        <v>2</v>
      </c>
      <c r="M649">
        <f>ROUND(INDEX(Manufacturing!P:P,MATCH(EOMONTH($A649,-1),Manufacturing!A:A,0)),2)</f>
        <v>97.06</v>
      </c>
      <c r="N649">
        <f t="shared" si="819"/>
        <v>1</v>
      </c>
      <c r="O649">
        <f>ROUND(INDEX(Housing!AC:AC,MATCH(EOMONTH($A649,-1),Housing!B:B,0)),2)</f>
        <v>107.95</v>
      </c>
      <c r="P649">
        <f t="shared" si="820"/>
        <v>0</v>
      </c>
      <c r="Q649">
        <f>ROUND(INDEX(Spending!AJ:AJ,MATCH(EOMONTH($A649,-1),Spending!B:B,0)),2)</f>
        <v>58.92</v>
      </c>
      <c r="R649">
        <f t="shared" si="824"/>
        <v>1</v>
      </c>
      <c r="S649">
        <f>ROUND(INDEX(Employment!V:V,MATCH(EOMONTH($A649,-1),Employment!A:A,0)),2)</f>
        <v>187.99</v>
      </c>
      <c r="T649" s="11">
        <f t="shared" si="821"/>
        <v>2</v>
      </c>
      <c r="U649">
        <f t="shared" si="813"/>
        <v>30</v>
      </c>
      <c r="V649">
        <f t="shared" si="841"/>
        <v>79.62</v>
      </c>
      <c r="W649" s="13">
        <f t="shared" si="842"/>
        <v>-2.5999999999999999E-3</v>
      </c>
      <c r="X649" s="13">
        <f t="shared" si="843"/>
        <v>-1.3600000000000001E-2</v>
      </c>
      <c r="Y649">
        <f t="shared" si="835"/>
        <v>86.48</v>
      </c>
      <c r="Z649" s="13">
        <f t="shared" si="830"/>
        <v>-5.0000000000000001E-3</v>
      </c>
      <c r="AA649" s="13">
        <f t="shared" si="826"/>
        <v>-1.77E-2</v>
      </c>
      <c r="AB649" s="6">
        <f t="shared" si="836"/>
        <v>95.238</v>
      </c>
      <c r="AC649">
        <f t="shared" si="828"/>
        <v>48</v>
      </c>
      <c r="AD649" s="11">
        <f t="shared" si="829"/>
        <v>2</v>
      </c>
      <c r="AE649">
        <f t="shared" si="827"/>
        <v>34</v>
      </c>
      <c r="AF649">
        <f>IF(AND(AE649&lt;15,OR(AC649&gt;=30,AA649&gt;0.15,X649&gt;=0.15)),2,VLOOKUP(AE649,Table!P:Q,2,FALSE))</f>
        <v>5</v>
      </c>
      <c r="AG649" s="22">
        <f>IF((AB649*0.98)-(D649*0.8)+((AF649-3)*3)+VLOOKUP(AM649,Table!$A$11:$B$13,2,FALSE)&lt;0,0,(AB649*0.98)-(D649*0.8)+((AF649-3)*3)+VLOOKUP(AM649,Table!$A$11:$B$13,2,FALSE))</f>
        <v>98.381240000000005</v>
      </c>
      <c r="AH649" s="22">
        <f t="shared" si="822"/>
        <v>99</v>
      </c>
      <c r="AI649" s="18">
        <f t="shared" si="815"/>
        <v>4.3499999999999996</v>
      </c>
      <c r="AJ649" s="18">
        <f t="shared" si="816"/>
        <v>3.83</v>
      </c>
      <c r="AK649" t="str">
        <f t="shared" si="837"/>
        <v>Rising Rates</v>
      </c>
      <c r="AL649">
        <f t="shared" ref="AL649:AL712" si="848">ROUND(AVERAGE(AE649:AE652),2)</f>
        <v>34</v>
      </c>
      <c r="AM649" s="11" t="str">
        <f t="shared" si="838"/>
        <v>Stocks</v>
      </c>
      <c r="AN649" t="str">
        <f t="shared" si="844"/>
        <v>Buy</v>
      </c>
      <c r="AO649" s="13">
        <f t="shared" si="845"/>
        <v>-6.1999999999999998E-3</v>
      </c>
      <c r="AP649" s="13">
        <f t="shared" si="846"/>
        <v>8.9999999999999998E-4</v>
      </c>
      <c r="AQ649" s="13">
        <f t="shared" si="847"/>
        <v>-6.1000000000000004E-3</v>
      </c>
      <c r="AR649" s="13">
        <f t="shared" si="839"/>
        <v>-6.1999999999999998E-3</v>
      </c>
      <c r="AS649" s="6">
        <f t="shared" si="831"/>
        <v>324.48222935889032</v>
      </c>
      <c r="AT649" s="6">
        <f t="shared" si="832"/>
        <v>168.99126853967047</v>
      </c>
      <c r="AU649" s="6">
        <f t="shared" si="833"/>
        <v>373.32931935262724</v>
      </c>
      <c r="AV649" s="6">
        <f t="shared" si="834"/>
        <v>459.31148763133689</v>
      </c>
      <c r="AW649" s="58">
        <f t="shared" si="840"/>
        <v>2006</v>
      </c>
      <c r="AX649" s="58">
        <f>COUNTIF(AW$3:AW649,AW649)</f>
        <v>41</v>
      </c>
    </row>
    <row r="650" spans="1:50" x14ac:dyDescent="0.25">
      <c r="A650" s="5">
        <v>38795</v>
      </c>
      <c r="B650">
        <v>1307.25</v>
      </c>
      <c r="C650">
        <v>4.5</v>
      </c>
      <c r="D650" s="6">
        <v>12.12</v>
      </c>
      <c r="E650" s="18">
        <f t="shared" si="817"/>
        <v>11.98</v>
      </c>
      <c r="F650">
        <f t="shared" si="818"/>
        <v>2</v>
      </c>
      <c r="G650" s="18">
        <f>ROUND(INDEX(Valuation!U:U,MATCH(A650,Valuation!A:A,0)),2)</f>
        <v>151.62</v>
      </c>
      <c r="H650">
        <f t="shared" si="825"/>
        <v>1</v>
      </c>
      <c r="I650" s="18">
        <f>INDEX(WeeklyIndicators!Y:Y,MATCH(A650,WeeklyIndicators!A:A,0))</f>
        <v>135.09</v>
      </c>
      <c r="J650">
        <f t="shared" si="814"/>
        <v>1</v>
      </c>
      <c r="K650">
        <f>ROUND(INDEX(Economic!AF:AF,MATCH(EOMONTH($A650,-1),Economic!A:A,0)),2)</f>
        <v>127.31</v>
      </c>
      <c r="L650" s="11">
        <f t="shared" si="823"/>
        <v>2</v>
      </c>
      <c r="M650">
        <f>ROUND(INDEX(Manufacturing!P:P,MATCH(EOMONTH($A650,-1),Manufacturing!A:A,0)),2)</f>
        <v>97.06</v>
      </c>
      <c r="N650">
        <f t="shared" si="819"/>
        <v>1</v>
      </c>
      <c r="O650">
        <f>ROUND(INDEX(Housing!AC:AC,MATCH(EOMONTH($A650,-1),Housing!B:B,0)),2)</f>
        <v>107.95</v>
      </c>
      <c r="P650">
        <f t="shared" si="820"/>
        <v>0</v>
      </c>
      <c r="Q650">
        <f>ROUND(INDEX(Spending!AJ:AJ,MATCH(EOMONTH($A650,-1),Spending!B:B,0)),2)</f>
        <v>58.92</v>
      </c>
      <c r="R650">
        <f t="shared" si="824"/>
        <v>1</v>
      </c>
      <c r="S650">
        <f>ROUND(INDEX(Employment!V:V,MATCH(EOMONTH($A650,-1),Employment!A:A,0)),2)</f>
        <v>187.99</v>
      </c>
      <c r="T650" s="11">
        <f t="shared" si="821"/>
        <v>2</v>
      </c>
      <c r="U650">
        <f t="shared" ref="U650:U713" si="849">F650+H650+J650+L650+N650+P650+R650+T650+20</f>
        <v>30</v>
      </c>
      <c r="V650">
        <f t="shared" si="841"/>
        <v>79.510000000000005</v>
      </c>
      <c r="W650" s="13">
        <f t="shared" si="842"/>
        <v>-8.9999999999999998E-4</v>
      </c>
      <c r="X650" s="13">
        <f t="shared" si="843"/>
        <v>-1.78E-2</v>
      </c>
      <c r="Y650">
        <f t="shared" si="835"/>
        <v>86.55</v>
      </c>
      <c r="Z650" s="13">
        <f t="shared" si="830"/>
        <v>-2.8E-3</v>
      </c>
      <c r="AA650" s="13">
        <f t="shared" si="826"/>
        <v>-1.8099999999999998E-2</v>
      </c>
      <c r="AB650" s="6">
        <f t="shared" si="836"/>
        <v>95.472000000000008</v>
      </c>
      <c r="AC650">
        <f t="shared" si="828"/>
        <v>48</v>
      </c>
      <c r="AD650" s="11">
        <f t="shared" si="829"/>
        <v>2</v>
      </c>
      <c r="AE650">
        <f t="shared" si="827"/>
        <v>34</v>
      </c>
      <c r="AF650">
        <f>IF(AND(AE650&lt;15,OR(AC650&gt;=30,AA650&gt;0.15,X650&gt;=0.15)),2,VLOOKUP(AE650,Table!P:Q,2,FALSE))</f>
        <v>5</v>
      </c>
      <c r="AG650" s="22">
        <f>IF((AB650*0.98)-(D650*0.8)+((AF650-3)*3)+VLOOKUP(AM650,Table!$A$11:$B$13,2,FALSE)&lt;0,0,(AB650*0.98)-(D650*0.8)+((AF650-3)*3)+VLOOKUP(AM650,Table!$A$11:$B$13,2,FALSE))</f>
        <v>97.866560000000007</v>
      </c>
      <c r="AH650" s="22">
        <f t="shared" si="822"/>
        <v>100</v>
      </c>
      <c r="AI650" s="18">
        <f t="shared" si="815"/>
        <v>4.3</v>
      </c>
      <c r="AJ650" s="18">
        <f t="shared" si="816"/>
        <v>3.78</v>
      </c>
      <c r="AK650" t="str">
        <f t="shared" si="837"/>
        <v>Rising Rates</v>
      </c>
      <c r="AL650">
        <f t="shared" si="848"/>
        <v>34.25</v>
      </c>
      <c r="AM650" s="11" t="str">
        <f t="shared" si="838"/>
        <v>Stocks</v>
      </c>
      <c r="AN650" t="str">
        <f t="shared" si="844"/>
        <v>Buy</v>
      </c>
      <c r="AO650" s="13">
        <f t="shared" si="845"/>
        <v>-3.3E-3</v>
      </c>
      <c r="AP650" s="13">
        <f t="shared" si="846"/>
        <v>8.9999999999999998E-4</v>
      </c>
      <c r="AQ650" s="13">
        <f t="shared" si="847"/>
        <v>-3.3E-3</v>
      </c>
      <c r="AR650" s="13">
        <f t="shared" si="839"/>
        <v>-3.3E-3</v>
      </c>
      <c r="AS650" s="6">
        <f t="shared" si="831"/>
        <v>325.55656602677868</v>
      </c>
      <c r="AT650" s="6">
        <f t="shared" si="832"/>
        <v>168.83931315782846</v>
      </c>
      <c r="AU650" s="6">
        <f t="shared" si="833"/>
        <v>374.5653851235349</v>
      </c>
      <c r="AV650" s="6">
        <f t="shared" si="834"/>
        <v>460.83223400354859</v>
      </c>
      <c r="AW650" s="58">
        <f t="shared" si="840"/>
        <v>2006</v>
      </c>
      <c r="AX650" s="58">
        <f>COUNTIF(AW$3:AW650,AW650)</f>
        <v>42</v>
      </c>
    </row>
    <row r="651" spans="1:50" x14ac:dyDescent="0.25">
      <c r="A651" s="5">
        <v>38788</v>
      </c>
      <c r="B651">
        <v>1281.42</v>
      </c>
      <c r="C651">
        <v>4.49</v>
      </c>
      <c r="D651" s="6">
        <v>11.85</v>
      </c>
      <c r="E651" s="18">
        <f t="shared" si="817"/>
        <v>11.76</v>
      </c>
      <c r="F651">
        <f t="shared" si="818"/>
        <v>2</v>
      </c>
      <c r="G651" s="18">
        <f>ROUND(INDEX(Valuation!U:U,MATCH(A651,Valuation!A:A,0)),2)</f>
        <v>154.51</v>
      </c>
      <c r="H651">
        <f t="shared" si="825"/>
        <v>1</v>
      </c>
      <c r="I651" s="18">
        <f>INDEX(WeeklyIndicators!Y:Y,MATCH(A651,WeeklyIndicators!A:A,0))</f>
        <v>137.63</v>
      </c>
      <c r="J651">
        <f t="shared" si="814"/>
        <v>1</v>
      </c>
      <c r="K651">
        <f>ROUND(INDEX(Economic!AF:AF,MATCH(EOMONTH($A651,-1),Economic!A:A,0)),2)</f>
        <v>127.31</v>
      </c>
      <c r="L651" s="11">
        <f t="shared" si="823"/>
        <v>2</v>
      </c>
      <c r="M651">
        <f>ROUND(INDEX(Manufacturing!P:P,MATCH(EOMONTH($A651,-1),Manufacturing!A:A,0)),2)</f>
        <v>97.06</v>
      </c>
      <c r="N651">
        <f t="shared" si="819"/>
        <v>1</v>
      </c>
      <c r="O651">
        <f>ROUND(INDEX(Housing!AC:AC,MATCH(EOMONTH($A651,-1),Housing!B:B,0)),2)</f>
        <v>107.95</v>
      </c>
      <c r="P651">
        <f t="shared" si="820"/>
        <v>0</v>
      </c>
      <c r="Q651">
        <f>ROUND(INDEX(Spending!AJ:AJ,MATCH(EOMONTH($A651,-1),Spending!B:B,0)),2)</f>
        <v>58.92</v>
      </c>
      <c r="R651">
        <f t="shared" si="824"/>
        <v>1</v>
      </c>
      <c r="S651">
        <f>ROUND(INDEX(Employment!V:V,MATCH(EOMONTH($A651,-1),Employment!A:A,0)),2)</f>
        <v>187.99</v>
      </c>
      <c r="T651" s="11">
        <f t="shared" si="821"/>
        <v>2</v>
      </c>
      <c r="U651">
        <f t="shared" si="849"/>
        <v>30</v>
      </c>
      <c r="V651">
        <f t="shared" si="841"/>
        <v>79.78</v>
      </c>
      <c r="W651" s="13">
        <f t="shared" si="842"/>
        <v>-4.4999999999999997E-3</v>
      </c>
      <c r="X651" s="13">
        <f t="shared" si="843"/>
        <v>-5.4999999999999979E-3</v>
      </c>
      <c r="Y651">
        <f t="shared" si="835"/>
        <v>87.21</v>
      </c>
      <c r="Z651" s="13">
        <f t="shared" si="830"/>
        <v>-4.7999999999999996E-3</v>
      </c>
      <c r="AA651" s="13">
        <f t="shared" si="826"/>
        <v>-4.1999999999999989E-3</v>
      </c>
      <c r="AB651" s="6">
        <f t="shared" si="836"/>
        <v>97.480999999999995</v>
      </c>
      <c r="AC651">
        <f t="shared" si="828"/>
        <v>49</v>
      </c>
      <c r="AD651" s="11">
        <f t="shared" si="829"/>
        <v>2</v>
      </c>
      <c r="AE651">
        <f t="shared" si="827"/>
        <v>34</v>
      </c>
      <c r="AF651">
        <f>IF(AND(AE651&lt;15,OR(AC651&gt;=30,AA651&gt;0.15,X651&gt;=0.15)),2,VLOOKUP(AE651,Table!P:Q,2,FALSE))</f>
        <v>5</v>
      </c>
      <c r="AG651" s="22">
        <f>IF((AB651*0.98)-(D651*0.8)+((AF651-3)*3)+VLOOKUP(AM651,Table!$A$11:$B$13,2,FALSE)&lt;0,0,(AB651*0.98)-(D651*0.8)+((AF651-3)*3)+VLOOKUP(AM651,Table!$A$11:$B$13,2,FALSE))</f>
        <v>100.05137999999999</v>
      </c>
      <c r="AH651" s="22">
        <f t="shared" si="822"/>
        <v>100</v>
      </c>
      <c r="AI651" s="18">
        <f t="shared" si="815"/>
        <v>4.25</v>
      </c>
      <c r="AJ651" s="18">
        <f t="shared" si="816"/>
        <v>3.74</v>
      </c>
      <c r="AK651" t="str">
        <f t="shared" si="837"/>
        <v>Rising Rates</v>
      </c>
      <c r="AL651">
        <f t="shared" si="848"/>
        <v>34.75</v>
      </c>
      <c r="AM651" s="11" t="str">
        <f t="shared" si="838"/>
        <v>Stocks</v>
      </c>
      <c r="AN651" t="str">
        <f t="shared" si="844"/>
        <v>Buy</v>
      </c>
      <c r="AO651" s="13">
        <f t="shared" si="845"/>
        <v>2.0199999999999999E-2</v>
      </c>
      <c r="AP651" s="13">
        <f t="shared" si="846"/>
        <v>8.9999999999999998E-4</v>
      </c>
      <c r="AQ651" s="13">
        <f t="shared" si="847"/>
        <v>2.0199999999999999E-2</v>
      </c>
      <c r="AR651" s="13">
        <f t="shared" si="839"/>
        <v>2.0199999999999999E-2</v>
      </c>
      <c r="AS651" s="6">
        <f t="shared" si="831"/>
        <v>319.11053325502712</v>
      </c>
      <c r="AT651" s="6">
        <f t="shared" si="832"/>
        <v>168.68749441285689</v>
      </c>
      <c r="AU651" s="6">
        <f t="shared" si="833"/>
        <v>367.14897581212989</v>
      </c>
      <c r="AV651" s="6">
        <f t="shared" si="834"/>
        <v>451.70773770196882</v>
      </c>
      <c r="AW651" s="58">
        <f t="shared" si="840"/>
        <v>2006</v>
      </c>
      <c r="AX651" s="58">
        <f>COUNTIF(AW$3:AW651,AW651)</f>
        <v>43</v>
      </c>
    </row>
    <row r="652" spans="1:50" x14ac:dyDescent="0.25">
      <c r="A652" s="5">
        <v>38781</v>
      </c>
      <c r="B652">
        <v>1287.23</v>
      </c>
      <c r="C652">
        <v>4.5</v>
      </c>
      <c r="D652" s="6">
        <v>11.96</v>
      </c>
      <c r="E652" s="18">
        <f t="shared" si="817"/>
        <v>11.81</v>
      </c>
      <c r="F652">
        <f t="shared" si="818"/>
        <v>2</v>
      </c>
      <c r="G652" s="18">
        <f>ROUND(INDEX(Valuation!U:U,MATCH(A652,Valuation!A:A,0)),2)</f>
        <v>155.62</v>
      </c>
      <c r="H652">
        <f t="shared" si="825"/>
        <v>1</v>
      </c>
      <c r="I652" s="18">
        <f>INDEX(WeeklyIndicators!Y:Y,MATCH(A652,WeeklyIndicators!A:A,0))</f>
        <v>142.09</v>
      </c>
      <c r="J652">
        <f t="shared" si="814"/>
        <v>1</v>
      </c>
      <c r="K652">
        <f>ROUND(INDEX(Economic!AF:AF,MATCH(EOMONTH($A652,-1),Economic!A:A,0)),2)</f>
        <v>127.31</v>
      </c>
      <c r="L652" s="11">
        <f t="shared" si="823"/>
        <v>2</v>
      </c>
      <c r="M652">
        <f>ROUND(INDEX(Manufacturing!P:P,MATCH(EOMONTH($A652,-1),Manufacturing!A:A,0)),2)</f>
        <v>97.06</v>
      </c>
      <c r="N652">
        <f t="shared" si="819"/>
        <v>1</v>
      </c>
      <c r="O652">
        <f>ROUND(INDEX(Housing!AC:AC,MATCH(EOMONTH($A652,-1),Housing!B:B,0)),2)</f>
        <v>107.95</v>
      </c>
      <c r="P652">
        <f t="shared" si="820"/>
        <v>0</v>
      </c>
      <c r="Q652">
        <f>ROUND(INDEX(Spending!AJ:AJ,MATCH(EOMONTH($A652,-1),Spending!B:B,0)),2)</f>
        <v>58.92</v>
      </c>
      <c r="R652">
        <f t="shared" si="824"/>
        <v>1</v>
      </c>
      <c r="S652">
        <f>ROUND(INDEX(Employment!V:V,MATCH(EOMONTH($A652,-1),Employment!A:A,0)),2)</f>
        <v>187.99</v>
      </c>
      <c r="T652" s="11">
        <f t="shared" si="821"/>
        <v>2</v>
      </c>
      <c r="U652">
        <f t="shared" si="849"/>
        <v>30</v>
      </c>
      <c r="V652">
        <f t="shared" si="841"/>
        <v>80.239999999999995</v>
      </c>
      <c r="W652" s="13">
        <f t="shared" si="842"/>
        <v>-5.5999999999999999E-3</v>
      </c>
      <c r="X652" s="13">
        <f t="shared" si="843"/>
        <v>1.8200000000000001E-2</v>
      </c>
      <c r="Y652">
        <f t="shared" si="835"/>
        <v>87.78</v>
      </c>
      <c r="Z652" s="13">
        <f t="shared" si="830"/>
        <v>-5.1000000000000004E-3</v>
      </c>
      <c r="AA652" s="13">
        <f t="shared" si="826"/>
        <v>1.66E-2</v>
      </c>
      <c r="AB652" s="6">
        <f t="shared" si="836"/>
        <v>99.811999999999998</v>
      </c>
      <c r="AC652">
        <f t="shared" si="828"/>
        <v>50</v>
      </c>
      <c r="AD652" s="11">
        <f t="shared" si="829"/>
        <v>2</v>
      </c>
      <c r="AE652">
        <f t="shared" si="827"/>
        <v>34</v>
      </c>
      <c r="AF652">
        <f>IF(AND(AE652&lt;15,OR(AC652&gt;=30,AA652&gt;0.15,X652&gt;=0.15)),2,VLOOKUP(AE652,Table!P:Q,2,FALSE))</f>
        <v>5</v>
      </c>
      <c r="AG652" s="22">
        <f>IF((AB652*0.98)-(D652*0.8)+((AF652-3)*3)+VLOOKUP(AM652,Table!$A$11:$B$13,2,FALSE)&lt;0,0,(AB652*0.98)-(D652*0.8)+((AF652-3)*3)+VLOOKUP(AM652,Table!$A$11:$B$13,2,FALSE))</f>
        <v>102.24776</v>
      </c>
      <c r="AH652" s="22">
        <f t="shared" si="822"/>
        <v>100</v>
      </c>
      <c r="AI652" s="18">
        <f t="shared" si="815"/>
        <v>4.2</v>
      </c>
      <c r="AJ652" s="18">
        <f t="shared" si="816"/>
        <v>3.71</v>
      </c>
      <c r="AK652" t="str">
        <f t="shared" si="837"/>
        <v>Rising Rates</v>
      </c>
      <c r="AL652">
        <f t="shared" si="848"/>
        <v>35.25</v>
      </c>
      <c r="AM652" s="11" t="str">
        <f t="shared" si="838"/>
        <v>Stocks</v>
      </c>
      <c r="AN652" t="str">
        <f t="shared" si="844"/>
        <v>Buy</v>
      </c>
      <c r="AO652" s="13">
        <f t="shared" si="845"/>
        <v>-4.4999999999999997E-3</v>
      </c>
      <c r="AP652" s="13">
        <f t="shared" si="846"/>
        <v>8.9999999999999998E-4</v>
      </c>
      <c r="AQ652" s="13">
        <f t="shared" si="847"/>
        <v>-4.4999999999999997E-3</v>
      </c>
      <c r="AR652" s="13">
        <f t="shared" si="839"/>
        <v>-4.4999999999999997E-3</v>
      </c>
      <c r="AS652" s="6">
        <f t="shared" si="831"/>
        <v>320.55302185336728</v>
      </c>
      <c r="AT652" s="6">
        <f t="shared" si="832"/>
        <v>168.53581218189319</v>
      </c>
      <c r="AU652" s="6">
        <f t="shared" si="833"/>
        <v>368.80861457772966</v>
      </c>
      <c r="AV652" s="6">
        <f t="shared" si="834"/>
        <v>453.74961095124945</v>
      </c>
      <c r="AW652" s="58">
        <f t="shared" si="840"/>
        <v>2006</v>
      </c>
      <c r="AX652" s="58">
        <f>COUNTIF(AW$3:AW652,AW652)</f>
        <v>44</v>
      </c>
    </row>
    <row r="653" spans="1:50" x14ac:dyDescent="0.25">
      <c r="A653" s="5">
        <v>38774</v>
      </c>
      <c r="B653">
        <v>1289.43</v>
      </c>
      <c r="C653">
        <v>4.47</v>
      </c>
      <c r="D653" s="6">
        <v>11.46</v>
      </c>
      <c r="E653" s="18">
        <f t="shared" si="817"/>
        <v>12.11</v>
      </c>
      <c r="F653">
        <f t="shared" si="818"/>
        <v>2</v>
      </c>
      <c r="G653" s="18">
        <f>ROUND(INDEX(Valuation!U:U,MATCH(A653,Valuation!A:A,0)),2)</f>
        <v>156.72</v>
      </c>
      <c r="H653">
        <f t="shared" si="825"/>
        <v>1</v>
      </c>
      <c r="I653" s="18">
        <f>INDEX(WeeklyIndicators!Y:Y,MATCH(A653,WeeklyIndicators!A:A,0))</f>
        <v>150.69</v>
      </c>
      <c r="J653">
        <f t="shared" si="814"/>
        <v>1</v>
      </c>
      <c r="K653">
        <f>ROUND(INDEX(Economic!AF:AF,MATCH(EOMONTH($A653,-1),Economic!A:A,0)),2)</f>
        <v>112.79</v>
      </c>
      <c r="L653" s="11">
        <f t="shared" si="823"/>
        <v>1</v>
      </c>
      <c r="M653">
        <f>ROUND(INDEX(Manufacturing!P:P,MATCH(EOMONTH($A653,-1),Manufacturing!A:A,0)),2)</f>
        <v>101.25</v>
      </c>
      <c r="N653">
        <f t="shared" si="819"/>
        <v>2</v>
      </c>
      <c r="O653">
        <f>ROUND(INDEX(Housing!AC:AC,MATCH(EOMONTH($A653,-1),Housing!B:B,0)),2)</f>
        <v>111.83</v>
      </c>
      <c r="P653">
        <f t="shared" si="820"/>
        <v>0</v>
      </c>
      <c r="Q653">
        <f>ROUND(INDEX(Spending!AJ:AJ,MATCH(EOMONTH($A653,-1),Spending!B:B,0)),2)</f>
        <v>60.6</v>
      </c>
      <c r="R653">
        <f t="shared" si="824"/>
        <v>2</v>
      </c>
      <c r="S653">
        <f>ROUND(INDEX(Employment!V:V,MATCH(EOMONTH($A653,-1),Employment!A:A,0)),2)</f>
        <v>183.81</v>
      </c>
      <c r="T653" s="11">
        <f t="shared" si="821"/>
        <v>2</v>
      </c>
      <c r="U653">
        <f t="shared" si="849"/>
        <v>31</v>
      </c>
      <c r="V653">
        <f t="shared" si="841"/>
        <v>79.73</v>
      </c>
      <c r="W653" s="13">
        <f t="shared" si="842"/>
        <v>-6.7999999999999996E-3</v>
      </c>
      <c r="X653" s="13">
        <f t="shared" si="843"/>
        <v>4.5799999999999993E-2</v>
      </c>
      <c r="Y653">
        <f t="shared" si="835"/>
        <v>87.29</v>
      </c>
      <c r="Z653" s="13">
        <f t="shared" si="830"/>
        <v>-5.4000000000000003E-3</v>
      </c>
      <c r="AA653" s="13">
        <f t="shared" si="826"/>
        <v>3.6299999999999999E-2</v>
      </c>
      <c r="AB653" s="6">
        <f t="shared" si="836"/>
        <v>101.012</v>
      </c>
      <c r="AC653">
        <f t="shared" si="828"/>
        <v>51</v>
      </c>
      <c r="AD653" s="11">
        <f t="shared" si="829"/>
        <v>2</v>
      </c>
      <c r="AE653">
        <f t="shared" si="827"/>
        <v>35</v>
      </c>
      <c r="AF653">
        <f>IF(AND(AE653&lt;15,OR(AC653&gt;=30,AA653&gt;0.15,X653&gt;=0.15)),2,VLOOKUP(AE653,Table!P:Q,2,FALSE))</f>
        <v>5</v>
      </c>
      <c r="AG653" s="22">
        <f>IF((AB653*0.98)-(D653*0.8)+((AF653-3)*3)+VLOOKUP(AM653,Table!$A$11:$B$13,2,FALSE)&lt;0,0,(AB653*0.98)-(D653*0.8)+((AF653-3)*3)+VLOOKUP(AM653,Table!$A$11:$B$13,2,FALSE))</f>
        <v>103.82375999999999</v>
      </c>
      <c r="AH653" s="22">
        <f t="shared" si="822"/>
        <v>100</v>
      </c>
      <c r="AI653" s="18">
        <f t="shared" si="815"/>
        <v>4.1500000000000004</v>
      </c>
      <c r="AJ653" s="18">
        <f t="shared" si="816"/>
        <v>3.66</v>
      </c>
      <c r="AK653" t="str">
        <f t="shared" si="837"/>
        <v>Rising Rates</v>
      </c>
      <c r="AL653">
        <f t="shared" si="848"/>
        <v>35.75</v>
      </c>
      <c r="AM653" s="11" t="str">
        <f t="shared" si="838"/>
        <v>Stocks</v>
      </c>
      <c r="AN653" t="str">
        <f t="shared" si="844"/>
        <v>Buy</v>
      </c>
      <c r="AO653" s="13">
        <f t="shared" si="845"/>
        <v>-1.6999999999999999E-3</v>
      </c>
      <c r="AP653" s="13">
        <f t="shared" si="846"/>
        <v>8.9999999999999998E-4</v>
      </c>
      <c r="AQ653" s="13">
        <f t="shared" si="847"/>
        <v>-1.6999999999999999E-3</v>
      </c>
      <c r="AR653" s="13">
        <f t="shared" si="839"/>
        <v>-1.6999999999999999E-3</v>
      </c>
      <c r="AS653" s="6">
        <f t="shared" si="831"/>
        <v>321.09888996631003</v>
      </c>
      <c r="AT653" s="6">
        <f t="shared" si="832"/>
        <v>168.38426634218524</v>
      </c>
      <c r="AU653" s="6">
        <f t="shared" si="833"/>
        <v>369.43665689445021</v>
      </c>
      <c r="AV653" s="6">
        <f t="shared" si="834"/>
        <v>454.5222988593103</v>
      </c>
      <c r="AW653" s="58">
        <f t="shared" si="840"/>
        <v>2006</v>
      </c>
      <c r="AX653" s="58">
        <f>COUNTIF(AW$3:AW653,AW653)</f>
        <v>45</v>
      </c>
    </row>
    <row r="654" spans="1:50" x14ac:dyDescent="0.25">
      <c r="A654" s="5">
        <v>38767</v>
      </c>
      <c r="B654">
        <v>1287.24</v>
      </c>
      <c r="C654">
        <v>4.4400000000000004</v>
      </c>
      <c r="D654" s="6">
        <v>12.01</v>
      </c>
      <c r="E654" s="18">
        <f t="shared" si="817"/>
        <v>12.61</v>
      </c>
      <c r="F654">
        <f t="shared" si="818"/>
        <v>2</v>
      </c>
      <c r="G654" s="18">
        <f>ROUND(INDEX(Valuation!U:U,MATCH(A654,Valuation!A:A,0)),2)</f>
        <v>158.72</v>
      </c>
      <c r="H654">
        <f t="shared" si="825"/>
        <v>1</v>
      </c>
      <c r="I654" s="18">
        <f>INDEX(WeeklyIndicators!Y:Y,MATCH(A654,WeeklyIndicators!A:A,0))</f>
        <v>161.59</v>
      </c>
      <c r="J654">
        <f t="shared" si="814"/>
        <v>2</v>
      </c>
      <c r="K654">
        <f>ROUND(INDEX(Economic!AF:AF,MATCH(EOMONTH($A654,-1),Economic!A:A,0)),2)</f>
        <v>112.79</v>
      </c>
      <c r="L654" s="11">
        <f t="shared" si="823"/>
        <v>1</v>
      </c>
      <c r="M654">
        <f>ROUND(INDEX(Manufacturing!P:P,MATCH(EOMONTH($A654,-1),Manufacturing!A:A,0)),2)</f>
        <v>101.25</v>
      </c>
      <c r="N654">
        <f t="shared" si="819"/>
        <v>2</v>
      </c>
      <c r="O654">
        <f>ROUND(INDEX(Housing!AC:AC,MATCH(EOMONTH($A654,-1),Housing!B:B,0)),2)</f>
        <v>111.83</v>
      </c>
      <c r="P654">
        <f t="shared" si="820"/>
        <v>0</v>
      </c>
      <c r="Q654">
        <f>ROUND(INDEX(Spending!AJ:AJ,MATCH(EOMONTH($A654,-1),Spending!B:B,0)),2)</f>
        <v>60.6</v>
      </c>
      <c r="R654">
        <f t="shared" si="824"/>
        <v>2</v>
      </c>
      <c r="S654">
        <f>ROUND(INDEX(Employment!V:V,MATCH(EOMONTH($A654,-1),Employment!A:A,0)),2)</f>
        <v>183.81</v>
      </c>
      <c r="T654" s="11">
        <f t="shared" si="821"/>
        <v>2</v>
      </c>
      <c r="U654">
        <f t="shared" si="849"/>
        <v>32</v>
      </c>
      <c r="V654">
        <f t="shared" si="841"/>
        <v>80.86</v>
      </c>
      <c r="W654" s="13">
        <f t="shared" si="842"/>
        <v>1.14E-2</v>
      </c>
      <c r="X654" s="13">
        <f t="shared" si="843"/>
        <v>6.1799999999999994E-2</v>
      </c>
      <c r="Y654">
        <f t="shared" si="835"/>
        <v>88.47</v>
      </c>
      <c r="Z654" s="13">
        <f t="shared" si="830"/>
        <v>1.11E-2</v>
      </c>
      <c r="AA654" s="13">
        <f t="shared" si="826"/>
        <v>4.3500000000000004E-2</v>
      </c>
      <c r="AB654" s="6">
        <f t="shared" si="836"/>
        <v>103.072</v>
      </c>
      <c r="AC654">
        <f t="shared" si="828"/>
        <v>52</v>
      </c>
      <c r="AD654" s="11">
        <f t="shared" si="829"/>
        <v>2</v>
      </c>
      <c r="AE654">
        <f t="shared" si="827"/>
        <v>36</v>
      </c>
      <c r="AF654">
        <f>IF(AND(AE654&lt;15,OR(AC654&gt;=30,AA654&gt;0.15,X654&gt;=0.15)),2,VLOOKUP(AE654,Table!P:Q,2,FALSE))</f>
        <v>5</v>
      </c>
      <c r="AG654" s="22">
        <f>IF((AB654*0.98)-(D654*0.8)+((AF654-3)*3)+VLOOKUP(AM654,Table!$A$11:$B$13,2,FALSE)&lt;0,0,(AB654*0.98)-(D654*0.8)+((AF654-3)*3)+VLOOKUP(AM654,Table!$A$11:$B$13,2,FALSE))</f>
        <v>105.40255999999999</v>
      </c>
      <c r="AH654" s="22">
        <f t="shared" si="822"/>
        <v>100</v>
      </c>
      <c r="AI654" s="18">
        <f t="shared" si="815"/>
        <v>4.1100000000000003</v>
      </c>
      <c r="AJ654" s="18">
        <f t="shared" si="816"/>
        <v>3.62</v>
      </c>
      <c r="AK654" t="str">
        <f t="shared" si="837"/>
        <v>Rising Rates</v>
      </c>
      <c r="AL654">
        <f t="shared" si="848"/>
        <v>35.5</v>
      </c>
      <c r="AM654" s="11" t="str">
        <f t="shared" si="838"/>
        <v>Stocks</v>
      </c>
      <c r="AN654" t="str">
        <f t="shared" si="844"/>
        <v>Buy</v>
      </c>
      <c r="AO654" s="13">
        <f t="shared" si="845"/>
        <v>1.6999999999999999E-3</v>
      </c>
      <c r="AP654" s="13">
        <f t="shared" si="846"/>
        <v>8.9999999999999998E-4</v>
      </c>
      <c r="AQ654" s="13">
        <f t="shared" si="847"/>
        <v>1.6999999999999999E-3</v>
      </c>
      <c r="AR654" s="13">
        <f t="shared" si="839"/>
        <v>1.6999999999999999E-3</v>
      </c>
      <c r="AS654" s="6">
        <f t="shared" si="831"/>
        <v>320.55394825427777</v>
      </c>
      <c r="AT654" s="6">
        <f t="shared" si="832"/>
        <v>168.23285677109126</v>
      </c>
      <c r="AU654" s="6">
        <f t="shared" si="833"/>
        <v>368.80968043770611</v>
      </c>
      <c r="AV654" s="6">
        <f t="shared" si="834"/>
        <v>453.75092229141489</v>
      </c>
      <c r="AW654" s="58">
        <f t="shared" si="840"/>
        <v>2006</v>
      </c>
      <c r="AX654" s="58">
        <f>COUNTIF(AW$3:AW654,AW654)</f>
        <v>46</v>
      </c>
    </row>
    <row r="655" spans="1:50" x14ac:dyDescent="0.25">
      <c r="A655" s="5">
        <v>38760</v>
      </c>
      <c r="B655">
        <v>1266.99</v>
      </c>
      <c r="C655">
        <v>4.4000000000000004</v>
      </c>
      <c r="D655" s="6">
        <v>12.87</v>
      </c>
      <c r="E655" s="18">
        <f t="shared" si="817"/>
        <v>12.6</v>
      </c>
      <c r="F655">
        <f t="shared" si="818"/>
        <v>2</v>
      </c>
      <c r="G655" s="18">
        <f>ROUND(INDEX(Valuation!U:U,MATCH(A655,Valuation!A:A,0)),2)</f>
        <v>158.1</v>
      </c>
      <c r="H655">
        <f t="shared" si="825"/>
        <v>1</v>
      </c>
      <c r="I655" s="18">
        <f>INDEX(WeeklyIndicators!Y:Y,MATCH(A655,WeeklyIndicators!A:A,0))</f>
        <v>168.64</v>
      </c>
      <c r="J655">
        <f t="shared" ref="J655:J718" si="850">IF(I655&gt;170,3,IF(AND(I655&gt;152,I655&lt;=170),2,IF(AND(I655&gt;135,I655&lt;=152),1,IF(I655&lt;60,-3,IF(AND(I655&lt;95,I655&gt;=60),-2,IF(AND(I655&lt;120,I655&gt;=95),-1,0))))))</f>
        <v>2</v>
      </c>
      <c r="K655">
        <f>ROUND(INDEX(Economic!AF:AF,MATCH(EOMONTH($A655,-1),Economic!A:A,0)),2)</f>
        <v>112.79</v>
      </c>
      <c r="L655" s="11">
        <f t="shared" si="823"/>
        <v>1</v>
      </c>
      <c r="M655">
        <f>ROUND(INDEX(Manufacturing!P:P,MATCH(EOMONTH($A655,-1),Manufacturing!A:A,0)),2)</f>
        <v>101.25</v>
      </c>
      <c r="N655">
        <f t="shared" si="819"/>
        <v>2</v>
      </c>
      <c r="O655">
        <f>ROUND(INDEX(Housing!AC:AC,MATCH(EOMONTH($A655,-1),Housing!B:B,0)),2)</f>
        <v>111.83</v>
      </c>
      <c r="P655">
        <f t="shared" si="820"/>
        <v>0</v>
      </c>
      <c r="Q655">
        <f>ROUND(INDEX(Spending!AJ:AJ,MATCH(EOMONTH($A655,-1),Spending!B:B,0)),2)</f>
        <v>60.6</v>
      </c>
      <c r="R655">
        <f t="shared" si="824"/>
        <v>2</v>
      </c>
      <c r="S655">
        <f>ROUND(INDEX(Employment!V:V,MATCH(EOMONTH($A655,-1),Employment!A:A,0)),2)</f>
        <v>183.81</v>
      </c>
      <c r="T655" s="11">
        <f t="shared" si="821"/>
        <v>2</v>
      </c>
      <c r="U655">
        <f t="shared" si="849"/>
        <v>32</v>
      </c>
      <c r="V655">
        <f t="shared" si="841"/>
        <v>81.599999999999994</v>
      </c>
      <c r="W655" s="13">
        <f t="shared" si="842"/>
        <v>1.9199999999999998E-2</v>
      </c>
      <c r="X655" s="13">
        <f t="shared" si="843"/>
        <v>5.45E-2</v>
      </c>
      <c r="Y655">
        <f t="shared" si="835"/>
        <v>89.14</v>
      </c>
      <c r="Z655" s="13">
        <f t="shared" si="830"/>
        <v>1.6E-2</v>
      </c>
      <c r="AA655" s="13">
        <f t="shared" si="826"/>
        <v>3.0500000000000006E-2</v>
      </c>
      <c r="AB655" s="6">
        <f t="shared" si="836"/>
        <v>102.76</v>
      </c>
      <c r="AC655">
        <f t="shared" si="828"/>
        <v>51</v>
      </c>
      <c r="AD655" s="11">
        <f t="shared" si="829"/>
        <v>2</v>
      </c>
      <c r="AE655">
        <f t="shared" si="827"/>
        <v>36</v>
      </c>
      <c r="AF655">
        <f>IF(AND(AE655&lt;15,OR(AC655&gt;=30,AA655&gt;0.15,X655&gt;=0.15)),2,VLOOKUP(AE655,Table!P:Q,2,FALSE))</f>
        <v>5</v>
      </c>
      <c r="AG655" s="22">
        <f>IF((AB655*0.98)-(D655*0.8)+((AF655-3)*3)+VLOOKUP(AM655,Table!$A$11:$B$13,2,FALSE)&lt;0,0,(AB655*0.98)-(D655*0.8)+((AF655-3)*3)+VLOOKUP(AM655,Table!$A$11:$B$13,2,FALSE))</f>
        <v>104.40880000000001</v>
      </c>
      <c r="AH655" s="22">
        <f t="shared" si="822"/>
        <v>100</v>
      </c>
      <c r="AI655" s="18">
        <f t="shared" ref="AI655:AI718" si="851">ROUND(AVERAGE(C655:C667),2)</f>
        <v>4.07</v>
      </c>
      <c r="AJ655" s="18">
        <f t="shared" ref="AJ655:AJ718" si="852">ROUND(AVERAGE(C655:C693),2)</f>
        <v>3.58</v>
      </c>
      <c r="AK655" t="str">
        <f t="shared" si="837"/>
        <v>Rising Rates</v>
      </c>
      <c r="AL655">
        <f t="shared" si="848"/>
        <v>35</v>
      </c>
      <c r="AM655" s="11" t="str">
        <f t="shared" si="838"/>
        <v>Stocks</v>
      </c>
      <c r="AN655" t="str">
        <f t="shared" si="844"/>
        <v>Buy</v>
      </c>
      <c r="AO655" s="13">
        <f t="shared" si="845"/>
        <v>1.6E-2</v>
      </c>
      <c r="AP655" s="13">
        <f t="shared" si="846"/>
        <v>8.0000000000000004E-4</v>
      </c>
      <c r="AQ655" s="13">
        <f t="shared" si="847"/>
        <v>1.6E-2</v>
      </c>
      <c r="AR655" s="13">
        <f t="shared" si="839"/>
        <v>1.6E-2</v>
      </c>
      <c r="AS655" s="6">
        <f t="shared" si="831"/>
        <v>315.50585458098203</v>
      </c>
      <c r="AT655" s="6">
        <f t="shared" si="832"/>
        <v>168.09837806863638</v>
      </c>
      <c r="AU655" s="6">
        <f t="shared" si="833"/>
        <v>363.00165397412019</v>
      </c>
      <c r="AV655" s="6">
        <f t="shared" si="834"/>
        <v>446.60523847580208</v>
      </c>
      <c r="AW655" s="58">
        <f t="shared" si="840"/>
        <v>2006</v>
      </c>
      <c r="AX655" s="58">
        <f>COUNTIF(AW$3:AW655,AW655)</f>
        <v>47</v>
      </c>
    </row>
    <row r="656" spans="1:50" x14ac:dyDescent="0.25">
      <c r="A656" s="5">
        <v>38753</v>
      </c>
      <c r="B656">
        <v>1264.03</v>
      </c>
      <c r="C656">
        <v>4.37</v>
      </c>
      <c r="D656" s="6">
        <v>12.96</v>
      </c>
      <c r="E656" s="18">
        <f t="shared" si="817"/>
        <v>13.16</v>
      </c>
      <c r="F656">
        <f t="shared" si="818"/>
        <v>2</v>
      </c>
      <c r="G656" s="18">
        <f>ROUND(INDEX(Valuation!U:U,MATCH(A656,Valuation!A:A,0)),2)</f>
        <v>157.9</v>
      </c>
      <c r="H656">
        <f t="shared" si="825"/>
        <v>1</v>
      </c>
      <c r="I656" s="18">
        <f>INDEX(WeeklyIndicators!Y:Y,MATCH(A656,WeeklyIndicators!A:A,0))</f>
        <v>166.78</v>
      </c>
      <c r="J656">
        <f t="shared" si="850"/>
        <v>2</v>
      </c>
      <c r="K656">
        <f>ROUND(INDEX(Economic!AF:AF,MATCH(EOMONTH($A656,-1),Economic!A:A,0)),2)</f>
        <v>112.79</v>
      </c>
      <c r="L656" s="11">
        <f t="shared" si="823"/>
        <v>1</v>
      </c>
      <c r="M656">
        <f>ROUND(INDEX(Manufacturing!P:P,MATCH(EOMONTH($A656,-1),Manufacturing!A:A,0)),2)</f>
        <v>101.25</v>
      </c>
      <c r="N656">
        <f t="shared" si="819"/>
        <v>2</v>
      </c>
      <c r="O656">
        <f>ROUND(INDEX(Housing!AC:AC,MATCH(EOMONTH($A656,-1),Housing!B:B,0)),2)</f>
        <v>111.83</v>
      </c>
      <c r="P656">
        <f t="shared" si="820"/>
        <v>0</v>
      </c>
      <c r="Q656">
        <f>ROUND(INDEX(Spending!AJ:AJ,MATCH(EOMONTH($A656,-1),Spending!B:B,0)),2)</f>
        <v>60.6</v>
      </c>
      <c r="R656">
        <f t="shared" si="824"/>
        <v>2</v>
      </c>
      <c r="S656">
        <f>ROUND(INDEX(Employment!V:V,MATCH(EOMONTH($A656,-1),Employment!A:A,0)),2)</f>
        <v>183.81</v>
      </c>
      <c r="T656" s="11">
        <f t="shared" si="821"/>
        <v>2</v>
      </c>
      <c r="U656">
        <f t="shared" si="849"/>
        <v>32</v>
      </c>
      <c r="V656">
        <f t="shared" si="841"/>
        <v>81.400000000000006</v>
      </c>
      <c r="W656" s="13">
        <f t="shared" si="842"/>
        <v>2.1999999999999999E-2</v>
      </c>
      <c r="X656" s="13">
        <f t="shared" si="843"/>
        <v>3.9099999999999996E-2</v>
      </c>
      <c r="Y656">
        <f t="shared" si="835"/>
        <v>88.73</v>
      </c>
      <c r="Z656" s="13">
        <f t="shared" si="830"/>
        <v>1.46E-2</v>
      </c>
      <c r="AA656" s="13">
        <f t="shared" si="826"/>
        <v>1.4700000000000001E-2</v>
      </c>
      <c r="AB656" s="6">
        <f t="shared" si="836"/>
        <v>101.11</v>
      </c>
      <c r="AC656">
        <f t="shared" si="828"/>
        <v>51</v>
      </c>
      <c r="AD656" s="11">
        <f t="shared" si="829"/>
        <v>2</v>
      </c>
      <c r="AE656">
        <f t="shared" si="827"/>
        <v>36</v>
      </c>
      <c r="AF656">
        <f>IF(AND(AE656&lt;15,OR(AC656&gt;=30,AA656&gt;0.15,X656&gt;=0.15)),2,VLOOKUP(AE656,Table!P:Q,2,FALSE))</f>
        <v>5</v>
      </c>
      <c r="AG656" s="22">
        <f>IF((AB656*0.98)-(D656*0.8)+((AF656-3)*3)+VLOOKUP(AM656,Table!$A$11:$B$13,2,FALSE)&lt;0,0,(AB656*0.98)-(D656*0.8)+((AF656-3)*3)+VLOOKUP(AM656,Table!$A$11:$B$13,2,FALSE))</f>
        <v>102.71979999999999</v>
      </c>
      <c r="AH656" s="22">
        <f t="shared" si="822"/>
        <v>99</v>
      </c>
      <c r="AI656" s="18">
        <f t="shared" si="851"/>
        <v>4.03</v>
      </c>
      <c r="AJ656" s="18">
        <f t="shared" si="852"/>
        <v>3.54</v>
      </c>
      <c r="AK656" t="str">
        <f t="shared" si="837"/>
        <v>Rising Rates</v>
      </c>
      <c r="AL656">
        <f t="shared" si="848"/>
        <v>34.5</v>
      </c>
      <c r="AM656" s="11" t="str">
        <f t="shared" si="838"/>
        <v>Stocks</v>
      </c>
      <c r="AN656" t="str">
        <f t="shared" si="844"/>
        <v>Buy</v>
      </c>
      <c r="AO656" s="13">
        <f t="shared" si="845"/>
        <v>2.3E-3</v>
      </c>
      <c r="AP656" s="13">
        <f t="shared" si="846"/>
        <v>8.0000000000000004E-4</v>
      </c>
      <c r="AQ656" s="13">
        <f t="shared" si="847"/>
        <v>2.3E-3</v>
      </c>
      <c r="AR656" s="13">
        <f t="shared" si="839"/>
        <v>2.3E-3</v>
      </c>
      <c r="AS656" s="6">
        <f t="shared" si="831"/>
        <v>314.78185631146567</v>
      </c>
      <c r="AT656" s="6">
        <f t="shared" si="832"/>
        <v>167.96400686314587</v>
      </c>
      <c r="AU656" s="6">
        <f t="shared" si="833"/>
        <v>362.16866604222309</v>
      </c>
      <c r="AV656" s="6">
        <f t="shared" si="834"/>
        <v>445.5804035476425</v>
      </c>
      <c r="AW656" s="58">
        <f t="shared" si="840"/>
        <v>2006</v>
      </c>
      <c r="AX656" s="58">
        <f>COUNTIF(AW$3:AW656,AW656)</f>
        <v>48</v>
      </c>
    </row>
    <row r="657" spans="1:50" x14ac:dyDescent="0.25">
      <c r="A657" s="5">
        <v>38746</v>
      </c>
      <c r="B657">
        <v>1283.72</v>
      </c>
      <c r="C657">
        <v>4.32</v>
      </c>
      <c r="D657" s="6">
        <v>11.97</v>
      </c>
      <c r="E657" s="18">
        <f t="shared" ref="E657:E720" si="853">ROUND(AVERAGE(D657:D659),2)</f>
        <v>12.59</v>
      </c>
      <c r="F657">
        <f t="shared" ref="F657:F720" si="854">IF(E657&lt;11,3,IF(AND(E657&lt;14,E657&gt;=11),2,IF(AND(E657&lt;16,E657&gt;=14),1,IF(E657&gt;35,-3,IF(AND(E657&gt;25,E657&lt;=35),-2,IF(AND(E657&gt;18,E657&lt;=25),-1,0))))))</f>
        <v>2</v>
      </c>
      <c r="G657" s="18">
        <f>ROUND(INDEX(Valuation!U:U,MATCH(A657,Valuation!A:A,0)),2)</f>
        <v>157.26</v>
      </c>
      <c r="H657">
        <f t="shared" si="825"/>
        <v>1</v>
      </c>
      <c r="I657" s="18">
        <f>INDEX(WeeklyIndicators!Y:Y,MATCH(A657,WeeklyIndicators!A:A,0))</f>
        <v>157.94999999999999</v>
      </c>
      <c r="J657">
        <f t="shared" si="850"/>
        <v>2</v>
      </c>
      <c r="K657">
        <f>ROUND(INDEX(Economic!AF:AF,MATCH(EOMONTH($A657,-1),Economic!A:A,0)),2)</f>
        <v>94.49</v>
      </c>
      <c r="L657" s="11">
        <f t="shared" si="823"/>
        <v>-1</v>
      </c>
      <c r="M657">
        <f>ROUND(INDEX(Manufacturing!P:P,MATCH(EOMONTH($A657,-1),Manufacturing!A:A,0)),2)</f>
        <v>102.19</v>
      </c>
      <c r="N657">
        <f t="shared" si="819"/>
        <v>2</v>
      </c>
      <c r="O657">
        <f>ROUND(INDEX(Housing!AC:AC,MATCH(EOMONTH($A657,-1),Housing!B:B,0)),2)</f>
        <v>121.96</v>
      </c>
      <c r="P657">
        <f t="shared" si="820"/>
        <v>1</v>
      </c>
      <c r="Q657">
        <f>ROUND(INDEX(Spending!AJ:AJ,MATCH(EOMONTH($A657,-1),Spending!B:B,0)),2)</f>
        <v>64.88</v>
      </c>
      <c r="R657">
        <f t="shared" si="824"/>
        <v>2</v>
      </c>
      <c r="S657">
        <f>ROUND(INDEX(Employment!V:V,MATCH(EOMONTH($A657,-1),Employment!A:A,0)),2)</f>
        <v>172.08</v>
      </c>
      <c r="T657" s="11">
        <f t="shared" si="821"/>
        <v>1</v>
      </c>
      <c r="U657">
        <f t="shared" si="849"/>
        <v>30</v>
      </c>
      <c r="V657">
        <f t="shared" si="841"/>
        <v>78.099999999999994</v>
      </c>
      <c r="W657" s="13">
        <f t="shared" si="842"/>
        <v>9.1999999999999998E-3</v>
      </c>
      <c r="X657" s="13">
        <f t="shared" si="843"/>
        <v>1.6900000000000002E-2</v>
      </c>
      <c r="Y657">
        <f t="shared" si="835"/>
        <v>85.55</v>
      </c>
      <c r="Z657" s="13">
        <f t="shared" si="830"/>
        <v>1.8E-3</v>
      </c>
      <c r="AA657" s="13">
        <f t="shared" si="826"/>
        <v>-2.2000000000000001E-3</v>
      </c>
      <c r="AB657" s="6">
        <f t="shared" si="836"/>
        <v>96.396000000000001</v>
      </c>
      <c r="AC657">
        <f t="shared" si="828"/>
        <v>48</v>
      </c>
      <c r="AD657" s="11">
        <f t="shared" si="829"/>
        <v>2</v>
      </c>
      <c r="AE657">
        <f t="shared" si="827"/>
        <v>34</v>
      </c>
      <c r="AF657">
        <f>IF(AND(AE657&lt;15,OR(AC657&gt;=30,AA657&gt;0.15,X657&gt;=0.15)),2,VLOOKUP(AE657,Table!P:Q,2,FALSE))</f>
        <v>5</v>
      </c>
      <c r="AG657" s="22">
        <f>IF((AB657*0.98)-(D657*0.8)+((AF657-3)*3)+VLOOKUP(AM657,Table!$A$11:$B$13,2,FALSE)&lt;0,0,(AB657*0.98)-(D657*0.8)+((AF657-3)*3)+VLOOKUP(AM657,Table!$A$11:$B$13,2,FALSE))</f>
        <v>98.892079999999993</v>
      </c>
      <c r="AH657" s="22">
        <f t="shared" si="822"/>
        <v>98</v>
      </c>
      <c r="AI657" s="18">
        <f t="shared" si="851"/>
        <v>3.99</v>
      </c>
      <c r="AJ657" s="18">
        <f t="shared" si="852"/>
        <v>3.5</v>
      </c>
      <c r="AK657" t="str">
        <f t="shared" si="837"/>
        <v>Rising Rates</v>
      </c>
      <c r="AL657">
        <f t="shared" si="848"/>
        <v>33.75</v>
      </c>
      <c r="AM657" s="11" t="str">
        <f t="shared" si="838"/>
        <v>Stocks</v>
      </c>
      <c r="AN657" t="str">
        <f t="shared" si="844"/>
        <v>Buy</v>
      </c>
      <c r="AO657" s="13">
        <f t="shared" si="845"/>
        <v>-1.5299999999999999E-2</v>
      </c>
      <c r="AP657" s="13">
        <f t="shared" si="846"/>
        <v>8.0000000000000004E-4</v>
      </c>
      <c r="AQ657" s="13">
        <f t="shared" si="847"/>
        <v>-1.4999999999999999E-2</v>
      </c>
      <c r="AR657" s="13">
        <f t="shared" si="839"/>
        <v>-1.5299999999999999E-2</v>
      </c>
      <c r="AS657" s="6">
        <f t="shared" si="831"/>
        <v>319.67285093070547</v>
      </c>
      <c r="AT657" s="6">
        <f t="shared" si="832"/>
        <v>167.82974306869093</v>
      </c>
      <c r="AU657" s="6">
        <f t="shared" si="833"/>
        <v>367.68392491596256</v>
      </c>
      <c r="AV657" s="6">
        <f t="shared" si="834"/>
        <v>452.50371031546916</v>
      </c>
      <c r="AW657" s="58">
        <f t="shared" si="840"/>
        <v>2006</v>
      </c>
      <c r="AX657" s="58">
        <f>COUNTIF(AW$3:AW657,AW657)</f>
        <v>49</v>
      </c>
    </row>
    <row r="658" spans="1:50" x14ac:dyDescent="0.25">
      <c r="A658" s="5">
        <v>38739</v>
      </c>
      <c r="B658">
        <v>1261.49</v>
      </c>
      <c r="C658">
        <v>4.26</v>
      </c>
      <c r="D658" s="6">
        <v>14.56</v>
      </c>
      <c r="E658" s="18">
        <f t="shared" si="853"/>
        <v>12.26</v>
      </c>
      <c r="F658">
        <f t="shared" si="854"/>
        <v>2</v>
      </c>
      <c r="G658" s="18">
        <f>ROUND(INDEX(Valuation!U:U,MATCH(A658,Valuation!A:A,0)),2)</f>
        <v>160.75</v>
      </c>
      <c r="H658">
        <f t="shared" si="825"/>
        <v>2</v>
      </c>
      <c r="I658" s="18">
        <f>INDEX(WeeklyIndicators!Y:Y,MATCH(A658,WeeklyIndicators!A:A,0))</f>
        <v>147.78</v>
      </c>
      <c r="J658">
        <f t="shared" si="850"/>
        <v>1</v>
      </c>
      <c r="K658">
        <f>ROUND(INDEX(Economic!AF:AF,MATCH(EOMONTH($A658,-1),Economic!A:A,0)),2)</f>
        <v>94.49</v>
      </c>
      <c r="L658" s="11">
        <f t="shared" si="823"/>
        <v>-1</v>
      </c>
      <c r="M658">
        <f>ROUND(INDEX(Manufacturing!P:P,MATCH(EOMONTH($A658,-1),Manufacturing!A:A,0)),2)</f>
        <v>102.19</v>
      </c>
      <c r="N658">
        <f t="shared" ref="N658:N721" si="855">IF(M658&gt;108,3,IF(AND(M658&gt;100,M658&lt;=108),2,IF(AND(M658&gt;90,M658&lt;=100),1,IF(M658&lt;63,-3,IF(AND(M658&lt;74,M658&gt;=63),-2,IF(AND(M658&lt;84,M658&gt;=74),-1,0))))))</f>
        <v>2</v>
      </c>
      <c r="O658">
        <f>ROUND(INDEX(Housing!AC:AC,MATCH(EOMONTH($A658,-1),Housing!B:B,0)),2)</f>
        <v>121.96</v>
      </c>
      <c r="P658">
        <f t="shared" ref="P658:P721" si="856">IF(O658&gt;140,3,IF(AND(O658&gt;128,O658&lt;=140),2,IF(AND(O658&gt;115,O658&lt;=128),1,IF(O658&lt;50,-3,IF(AND(O658&lt;75,O658&gt;=50),-2,IF(AND(O658&lt;100,O658&gt;=75),-1,0))))))</f>
        <v>1</v>
      </c>
      <c r="Q658">
        <f>ROUND(INDEX(Spending!AJ:AJ,MATCH(EOMONTH($A658,-1),Spending!B:B,0)),2)</f>
        <v>64.88</v>
      </c>
      <c r="R658">
        <f t="shared" si="824"/>
        <v>2</v>
      </c>
      <c r="S658">
        <f>ROUND(INDEX(Employment!V:V,MATCH(EOMONTH($A658,-1),Employment!A:A,0)),2)</f>
        <v>172.08</v>
      </c>
      <c r="T658" s="11">
        <f t="shared" ref="T658:T721" si="857">IF(S658&gt;190,3,IF(AND(S658&gt;175,S658&lt;=190),2,IF(AND(S658&gt;160,S658&lt;=175),1,IF(S658&lt;120,-3,IF(AND(S658&lt;140,S658&gt;=120),-2,IF(AND(S658&lt;150,S658&gt;=140),-1,0))))))</f>
        <v>1</v>
      </c>
      <c r="U658">
        <f t="shared" si="849"/>
        <v>30</v>
      </c>
      <c r="V658">
        <f t="shared" si="841"/>
        <v>77.05</v>
      </c>
      <c r="W658" s="13">
        <f t="shared" si="842"/>
        <v>4.1000000000000003E-3</v>
      </c>
      <c r="X658" s="13">
        <f t="shared" si="843"/>
        <v>4.5000000000000005E-3</v>
      </c>
      <c r="Y658">
        <f t="shared" si="835"/>
        <v>85</v>
      </c>
      <c r="Z658" s="13">
        <f t="shared" si="830"/>
        <v>-1.9E-3</v>
      </c>
      <c r="AA658" s="13">
        <f t="shared" si="826"/>
        <v>-7.4000000000000003E-3</v>
      </c>
      <c r="AB658" s="6">
        <f t="shared" si="836"/>
        <v>95.695000000000007</v>
      </c>
      <c r="AC658">
        <f t="shared" si="828"/>
        <v>48</v>
      </c>
      <c r="AD658" s="11">
        <f t="shared" si="829"/>
        <v>2</v>
      </c>
      <c r="AE658">
        <f t="shared" si="827"/>
        <v>34</v>
      </c>
      <c r="AF658">
        <f>IF(AND(AE658&lt;15,OR(AC658&gt;=30,AA658&gt;0.15,X658&gt;=0.15)),2,VLOOKUP(AE658,Table!P:Q,2,FALSE))</f>
        <v>5</v>
      </c>
      <c r="AG658" s="22">
        <f>IF((AB658*0.98)-(D658*0.8)+((AF658-3)*3)+VLOOKUP(AM658,Table!$A$11:$B$13,2,FALSE)&lt;0,0,(AB658*0.98)-(D658*0.8)+((AF658-3)*3)+VLOOKUP(AM658,Table!$A$11:$B$13,2,FALSE))</f>
        <v>96.133100000000013</v>
      </c>
      <c r="AH658" s="22">
        <f t="shared" ref="AH658:AH721" si="858">IF(ROUND(AVERAGE(AG658:AG660),0)&lt;0,0,IF(ROUND(AVERAGE(AG658:AG660),0)&gt;100,100,ROUND(AVERAGE(AG658:AG660),0)))</f>
        <v>98</v>
      </c>
      <c r="AI658" s="18">
        <f t="shared" si="851"/>
        <v>3.95</v>
      </c>
      <c r="AJ658" s="18">
        <f t="shared" si="852"/>
        <v>3.46</v>
      </c>
      <c r="AK658" t="str">
        <f t="shared" si="837"/>
        <v>Rising Rates</v>
      </c>
      <c r="AL658">
        <f t="shared" si="848"/>
        <v>33.75</v>
      </c>
      <c r="AM658" s="11" t="str">
        <f t="shared" si="838"/>
        <v>Stocks</v>
      </c>
      <c r="AN658" t="str">
        <f t="shared" si="844"/>
        <v>Buy</v>
      </c>
      <c r="AO658" s="13">
        <f t="shared" si="845"/>
        <v>1.7600000000000001E-2</v>
      </c>
      <c r="AP658" s="13">
        <f t="shared" si="846"/>
        <v>8.0000000000000004E-4</v>
      </c>
      <c r="AQ658" s="13">
        <f t="shared" si="847"/>
        <v>1.7299999999999999E-2</v>
      </c>
      <c r="AR658" s="13">
        <f t="shared" si="839"/>
        <v>1.7600000000000001E-2</v>
      </c>
      <c r="AS658" s="6">
        <f t="shared" si="831"/>
        <v>314.14391797435678</v>
      </c>
      <c r="AT658" s="6">
        <f t="shared" si="832"/>
        <v>167.69558659941143</v>
      </c>
      <c r="AU658" s="6">
        <f t="shared" si="833"/>
        <v>361.43116574851325</v>
      </c>
      <c r="AV658" s="6">
        <f t="shared" si="834"/>
        <v>444.67738828171105</v>
      </c>
      <c r="AW658" s="58">
        <f t="shared" si="840"/>
        <v>2006</v>
      </c>
      <c r="AX658" s="58">
        <f>COUNTIF(AW$3:AW658,AW658)</f>
        <v>50</v>
      </c>
    </row>
    <row r="659" spans="1:50" x14ac:dyDescent="0.25">
      <c r="A659" s="5">
        <v>38732</v>
      </c>
      <c r="B659">
        <v>1287.6099999999999</v>
      </c>
      <c r="C659">
        <v>4.2</v>
      </c>
      <c r="D659" s="6">
        <v>11.23</v>
      </c>
      <c r="E659" s="18">
        <f t="shared" si="853"/>
        <v>11.43</v>
      </c>
      <c r="F659">
        <f t="shared" si="854"/>
        <v>2</v>
      </c>
      <c r="G659" s="18">
        <f>ROUND(INDEX(Valuation!U:U,MATCH(A659,Valuation!A:A,0)),2)</f>
        <v>164.88</v>
      </c>
      <c r="H659">
        <f t="shared" si="825"/>
        <v>2</v>
      </c>
      <c r="I659" s="18">
        <f>INDEX(WeeklyIndicators!Y:Y,MATCH(A659,WeeklyIndicators!A:A,0))</f>
        <v>140.69</v>
      </c>
      <c r="J659">
        <f t="shared" si="850"/>
        <v>1</v>
      </c>
      <c r="K659">
        <f>ROUND(INDEX(Economic!AF:AF,MATCH(EOMONTH($A659,-1),Economic!A:A,0)),2)</f>
        <v>94.49</v>
      </c>
      <c r="L659" s="11">
        <f t="shared" ref="L659:L722" si="859">IF(K659&gt;138,3,IF(AND(K659&gt;125,K659&lt;=138),2,IF(AND(K659&gt;111,K659&lt;=125),1,IF(K659&lt;50,-3,IF(AND(K659&lt;80,K659&gt;=50),-2,IF(AND(K659&lt;100,K659&gt;=80),-1,0))))))</f>
        <v>-1</v>
      </c>
      <c r="M659">
        <f>ROUND(INDEX(Manufacturing!P:P,MATCH(EOMONTH($A659,-1),Manufacturing!A:A,0)),2)</f>
        <v>102.19</v>
      </c>
      <c r="N659">
        <f t="shared" si="855"/>
        <v>2</v>
      </c>
      <c r="O659">
        <f>ROUND(INDEX(Housing!AC:AC,MATCH(EOMONTH($A659,-1),Housing!B:B,0)),2)</f>
        <v>121.96</v>
      </c>
      <c r="P659">
        <f t="shared" si="856"/>
        <v>1</v>
      </c>
      <c r="Q659">
        <f>ROUND(INDEX(Spending!AJ:AJ,MATCH(EOMONTH($A659,-1),Spending!B:B,0)),2)</f>
        <v>64.88</v>
      </c>
      <c r="R659">
        <f t="shared" ref="R659:R722" si="860">IF(Q659&gt;60,2,IF(AND(Q659&gt;50,Q659&lt;=60),1,IF(Q659&lt;30,-2,IF(AND(Q659&lt;40,Q659&gt;=30),-1,0))))</f>
        <v>2</v>
      </c>
      <c r="S659">
        <f>ROUND(INDEX(Employment!V:V,MATCH(EOMONTH($A659,-1),Employment!A:A,0)),2)</f>
        <v>172.08</v>
      </c>
      <c r="T659" s="11">
        <f t="shared" si="857"/>
        <v>1</v>
      </c>
      <c r="U659">
        <f t="shared" si="849"/>
        <v>30</v>
      </c>
      <c r="V659">
        <f t="shared" si="841"/>
        <v>76.31</v>
      </c>
      <c r="W659" s="13">
        <f t="shared" si="842"/>
        <v>3.8E-3</v>
      </c>
      <c r="X659" s="13">
        <f t="shared" si="843"/>
        <v>-8.8999999999999999E-3</v>
      </c>
      <c r="Y659">
        <f t="shared" si="835"/>
        <v>85.01</v>
      </c>
      <c r="Z659" s="13">
        <f t="shared" si="830"/>
        <v>2.0000000000000001E-4</v>
      </c>
      <c r="AA659" s="13">
        <f t="shared" si="826"/>
        <v>-1.4799999999999999E-2</v>
      </c>
      <c r="AB659" s="6">
        <f t="shared" si="836"/>
        <v>95.457999999999998</v>
      </c>
      <c r="AC659">
        <f t="shared" si="828"/>
        <v>48</v>
      </c>
      <c r="AD659" s="11">
        <f t="shared" si="829"/>
        <v>2</v>
      </c>
      <c r="AE659">
        <f t="shared" si="827"/>
        <v>34</v>
      </c>
      <c r="AF659">
        <f>IF(AND(AE659&lt;15,OR(AC659&gt;=30,AA659&gt;0.15,X659&gt;=0.15)),2,VLOOKUP(AE659,Table!P:Q,2,FALSE))</f>
        <v>5</v>
      </c>
      <c r="AG659" s="22">
        <f>IF((AB659*0.98)-(D659*0.8)+((AF659-3)*3)+VLOOKUP(AM659,Table!$A$11:$B$13,2,FALSE)&lt;0,0,(AB659*0.98)-(D659*0.8)+((AF659-3)*3)+VLOOKUP(AM659,Table!$A$11:$B$13,2,FALSE))</f>
        <v>98.564840000000004</v>
      </c>
      <c r="AH659" s="22">
        <f t="shared" si="858"/>
        <v>98</v>
      </c>
      <c r="AI659" s="18">
        <f t="shared" si="851"/>
        <v>3.91</v>
      </c>
      <c r="AJ659" s="18">
        <f t="shared" si="852"/>
        <v>3.43</v>
      </c>
      <c r="AK659" t="str">
        <f t="shared" si="837"/>
        <v>Rising Rates</v>
      </c>
      <c r="AL659">
        <f t="shared" si="848"/>
        <v>34</v>
      </c>
      <c r="AM659" s="11" t="str">
        <f t="shared" si="838"/>
        <v>Stocks</v>
      </c>
      <c r="AN659" t="str">
        <f t="shared" si="844"/>
        <v>Buy</v>
      </c>
      <c r="AO659" s="13">
        <f t="shared" si="845"/>
        <v>-2.0299999999999999E-2</v>
      </c>
      <c r="AP659" s="13">
        <f t="shared" si="846"/>
        <v>8.0000000000000004E-4</v>
      </c>
      <c r="AQ659" s="13">
        <f t="shared" si="847"/>
        <v>-1.9900000000000001E-2</v>
      </c>
      <c r="AR659" s="13">
        <f t="shared" si="839"/>
        <v>-2.0299999999999999E-2</v>
      </c>
      <c r="AS659" s="6">
        <f t="shared" si="831"/>
        <v>320.65317747714278</v>
      </c>
      <c r="AT659" s="6">
        <f t="shared" si="832"/>
        <v>167.56153736951583</v>
      </c>
      <c r="AU659" s="6">
        <f t="shared" si="833"/>
        <v>368.76968242884732</v>
      </c>
      <c r="AV659" s="6">
        <f t="shared" si="834"/>
        <v>453.89138336400026</v>
      </c>
      <c r="AW659" s="58">
        <f t="shared" si="840"/>
        <v>2006</v>
      </c>
      <c r="AX659" s="58">
        <f>COUNTIF(AW$3:AW659,AW659)</f>
        <v>51</v>
      </c>
    </row>
    <row r="660" spans="1:50" x14ac:dyDescent="0.25">
      <c r="A660" s="5">
        <v>38725</v>
      </c>
      <c r="B660">
        <v>1285.45</v>
      </c>
      <c r="C660">
        <v>4.0999999999999996</v>
      </c>
      <c r="D660" s="6">
        <v>11</v>
      </c>
      <c r="E660" s="18">
        <f t="shared" si="853"/>
        <v>11.11</v>
      </c>
      <c r="F660">
        <f t="shared" si="854"/>
        <v>2</v>
      </c>
      <c r="G660" s="18">
        <f>ROUND(INDEX(Valuation!U:U,MATCH(A660,Valuation!A:A,0)),2)</f>
        <v>167.31</v>
      </c>
      <c r="H660">
        <f t="shared" si="825"/>
        <v>2</v>
      </c>
      <c r="I660" s="18">
        <f>INDEX(WeeklyIndicators!Y:Y,MATCH(A660,WeeklyIndicators!A:A,0))</f>
        <v>137.71</v>
      </c>
      <c r="J660">
        <f t="shared" si="850"/>
        <v>1</v>
      </c>
      <c r="K660">
        <f>ROUND(INDEX(Economic!AF:AF,MATCH(EOMONTH($A660,-1),Economic!A:A,0)),2)</f>
        <v>94.49</v>
      </c>
      <c r="L660" s="11">
        <f t="shared" si="859"/>
        <v>-1</v>
      </c>
      <c r="M660">
        <f>ROUND(INDEX(Manufacturing!P:P,MATCH(EOMONTH($A660,-1),Manufacturing!A:A,0)),2)</f>
        <v>102.19</v>
      </c>
      <c r="N660">
        <f t="shared" si="855"/>
        <v>2</v>
      </c>
      <c r="O660">
        <f>ROUND(INDEX(Housing!AC:AC,MATCH(EOMONTH($A660,-1),Housing!B:B,0)),2)</f>
        <v>121.96</v>
      </c>
      <c r="P660">
        <f t="shared" si="856"/>
        <v>1</v>
      </c>
      <c r="Q660">
        <f>ROUND(INDEX(Spending!AJ:AJ,MATCH(EOMONTH($A660,-1),Spending!B:B,0)),2)</f>
        <v>64.88</v>
      </c>
      <c r="R660">
        <f t="shared" si="860"/>
        <v>2</v>
      </c>
      <c r="S660">
        <f>ROUND(INDEX(Employment!V:V,MATCH(EOMONTH($A660,-1),Employment!A:A,0)),2)</f>
        <v>172.08</v>
      </c>
      <c r="T660" s="11">
        <f t="shared" si="857"/>
        <v>1</v>
      </c>
      <c r="U660">
        <f t="shared" si="849"/>
        <v>30</v>
      </c>
      <c r="V660">
        <f t="shared" si="841"/>
        <v>76</v>
      </c>
      <c r="W660" s="13">
        <f t="shared" si="842"/>
        <v>-2.0000000000000001E-4</v>
      </c>
      <c r="X660" s="13">
        <f t="shared" si="843"/>
        <v>-2.2100000000000002E-2</v>
      </c>
      <c r="Y660">
        <f t="shared" si="835"/>
        <v>85.09</v>
      </c>
      <c r="Z660" s="13">
        <f t="shared" si="830"/>
        <v>-2.3E-3</v>
      </c>
      <c r="AA660" s="13">
        <f t="shared" si="826"/>
        <v>-2.4500000000000001E-2</v>
      </c>
      <c r="AB660" s="6">
        <f t="shared" si="836"/>
        <v>94.991</v>
      </c>
      <c r="AC660">
        <f t="shared" si="828"/>
        <v>47</v>
      </c>
      <c r="AD660" s="11">
        <f t="shared" si="829"/>
        <v>1</v>
      </c>
      <c r="AE660">
        <f t="shared" si="827"/>
        <v>33</v>
      </c>
      <c r="AF660">
        <f>IF(AND(AE660&lt;15,OR(AC660&gt;=30,AA660&gt;0.15,X660&gt;=0.15)),2,VLOOKUP(AE660,Table!P:Q,2,FALSE))</f>
        <v>5</v>
      </c>
      <c r="AG660" s="22">
        <f>IF((AB660*0.98)-(D660*0.8)+((AF660-3)*3)+VLOOKUP(AM660,Table!$A$11:$B$13,2,FALSE)&lt;0,0,(AB660*0.98)-(D660*0.8)+((AF660-3)*3)+VLOOKUP(AM660,Table!$A$11:$B$13,2,FALSE))</f>
        <v>98.291179999999997</v>
      </c>
      <c r="AH660" s="22">
        <f t="shared" si="858"/>
        <v>98</v>
      </c>
      <c r="AI660" s="18">
        <f t="shared" si="851"/>
        <v>3.87</v>
      </c>
      <c r="AJ660" s="18">
        <f t="shared" si="852"/>
        <v>3.39</v>
      </c>
      <c r="AK660" t="str">
        <f t="shared" si="837"/>
        <v>Rising Rates</v>
      </c>
      <c r="AL660">
        <f t="shared" si="848"/>
        <v>34</v>
      </c>
      <c r="AM660" s="11" t="str">
        <f t="shared" si="838"/>
        <v>Stocks</v>
      </c>
      <c r="AN660" t="str">
        <f t="shared" si="844"/>
        <v>Buy</v>
      </c>
      <c r="AO660" s="13">
        <f t="shared" si="845"/>
        <v>1.6999999999999999E-3</v>
      </c>
      <c r="AP660" s="13">
        <f t="shared" si="846"/>
        <v>8.0000000000000004E-4</v>
      </c>
      <c r="AQ660" s="13">
        <f t="shared" si="847"/>
        <v>1.6999999999999999E-3</v>
      </c>
      <c r="AR660" s="13">
        <f t="shared" si="839"/>
        <v>1.6999999999999999E-3</v>
      </c>
      <c r="AS660" s="6">
        <f t="shared" si="831"/>
        <v>320.10899219041903</v>
      </c>
      <c r="AT660" s="6">
        <f t="shared" si="832"/>
        <v>167.42759529328123</v>
      </c>
      <c r="AU660" s="6">
        <f t="shared" si="833"/>
        <v>368.14383790440979</v>
      </c>
      <c r="AV660" s="6">
        <f t="shared" si="834"/>
        <v>453.1210775321955</v>
      </c>
      <c r="AW660" s="58">
        <f t="shared" si="840"/>
        <v>2006</v>
      </c>
      <c r="AX660" s="58">
        <f>COUNTIF(AW$3:AW660,AW660)</f>
        <v>52</v>
      </c>
    </row>
    <row r="661" spans="1:50" x14ac:dyDescent="0.25">
      <c r="A661" s="5">
        <v>38718</v>
      </c>
      <c r="B661">
        <v>1248.29</v>
      </c>
      <c r="C661">
        <v>3.92</v>
      </c>
      <c r="D661" s="6">
        <v>12.07</v>
      </c>
      <c r="E661" s="18">
        <f t="shared" si="853"/>
        <v>11.01</v>
      </c>
      <c r="F661">
        <f t="shared" si="854"/>
        <v>2</v>
      </c>
      <c r="G661" s="18">
        <f>ROUND(INDEX(Valuation!U:U,MATCH(A661,Valuation!A:A,0)),2)</f>
        <v>169.67</v>
      </c>
      <c r="H661">
        <f t="shared" si="825"/>
        <v>2</v>
      </c>
      <c r="I661" s="18">
        <f>INDEX(WeeklyIndicators!Y:Y,MATCH(A661,WeeklyIndicators!A:A,0))</f>
        <v>138.72999999999999</v>
      </c>
      <c r="J661">
        <f t="shared" si="850"/>
        <v>1</v>
      </c>
      <c r="K661">
        <f>ROUND(INDEX(Economic!AF:AF,MATCH(EOMONTH($A661,-1),Economic!A:A,0)),2)</f>
        <v>94.49</v>
      </c>
      <c r="L661" s="11">
        <f t="shared" si="859"/>
        <v>-1</v>
      </c>
      <c r="M661">
        <f>ROUND(INDEX(Manufacturing!P:P,MATCH(EOMONTH($A661,-1),Manufacturing!A:A,0)),2)</f>
        <v>102.19</v>
      </c>
      <c r="N661">
        <f t="shared" si="855"/>
        <v>2</v>
      </c>
      <c r="O661">
        <f>ROUND(INDEX(Housing!AC:AC,MATCH(EOMONTH($A661,-1),Housing!B:B,0)),2)</f>
        <v>121.96</v>
      </c>
      <c r="P661">
        <f t="shared" si="856"/>
        <v>1</v>
      </c>
      <c r="Q661">
        <f>ROUND(INDEX(Spending!AJ:AJ,MATCH(EOMONTH($A661,-1),Spending!B:B,0)),2)</f>
        <v>64.88</v>
      </c>
      <c r="R661">
        <f t="shared" si="860"/>
        <v>2</v>
      </c>
      <c r="S661">
        <f>ROUND(INDEX(Employment!V:V,MATCH(EOMONTH($A661,-1),Employment!A:A,0)),2)</f>
        <v>172.08</v>
      </c>
      <c r="T661" s="11">
        <f t="shared" si="857"/>
        <v>1</v>
      </c>
      <c r="U661">
        <f t="shared" si="849"/>
        <v>30</v>
      </c>
      <c r="V661">
        <f t="shared" si="841"/>
        <v>76.11</v>
      </c>
      <c r="W661" s="13">
        <f t="shared" si="842"/>
        <v>-3.2000000000000002E-3</v>
      </c>
      <c r="X661" s="13">
        <f t="shared" si="843"/>
        <v>-2.64E-2</v>
      </c>
      <c r="Y661">
        <f t="shared" si="835"/>
        <v>85.49</v>
      </c>
      <c r="Z661" s="13">
        <f t="shared" si="830"/>
        <v>-3.3999999999999998E-3</v>
      </c>
      <c r="AA661" s="13">
        <f t="shared" si="826"/>
        <v>-2.8399999999999998E-2</v>
      </c>
      <c r="AB661" s="6">
        <f t="shared" si="836"/>
        <v>95.326999999999998</v>
      </c>
      <c r="AC661">
        <f t="shared" si="828"/>
        <v>48</v>
      </c>
      <c r="AD661" s="11">
        <f t="shared" si="829"/>
        <v>2</v>
      </c>
      <c r="AE661">
        <f t="shared" si="827"/>
        <v>34</v>
      </c>
      <c r="AF661">
        <f>IF(AND(AE661&lt;15,OR(AC661&gt;=30,AA661&gt;0.15,X661&gt;=0.15)),2,VLOOKUP(AE661,Table!P:Q,2,FALSE))</f>
        <v>5</v>
      </c>
      <c r="AG661" s="22">
        <f>IF((AB661*0.98)-(D661*0.8)+((AF661-3)*3)+VLOOKUP(AM661,Table!$A$11:$B$13,2,FALSE)&lt;0,0,(AB661*0.98)-(D661*0.8)+((AF661-3)*3)+VLOOKUP(AM661,Table!$A$11:$B$13,2,FALSE))</f>
        <v>97.764459999999985</v>
      </c>
      <c r="AH661" s="22">
        <f t="shared" si="858"/>
        <v>100</v>
      </c>
      <c r="AI661" s="18">
        <f t="shared" si="851"/>
        <v>3.83</v>
      </c>
      <c r="AJ661" s="18">
        <f t="shared" si="852"/>
        <v>3.36</v>
      </c>
      <c r="AK661" t="str">
        <f t="shared" si="837"/>
        <v>Rising Rates</v>
      </c>
      <c r="AL661">
        <f t="shared" si="848"/>
        <v>34.5</v>
      </c>
      <c r="AM661" s="11" t="str">
        <f t="shared" si="838"/>
        <v>Stocks</v>
      </c>
      <c r="AN661" t="str">
        <f t="shared" si="844"/>
        <v>Buy</v>
      </c>
      <c r="AO661" s="13">
        <f t="shared" si="845"/>
        <v>2.98E-2</v>
      </c>
      <c r="AP661" s="13">
        <f t="shared" si="846"/>
        <v>8.0000000000000004E-4</v>
      </c>
      <c r="AQ661" s="13">
        <f t="shared" si="847"/>
        <v>2.98E-2</v>
      </c>
      <c r="AR661" s="13">
        <f t="shared" si="839"/>
        <v>2.98E-2</v>
      </c>
      <c r="AS661" s="6">
        <f t="shared" si="831"/>
        <v>310.84578771646824</v>
      </c>
      <c r="AT661" s="6">
        <f t="shared" si="832"/>
        <v>167.2937602850532</v>
      </c>
      <c r="AU661" s="6">
        <f t="shared" si="833"/>
        <v>357.49061750282556</v>
      </c>
      <c r="AV661" s="6">
        <f t="shared" si="834"/>
        <v>440.00881484967516</v>
      </c>
      <c r="AW661" s="58">
        <f t="shared" si="840"/>
        <v>2006</v>
      </c>
      <c r="AX661" s="58">
        <f>COUNTIF(AW$3:AW661,AW661)</f>
        <v>53</v>
      </c>
    </row>
    <row r="662" spans="1:50" x14ac:dyDescent="0.25">
      <c r="A662" s="5">
        <v>38711</v>
      </c>
      <c r="B662">
        <v>1268.6600000000001</v>
      </c>
      <c r="C662">
        <v>3.89</v>
      </c>
      <c r="D662" s="6">
        <v>10.27</v>
      </c>
      <c r="E662" s="18">
        <f t="shared" si="853"/>
        <v>10.88</v>
      </c>
      <c r="F662">
        <f t="shared" si="854"/>
        <v>3</v>
      </c>
      <c r="G662" s="18">
        <f>ROUND(INDEX(Valuation!U:U,MATCH(A662,Valuation!A:A,0)),2)</f>
        <v>170.44</v>
      </c>
      <c r="H662">
        <f t="shared" si="825"/>
        <v>2</v>
      </c>
      <c r="I662" s="18">
        <f>INDEX(WeeklyIndicators!Y:Y,MATCH(A662,WeeklyIndicators!A:A,0))</f>
        <v>141.91</v>
      </c>
      <c r="J662">
        <f t="shared" si="850"/>
        <v>1</v>
      </c>
      <c r="K662">
        <f>ROUND(INDEX(Economic!AF:AF,MATCH(EOMONTH($A662,-1),Economic!A:A,0)),2)</f>
        <v>87.63</v>
      </c>
      <c r="L662" s="11">
        <f t="shared" si="859"/>
        <v>-1</v>
      </c>
      <c r="M662">
        <f>ROUND(INDEX(Manufacturing!P:P,MATCH(EOMONTH($A662,-1),Manufacturing!A:A,0)),2)</f>
        <v>103.81</v>
      </c>
      <c r="N662">
        <f t="shared" si="855"/>
        <v>2</v>
      </c>
      <c r="O662">
        <f>ROUND(INDEX(Housing!AC:AC,MATCH(EOMONTH($A662,-1),Housing!B:B,0)),2)</f>
        <v>129.6</v>
      </c>
      <c r="P662">
        <f t="shared" si="856"/>
        <v>2</v>
      </c>
      <c r="Q662">
        <f>ROUND(INDEX(Spending!AJ:AJ,MATCH(EOMONTH($A662,-1),Spending!B:B,0)),2)</f>
        <v>68.44</v>
      </c>
      <c r="R662">
        <f t="shared" si="860"/>
        <v>2</v>
      </c>
      <c r="S662">
        <f>ROUND(INDEX(Employment!V:V,MATCH(EOMONTH($A662,-1),Employment!A:A,0)),2)</f>
        <v>159.30000000000001</v>
      </c>
      <c r="T662" s="11">
        <f t="shared" si="857"/>
        <v>0</v>
      </c>
      <c r="U662">
        <f t="shared" si="849"/>
        <v>31</v>
      </c>
      <c r="V662">
        <f t="shared" si="841"/>
        <v>75.44</v>
      </c>
      <c r="W662" s="13">
        <f t="shared" si="842"/>
        <v>-9.2999999999999992E-3</v>
      </c>
      <c r="X662" s="13">
        <f t="shared" si="843"/>
        <v>-2.0100000000000003E-2</v>
      </c>
      <c r="Y662">
        <f t="shared" si="835"/>
        <v>84.95</v>
      </c>
      <c r="Z662" s="13">
        <f t="shared" si="830"/>
        <v>-9.2999999999999992E-3</v>
      </c>
      <c r="AA662" s="13">
        <f t="shared" si="826"/>
        <v>-2.2499999999999999E-2</v>
      </c>
      <c r="AB662" s="6">
        <f t="shared" si="836"/>
        <v>95.304000000000002</v>
      </c>
      <c r="AC662">
        <f t="shared" si="828"/>
        <v>48</v>
      </c>
      <c r="AD662" s="11">
        <f t="shared" si="829"/>
        <v>2</v>
      </c>
      <c r="AE662">
        <f t="shared" si="827"/>
        <v>35</v>
      </c>
      <c r="AF662">
        <f>IF(AND(AE662&lt;15,OR(AC662&gt;=30,AA662&gt;0.15,X662&gt;=0.15)),2,VLOOKUP(AE662,Table!P:Q,2,FALSE))</f>
        <v>5</v>
      </c>
      <c r="AG662" s="22">
        <f>IF((AB662*0.98)-(D662*0.8)+((AF662-3)*3)+VLOOKUP(AM662,Table!$A$11:$B$13,2,FALSE)&lt;0,0,(AB662*0.98)-(D662*0.8)+((AF662-3)*3)+VLOOKUP(AM662,Table!$A$11:$B$13,2,FALSE))</f>
        <v>99.181920000000005</v>
      </c>
      <c r="AH662" s="22">
        <f t="shared" si="858"/>
        <v>100</v>
      </c>
      <c r="AI662" s="18">
        <f t="shared" si="851"/>
        <v>3.79</v>
      </c>
      <c r="AJ662" s="18">
        <f t="shared" si="852"/>
        <v>3.33</v>
      </c>
      <c r="AK662" t="str">
        <f t="shared" si="837"/>
        <v>Rising Rates</v>
      </c>
      <c r="AL662">
        <f t="shared" si="848"/>
        <v>34.75</v>
      </c>
      <c r="AM662" s="11" t="str">
        <f t="shared" si="838"/>
        <v>Stocks</v>
      </c>
      <c r="AN662" t="str">
        <f t="shared" si="844"/>
        <v>Buy</v>
      </c>
      <c r="AO662" s="13">
        <f t="shared" si="845"/>
        <v>-1.61E-2</v>
      </c>
      <c r="AP662" s="13">
        <f t="shared" si="846"/>
        <v>6.9999999999999999E-4</v>
      </c>
      <c r="AQ662" s="13">
        <f t="shared" si="847"/>
        <v>-1.61E-2</v>
      </c>
      <c r="AR662" s="13">
        <f t="shared" si="839"/>
        <v>-1.61E-2</v>
      </c>
      <c r="AS662" s="6">
        <f t="shared" si="831"/>
        <v>315.93229770959266</v>
      </c>
      <c r="AT662" s="6">
        <f t="shared" si="832"/>
        <v>167.17673656945459</v>
      </c>
      <c r="AU662" s="6">
        <f t="shared" si="833"/>
        <v>363.34039790916307</v>
      </c>
      <c r="AV662" s="6">
        <f t="shared" si="834"/>
        <v>447.20887778196482</v>
      </c>
      <c r="AW662" s="58">
        <f t="shared" si="840"/>
        <v>2005</v>
      </c>
      <c r="AX662" s="58">
        <f>COUNTIF(AW$3:AW662,AW662)</f>
        <v>1</v>
      </c>
    </row>
    <row r="663" spans="1:50" x14ac:dyDescent="0.25">
      <c r="A663" s="5">
        <v>38704</v>
      </c>
      <c r="B663">
        <v>1267.32</v>
      </c>
      <c r="C663">
        <v>3.83</v>
      </c>
      <c r="D663" s="6">
        <v>10.68</v>
      </c>
      <c r="E663" s="18">
        <f t="shared" si="853"/>
        <v>11.13</v>
      </c>
      <c r="F663">
        <f t="shared" si="854"/>
        <v>2</v>
      </c>
      <c r="G663" s="18">
        <f>ROUND(INDEX(Valuation!U:U,MATCH(A663,Valuation!A:A,0)),2)</f>
        <v>172.37</v>
      </c>
      <c r="H663">
        <f t="shared" si="825"/>
        <v>2</v>
      </c>
      <c r="I663" s="18">
        <f>INDEX(WeeklyIndicators!Y:Y,MATCH(A663,WeeklyIndicators!A:A,0))</f>
        <v>147.72999999999999</v>
      </c>
      <c r="J663">
        <f t="shared" si="850"/>
        <v>1</v>
      </c>
      <c r="K663">
        <f>ROUND(INDEX(Economic!AF:AF,MATCH(EOMONTH($A663,-1),Economic!A:A,0)),2)</f>
        <v>87.63</v>
      </c>
      <c r="L663" s="11">
        <f t="shared" si="859"/>
        <v>-1</v>
      </c>
      <c r="M663">
        <f>ROUND(INDEX(Manufacturing!P:P,MATCH(EOMONTH($A663,-1),Manufacturing!A:A,0)),2)</f>
        <v>103.81</v>
      </c>
      <c r="N663">
        <f t="shared" si="855"/>
        <v>2</v>
      </c>
      <c r="O663">
        <f>ROUND(INDEX(Housing!AC:AC,MATCH(EOMONTH($A663,-1),Housing!B:B,0)),2)</f>
        <v>129.6</v>
      </c>
      <c r="P663">
        <f t="shared" si="856"/>
        <v>2</v>
      </c>
      <c r="Q663">
        <f>ROUND(INDEX(Spending!AJ:AJ,MATCH(EOMONTH($A663,-1),Spending!B:B,0)),2)</f>
        <v>68.44</v>
      </c>
      <c r="R663">
        <f t="shared" si="860"/>
        <v>2</v>
      </c>
      <c r="S663">
        <f>ROUND(INDEX(Employment!V:V,MATCH(EOMONTH($A663,-1),Employment!A:A,0)),2)</f>
        <v>159.30000000000001</v>
      </c>
      <c r="T663" s="11">
        <f t="shared" si="857"/>
        <v>0</v>
      </c>
      <c r="U663">
        <f t="shared" si="849"/>
        <v>30</v>
      </c>
      <c r="V663">
        <f t="shared" si="841"/>
        <v>76.040000000000006</v>
      </c>
      <c r="W663" s="13">
        <f t="shared" si="842"/>
        <v>-9.4000000000000004E-3</v>
      </c>
      <c r="X663" s="13">
        <f t="shared" si="843"/>
        <v>3.2000000000000015E-3</v>
      </c>
      <c r="Y663">
        <f t="shared" si="835"/>
        <v>85.68</v>
      </c>
      <c r="Z663" s="13">
        <f t="shared" si="830"/>
        <v>-9.4999999999999998E-3</v>
      </c>
      <c r="AA663" s="13">
        <f t="shared" si="826"/>
        <v>1.7000000000000019E-3</v>
      </c>
      <c r="AB663" s="6">
        <f t="shared" si="836"/>
        <v>98.096999999999994</v>
      </c>
      <c r="AC663">
        <f t="shared" si="828"/>
        <v>49</v>
      </c>
      <c r="AD663" s="11">
        <f t="shared" si="829"/>
        <v>2</v>
      </c>
      <c r="AE663">
        <f t="shared" si="827"/>
        <v>34</v>
      </c>
      <c r="AF663">
        <f>IF(AND(AE663&lt;15,OR(AC663&gt;=30,AA663&gt;0.15,X663&gt;=0.15)),2,VLOOKUP(AE663,Table!P:Q,2,FALSE))</f>
        <v>5</v>
      </c>
      <c r="AG663" s="22">
        <f>IF((AB663*0.98)-(D663*0.8)+((AF663-3)*3)+VLOOKUP(AM663,Table!$A$11:$B$13,2,FALSE)&lt;0,0,(AB663*0.98)-(D663*0.8)+((AF663-3)*3)+VLOOKUP(AM663,Table!$A$11:$B$13,2,FALSE))</f>
        <v>101.59106</v>
      </c>
      <c r="AH663" s="22">
        <f t="shared" si="858"/>
        <v>100</v>
      </c>
      <c r="AI663" s="18">
        <f t="shared" si="851"/>
        <v>3.76</v>
      </c>
      <c r="AJ663" s="18">
        <f t="shared" si="852"/>
        <v>3.3</v>
      </c>
      <c r="AK663" t="str">
        <f t="shared" si="837"/>
        <v>Rising Rates</v>
      </c>
      <c r="AL663">
        <f t="shared" si="848"/>
        <v>34.5</v>
      </c>
      <c r="AM663" s="11" t="str">
        <f t="shared" si="838"/>
        <v>Stocks</v>
      </c>
      <c r="AN663" t="str">
        <f t="shared" si="844"/>
        <v>Buy</v>
      </c>
      <c r="AO663" s="13">
        <f t="shared" si="845"/>
        <v>1.1000000000000001E-3</v>
      </c>
      <c r="AP663" s="13">
        <f t="shared" si="846"/>
        <v>6.9999999999999999E-4</v>
      </c>
      <c r="AQ663" s="13">
        <f t="shared" si="847"/>
        <v>1.1000000000000001E-3</v>
      </c>
      <c r="AR663" s="13">
        <f t="shared" si="839"/>
        <v>1.1000000000000001E-3</v>
      </c>
      <c r="AS663" s="6">
        <f t="shared" si="831"/>
        <v>315.58515404014844</v>
      </c>
      <c r="AT663" s="6">
        <f t="shared" si="832"/>
        <v>167.05979471315538</v>
      </c>
      <c r="AU663" s="6">
        <f t="shared" si="833"/>
        <v>362.94116263026973</v>
      </c>
      <c r="AV663" s="6">
        <f t="shared" si="834"/>
        <v>446.71748854456575</v>
      </c>
      <c r="AW663" s="58">
        <f t="shared" si="840"/>
        <v>2005</v>
      </c>
      <c r="AX663" s="58">
        <f>COUNTIF(AW$3:AW663,AW663)</f>
        <v>2</v>
      </c>
    </row>
    <row r="664" spans="1:50" x14ac:dyDescent="0.25">
      <c r="A664" s="5">
        <v>38697</v>
      </c>
      <c r="B664">
        <v>1259.3699999999999</v>
      </c>
      <c r="C664">
        <v>3.91</v>
      </c>
      <c r="D664" s="6">
        <v>11.69</v>
      </c>
      <c r="E664" s="18">
        <f t="shared" si="853"/>
        <v>11.19</v>
      </c>
      <c r="F664">
        <f t="shared" si="854"/>
        <v>2</v>
      </c>
      <c r="G664" s="18">
        <f>ROUND(INDEX(Valuation!U:U,MATCH(A664,Valuation!A:A,0)),2)</f>
        <v>171.56</v>
      </c>
      <c r="H664">
        <f t="shared" si="825"/>
        <v>2</v>
      </c>
      <c r="I664" s="18">
        <f>INDEX(WeeklyIndicators!Y:Y,MATCH(A664,WeeklyIndicators!A:A,0))</f>
        <v>155.34</v>
      </c>
      <c r="J664">
        <f t="shared" si="850"/>
        <v>2</v>
      </c>
      <c r="K664">
        <f>ROUND(INDEX(Economic!AF:AF,MATCH(EOMONTH($A664,-1),Economic!A:A,0)),2)</f>
        <v>87.63</v>
      </c>
      <c r="L664" s="11">
        <f t="shared" si="859"/>
        <v>-1</v>
      </c>
      <c r="M664">
        <f>ROUND(INDEX(Manufacturing!P:P,MATCH(EOMONTH($A664,-1),Manufacturing!A:A,0)),2)</f>
        <v>103.81</v>
      </c>
      <c r="N664">
        <f t="shared" si="855"/>
        <v>2</v>
      </c>
      <c r="O664">
        <f>ROUND(INDEX(Housing!AC:AC,MATCH(EOMONTH($A664,-1),Housing!B:B,0)),2)</f>
        <v>129.6</v>
      </c>
      <c r="P664">
        <f t="shared" si="856"/>
        <v>2</v>
      </c>
      <c r="Q664">
        <f>ROUND(INDEX(Spending!AJ:AJ,MATCH(EOMONTH($A664,-1),Spending!B:B,0)),2)</f>
        <v>68.44</v>
      </c>
      <c r="R664">
        <f t="shared" si="860"/>
        <v>2</v>
      </c>
      <c r="S664">
        <f>ROUND(INDEX(Employment!V:V,MATCH(EOMONTH($A664,-1),Employment!A:A,0)),2)</f>
        <v>159.30000000000001</v>
      </c>
      <c r="T664" s="11">
        <f t="shared" si="857"/>
        <v>0</v>
      </c>
      <c r="U664">
        <f t="shared" si="849"/>
        <v>31</v>
      </c>
      <c r="V664">
        <f t="shared" si="841"/>
        <v>76.83</v>
      </c>
      <c r="W664" s="13">
        <f t="shared" si="842"/>
        <v>-4.4999999999999997E-3</v>
      </c>
      <c r="X664" s="13">
        <f t="shared" si="843"/>
        <v>2.5500000000000002E-2</v>
      </c>
      <c r="Y664">
        <f t="shared" si="835"/>
        <v>86.36</v>
      </c>
      <c r="Z664" s="13">
        <f t="shared" si="830"/>
        <v>-6.1999999999999998E-3</v>
      </c>
      <c r="AA664" s="13">
        <f t="shared" si="826"/>
        <v>2.7200000000000002E-2</v>
      </c>
      <c r="AB664" s="6">
        <f t="shared" si="836"/>
        <v>100.65600000000001</v>
      </c>
      <c r="AC664">
        <f t="shared" si="828"/>
        <v>50</v>
      </c>
      <c r="AD664" s="11">
        <f t="shared" si="829"/>
        <v>2</v>
      </c>
      <c r="AE664">
        <f t="shared" si="827"/>
        <v>35</v>
      </c>
      <c r="AF664">
        <f>IF(AND(AE664&lt;15,OR(AC664&gt;=30,AA664&gt;0.15,X664&gt;=0.15)),2,VLOOKUP(AE664,Table!P:Q,2,FALSE))</f>
        <v>5</v>
      </c>
      <c r="AG664" s="22">
        <f>IF((AB664*0.98)-(D664*0.8)+((AF664-3)*3)+VLOOKUP(AM664,Table!$A$11:$B$13,2,FALSE)&lt;0,0,(AB664*0.98)-(D664*0.8)+((AF664-3)*3)+VLOOKUP(AM664,Table!$A$11:$B$13,2,FALSE))</f>
        <v>103.29088</v>
      </c>
      <c r="AH664" s="22">
        <f t="shared" si="858"/>
        <v>100</v>
      </c>
      <c r="AI664" s="18">
        <f t="shared" si="851"/>
        <v>3.72</v>
      </c>
      <c r="AJ664" s="18">
        <f t="shared" si="852"/>
        <v>3.27</v>
      </c>
      <c r="AK664" t="str">
        <f t="shared" si="837"/>
        <v>Rising Rates</v>
      </c>
      <c r="AL664">
        <f t="shared" si="848"/>
        <v>34.5</v>
      </c>
      <c r="AM664" s="11" t="str">
        <f t="shared" si="838"/>
        <v>Stocks</v>
      </c>
      <c r="AN664" t="str">
        <f t="shared" si="844"/>
        <v>Buy</v>
      </c>
      <c r="AO664" s="13">
        <f t="shared" si="845"/>
        <v>6.3E-3</v>
      </c>
      <c r="AP664" s="13">
        <f t="shared" si="846"/>
        <v>8.0000000000000004E-4</v>
      </c>
      <c r="AQ664" s="13">
        <f t="shared" si="847"/>
        <v>6.3E-3</v>
      </c>
      <c r="AR664" s="13">
        <f t="shared" si="839"/>
        <v>6.3E-3</v>
      </c>
      <c r="AS664" s="6">
        <f t="shared" si="831"/>
        <v>313.60941472736602</v>
      </c>
      <c r="AT664" s="6">
        <f t="shared" si="832"/>
        <v>166.92625371018724</v>
      </c>
      <c r="AU664" s="6">
        <f t="shared" si="833"/>
        <v>360.66894825625531</v>
      </c>
      <c r="AV664" s="6">
        <f t="shared" si="834"/>
        <v>443.92078758279416</v>
      </c>
      <c r="AW664" s="58">
        <f t="shared" si="840"/>
        <v>2005</v>
      </c>
      <c r="AX664" s="58">
        <f>COUNTIF(AW$3:AW664,AW664)</f>
        <v>3</v>
      </c>
    </row>
    <row r="665" spans="1:50" x14ac:dyDescent="0.25">
      <c r="A665" s="5">
        <v>38690</v>
      </c>
      <c r="B665">
        <v>1265.08</v>
      </c>
      <c r="C665">
        <v>3.88</v>
      </c>
      <c r="D665" s="6">
        <v>11.01</v>
      </c>
      <c r="E665" s="18">
        <f t="shared" si="853"/>
        <v>11</v>
      </c>
      <c r="F665">
        <f t="shared" si="854"/>
        <v>2</v>
      </c>
      <c r="G665" s="18">
        <f>ROUND(INDEX(Valuation!U:U,MATCH(A665,Valuation!A:A,0)),2)</f>
        <v>173.14</v>
      </c>
      <c r="H665">
        <f t="shared" si="825"/>
        <v>2</v>
      </c>
      <c r="I665" s="18">
        <f>INDEX(WeeklyIndicators!Y:Y,MATCH(A665,WeeklyIndicators!A:A,0))</f>
        <v>162.63</v>
      </c>
      <c r="J665">
        <f t="shared" si="850"/>
        <v>2</v>
      </c>
      <c r="K665">
        <f>ROUND(INDEX(Economic!AF:AF,MATCH(EOMONTH($A665,-1),Economic!A:A,0)),2)</f>
        <v>87.63</v>
      </c>
      <c r="L665" s="11">
        <f t="shared" si="859"/>
        <v>-1</v>
      </c>
      <c r="M665">
        <f>ROUND(INDEX(Manufacturing!P:P,MATCH(EOMONTH($A665,-1),Manufacturing!A:A,0)),2)</f>
        <v>103.81</v>
      </c>
      <c r="N665">
        <f t="shared" si="855"/>
        <v>2</v>
      </c>
      <c r="O665">
        <f>ROUND(INDEX(Housing!AC:AC,MATCH(EOMONTH($A665,-1),Housing!B:B,0)),2)</f>
        <v>129.6</v>
      </c>
      <c r="P665">
        <f t="shared" si="856"/>
        <v>2</v>
      </c>
      <c r="Q665">
        <f>ROUND(INDEX(Spending!AJ:AJ,MATCH(EOMONTH($A665,-1),Spending!B:B,0)),2)</f>
        <v>68.44</v>
      </c>
      <c r="R665">
        <f t="shared" si="860"/>
        <v>2</v>
      </c>
      <c r="S665">
        <f>ROUND(INDEX(Employment!V:V,MATCH(EOMONTH($A665,-1),Employment!A:A,0)),2)</f>
        <v>159.30000000000001</v>
      </c>
      <c r="T665" s="11">
        <f t="shared" si="857"/>
        <v>0</v>
      </c>
      <c r="U665">
        <f t="shared" si="849"/>
        <v>31</v>
      </c>
      <c r="V665">
        <f t="shared" si="841"/>
        <v>77.59</v>
      </c>
      <c r="W665" s="13">
        <f t="shared" si="842"/>
        <v>3.0999999999999999E-3</v>
      </c>
      <c r="X665" s="13">
        <f t="shared" si="843"/>
        <v>4.8299999999999996E-2</v>
      </c>
      <c r="Y665">
        <f t="shared" si="835"/>
        <v>87.36</v>
      </c>
      <c r="Z665" s="13">
        <f t="shared" si="830"/>
        <v>2.5000000000000001E-3</v>
      </c>
      <c r="AA665" s="13">
        <f t="shared" si="826"/>
        <v>5.3199999999999997E-2</v>
      </c>
      <c r="AB665" s="6">
        <f t="shared" si="836"/>
        <v>103.80399999999999</v>
      </c>
      <c r="AC665">
        <f t="shared" si="828"/>
        <v>52</v>
      </c>
      <c r="AD665" s="11">
        <f t="shared" si="829"/>
        <v>2</v>
      </c>
      <c r="AE665">
        <f t="shared" si="827"/>
        <v>35</v>
      </c>
      <c r="AF665">
        <f>IF(AND(AE665&lt;15,OR(AC665&gt;=30,AA665&gt;0.15,X665&gt;=0.15)),2,VLOOKUP(AE665,Table!P:Q,2,FALSE))</f>
        <v>5</v>
      </c>
      <c r="AG665" s="22">
        <f>IF((AB665*0.98)-(D665*0.8)+((AF665-3)*3)+VLOOKUP(AM665,Table!$A$11:$B$13,2,FALSE)&lt;0,0,(AB665*0.98)-(D665*0.8)+((AF665-3)*3)+VLOOKUP(AM665,Table!$A$11:$B$13,2,FALSE))</f>
        <v>106.91991999999999</v>
      </c>
      <c r="AH665" s="22">
        <f t="shared" si="858"/>
        <v>100</v>
      </c>
      <c r="AI665" s="18">
        <f t="shared" si="851"/>
        <v>3.68</v>
      </c>
      <c r="AJ665" s="18">
        <f t="shared" si="852"/>
        <v>3.24</v>
      </c>
      <c r="AK665" t="str">
        <f t="shared" si="837"/>
        <v>Rising Rates</v>
      </c>
      <c r="AL665">
        <f t="shared" si="848"/>
        <v>34</v>
      </c>
      <c r="AM665" s="11" t="str">
        <f t="shared" si="838"/>
        <v>Stocks</v>
      </c>
      <c r="AN665" t="str">
        <f t="shared" si="844"/>
        <v>Buy</v>
      </c>
      <c r="AO665" s="13">
        <f t="shared" si="845"/>
        <v>-4.4999999999999997E-3</v>
      </c>
      <c r="AP665" s="13">
        <f t="shared" si="846"/>
        <v>6.9999999999999999E-4</v>
      </c>
      <c r="AQ665" s="13">
        <f t="shared" si="847"/>
        <v>-4.4999999999999997E-3</v>
      </c>
      <c r="AR665" s="13">
        <f t="shared" si="839"/>
        <v>-4.4999999999999997E-3</v>
      </c>
      <c r="AS665" s="6">
        <f t="shared" si="831"/>
        <v>315.02703639112605</v>
      </c>
      <c r="AT665" s="6">
        <f t="shared" si="832"/>
        <v>166.8094870692388</v>
      </c>
      <c r="AU665" s="6">
        <f t="shared" si="833"/>
        <v>362.29929508413392</v>
      </c>
      <c r="AV665" s="6">
        <f t="shared" si="834"/>
        <v>445.92746115800514</v>
      </c>
      <c r="AW665" s="58">
        <f t="shared" si="840"/>
        <v>2005</v>
      </c>
      <c r="AX665" s="58">
        <f>COUNTIF(AW$3:AW665,AW665)</f>
        <v>4</v>
      </c>
    </row>
    <row r="666" spans="1:50" x14ac:dyDescent="0.25">
      <c r="A666" s="5">
        <v>38683</v>
      </c>
      <c r="B666">
        <v>1268.25</v>
      </c>
      <c r="C666">
        <v>3.87</v>
      </c>
      <c r="D666" s="6">
        <v>10.88</v>
      </c>
      <c r="E666" s="18">
        <f t="shared" si="853"/>
        <v>11.21</v>
      </c>
      <c r="F666">
        <f t="shared" si="854"/>
        <v>2</v>
      </c>
      <c r="G666" s="18">
        <f>ROUND(INDEX(Valuation!U:U,MATCH(A666,Valuation!A:A,0)),2)</f>
        <v>175.43</v>
      </c>
      <c r="H666">
        <f t="shared" si="825"/>
        <v>2</v>
      </c>
      <c r="I666" s="18">
        <f>INDEX(WeeklyIndicators!Y:Y,MATCH(A666,WeeklyIndicators!A:A,0))</f>
        <v>164.81</v>
      </c>
      <c r="J666">
        <f t="shared" si="850"/>
        <v>2</v>
      </c>
      <c r="K666">
        <f>ROUND(INDEX(Economic!AF:AF,MATCH(EOMONTH($A666,-1),Economic!A:A,0)),2)</f>
        <v>97.37</v>
      </c>
      <c r="L666" s="11">
        <f t="shared" si="859"/>
        <v>-1</v>
      </c>
      <c r="M666">
        <f>ROUND(INDEX(Manufacturing!P:P,MATCH(EOMONTH($A666,-1),Manufacturing!A:A,0)),2)</f>
        <v>97.7</v>
      </c>
      <c r="N666">
        <f t="shared" si="855"/>
        <v>1</v>
      </c>
      <c r="O666">
        <f>ROUND(INDEX(Housing!AC:AC,MATCH(EOMONTH($A666,-1),Housing!B:B,0)),2)</f>
        <v>132.41999999999999</v>
      </c>
      <c r="P666">
        <f t="shared" si="856"/>
        <v>2</v>
      </c>
      <c r="Q666">
        <f>ROUND(INDEX(Spending!AJ:AJ,MATCH(EOMONTH($A666,-1),Spending!B:B,0)),2)</f>
        <v>69.48</v>
      </c>
      <c r="R666">
        <f t="shared" si="860"/>
        <v>2</v>
      </c>
      <c r="S666">
        <f>ROUND(INDEX(Employment!V:V,MATCH(EOMONTH($A666,-1),Employment!A:A,0)),2)</f>
        <v>154.78</v>
      </c>
      <c r="T666" s="11">
        <f t="shared" si="857"/>
        <v>0</v>
      </c>
      <c r="U666">
        <f t="shared" si="849"/>
        <v>30</v>
      </c>
      <c r="V666">
        <f t="shared" si="841"/>
        <v>78.22</v>
      </c>
      <c r="W666" s="13">
        <f t="shared" si="842"/>
        <v>1.4E-2</v>
      </c>
      <c r="X666" s="13">
        <f t="shared" si="843"/>
        <v>5.9500000000000004E-2</v>
      </c>
      <c r="Y666">
        <f t="shared" si="835"/>
        <v>88.17</v>
      </c>
      <c r="Z666" s="13">
        <f t="shared" si="830"/>
        <v>1.49E-2</v>
      </c>
      <c r="AA666" s="13">
        <f t="shared" si="826"/>
        <v>6.3200000000000006E-2</v>
      </c>
      <c r="AB666" s="6">
        <f t="shared" si="836"/>
        <v>105.65300000000001</v>
      </c>
      <c r="AC666">
        <f t="shared" si="828"/>
        <v>53</v>
      </c>
      <c r="AD666" s="11">
        <f t="shared" si="829"/>
        <v>2</v>
      </c>
      <c r="AE666">
        <f t="shared" si="827"/>
        <v>34</v>
      </c>
      <c r="AF666">
        <f>IF(AND(AE666&lt;15,OR(AC666&gt;=30,AA666&gt;0.15,X666&gt;=0.15)),2,VLOOKUP(AE666,Table!P:Q,2,FALSE))</f>
        <v>5</v>
      </c>
      <c r="AG666" s="22">
        <f>IF((AB666*0.98)-(D666*0.8)+((AF666-3)*3)+VLOOKUP(AM666,Table!$A$11:$B$13,2,FALSE)&lt;0,0,(AB666*0.98)-(D666*0.8)+((AF666-3)*3)+VLOOKUP(AM666,Table!$A$11:$B$13,2,FALSE))</f>
        <v>108.83593999999999</v>
      </c>
      <c r="AH666" s="22">
        <f t="shared" si="858"/>
        <v>100</v>
      </c>
      <c r="AI666" s="18">
        <f t="shared" si="851"/>
        <v>3.65</v>
      </c>
      <c r="AJ666" s="18">
        <f t="shared" si="852"/>
        <v>3.21</v>
      </c>
      <c r="AK666" t="str">
        <f t="shared" si="837"/>
        <v>Rising Rates</v>
      </c>
      <c r="AL666">
        <f t="shared" si="848"/>
        <v>33</v>
      </c>
      <c r="AM666" s="11" t="str">
        <f t="shared" si="838"/>
        <v>Stocks</v>
      </c>
      <c r="AN666" t="str">
        <f t="shared" si="844"/>
        <v>Buy</v>
      </c>
      <c r="AO666" s="13">
        <f t="shared" si="845"/>
        <v>-2.5000000000000001E-3</v>
      </c>
      <c r="AP666" s="13">
        <f t="shared" si="846"/>
        <v>6.9999999999999999E-4</v>
      </c>
      <c r="AQ666" s="13">
        <f t="shared" si="847"/>
        <v>-2.5000000000000001E-3</v>
      </c>
      <c r="AR666" s="13">
        <f t="shared" si="839"/>
        <v>-2.5000000000000001E-3</v>
      </c>
      <c r="AS666" s="6">
        <f t="shared" si="831"/>
        <v>315.81657783571529</v>
      </c>
      <c r="AT666" s="6">
        <f t="shared" si="832"/>
        <v>166.69280210776338</v>
      </c>
      <c r="AU666" s="6">
        <f t="shared" si="833"/>
        <v>363.20731336755279</v>
      </c>
      <c r="AV666" s="6">
        <f t="shared" si="834"/>
        <v>447.04507384261166</v>
      </c>
      <c r="AW666" s="58">
        <f t="shared" si="840"/>
        <v>2005</v>
      </c>
      <c r="AX666" s="58">
        <f>COUNTIF(AW$3:AW666,AW666)</f>
        <v>5</v>
      </c>
    </row>
    <row r="667" spans="1:50" x14ac:dyDescent="0.25">
      <c r="A667" s="5">
        <v>38676</v>
      </c>
      <c r="B667">
        <v>1248.27</v>
      </c>
      <c r="C667">
        <v>3.92</v>
      </c>
      <c r="D667" s="6">
        <v>11.12</v>
      </c>
      <c r="E667" s="18">
        <f t="shared" si="853"/>
        <v>11.97</v>
      </c>
      <c r="F667">
        <f t="shared" si="854"/>
        <v>2</v>
      </c>
      <c r="G667" s="18">
        <f>ROUND(INDEX(Valuation!U:U,MATCH(A667,Valuation!A:A,0)),2)</f>
        <v>179.4</v>
      </c>
      <c r="H667">
        <f t="shared" si="825"/>
        <v>2</v>
      </c>
      <c r="I667" s="18">
        <f>INDEX(WeeklyIndicators!Y:Y,MATCH(A667,WeeklyIndicators!A:A,0))</f>
        <v>161.44999999999999</v>
      </c>
      <c r="J667">
        <f t="shared" si="850"/>
        <v>2</v>
      </c>
      <c r="K667">
        <f>ROUND(INDEX(Economic!AF:AF,MATCH(EOMONTH($A667,-1),Economic!A:A,0)),2)</f>
        <v>97.37</v>
      </c>
      <c r="L667" s="11">
        <f t="shared" si="859"/>
        <v>-1</v>
      </c>
      <c r="M667">
        <f>ROUND(INDEX(Manufacturing!P:P,MATCH(EOMONTH($A667,-1),Manufacturing!A:A,0)),2)</f>
        <v>97.7</v>
      </c>
      <c r="N667">
        <f t="shared" si="855"/>
        <v>1</v>
      </c>
      <c r="O667">
        <f>ROUND(INDEX(Housing!AC:AC,MATCH(EOMONTH($A667,-1),Housing!B:B,0)),2)</f>
        <v>132.41999999999999</v>
      </c>
      <c r="P667">
        <f t="shared" si="856"/>
        <v>2</v>
      </c>
      <c r="Q667">
        <f>ROUND(INDEX(Spending!AJ:AJ,MATCH(EOMONTH($A667,-1),Spending!B:B,0)),2)</f>
        <v>69.48</v>
      </c>
      <c r="R667">
        <f t="shared" si="860"/>
        <v>2</v>
      </c>
      <c r="S667">
        <f>ROUND(INDEX(Employment!V:V,MATCH(EOMONTH($A667,-1),Employment!A:A,0)),2)</f>
        <v>154.78</v>
      </c>
      <c r="T667" s="11">
        <f t="shared" si="857"/>
        <v>0</v>
      </c>
      <c r="U667">
        <f t="shared" si="849"/>
        <v>30</v>
      </c>
      <c r="V667">
        <f t="shared" si="841"/>
        <v>77.87</v>
      </c>
      <c r="W667" s="13">
        <f t="shared" si="842"/>
        <v>1.29E-2</v>
      </c>
      <c r="X667" s="13">
        <f t="shared" si="843"/>
        <v>5.6599999999999998E-2</v>
      </c>
      <c r="Y667">
        <f t="shared" si="835"/>
        <v>88</v>
      </c>
      <c r="Z667" s="13">
        <f t="shared" si="830"/>
        <v>1.6E-2</v>
      </c>
      <c r="AA667" s="13">
        <f t="shared" si="826"/>
        <v>5.5999999999999994E-2</v>
      </c>
      <c r="AB667" s="6">
        <f t="shared" si="836"/>
        <v>105.35</v>
      </c>
      <c r="AC667">
        <f t="shared" si="828"/>
        <v>53</v>
      </c>
      <c r="AD667" s="11">
        <f t="shared" si="829"/>
        <v>2</v>
      </c>
      <c r="AE667">
        <f t="shared" si="827"/>
        <v>34</v>
      </c>
      <c r="AF667">
        <f>IF(AND(AE667&lt;15,OR(AC667&gt;=30,AA667&gt;0.15,X667&gt;=0.15)),2,VLOOKUP(AE667,Table!P:Q,2,FALSE))</f>
        <v>5</v>
      </c>
      <c r="AG667" s="22">
        <f>IF((AB667*0.98)-(D667*0.8)+((AF667-3)*3)+VLOOKUP(AM667,Table!$A$11:$B$13,2,FALSE)&lt;0,0,(AB667*0.98)-(D667*0.8)+((AF667-3)*3)+VLOOKUP(AM667,Table!$A$11:$B$13,2,FALSE))</f>
        <v>108.34699999999999</v>
      </c>
      <c r="AH667" s="22">
        <f t="shared" si="858"/>
        <v>100</v>
      </c>
      <c r="AI667" s="18">
        <f t="shared" si="851"/>
        <v>3.62</v>
      </c>
      <c r="AJ667" s="18">
        <f t="shared" si="852"/>
        <v>3.18</v>
      </c>
      <c r="AK667" t="str">
        <f t="shared" si="837"/>
        <v>Rising Rates</v>
      </c>
      <c r="AL667">
        <f t="shared" si="848"/>
        <v>32.5</v>
      </c>
      <c r="AM667" s="11" t="str">
        <f t="shared" si="838"/>
        <v>Stocks</v>
      </c>
      <c r="AN667" t="str">
        <f t="shared" si="844"/>
        <v>Buy</v>
      </c>
      <c r="AO667" s="13">
        <f t="shared" si="845"/>
        <v>1.6E-2</v>
      </c>
      <c r="AP667" s="13">
        <f t="shared" si="846"/>
        <v>8.0000000000000004E-4</v>
      </c>
      <c r="AQ667" s="13">
        <f t="shared" si="847"/>
        <v>1.6E-2</v>
      </c>
      <c r="AR667" s="13">
        <f t="shared" si="839"/>
        <v>1.6E-2</v>
      </c>
      <c r="AS667" s="6">
        <f t="shared" si="831"/>
        <v>310.8430884209796</v>
      </c>
      <c r="AT667" s="6">
        <f t="shared" si="832"/>
        <v>166.55955446419205</v>
      </c>
      <c r="AU667" s="6">
        <f t="shared" si="833"/>
        <v>357.48751315704015</v>
      </c>
      <c r="AV667" s="6">
        <f t="shared" si="834"/>
        <v>440.00499393957841</v>
      </c>
      <c r="AW667" s="58">
        <f t="shared" si="840"/>
        <v>2005</v>
      </c>
      <c r="AX667" s="58">
        <f>COUNTIF(AW$3:AW667,AW667)</f>
        <v>6</v>
      </c>
    </row>
    <row r="668" spans="1:50" x14ac:dyDescent="0.25">
      <c r="A668" s="5">
        <v>38669</v>
      </c>
      <c r="B668">
        <v>1234.72</v>
      </c>
      <c r="C668">
        <v>3.88</v>
      </c>
      <c r="D668" s="6">
        <v>11.63</v>
      </c>
      <c r="E668" s="18">
        <f t="shared" si="853"/>
        <v>13.02</v>
      </c>
      <c r="F668">
        <f t="shared" si="854"/>
        <v>2</v>
      </c>
      <c r="G668" s="18">
        <f>ROUND(INDEX(Valuation!U:U,MATCH(A668,Valuation!A:A,0)),2)</f>
        <v>180.01</v>
      </c>
      <c r="H668">
        <f t="shared" ref="H668:H731" si="861">IF(G668&gt;200,3,IF(AND(G668&gt;160,G668&lt;=200),2,IF(AND(G668&gt;120,G668&lt;=160),1,IF(G668&lt;25,-3,IF(AND(G668&lt;50,G668&gt;=25),-2,IF(AND(G668&lt;90,G668&gt;=50),-1,0))))))</f>
        <v>2</v>
      </c>
      <c r="I668" s="18">
        <f>INDEX(WeeklyIndicators!Y:Y,MATCH(A668,WeeklyIndicators!A:A,0))</f>
        <v>151.72</v>
      </c>
      <c r="J668">
        <f t="shared" si="850"/>
        <v>1</v>
      </c>
      <c r="K668">
        <f>ROUND(INDEX(Economic!AF:AF,MATCH(EOMONTH($A668,-1),Economic!A:A,0)),2)</f>
        <v>97.37</v>
      </c>
      <c r="L668" s="11">
        <f t="shared" si="859"/>
        <v>-1</v>
      </c>
      <c r="M668">
        <f>ROUND(INDEX(Manufacturing!P:P,MATCH(EOMONTH($A668,-1),Manufacturing!A:A,0)),2)</f>
        <v>97.7</v>
      </c>
      <c r="N668">
        <f t="shared" si="855"/>
        <v>1</v>
      </c>
      <c r="O668">
        <f>ROUND(INDEX(Housing!AC:AC,MATCH(EOMONTH($A668,-1),Housing!B:B,0)),2)</f>
        <v>132.41999999999999</v>
      </c>
      <c r="P668">
        <f t="shared" si="856"/>
        <v>2</v>
      </c>
      <c r="Q668">
        <f>ROUND(INDEX(Spending!AJ:AJ,MATCH(EOMONTH($A668,-1),Spending!B:B,0)),2)</f>
        <v>69.48</v>
      </c>
      <c r="R668">
        <f t="shared" si="860"/>
        <v>2</v>
      </c>
      <c r="S668">
        <f>ROUND(INDEX(Employment!V:V,MATCH(EOMONTH($A668,-1),Employment!A:A,0)),2)</f>
        <v>154.78</v>
      </c>
      <c r="T668" s="11">
        <f t="shared" si="857"/>
        <v>0</v>
      </c>
      <c r="U668">
        <f t="shared" si="849"/>
        <v>29</v>
      </c>
      <c r="V668">
        <f t="shared" si="841"/>
        <v>76.86</v>
      </c>
      <c r="W668" s="13">
        <f t="shared" si="842"/>
        <v>1.83E-2</v>
      </c>
      <c r="X668" s="13">
        <f t="shared" si="843"/>
        <v>3.7100000000000001E-2</v>
      </c>
      <c r="Y668">
        <f t="shared" si="835"/>
        <v>86.69</v>
      </c>
      <c r="Z668" s="13">
        <f t="shared" si="830"/>
        <v>1.9800000000000002E-2</v>
      </c>
      <c r="AA668" s="13">
        <f t="shared" si="826"/>
        <v>3.0499999999999999E-2</v>
      </c>
      <c r="AB668" s="6">
        <f t="shared" si="836"/>
        <v>102.17100000000001</v>
      </c>
      <c r="AC668">
        <f t="shared" si="828"/>
        <v>51</v>
      </c>
      <c r="AD668" s="11">
        <f t="shared" si="829"/>
        <v>2</v>
      </c>
      <c r="AE668">
        <f t="shared" si="827"/>
        <v>33</v>
      </c>
      <c r="AF668">
        <f>IF(AND(AE668&lt;15,OR(AC668&gt;=30,AA668&gt;0.15,X668&gt;=0.15)),2,VLOOKUP(AE668,Table!P:Q,2,FALSE))</f>
        <v>5</v>
      </c>
      <c r="AG668" s="22">
        <f>IF((AB668*0.98)-(D668*0.8)+((AF668-3)*3)+VLOOKUP(AM668,Table!$A$11:$B$13,2,FALSE)&lt;0,0,(AB668*0.98)-(D668*0.8)+((AF668-3)*3)+VLOOKUP(AM668,Table!$A$11:$B$13,2,FALSE))</f>
        <v>104.82358000000001</v>
      </c>
      <c r="AH668" s="22">
        <f t="shared" si="858"/>
        <v>98</v>
      </c>
      <c r="AI668" s="18">
        <f t="shared" si="851"/>
        <v>3.58</v>
      </c>
      <c r="AJ668" s="18">
        <f t="shared" si="852"/>
        <v>3.14</v>
      </c>
      <c r="AK668" t="str">
        <f t="shared" si="837"/>
        <v>Rising Rates</v>
      </c>
      <c r="AL668">
        <f t="shared" si="848"/>
        <v>31.75</v>
      </c>
      <c r="AM668" s="11" t="str">
        <f t="shared" si="838"/>
        <v>Stocks</v>
      </c>
      <c r="AN668" t="str">
        <f t="shared" si="844"/>
        <v>Buy</v>
      </c>
      <c r="AO668" s="13">
        <f t="shared" si="845"/>
        <v>1.0999999999999999E-2</v>
      </c>
      <c r="AP668" s="13">
        <f t="shared" si="846"/>
        <v>6.9999999999999999E-4</v>
      </c>
      <c r="AQ668" s="13">
        <f t="shared" si="847"/>
        <v>1.0800000000000001E-2</v>
      </c>
      <c r="AR668" s="13">
        <f t="shared" si="839"/>
        <v>1.0999999999999999E-2</v>
      </c>
      <c r="AS668" s="6">
        <f t="shared" si="831"/>
        <v>307.46101723143386</v>
      </c>
      <c r="AT668" s="6">
        <f t="shared" si="832"/>
        <v>166.44304433315884</v>
      </c>
      <c r="AU668" s="6">
        <f t="shared" si="833"/>
        <v>353.66789983878135</v>
      </c>
      <c r="AV668" s="6">
        <f t="shared" si="834"/>
        <v>435.21760033588373</v>
      </c>
      <c r="AW668" s="58">
        <f t="shared" si="840"/>
        <v>2005</v>
      </c>
      <c r="AX668" s="58">
        <f>COUNTIF(AW$3:AW668,AW668)</f>
        <v>7</v>
      </c>
    </row>
    <row r="669" spans="1:50" x14ac:dyDescent="0.25">
      <c r="A669" s="5">
        <v>38662</v>
      </c>
      <c r="B669">
        <v>1220.1400000000001</v>
      </c>
      <c r="C669">
        <v>3.87</v>
      </c>
      <c r="D669" s="6">
        <v>13.17</v>
      </c>
      <c r="E669" s="18">
        <f t="shared" si="853"/>
        <v>14.52</v>
      </c>
      <c r="F669">
        <f t="shared" si="854"/>
        <v>1</v>
      </c>
      <c r="G669" s="18">
        <f>ROUND(INDEX(Valuation!U:U,MATCH(A669,Valuation!A:A,0)),2)</f>
        <v>179.86</v>
      </c>
      <c r="H669">
        <f t="shared" si="861"/>
        <v>2</v>
      </c>
      <c r="I669" s="18">
        <f>INDEX(WeeklyIndicators!Y:Y,MATCH(A669,WeeklyIndicators!A:A,0))</f>
        <v>133.88</v>
      </c>
      <c r="J669">
        <f t="shared" si="850"/>
        <v>0</v>
      </c>
      <c r="K669">
        <f>ROUND(INDEX(Economic!AF:AF,MATCH(EOMONTH($A669,-1),Economic!A:A,0)),2)</f>
        <v>97.37</v>
      </c>
      <c r="L669" s="11">
        <f t="shared" si="859"/>
        <v>-1</v>
      </c>
      <c r="M669">
        <f>ROUND(INDEX(Manufacturing!P:P,MATCH(EOMONTH($A669,-1),Manufacturing!A:A,0)),2)</f>
        <v>97.7</v>
      </c>
      <c r="N669">
        <f t="shared" si="855"/>
        <v>1</v>
      </c>
      <c r="O669">
        <f>ROUND(INDEX(Housing!AC:AC,MATCH(EOMONTH($A669,-1),Housing!B:B,0)),2)</f>
        <v>132.41999999999999</v>
      </c>
      <c r="P669">
        <f t="shared" si="856"/>
        <v>2</v>
      </c>
      <c r="Q669">
        <f>ROUND(INDEX(Spending!AJ:AJ,MATCH(EOMONTH($A669,-1),Spending!B:B,0)),2)</f>
        <v>69.48</v>
      </c>
      <c r="R669">
        <f t="shared" si="860"/>
        <v>2</v>
      </c>
      <c r="S669">
        <f>ROUND(INDEX(Employment!V:V,MATCH(EOMONTH($A669,-1),Employment!A:A,0)),2)</f>
        <v>154.78</v>
      </c>
      <c r="T669" s="11">
        <f t="shared" si="857"/>
        <v>0</v>
      </c>
      <c r="U669">
        <f t="shared" si="849"/>
        <v>27</v>
      </c>
      <c r="V669">
        <f t="shared" si="841"/>
        <v>75.010000000000005</v>
      </c>
      <c r="W669" s="13">
        <f t="shared" si="842"/>
        <v>1.43E-2</v>
      </c>
      <c r="X669" s="13">
        <f t="shared" si="843"/>
        <v>-2.6000000000000016E-3</v>
      </c>
      <c r="Y669">
        <f t="shared" si="835"/>
        <v>84.3</v>
      </c>
      <c r="Z669" s="13">
        <f t="shared" si="830"/>
        <v>1.2500000000000001E-2</v>
      </c>
      <c r="AA669" s="13">
        <f t="shared" si="826"/>
        <v>-1.0899999999999998E-2</v>
      </c>
      <c r="AB669" s="6">
        <f t="shared" si="836"/>
        <v>96.52600000000001</v>
      </c>
      <c r="AC669">
        <f t="shared" si="828"/>
        <v>48</v>
      </c>
      <c r="AD669" s="11">
        <f t="shared" si="829"/>
        <v>2</v>
      </c>
      <c r="AE669">
        <f t="shared" si="827"/>
        <v>31</v>
      </c>
      <c r="AF669">
        <f>IF(AND(AE669&lt;15,OR(AC669&gt;=30,AA669&gt;0.15,X669&gt;=0.15)),2,VLOOKUP(AE669,Table!P:Q,2,FALSE))</f>
        <v>4</v>
      </c>
      <c r="AG669" s="22">
        <f>IF((AB669*0.98)-(D669*0.8)+((AF669-3)*3)+VLOOKUP(AM669,Table!$A$11:$B$13,2,FALSE)&lt;0,0,(AB669*0.98)-(D669*0.8)+((AF669-3)*3)+VLOOKUP(AM669,Table!$A$11:$B$13,2,FALSE))</f>
        <v>95.059480000000008</v>
      </c>
      <c r="AH669" s="22">
        <f t="shared" si="858"/>
        <v>91</v>
      </c>
      <c r="AI669" s="18">
        <f t="shared" si="851"/>
        <v>3.55</v>
      </c>
      <c r="AJ669" s="18">
        <f t="shared" si="852"/>
        <v>3.11</v>
      </c>
      <c r="AK669" t="str">
        <f t="shared" si="837"/>
        <v>Rising Rates</v>
      </c>
      <c r="AL669">
        <f t="shared" si="848"/>
        <v>31.5</v>
      </c>
      <c r="AM669" s="11" t="str">
        <f t="shared" si="838"/>
        <v>Stocks</v>
      </c>
      <c r="AN669" t="str">
        <f t="shared" si="844"/>
        <v>Buy</v>
      </c>
      <c r="AO669" s="13">
        <f t="shared" si="845"/>
        <v>1.1900000000000001E-2</v>
      </c>
      <c r="AP669" s="13">
        <f t="shared" si="846"/>
        <v>6.9999999999999999E-4</v>
      </c>
      <c r="AQ669" s="13">
        <f t="shared" si="847"/>
        <v>1.09E-2</v>
      </c>
      <c r="AR669" s="13">
        <f t="shared" si="839"/>
        <v>1.1900000000000001E-2</v>
      </c>
      <c r="AS669" s="6">
        <f t="shared" si="831"/>
        <v>303.84525865345768</v>
      </c>
      <c r="AT669" s="6">
        <f t="shared" si="832"/>
        <v>166.32661570216735</v>
      </c>
      <c r="AU669" s="6">
        <f t="shared" si="833"/>
        <v>349.85448594201341</v>
      </c>
      <c r="AV669" s="6">
        <f t="shared" si="834"/>
        <v>430.09941727036636</v>
      </c>
      <c r="AW669" s="58">
        <f t="shared" si="840"/>
        <v>2005</v>
      </c>
      <c r="AX669" s="58">
        <f>COUNTIF(AW$3:AW669,AW669)</f>
        <v>8</v>
      </c>
    </row>
    <row r="670" spans="1:50" x14ac:dyDescent="0.25">
      <c r="A670" s="5">
        <v>38655</v>
      </c>
      <c r="B670">
        <v>1198.4100000000001</v>
      </c>
      <c r="C670">
        <v>3.82</v>
      </c>
      <c r="D670" s="6">
        <v>14.25</v>
      </c>
      <c r="E670" s="18">
        <f t="shared" si="853"/>
        <v>15.08</v>
      </c>
      <c r="F670">
        <f t="shared" si="854"/>
        <v>1</v>
      </c>
      <c r="G670" s="18">
        <f>ROUND(INDEX(Valuation!U:U,MATCH(A670,Valuation!A:A,0)),2)</f>
        <v>178.74</v>
      </c>
      <c r="H670">
        <f t="shared" si="861"/>
        <v>2</v>
      </c>
      <c r="I670" s="18">
        <f>INDEX(WeeklyIndicators!Y:Y,MATCH(A670,WeeklyIndicators!A:A,0))</f>
        <v>110.12</v>
      </c>
      <c r="J670">
        <f t="shared" si="850"/>
        <v>-1</v>
      </c>
      <c r="K670">
        <f>ROUND(INDEX(Economic!AF:AF,MATCH(EOMONTH($A670,-1),Economic!A:A,0)),2)</f>
        <v>113.75</v>
      </c>
      <c r="L670" s="11">
        <f t="shared" si="859"/>
        <v>1</v>
      </c>
      <c r="M670">
        <f>ROUND(INDEX(Manufacturing!P:P,MATCH(EOMONTH($A670,-1),Manufacturing!A:A,0)),2)</f>
        <v>95.44</v>
      </c>
      <c r="N670">
        <f t="shared" si="855"/>
        <v>1</v>
      </c>
      <c r="O670">
        <f>ROUND(INDEX(Housing!AC:AC,MATCH(EOMONTH($A670,-1),Housing!B:B,0)),2)</f>
        <v>133.51</v>
      </c>
      <c r="P670">
        <f t="shared" si="856"/>
        <v>2</v>
      </c>
      <c r="Q670">
        <f>ROUND(INDEX(Spending!AJ:AJ,MATCH(EOMONTH($A670,-1),Spending!B:B,0)),2)</f>
        <v>66.16</v>
      </c>
      <c r="R670">
        <f t="shared" si="860"/>
        <v>2</v>
      </c>
      <c r="S670">
        <f>ROUND(INDEX(Employment!V:V,MATCH(EOMONTH($A670,-1),Employment!A:A,0)),2)</f>
        <v>162.13</v>
      </c>
      <c r="T670" s="11">
        <f t="shared" si="857"/>
        <v>1</v>
      </c>
      <c r="U670">
        <f t="shared" si="849"/>
        <v>29</v>
      </c>
      <c r="V670">
        <f t="shared" si="841"/>
        <v>74.94</v>
      </c>
      <c r="W670" s="13">
        <f t="shared" si="842"/>
        <v>1.11E-2</v>
      </c>
      <c r="X670" s="13">
        <f t="shared" si="843"/>
        <v>-4.0599999999999997E-2</v>
      </c>
      <c r="Y670">
        <f t="shared" si="835"/>
        <v>83.92</v>
      </c>
      <c r="Z670" s="13">
        <f t="shared" si="830"/>
        <v>7.7000000000000002E-3</v>
      </c>
      <c r="AA670" s="13">
        <f t="shared" si="826"/>
        <v>-4.7100000000000003E-2</v>
      </c>
      <c r="AB670" s="6">
        <f t="shared" si="836"/>
        <v>93.233999999999995</v>
      </c>
      <c r="AC670">
        <f t="shared" si="828"/>
        <v>47</v>
      </c>
      <c r="AD670" s="11">
        <f t="shared" si="829"/>
        <v>1</v>
      </c>
      <c r="AE670">
        <f t="shared" si="827"/>
        <v>32</v>
      </c>
      <c r="AF670">
        <f>IF(AND(AE670&lt;15,OR(AC670&gt;=30,AA670&gt;0.15,X670&gt;=0.15)),2,VLOOKUP(AE670,Table!P:Q,2,FALSE))</f>
        <v>5</v>
      </c>
      <c r="AG670" s="22">
        <f>IF((AB670*0.98)-(D670*0.8)+((AF670-3)*3)+VLOOKUP(AM670,Table!$A$11:$B$13,2,FALSE)&lt;0,0,(AB670*0.98)-(D670*0.8)+((AF670-3)*3)+VLOOKUP(AM670,Table!$A$11:$B$13,2,FALSE))</f>
        <v>93.969319999999982</v>
      </c>
      <c r="AH670" s="22">
        <f t="shared" si="858"/>
        <v>89</v>
      </c>
      <c r="AI670" s="18">
        <f t="shared" si="851"/>
        <v>3.51</v>
      </c>
      <c r="AJ670" s="18">
        <f t="shared" si="852"/>
        <v>3.07</v>
      </c>
      <c r="AK670" t="str">
        <f t="shared" si="837"/>
        <v>Rising Rates</v>
      </c>
      <c r="AL670">
        <f t="shared" si="848"/>
        <v>31.75</v>
      </c>
      <c r="AM670" s="11" t="str">
        <f t="shared" si="838"/>
        <v>Stocks</v>
      </c>
      <c r="AN670" t="str">
        <f t="shared" si="844"/>
        <v>Buy</v>
      </c>
      <c r="AO670" s="13">
        <f t="shared" si="845"/>
        <v>1.8100000000000002E-2</v>
      </c>
      <c r="AP670" s="13">
        <f t="shared" si="846"/>
        <v>6.9999999999999999E-4</v>
      </c>
      <c r="AQ670" s="13">
        <f t="shared" si="847"/>
        <v>1.6199999999999999E-2</v>
      </c>
      <c r="AR670" s="13">
        <f t="shared" si="839"/>
        <v>1.8100000000000002E-2</v>
      </c>
      <c r="AS670" s="6">
        <f t="shared" si="831"/>
        <v>298.44343252475954</v>
      </c>
      <c r="AT670" s="6">
        <f t="shared" si="832"/>
        <v>166.2102685142074</v>
      </c>
      <c r="AU670" s="6">
        <f t="shared" si="833"/>
        <v>344.27719537690751</v>
      </c>
      <c r="AV670" s="6">
        <f t="shared" si="834"/>
        <v>422.45301765088533</v>
      </c>
      <c r="AW670" s="58">
        <f t="shared" si="840"/>
        <v>2005</v>
      </c>
      <c r="AX670" s="58">
        <f>COUNTIF(AW$3:AW670,AW670)</f>
        <v>9</v>
      </c>
    </row>
    <row r="671" spans="1:50" x14ac:dyDescent="0.25">
      <c r="A671" s="5">
        <v>38648</v>
      </c>
      <c r="B671">
        <v>1179.5899999999999</v>
      </c>
      <c r="C671">
        <v>3.77</v>
      </c>
      <c r="D671" s="6">
        <v>16.13</v>
      </c>
      <c r="E671" s="18">
        <f t="shared" si="853"/>
        <v>15.2</v>
      </c>
      <c r="F671">
        <f t="shared" si="854"/>
        <v>1</v>
      </c>
      <c r="G671" s="18">
        <f>ROUND(INDEX(Valuation!U:U,MATCH(A671,Valuation!A:A,0)),2)</f>
        <v>178.96</v>
      </c>
      <c r="H671">
        <f t="shared" si="861"/>
        <v>2</v>
      </c>
      <c r="I671" s="18">
        <f>INDEX(WeeklyIndicators!Y:Y,MATCH(A671,WeeklyIndicators!A:A,0))</f>
        <v>89.26</v>
      </c>
      <c r="J671">
        <f t="shared" si="850"/>
        <v>-2</v>
      </c>
      <c r="K671">
        <f>ROUND(INDEX(Economic!AF:AF,MATCH(EOMONTH($A671,-1),Economic!A:A,0)),2)</f>
        <v>113.75</v>
      </c>
      <c r="L671" s="11">
        <f t="shared" si="859"/>
        <v>1</v>
      </c>
      <c r="M671">
        <f>ROUND(INDEX(Manufacturing!P:P,MATCH(EOMONTH($A671,-1),Manufacturing!A:A,0)),2)</f>
        <v>95.44</v>
      </c>
      <c r="N671">
        <f t="shared" si="855"/>
        <v>1</v>
      </c>
      <c r="O671">
        <f>ROUND(INDEX(Housing!AC:AC,MATCH(EOMONTH($A671,-1),Housing!B:B,0)),2)</f>
        <v>133.51</v>
      </c>
      <c r="P671">
        <f t="shared" si="856"/>
        <v>2</v>
      </c>
      <c r="Q671">
        <f>ROUND(INDEX(Spending!AJ:AJ,MATCH(EOMONTH($A671,-1),Spending!B:B,0)),2)</f>
        <v>66.16</v>
      </c>
      <c r="R671">
        <f t="shared" si="860"/>
        <v>2</v>
      </c>
      <c r="S671">
        <f>ROUND(INDEX(Employment!V:V,MATCH(EOMONTH($A671,-1),Employment!A:A,0)),2)</f>
        <v>162.13</v>
      </c>
      <c r="T671" s="11">
        <f t="shared" si="857"/>
        <v>1</v>
      </c>
      <c r="U671">
        <f t="shared" si="849"/>
        <v>28</v>
      </c>
      <c r="V671">
        <f t="shared" si="841"/>
        <v>72.78</v>
      </c>
      <c r="W671" s="13">
        <f t="shared" si="842"/>
        <v>-6.6E-3</v>
      </c>
      <c r="X671" s="13">
        <f t="shared" si="843"/>
        <v>-7.0800000000000002E-2</v>
      </c>
      <c r="Y671">
        <f t="shared" si="835"/>
        <v>81.739999999999995</v>
      </c>
      <c r="Z671" s="13">
        <f t="shared" si="830"/>
        <v>-9.4999999999999998E-3</v>
      </c>
      <c r="AA671" s="13">
        <f t="shared" si="826"/>
        <v>-7.2599999999999998E-2</v>
      </c>
      <c r="AB671" s="6">
        <f t="shared" si="836"/>
        <v>88.986000000000004</v>
      </c>
      <c r="AC671">
        <f t="shared" si="828"/>
        <v>44</v>
      </c>
      <c r="AD671" s="11">
        <f t="shared" si="829"/>
        <v>1</v>
      </c>
      <c r="AE671">
        <f t="shared" si="827"/>
        <v>31</v>
      </c>
      <c r="AF671">
        <f>IF(AND(AE671&lt;15,OR(AC671&gt;=30,AA671&gt;0.15,X671&gt;=0.15)),2,VLOOKUP(AE671,Table!P:Q,2,FALSE))</f>
        <v>4</v>
      </c>
      <c r="AG671" s="22">
        <f>IF((AB671*0.98)-(D671*0.8)+((AF671-3)*3)+VLOOKUP(AM671,Table!$A$11:$B$13,2,FALSE)&lt;0,0,(AB671*0.98)-(D671*0.8)+((AF671-3)*3)+VLOOKUP(AM671,Table!$A$11:$B$13,2,FALSE))</f>
        <v>85.30228000000001</v>
      </c>
      <c r="AH671" s="22">
        <f t="shared" si="858"/>
        <v>88</v>
      </c>
      <c r="AI671" s="18">
        <f t="shared" si="851"/>
        <v>3.48</v>
      </c>
      <c r="AJ671" s="18">
        <f t="shared" si="852"/>
        <v>3.03</v>
      </c>
      <c r="AK671" t="str">
        <f t="shared" si="837"/>
        <v>Rising Rates</v>
      </c>
      <c r="AL671">
        <f t="shared" si="848"/>
        <v>32</v>
      </c>
      <c r="AM671" s="11" t="str">
        <f t="shared" si="838"/>
        <v>Stocks</v>
      </c>
      <c r="AN671" t="str">
        <f t="shared" si="844"/>
        <v>Buy</v>
      </c>
      <c r="AO671" s="13">
        <f t="shared" si="845"/>
        <v>1.6E-2</v>
      </c>
      <c r="AP671" s="13">
        <f t="shared" si="846"/>
        <v>6.9999999999999999E-4</v>
      </c>
      <c r="AQ671" s="13">
        <f t="shared" si="847"/>
        <v>1.4200000000000001E-2</v>
      </c>
      <c r="AR671" s="13">
        <f t="shared" si="839"/>
        <v>1.6E-2</v>
      </c>
      <c r="AS671" s="6">
        <f t="shared" si="831"/>
        <v>293.74353594956648</v>
      </c>
      <c r="AT671" s="6">
        <f t="shared" si="832"/>
        <v>166.09400271230879</v>
      </c>
      <c r="AU671" s="6">
        <f t="shared" si="833"/>
        <v>339.45690729334206</v>
      </c>
      <c r="AV671" s="6">
        <f t="shared" si="834"/>
        <v>415.80021422331231</v>
      </c>
      <c r="AW671" s="58">
        <f t="shared" si="840"/>
        <v>2005</v>
      </c>
      <c r="AX671" s="58">
        <f>COUNTIF(AW$3:AW671,AW671)</f>
        <v>10</v>
      </c>
    </row>
    <row r="672" spans="1:50" x14ac:dyDescent="0.25">
      <c r="A672" s="5">
        <v>38641</v>
      </c>
      <c r="B672">
        <v>1186.57</v>
      </c>
      <c r="C672">
        <v>3.66</v>
      </c>
      <c r="D672" s="6">
        <v>14.87</v>
      </c>
      <c r="E672" s="18">
        <f t="shared" si="853"/>
        <v>13.79</v>
      </c>
      <c r="F672">
        <f t="shared" si="854"/>
        <v>2</v>
      </c>
      <c r="G672" s="18">
        <f>ROUND(INDEX(Valuation!U:U,MATCH(A672,Valuation!A:A,0)),2)</f>
        <v>178</v>
      </c>
      <c r="H672">
        <f t="shared" si="861"/>
        <v>2</v>
      </c>
      <c r="I672" s="18">
        <f>INDEX(WeeklyIndicators!Y:Y,MATCH(A672,WeeklyIndicators!A:A,0))</f>
        <v>80.58</v>
      </c>
      <c r="J672">
        <f t="shared" si="850"/>
        <v>-2</v>
      </c>
      <c r="K672">
        <f>ROUND(INDEX(Economic!AF:AF,MATCH(EOMONTH($A672,-1),Economic!A:A,0)),2)</f>
        <v>113.75</v>
      </c>
      <c r="L672" s="11">
        <f t="shared" si="859"/>
        <v>1</v>
      </c>
      <c r="M672">
        <f>ROUND(INDEX(Manufacturing!P:P,MATCH(EOMONTH($A672,-1),Manufacturing!A:A,0)),2)</f>
        <v>95.44</v>
      </c>
      <c r="N672">
        <f t="shared" si="855"/>
        <v>1</v>
      </c>
      <c r="O672">
        <f>ROUND(INDEX(Housing!AC:AC,MATCH(EOMONTH($A672,-1),Housing!B:B,0)),2)</f>
        <v>133.51</v>
      </c>
      <c r="P672">
        <f t="shared" si="856"/>
        <v>2</v>
      </c>
      <c r="Q672">
        <f>ROUND(INDEX(Spending!AJ:AJ,MATCH(EOMONTH($A672,-1),Spending!B:B,0)),2)</f>
        <v>66.16</v>
      </c>
      <c r="R672">
        <f t="shared" si="860"/>
        <v>2</v>
      </c>
      <c r="S672">
        <f>ROUND(INDEX(Employment!V:V,MATCH(EOMONTH($A672,-1),Employment!A:A,0)),2)</f>
        <v>162.13</v>
      </c>
      <c r="T672" s="11">
        <f t="shared" si="857"/>
        <v>1</v>
      </c>
      <c r="U672">
        <f t="shared" si="849"/>
        <v>29</v>
      </c>
      <c r="V672">
        <f t="shared" si="841"/>
        <v>71.88</v>
      </c>
      <c r="W672" s="13">
        <f t="shared" si="842"/>
        <v>-2.1399999999999999E-2</v>
      </c>
      <c r="X672" s="13">
        <f t="shared" si="843"/>
        <v>-7.4500000000000011E-2</v>
      </c>
      <c r="Y672">
        <f t="shared" si="835"/>
        <v>81.22</v>
      </c>
      <c r="Z672" s="13">
        <f t="shared" si="830"/>
        <v>-2.1600000000000001E-2</v>
      </c>
      <c r="AA672" s="13">
        <f t="shared" si="826"/>
        <v>-7.2099999999999997E-2</v>
      </c>
      <c r="AB672" s="6">
        <f t="shared" si="836"/>
        <v>88.34</v>
      </c>
      <c r="AC672">
        <f t="shared" si="828"/>
        <v>44</v>
      </c>
      <c r="AD672" s="11">
        <f t="shared" si="829"/>
        <v>1</v>
      </c>
      <c r="AE672">
        <f t="shared" si="827"/>
        <v>32</v>
      </c>
      <c r="AF672">
        <f>IF(AND(AE672&lt;15,OR(AC672&gt;=30,AA672&gt;0.15,X672&gt;=0.15)),2,VLOOKUP(AE672,Table!P:Q,2,FALSE))</f>
        <v>5</v>
      </c>
      <c r="AG672" s="22">
        <f>IF((AB672*0.98)-(D672*0.8)+((AF672-3)*3)+VLOOKUP(AM672,Table!$A$11:$B$13,2,FALSE)&lt;0,0,(AB672*0.98)-(D672*0.8)+((AF672-3)*3)+VLOOKUP(AM672,Table!$A$11:$B$13,2,FALSE))</f>
        <v>88.677199999999999</v>
      </c>
      <c r="AH672" s="22">
        <f t="shared" si="858"/>
        <v>92</v>
      </c>
      <c r="AI672" s="18">
        <f t="shared" si="851"/>
        <v>3.44</v>
      </c>
      <c r="AJ672" s="18">
        <f t="shared" si="852"/>
        <v>3</v>
      </c>
      <c r="AK672" t="str">
        <f t="shared" si="837"/>
        <v>Rising Rates</v>
      </c>
      <c r="AL672">
        <f t="shared" si="848"/>
        <v>32.75</v>
      </c>
      <c r="AM672" s="11" t="str">
        <f t="shared" si="838"/>
        <v>Stocks</v>
      </c>
      <c r="AN672" t="str">
        <f t="shared" si="844"/>
        <v>Buy</v>
      </c>
      <c r="AO672" s="13">
        <f t="shared" si="845"/>
        <v>-5.8999999999999999E-3</v>
      </c>
      <c r="AP672" s="13">
        <f t="shared" si="846"/>
        <v>6.9999999999999999E-4</v>
      </c>
      <c r="AQ672" s="13">
        <f t="shared" si="847"/>
        <v>-5.4000000000000003E-3</v>
      </c>
      <c r="AR672" s="13">
        <f t="shared" si="839"/>
        <v>-5.8999999999999999E-3</v>
      </c>
      <c r="AS672" s="6">
        <f t="shared" si="831"/>
        <v>295.48690871096113</v>
      </c>
      <c r="AT672" s="6">
        <f t="shared" si="832"/>
        <v>165.97781823954114</v>
      </c>
      <c r="AU672" s="6">
        <f t="shared" si="833"/>
        <v>341.29992689859444</v>
      </c>
      <c r="AV672" s="6">
        <f t="shared" si="834"/>
        <v>418.26799539614962</v>
      </c>
      <c r="AW672" s="58">
        <f t="shared" si="840"/>
        <v>2005</v>
      </c>
      <c r="AX672" s="58">
        <f>COUNTIF(AW$3:AW672,AW672)</f>
        <v>11</v>
      </c>
    </row>
    <row r="673" spans="1:50" x14ac:dyDescent="0.25">
      <c r="A673" s="5">
        <v>38634</v>
      </c>
      <c r="B673">
        <v>1195.9000000000001</v>
      </c>
      <c r="C673">
        <v>3.53</v>
      </c>
      <c r="D673" s="6">
        <v>14.59</v>
      </c>
      <c r="E673" s="18">
        <f t="shared" si="853"/>
        <v>13.16</v>
      </c>
      <c r="F673">
        <f t="shared" si="854"/>
        <v>2</v>
      </c>
      <c r="G673" s="18">
        <f>ROUND(INDEX(Valuation!U:U,MATCH(A673,Valuation!A:A,0)),2)</f>
        <v>177.54</v>
      </c>
      <c r="H673">
        <f t="shared" si="861"/>
        <v>2</v>
      </c>
      <c r="I673" s="18">
        <f>INDEX(WeeklyIndicators!Y:Y,MATCH(A673,WeeklyIndicators!A:A,0))</f>
        <v>86.74</v>
      </c>
      <c r="J673">
        <f t="shared" si="850"/>
        <v>-2</v>
      </c>
      <c r="K673">
        <f>ROUND(INDEX(Economic!AF:AF,MATCH(EOMONTH($A673,-1),Economic!A:A,0)),2)</f>
        <v>113.75</v>
      </c>
      <c r="L673" s="11">
        <f t="shared" si="859"/>
        <v>1</v>
      </c>
      <c r="M673">
        <f>ROUND(INDEX(Manufacturing!P:P,MATCH(EOMONTH($A673,-1),Manufacturing!A:A,0)),2)</f>
        <v>95.44</v>
      </c>
      <c r="N673">
        <f t="shared" si="855"/>
        <v>1</v>
      </c>
      <c r="O673">
        <f>ROUND(INDEX(Housing!AC:AC,MATCH(EOMONTH($A673,-1),Housing!B:B,0)),2)</f>
        <v>133.51</v>
      </c>
      <c r="P673">
        <f t="shared" si="856"/>
        <v>2</v>
      </c>
      <c r="Q673">
        <f>ROUND(INDEX(Spending!AJ:AJ,MATCH(EOMONTH($A673,-1),Spending!B:B,0)),2)</f>
        <v>66.16</v>
      </c>
      <c r="R673">
        <f t="shared" si="860"/>
        <v>2</v>
      </c>
      <c r="S673">
        <f>ROUND(INDEX(Employment!V:V,MATCH(EOMONTH($A673,-1),Employment!A:A,0)),2)</f>
        <v>162.13</v>
      </c>
      <c r="T673" s="11">
        <f t="shared" si="857"/>
        <v>1</v>
      </c>
      <c r="U673">
        <f t="shared" si="849"/>
        <v>29</v>
      </c>
      <c r="V673">
        <f t="shared" si="841"/>
        <v>72.52</v>
      </c>
      <c r="W673" s="13">
        <f t="shared" si="842"/>
        <v>-2.3699999999999999E-2</v>
      </c>
      <c r="X673" s="13">
        <f t="shared" si="843"/>
        <v>-5.4399999999999997E-2</v>
      </c>
      <c r="Y673">
        <f t="shared" si="835"/>
        <v>82.03</v>
      </c>
      <c r="Z673" s="13">
        <f t="shared" si="830"/>
        <v>-2.3699999999999999E-2</v>
      </c>
      <c r="AA673" s="13">
        <f t="shared" si="826"/>
        <v>-5.1499999999999997E-2</v>
      </c>
      <c r="AB673" s="6">
        <f t="shared" si="836"/>
        <v>90.704000000000008</v>
      </c>
      <c r="AC673">
        <f t="shared" si="828"/>
        <v>45</v>
      </c>
      <c r="AD673" s="11">
        <f t="shared" si="829"/>
        <v>1</v>
      </c>
      <c r="AE673">
        <f t="shared" si="827"/>
        <v>32</v>
      </c>
      <c r="AF673">
        <f>IF(AND(AE673&lt;15,OR(AC673&gt;=30,AA673&gt;0.15,X673&gt;=0.15)),2,VLOOKUP(AE673,Table!P:Q,2,FALSE))</f>
        <v>5</v>
      </c>
      <c r="AG673" s="22">
        <f>IF((AB673*0.98)-(D673*0.8)+((AF673-3)*3)+VLOOKUP(AM673,Table!$A$11:$B$13,2,FALSE)&lt;0,0,(AB673*0.98)-(D673*0.8)+((AF673-3)*3)+VLOOKUP(AM673,Table!$A$11:$B$13,2,FALSE))</f>
        <v>91.217920000000007</v>
      </c>
      <c r="AH673" s="22">
        <f t="shared" si="858"/>
        <v>96</v>
      </c>
      <c r="AI673" s="18">
        <f t="shared" si="851"/>
        <v>3.4</v>
      </c>
      <c r="AJ673" s="18">
        <f t="shared" si="852"/>
        <v>2.96</v>
      </c>
      <c r="AK673" t="str">
        <f t="shared" si="837"/>
        <v>Rising Rates</v>
      </c>
      <c r="AL673">
        <f t="shared" si="848"/>
        <v>33.25</v>
      </c>
      <c r="AM673" s="11" t="str">
        <f t="shared" si="838"/>
        <v>Stocks</v>
      </c>
      <c r="AN673" t="str">
        <f t="shared" si="844"/>
        <v>Buy</v>
      </c>
      <c r="AO673" s="13">
        <f t="shared" si="845"/>
        <v>-7.7999999999999996E-3</v>
      </c>
      <c r="AP673" s="13">
        <f t="shared" si="846"/>
        <v>6.9999999999999999E-4</v>
      </c>
      <c r="AQ673" s="13">
        <f t="shared" si="847"/>
        <v>-7.4999999999999997E-3</v>
      </c>
      <c r="AR673" s="13">
        <f t="shared" si="839"/>
        <v>-7.7999999999999996E-3</v>
      </c>
      <c r="AS673" s="6">
        <f t="shared" si="831"/>
        <v>297.80982534868087</v>
      </c>
      <c r="AT673" s="6">
        <f t="shared" si="832"/>
        <v>165.86171503901383</v>
      </c>
      <c r="AU673" s="6">
        <f t="shared" si="833"/>
        <v>343.87901954518327</v>
      </c>
      <c r="AV673" s="6">
        <f t="shared" si="834"/>
        <v>421.55613323538563</v>
      </c>
      <c r="AW673" s="58">
        <f t="shared" si="840"/>
        <v>2005</v>
      </c>
      <c r="AX673" s="58">
        <f>COUNTIF(AW$3:AW673,AW673)</f>
        <v>12</v>
      </c>
    </row>
    <row r="674" spans="1:50" x14ac:dyDescent="0.25">
      <c r="A674" s="5">
        <v>38627</v>
      </c>
      <c r="B674">
        <v>1228.81</v>
      </c>
      <c r="C674">
        <v>3.44</v>
      </c>
      <c r="D674" s="6">
        <v>11.92</v>
      </c>
      <c r="E674" s="18">
        <f t="shared" si="853"/>
        <v>12.03</v>
      </c>
      <c r="F674">
        <f t="shared" si="854"/>
        <v>2</v>
      </c>
      <c r="G674" s="18">
        <f>ROUND(INDEX(Valuation!U:U,MATCH(A674,Valuation!A:A,0)),2)</f>
        <v>177.17</v>
      </c>
      <c r="H674">
        <f t="shared" si="861"/>
        <v>2</v>
      </c>
      <c r="I674" s="18">
        <f>INDEX(WeeklyIndicators!Y:Y,MATCH(A674,WeeklyIndicators!A:A,0))</f>
        <v>103.17</v>
      </c>
      <c r="J674">
        <f t="shared" si="850"/>
        <v>-1</v>
      </c>
      <c r="K674">
        <f>ROUND(INDEX(Economic!AF:AF,MATCH(EOMONTH($A674,-1),Economic!A:A,0)),2)</f>
        <v>113.75</v>
      </c>
      <c r="L674" s="11">
        <f t="shared" si="859"/>
        <v>1</v>
      </c>
      <c r="M674">
        <f>ROUND(INDEX(Manufacturing!P:P,MATCH(EOMONTH($A674,-1),Manufacturing!A:A,0)),2)</f>
        <v>95.44</v>
      </c>
      <c r="N674">
        <f t="shared" si="855"/>
        <v>1</v>
      </c>
      <c r="O674">
        <f>ROUND(INDEX(Housing!AC:AC,MATCH(EOMONTH($A674,-1),Housing!B:B,0)),2)</f>
        <v>133.51</v>
      </c>
      <c r="P674">
        <f t="shared" si="856"/>
        <v>2</v>
      </c>
      <c r="Q674">
        <f>ROUND(INDEX(Spending!AJ:AJ,MATCH(EOMONTH($A674,-1),Spending!B:B,0)),2)</f>
        <v>66.16</v>
      </c>
      <c r="R674">
        <f t="shared" si="860"/>
        <v>2</v>
      </c>
      <c r="S674">
        <f>ROUND(INDEX(Employment!V:V,MATCH(EOMONTH($A674,-1),Employment!A:A,0)),2)</f>
        <v>162.13</v>
      </c>
      <c r="T674" s="11">
        <f t="shared" si="857"/>
        <v>1</v>
      </c>
      <c r="U674">
        <f t="shared" si="849"/>
        <v>30</v>
      </c>
      <c r="V674">
        <f t="shared" si="841"/>
        <v>74.22</v>
      </c>
      <c r="W674" s="13">
        <f t="shared" si="842"/>
        <v>-1.9099999999999999E-2</v>
      </c>
      <c r="X674" s="13">
        <f t="shared" si="843"/>
        <v>-2.8899999999999999E-2</v>
      </c>
      <c r="Y674">
        <f t="shared" si="835"/>
        <v>84.09</v>
      </c>
      <c r="Z674" s="13">
        <f t="shared" si="830"/>
        <v>-1.78E-2</v>
      </c>
      <c r="AA674" s="13">
        <f t="shared" si="826"/>
        <v>-2.7799999999999998E-2</v>
      </c>
      <c r="AB674" s="6">
        <f t="shared" si="836"/>
        <v>94.626999999999995</v>
      </c>
      <c r="AC674">
        <f t="shared" si="828"/>
        <v>47</v>
      </c>
      <c r="AD674" s="11">
        <f t="shared" si="829"/>
        <v>1</v>
      </c>
      <c r="AE674">
        <f t="shared" si="827"/>
        <v>33</v>
      </c>
      <c r="AF674">
        <f>IF(AND(AE674&lt;15,OR(AC674&gt;=30,AA674&gt;0.15,X674&gt;=0.15)),2,VLOOKUP(AE674,Table!P:Q,2,FALSE))</f>
        <v>5</v>
      </c>
      <c r="AG674" s="22">
        <f>IF((AB674*0.98)-(D674*0.8)+((AF674-3)*3)+VLOOKUP(AM674,Table!$A$11:$B$13,2,FALSE)&lt;0,0,(AB674*0.98)-(D674*0.8)+((AF674-3)*3)+VLOOKUP(AM674,Table!$A$11:$B$13,2,FALSE))</f>
        <v>97.198459999999997</v>
      </c>
      <c r="AH674" s="22">
        <f t="shared" si="858"/>
        <v>100</v>
      </c>
      <c r="AI674" s="18">
        <f t="shared" si="851"/>
        <v>3.37</v>
      </c>
      <c r="AJ674" s="18">
        <f t="shared" si="852"/>
        <v>2.93</v>
      </c>
      <c r="AK674" t="str">
        <f t="shared" si="837"/>
        <v>Rising Rates</v>
      </c>
      <c r="AL674">
        <f t="shared" si="848"/>
        <v>34</v>
      </c>
      <c r="AM674" s="11" t="str">
        <f t="shared" si="838"/>
        <v>Stocks</v>
      </c>
      <c r="AN674" t="str">
        <f t="shared" si="844"/>
        <v>Buy</v>
      </c>
      <c r="AO674" s="13">
        <f t="shared" si="845"/>
        <v>-2.6800000000000001E-2</v>
      </c>
      <c r="AP674" s="13">
        <f t="shared" si="846"/>
        <v>6.9999999999999999E-4</v>
      </c>
      <c r="AQ674" s="13">
        <f t="shared" si="847"/>
        <v>-2.6800000000000001E-2</v>
      </c>
      <c r="AR674" s="13">
        <f t="shared" si="839"/>
        <v>-2.6800000000000001E-2</v>
      </c>
      <c r="AS674" s="6">
        <f t="shared" si="831"/>
        <v>306.01091794973377</v>
      </c>
      <c r="AT674" s="6">
        <f t="shared" si="832"/>
        <v>165.74569305387612</v>
      </c>
      <c r="AU674" s="6">
        <f t="shared" si="833"/>
        <v>353.34876648703585</v>
      </c>
      <c r="AV674" s="6">
        <f t="shared" si="834"/>
        <v>433.16495400265683</v>
      </c>
      <c r="AW674" s="58">
        <f t="shared" si="840"/>
        <v>2005</v>
      </c>
      <c r="AX674" s="58">
        <f>COUNTIF(AW$3:AW674,AW674)</f>
        <v>13</v>
      </c>
    </row>
    <row r="675" spans="1:50" x14ac:dyDescent="0.25">
      <c r="A675" s="5">
        <v>38620</v>
      </c>
      <c r="B675">
        <v>1215.29</v>
      </c>
      <c r="C675">
        <v>3.44</v>
      </c>
      <c r="D675" s="6">
        <v>12.96</v>
      </c>
      <c r="E675" s="18">
        <f t="shared" si="853"/>
        <v>12.05</v>
      </c>
      <c r="F675">
        <f t="shared" si="854"/>
        <v>2</v>
      </c>
      <c r="G675" s="18">
        <f>ROUND(INDEX(Valuation!U:U,MATCH(A675,Valuation!A:A,0)),2)</f>
        <v>178.66</v>
      </c>
      <c r="H675">
        <f t="shared" si="861"/>
        <v>2</v>
      </c>
      <c r="I675" s="18">
        <f>INDEX(WeeklyIndicators!Y:Y,MATCH(A675,WeeklyIndicators!A:A,0))</f>
        <v>120.44</v>
      </c>
      <c r="J675">
        <f t="shared" si="850"/>
        <v>0</v>
      </c>
      <c r="K675">
        <f>ROUND(INDEX(Economic!AF:AF,MATCH(EOMONTH($A675,-1),Economic!A:A,0)),2)</f>
        <v>119.87</v>
      </c>
      <c r="L675" s="11">
        <f t="shared" si="859"/>
        <v>1</v>
      </c>
      <c r="M675">
        <f>ROUND(INDEX(Manufacturing!P:P,MATCH(EOMONTH($A675,-1),Manufacturing!A:A,0)),2)</f>
        <v>88.8</v>
      </c>
      <c r="N675">
        <f t="shared" si="855"/>
        <v>0</v>
      </c>
      <c r="O675">
        <f>ROUND(INDEX(Housing!AC:AC,MATCH(EOMONTH($A675,-1),Housing!B:B,0)),2)</f>
        <v>133.11000000000001</v>
      </c>
      <c r="P675">
        <f t="shared" si="856"/>
        <v>2</v>
      </c>
      <c r="Q675">
        <f>ROUND(INDEX(Spending!AJ:AJ,MATCH(EOMONTH($A675,-1),Spending!B:B,0)),2)</f>
        <v>63.55</v>
      </c>
      <c r="R675">
        <f t="shared" si="860"/>
        <v>2</v>
      </c>
      <c r="S675">
        <f>ROUND(INDEX(Employment!V:V,MATCH(EOMONTH($A675,-1),Employment!A:A,0)),2)</f>
        <v>173.35</v>
      </c>
      <c r="T675" s="11">
        <f t="shared" si="857"/>
        <v>1</v>
      </c>
      <c r="U675">
        <f t="shared" si="849"/>
        <v>30</v>
      </c>
      <c r="V675">
        <f t="shared" si="841"/>
        <v>76.650000000000006</v>
      </c>
      <c r="W675" s="13">
        <f t="shared" si="842"/>
        <v>-1.03E-2</v>
      </c>
      <c r="X675" s="13">
        <f t="shared" si="843"/>
        <v>-6.0999999999999995E-3</v>
      </c>
      <c r="Y675">
        <f t="shared" si="835"/>
        <v>86.67</v>
      </c>
      <c r="Z675" s="13">
        <f t="shared" si="830"/>
        <v>-8.9999999999999993E-3</v>
      </c>
      <c r="AA675" s="13">
        <f t="shared" si="826"/>
        <v>-1.0899999999999998E-2</v>
      </c>
      <c r="AB675" s="6">
        <f t="shared" si="836"/>
        <v>98.796000000000006</v>
      </c>
      <c r="AC675">
        <f t="shared" si="828"/>
        <v>49</v>
      </c>
      <c r="AD675" s="11">
        <f t="shared" si="829"/>
        <v>2</v>
      </c>
      <c r="AE675">
        <f t="shared" si="827"/>
        <v>34</v>
      </c>
      <c r="AF675">
        <f>IF(AND(AE675&lt;15,OR(AC675&gt;=30,AA675&gt;0.15,X675&gt;=0.15)),2,VLOOKUP(AE675,Table!P:Q,2,FALSE))</f>
        <v>5</v>
      </c>
      <c r="AG675" s="22">
        <f>IF((AB675*0.98)-(D675*0.8)+((AF675-3)*3)+VLOOKUP(AM675,Table!$A$11:$B$13,2,FALSE)&lt;0,0,(AB675*0.98)-(D675*0.8)+((AF675-3)*3)+VLOOKUP(AM675,Table!$A$11:$B$13,2,FALSE))</f>
        <v>100.45208</v>
      </c>
      <c r="AH675" s="22">
        <f t="shared" si="858"/>
        <v>100</v>
      </c>
      <c r="AI675" s="18">
        <f t="shared" si="851"/>
        <v>3.34</v>
      </c>
      <c r="AJ675" s="18">
        <f t="shared" si="852"/>
        <v>2.9</v>
      </c>
      <c r="AK675" t="str">
        <f t="shared" si="837"/>
        <v>Rising Rates</v>
      </c>
      <c r="AL675">
        <f t="shared" si="848"/>
        <v>34.5</v>
      </c>
      <c r="AM675" s="11" t="str">
        <f t="shared" si="838"/>
        <v>Stocks</v>
      </c>
      <c r="AN675" t="str">
        <f t="shared" si="844"/>
        <v>Buy</v>
      </c>
      <c r="AO675" s="13">
        <f t="shared" si="845"/>
        <v>1.11E-2</v>
      </c>
      <c r="AP675" s="13">
        <f t="shared" si="846"/>
        <v>6.9999999999999999E-4</v>
      </c>
      <c r="AQ675" s="13">
        <f t="shared" si="847"/>
        <v>1.11E-2</v>
      </c>
      <c r="AR675" s="13">
        <f t="shared" si="839"/>
        <v>1.11E-2</v>
      </c>
      <c r="AS675" s="6">
        <f t="shared" si="831"/>
        <v>302.65148645013721</v>
      </c>
      <c r="AT675" s="6">
        <f t="shared" si="832"/>
        <v>165.62975222731703</v>
      </c>
      <c r="AU675" s="6">
        <f t="shared" si="833"/>
        <v>349.46965333501714</v>
      </c>
      <c r="AV675" s="6">
        <f t="shared" si="834"/>
        <v>428.40960736095025</v>
      </c>
      <c r="AW675" s="58">
        <f t="shared" si="840"/>
        <v>2005</v>
      </c>
      <c r="AX675" s="58">
        <f>COUNTIF(AW$3:AW675,AW675)</f>
        <v>14</v>
      </c>
    </row>
    <row r="676" spans="1:50" x14ac:dyDescent="0.25">
      <c r="A676" s="5">
        <v>38613</v>
      </c>
      <c r="B676">
        <v>1237.9100000000001</v>
      </c>
      <c r="C676">
        <v>3.4</v>
      </c>
      <c r="D676" s="6">
        <v>11.22</v>
      </c>
      <c r="E676" s="18">
        <f t="shared" si="853"/>
        <v>12.26</v>
      </c>
      <c r="F676">
        <f t="shared" si="854"/>
        <v>2</v>
      </c>
      <c r="G676" s="18">
        <f>ROUND(INDEX(Valuation!U:U,MATCH(A676,Valuation!A:A,0)),2)</f>
        <v>181</v>
      </c>
      <c r="H676">
        <f t="shared" si="861"/>
        <v>2</v>
      </c>
      <c r="I676" s="18">
        <f>INDEX(WeeklyIndicators!Y:Y,MATCH(A676,WeeklyIndicators!A:A,0))</f>
        <v>133</v>
      </c>
      <c r="J676">
        <f t="shared" si="850"/>
        <v>0</v>
      </c>
      <c r="K676">
        <f>ROUND(INDEX(Economic!AF:AF,MATCH(EOMONTH($A676,-1),Economic!A:A,0)),2)</f>
        <v>119.87</v>
      </c>
      <c r="L676" s="11">
        <f t="shared" si="859"/>
        <v>1</v>
      </c>
      <c r="M676">
        <f>ROUND(INDEX(Manufacturing!P:P,MATCH(EOMONTH($A676,-1),Manufacturing!A:A,0)),2)</f>
        <v>88.8</v>
      </c>
      <c r="N676">
        <f t="shared" si="855"/>
        <v>0</v>
      </c>
      <c r="O676">
        <f>ROUND(INDEX(Housing!AC:AC,MATCH(EOMONTH($A676,-1),Housing!B:B,0)),2)</f>
        <v>133.11000000000001</v>
      </c>
      <c r="P676">
        <f t="shared" si="856"/>
        <v>2</v>
      </c>
      <c r="Q676">
        <f>ROUND(INDEX(Spending!AJ:AJ,MATCH(EOMONTH($A676,-1),Spending!B:B,0)),2)</f>
        <v>63.55</v>
      </c>
      <c r="R676">
        <f t="shared" si="860"/>
        <v>2</v>
      </c>
      <c r="S676">
        <f>ROUND(INDEX(Employment!V:V,MATCH(EOMONTH($A676,-1),Employment!A:A,0)),2)</f>
        <v>173.35</v>
      </c>
      <c r="T676" s="11">
        <f t="shared" si="857"/>
        <v>1</v>
      </c>
      <c r="U676">
        <f t="shared" si="849"/>
        <v>30</v>
      </c>
      <c r="V676">
        <f t="shared" si="841"/>
        <v>77.95</v>
      </c>
      <c r="W676" s="13">
        <f t="shared" si="842"/>
        <v>-1.2999999999999999E-3</v>
      </c>
      <c r="X676" s="13">
        <f t="shared" si="843"/>
        <v>4.9000000000000007E-3</v>
      </c>
      <c r="Y676">
        <f t="shared" si="835"/>
        <v>88.16</v>
      </c>
      <c r="Z676" s="13">
        <f t="shared" si="830"/>
        <v>-1E-3</v>
      </c>
      <c r="AA676" s="13">
        <f t="shared" si="826"/>
        <v>-6.3999999999999994E-3</v>
      </c>
      <c r="AB676" s="6">
        <f t="shared" si="836"/>
        <v>100.97999999999999</v>
      </c>
      <c r="AC676">
        <f t="shared" si="828"/>
        <v>50</v>
      </c>
      <c r="AD676" s="11">
        <f t="shared" si="829"/>
        <v>2</v>
      </c>
      <c r="AE676">
        <f t="shared" si="827"/>
        <v>34</v>
      </c>
      <c r="AF676">
        <f>IF(AND(AE676&lt;15,OR(AC676&gt;=30,AA676&gt;0.15,X676&gt;=0.15)),2,VLOOKUP(AE676,Table!P:Q,2,FALSE))</f>
        <v>5</v>
      </c>
      <c r="AG676" s="22">
        <f>IF((AB676*0.98)-(D676*0.8)+((AF676-3)*3)+VLOOKUP(AM676,Table!$A$11:$B$13,2,FALSE)&lt;0,0,(AB676*0.98)-(D676*0.8)+((AF676-3)*3)+VLOOKUP(AM676,Table!$A$11:$B$13,2,FALSE))</f>
        <v>103.98439999999999</v>
      </c>
      <c r="AH676" s="22">
        <f t="shared" si="858"/>
        <v>100</v>
      </c>
      <c r="AI676" s="18">
        <f t="shared" si="851"/>
        <v>3.3</v>
      </c>
      <c r="AJ676" s="18">
        <f t="shared" si="852"/>
        <v>2.87</v>
      </c>
      <c r="AK676" t="str">
        <f t="shared" si="837"/>
        <v>Rising Rates</v>
      </c>
      <c r="AL676">
        <f t="shared" si="848"/>
        <v>34.5</v>
      </c>
      <c r="AM676" s="11" t="str">
        <f t="shared" si="838"/>
        <v>Stocks</v>
      </c>
      <c r="AN676" t="str">
        <f t="shared" si="844"/>
        <v>Buy</v>
      </c>
      <c r="AO676" s="13">
        <f t="shared" si="845"/>
        <v>-1.83E-2</v>
      </c>
      <c r="AP676" s="13">
        <f t="shared" si="846"/>
        <v>6.9999999999999999E-4</v>
      </c>
      <c r="AQ676" s="13">
        <f t="shared" si="847"/>
        <v>-1.83E-2</v>
      </c>
      <c r="AR676" s="13">
        <f t="shared" si="839"/>
        <v>-1.83E-2</v>
      </c>
      <c r="AS676" s="6">
        <f t="shared" si="831"/>
        <v>308.29325297966506</v>
      </c>
      <c r="AT676" s="6">
        <f t="shared" si="832"/>
        <v>165.51389250256526</v>
      </c>
      <c r="AU676" s="6">
        <f t="shared" si="833"/>
        <v>355.9841635275717</v>
      </c>
      <c r="AV676" s="6">
        <f t="shared" si="834"/>
        <v>436.39564771411858</v>
      </c>
      <c r="AW676" s="58">
        <f t="shared" si="840"/>
        <v>2005</v>
      </c>
      <c r="AX676" s="58">
        <f>COUNTIF(AW$3:AW676,AW676)</f>
        <v>15</v>
      </c>
    </row>
    <row r="677" spans="1:50" x14ac:dyDescent="0.25">
      <c r="A677" s="5">
        <v>38606</v>
      </c>
      <c r="B677">
        <v>1241.48</v>
      </c>
      <c r="C677">
        <v>3.42</v>
      </c>
      <c r="D677" s="6">
        <v>11.98</v>
      </c>
      <c r="E677" s="18">
        <f t="shared" si="853"/>
        <v>13.09</v>
      </c>
      <c r="F677">
        <f t="shared" si="854"/>
        <v>2</v>
      </c>
      <c r="G677" s="18">
        <f>ROUND(INDEX(Valuation!U:U,MATCH(A677,Valuation!A:A,0)),2)</f>
        <v>182.72</v>
      </c>
      <c r="H677">
        <f t="shared" si="861"/>
        <v>2</v>
      </c>
      <c r="I677" s="18">
        <f>INDEX(WeeklyIndicators!Y:Y,MATCH(A677,WeeklyIndicators!A:A,0))</f>
        <v>139.9</v>
      </c>
      <c r="J677">
        <f t="shared" si="850"/>
        <v>1</v>
      </c>
      <c r="K677">
        <f>ROUND(INDEX(Economic!AF:AF,MATCH(EOMONTH($A677,-1),Economic!A:A,0)),2)</f>
        <v>119.87</v>
      </c>
      <c r="L677" s="11">
        <f t="shared" si="859"/>
        <v>1</v>
      </c>
      <c r="M677">
        <f>ROUND(INDEX(Manufacturing!P:P,MATCH(EOMONTH($A677,-1),Manufacturing!A:A,0)),2)</f>
        <v>88.8</v>
      </c>
      <c r="N677">
        <f t="shared" si="855"/>
        <v>0</v>
      </c>
      <c r="O677">
        <f>ROUND(INDEX(Housing!AC:AC,MATCH(EOMONTH($A677,-1),Housing!B:B,0)),2)</f>
        <v>133.11000000000001</v>
      </c>
      <c r="P677">
        <f t="shared" si="856"/>
        <v>2</v>
      </c>
      <c r="Q677">
        <f>ROUND(INDEX(Spending!AJ:AJ,MATCH(EOMONTH($A677,-1),Spending!B:B,0)),2)</f>
        <v>63.55</v>
      </c>
      <c r="R677">
        <f t="shared" si="860"/>
        <v>2</v>
      </c>
      <c r="S677">
        <f>ROUND(INDEX(Employment!V:V,MATCH(EOMONTH($A677,-1),Employment!A:A,0)),2)</f>
        <v>173.35</v>
      </c>
      <c r="T677" s="11">
        <f t="shared" si="857"/>
        <v>1</v>
      </c>
      <c r="U677">
        <f t="shared" si="849"/>
        <v>31</v>
      </c>
      <c r="V677">
        <f t="shared" si="841"/>
        <v>78.67</v>
      </c>
      <c r="W677" s="13">
        <f t="shared" si="842"/>
        <v>1.8E-3</v>
      </c>
      <c r="X677" s="13">
        <f t="shared" si="843"/>
        <v>1.24E-2</v>
      </c>
      <c r="Y677">
        <f t="shared" si="835"/>
        <v>88.78</v>
      </c>
      <c r="Z677" s="13">
        <f t="shared" si="830"/>
        <v>0</v>
      </c>
      <c r="AA677" s="13">
        <f t="shared" si="826"/>
        <v>-5.0999999999999995E-3</v>
      </c>
      <c r="AB677" s="6">
        <f t="shared" si="836"/>
        <v>101.95200000000001</v>
      </c>
      <c r="AC677">
        <f t="shared" si="828"/>
        <v>51</v>
      </c>
      <c r="AD677" s="11">
        <f t="shared" si="829"/>
        <v>2</v>
      </c>
      <c r="AE677">
        <f t="shared" si="827"/>
        <v>35</v>
      </c>
      <c r="AF677">
        <f>IF(AND(AE677&lt;15,OR(AC677&gt;=30,AA677&gt;0.15,X677&gt;=0.15)),2,VLOOKUP(AE677,Table!P:Q,2,FALSE))</f>
        <v>5</v>
      </c>
      <c r="AG677" s="22">
        <f>IF((AB677*0.98)-(D677*0.8)+((AF677-3)*3)+VLOOKUP(AM677,Table!$A$11:$B$13,2,FALSE)&lt;0,0,(AB677*0.98)-(D677*0.8)+((AF677-3)*3)+VLOOKUP(AM677,Table!$A$11:$B$13,2,FALSE))</f>
        <v>104.32896000000001</v>
      </c>
      <c r="AH677" s="22">
        <f t="shared" si="858"/>
        <v>100</v>
      </c>
      <c r="AI677" s="18">
        <f t="shared" si="851"/>
        <v>3.27</v>
      </c>
      <c r="AJ677" s="18">
        <f t="shared" si="852"/>
        <v>2.83</v>
      </c>
      <c r="AK677" t="str">
        <f t="shared" si="837"/>
        <v>Rising Rates</v>
      </c>
      <c r="AL677">
        <f t="shared" si="848"/>
        <v>34.5</v>
      </c>
      <c r="AM677" s="11" t="str">
        <f t="shared" si="838"/>
        <v>Stocks</v>
      </c>
      <c r="AN677" t="str">
        <f t="shared" si="844"/>
        <v>Buy</v>
      </c>
      <c r="AO677" s="13">
        <f t="shared" si="845"/>
        <v>-2.8999999999999998E-3</v>
      </c>
      <c r="AP677" s="13">
        <f t="shared" si="846"/>
        <v>6.9999999999999999E-4</v>
      </c>
      <c r="AQ677" s="13">
        <f t="shared" si="847"/>
        <v>-2.8999999999999998E-3</v>
      </c>
      <c r="AR677" s="13">
        <f t="shared" si="839"/>
        <v>-2.8999999999999998E-3</v>
      </c>
      <c r="AS677" s="6">
        <f t="shared" si="831"/>
        <v>309.1899037003962</v>
      </c>
      <c r="AT677" s="6">
        <f t="shared" si="832"/>
        <v>165.39811382288926</v>
      </c>
      <c r="AU677" s="6">
        <f t="shared" si="833"/>
        <v>357.01952013596599</v>
      </c>
      <c r="AV677" s="6">
        <f t="shared" si="834"/>
        <v>437.66487585409544</v>
      </c>
      <c r="AW677" s="58">
        <f t="shared" si="840"/>
        <v>2005</v>
      </c>
      <c r="AX677" s="58">
        <f>COUNTIF(AW$3:AW677,AW677)</f>
        <v>16</v>
      </c>
    </row>
    <row r="678" spans="1:50" x14ac:dyDescent="0.25">
      <c r="A678" s="5">
        <v>38599</v>
      </c>
      <c r="B678">
        <v>1218.02</v>
      </c>
      <c r="C678">
        <v>3.43</v>
      </c>
      <c r="D678" s="6">
        <v>13.57</v>
      </c>
      <c r="E678" s="18">
        <f t="shared" si="853"/>
        <v>13.57</v>
      </c>
      <c r="F678">
        <f t="shared" si="854"/>
        <v>2</v>
      </c>
      <c r="G678" s="18">
        <f>ROUND(INDEX(Valuation!U:U,MATCH(A678,Valuation!A:A,0)),2)</f>
        <v>183.07</v>
      </c>
      <c r="H678">
        <f t="shared" si="861"/>
        <v>2</v>
      </c>
      <c r="I678" s="18">
        <f>INDEX(WeeklyIndicators!Y:Y,MATCH(A678,WeeklyIndicators!A:A,0))</f>
        <v>143.83000000000001</v>
      </c>
      <c r="J678">
        <f t="shared" si="850"/>
        <v>1</v>
      </c>
      <c r="K678">
        <f>ROUND(INDEX(Economic!AF:AF,MATCH(EOMONTH($A678,-1),Economic!A:A,0)),2)</f>
        <v>119.87</v>
      </c>
      <c r="L678" s="11">
        <f t="shared" si="859"/>
        <v>1</v>
      </c>
      <c r="M678">
        <f>ROUND(INDEX(Manufacturing!P:P,MATCH(EOMONTH($A678,-1),Manufacturing!A:A,0)),2)</f>
        <v>88.8</v>
      </c>
      <c r="N678">
        <f t="shared" si="855"/>
        <v>0</v>
      </c>
      <c r="O678">
        <f>ROUND(INDEX(Housing!AC:AC,MATCH(EOMONTH($A678,-1),Housing!B:B,0)),2)</f>
        <v>133.11000000000001</v>
      </c>
      <c r="P678">
        <f t="shared" si="856"/>
        <v>2</v>
      </c>
      <c r="Q678">
        <f>ROUND(INDEX(Spending!AJ:AJ,MATCH(EOMONTH($A678,-1),Spending!B:B,0)),2)</f>
        <v>63.55</v>
      </c>
      <c r="R678">
        <f t="shared" si="860"/>
        <v>2</v>
      </c>
      <c r="S678">
        <f>ROUND(INDEX(Employment!V:V,MATCH(EOMONTH($A678,-1),Employment!A:A,0)),2)</f>
        <v>173.35</v>
      </c>
      <c r="T678" s="11">
        <f t="shared" si="857"/>
        <v>1</v>
      </c>
      <c r="U678">
        <f t="shared" si="849"/>
        <v>31</v>
      </c>
      <c r="V678">
        <f t="shared" si="841"/>
        <v>79.069999999999993</v>
      </c>
      <c r="W678" s="13">
        <f t="shared" si="842"/>
        <v>3.7000000000000002E-3</v>
      </c>
      <c r="X678" s="13">
        <f t="shared" si="843"/>
        <v>1.6799999999999999E-2</v>
      </c>
      <c r="Y678">
        <f t="shared" si="835"/>
        <v>89.06</v>
      </c>
      <c r="Z678" s="13">
        <f t="shared" si="830"/>
        <v>-8.9999999999999998E-4</v>
      </c>
      <c r="AA678" s="13">
        <f t="shared" si="826"/>
        <v>-3.2999999999999995E-3</v>
      </c>
      <c r="AB678" s="6">
        <f t="shared" si="836"/>
        <v>102.447</v>
      </c>
      <c r="AC678">
        <f t="shared" si="828"/>
        <v>51</v>
      </c>
      <c r="AD678" s="11">
        <f t="shared" si="829"/>
        <v>2</v>
      </c>
      <c r="AE678">
        <f t="shared" si="827"/>
        <v>35</v>
      </c>
      <c r="AF678">
        <f>IF(AND(AE678&lt;15,OR(AC678&gt;=30,AA678&gt;0.15,X678&gt;=0.15)),2,VLOOKUP(AE678,Table!P:Q,2,FALSE))</f>
        <v>5</v>
      </c>
      <c r="AG678" s="22">
        <f>IF((AB678*0.98)-(D678*0.8)+((AF678-3)*3)+VLOOKUP(AM678,Table!$A$11:$B$13,2,FALSE)&lt;0,0,(AB678*0.98)-(D678*0.8)+((AF678-3)*3)+VLOOKUP(AM678,Table!$A$11:$B$13,2,FALSE))</f>
        <v>103.54205999999999</v>
      </c>
      <c r="AH678" s="22">
        <f t="shared" si="858"/>
        <v>100</v>
      </c>
      <c r="AI678" s="18">
        <f t="shared" si="851"/>
        <v>3.23</v>
      </c>
      <c r="AJ678" s="18">
        <f t="shared" si="852"/>
        <v>2.8</v>
      </c>
      <c r="AK678" t="str">
        <f t="shared" si="837"/>
        <v>Rising Rates</v>
      </c>
      <c r="AL678">
        <f t="shared" si="848"/>
        <v>34.25</v>
      </c>
      <c r="AM678" s="11" t="str">
        <f t="shared" si="838"/>
        <v>Stocks</v>
      </c>
      <c r="AN678" t="str">
        <f t="shared" si="844"/>
        <v>Buy</v>
      </c>
      <c r="AO678" s="13">
        <f t="shared" si="845"/>
        <v>1.9300000000000001E-2</v>
      </c>
      <c r="AP678" s="13">
        <f t="shared" si="846"/>
        <v>6.9999999999999999E-4</v>
      </c>
      <c r="AQ678" s="13">
        <f t="shared" si="847"/>
        <v>1.9300000000000001E-2</v>
      </c>
      <c r="AR678" s="13">
        <f t="shared" si="839"/>
        <v>1.9300000000000001E-2</v>
      </c>
      <c r="AS678" s="6">
        <f t="shared" si="831"/>
        <v>303.33552800980692</v>
      </c>
      <c r="AT678" s="6">
        <f t="shared" si="832"/>
        <v>165.28241613159716</v>
      </c>
      <c r="AU678" s="6">
        <f t="shared" si="833"/>
        <v>350.25951156280382</v>
      </c>
      <c r="AV678" s="6">
        <f t="shared" si="834"/>
        <v>429.37788271764487</v>
      </c>
      <c r="AW678" s="58">
        <f t="shared" si="840"/>
        <v>2005</v>
      </c>
      <c r="AX678" s="58">
        <f>COUNTIF(AW$3:AW678,AW678)</f>
        <v>17</v>
      </c>
    </row>
    <row r="679" spans="1:50" x14ac:dyDescent="0.25">
      <c r="A679" s="5">
        <v>38592</v>
      </c>
      <c r="B679">
        <v>1205.0999999999999</v>
      </c>
      <c r="C679">
        <v>3.46</v>
      </c>
      <c r="D679" s="6">
        <v>13.72</v>
      </c>
      <c r="E679" s="18">
        <f t="shared" si="853"/>
        <v>13.29</v>
      </c>
      <c r="F679">
        <f t="shared" si="854"/>
        <v>2</v>
      </c>
      <c r="G679" s="18">
        <f>ROUND(INDEX(Valuation!U:U,MATCH(A679,Valuation!A:A,0)),2)</f>
        <v>183.85</v>
      </c>
      <c r="H679">
        <f t="shared" si="861"/>
        <v>2</v>
      </c>
      <c r="I679" s="18">
        <f>INDEX(WeeklyIndicators!Y:Y,MATCH(A679,WeeklyIndicators!A:A,0))</f>
        <v>144.93</v>
      </c>
      <c r="J679">
        <f t="shared" si="850"/>
        <v>1</v>
      </c>
      <c r="K679">
        <f>ROUND(INDEX(Economic!AF:AF,MATCH(EOMONTH($A679,-1),Economic!A:A,0)),2)</f>
        <v>115.22</v>
      </c>
      <c r="L679" s="11">
        <f t="shared" si="859"/>
        <v>1</v>
      </c>
      <c r="M679">
        <f>ROUND(INDEX(Manufacturing!P:P,MATCH(EOMONTH($A679,-1),Manufacturing!A:A,0)),2)</f>
        <v>87.08</v>
      </c>
      <c r="N679">
        <f t="shared" si="855"/>
        <v>0</v>
      </c>
      <c r="O679">
        <f>ROUND(INDEX(Housing!AC:AC,MATCH(EOMONTH($A679,-1),Housing!B:B,0)),2)</f>
        <v>138.47999999999999</v>
      </c>
      <c r="P679">
        <f t="shared" si="856"/>
        <v>2</v>
      </c>
      <c r="Q679">
        <f>ROUND(INDEX(Spending!AJ:AJ,MATCH(EOMONTH($A679,-1),Spending!B:B,0)),2)</f>
        <v>57.38</v>
      </c>
      <c r="R679">
        <f t="shared" si="860"/>
        <v>1</v>
      </c>
      <c r="S679">
        <f>ROUND(INDEX(Employment!V:V,MATCH(EOMONTH($A679,-1),Employment!A:A,0)),2)</f>
        <v>174.86</v>
      </c>
      <c r="T679" s="11">
        <f t="shared" si="857"/>
        <v>1</v>
      </c>
      <c r="U679">
        <f t="shared" si="849"/>
        <v>30</v>
      </c>
      <c r="V679">
        <f t="shared" si="841"/>
        <v>78.260000000000005</v>
      </c>
      <c r="W679" s="13">
        <f t="shared" si="842"/>
        <v>6.9999999999999999E-4</v>
      </c>
      <c r="X679" s="13">
        <f t="shared" si="843"/>
        <v>1.9800000000000002E-2</v>
      </c>
      <c r="Y679">
        <f t="shared" si="835"/>
        <v>88.43</v>
      </c>
      <c r="Z679" s="13">
        <f t="shared" si="830"/>
        <v>-4.4999999999999997E-3</v>
      </c>
      <c r="AA679" s="13">
        <f t="shared" si="826"/>
        <v>9.0000000000000019E-4</v>
      </c>
      <c r="AB679" s="6">
        <f t="shared" si="836"/>
        <v>102.185</v>
      </c>
      <c r="AC679">
        <f t="shared" si="828"/>
        <v>51</v>
      </c>
      <c r="AD679" s="11">
        <f t="shared" si="829"/>
        <v>2</v>
      </c>
      <c r="AE679">
        <f t="shared" si="827"/>
        <v>34</v>
      </c>
      <c r="AF679">
        <f>IF(AND(AE679&lt;15,OR(AC679&gt;=30,AA679&gt;0.15,X679&gt;=0.15)),2,VLOOKUP(AE679,Table!P:Q,2,FALSE))</f>
        <v>5</v>
      </c>
      <c r="AG679" s="22">
        <f>IF((AB679*0.98)-(D679*0.8)+((AF679-3)*3)+VLOOKUP(AM679,Table!$A$11:$B$13,2,FALSE)&lt;0,0,(AB679*0.98)-(D679*0.8)+((AF679-3)*3)+VLOOKUP(AM679,Table!$A$11:$B$13,2,FALSE))</f>
        <v>103.1653</v>
      </c>
      <c r="AH679" s="22">
        <f t="shared" si="858"/>
        <v>100</v>
      </c>
      <c r="AI679" s="18">
        <f t="shared" si="851"/>
        <v>3.19</v>
      </c>
      <c r="AJ679" s="18">
        <f t="shared" si="852"/>
        <v>2.77</v>
      </c>
      <c r="AK679" t="str">
        <f t="shared" si="837"/>
        <v>Rising Rates</v>
      </c>
      <c r="AL679">
        <f t="shared" si="848"/>
        <v>34</v>
      </c>
      <c r="AM679" s="11" t="str">
        <f t="shared" si="838"/>
        <v>Stocks</v>
      </c>
      <c r="AN679" t="str">
        <f t="shared" si="844"/>
        <v>Buy</v>
      </c>
      <c r="AO679" s="13">
        <f t="shared" si="845"/>
        <v>1.0699999999999999E-2</v>
      </c>
      <c r="AP679" s="13">
        <f t="shared" si="846"/>
        <v>6.9999999999999999E-4</v>
      </c>
      <c r="AQ679" s="13">
        <f t="shared" si="847"/>
        <v>1.0699999999999999E-2</v>
      </c>
      <c r="AR679" s="13">
        <f t="shared" si="839"/>
        <v>1.0699999999999999E-2</v>
      </c>
      <c r="AS679" s="6">
        <f t="shared" si="831"/>
        <v>300.12419907965466</v>
      </c>
      <c r="AT679" s="6">
        <f t="shared" si="832"/>
        <v>165.16679937203673</v>
      </c>
      <c r="AU679" s="6">
        <f t="shared" si="833"/>
        <v>346.55141146017991</v>
      </c>
      <c r="AV679" s="6">
        <f t="shared" si="834"/>
        <v>424.83217840867212</v>
      </c>
      <c r="AW679" s="58">
        <f t="shared" si="840"/>
        <v>2005</v>
      </c>
      <c r="AX679" s="58">
        <f>COUNTIF(AW$3:AW679,AW679)</f>
        <v>18</v>
      </c>
    </row>
    <row r="680" spans="1:50" x14ac:dyDescent="0.25">
      <c r="A680" s="5">
        <v>38585</v>
      </c>
      <c r="B680">
        <v>1219.71</v>
      </c>
      <c r="C680">
        <v>3.45</v>
      </c>
      <c r="D680" s="6">
        <v>13.42</v>
      </c>
      <c r="E680" s="18">
        <f t="shared" si="853"/>
        <v>12.88</v>
      </c>
      <c r="F680">
        <f t="shared" si="854"/>
        <v>2</v>
      </c>
      <c r="G680" s="18">
        <f>ROUND(INDEX(Valuation!U:U,MATCH(A680,Valuation!A:A,0)),2)</f>
        <v>185.89</v>
      </c>
      <c r="H680">
        <f t="shared" si="861"/>
        <v>2</v>
      </c>
      <c r="I680" s="18">
        <f>INDEX(WeeklyIndicators!Y:Y,MATCH(A680,WeeklyIndicators!A:A,0))</f>
        <v>144.80000000000001</v>
      </c>
      <c r="J680">
        <f t="shared" si="850"/>
        <v>1</v>
      </c>
      <c r="K680">
        <f>ROUND(INDEX(Economic!AF:AF,MATCH(EOMONTH($A680,-1),Economic!A:A,0)),2)</f>
        <v>115.22</v>
      </c>
      <c r="L680" s="11">
        <f t="shared" si="859"/>
        <v>1</v>
      </c>
      <c r="M680">
        <f>ROUND(INDEX(Manufacturing!P:P,MATCH(EOMONTH($A680,-1),Manufacturing!A:A,0)),2)</f>
        <v>87.08</v>
      </c>
      <c r="N680">
        <f t="shared" si="855"/>
        <v>0</v>
      </c>
      <c r="O680">
        <f>ROUND(INDEX(Housing!AC:AC,MATCH(EOMONTH($A680,-1),Housing!B:B,0)),2)</f>
        <v>138.47999999999999</v>
      </c>
      <c r="P680">
        <f t="shared" si="856"/>
        <v>2</v>
      </c>
      <c r="Q680">
        <f>ROUND(INDEX(Spending!AJ:AJ,MATCH(EOMONTH($A680,-1),Spending!B:B,0)),2)</f>
        <v>57.38</v>
      </c>
      <c r="R680">
        <f t="shared" si="860"/>
        <v>1</v>
      </c>
      <c r="S680">
        <f>ROUND(INDEX(Employment!V:V,MATCH(EOMONTH($A680,-1),Employment!A:A,0)),2)</f>
        <v>174.86</v>
      </c>
      <c r="T680" s="11">
        <f t="shared" si="857"/>
        <v>1</v>
      </c>
      <c r="U680">
        <f t="shared" si="849"/>
        <v>30</v>
      </c>
      <c r="V680">
        <f t="shared" si="841"/>
        <v>78.25</v>
      </c>
      <c r="W680" s="13">
        <f t="shared" si="842"/>
        <v>6.1999999999999998E-3</v>
      </c>
      <c r="X680" s="13">
        <f t="shared" si="843"/>
        <v>2.2099999999999998E-2</v>
      </c>
      <c r="Y680">
        <f t="shared" si="835"/>
        <v>88.79</v>
      </c>
      <c r="Z680" s="13">
        <f t="shared" si="830"/>
        <v>2.9999999999999997E-4</v>
      </c>
      <c r="AA680" s="13">
        <f t="shared" si="826"/>
        <v>7.4000000000000003E-3</v>
      </c>
      <c r="AB680" s="6">
        <f t="shared" si="836"/>
        <v>103.209</v>
      </c>
      <c r="AC680">
        <f t="shared" si="828"/>
        <v>52</v>
      </c>
      <c r="AD680" s="11">
        <f t="shared" si="829"/>
        <v>2</v>
      </c>
      <c r="AE680">
        <f t="shared" si="827"/>
        <v>34</v>
      </c>
      <c r="AF680">
        <f>IF(AND(AE680&lt;15,OR(AC680&gt;=30,AA680&gt;0.15,X680&gt;=0.15)),2,VLOOKUP(AE680,Table!P:Q,2,FALSE))</f>
        <v>5</v>
      </c>
      <c r="AG680" s="22">
        <f>IF((AB680*0.98)-(D680*0.8)+((AF680-3)*3)+VLOOKUP(AM680,Table!$A$11:$B$13,2,FALSE)&lt;0,0,(AB680*0.98)-(D680*0.8)+((AF680-3)*3)+VLOOKUP(AM680,Table!$A$11:$B$13,2,FALSE))</f>
        <v>104.40881999999999</v>
      </c>
      <c r="AH680" s="22">
        <f t="shared" si="858"/>
        <v>100</v>
      </c>
      <c r="AI680" s="18">
        <f t="shared" si="851"/>
        <v>3.15</v>
      </c>
      <c r="AJ680" s="18">
        <f t="shared" si="852"/>
        <v>2.74</v>
      </c>
      <c r="AK680" t="str">
        <f t="shared" si="837"/>
        <v>Rising Rates</v>
      </c>
      <c r="AL680">
        <f t="shared" si="848"/>
        <v>34.25</v>
      </c>
      <c r="AM680" s="11" t="str">
        <f t="shared" si="838"/>
        <v>Stocks</v>
      </c>
      <c r="AN680" t="str">
        <f t="shared" si="844"/>
        <v>Buy</v>
      </c>
      <c r="AO680" s="13">
        <f t="shared" si="845"/>
        <v>-1.2E-2</v>
      </c>
      <c r="AP680" s="13">
        <f t="shared" si="846"/>
        <v>6.9999999999999999E-4</v>
      </c>
      <c r="AQ680" s="13">
        <f t="shared" si="847"/>
        <v>-1.2E-2</v>
      </c>
      <c r="AR680" s="13">
        <f t="shared" si="839"/>
        <v>-1.2E-2</v>
      </c>
      <c r="AS680" s="6">
        <f t="shared" si="831"/>
        <v>303.76943226685694</v>
      </c>
      <c r="AT680" s="6">
        <f t="shared" si="832"/>
        <v>165.05126348759543</v>
      </c>
      <c r="AU680" s="6">
        <f t="shared" si="833"/>
        <v>350.76053791516188</v>
      </c>
      <c r="AV680" s="6">
        <f t="shared" si="834"/>
        <v>429.99208340958717</v>
      </c>
      <c r="AW680" s="58">
        <f t="shared" si="840"/>
        <v>2005</v>
      </c>
      <c r="AX680" s="58">
        <f>COUNTIF(AW$3:AW680,AW680)</f>
        <v>19</v>
      </c>
    </row>
    <row r="681" spans="1:50" x14ac:dyDescent="0.25">
      <c r="A681" s="5">
        <v>38578</v>
      </c>
      <c r="B681">
        <v>1230.3900000000001</v>
      </c>
      <c r="C681">
        <v>3.44</v>
      </c>
      <c r="D681" s="6">
        <v>12.74</v>
      </c>
      <c r="E681" s="18">
        <f t="shared" si="853"/>
        <v>12.26</v>
      </c>
      <c r="F681">
        <f t="shared" si="854"/>
        <v>2</v>
      </c>
      <c r="G681" s="18">
        <f>ROUND(INDEX(Valuation!U:U,MATCH(A681,Valuation!A:A,0)),2)</f>
        <v>188.82</v>
      </c>
      <c r="H681">
        <f t="shared" si="861"/>
        <v>2</v>
      </c>
      <c r="I681" s="18">
        <f>INDEX(WeeklyIndicators!Y:Y,MATCH(A681,WeeklyIndicators!A:A,0))</f>
        <v>144.38999999999999</v>
      </c>
      <c r="J681">
        <f t="shared" si="850"/>
        <v>1</v>
      </c>
      <c r="K681">
        <f>ROUND(INDEX(Economic!AF:AF,MATCH(EOMONTH($A681,-1),Economic!A:A,0)),2)</f>
        <v>115.22</v>
      </c>
      <c r="L681" s="11">
        <f t="shared" si="859"/>
        <v>1</v>
      </c>
      <c r="M681">
        <f>ROUND(INDEX(Manufacturing!P:P,MATCH(EOMONTH($A681,-1),Manufacturing!A:A,0)),2)</f>
        <v>87.08</v>
      </c>
      <c r="N681">
        <f t="shared" si="855"/>
        <v>0</v>
      </c>
      <c r="O681">
        <f>ROUND(INDEX(Housing!AC:AC,MATCH(EOMONTH($A681,-1),Housing!B:B,0)),2)</f>
        <v>138.47999999999999</v>
      </c>
      <c r="P681">
        <f t="shared" si="856"/>
        <v>2</v>
      </c>
      <c r="Q681">
        <f>ROUND(INDEX(Spending!AJ:AJ,MATCH(EOMONTH($A681,-1),Spending!B:B,0)),2)</f>
        <v>57.38</v>
      </c>
      <c r="R681">
        <f t="shared" si="860"/>
        <v>1</v>
      </c>
      <c r="S681">
        <f>ROUND(INDEX(Employment!V:V,MATCH(EOMONTH($A681,-1),Employment!A:A,0)),2)</f>
        <v>174.86</v>
      </c>
      <c r="T681" s="11">
        <f t="shared" si="857"/>
        <v>1</v>
      </c>
      <c r="U681">
        <f t="shared" si="849"/>
        <v>30</v>
      </c>
      <c r="V681">
        <f t="shared" si="841"/>
        <v>78.209999999999994</v>
      </c>
      <c r="W681" s="13">
        <f t="shared" si="842"/>
        <v>6.1999999999999998E-3</v>
      </c>
      <c r="X681" s="13">
        <f t="shared" si="843"/>
        <v>1.9900000000000001E-2</v>
      </c>
      <c r="Y681">
        <f t="shared" si="835"/>
        <v>89.29</v>
      </c>
      <c r="Z681" s="13">
        <f t="shared" si="830"/>
        <v>1.8E-3</v>
      </c>
      <c r="AA681" s="13">
        <f t="shared" si="826"/>
        <v>9.4999999999999998E-3</v>
      </c>
      <c r="AB681" s="6">
        <f t="shared" si="836"/>
        <v>104.11200000000001</v>
      </c>
      <c r="AC681">
        <f t="shared" si="828"/>
        <v>52</v>
      </c>
      <c r="AD681" s="11">
        <f t="shared" si="829"/>
        <v>2</v>
      </c>
      <c r="AE681">
        <f t="shared" si="827"/>
        <v>34</v>
      </c>
      <c r="AF681">
        <f>IF(AND(AE681&lt;15,OR(AC681&gt;=30,AA681&gt;0.15,X681&gt;=0.15)),2,VLOOKUP(AE681,Table!P:Q,2,FALSE))</f>
        <v>5</v>
      </c>
      <c r="AG681" s="22">
        <f>IF((AB681*0.98)-(D681*0.8)+((AF681-3)*3)+VLOOKUP(AM681,Table!$A$11:$B$13,2,FALSE)&lt;0,0,(AB681*0.98)-(D681*0.8)+((AF681-3)*3)+VLOOKUP(AM681,Table!$A$11:$B$13,2,FALSE))</f>
        <v>105.83776</v>
      </c>
      <c r="AH681" s="22">
        <f t="shared" si="858"/>
        <v>100</v>
      </c>
      <c r="AI681" s="18">
        <f t="shared" si="851"/>
        <v>3.1</v>
      </c>
      <c r="AJ681" s="18">
        <f t="shared" si="852"/>
        <v>2.7</v>
      </c>
      <c r="AK681" t="str">
        <f t="shared" si="837"/>
        <v>Rising Rates</v>
      </c>
      <c r="AL681">
        <f t="shared" si="848"/>
        <v>34.5</v>
      </c>
      <c r="AM681" s="11" t="str">
        <f t="shared" si="838"/>
        <v>Stocks</v>
      </c>
      <c r="AN681" t="str">
        <f t="shared" si="844"/>
        <v>Buy</v>
      </c>
      <c r="AO681" s="13">
        <f t="shared" si="845"/>
        <v>-8.6999999999999994E-3</v>
      </c>
      <c r="AP681" s="13">
        <f t="shared" si="846"/>
        <v>6.9999999999999999E-4</v>
      </c>
      <c r="AQ681" s="13">
        <f t="shared" si="847"/>
        <v>-8.6999999999999994E-3</v>
      </c>
      <c r="AR681" s="13">
        <f t="shared" si="839"/>
        <v>-8.6999999999999994E-3</v>
      </c>
      <c r="AS681" s="6">
        <f t="shared" si="831"/>
        <v>306.43542042455056</v>
      </c>
      <c r="AT681" s="6">
        <f t="shared" si="832"/>
        <v>164.93580842170024</v>
      </c>
      <c r="AU681" s="6">
        <f t="shared" si="833"/>
        <v>353.83893666413991</v>
      </c>
      <c r="AV681" s="6">
        <f t="shared" si="834"/>
        <v>433.76584627215493</v>
      </c>
      <c r="AW681" s="58">
        <f t="shared" si="840"/>
        <v>2005</v>
      </c>
      <c r="AX681" s="58">
        <f>COUNTIF(AW$3:AW681,AW681)</f>
        <v>20</v>
      </c>
    </row>
    <row r="682" spans="1:50" x14ac:dyDescent="0.25">
      <c r="A682" s="5">
        <v>38571</v>
      </c>
      <c r="B682">
        <v>1226.42</v>
      </c>
      <c r="C682">
        <v>3.41</v>
      </c>
      <c r="D682" s="6">
        <v>12.48</v>
      </c>
      <c r="E682" s="18">
        <f t="shared" si="853"/>
        <v>11.52</v>
      </c>
      <c r="F682">
        <f t="shared" si="854"/>
        <v>2</v>
      </c>
      <c r="G682" s="18">
        <f>ROUND(INDEX(Valuation!U:U,MATCH(A682,Valuation!A:A,0)),2)</f>
        <v>190.52</v>
      </c>
      <c r="H682">
        <f t="shared" si="861"/>
        <v>2</v>
      </c>
      <c r="I682" s="18">
        <f>INDEX(WeeklyIndicators!Y:Y,MATCH(A682,WeeklyIndicators!A:A,0))</f>
        <v>143.38999999999999</v>
      </c>
      <c r="J682">
        <f t="shared" si="850"/>
        <v>1</v>
      </c>
      <c r="K682">
        <f>ROUND(INDEX(Economic!AF:AF,MATCH(EOMONTH($A682,-1),Economic!A:A,0)),2)</f>
        <v>115.22</v>
      </c>
      <c r="L682" s="11">
        <f t="shared" si="859"/>
        <v>1</v>
      </c>
      <c r="M682">
        <f>ROUND(INDEX(Manufacturing!P:P,MATCH(EOMONTH($A682,-1),Manufacturing!A:A,0)),2)</f>
        <v>87.08</v>
      </c>
      <c r="N682">
        <f t="shared" si="855"/>
        <v>0</v>
      </c>
      <c r="O682">
        <f>ROUND(INDEX(Housing!AC:AC,MATCH(EOMONTH($A682,-1),Housing!B:B,0)),2)</f>
        <v>138.47999999999999</v>
      </c>
      <c r="P682">
        <f t="shared" si="856"/>
        <v>2</v>
      </c>
      <c r="Q682">
        <f>ROUND(INDEX(Spending!AJ:AJ,MATCH(EOMONTH($A682,-1),Spending!B:B,0)),2)</f>
        <v>57.38</v>
      </c>
      <c r="R682">
        <f t="shared" si="860"/>
        <v>1</v>
      </c>
      <c r="S682">
        <f>ROUND(INDEX(Employment!V:V,MATCH(EOMONTH($A682,-1),Employment!A:A,0)),2)</f>
        <v>174.86</v>
      </c>
      <c r="T682" s="11">
        <f t="shared" si="857"/>
        <v>1</v>
      </c>
      <c r="U682">
        <f t="shared" si="849"/>
        <v>30</v>
      </c>
      <c r="V682">
        <f t="shared" si="841"/>
        <v>78.099999999999994</v>
      </c>
      <c r="W682" s="13">
        <f t="shared" si="842"/>
        <v>6.7000000000000002E-3</v>
      </c>
      <c r="X682" s="13">
        <f t="shared" si="843"/>
        <v>1.04E-2</v>
      </c>
      <c r="Y682">
        <f t="shared" si="835"/>
        <v>89.63</v>
      </c>
      <c r="Z682" s="13">
        <f t="shared" si="830"/>
        <v>3.3E-3</v>
      </c>
      <c r="AA682" s="13">
        <f t="shared" si="826"/>
        <v>4.0000000000000001E-3</v>
      </c>
      <c r="AB682" s="6">
        <f t="shared" si="836"/>
        <v>104.16200000000001</v>
      </c>
      <c r="AC682">
        <f t="shared" si="828"/>
        <v>52</v>
      </c>
      <c r="AD682" s="11">
        <f t="shared" si="829"/>
        <v>2</v>
      </c>
      <c r="AE682">
        <f t="shared" si="827"/>
        <v>34</v>
      </c>
      <c r="AF682">
        <f>IF(AND(AE682&lt;15,OR(AC682&gt;=30,AA682&gt;0.15,X682&gt;=0.15)),2,VLOOKUP(AE682,Table!P:Q,2,FALSE))</f>
        <v>5</v>
      </c>
      <c r="AG682" s="22">
        <f>IF((AB682*0.98)-(D682*0.8)+((AF682-3)*3)+VLOOKUP(AM682,Table!$A$11:$B$13,2,FALSE)&lt;0,0,(AB682*0.98)-(D682*0.8)+((AF682-3)*3)+VLOOKUP(AM682,Table!$A$11:$B$13,2,FALSE))</f>
        <v>106.09476000000001</v>
      </c>
      <c r="AH682" s="22">
        <f t="shared" si="858"/>
        <v>100</v>
      </c>
      <c r="AI682" s="18">
        <f t="shared" si="851"/>
        <v>3.05</v>
      </c>
      <c r="AJ682" s="18">
        <f t="shared" si="852"/>
        <v>2.67</v>
      </c>
      <c r="AK682" t="str">
        <f t="shared" si="837"/>
        <v>Rising Rates</v>
      </c>
      <c r="AL682">
        <f t="shared" si="848"/>
        <v>34.5</v>
      </c>
      <c r="AM682" s="11" t="str">
        <f t="shared" si="838"/>
        <v>Stocks</v>
      </c>
      <c r="AN682" t="str">
        <f t="shared" si="844"/>
        <v>Buy</v>
      </c>
      <c r="AO682" s="13">
        <f t="shared" si="845"/>
        <v>3.2000000000000002E-3</v>
      </c>
      <c r="AP682" s="13">
        <f t="shared" si="846"/>
        <v>6.9999999999999999E-4</v>
      </c>
      <c r="AQ682" s="13">
        <f t="shared" si="847"/>
        <v>3.2000000000000002E-3</v>
      </c>
      <c r="AR682" s="13">
        <f t="shared" si="839"/>
        <v>3.2000000000000002E-3</v>
      </c>
      <c r="AS682" s="6">
        <f t="shared" si="831"/>
        <v>305.45795496865082</v>
      </c>
      <c r="AT682" s="6">
        <f t="shared" si="832"/>
        <v>164.8204341178178</v>
      </c>
      <c r="AU682" s="6">
        <f t="shared" si="833"/>
        <v>352.71026381991612</v>
      </c>
      <c r="AV682" s="6">
        <f t="shared" si="834"/>
        <v>432.38222315804916</v>
      </c>
      <c r="AW682" s="58">
        <f t="shared" si="840"/>
        <v>2005</v>
      </c>
      <c r="AX682" s="58">
        <f>COUNTIF(AW$3:AW682,AW682)</f>
        <v>21</v>
      </c>
    </row>
    <row r="683" spans="1:50" x14ac:dyDescent="0.25">
      <c r="A683" s="5">
        <v>38564</v>
      </c>
      <c r="B683">
        <v>1234.18</v>
      </c>
      <c r="C683">
        <v>3.35</v>
      </c>
      <c r="D683" s="6">
        <v>11.57</v>
      </c>
      <c r="E683" s="18">
        <f t="shared" si="853"/>
        <v>10.81</v>
      </c>
      <c r="F683">
        <f t="shared" si="854"/>
        <v>3</v>
      </c>
      <c r="G683" s="18">
        <f>ROUND(INDEX(Valuation!U:U,MATCH(A683,Valuation!A:A,0)),2)</f>
        <v>191.85</v>
      </c>
      <c r="H683">
        <f t="shared" si="861"/>
        <v>2</v>
      </c>
      <c r="I683" s="18">
        <f>INDEX(WeeklyIndicators!Y:Y,MATCH(A683,WeeklyIndicators!A:A,0))</f>
        <v>142.88999999999999</v>
      </c>
      <c r="J683">
        <f t="shared" si="850"/>
        <v>1</v>
      </c>
      <c r="K683">
        <f>ROUND(INDEX(Economic!AF:AF,MATCH(EOMONTH($A683,-1),Economic!A:A,0)),2)</f>
        <v>109.97</v>
      </c>
      <c r="L683" s="11">
        <f t="shared" si="859"/>
        <v>0</v>
      </c>
      <c r="M683">
        <f>ROUND(INDEX(Manufacturing!P:P,MATCH(EOMONTH($A683,-1),Manufacturing!A:A,0)),2)</f>
        <v>85.9</v>
      </c>
      <c r="N683">
        <f t="shared" si="855"/>
        <v>0</v>
      </c>
      <c r="O683">
        <f>ROUND(INDEX(Housing!AC:AC,MATCH(EOMONTH($A683,-1),Housing!B:B,0)),2)</f>
        <v>133.41</v>
      </c>
      <c r="P683">
        <f t="shared" si="856"/>
        <v>2</v>
      </c>
      <c r="Q683">
        <f>ROUND(INDEX(Spending!AJ:AJ,MATCH(EOMONTH($A683,-1),Spending!B:B,0)),2)</f>
        <v>55.2</v>
      </c>
      <c r="R683">
        <f t="shared" si="860"/>
        <v>1</v>
      </c>
      <c r="S683">
        <f>ROUND(INDEX(Employment!V:V,MATCH(EOMONTH($A683,-1),Employment!A:A,0)),2)</f>
        <v>177</v>
      </c>
      <c r="T683" s="11">
        <f t="shared" si="857"/>
        <v>2</v>
      </c>
      <c r="U683">
        <f t="shared" si="849"/>
        <v>31</v>
      </c>
      <c r="V683">
        <f t="shared" si="841"/>
        <v>76.8</v>
      </c>
      <c r="W683" s="13">
        <f t="shared" si="842"/>
        <v>3.0000000000000001E-3</v>
      </c>
      <c r="X683" s="13">
        <f t="shared" si="843"/>
        <v>-1.1999999999999997E-3</v>
      </c>
      <c r="Y683">
        <f t="shared" si="835"/>
        <v>88.72</v>
      </c>
      <c r="Z683" s="13">
        <f t="shared" si="830"/>
        <v>2E-3</v>
      </c>
      <c r="AA683" s="13">
        <f t="shared" si="826"/>
        <v>-5.3000000000000009E-3</v>
      </c>
      <c r="AB683" s="6">
        <f t="shared" si="836"/>
        <v>102.595</v>
      </c>
      <c r="AC683">
        <f t="shared" si="828"/>
        <v>51</v>
      </c>
      <c r="AD683" s="11">
        <f t="shared" si="829"/>
        <v>2</v>
      </c>
      <c r="AE683">
        <f t="shared" si="827"/>
        <v>35</v>
      </c>
      <c r="AF683">
        <f>IF(AND(AE683&lt;15,OR(AC683&gt;=30,AA683&gt;0.15,X683&gt;=0.15)),2,VLOOKUP(AE683,Table!P:Q,2,FALSE))</f>
        <v>5</v>
      </c>
      <c r="AG683" s="22">
        <f>IF((AB683*0.98)-(D683*0.8)+((AF683-3)*3)+VLOOKUP(AM683,Table!$A$11:$B$13,2,FALSE)&lt;0,0,(AB683*0.98)-(D683*0.8)+((AF683-3)*3)+VLOOKUP(AM683,Table!$A$11:$B$13,2,FALSE))</f>
        <v>105.2871</v>
      </c>
      <c r="AH683" s="22">
        <f t="shared" si="858"/>
        <v>100</v>
      </c>
      <c r="AI683" s="18">
        <f t="shared" si="851"/>
        <v>3.01</v>
      </c>
      <c r="AJ683" s="18">
        <f t="shared" si="852"/>
        <v>2.63</v>
      </c>
      <c r="AK683" t="str">
        <f t="shared" si="837"/>
        <v>Rising Rates</v>
      </c>
      <c r="AL683">
        <f t="shared" si="848"/>
        <v>34.5</v>
      </c>
      <c r="AM683" s="11" t="str">
        <f t="shared" si="838"/>
        <v>Stocks</v>
      </c>
      <c r="AN683" t="str">
        <f t="shared" si="844"/>
        <v>Buy</v>
      </c>
      <c r="AO683" s="13">
        <f t="shared" si="845"/>
        <v>-6.3E-3</v>
      </c>
      <c r="AP683" s="13">
        <f t="shared" si="846"/>
        <v>5.9999999999999995E-4</v>
      </c>
      <c r="AQ683" s="13">
        <f t="shared" si="847"/>
        <v>-6.3E-3</v>
      </c>
      <c r="AR683" s="13">
        <f t="shared" si="839"/>
        <v>-6.3E-3</v>
      </c>
      <c r="AS683" s="6">
        <f t="shared" si="831"/>
        <v>307.39454057426872</v>
      </c>
      <c r="AT683" s="6">
        <f t="shared" si="832"/>
        <v>164.72160115712353</v>
      </c>
      <c r="AU683" s="6">
        <f t="shared" si="833"/>
        <v>354.94642630564164</v>
      </c>
      <c r="AV683" s="6">
        <f t="shared" si="834"/>
        <v>435.12350121570813</v>
      </c>
      <c r="AW683" s="58">
        <f t="shared" si="840"/>
        <v>2005</v>
      </c>
      <c r="AX683" s="58">
        <f>COUNTIF(AW$3:AW683,AW683)</f>
        <v>22</v>
      </c>
    </row>
    <row r="684" spans="1:50" x14ac:dyDescent="0.25">
      <c r="A684" s="5">
        <v>38557</v>
      </c>
      <c r="B684">
        <v>1233.68</v>
      </c>
      <c r="C684">
        <v>3.25</v>
      </c>
      <c r="D684" s="6">
        <v>10.52</v>
      </c>
      <c r="E684" s="18">
        <f t="shared" si="853"/>
        <v>10.77</v>
      </c>
      <c r="F684">
        <f t="shared" si="854"/>
        <v>3</v>
      </c>
      <c r="G684" s="18">
        <f>ROUND(INDEX(Valuation!U:U,MATCH(A684,Valuation!A:A,0)),2)</f>
        <v>192.66</v>
      </c>
      <c r="H684">
        <f t="shared" si="861"/>
        <v>2</v>
      </c>
      <c r="I684" s="18">
        <f>INDEX(WeeklyIndicators!Y:Y,MATCH(A684,WeeklyIndicators!A:A,0))</f>
        <v>142.76</v>
      </c>
      <c r="J684">
        <f t="shared" si="850"/>
        <v>1</v>
      </c>
      <c r="K684">
        <f>ROUND(INDEX(Economic!AF:AF,MATCH(EOMONTH($A684,-1),Economic!A:A,0)),2)</f>
        <v>109.97</v>
      </c>
      <c r="L684" s="11">
        <f t="shared" si="859"/>
        <v>0</v>
      </c>
      <c r="M684">
        <f>ROUND(INDEX(Manufacturing!P:P,MATCH(EOMONTH($A684,-1),Manufacturing!A:A,0)),2)</f>
        <v>85.9</v>
      </c>
      <c r="N684">
        <f t="shared" si="855"/>
        <v>0</v>
      </c>
      <c r="O684">
        <f>ROUND(INDEX(Housing!AC:AC,MATCH(EOMONTH($A684,-1),Housing!B:B,0)),2)</f>
        <v>133.41</v>
      </c>
      <c r="P684">
        <f t="shared" si="856"/>
        <v>2</v>
      </c>
      <c r="Q684">
        <f>ROUND(INDEX(Spending!AJ:AJ,MATCH(EOMONTH($A684,-1),Spending!B:B,0)),2)</f>
        <v>55.2</v>
      </c>
      <c r="R684">
        <f t="shared" si="860"/>
        <v>1</v>
      </c>
      <c r="S684">
        <f>ROUND(INDEX(Employment!V:V,MATCH(EOMONTH($A684,-1),Employment!A:A,0)),2)</f>
        <v>177</v>
      </c>
      <c r="T684" s="11">
        <f t="shared" si="857"/>
        <v>2</v>
      </c>
      <c r="U684">
        <f t="shared" si="849"/>
        <v>31</v>
      </c>
      <c r="V684">
        <f t="shared" si="841"/>
        <v>76.78</v>
      </c>
      <c r="W684" s="13">
        <f t="shared" si="842"/>
        <v>4.0000000000000001E-3</v>
      </c>
      <c r="X684" s="13">
        <f t="shared" si="843"/>
        <v>-8.6999999999999994E-3</v>
      </c>
      <c r="Y684">
        <f t="shared" si="835"/>
        <v>88.81</v>
      </c>
      <c r="Z684" s="13">
        <f t="shared" si="830"/>
        <v>2.3999999999999998E-3</v>
      </c>
      <c r="AA684" s="13">
        <f t="shared" si="826"/>
        <v>-1.15E-2</v>
      </c>
      <c r="AB684" s="6">
        <f t="shared" si="836"/>
        <v>102.27600000000001</v>
      </c>
      <c r="AC684">
        <f t="shared" si="828"/>
        <v>51</v>
      </c>
      <c r="AD684" s="11">
        <f t="shared" si="829"/>
        <v>2</v>
      </c>
      <c r="AE684">
        <f t="shared" si="827"/>
        <v>35</v>
      </c>
      <c r="AF684">
        <f>IF(AND(AE684&lt;15,OR(AC684&gt;=30,AA684&gt;0.15,X684&gt;=0.15)),2,VLOOKUP(AE684,Table!P:Q,2,FALSE))</f>
        <v>5</v>
      </c>
      <c r="AG684" s="22">
        <f>IF((AB684*0.98)-(D684*0.8)+((AF684-3)*3)+VLOOKUP(AM684,Table!$A$11:$B$13,2,FALSE)&lt;0,0,(AB684*0.98)-(D684*0.8)+((AF684-3)*3)+VLOOKUP(AM684,Table!$A$11:$B$13,2,FALSE))</f>
        <v>105.81448000000002</v>
      </c>
      <c r="AH684" s="22">
        <f t="shared" si="858"/>
        <v>100</v>
      </c>
      <c r="AI684" s="18">
        <f t="shared" si="851"/>
        <v>2.97</v>
      </c>
      <c r="AJ684" s="18">
        <f t="shared" si="852"/>
        <v>2.59</v>
      </c>
      <c r="AK684" t="str">
        <f t="shared" si="837"/>
        <v>Rising Rates</v>
      </c>
      <c r="AL684">
        <f t="shared" si="848"/>
        <v>34</v>
      </c>
      <c r="AM684" s="11" t="str">
        <f t="shared" si="838"/>
        <v>Stocks</v>
      </c>
      <c r="AN684" t="str">
        <f t="shared" si="844"/>
        <v>Buy</v>
      </c>
      <c r="AO684" s="13">
        <f t="shared" si="845"/>
        <v>4.0000000000000002E-4</v>
      </c>
      <c r="AP684" s="13">
        <f t="shared" si="846"/>
        <v>5.9999999999999995E-4</v>
      </c>
      <c r="AQ684" s="13">
        <f t="shared" si="847"/>
        <v>4.0000000000000002E-4</v>
      </c>
      <c r="AR684" s="13">
        <f t="shared" si="839"/>
        <v>4.0000000000000002E-4</v>
      </c>
      <c r="AS684" s="6">
        <f t="shared" si="831"/>
        <v>307.27163192150016</v>
      </c>
      <c r="AT684" s="6">
        <f t="shared" si="832"/>
        <v>164.62282746064716</v>
      </c>
      <c r="AU684" s="6">
        <f t="shared" si="833"/>
        <v>354.80450450384012</v>
      </c>
      <c r="AV684" s="6">
        <f t="shared" si="834"/>
        <v>434.94952140714531</v>
      </c>
      <c r="AW684" s="58">
        <f t="shared" si="840"/>
        <v>2005</v>
      </c>
      <c r="AX684" s="58">
        <f>COUNTIF(AW$3:AW684,AW684)</f>
        <v>23</v>
      </c>
    </row>
    <row r="685" spans="1:50" x14ac:dyDescent="0.25">
      <c r="A685" s="5">
        <v>38550</v>
      </c>
      <c r="B685">
        <v>1227.92</v>
      </c>
      <c r="C685">
        <v>3.15</v>
      </c>
      <c r="D685" s="6">
        <v>10.33</v>
      </c>
      <c r="E685" s="18">
        <f t="shared" si="853"/>
        <v>11.06</v>
      </c>
      <c r="F685">
        <f t="shared" si="854"/>
        <v>2</v>
      </c>
      <c r="G685" s="18">
        <f>ROUND(INDEX(Valuation!U:U,MATCH(A685,Valuation!A:A,0)),2)</f>
        <v>194.87</v>
      </c>
      <c r="H685">
        <f t="shared" si="861"/>
        <v>2</v>
      </c>
      <c r="I685" s="18">
        <f>INDEX(WeeklyIndicators!Y:Y,MATCH(A685,WeeklyIndicators!A:A,0))</f>
        <v>140.63999999999999</v>
      </c>
      <c r="J685">
        <f t="shared" si="850"/>
        <v>1</v>
      </c>
      <c r="K685">
        <f>ROUND(INDEX(Economic!AF:AF,MATCH(EOMONTH($A685,-1),Economic!A:A,0)),2)</f>
        <v>109.97</v>
      </c>
      <c r="L685" s="11">
        <f t="shared" si="859"/>
        <v>0</v>
      </c>
      <c r="M685">
        <f>ROUND(INDEX(Manufacturing!P:P,MATCH(EOMONTH($A685,-1),Manufacturing!A:A,0)),2)</f>
        <v>85.9</v>
      </c>
      <c r="N685">
        <f t="shared" si="855"/>
        <v>0</v>
      </c>
      <c r="O685">
        <f>ROUND(INDEX(Housing!AC:AC,MATCH(EOMONTH($A685,-1),Housing!B:B,0)),2)</f>
        <v>133.41</v>
      </c>
      <c r="P685">
        <f t="shared" si="856"/>
        <v>2</v>
      </c>
      <c r="Q685">
        <f>ROUND(INDEX(Spending!AJ:AJ,MATCH(EOMONTH($A685,-1),Spending!B:B,0)),2)</f>
        <v>55.2</v>
      </c>
      <c r="R685">
        <f t="shared" si="860"/>
        <v>1</v>
      </c>
      <c r="S685">
        <f>ROUND(INDEX(Employment!V:V,MATCH(EOMONTH($A685,-1),Employment!A:A,0)),2)</f>
        <v>177</v>
      </c>
      <c r="T685" s="11">
        <f t="shared" si="857"/>
        <v>2</v>
      </c>
      <c r="U685">
        <f t="shared" si="849"/>
        <v>30</v>
      </c>
      <c r="V685">
        <f t="shared" si="841"/>
        <v>76.56</v>
      </c>
      <c r="W685" s="13">
        <f t="shared" si="842"/>
        <v>-3.3E-3</v>
      </c>
      <c r="X685" s="13">
        <f t="shared" si="843"/>
        <v>-9.8999999999999991E-3</v>
      </c>
      <c r="Y685">
        <f t="shared" si="835"/>
        <v>88.74</v>
      </c>
      <c r="Z685" s="13">
        <f t="shared" si="830"/>
        <v>-3.7000000000000002E-3</v>
      </c>
      <c r="AA685" s="13">
        <f t="shared" si="826"/>
        <v>-1.04E-2</v>
      </c>
      <c r="AB685" s="6">
        <f t="shared" si="836"/>
        <v>102.48699999999999</v>
      </c>
      <c r="AC685">
        <f t="shared" si="828"/>
        <v>51</v>
      </c>
      <c r="AD685" s="11">
        <f t="shared" si="829"/>
        <v>2</v>
      </c>
      <c r="AE685">
        <f t="shared" si="827"/>
        <v>34</v>
      </c>
      <c r="AF685">
        <f>IF(AND(AE685&lt;15,OR(AC685&gt;=30,AA685&gt;0.15,X685&gt;=0.15)),2,VLOOKUP(AE685,Table!P:Q,2,FALSE))</f>
        <v>5</v>
      </c>
      <c r="AG685" s="22">
        <f>IF((AB685*0.98)-(D685*0.8)+((AF685-3)*3)+VLOOKUP(AM685,Table!$A$11:$B$13,2,FALSE)&lt;0,0,(AB685*0.98)-(D685*0.8)+((AF685-3)*3)+VLOOKUP(AM685,Table!$A$11:$B$13,2,FALSE))</f>
        <v>106.17326</v>
      </c>
      <c r="AH685" s="22">
        <f t="shared" si="858"/>
        <v>100</v>
      </c>
      <c r="AI685" s="18">
        <f t="shared" si="851"/>
        <v>2.94</v>
      </c>
      <c r="AJ685" s="18">
        <f t="shared" si="852"/>
        <v>2.5499999999999998</v>
      </c>
      <c r="AK685" t="str">
        <f t="shared" si="837"/>
        <v>Rising Rates</v>
      </c>
      <c r="AL685">
        <f t="shared" si="848"/>
        <v>33.75</v>
      </c>
      <c r="AM685" s="11" t="str">
        <f t="shared" si="838"/>
        <v>Stocks</v>
      </c>
      <c r="AN685" t="str">
        <f t="shared" si="844"/>
        <v>Buy</v>
      </c>
      <c r="AO685" s="13">
        <f t="shared" si="845"/>
        <v>4.7000000000000002E-3</v>
      </c>
      <c r="AP685" s="13">
        <f t="shared" si="846"/>
        <v>5.9999999999999995E-4</v>
      </c>
      <c r="AQ685" s="13">
        <f t="shared" si="847"/>
        <v>4.7000000000000002E-3</v>
      </c>
      <c r="AR685" s="13">
        <f t="shared" si="839"/>
        <v>4.7000000000000002E-3</v>
      </c>
      <c r="AS685" s="6">
        <f t="shared" si="831"/>
        <v>305.83421112919297</v>
      </c>
      <c r="AT685" s="6">
        <f t="shared" si="832"/>
        <v>164.52411299285146</v>
      </c>
      <c r="AU685" s="6">
        <f t="shared" si="833"/>
        <v>353.14472429963189</v>
      </c>
      <c r="AV685" s="6">
        <f t="shared" si="834"/>
        <v>432.91482174494411</v>
      </c>
      <c r="AW685" s="58">
        <f t="shared" si="840"/>
        <v>2005</v>
      </c>
      <c r="AX685" s="58">
        <f>COUNTIF(AW$3:AW685,AW685)</f>
        <v>24</v>
      </c>
    </row>
    <row r="686" spans="1:50" x14ac:dyDescent="0.25">
      <c r="A686" s="5">
        <v>38543</v>
      </c>
      <c r="B686">
        <v>1211.8599999999999</v>
      </c>
      <c r="C686">
        <v>3.11</v>
      </c>
      <c r="D686" s="6">
        <v>11.45</v>
      </c>
      <c r="E686" s="18">
        <f t="shared" si="853"/>
        <v>11.68</v>
      </c>
      <c r="F686">
        <f t="shared" si="854"/>
        <v>2</v>
      </c>
      <c r="G686" s="18">
        <f>ROUND(INDEX(Valuation!U:U,MATCH(A686,Valuation!A:A,0)),2)</f>
        <v>195.89</v>
      </c>
      <c r="H686">
        <f t="shared" si="861"/>
        <v>2</v>
      </c>
      <c r="I686" s="18">
        <f>INDEX(WeeklyIndicators!Y:Y,MATCH(A686,WeeklyIndicators!A:A,0))</f>
        <v>136.33000000000001</v>
      </c>
      <c r="J686">
        <f t="shared" si="850"/>
        <v>1</v>
      </c>
      <c r="K686">
        <f>ROUND(INDEX(Economic!AF:AF,MATCH(EOMONTH($A686,-1),Economic!A:A,0)),2)</f>
        <v>109.97</v>
      </c>
      <c r="L686" s="11">
        <f t="shared" si="859"/>
        <v>0</v>
      </c>
      <c r="M686">
        <f>ROUND(INDEX(Manufacturing!P:P,MATCH(EOMONTH($A686,-1),Manufacturing!A:A,0)),2)</f>
        <v>85.9</v>
      </c>
      <c r="N686">
        <f t="shared" si="855"/>
        <v>0</v>
      </c>
      <c r="O686">
        <f>ROUND(INDEX(Housing!AC:AC,MATCH(EOMONTH($A686,-1),Housing!B:B,0)),2)</f>
        <v>133.41</v>
      </c>
      <c r="P686">
        <f t="shared" si="856"/>
        <v>2</v>
      </c>
      <c r="Q686">
        <f>ROUND(INDEX(Spending!AJ:AJ,MATCH(EOMONTH($A686,-1),Spending!B:B,0)),2)</f>
        <v>55.2</v>
      </c>
      <c r="R686">
        <f t="shared" si="860"/>
        <v>1</v>
      </c>
      <c r="S686">
        <f>ROUND(INDEX(Employment!V:V,MATCH(EOMONTH($A686,-1),Employment!A:A,0)),2)</f>
        <v>177</v>
      </c>
      <c r="T686" s="11">
        <f t="shared" si="857"/>
        <v>2</v>
      </c>
      <c r="U686">
        <f t="shared" si="849"/>
        <v>30</v>
      </c>
      <c r="V686">
        <f t="shared" si="841"/>
        <v>76.12</v>
      </c>
      <c r="W686" s="13">
        <f t="shared" si="842"/>
        <v>-4.8999999999999998E-3</v>
      </c>
      <c r="X686" s="13">
        <f t="shared" si="843"/>
        <v>-1.3499999999999998E-2</v>
      </c>
      <c r="Y686">
        <f t="shared" si="835"/>
        <v>88.19</v>
      </c>
      <c r="Z686" s="13">
        <f t="shared" si="830"/>
        <v>-6.0000000000000001E-3</v>
      </c>
      <c r="AA686" s="13">
        <f t="shared" si="826"/>
        <v>-9.0000000000000011E-3</v>
      </c>
      <c r="AB686" s="6">
        <f t="shared" si="836"/>
        <v>102.07899999999999</v>
      </c>
      <c r="AC686">
        <f t="shared" si="828"/>
        <v>51</v>
      </c>
      <c r="AD686" s="11">
        <f t="shared" si="829"/>
        <v>2</v>
      </c>
      <c r="AE686">
        <f t="shared" si="827"/>
        <v>34</v>
      </c>
      <c r="AF686">
        <f>IF(AND(AE686&lt;15,OR(AC686&gt;=30,AA686&gt;0.15,X686&gt;=0.15)),2,VLOOKUP(AE686,Table!P:Q,2,FALSE))</f>
        <v>5</v>
      </c>
      <c r="AG686" s="22">
        <f>IF((AB686*0.98)-(D686*0.8)+((AF686-3)*3)+VLOOKUP(AM686,Table!$A$11:$B$13,2,FALSE)&lt;0,0,(AB686*0.98)-(D686*0.8)+((AF686-3)*3)+VLOOKUP(AM686,Table!$A$11:$B$13,2,FALSE))</f>
        <v>104.87742</v>
      </c>
      <c r="AH686" s="22">
        <f t="shared" si="858"/>
        <v>100</v>
      </c>
      <c r="AI686" s="18">
        <f t="shared" si="851"/>
        <v>2.9</v>
      </c>
      <c r="AJ686" s="18">
        <f t="shared" si="852"/>
        <v>2.52</v>
      </c>
      <c r="AK686" t="str">
        <f t="shared" si="837"/>
        <v>Rising Rates</v>
      </c>
      <c r="AL686">
        <f t="shared" si="848"/>
        <v>34</v>
      </c>
      <c r="AM686" s="11" t="str">
        <f t="shared" si="838"/>
        <v>Stocks</v>
      </c>
      <c r="AN686" t="str">
        <f t="shared" si="844"/>
        <v>Buy</v>
      </c>
      <c r="AO686" s="13">
        <f t="shared" si="845"/>
        <v>1.3299999999999999E-2</v>
      </c>
      <c r="AP686" s="13">
        <f t="shared" si="846"/>
        <v>5.9999999999999995E-4</v>
      </c>
      <c r="AQ686" s="13">
        <f t="shared" si="847"/>
        <v>1.3299999999999999E-2</v>
      </c>
      <c r="AR686" s="13">
        <f t="shared" si="839"/>
        <v>1.3299999999999999E-2</v>
      </c>
      <c r="AS686" s="6">
        <f t="shared" si="831"/>
        <v>301.82000506187006</v>
      </c>
      <c r="AT686" s="6">
        <f t="shared" si="832"/>
        <v>164.42545771822054</v>
      </c>
      <c r="AU686" s="6">
        <f t="shared" si="833"/>
        <v>348.50954732027225</v>
      </c>
      <c r="AV686" s="6">
        <f t="shared" si="834"/>
        <v>427.23262779526704</v>
      </c>
      <c r="AW686" s="58">
        <f t="shared" si="840"/>
        <v>2005</v>
      </c>
      <c r="AX686" s="58">
        <f>COUNTIF(AW$3:AW686,AW686)</f>
        <v>25</v>
      </c>
    </row>
    <row r="687" spans="1:50" x14ac:dyDescent="0.25">
      <c r="A687" s="5">
        <v>38536</v>
      </c>
      <c r="B687">
        <v>1194.44</v>
      </c>
      <c r="C687">
        <v>3.08</v>
      </c>
      <c r="D687" s="6">
        <v>11.4</v>
      </c>
      <c r="E687" s="18">
        <f t="shared" si="853"/>
        <v>11.69</v>
      </c>
      <c r="F687">
        <f t="shared" si="854"/>
        <v>2</v>
      </c>
      <c r="G687" s="18">
        <f>ROUND(INDEX(Valuation!U:U,MATCH(A687,Valuation!A:A,0)),2)</f>
        <v>198.14</v>
      </c>
      <c r="H687">
        <f t="shared" si="861"/>
        <v>2</v>
      </c>
      <c r="I687" s="18">
        <f>INDEX(WeeklyIndicators!Y:Y,MATCH(A687,WeeklyIndicators!A:A,0))</f>
        <v>133.81</v>
      </c>
      <c r="J687">
        <f t="shared" si="850"/>
        <v>0</v>
      </c>
      <c r="K687">
        <f>ROUND(INDEX(Economic!AF:AF,MATCH(EOMONTH($A687,-1),Economic!A:A,0)),2)</f>
        <v>109.97</v>
      </c>
      <c r="L687" s="11">
        <f t="shared" si="859"/>
        <v>0</v>
      </c>
      <c r="M687">
        <f>ROUND(INDEX(Manufacturing!P:P,MATCH(EOMONTH($A687,-1),Manufacturing!A:A,0)),2)</f>
        <v>85.9</v>
      </c>
      <c r="N687">
        <f t="shared" si="855"/>
        <v>0</v>
      </c>
      <c r="O687">
        <f>ROUND(INDEX(Housing!AC:AC,MATCH(EOMONTH($A687,-1),Housing!B:B,0)),2)</f>
        <v>133.41</v>
      </c>
      <c r="P687">
        <f t="shared" si="856"/>
        <v>2</v>
      </c>
      <c r="Q687">
        <f>ROUND(INDEX(Spending!AJ:AJ,MATCH(EOMONTH($A687,-1),Spending!B:B,0)),2)</f>
        <v>55.2</v>
      </c>
      <c r="R687">
        <f t="shared" si="860"/>
        <v>1</v>
      </c>
      <c r="S687">
        <f>ROUND(INDEX(Employment!V:V,MATCH(EOMONTH($A687,-1),Employment!A:A,0)),2)</f>
        <v>177</v>
      </c>
      <c r="T687" s="11">
        <f t="shared" si="857"/>
        <v>2</v>
      </c>
      <c r="U687">
        <f t="shared" si="849"/>
        <v>29</v>
      </c>
      <c r="V687">
        <f t="shared" si="841"/>
        <v>75.86</v>
      </c>
      <c r="W687" s="13">
        <f t="shared" si="842"/>
        <v>-4.4999999999999997E-3</v>
      </c>
      <c r="X687" s="13">
        <f t="shared" si="843"/>
        <v>-2.0799999999999999E-2</v>
      </c>
      <c r="Y687">
        <f t="shared" si="835"/>
        <v>88.17</v>
      </c>
      <c r="Z687" s="13">
        <f t="shared" si="830"/>
        <v>-4.1999999999999997E-3</v>
      </c>
      <c r="AA687" s="13">
        <f t="shared" si="826"/>
        <v>-9.7000000000000003E-3</v>
      </c>
      <c r="AB687" s="6">
        <f t="shared" si="836"/>
        <v>102.154</v>
      </c>
      <c r="AC687">
        <f t="shared" si="828"/>
        <v>51</v>
      </c>
      <c r="AD687" s="11">
        <f t="shared" si="829"/>
        <v>2</v>
      </c>
      <c r="AE687">
        <f t="shared" si="827"/>
        <v>33</v>
      </c>
      <c r="AF687">
        <f>IF(AND(AE687&lt;15,OR(AC687&gt;=30,AA687&gt;0.15,X687&gt;=0.15)),2,VLOOKUP(AE687,Table!P:Q,2,FALSE))</f>
        <v>5</v>
      </c>
      <c r="AG687" s="22">
        <f>IF((AB687*0.98)-(D687*0.8)+((AF687-3)*3)+VLOOKUP(AM687,Table!$A$11:$B$13,2,FALSE)&lt;0,0,(AB687*0.98)-(D687*0.8)+((AF687-3)*3)+VLOOKUP(AM687,Table!$A$11:$B$13,2,FALSE))</f>
        <v>104.99091999999999</v>
      </c>
      <c r="AH687" s="22">
        <f t="shared" si="858"/>
        <v>100</v>
      </c>
      <c r="AI687" s="18">
        <f t="shared" si="851"/>
        <v>2.87</v>
      </c>
      <c r="AJ687" s="18">
        <f t="shared" si="852"/>
        <v>2.48</v>
      </c>
      <c r="AK687" t="str">
        <f t="shared" si="837"/>
        <v>Rising Rates</v>
      </c>
      <c r="AL687">
        <f t="shared" si="848"/>
        <v>34</v>
      </c>
      <c r="AM687" s="11" t="str">
        <f t="shared" si="838"/>
        <v>Stocks</v>
      </c>
      <c r="AN687" t="str">
        <f t="shared" si="844"/>
        <v>Buy</v>
      </c>
      <c r="AO687" s="13">
        <f t="shared" si="845"/>
        <v>1.46E-2</v>
      </c>
      <c r="AP687" s="13">
        <f t="shared" si="846"/>
        <v>5.9999999999999995E-4</v>
      </c>
      <c r="AQ687" s="13">
        <f t="shared" si="847"/>
        <v>1.46E-2</v>
      </c>
      <c r="AR687" s="13">
        <f t="shared" si="839"/>
        <v>1.46E-2</v>
      </c>
      <c r="AS687" s="6">
        <f t="shared" si="831"/>
        <v>297.47684315185302</v>
      </c>
      <c r="AT687" s="6">
        <f t="shared" si="832"/>
        <v>164.32686160125979</v>
      </c>
      <c r="AU687" s="6">
        <f t="shared" si="833"/>
        <v>343.4945272228191</v>
      </c>
      <c r="AV687" s="6">
        <f t="shared" si="834"/>
        <v>421.08478986326344</v>
      </c>
      <c r="AW687" s="58">
        <f t="shared" si="840"/>
        <v>2005</v>
      </c>
      <c r="AX687" s="58">
        <f>COUNTIF(AW$3:AW687,AW687)</f>
        <v>26</v>
      </c>
    </row>
    <row r="688" spans="1:50" x14ac:dyDescent="0.25">
      <c r="A688" s="5">
        <v>38529</v>
      </c>
      <c r="B688">
        <v>1191.57</v>
      </c>
      <c r="C688">
        <v>2.98</v>
      </c>
      <c r="D688" s="6">
        <v>12.18</v>
      </c>
      <c r="E688" s="18">
        <f t="shared" si="853"/>
        <v>11.87</v>
      </c>
      <c r="F688">
        <f t="shared" si="854"/>
        <v>2</v>
      </c>
      <c r="G688" s="18">
        <f>ROUND(INDEX(Valuation!U:U,MATCH(A688,Valuation!A:A,0)),2)</f>
        <v>199.52</v>
      </c>
      <c r="H688">
        <f t="shared" si="861"/>
        <v>2</v>
      </c>
      <c r="I688" s="18">
        <f>INDEX(WeeklyIndicators!Y:Y,MATCH(A688,WeeklyIndicators!A:A,0))</f>
        <v>133.16</v>
      </c>
      <c r="J688">
        <f t="shared" si="850"/>
        <v>0</v>
      </c>
      <c r="K688">
        <f>ROUND(INDEX(Economic!AF:AF,MATCH(EOMONTH($A688,-1),Economic!A:A,0)),2)</f>
        <v>113.8</v>
      </c>
      <c r="L688" s="11">
        <f t="shared" si="859"/>
        <v>1</v>
      </c>
      <c r="M688">
        <f>ROUND(INDEX(Manufacturing!P:P,MATCH(EOMONTH($A688,-1),Manufacturing!A:A,0)),2)</f>
        <v>91.45</v>
      </c>
      <c r="N688">
        <f t="shared" si="855"/>
        <v>1</v>
      </c>
      <c r="O688">
        <f>ROUND(INDEX(Housing!AC:AC,MATCH(EOMONTH($A688,-1),Housing!B:B,0)),2)</f>
        <v>139.16</v>
      </c>
      <c r="P688">
        <f t="shared" si="856"/>
        <v>2</v>
      </c>
      <c r="Q688">
        <f>ROUND(INDEX(Spending!AJ:AJ,MATCH(EOMONTH($A688,-1),Spending!B:B,0)),2)</f>
        <v>56.43</v>
      </c>
      <c r="R688">
        <f t="shared" si="860"/>
        <v>1</v>
      </c>
      <c r="S688">
        <f>ROUND(INDEX(Employment!V:V,MATCH(EOMONTH($A688,-1),Employment!A:A,0)),2)</f>
        <v>173.62</v>
      </c>
      <c r="T688" s="11">
        <f t="shared" si="857"/>
        <v>1</v>
      </c>
      <c r="U688">
        <f t="shared" si="849"/>
        <v>30</v>
      </c>
      <c r="V688">
        <f t="shared" si="841"/>
        <v>77.31</v>
      </c>
      <c r="W688" s="13">
        <f t="shared" si="842"/>
        <v>2.8E-3</v>
      </c>
      <c r="X688" s="13">
        <f t="shared" si="843"/>
        <v>-3.15E-2</v>
      </c>
      <c r="Y688">
        <f t="shared" si="835"/>
        <v>89.72</v>
      </c>
      <c r="Z688" s="13">
        <f t="shared" si="830"/>
        <v>3.5000000000000001E-3</v>
      </c>
      <c r="AA688" s="13">
        <f t="shared" si="826"/>
        <v>-1.54E-2</v>
      </c>
      <c r="AB688" s="6">
        <f t="shared" si="836"/>
        <v>103.402</v>
      </c>
      <c r="AC688">
        <f t="shared" si="828"/>
        <v>52</v>
      </c>
      <c r="AD688" s="11">
        <f t="shared" si="829"/>
        <v>2</v>
      </c>
      <c r="AE688">
        <f t="shared" si="827"/>
        <v>34</v>
      </c>
      <c r="AF688">
        <f>IF(AND(AE688&lt;15,OR(AC688&gt;=30,AA688&gt;0.15,X688&gt;=0.15)),2,VLOOKUP(AE688,Table!P:Q,2,FALSE))</f>
        <v>5</v>
      </c>
      <c r="AG688" s="22">
        <f>IF((AB688*0.98)-(D688*0.8)+((AF688-3)*3)+VLOOKUP(AM688,Table!$A$11:$B$13,2,FALSE)&lt;0,0,(AB688*0.98)-(D688*0.8)+((AF688-3)*3)+VLOOKUP(AM688,Table!$A$11:$B$13,2,FALSE))</f>
        <v>105.58996</v>
      </c>
      <c r="AH688" s="22">
        <f t="shared" si="858"/>
        <v>100</v>
      </c>
      <c r="AI688" s="18">
        <f t="shared" si="851"/>
        <v>2.85</v>
      </c>
      <c r="AJ688" s="18">
        <f t="shared" si="852"/>
        <v>2.44</v>
      </c>
      <c r="AK688" t="str">
        <f t="shared" si="837"/>
        <v>Rising Rates</v>
      </c>
      <c r="AL688">
        <f t="shared" si="848"/>
        <v>34.25</v>
      </c>
      <c r="AM688" s="11" t="str">
        <f t="shared" si="838"/>
        <v>Stocks</v>
      </c>
      <c r="AN688" t="str">
        <f t="shared" si="844"/>
        <v>Buy</v>
      </c>
      <c r="AO688" s="13">
        <f t="shared" si="845"/>
        <v>2.3999999999999998E-3</v>
      </c>
      <c r="AP688" s="13">
        <f t="shared" si="846"/>
        <v>5.9999999999999995E-4</v>
      </c>
      <c r="AQ688" s="13">
        <f t="shared" si="847"/>
        <v>2.3999999999999998E-3</v>
      </c>
      <c r="AR688" s="13">
        <f t="shared" si="839"/>
        <v>2.3999999999999998E-3</v>
      </c>
      <c r="AS688" s="6">
        <f t="shared" si="831"/>
        <v>296.76460809243122</v>
      </c>
      <c r="AT688" s="6">
        <f t="shared" si="832"/>
        <v>164.2283246064959</v>
      </c>
      <c r="AU688" s="6">
        <f t="shared" si="833"/>
        <v>342.67211414886185</v>
      </c>
      <c r="AV688" s="6">
        <f t="shared" si="834"/>
        <v>420.07660600884225</v>
      </c>
      <c r="AW688" s="58">
        <f t="shared" si="840"/>
        <v>2005</v>
      </c>
      <c r="AX688" s="58">
        <f>COUNTIF(AW$3:AW688,AW688)</f>
        <v>27</v>
      </c>
    </row>
    <row r="689" spans="1:50" x14ac:dyDescent="0.25">
      <c r="A689" s="5">
        <v>38522</v>
      </c>
      <c r="B689">
        <v>1216.96</v>
      </c>
      <c r="C689">
        <v>2.94</v>
      </c>
      <c r="D689" s="6">
        <v>11.48</v>
      </c>
      <c r="E689" s="18">
        <f t="shared" si="853"/>
        <v>11.86</v>
      </c>
      <c r="F689">
        <f t="shared" si="854"/>
        <v>2</v>
      </c>
      <c r="G689" s="18">
        <f>ROUND(INDEX(Valuation!U:U,MATCH(A689,Valuation!A:A,0)),2)</f>
        <v>200.71</v>
      </c>
      <c r="H689">
        <f t="shared" si="861"/>
        <v>3</v>
      </c>
      <c r="I689" s="18">
        <f>INDEX(WeeklyIndicators!Y:Y,MATCH(A689,WeeklyIndicators!A:A,0))</f>
        <v>132.54</v>
      </c>
      <c r="J689">
        <f t="shared" si="850"/>
        <v>0</v>
      </c>
      <c r="K689">
        <f>ROUND(INDEX(Economic!AF:AF,MATCH(EOMONTH($A689,-1),Economic!A:A,0)),2)</f>
        <v>113.8</v>
      </c>
      <c r="L689" s="11">
        <f t="shared" si="859"/>
        <v>1</v>
      </c>
      <c r="M689">
        <f>ROUND(INDEX(Manufacturing!P:P,MATCH(EOMONTH($A689,-1),Manufacturing!A:A,0)),2)</f>
        <v>91.45</v>
      </c>
      <c r="N689">
        <f t="shared" si="855"/>
        <v>1</v>
      </c>
      <c r="O689">
        <f>ROUND(INDEX(Housing!AC:AC,MATCH(EOMONTH($A689,-1),Housing!B:B,0)),2)</f>
        <v>139.16</v>
      </c>
      <c r="P689">
        <f t="shared" si="856"/>
        <v>2</v>
      </c>
      <c r="Q689">
        <f>ROUND(INDEX(Spending!AJ:AJ,MATCH(EOMONTH($A689,-1),Spending!B:B,0)),2)</f>
        <v>56.43</v>
      </c>
      <c r="R689">
        <f t="shared" si="860"/>
        <v>1</v>
      </c>
      <c r="S689">
        <f>ROUND(INDEX(Employment!V:V,MATCH(EOMONTH($A689,-1),Employment!A:A,0)),2)</f>
        <v>173.62</v>
      </c>
      <c r="T689" s="11">
        <f t="shared" si="857"/>
        <v>1</v>
      </c>
      <c r="U689">
        <f t="shared" si="849"/>
        <v>31</v>
      </c>
      <c r="V689">
        <f t="shared" si="841"/>
        <v>77.25</v>
      </c>
      <c r="W689" s="13">
        <f t="shared" si="842"/>
        <v>-6.8999999999999999E-3</v>
      </c>
      <c r="X689" s="13">
        <f t="shared" si="843"/>
        <v>-3.9099999999999996E-2</v>
      </c>
      <c r="Y689">
        <f t="shared" si="835"/>
        <v>89.79</v>
      </c>
      <c r="Z689" s="13">
        <f t="shared" si="830"/>
        <v>-2.3E-3</v>
      </c>
      <c r="AA689" s="13">
        <f t="shared" si="826"/>
        <v>-2.0900000000000002E-2</v>
      </c>
      <c r="AB689" s="6">
        <f t="shared" si="836"/>
        <v>103.14099999999999</v>
      </c>
      <c r="AC689">
        <f t="shared" si="828"/>
        <v>52</v>
      </c>
      <c r="AD689" s="11">
        <f t="shared" si="829"/>
        <v>2</v>
      </c>
      <c r="AE689">
        <f t="shared" si="827"/>
        <v>35</v>
      </c>
      <c r="AF689">
        <f>IF(AND(AE689&lt;15,OR(AC689&gt;=30,AA689&gt;0.15,X689&gt;=0.15)),2,VLOOKUP(AE689,Table!P:Q,2,FALSE))</f>
        <v>5</v>
      </c>
      <c r="AG689" s="22">
        <f>IF((AB689*0.98)-(D689*0.8)+((AF689-3)*3)+VLOOKUP(AM689,Table!$A$11:$B$13,2,FALSE)&lt;0,0,(AB689*0.98)-(D689*0.8)+((AF689-3)*3)+VLOOKUP(AM689,Table!$A$11:$B$13,2,FALSE))</f>
        <v>105.89417999999999</v>
      </c>
      <c r="AH689" s="22">
        <f t="shared" si="858"/>
        <v>100</v>
      </c>
      <c r="AI689" s="18">
        <f t="shared" si="851"/>
        <v>2.84</v>
      </c>
      <c r="AJ689" s="18">
        <f t="shared" si="852"/>
        <v>2.41</v>
      </c>
      <c r="AK689" t="str">
        <f t="shared" si="837"/>
        <v>Rising Rates</v>
      </c>
      <c r="AL689">
        <f t="shared" si="848"/>
        <v>34.75</v>
      </c>
      <c r="AM689" s="11" t="str">
        <f t="shared" si="838"/>
        <v>Stocks</v>
      </c>
      <c r="AN689" t="str">
        <f t="shared" si="844"/>
        <v>Buy</v>
      </c>
      <c r="AO689" s="13">
        <f t="shared" si="845"/>
        <v>-2.0899999999999998E-2</v>
      </c>
      <c r="AP689" s="13">
        <f t="shared" si="846"/>
        <v>5.9999999999999995E-4</v>
      </c>
      <c r="AQ689" s="13">
        <f t="shared" si="847"/>
        <v>-2.0899999999999998E-2</v>
      </c>
      <c r="AR689" s="13">
        <f t="shared" si="839"/>
        <v>-2.0899999999999998E-2</v>
      </c>
      <c r="AS689" s="6">
        <f t="shared" si="831"/>
        <v>303.09938524403151</v>
      </c>
      <c r="AT689" s="6">
        <f t="shared" si="832"/>
        <v>164.12984669847683</v>
      </c>
      <c r="AU689" s="6">
        <f t="shared" si="833"/>
        <v>349.98683908575413</v>
      </c>
      <c r="AV689" s="6">
        <f t="shared" si="834"/>
        <v>429.04361761703836</v>
      </c>
      <c r="AW689" s="58">
        <f t="shared" si="840"/>
        <v>2005</v>
      </c>
      <c r="AX689" s="58">
        <f>COUNTIF(AW$3:AW689,AW689)</f>
        <v>28</v>
      </c>
    </row>
    <row r="690" spans="1:50" x14ac:dyDescent="0.25">
      <c r="A690" s="5">
        <v>38515</v>
      </c>
      <c r="B690">
        <v>1198.1099999999999</v>
      </c>
      <c r="C690">
        <v>2.95</v>
      </c>
      <c r="D690" s="6">
        <v>11.96</v>
      </c>
      <c r="E690" s="18">
        <f t="shared" si="853"/>
        <v>12.09</v>
      </c>
      <c r="F690">
        <f t="shared" si="854"/>
        <v>2</v>
      </c>
      <c r="G690" s="18">
        <f>ROUND(INDEX(Valuation!U:U,MATCH(A690,Valuation!A:A,0)),2)</f>
        <v>199.91</v>
      </c>
      <c r="H690">
        <f t="shared" si="861"/>
        <v>2</v>
      </c>
      <c r="I690" s="18">
        <f>INDEX(WeeklyIndicators!Y:Y,MATCH(A690,WeeklyIndicators!A:A,0))</f>
        <v>129.30000000000001</v>
      </c>
      <c r="J690">
        <f t="shared" si="850"/>
        <v>0</v>
      </c>
      <c r="K690">
        <f>ROUND(INDEX(Economic!AF:AF,MATCH(EOMONTH($A690,-1),Economic!A:A,0)),2)</f>
        <v>113.8</v>
      </c>
      <c r="L690" s="11">
        <f t="shared" si="859"/>
        <v>1</v>
      </c>
      <c r="M690">
        <f>ROUND(INDEX(Manufacturing!P:P,MATCH(EOMONTH($A690,-1),Manufacturing!A:A,0)),2)</f>
        <v>91.45</v>
      </c>
      <c r="N690">
        <f t="shared" si="855"/>
        <v>1</v>
      </c>
      <c r="O690">
        <f>ROUND(INDEX(Housing!AC:AC,MATCH(EOMONTH($A690,-1),Housing!B:B,0)),2)</f>
        <v>139.16</v>
      </c>
      <c r="P690">
        <f t="shared" si="856"/>
        <v>2</v>
      </c>
      <c r="Q690">
        <f>ROUND(INDEX(Spending!AJ:AJ,MATCH(EOMONTH($A690,-1),Spending!B:B,0)),2)</f>
        <v>56.43</v>
      </c>
      <c r="R690">
        <f t="shared" si="860"/>
        <v>1</v>
      </c>
      <c r="S690">
        <f>ROUND(INDEX(Employment!V:V,MATCH(EOMONTH($A690,-1),Employment!A:A,0)),2)</f>
        <v>173.62</v>
      </c>
      <c r="T690" s="11">
        <f t="shared" si="857"/>
        <v>1</v>
      </c>
      <c r="U690">
        <f t="shared" si="849"/>
        <v>30</v>
      </c>
      <c r="V690">
        <f t="shared" si="841"/>
        <v>76.91</v>
      </c>
      <c r="W690" s="13">
        <f t="shared" si="842"/>
        <v>-1.2200000000000001E-2</v>
      </c>
      <c r="X690" s="13">
        <f t="shared" si="843"/>
        <v>-2.9100000000000001E-2</v>
      </c>
      <c r="Y690">
        <f t="shared" si="835"/>
        <v>89.29</v>
      </c>
      <c r="Z690" s="13">
        <f t="shared" si="830"/>
        <v>-6.7000000000000002E-3</v>
      </c>
      <c r="AA690" s="13">
        <f t="shared" si="826"/>
        <v>-1.1699999999999999E-2</v>
      </c>
      <c r="AB690" s="6">
        <f t="shared" si="836"/>
        <v>103.271</v>
      </c>
      <c r="AC690">
        <f t="shared" si="828"/>
        <v>52</v>
      </c>
      <c r="AD690" s="11">
        <f t="shared" si="829"/>
        <v>2</v>
      </c>
      <c r="AE690">
        <f t="shared" si="827"/>
        <v>34</v>
      </c>
      <c r="AF690">
        <f>IF(AND(AE690&lt;15,OR(AC690&gt;=30,AA690&gt;0.15,X690&gt;=0.15)),2,VLOOKUP(AE690,Table!P:Q,2,FALSE))</f>
        <v>5</v>
      </c>
      <c r="AG690" s="22">
        <f>IF((AB690*0.98)-(D690*0.8)+((AF690-3)*3)+VLOOKUP(AM690,Table!$A$11:$B$13,2,FALSE)&lt;0,0,(AB690*0.98)-(D690*0.8)+((AF690-3)*3)+VLOOKUP(AM690,Table!$A$11:$B$13,2,FALSE))</f>
        <v>105.63758</v>
      </c>
      <c r="AH690" s="22">
        <f t="shared" si="858"/>
        <v>100</v>
      </c>
      <c r="AI690" s="18">
        <f t="shared" si="851"/>
        <v>2.82</v>
      </c>
      <c r="AJ690" s="18">
        <f t="shared" si="852"/>
        <v>2.38</v>
      </c>
      <c r="AK690" t="str">
        <f t="shared" si="837"/>
        <v>Rising Rates</v>
      </c>
      <c r="AL690">
        <f t="shared" si="848"/>
        <v>35</v>
      </c>
      <c r="AM690" s="11" t="str">
        <f t="shared" si="838"/>
        <v>Stocks</v>
      </c>
      <c r="AN690" t="str">
        <f t="shared" si="844"/>
        <v>Buy</v>
      </c>
      <c r="AO690" s="13">
        <f t="shared" si="845"/>
        <v>1.5699999999999999E-2</v>
      </c>
      <c r="AP690" s="13">
        <f t="shared" si="846"/>
        <v>5.9999999999999995E-4</v>
      </c>
      <c r="AQ690" s="13">
        <f t="shared" si="847"/>
        <v>1.5699999999999999E-2</v>
      </c>
      <c r="AR690" s="13">
        <f t="shared" si="839"/>
        <v>1.5699999999999999E-2</v>
      </c>
      <c r="AS690" s="6">
        <f t="shared" si="831"/>
        <v>298.41428103183176</v>
      </c>
      <c r="AT690" s="6">
        <f t="shared" si="832"/>
        <v>164.03142784177177</v>
      </c>
      <c r="AU690" s="6">
        <f t="shared" si="833"/>
        <v>344.57698049202924</v>
      </c>
      <c r="AV690" s="6">
        <f t="shared" si="834"/>
        <v>422.41175309347085</v>
      </c>
      <c r="AW690" s="58">
        <f t="shared" si="840"/>
        <v>2005</v>
      </c>
      <c r="AX690" s="58">
        <f>COUNTIF(AW$3:AW690,AW690)</f>
        <v>29</v>
      </c>
    </row>
    <row r="691" spans="1:50" x14ac:dyDescent="0.25">
      <c r="A691" s="5">
        <v>38508</v>
      </c>
      <c r="B691">
        <v>1196.02</v>
      </c>
      <c r="C691">
        <v>2.92</v>
      </c>
      <c r="D691" s="6">
        <v>12.15</v>
      </c>
      <c r="E691" s="18">
        <f t="shared" si="853"/>
        <v>12.48</v>
      </c>
      <c r="F691">
        <f t="shared" si="854"/>
        <v>2</v>
      </c>
      <c r="G691" s="18">
        <f>ROUND(INDEX(Valuation!U:U,MATCH(A691,Valuation!A:A,0)),2)</f>
        <v>198.66</v>
      </c>
      <c r="H691">
        <f t="shared" si="861"/>
        <v>2</v>
      </c>
      <c r="I691" s="18">
        <f>INDEX(WeeklyIndicators!Y:Y,MATCH(A691,WeeklyIndicators!A:A,0))</f>
        <v>126.97</v>
      </c>
      <c r="J691">
        <f t="shared" si="850"/>
        <v>0</v>
      </c>
      <c r="K691">
        <f>ROUND(INDEX(Economic!AF:AF,MATCH(EOMONTH($A691,-1),Economic!A:A,0)),2)</f>
        <v>113.8</v>
      </c>
      <c r="L691" s="11">
        <f t="shared" si="859"/>
        <v>1</v>
      </c>
      <c r="M691">
        <f>ROUND(INDEX(Manufacturing!P:P,MATCH(EOMONTH($A691,-1),Manufacturing!A:A,0)),2)</f>
        <v>91.45</v>
      </c>
      <c r="N691">
        <f t="shared" si="855"/>
        <v>1</v>
      </c>
      <c r="O691">
        <f>ROUND(INDEX(Housing!AC:AC,MATCH(EOMONTH($A691,-1),Housing!B:B,0)),2)</f>
        <v>139.16</v>
      </c>
      <c r="P691">
        <f t="shared" si="856"/>
        <v>2</v>
      </c>
      <c r="Q691">
        <f>ROUND(INDEX(Spending!AJ:AJ,MATCH(EOMONTH($A691,-1),Spending!B:B,0)),2)</f>
        <v>56.43</v>
      </c>
      <c r="R691">
        <f t="shared" si="860"/>
        <v>1</v>
      </c>
      <c r="S691">
        <f>ROUND(INDEX(Employment!V:V,MATCH(EOMONTH($A691,-1),Employment!A:A,0)),2)</f>
        <v>173.62</v>
      </c>
      <c r="T691" s="11">
        <f t="shared" si="857"/>
        <v>1</v>
      </c>
      <c r="U691">
        <f t="shared" si="849"/>
        <v>30</v>
      </c>
      <c r="V691">
        <f t="shared" si="841"/>
        <v>76.67</v>
      </c>
      <c r="W691" s="13">
        <f t="shared" si="842"/>
        <v>-1.52E-2</v>
      </c>
      <c r="X691" s="13">
        <f t="shared" si="843"/>
        <v>-1.5900000000000001E-2</v>
      </c>
      <c r="Y691">
        <f t="shared" si="835"/>
        <v>88.77</v>
      </c>
      <c r="Z691" s="13">
        <f t="shared" si="830"/>
        <v>-9.9000000000000008E-3</v>
      </c>
      <c r="AA691" s="13">
        <f t="shared" ref="AA691:AA754" si="862">SUM(Z691:Z694)</f>
        <v>0</v>
      </c>
      <c r="AB691" s="6">
        <f t="shared" si="836"/>
        <v>103.536</v>
      </c>
      <c r="AC691">
        <f t="shared" si="828"/>
        <v>52</v>
      </c>
      <c r="AD691" s="11">
        <f t="shared" si="829"/>
        <v>2</v>
      </c>
      <c r="AE691">
        <f t="shared" si="827"/>
        <v>34</v>
      </c>
      <c r="AF691">
        <f>IF(AND(AE691&lt;15,OR(AC691&gt;=30,AA691&gt;0.15,X691&gt;=0.15)),2,VLOOKUP(AE691,Table!P:Q,2,FALSE))</f>
        <v>5</v>
      </c>
      <c r="AG691" s="22">
        <f>IF((AB691*0.98)-(D691*0.8)+((AF691-3)*3)+VLOOKUP(AM691,Table!$A$11:$B$13,2,FALSE)&lt;0,0,(AB691*0.98)-(D691*0.8)+((AF691-3)*3)+VLOOKUP(AM691,Table!$A$11:$B$13,2,FALSE))</f>
        <v>105.74527999999999</v>
      </c>
      <c r="AH691" s="22">
        <f t="shared" si="858"/>
        <v>100</v>
      </c>
      <c r="AI691" s="18">
        <f t="shared" si="851"/>
        <v>2.8</v>
      </c>
      <c r="AJ691" s="18">
        <f t="shared" si="852"/>
        <v>2.34</v>
      </c>
      <c r="AK691" t="str">
        <f t="shared" si="837"/>
        <v>Rising Rates</v>
      </c>
      <c r="AL691">
        <f t="shared" si="848"/>
        <v>35.5</v>
      </c>
      <c r="AM691" s="11" t="str">
        <f t="shared" si="838"/>
        <v>Stocks</v>
      </c>
      <c r="AN691" t="str">
        <f t="shared" si="844"/>
        <v>Buy</v>
      </c>
      <c r="AO691" s="13">
        <f t="shared" si="845"/>
        <v>1.6999999999999999E-3</v>
      </c>
      <c r="AP691" s="13">
        <f t="shared" si="846"/>
        <v>5.9999999999999995E-4</v>
      </c>
      <c r="AQ691" s="13">
        <f t="shared" si="847"/>
        <v>1.6999999999999999E-3</v>
      </c>
      <c r="AR691" s="13">
        <f t="shared" si="839"/>
        <v>1.6999999999999999E-3</v>
      </c>
      <c r="AS691" s="6">
        <f t="shared" si="831"/>
        <v>297.90783770772862</v>
      </c>
      <c r="AT691" s="6">
        <f t="shared" si="832"/>
        <v>163.93306800097119</v>
      </c>
      <c r="AU691" s="6">
        <f t="shared" si="833"/>
        <v>343.99219376263272</v>
      </c>
      <c r="AV691" s="6">
        <f t="shared" si="834"/>
        <v>421.69487181139147</v>
      </c>
      <c r="AW691" s="58">
        <f t="shared" si="840"/>
        <v>2005</v>
      </c>
      <c r="AX691" s="58">
        <f>COUNTIF(AW$3:AW691,AW691)</f>
        <v>30</v>
      </c>
    </row>
    <row r="692" spans="1:50" x14ac:dyDescent="0.25">
      <c r="A692" s="5">
        <v>38501</v>
      </c>
      <c r="B692">
        <v>1198.78</v>
      </c>
      <c r="C692">
        <v>2.89</v>
      </c>
      <c r="D692" s="6">
        <v>12.15</v>
      </c>
      <c r="E692" s="18">
        <f t="shared" si="853"/>
        <v>13.87</v>
      </c>
      <c r="F692">
        <f t="shared" si="854"/>
        <v>2</v>
      </c>
      <c r="G692" s="18">
        <f>ROUND(INDEX(Valuation!U:U,MATCH(A692,Valuation!A:A,0)),2)</f>
        <v>198.15</v>
      </c>
      <c r="H692">
        <f t="shared" si="861"/>
        <v>2</v>
      </c>
      <c r="I692" s="18">
        <f>INDEX(WeeklyIndicators!Y:Y,MATCH(A692,WeeklyIndicators!A:A,0))</f>
        <v>129.6</v>
      </c>
      <c r="J692">
        <f t="shared" si="850"/>
        <v>0</v>
      </c>
      <c r="K692">
        <f>ROUND(INDEX(Economic!AF:AF,MATCH(EOMONTH($A692,-1),Economic!A:A,0)),2)</f>
        <v>119.99</v>
      </c>
      <c r="L692" s="11">
        <f t="shared" si="859"/>
        <v>1</v>
      </c>
      <c r="M692">
        <f>ROUND(INDEX(Manufacturing!P:P,MATCH(EOMONTH($A692,-1),Manufacturing!A:A,0)),2)</f>
        <v>95.9</v>
      </c>
      <c r="N692">
        <f t="shared" si="855"/>
        <v>1</v>
      </c>
      <c r="O692">
        <f>ROUND(INDEX(Housing!AC:AC,MATCH(EOMONTH($A692,-1),Housing!B:B,0)),2)</f>
        <v>140.11000000000001</v>
      </c>
      <c r="P692">
        <f t="shared" si="856"/>
        <v>3</v>
      </c>
      <c r="Q692">
        <f>ROUND(INDEX(Spending!AJ:AJ,MATCH(EOMONTH($A692,-1),Spending!B:B,0)),2)</f>
        <v>61.79</v>
      </c>
      <c r="R692">
        <f t="shared" si="860"/>
        <v>2</v>
      </c>
      <c r="S692">
        <f>ROUND(INDEX(Employment!V:V,MATCH(EOMONTH($A692,-1),Employment!A:A,0)),2)</f>
        <v>172.44</v>
      </c>
      <c r="T692" s="11">
        <f t="shared" si="857"/>
        <v>1</v>
      </c>
      <c r="U692">
        <f t="shared" si="849"/>
        <v>32</v>
      </c>
      <c r="V692">
        <f t="shared" si="841"/>
        <v>78.86</v>
      </c>
      <c r="W692" s="13">
        <f t="shared" si="842"/>
        <v>-4.7999999999999996E-3</v>
      </c>
      <c r="X692" s="13">
        <f t="shared" si="843"/>
        <v>1.3000000000000004E-3</v>
      </c>
      <c r="Y692">
        <f t="shared" si="835"/>
        <v>90.42</v>
      </c>
      <c r="Z692" s="13">
        <f t="shared" si="830"/>
        <v>-2E-3</v>
      </c>
      <c r="AA692" s="13">
        <f t="shared" si="862"/>
        <v>1.49E-2</v>
      </c>
      <c r="AB692" s="6">
        <f t="shared" si="836"/>
        <v>106.375</v>
      </c>
      <c r="AC692">
        <f t="shared" si="828"/>
        <v>53</v>
      </c>
      <c r="AD692" s="11">
        <f t="shared" si="829"/>
        <v>2</v>
      </c>
      <c r="AE692">
        <f t="shared" si="827"/>
        <v>36</v>
      </c>
      <c r="AF692">
        <f>IF(AND(AE692&lt;15,OR(AC692&gt;=30,AA692&gt;0.15,X692&gt;=0.15)),2,VLOOKUP(AE692,Table!P:Q,2,FALSE))</f>
        <v>5</v>
      </c>
      <c r="AG692" s="22">
        <f>IF((AB692*0.98)-(D692*0.8)+((AF692-3)*3)+VLOOKUP(AM692,Table!$A$11:$B$13,2,FALSE)&lt;0,0,(AB692*0.98)-(D692*0.8)+((AF692-3)*3)+VLOOKUP(AM692,Table!$A$11:$B$13,2,FALSE))</f>
        <v>108.5275</v>
      </c>
      <c r="AH692" s="22">
        <f t="shared" si="858"/>
        <v>100</v>
      </c>
      <c r="AI692" s="18">
        <f t="shared" si="851"/>
        <v>2.78</v>
      </c>
      <c r="AJ692" s="18">
        <f t="shared" si="852"/>
        <v>2.31</v>
      </c>
      <c r="AK692" t="str">
        <f t="shared" si="837"/>
        <v>Rising Rates</v>
      </c>
      <c r="AL692">
        <f t="shared" si="848"/>
        <v>36</v>
      </c>
      <c r="AM692" s="11" t="str">
        <f t="shared" si="838"/>
        <v>Stocks</v>
      </c>
      <c r="AN692" t="str">
        <f t="shared" si="844"/>
        <v>Buy</v>
      </c>
      <c r="AO692" s="13">
        <f t="shared" si="845"/>
        <v>-2.3E-3</v>
      </c>
      <c r="AP692" s="13">
        <f t="shared" si="846"/>
        <v>5.9999999999999995E-4</v>
      </c>
      <c r="AQ692" s="13">
        <f t="shared" si="847"/>
        <v>-2.3E-3</v>
      </c>
      <c r="AR692" s="13">
        <f t="shared" si="839"/>
        <v>-2.3E-3</v>
      </c>
      <c r="AS692" s="6">
        <f t="shared" si="831"/>
        <v>298.59460529991844</v>
      </c>
      <c r="AT692" s="6">
        <f t="shared" si="832"/>
        <v>163.83476714068678</v>
      </c>
      <c r="AU692" s="6">
        <f t="shared" si="833"/>
        <v>344.78519972199331</v>
      </c>
      <c r="AV692" s="6">
        <f t="shared" si="834"/>
        <v>422.667005925019</v>
      </c>
      <c r="AW692" s="58">
        <f t="shared" si="840"/>
        <v>2005</v>
      </c>
      <c r="AX692" s="58">
        <f>COUNTIF(AW$3:AW692,AW692)</f>
        <v>31</v>
      </c>
    </row>
    <row r="693" spans="1:50" x14ac:dyDescent="0.25">
      <c r="A693" s="5">
        <v>38494</v>
      </c>
      <c r="B693">
        <v>1189.28</v>
      </c>
      <c r="C693">
        <v>2.82</v>
      </c>
      <c r="D693" s="6">
        <v>13.14</v>
      </c>
      <c r="E693" s="18">
        <f t="shared" si="853"/>
        <v>14.5</v>
      </c>
      <c r="F693">
        <f t="shared" si="854"/>
        <v>1</v>
      </c>
      <c r="G693" s="18">
        <f>ROUND(INDEX(Valuation!U:U,MATCH(A693,Valuation!A:A,0)),2)</f>
        <v>198.15</v>
      </c>
      <c r="H693">
        <f t="shared" si="861"/>
        <v>2</v>
      </c>
      <c r="I693" s="18">
        <f>INDEX(WeeklyIndicators!Y:Y,MATCH(A693,WeeklyIndicators!A:A,0))</f>
        <v>138.41</v>
      </c>
      <c r="J693">
        <f t="shared" si="850"/>
        <v>1</v>
      </c>
      <c r="K693">
        <f>ROUND(INDEX(Economic!AF:AF,MATCH(EOMONTH($A693,-1),Economic!A:A,0)),2)</f>
        <v>119.99</v>
      </c>
      <c r="L693" s="11">
        <f t="shared" si="859"/>
        <v>1</v>
      </c>
      <c r="M693">
        <f>ROUND(INDEX(Manufacturing!P:P,MATCH(EOMONTH($A693,-1),Manufacturing!A:A,0)),2)</f>
        <v>95.9</v>
      </c>
      <c r="N693">
        <f t="shared" si="855"/>
        <v>1</v>
      </c>
      <c r="O693">
        <f>ROUND(INDEX(Housing!AC:AC,MATCH(EOMONTH($A693,-1),Housing!B:B,0)),2)</f>
        <v>140.11000000000001</v>
      </c>
      <c r="P693">
        <f t="shared" si="856"/>
        <v>3</v>
      </c>
      <c r="Q693">
        <f>ROUND(INDEX(Spending!AJ:AJ,MATCH(EOMONTH($A693,-1),Spending!B:B,0)),2)</f>
        <v>61.79</v>
      </c>
      <c r="R693">
        <f t="shared" si="860"/>
        <v>2</v>
      </c>
      <c r="S693">
        <f>ROUND(INDEX(Employment!V:V,MATCH(EOMONTH($A693,-1),Employment!A:A,0)),2)</f>
        <v>172.44</v>
      </c>
      <c r="T693" s="11">
        <f t="shared" si="857"/>
        <v>1</v>
      </c>
      <c r="U693">
        <f t="shared" si="849"/>
        <v>32</v>
      </c>
      <c r="V693">
        <f t="shared" si="841"/>
        <v>79.77</v>
      </c>
      <c r="W693" s="13">
        <f t="shared" si="842"/>
        <v>3.0999999999999999E-3</v>
      </c>
      <c r="X693" s="13">
        <f t="shared" si="843"/>
        <v>3.5999999999999995E-3</v>
      </c>
      <c r="Y693">
        <f t="shared" si="835"/>
        <v>91.11</v>
      </c>
      <c r="Z693" s="13">
        <f t="shared" si="830"/>
        <v>6.8999999999999999E-3</v>
      </c>
      <c r="AA693" s="13">
        <f t="shared" si="862"/>
        <v>1.3500000000000002E-2</v>
      </c>
      <c r="AB693" s="6">
        <f t="shared" si="836"/>
        <v>107.02499999999999</v>
      </c>
      <c r="AC693">
        <f t="shared" si="828"/>
        <v>54</v>
      </c>
      <c r="AD693" s="11">
        <f t="shared" si="829"/>
        <v>2</v>
      </c>
      <c r="AE693">
        <f t="shared" si="827"/>
        <v>36</v>
      </c>
      <c r="AF693">
        <f>IF(AND(AE693&lt;15,OR(AC693&gt;=30,AA693&gt;0.15,X693&gt;=0.15)),2,VLOOKUP(AE693,Table!P:Q,2,FALSE))</f>
        <v>5</v>
      </c>
      <c r="AG693" s="22">
        <f>IF((AB693*0.98)-(D693*0.8)+((AF693-3)*3)+VLOOKUP(AM693,Table!$A$11:$B$13,2,FALSE)&lt;0,0,(AB693*0.98)-(D693*0.8)+((AF693-3)*3)+VLOOKUP(AM693,Table!$A$11:$B$13,2,FALSE))</f>
        <v>108.37249999999999</v>
      </c>
      <c r="AH693" s="22">
        <f t="shared" si="858"/>
        <v>100</v>
      </c>
      <c r="AI693" s="18">
        <f t="shared" si="851"/>
        <v>2.77</v>
      </c>
      <c r="AJ693" s="18">
        <f t="shared" si="852"/>
        <v>2.27</v>
      </c>
      <c r="AK693" t="str">
        <f t="shared" si="837"/>
        <v>Rising Rates</v>
      </c>
      <c r="AL693">
        <f t="shared" si="848"/>
        <v>35.5</v>
      </c>
      <c r="AM693" s="11" t="str">
        <f t="shared" si="838"/>
        <v>Stocks</v>
      </c>
      <c r="AN693" t="str">
        <f t="shared" si="844"/>
        <v>Buy</v>
      </c>
      <c r="AO693" s="13">
        <f t="shared" si="845"/>
        <v>8.0000000000000002E-3</v>
      </c>
      <c r="AP693" s="13">
        <f t="shared" si="846"/>
        <v>5.0000000000000001E-4</v>
      </c>
      <c r="AQ693" s="13">
        <f t="shared" si="847"/>
        <v>8.0000000000000002E-3</v>
      </c>
      <c r="AR693" s="13">
        <f t="shared" si="839"/>
        <v>8.0000000000000002E-3</v>
      </c>
      <c r="AS693" s="6">
        <f t="shared" si="831"/>
        <v>296.22480684515716</v>
      </c>
      <c r="AT693" s="6">
        <f t="shared" si="832"/>
        <v>163.75289069533912</v>
      </c>
      <c r="AU693" s="6">
        <f t="shared" si="833"/>
        <v>342.04880924800921</v>
      </c>
      <c r="AV693" s="6">
        <f t="shared" si="834"/>
        <v>419.31250587799502</v>
      </c>
      <c r="AW693" s="58">
        <f t="shared" si="840"/>
        <v>2005</v>
      </c>
      <c r="AX693" s="58">
        <f>COUNTIF(AW$3:AW693,AW693)</f>
        <v>32</v>
      </c>
    </row>
    <row r="694" spans="1:50" x14ac:dyDescent="0.25">
      <c r="A694" s="5">
        <v>38487</v>
      </c>
      <c r="B694">
        <v>1154.05</v>
      </c>
      <c r="C694">
        <v>2.82</v>
      </c>
      <c r="D694" s="6">
        <v>16.32</v>
      </c>
      <c r="E694" s="18">
        <f t="shared" si="853"/>
        <v>15.23</v>
      </c>
      <c r="F694">
        <f t="shared" si="854"/>
        <v>1</v>
      </c>
      <c r="G694" s="18">
        <f>ROUND(INDEX(Valuation!U:U,MATCH(A694,Valuation!A:A,0)),2)</f>
        <v>198.78</v>
      </c>
      <c r="H694">
        <f t="shared" si="861"/>
        <v>2</v>
      </c>
      <c r="I694" s="18">
        <f>INDEX(WeeklyIndicators!Y:Y,MATCH(A694,WeeklyIndicators!A:A,0))</f>
        <v>143.51</v>
      </c>
      <c r="J694">
        <f t="shared" si="850"/>
        <v>1</v>
      </c>
      <c r="K694">
        <f>ROUND(INDEX(Economic!AF:AF,MATCH(EOMONTH($A694,-1),Economic!A:A,0)),2)</f>
        <v>119.99</v>
      </c>
      <c r="L694" s="11">
        <f t="shared" si="859"/>
        <v>1</v>
      </c>
      <c r="M694">
        <f>ROUND(INDEX(Manufacturing!P:P,MATCH(EOMONTH($A694,-1),Manufacturing!A:A,0)),2)</f>
        <v>95.9</v>
      </c>
      <c r="N694">
        <f t="shared" si="855"/>
        <v>1</v>
      </c>
      <c r="O694">
        <f>ROUND(INDEX(Housing!AC:AC,MATCH(EOMONTH($A694,-1),Housing!B:B,0)),2)</f>
        <v>140.11000000000001</v>
      </c>
      <c r="P694">
        <f t="shared" si="856"/>
        <v>3</v>
      </c>
      <c r="Q694">
        <f>ROUND(INDEX(Spending!AJ:AJ,MATCH(EOMONTH($A694,-1),Spending!B:B,0)),2)</f>
        <v>61.79</v>
      </c>
      <c r="R694">
        <f t="shared" si="860"/>
        <v>2</v>
      </c>
      <c r="S694">
        <f>ROUND(INDEX(Employment!V:V,MATCH(EOMONTH($A694,-1),Employment!A:A,0)),2)</f>
        <v>172.44</v>
      </c>
      <c r="T694" s="11">
        <f t="shared" si="857"/>
        <v>1</v>
      </c>
      <c r="U694">
        <f t="shared" si="849"/>
        <v>32</v>
      </c>
      <c r="V694">
        <f t="shared" si="841"/>
        <v>80.3</v>
      </c>
      <c r="W694" s="13">
        <f t="shared" si="842"/>
        <v>1E-3</v>
      </c>
      <c r="X694" s="13">
        <f t="shared" si="843"/>
        <v>-1.1999999999999999E-3</v>
      </c>
      <c r="Y694">
        <f t="shared" si="835"/>
        <v>91.46</v>
      </c>
      <c r="Z694" s="13">
        <f t="shared" si="830"/>
        <v>5.0000000000000001E-3</v>
      </c>
      <c r="AA694" s="13">
        <f t="shared" si="862"/>
        <v>4.0999999999999995E-3</v>
      </c>
      <c r="AB694" s="6">
        <f t="shared" si="836"/>
        <v>106.77800000000001</v>
      </c>
      <c r="AC694">
        <f t="shared" si="828"/>
        <v>53</v>
      </c>
      <c r="AD694" s="11">
        <f t="shared" si="829"/>
        <v>2</v>
      </c>
      <c r="AE694">
        <f t="shared" si="827"/>
        <v>36</v>
      </c>
      <c r="AF694">
        <f>IF(AND(AE694&lt;15,OR(AC694&gt;=30,AA694&gt;0.15,X694&gt;=0.15)),2,VLOOKUP(AE694,Table!P:Q,2,FALSE))</f>
        <v>5</v>
      </c>
      <c r="AG694" s="22">
        <f>IF((AB694*0.98)-(D694*0.8)+((AF694-3)*3)+VLOOKUP(AM694,Table!$A$11:$B$13,2,FALSE)&lt;0,0,(AB694*0.98)-(D694*0.8)+((AF694-3)*3)+VLOOKUP(AM694,Table!$A$11:$B$13,2,FALSE))</f>
        <v>105.58644000000001</v>
      </c>
      <c r="AH694" s="22">
        <f t="shared" si="858"/>
        <v>100</v>
      </c>
      <c r="AI694" s="18">
        <f t="shared" si="851"/>
        <v>2.74</v>
      </c>
      <c r="AJ694" s="18">
        <f t="shared" si="852"/>
        <v>2.2400000000000002</v>
      </c>
      <c r="AK694" t="str">
        <f t="shared" si="837"/>
        <v>Rising Rates</v>
      </c>
      <c r="AL694">
        <f t="shared" si="848"/>
        <v>35.75</v>
      </c>
      <c r="AM694" s="11" t="str">
        <f t="shared" si="838"/>
        <v>Stocks</v>
      </c>
      <c r="AN694" t="str">
        <f t="shared" si="844"/>
        <v>Buy</v>
      </c>
      <c r="AO694" s="13">
        <f t="shared" si="845"/>
        <v>3.0499999999999999E-2</v>
      </c>
      <c r="AP694" s="13">
        <f t="shared" si="846"/>
        <v>5.0000000000000001E-4</v>
      </c>
      <c r="AQ694" s="13">
        <f t="shared" si="847"/>
        <v>3.0499999999999999E-2</v>
      </c>
      <c r="AR694" s="13">
        <f t="shared" si="839"/>
        <v>3.0499999999999999E-2</v>
      </c>
      <c r="AS694" s="6">
        <f t="shared" si="831"/>
        <v>287.45735744314135</v>
      </c>
      <c r="AT694" s="6">
        <f t="shared" si="832"/>
        <v>163.67105516775524</v>
      </c>
      <c r="AU694" s="6">
        <f t="shared" si="833"/>
        <v>331.92509388453101</v>
      </c>
      <c r="AV694" s="6">
        <f t="shared" si="834"/>
        <v>406.90199502959246</v>
      </c>
      <c r="AW694" s="58">
        <f t="shared" si="840"/>
        <v>2005</v>
      </c>
      <c r="AX694" s="58">
        <f>COUNTIF(AW$3:AW694,AW694)</f>
        <v>33</v>
      </c>
    </row>
    <row r="695" spans="1:50" x14ac:dyDescent="0.25">
      <c r="A695" s="5">
        <v>38480</v>
      </c>
      <c r="B695">
        <v>1171.3499999999999</v>
      </c>
      <c r="C695">
        <v>2.82</v>
      </c>
      <c r="D695" s="6">
        <v>14.05</v>
      </c>
      <c r="E695" s="18">
        <f t="shared" si="853"/>
        <v>14.91</v>
      </c>
      <c r="F695">
        <f t="shared" si="854"/>
        <v>1</v>
      </c>
      <c r="G695" s="18">
        <f>ROUND(INDEX(Valuation!U:U,MATCH(A695,Valuation!A:A,0)),2)</f>
        <v>195.93</v>
      </c>
      <c r="H695">
        <f t="shared" si="861"/>
        <v>2</v>
      </c>
      <c r="I695" s="18">
        <f>INDEX(WeeklyIndicators!Y:Y,MATCH(A695,WeeklyIndicators!A:A,0))</f>
        <v>140.66999999999999</v>
      </c>
      <c r="J695">
        <f t="shared" si="850"/>
        <v>1</v>
      </c>
      <c r="K695">
        <f>ROUND(INDEX(Economic!AF:AF,MATCH(EOMONTH($A695,-1),Economic!A:A,0)),2)</f>
        <v>119.99</v>
      </c>
      <c r="L695" s="11">
        <f t="shared" si="859"/>
        <v>1</v>
      </c>
      <c r="M695">
        <f>ROUND(INDEX(Manufacturing!P:P,MATCH(EOMONTH($A695,-1),Manufacturing!A:A,0)),2)</f>
        <v>95.9</v>
      </c>
      <c r="N695">
        <f t="shared" si="855"/>
        <v>1</v>
      </c>
      <c r="O695">
        <f>ROUND(INDEX(Housing!AC:AC,MATCH(EOMONTH($A695,-1),Housing!B:B,0)),2)</f>
        <v>140.11000000000001</v>
      </c>
      <c r="P695">
        <f t="shared" si="856"/>
        <v>3</v>
      </c>
      <c r="Q695">
        <f>ROUND(INDEX(Spending!AJ:AJ,MATCH(EOMONTH($A695,-1),Spending!B:B,0)),2)</f>
        <v>61.79</v>
      </c>
      <c r="R695">
        <f t="shared" si="860"/>
        <v>2</v>
      </c>
      <c r="S695">
        <f>ROUND(INDEX(Employment!V:V,MATCH(EOMONTH($A695,-1),Employment!A:A,0)),2)</f>
        <v>172.44</v>
      </c>
      <c r="T695" s="11">
        <f t="shared" si="857"/>
        <v>1</v>
      </c>
      <c r="U695">
        <f t="shared" si="849"/>
        <v>32</v>
      </c>
      <c r="V695">
        <f t="shared" si="841"/>
        <v>80.010000000000005</v>
      </c>
      <c r="W695" s="13">
        <f t="shared" si="842"/>
        <v>2E-3</v>
      </c>
      <c r="X695" s="13">
        <f t="shared" si="843"/>
        <v>-8.9999999999999993E-3</v>
      </c>
      <c r="Y695">
        <f t="shared" si="835"/>
        <v>90.96</v>
      </c>
      <c r="Z695" s="13">
        <f t="shared" si="830"/>
        <v>5.0000000000000001E-3</v>
      </c>
      <c r="AA695" s="13">
        <f t="shared" si="862"/>
        <v>-8.5000000000000006E-3</v>
      </c>
      <c r="AB695" s="6">
        <f t="shared" si="836"/>
        <v>105.063</v>
      </c>
      <c r="AC695">
        <f t="shared" si="828"/>
        <v>53</v>
      </c>
      <c r="AD695" s="11">
        <f t="shared" si="829"/>
        <v>2</v>
      </c>
      <c r="AE695">
        <f t="shared" si="827"/>
        <v>36</v>
      </c>
      <c r="AF695">
        <f>IF(AND(AE695&lt;15,OR(AC695&gt;=30,AA695&gt;0.15,X695&gt;=0.15)),2,VLOOKUP(AE695,Table!P:Q,2,FALSE))</f>
        <v>5</v>
      </c>
      <c r="AG695" s="22">
        <f>IF((AB695*0.98)-(D695*0.8)+((AF695-3)*3)+VLOOKUP(AM695,Table!$A$11:$B$13,2,FALSE)&lt;0,0,(AB695*0.98)-(D695*0.8)+((AF695-3)*3)+VLOOKUP(AM695,Table!$A$11:$B$13,2,FALSE))</f>
        <v>105.72174000000001</v>
      </c>
      <c r="AH695" s="22">
        <f t="shared" si="858"/>
        <v>100</v>
      </c>
      <c r="AI695" s="18">
        <f t="shared" si="851"/>
        <v>2.72</v>
      </c>
      <c r="AJ695" s="18">
        <f t="shared" si="852"/>
        <v>2.2000000000000002</v>
      </c>
      <c r="AK695" t="str">
        <f t="shared" si="837"/>
        <v>Rising Rates</v>
      </c>
      <c r="AL695">
        <f t="shared" si="848"/>
        <v>35.75</v>
      </c>
      <c r="AM695" s="11" t="str">
        <f t="shared" si="838"/>
        <v>Stocks</v>
      </c>
      <c r="AN695" t="str">
        <f t="shared" si="844"/>
        <v>Buy</v>
      </c>
      <c r="AO695" s="13">
        <f t="shared" si="845"/>
        <v>-1.4800000000000001E-2</v>
      </c>
      <c r="AP695" s="13">
        <f t="shared" si="846"/>
        <v>5.0000000000000001E-4</v>
      </c>
      <c r="AQ695" s="13">
        <f t="shared" si="847"/>
        <v>-1.4800000000000001E-2</v>
      </c>
      <c r="AR695" s="13">
        <f t="shared" si="839"/>
        <v>-1.4800000000000001E-2</v>
      </c>
      <c r="AS695" s="6">
        <f t="shared" si="831"/>
        <v>291.77563686879961</v>
      </c>
      <c r="AT695" s="6">
        <f t="shared" si="832"/>
        <v>163.5892605374865</v>
      </c>
      <c r="AU695" s="6">
        <f t="shared" si="833"/>
        <v>336.91138234321056</v>
      </c>
      <c r="AV695" s="6">
        <f t="shared" si="834"/>
        <v>413.01461127648446</v>
      </c>
      <c r="AW695" s="58">
        <f t="shared" si="840"/>
        <v>2005</v>
      </c>
      <c r="AX695" s="58">
        <f>COUNTIF(AW$3:AW695,AW695)</f>
        <v>34</v>
      </c>
    </row>
    <row r="696" spans="1:50" x14ac:dyDescent="0.25">
      <c r="A696" s="5">
        <v>38473</v>
      </c>
      <c r="B696">
        <v>1156.8499999999999</v>
      </c>
      <c r="C696">
        <v>2.85</v>
      </c>
      <c r="D696" s="6">
        <v>15.31</v>
      </c>
      <c r="E696" s="18">
        <f t="shared" si="853"/>
        <v>16.14</v>
      </c>
      <c r="F696">
        <f t="shared" si="854"/>
        <v>0</v>
      </c>
      <c r="G696" s="18">
        <f>ROUND(INDEX(Valuation!U:U,MATCH(A696,Valuation!A:A,0)),2)</f>
        <v>193.2</v>
      </c>
      <c r="H696">
        <f t="shared" si="861"/>
        <v>2</v>
      </c>
      <c r="I696" s="18">
        <f>INDEX(WeeklyIndicators!Y:Y,MATCH(A696,WeeklyIndicators!A:A,0))</f>
        <v>131.19999999999999</v>
      </c>
      <c r="J696">
        <f t="shared" si="850"/>
        <v>0</v>
      </c>
      <c r="K696">
        <f>ROUND(INDEX(Economic!AF:AF,MATCH(EOMONTH($A696,-1),Economic!A:A,0)),2)</f>
        <v>119.99</v>
      </c>
      <c r="L696" s="11">
        <f t="shared" si="859"/>
        <v>1</v>
      </c>
      <c r="M696">
        <f>ROUND(INDEX(Manufacturing!P:P,MATCH(EOMONTH($A696,-1),Manufacturing!A:A,0)),2)</f>
        <v>95.9</v>
      </c>
      <c r="N696">
        <f t="shared" si="855"/>
        <v>1</v>
      </c>
      <c r="O696">
        <f>ROUND(INDEX(Housing!AC:AC,MATCH(EOMONTH($A696,-1),Housing!B:B,0)),2)</f>
        <v>140.11000000000001</v>
      </c>
      <c r="P696">
        <f t="shared" si="856"/>
        <v>3</v>
      </c>
      <c r="Q696">
        <f>ROUND(INDEX(Spending!AJ:AJ,MATCH(EOMONTH($A696,-1),Spending!B:B,0)),2)</f>
        <v>61.79</v>
      </c>
      <c r="R696">
        <f t="shared" si="860"/>
        <v>2</v>
      </c>
      <c r="S696">
        <f>ROUND(INDEX(Employment!V:V,MATCH(EOMONTH($A696,-1),Employment!A:A,0)),2)</f>
        <v>172.44</v>
      </c>
      <c r="T696" s="11">
        <f t="shared" si="857"/>
        <v>1</v>
      </c>
      <c r="U696">
        <f t="shared" si="849"/>
        <v>30</v>
      </c>
      <c r="V696">
        <f t="shared" si="841"/>
        <v>79.03</v>
      </c>
      <c r="W696" s="13">
        <f t="shared" si="842"/>
        <v>-2.5000000000000001E-3</v>
      </c>
      <c r="X696" s="13">
        <f t="shared" si="843"/>
        <v>-2.3199999999999998E-2</v>
      </c>
      <c r="Y696">
        <f t="shared" si="835"/>
        <v>89.24</v>
      </c>
      <c r="Z696" s="13">
        <f t="shared" si="830"/>
        <v>-3.3999999999999998E-3</v>
      </c>
      <c r="AA696" s="13">
        <f t="shared" si="862"/>
        <v>-2.47E-2</v>
      </c>
      <c r="AB696" s="6">
        <f t="shared" si="836"/>
        <v>101.80999999999999</v>
      </c>
      <c r="AC696">
        <f t="shared" si="828"/>
        <v>51</v>
      </c>
      <c r="AD696" s="11">
        <f t="shared" si="829"/>
        <v>2</v>
      </c>
      <c r="AE696">
        <f t="shared" ref="AE696:AE759" si="863">IF(AND(AA696&gt;=0.2,AC696&gt;=20,U696+AD696+2&lt;30),U696+AD696+2+12,U696+AD696+2)</f>
        <v>34</v>
      </c>
      <c r="AF696">
        <f>IF(AND(AE696&lt;15,OR(AC696&gt;=30,AA696&gt;0.15,X696&gt;=0.15)),2,VLOOKUP(AE696,Table!P:Q,2,FALSE))</f>
        <v>5</v>
      </c>
      <c r="AG696" s="22">
        <f>IF((AB696*0.98)-(D696*0.8)+((AF696-3)*3)+VLOOKUP(AM696,Table!$A$11:$B$13,2,FALSE)&lt;0,0,(AB696*0.98)-(D696*0.8)+((AF696-3)*3)+VLOOKUP(AM696,Table!$A$11:$B$13,2,FALSE))</f>
        <v>101.52579999999998</v>
      </c>
      <c r="AH696" s="22">
        <f t="shared" si="858"/>
        <v>100</v>
      </c>
      <c r="AI696" s="18">
        <f t="shared" si="851"/>
        <v>2.69</v>
      </c>
      <c r="AJ696" s="18">
        <f t="shared" si="852"/>
        <v>2.17</v>
      </c>
      <c r="AK696" t="str">
        <f t="shared" si="837"/>
        <v>Rising Rates</v>
      </c>
      <c r="AL696">
        <f t="shared" si="848"/>
        <v>36</v>
      </c>
      <c r="AM696" s="11" t="str">
        <f t="shared" si="838"/>
        <v>Stocks</v>
      </c>
      <c r="AN696" t="str">
        <f t="shared" si="844"/>
        <v>Buy</v>
      </c>
      <c r="AO696" s="13">
        <f t="shared" si="845"/>
        <v>1.2500000000000001E-2</v>
      </c>
      <c r="AP696" s="13">
        <f t="shared" si="846"/>
        <v>5.0000000000000001E-4</v>
      </c>
      <c r="AQ696" s="13">
        <f t="shared" si="847"/>
        <v>1.2500000000000001E-2</v>
      </c>
      <c r="AR696" s="13">
        <f t="shared" si="839"/>
        <v>1.2500000000000001E-2</v>
      </c>
      <c r="AS696" s="6">
        <f t="shared" si="831"/>
        <v>288.17346851239466</v>
      </c>
      <c r="AT696" s="6">
        <f t="shared" si="832"/>
        <v>163.50750678409446</v>
      </c>
      <c r="AU696" s="6">
        <f t="shared" si="833"/>
        <v>332.75198256119563</v>
      </c>
      <c r="AV696" s="6">
        <f t="shared" si="834"/>
        <v>407.91566545825629</v>
      </c>
      <c r="AW696" s="58">
        <f t="shared" si="840"/>
        <v>2005</v>
      </c>
      <c r="AX696" s="58">
        <f>COUNTIF(AW$3:AW696,AW696)</f>
        <v>35</v>
      </c>
    </row>
    <row r="697" spans="1:50" x14ac:dyDescent="0.25">
      <c r="A697" s="5">
        <v>38466</v>
      </c>
      <c r="B697">
        <v>1152.1199999999999</v>
      </c>
      <c r="C697">
        <v>2.84</v>
      </c>
      <c r="D697" s="6">
        <v>15.38</v>
      </c>
      <c r="E697" s="18">
        <f t="shared" si="853"/>
        <v>15.25</v>
      </c>
      <c r="F697">
        <f t="shared" si="854"/>
        <v>1</v>
      </c>
      <c r="G697" s="18">
        <f>ROUND(INDEX(Valuation!U:U,MATCH(A697,Valuation!A:A,0)),2)</f>
        <v>189.13</v>
      </c>
      <c r="H697">
        <f t="shared" si="861"/>
        <v>2</v>
      </c>
      <c r="I697" s="18">
        <f>INDEX(WeeklyIndicators!Y:Y,MATCH(A697,WeeklyIndicators!A:A,0))</f>
        <v>122.54</v>
      </c>
      <c r="J697">
        <f t="shared" si="850"/>
        <v>0</v>
      </c>
      <c r="K697">
        <f>ROUND(INDEX(Economic!AF:AF,MATCH(EOMONTH($A697,-1),Economic!A:A,0)),2)</f>
        <v>125.7</v>
      </c>
      <c r="L697" s="11">
        <f t="shared" si="859"/>
        <v>2</v>
      </c>
      <c r="M697">
        <f>ROUND(INDEX(Manufacturing!P:P,MATCH(EOMONTH($A697,-1),Manufacturing!A:A,0)),2)</f>
        <v>101.1</v>
      </c>
      <c r="N697">
        <f t="shared" si="855"/>
        <v>2</v>
      </c>
      <c r="O697">
        <f>ROUND(INDEX(Housing!AC:AC,MATCH(EOMONTH($A697,-1),Housing!B:B,0)),2)</f>
        <v>147.1</v>
      </c>
      <c r="P697">
        <f t="shared" si="856"/>
        <v>3</v>
      </c>
      <c r="Q697">
        <f>ROUND(INDEX(Spending!AJ:AJ,MATCH(EOMONTH($A697,-1),Spending!B:B,0)),2)</f>
        <v>67.87</v>
      </c>
      <c r="R697">
        <f t="shared" si="860"/>
        <v>2</v>
      </c>
      <c r="S697">
        <f>ROUND(INDEX(Employment!V:V,MATCH(EOMONTH($A697,-1),Employment!A:A,0)),2)</f>
        <v>165.33</v>
      </c>
      <c r="T697" s="11">
        <f t="shared" si="857"/>
        <v>1</v>
      </c>
      <c r="U697">
        <f t="shared" si="849"/>
        <v>33</v>
      </c>
      <c r="V697">
        <f t="shared" si="841"/>
        <v>80.05</v>
      </c>
      <c r="W697" s="13">
        <f t="shared" si="842"/>
        <v>-1.6999999999999999E-3</v>
      </c>
      <c r="X697" s="13">
        <f t="shared" si="843"/>
        <v>-3.44E-2</v>
      </c>
      <c r="Y697">
        <f t="shared" si="835"/>
        <v>90.12</v>
      </c>
      <c r="Z697" s="13">
        <f t="shared" si="830"/>
        <v>-2.5000000000000001E-3</v>
      </c>
      <c r="AA697" s="13">
        <f t="shared" si="862"/>
        <v>-3.5000000000000003E-2</v>
      </c>
      <c r="AB697" s="6">
        <f t="shared" si="836"/>
        <v>101.51299999999999</v>
      </c>
      <c r="AC697">
        <f t="shared" si="828"/>
        <v>51</v>
      </c>
      <c r="AD697" s="11">
        <f t="shared" si="829"/>
        <v>2</v>
      </c>
      <c r="AE697">
        <f t="shared" si="863"/>
        <v>37</v>
      </c>
      <c r="AF697">
        <f>IF(AND(AE697&lt;15,OR(AC697&gt;=30,AA697&gt;0.15,X697&gt;=0.15)),2,VLOOKUP(AE697,Table!P:Q,2,FALSE))</f>
        <v>6</v>
      </c>
      <c r="AG697" s="22">
        <f>IF((AB697*0.98)-(D697*0.8)+((AF697-3)*3)+VLOOKUP(AM697,Table!$A$11:$B$13,2,FALSE)&lt;0,0,(AB697*0.98)-(D697*0.8)+((AF697-3)*3)+VLOOKUP(AM697,Table!$A$11:$B$13,2,FALSE))</f>
        <v>104.17873999999999</v>
      </c>
      <c r="AH697" s="22">
        <f t="shared" si="858"/>
        <v>100</v>
      </c>
      <c r="AI697" s="18">
        <f t="shared" si="851"/>
        <v>2.65</v>
      </c>
      <c r="AJ697" s="18">
        <f t="shared" si="852"/>
        <v>2.13</v>
      </c>
      <c r="AK697" t="str">
        <f t="shared" si="837"/>
        <v>Rising Rates</v>
      </c>
      <c r="AL697">
        <f t="shared" si="848"/>
        <v>37</v>
      </c>
      <c r="AM697" s="11" t="str">
        <f t="shared" si="838"/>
        <v>Stocks</v>
      </c>
      <c r="AN697" t="str">
        <f t="shared" si="844"/>
        <v>Buy</v>
      </c>
      <c r="AO697" s="13">
        <f t="shared" si="845"/>
        <v>4.1000000000000003E-3</v>
      </c>
      <c r="AP697" s="13">
        <f t="shared" si="846"/>
        <v>5.0000000000000001E-4</v>
      </c>
      <c r="AQ697" s="13">
        <f t="shared" si="847"/>
        <v>4.1000000000000003E-3</v>
      </c>
      <c r="AR697" s="13">
        <f t="shared" si="839"/>
        <v>4.1000000000000003E-3</v>
      </c>
      <c r="AS697" s="6">
        <f t="shared" si="831"/>
        <v>286.99678170739435</v>
      </c>
      <c r="AT697" s="6">
        <f t="shared" si="832"/>
        <v>163.42579388715089</v>
      </c>
      <c r="AU697" s="6">
        <f t="shared" si="833"/>
        <v>331.39327015356599</v>
      </c>
      <c r="AV697" s="6">
        <f t="shared" si="834"/>
        <v>406.25004029305478</v>
      </c>
      <c r="AW697" s="58">
        <f t="shared" si="840"/>
        <v>2005</v>
      </c>
      <c r="AX697" s="58">
        <f>COUNTIF(AW$3:AW697,AW697)</f>
        <v>36</v>
      </c>
    </row>
    <row r="698" spans="1:50" x14ac:dyDescent="0.25">
      <c r="A698" s="5">
        <v>38459</v>
      </c>
      <c r="B698">
        <v>1142.6199999999999</v>
      </c>
      <c r="C698">
        <v>2.72</v>
      </c>
      <c r="D698" s="6">
        <v>17.739999999999998</v>
      </c>
      <c r="E698" s="18">
        <f t="shared" si="853"/>
        <v>14.82</v>
      </c>
      <c r="F698">
        <f t="shared" si="854"/>
        <v>1</v>
      </c>
      <c r="G698" s="18">
        <f>ROUND(INDEX(Valuation!U:U,MATCH(A698,Valuation!A:A,0)),2)</f>
        <v>187.94</v>
      </c>
      <c r="H698">
        <f t="shared" si="861"/>
        <v>2</v>
      </c>
      <c r="I698" s="18">
        <f>INDEX(WeeklyIndicators!Y:Y,MATCH(A698,WeeklyIndicators!A:A,0))</f>
        <v>117.5</v>
      </c>
      <c r="J698">
        <f t="shared" si="850"/>
        <v>-1</v>
      </c>
      <c r="K698">
        <f>ROUND(INDEX(Economic!AF:AF,MATCH(EOMONTH($A698,-1),Economic!A:A,0)),2)</f>
        <v>125.7</v>
      </c>
      <c r="L698" s="11">
        <f t="shared" si="859"/>
        <v>2</v>
      </c>
      <c r="M698">
        <f>ROUND(INDEX(Manufacturing!P:P,MATCH(EOMONTH($A698,-1),Manufacturing!A:A,0)),2)</f>
        <v>101.1</v>
      </c>
      <c r="N698">
        <f t="shared" si="855"/>
        <v>2</v>
      </c>
      <c r="O698">
        <f>ROUND(INDEX(Housing!AC:AC,MATCH(EOMONTH($A698,-1),Housing!B:B,0)),2)</f>
        <v>147.1</v>
      </c>
      <c r="P698">
        <f t="shared" si="856"/>
        <v>3</v>
      </c>
      <c r="Q698">
        <f>ROUND(INDEX(Spending!AJ:AJ,MATCH(EOMONTH($A698,-1),Spending!B:B,0)),2)</f>
        <v>67.87</v>
      </c>
      <c r="R698">
        <f t="shared" si="860"/>
        <v>2</v>
      </c>
      <c r="S698">
        <f>ROUND(INDEX(Employment!V:V,MATCH(EOMONTH($A698,-1),Employment!A:A,0)),2)</f>
        <v>165.33</v>
      </c>
      <c r="T698" s="11">
        <f t="shared" si="857"/>
        <v>1</v>
      </c>
      <c r="U698">
        <f t="shared" si="849"/>
        <v>32</v>
      </c>
      <c r="V698">
        <f t="shared" si="841"/>
        <v>79.53</v>
      </c>
      <c r="W698" s="13">
        <f t="shared" si="842"/>
        <v>-6.7999999999999996E-3</v>
      </c>
      <c r="X698" s="13">
        <f t="shared" si="843"/>
        <v>-4.5699999999999998E-2</v>
      </c>
      <c r="Y698">
        <f t="shared" si="835"/>
        <v>89.61</v>
      </c>
      <c r="Z698" s="13">
        <f t="shared" si="830"/>
        <v>-7.6E-3</v>
      </c>
      <c r="AA698" s="13">
        <f t="shared" si="862"/>
        <v>-4.53E-2</v>
      </c>
      <c r="AB698" s="6">
        <f t="shared" si="836"/>
        <v>100.06399999999999</v>
      </c>
      <c r="AC698">
        <f t="shared" si="828"/>
        <v>50</v>
      </c>
      <c r="AD698" s="11">
        <f t="shared" si="829"/>
        <v>2</v>
      </c>
      <c r="AE698">
        <f t="shared" si="863"/>
        <v>36</v>
      </c>
      <c r="AF698">
        <f>IF(AND(AE698&lt;15,OR(AC698&gt;=30,AA698&gt;0.15,X698&gt;=0.15)),2,VLOOKUP(AE698,Table!P:Q,2,FALSE))</f>
        <v>5</v>
      </c>
      <c r="AG698" s="22">
        <f>IF((AB698*0.98)-(D698*0.8)+((AF698-3)*3)+VLOOKUP(AM698,Table!$A$11:$B$13,2,FALSE)&lt;0,0,(AB698*0.98)-(D698*0.8)+((AF698-3)*3)+VLOOKUP(AM698,Table!$A$11:$B$13,2,FALSE))</f>
        <v>97.870719999999977</v>
      </c>
      <c r="AH698" s="22">
        <f t="shared" si="858"/>
        <v>100</v>
      </c>
      <c r="AI698" s="18">
        <f t="shared" si="851"/>
        <v>2.61</v>
      </c>
      <c r="AJ698" s="18">
        <f t="shared" si="852"/>
        <v>2.09</v>
      </c>
      <c r="AK698" t="str">
        <f t="shared" si="837"/>
        <v>Rising Rates</v>
      </c>
      <c r="AL698">
        <f t="shared" si="848"/>
        <v>37.25</v>
      </c>
      <c r="AM698" s="11" t="str">
        <f t="shared" si="838"/>
        <v>Stocks</v>
      </c>
      <c r="AN698" t="str">
        <f t="shared" si="844"/>
        <v>Buy</v>
      </c>
      <c r="AO698" s="13">
        <f t="shared" si="845"/>
        <v>8.3000000000000001E-3</v>
      </c>
      <c r="AP698" s="13">
        <f t="shared" si="846"/>
        <v>5.0000000000000001E-4</v>
      </c>
      <c r="AQ698" s="13">
        <f t="shared" si="847"/>
        <v>8.3000000000000001E-3</v>
      </c>
      <c r="AR698" s="13">
        <f t="shared" si="839"/>
        <v>8.3000000000000001E-3</v>
      </c>
      <c r="AS698" s="6">
        <f t="shared" si="831"/>
        <v>284.63431687731264</v>
      </c>
      <c r="AT698" s="6">
        <f t="shared" si="832"/>
        <v>163.34412182623777</v>
      </c>
      <c r="AU698" s="6">
        <f t="shared" si="833"/>
        <v>328.66534776709909</v>
      </c>
      <c r="AV698" s="6">
        <f t="shared" si="834"/>
        <v>402.90592114753031</v>
      </c>
      <c r="AW698" s="58">
        <f t="shared" si="840"/>
        <v>2005</v>
      </c>
      <c r="AX698" s="58">
        <f>COUNTIF(AW$3:AW698,AW698)</f>
        <v>37</v>
      </c>
    </row>
    <row r="699" spans="1:50" x14ac:dyDescent="0.25">
      <c r="A699" s="5">
        <v>38452</v>
      </c>
      <c r="B699">
        <v>1181.2</v>
      </c>
      <c r="C699">
        <v>2.73</v>
      </c>
      <c r="D699" s="6">
        <v>12.62</v>
      </c>
      <c r="E699" s="18">
        <f t="shared" si="853"/>
        <v>13.38</v>
      </c>
      <c r="F699">
        <f t="shared" si="854"/>
        <v>2</v>
      </c>
      <c r="G699" s="18">
        <f>ROUND(INDEX(Valuation!U:U,MATCH(A699,Valuation!A:A,0)),2)</f>
        <v>187.22</v>
      </c>
      <c r="H699">
        <f t="shared" si="861"/>
        <v>2</v>
      </c>
      <c r="I699" s="18">
        <f>INDEX(WeeklyIndicators!Y:Y,MATCH(A699,WeeklyIndicators!A:A,0))</f>
        <v>118.59</v>
      </c>
      <c r="J699">
        <f t="shared" si="850"/>
        <v>-1</v>
      </c>
      <c r="K699">
        <f>ROUND(INDEX(Economic!AF:AF,MATCH(EOMONTH($A699,-1),Economic!A:A,0)),2)</f>
        <v>125.7</v>
      </c>
      <c r="L699" s="11">
        <f t="shared" si="859"/>
        <v>2</v>
      </c>
      <c r="M699">
        <f>ROUND(INDEX(Manufacturing!P:P,MATCH(EOMONTH($A699,-1),Manufacturing!A:A,0)),2)</f>
        <v>101.1</v>
      </c>
      <c r="N699">
        <f t="shared" si="855"/>
        <v>2</v>
      </c>
      <c r="O699">
        <f>ROUND(INDEX(Housing!AC:AC,MATCH(EOMONTH($A699,-1),Housing!B:B,0)),2)</f>
        <v>147.1</v>
      </c>
      <c r="P699">
        <f t="shared" si="856"/>
        <v>3</v>
      </c>
      <c r="Q699">
        <f>ROUND(INDEX(Spending!AJ:AJ,MATCH(EOMONTH($A699,-1),Spending!B:B,0)),2)</f>
        <v>67.87</v>
      </c>
      <c r="R699">
        <f t="shared" si="860"/>
        <v>2</v>
      </c>
      <c r="S699">
        <f>ROUND(INDEX(Employment!V:V,MATCH(EOMONTH($A699,-1),Employment!A:A,0)),2)</f>
        <v>165.33</v>
      </c>
      <c r="T699" s="11">
        <f t="shared" si="857"/>
        <v>1</v>
      </c>
      <c r="U699">
        <f t="shared" si="849"/>
        <v>33</v>
      </c>
      <c r="V699">
        <f t="shared" si="841"/>
        <v>79.64</v>
      </c>
      <c r="W699" s="13">
        <f t="shared" si="842"/>
        <v>-1.2200000000000001E-2</v>
      </c>
      <c r="X699" s="13">
        <f t="shared" si="843"/>
        <v>-4.0499999999999994E-2</v>
      </c>
      <c r="Y699">
        <f t="shared" si="835"/>
        <v>90.15</v>
      </c>
      <c r="Z699" s="13">
        <f t="shared" si="830"/>
        <v>-1.12E-2</v>
      </c>
      <c r="AA699" s="13">
        <f t="shared" si="862"/>
        <v>-4.0399999999999998E-2</v>
      </c>
      <c r="AB699" s="6">
        <f t="shared" si="836"/>
        <v>100.91199999999999</v>
      </c>
      <c r="AC699">
        <f t="shared" si="828"/>
        <v>50</v>
      </c>
      <c r="AD699" s="11">
        <f t="shared" si="829"/>
        <v>2</v>
      </c>
      <c r="AE699">
        <f t="shared" si="863"/>
        <v>37</v>
      </c>
      <c r="AF699">
        <f>IF(AND(AE699&lt;15,OR(AC699&gt;=30,AA699&gt;0.15,X699&gt;=0.15)),2,VLOOKUP(AE699,Table!P:Q,2,FALSE))</f>
        <v>6</v>
      </c>
      <c r="AG699" s="22">
        <f>IF((AB699*0.98)-(D699*0.8)+((AF699-3)*3)+VLOOKUP(AM699,Table!$A$11:$B$13,2,FALSE)&lt;0,0,(AB699*0.98)-(D699*0.8)+((AF699-3)*3)+VLOOKUP(AM699,Table!$A$11:$B$13,2,FALSE))</f>
        <v>105.79775999999998</v>
      </c>
      <c r="AH699" s="22">
        <f t="shared" si="858"/>
        <v>100</v>
      </c>
      <c r="AI699" s="18">
        <f t="shared" si="851"/>
        <v>2.58</v>
      </c>
      <c r="AJ699" s="18">
        <f t="shared" si="852"/>
        <v>2.06</v>
      </c>
      <c r="AK699" t="str">
        <f t="shared" si="837"/>
        <v>Rising Rates</v>
      </c>
      <c r="AL699">
        <f t="shared" si="848"/>
        <v>38</v>
      </c>
      <c r="AM699" s="11" t="str">
        <f t="shared" si="838"/>
        <v>Stocks</v>
      </c>
      <c r="AN699" t="str">
        <f t="shared" si="844"/>
        <v>Buy</v>
      </c>
      <c r="AO699" s="13">
        <f t="shared" si="845"/>
        <v>-3.27E-2</v>
      </c>
      <c r="AP699" s="13">
        <f t="shared" si="846"/>
        <v>5.0000000000000001E-4</v>
      </c>
      <c r="AQ699" s="13">
        <f t="shared" si="847"/>
        <v>-3.27E-2</v>
      </c>
      <c r="AR699" s="13">
        <f t="shared" si="839"/>
        <v>-3.27E-2</v>
      </c>
      <c r="AS699" s="6">
        <f t="shared" si="831"/>
        <v>294.25650457697986</v>
      </c>
      <c r="AT699" s="6">
        <f t="shared" si="832"/>
        <v>163.26249058094731</v>
      </c>
      <c r="AU699" s="6">
        <f t="shared" si="833"/>
        <v>339.77602374351193</v>
      </c>
      <c r="AV699" s="6">
        <f t="shared" si="834"/>
        <v>416.52633221082425</v>
      </c>
      <c r="AW699" s="58">
        <f t="shared" si="840"/>
        <v>2005</v>
      </c>
      <c r="AX699" s="58">
        <f>COUNTIF(AW$3:AW699,AW699)</f>
        <v>38</v>
      </c>
    </row>
    <row r="700" spans="1:50" x14ac:dyDescent="0.25">
      <c r="A700" s="5">
        <v>38445</v>
      </c>
      <c r="B700">
        <v>1172.92</v>
      </c>
      <c r="C700">
        <v>2.76</v>
      </c>
      <c r="D700" s="6">
        <v>14.09</v>
      </c>
      <c r="E700" s="18">
        <f t="shared" si="853"/>
        <v>13.55</v>
      </c>
      <c r="F700">
        <f t="shared" si="854"/>
        <v>2</v>
      </c>
      <c r="G700" s="18">
        <f>ROUND(INDEX(Valuation!U:U,MATCH(A700,Valuation!A:A,0)),2)</f>
        <v>186.33</v>
      </c>
      <c r="H700">
        <f t="shared" si="861"/>
        <v>2</v>
      </c>
      <c r="I700" s="18">
        <f>INDEX(WeeklyIndicators!Y:Y,MATCH(A700,WeeklyIndicators!A:A,0))</f>
        <v>126.39</v>
      </c>
      <c r="J700">
        <f t="shared" si="850"/>
        <v>0</v>
      </c>
      <c r="K700">
        <f>ROUND(INDEX(Economic!AF:AF,MATCH(EOMONTH($A700,-1),Economic!A:A,0)),2)</f>
        <v>125.7</v>
      </c>
      <c r="L700" s="11">
        <f t="shared" si="859"/>
        <v>2</v>
      </c>
      <c r="M700">
        <f>ROUND(INDEX(Manufacturing!P:P,MATCH(EOMONTH($A700,-1),Manufacturing!A:A,0)),2)</f>
        <v>101.1</v>
      </c>
      <c r="N700">
        <f t="shared" si="855"/>
        <v>2</v>
      </c>
      <c r="O700">
        <f>ROUND(INDEX(Housing!AC:AC,MATCH(EOMONTH($A700,-1),Housing!B:B,0)),2)</f>
        <v>147.1</v>
      </c>
      <c r="P700">
        <f t="shared" si="856"/>
        <v>3</v>
      </c>
      <c r="Q700">
        <f>ROUND(INDEX(Spending!AJ:AJ,MATCH(EOMONTH($A700,-1),Spending!B:B,0)),2)</f>
        <v>67.87</v>
      </c>
      <c r="R700">
        <f t="shared" si="860"/>
        <v>2</v>
      </c>
      <c r="S700">
        <f>ROUND(INDEX(Employment!V:V,MATCH(EOMONTH($A700,-1),Employment!A:A,0)),2)</f>
        <v>165.33</v>
      </c>
      <c r="T700" s="11">
        <f t="shared" si="857"/>
        <v>1</v>
      </c>
      <c r="U700">
        <f t="shared" si="849"/>
        <v>34</v>
      </c>
      <c r="V700">
        <f t="shared" si="841"/>
        <v>80.45</v>
      </c>
      <c r="W700" s="13">
        <f t="shared" si="842"/>
        <v>-1.37E-2</v>
      </c>
      <c r="X700" s="13">
        <f t="shared" si="843"/>
        <v>-1.8500000000000003E-2</v>
      </c>
      <c r="Y700">
        <f t="shared" si="835"/>
        <v>90.8</v>
      </c>
      <c r="Z700" s="13">
        <f t="shared" si="830"/>
        <v>-1.37E-2</v>
      </c>
      <c r="AA700" s="13">
        <f t="shared" si="862"/>
        <v>-2.1500000000000005E-2</v>
      </c>
      <c r="AB700" s="6">
        <f t="shared" si="836"/>
        <v>102.99299999999999</v>
      </c>
      <c r="AC700">
        <f t="shared" si="828"/>
        <v>51</v>
      </c>
      <c r="AD700" s="11">
        <f t="shared" si="829"/>
        <v>2</v>
      </c>
      <c r="AE700">
        <f t="shared" si="863"/>
        <v>38</v>
      </c>
      <c r="AF700">
        <f>IF(AND(AE700&lt;15,OR(AC700&gt;=30,AA700&gt;0.15,X700&gt;=0.15)),2,VLOOKUP(AE700,Table!P:Q,2,FALSE))</f>
        <v>6</v>
      </c>
      <c r="AG700" s="22">
        <f>IF((AB700*0.98)-(D700*0.8)+((AF700-3)*3)+VLOOKUP(AM700,Table!$A$11:$B$13,2,FALSE)&lt;0,0,(AB700*0.98)-(D700*0.8)+((AF700-3)*3)+VLOOKUP(AM700,Table!$A$11:$B$13,2,FALSE))</f>
        <v>106.66113999999999</v>
      </c>
      <c r="AH700" s="22">
        <f t="shared" si="858"/>
        <v>100</v>
      </c>
      <c r="AI700" s="18">
        <f t="shared" si="851"/>
        <v>2.5499999999999998</v>
      </c>
      <c r="AJ700" s="18">
        <f t="shared" si="852"/>
        <v>2.02</v>
      </c>
      <c r="AK700" t="str">
        <f t="shared" si="837"/>
        <v>Rising Rates</v>
      </c>
      <c r="AL700">
        <f t="shared" si="848"/>
        <v>38.5</v>
      </c>
      <c r="AM700" s="11" t="str">
        <f t="shared" si="838"/>
        <v>Stocks</v>
      </c>
      <c r="AN700" t="str">
        <f t="shared" si="844"/>
        <v>Buy</v>
      </c>
      <c r="AO700" s="13">
        <f t="shared" si="845"/>
        <v>7.1000000000000004E-3</v>
      </c>
      <c r="AP700" s="13">
        <f t="shared" si="846"/>
        <v>5.0000000000000001E-4</v>
      </c>
      <c r="AQ700" s="13">
        <f t="shared" si="847"/>
        <v>7.1000000000000004E-3</v>
      </c>
      <c r="AR700" s="13">
        <f t="shared" si="839"/>
        <v>7.1000000000000004E-3</v>
      </c>
      <c r="AS700" s="6">
        <f t="shared" si="831"/>
        <v>292.18201228972282</v>
      </c>
      <c r="AT700" s="6">
        <f t="shared" si="832"/>
        <v>163.18090013088189</v>
      </c>
      <c r="AU700" s="6">
        <f t="shared" si="833"/>
        <v>337.38062133205432</v>
      </c>
      <c r="AV700" s="6">
        <f t="shared" si="834"/>
        <v>413.58984431617932</v>
      </c>
      <c r="AW700" s="58">
        <f t="shared" si="840"/>
        <v>2005</v>
      </c>
      <c r="AX700" s="58">
        <f>COUNTIF(AW$3:AW700,AW700)</f>
        <v>39</v>
      </c>
    </row>
    <row r="701" spans="1:50" x14ac:dyDescent="0.25">
      <c r="A701" s="5">
        <v>38438</v>
      </c>
      <c r="B701">
        <v>1171.42</v>
      </c>
      <c r="C701">
        <v>2.8</v>
      </c>
      <c r="D701" s="6">
        <v>13.42</v>
      </c>
      <c r="E701" s="18">
        <f t="shared" si="853"/>
        <v>13.12</v>
      </c>
      <c r="F701">
        <f t="shared" si="854"/>
        <v>2</v>
      </c>
      <c r="G701" s="18">
        <f>ROUND(INDEX(Valuation!U:U,MATCH(A701,Valuation!A:A,0)),2)</f>
        <v>186.47</v>
      </c>
      <c r="H701">
        <f t="shared" si="861"/>
        <v>2</v>
      </c>
      <c r="I701" s="18">
        <f>INDEX(WeeklyIndicators!Y:Y,MATCH(A701,WeeklyIndicators!A:A,0))</f>
        <v>138.24</v>
      </c>
      <c r="J701">
        <f t="shared" si="850"/>
        <v>1</v>
      </c>
      <c r="K701">
        <f>ROUND(INDEX(Economic!AF:AF,MATCH(EOMONTH($A701,-1),Economic!A:A,0)),2)</f>
        <v>125.11</v>
      </c>
      <c r="L701" s="11">
        <f t="shared" si="859"/>
        <v>2</v>
      </c>
      <c r="M701">
        <f>ROUND(INDEX(Manufacturing!P:P,MATCH(EOMONTH($A701,-1),Manufacturing!A:A,0)),2)</f>
        <v>100.93</v>
      </c>
      <c r="N701">
        <f t="shared" si="855"/>
        <v>2</v>
      </c>
      <c r="O701">
        <f>ROUND(INDEX(Housing!AC:AC,MATCH(EOMONTH($A701,-1),Housing!B:B,0)),2)</f>
        <v>139.51</v>
      </c>
      <c r="P701">
        <f t="shared" si="856"/>
        <v>2</v>
      </c>
      <c r="Q701">
        <f>ROUND(INDEX(Spending!AJ:AJ,MATCH(EOMONTH($A701,-1),Spending!B:B,0)),2)</f>
        <v>70.16</v>
      </c>
      <c r="R701">
        <f t="shared" si="860"/>
        <v>2</v>
      </c>
      <c r="S701">
        <f>ROUND(INDEX(Employment!V:V,MATCH(EOMONTH($A701,-1),Employment!A:A,0)),2)</f>
        <v>164.3</v>
      </c>
      <c r="T701" s="11">
        <f t="shared" si="857"/>
        <v>1</v>
      </c>
      <c r="U701">
        <f t="shared" si="849"/>
        <v>34</v>
      </c>
      <c r="V701">
        <f t="shared" si="841"/>
        <v>81.16</v>
      </c>
      <c r="W701" s="13">
        <f t="shared" si="842"/>
        <v>-1.2999999999999999E-2</v>
      </c>
      <c r="X701" s="13">
        <f t="shared" si="843"/>
        <v>1.47E-2</v>
      </c>
      <c r="Y701">
        <f t="shared" si="835"/>
        <v>91.68</v>
      </c>
      <c r="Z701" s="13">
        <f t="shared" si="830"/>
        <v>-1.2800000000000001E-2</v>
      </c>
      <c r="AA701" s="13">
        <f t="shared" si="862"/>
        <v>9.9000000000000008E-3</v>
      </c>
      <c r="AB701" s="6">
        <f t="shared" si="836"/>
        <v>106.34700000000001</v>
      </c>
      <c r="AC701">
        <f t="shared" ref="AC701:AC764" si="864">IF(ROUND(AB701/2,0)&lt;0,0,ROUND(AB701/2,0))</f>
        <v>53</v>
      </c>
      <c r="AD701" s="11">
        <f t="shared" si="829"/>
        <v>2</v>
      </c>
      <c r="AE701">
        <f t="shared" si="863"/>
        <v>38</v>
      </c>
      <c r="AF701">
        <f>IF(AND(AE701&lt;15,OR(AC701&gt;=30,AA701&gt;0.15,X701&gt;=0.15)),2,VLOOKUP(AE701,Table!P:Q,2,FALSE))</f>
        <v>6</v>
      </c>
      <c r="AG701" s="22">
        <f>IF((AB701*0.98)-(D701*0.8)+((AF701-3)*3)+VLOOKUP(AM701,Table!$A$11:$B$13,2,FALSE)&lt;0,0,(AB701*0.98)-(D701*0.8)+((AF701-3)*3)+VLOOKUP(AM701,Table!$A$11:$B$13,2,FALSE))</f>
        <v>110.48406</v>
      </c>
      <c r="AH701" s="22">
        <f t="shared" si="858"/>
        <v>100</v>
      </c>
      <c r="AI701" s="18">
        <f t="shared" si="851"/>
        <v>2.5099999999999998</v>
      </c>
      <c r="AJ701" s="18">
        <f t="shared" si="852"/>
        <v>1.98</v>
      </c>
      <c r="AK701" t="str">
        <f t="shared" si="837"/>
        <v>Rising Rates</v>
      </c>
      <c r="AL701">
        <f t="shared" si="848"/>
        <v>38.75</v>
      </c>
      <c r="AM701" s="11" t="str">
        <f t="shared" si="838"/>
        <v>Stocks</v>
      </c>
      <c r="AN701" t="str">
        <f t="shared" si="844"/>
        <v>Buy</v>
      </c>
      <c r="AO701" s="13">
        <f t="shared" si="845"/>
        <v>1.2999999999999999E-3</v>
      </c>
      <c r="AP701" s="13">
        <f t="shared" si="846"/>
        <v>5.0000000000000001E-4</v>
      </c>
      <c r="AQ701" s="13">
        <f t="shared" si="847"/>
        <v>1.2999999999999999E-3</v>
      </c>
      <c r="AR701" s="13">
        <f t="shared" si="839"/>
        <v>1.2999999999999999E-3</v>
      </c>
      <c r="AS701" s="6">
        <f t="shared" si="831"/>
        <v>291.80266882025649</v>
      </c>
      <c r="AT701" s="6">
        <f t="shared" si="832"/>
        <v>163.09935045565408</v>
      </c>
      <c r="AU701" s="6">
        <f t="shared" si="833"/>
        <v>336.94259595730978</v>
      </c>
      <c r="AV701" s="6">
        <f t="shared" si="834"/>
        <v>413.05287557792798</v>
      </c>
      <c r="AW701" s="58">
        <f t="shared" si="840"/>
        <v>2005</v>
      </c>
      <c r="AX701" s="58">
        <f>COUNTIF(AW$3:AW701,AW701)</f>
        <v>40</v>
      </c>
    </row>
    <row r="702" spans="1:50" x14ac:dyDescent="0.25">
      <c r="A702" s="5">
        <v>38431</v>
      </c>
      <c r="B702">
        <v>1189.6500000000001</v>
      </c>
      <c r="C702">
        <v>2.74</v>
      </c>
      <c r="D702" s="6">
        <v>13.14</v>
      </c>
      <c r="E702" s="18">
        <f t="shared" si="853"/>
        <v>12.63</v>
      </c>
      <c r="F702">
        <f t="shared" si="854"/>
        <v>2</v>
      </c>
      <c r="G702" s="18">
        <f>ROUND(INDEX(Valuation!U:U,MATCH(A702,Valuation!A:A,0)),2)</f>
        <v>185.88</v>
      </c>
      <c r="H702">
        <f t="shared" si="861"/>
        <v>2</v>
      </c>
      <c r="I702" s="18">
        <f>INDEX(WeeklyIndicators!Y:Y,MATCH(A702,WeeklyIndicators!A:A,0))</f>
        <v>152.13999999999999</v>
      </c>
      <c r="J702">
        <f t="shared" si="850"/>
        <v>2</v>
      </c>
      <c r="K702">
        <f>ROUND(INDEX(Economic!AF:AF,MATCH(EOMONTH($A702,-1),Economic!A:A,0)),2)</f>
        <v>125.11</v>
      </c>
      <c r="L702" s="11">
        <f t="shared" si="859"/>
        <v>2</v>
      </c>
      <c r="M702">
        <f>ROUND(INDEX(Manufacturing!P:P,MATCH(EOMONTH($A702,-1),Manufacturing!A:A,0)),2)</f>
        <v>100.93</v>
      </c>
      <c r="N702">
        <f t="shared" si="855"/>
        <v>2</v>
      </c>
      <c r="O702">
        <f>ROUND(INDEX(Housing!AC:AC,MATCH(EOMONTH($A702,-1),Housing!B:B,0)),2)</f>
        <v>139.51</v>
      </c>
      <c r="P702">
        <f t="shared" si="856"/>
        <v>2</v>
      </c>
      <c r="Q702">
        <f>ROUND(INDEX(Spending!AJ:AJ,MATCH(EOMONTH($A702,-1),Spending!B:B,0)),2)</f>
        <v>70.16</v>
      </c>
      <c r="R702">
        <f t="shared" si="860"/>
        <v>2</v>
      </c>
      <c r="S702">
        <f>ROUND(INDEX(Employment!V:V,MATCH(EOMONTH($A702,-1),Employment!A:A,0)),2)</f>
        <v>164.3</v>
      </c>
      <c r="T702" s="11">
        <f t="shared" si="857"/>
        <v>1</v>
      </c>
      <c r="U702">
        <f t="shared" si="849"/>
        <v>35</v>
      </c>
      <c r="V702">
        <f t="shared" si="841"/>
        <v>82.61</v>
      </c>
      <c r="W702" s="13">
        <f t="shared" si="842"/>
        <v>-1.6000000000000001E-3</v>
      </c>
      <c r="X702" s="13">
        <f t="shared" si="843"/>
        <v>4.5699999999999998E-2</v>
      </c>
      <c r="Y702">
        <f t="shared" si="835"/>
        <v>93.23</v>
      </c>
      <c r="Z702" s="13">
        <f t="shared" si="830"/>
        <v>-2.7000000000000001E-3</v>
      </c>
      <c r="AA702" s="13">
        <f t="shared" si="862"/>
        <v>4.1200000000000001E-2</v>
      </c>
      <c r="AB702" s="6">
        <f t="shared" si="836"/>
        <v>110.288</v>
      </c>
      <c r="AC702">
        <f t="shared" si="864"/>
        <v>55</v>
      </c>
      <c r="AD702" s="11">
        <f t="shared" ref="AD702:AD765" si="865">IF(AC702&gt;47,2,IF(AND(AC702&gt;41,AC702&lt;=47),1,IF(AC702&lt;15,-2,IF(AND(AC702&lt;32,AC702&gt;=15),-1,0))))</f>
        <v>2</v>
      </c>
      <c r="AE702">
        <f t="shared" si="863"/>
        <v>39</v>
      </c>
      <c r="AF702">
        <f>IF(AND(AE702&lt;15,OR(AC702&gt;=30,AA702&gt;0.15,X702&gt;=0.15)),2,VLOOKUP(AE702,Table!P:Q,2,FALSE))</f>
        <v>6</v>
      </c>
      <c r="AG702" s="22">
        <f>IF((AB702*0.98)-(D702*0.8)+((AF702-3)*3)+VLOOKUP(AM702,Table!$A$11:$B$13,2,FALSE)&lt;0,0,(AB702*0.98)-(D702*0.8)+((AF702-3)*3)+VLOOKUP(AM702,Table!$A$11:$B$13,2,FALSE))</f>
        <v>114.57024</v>
      </c>
      <c r="AH702" s="22">
        <f t="shared" si="858"/>
        <v>100</v>
      </c>
      <c r="AI702" s="18">
        <f t="shared" si="851"/>
        <v>2.46</v>
      </c>
      <c r="AJ702" s="18">
        <f t="shared" si="852"/>
        <v>1.95</v>
      </c>
      <c r="AK702" t="str">
        <f t="shared" si="837"/>
        <v>Rising Rates</v>
      </c>
      <c r="AL702">
        <f t="shared" si="848"/>
        <v>38.5</v>
      </c>
      <c r="AM702" s="11" t="str">
        <f t="shared" si="838"/>
        <v>Stocks</v>
      </c>
      <c r="AN702" t="str">
        <f t="shared" si="844"/>
        <v>Buy</v>
      </c>
      <c r="AO702" s="13">
        <f t="shared" si="845"/>
        <v>-1.5299999999999999E-2</v>
      </c>
      <c r="AP702" s="13">
        <f t="shared" si="846"/>
        <v>5.0000000000000001E-4</v>
      </c>
      <c r="AQ702" s="13">
        <f t="shared" si="847"/>
        <v>-1.5299999999999999E-2</v>
      </c>
      <c r="AR702" s="13">
        <f t="shared" si="839"/>
        <v>-1.5299999999999999E-2</v>
      </c>
      <c r="AS702" s="6">
        <f t="shared" si="831"/>
        <v>296.33661909236974</v>
      </c>
      <c r="AT702" s="6">
        <f t="shared" si="832"/>
        <v>163.01784153488663</v>
      </c>
      <c r="AU702" s="6">
        <f t="shared" si="833"/>
        <v>342.17791810430566</v>
      </c>
      <c r="AV702" s="6">
        <f t="shared" si="834"/>
        <v>419.47077848880673</v>
      </c>
      <c r="AW702" s="58">
        <f t="shared" si="840"/>
        <v>2005</v>
      </c>
      <c r="AX702" s="58">
        <f>COUNTIF(AW$3:AW702,AW702)</f>
        <v>41</v>
      </c>
    </row>
    <row r="703" spans="1:50" x14ac:dyDescent="0.25">
      <c r="A703" s="5">
        <v>38424</v>
      </c>
      <c r="B703">
        <v>1200.08</v>
      </c>
      <c r="C703">
        <v>2.7</v>
      </c>
      <c r="D703" s="6">
        <v>12.8</v>
      </c>
      <c r="E703" s="18">
        <f t="shared" si="853"/>
        <v>12.08</v>
      </c>
      <c r="F703">
        <f t="shared" si="854"/>
        <v>2</v>
      </c>
      <c r="G703" s="18">
        <f>ROUND(INDEX(Valuation!U:U,MATCH(A703,Valuation!A:A,0)),2)</f>
        <v>185.68</v>
      </c>
      <c r="H703">
        <f t="shared" si="861"/>
        <v>2</v>
      </c>
      <c r="I703" s="18">
        <f>INDEX(WeeklyIndicators!Y:Y,MATCH(A703,WeeklyIndicators!A:A,0))</f>
        <v>164.05</v>
      </c>
      <c r="J703">
        <f t="shared" si="850"/>
        <v>2</v>
      </c>
      <c r="K703">
        <f>ROUND(INDEX(Economic!AF:AF,MATCH(EOMONTH($A703,-1),Economic!A:A,0)),2)</f>
        <v>125.11</v>
      </c>
      <c r="L703" s="11">
        <f t="shared" si="859"/>
        <v>2</v>
      </c>
      <c r="M703">
        <f>ROUND(INDEX(Manufacturing!P:P,MATCH(EOMONTH($A703,-1),Manufacturing!A:A,0)),2)</f>
        <v>100.93</v>
      </c>
      <c r="N703">
        <f t="shared" si="855"/>
        <v>2</v>
      </c>
      <c r="O703">
        <f>ROUND(INDEX(Housing!AC:AC,MATCH(EOMONTH($A703,-1),Housing!B:B,0)),2)</f>
        <v>139.51</v>
      </c>
      <c r="P703">
        <f t="shared" si="856"/>
        <v>2</v>
      </c>
      <c r="Q703">
        <f>ROUND(INDEX(Spending!AJ:AJ,MATCH(EOMONTH($A703,-1),Spending!B:B,0)),2)</f>
        <v>70.16</v>
      </c>
      <c r="R703">
        <f t="shared" si="860"/>
        <v>2</v>
      </c>
      <c r="S703">
        <f>ROUND(INDEX(Employment!V:V,MATCH(EOMONTH($A703,-1),Employment!A:A,0)),2)</f>
        <v>164.3</v>
      </c>
      <c r="T703" s="11">
        <f t="shared" si="857"/>
        <v>1</v>
      </c>
      <c r="U703">
        <f t="shared" si="849"/>
        <v>35</v>
      </c>
      <c r="V703">
        <f t="shared" si="841"/>
        <v>83.84</v>
      </c>
      <c r="W703" s="13">
        <f t="shared" si="842"/>
        <v>9.7999999999999997E-3</v>
      </c>
      <c r="X703" s="13">
        <f t="shared" si="843"/>
        <v>6.7699999999999996E-2</v>
      </c>
      <c r="Y703">
        <f t="shared" si="835"/>
        <v>94.63</v>
      </c>
      <c r="Z703" s="13">
        <f t="shared" si="830"/>
        <v>7.7000000000000002E-3</v>
      </c>
      <c r="AA703" s="13">
        <f t="shared" si="862"/>
        <v>6.5199999999999994E-2</v>
      </c>
      <c r="AB703" s="6">
        <f t="shared" si="836"/>
        <v>113.538</v>
      </c>
      <c r="AC703">
        <f t="shared" si="864"/>
        <v>57</v>
      </c>
      <c r="AD703" s="11">
        <f t="shared" si="865"/>
        <v>2</v>
      </c>
      <c r="AE703">
        <f t="shared" si="863"/>
        <v>39</v>
      </c>
      <c r="AF703">
        <f>IF(AND(AE703&lt;15,OR(AC703&gt;=30,AA703&gt;0.15,X703&gt;=0.15)),2,VLOOKUP(AE703,Table!P:Q,2,FALSE))</f>
        <v>6</v>
      </c>
      <c r="AG703" s="22">
        <f>IF((AB703*0.98)-(D703*0.8)+((AF703-3)*3)+VLOOKUP(AM703,Table!$A$11:$B$13,2,FALSE)&lt;0,0,(AB703*0.98)-(D703*0.8)+((AF703-3)*3)+VLOOKUP(AM703,Table!$A$11:$B$13,2,FALSE))</f>
        <v>118.02724000000001</v>
      </c>
      <c r="AH703" s="22">
        <f t="shared" si="858"/>
        <v>100</v>
      </c>
      <c r="AI703" s="18">
        <f t="shared" si="851"/>
        <v>2.41</v>
      </c>
      <c r="AJ703" s="18">
        <f t="shared" si="852"/>
        <v>1.91</v>
      </c>
      <c r="AK703" t="str">
        <f t="shared" si="837"/>
        <v>Rising Rates</v>
      </c>
      <c r="AL703">
        <f t="shared" si="848"/>
        <v>37.75</v>
      </c>
      <c r="AM703" s="11" t="str">
        <f t="shared" si="838"/>
        <v>Stocks</v>
      </c>
      <c r="AN703" t="str">
        <f t="shared" si="844"/>
        <v>Buy</v>
      </c>
      <c r="AO703" s="13">
        <f t="shared" si="845"/>
        <v>-8.6999999999999994E-3</v>
      </c>
      <c r="AP703" s="13">
        <f t="shared" si="846"/>
        <v>5.0000000000000001E-4</v>
      </c>
      <c r="AQ703" s="13">
        <f t="shared" si="847"/>
        <v>-8.6999999999999994E-3</v>
      </c>
      <c r="AR703" s="13">
        <f t="shared" si="839"/>
        <v>-8.6999999999999994E-3</v>
      </c>
      <c r="AS703" s="6">
        <f t="shared" si="831"/>
        <v>298.93737424833023</v>
      </c>
      <c r="AT703" s="6">
        <f t="shared" si="832"/>
        <v>162.93637334821253</v>
      </c>
      <c r="AU703" s="6">
        <f t="shared" si="833"/>
        <v>345.18099274115372</v>
      </c>
      <c r="AV703" s="6">
        <f t="shared" si="834"/>
        <v>423.1522026518781</v>
      </c>
      <c r="AW703" s="58">
        <f t="shared" si="840"/>
        <v>2005</v>
      </c>
      <c r="AX703" s="58">
        <f>COUNTIF(AW$3:AW703,AW703)</f>
        <v>42</v>
      </c>
    </row>
    <row r="704" spans="1:50" x14ac:dyDescent="0.25">
      <c r="A704" s="5">
        <v>38417</v>
      </c>
      <c r="B704">
        <v>1222.1199999999999</v>
      </c>
      <c r="C704">
        <v>2.7</v>
      </c>
      <c r="D704" s="6">
        <v>11.94</v>
      </c>
      <c r="E704" s="18">
        <f t="shared" si="853"/>
        <v>11.54</v>
      </c>
      <c r="F704">
        <f t="shared" si="854"/>
        <v>2</v>
      </c>
      <c r="G704" s="18">
        <f>ROUND(INDEX(Valuation!U:U,MATCH(A704,Valuation!A:A,0)),2)</f>
        <v>184.77</v>
      </c>
      <c r="H704">
        <f t="shared" si="861"/>
        <v>2</v>
      </c>
      <c r="I704" s="18">
        <f>INDEX(WeeklyIndicators!Y:Y,MATCH(A704,WeeklyIndicators!A:A,0))</f>
        <v>169.61</v>
      </c>
      <c r="J704">
        <f t="shared" si="850"/>
        <v>2</v>
      </c>
      <c r="K704">
        <f>ROUND(INDEX(Economic!AF:AF,MATCH(EOMONTH($A704,-1),Economic!A:A,0)),2)</f>
        <v>125.11</v>
      </c>
      <c r="L704" s="11">
        <f t="shared" si="859"/>
        <v>2</v>
      </c>
      <c r="M704">
        <f>ROUND(INDEX(Manufacturing!P:P,MATCH(EOMONTH($A704,-1),Manufacturing!A:A,0)),2)</f>
        <v>100.93</v>
      </c>
      <c r="N704">
        <f t="shared" si="855"/>
        <v>2</v>
      </c>
      <c r="O704">
        <f>ROUND(INDEX(Housing!AC:AC,MATCH(EOMONTH($A704,-1),Housing!B:B,0)),2)</f>
        <v>139.51</v>
      </c>
      <c r="P704">
        <f t="shared" si="856"/>
        <v>2</v>
      </c>
      <c r="Q704">
        <f>ROUND(INDEX(Spending!AJ:AJ,MATCH(EOMONTH($A704,-1),Spending!B:B,0)),2)</f>
        <v>70.16</v>
      </c>
      <c r="R704">
        <f t="shared" si="860"/>
        <v>2</v>
      </c>
      <c r="S704">
        <f>ROUND(INDEX(Employment!V:V,MATCH(EOMONTH($A704,-1),Employment!A:A,0)),2)</f>
        <v>164.3</v>
      </c>
      <c r="T704" s="11">
        <f t="shared" si="857"/>
        <v>1</v>
      </c>
      <c r="U704">
        <f t="shared" si="849"/>
        <v>35</v>
      </c>
      <c r="V704">
        <f t="shared" si="841"/>
        <v>84.42</v>
      </c>
      <c r="W704" s="13">
        <f t="shared" si="842"/>
        <v>1.95E-2</v>
      </c>
      <c r="X704" s="13">
        <f t="shared" si="843"/>
        <v>6.7500000000000004E-2</v>
      </c>
      <c r="Y704">
        <f t="shared" si="835"/>
        <v>95.3</v>
      </c>
      <c r="Z704" s="13">
        <f t="shared" ref="Z704:Z767" si="866">ROUND((AVERAGE(Y704:Y706)-AVERAGE(Y705:Y707))/AVERAGE(Y705:Y707),4)</f>
        <v>1.77E-2</v>
      </c>
      <c r="AA704" s="13">
        <f t="shared" si="862"/>
        <v>6.7199999999999996E-2</v>
      </c>
      <c r="AB704" s="6">
        <f t="shared" si="836"/>
        <v>114.26700000000001</v>
      </c>
      <c r="AC704">
        <f t="shared" si="864"/>
        <v>57</v>
      </c>
      <c r="AD704" s="11">
        <f t="shared" si="865"/>
        <v>2</v>
      </c>
      <c r="AE704">
        <f t="shared" si="863"/>
        <v>39</v>
      </c>
      <c r="AF704">
        <f>IF(AND(AE704&lt;15,OR(AC704&gt;=30,AA704&gt;0.15,X704&gt;=0.15)),2,VLOOKUP(AE704,Table!P:Q,2,FALSE))</f>
        <v>6</v>
      </c>
      <c r="AG704" s="22">
        <f>IF((AB704*0.98)-(D704*0.8)+((AF704-3)*3)+VLOOKUP(AM704,Table!$A$11:$B$13,2,FALSE)&lt;0,0,(AB704*0.98)-(D704*0.8)+((AF704-3)*3)+VLOOKUP(AM704,Table!$A$11:$B$13,2,FALSE))</f>
        <v>119.42966000000001</v>
      </c>
      <c r="AH704" s="22">
        <f t="shared" si="858"/>
        <v>100</v>
      </c>
      <c r="AI704" s="18">
        <f t="shared" si="851"/>
        <v>2.38</v>
      </c>
      <c r="AJ704" s="18">
        <f t="shared" si="852"/>
        <v>1.87</v>
      </c>
      <c r="AK704" t="str">
        <f t="shared" si="837"/>
        <v>Rising Rates</v>
      </c>
      <c r="AL704">
        <f t="shared" si="848"/>
        <v>36.75</v>
      </c>
      <c r="AM704" s="11" t="str">
        <f t="shared" si="838"/>
        <v>Stocks</v>
      </c>
      <c r="AN704" t="str">
        <f t="shared" si="844"/>
        <v>Buy</v>
      </c>
      <c r="AO704" s="13">
        <f t="shared" si="845"/>
        <v>-1.7999999999999999E-2</v>
      </c>
      <c r="AP704" s="13">
        <f t="shared" si="846"/>
        <v>5.0000000000000001E-4</v>
      </c>
      <c r="AQ704" s="13">
        <f t="shared" si="847"/>
        <v>-1.7999999999999999E-2</v>
      </c>
      <c r="AR704" s="13">
        <f t="shared" si="839"/>
        <v>-1.7999999999999999E-2</v>
      </c>
      <c r="AS704" s="6">
        <f t="shared" si="831"/>
        <v>304.41687805328945</v>
      </c>
      <c r="AT704" s="6">
        <f t="shared" si="832"/>
        <v>162.85494587527489</v>
      </c>
      <c r="AU704" s="6">
        <f t="shared" si="833"/>
        <v>351.5081392476107</v>
      </c>
      <c r="AV704" s="6">
        <f t="shared" si="834"/>
        <v>430.90855667197366</v>
      </c>
      <c r="AW704" s="58">
        <f t="shared" si="840"/>
        <v>2005</v>
      </c>
      <c r="AX704" s="58">
        <f>COUNTIF(AW$3:AW704,AW704)</f>
        <v>43</v>
      </c>
    </row>
    <row r="705" spans="1:50" x14ac:dyDescent="0.25">
      <c r="A705" s="5">
        <v>38410</v>
      </c>
      <c r="B705">
        <v>1211.3699999999999</v>
      </c>
      <c r="C705">
        <v>2.65</v>
      </c>
      <c r="D705" s="6">
        <v>11.49</v>
      </c>
      <c r="E705" s="18">
        <f t="shared" si="853"/>
        <v>11.37</v>
      </c>
      <c r="F705">
        <f t="shared" si="854"/>
        <v>2</v>
      </c>
      <c r="G705" s="18">
        <f>ROUND(INDEX(Valuation!U:U,MATCH(A705,Valuation!A:A,0)),2)</f>
        <v>185.23</v>
      </c>
      <c r="H705">
        <f t="shared" si="861"/>
        <v>2</v>
      </c>
      <c r="I705" s="18">
        <f>INDEX(WeeklyIndicators!Y:Y,MATCH(A705,WeeklyIndicators!A:A,0))</f>
        <v>162.94</v>
      </c>
      <c r="J705">
        <f t="shared" si="850"/>
        <v>2</v>
      </c>
      <c r="K705">
        <f>ROUND(INDEX(Economic!AF:AF,MATCH(EOMONTH($A705,-1),Economic!A:A,0)),2)</f>
        <v>122.39</v>
      </c>
      <c r="L705" s="11">
        <f t="shared" si="859"/>
        <v>1</v>
      </c>
      <c r="M705">
        <f>ROUND(INDEX(Manufacturing!P:P,MATCH(EOMONTH($A705,-1),Manufacturing!A:A,0)),2)</f>
        <v>100.67</v>
      </c>
      <c r="N705">
        <f t="shared" si="855"/>
        <v>2</v>
      </c>
      <c r="O705">
        <f>ROUND(INDEX(Housing!AC:AC,MATCH(EOMONTH($A705,-1),Housing!B:B,0)),2)</f>
        <v>138.62</v>
      </c>
      <c r="P705">
        <f t="shared" si="856"/>
        <v>2</v>
      </c>
      <c r="Q705">
        <f>ROUND(INDEX(Spending!AJ:AJ,MATCH(EOMONTH($A705,-1),Spending!B:B,0)),2)</f>
        <v>71.81</v>
      </c>
      <c r="R705">
        <f t="shared" si="860"/>
        <v>2</v>
      </c>
      <c r="S705">
        <f>ROUND(INDEX(Employment!V:V,MATCH(EOMONTH($A705,-1),Employment!A:A,0)),2)</f>
        <v>159.94999999999999</v>
      </c>
      <c r="T705" s="11">
        <f t="shared" si="857"/>
        <v>0</v>
      </c>
      <c r="U705">
        <f t="shared" si="849"/>
        <v>33</v>
      </c>
      <c r="V705">
        <f t="shared" si="841"/>
        <v>83.02</v>
      </c>
      <c r="W705" s="13">
        <f t="shared" si="842"/>
        <v>1.7999999999999999E-2</v>
      </c>
      <c r="X705" s="13">
        <f t="shared" si="843"/>
        <v>5.0500000000000003E-2</v>
      </c>
      <c r="Y705">
        <f t="shared" si="835"/>
        <v>94.01</v>
      </c>
      <c r="Z705" s="13">
        <f t="shared" si="866"/>
        <v>1.8499999999999999E-2</v>
      </c>
      <c r="AA705" s="13">
        <f t="shared" si="862"/>
        <v>4.9700000000000001E-2</v>
      </c>
      <c r="AB705" s="6">
        <f t="shared" si="836"/>
        <v>111.633</v>
      </c>
      <c r="AC705">
        <f t="shared" si="864"/>
        <v>56</v>
      </c>
      <c r="AD705" s="11">
        <f t="shared" si="865"/>
        <v>2</v>
      </c>
      <c r="AE705">
        <f t="shared" si="863"/>
        <v>37</v>
      </c>
      <c r="AF705">
        <f>IF(AND(AE705&lt;15,OR(AC705&gt;=30,AA705&gt;0.15,X705&gt;=0.15)),2,VLOOKUP(AE705,Table!P:Q,2,FALSE))</f>
        <v>6</v>
      </c>
      <c r="AG705" s="22">
        <f>IF((AB705*0.98)-(D705*0.8)+((AF705-3)*3)+VLOOKUP(AM705,Table!$A$11:$B$13,2,FALSE)&lt;0,0,(AB705*0.98)-(D705*0.8)+((AF705-3)*3)+VLOOKUP(AM705,Table!$A$11:$B$13,2,FALSE))</f>
        <v>117.20833999999999</v>
      </c>
      <c r="AH705" s="22">
        <f t="shared" si="858"/>
        <v>100</v>
      </c>
      <c r="AI705" s="18">
        <f t="shared" si="851"/>
        <v>2.34</v>
      </c>
      <c r="AJ705" s="18">
        <f t="shared" si="852"/>
        <v>1.83</v>
      </c>
      <c r="AK705" t="str">
        <f t="shared" si="837"/>
        <v>Rising Rates</v>
      </c>
      <c r="AL705">
        <f t="shared" si="848"/>
        <v>35.75</v>
      </c>
      <c r="AM705" s="11" t="str">
        <f t="shared" si="838"/>
        <v>Stocks</v>
      </c>
      <c r="AN705" t="str">
        <f t="shared" si="844"/>
        <v>Buy</v>
      </c>
      <c r="AO705" s="13">
        <f t="shared" si="845"/>
        <v>8.8999999999999999E-3</v>
      </c>
      <c r="AP705" s="13">
        <f t="shared" si="846"/>
        <v>5.0000000000000001E-4</v>
      </c>
      <c r="AQ705" s="13">
        <f t="shared" si="847"/>
        <v>8.8999999999999999E-3</v>
      </c>
      <c r="AR705" s="13">
        <f t="shared" si="839"/>
        <v>8.8999999999999999E-3</v>
      </c>
      <c r="AS705" s="6">
        <f t="shared" si="831"/>
        <v>301.73146798819454</v>
      </c>
      <c r="AT705" s="6">
        <f t="shared" si="832"/>
        <v>162.77355909572705</v>
      </c>
      <c r="AU705" s="6">
        <f t="shared" si="833"/>
        <v>348.40731415166096</v>
      </c>
      <c r="AV705" s="6">
        <f t="shared" si="834"/>
        <v>427.10730168695977</v>
      </c>
      <c r="AW705" s="58">
        <f t="shared" si="840"/>
        <v>2005</v>
      </c>
      <c r="AX705" s="58">
        <f>COUNTIF(AW$3:AW705,AW705)</f>
        <v>44</v>
      </c>
    </row>
    <row r="706" spans="1:50" x14ac:dyDescent="0.25">
      <c r="A706" s="5">
        <v>38403</v>
      </c>
      <c r="B706">
        <v>1201.5899999999999</v>
      </c>
      <c r="C706">
        <v>2.54</v>
      </c>
      <c r="D706" s="6">
        <v>11.18</v>
      </c>
      <c r="E706" s="18">
        <f t="shared" si="853"/>
        <v>11.27</v>
      </c>
      <c r="F706">
        <f t="shared" si="854"/>
        <v>2</v>
      </c>
      <c r="G706" s="18">
        <f>ROUND(INDEX(Valuation!U:U,MATCH(A706,Valuation!A:A,0)),2)</f>
        <v>185.63</v>
      </c>
      <c r="H706">
        <f t="shared" si="861"/>
        <v>2</v>
      </c>
      <c r="I706" s="18">
        <f>INDEX(WeeklyIndicators!Y:Y,MATCH(A706,WeeklyIndicators!A:A,0))</f>
        <v>147.33000000000001</v>
      </c>
      <c r="J706">
        <f t="shared" si="850"/>
        <v>1</v>
      </c>
      <c r="K706">
        <f>ROUND(INDEX(Economic!AF:AF,MATCH(EOMONTH($A706,-1),Economic!A:A,0)),2)</f>
        <v>122.39</v>
      </c>
      <c r="L706" s="11">
        <f t="shared" si="859"/>
        <v>1</v>
      </c>
      <c r="M706">
        <f>ROUND(INDEX(Manufacturing!P:P,MATCH(EOMONTH($A706,-1),Manufacturing!A:A,0)),2)</f>
        <v>100.67</v>
      </c>
      <c r="N706">
        <f t="shared" si="855"/>
        <v>2</v>
      </c>
      <c r="O706">
        <f>ROUND(INDEX(Housing!AC:AC,MATCH(EOMONTH($A706,-1),Housing!B:B,0)),2)</f>
        <v>138.62</v>
      </c>
      <c r="P706">
        <f t="shared" si="856"/>
        <v>2</v>
      </c>
      <c r="Q706">
        <f>ROUND(INDEX(Spending!AJ:AJ,MATCH(EOMONTH($A706,-1),Spending!B:B,0)),2)</f>
        <v>71.81</v>
      </c>
      <c r="R706">
        <f t="shared" si="860"/>
        <v>2</v>
      </c>
      <c r="S706">
        <f>ROUND(INDEX(Employment!V:V,MATCH(EOMONTH($A706,-1),Employment!A:A,0)),2)</f>
        <v>159.94999999999999</v>
      </c>
      <c r="T706" s="11">
        <f t="shared" si="857"/>
        <v>0</v>
      </c>
      <c r="U706">
        <f t="shared" si="849"/>
        <v>32</v>
      </c>
      <c r="V706">
        <f t="shared" si="841"/>
        <v>81.400000000000006</v>
      </c>
      <c r="W706" s="13">
        <f t="shared" si="842"/>
        <v>2.0400000000000001E-2</v>
      </c>
      <c r="X706" s="13">
        <f t="shared" si="843"/>
        <v>2.5100000000000001E-2</v>
      </c>
      <c r="Y706">
        <f t="shared" si="835"/>
        <v>92.47</v>
      </c>
      <c r="Z706" s="13">
        <f t="shared" si="866"/>
        <v>2.1299999999999999E-2</v>
      </c>
      <c r="AA706" s="13">
        <f t="shared" si="862"/>
        <v>2.1100000000000001E-2</v>
      </c>
      <c r="AB706" s="6">
        <f t="shared" si="836"/>
        <v>107.913</v>
      </c>
      <c r="AC706">
        <f t="shared" si="864"/>
        <v>54</v>
      </c>
      <c r="AD706" s="11">
        <f t="shared" si="865"/>
        <v>2</v>
      </c>
      <c r="AE706">
        <f t="shared" si="863"/>
        <v>36</v>
      </c>
      <c r="AF706">
        <f>IF(AND(AE706&lt;15,OR(AC706&gt;=30,AA706&gt;0.15,X706&gt;=0.15)),2,VLOOKUP(AE706,Table!P:Q,2,FALSE))</f>
        <v>5</v>
      </c>
      <c r="AG706" s="22">
        <f>IF((AB706*0.98)-(D706*0.8)+((AF706-3)*3)+VLOOKUP(AM706,Table!$A$11:$B$13,2,FALSE)&lt;0,0,(AB706*0.98)-(D706*0.8)+((AF706-3)*3)+VLOOKUP(AM706,Table!$A$11:$B$13,2,FALSE))</f>
        <v>110.81074</v>
      </c>
      <c r="AH706" s="22">
        <f t="shared" si="858"/>
        <v>100</v>
      </c>
      <c r="AI706" s="18">
        <f t="shared" si="851"/>
        <v>2.2999999999999998</v>
      </c>
      <c r="AJ706" s="18">
        <f t="shared" si="852"/>
        <v>1.79</v>
      </c>
      <c r="AK706" t="str">
        <f t="shared" si="837"/>
        <v>Rising Rates</v>
      </c>
      <c r="AL706">
        <f t="shared" si="848"/>
        <v>35</v>
      </c>
      <c r="AM706" s="11" t="str">
        <f t="shared" si="838"/>
        <v>Stocks</v>
      </c>
      <c r="AN706" t="str">
        <f t="shared" si="844"/>
        <v>Buy</v>
      </c>
      <c r="AO706" s="13">
        <f t="shared" si="845"/>
        <v>8.0999999999999996E-3</v>
      </c>
      <c r="AP706" s="13">
        <f t="shared" si="846"/>
        <v>5.0000000000000001E-4</v>
      </c>
      <c r="AQ706" s="13">
        <f t="shared" si="847"/>
        <v>8.0999999999999996E-3</v>
      </c>
      <c r="AR706" s="13">
        <f t="shared" si="839"/>
        <v>8.0999999999999996E-3</v>
      </c>
      <c r="AS706" s="6">
        <f t="shared" si="831"/>
        <v>299.30708063505062</v>
      </c>
      <c r="AT706" s="6">
        <f t="shared" si="832"/>
        <v>162.69221298923244</v>
      </c>
      <c r="AU706" s="6">
        <f t="shared" si="833"/>
        <v>345.60789024071119</v>
      </c>
      <c r="AV706" s="6">
        <f t="shared" si="834"/>
        <v>423.6755298948118</v>
      </c>
      <c r="AW706" s="58">
        <f t="shared" si="840"/>
        <v>2005</v>
      </c>
      <c r="AX706" s="58">
        <f>COUNTIF(AW$3:AW706,AW706)</f>
        <v>45</v>
      </c>
    </row>
    <row r="707" spans="1:50" x14ac:dyDescent="0.25">
      <c r="A707" s="5">
        <v>38396</v>
      </c>
      <c r="B707">
        <v>1205.3</v>
      </c>
      <c r="C707">
        <v>2.48</v>
      </c>
      <c r="D707" s="6">
        <v>11.43</v>
      </c>
      <c r="E707" s="18">
        <f t="shared" si="853"/>
        <v>11.96</v>
      </c>
      <c r="F707">
        <f t="shared" si="854"/>
        <v>2</v>
      </c>
      <c r="G707" s="18">
        <f>ROUND(INDEX(Valuation!U:U,MATCH(A707,Valuation!A:A,0)),2)</f>
        <v>184.93</v>
      </c>
      <c r="H707">
        <f t="shared" si="861"/>
        <v>2</v>
      </c>
      <c r="I707" s="18">
        <f>INDEX(WeeklyIndicators!Y:Y,MATCH(A707,WeeklyIndicators!A:A,0))</f>
        <v>130.58000000000001</v>
      </c>
      <c r="J707">
        <f t="shared" si="850"/>
        <v>0</v>
      </c>
      <c r="K707">
        <f>ROUND(INDEX(Economic!AF:AF,MATCH(EOMONTH($A707,-1),Economic!A:A,0)),2)</f>
        <v>122.39</v>
      </c>
      <c r="L707" s="11">
        <f t="shared" si="859"/>
        <v>1</v>
      </c>
      <c r="M707">
        <f>ROUND(INDEX(Manufacturing!P:P,MATCH(EOMONTH($A707,-1),Manufacturing!A:A,0)),2)</f>
        <v>100.67</v>
      </c>
      <c r="N707">
        <f t="shared" si="855"/>
        <v>2</v>
      </c>
      <c r="O707">
        <f>ROUND(INDEX(Housing!AC:AC,MATCH(EOMONTH($A707,-1),Housing!B:B,0)),2)</f>
        <v>138.62</v>
      </c>
      <c r="P707">
        <f t="shared" si="856"/>
        <v>2</v>
      </c>
      <c r="Q707">
        <f>ROUND(INDEX(Spending!AJ:AJ,MATCH(EOMONTH($A707,-1),Spending!B:B,0)),2)</f>
        <v>71.81</v>
      </c>
      <c r="R707">
        <f t="shared" si="860"/>
        <v>2</v>
      </c>
      <c r="S707">
        <f>ROUND(INDEX(Employment!V:V,MATCH(EOMONTH($A707,-1),Employment!A:A,0)),2)</f>
        <v>159.94999999999999</v>
      </c>
      <c r="T707" s="11">
        <f t="shared" si="857"/>
        <v>0</v>
      </c>
      <c r="U707">
        <f t="shared" si="849"/>
        <v>31</v>
      </c>
      <c r="V707">
        <f t="shared" si="841"/>
        <v>79.66</v>
      </c>
      <c r="W707" s="13">
        <f t="shared" si="842"/>
        <v>9.5999999999999992E-3</v>
      </c>
      <c r="X707" s="13">
        <f t="shared" si="843"/>
        <v>2.1999999999999993E-3</v>
      </c>
      <c r="Y707">
        <f t="shared" si="835"/>
        <v>90.41</v>
      </c>
      <c r="Z707" s="13">
        <f t="shared" si="866"/>
        <v>9.7000000000000003E-3</v>
      </c>
      <c r="AA707" s="13">
        <f t="shared" si="862"/>
        <v>-6.5999999999999991E-3</v>
      </c>
      <c r="AB707" s="6">
        <f t="shared" si="836"/>
        <v>103.643</v>
      </c>
      <c r="AC707">
        <f t="shared" si="864"/>
        <v>52</v>
      </c>
      <c r="AD707" s="11">
        <f t="shared" si="865"/>
        <v>2</v>
      </c>
      <c r="AE707">
        <f t="shared" si="863"/>
        <v>35</v>
      </c>
      <c r="AF707">
        <f>IF(AND(AE707&lt;15,OR(AC707&gt;=30,AA707&gt;0.15,X707&gt;=0.15)),2,VLOOKUP(AE707,Table!P:Q,2,FALSE))</f>
        <v>5</v>
      </c>
      <c r="AG707" s="22">
        <f>IF((AB707*0.98)-(D707*0.8)+((AF707-3)*3)+VLOOKUP(AM707,Table!$A$11:$B$13,2,FALSE)&lt;0,0,(AB707*0.98)-(D707*0.8)+((AF707-3)*3)+VLOOKUP(AM707,Table!$A$11:$B$13,2,FALSE))</f>
        <v>106.42613999999999</v>
      </c>
      <c r="AH707" s="22">
        <f t="shared" si="858"/>
        <v>100</v>
      </c>
      <c r="AI707" s="18">
        <f t="shared" si="851"/>
        <v>2.2599999999999998</v>
      </c>
      <c r="AJ707" s="18">
        <f t="shared" si="852"/>
        <v>1.75</v>
      </c>
      <c r="AK707" t="str">
        <f t="shared" si="837"/>
        <v>Rising Rates</v>
      </c>
      <c r="AL707">
        <f t="shared" si="848"/>
        <v>34.5</v>
      </c>
      <c r="AM707" s="11" t="str">
        <f t="shared" si="838"/>
        <v>Stocks</v>
      </c>
      <c r="AN707" t="str">
        <f t="shared" si="844"/>
        <v>Buy</v>
      </c>
      <c r="AO707" s="13">
        <f t="shared" si="845"/>
        <v>-3.0999999999999999E-3</v>
      </c>
      <c r="AP707" s="13">
        <f t="shared" si="846"/>
        <v>5.0000000000000001E-4</v>
      </c>
      <c r="AQ707" s="13">
        <f t="shared" si="847"/>
        <v>-3.0999999999999999E-3</v>
      </c>
      <c r="AR707" s="13">
        <f t="shared" si="839"/>
        <v>-3.0999999999999999E-3</v>
      </c>
      <c r="AS707" s="6">
        <f t="shared" ref="AS707:AS770" si="867">AS708*(1+AO708)</f>
        <v>300.23781787044902</v>
      </c>
      <c r="AT707" s="6">
        <f t="shared" ref="AT707:AT770" si="868">AT708*(1+AP708)</f>
        <v>162.61090753546472</v>
      </c>
      <c r="AU707" s="6">
        <f t="shared" ref="AU707:AU770" si="869">AU708*(1+AQ708)</f>
        <v>346.6826063203041</v>
      </c>
      <c r="AV707" s="6">
        <f t="shared" ref="AV707:AV770" si="870">AV708*(1+AR708)</f>
        <v>424.99300822029471</v>
      </c>
      <c r="AW707" s="58">
        <f t="shared" si="840"/>
        <v>2005</v>
      </c>
      <c r="AX707" s="58">
        <f>COUNTIF(AW$3:AW707,AW707)</f>
        <v>46</v>
      </c>
    </row>
    <row r="708" spans="1:50" x14ac:dyDescent="0.25">
      <c r="A708" s="5">
        <v>38389</v>
      </c>
      <c r="B708">
        <v>1203.03</v>
      </c>
      <c r="C708">
        <v>2.46</v>
      </c>
      <c r="D708" s="6">
        <v>11.21</v>
      </c>
      <c r="E708" s="18">
        <f t="shared" si="853"/>
        <v>12.94</v>
      </c>
      <c r="F708">
        <f t="shared" si="854"/>
        <v>2</v>
      </c>
      <c r="G708" s="18">
        <f>ROUND(INDEX(Valuation!U:U,MATCH(A708,Valuation!A:A,0)),2)</f>
        <v>183.74</v>
      </c>
      <c r="H708">
        <f t="shared" si="861"/>
        <v>2</v>
      </c>
      <c r="I708" s="18">
        <f>INDEX(WeeklyIndicators!Y:Y,MATCH(A708,WeeklyIndicators!A:A,0))</f>
        <v>121.46</v>
      </c>
      <c r="J708">
        <f t="shared" si="850"/>
        <v>0</v>
      </c>
      <c r="K708">
        <f>ROUND(INDEX(Economic!AF:AF,MATCH(EOMONTH($A708,-1),Economic!A:A,0)),2)</f>
        <v>122.39</v>
      </c>
      <c r="L708" s="11">
        <f t="shared" si="859"/>
        <v>1</v>
      </c>
      <c r="M708">
        <f>ROUND(INDEX(Manufacturing!P:P,MATCH(EOMONTH($A708,-1),Manufacturing!A:A,0)),2)</f>
        <v>100.67</v>
      </c>
      <c r="N708">
        <f t="shared" si="855"/>
        <v>2</v>
      </c>
      <c r="O708">
        <f>ROUND(INDEX(Housing!AC:AC,MATCH(EOMONTH($A708,-1),Housing!B:B,0)),2)</f>
        <v>138.62</v>
      </c>
      <c r="P708">
        <f t="shared" si="856"/>
        <v>2</v>
      </c>
      <c r="Q708">
        <f>ROUND(INDEX(Spending!AJ:AJ,MATCH(EOMONTH($A708,-1),Spending!B:B,0)),2)</f>
        <v>71.81</v>
      </c>
      <c r="R708">
        <f t="shared" si="860"/>
        <v>2</v>
      </c>
      <c r="S708">
        <f>ROUND(INDEX(Employment!V:V,MATCH(EOMONTH($A708,-1),Employment!A:A,0)),2)</f>
        <v>159.94999999999999</v>
      </c>
      <c r="T708" s="11">
        <f t="shared" si="857"/>
        <v>0</v>
      </c>
      <c r="U708">
        <f t="shared" si="849"/>
        <v>31</v>
      </c>
      <c r="V708">
        <f t="shared" si="841"/>
        <v>78.709999999999994</v>
      </c>
      <c r="W708" s="13">
        <f t="shared" si="842"/>
        <v>2.5000000000000001E-3</v>
      </c>
      <c r="X708" s="13">
        <f t="shared" si="843"/>
        <v>-2.4000000000000002E-3</v>
      </c>
      <c r="Y708">
        <f t="shared" ref="Y708:Y771" si="871">ROUND(((K708*0.745)+(M708*0.745)+(O708*0.36)+(Q708*0.45)+(S708*0.45)+(I708*0.55)+(G708*0.59)-(E708*1.85))/5.3,2)</f>
        <v>88.99</v>
      </c>
      <c r="Z708" s="13">
        <f t="shared" si="866"/>
        <v>2.0000000000000001E-4</v>
      </c>
      <c r="AA708" s="13">
        <f t="shared" si="862"/>
        <v>-1.6399999999999998E-2</v>
      </c>
      <c r="AB708" s="6">
        <f t="shared" ref="AB708:AB771" si="872">IF(ROUND(Y708+(X708*10)+(V708/30)+(AA708*67),2)+5+((G708-125)*0.1)&lt;0,0,ROUND(Y708+(X708*10)+(V708/30)+(AA708*67),2)+5+((G708-125)*0.1))</f>
        <v>101.36399999999999</v>
      </c>
      <c r="AC708">
        <f t="shared" si="864"/>
        <v>51</v>
      </c>
      <c r="AD708" s="11">
        <f t="shared" si="865"/>
        <v>2</v>
      </c>
      <c r="AE708">
        <f t="shared" si="863"/>
        <v>35</v>
      </c>
      <c r="AF708">
        <f>IF(AND(AE708&lt;15,OR(AC708&gt;=30,AA708&gt;0.15,X708&gt;=0.15)),2,VLOOKUP(AE708,Table!P:Q,2,FALSE))</f>
        <v>5</v>
      </c>
      <c r="AG708" s="22">
        <f>IF((AB708*0.98)-(D708*0.8)+((AF708-3)*3)+VLOOKUP(AM708,Table!$A$11:$B$13,2,FALSE)&lt;0,0,(AB708*0.98)-(D708*0.8)+((AF708-3)*3)+VLOOKUP(AM708,Table!$A$11:$B$13,2,FALSE))</f>
        <v>104.36871999999998</v>
      </c>
      <c r="AH708" s="22">
        <f t="shared" si="858"/>
        <v>100</v>
      </c>
      <c r="AI708" s="18">
        <f t="shared" si="851"/>
        <v>2.23</v>
      </c>
      <c r="AJ708" s="18">
        <f t="shared" si="852"/>
        <v>1.71</v>
      </c>
      <c r="AK708" t="str">
        <f t="shared" ref="AK708:AK771" si="873">IF(AND(C708&gt;AI708,AI708&gt;AJ708,C708-AJ708&gt;0.15),"Rising Rates",IF(AND(C708&lt;AI708,AI708&lt;AJ708,AJ708-C708&gt;0.15),"Falling Rates",""))</f>
        <v>Rising Rates</v>
      </c>
      <c r="AL708">
        <f t="shared" si="848"/>
        <v>34.5</v>
      </c>
      <c r="AM708" s="11" t="str">
        <f t="shared" ref="AM708:AM771" si="874">IF(OR(AND(AL708&lt;=18,G708&lt;=25),AND(AL708&lt;=14,G708&lt;200)),"Cash","Stocks")</f>
        <v>Stocks</v>
      </c>
      <c r="AN708" t="str">
        <f t="shared" si="844"/>
        <v>Buy</v>
      </c>
      <c r="AO708" s="13">
        <f t="shared" si="845"/>
        <v>1.9E-3</v>
      </c>
      <c r="AP708" s="13">
        <f t="shared" si="846"/>
        <v>5.0000000000000001E-4</v>
      </c>
      <c r="AQ708" s="13">
        <f t="shared" si="847"/>
        <v>1.9E-3</v>
      </c>
      <c r="AR708" s="13">
        <f t="shared" ref="AR708:AR771" si="875">IF(AM708="Stocks",AO708,AP708)</f>
        <v>1.9E-3</v>
      </c>
      <c r="AS708" s="6">
        <f t="shared" si="867"/>
        <v>299.66844781959179</v>
      </c>
      <c r="AT708" s="6">
        <f t="shared" si="868"/>
        <v>162.52964271410767</v>
      </c>
      <c r="AU708" s="6">
        <f t="shared" si="869"/>
        <v>346.02515851911778</v>
      </c>
      <c r="AV708" s="6">
        <f t="shared" si="870"/>
        <v>424.18705281993681</v>
      </c>
      <c r="AW708" s="58">
        <f t="shared" ref="AW708:AW771" si="876">YEAR(A708)</f>
        <v>2005</v>
      </c>
      <c r="AX708" s="58">
        <f>COUNTIF(AW$3:AW708,AW708)</f>
        <v>47</v>
      </c>
    </row>
    <row r="709" spans="1:50" x14ac:dyDescent="0.25">
      <c r="A709" s="5">
        <v>38382</v>
      </c>
      <c r="B709">
        <v>1171.3599999999999</v>
      </c>
      <c r="C709">
        <v>2.38</v>
      </c>
      <c r="D709" s="6">
        <v>13.24</v>
      </c>
      <c r="E709" s="18">
        <f t="shared" si="853"/>
        <v>13.34</v>
      </c>
      <c r="F709">
        <f t="shared" si="854"/>
        <v>2</v>
      </c>
      <c r="G709" s="18">
        <f>ROUND(INDEX(Valuation!U:U,MATCH(A709,Valuation!A:A,0)),2)</f>
        <v>184.09</v>
      </c>
      <c r="H709">
        <f t="shared" si="861"/>
        <v>2</v>
      </c>
      <c r="I709" s="18">
        <f>INDEX(WeeklyIndicators!Y:Y,MATCH(A709,WeeklyIndicators!A:A,0))</f>
        <v>123.67</v>
      </c>
      <c r="J709">
        <f t="shared" si="850"/>
        <v>0</v>
      </c>
      <c r="K709">
        <f>ROUND(INDEX(Economic!AF:AF,MATCH(EOMONTH($A709,-1),Economic!A:A,0)),2)</f>
        <v>116.84</v>
      </c>
      <c r="L709" s="11">
        <f t="shared" si="859"/>
        <v>1</v>
      </c>
      <c r="M709">
        <f>ROUND(INDEX(Manufacturing!P:P,MATCH(EOMONTH($A709,-1),Manufacturing!A:A,0)),2)</f>
        <v>95.41</v>
      </c>
      <c r="N709">
        <f t="shared" si="855"/>
        <v>1</v>
      </c>
      <c r="O709">
        <f>ROUND(INDEX(Housing!AC:AC,MATCH(EOMONTH($A709,-1),Housing!B:B,0)),2)</f>
        <v>133.77000000000001</v>
      </c>
      <c r="P709">
        <f t="shared" si="856"/>
        <v>2</v>
      </c>
      <c r="Q709">
        <f>ROUND(INDEX(Spending!AJ:AJ,MATCH(EOMONTH($A709,-1),Spending!B:B,0)),2)</f>
        <v>66.260000000000005</v>
      </c>
      <c r="R709">
        <f t="shared" si="860"/>
        <v>2</v>
      </c>
      <c r="S709">
        <f>ROUND(INDEX(Employment!V:V,MATCH(EOMONTH($A709,-1),Employment!A:A,0)),2)</f>
        <v>159.83000000000001</v>
      </c>
      <c r="T709" s="11">
        <f t="shared" si="857"/>
        <v>0</v>
      </c>
      <c r="U709">
        <f t="shared" si="849"/>
        <v>30</v>
      </c>
      <c r="V709">
        <f t="shared" ref="V709:V772" si="877">ROUND(((K709*0.745)+(M709*0.745)+(O709*0.36)+(Q709*0.45)+(S709*0.45)+(I709*0.55)+(60)-(30))/5.3,2)</f>
        <v>76.61</v>
      </c>
      <c r="W709" s="13">
        <f t="shared" ref="W709:W772" si="878">ROUND((AVERAGE(V709:V711)-AVERAGE(V710:V712))/AVERAGE(V710:V712),4)</f>
        <v>-7.4000000000000003E-3</v>
      </c>
      <c r="X709" s="13">
        <f t="shared" ref="X709:X772" si="879">SUM(W709:W712)</f>
        <v>1.3999999999999993E-3</v>
      </c>
      <c r="Y709">
        <f t="shared" si="871"/>
        <v>86.79</v>
      </c>
      <c r="Z709" s="13">
        <f t="shared" si="866"/>
        <v>-1.01E-2</v>
      </c>
      <c r="AA709" s="13">
        <f t="shared" si="862"/>
        <v>-1.4500000000000001E-2</v>
      </c>
      <c r="AB709" s="6">
        <f t="shared" si="872"/>
        <v>99.299000000000007</v>
      </c>
      <c r="AC709">
        <f t="shared" si="864"/>
        <v>50</v>
      </c>
      <c r="AD709" s="11">
        <f t="shared" si="865"/>
        <v>2</v>
      </c>
      <c r="AE709">
        <f t="shared" si="863"/>
        <v>34</v>
      </c>
      <c r="AF709">
        <f>IF(AND(AE709&lt;15,OR(AC709&gt;=30,AA709&gt;0.15,X709&gt;=0.15)),2,VLOOKUP(AE709,Table!P:Q,2,FALSE))</f>
        <v>5</v>
      </c>
      <c r="AG709" s="22">
        <f>IF((AB709*0.98)-(D709*0.8)+((AF709-3)*3)+VLOOKUP(AM709,Table!$A$11:$B$13,2,FALSE)&lt;0,0,(AB709*0.98)-(D709*0.8)+((AF709-3)*3)+VLOOKUP(AM709,Table!$A$11:$B$13,2,FALSE))</f>
        <v>100.72102000000001</v>
      </c>
      <c r="AH709" s="22">
        <f t="shared" si="858"/>
        <v>100</v>
      </c>
      <c r="AI709" s="18">
        <f t="shared" si="851"/>
        <v>2.19</v>
      </c>
      <c r="AJ709" s="18">
        <f t="shared" si="852"/>
        <v>1.68</v>
      </c>
      <c r="AK709" t="str">
        <f t="shared" si="873"/>
        <v>Rising Rates</v>
      </c>
      <c r="AL709">
        <f t="shared" si="848"/>
        <v>34.5</v>
      </c>
      <c r="AM709" s="11" t="str">
        <f t="shared" si="874"/>
        <v>Stocks</v>
      </c>
      <c r="AN709" t="str">
        <f t="shared" ref="AN709:AN772" si="880">IF(AND(V709&gt;AG709,V709&lt;65),"Sell","Buy")</f>
        <v>Buy</v>
      </c>
      <c r="AO709" s="13">
        <f t="shared" ref="AO709:AO772" si="881">ROUND((B708/B709)-1,4)</f>
        <v>2.7E-2</v>
      </c>
      <c r="AP709" s="13">
        <f t="shared" ref="AP709:AP772" si="882">ROUND((C709*0.01)/52,4)</f>
        <v>5.0000000000000001E-4</v>
      </c>
      <c r="AQ709" s="13">
        <f t="shared" ref="AQ709:AQ772" si="883">ROUND(((AH709*0.01)*AO709)+(((100-AH709)*0.01)*AP709),4)</f>
        <v>2.7E-2</v>
      </c>
      <c r="AR709" s="13">
        <f t="shared" si="875"/>
        <v>2.7E-2</v>
      </c>
      <c r="AS709" s="6">
        <f t="shared" si="867"/>
        <v>291.79011472209527</v>
      </c>
      <c r="AT709" s="6">
        <f t="shared" si="868"/>
        <v>162.44841850485525</v>
      </c>
      <c r="AU709" s="6">
        <f t="shared" si="869"/>
        <v>336.92809982387325</v>
      </c>
      <c r="AV709" s="6">
        <f t="shared" si="870"/>
        <v>413.03510498533285</v>
      </c>
      <c r="AW709" s="58">
        <f t="shared" si="876"/>
        <v>2005</v>
      </c>
      <c r="AX709" s="58">
        <f>COUNTIF(AW$3:AW709,AW709)</f>
        <v>48</v>
      </c>
    </row>
    <row r="710" spans="1:50" x14ac:dyDescent="0.25">
      <c r="A710" s="5">
        <v>38375</v>
      </c>
      <c r="B710">
        <v>1167.8699999999999</v>
      </c>
      <c r="C710">
        <v>2.33</v>
      </c>
      <c r="D710" s="6">
        <v>14.36</v>
      </c>
      <c r="E710" s="18">
        <f t="shared" si="853"/>
        <v>13.43</v>
      </c>
      <c r="F710">
        <f t="shared" si="854"/>
        <v>2</v>
      </c>
      <c r="G710" s="18">
        <f>ROUND(INDEX(Valuation!U:U,MATCH(A710,Valuation!A:A,0)),2)</f>
        <v>186.59</v>
      </c>
      <c r="H710">
        <f t="shared" si="861"/>
        <v>2</v>
      </c>
      <c r="I710" s="18">
        <f>INDEX(WeeklyIndicators!Y:Y,MATCH(A710,WeeklyIndicators!A:A,0))</f>
        <v>131.52000000000001</v>
      </c>
      <c r="J710">
        <f t="shared" si="850"/>
        <v>0</v>
      </c>
      <c r="K710">
        <f>ROUND(INDEX(Economic!AF:AF,MATCH(EOMONTH($A710,-1),Economic!A:A,0)),2)</f>
        <v>116.84</v>
      </c>
      <c r="L710" s="11">
        <f t="shared" si="859"/>
        <v>1</v>
      </c>
      <c r="M710">
        <f>ROUND(INDEX(Manufacturing!P:P,MATCH(EOMONTH($A710,-1),Manufacturing!A:A,0)),2)</f>
        <v>95.41</v>
      </c>
      <c r="N710">
        <f t="shared" si="855"/>
        <v>1</v>
      </c>
      <c r="O710">
        <f>ROUND(INDEX(Housing!AC:AC,MATCH(EOMONTH($A710,-1),Housing!B:B,0)),2)</f>
        <v>133.77000000000001</v>
      </c>
      <c r="P710">
        <f t="shared" si="856"/>
        <v>2</v>
      </c>
      <c r="Q710">
        <f>ROUND(INDEX(Spending!AJ:AJ,MATCH(EOMONTH($A710,-1),Spending!B:B,0)),2)</f>
        <v>66.260000000000005</v>
      </c>
      <c r="R710">
        <f t="shared" si="860"/>
        <v>2</v>
      </c>
      <c r="S710">
        <f>ROUND(INDEX(Employment!V:V,MATCH(EOMONTH($A710,-1),Employment!A:A,0)),2)</f>
        <v>159.83000000000001</v>
      </c>
      <c r="T710" s="11">
        <f t="shared" si="857"/>
        <v>0</v>
      </c>
      <c r="U710">
        <f t="shared" si="849"/>
        <v>30</v>
      </c>
      <c r="V710">
        <f t="shared" si="877"/>
        <v>77.430000000000007</v>
      </c>
      <c r="W710" s="13">
        <f t="shared" si="878"/>
        <v>-2.5000000000000001E-3</v>
      </c>
      <c r="X710" s="13">
        <f t="shared" si="879"/>
        <v>1.38E-2</v>
      </c>
      <c r="Y710">
        <f t="shared" si="871"/>
        <v>87.85</v>
      </c>
      <c r="Z710" s="13">
        <f t="shared" si="866"/>
        <v>-6.4000000000000003E-3</v>
      </c>
      <c r="AA710" s="13">
        <f t="shared" si="862"/>
        <v>-2.0000000000000013E-3</v>
      </c>
      <c r="AB710" s="6">
        <f t="shared" si="872"/>
        <v>101.599</v>
      </c>
      <c r="AC710">
        <f t="shared" si="864"/>
        <v>51</v>
      </c>
      <c r="AD710" s="11">
        <f t="shared" si="865"/>
        <v>2</v>
      </c>
      <c r="AE710">
        <f t="shared" si="863"/>
        <v>34</v>
      </c>
      <c r="AF710">
        <f>IF(AND(AE710&lt;15,OR(AC710&gt;=30,AA710&gt;0.15,X710&gt;=0.15)),2,VLOOKUP(AE710,Table!P:Q,2,FALSE))</f>
        <v>5</v>
      </c>
      <c r="AG710" s="22">
        <f>IF((AB710*0.98)-(D710*0.8)+((AF710-3)*3)+VLOOKUP(AM710,Table!$A$11:$B$13,2,FALSE)&lt;0,0,(AB710*0.98)-(D710*0.8)+((AF710-3)*3)+VLOOKUP(AM710,Table!$A$11:$B$13,2,FALSE))</f>
        <v>102.07902</v>
      </c>
      <c r="AH710" s="22">
        <f t="shared" si="858"/>
        <v>100</v>
      </c>
      <c r="AI710" s="18">
        <f t="shared" si="851"/>
        <v>2.15</v>
      </c>
      <c r="AJ710" s="18">
        <f t="shared" si="852"/>
        <v>1.64</v>
      </c>
      <c r="AK710" t="str">
        <f t="shared" si="873"/>
        <v>Rising Rates</v>
      </c>
      <c r="AL710">
        <f t="shared" si="848"/>
        <v>34.75</v>
      </c>
      <c r="AM710" s="11" t="str">
        <f t="shared" si="874"/>
        <v>Stocks</v>
      </c>
      <c r="AN710" t="str">
        <f t="shared" si="880"/>
        <v>Buy</v>
      </c>
      <c r="AO710" s="13">
        <f t="shared" si="881"/>
        <v>3.0000000000000001E-3</v>
      </c>
      <c r="AP710" s="13">
        <f t="shared" si="882"/>
        <v>4.0000000000000002E-4</v>
      </c>
      <c r="AQ710" s="13">
        <f t="shared" si="883"/>
        <v>3.0000000000000001E-3</v>
      </c>
      <c r="AR710" s="13">
        <f t="shared" si="875"/>
        <v>3.0000000000000001E-3</v>
      </c>
      <c r="AS710" s="6">
        <f t="shared" si="867"/>
        <v>290.91736263419273</v>
      </c>
      <c r="AT710" s="6">
        <f t="shared" si="868"/>
        <v>162.38346511880775</v>
      </c>
      <c r="AU710" s="6">
        <f t="shared" si="869"/>
        <v>335.92033880745095</v>
      </c>
      <c r="AV710" s="6">
        <f t="shared" si="870"/>
        <v>411.7997058677297</v>
      </c>
      <c r="AW710" s="58">
        <f t="shared" si="876"/>
        <v>2005</v>
      </c>
      <c r="AX710" s="58">
        <f>COUNTIF(AW$3:AW710,AW710)</f>
        <v>49</v>
      </c>
    </row>
    <row r="711" spans="1:50" x14ac:dyDescent="0.25">
      <c r="A711" s="5">
        <v>38368</v>
      </c>
      <c r="B711">
        <v>1184.52</v>
      </c>
      <c r="C711">
        <v>2.31</v>
      </c>
      <c r="D711" s="6">
        <v>12.43</v>
      </c>
      <c r="E711" s="18">
        <f t="shared" si="853"/>
        <v>13.07</v>
      </c>
      <c r="F711">
        <f t="shared" si="854"/>
        <v>2</v>
      </c>
      <c r="G711" s="18">
        <f>ROUND(INDEX(Valuation!U:U,MATCH(A711,Valuation!A:A,0)),2)</f>
        <v>188.85</v>
      </c>
      <c r="H711">
        <f t="shared" si="861"/>
        <v>2</v>
      </c>
      <c r="I711" s="18">
        <f>INDEX(WeeklyIndicators!Y:Y,MATCH(A711,WeeklyIndicators!A:A,0))</f>
        <v>138.38999999999999</v>
      </c>
      <c r="J711">
        <f t="shared" si="850"/>
        <v>1</v>
      </c>
      <c r="K711">
        <f>ROUND(INDEX(Economic!AF:AF,MATCH(EOMONTH($A711,-1),Economic!A:A,0)),2)</f>
        <v>116.84</v>
      </c>
      <c r="L711" s="11">
        <f t="shared" si="859"/>
        <v>1</v>
      </c>
      <c r="M711">
        <f>ROUND(INDEX(Manufacturing!P:P,MATCH(EOMONTH($A711,-1),Manufacturing!A:A,0)),2)</f>
        <v>95.41</v>
      </c>
      <c r="N711">
        <f t="shared" si="855"/>
        <v>1</v>
      </c>
      <c r="O711">
        <f>ROUND(INDEX(Housing!AC:AC,MATCH(EOMONTH($A711,-1),Housing!B:B,0)),2)</f>
        <v>133.77000000000001</v>
      </c>
      <c r="P711">
        <f t="shared" si="856"/>
        <v>2</v>
      </c>
      <c r="Q711">
        <f>ROUND(INDEX(Spending!AJ:AJ,MATCH(EOMONTH($A711,-1),Spending!B:B,0)),2)</f>
        <v>66.260000000000005</v>
      </c>
      <c r="R711">
        <f t="shared" si="860"/>
        <v>2</v>
      </c>
      <c r="S711">
        <f>ROUND(INDEX(Employment!V:V,MATCH(EOMONTH($A711,-1),Employment!A:A,0)),2)</f>
        <v>159.83000000000001</v>
      </c>
      <c r="T711" s="11">
        <f t="shared" si="857"/>
        <v>0</v>
      </c>
      <c r="U711">
        <f t="shared" si="849"/>
        <v>31</v>
      </c>
      <c r="V711">
        <f t="shared" si="877"/>
        <v>78.14</v>
      </c>
      <c r="W711" s="13">
        <f t="shared" si="878"/>
        <v>5.0000000000000001E-3</v>
      </c>
      <c r="X711" s="13">
        <f t="shared" si="879"/>
        <v>1.5700000000000002E-2</v>
      </c>
      <c r="Y711">
        <f t="shared" si="871"/>
        <v>88.94</v>
      </c>
      <c r="Z711" s="13">
        <f t="shared" si="866"/>
        <v>-1E-4</v>
      </c>
      <c r="AA711" s="13">
        <f t="shared" si="862"/>
        <v>4.0999999999999995E-3</v>
      </c>
      <c r="AB711" s="6">
        <f t="shared" si="872"/>
        <v>103.36500000000001</v>
      </c>
      <c r="AC711">
        <f t="shared" si="864"/>
        <v>52</v>
      </c>
      <c r="AD711" s="11">
        <f t="shared" si="865"/>
        <v>2</v>
      </c>
      <c r="AE711">
        <f t="shared" si="863"/>
        <v>35</v>
      </c>
      <c r="AF711">
        <f>IF(AND(AE711&lt;15,OR(AC711&gt;=30,AA711&gt;0.15,X711&gt;=0.15)),2,VLOOKUP(AE711,Table!P:Q,2,FALSE))</f>
        <v>5</v>
      </c>
      <c r="AG711" s="22">
        <f>IF((AB711*0.98)-(D711*0.8)+((AF711-3)*3)+VLOOKUP(AM711,Table!$A$11:$B$13,2,FALSE)&lt;0,0,(AB711*0.98)-(D711*0.8)+((AF711-3)*3)+VLOOKUP(AM711,Table!$A$11:$B$13,2,FALSE))</f>
        <v>105.3537</v>
      </c>
      <c r="AH711" s="22">
        <f t="shared" si="858"/>
        <v>100</v>
      </c>
      <c r="AI711" s="18">
        <f t="shared" si="851"/>
        <v>2.11</v>
      </c>
      <c r="AJ711" s="18">
        <f t="shared" si="852"/>
        <v>1.61</v>
      </c>
      <c r="AK711" t="str">
        <f t="shared" si="873"/>
        <v>Rising Rates</v>
      </c>
      <c r="AL711">
        <f t="shared" si="848"/>
        <v>34.75</v>
      </c>
      <c r="AM711" s="11" t="str">
        <f t="shared" si="874"/>
        <v>Stocks</v>
      </c>
      <c r="AN711" t="str">
        <f t="shared" si="880"/>
        <v>Buy</v>
      </c>
      <c r="AO711" s="13">
        <f t="shared" si="881"/>
        <v>-1.41E-2</v>
      </c>
      <c r="AP711" s="13">
        <f t="shared" si="882"/>
        <v>4.0000000000000002E-4</v>
      </c>
      <c r="AQ711" s="13">
        <f t="shared" si="883"/>
        <v>-1.41E-2</v>
      </c>
      <c r="AR711" s="13">
        <f t="shared" si="875"/>
        <v>-1.41E-2</v>
      </c>
      <c r="AS711" s="6">
        <f t="shared" si="867"/>
        <v>295.0779618969396</v>
      </c>
      <c r="AT711" s="6">
        <f t="shared" si="868"/>
        <v>162.31853770372626</v>
      </c>
      <c r="AU711" s="6">
        <f t="shared" si="869"/>
        <v>340.72455503342218</v>
      </c>
      <c r="AV711" s="6">
        <f t="shared" si="870"/>
        <v>417.68912249490791</v>
      </c>
      <c r="AW711" s="58">
        <f t="shared" si="876"/>
        <v>2005</v>
      </c>
      <c r="AX711" s="58">
        <f>COUNTIF(AW$3:AW711,AW711)</f>
        <v>50</v>
      </c>
    </row>
    <row r="712" spans="1:50" x14ac:dyDescent="0.25">
      <c r="A712" s="5">
        <v>38361</v>
      </c>
      <c r="B712">
        <v>1186.19</v>
      </c>
      <c r="C712">
        <v>2.29</v>
      </c>
      <c r="D712" s="6">
        <v>13.49</v>
      </c>
      <c r="E712" s="18">
        <f t="shared" si="853"/>
        <v>12.67</v>
      </c>
      <c r="F712">
        <f t="shared" si="854"/>
        <v>2</v>
      </c>
      <c r="G712" s="18">
        <f>ROUND(INDEX(Valuation!U:U,MATCH(A712,Valuation!A:A,0)),2)</f>
        <v>190.77</v>
      </c>
      <c r="H712">
        <f t="shared" si="861"/>
        <v>2</v>
      </c>
      <c r="I712" s="18">
        <f>INDEX(WeeklyIndicators!Y:Y,MATCH(A712,WeeklyIndicators!A:A,0))</f>
        <v>140.21</v>
      </c>
      <c r="J712">
        <f t="shared" si="850"/>
        <v>1</v>
      </c>
      <c r="K712">
        <f>ROUND(INDEX(Economic!AF:AF,MATCH(EOMONTH($A712,-1),Economic!A:A,0)),2)</f>
        <v>116.84</v>
      </c>
      <c r="L712" s="11">
        <f t="shared" si="859"/>
        <v>1</v>
      </c>
      <c r="M712">
        <f>ROUND(INDEX(Manufacturing!P:P,MATCH(EOMONTH($A712,-1),Manufacturing!A:A,0)),2)</f>
        <v>95.41</v>
      </c>
      <c r="N712">
        <f t="shared" si="855"/>
        <v>1</v>
      </c>
      <c r="O712">
        <f>ROUND(INDEX(Housing!AC:AC,MATCH(EOMONTH($A712,-1),Housing!B:B,0)),2)</f>
        <v>133.77000000000001</v>
      </c>
      <c r="P712">
        <f t="shared" si="856"/>
        <v>2</v>
      </c>
      <c r="Q712">
        <f>ROUND(INDEX(Spending!AJ:AJ,MATCH(EOMONTH($A712,-1),Spending!B:B,0)),2)</f>
        <v>66.260000000000005</v>
      </c>
      <c r="R712">
        <f t="shared" si="860"/>
        <v>2</v>
      </c>
      <c r="S712">
        <f>ROUND(INDEX(Employment!V:V,MATCH(EOMONTH($A712,-1),Employment!A:A,0)),2)</f>
        <v>159.83000000000001</v>
      </c>
      <c r="T712" s="11">
        <f t="shared" si="857"/>
        <v>0</v>
      </c>
      <c r="U712">
        <f t="shared" si="849"/>
        <v>31</v>
      </c>
      <c r="V712">
        <f t="shared" si="877"/>
        <v>78.33</v>
      </c>
      <c r="W712" s="13">
        <f t="shared" si="878"/>
        <v>6.3E-3</v>
      </c>
      <c r="X712" s="13">
        <f t="shared" si="879"/>
        <v>8.0000000000000002E-3</v>
      </c>
      <c r="Y712">
        <f t="shared" si="871"/>
        <v>89.48</v>
      </c>
      <c r="Z712" s="13">
        <f t="shared" si="866"/>
        <v>2.0999999999999999E-3</v>
      </c>
      <c r="AA712" s="13">
        <f t="shared" si="862"/>
        <v>1.5999999999999999E-3</v>
      </c>
      <c r="AB712" s="6">
        <f t="shared" si="872"/>
        <v>103.857</v>
      </c>
      <c r="AC712">
        <f t="shared" si="864"/>
        <v>52</v>
      </c>
      <c r="AD712" s="11">
        <f t="shared" si="865"/>
        <v>2</v>
      </c>
      <c r="AE712">
        <f t="shared" si="863"/>
        <v>35</v>
      </c>
      <c r="AF712">
        <f>IF(AND(AE712&lt;15,OR(AC712&gt;=30,AA712&gt;0.15,X712&gt;=0.15)),2,VLOOKUP(AE712,Table!P:Q,2,FALSE))</f>
        <v>5</v>
      </c>
      <c r="AG712" s="22">
        <f>IF((AB712*0.98)-(D712*0.8)+((AF712-3)*3)+VLOOKUP(AM712,Table!$A$11:$B$13,2,FALSE)&lt;0,0,(AB712*0.98)-(D712*0.8)+((AF712-3)*3)+VLOOKUP(AM712,Table!$A$11:$B$13,2,FALSE))</f>
        <v>104.98786</v>
      </c>
      <c r="AH712" s="22">
        <f t="shared" si="858"/>
        <v>100</v>
      </c>
      <c r="AI712" s="18">
        <f t="shared" si="851"/>
        <v>2.06</v>
      </c>
      <c r="AJ712" s="18">
        <f t="shared" si="852"/>
        <v>1.57</v>
      </c>
      <c r="AK712" t="str">
        <f t="shared" si="873"/>
        <v>Rising Rates</v>
      </c>
      <c r="AL712">
        <f t="shared" si="848"/>
        <v>34.5</v>
      </c>
      <c r="AM712" s="11" t="str">
        <f t="shared" si="874"/>
        <v>Stocks</v>
      </c>
      <c r="AN712" t="str">
        <f t="shared" si="880"/>
        <v>Buy</v>
      </c>
      <c r="AO712" s="13">
        <f t="shared" si="881"/>
        <v>-1.4E-3</v>
      </c>
      <c r="AP712" s="13">
        <f t="shared" si="882"/>
        <v>4.0000000000000002E-4</v>
      </c>
      <c r="AQ712" s="13">
        <f t="shared" si="883"/>
        <v>-1.4E-3</v>
      </c>
      <c r="AR712" s="13">
        <f t="shared" si="875"/>
        <v>-1.4E-3</v>
      </c>
      <c r="AS712" s="6">
        <f t="shared" si="867"/>
        <v>295.49165020722972</v>
      </c>
      <c r="AT712" s="6">
        <f t="shared" si="868"/>
        <v>162.25363624922659</v>
      </c>
      <c r="AU712" s="6">
        <f t="shared" si="869"/>
        <v>341.20223816685575</v>
      </c>
      <c r="AV712" s="6">
        <f t="shared" si="870"/>
        <v>418.27470708482667</v>
      </c>
      <c r="AW712" s="58">
        <f t="shared" si="876"/>
        <v>2005</v>
      </c>
      <c r="AX712" s="58">
        <f>COUNTIF(AW$3:AW712,AW712)</f>
        <v>51</v>
      </c>
    </row>
    <row r="713" spans="1:50" x14ac:dyDescent="0.25">
      <c r="A713" s="5">
        <v>38354</v>
      </c>
      <c r="B713">
        <v>1211.92</v>
      </c>
      <c r="C713">
        <v>2.2000000000000002</v>
      </c>
      <c r="D713" s="6">
        <v>13.29</v>
      </c>
      <c r="E713" s="18">
        <f t="shared" si="853"/>
        <v>12.16</v>
      </c>
      <c r="F713">
        <f t="shared" si="854"/>
        <v>2</v>
      </c>
      <c r="G713" s="18">
        <f>ROUND(INDEX(Valuation!U:U,MATCH(A713,Valuation!A:A,0)),2)</f>
        <v>192.71</v>
      </c>
      <c r="H713">
        <f t="shared" si="861"/>
        <v>2</v>
      </c>
      <c r="I713" s="18">
        <f>INDEX(WeeklyIndicators!Y:Y,MATCH(A713,WeeklyIndicators!A:A,0))</f>
        <v>137.27000000000001</v>
      </c>
      <c r="J713">
        <f t="shared" si="850"/>
        <v>1</v>
      </c>
      <c r="K713">
        <f>ROUND(INDEX(Economic!AF:AF,MATCH(EOMONTH($A713,-1),Economic!A:A,0)),2)</f>
        <v>116.84</v>
      </c>
      <c r="L713" s="11">
        <f t="shared" si="859"/>
        <v>1</v>
      </c>
      <c r="M713">
        <f>ROUND(INDEX(Manufacturing!P:P,MATCH(EOMONTH($A713,-1),Manufacturing!A:A,0)),2)</f>
        <v>95.41</v>
      </c>
      <c r="N713">
        <f t="shared" si="855"/>
        <v>1</v>
      </c>
      <c r="O713">
        <f>ROUND(INDEX(Housing!AC:AC,MATCH(EOMONTH($A713,-1),Housing!B:B,0)),2)</f>
        <v>133.77000000000001</v>
      </c>
      <c r="P713">
        <f t="shared" si="856"/>
        <v>2</v>
      </c>
      <c r="Q713">
        <f>ROUND(INDEX(Spending!AJ:AJ,MATCH(EOMONTH($A713,-1),Spending!B:B,0)),2)</f>
        <v>66.260000000000005</v>
      </c>
      <c r="R713">
        <f t="shared" si="860"/>
        <v>2</v>
      </c>
      <c r="S713">
        <f>ROUND(INDEX(Employment!V:V,MATCH(EOMONTH($A713,-1),Employment!A:A,0)),2)</f>
        <v>159.83000000000001</v>
      </c>
      <c r="T713" s="11">
        <f t="shared" si="857"/>
        <v>0</v>
      </c>
      <c r="U713">
        <f t="shared" si="849"/>
        <v>31</v>
      </c>
      <c r="V713">
        <f t="shared" si="877"/>
        <v>78.02</v>
      </c>
      <c r="W713" s="13">
        <f t="shared" si="878"/>
        <v>5.0000000000000001E-3</v>
      </c>
      <c r="X713" s="13">
        <f t="shared" si="879"/>
        <v>-1.1999999999999997E-3</v>
      </c>
      <c r="Y713">
        <f t="shared" si="871"/>
        <v>89.57</v>
      </c>
      <c r="Z713" s="13">
        <f t="shared" si="866"/>
        <v>2.3999999999999998E-3</v>
      </c>
      <c r="AA713" s="13">
        <f t="shared" si="862"/>
        <v>-4.5000000000000005E-3</v>
      </c>
      <c r="AB713" s="6">
        <f t="shared" si="872"/>
        <v>103.631</v>
      </c>
      <c r="AC713">
        <f t="shared" si="864"/>
        <v>52</v>
      </c>
      <c r="AD713" s="11">
        <f t="shared" si="865"/>
        <v>2</v>
      </c>
      <c r="AE713">
        <f t="shared" si="863"/>
        <v>35</v>
      </c>
      <c r="AF713">
        <f>IF(AND(AE713&lt;15,OR(AC713&gt;=30,AA713&gt;0.15,X713&gt;=0.15)),2,VLOOKUP(AE713,Table!P:Q,2,FALSE))</f>
        <v>5</v>
      </c>
      <c r="AG713" s="22">
        <f>IF((AB713*0.98)-(D713*0.8)+((AF713-3)*3)+VLOOKUP(AM713,Table!$A$11:$B$13,2,FALSE)&lt;0,0,(AB713*0.98)-(D713*0.8)+((AF713-3)*3)+VLOOKUP(AM713,Table!$A$11:$B$13,2,FALSE))</f>
        <v>104.92637999999999</v>
      </c>
      <c r="AH713" s="22">
        <f t="shared" si="858"/>
        <v>100</v>
      </c>
      <c r="AI713" s="18">
        <f t="shared" si="851"/>
        <v>2.02</v>
      </c>
      <c r="AJ713" s="18">
        <f t="shared" si="852"/>
        <v>1.54</v>
      </c>
      <c r="AK713" t="str">
        <f t="shared" si="873"/>
        <v>Rising Rates</v>
      </c>
      <c r="AL713">
        <f t="shared" ref="AL713:AL776" si="884">ROUND(AVERAGE(AE713:AE716),2)</f>
        <v>34.25</v>
      </c>
      <c r="AM713" s="11" t="str">
        <f t="shared" si="874"/>
        <v>Stocks</v>
      </c>
      <c r="AN713" t="str">
        <f t="shared" si="880"/>
        <v>Buy</v>
      </c>
      <c r="AO713" s="13">
        <f t="shared" si="881"/>
        <v>-2.12E-2</v>
      </c>
      <c r="AP713" s="13">
        <f t="shared" si="882"/>
        <v>4.0000000000000002E-4</v>
      </c>
      <c r="AQ713" s="13">
        <f t="shared" si="883"/>
        <v>-2.12E-2</v>
      </c>
      <c r="AR713" s="13">
        <f t="shared" si="875"/>
        <v>-2.12E-2</v>
      </c>
      <c r="AS713" s="6">
        <f t="shared" si="867"/>
        <v>301.89175542217993</v>
      </c>
      <c r="AT713" s="6">
        <f t="shared" si="868"/>
        <v>162.18876074492863</v>
      </c>
      <c r="AU713" s="6">
        <f t="shared" si="869"/>
        <v>348.59239698289309</v>
      </c>
      <c r="AV713" s="6">
        <f t="shared" si="870"/>
        <v>427.33419195425694</v>
      </c>
      <c r="AW713" s="58">
        <f t="shared" si="876"/>
        <v>2005</v>
      </c>
      <c r="AX713" s="58">
        <f>COUNTIF(AW$3:AW713,AW713)</f>
        <v>52</v>
      </c>
    </row>
    <row r="714" spans="1:50" x14ac:dyDescent="0.25">
      <c r="A714" s="5">
        <v>38347</v>
      </c>
      <c r="B714">
        <v>1210.1300000000001</v>
      </c>
      <c r="C714">
        <v>2.17</v>
      </c>
      <c r="D714" s="6">
        <v>11.23</v>
      </c>
      <c r="E714" s="18">
        <f t="shared" si="853"/>
        <v>11.98</v>
      </c>
      <c r="F714">
        <f t="shared" si="854"/>
        <v>2</v>
      </c>
      <c r="G714" s="18">
        <f>ROUND(INDEX(Valuation!U:U,MATCH(A714,Valuation!A:A,0)),2)</f>
        <v>196.17</v>
      </c>
      <c r="H714">
        <f t="shared" si="861"/>
        <v>2</v>
      </c>
      <c r="I714" s="18">
        <f>INDEX(WeeklyIndicators!Y:Y,MATCH(A714,WeeklyIndicators!A:A,0))</f>
        <v>134.78</v>
      </c>
      <c r="J714">
        <f t="shared" si="850"/>
        <v>0</v>
      </c>
      <c r="K714">
        <f>ROUND(INDEX(Economic!AF:AF,MATCH(EOMONTH($A714,-1),Economic!A:A,0)),2)</f>
        <v>114.73</v>
      </c>
      <c r="L714" s="11">
        <f t="shared" si="859"/>
        <v>1</v>
      </c>
      <c r="M714">
        <f>ROUND(INDEX(Manufacturing!P:P,MATCH(EOMONTH($A714,-1),Manufacturing!A:A,0)),2)</f>
        <v>91.76</v>
      </c>
      <c r="N714">
        <f t="shared" si="855"/>
        <v>1</v>
      </c>
      <c r="O714">
        <f>ROUND(INDEX(Housing!AC:AC,MATCH(EOMONTH($A714,-1),Housing!B:B,0)),2)</f>
        <v>136.1</v>
      </c>
      <c r="P714">
        <f t="shared" si="856"/>
        <v>2</v>
      </c>
      <c r="Q714">
        <f>ROUND(INDEX(Spending!AJ:AJ,MATCH(EOMONTH($A714,-1),Spending!B:B,0)),2)</f>
        <v>64.66</v>
      </c>
      <c r="R714">
        <f t="shared" si="860"/>
        <v>2</v>
      </c>
      <c r="S714">
        <f>ROUND(INDEX(Employment!V:V,MATCH(EOMONTH($A714,-1),Employment!A:A,0)),2)</f>
        <v>159.71</v>
      </c>
      <c r="T714" s="11">
        <f t="shared" si="857"/>
        <v>0</v>
      </c>
      <c r="U714">
        <f t="shared" ref="U714:U777" si="885">F714+H714+J714+L714+N714+P714+R714+T714+20</f>
        <v>30</v>
      </c>
      <c r="V714">
        <f t="shared" si="877"/>
        <v>76.97</v>
      </c>
      <c r="W714" s="13">
        <f t="shared" si="878"/>
        <v>-5.9999999999999995E-4</v>
      </c>
      <c r="X714" s="13">
        <f t="shared" si="879"/>
        <v>-6.4999999999999997E-3</v>
      </c>
      <c r="Y714">
        <f t="shared" si="871"/>
        <v>88.96</v>
      </c>
      <c r="Z714" s="13">
        <f t="shared" si="866"/>
        <v>-2.9999999999999997E-4</v>
      </c>
      <c r="AA714" s="13">
        <f t="shared" si="862"/>
        <v>-8.9999999999999993E-3</v>
      </c>
      <c r="AB714" s="6">
        <f t="shared" si="872"/>
        <v>102.977</v>
      </c>
      <c r="AC714">
        <f t="shared" si="864"/>
        <v>51</v>
      </c>
      <c r="AD714" s="11">
        <f t="shared" si="865"/>
        <v>2</v>
      </c>
      <c r="AE714">
        <f t="shared" si="863"/>
        <v>34</v>
      </c>
      <c r="AF714">
        <f>IF(AND(AE714&lt;15,OR(AC714&gt;=30,AA714&gt;0.15,X714&gt;=0.15)),2,VLOOKUP(AE714,Table!P:Q,2,FALSE))</f>
        <v>5</v>
      </c>
      <c r="AG714" s="22">
        <f>IF((AB714*0.98)-(D714*0.8)+((AF714-3)*3)+VLOOKUP(AM714,Table!$A$11:$B$13,2,FALSE)&lt;0,0,(AB714*0.98)-(D714*0.8)+((AF714-3)*3)+VLOOKUP(AM714,Table!$A$11:$B$13,2,FALSE))</f>
        <v>105.93346000000001</v>
      </c>
      <c r="AH714" s="22">
        <f t="shared" si="858"/>
        <v>100</v>
      </c>
      <c r="AI714" s="18">
        <f t="shared" si="851"/>
        <v>1.98</v>
      </c>
      <c r="AJ714" s="18">
        <f t="shared" si="852"/>
        <v>1.5</v>
      </c>
      <c r="AK714" t="str">
        <f t="shared" si="873"/>
        <v>Rising Rates</v>
      </c>
      <c r="AL714">
        <f t="shared" si="884"/>
        <v>34.25</v>
      </c>
      <c r="AM714" s="11" t="str">
        <f t="shared" si="874"/>
        <v>Stocks</v>
      </c>
      <c r="AN714" t="str">
        <f t="shared" si="880"/>
        <v>Buy</v>
      </c>
      <c r="AO714" s="13">
        <f t="shared" si="881"/>
        <v>1.5E-3</v>
      </c>
      <c r="AP714" s="13">
        <f t="shared" si="882"/>
        <v>4.0000000000000002E-4</v>
      </c>
      <c r="AQ714" s="13">
        <f t="shared" si="883"/>
        <v>1.5E-3</v>
      </c>
      <c r="AR714" s="13">
        <f t="shared" si="875"/>
        <v>1.5E-3</v>
      </c>
      <c r="AS714" s="6">
        <f t="shared" si="867"/>
        <v>301.43959602813771</v>
      </c>
      <c r="AT714" s="6">
        <f t="shared" si="868"/>
        <v>162.12391118045645</v>
      </c>
      <c r="AU714" s="6">
        <f t="shared" si="869"/>
        <v>348.07029154557472</v>
      </c>
      <c r="AV714" s="6">
        <f t="shared" si="870"/>
        <v>426.69415072816469</v>
      </c>
      <c r="AW714" s="58">
        <f t="shared" si="876"/>
        <v>2004</v>
      </c>
      <c r="AX714" s="58">
        <f>COUNTIF(AW$3:AW714,AW714)</f>
        <v>1</v>
      </c>
    </row>
    <row r="715" spans="1:50" x14ac:dyDescent="0.25">
      <c r="A715" s="5">
        <v>38340</v>
      </c>
      <c r="B715">
        <v>1194.2</v>
      </c>
      <c r="C715">
        <v>2.1800000000000002</v>
      </c>
      <c r="D715" s="6">
        <v>11.95</v>
      </c>
      <c r="E715" s="18">
        <f t="shared" si="853"/>
        <v>12.56</v>
      </c>
      <c r="F715">
        <f t="shared" si="854"/>
        <v>2</v>
      </c>
      <c r="G715" s="18">
        <f>ROUND(INDEX(Valuation!U:U,MATCH(A715,Valuation!A:A,0)),2)</f>
        <v>198.63</v>
      </c>
      <c r="H715">
        <f t="shared" si="861"/>
        <v>2</v>
      </c>
      <c r="I715" s="18">
        <f>INDEX(WeeklyIndicators!Y:Y,MATCH(A715,WeeklyIndicators!A:A,0))</f>
        <v>133.80000000000001</v>
      </c>
      <c r="J715">
        <f t="shared" si="850"/>
        <v>0</v>
      </c>
      <c r="K715">
        <f>ROUND(INDEX(Economic!AF:AF,MATCH(EOMONTH($A715,-1),Economic!A:A,0)),2)</f>
        <v>114.73</v>
      </c>
      <c r="L715" s="11">
        <f t="shared" si="859"/>
        <v>1</v>
      </c>
      <c r="M715">
        <f>ROUND(INDEX(Manufacturing!P:P,MATCH(EOMONTH($A715,-1),Manufacturing!A:A,0)),2)</f>
        <v>91.76</v>
      </c>
      <c r="N715">
        <f t="shared" si="855"/>
        <v>1</v>
      </c>
      <c r="O715">
        <f>ROUND(INDEX(Housing!AC:AC,MATCH(EOMONTH($A715,-1),Housing!B:B,0)),2)</f>
        <v>136.1</v>
      </c>
      <c r="P715">
        <f t="shared" si="856"/>
        <v>2</v>
      </c>
      <c r="Q715">
        <f>ROUND(INDEX(Spending!AJ:AJ,MATCH(EOMONTH($A715,-1),Spending!B:B,0)),2)</f>
        <v>64.66</v>
      </c>
      <c r="R715">
        <f t="shared" si="860"/>
        <v>2</v>
      </c>
      <c r="S715">
        <f>ROUND(INDEX(Employment!V:V,MATCH(EOMONTH($A715,-1),Employment!A:A,0)),2)</f>
        <v>159.71</v>
      </c>
      <c r="T715" s="11">
        <f t="shared" si="857"/>
        <v>0</v>
      </c>
      <c r="U715">
        <f t="shared" si="885"/>
        <v>30</v>
      </c>
      <c r="V715">
        <f t="shared" si="877"/>
        <v>76.87</v>
      </c>
      <c r="W715" s="13">
        <f t="shared" si="878"/>
        <v>-2.7000000000000001E-3</v>
      </c>
      <c r="X715" s="13">
        <f t="shared" si="879"/>
        <v>-1.4999999999999996E-3</v>
      </c>
      <c r="Y715">
        <f t="shared" si="871"/>
        <v>88.93</v>
      </c>
      <c r="Z715" s="13">
        <f t="shared" si="866"/>
        <v>-2.5999999999999999E-3</v>
      </c>
      <c r="AA715" s="13">
        <f t="shared" si="862"/>
        <v>-5.2999999999999992E-3</v>
      </c>
      <c r="AB715" s="6">
        <f t="shared" si="872"/>
        <v>103.483</v>
      </c>
      <c r="AC715">
        <f t="shared" si="864"/>
        <v>52</v>
      </c>
      <c r="AD715" s="11">
        <f t="shared" si="865"/>
        <v>2</v>
      </c>
      <c r="AE715">
        <f t="shared" si="863"/>
        <v>34</v>
      </c>
      <c r="AF715">
        <f>IF(AND(AE715&lt;15,OR(AC715&gt;=30,AA715&gt;0.15,X715&gt;=0.15)),2,VLOOKUP(AE715,Table!P:Q,2,FALSE))</f>
        <v>5</v>
      </c>
      <c r="AG715" s="22">
        <f>IF((AB715*0.98)-(D715*0.8)+((AF715-3)*3)+VLOOKUP(AM715,Table!$A$11:$B$13,2,FALSE)&lt;0,0,(AB715*0.98)-(D715*0.8)+((AF715-3)*3)+VLOOKUP(AM715,Table!$A$11:$B$13,2,FALSE))</f>
        <v>105.85334</v>
      </c>
      <c r="AH715" s="22">
        <f t="shared" si="858"/>
        <v>100</v>
      </c>
      <c r="AI715" s="18">
        <f t="shared" si="851"/>
        <v>1.94</v>
      </c>
      <c r="AJ715" s="18">
        <f t="shared" si="852"/>
        <v>1.47</v>
      </c>
      <c r="AK715" t="str">
        <f t="shared" si="873"/>
        <v>Rising Rates</v>
      </c>
      <c r="AL715">
        <f t="shared" si="884"/>
        <v>34.75</v>
      </c>
      <c r="AM715" s="11" t="str">
        <f t="shared" si="874"/>
        <v>Stocks</v>
      </c>
      <c r="AN715" t="str">
        <f t="shared" si="880"/>
        <v>Buy</v>
      </c>
      <c r="AO715" s="13">
        <f t="shared" si="881"/>
        <v>1.3299999999999999E-2</v>
      </c>
      <c r="AP715" s="13">
        <f t="shared" si="882"/>
        <v>4.0000000000000002E-4</v>
      </c>
      <c r="AQ715" s="13">
        <f t="shared" si="883"/>
        <v>1.3299999999999999E-2</v>
      </c>
      <c r="AR715" s="13">
        <f t="shared" si="875"/>
        <v>1.3299999999999999E-2</v>
      </c>
      <c r="AS715" s="6">
        <f t="shared" si="867"/>
        <v>297.48307118142475</v>
      </c>
      <c r="AT715" s="6">
        <f t="shared" si="868"/>
        <v>162.05908754543827</v>
      </c>
      <c r="AU715" s="6">
        <f t="shared" si="869"/>
        <v>343.50171868703711</v>
      </c>
      <c r="AV715" s="6">
        <f t="shared" si="870"/>
        <v>421.09360577140495</v>
      </c>
      <c r="AW715" s="58">
        <f t="shared" si="876"/>
        <v>2004</v>
      </c>
      <c r="AX715" s="58">
        <f>COUNTIF(AW$3:AW715,AW715)</f>
        <v>2</v>
      </c>
    </row>
    <row r="716" spans="1:50" x14ac:dyDescent="0.25">
      <c r="A716" s="5">
        <v>38333</v>
      </c>
      <c r="B716">
        <v>1188</v>
      </c>
      <c r="C716">
        <v>2.21</v>
      </c>
      <c r="D716" s="6">
        <v>12.76</v>
      </c>
      <c r="E716" s="18">
        <f t="shared" si="853"/>
        <v>12.83</v>
      </c>
      <c r="F716">
        <f t="shared" si="854"/>
        <v>2</v>
      </c>
      <c r="G716" s="18">
        <f>ROUND(INDEX(Valuation!U:U,MATCH(A716,Valuation!A:A,0)),2)</f>
        <v>199.32</v>
      </c>
      <c r="H716">
        <f t="shared" si="861"/>
        <v>2</v>
      </c>
      <c r="I716" s="18">
        <f>INDEX(WeeklyIndicators!Y:Y,MATCH(A716,WeeklyIndicators!A:A,0))</f>
        <v>133.81</v>
      </c>
      <c r="J716">
        <f t="shared" si="850"/>
        <v>0</v>
      </c>
      <c r="K716">
        <f>ROUND(INDEX(Economic!AF:AF,MATCH(EOMONTH($A716,-1),Economic!A:A,0)),2)</f>
        <v>114.73</v>
      </c>
      <c r="L716" s="11">
        <f t="shared" si="859"/>
        <v>1</v>
      </c>
      <c r="M716">
        <f>ROUND(INDEX(Manufacturing!P:P,MATCH(EOMONTH($A716,-1),Manufacturing!A:A,0)),2)</f>
        <v>91.76</v>
      </c>
      <c r="N716">
        <f t="shared" si="855"/>
        <v>1</v>
      </c>
      <c r="O716">
        <f>ROUND(INDEX(Housing!AC:AC,MATCH(EOMONTH($A716,-1),Housing!B:B,0)),2)</f>
        <v>136.1</v>
      </c>
      <c r="P716">
        <f t="shared" si="856"/>
        <v>2</v>
      </c>
      <c r="Q716">
        <f>ROUND(INDEX(Spending!AJ:AJ,MATCH(EOMONTH($A716,-1),Spending!B:B,0)),2)</f>
        <v>64.66</v>
      </c>
      <c r="R716">
        <f t="shared" si="860"/>
        <v>2</v>
      </c>
      <c r="S716">
        <f>ROUND(INDEX(Employment!V:V,MATCH(EOMONTH($A716,-1),Employment!A:A,0)),2)</f>
        <v>159.71</v>
      </c>
      <c r="T716" s="11">
        <f t="shared" si="857"/>
        <v>0</v>
      </c>
      <c r="U716">
        <f t="shared" si="885"/>
        <v>30</v>
      </c>
      <c r="V716">
        <f t="shared" si="877"/>
        <v>76.87</v>
      </c>
      <c r="W716" s="13">
        <f t="shared" si="878"/>
        <v>-2.8999999999999998E-3</v>
      </c>
      <c r="X716" s="13">
        <f t="shared" si="879"/>
        <v>5.1000000000000004E-3</v>
      </c>
      <c r="Y716">
        <f t="shared" si="871"/>
        <v>88.92</v>
      </c>
      <c r="Z716" s="13">
        <f t="shared" si="866"/>
        <v>-4.0000000000000001E-3</v>
      </c>
      <c r="AA716" s="13">
        <f t="shared" si="862"/>
        <v>1.6000000000000003E-3</v>
      </c>
      <c r="AB716" s="6">
        <f t="shared" si="872"/>
        <v>104.072</v>
      </c>
      <c r="AC716">
        <f t="shared" si="864"/>
        <v>52</v>
      </c>
      <c r="AD716" s="11">
        <f t="shared" si="865"/>
        <v>2</v>
      </c>
      <c r="AE716">
        <f t="shared" si="863"/>
        <v>34</v>
      </c>
      <c r="AF716">
        <f>IF(AND(AE716&lt;15,OR(AC716&gt;=30,AA716&gt;0.15,X716&gt;=0.15)),2,VLOOKUP(AE716,Table!P:Q,2,FALSE))</f>
        <v>5</v>
      </c>
      <c r="AG716" s="22">
        <f>IF((AB716*0.98)-(D716*0.8)+((AF716-3)*3)+VLOOKUP(AM716,Table!$A$11:$B$13,2,FALSE)&lt;0,0,(AB716*0.98)-(D716*0.8)+((AF716-3)*3)+VLOOKUP(AM716,Table!$A$11:$B$13,2,FALSE))</f>
        <v>105.78256</v>
      </c>
      <c r="AH716" s="22">
        <f t="shared" si="858"/>
        <v>100</v>
      </c>
      <c r="AI716" s="18">
        <f t="shared" si="851"/>
        <v>1.9</v>
      </c>
      <c r="AJ716" s="18">
        <f t="shared" si="852"/>
        <v>1.44</v>
      </c>
      <c r="AK716" t="str">
        <f t="shared" si="873"/>
        <v>Rising Rates</v>
      </c>
      <c r="AL716">
        <f t="shared" si="884"/>
        <v>35.25</v>
      </c>
      <c r="AM716" s="11" t="str">
        <f t="shared" si="874"/>
        <v>Stocks</v>
      </c>
      <c r="AN716" t="str">
        <f t="shared" si="880"/>
        <v>Buy</v>
      </c>
      <c r="AO716" s="13">
        <f t="shared" si="881"/>
        <v>5.1999999999999998E-3</v>
      </c>
      <c r="AP716" s="13">
        <f t="shared" si="882"/>
        <v>4.0000000000000002E-4</v>
      </c>
      <c r="AQ716" s="13">
        <f t="shared" si="883"/>
        <v>5.1999999999999998E-3</v>
      </c>
      <c r="AR716" s="13">
        <f t="shared" si="875"/>
        <v>5.1999999999999998E-3</v>
      </c>
      <c r="AS716" s="6">
        <f t="shared" si="867"/>
        <v>295.94416154140941</v>
      </c>
      <c r="AT716" s="6">
        <f t="shared" si="868"/>
        <v>161.99428982950647</v>
      </c>
      <c r="AU716" s="6">
        <f t="shared" si="869"/>
        <v>341.72474998710413</v>
      </c>
      <c r="AV716" s="6">
        <f t="shared" si="870"/>
        <v>418.91524648965867</v>
      </c>
      <c r="AW716" s="58">
        <f t="shared" si="876"/>
        <v>2004</v>
      </c>
      <c r="AX716" s="58">
        <f>COUNTIF(AW$3:AW716,AW716)</f>
        <v>3</v>
      </c>
    </row>
    <row r="717" spans="1:50" x14ac:dyDescent="0.25">
      <c r="A717" s="5">
        <v>38326</v>
      </c>
      <c r="B717">
        <v>1191.17</v>
      </c>
      <c r="C717">
        <v>2.1800000000000002</v>
      </c>
      <c r="D717" s="6">
        <v>12.96</v>
      </c>
      <c r="E717" s="18">
        <f t="shared" si="853"/>
        <v>13.08</v>
      </c>
      <c r="F717">
        <f t="shared" si="854"/>
        <v>2</v>
      </c>
      <c r="G717" s="18">
        <f>ROUND(INDEX(Valuation!U:U,MATCH(A717,Valuation!A:A,0)),2)</f>
        <v>199.13</v>
      </c>
      <c r="H717">
        <f t="shared" si="861"/>
        <v>2</v>
      </c>
      <c r="I717" s="18">
        <f>INDEX(WeeklyIndicators!Y:Y,MATCH(A717,WeeklyIndicators!A:A,0))</f>
        <v>136.07</v>
      </c>
      <c r="J717">
        <f t="shared" si="850"/>
        <v>1</v>
      </c>
      <c r="K717">
        <f>ROUND(INDEX(Economic!AF:AF,MATCH(EOMONTH($A717,-1),Economic!A:A,0)),2)</f>
        <v>114.73</v>
      </c>
      <c r="L717" s="11">
        <f t="shared" si="859"/>
        <v>1</v>
      </c>
      <c r="M717">
        <f>ROUND(INDEX(Manufacturing!P:P,MATCH(EOMONTH($A717,-1),Manufacturing!A:A,0)),2)</f>
        <v>91.76</v>
      </c>
      <c r="N717">
        <f t="shared" si="855"/>
        <v>1</v>
      </c>
      <c r="O717">
        <f>ROUND(INDEX(Housing!AC:AC,MATCH(EOMONTH($A717,-1),Housing!B:B,0)),2)</f>
        <v>136.1</v>
      </c>
      <c r="P717">
        <f t="shared" si="856"/>
        <v>2</v>
      </c>
      <c r="Q717">
        <f>ROUND(INDEX(Spending!AJ:AJ,MATCH(EOMONTH($A717,-1),Spending!B:B,0)),2)</f>
        <v>64.66</v>
      </c>
      <c r="R717">
        <f t="shared" si="860"/>
        <v>2</v>
      </c>
      <c r="S717">
        <f>ROUND(INDEX(Employment!V:V,MATCH(EOMONTH($A717,-1),Employment!A:A,0)),2)</f>
        <v>159.71</v>
      </c>
      <c r="T717" s="11">
        <f t="shared" si="857"/>
        <v>0</v>
      </c>
      <c r="U717">
        <f t="shared" si="885"/>
        <v>31</v>
      </c>
      <c r="V717">
        <f t="shared" si="877"/>
        <v>77.099999999999994</v>
      </c>
      <c r="W717" s="13">
        <f t="shared" si="878"/>
        <v>-2.9999999999999997E-4</v>
      </c>
      <c r="X717" s="13">
        <f t="shared" si="879"/>
        <v>1.06E-2</v>
      </c>
      <c r="Y717">
        <f t="shared" si="871"/>
        <v>89.04</v>
      </c>
      <c r="Z717" s="13">
        <f t="shared" si="866"/>
        <v>-2.0999999999999999E-3</v>
      </c>
      <c r="AA717" s="13">
        <f t="shared" si="862"/>
        <v>8.3999999999999995E-3</v>
      </c>
      <c r="AB717" s="6">
        <f t="shared" si="872"/>
        <v>104.693</v>
      </c>
      <c r="AC717">
        <f t="shared" si="864"/>
        <v>52</v>
      </c>
      <c r="AD717" s="11">
        <f t="shared" si="865"/>
        <v>2</v>
      </c>
      <c r="AE717">
        <f t="shared" si="863"/>
        <v>35</v>
      </c>
      <c r="AF717">
        <f>IF(AND(AE717&lt;15,OR(AC717&gt;=30,AA717&gt;0.15,X717&gt;=0.15)),2,VLOOKUP(AE717,Table!P:Q,2,FALSE))</f>
        <v>5</v>
      </c>
      <c r="AG717" s="22">
        <f>IF((AB717*0.98)-(D717*0.8)+((AF717-3)*3)+VLOOKUP(AM717,Table!$A$11:$B$13,2,FALSE)&lt;0,0,(AB717*0.98)-(D717*0.8)+((AF717-3)*3)+VLOOKUP(AM717,Table!$A$11:$B$13,2,FALSE))</f>
        <v>106.23113999999998</v>
      </c>
      <c r="AH717" s="22">
        <f t="shared" si="858"/>
        <v>100</v>
      </c>
      <c r="AI717" s="18">
        <f t="shared" si="851"/>
        <v>1.86</v>
      </c>
      <c r="AJ717" s="18">
        <f t="shared" si="852"/>
        <v>1.41</v>
      </c>
      <c r="AK717" t="str">
        <f t="shared" si="873"/>
        <v>Rising Rates</v>
      </c>
      <c r="AL717">
        <f t="shared" si="884"/>
        <v>35.25</v>
      </c>
      <c r="AM717" s="11" t="str">
        <f t="shared" si="874"/>
        <v>Stocks</v>
      </c>
      <c r="AN717" t="str">
        <f t="shared" si="880"/>
        <v>Buy</v>
      </c>
      <c r="AO717" s="13">
        <f t="shared" si="881"/>
        <v>-2.7000000000000001E-3</v>
      </c>
      <c r="AP717" s="13">
        <f t="shared" si="882"/>
        <v>4.0000000000000002E-4</v>
      </c>
      <c r="AQ717" s="13">
        <f t="shared" si="883"/>
        <v>-2.7000000000000001E-3</v>
      </c>
      <c r="AR717" s="13">
        <f t="shared" si="875"/>
        <v>-2.7000000000000001E-3</v>
      </c>
      <c r="AS717" s="6">
        <f t="shared" si="867"/>
        <v>296.74537405134805</v>
      </c>
      <c r="AT717" s="6">
        <f t="shared" si="868"/>
        <v>161.92951802229757</v>
      </c>
      <c r="AU717" s="6">
        <f t="shared" si="869"/>
        <v>342.64990472987483</v>
      </c>
      <c r="AV717" s="6">
        <f t="shared" si="870"/>
        <v>420.04937981515963</v>
      </c>
      <c r="AW717" s="58">
        <f t="shared" si="876"/>
        <v>2004</v>
      </c>
      <c r="AX717" s="58">
        <f>COUNTIF(AW$3:AW717,AW717)</f>
        <v>4</v>
      </c>
    </row>
    <row r="718" spans="1:50" x14ac:dyDescent="0.25">
      <c r="A718" s="5">
        <v>38319</v>
      </c>
      <c r="B718">
        <v>1182.6500000000001</v>
      </c>
      <c r="C718">
        <v>2.15</v>
      </c>
      <c r="D718" s="6">
        <v>12.78</v>
      </c>
      <c r="E718" s="18">
        <f t="shared" si="853"/>
        <v>13.2</v>
      </c>
      <c r="F718">
        <f t="shared" si="854"/>
        <v>2</v>
      </c>
      <c r="G718" s="18">
        <f>ROUND(INDEX(Valuation!U:U,MATCH(A718,Valuation!A:A,0)),2)</f>
        <v>201.19</v>
      </c>
      <c r="H718">
        <f t="shared" si="861"/>
        <v>3</v>
      </c>
      <c r="I718" s="18">
        <f>INDEX(WeeklyIndicators!Y:Y,MATCH(A718,WeeklyIndicators!A:A,0))</f>
        <v>137.04</v>
      </c>
      <c r="J718">
        <f t="shared" si="850"/>
        <v>1</v>
      </c>
      <c r="K718">
        <f>ROUND(INDEX(Economic!AF:AF,MATCH(EOMONTH($A718,-1),Economic!A:A,0)),2)</f>
        <v>117.4</v>
      </c>
      <c r="L718" s="11">
        <f t="shared" si="859"/>
        <v>1</v>
      </c>
      <c r="M718">
        <f>ROUND(INDEX(Manufacturing!P:P,MATCH(EOMONTH($A718,-1),Manufacturing!A:A,0)),2)</f>
        <v>89.23</v>
      </c>
      <c r="N718">
        <f t="shared" si="855"/>
        <v>0</v>
      </c>
      <c r="O718">
        <f>ROUND(INDEX(Housing!AC:AC,MATCH(EOMONTH($A718,-1),Housing!B:B,0)),2)</f>
        <v>136.16</v>
      </c>
      <c r="P718">
        <f t="shared" si="856"/>
        <v>2</v>
      </c>
      <c r="Q718">
        <f>ROUND(INDEX(Spending!AJ:AJ,MATCH(EOMONTH($A718,-1),Spending!B:B,0)),2)</f>
        <v>62.65</v>
      </c>
      <c r="R718">
        <f t="shared" si="860"/>
        <v>2</v>
      </c>
      <c r="S718">
        <f>ROUND(INDEX(Employment!V:V,MATCH(EOMONTH($A718,-1),Employment!A:A,0)),2)</f>
        <v>164.91</v>
      </c>
      <c r="T718" s="11">
        <f t="shared" si="857"/>
        <v>1</v>
      </c>
      <c r="U718">
        <f t="shared" si="885"/>
        <v>32</v>
      </c>
      <c r="V718">
        <f t="shared" si="877"/>
        <v>77.5</v>
      </c>
      <c r="W718" s="13">
        <f t="shared" si="878"/>
        <v>4.4000000000000003E-3</v>
      </c>
      <c r="X718" s="13">
        <f t="shared" si="879"/>
        <v>7.9000000000000008E-3</v>
      </c>
      <c r="Y718">
        <f t="shared" si="871"/>
        <v>89.63</v>
      </c>
      <c r="Z718" s="13">
        <f t="shared" si="866"/>
        <v>3.3999999999999998E-3</v>
      </c>
      <c r="AA718" s="13">
        <f t="shared" si="862"/>
        <v>6.4000000000000003E-3</v>
      </c>
      <c r="AB718" s="6">
        <f t="shared" si="872"/>
        <v>105.339</v>
      </c>
      <c r="AC718">
        <f t="shared" si="864"/>
        <v>53</v>
      </c>
      <c r="AD718" s="11">
        <f t="shared" si="865"/>
        <v>2</v>
      </c>
      <c r="AE718">
        <f t="shared" si="863"/>
        <v>36</v>
      </c>
      <c r="AF718">
        <f>IF(AND(AE718&lt;15,OR(AC718&gt;=30,AA718&gt;0.15,X718&gt;=0.15)),2,VLOOKUP(AE718,Table!P:Q,2,FALSE))</f>
        <v>5</v>
      </c>
      <c r="AG718" s="22">
        <f>IF((AB718*0.98)-(D718*0.8)+((AF718-3)*3)+VLOOKUP(AM718,Table!$A$11:$B$13,2,FALSE)&lt;0,0,(AB718*0.98)-(D718*0.8)+((AF718-3)*3)+VLOOKUP(AM718,Table!$A$11:$B$13,2,FALSE))</f>
        <v>107.00821999999999</v>
      </c>
      <c r="AH718" s="22">
        <f t="shared" si="858"/>
        <v>100</v>
      </c>
      <c r="AI718" s="18">
        <f t="shared" si="851"/>
        <v>1.81</v>
      </c>
      <c r="AJ718" s="18">
        <f t="shared" si="852"/>
        <v>1.37</v>
      </c>
      <c r="AK718" t="str">
        <f t="shared" si="873"/>
        <v>Rising Rates</v>
      </c>
      <c r="AL718">
        <f t="shared" si="884"/>
        <v>35</v>
      </c>
      <c r="AM718" s="11" t="str">
        <f t="shared" si="874"/>
        <v>Stocks</v>
      </c>
      <c r="AN718" t="str">
        <f t="shared" si="880"/>
        <v>Buy</v>
      </c>
      <c r="AO718" s="13">
        <f t="shared" si="881"/>
        <v>7.1999999999999998E-3</v>
      </c>
      <c r="AP718" s="13">
        <f t="shared" si="882"/>
        <v>4.0000000000000002E-4</v>
      </c>
      <c r="AQ718" s="13">
        <f t="shared" si="883"/>
        <v>7.1999999999999998E-3</v>
      </c>
      <c r="AR718" s="13">
        <f t="shared" si="875"/>
        <v>7.1999999999999998E-3</v>
      </c>
      <c r="AS718" s="6">
        <f t="shared" si="867"/>
        <v>294.6240806705203</v>
      </c>
      <c r="AT718" s="6">
        <f t="shared" si="868"/>
        <v>161.8647721134522</v>
      </c>
      <c r="AU718" s="6">
        <f t="shared" si="869"/>
        <v>340.20046140773906</v>
      </c>
      <c r="AV718" s="6">
        <f t="shared" si="870"/>
        <v>417.04664397851428</v>
      </c>
      <c r="AW718" s="58">
        <f t="shared" si="876"/>
        <v>2004</v>
      </c>
      <c r="AX718" s="58">
        <f>COUNTIF(AW$3:AW718,AW718)</f>
        <v>5</v>
      </c>
    </row>
    <row r="719" spans="1:50" x14ac:dyDescent="0.25">
      <c r="A719" s="5">
        <v>38312</v>
      </c>
      <c r="B719">
        <v>1170.3399999999999</v>
      </c>
      <c r="C719">
        <v>2.09</v>
      </c>
      <c r="D719" s="6">
        <v>13.5</v>
      </c>
      <c r="E719" s="18">
        <f t="shared" si="853"/>
        <v>13.56</v>
      </c>
      <c r="F719">
        <f t="shared" si="854"/>
        <v>2</v>
      </c>
      <c r="G719" s="18">
        <f>ROUND(INDEX(Valuation!U:U,MATCH(A719,Valuation!A:A,0)),2)</f>
        <v>205.14</v>
      </c>
      <c r="H719">
        <f t="shared" si="861"/>
        <v>3</v>
      </c>
      <c r="I719" s="18">
        <f>INDEX(WeeklyIndicators!Y:Y,MATCH(A719,WeeklyIndicators!A:A,0))</f>
        <v>137.51</v>
      </c>
      <c r="J719">
        <f t="shared" ref="J719:J782" si="886">IF(I719&gt;170,3,IF(AND(I719&gt;152,I719&lt;=170),2,IF(AND(I719&gt;135,I719&lt;=152),1,IF(I719&lt;60,-3,IF(AND(I719&lt;95,I719&gt;=60),-2,IF(AND(I719&lt;120,I719&gt;=95),-1,0))))))</f>
        <v>1</v>
      </c>
      <c r="K719">
        <f>ROUND(INDEX(Economic!AF:AF,MATCH(EOMONTH($A719,-1),Economic!A:A,0)),2)</f>
        <v>117.4</v>
      </c>
      <c r="L719" s="11">
        <f t="shared" si="859"/>
        <v>1</v>
      </c>
      <c r="M719">
        <f>ROUND(INDEX(Manufacturing!P:P,MATCH(EOMONTH($A719,-1),Manufacturing!A:A,0)),2)</f>
        <v>89.23</v>
      </c>
      <c r="N719">
        <f t="shared" si="855"/>
        <v>0</v>
      </c>
      <c r="O719">
        <f>ROUND(INDEX(Housing!AC:AC,MATCH(EOMONTH($A719,-1),Housing!B:B,0)),2)</f>
        <v>136.16</v>
      </c>
      <c r="P719">
        <f t="shared" si="856"/>
        <v>2</v>
      </c>
      <c r="Q719">
        <f>ROUND(INDEX(Spending!AJ:AJ,MATCH(EOMONTH($A719,-1),Spending!B:B,0)),2)</f>
        <v>62.65</v>
      </c>
      <c r="R719">
        <f t="shared" si="860"/>
        <v>2</v>
      </c>
      <c r="S719">
        <f>ROUND(INDEX(Employment!V:V,MATCH(EOMONTH($A719,-1),Employment!A:A,0)),2)</f>
        <v>164.91</v>
      </c>
      <c r="T719" s="11">
        <f t="shared" si="857"/>
        <v>1</v>
      </c>
      <c r="U719">
        <f t="shared" si="885"/>
        <v>32</v>
      </c>
      <c r="V719">
        <f t="shared" si="877"/>
        <v>77.55</v>
      </c>
      <c r="W719" s="13">
        <f t="shared" si="878"/>
        <v>3.8999999999999998E-3</v>
      </c>
      <c r="X719" s="13">
        <f t="shared" si="879"/>
        <v>-2.1000000000000003E-3</v>
      </c>
      <c r="Y719">
        <f t="shared" si="871"/>
        <v>89.99</v>
      </c>
      <c r="Z719" s="13">
        <f t="shared" si="866"/>
        <v>4.3E-3</v>
      </c>
      <c r="AA719" s="13">
        <f t="shared" si="862"/>
        <v>-3.8999999999999998E-3</v>
      </c>
      <c r="AB719" s="6">
        <f t="shared" si="872"/>
        <v>105.304</v>
      </c>
      <c r="AC719">
        <f t="shared" si="864"/>
        <v>53</v>
      </c>
      <c r="AD719" s="11">
        <f t="shared" si="865"/>
        <v>2</v>
      </c>
      <c r="AE719">
        <f t="shared" si="863"/>
        <v>36</v>
      </c>
      <c r="AF719">
        <f>IF(AND(AE719&lt;15,OR(AC719&gt;=30,AA719&gt;0.15,X719&gt;=0.15)),2,VLOOKUP(AE719,Table!P:Q,2,FALSE))</f>
        <v>5</v>
      </c>
      <c r="AG719" s="22">
        <f>IF((AB719*0.98)-(D719*0.8)+((AF719-3)*3)+VLOOKUP(AM719,Table!$A$11:$B$13,2,FALSE)&lt;0,0,(AB719*0.98)-(D719*0.8)+((AF719-3)*3)+VLOOKUP(AM719,Table!$A$11:$B$13,2,FALSE))</f>
        <v>106.39792</v>
      </c>
      <c r="AH719" s="22">
        <f t="shared" si="858"/>
        <v>100</v>
      </c>
      <c r="AI719" s="18">
        <f t="shared" ref="AI719:AI782" si="887">ROUND(AVERAGE(C719:C731),2)</f>
        <v>1.76</v>
      </c>
      <c r="AJ719" s="18">
        <f t="shared" ref="AJ719:AJ782" si="888">ROUND(AVERAGE(C719:C757),2)</f>
        <v>1.34</v>
      </c>
      <c r="AK719" t="str">
        <f t="shared" si="873"/>
        <v>Rising Rates</v>
      </c>
      <c r="AL719">
        <f t="shared" si="884"/>
        <v>35</v>
      </c>
      <c r="AM719" s="11" t="str">
        <f t="shared" si="874"/>
        <v>Stocks</v>
      </c>
      <c r="AN719" t="str">
        <f t="shared" si="880"/>
        <v>Buy</v>
      </c>
      <c r="AO719" s="13">
        <f t="shared" si="881"/>
        <v>1.0500000000000001E-2</v>
      </c>
      <c r="AP719" s="13">
        <f t="shared" si="882"/>
        <v>4.0000000000000002E-4</v>
      </c>
      <c r="AQ719" s="13">
        <f t="shared" si="883"/>
        <v>1.0500000000000001E-2</v>
      </c>
      <c r="AR719" s="13">
        <f t="shared" si="875"/>
        <v>1.0500000000000001E-2</v>
      </c>
      <c r="AS719" s="6">
        <f t="shared" si="867"/>
        <v>291.5626726081349</v>
      </c>
      <c r="AT719" s="6">
        <f t="shared" si="868"/>
        <v>161.80005209261518</v>
      </c>
      <c r="AU719" s="6">
        <f t="shared" si="869"/>
        <v>336.66547393145873</v>
      </c>
      <c r="AV719" s="6">
        <f t="shared" si="870"/>
        <v>412.71315584217149</v>
      </c>
      <c r="AW719" s="58">
        <f t="shared" si="876"/>
        <v>2004</v>
      </c>
      <c r="AX719" s="58">
        <f>COUNTIF(AW$3:AW719,AW719)</f>
        <v>6</v>
      </c>
    </row>
    <row r="720" spans="1:50" x14ac:dyDescent="0.25">
      <c r="A720" s="5">
        <v>38305</v>
      </c>
      <c r="B720">
        <v>1184.17</v>
      </c>
      <c r="C720">
        <v>2.04</v>
      </c>
      <c r="D720" s="6">
        <v>13.33</v>
      </c>
      <c r="E720" s="18">
        <f t="shared" si="853"/>
        <v>14.48</v>
      </c>
      <c r="F720">
        <f t="shared" si="854"/>
        <v>1</v>
      </c>
      <c r="G720" s="18">
        <f>ROUND(INDEX(Valuation!U:U,MATCH(A720,Valuation!A:A,0)),2)</f>
        <v>207.86</v>
      </c>
      <c r="H720">
        <f t="shared" si="861"/>
        <v>3</v>
      </c>
      <c r="I720" s="18">
        <f>INDEX(WeeklyIndicators!Y:Y,MATCH(A720,WeeklyIndicators!A:A,0))</f>
        <v>134.03</v>
      </c>
      <c r="J720">
        <f t="shared" si="886"/>
        <v>0</v>
      </c>
      <c r="K720">
        <f>ROUND(INDEX(Economic!AF:AF,MATCH(EOMONTH($A720,-1),Economic!A:A,0)),2)</f>
        <v>117.4</v>
      </c>
      <c r="L720" s="11">
        <f t="shared" si="859"/>
        <v>1</v>
      </c>
      <c r="M720">
        <f>ROUND(INDEX(Manufacturing!P:P,MATCH(EOMONTH($A720,-1),Manufacturing!A:A,0)),2)</f>
        <v>89.23</v>
      </c>
      <c r="N720">
        <f t="shared" si="855"/>
        <v>0</v>
      </c>
      <c r="O720">
        <f>ROUND(INDEX(Housing!AC:AC,MATCH(EOMONTH($A720,-1),Housing!B:B,0)),2)</f>
        <v>136.16</v>
      </c>
      <c r="P720">
        <f t="shared" si="856"/>
        <v>2</v>
      </c>
      <c r="Q720">
        <f>ROUND(INDEX(Spending!AJ:AJ,MATCH(EOMONTH($A720,-1),Spending!B:B,0)),2)</f>
        <v>62.65</v>
      </c>
      <c r="R720">
        <f t="shared" si="860"/>
        <v>2</v>
      </c>
      <c r="S720">
        <f>ROUND(INDEX(Employment!V:V,MATCH(EOMONTH($A720,-1),Employment!A:A,0)),2)</f>
        <v>164.91</v>
      </c>
      <c r="T720" s="11">
        <f t="shared" si="857"/>
        <v>1</v>
      </c>
      <c r="U720">
        <f t="shared" si="885"/>
        <v>30</v>
      </c>
      <c r="V720">
        <f t="shared" si="877"/>
        <v>77.180000000000007</v>
      </c>
      <c r="W720" s="13">
        <f t="shared" si="878"/>
        <v>2.5999999999999999E-3</v>
      </c>
      <c r="X720" s="13">
        <f t="shared" si="879"/>
        <v>-1.35E-2</v>
      </c>
      <c r="Y720">
        <f t="shared" si="871"/>
        <v>89.61</v>
      </c>
      <c r="Z720" s="13">
        <f t="shared" si="866"/>
        <v>2.8E-3</v>
      </c>
      <c r="AA720" s="13">
        <f t="shared" si="862"/>
        <v>-1.6500000000000001E-2</v>
      </c>
      <c r="AB720" s="6">
        <f t="shared" si="872"/>
        <v>104.226</v>
      </c>
      <c r="AC720">
        <f t="shared" si="864"/>
        <v>52</v>
      </c>
      <c r="AD720" s="11">
        <f t="shared" si="865"/>
        <v>2</v>
      </c>
      <c r="AE720">
        <f t="shared" si="863"/>
        <v>34</v>
      </c>
      <c r="AF720">
        <f>IF(AND(AE720&lt;15,OR(AC720&gt;=30,AA720&gt;0.15,X720&gt;=0.15)),2,VLOOKUP(AE720,Table!P:Q,2,FALSE))</f>
        <v>5</v>
      </c>
      <c r="AG720" s="22">
        <f>IF((AB720*0.98)-(D720*0.8)+((AF720-3)*3)+VLOOKUP(AM720,Table!$A$11:$B$13,2,FALSE)&lt;0,0,(AB720*0.98)-(D720*0.8)+((AF720-3)*3)+VLOOKUP(AM720,Table!$A$11:$B$13,2,FALSE))</f>
        <v>105.47748</v>
      </c>
      <c r="AH720" s="22">
        <f t="shared" si="858"/>
        <v>100</v>
      </c>
      <c r="AI720" s="18">
        <f t="shared" si="887"/>
        <v>1.71</v>
      </c>
      <c r="AJ720" s="18">
        <f t="shared" si="888"/>
        <v>1.31</v>
      </c>
      <c r="AK720" t="str">
        <f t="shared" si="873"/>
        <v>Rising Rates</v>
      </c>
      <c r="AL720">
        <f t="shared" si="884"/>
        <v>34.75</v>
      </c>
      <c r="AM720" s="11" t="str">
        <f t="shared" si="874"/>
        <v>Stocks</v>
      </c>
      <c r="AN720" t="str">
        <f t="shared" si="880"/>
        <v>Buy</v>
      </c>
      <c r="AO720" s="13">
        <f t="shared" si="881"/>
        <v>-1.17E-2</v>
      </c>
      <c r="AP720" s="13">
        <f t="shared" si="882"/>
        <v>4.0000000000000002E-4</v>
      </c>
      <c r="AQ720" s="13">
        <f t="shared" si="883"/>
        <v>-1.17E-2</v>
      </c>
      <c r="AR720" s="13">
        <f t="shared" si="875"/>
        <v>-1.17E-2</v>
      </c>
      <c r="AS720" s="6">
        <f t="shared" si="867"/>
        <v>295.0143403907062</v>
      </c>
      <c r="AT720" s="6">
        <f t="shared" si="868"/>
        <v>161.73535794943541</v>
      </c>
      <c r="AU720" s="6">
        <f t="shared" si="869"/>
        <v>340.65109170440024</v>
      </c>
      <c r="AV720" s="6">
        <f t="shared" si="870"/>
        <v>417.59906490151928</v>
      </c>
      <c r="AW720" s="58">
        <f t="shared" si="876"/>
        <v>2004</v>
      </c>
      <c r="AX720" s="58">
        <f>COUNTIF(AW$3:AW720,AW720)</f>
        <v>7</v>
      </c>
    </row>
    <row r="721" spans="1:50" x14ac:dyDescent="0.25">
      <c r="A721" s="5">
        <v>38298</v>
      </c>
      <c r="B721">
        <v>1166.17</v>
      </c>
      <c r="C721">
        <v>1.95</v>
      </c>
      <c r="D721" s="6">
        <v>13.84</v>
      </c>
      <c r="E721" s="18">
        <f t="shared" ref="E721:E784" si="889">ROUND(AVERAGE(D721:D723),2)</f>
        <v>15.13</v>
      </c>
      <c r="F721">
        <f t="shared" ref="F721:F784" si="890">IF(E721&lt;11,3,IF(AND(E721&lt;14,E721&gt;=11),2,IF(AND(E721&lt;16,E721&gt;=14),1,IF(E721&gt;35,-3,IF(AND(E721&gt;25,E721&lt;=35),-2,IF(AND(E721&gt;18,E721&lt;=25),-1,0))))))</f>
        <v>1</v>
      </c>
      <c r="G721" s="18">
        <f>ROUND(INDEX(Valuation!U:U,MATCH(A721,Valuation!A:A,0)),2)</f>
        <v>208.06</v>
      </c>
      <c r="H721">
        <f t="shared" si="861"/>
        <v>3</v>
      </c>
      <c r="I721" s="18">
        <f>INDEX(WeeklyIndicators!Y:Y,MATCH(A721,WeeklyIndicators!A:A,0))</f>
        <v>127.36</v>
      </c>
      <c r="J721">
        <f t="shared" si="886"/>
        <v>0</v>
      </c>
      <c r="K721">
        <f>ROUND(INDEX(Economic!AF:AF,MATCH(EOMONTH($A721,-1),Economic!A:A,0)),2)</f>
        <v>117.4</v>
      </c>
      <c r="L721" s="11">
        <f t="shared" si="859"/>
        <v>1</v>
      </c>
      <c r="M721">
        <f>ROUND(INDEX(Manufacturing!P:P,MATCH(EOMONTH($A721,-1),Manufacturing!A:A,0)),2)</f>
        <v>89.23</v>
      </c>
      <c r="N721">
        <f t="shared" si="855"/>
        <v>0</v>
      </c>
      <c r="O721">
        <f>ROUND(INDEX(Housing!AC:AC,MATCH(EOMONTH($A721,-1),Housing!B:B,0)),2)</f>
        <v>136.16</v>
      </c>
      <c r="P721">
        <f t="shared" si="856"/>
        <v>2</v>
      </c>
      <c r="Q721">
        <f>ROUND(INDEX(Spending!AJ:AJ,MATCH(EOMONTH($A721,-1),Spending!B:B,0)),2)</f>
        <v>62.65</v>
      </c>
      <c r="R721">
        <f t="shared" si="860"/>
        <v>2</v>
      </c>
      <c r="S721">
        <f>ROUND(INDEX(Employment!V:V,MATCH(EOMONTH($A721,-1),Employment!A:A,0)),2)</f>
        <v>164.91</v>
      </c>
      <c r="T721" s="11">
        <f t="shared" si="857"/>
        <v>1</v>
      </c>
      <c r="U721">
        <f t="shared" si="885"/>
        <v>30</v>
      </c>
      <c r="V721">
        <f t="shared" si="877"/>
        <v>76.489999999999995</v>
      </c>
      <c r="W721" s="13">
        <f t="shared" si="878"/>
        <v>-3.0000000000000001E-3</v>
      </c>
      <c r="X721" s="13">
        <f t="shared" si="879"/>
        <v>-2.76E-2</v>
      </c>
      <c r="Y721">
        <f t="shared" si="871"/>
        <v>88.71</v>
      </c>
      <c r="Z721" s="13">
        <f t="shared" si="866"/>
        <v>-4.1000000000000003E-3</v>
      </c>
      <c r="AA721" s="13">
        <f t="shared" si="862"/>
        <v>-2.8299999999999999E-2</v>
      </c>
      <c r="AB721" s="6">
        <f t="shared" si="872"/>
        <v>102.396</v>
      </c>
      <c r="AC721">
        <f t="shared" si="864"/>
        <v>51</v>
      </c>
      <c r="AD721" s="11">
        <f t="shared" si="865"/>
        <v>2</v>
      </c>
      <c r="AE721">
        <f t="shared" si="863"/>
        <v>34</v>
      </c>
      <c r="AF721">
        <f>IF(AND(AE721&lt;15,OR(AC721&gt;=30,AA721&gt;0.15,X721&gt;=0.15)),2,VLOOKUP(AE721,Table!P:Q,2,FALSE))</f>
        <v>5</v>
      </c>
      <c r="AG721" s="22">
        <f>IF((AB721*0.98)-(D721*0.8)+((AF721-3)*3)+VLOOKUP(AM721,Table!$A$11:$B$13,2,FALSE)&lt;0,0,(AB721*0.98)-(D721*0.8)+((AF721-3)*3)+VLOOKUP(AM721,Table!$A$11:$B$13,2,FALSE))</f>
        <v>103.27607999999999</v>
      </c>
      <c r="AH721" s="22">
        <f t="shared" si="858"/>
        <v>100</v>
      </c>
      <c r="AI721" s="18">
        <f t="shared" si="887"/>
        <v>1.67</v>
      </c>
      <c r="AJ721" s="18">
        <f t="shared" si="888"/>
        <v>1.29</v>
      </c>
      <c r="AK721" t="str">
        <f t="shared" si="873"/>
        <v>Rising Rates</v>
      </c>
      <c r="AL721">
        <f t="shared" si="884"/>
        <v>35.25</v>
      </c>
      <c r="AM721" s="11" t="str">
        <f t="shared" si="874"/>
        <v>Stocks</v>
      </c>
      <c r="AN721" t="str">
        <f t="shared" si="880"/>
        <v>Buy</v>
      </c>
      <c r="AO721" s="13">
        <f t="shared" si="881"/>
        <v>1.54E-2</v>
      </c>
      <c r="AP721" s="13">
        <f t="shared" si="882"/>
        <v>4.0000000000000002E-4</v>
      </c>
      <c r="AQ721" s="13">
        <f t="shared" si="883"/>
        <v>1.54E-2</v>
      </c>
      <c r="AR721" s="13">
        <f t="shared" si="875"/>
        <v>1.54E-2</v>
      </c>
      <c r="AS721" s="6">
        <f t="shared" si="867"/>
        <v>290.54002402078606</v>
      </c>
      <c r="AT721" s="6">
        <f t="shared" si="868"/>
        <v>161.67068967356599</v>
      </c>
      <c r="AU721" s="6">
        <f t="shared" si="869"/>
        <v>335.48462842663014</v>
      </c>
      <c r="AV721" s="6">
        <f t="shared" si="870"/>
        <v>411.2655750458137</v>
      </c>
      <c r="AW721" s="58">
        <f t="shared" si="876"/>
        <v>2004</v>
      </c>
      <c r="AX721" s="58">
        <f>COUNTIF(AW$3:AW721,AW721)</f>
        <v>8</v>
      </c>
    </row>
    <row r="722" spans="1:50" x14ac:dyDescent="0.25">
      <c r="A722" s="5">
        <v>38291</v>
      </c>
      <c r="B722">
        <v>1130.2</v>
      </c>
      <c r="C722">
        <v>1.87</v>
      </c>
      <c r="D722" s="6">
        <v>16.27</v>
      </c>
      <c r="E722" s="18">
        <f t="shared" si="889"/>
        <v>15.53</v>
      </c>
      <c r="F722">
        <f t="shared" si="890"/>
        <v>1</v>
      </c>
      <c r="G722" s="18">
        <f>ROUND(INDEX(Valuation!U:U,MATCH(A722,Valuation!A:A,0)),2)</f>
        <v>209.02</v>
      </c>
      <c r="H722">
        <f t="shared" si="861"/>
        <v>3</v>
      </c>
      <c r="I722" s="18">
        <f>INDEX(WeeklyIndicators!Y:Y,MATCH(A722,WeeklyIndicators!A:A,0))</f>
        <v>120.31</v>
      </c>
      <c r="J722">
        <f t="shared" si="886"/>
        <v>0</v>
      </c>
      <c r="K722">
        <f>ROUND(INDEX(Economic!AF:AF,MATCH(EOMONTH($A722,-1),Economic!A:A,0)),2)</f>
        <v>119.95</v>
      </c>
      <c r="L722" s="11">
        <f t="shared" si="859"/>
        <v>1</v>
      </c>
      <c r="M722">
        <f>ROUND(INDEX(Manufacturing!P:P,MATCH(EOMONTH($A722,-1),Manufacturing!A:A,0)),2)</f>
        <v>90.63</v>
      </c>
      <c r="N722">
        <f t="shared" ref="N722:N785" si="891">IF(M722&gt;108,3,IF(AND(M722&gt;100,M722&lt;=108),2,IF(AND(M722&gt;90,M722&lt;=100),1,IF(M722&lt;63,-3,IF(AND(M722&lt;74,M722&gt;=63),-2,IF(AND(M722&lt;84,M722&gt;=74),-1,0))))))</f>
        <v>1</v>
      </c>
      <c r="O722">
        <f>ROUND(INDEX(Housing!AC:AC,MATCH(EOMONTH($A722,-1),Housing!B:B,0)),2)</f>
        <v>140.32</v>
      </c>
      <c r="P722">
        <f t="shared" ref="P722:P785" si="892">IF(O722&gt;140,3,IF(AND(O722&gt;128,O722&lt;=140),2,IF(AND(O722&gt;115,O722&lt;=128),1,IF(O722&lt;50,-3,IF(AND(O722&lt;75,O722&gt;=50),-2,IF(AND(O722&lt;100,O722&gt;=75),-1,0))))))</f>
        <v>3</v>
      </c>
      <c r="Q722">
        <f>ROUND(INDEX(Spending!AJ:AJ,MATCH(EOMONTH($A722,-1),Spending!B:B,0)),2)</f>
        <v>63.7</v>
      </c>
      <c r="R722">
        <f t="shared" si="860"/>
        <v>2</v>
      </c>
      <c r="S722">
        <f>ROUND(INDEX(Employment!V:V,MATCH(EOMONTH($A722,-1),Employment!A:A,0)),2)</f>
        <v>164.48</v>
      </c>
      <c r="T722" s="11">
        <f t="shared" ref="T722:T785" si="893">IF(S722&gt;190,3,IF(AND(S722&gt;175,S722&lt;=190),2,IF(AND(S722&gt;160,S722&lt;=175),1,IF(S722&lt;120,-3,IF(AND(S722&lt;140,S722&gt;=120),-2,IF(AND(S722&lt;150,S722&gt;=140),-1,0))))))</f>
        <v>1</v>
      </c>
      <c r="U722">
        <f t="shared" si="885"/>
        <v>32</v>
      </c>
      <c r="V722">
        <f t="shared" si="877"/>
        <v>76.650000000000006</v>
      </c>
      <c r="W722" s="13">
        <f t="shared" si="878"/>
        <v>-5.5999999999999999E-3</v>
      </c>
      <c r="X722" s="13">
        <f t="shared" si="879"/>
        <v>-3.2300000000000002E-2</v>
      </c>
      <c r="Y722">
        <f t="shared" si="871"/>
        <v>88.84</v>
      </c>
      <c r="Z722" s="13">
        <f t="shared" si="866"/>
        <v>-6.8999999999999999E-3</v>
      </c>
      <c r="AA722" s="13">
        <f t="shared" si="862"/>
        <v>-2.8000000000000001E-2</v>
      </c>
      <c r="AB722" s="6">
        <f t="shared" si="872"/>
        <v>102.602</v>
      </c>
      <c r="AC722">
        <f t="shared" si="864"/>
        <v>51</v>
      </c>
      <c r="AD722" s="11">
        <f t="shared" si="865"/>
        <v>2</v>
      </c>
      <c r="AE722">
        <f t="shared" si="863"/>
        <v>36</v>
      </c>
      <c r="AF722">
        <f>IF(AND(AE722&lt;15,OR(AC722&gt;=30,AA722&gt;0.15,X722&gt;=0.15)),2,VLOOKUP(AE722,Table!P:Q,2,FALSE))</f>
        <v>5</v>
      </c>
      <c r="AG722" s="22">
        <f>IF((AB722*0.98)-(D722*0.8)+((AF722-3)*3)+VLOOKUP(AM722,Table!$A$11:$B$13,2,FALSE)&lt;0,0,(AB722*0.98)-(D722*0.8)+((AF722-3)*3)+VLOOKUP(AM722,Table!$A$11:$B$13,2,FALSE))</f>
        <v>101.53395999999999</v>
      </c>
      <c r="AH722" s="22">
        <f t="shared" ref="AH722:AH785" si="894">IF(ROUND(AVERAGE(AG722:AG724),0)&lt;0,0,IF(ROUND(AVERAGE(AG722:AG724),0)&gt;100,100,ROUND(AVERAGE(AG722:AG724),0)))</f>
        <v>100</v>
      </c>
      <c r="AI722" s="18">
        <f t="shared" si="887"/>
        <v>1.63</v>
      </c>
      <c r="AJ722" s="18">
        <f t="shared" si="888"/>
        <v>1.26</v>
      </c>
      <c r="AK722" t="str">
        <f t="shared" si="873"/>
        <v>Rising Rates</v>
      </c>
      <c r="AL722">
        <f t="shared" si="884"/>
        <v>35.75</v>
      </c>
      <c r="AM722" s="11" t="str">
        <f t="shared" si="874"/>
        <v>Stocks</v>
      </c>
      <c r="AN722" t="str">
        <f t="shared" si="880"/>
        <v>Buy</v>
      </c>
      <c r="AO722" s="13">
        <f t="shared" si="881"/>
        <v>3.1800000000000002E-2</v>
      </c>
      <c r="AP722" s="13">
        <f t="shared" si="882"/>
        <v>4.0000000000000002E-4</v>
      </c>
      <c r="AQ722" s="13">
        <f t="shared" si="883"/>
        <v>3.1800000000000002E-2</v>
      </c>
      <c r="AR722" s="13">
        <f t="shared" si="875"/>
        <v>3.1800000000000002E-2</v>
      </c>
      <c r="AS722" s="6">
        <f t="shared" si="867"/>
        <v>281.58560188097118</v>
      </c>
      <c r="AT722" s="6">
        <f t="shared" si="868"/>
        <v>161.60604725466413</v>
      </c>
      <c r="AU722" s="6">
        <f t="shared" si="869"/>
        <v>325.14501688954266</v>
      </c>
      <c r="AV722" s="6">
        <f t="shared" si="870"/>
        <v>398.59040031577211</v>
      </c>
      <c r="AW722" s="58">
        <f t="shared" si="876"/>
        <v>2004</v>
      </c>
      <c r="AX722" s="58">
        <f>COUNTIF(AW$3:AW722,AW722)</f>
        <v>9</v>
      </c>
    </row>
    <row r="723" spans="1:50" x14ac:dyDescent="0.25">
      <c r="A723" s="5">
        <v>38284</v>
      </c>
      <c r="B723">
        <v>1095.74</v>
      </c>
      <c r="C723">
        <v>1.8</v>
      </c>
      <c r="D723" s="6">
        <v>15.28</v>
      </c>
      <c r="E723" s="18">
        <f t="shared" si="889"/>
        <v>15.12</v>
      </c>
      <c r="F723">
        <f t="shared" si="890"/>
        <v>1</v>
      </c>
      <c r="G723" s="18">
        <f>ROUND(INDEX(Valuation!U:U,MATCH(A723,Valuation!A:A,0)),2)</f>
        <v>208.54</v>
      </c>
      <c r="H723">
        <f t="shared" si="861"/>
        <v>3</v>
      </c>
      <c r="I723" s="18">
        <f>INDEX(WeeklyIndicators!Y:Y,MATCH(A723,WeeklyIndicators!A:A,0))</f>
        <v>119.7</v>
      </c>
      <c r="J723">
        <f t="shared" si="886"/>
        <v>-1</v>
      </c>
      <c r="K723">
        <f>ROUND(INDEX(Economic!AF:AF,MATCH(EOMONTH($A723,-1),Economic!A:A,0)),2)</f>
        <v>119.95</v>
      </c>
      <c r="L723" s="11">
        <f t="shared" ref="L723:L786" si="895">IF(K723&gt;138,3,IF(AND(K723&gt;125,K723&lt;=138),2,IF(AND(K723&gt;111,K723&lt;=125),1,IF(K723&lt;50,-3,IF(AND(K723&lt;80,K723&gt;=50),-2,IF(AND(K723&lt;100,K723&gt;=80),-1,0))))))</f>
        <v>1</v>
      </c>
      <c r="M723">
        <f>ROUND(INDEX(Manufacturing!P:P,MATCH(EOMONTH($A723,-1),Manufacturing!A:A,0)),2)</f>
        <v>90.63</v>
      </c>
      <c r="N723">
        <f t="shared" si="891"/>
        <v>1</v>
      </c>
      <c r="O723">
        <f>ROUND(INDEX(Housing!AC:AC,MATCH(EOMONTH($A723,-1),Housing!B:B,0)),2)</f>
        <v>140.32</v>
      </c>
      <c r="P723">
        <f t="shared" si="892"/>
        <v>3</v>
      </c>
      <c r="Q723">
        <f>ROUND(INDEX(Spending!AJ:AJ,MATCH(EOMONTH($A723,-1),Spending!B:B,0)),2)</f>
        <v>63.7</v>
      </c>
      <c r="R723">
        <f t="shared" ref="R723:R786" si="896">IF(Q723&gt;60,2,IF(AND(Q723&gt;50,Q723&lt;=60),1,IF(Q723&lt;30,-2,IF(AND(Q723&lt;40,Q723&gt;=30),-1,0))))</f>
        <v>2</v>
      </c>
      <c r="S723">
        <f>ROUND(INDEX(Employment!V:V,MATCH(EOMONTH($A723,-1),Employment!A:A,0)),2)</f>
        <v>164.48</v>
      </c>
      <c r="T723" s="11">
        <f t="shared" si="893"/>
        <v>1</v>
      </c>
      <c r="U723">
        <f t="shared" si="885"/>
        <v>31</v>
      </c>
      <c r="V723">
        <f t="shared" si="877"/>
        <v>76.59</v>
      </c>
      <c r="W723" s="13">
        <f t="shared" si="878"/>
        <v>-7.4999999999999997E-3</v>
      </c>
      <c r="X723" s="13">
        <f t="shared" si="879"/>
        <v>-3.1200000000000002E-2</v>
      </c>
      <c r="Y723">
        <f t="shared" si="871"/>
        <v>88.86</v>
      </c>
      <c r="Z723" s="13">
        <f t="shared" si="866"/>
        <v>-8.3000000000000001E-3</v>
      </c>
      <c r="AA723" s="13">
        <f t="shared" si="862"/>
        <v>-2.0500000000000001E-2</v>
      </c>
      <c r="AB723" s="6">
        <f t="shared" si="872"/>
        <v>103.084</v>
      </c>
      <c r="AC723">
        <f t="shared" si="864"/>
        <v>52</v>
      </c>
      <c r="AD723" s="11">
        <f t="shared" si="865"/>
        <v>2</v>
      </c>
      <c r="AE723">
        <f t="shared" si="863"/>
        <v>35</v>
      </c>
      <c r="AF723">
        <f>IF(AND(AE723&lt;15,OR(AC723&gt;=30,AA723&gt;0.15,X723&gt;=0.15)),2,VLOOKUP(AE723,Table!P:Q,2,FALSE))</f>
        <v>5</v>
      </c>
      <c r="AG723" s="22">
        <f>IF((AB723*0.98)-(D723*0.8)+((AF723-3)*3)+VLOOKUP(AM723,Table!$A$11:$B$13,2,FALSE)&lt;0,0,(AB723*0.98)-(D723*0.8)+((AF723-3)*3)+VLOOKUP(AM723,Table!$A$11:$B$13,2,FALSE))</f>
        <v>102.79832</v>
      </c>
      <c r="AH723" s="22">
        <f t="shared" si="894"/>
        <v>100</v>
      </c>
      <c r="AI723" s="18">
        <f t="shared" si="887"/>
        <v>1.59</v>
      </c>
      <c r="AJ723" s="18">
        <f t="shared" si="888"/>
        <v>1.23</v>
      </c>
      <c r="AK723" t="str">
        <f t="shared" si="873"/>
        <v>Rising Rates</v>
      </c>
      <c r="AL723">
        <f t="shared" si="884"/>
        <v>36.25</v>
      </c>
      <c r="AM723" s="11" t="str">
        <f t="shared" si="874"/>
        <v>Stocks</v>
      </c>
      <c r="AN723" t="str">
        <f t="shared" si="880"/>
        <v>Buy</v>
      </c>
      <c r="AO723" s="13">
        <f t="shared" si="881"/>
        <v>3.1399999999999997E-2</v>
      </c>
      <c r="AP723" s="13">
        <f t="shared" si="882"/>
        <v>2.9999999999999997E-4</v>
      </c>
      <c r="AQ723" s="13">
        <f t="shared" si="883"/>
        <v>3.1399999999999997E-2</v>
      </c>
      <c r="AR723" s="13">
        <f t="shared" si="875"/>
        <v>3.1399999999999997E-2</v>
      </c>
      <c r="AS723" s="6">
        <f t="shared" si="867"/>
        <v>273.01299387334802</v>
      </c>
      <c r="AT723" s="6">
        <f t="shared" si="868"/>
        <v>161.55757998066994</v>
      </c>
      <c r="AU723" s="6">
        <f t="shared" si="869"/>
        <v>315.24628358497444</v>
      </c>
      <c r="AV723" s="6">
        <f t="shared" si="870"/>
        <v>386.4556915995463</v>
      </c>
      <c r="AW723" s="58">
        <f t="shared" si="876"/>
        <v>2004</v>
      </c>
      <c r="AX723" s="58">
        <f>COUNTIF(AW$3:AW723,AW723)</f>
        <v>10</v>
      </c>
    </row>
    <row r="724" spans="1:50" x14ac:dyDescent="0.25">
      <c r="A724" s="5">
        <v>38277</v>
      </c>
      <c r="B724">
        <v>1108.2</v>
      </c>
      <c r="C724">
        <v>1.7</v>
      </c>
      <c r="D724" s="6">
        <v>15.04</v>
      </c>
      <c r="E724" s="18">
        <f t="shared" si="889"/>
        <v>14.28</v>
      </c>
      <c r="F724">
        <f t="shared" si="890"/>
        <v>1</v>
      </c>
      <c r="G724" s="18">
        <f>ROUND(INDEX(Valuation!U:U,MATCH(A724,Valuation!A:A,0)),2)</f>
        <v>209.13</v>
      </c>
      <c r="H724">
        <f t="shared" si="861"/>
        <v>3</v>
      </c>
      <c r="I724" s="18">
        <f>INDEX(WeeklyIndicators!Y:Y,MATCH(A724,WeeklyIndicators!A:A,0))</f>
        <v>125.47</v>
      </c>
      <c r="J724">
        <f t="shared" si="886"/>
        <v>0</v>
      </c>
      <c r="K724">
        <f>ROUND(INDEX(Economic!AF:AF,MATCH(EOMONTH($A724,-1),Economic!A:A,0)),2)</f>
        <v>119.95</v>
      </c>
      <c r="L724" s="11">
        <f t="shared" si="895"/>
        <v>1</v>
      </c>
      <c r="M724">
        <f>ROUND(INDEX(Manufacturing!P:P,MATCH(EOMONTH($A724,-1),Manufacturing!A:A,0)),2)</f>
        <v>90.63</v>
      </c>
      <c r="N724">
        <f t="shared" si="891"/>
        <v>1</v>
      </c>
      <c r="O724">
        <f>ROUND(INDEX(Housing!AC:AC,MATCH(EOMONTH($A724,-1),Housing!B:B,0)),2)</f>
        <v>140.32</v>
      </c>
      <c r="P724">
        <f t="shared" si="892"/>
        <v>3</v>
      </c>
      <c r="Q724">
        <f>ROUND(INDEX(Spending!AJ:AJ,MATCH(EOMONTH($A724,-1),Spending!B:B,0)),2)</f>
        <v>63.7</v>
      </c>
      <c r="R724">
        <f t="shared" si="896"/>
        <v>2</v>
      </c>
      <c r="S724">
        <f>ROUND(INDEX(Employment!V:V,MATCH(EOMONTH($A724,-1),Employment!A:A,0)),2)</f>
        <v>164.48</v>
      </c>
      <c r="T724" s="11">
        <f t="shared" si="893"/>
        <v>1</v>
      </c>
      <c r="U724">
        <f t="shared" si="885"/>
        <v>32</v>
      </c>
      <c r="V724">
        <f t="shared" si="877"/>
        <v>77.19</v>
      </c>
      <c r="W724" s="13">
        <f t="shared" si="878"/>
        <v>-1.15E-2</v>
      </c>
      <c r="X724" s="13">
        <f t="shared" si="879"/>
        <v>-1.9000000000000003E-2</v>
      </c>
      <c r="Y724">
        <f t="shared" si="871"/>
        <v>89.82</v>
      </c>
      <c r="Z724" s="13">
        <f t="shared" si="866"/>
        <v>-8.9999999999999993E-3</v>
      </c>
      <c r="AA724" s="13">
        <f t="shared" si="862"/>
        <v>-3.1999999999999997E-3</v>
      </c>
      <c r="AB724" s="6">
        <f t="shared" si="872"/>
        <v>105.40299999999999</v>
      </c>
      <c r="AC724">
        <f t="shared" si="864"/>
        <v>53</v>
      </c>
      <c r="AD724" s="11">
        <f t="shared" si="865"/>
        <v>2</v>
      </c>
      <c r="AE724">
        <f t="shared" si="863"/>
        <v>36</v>
      </c>
      <c r="AF724">
        <f>IF(AND(AE724&lt;15,OR(AC724&gt;=30,AA724&gt;0.15,X724&gt;=0.15)),2,VLOOKUP(AE724,Table!P:Q,2,FALSE))</f>
        <v>5</v>
      </c>
      <c r="AG724" s="22">
        <f>IF((AB724*0.98)-(D724*0.8)+((AF724-3)*3)+VLOOKUP(AM724,Table!$A$11:$B$13,2,FALSE)&lt;0,0,(AB724*0.98)-(D724*0.8)+((AF724-3)*3)+VLOOKUP(AM724,Table!$A$11:$B$13,2,FALSE))</f>
        <v>105.26294</v>
      </c>
      <c r="AH724" s="22">
        <f t="shared" si="894"/>
        <v>100</v>
      </c>
      <c r="AI724" s="18">
        <f t="shared" si="887"/>
        <v>1.56</v>
      </c>
      <c r="AJ724" s="18">
        <f t="shared" si="888"/>
        <v>1.21</v>
      </c>
      <c r="AK724" t="str">
        <f t="shared" si="873"/>
        <v>Rising Rates</v>
      </c>
      <c r="AL724">
        <f t="shared" si="884"/>
        <v>36.75</v>
      </c>
      <c r="AM724" s="11" t="str">
        <f t="shared" si="874"/>
        <v>Stocks</v>
      </c>
      <c r="AN724" t="str">
        <f t="shared" si="880"/>
        <v>Buy</v>
      </c>
      <c r="AO724" s="13">
        <f t="shared" si="881"/>
        <v>-1.12E-2</v>
      </c>
      <c r="AP724" s="13">
        <f t="shared" si="882"/>
        <v>2.9999999999999997E-4</v>
      </c>
      <c r="AQ724" s="13">
        <f t="shared" si="883"/>
        <v>-1.12E-2</v>
      </c>
      <c r="AR724" s="13">
        <f t="shared" si="875"/>
        <v>-1.12E-2</v>
      </c>
      <c r="AS724" s="6">
        <f t="shared" si="867"/>
        <v>276.10537406285198</v>
      </c>
      <c r="AT724" s="6">
        <f t="shared" si="868"/>
        <v>161.50912724249719</v>
      </c>
      <c r="AU724" s="6">
        <f t="shared" si="869"/>
        <v>318.81703436991751</v>
      </c>
      <c r="AV724" s="6">
        <f t="shared" si="870"/>
        <v>390.83302143967063</v>
      </c>
      <c r="AW724" s="58">
        <f t="shared" si="876"/>
        <v>2004</v>
      </c>
      <c r="AX724" s="58">
        <f>COUNTIF(AW$3:AW724,AW724)</f>
        <v>11</v>
      </c>
    </row>
    <row r="725" spans="1:50" x14ac:dyDescent="0.25">
      <c r="A725" s="5">
        <v>38270</v>
      </c>
      <c r="B725">
        <v>1122.1400000000001</v>
      </c>
      <c r="C725">
        <v>1.68</v>
      </c>
      <c r="D725" s="6">
        <v>15.05</v>
      </c>
      <c r="E725" s="18">
        <f t="shared" si="889"/>
        <v>14.03</v>
      </c>
      <c r="F725">
        <f t="shared" si="890"/>
        <v>1</v>
      </c>
      <c r="G725" s="18">
        <f>ROUND(INDEX(Valuation!U:U,MATCH(A725,Valuation!A:A,0)),2)</f>
        <v>209.28</v>
      </c>
      <c r="H725">
        <f t="shared" si="861"/>
        <v>3</v>
      </c>
      <c r="I725" s="18">
        <f>INDEX(WeeklyIndicators!Y:Y,MATCH(A725,WeeklyIndicators!A:A,0))</f>
        <v>132.81</v>
      </c>
      <c r="J725">
        <f t="shared" si="886"/>
        <v>0</v>
      </c>
      <c r="K725">
        <f>ROUND(INDEX(Economic!AF:AF,MATCH(EOMONTH($A725,-1),Economic!A:A,0)),2)</f>
        <v>119.95</v>
      </c>
      <c r="L725" s="11">
        <f t="shared" si="895"/>
        <v>1</v>
      </c>
      <c r="M725">
        <f>ROUND(INDEX(Manufacturing!P:P,MATCH(EOMONTH($A725,-1),Manufacturing!A:A,0)),2)</f>
        <v>90.63</v>
      </c>
      <c r="N725">
        <f t="shared" si="891"/>
        <v>1</v>
      </c>
      <c r="O725">
        <f>ROUND(INDEX(Housing!AC:AC,MATCH(EOMONTH($A725,-1),Housing!B:B,0)),2)</f>
        <v>140.32</v>
      </c>
      <c r="P725">
        <f t="shared" si="892"/>
        <v>3</v>
      </c>
      <c r="Q725">
        <f>ROUND(INDEX(Spending!AJ:AJ,MATCH(EOMONTH($A725,-1),Spending!B:B,0)),2)</f>
        <v>63.7</v>
      </c>
      <c r="R725">
        <f t="shared" si="896"/>
        <v>2</v>
      </c>
      <c r="S725">
        <f>ROUND(INDEX(Employment!V:V,MATCH(EOMONTH($A725,-1),Employment!A:A,0)),2)</f>
        <v>164.48</v>
      </c>
      <c r="T725" s="11">
        <f t="shared" si="893"/>
        <v>1</v>
      </c>
      <c r="U725">
        <f t="shared" si="885"/>
        <v>32</v>
      </c>
      <c r="V725">
        <f t="shared" si="877"/>
        <v>77.95</v>
      </c>
      <c r="W725" s="13">
        <f t="shared" si="878"/>
        <v>-7.7000000000000002E-3</v>
      </c>
      <c r="X725" s="13">
        <f t="shared" si="879"/>
        <v>-2.7999999999999987E-3</v>
      </c>
      <c r="Y725">
        <f t="shared" si="871"/>
        <v>90.69</v>
      </c>
      <c r="Z725" s="13">
        <f t="shared" si="866"/>
        <v>-3.8E-3</v>
      </c>
      <c r="AA725" s="13">
        <f t="shared" si="862"/>
        <v>1.6300000000000002E-2</v>
      </c>
      <c r="AB725" s="6">
        <f t="shared" si="872"/>
        <v>107.77799999999999</v>
      </c>
      <c r="AC725">
        <f t="shared" si="864"/>
        <v>54</v>
      </c>
      <c r="AD725" s="11">
        <f t="shared" si="865"/>
        <v>2</v>
      </c>
      <c r="AE725">
        <f t="shared" si="863"/>
        <v>36</v>
      </c>
      <c r="AF725">
        <f>IF(AND(AE725&lt;15,OR(AC725&gt;=30,AA725&gt;0.15,X725&gt;=0.15)),2,VLOOKUP(AE725,Table!P:Q,2,FALSE))</f>
        <v>5</v>
      </c>
      <c r="AG725" s="22">
        <f>IF((AB725*0.98)-(D725*0.8)+((AF725-3)*3)+VLOOKUP(AM725,Table!$A$11:$B$13,2,FALSE)&lt;0,0,(AB725*0.98)-(D725*0.8)+((AF725-3)*3)+VLOOKUP(AM725,Table!$A$11:$B$13,2,FALSE))</f>
        <v>107.58243999999998</v>
      </c>
      <c r="AH725" s="22">
        <f t="shared" si="894"/>
        <v>100</v>
      </c>
      <c r="AI725" s="18">
        <f t="shared" si="887"/>
        <v>1.53</v>
      </c>
      <c r="AJ725" s="18">
        <f t="shared" si="888"/>
        <v>1.19</v>
      </c>
      <c r="AK725" t="str">
        <f t="shared" si="873"/>
        <v>Rising Rates</v>
      </c>
      <c r="AL725">
        <f t="shared" si="884"/>
        <v>37.25</v>
      </c>
      <c r="AM725" s="11" t="str">
        <f t="shared" si="874"/>
        <v>Stocks</v>
      </c>
      <c r="AN725" t="str">
        <f t="shared" si="880"/>
        <v>Buy</v>
      </c>
      <c r="AO725" s="13">
        <f t="shared" si="881"/>
        <v>-1.24E-2</v>
      </c>
      <c r="AP725" s="13">
        <f t="shared" si="882"/>
        <v>2.9999999999999997E-4</v>
      </c>
      <c r="AQ725" s="13">
        <f t="shared" si="883"/>
        <v>-1.24E-2</v>
      </c>
      <c r="AR725" s="13">
        <f t="shared" si="875"/>
        <v>-1.24E-2</v>
      </c>
      <c r="AS725" s="6">
        <f t="shared" si="867"/>
        <v>279.57206770236127</v>
      </c>
      <c r="AT725" s="6">
        <f t="shared" si="868"/>
        <v>161.46068903578646</v>
      </c>
      <c r="AU725" s="6">
        <f t="shared" si="869"/>
        <v>322.82000239967346</v>
      </c>
      <c r="AV725" s="6">
        <f t="shared" si="870"/>
        <v>395.74019991866203</v>
      </c>
      <c r="AW725" s="58">
        <f t="shared" si="876"/>
        <v>2004</v>
      </c>
      <c r="AX725" s="58">
        <f>COUNTIF(AW$3:AW725,AW725)</f>
        <v>12</v>
      </c>
    </row>
    <row r="726" spans="1:50" x14ac:dyDescent="0.25">
      <c r="A726" s="5">
        <v>38263</v>
      </c>
      <c r="B726">
        <v>1131.5</v>
      </c>
      <c r="C726">
        <v>1.69</v>
      </c>
      <c r="D726" s="6">
        <v>12.75</v>
      </c>
      <c r="E726" s="18">
        <f t="shared" si="889"/>
        <v>13.69</v>
      </c>
      <c r="F726">
        <f t="shared" si="890"/>
        <v>2</v>
      </c>
      <c r="G726" s="18">
        <f>ROUND(INDEX(Valuation!U:U,MATCH(A726,Valuation!A:A,0)),2)</f>
        <v>208.47</v>
      </c>
      <c r="H726">
        <f t="shared" si="861"/>
        <v>3</v>
      </c>
      <c r="I726" s="18">
        <f>INDEX(WeeklyIndicators!Y:Y,MATCH(A726,WeeklyIndicators!A:A,0))</f>
        <v>136.72999999999999</v>
      </c>
      <c r="J726">
        <f t="shared" si="886"/>
        <v>1</v>
      </c>
      <c r="K726">
        <f>ROUND(INDEX(Economic!AF:AF,MATCH(EOMONTH($A726,-1),Economic!A:A,0)),2)</f>
        <v>119.95</v>
      </c>
      <c r="L726" s="11">
        <f t="shared" si="895"/>
        <v>1</v>
      </c>
      <c r="M726">
        <f>ROUND(INDEX(Manufacturing!P:P,MATCH(EOMONTH($A726,-1),Manufacturing!A:A,0)),2)</f>
        <v>90.63</v>
      </c>
      <c r="N726">
        <f t="shared" si="891"/>
        <v>1</v>
      </c>
      <c r="O726">
        <f>ROUND(INDEX(Housing!AC:AC,MATCH(EOMONTH($A726,-1),Housing!B:B,0)),2)</f>
        <v>140.32</v>
      </c>
      <c r="P726">
        <f t="shared" si="892"/>
        <v>3</v>
      </c>
      <c r="Q726">
        <f>ROUND(INDEX(Spending!AJ:AJ,MATCH(EOMONTH($A726,-1),Spending!B:B,0)),2)</f>
        <v>63.7</v>
      </c>
      <c r="R726">
        <f t="shared" si="896"/>
        <v>2</v>
      </c>
      <c r="S726">
        <f>ROUND(INDEX(Employment!V:V,MATCH(EOMONTH($A726,-1),Employment!A:A,0)),2)</f>
        <v>164.48</v>
      </c>
      <c r="T726" s="11">
        <f t="shared" si="893"/>
        <v>1</v>
      </c>
      <c r="U726">
        <f t="shared" si="885"/>
        <v>34</v>
      </c>
      <c r="V726">
        <f t="shared" si="877"/>
        <v>78.349999999999994</v>
      </c>
      <c r="W726" s="13">
        <f t="shared" si="878"/>
        <v>-4.4999999999999997E-3</v>
      </c>
      <c r="X726" s="13">
        <f t="shared" si="879"/>
        <v>8.9000000000000017E-3</v>
      </c>
      <c r="Y726">
        <f t="shared" si="871"/>
        <v>91.12</v>
      </c>
      <c r="Z726" s="13">
        <f t="shared" si="866"/>
        <v>5.9999999999999995E-4</v>
      </c>
      <c r="AA726" s="13">
        <f t="shared" si="862"/>
        <v>3.0699999999999998E-2</v>
      </c>
      <c r="AB726" s="6">
        <f t="shared" si="872"/>
        <v>109.22699999999999</v>
      </c>
      <c r="AC726">
        <f t="shared" si="864"/>
        <v>55</v>
      </c>
      <c r="AD726" s="11">
        <f t="shared" si="865"/>
        <v>2</v>
      </c>
      <c r="AE726">
        <f t="shared" si="863"/>
        <v>38</v>
      </c>
      <c r="AF726">
        <f>IF(AND(AE726&lt;15,OR(AC726&gt;=30,AA726&gt;0.15,X726&gt;=0.15)),2,VLOOKUP(AE726,Table!P:Q,2,FALSE))</f>
        <v>6</v>
      </c>
      <c r="AG726" s="22">
        <f>IF((AB726*0.98)-(D726*0.8)+((AF726-3)*3)+VLOOKUP(AM726,Table!$A$11:$B$13,2,FALSE)&lt;0,0,(AB726*0.98)-(D726*0.8)+((AF726-3)*3)+VLOOKUP(AM726,Table!$A$11:$B$13,2,FALSE))</f>
        <v>113.84245999999999</v>
      </c>
      <c r="AH726" s="22">
        <f t="shared" si="894"/>
        <v>100</v>
      </c>
      <c r="AI726" s="18">
        <f t="shared" si="887"/>
        <v>1.5</v>
      </c>
      <c r="AJ726" s="18">
        <f t="shared" si="888"/>
        <v>1.17</v>
      </c>
      <c r="AK726" t="str">
        <f t="shared" si="873"/>
        <v>Rising Rates</v>
      </c>
      <c r="AL726">
        <f t="shared" si="884"/>
        <v>37</v>
      </c>
      <c r="AM726" s="11" t="str">
        <f t="shared" si="874"/>
        <v>Stocks</v>
      </c>
      <c r="AN726" t="str">
        <f t="shared" si="880"/>
        <v>Buy</v>
      </c>
      <c r="AO726" s="13">
        <f t="shared" si="881"/>
        <v>-8.3000000000000001E-3</v>
      </c>
      <c r="AP726" s="13">
        <f t="shared" si="882"/>
        <v>2.9999999999999997E-4</v>
      </c>
      <c r="AQ726" s="13">
        <f t="shared" si="883"/>
        <v>-8.3000000000000001E-3</v>
      </c>
      <c r="AR726" s="13">
        <f t="shared" si="875"/>
        <v>-8.3000000000000001E-3</v>
      </c>
      <c r="AS726" s="6">
        <f t="shared" si="867"/>
        <v>281.91193677761549</v>
      </c>
      <c r="AT726" s="6">
        <f t="shared" si="868"/>
        <v>161.4122653561796</v>
      </c>
      <c r="AU726" s="6">
        <f t="shared" si="869"/>
        <v>325.52183361870874</v>
      </c>
      <c r="AV726" s="6">
        <f t="shared" si="870"/>
        <v>399.05233429329638</v>
      </c>
      <c r="AW726" s="58">
        <f t="shared" si="876"/>
        <v>2004</v>
      </c>
      <c r="AX726" s="58">
        <f>COUNTIF(AW$3:AW726,AW726)</f>
        <v>13</v>
      </c>
    </row>
    <row r="727" spans="1:50" x14ac:dyDescent="0.25">
      <c r="A727" s="5">
        <v>38256</v>
      </c>
      <c r="B727">
        <v>1110.1099999999999</v>
      </c>
      <c r="C727">
        <v>1.69</v>
      </c>
      <c r="D727" s="6">
        <v>14.28</v>
      </c>
      <c r="E727" s="18">
        <f t="shared" si="889"/>
        <v>14.02</v>
      </c>
      <c r="F727">
        <f t="shared" si="890"/>
        <v>1</v>
      </c>
      <c r="G727" s="18">
        <f>ROUND(INDEX(Valuation!U:U,MATCH(A727,Valuation!A:A,0)),2)</f>
        <v>205.99</v>
      </c>
      <c r="H727">
        <f t="shared" si="861"/>
        <v>3</v>
      </c>
      <c r="I727" s="18">
        <f>INDEX(WeeklyIndicators!Y:Y,MATCH(A727,WeeklyIndicators!A:A,0))</f>
        <v>138.01</v>
      </c>
      <c r="J727">
        <f t="shared" si="886"/>
        <v>1</v>
      </c>
      <c r="K727">
        <f>ROUND(INDEX(Economic!AF:AF,MATCH(EOMONTH($A727,-1),Economic!A:A,0)),2)</f>
        <v>122.76</v>
      </c>
      <c r="L727" s="11">
        <f t="shared" si="895"/>
        <v>1</v>
      </c>
      <c r="M727">
        <f>ROUND(INDEX(Manufacturing!P:P,MATCH(EOMONTH($A727,-1),Manufacturing!A:A,0)),2)</f>
        <v>94.65</v>
      </c>
      <c r="N727">
        <f t="shared" si="891"/>
        <v>1</v>
      </c>
      <c r="O727">
        <f>ROUND(INDEX(Housing!AC:AC,MATCH(EOMONTH($A727,-1),Housing!B:B,0)),2)</f>
        <v>142.36000000000001</v>
      </c>
      <c r="P727">
        <f t="shared" si="892"/>
        <v>3</v>
      </c>
      <c r="Q727">
        <f>ROUND(INDEX(Spending!AJ:AJ,MATCH(EOMONTH($A727,-1),Spending!B:B,0)),2)</f>
        <v>65.28</v>
      </c>
      <c r="R727">
        <f t="shared" si="896"/>
        <v>2</v>
      </c>
      <c r="S727">
        <f>ROUND(INDEX(Employment!V:V,MATCH(EOMONTH($A727,-1),Employment!A:A,0)),2)</f>
        <v>166.72</v>
      </c>
      <c r="T727" s="11">
        <f t="shared" si="893"/>
        <v>1</v>
      </c>
      <c r="U727">
        <f t="shared" si="885"/>
        <v>33</v>
      </c>
      <c r="V727">
        <f t="shared" si="877"/>
        <v>79.91</v>
      </c>
      <c r="W727" s="13">
        <f t="shared" si="878"/>
        <v>4.7000000000000002E-3</v>
      </c>
      <c r="X727" s="13">
        <f t="shared" si="879"/>
        <v>1.3100000000000001E-2</v>
      </c>
      <c r="Y727">
        <f t="shared" si="871"/>
        <v>92.29</v>
      </c>
      <c r="Z727" s="13">
        <f t="shared" si="866"/>
        <v>8.9999999999999993E-3</v>
      </c>
      <c r="AA727" s="13">
        <f t="shared" si="862"/>
        <v>3.5700000000000003E-2</v>
      </c>
      <c r="AB727" s="6">
        <f t="shared" si="872"/>
        <v>110.57900000000001</v>
      </c>
      <c r="AC727">
        <f t="shared" si="864"/>
        <v>55</v>
      </c>
      <c r="AD727" s="11">
        <f t="shared" si="865"/>
        <v>2</v>
      </c>
      <c r="AE727">
        <f t="shared" si="863"/>
        <v>37</v>
      </c>
      <c r="AF727">
        <f>IF(AND(AE727&lt;15,OR(AC727&gt;=30,AA727&gt;0.15,X727&gt;=0.15)),2,VLOOKUP(AE727,Table!P:Q,2,FALSE))</f>
        <v>6</v>
      </c>
      <c r="AG727" s="22">
        <f>IF((AB727*0.98)-(D727*0.8)+((AF727-3)*3)+VLOOKUP(AM727,Table!$A$11:$B$13,2,FALSE)&lt;0,0,(AB727*0.98)-(D727*0.8)+((AF727-3)*3)+VLOOKUP(AM727,Table!$A$11:$B$13,2,FALSE))</f>
        <v>113.94342</v>
      </c>
      <c r="AH727" s="22">
        <f t="shared" si="894"/>
        <v>100</v>
      </c>
      <c r="AI727" s="18">
        <f t="shared" si="887"/>
        <v>1.47</v>
      </c>
      <c r="AJ727" s="18">
        <f t="shared" si="888"/>
        <v>1.1499999999999999</v>
      </c>
      <c r="AK727" t="str">
        <f t="shared" si="873"/>
        <v>Rising Rates</v>
      </c>
      <c r="AL727">
        <f t="shared" si="884"/>
        <v>36.25</v>
      </c>
      <c r="AM727" s="11" t="str">
        <f t="shared" si="874"/>
        <v>Stocks</v>
      </c>
      <c r="AN727" t="str">
        <f t="shared" si="880"/>
        <v>Buy</v>
      </c>
      <c r="AO727" s="13">
        <f t="shared" si="881"/>
        <v>1.9300000000000001E-2</v>
      </c>
      <c r="AP727" s="13">
        <f t="shared" si="882"/>
        <v>2.9999999999999997E-4</v>
      </c>
      <c r="AQ727" s="13">
        <f t="shared" si="883"/>
        <v>1.9300000000000001E-2</v>
      </c>
      <c r="AR727" s="13">
        <f t="shared" si="875"/>
        <v>1.9300000000000001E-2</v>
      </c>
      <c r="AS727" s="6">
        <f t="shared" si="867"/>
        <v>276.57405746847394</v>
      </c>
      <c r="AT727" s="6">
        <f t="shared" si="868"/>
        <v>161.3638561993198</v>
      </c>
      <c r="AU727" s="6">
        <f t="shared" si="869"/>
        <v>319.35821997322546</v>
      </c>
      <c r="AV727" s="6">
        <f t="shared" si="870"/>
        <v>391.4964527551225</v>
      </c>
      <c r="AW727" s="58">
        <f t="shared" si="876"/>
        <v>2004</v>
      </c>
      <c r="AX727" s="58">
        <f>COUNTIF(AW$3:AW727,AW727)</f>
        <v>14</v>
      </c>
    </row>
    <row r="728" spans="1:50" x14ac:dyDescent="0.25">
      <c r="A728" s="5">
        <v>38249</v>
      </c>
      <c r="B728">
        <v>1128.55</v>
      </c>
      <c r="C728">
        <v>1.65</v>
      </c>
      <c r="D728" s="6">
        <v>14.03</v>
      </c>
      <c r="E728" s="18">
        <f t="shared" si="889"/>
        <v>13.9</v>
      </c>
      <c r="F728">
        <f t="shared" si="890"/>
        <v>2</v>
      </c>
      <c r="G728" s="18">
        <f>ROUND(INDEX(Valuation!U:U,MATCH(A728,Valuation!A:A,0)),2)</f>
        <v>201.85</v>
      </c>
      <c r="H728">
        <f t="shared" si="861"/>
        <v>3</v>
      </c>
      <c r="I728" s="18">
        <f>INDEX(WeeklyIndicators!Y:Y,MATCH(A728,WeeklyIndicators!A:A,0))</f>
        <v>136.75</v>
      </c>
      <c r="J728">
        <f t="shared" si="886"/>
        <v>1</v>
      </c>
      <c r="K728">
        <f>ROUND(INDEX(Economic!AF:AF,MATCH(EOMONTH($A728,-1),Economic!A:A,0)),2)</f>
        <v>122.76</v>
      </c>
      <c r="L728" s="11">
        <f t="shared" si="895"/>
        <v>1</v>
      </c>
      <c r="M728">
        <f>ROUND(INDEX(Manufacturing!P:P,MATCH(EOMONTH($A728,-1),Manufacturing!A:A,0)),2)</f>
        <v>94.65</v>
      </c>
      <c r="N728">
        <f t="shared" si="891"/>
        <v>1</v>
      </c>
      <c r="O728">
        <f>ROUND(INDEX(Housing!AC:AC,MATCH(EOMONTH($A728,-1),Housing!B:B,0)),2)</f>
        <v>142.36000000000001</v>
      </c>
      <c r="P728">
        <f t="shared" si="892"/>
        <v>3</v>
      </c>
      <c r="Q728">
        <f>ROUND(INDEX(Spending!AJ:AJ,MATCH(EOMONTH($A728,-1),Spending!B:B,0)),2)</f>
        <v>65.28</v>
      </c>
      <c r="R728">
        <f t="shared" si="896"/>
        <v>2</v>
      </c>
      <c r="S728">
        <f>ROUND(INDEX(Employment!V:V,MATCH(EOMONTH($A728,-1),Employment!A:A,0)),2)</f>
        <v>166.72</v>
      </c>
      <c r="T728" s="11">
        <f t="shared" si="893"/>
        <v>1</v>
      </c>
      <c r="U728">
        <f t="shared" si="885"/>
        <v>34</v>
      </c>
      <c r="V728">
        <f t="shared" si="877"/>
        <v>79.78</v>
      </c>
      <c r="W728" s="13">
        <f t="shared" si="878"/>
        <v>4.7000000000000002E-3</v>
      </c>
      <c r="X728" s="13">
        <f t="shared" si="879"/>
        <v>4.4999999999999997E-3</v>
      </c>
      <c r="Y728">
        <f t="shared" si="871"/>
        <v>91.74</v>
      </c>
      <c r="Z728" s="13">
        <f t="shared" si="866"/>
        <v>1.0500000000000001E-2</v>
      </c>
      <c r="AA728" s="13">
        <f t="shared" si="862"/>
        <v>2.6700000000000002E-2</v>
      </c>
      <c r="AB728" s="6">
        <f t="shared" si="872"/>
        <v>108.91500000000001</v>
      </c>
      <c r="AC728">
        <f t="shared" si="864"/>
        <v>54</v>
      </c>
      <c r="AD728" s="11">
        <f t="shared" si="865"/>
        <v>2</v>
      </c>
      <c r="AE728">
        <f t="shared" si="863"/>
        <v>38</v>
      </c>
      <c r="AF728">
        <f>IF(AND(AE728&lt;15,OR(AC728&gt;=30,AA728&gt;0.15,X728&gt;=0.15)),2,VLOOKUP(AE728,Table!P:Q,2,FALSE))</f>
        <v>6</v>
      </c>
      <c r="AG728" s="22">
        <f>IF((AB728*0.98)-(D728*0.8)+((AF728-3)*3)+VLOOKUP(AM728,Table!$A$11:$B$13,2,FALSE)&lt;0,0,(AB728*0.98)-(D728*0.8)+((AF728-3)*3)+VLOOKUP(AM728,Table!$A$11:$B$13,2,FALSE))</f>
        <v>112.5127</v>
      </c>
      <c r="AH728" s="22">
        <f t="shared" si="894"/>
        <v>100</v>
      </c>
      <c r="AI728" s="18">
        <f t="shared" si="887"/>
        <v>1.44</v>
      </c>
      <c r="AJ728" s="18">
        <f t="shared" si="888"/>
        <v>1.1299999999999999</v>
      </c>
      <c r="AK728" t="str">
        <f t="shared" si="873"/>
        <v>Rising Rates</v>
      </c>
      <c r="AL728">
        <f t="shared" si="884"/>
        <v>35.5</v>
      </c>
      <c r="AM728" s="11" t="str">
        <f t="shared" si="874"/>
        <v>Stocks</v>
      </c>
      <c r="AN728" t="str">
        <f t="shared" si="880"/>
        <v>Buy</v>
      </c>
      <c r="AO728" s="13">
        <f t="shared" si="881"/>
        <v>-1.6299999999999999E-2</v>
      </c>
      <c r="AP728" s="13">
        <f t="shared" si="882"/>
        <v>2.9999999999999997E-4</v>
      </c>
      <c r="AQ728" s="13">
        <f t="shared" si="883"/>
        <v>-1.6299999999999999E-2</v>
      </c>
      <c r="AR728" s="13">
        <f t="shared" si="875"/>
        <v>-1.6299999999999999E-2</v>
      </c>
      <c r="AS728" s="6">
        <f t="shared" si="867"/>
        <v>281.15691518600585</v>
      </c>
      <c r="AT728" s="6">
        <f t="shared" si="868"/>
        <v>161.31546156085156</v>
      </c>
      <c r="AU728" s="6">
        <f t="shared" si="869"/>
        <v>324.65001522133321</v>
      </c>
      <c r="AV728" s="6">
        <f t="shared" si="870"/>
        <v>397.98358519378115</v>
      </c>
      <c r="AW728" s="58">
        <f t="shared" si="876"/>
        <v>2004</v>
      </c>
      <c r="AX728" s="58">
        <f>COUNTIF(AW$3:AW728,AW728)</f>
        <v>15</v>
      </c>
    </row>
    <row r="729" spans="1:50" x14ac:dyDescent="0.25">
      <c r="A729" s="5">
        <v>38242</v>
      </c>
      <c r="B729">
        <v>1123.92</v>
      </c>
      <c r="C729">
        <v>1.63</v>
      </c>
      <c r="D729" s="6">
        <v>13.76</v>
      </c>
      <c r="E729" s="18">
        <f t="shared" si="889"/>
        <v>14.13</v>
      </c>
      <c r="F729">
        <f t="shared" si="890"/>
        <v>1</v>
      </c>
      <c r="G729" s="18">
        <f>ROUND(INDEX(Valuation!U:U,MATCH(A729,Valuation!A:A,0)),2)</f>
        <v>198.77</v>
      </c>
      <c r="H729">
        <f t="shared" si="861"/>
        <v>2</v>
      </c>
      <c r="I729" s="18">
        <f>INDEX(WeeklyIndicators!Y:Y,MATCH(A729,WeeklyIndicators!A:A,0))</f>
        <v>133.34</v>
      </c>
      <c r="J729">
        <f t="shared" si="886"/>
        <v>0</v>
      </c>
      <c r="K729">
        <f>ROUND(INDEX(Economic!AF:AF,MATCH(EOMONTH($A729,-1),Economic!A:A,0)),2)</f>
        <v>122.76</v>
      </c>
      <c r="L729" s="11">
        <f t="shared" si="895"/>
        <v>1</v>
      </c>
      <c r="M729">
        <f>ROUND(INDEX(Manufacturing!P:P,MATCH(EOMONTH($A729,-1),Manufacturing!A:A,0)),2)</f>
        <v>94.65</v>
      </c>
      <c r="N729">
        <f t="shared" si="891"/>
        <v>1</v>
      </c>
      <c r="O729">
        <f>ROUND(INDEX(Housing!AC:AC,MATCH(EOMONTH($A729,-1),Housing!B:B,0)),2)</f>
        <v>142.36000000000001</v>
      </c>
      <c r="P729">
        <f t="shared" si="892"/>
        <v>3</v>
      </c>
      <c r="Q729">
        <f>ROUND(INDEX(Spending!AJ:AJ,MATCH(EOMONTH($A729,-1),Spending!B:B,0)),2)</f>
        <v>65.28</v>
      </c>
      <c r="R729">
        <f t="shared" si="896"/>
        <v>2</v>
      </c>
      <c r="S729">
        <f>ROUND(INDEX(Employment!V:V,MATCH(EOMONTH($A729,-1),Employment!A:A,0)),2)</f>
        <v>166.72</v>
      </c>
      <c r="T729" s="11">
        <f t="shared" si="893"/>
        <v>1</v>
      </c>
      <c r="U729">
        <f t="shared" si="885"/>
        <v>31</v>
      </c>
      <c r="V729">
        <f t="shared" si="877"/>
        <v>79.430000000000007</v>
      </c>
      <c r="W729" s="13">
        <f t="shared" si="878"/>
        <v>4.0000000000000001E-3</v>
      </c>
      <c r="X729" s="13">
        <f t="shared" si="879"/>
        <v>-6.3999999999999994E-3</v>
      </c>
      <c r="Y729">
        <f t="shared" si="871"/>
        <v>90.96</v>
      </c>
      <c r="Z729" s="13">
        <f t="shared" si="866"/>
        <v>1.06E-2</v>
      </c>
      <c r="AA729" s="13">
        <f t="shared" si="862"/>
        <v>1.0999999999999999E-2</v>
      </c>
      <c r="AB729" s="6">
        <f t="shared" si="872"/>
        <v>106.657</v>
      </c>
      <c r="AC729">
        <f t="shared" si="864"/>
        <v>53</v>
      </c>
      <c r="AD729" s="11">
        <f t="shared" si="865"/>
        <v>2</v>
      </c>
      <c r="AE729">
        <f t="shared" si="863"/>
        <v>35</v>
      </c>
      <c r="AF729">
        <f>IF(AND(AE729&lt;15,OR(AC729&gt;=30,AA729&gt;0.15,X729&gt;=0.15)),2,VLOOKUP(AE729,Table!P:Q,2,FALSE))</f>
        <v>5</v>
      </c>
      <c r="AG729" s="22">
        <f>IF((AB729*0.98)-(D729*0.8)+((AF729-3)*3)+VLOOKUP(AM729,Table!$A$11:$B$13,2,FALSE)&lt;0,0,(AB729*0.98)-(D729*0.8)+((AF729-3)*3)+VLOOKUP(AM729,Table!$A$11:$B$13,2,FALSE))</f>
        <v>107.51586</v>
      </c>
      <c r="AH729" s="22">
        <f t="shared" si="894"/>
        <v>100</v>
      </c>
      <c r="AI729" s="18">
        <f t="shared" si="887"/>
        <v>1.41</v>
      </c>
      <c r="AJ729" s="18">
        <f t="shared" si="888"/>
        <v>1.1100000000000001</v>
      </c>
      <c r="AK729" t="str">
        <f t="shared" si="873"/>
        <v>Rising Rates</v>
      </c>
      <c r="AL729">
        <f t="shared" si="884"/>
        <v>34.25</v>
      </c>
      <c r="AM729" s="11" t="str">
        <f t="shared" si="874"/>
        <v>Stocks</v>
      </c>
      <c r="AN729" t="str">
        <f t="shared" si="880"/>
        <v>Buy</v>
      </c>
      <c r="AO729" s="13">
        <f t="shared" si="881"/>
        <v>4.1000000000000003E-3</v>
      </c>
      <c r="AP729" s="13">
        <f t="shared" si="882"/>
        <v>2.9999999999999997E-4</v>
      </c>
      <c r="AQ729" s="13">
        <f t="shared" si="883"/>
        <v>4.1000000000000003E-3</v>
      </c>
      <c r="AR729" s="13">
        <f t="shared" si="875"/>
        <v>4.1000000000000003E-3</v>
      </c>
      <c r="AS729" s="6">
        <f t="shared" si="867"/>
        <v>280.00887878299557</v>
      </c>
      <c r="AT729" s="6">
        <f t="shared" si="868"/>
        <v>161.26708143642063</v>
      </c>
      <c r="AU729" s="6">
        <f t="shared" si="869"/>
        <v>323.32438524184164</v>
      </c>
      <c r="AV729" s="6">
        <f t="shared" si="870"/>
        <v>396.35851528112852</v>
      </c>
      <c r="AW729" s="58">
        <f t="shared" si="876"/>
        <v>2004</v>
      </c>
      <c r="AX729" s="58">
        <f>COUNTIF(AW$3:AW729,AW729)</f>
        <v>16</v>
      </c>
    </row>
    <row r="730" spans="1:50" x14ac:dyDescent="0.25">
      <c r="A730" s="5">
        <v>38235</v>
      </c>
      <c r="B730">
        <v>1113.6300000000001</v>
      </c>
      <c r="C730">
        <v>1.58</v>
      </c>
      <c r="D730" s="6">
        <v>13.91</v>
      </c>
      <c r="E730" s="18">
        <f t="shared" si="889"/>
        <v>14.87</v>
      </c>
      <c r="F730">
        <f t="shared" si="890"/>
        <v>1</v>
      </c>
      <c r="G730" s="18">
        <f>ROUND(INDEX(Valuation!U:U,MATCH(A730,Valuation!A:A,0)),2)</f>
        <v>196.79</v>
      </c>
      <c r="H730">
        <f t="shared" si="861"/>
        <v>2</v>
      </c>
      <c r="I730" s="18">
        <f>INDEX(WeeklyIndicators!Y:Y,MATCH(A730,WeeklyIndicators!A:A,0))</f>
        <v>127.24</v>
      </c>
      <c r="J730">
        <f t="shared" si="886"/>
        <v>0</v>
      </c>
      <c r="K730">
        <f>ROUND(INDEX(Economic!AF:AF,MATCH(EOMONTH($A730,-1),Economic!A:A,0)),2)</f>
        <v>122.76</v>
      </c>
      <c r="L730" s="11">
        <f t="shared" si="895"/>
        <v>1</v>
      </c>
      <c r="M730">
        <f>ROUND(INDEX(Manufacturing!P:P,MATCH(EOMONTH($A730,-1),Manufacturing!A:A,0)),2)</f>
        <v>94.65</v>
      </c>
      <c r="N730">
        <f t="shared" si="891"/>
        <v>1</v>
      </c>
      <c r="O730">
        <f>ROUND(INDEX(Housing!AC:AC,MATCH(EOMONTH($A730,-1),Housing!B:B,0)),2)</f>
        <v>142.36000000000001</v>
      </c>
      <c r="P730">
        <f t="shared" si="892"/>
        <v>3</v>
      </c>
      <c r="Q730">
        <f>ROUND(INDEX(Spending!AJ:AJ,MATCH(EOMONTH($A730,-1),Spending!B:B,0)),2)</f>
        <v>65.28</v>
      </c>
      <c r="R730">
        <f t="shared" si="896"/>
        <v>2</v>
      </c>
      <c r="S730">
        <f>ROUND(INDEX(Employment!V:V,MATCH(EOMONTH($A730,-1),Employment!A:A,0)),2)</f>
        <v>166.72</v>
      </c>
      <c r="T730" s="11">
        <f t="shared" si="893"/>
        <v>1</v>
      </c>
      <c r="U730">
        <f t="shared" si="885"/>
        <v>31</v>
      </c>
      <c r="V730">
        <f t="shared" si="877"/>
        <v>78.790000000000006</v>
      </c>
      <c r="W730" s="13">
        <f t="shared" si="878"/>
        <v>-2.9999999999999997E-4</v>
      </c>
      <c r="X730" s="13">
        <f t="shared" si="879"/>
        <v>-1.95E-2</v>
      </c>
      <c r="Y730">
        <f t="shared" si="871"/>
        <v>89.85</v>
      </c>
      <c r="Z730" s="13">
        <f t="shared" si="866"/>
        <v>5.5999999999999999E-3</v>
      </c>
      <c r="AA730" s="13">
        <f t="shared" si="862"/>
        <v>-7.6E-3</v>
      </c>
      <c r="AB730" s="6">
        <f t="shared" si="872"/>
        <v>103.949</v>
      </c>
      <c r="AC730">
        <f t="shared" si="864"/>
        <v>52</v>
      </c>
      <c r="AD730" s="11">
        <f t="shared" si="865"/>
        <v>2</v>
      </c>
      <c r="AE730">
        <f t="shared" si="863"/>
        <v>35</v>
      </c>
      <c r="AF730">
        <f>IF(AND(AE730&lt;15,OR(AC730&gt;=30,AA730&gt;0.15,X730&gt;=0.15)),2,VLOOKUP(AE730,Table!P:Q,2,FALSE))</f>
        <v>5</v>
      </c>
      <c r="AG730" s="22">
        <f>IF((AB730*0.98)-(D730*0.8)+((AF730-3)*3)+VLOOKUP(AM730,Table!$A$11:$B$13,2,FALSE)&lt;0,0,(AB730*0.98)-(D730*0.8)+((AF730-3)*3)+VLOOKUP(AM730,Table!$A$11:$B$13,2,FALSE))</f>
        <v>104.74202</v>
      </c>
      <c r="AH730" s="22">
        <f t="shared" si="894"/>
        <v>100</v>
      </c>
      <c r="AI730" s="18">
        <f t="shared" si="887"/>
        <v>1.38</v>
      </c>
      <c r="AJ730" s="18">
        <f t="shared" si="888"/>
        <v>1.0900000000000001</v>
      </c>
      <c r="AK730" t="str">
        <f t="shared" si="873"/>
        <v>Rising Rates</v>
      </c>
      <c r="AL730">
        <f t="shared" si="884"/>
        <v>34</v>
      </c>
      <c r="AM730" s="11" t="str">
        <f t="shared" si="874"/>
        <v>Stocks</v>
      </c>
      <c r="AN730" t="str">
        <f t="shared" si="880"/>
        <v>Buy</v>
      </c>
      <c r="AO730" s="13">
        <f t="shared" si="881"/>
        <v>9.1999999999999998E-3</v>
      </c>
      <c r="AP730" s="13">
        <f t="shared" si="882"/>
        <v>2.9999999999999997E-4</v>
      </c>
      <c r="AQ730" s="13">
        <f t="shared" si="883"/>
        <v>9.1999999999999998E-3</v>
      </c>
      <c r="AR730" s="13">
        <f t="shared" si="875"/>
        <v>9.1999999999999998E-3</v>
      </c>
      <c r="AS730" s="6">
        <f t="shared" si="867"/>
        <v>277.45628099781561</v>
      </c>
      <c r="AT730" s="6">
        <f t="shared" si="868"/>
        <v>161.21871582167412</v>
      </c>
      <c r="AU730" s="6">
        <f t="shared" si="869"/>
        <v>320.37691759992231</v>
      </c>
      <c r="AV730" s="6">
        <f t="shared" si="870"/>
        <v>392.7452588992553</v>
      </c>
      <c r="AW730" s="58">
        <f t="shared" si="876"/>
        <v>2004</v>
      </c>
      <c r="AX730" s="58">
        <f>COUNTIF(AW$3:AW730,AW730)</f>
        <v>17</v>
      </c>
    </row>
    <row r="731" spans="1:50" x14ac:dyDescent="0.25">
      <c r="A731" s="5">
        <v>38228</v>
      </c>
      <c r="B731">
        <v>1107.77</v>
      </c>
      <c r="C731">
        <v>1.52</v>
      </c>
      <c r="D731" s="6">
        <v>14.71</v>
      </c>
      <c r="E731" s="18">
        <f t="shared" si="889"/>
        <v>16.23</v>
      </c>
      <c r="F731">
        <f t="shared" si="890"/>
        <v>0</v>
      </c>
      <c r="G731" s="18">
        <f>ROUND(INDEX(Valuation!U:U,MATCH(A731,Valuation!A:A,0)),2)</f>
        <v>193.87</v>
      </c>
      <c r="H731">
        <f t="shared" si="861"/>
        <v>2</v>
      </c>
      <c r="I731" s="18">
        <f>INDEX(WeeklyIndicators!Y:Y,MATCH(A731,WeeklyIndicators!A:A,0))</f>
        <v>120.52</v>
      </c>
      <c r="J731">
        <f t="shared" si="886"/>
        <v>0</v>
      </c>
      <c r="K731">
        <f>ROUND(INDEX(Economic!AF:AF,MATCH(EOMONTH($A731,-1),Economic!A:A,0)),2)</f>
        <v>119.57</v>
      </c>
      <c r="L731" s="11">
        <f t="shared" si="895"/>
        <v>1</v>
      </c>
      <c r="M731">
        <f>ROUND(INDEX(Manufacturing!P:P,MATCH(EOMONTH($A731,-1),Manufacturing!A:A,0)),2)</f>
        <v>99.38</v>
      </c>
      <c r="N731">
        <f t="shared" si="891"/>
        <v>1</v>
      </c>
      <c r="O731">
        <f>ROUND(INDEX(Housing!AC:AC,MATCH(EOMONTH($A731,-1),Housing!B:B,0)),2)</f>
        <v>143.37</v>
      </c>
      <c r="P731">
        <f t="shared" si="892"/>
        <v>3</v>
      </c>
      <c r="Q731">
        <f>ROUND(INDEX(Spending!AJ:AJ,MATCH(EOMONTH($A731,-1),Spending!B:B,0)),2)</f>
        <v>66.819999999999993</v>
      </c>
      <c r="R731">
        <f t="shared" si="896"/>
        <v>2</v>
      </c>
      <c r="S731">
        <f>ROUND(INDEX(Employment!V:V,MATCH(EOMONTH($A731,-1),Employment!A:A,0)),2)</f>
        <v>168.44</v>
      </c>
      <c r="T731" s="11">
        <f t="shared" si="893"/>
        <v>1</v>
      </c>
      <c r="U731">
        <f t="shared" si="885"/>
        <v>30</v>
      </c>
      <c r="V731">
        <f t="shared" si="877"/>
        <v>78.66</v>
      </c>
      <c r="W731" s="13">
        <f t="shared" si="878"/>
        <v>-3.8999999999999998E-3</v>
      </c>
      <c r="X731" s="13">
        <f t="shared" si="879"/>
        <v>-2.4300000000000002E-2</v>
      </c>
      <c r="Y731">
        <f t="shared" si="871"/>
        <v>88.91</v>
      </c>
      <c r="Z731" s="13">
        <f t="shared" si="866"/>
        <v>0</v>
      </c>
      <c r="AA731" s="13">
        <f t="shared" si="862"/>
        <v>-2.01E-2</v>
      </c>
      <c r="AB731" s="6">
        <f t="shared" si="872"/>
        <v>101.827</v>
      </c>
      <c r="AC731">
        <f t="shared" si="864"/>
        <v>51</v>
      </c>
      <c r="AD731" s="11">
        <f t="shared" si="865"/>
        <v>2</v>
      </c>
      <c r="AE731">
        <f t="shared" si="863"/>
        <v>34</v>
      </c>
      <c r="AF731">
        <f>IF(AND(AE731&lt;15,OR(AC731&gt;=30,AA731&gt;0.15,X731&gt;=0.15)),2,VLOOKUP(AE731,Table!P:Q,2,FALSE))</f>
        <v>5</v>
      </c>
      <c r="AG731" s="22">
        <f>IF((AB731*0.98)-(D731*0.8)+((AF731-3)*3)+VLOOKUP(AM731,Table!$A$11:$B$13,2,FALSE)&lt;0,0,(AB731*0.98)-(D731*0.8)+((AF731-3)*3)+VLOOKUP(AM731,Table!$A$11:$B$13,2,FALSE))</f>
        <v>102.02246</v>
      </c>
      <c r="AH731" s="22">
        <f t="shared" si="894"/>
        <v>100</v>
      </c>
      <c r="AI731" s="18">
        <f t="shared" si="887"/>
        <v>1.35</v>
      </c>
      <c r="AJ731" s="18">
        <f t="shared" si="888"/>
        <v>1.07</v>
      </c>
      <c r="AK731" t="str">
        <f t="shared" si="873"/>
        <v>Rising Rates</v>
      </c>
      <c r="AL731">
        <f t="shared" si="884"/>
        <v>33.75</v>
      </c>
      <c r="AM731" s="11" t="str">
        <f t="shared" si="874"/>
        <v>Stocks</v>
      </c>
      <c r="AN731" t="str">
        <f t="shared" si="880"/>
        <v>Buy</v>
      </c>
      <c r="AO731" s="13">
        <f t="shared" si="881"/>
        <v>5.3E-3</v>
      </c>
      <c r="AP731" s="13">
        <f t="shared" si="882"/>
        <v>2.9999999999999997E-4</v>
      </c>
      <c r="AQ731" s="13">
        <f t="shared" si="883"/>
        <v>5.3E-3</v>
      </c>
      <c r="AR731" s="13">
        <f t="shared" si="875"/>
        <v>5.3E-3</v>
      </c>
      <c r="AS731" s="6">
        <f t="shared" si="867"/>
        <v>275.9935153663738</v>
      </c>
      <c r="AT731" s="6">
        <f t="shared" si="868"/>
        <v>161.17036471226047</v>
      </c>
      <c r="AU731" s="6">
        <f t="shared" si="869"/>
        <v>318.68787187896379</v>
      </c>
      <c r="AV731" s="6">
        <f t="shared" si="870"/>
        <v>390.67468307893688</v>
      </c>
      <c r="AW731" s="58">
        <f t="shared" si="876"/>
        <v>2004</v>
      </c>
      <c r="AX731" s="58">
        <f>COUNTIF(AW$3:AW731,AW731)</f>
        <v>18</v>
      </c>
    </row>
    <row r="732" spans="1:50" x14ac:dyDescent="0.25">
      <c r="A732" s="5">
        <v>38221</v>
      </c>
      <c r="B732">
        <v>1098.3499999999999</v>
      </c>
      <c r="C732">
        <v>1.46</v>
      </c>
      <c r="D732" s="6">
        <v>16</v>
      </c>
      <c r="E732" s="18">
        <f t="shared" si="889"/>
        <v>17.77</v>
      </c>
      <c r="F732">
        <f t="shared" si="890"/>
        <v>0</v>
      </c>
      <c r="G732" s="18">
        <f>ROUND(INDEX(Valuation!U:U,MATCH(A732,Valuation!A:A,0)),2)</f>
        <v>193.12</v>
      </c>
      <c r="H732">
        <f t="shared" ref="H732:H795" si="897">IF(G732&gt;200,3,IF(AND(G732&gt;160,G732&lt;=200),2,IF(AND(G732&gt;120,G732&lt;=160),1,IF(G732&lt;25,-3,IF(AND(G732&lt;50,G732&gt;=25),-2,IF(AND(G732&lt;90,G732&gt;=50),-1,0))))))</f>
        <v>2</v>
      </c>
      <c r="I732" s="18">
        <f>INDEX(WeeklyIndicators!Y:Y,MATCH(A732,WeeklyIndicators!A:A,0))</f>
        <v>118.9</v>
      </c>
      <c r="J732">
        <f t="shared" si="886"/>
        <v>-1</v>
      </c>
      <c r="K732">
        <f>ROUND(INDEX(Economic!AF:AF,MATCH(EOMONTH($A732,-1),Economic!A:A,0)),2)</f>
        <v>119.57</v>
      </c>
      <c r="L732" s="11">
        <f t="shared" si="895"/>
        <v>1</v>
      </c>
      <c r="M732">
        <f>ROUND(INDEX(Manufacturing!P:P,MATCH(EOMONTH($A732,-1),Manufacturing!A:A,0)),2)</f>
        <v>99.38</v>
      </c>
      <c r="N732">
        <f t="shared" si="891"/>
        <v>1</v>
      </c>
      <c r="O732">
        <f>ROUND(INDEX(Housing!AC:AC,MATCH(EOMONTH($A732,-1),Housing!B:B,0)),2)</f>
        <v>143.37</v>
      </c>
      <c r="P732">
        <f t="shared" si="892"/>
        <v>3</v>
      </c>
      <c r="Q732">
        <f>ROUND(INDEX(Spending!AJ:AJ,MATCH(EOMONTH($A732,-1),Spending!B:B,0)),2)</f>
        <v>66.819999999999993</v>
      </c>
      <c r="R732">
        <f t="shared" si="896"/>
        <v>2</v>
      </c>
      <c r="S732">
        <f>ROUND(INDEX(Employment!V:V,MATCH(EOMONTH($A732,-1),Employment!A:A,0)),2)</f>
        <v>168.44</v>
      </c>
      <c r="T732" s="11">
        <f t="shared" si="893"/>
        <v>1</v>
      </c>
      <c r="U732">
        <f t="shared" si="885"/>
        <v>29</v>
      </c>
      <c r="V732">
        <f t="shared" si="877"/>
        <v>78.489999999999995</v>
      </c>
      <c r="W732" s="13">
        <f t="shared" si="878"/>
        <v>-6.1999999999999998E-3</v>
      </c>
      <c r="X732" s="13">
        <f t="shared" si="879"/>
        <v>-2.3300000000000001E-2</v>
      </c>
      <c r="Y732">
        <f t="shared" si="871"/>
        <v>88.12</v>
      </c>
      <c r="Z732" s="13">
        <f t="shared" si="866"/>
        <v>-5.1999999999999998E-3</v>
      </c>
      <c r="AA732" s="13">
        <f t="shared" si="862"/>
        <v>-2.4500000000000001E-2</v>
      </c>
      <c r="AB732" s="6">
        <f t="shared" si="872"/>
        <v>100.672</v>
      </c>
      <c r="AC732">
        <f t="shared" si="864"/>
        <v>50</v>
      </c>
      <c r="AD732" s="11">
        <f t="shared" si="865"/>
        <v>2</v>
      </c>
      <c r="AE732">
        <f t="shared" si="863"/>
        <v>33</v>
      </c>
      <c r="AF732">
        <f>IF(AND(AE732&lt;15,OR(AC732&gt;=30,AA732&gt;0.15,X732&gt;=0.15)),2,VLOOKUP(AE732,Table!P:Q,2,FALSE))</f>
        <v>5</v>
      </c>
      <c r="AG732" s="22">
        <f>IF((AB732*0.98)-(D732*0.8)+((AF732-3)*3)+VLOOKUP(AM732,Table!$A$11:$B$13,2,FALSE)&lt;0,0,(AB732*0.98)-(D732*0.8)+((AF732-3)*3)+VLOOKUP(AM732,Table!$A$11:$B$13,2,FALSE))</f>
        <v>99.858559999999997</v>
      </c>
      <c r="AH732" s="22">
        <f t="shared" si="894"/>
        <v>99</v>
      </c>
      <c r="AI732" s="18">
        <f t="shared" si="887"/>
        <v>1.31</v>
      </c>
      <c r="AJ732" s="18">
        <f t="shared" si="888"/>
        <v>1.06</v>
      </c>
      <c r="AK732" t="str">
        <f t="shared" si="873"/>
        <v>Rising Rates</v>
      </c>
      <c r="AL732">
        <f t="shared" si="884"/>
        <v>34</v>
      </c>
      <c r="AM732" s="11" t="str">
        <f t="shared" si="874"/>
        <v>Stocks</v>
      </c>
      <c r="AN732" t="str">
        <f t="shared" si="880"/>
        <v>Buy</v>
      </c>
      <c r="AO732" s="13">
        <f t="shared" si="881"/>
        <v>8.6E-3</v>
      </c>
      <c r="AP732" s="13">
        <f t="shared" si="882"/>
        <v>2.9999999999999997E-4</v>
      </c>
      <c r="AQ732" s="13">
        <f t="shared" si="883"/>
        <v>8.5000000000000006E-3</v>
      </c>
      <c r="AR732" s="13">
        <f t="shared" si="875"/>
        <v>8.6E-3</v>
      </c>
      <c r="AS732" s="6">
        <f t="shared" si="867"/>
        <v>273.64020956412236</v>
      </c>
      <c r="AT732" s="6">
        <f t="shared" si="868"/>
        <v>161.12202810382931</v>
      </c>
      <c r="AU732" s="6">
        <f t="shared" si="869"/>
        <v>316.00185610209599</v>
      </c>
      <c r="AV732" s="6">
        <f t="shared" si="870"/>
        <v>387.34352873184304</v>
      </c>
      <c r="AW732" s="58">
        <f t="shared" si="876"/>
        <v>2004</v>
      </c>
      <c r="AX732" s="58">
        <f>COUNTIF(AW$3:AW732,AW732)</f>
        <v>19</v>
      </c>
    </row>
    <row r="733" spans="1:50" x14ac:dyDescent="0.25">
      <c r="A733" s="5">
        <v>38214</v>
      </c>
      <c r="B733">
        <v>1064.8</v>
      </c>
      <c r="C733">
        <v>1.44</v>
      </c>
      <c r="D733" s="6">
        <v>17.98</v>
      </c>
      <c r="E733" s="18">
        <f t="shared" si="889"/>
        <v>17.55</v>
      </c>
      <c r="F733">
        <f t="shared" si="890"/>
        <v>0</v>
      </c>
      <c r="G733" s="18">
        <f>ROUND(INDEX(Valuation!U:U,MATCH(A733,Valuation!A:A,0)),2)</f>
        <v>191.2</v>
      </c>
      <c r="H733">
        <f t="shared" si="897"/>
        <v>2</v>
      </c>
      <c r="I733" s="18">
        <f>INDEX(WeeklyIndicators!Y:Y,MATCH(A733,WeeklyIndicators!A:A,0))</f>
        <v>122.58</v>
      </c>
      <c r="J733">
        <f t="shared" si="886"/>
        <v>0</v>
      </c>
      <c r="K733">
        <f>ROUND(INDEX(Economic!AF:AF,MATCH(EOMONTH($A733,-1),Economic!A:A,0)),2)</f>
        <v>119.57</v>
      </c>
      <c r="L733" s="11">
        <f t="shared" si="895"/>
        <v>1</v>
      </c>
      <c r="M733">
        <f>ROUND(INDEX(Manufacturing!P:P,MATCH(EOMONTH($A733,-1),Manufacturing!A:A,0)),2)</f>
        <v>99.38</v>
      </c>
      <c r="N733">
        <f t="shared" si="891"/>
        <v>1</v>
      </c>
      <c r="O733">
        <f>ROUND(INDEX(Housing!AC:AC,MATCH(EOMONTH($A733,-1),Housing!B:B,0)),2)</f>
        <v>143.37</v>
      </c>
      <c r="P733">
        <f t="shared" si="892"/>
        <v>3</v>
      </c>
      <c r="Q733">
        <f>ROUND(INDEX(Spending!AJ:AJ,MATCH(EOMONTH($A733,-1),Spending!B:B,0)),2)</f>
        <v>66.819999999999993</v>
      </c>
      <c r="R733">
        <f t="shared" si="896"/>
        <v>2</v>
      </c>
      <c r="S733">
        <f>ROUND(INDEX(Employment!V:V,MATCH(EOMONTH($A733,-1),Employment!A:A,0)),2)</f>
        <v>168.44</v>
      </c>
      <c r="T733" s="11">
        <f t="shared" si="893"/>
        <v>1</v>
      </c>
      <c r="U733">
        <f t="shared" si="885"/>
        <v>30</v>
      </c>
      <c r="V733">
        <f t="shared" si="877"/>
        <v>78.87</v>
      </c>
      <c r="W733" s="13">
        <f t="shared" si="878"/>
        <v>-9.1000000000000004E-3</v>
      </c>
      <c r="X733" s="13">
        <f t="shared" si="879"/>
        <v>-1.5900000000000001E-2</v>
      </c>
      <c r="Y733">
        <f t="shared" si="871"/>
        <v>88.37</v>
      </c>
      <c r="Z733" s="13">
        <f t="shared" si="866"/>
        <v>-8.0000000000000002E-3</v>
      </c>
      <c r="AA733" s="13">
        <f t="shared" si="862"/>
        <v>-2.0500000000000001E-2</v>
      </c>
      <c r="AB733" s="6">
        <f t="shared" si="872"/>
        <v>101.09</v>
      </c>
      <c r="AC733">
        <f t="shared" si="864"/>
        <v>51</v>
      </c>
      <c r="AD733" s="11">
        <f t="shared" si="865"/>
        <v>2</v>
      </c>
      <c r="AE733">
        <f t="shared" si="863"/>
        <v>34</v>
      </c>
      <c r="AF733">
        <f>IF(AND(AE733&lt;15,OR(AC733&gt;=30,AA733&gt;0.15,X733&gt;=0.15)),2,VLOOKUP(AE733,Table!P:Q,2,FALSE))</f>
        <v>5</v>
      </c>
      <c r="AG733" s="22">
        <f>IF((AB733*0.98)-(D733*0.8)+((AF733-3)*3)+VLOOKUP(AM733,Table!$A$11:$B$13,2,FALSE)&lt;0,0,(AB733*0.98)-(D733*0.8)+((AF733-3)*3)+VLOOKUP(AM733,Table!$A$11:$B$13,2,FALSE))</f>
        <v>98.684200000000004</v>
      </c>
      <c r="AH733" s="22">
        <f t="shared" si="894"/>
        <v>100</v>
      </c>
      <c r="AI733" s="18">
        <f t="shared" si="887"/>
        <v>1.28</v>
      </c>
      <c r="AJ733" s="18">
        <f t="shared" si="888"/>
        <v>1.04</v>
      </c>
      <c r="AK733" t="str">
        <f t="shared" si="873"/>
        <v>Rising Rates</v>
      </c>
      <c r="AL733">
        <f t="shared" si="884"/>
        <v>34.75</v>
      </c>
      <c r="AM733" s="11" t="str">
        <f t="shared" si="874"/>
        <v>Stocks</v>
      </c>
      <c r="AN733" t="str">
        <f t="shared" si="880"/>
        <v>Buy</v>
      </c>
      <c r="AO733" s="13">
        <f t="shared" si="881"/>
        <v>3.15E-2</v>
      </c>
      <c r="AP733" s="13">
        <f t="shared" si="882"/>
        <v>2.9999999999999997E-4</v>
      </c>
      <c r="AQ733" s="13">
        <f t="shared" si="883"/>
        <v>3.15E-2</v>
      </c>
      <c r="AR733" s="13">
        <f t="shared" si="875"/>
        <v>3.15E-2</v>
      </c>
      <c r="AS733" s="6">
        <f t="shared" si="867"/>
        <v>265.28377078441332</v>
      </c>
      <c r="AT733" s="6">
        <f t="shared" si="868"/>
        <v>161.07370599203171</v>
      </c>
      <c r="AU733" s="6">
        <f t="shared" si="869"/>
        <v>306.35177518380607</v>
      </c>
      <c r="AV733" s="6">
        <f t="shared" si="870"/>
        <v>375.51481214914492</v>
      </c>
      <c r="AW733" s="58">
        <f t="shared" si="876"/>
        <v>2004</v>
      </c>
      <c r="AX733" s="58">
        <f>COUNTIF(AW$3:AW733,AW733)</f>
        <v>20</v>
      </c>
    </row>
    <row r="734" spans="1:50" x14ac:dyDescent="0.25">
      <c r="A734" s="5">
        <v>38207</v>
      </c>
      <c r="B734">
        <v>1063.97</v>
      </c>
      <c r="C734">
        <v>1.45</v>
      </c>
      <c r="D734" s="6">
        <v>19.34</v>
      </c>
      <c r="E734" s="18">
        <f t="shared" si="889"/>
        <v>17.05</v>
      </c>
      <c r="F734">
        <f t="shared" si="890"/>
        <v>0</v>
      </c>
      <c r="G734" s="18">
        <f>ROUND(INDEX(Valuation!U:U,MATCH(A734,Valuation!A:A,0)),2)</f>
        <v>188.07</v>
      </c>
      <c r="H734">
        <f t="shared" si="897"/>
        <v>2</v>
      </c>
      <c r="I734" s="18">
        <f>INDEX(WeeklyIndicators!Y:Y,MATCH(A734,WeeklyIndicators!A:A,0))</f>
        <v>129.38</v>
      </c>
      <c r="J734">
        <f t="shared" si="886"/>
        <v>0</v>
      </c>
      <c r="K734">
        <f>ROUND(INDEX(Economic!AF:AF,MATCH(EOMONTH($A734,-1),Economic!A:A,0)),2)</f>
        <v>119.57</v>
      </c>
      <c r="L734" s="11">
        <f t="shared" si="895"/>
        <v>1</v>
      </c>
      <c r="M734">
        <f>ROUND(INDEX(Manufacturing!P:P,MATCH(EOMONTH($A734,-1),Manufacturing!A:A,0)),2)</f>
        <v>99.38</v>
      </c>
      <c r="N734">
        <f t="shared" si="891"/>
        <v>1</v>
      </c>
      <c r="O734">
        <f>ROUND(INDEX(Housing!AC:AC,MATCH(EOMONTH($A734,-1),Housing!B:B,0)),2)</f>
        <v>143.37</v>
      </c>
      <c r="P734">
        <f t="shared" si="892"/>
        <v>3</v>
      </c>
      <c r="Q734">
        <f>ROUND(INDEX(Spending!AJ:AJ,MATCH(EOMONTH($A734,-1),Spending!B:B,0)),2)</f>
        <v>66.819999999999993</v>
      </c>
      <c r="R734">
        <f t="shared" si="896"/>
        <v>2</v>
      </c>
      <c r="S734">
        <f>ROUND(INDEX(Employment!V:V,MATCH(EOMONTH($A734,-1),Employment!A:A,0)),2)</f>
        <v>168.44</v>
      </c>
      <c r="T734" s="11">
        <f t="shared" si="893"/>
        <v>1</v>
      </c>
      <c r="U734">
        <f t="shared" si="885"/>
        <v>30</v>
      </c>
      <c r="V734">
        <f t="shared" si="877"/>
        <v>79.58</v>
      </c>
      <c r="W734" s="13">
        <f t="shared" si="878"/>
        <v>-5.1000000000000004E-3</v>
      </c>
      <c r="X734" s="13">
        <f t="shared" si="879"/>
        <v>-7.4000000000000003E-3</v>
      </c>
      <c r="Y734">
        <f t="shared" si="871"/>
        <v>88.9</v>
      </c>
      <c r="Z734" s="13">
        <f t="shared" si="866"/>
        <v>-6.8999999999999999E-3</v>
      </c>
      <c r="AA734" s="13">
        <f t="shared" si="862"/>
        <v>-1.3300000000000001E-2</v>
      </c>
      <c r="AB734" s="6">
        <f t="shared" si="872"/>
        <v>101.89700000000001</v>
      </c>
      <c r="AC734">
        <f t="shared" si="864"/>
        <v>51</v>
      </c>
      <c r="AD734" s="11">
        <f t="shared" si="865"/>
        <v>2</v>
      </c>
      <c r="AE734">
        <f t="shared" si="863"/>
        <v>34</v>
      </c>
      <c r="AF734">
        <f>IF(AND(AE734&lt;15,OR(AC734&gt;=30,AA734&gt;0.15,X734&gt;=0.15)),2,VLOOKUP(AE734,Table!P:Q,2,FALSE))</f>
        <v>5</v>
      </c>
      <c r="AG734" s="22">
        <f>IF((AB734*0.98)-(D734*0.8)+((AF734-3)*3)+VLOOKUP(AM734,Table!$A$11:$B$13,2,FALSE)&lt;0,0,(AB734*0.98)-(D734*0.8)+((AF734-3)*3)+VLOOKUP(AM734,Table!$A$11:$B$13,2,FALSE))</f>
        <v>98.387059999999991</v>
      </c>
      <c r="AH734" s="22">
        <f t="shared" si="894"/>
        <v>100</v>
      </c>
      <c r="AI734" s="18">
        <f t="shared" si="887"/>
        <v>1.25</v>
      </c>
      <c r="AJ734" s="18">
        <f t="shared" si="888"/>
        <v>1.03</v>
      </c>
      <c r="AK734" t="str">
        <f t="shared" si="873"/>
        <v>Rising Rates</v>
      </c>
      <c r="AL734">
        <f t="shared" si="884"/>
        <v>35.25</v>
      </c>
      <c r="AM734" s="11" t="str">
        <f t="shared" si="874"/>
        <v>Stocks</v>
      </c>
      <c r="AN734" t="str">
        <f t="shared" si="880"/>
        <v>Buy</v>
      </c>
      <c r="AO734" s="13">
        <f t="shared" si="881"/>
        <v>8.0000000000000004E-4</v>
      </c>
      <c r="AP734" s="13">
        <f t="shared" si="882"/>
        <v>2.9999999999999997E-4</v>
      </c>
      <c r="AQ734" s="13">
        <f t="shared" si="883"/>
        <v>8.0000000000000004E-4</v>
      </c>
      <c r="AR734" s="13">
        <f t="shared" si="875"/>
        <v>8.0000000000000004E-4</v>
      </c>
      <c r="AS734" s="6">
        <f t="shared" si="867"/>
        <v>265.0717134136824</v>
      </c>
      <c r="AT734" s="6">
        <f t="shared" si="868"/>
        <v>161.02539837251996</v>
      </c>
      <c r="AU734" s="6">
        <f t="shared" si="869"/>
        <v>306.10688967206846</v>
      </c>
      <c r="AV734" s="6">
        <f t="shared" si="870"/>
        <v>375.21464043679549</v>
      </c>
      <c r="AW734" s="58">
        <f t="shared" si="876"/>
        <v>2004</v>
      </c>
      <c r="AX734" s="58">
        <f>COUNTIF(AW$3:AW734,AW734)</f>
        <v>21</v>
      </c>
    </row>
    <row r="735" spans="1:50" x14ac:dyDescent="0.25">
      <c r="A735" s="5">
        <v>38200</v>
      </c>
      <c r="B735">
        <v>1101.72</v>
      </c>
      <c r="C735">
        <v>1.43</v>
      </c>
      <c r="D735" s="6">
        <v>15.32</v>
      </c>
      <c r="E735" s="18">
        <f t="shared" si="889"/>
        <v>15.39</v>
      </c>
      <c r="F735">
        <f t="shared" si="890"/>
        <v>1</v>
      </c>
      <c r="G735" s="18">
        <f>ROUND(INDEX(Valuation!U:U,MATCH(A735,Valuation!A:A,0)),2)</f>
        <v>184.98</v>
      </c>
      <c r="H735">
        <f t="shared" si="897"/>
        <v>2</v>
      </c>
      <c r="I735" s="18">
        <f>INDEX(WeeklyIndicators!Y:Y,MATCH(A735,WeeklyIndicators!A:A,0))</f>
        <v>133.1</v>
      </c>
      <c r="J735">
        <f t="shared" si="886"/>
        <v>0</v>
      </c>
      <c r="K735">
        <f>ROUND(INDEX(Economic!AF:AF,MATCH(EOMONTH($A735,-1),Economic!A:A,0)),2)</f>
        <v>119.57</v>
      </c>
      <c r="L735" s="11">
        <f t="shared" si="895"/>
        <v>1</v>
      </c>
      <c r="M735">
        <f>ROUND(INDEX(Manufacturing!P:P,MATCH(EOMONTH($A735,-1),Manufacturing!A:A,0)),2)</f>
        <v>99.38</v>
      </c>
      <c r="N735">
        <f t="shared" si="891"/>
        <v>1</v>
      </c>
      <c r="O735">
        <f>ROUND(INDEX(Housing!AC:AC,MATCH(EOMONTH($A735,-1),Housing!B:B,0)),2)</f>
        <v>143.37</v>
      </c>
      <c r="P735">
        <f t="shared" si="892"/>
        <v>3</v>
      </c>
      <c r="Q735">
        <f>ROUND(INDEX(Spending!AJ:AJ,MATCH(EOMONTH($A735,-1),Spending!B:B,0)),2)</f>
        <v>66.819999999999993</v>
      </c>
      <c r="R735">
        <f t="shared" si="896"/>
        <v>2</v>
      </c>
      <c r="S735">
        <f>ROUND(INDEX(Employment!V:V,MATCH(EOMONTH($A735,-1),Employment!A:A,0)),2)</f>
        <v>168.44</v>
      </c>
      <c r="T735" s="11">
        <f t="shared" si="893"/>
        <v>1</v>
      </c>
      <c r="U735">
        <f t="shared" si="885"/>
        <v>31</v>
      </c>
      <c r="V735">
        <f t="shared" si="877"/>
        <v>79.959999999999994</v>
      </c>
      <c r="W735" s="13">
        <f t="shared" si="878"/>
        <v>-2.8999999999999998E-3</v>
      </c>
      <c r="X735" s="13">
        <f t="shared" si="879"/>
        <v>-4.5999999999999999E-3</v>
      </c>
      <c r="Y735">
        <f t="shared" si="871"/>
        <v>89.52</v>
      </c>
      <c r="Z735" s="13">
        <f t="shared" si="866"/>
        <v>-4.4000000000000003E-3</v>
      </c>
      <c r="AA735" s="13">
        <f t="shared" si="862"/>
        <v>-8.2000000000000007E-3</v>
      </c>
      <c r="AB735" s="6">
        <f t="shared" si="872"/>
        <v>102.58800000000001</v>
      </c>
      <c r="AC735">
        <f t="shared" si="864"/>
        <v>51</v>
      </c>
      <c r="AD735" s="11">
        <f t="shared" si="865"/>
        <v>2</v>
      </c>
      <c r="AE735">
        <f t="shared" si="863"/>
        <v>35</v>
      </c>
      <c r="AF735">
        <f>IF(AND(AE735&lt;15,OR(AC735&gt;=30,AA735&gt;0.15,X735&gt;=0.15)),2,VLOOKUP(AE735,Table!P:Q,2,FALSE))</f>
        <v>5</v>
      </c>
      <c r="AG735" s="22">
        <f>IF((AB735*0.98)-(D735*0.8)+((AF735-3)*3)+VLOOKUP(AM735,Table!$A$11:$B$13,2,FALSE)&lt;0,0,(AB735*0.98)-(D735*0.8)+((AF735-3)*3)+VLOOKUP(AM735,Table!$A$11:$B$13,2,FALSE))</f>
        <v>102.28024000000001</v>
      </c>
      <c r="AH735" s="22">
        <f t="shared" si="894"/>
        <v>100</v>
      </c>
      <c r="AI735" s="18">
        <f t="shared" si="887"/>
        <v>1.21</v>
      </c>
      <c r="AJ735" s="18">
        <f t="shared" si="888"/>
        <v>1.02</v>
      </c>
      <c r="AK735" t="str">
        <f t="shared" si="873"/>
        <v>Rising Rates</v>
      </c>
      <c r="AL735">
        <f t="shared" si="884"/>
        <v>35.75</v>
      </c>
      <c r="AM735" s="11" t="str">
        <f t="shared" si="874"/>
        <v>Stocks</v>
      </c>
      <c r="AN735" t="str">
        <f t="shared" si="880"/>
        <v>Buy</v>
      </c>
      <c r="AO735" s="13">
        <f t="shared" si="881"/>
        <v>-3.4299999999999997E-2</v>
      </c>
      <c r="AP735" s="13">
        <f t="shared" si="882"/>
        <v>2.9999999999999997E-4</v>
      </c>
      <c r="AQ735" s="13">
        <f t="shared" si="883"/>
        <v>-3.4299999999999997E-2</v>
      </c>
      <c r="AR735" s="13">
        <f t="shared" si="875"/>
        <v>-3.4299999999999997E-2</v>
      </c>
      <c r="AS735" s="6">
        <f t="shared" si="867"/>
        <v>274.48660392842748</v>
      </c>
      <c r="AT735" s="6">
        <f t="shared" si="868"/>
        <v>160.97710524094768</v>
      </c>
      <c r="AU735" s="6">
        <f t="shared" si="869"/>
        <v>316.97927893970018</v>
      </c>
      <c r="AV735" s="6">
        <f t="shared" si="870"/>
        <v>388.54161793185824</v>
      </c>
      <c r="AW735" s="58">
        <f t="shared" si="876"/>
        <v>2004</v>
      </c>
      <c r="AX735" s="58">
        <f>COUNTIF(AW$3:AW735,AW735)</f>
        <v>22</v>
      </c>
    </row>
    <row r="736" spans="1:50" x14ac:dyDescent="0.25">
      <c r="A736" s="5">
        <v>38193</v>
      </c>
      <c r="B736">
        <v>1086.2</v>
      </c>
      <c r="C736">
        <v>1.34</v>
      </c>
      <c r="D736" s="6">
        <v>16.5</v>
      </c>
      <c r="E736" s="18">
        <f t="shared" si="889"/>
        <v>15.54</v>
      </c>
      <c r="F736">
        <f t="shared" si="890"/>
        <v>1</v>
      </c>
      <c r="G736" s="18">
        <f>ROUND(INDEX(Valuation!U:U,MATCH(A736,Valuation!A:A,0)),2)</f>
        <v>184.61</v>
      </c>
      <c r="H736">
        <f t="shared" si="897"/>
        <v>2</v>
      </c>
      <c r="I736" s="18">
        <f>INDEX(WeeklyIndicators!Y:Y,MATCH(A736,WeeklyIndicators!A:A,0))</f>
        <v>132.41</v>
      </c>
      <c r="J736">
        <f t="shared" si="886"/>
        <v>0</v>
      </c>
      <c r="K736">
        <f>ROUND(INDEX(Economic!AF:AF,MATCH(EOMONTH($A736,-1),Economic!A:A,0)),2)</f>
        <v>120.64</v>
      </c>
      <c r="L736" s="11">
        <f t="shared" si="895"/>
        <v>1</v>
      </c>
      <c r="M736">
        <f>ROUND(INDEX(Manufacturing!P:P,MATCH(EOMONTH($A736,-1),Manufacturing!A:A,0)),2)</f>
        <v>101.35</v>
      </c>
      <c r="N736">
        <f t="shared" si="891"/>
        <v>2</v>
      </c>
      <c r="O736">
        <f>ROUND(INDEX(Housing!AC:AC,MATCH(EOMONTH($A736,-1),Housing!B:B,0)),2)</f>
        <v>147.26</v>
      </c>
      <c r="P736">
        <f t="shared" si="892"/>
        <v>3</v>
      </c>
      <c r="Q736">
        <f>ROUND(INDEX(Spending!AJ:AJ,MATCH(EOMONTH($A736,-1),Spending!B:B,0)),2)</f>
        <v>68.290000000000006</v>
      </c>
      <c r="R736">
        <f t="shared" si="896"/>
        <v>2</v>
      </c>
      <c r="S736">
        <f>ROUND(INDEX(Employment!V:V,MATCH(EOMONTH($A736,-1),Employment!A:A,0)),2)</f>
        <v>172.43</v>
      </c>
      <c r="T736" s="11">
        <f t="shared" si="893"/>
        <v>1</v>
      </c>
      <c r="U736">
        <f t="shared" si="885"/>
        <v>32</v>
      </c>
      <c r="V736">
        <f t="shared" si="877"/>
        <v>81.05</v>
      </c>
      <c r="W736" s="13">
        <f t="shared" si="878"/>
        <v>1.1999999999999999E-3</v>
      </c>
      <c r="X736" s="13">
        <f t="shared" si="879"/>
        <v>-4.4000000000000003E-3</v>
      </c>
      <c r="Y736">
        <f t="shared" si="871"/>
        <v>90.51</v>
      </c>
      <c r="Z736" s="13">
        <f t="shared" si="866"/>
        <v>-1.1999999999999999E-3</v>
      </c>
      <c r="AA736" s="13">
        <f t="shared" si="862"/>
        <v>-6.0000000000000001E-3</v>
      </c>
      <c r="AB736" s="6">
        <f t="shared" si="872"/>
        <v>103.73099999999999</v>
      </c>
      <c r="AC736">
        <f t="shared" si="864"/>
        <v>52</v>
      </c>
      <c r="AD736" s="11">
        <f t="shared" si="865"/>
        <v>2</v>
      </c>
      <c r="AE736">
        <f t="shared" si="863"/>
        <v>36</v>
      </c>
      <c r="AF736">
        <f>IF(AND(AE736&lt;15,OR(AC736&gt;=30,AA736&gt;0.15,X736&gt;=0.15)),2,VLOOKUP(AE736,Table!P:Q,2,FALSE))</f>
        <v>5</v>
      </c>
      <c r="AG736" s="22">
        <f>IF((AB736*0.98)-(D736*0.8)+((AF736-3)*3)+VLOOKUP(AM736,Table!$A$11:$B$13,2,FALSE)&lt;0,0,(AB736*0.98)-(D736*0.8)+((AF736-3)*3)+VLOOKUP(AM736,Table!$A$11:$B$13,2,FALSE))</f>
        <v>102.45638</v>
      </c>
      <c r="AH736" s="22">
        <f t="shared" si="894"/>
        <v>100</v>
      </c>
      <c r="AI736" s="18">
        <f t="shared" si="887"/>
        <v>1.18</v>
      </c>
      <c r="AJ736" s="18">
        <f t="shared" si="888"/>
        <v>1</v>
      </c>
      <c r="AK736" t="str">
        <f t="shared" si="873"/>
        <v>Rising Rates</v>
      </c>
      <c r="AL736">
        <f t="shared" si="884"/>
        <v>36</v>
      </c>
      <c r="AM736" s="11" t="str">
        <f t="shared" si="874"/>
        <v>Stocks</v>
      </c>
      <c r="AN736" t="str">
        <f t="shared" si="880"/>
        <v>Buy</v>
      </c>
      <c r="AO736" s="13">
        <f t="shared" si="881"/>
        <v>1.43E-2</v>
      </c>
      <c r="AP736" s="13">
        <f t="shared" si="882"/>
        <v>2.9999999999999997E-4</v>
      </c>
      <c r="AQ736" s="13">
        <f t="shared" si="883"/>
        <v>1.43E-2</v>
      </c>
      <c r="AR736" s="13">
        <f t="shared" si="875"/>
        <v>1.43E-2</v>
      </c>
      <c r="AS736" s="6">
        <f t="shared" si="867"/>
        <v>270.61678391839445</v>
      </c>
      <c r="AT736" s="6">
        <f t="shared" si="868"/>
        <v>160.92882659296978</v>
      </c>
      <c r="AU736" s="6">
        <f t="shared" si="869"/>
        <v>312.51038049857061</v>
      </c>
      <c r="AV736" s="6">
        <f t="shared" si="870"/>
        <v>383.06380551302203</v>
      </c>
      <c r="AW736" s="58">
        <f t="shared" si="876"/>
        <v>2004</v>
      </c>
      <c r="AX736" s="58">
        <f>COUNTIF(AW$3:AW736,AW736)</f>
        <v>23</v>
      </c>
    </row>
    <row r="737" spans="1:50" x14ac:dyDescent="0.25">
      <c r="A737" s="5">
        <v>38186</v>
      </c>
      <c r="B737">
        <v>1101.3900000000001</v>
      </c>
      <c r="C737">
        <v>1.32</v>
      </c>
      <c r="D737" s="6">
        <v>14.34</v>
      </c>
      <c r="E737" s="18">
        <f t="shared" si="889"/>
        <v>15.07</v>
      </c>
      <c r="F737">
        <f t="shared" si="890"/>
        <v>1</v>
      </c>
      <c r="G737" s="18">
        <f>ROUND(INDEX(Valuation!U:U,MATCH(A737,Valuation!A:A,0)),2)</f>
        <v>187.56</v>
      </c>
      <c r="H737">
        <f t="shared" si="897"/>
        <v>2</v>
      </c>
      <c r="I737" s="18">
        <f>INDEX(WeeklyIndicators!Y:Y,MATCH(A737,WeeklyIndicators!A:A,0))</f>
        <v>130.19999999999999</v>
      </c>
      <c r="J737">
        <f t="shared" si="886"/>
        <v>0</v>
      </c>
      <c r="K737">
        <f>ROUND(INDEX(Economic!AF:AF,MATCH(EOMONTH($A737,-1),Economic!A:A,0)),2)</f>
        <v>120.64</v>
      </c>
      <c r="L737" s="11">
        <f t="shared" si="895"/>
        <v>1</v>
      </c>
      <c r="M737">
        <f>ROUND(INDEX(Manufacturing!P:P,MATCH(EOMONTH($A737,-1),Manufacturing!A:A,0)),2)</f>
        <v>101.35</v>
      </c>
      <c r="N737">
        <f t="shared" si="891"/>
        <v>2</v>
      </c>
      <c r="O737">
        <f>ROUND(INDEX(Housing!AC:AC,MATCH(EOMONTH($A737,-1),Housing!B:B,0)),2)</f>
        <v>147.26</v>
      </c>
      <c r="P737">
        <f t="shared" si="892"/>
        <v>3</v>
      </c>
      <c r="Q737">
        <f>ROUND(INDEX(Spending!AJ:AJ,MATCH(EOMONTH($A737,-1),Spending!B:B,0)),2)</f>
        <v>68.290000000000006</v>
      </c>
      <c r="R737">
        <f t="shared" si="896"/>
        <v>2</v>
      </c>
      <c r="S737">
        <f>ROUND(INDEX(Employment!V:V,MATCH(EOMONTH($A737,-1),Employment!A:A,0)),2)</f>
        <v>172.43</v>
      </c>
      <c r="T737" s="11">
        <f t="shared" si="893"/>
        <v>1</v>
      </c>
      <c r="U737">
        <f t="shared" si="885"/>
        <v>32</v>
      </c>
      <c r="V737">
        <f t="shared" si="877"/>
        <v>80.819999999999993</v>
      </c>
      <c r="W737" s="13">
        <f t="shared" si="878"/>
        <v>-5.9999999999999995E-4</v>
      </c>
      <c r="X737" s="13">
        <f t="shared" si="879"/>
        <v>-8.3000000000000001E-3</v>
      </c>
      <c r="Y737">
        <f t="shared" si="871"/>
        <v>90.78</v>
      </c>
      <c r="Z737" s="13">
        <f t="shared" si="866"/>
        <v>-8.0000000000000004E-4</v>
      </c>
      <c r="AA737" s="13">
        <f t="shared" si="862"/>
        <v>-5.6000000000000008E-3</v>
      </c>
      <c r="AB737" s="6">
        <f t="shared" si="872"/>
        <v>104.276</v>
      </c>
      <c r="AC737">
        <f t="shared" si="864"/>
        <v>52</v>
      </c>
      <c r="AD737" s="11">
        <f t="shared" si="865"/>
        <v>2</v>
      </c>
      <c r="AE737">
        <f t="shared" si="863"/>
        <v>36</v>
      </c>
      <c r="AF737">
        <f>IF(AND(AE737&lt;15,OR(AC737&gt;=30,AA737&gt;0.15,X737&gt;=0.15)),2,VLOOKUP(AE737,Table!P:Q,2,FALSE))</f>
        <v>5</v>
      </c>
      <c r="AG737" s="22">
        <f>IF((AB737*0.98)-(D737*0.8)+((AF737-3)*3)+VLOOKUP(AM737,Table!$A$11:$B$13,2,FALSE)&lt;0,0,(AB737*0.98)-(D737*0.8)+((AF737-3)*3)+VLOOKUP(AM737,Table!$A$11:$B$13,2,FALSE))</f>
        <v>104.71848</v>
      </c>
      <c r="AH737" s="22">
        <f t="shared" si="894"/>
        <v>100</v>
      </c>
      <c r="AI737" s="18">
        <f t="shared" si="887"/>
        <v>1.1499999999999999</v>
      </c>
      <c r="AJ737" s="18">
        <f t="shared" si="888"/>
        <v>0.99</v>
      </c>
      <c r="AK737" t="str">
        <f t="shared" si="873"/>
        <v>Rising Rates</v>
      </c>
      <c r="AL737">
        <f t="shared" si="884"/>
        <v>36</v>
      </c>
      <c r="AM737" s="11" t="str">
        <f t="shared" si="874"/>
        <v>Stocks</v>
      </c>
      <c r="AN737" t="str">
        <f t="shared" si="880"/>
        <v>Buy</v>
      </c>
      <c r="AO737" s="13">
        <f t="shared" si="881"/>
        <v>-1.38E-2</v>
      </c>
      <c r="AP737" s="13">
        <f t="shared" si="882"/>
        <v>2.9999999999999997E-4</v>
      </c>
      <c r="AQ737" s="13">
        <f t="shared" si="883"/>
        <v>-1.38E-2</v>
      </c>
      <c r="AR737" s="13">
        <f t="shared" si="875"/>
        <v>-1.38E-2</v>
      </c>
      <c r="AS737" s="6">
        <f t="shared" si="867"/>
        <v>274.40355294909193</v>
      </c>
      <c r="AT737" s="6">
        <f t="shared" si="868"/>
        <v>160.88056242424253</v>
      </c>
      <c r="AU737" s="6">
        <f t="shared" si="869"/>
        <v>316.88337101862771</v>
      </c>
      <c r="AV737" s="6">
        <f t="shared" si="870"/>
        <v>388.42405750661328</v>
      </c>
      <c r="AW737" s="58">
        <f t="shared" si="876"/>
        <v>2004</v>
      </c>
      <c r="AX737" s="58">
        <f>COUNTIF(AW$3:AW737,AW737)</f>
        <v>24</v>
      </c>
    </row>
    <row r="738" spans="1:50" x14ac:dyDescent="0.25">
      <c r="A738" s="5">
        <v>38179</v>
      </c>
      <c r="B738">
        <v>1112.81</v>
      </c>
      <c r="C738">
        <v>1.28</v>
      </c>
      <c r="D738" s="6">
        <v>15.78</v>
      </c>
      <c r="E738" s="18">
        <f t="shared" si="889"/>
        <v>15.35</v>
      </c>
      <c r="F738">
        <f t="shared" si="890"/>
        <v>1</v>
      </c>
      <c r="G738" s="18">
        <f>ROUND(INDEX(Valuation!U:U,MATCH(A738,Valuation!A:A,0)),2)</f>
        <v>189.14</v>
      </c>
      <c r="H738">
        <f t="shared" si="897"/>
        <v>2</v>
      </c>
      <c r="I738" s="18">
        <f>INDEX(WeeklyIndicators!Y:Y,MATCH(A738,WeeklyIndicators!A:A,0))</f>
        <v>128.77000000000001</v>
      </c>
      <c r="J738">
        <f t="shared" si="886"/>
        <v>0</v>
      </c>
      <c r="K738">
        <f>ROUND(INDEX(Economic!AF:AF,MATCH(EOMONTH($A738,-1),Economic!A:A,0)),2)</f>
        <v>120.64</v>
      </c>
      <c r="L738" s="11">
        <f t="shared" si="895"/>
        <v>1</v>
      </c>
      <c r="M738">
        <f>ROUND(INDEX(Manufacturing!P:P,MATCH(EOMONTH($A738,-1),Manufacturing!A:A,0)),2)</f>
        <v>101.35</v>
      </c>
      <c r="N738">
        <f t="shared" si="891"/>
        <v>2</v>
      </c>
      <c r="O738">
        <f>ROUND(INDEX(Housing!AC:AC,MATCH(EOMONTH($A738,-1),Housing!B:B,0)),2)</f>
        <v>147.26</v>
      </c>
      <c r="P738">
        <f t="shared" si="892"/>
        <v>3</v>
      </c>
      <c r="Q738">
        <f>ROUND(INDEX(Spending!AJ:AJ,MATCH(EOMONTH($A738,-1),Spending!B:B,0)),2)</f>
        <v>68.290000000000006</v>
      </c>
      <c r="R738">
        <f t="shared" si="896"/>
        <v>2</v>
      </c>
      <c r="S738">
        <f>ROUND(INDEX(Employment!V:V,MATCH(EOMONTH($A738,-1),Employment!A:A,0)),2)</f>
        <v>172.43</v>
      </c>
      <c r="T738" s="11">
        <f t="shared" si="893"/>
        <v>1</v>
      </c>
      <c r="U738">
        <f t="shared" si="885"/>
        <v>32</v>
      </c>
      <c r="V738">
        <f t="shared" si="877"/>
        <v>80.67</v>
      </c>
      <c r="W738" s="13">
        <f t="shared" si="878"/>
        <v>-2.3E-3</v>
      </c>
      <c r="X738" s="13">
        <f t="shared" si="879"/>
        <v>-1.01E-2</v>
      </c>
      <c r="Y738">
        <f t="shared" si="871"/>
        <v>90.71</v>
      </c>
      <c r="Z738" s="13">
        <f t="shared" si="866"/>
        <v>-1.8E-3</v>
      </c>
      <c r="AA738" s="13">
        <f t="shared" si="862"/>
        <v>-3.6000000000000008E-3</v>
      </c>
      <c r="AB738" s="6">
        <f t="shared" si="872"/>
        <v>104.474</v>
      </c>
      <c r="AC738">
        <f t="shared" si="864"/>
        <v>52</v>
      </c>
      <c r="AD738" s="11">
        <f t="shared" si="865"/>
        <v>2</v>
      </c>
      <c r="AE738">
        <f t="shared" si="863"/>
        <v>36</v>
      </c>
      <c r="AF738">
        <f>IF(AND(AE738&lt;15,OR(AC738&gt;=30,AA738&gt;0.15,X738&gt;=0.15)),2,VLOOKUP(AE738,Table!P:Q,2,FALSE))</f>
        <v>5</v>
      </c>
      <c r="AG738" s="22">
        <f>IF((AB738*0.98)-(D738*0.8)+((AF738-3)*3)+VLOOKUP(AM738,Table!$A$11:$B$13,2,FALSE)&lt;0,0,(AB738*0.98)-(D738*0.8)+((AF738-3)*3)+VLOOKUP(AM738,Table!$A$11:$B$13,2,FALSE))</f>
        <v>103.76052</v>
      </c>
      <c r="AH738" s="22">
        <f t="shared" si="894"/>
        <v>100</v>
      </c>
      <c r="AI738" s="18">
        <f t="shared" si="887"/>
        <v>1.1200000000000001</v>
      </c>
      <c r="AJ738" s="18">
        <f t="shared" si="888"/>
        <v>0.98</v>
      </c>
      <c r="AK738" t="str">
        <f t="shared" si="873"/>
        <v>Rising Rates</v>
      </c>
      <c r="AL738">
        <f t="shared" si="884"/>
        <v>36</v>
      </c>
      <c r="AM738" s="11" t="str">
        <f t="shared" si="874"/>
        <v>Stocks</v>
      </c>
      <c r="AN738" t="str">
        <f t="shared" si="880"/>
        <v>Buy</v>
      </c>
      <c r="AO738" s="13">
        <f t="shared" si="881"/>
        <v>-1.03E-2</v>
      </c>
      <c r="AP738" s="13">
        <f t="shared" si="882"/>
        <v>2.0000000000000001E-4</v>
      </c>
      <c r="AQ738" s="13">
        <f t="shared" si="883"/>
        <v>-1.03E-2</v>
      </c>
      <c r="AR738" s="13">
        <f t="shared" si="875"/>
        <v>-1.03E-2</v>
      </c>
      <c r="AS738" s="6">
        <f t="shared" si="867"/>
        <v>277.25932398614924</v>
      </c>
      <c r="AT738" s="6">
        <f t="shared" si="868"/>
        <v>160.84839274569339</v>
      </c>
      <c r="AU738" s="6">
        <f t="shared" si="869"/>
        <v>320.18123776763434</v>
      </c>
      <c r="AV738" s="6">
        <f t="shared" si="870"/>
        <v>392.46646206589196</v>
      </c>
      <c r="AW738" s="58">
        <f t="shared" si="876"/>
        <v>2004</v>
      </c>
      <c r="AX738" s="58">
        <f>COUNTIF(AW$3:AW738,AW738)</f>
        <v>25</v>
      </c>
    </row>
    <row r="739" spans="1:50" x14ac:dyDescent="0.25">
      <c r="A739" s="5">
        <v>38172</v>
      </c>
      <c r="B739">
        <v>1125.3800000000001</v>
      </c>
      <c r="C739">
        <v>1.3</v>
      </c>
      <c r="D739" s="6">
        <v>15.08</v>
      </c>
      <c r="E739" s="18">
        <f t="shared" si="889"/>
        <v>15.09</v>
      </c>
      <c r="F739">
        <f t="shared" si="890"/>
        <v>1</v>
      </c>
      <c r="G739" s="18">
        <f>ROUND(INDEX(Valuation!U:U,MATCH(A739,Valuation!A:A,0)),2)</f>
        <v>188.71</v>
      </c>
      <c r="H739">
        <f t="shared" si="897"/>
        <v>2</v>
      </c>
      <c r="I739" s="18">
        <f>INDEX(WeeklyIndicators!Y:Y,MATCH(A739,WeeklyIndicators!A:A,0))</f>
        <v>129.78</v>
      </c>
      <c r="J739">
        <f t="shared" si="886"/>
        <v>0</v>
      </c>
      <c r="K739">
        <f>ROUND(INDEX(Economic!AF:AF,MATCH(EOMONTH($A739,-1),Economic!A:A,0)),2)</f>
        <v>120.64</v>
      </c>
      <c r="L739" s="11">
        <f t="shared" si="895"/>
        <v>1</v>
      </c>
      <c r="M739">
        <f>ROUND(INDEX(Manufacturing!P:P,MATCH(EOMONTH($A739,-1),Manufacturing!A:A,0)),2)</f>
        <v>101.35</v>
      </c>
      <c r="N739">
        <f t="shared" si="891"/>
        <v>2</v>
      </c>
      <c r="O739">
        <f>ROUND(INDEX(Housing!AC:AC,MATCH(EOMONTH($A739,-1),Housing!B:B,0)),2)</f>
        <v>147.26</v>
      </c>
      <c r="P739">
        <f t="shared" si="892"/>
        <v>3</v>
      </c>
      <c r="Q739">
        <f>ROUND(INDEX(Spending!AJ:AJ,MATCH(EOMONTH($A739,-1),Spending!B:B,0)),2)</f>
        <v>68.290000000000006</v>
      </c>
      <c r="R739">
        <f t="shared" si="896"/>
        <v>2</v>
      </c>
      <c r="S739">
        <f>ROUND(INDEX(Employment!V:V,MATCH(EOMONTH($A739,-1),Employment!A:A,0)),2)</f>
        <v>172.43</v>
      </c>
      <c r="T739" s="11">
        <f t="shared" si="893"/>
        <v>1</v>
      </c>
      <c r="U739">
        <f t="shared" si="885"/>
        <v>32</v>
      </c>
      <c r="V739">
        <f t="shared" si="877"/>
        <v>80.77</v>
      </c>
      <c r="W739" s="13">
        <f t="shared" si="878"/>
        <v>-2.7000000000000001E-3</v>
      </c>
      <c r="X739" s="13">
        <f t="shared" si="879"/>
        <v>-9.4999999999999998E-3</v>
      </c>
      <c r="Y739">
        <f t="shared" si="871"/>
        <v>90.85</v>
      </c>
      <c r="Z739" s="13">
        <f t="shared" si="866"/>
        <v>-2.2000000000000001E-3</v>
      </c>
      <c r="AA739" s="13">
        <f t="shared" si="862"/>
        <v>2.0999999999999994E-3</v>
      </c>
      <c r="AB739" s="6">
        <f t="shared" si="872"/>
        <v>104.961</v>
      </c>
      <c r="AC739">
        <f t="shared" si="864"/>
        <v>52</v>
      </c>
      <c r="AD739" s="11">
        <f t="shared" si="865"/>
        <v>2</v>
      </c>
      <c r="AE739">
        <f t="shared" si="863"/>
        <v>36</v>
      </c>
      <c r="AF739">
        <f>IF(AND(AE739&lt;15,OR(AC739&gt;=30,AA739&gt;0.15,X739&gt;=0.15)),2,VLOOKUP(AE739,Table!P:Q,2,FALSE))</f>
        <v>5</v>
      </c>
      <c r="AG739" s="22">
        <f>IF((AB739*0.98)-(D739*0.8)+((AF739-3)*3)+VLOOKUP(AM739,Table!$A$11:$B$13,2,FALSE)&lt;0,0,(AB739*0.98)-(D739*0.8)+((AF739-3)*3)+VLOOKUP(AM739,Table!$A$11:$B$13,2,FALSE))</f>
        <v>104.79777999999999</v>
      </c>
      <c r="AH739" s="22">
        <f t="shared" si="894"/>
        <v>100</v>
      </c>
      <c r="AI739" s="18">
        <f t="shared" si="887"/>
        <v>1.0900000000000001</v>
      </c>
      <c r="AJ739" s="18">
        <f t="shared" si="888"/>
        <v>0.97</v>
      </c>
      <c r="AK739" t="str">
        <f t="shared" si="873"/>
        <v>Rising Rates</v>
      </c>
      <c r="AL739">
        <f t="shared" si="884"/>
        <v>36.25</v>
      </c>
      <c r="AM739" s="11" t="str">
        <f t="shared" si="874"/>
        <v>Stocks</v>
      </c>
      <c r="AN739" t="str">
        <f t="shared" si="880"/>
        <v>Buy</v>
      </c>
      <c r="AO739" s="13">
        <f t="shared" si="881"/>
        <v>-1.12E-2</v>
      </c>
      <c r="AP739" s="13">
        <f t="shared" si="882"/>
        <v>2.9999999999999997E-4</v>
      </c>
      <c r="AQ739" s="13">
        <f t="shared" si="883"/>
        <v>-1.12E-2</v>
      </c>
      <c r="AR739" s="13">
        <f t="shared" si="875"/>
        <v>-1.12E-2</v>
      </c>
      <c r="AS739" s="6">
        <f t="shared" si="867"/>
        <v>280.39980176592763</v>
      </c>
      <c r="AT739" s="6">
        <f t="shared" si="868"/>
        <v>160.80015269988343</v>
      </c>
      <c r="AU739" s="6">
        <f t="shared" si="869"/>
        <v>323.80788609186322</v>
      </c>
      <c r="AV739" s="6">
        <f t="shared" si="870"/>
        <v>396.91187506663829</v>
      </c>
      <c r="AW739" s="58">
        <f t="shared" si="876"/>
        <v>2004</v>
      </c>
      <c r="AX739" s="58">
        <f>COUNTIF(AW$3:AW739,AW739)</f>
        <v>26</v>
      </c>
    </row>
    <row r="740" spans="1:50" x14ac:dyDescent="0.25">
      <c r="A740" s="5">
        <v>38165</v>
      </c>
      <c r="B740">
        <v>1134.43</v>
      </c>
      <c r="C740">
        <v>1.29</v>
      </c>
      <c r="D740" s="6">
        <v>15.19</v>
      </c>
      <c r="E740" s="18">
        <f t="shared" si="889"/>
        <v>15.07</v>
      </c>
      <c r="F740">
        <f t="shared" si="890"/>
        <v>1</v>
      </c>
      <c r="G740" s="18">
        <f>ROUND(INDEX(Valuation!U:U,MATCH(A740,Valuation!A:A,0)),2)</f>
        <v>188.2</v>
      </c>
      <c r="H740">
        <f t="shared" si="897"/>
        <v>2</v>
      </c>
      <c r="I740" s="18">
        <f>INDEX(WeeklyIndicators!Y:Y,MATCH(A740,WeeklyIndicators!A:A,0))</f>
        <v>131.36000000000001</v>
      </c>
      <c r="J740">
        <f t="shared" si="886"/>
        <v>0</v>
      </c>
      <c r="K740">
        <f>ROUND(INDEX(Economic!AF:AF,MATCH(EOMONTH($A740,-1),Economic!A:A,0)),2)</f>
        <v>121.92</v>
      </c>
      <c r="L740" s="11">
        <f t="shared" si="895"/>
        <v>1</v>
      </c>
      <c r="M740">
        <f>ROUND(INDEX(Manufacturing!P:P,MATCH(EOMONTH($A740,-1),Manufacturing!A:A,0)),2)</f>
        <v>102.73</v>
      </c>
      <c r="N740">
        <f t="shared" si="891"/>
        <v>2</v>
      </c>
      <c r="O740">
        <f>ROUND(INDEX(Housing!AC:AC,MATCH(EOMONTH($A740,-1),Housing!B:B,0)),2)</f>
        <v>146.66</v>
      </c>
      <c r="P740">
        <f t="shared" si="892"/>
        <v>3</v>
      </c>
      <c r="Q740">
        <f>ROUND(INDEX(Spending!AJ:AJ,MATCH(EOMONTH($A740,-1),Spending!B:B,0)),2)</f>
        <v>66.13</v>
      </c>
      <c r="R740">
        <f t="shared" si="896"/>
        <v>2</v>
      </c>
      <c r="S740">
        <f>ROUND(INDEX(Employment!V:V,MATCH(EOMONTH($A740,-1),Employment!A:A,0)),2)</f>
        <v>171.04</v>
      </c>
      <c r="T740" s="11">
        <f t="shared" si="893"/>
        <v>1</v>
      </c>
      <c r="U740">
        <f t="shared" si="885"/>
        <v>32</v>
      </c>
      <c r="V740">
        <f t="shared" si="877"/>
        <v>80.97</v>
      </c>
      <c r="W740" s="13">
        <f t="shared" si="878"/>
        <v>-2.7000000000000001E-3</v>
      </c>
      <c r="X740" s="13">
        <f t="shared" si="879"/>
        <v>-7.7000000000000002E-3</v>
      </c>
      <c r="Y740">
        <f t="shared" si="871"/>
        <v>91</v>
      </c>
      <c r="Z740" s="13">
        <f t="shared" si="866"/>
        <v>-8.0000000000000004E-4</v>
      </c>
      <c r="AA740" s="13">
        <f t="shared" si="862"/>
        <v>8.0000000000000002E-3</v>
      </c>
      <c r="AB740" s="6">
        <f t="shared" si="872"/>
        <v>105.47999999999999</v>
      </c>
      <c r="AC740">
        <f t="shared" si="864"/>
        <v>53</v>
      </c>
      <c r="AD740" s="11">
        <f t="shared" si="865"/>
        <v>2</v>
      </c>
      <c r="AE740">
        <f t="shared" si="863"/>
        <v>36</v>
      </c>
      <c r="AF740">
        <f>IF(AND(AE740&lt;15,OR(AC740&gt;=30,AA740&gt;0.15,X740&gt;=0.15)),2,VLOOKUP(AE740,Table!P:Q,2,FALSE))</f>
        <v>5</v>
      </c>
      <c r="AG740" s="22">
        <f>IF((AB740*0.98)-(D740*0.8)+((AF740-3)*3)+VLOOKUP(AM740,Table!$A$11:$B$13,2,FALSE)&lt;0,0,(AB740*0.98)-(D740*0.8)+((AF740-3)*3)+VLOOKUP(AM740,Table!$A$11:$B$13,2,FALSE))</f>
        <v>105.21839999999999</v>
      </c>
      <c r="AH740" s="22">
        <f t="shared" si="894"/>
        <v>100</v>
      </c>
      <c r="AI740" s="18">
        <f t="shared" si="887"/>
        <v>1.06</v>
      </c>
      <c r="AJ740" s="18">
        <f t="shared" si="888"/>
        <v>0.96</v>
      </c>
      <c r="AK740" t="str">
        <f t="shared" si="873"/>
        <v>Rising Rates</v>
      </c>
      <c r="AL740">
        <f t="shared" si="884"/>
        <v>36.25</v>
      </c>
      <c r="AM740" s="11" t="str">
        <f t="shared" si="874"/>
        <v>Stocks</v>
      </c>
      <c r="AN740" t="str">
        <f t="shared" si="880"/>
        <v>Buy</v>
      </c>
      <c r="AO740" s="13">
        <f t="shared" si="881"/>
        <v>-8.0000000000000002E-3</v>
      </c>
      <c r="AP740" s="13">
        <f t="shared" si="882"/>
        <v>2.0000000000000001E-4</v>
      </c>
      <c r="AQ740" s="13">
        <f t="shared" si="883"/>
        <v>-8.0000000000000002E-3</v>
      </c>
      <c r="AR740" s="13">
        <f t="shared" si="875"/>
        <v>-8.0000000000000002E-3</v>
      </c>
      <c r="AS740" s="6">
        <f t="shared" si="867"/>
        <v>282.6610904898464</v>
      </c>
      <c r="AT740" s="6">
        <f t="shared" si="868"/>
        <v>160.76799910006341</v>
      </c>
      <c r="AU740" s="6">
        <f t="shared" si="869"/>
        <v>326.41924001195889</v>
      </c>
      <c r="AV740" s="6">
        <f t="shared" si="870"/>
        <v>400.11277728491763</v>
      </c>
      <c r="AW740" s="58">
        <f t="shared" si="876"/>
        <v>2004</v>
      </c>
      <c r="AX740" s="58">
        <f>COUNTIF(AW$3:AW740,AW740)</f>
        <v>27</v>
      </c>
    </row>
    <row r="741" spans="1:50" x14ac:dyDescent="0.25">
      <c r="A741" s="5">
        <v>38158</v>
      </c>
      <c r="B741">
        <v>1135.02</v>
      </c>
      <c r="C741">
        <v>1.3</v>
      </c>
      <c r="D741" s="6">
        <v>14.99</v>
      </c>
      <c r="E741" s="18">
        <f t="shared" si="889"/>
        <v>15.6</v>
      </c>
      <c r="F741">
        <f t="shared" si="890"/>
        <v>1</v>
      </c>
      <c r="G741" s="18">
        <f>ROUND(INDEX(Valuation!U:U,MATCH(A741,Valuation!A:A,0)),2)</f>
        <v>189.36</v>
      </c>
      <c r="H741">
        <f t="shared" si="897"/>
        <v>2</v>
      </c>
      <c r="I741" s="18">
        <f>INDEX(WeeklyIndicators!Y:Y,MATCH(A741,WeeklyIndicators!A:A,0))</f>
        <v>133.80000000000001</v>
      </c>
      <c r="J741">
        <f t="shared" si="886"/>
        <v>0</v>
      </c>
      <c r="K741">
        <f>ROUND(INDEX(Economic!AF:AF,MATCH(EOMONTH($A741,-1),Economic!A:A,0)),2)</f>
        <v>121.92</v>
      </c>
      <c r="L741" s="11">
        <f t="shared" si="895"/>
        <v>1</v>
      </c>
      <c r="M741">
        <f>ROUND(INDEX(Manufacturing!P:P,MATCH(EOMONTH($A741,-1),Manufacturing!A:A,0)),2)</f>
        <v>102.73</v>
      </c>
      <c r="N741">
        <f t="shared" si="891"/>
        <v>2</v>
      </c>
      <c r="O741">
        <f>ROUND(INDEX(Housing!AC:AC,MATCH(EOMONTH($A741,-1),Housing!B:B,0)),2)</f>
        <v>146.66</v>
      </c>
      <c r="P741">
        <f t="shared" si="892"/>
        <v>3</v>
      </c>
      <c r="Q741">
        <f>ROUND(INDEX(Spending!AJ:AJ,MATCH(EOMONTH($A741,-1),Spending!B:B,0)),2)</f>
        <v>66.13</v>
      </c>
      <c r="R741">
        <f t="shared" si="896"/>
        <v>2</v>
      </c>
      <c r="S741">
        <f>ROUND(INDEX(Employment!V:V,MATCH(EOMONTH($A741,-1),Employment!A:A,0)),2)</f>
        <v>171.04</v>
      </c>
      <c r="T741" s="11">
        <f t="shared" si="893"/>
        <v>1</v>
      </c>
      <c r="U741">
        <f t="shared" si="885"/>
        <v>32</v>
      </c>
      <c r="V741">
        <f t="shared" si="877"/>
        <v>81.22</v>
      </c>
      <c r="W741" s="13">
        <f t="shared" si="878"/>
        <v>-2.3999999999999998E-3</v>
      </c>
      <c r="X741" s="13">
        <f t="shared" si="879"/>
        <v>-4.9999999999999992E-3</v>
      </c>
      <c r="Y741">
        <f t="shared" si="871"/>
        <v>91.2</v>
      </c>
      <c r="Z741" s="13">
        <f t="shared" si="866"/>
        <v>1.1999999999999999E-3</v>
      </c>
      <c r="AA741" s="13">
        <f t="shared" si="862"/>
        <v>1.0799999999999999E-2</v>
      </c>
      <c r="AB741" s="6">
        <f t="shared" si="872"/>
        <v>106.01600000000001</v>
      </c>
      <c r="AC741">
        <f t="shared" si="864"/>
        <v>53</v>
      </c>
      <c r="AD741" s="11">
        <f t="shared" si="865"/>
        <v>2</v>
      </c>
      <c r="AE741">
        <f t="shared" si="863"/>
        <v>36</v>
      </c>
      <c r="AF741">
        <f>IF(AND(AE741&lt;15,OR(AC741&gt;=30,AA741&gt;0.15,X741&gt;=0.15)),2,VLOOKUP(AE741,Table!P:Q,2,FALSE))</f>
        <v>5</v>
      </c>
      <c r="AG741" s="22">
        <f>IF((AB741*0.98)-(D741*0.8)+((AF741-3)*3)+VLOOKUP(AM741,Table!$A$11:$B$13,2,FALSE)&lt;0,0,(AB741*0.98)-(D741*0.8)+((AF741-3)*3)+VLOOKUP(AM741,Table!$A$11:$B$13,2,FALSE))</f>
        <v>105.90367999999999</v>
      </c>
      <c r="AH741" s="22">
        <f t="shared" si="894"/>
        <v>100</v>
      </c>
      <c r="AI741" s="18">
        <f t="shared" si="887"/>
        <v>1.04</v>
      </c>
      <c r="AJ741" s="18">
        <f t="shared" si="888"/>
        <v>0.96</v>
      </c>
      <c r="AK741" t="str">
        <f t="shared" si="873"/>
        <v>Rising Rates</v>
      </c>
      <c r="AL741">
        <f t="shared" si="884"/>
        <v>36.5</v>
      </c>
      <c r="AM741" s="11" t="str">
        <f t="shared" si="874"/>
        <v>Stocks</v>
      </c>
      <c r="AN741" t="str">
        <f t="shared" si="880"/>
        <v>Buy</v>
      </c>
      <c r="AO741" s="13">
        <f t="shared" si="881"/>
        <v>-5.0000000000000001E-4</v>
      </c>
      <c r="AP741" s="13">
        <f t="shared" si="882"/>
        <v>2.9999999999999997E-4</v>
      </c>
      <c r="AQ741" s="13">
        <f t="shared" si="883"/>
        <v>-5.0000000000000001E-4</v>
      </c>
      <c r="AR741" s="13">
        <f t="shared" si="875"/>
        <v>-5.0000000000000001E-4</v>
      </c>
      <c r="AS741" s="6">
        <f t="shared" si="867"/>
        <v>282.80249173571423</v>
      </c>
      <c r="AT741" s="6">
        <f t="shared" si="868"/>
        <v>160.71978316511388</v>
      </c>
      <c r="AU741" s="6">
        <f t="shared" si="869"/>
        <v>326.5825312775977</v>
      </c>
      <c r="AV741" s="6">
        <f t="shared" si="870"/>
        <v>400.31293375179348</v>
      </c>
      <c r="AW741" s="58">
        <f t="shared" si="876"/>
        <v>2004</v>
      </c>
      <c r="AX741" s="58">
        <f>COUNTIF(AW$3:AW741,AW741)</f>
        <v>28</v>
      </c>
    </row>
    <row r="742" spans="1:50" x14ac:dyDescent="0.25">
      <c r="A742" s="5">
        <v>38151</v>
      </c>
      <c r="B742">
        <v>1136.47</v>
      </c>
      <c r="C742">
        <v>1.25</v>
      </c>
      <c r="D742" s="6">
        <v>15.04</v>
      </c>
      <c r="E742" s="18">
        <f t="shared" si="889"/>
        <v>15.77</v>
      </c>
      <c r="F742">
        <f t="shared" si="890"/>
        <v>1</v>
      </c>
      <c r="G742" s="18">
        <f>ROUND(INDEX(Valuation!U:U,MATCH(A742,Valuation!A:A,0)),2)</f>
        <v>190.37</v>
      </c>
      <c r="H742">
        <f t="shared" si="897"/>
        <v>2</v>
      </c>
      <c r="I742" s="18">
        <f>INDEX(WeeklyIndicators!Y:Y,MATCH(A742,WeeklyIndicators!A:A,0))</f>
        <v>135.72999999999999</v>
      </c>
      <c r="J742">
        <f t="shared" si="886"/>
        <v>1</v>
      </c>
      <c r="K742">
        <f>ROUND(INDEX(Economic!AF:AF,MATCH(EOMONTH($A742,-1),Economic!A:A,0)),2)</f>
        <v>121.92</v>
      </c>
      <c r="L742" s="11">
        <f t="shared" si="895"/>
        <v>1</v>
      </c>
      <c r="M742">
        <f>ROUND(INDEX(Manufacturing!P:P,MATCH(EOMONTH($A742,-1),Manufacturing!A:A,0)),2)</f>
        <v>102.73</v>
      </c>
      <c r="N742">
        <f t="shared" si="891"/>
        <v>2</v>
      </c>
      <c r="O742">
        <f>ROUND(INDEX(Housing!AC:AC,MATCH(EOMONTH($A742,-1),Housing!B:B,0)),2)</f>
        <v>146.66</v>
      </c>
      <c r="P742">
        <f t="shared" si="892"/>
        <v>3</v>
      </c>
      <c r="Q742">
        <f>ROUND(INDEX(Spending!AJ:AJ,MATCH(EOMONTH($A742,-1),Spending!B:B,0)),2)</f>
        <v>66.13</v>
      </c>
      <c r="R742">
        <f t="shared" si="896"/>
        <v>2</v>
      </c>
      <c r="S742">
        <f>ROUND(INDEX(Employment!V:V,MATCH(EOMONTH($A742,-1),Employment!A:A,0)),2)</f>
        <v>171.04</v>
      </c>
      <c r="T742" s="11">
        <f t="shared" si="893"/>
        <v>1</v>
      </c>
      <c r="U742">
        <f t="shared" si="885"/>
        <v>33</v>
      </c>
      <c r="V742">
        <f t="shared" si="877"/>
        <v>81.42</v>
      </c>
      <c r="W742" s="13">
        <f t="shared" si="878"/>
        <v>-1.6999999999999999E-3</v>
      </c>
      <c r="X742" s="13">
        <f t="shared" si="879"/>
        <v>-2.8E-3</v>
      </c>
      <c r="Y742">
        <f t="shared" si="871"/>
        <v>91.45</v>
      </c>
      <c r="Z742" s="13">
        <f t="shared" si="866"/>
        <v>3.8999999999999998E-3</v>
      </c>
      <c r="AA742" s="13">
        <f t="shared" si="862"/>
        <v>9.5000000000000015E-3</v>
      </c>
      <c r="AB742" s="6">
        <f t="shared" si="872"/>
        <v>106.307</v>
      </c>
      <c r="AC742">
        <f t="shared" si="864"/>
        <v>53</v>
      </c>
      <c r="AD742" s="11">
        <f t="shared" si="865"/>
        <v>2</v>
      </c>
      <c r="AE742">
        <f t="shared" si="863"/>
        <v>37</v>
      </c>
      <c r="AF742">
        <f>IF(AND(AE742&lt;15,OR(AC742&gt;=30,AA742&gt;0.15,X742&gt;=0.15)),2,VLOOKUP(AE742,Table!P:Q,2,FALSE))</f>
        <v>6</v>
      </c>
      <c r="AG742" s="22">
        <f>IF((AB742*0.98)-(D742*0.8)+((AF742-3)*3)+VLOOKUP(AM742,Table!$A$11:$B$13,2,FALSE)&lt;0,0,(AB742*0.98)-(D742*0.8)+((AF742-3)*3)+VLOOKUP(AM742,Table!$A$11:$B$13,2,FALSE))</f>
        <v>109.14886</v>
      </c>
      <c r="AH742" s="22">
        <f t="shared" si="894"/>
        <v>100</v>
      </c>
      <c r="AI742" s="18">
        <f t="shared" si="887"/>
        <v>1.01</v>
      </c>
      <c r="AJ742" s="18">
        <f t="shared" si="888"/>
        <v>0.95</v>
      </c>
      <c r="AK742" t="str">
        <f t="shared" si="873"/>
        <v>Rising Rates</v>
      </c>
      <c r="AL742">
        <f t="shared" si="884"/>
        <v>36.5</v>
      </c>
      <c r="AM742" s="11" t="str">
        <f t="shared" si="874"/>
        <v>Stocks</v>
      </c>
      <c r="AN742" t="str">
        <f t="shared" si="880"/>
        <v>Buy</v>
      </c>
      <c r="AO742" s="13">
        <f t="shared" si="881"/>
        <v>-1.2999999999999999E-3</v>
      </c>
      <c r="AP742" s="13">
        <f t="shared" si="882"/>
        <v>2.0000000000000001E-4</v>
      </c>
      <c r="AQ742" s="13">
        <f t="shared" si="883"/>
        <v>-1.2999999999999999E-3</v>
      </c>
      <c r="AR742" s="13">
        <f t="shared" si="875"/>
        <v>-1.2999999999999999E-3</v>
      </c>
      <c r="AS742" s="6">
        <f t="shared" si="867"/>
        <v>283.17061353330752</v>
      </c>
      <c r="AT742" s="6">
        <f t="shared" si="868"/>
        <v>160.68764563598668</v>
      </c>
      <c r="AU742" s="6">
        <f t="shared" si="869"/>
        <v>327.0076412111722</v>
      </c>
      <c r="AV742" s="6">
        <f t="shared" si="870"/>
        <v>400.8340179751612</v>
      </c>
      <c r="AW742" s="58">
        <f t="shared" si="876"/>
        <v>2004</v>
      </c>
      <c r="AX742" s="58">
        <f>COUNTIF(AW$3:AW742,AW742)</f>
        <v>29</v>
      </c>
    </row>
    <row r="743" spans="1:50" x14ac:dyDescent="0.25">
      <c r="A743" s="5">
        <v>38144</v>
      </c>
      <c r="B743">
        <v>1122.5</v>
      </c>
      <c r="C743">
        <v>1.1599999999999999</v>
      </c>
      <c r="D743" s="6">
        <v>16.78</v>
      </c>
      <c r="E743" s="18">
        <f t="shared" si="889"/>
        <v>16.920000000000002</v>
      </c>
      <c r="F743">
        <f t="shared" si="890"/>
        <v>0</v>
      </c>
      <c r="G743" s="18">
        <f>ROUND(INDEX(Valuation!U:U,MATCH(A743,Valuation!A:A,0)),2)</f>
        <v>190.19</v>
      </c>
      <c r="H743">
        <f t="shared" si="897"/>
        <v>2</v>
      </c>
      <c r="I743" s="18">
        <f>INDEX(WeeklyIndicators!Y:Y,MATCH(A743,WeeklyIndicators!A:A,0))</f>
        <v>137.63999999999999</v>
      </c>
      <c r="J743">
        <f t="shared" si="886"/>
        <v>1</v>
      </c>
      <c r="K743">
        <f>ROUND(INDEX(Economic!AF:AF,MATCH(EOMONTH($A743,-1),Economic!A:A,0)),2)</f>
        <v>121.92</v>
      </c>
      <c r="L743" s="11">
        <f t="shared" si="895"/>
        <v>1</v>
      </c>
      <c r="M743">
        <f>ROUND(INDEX(Manufacturing!P:P,MATCH(EOMONTH($A743,-1),Manufacturing!A:A,0)),2)</f>
        <v>102.73</v>
      </c>
      <c r="N743">
        <f t="shared" si="891"/>
        <v>2</v>
      </c>
      <c r="O743">
        <f>ROUND(INDEX(Housing!AC:AC,MATCH(EOMONTH($A743,-1),Housing!B:B,0)),2)</f>
        <v>146.66</v>
      </c>
      <c r="P743">
        <f t="shared" si="892"/>
        <v>3</v>
      </c>
      <c r="Q743">
        <f>ROUND(INDEX(Spending!AJ:AJ,MATCH(EOMONTH($A743,-1),Spending!B:B,0)),2)</f>
        <v>66.13</v>
      </c>
      <c r="R743">
        <f t="shared" si="896"/>
        <v>2</v>
      </c>
      <c r="S743">
        <f>ROUND(INDEX(Employment!V:V,MATCH(EOMONTH($A743,-1),Employment!A:A,0)),2)</f>
        <v>171.04</v>
      </c>
      <c r="T743" s="11">
        <f t="shared" si="893"/>
        <v>1</v>
      </c>
      <c r="U743">
        <f t="shared" si="885"/>
        <v>32</v>
      </c>
      <c r="V743">
        <f t="shared" si="877"/>
        <v>81.62</v>
      </c>
      <c r="W743" s="13">
        <f t="shared" si="878"/>
        <v>-8.9999999999999998E-4</v>
      </c>
      <c r="X743" s="13">
        <f t="shared" si="879"/>
        <v>-7.8000000000000005E-3</v>
      </c>
      <c r="Y743">
        <f t="shared" si="871"/>
        <v>91.23</v>
      </c>
      <c r="Z743" s="13">
        <f t="shared" si="866"/>
        <v>3.7000000000000002E-3</v>
      </c>
      <c r="AA743" s="13">
        <f t="shared" si="862"/>
        <v>-5.0000000000000044E-4</v>
      </c>
      <c r="AB743" s="6">
        <f t="shared" si="872"/>
        <v>105.35900000000001</v>
      </c>
      <c r="AC743">
        <f t="shared" si="864"/>
        <v>53</v>
      </c>
      <c r="AD743" s="11">
        <f t="shared" si="865"/>
        <v>2</v>
      </c>
      <c r="AE743">
        <f t="shared" si="863"/>
        <v>36</v>
      </c>
      <c r="AF743">
        <f>IF(AND(AE743&lt;15,OR(AC743&gt;=30,AA743&gt;0.15,X743&gt;=0.15)),2,VLOOKUP(AE743,Table!P:Q,2,FALSE))</f>
        <v>5</v>
      </c>
      <c r="AG743" s="22">
        <f>IF((AB743*0.98)-(D743*0.8)+((AF743-3)*3)+VLOOKUP(AM743,Table!$A$11:$B$13,2,FALSE)&lt;0,0,(AB743*0.98)-(D743*0.8)+((AF743-3)*3)+VLOOKUP(AM743,Table!$A$11:$B$13,2,FALSE))</f>
        <v>103.82782</v>
      </c>
      <c r="AH743" s="22">
        <f t="shared" si="894"/>
        <v>100</v>
      </c>
      <c r="AI743" s="18">
        <f t="shared" si="887"/>
        <v>0.98</v>
      </c>
      <c r="AJ743" s="18">
        <f t="shared" si="888"/>
        <v>0.94</v>
      </c>
      <c r="AK743" t="str">
        <f t="shared" si="873"/>
        <v>Rising Rates</v>
      </c>
      <c r="AL743">
        <f t="shared" si="884"/>
        <v>36.5</v>
      </c>
      <c r="AM743" s="11" t="str">
        <f t="shared" si="874"/>
        <v>Stocks</v>
      </c>
      <c r="AN743" t="str">
        <f t="shared" si="880"/>
        <v>Buy</v>
      </c>
      <c r="AO743" s="13">
        <f t="shared" si="881"/>
        <v>1.24E-2</v>
      </c>
      <c r="AP743" s="13">
        <f t="shared" si="882"/>
        <v>2.0000000000000001E-4</v>
      </c>
      <c r="AQ743" s="13">
        <f t="shared" si="883"/>
        <v>1.24E-2</v>
      </c>
      <c r="AR743" s="13">
        <f t="shared" si="875"/>
        <v>1.24E-2</v>
      </c>
      <c r="AS743" s="6">
        <f t="shared" si="867"/>
        <v>279.7023049519039</v>
      </c>
      <c r="AT743" s="6">
        <f t="shared" si="868"/>
        <v>160.65551453308007</v>
      </c>
      <c r="AU743" s="6">
        <f t="shared" si="869"/>
        <v>323.00241131091684</v>
      </c>
      <c r="AV743" s="6">
        <f t="shared" si="870"/>
        <v>395.92455351161715</v>
      </c>
      <c r="AW743" s="58">
        <f t="shared" si="876"/>
        <v>2004</v>
      </c>
      <c r="AX743" s="58">
        <f>COUNTIF(AW$3:AW743,AW743)</f>
        <v>30</v>
      </c>
    </row>
    <row r="744" spans="1:50" x14ac:dyDescent="0.25">
      <c r="A744" s="5">
        <v>38137</v>
      </c>
      <c r="B744">
        <v>1120.68</v>
      </c>
      <c r="C744">
        <v>1.06</v>
      </c>
      <c r="D744" s="6">
        <v>15.5</v>
      </c>
      <c r="E744" s="18">
        <f t="shared" si="889"/>
        <v>17.489999999999998</v>
      </c>
      <c r="F744">
        <f t="shared" si="890"/>
        <v>0</v>
      </c>
      <c r="G744" s="18">
        <f>ROUND(INDEX(Valuation!U:U,MATCH(A744,Valuation!A:A,0)),2)</f>
        <v>187.03</v>
      </c>
      <c r="H744">
        <f t="shared" si="897"/>
        <v>2</v>
      </c>
      <c r="I744" s="18">
        <f>INDEX(WeeklyIndicators!Y:Y,MATCH(A744,WeeklyIndicators!A:A,0))</f>
        <v>136.82</v>
      </c>
      <c r="J744">
        <f t="shared" si="886"/>
        <v>1</v>
      </c>
      <c r="K744">
        <f>ROUND(INDEX(Economic!AF:AF,MATCH(EOMONTH($A744,-1),Economic!A:A,0)),2)</f>
        <v>126.9</v>
      </c>
      <c r="L744" s="11">
        <f t="shared" si="895"/>
        <v>2</v>
      </c>
      <c r="M744">
        <f>ROUND(INDEX(Manufacturing!P:P,MATCH(EOMONTH($A744,-1),Manufacturing!A:A,0)),2)</f>
        <v>103.7</v>
      </c>
      <c r="N744">
        <f t="shared" si="891"/>
        <v>2</v>
      </c>
      <c r="O744">
        <f>ROUND(INDEX(Housing!AC:AC,MATCH(EOMONTH($A744,-1),Housing!B:B,0)),2)</f>
        <v>145.51</v>
      </c>
      <c r="P744">
        <f t="shared" si="892"/>
        <v>3</v>
      </c>
      <c r="Q744">
        <f>ROUND(INDEX(Spending!AJ:AJ,MATCH(EOMONTH($A744,-1),Spending!B:B,0)),2)</f>
        <v>64.23</v>
      </c>
      <c r="R744">
        <f t="shared" si="896"/>
        <v>2</v>
      </c>
      <c r="S744">
        <f>ROUND(INDEX(Employment!V:V,MATCH(EOMONTH($A744,-1),Employment!A:A,0)),2)</f>
        <v>167.26</v>
      </c>
      <c r="T744" s="11">
        <f t="shared" si="893"/>
        <v>1</v>
      </c>
      <c r="U744">
        <f t="shared" si="885"/>
        <v>33</v>
      </c>
      <c r="V744">
        <f t="shared" si="877"/>
        <v>81.81</v>
      </c>
      <c r="W744" s="13">
        <f t="shared" si="878"/>
        <v>0</v>
      </c>
      <c r="X744" s="13">
        <f t="shared" si="879"/>
        <v>-1.6199999999999999E-2</v>
      </c>
      <c r="Y744">
        <f t="shared" si="871"/>
        <v>90.87</v>
      </c>
      <c r="Z744" s="13">
        <f t="shared" si="866"/>
        <v>2E-3</v>
      </c>
      <c r="AA744" s="13">
        <f t="shared" si="862"/>
        <v>-1.15E-2</v>
      </c>
      <c r="AB744" s="6">
        <f t="shared" si="872"/>
        <v>103.863</v>
      </c>
      <c r="AC744">
        <f t="shared" si="864"/>
        <v>52</v>
      </c>
      <c r="AD744" s="11">
        <f t="shared" si="865"/>
        <v>2</v>
      </c>
      <c r="AE744">
        <f t="shared" si="863"/>
        <v>37</v>
      </c>
      <c r="AF744">
        <f>IF(AND(AE744&lt;15,OR(AC744&gt;=30,AA744&gt;0.15,X744&gt;=0.15)),2,VLOOKUP(AE744,Table!P:Q,2,FALSE))</f>
        <v>6</v>
      </c>
      <c r="AG744" s="22">
        <f>IF((AB744*0.98)-(D744*0.8)+((AF744-3)*3)+VLOOKUP(AM744,Table!$A$11:$B$13,2,FALSE)&lt;0,0,(AB744*0.98)-(D744*0.8)+((AF744-3)*3)+VLOOKUP(AM744,Table!$A$11:$B$13,2,FALSE))</f>
        <v>106.38574</v>
      </c>
      <c r="AH744" s="22">
        <f t="shared" si="894"/>
        <v>100</v>
      </c>
      <c r="AI744" s="18">
        <f t="shared" si="887"/>
        <v>0.97</v>
      </c>
      <c r="AJ744" s="18">
        <f t="shared" si="888"/>
        <v>0.93</v>
      </c>
      <c r="AK744" t="str">
        <f t="shared" si="873"/>
        <v/>
      </c>
      <c r="AL744">
        <f t="shared" si="884"/>
        <v>36.75</v>
      </c>
      <c r="AM744" s="11" t="str">
        <f t="shared" si="874"/>
        <v>Stocks</v>
      </c>
      <c r="AN744" t="str">
        <f t="shared" si="880"/>
        <v>Buy</v>
      </c>
      <c r="AO744" s="13">
        <f t="shared" si="881"/>
        <v>1.6000000000000001E-3</v>
      </c>
      <c r="AP744" s="13">
        <f t="shared" si="882"/>
        <v>2.0000000000000001E-4</v>
      </c>
      <c r="AQ744" s="13">
        <f t="shared" si="883"/>
        <v>1.6000000000000001E-3</v>
      </c>
      <c r="AR744" s="13">
        <f t="shared" si="875"/>
        <v>1.6000000000000001E-3</v>
      </c>
      <c r="AS744" s="6">
        <f t="shared" si="867"/>
        <v>279.25549615805102</v>
      </c>
      <c r="AT744" s="6">
        <f t="shared" si="868"/>
        <v>160.62338985510905</v>
      </c>
      <c r="AU744" s="6">
        <f t="shared" si="869"/>
        <v>322.48643301808789</v>
      </c>
      <c r="AV744" s="6">
        <f t="shared" si="870"/>
        <v>395.29208617373916</v>
      </c>
      <c r="AW744" s="58">
        <f t="shared" si="876"/>
        <v>2004</v>
      </c>
      <c r="AX744" s="58">
        <f>COUNTIF(AW$3:AW744,AW744)</f>
        <v>31</v>
      </c>
    </row>
    <row r="745" spans="1:50" x14ac:dyDescent="0.25">
      <c r="A745" s="5">
        <v>38130</v>
      </c>
      <c r="B745">
        <v>1093.56</v>
      </c>
      <c r="C745">
        <v>1.03</v>
      </c>
      <c r="D745" s="6">
        <v>18.489999999999998</v>
      </c>
      <c r="E745" s="18">
        <f t="shared" si="889"/>
        <v>18.36</v>
      </c>
      <c r="F745">
        <f t="shared" si="890"/>
        <v>-1</v>
      </c>
      <c r="G745" s="18">
        <f>ROUND(INDEX(Valuation!U:U,MATCH(A745,Valuation!A:A,0)),2)</f>
        <v>185.2</v>
      </c>
      <c r="H745">
        <f t="shared" si="897"/>
        <v>2</v>
      </c>
      <c r="I745" s="18">
        <f>INDEX(WeeklyIndicators!Y:Y,MATCH(A745,WeeklyIndicators!A:A,0))</f>
        <v>137.13999999999999</v>
      </c>
      <c r="J745">
        <f t="shared" si="886"/>
        <v>1</v>
      </c>
      <c r="K745">
        <f>ROUND(INDEX(Economic!AF:AF,MATCH(EOMONTH($A745,-1),Economic!A:A,0)),2)</f>
        <v>126.9</v>
      </c>
      <c r="L745" s="11">
        <f t="shared" si="895"/>
        <v>2</v>
      </c>
      <c r="M745">
        <f>ROUND(INDEX(Manufacturing!P:P,MATCH(EOMONTH($A745,-1),Manufacturing!A:A,0)),2)</f>
        <v>103.7</v>
      </c>
      <c r="N745">
        <f t="shared" si="891"/>
        <v>2</v>
      </c>
      <c r="O745">
        <f>ROUND(INDEX(Housing!AC:AC,MATCH(EOMONTH($A745,-1),Housing!B:B,0)),2)</f>
        <v>145.51</v>
      </c>
      <c r="P745">
        <f t="shared" si="892"/>
        <v>3</v>
      </c>
      <c r="Q745">
        <f>ROUND(INDEX(Spending!AJ:AJ,MATCH(EOMONTH($A745,-1),Spending!B:B,0)),2)</f>
        <v>64.23</v>
      </c>
      <c r="R745">
        <f t="shared" si="896"/>
        <v>2</v>
      </c>
      <c r="S745">
        <f>ROUND(INDEX(Employment!V:V,MATCH(EOMONTH($A745,-1),Employment!A:A,0)),2)</f>
        <v>167.26</v>
      </c>
      <c r="T745" s="11">
        <f t="shared" si="893"/>
        <v>1</v>
      </c>
      <c r="U745">
        <f t="shared" si="885"/>
        <v>32</v>
      </c>
      <c r="V745">
        <f t="shared" si="877"/>
        <v>81.84</v>
      </c>
      <c r="W745" s="13">
        <f t="shared" si="878"/>
        <v>-2.0000000000000001E-4</v>
      </c>
      <c r="X745" s="13">
        <f t="shared" si="879"/>
        <v>-2.7900000000000001E-2</v>
      </c>
      <c r="Y745">
        <f t="shared" si="871"/>
        <v>90.39</v>
      </c>
      <c r="Z745" s="13">
        <f t="shared" si="866"/>
        <v>-1E-4</v>
      </c>
      <c r="AA745" s="13">
        <f t="shared" si="862"/>
        <v>-2.1900000000000003E-2</v>
      </c>
      <c r="AB745" s="6">
        <f t="shared" si="872"/>
        <v>102.39</v>
      </c>
      <c r="AC745">
        <f t="shared" si="864"/>
        <v>51</v>
      </c>
      <c r="AD745" s="11">
        <f t="shared" si="865"/>
        <v>2</v>
      </c>
      <c r="AE745">
        <f t="shared" si="863"/>
        <v>36</v>
      </c>
      <c r="AF745">
        <f>IF(AND(AE745&lt;15,OR(AC745&gt;=30,AA745&gt;0.15,X745&gt;=0.15)),2,VLOOKUP(AE745,Table!P:Q,2,FALSE))</f>
        <v>5</v>
      </c>
      <c r="AG745" s="22">
        <f>IF((AB745*0.98)-(D745*0.8)+((AF745-3)*3)+VLOOKUP(AM745,Table!$A$11:$B$13,2,FALSE)&lt;0,0,(AB745*0.98)-(D745*0.8)+((AF745-3)*3)+VLOOKUP(AM745,Table!$A$11:$B$13,2,FALSE))</f>
        <v>99.550200000000004</v>
      </c>
      <c r="AH745" s="22">
        <f t="shared" si="894"/>
        <v>100</v>
      </c>
      <c r="AI745" s="18">
        <f t="shared" si="887"/>
        <v>0.96</v>
      </c>
      <c r="AJ745" s="18">
        <f t="shared" si="888"/>
        <v>0.93</v>
      </c>
      <c r="AK745" t="str">
        <f t="shared" si="873"/>
        <v/>
      </c>
      <c r="AL745">
        <f t="shared" si="884"/>
        <v>37</v>
      </c>
      <c r="AM745" s="11" t="str">
        <f t="shared" si="874"/>
        <v>Stocks</v>
      </c>
      <c r="AN745" t="str">
        <f t="shared" si="880"/>
        <v>Buy</v>
      </c>
      <c r="AO745" s="13">
        <f t="shared" si="881"/>
        <v>2.4799999999999999E-2</v>
      </c>
      <c r="AP745" s="13">
        <f t="shared" si="882"/>
        <v>2.0000000000000001E-4</v>
      </c>
      <c r="AQ745" s="13">
        <f t="shared" si="883"/>
        <v>2.4799999999999999E-2</v>
      </c>
      <c r="AR745" s="13">
        <f t="shared" si="875"/>
        <v>2.4799999999999999E-2</v>
      </c>
      <c r="AS745" s="6">
        <f t="shared" si="867"/>
        <v>272.49755675063528</v>
      </c>
      <c r="AT745" s="6">
        <f t="shared" si="868"/>
        <v>160.5912716007889</v>
      </c>
      <c r="AU745" s="6">
        <f t="shared" si="869"/>
        <v>314.68231168822007</v>
      </c>
      <c r="AV745" s="6">
        <f t="shared" si="870"/>
        <v>385.7260794045074</v>
      </c>
      <c r="AW745" s="58">
        <f t="shared" si="876"/>
        <v>2004</v>
      </c>
      <c r="AX745" s="58">
        <f>COUNTIF(AW$3:AW745,AW745)</f>
        <v>32</v>
      </c>
    </row>
    <row r="746" spans="1:50" x14ac:dyDescent="0.25">
      <c r="A746" s="5">
        <v>38123</v>
      </c>
      <c r="B746">
        <v>1095.7</v>
      </c>
      <c r="C746">
        <v>1.02</v>
      </c>
      <c r="D746" s="6">
        <v>18.47</v>
      </c>
      <c r="E746" s="18">
        <f t="shared" si="889"/>
        <v>17.93</v>
      </c>
      <c r="F746">
        <f t="shared" si="890"/>
        <v>0</v>
      </c>
      <c r="G746" s="18">
        <f>ROUND(INDEX(Valuation!U:U,MATCH(A746,Valuation!A:A,0)),2)</f>
        <v>182.41</v>
      </c>
      <c r="H746">
        <f t="shared" si="897"/>
        <v>2</v>
      </c>
      <c r="I746" s="18">
        <f>INDEX(WeeklyIndicators!Y:Y,MATCH(A746,WeeklyIndicators!A:A,0))</f>
        <v>137.1</v>
      </c>
      <c r="J746">
        <f t="shared" si="886"/>
        <v>1</v>
      </c>
      <c r="K746">
        <f>ROUND(INDEX(Economic!AF:AF,MATCH(EOMONTH($A746,-1),Economic!A:A,0)),2)</f>
        <v>126.9</v>
      </c>
      <c r="L746" s="11">
        <f t="shared" si="895"/>
        <v>2</v>
      </c>
      <c r="M746">
        <f>ROUND(INDEX(Manufacturing!P:P,MATCH(EOMONTH($A746,-1),Manufacturing!A:A,0)),2)</f>
        <v>103.7</v>
      </c>
      <c r="N746">
        <f t="shared" si="891"/>
        <v>2</v>
      </c>
      <c r="O746">
        <f>ROUND(INDEX(Housing!AC:AC,MATCH(EOMONTH($A746,-1),Housing!B:B,0)),2)</f>
        <v>145.51</v>
      </c>
      <c r="P746">
        <f t="shared" si="892"/>
        <v>3</v>
      </c>
      <c r="Q746">
        <f>ROUND(INDEX(Spending!AJ:AJ,MATCH(EOMONTH($A746,-1),Spending!B:B,0)),2)</f>
        <v>64.23</v>
      </c>
      <c r="R746">
        <f t="shared" si="896"/>
        <v>2</v>
      </c>
      <c r="S746">
        <f>ROUND(INDEX(Employment!V:V,MATCH(EOMONTH($A746,-1),Employment!A:A,0)),2)</f>
        <v>167.26</v>
      </c>
      <c r="T746" s="11">
        <f t="shared" si="893"/>
        <v>1</v>
      </c>
      <c r="U746">
        <f t="shared" si="885"/>
        <v>33</v>
      </c>
      <c r="V746">
        <f t="shared" si="877"/>
        <v>81.84</v>
      </c>
      <c r="W746" s="13">
        <f t="shared" si="878"/>
        <v>-6.7000000000000002E-3</v>
      </c>
      <c r="X746" s="13">
        <f t="shared" si="879"/>
        <v>-3.49E-2</v>
      </c>
      <c r="Y746">
        <f t="shared" si="871"/>
        <v>90.23</v>
      </c>
      <c r="Z746" s="13">
        <f t="shared" si="866"/>
        <v>-6.1000000000000004E-3</v>
      </c>
      <c r="AA746" s="13">
        <f t="shared" si="862"/>
        <v>-2.58E-2</v>
      </c>
      <c r="AB746" s="6">
        <f t="shared" si="872"/>
        <v>101.621</v>
      </c>
      <c r="AC746">
        <f t="shared" si="864"/>
        <v>51</v>
      </c>
      <c r="AD746" s="11">
        <f t="shared" si="865"/>
        <v>2</v>
      </c>
      <c r="AE746">
        <f t="shared" si="863"/>
        <v>37</v>
      </c>
      <c r="AF746">
        <f>IF(AND(AE746&lt;15,OR(AC746&gt;=30,AA746&gt;0.15,X746&gt;=0.15)),2,VLOOKUP(AE746,Table!P:Q,2,FALSE))</f>
        <v>6</v>
      </c>
      <c r="AG746" s="22">
        <f>IF((AB746*0.98)-(D746*0.8)+((AF746-3)*3)+VLOOKUP(AM746,Table!$A$11:$B$13,2,FALSE)&lt;0,0,(AB746*0.98)-(D746*0.8)+((AF746-3)*3)+VLOOKUP(AM746,Table!$A$11:$B$13,2,FALSE))</f>
        <v>101.81258</v>
      </c>
      <c r="AH746" s="22">
        <f t="shared" si="894"/>
        <v>100</v>
      </c>
      <c r="AI746" s="18">
        <f t="shared" si="887"/>
        <v>0.95</v>
      </c>
      <c r="AJ746" s="18">
        <f t="shared" si="888"/>
        <v>0.93</v>
      </c>
      <c r="AK746" t="str">
        <f t="shared" si="873"/>
        <v/>
      </c>
      <c r="AL746">
        <f t="shared" si="884"/>
        <v>37.75</v>
      </c>
      <c r="AM746" s="11" t="str">
        <f t="shared" si="874"/>
        <v>Stocks</v>
      </c>
      <c r="AN746" t="str">
        <f t="shared" si="880"/>
        <v>Buy</v>
      </c>
      <c r="AO746" s="13">
        <f t="shared" si="881"/>
        <v>-2E-3</v>
      </c>
      <c r="AP746" s="13">
        <f t="shared" si="882"/>
        <v>2.0000000000000001E-4</v>
      </c>
      <c r="AQ746" s="13">
        <f t="shared" si="883"/>
        <v>-2E-3</v>
      </c>
      <c r="AR746" s="13">
        <f t="shared" si="875"/>
        <v>-2E-3</v>
      </c>
      <c r="AS746" s="6">
        <f t="shared" si="867"/>
        <v>273.04364403871273</v>
      </c>
      <c r="AT746" s="6">
        <f t="shared" si="868"/>
        <v>160.55915976883514</v>
      </c>
      <c r="AU746" s="6">
        <f t="shared" si="869"/>
        <v>315.31293756334674</v>
      </c>
      <c r="AV746" s="6">
        <f t="shared" si="870"/>
        <v>386.49907755962664</v>
      </c>
      <c r="AW746" s="58">
        <f t="shared" si="876"/>
        <v>2004</v>
      </c>
      <c r="AX746" s="58">
        <f>COUNTIF(AW$3:AW746,AW746)</f>
        <v>33</v>
      </c>
    </row>
    <row r="747" spans="1:50" x14ac:dyDescent="0.25">
      <c r="A747" s="5">
        <v>38116</v>
      </c>
      <c r="B747">
        <v>1098.7</v>
      </c>
      <c r="C747">
        <v>1</v>
      </c>
      <c r="D747" s="6">
        <v>18.13</v>
      </c>
      <c r="E747" s="18">
        <f t="shared" si="889"/>
        <v>16.440000000000001</v>
      </c>
      <c r="F747">
        <f t="shared" si="890"/>
        <v>0</v>
      </c>
      <c r="G747" s="18">
        <f>ROUND(INDEX(Valuation!U:U,MATCH(A747,Valuation!A:A,0)),2)</f>
        <v>179.02</v>
      </c>
      <c r="H747">
        <f t="shared" si="897"/>
        <v>2</v>
      </c>
      <c r="I747" s="18">
        <f>INDEX(WeeklyIndicators!Y:Y,MATCH(A747,WeeklyIndicators!A:A,0))</f>
        <v>136.84</v>
      </c>
      <c r="J747">
        <f t="shared" si="886"/>
        <v>1</v>
      </c>
      <c r="K747">
        <f>ROUND(INDEX(Economic!AF:AF,MATCH(EOMONTH($A747,-1),Economic!A:A,0)),2)</f>
        <v>126.9</v>
      </c>
      <c r="L747" s="11">
        <f t="shared" si="895"/>
        <v>2</v>
      </c>
      <c r="M747">
        <f>ROUND(INDEX(Manufacturing!P:P,MATCH(EOMONTH($A747,-1),Manufacturing!A:A,0)),2)</f>
        <v>103.7</v>
      </c>
      <c r="N747">
        <f t="shared" si="891"/>
        <v>2</v>
      </c>
      <c r="O747">
        <f>ROUND(INDEX(Housing!AC:AC,MATCH(EOMONTH($A747,-1),Housing!B:B,0)),2)</f>
        <v>145.51</v>
      </c>
      <c r="P747">
        <f t="shared" si="892"/>
        <v>3</v>
      </c>
      <c r="Q747">
        <f>ROUND(INDEX(Spending!AJ:AJ,MATCH(EOMONTH($A747,-1),Spending!B:B,0)),2)</f>
        <v>64.23</v>
      </c>
      <c r="R747">
        <f t="shared" si="896"/>
        <v>2</v>
      </c>
      <c r="S747">
        <f>ROUND(INDEX(Employment!V:V,MATCH(EOMONTH($A747,-1),Employment!A:A,0)),2)</f>
        <v>167.26</v>
      </c>
      <c r="T747" s="11">
        <f t="shared" si="893"/>
        <v>1</v>
      </c>
      <c r="U747">
        <f t="shared" si="885"/>
        <v>33</v>
      </c>
      <c r="V747">
        <f t="shared" si="877"/>
        <v>81.81</v>
      </c>
      <c r="W747" s="13">
        <f t="shared" si="878"/>
        <v>-9.2999999999999992E-3</v>
      </c>
      <c r="X747" s="13">
        <f t="shared" si="879"/>
        <v>-3.7399999999999996E-2</v>
      </c>
      <c r="Y747">
        <f t="shared" si="871"/>
        <v>90.34</v>
      </c>
      <c r="Z747" s="13">
        <f t="shared" si="866"/>
        <v>-7.3000000000000001E-3</v>
      </c>
      <c r="AA747" s="13">
        <f t="shared" si="862"/>
        <v>-2.5700000000000001E-2</v>
      </c>
      <c r="AB747" s="6">
        <f t="shared" si="872"/>
        <v>101.372</v>
      </c>
      <c r="AC747">
        <f t="shared" si="864"/>
        <v>51</v>
      </c>
      <c r="AD747" s="11">
        <f t="shared" si="865"/>
        <v>2</v>
      </c>
      <c r="AE747">
        <f t="shared" si="863"/>
        <v>37</v>
      </c>
      <c r="AF747">
        <f>IF(AND(AE747&lt;15,OR(AC747&gt;=30,AA747&gt;0.15,X747&gt;=0.15)),2,VLOOKUP(AE747,Table!P:Q,2,FALSE))</f>
        <v>6</v>
      </c>
      <c r="AG747" s="22">
        <f>IF((AB747*0.98)-(D747*0.8)+((AF747-3)*3)+VLOOKUP(AM747,Table!$A$11:$B$13,2,FALSE)&lt;0,0,(AB747*0.98)-(D747*0.8)+((AF747-3)*3)+VLOOKUP(AM747,Table!$A$11:$B$13,2,FALSE))</f>
        <v>101.84056</v>
      </c>
      <c r="AH747" s="22">
        <f t="shared" si="894"/>
        <v>100</v>
      </c>
      <c r="AI747" s="18">
        <f t="shared" si="887"/>
        <v>0.94</v>
      </c>
      <c r="AJ747" s="18">
        <f t="shared" si="888"/>
        <v>0.93</v>
      </c>
      <c r="AK747" t="str">
        <f t="shared" si="873"/>
        <v/>
      </c>
      <c r="AL747">
        <f t="shared" si="884"/>
        <v>38.25</v>
      </c>
      <c r="AM747" s="11" t="str">
        <f t="shared" si="874"/>
        <v>Stocks</v>
      </c>
      <c r="AN747" t="str">
        <f t="shared" si="880"/>
        <v>Buy</v>
      </c>
      <c r="AO747" s="13">
        <f t="shared" si="881"/>
        <v>-2.7000000000000001E-3</v>
      </c>
      <c r="AP747" s="13">
        <f t="shared" si="882"/>
        <v>2.0000000000000001E-4</v>
      </c>
      <c r="AQ747" s="13">
        <f t="shared" si="883"/>
        <v>-2.7000000000000001E-3</v>
      </c>
      <c r="AR747" s="13">
        <f t="shared" si="875"/>
        <v>-2.7000000000000001E-3</v>
      </c>
      <c r="AS747" s="6">
        <f t="shared" si="867"/>
        <v>273.78285775465031</v>
      </c>
      <c r="AT747" s="6">
        <f t="shared" si="868"/>
        <v>160.52705435796355</v>
      </c>
      <c r="AU747" s="6">
        <f t="shared" si="869"/>
        <v>316.16658734918957</v>
      </c>
      <c r="AV747" s="6">
        <f t="shared" si="870"/>
        <v>387.54545027537017</v>
      </c>
      <c r="AW747" s="58">
        <f t="shared" si="876"/>
        <v>2004</v>
      </c>
      <c r="AX747" s="58">
        <f>COUNTIF(AW$3:AW747,AW747)</f>
        <v>34</v>
      </c>
    </row>
    <row r="748" spans="1:50" x14ac:dyDescent="0.25">
      <c r="A748" s="5">
        <v>38109</v>
      </c>
      <c r="B748">
        <v>1107.3</v>
      </c>
      <c r="C748">
        <v>0.96</v>
      </c>
      <c r="D748" s="6">
        <v>17.190000000000001</v>
      </c>
      <c r="E748" s="18">
        <f t="shared" si="889"/>
        <v>15.38</v>
      </c>
      <c r="F748">
        <f t="shared" si="890"/>
        <v>1</v>
      </c>
      <c r="G748" s="18">
        <f>ROUND(INDEX(Valuation!U:U,MATCH(A748,Valuation!A:A,0)),2)</f>
        <v>175.84</v>
      </c>
      <c r="H748">
        <f t="shared" si="897"/>
        <v>2</v>
      </c>
      <c r="I748" s="18">
        <f>INDEX(WeeklyIndicators!Y:Y,MATCH(A748,WeeklyIndicators!A:A,0))</f>
        <v>137.55000000000001</v>
      </c>
      <c r="J748">
        <f t="shared" si="886"/>
        <v>1</v>
      </c>
      <c r="K748">
        <f>ROUND(INDEX(Economic!AF:AF,MATCH(EOMONTH($A748,-1),Economic!A:A,0)),2)</f>
        <v>126.9</v>
      </c>
      <c r="L748" s="11">
        <f t="shared" si="895"/>
        <v>2</v>
      </c>
      <c r="M748">
        <f>ROUND(INDEX(Manufacturing!P:P,MATCH(EOMONTH($A748,-1),Manufacturing!A:A,0)),2)</f>
        <v>103.7</v>
      </c>
      <c r="N748">
        <f t="shared" si="891"/>
        <v>2</v>
      </c>
      <c r="O748">
        <f>ROUND(INDEX(Housing!AC:AC,MATCH(EOMONTH($A748,-1),Housing!B:B,0)),2)</f>
        <v>145.51</v>
      </c>
      <c r="P748">
        <f t="shared" si="892"/>
        <v>3</v>
      </c>
      <c r="Q748">
        <f>ROUND(INDEX(Spending!AJ:AJ,MATCH(EOMONTH($A748,-1),Spending!B:B,0)),2)</f>
        <v>64.23</v>
      </c>
      <c r="R748">
        <f t="shared" si="896"/>
        <v>2</v>
      </c>
      <c r="S748">
        <f>ROUND(INDEX(Employment!V:V,MATCH(EOMONTH($A748,-1),Employment!A:A,0)),2)</f>
        <v>167.26</v>
      </c>
      <c r="T748" s="11">
        <f t="shared" si="893"/>
        <v>1</v>
      </c>
      <c r="U748">
        <f t="shared" si="885"/>
        <v>34</v>
      </c>
      <c r="V748">
        <f t="shared" si="877"/>
        <v>81.89</v>
      </c>
      <c r="W748" s="13">
        <f t="shared" si="878"/>
        <v>-1.17E-2</v>
      </c>
      <c r="X748" s="13">
        <f t="shared" si="879"/>
        <v>-3.2800000000000003E-2</v>
      </c>
      <c r="Y748">
        <f t="shared" si="871"/>
        <v>90.43</v>
      </c>
      <c r="Z748" s="13">
        <f t="shared" si="866"/>
        <v>-8.3999999999999995E-3</v>
      </c>
      <c r="AA748" s="13">
        <f t="shared" si="862"/>
        <v>-2.2200000000000001E-2</v>
      </c>
      <c r="AB748" s="6">
        <f t="shared" si="872"/>
        <v>101.42400000000001</v>
      </c>
      <c r="AC748">
        <f t="shared" si="864"/>
        <v>51</v>
      </c>
      <c r="AD748" s="11">
        <f t="shared" si="865"/>
        <v>2</v>
      </c>
      <c r="AE748">
        <f t="shared" si="863"/>
        <v>38</v>
      </c>
      <c r="AF748">
        <f>IF(AND(AE748&lt;15,OR(AC748&gt;=30,AA748&gt;0.15,X748&gt;=0.15)),2,VLOOKUP(AE748,Table!P:Q,2,FALSE))</f>
        <v>6</v>
      </c>
      <c r="AG748" s="22">
        <f>IF((AB748*0.98)-(D748*0.8)+((AF748-3)*3)+VLOOKUP(AM748,Table!$A$11:$B$13,2,FALSE)&lt;0,0,(AB748*0.98)-(D748*0.8)+((AF748-3)*3)+VLOOKUP(AM748,Table!$A$11:$B$13,2,FALSE))</f>
        <v>102.64352</v>
      </c>
      <c r="AH748" s="22">
        <f t="shared" si="894"/>
        <v>100</v>
      </c>
      <c r="AI748" s="18">
        <f t="shared" si="887"/>
        <v>0.93</v>
      </c>
      <c r="AJ748" s="18">
        <f t="shared" si="888"/>
        <v>0.92</v>
      </c>
      <c r="AK748" t="str">
        <f t="shared" si="873"/>
        <v/>
      </c>
      <c r="AL748">
        <f t="shared" si="884"/>
        <v>38.75</v>
      </c>
      <c r="AM748" s="11" t="str">
        <f t="shared" si="874"/>
        <v>Stocks</v>
      </c>
      <c r="AN748" t="str">
        <f t="shared" si="880"/>
        <v>Buy</v>
      </c>
      <c r="AO748" s="13">
        <f t="shared" si="881"/>
        <v>-7.7999999999999996E-3</v>
      </c>
      <c r="AP748" s="13">
        <f t="shared" si="882"/>
        <v>2.0000000000000001E-4</v>
      </c>
      <c r="AQ748" s="13">
        <f t="shared" si="883"/>
        <v>-7.7999999999999996E-3</v>
      </c>
      <c r="AR748" s="13">
        <f t="shared" si="875"/>
        <v>-7.7999999999999996E-3</v>
      </c>
      <c r="AS748" s="6">
        <f t="shared" si="867"/>
        <v>275.93515193978061</v>
      </c>
      <c r="AT748" s="6">
        <f t="shared" si="868"/>
        <v>160.49495536689017</v>
      </c>
      <c r="AU748" s="6">
        <f t="shared" si="869"/>
        <v>318.6520735226664</v>
      </c>
      <c r="AV748" s="6">
        <f t="shared" si="870"/>
        <v>390.59206840896007</v>
      </c>
      <c r="AW748" s="58">
        <f t="shared" si="876"/>
        <v>2004</v>
      </c>
      <c r="AX748" s="58">
        <f>COUNTIF(AW$3:AW748,AW748)</f>
        <v>35</v>
      </c>
    </row>
    <row r="749" spans="1:50" x14ac:dyDescent="0.25">
      <c r="A749" s="5">
        <v>38102</v>
      </c>
      <c r="B749">
        <v>1140.5999999999999</v>
      </c>
      <c r="C749">
        <v>0.96</v>
      </c>
      <c r="D749" s="6">
        <v>14.01</v>
      </c>
      <c r="E749" s="18">
        <f t="shared" si="889"/>
        <v>15.07</v>
      </c>
      <c r="F749">
        <f t="shared" si="890"/>
        <v>1</v>
      </c>
      <c r="G749" s="18">
        <f>ROUND(INDEX(Valuation!U:U,MATCH(A749,Valuation!A:A,0)),2)</f>
        <v>173.63</v>
      </c>
      <c r="H749">
        <f t="shared" si="897"/>
        <v>2</v>
      </c>
      <c r="I749" s="18">
        <f>INDEX(WeeklyIndicators!Y:Y,MATCH(A749,WeeklyIndicators!A:A,0))</f>
        <v>142.63999999999999</v>
      </c>
      <c r="J749">
        <f t="shared" si="886"/>
        <v>1</v>
      </c>
      <c r="K749">
        <f>ROUND(INDEX(Economic!AF:AF,MATCH(EOMONTH($A749,-1),Economic!A:A,0)),2)</f>
        <v>133.80000000000001</v>
      </c>
      <c r="L749" s="11">
        <f t="shared" si="895"/>
        <v>2</v>
      </c>
      <c r="M749">
        <f>ROUND(INDEX(Manufacturing!P:P,MATCH(EOMONTH($A749,-1),Manufacturing!A:A,0)),2)</f>
        <v>108.31</v>
      </c>
      <c r="N749">
        <f t="shared" si="891"/>
        <v>3</v>
      </c>
      <c r="O749">
        <f>ROUND(INDEX(Housing!AC:AC,MATCH(EOMONTH($A749,-1),Housing!B:B,0)),2)</f>
        <v>147.29</v>
      </c>
      <c r="P749">
        <f t="shared" si="892"/>
        <v>3</v>
      </c>
      <c r="Q749">
        <f>ROUND(INDEX(Spending!AJ:AJ,MATCH(EOMONTH($A749,-1),Spending!B:B,0)),2)</f>
        <v>61.56</v>
      </c>
      <c r="R749">
        <f t="shared" si="896"/>
        <v>2</v>
      </c>
      <c r="S749">
        <f>ROUND(INDEX(Employment!V:V,MATCH(EOMONTH($A749,-1),Employment!A:A,0)),2)</f>
        <v>162.07</v>
      </c>
      <c r="T749" s="11">
        <f t="shared" si="893"/>
        <v>1</v>
      </c>
      <c r="U749">
        <f t="shared" si="885"/>
        <v>35</v>
      </c>
      <c r="V749">
        <f t="shared" si="877"/>
        <v>83.49</v>
      </c>
      <c r="W749" s="13">
        <f t="shared" si="878"/>
        <v>-7.1999999999999998E-3</v>
      </c>
      <c r="X749" s="13">
        <f t="shared" si="879"/>
        <v>-2.1299999999999996E-2</v>
      </c>
      <c r="Y749">
        <f t="shared" si="871"/>
        <v>91.9</v>
      </c>
      <c r="Z749" s="13">
        <f t="shared" si="866"/>
        <v>-4.0000000000000001E-3</v>
      </c>
      <c r="AA749" s="13">
        <f t="shared" si="862"/>
        <v>-1.5699999999999999E-2</v>
      </c>
      <c r="AB749" s="6">
        <f t="shared" si="872"/>
        <v>103.283</v>
      </c>
      <c r="AC749">
        <f t="shared" si="864"/>
        <v>52</v>
      </c>
      <c r="AD749" s="11">
        <f t="shared" si="865"/>
        <v>2</v>
      </c>
      <c r="AE749">
        <f t="shared" si="863"/>
        <v>39</v>
      </c>
      <c r="AF749">
        <f>IF(AND(AE749&lt;15,OR(AC749&gt;=30,AA749&gt;0.15,X749&gt;=0.15)),2,VLOOKUP(AE749,Table!P:Q,2,FALSE))</f>
        <v>6</v>
      </c>
      <c r="AG749" s="22">
        <f>IF((AB749*0.98)-(D749*0.8)+((AF749-3)*3)+VLOOKUP(AM749,Table!$A$11:$B$13,2,FALSE)&lt;0,0,(AB749*0.98)-(D749*0.8)+((AF749-3)*3)+VLOOKUP(AM749,Table!$A$11:$B$13,2,FALSE))</f>
        <v>107.00933999999999</v>
      </c>
      <c r="AH749" s="22">
        <f t="shared" si="894"/>
        <v>100</v>
      </c>
      <c r="AI749" s="18">
        <f t="shared" si="887"/>
        <v>0.93</v>
      </c>
      <c r="AJ749" s="18">
        <f t="shared" si="888"/>
        <v>0.92</v>
      </c>
      <c r="AK749" t="str">
        <f t="shared" si="873"/>
        <v/>
      </c>
      <c r="AL749">
        <f t="shared" si="884"/>
        <v>39</v>
      </c>
      <c r="AM749" s="11" t="str">
        <f t="shared" si="874"/>
        <v>Stocks</v>
      </c>
      <c r="AN749" t="str">
        <f t="shared" si="880"/>
        <v>Buy</v>
      </c>
      <c r="AO749" s="13">
        <f t="shared" si="881"/>
        <v>-2.92E-2</v>
      </c>
      <c r="AP749" s="13">
        <f t="shared" si="882"/>
        <v>2.0000000000000001E-4</v>
      </c>
      <c r="AQ749" s="13">
        <f t="shared" si="883"/>
        <v>-2.92E-2</v>
      </c>
      <c r="AR749" s="13">
        <f t="shared" si="875"/>
        <v>-2.92E-2</v>
      </c>
      <c r="AS749" s="6">
        <f t="shared" si="867"/>
        <v>284.23480834340813</v>
      </c>
      <c r="AT749" s="6">
        <f t="shared" si="868"/>
        <v>160.4628627943313</v>
      </c>
      <c r="AU749" s="6">
        <f t="shared" si="869"/>
        <v>328.23658170855623</v>
      </c>
      <c r="AV749" s="6">
        <f t="shared" si="870"/>
        <v>402.34040833226214</v>
      </c>
      <c r="AW749" s="58">
        <f t="shared" si="876"/>
        <v>2004</v>
      </c>
      <c r="AX749" s="58">
        <f>COUNTIF(AW$3:AW749,AW749)</f>
        <v>36</v>
      </c>
    </row>
    <row r="750" spans="1:50" x14ac:dyDescent="0.25">
      <c r="A750" s="5">
        <v>38095</v>
      </c>
      <c r="B750">
        <v>1134.6099999999999</v>
      </c>
      <c r="C750">
        <v>0.93</v>
      </c>
      <c r="D750" s="6">
        <v>14.94</v>
      </c>
      <c r="E750" s="18">
        <f t="shared" si="889"/>
        <v>15.61</v>
      </c>
      <c r="F750">
        <f t="shared" si="890"/>
        <v>1</v>
      </c>
      <c r="G750" s="18">
        <f>ROUND(INDEX(Valuation!U:U,MATCH(A750,Valuation!A:A,0)),2)</f>
        <v>173.5</v>
      </c>
      <c r="H750">
        <f t="shared" si="897"/>
        <v>2</v>
      </c>
      <c r="I750" s="18">
        <f>INDEX(WeeklyIndicators!Y:Y,MATCH(A750,WeeklyIndicators!A:A,0))</f>
        <v>148.85</v>
      </c>
      <c r="J750">
        <f t="shared" si="886"/>
        <v>1</v>
      </c>
      <c r="K750">
        <f>ROUND(INDEX(Economic!AF:AF,MATCH(EOMONTH($A750,-1),Economic!A:A,0)),2)</f>
        <v>133.80000000000001</v>
      </c>
      <c r="L750" s="11">
        <f t="shared" si="895"/>
        <v>2</v>
      </c>
      <c r="M750">
        <f>ROUND(INDEX(Manufacturing!P:P,MATCH(EOMONTH($A750,-1),Manufacturing!A:A,0)),2)</f>
        <v>108.31</v>
      </c>
      <c r="N750">
        <f t="shared" si="891"/>
        <v>3</v>
      </c>
      <c r="O750">
        <f>ROUND(INDEX(Housing!AC:AC,MATCH(EOMONTH($A750,-1),Housing!B:B,0)),2)</f>
        <v>147.29</v>
      </c>
      <c r="P750">
        <f t="shared" si="892"/>
        <v>3</v>
      </c>
      <c r="Q750">
        <f>ROUND(INDEX(Spending!AJ:AJ,MATCH(EOMONTH($A750,-1),Spending!B:B,0)),2)</f>
        <v>61.56</v>
      </c>
      <c r="R750">
        <f t="shared" si="896"/>
        <v>2</v>
      </c>
      <c r="S750">
        <f>ROUND(INDEX(Employment!V:V,MATCH(EOMONTH($A750,-1),Employment!A:A,0)),2)</f>
        <v>162.07</v>
      </c>
      <c r="T750" s="11">
        <f t="shared" si="893"/>
        <v>1</v>
      </c>
      <c r="U750">
        <f t="shared" si="885"/>
        <v>35</v>
      </c>
      <c r="V750">
        <f t="shared" si="877"/>
        <v>84.13</v>
      </c>
      <c r="W750" s="13">
        <f t="shared" si="878"/>
        <v>-9.1999999999999998E-3</v>
      </c>
      <c r="X750" s="13">
        <f t="shared" si="879"/>
        <v>-7.3000000000000001E-3</v>
      </c>
      <c r="Y750">
        <f t="shared" si="871"/>
        <v>92.34</v>
      </c>
      <c r="Z750" s="13">
        <f t="shared" si="866"/>
        <v>-6.0000000000000001E-3</v>
      </c>
      <c r="AA750" s="13">
        <f t="shared" si="862"/>
        <v>-8.2000000000000007E-3</v>
      </c>
      <c r="AB750" s="6">
        <f t="shared" si="872"/>
        <v>104.36999999999999</v>
      </c>
      <c r="AC750">
        <f t="shared" si="864"/>
        <v>52</v>
      </c>
      <c r="AD750" s="11">
        <f t="shared" si="865"/>
        <v>2</v>
      </c>
      <c r="AE750">
        <f t="shared" si="863"/>
        <v>39</v>
      </c>
      <c r="AF750">
        <f>IF(AND(AE750&lt;15,OR(AC750&gt;=30,AA750&gt;0.15,X750&gt;=0.15)),2,VLOOKUP(AE750,Table!P:Q,2,FALSE))</f>
        <v>6</v>
      </c>
      <c r="AG750" s="22">
        <f>IF((AB750*0.98)-(D750*0.8)+((AF750-3)*3)+VLOOKUP(AM750,Table!$A$11:$B$13,2,FALSE)&lt;0,0,(AB750*0.98)-(D750*0.8)+((AF750-3)*3)+VLOOKUP(AM750,Table!$A$11:$B$13,2,FALSE))</f>
        <v>107.33059999999999</v>
      </c>
      <c r="AH750" s="22">
        <f t="shared" si="894"/>
        <v>100</v>
      </c>
      <c r="AI750" s="18">
        <f t="shared" si="887"/>
        <v>0.92</v>
      </c>
      <c r="AJ750" s="18">
        <f t="shared" si="888"/>
        <v>0.92</v>
      </c>
      <c r="AK750" t="str">
        <f t="shared" si="873"/>
        <v/>
      </c>
      <c r="AL750">
        <f t="shared" si="884"/>
        <v>38.75</v>
      </c>
      <c r="AM750" s="11" t="str">
        <f t="shared" si="874"/>
        <v>Stocks</v>
      </c>
      <c r="AN750" t="str">
        <f t="shared" si="880"/>
        <v>Buy</v>
      </c>
      <c r="AO750" s="13">
        <f t="shared" si="881"/>
        <v>5.3E-3</v>
      </c>
      <c r="AP750" s="13">
        <f t="shared" si="882"/>
        <v>2.0000000000000001E-4</v>
      </c>
      <c r="AQ750" s="13">
        <f t="shared" si="883"/>
        <v>5.3E-3</v>
      </c>
      <c r="AR750" s="13">
        <f t="shared" si="875"/>
        <v>5.3E-3</v>
      </c>
      <c r="AS750" s="6">
        <f t="shared" si="867"/>
        <v>282.73630592202142</v>
      </c>
      <c r="AT750" s="6">
        <f t="shared" si="868"/>
        <v>160.43077663900351</v>
      </c>
      <c r="AU750" s="6">
        <f t="shared" si="869"/>
        <v>326.50609938183248</v>
      </c>
      <c r="AV750" s="6">
        <f t="shared" si="870"/>
        <v>400.21924632673046</v>
      </c>
      <c r="AW750" s="58">
        <f t="shared" si="876"/>
        <v>2004</v>
      </c>
      <c r="AX750" s="58">
        <f>COUNTIF(AW$3:AW750,AW750)</f>
        <v>37</v>
      </c>
    </row>
    <row r="751" spans="1:50" x14ac:dyDescent="0.25">
      <c r="A751" s="5">
        <v>38088</v>
      </c>
      <c r="B751">
        <v>1139.32</v>
      </c>
      <c r="C751">
        <v>0.93</v>
      </c>
      <c r="D751" s="6">
        <v>16.260000000000002</v>
      </c>
      <c r="E751" s="18">
        <f t="shared" si="889"/>
        <v>16.41</v>
      </c>
      <c r="F751">
        <f t="shared" si="890"/>
        <v>0</v>
      </c>
      <c r="G751" s="18">
        <f>ROUND(INDEX(Valuation!U:U,MATCH(A751,Valuation!A:A,0)),2)</f>
        <v>173.48</v>
      </c>
      <c r="H751">
        <f t="shared" si="897"/>
        <v>2</v>
      </c>
      <c r="I751" s="18">
        <f>INDEX(WeeklyIndicators!Y:Y,MATCH(A751,WeeklyIndicators!A:A,0))</f>
        <v>155.78</v>
      </c>
      <c r="J751">
        <f t="shared" si="886"/>
        <v>2</v>
      </c>
      <c r="K751">
        <f>ROUND(INDEX(Economic!AF:AF,MATCH(EOMONTH($A751,-1),Economic!A:A,0)),2)</f>
        <v>133.80000000000001</v>
      </c>
      <c r="L751" s="11">
        <f t="shared" si="895"/>
        <v>2</v>
      </c>
      <c r="M751">
        <f>ROUND(INDEX(Manufacturing!P:P,MATCH(EOMONTH($A751,-1),Manufacturing!A:A,0)),2)</f>
        <v>108.31</v>
      </c>
      <c r="N751">
        <f t="shared" si="891"/>
        <v>3</v>
      </c>
      <c r="O751">
        <f>ROUND(INDEX(Housing!AC:AC,MATCH(EOMONTH($A751,-1),Housing!B:B,0)),2)</f>
        <v>147.29</v>
      </c>
      <c r="P751">
        <f t="shared" si="892"/>
        <v>3</v>
      </c>
      <c r="Q751">
        <f>ROUND(INDEX(Spending!AJ:AJ,MATCH(EOMONTH($A751,-1),Spending!B:B,0)),2)</f>
        <v>61.56</v>
      </c>
      <c r="R751">
        <f t="shared" si="896"/>
        <v>2</v>
      </c>
      <c r="S751">
        <f>ROUND(INDEX(Employment!V:V,MATCH(EOMONTH($A751,-1),Employment!A:A,0)),2)</f>
        <v>162.07</v>
      </c>
      <c r="T751" s="11">
        <f t="shared" si="893"/>
        <v>1</v>
      </c>
      <c r="U751">
        <f t="shared" si="885"/>
        <v>35</v>
      </c>
      <c r="V751">
        <f t="shared" si="877"/>
        <v>84.85</v>
      </c>
      <c r="W751" s="13">
        <f t="shared" si="878"/>
        <v>-4.7000000000000002E-3</v>
      </c>
      <c r="X751" s="13">
        <f t="shared" si="879"/>
        <v>9.0000000000000011E-3</v>
      </c>
      <c r="Y751">
        <f t="shared" si="871"/>
        <v>92.77</v>
      </c>
      <c r="Z751" s="13">
        <f t="shared" si="866"/>
        <v>-3.8E-3</v>
      </c>
      <c r="AA751" s="13">
        <f t="shared" si="862"/>
        <v>2.3999999999999998E-3</v>
      </c>
      <c r="AB751" s="6">
        <f t="shared" si="872"/>
        <v>105.69799999999999</v>
      </c>
      <c r="AC751">
        <f t="shared" si="864"/>
        <v>53</v>
      </c>
      <c r="AD751" s="11">
        <f t="shared" si="865"/>
        <v>2</v>
      </c>
      <c r="AE751">
        <f t="shared" si="863"/>
        <v>39</v>
      </c>
      <c r="AF751">
        <f>IF(AND(AE751&lt;15,OR(AC751&gt;=30,AA751&gt;0.15,X751&gt;=0.15)),2,VLOOKUP(AE751,Table!P:Q,2,FALSE))</f>
        <v>6</v>
      </c>
      <c r="AG751" s="22">
        <f>IF((AB751*0.98)-(D751*0.8)+((AF751-3)*3)+VLOOKUP(AM751,Table!$A$11:$B$13,2,FALSE)&lt;0,0,(AB751*0.98)-(D751*0.8)+((AF751-3)*3)+VLOOKUP(AM751,Table!$A$11:$B$13,2,FALSE))</f>
        <v>107.57603999999998</v>
      </c>
      <c r="AH751" s="22">
        <f t="shared" si="894"/>
        <v>100</v>
      </c>
      <c r="AI751" s="18">
        <f t="shared" si="887"/>
        <v>0.92</v>
      </c>
      <c r="AJ751" s="18">
        <f t="shared" si="888"/>
        <v>0.92</v>
      </c>
      <c r="AK751" t="str">
        <f t="shared" si="873"/>
        <v/>
      </c>
      <c r="AL751">
        <f t="shared" si="884"/>
        <v>38.75</v>
      </c>
      <c r="AM751" s="11" t="str">
        <f t="shared" si="874"/>
        <v>Stocks</v>
      </c>
      <c r="AN751" t="str">
        <f t="shared" si="880"/>
        <v>Buy</v>
      </c>
      <c r="AO751" s="13">
        <f t="shared" si="881"/>
        <v>-4.1000000000000003E-3</v>
      </c>
      <c r="AP751" s="13">
        <f t="shared" si="882"/>
        <v>2.0000000000000001E-4</v>
      </c>
      <c r="AQ751" s="13">
        <f t="shared" si="883"/>
        <v>-4.1000000000000003E-3</v>
      </c>
      <c r="AR751" s="13">
        <f t="shared" si="875"/>
        <v>-4.1000000000000003E-3</v>
      </c>
      <c r="AS751" s="6">
        <f t="shared" si="867"/>
        <v>283.90029714029663</v>
      </c>
      <c r="AT751" s="6">
        <f t="shared" si="868"/>
        <v>160.39869689962359</v>
      </c>
      <c r="AU751" s="6">
        <f t="shared" si="869"/>
        <v>327.85028555259811</v>
      </c>
      <c r="AV751" s="6">
        <f t="shared" si="870"/>
        <v>401.86690061926947</v>
      </c>
      <c r="AW751" s="58">
        <f t="shared" si="876"/>
        <v>2004</v>
      </c>
      <c r="AX751" s="58">
        <f>COUNTIF(AW$3:AW751,AW751)</f>
        <v>38</v>
      </c>
    </row>
    <row r="752" spans="1:50" x14ac:dyDescent="0.25">
      <c r="A752" s="5">
        <v>38081</v>
      </c>
      <c r="B752">
        <v>1141.81</v>
      </c>
      <c r="C752">
        <v>0.93</v>
      </c>
      <c r="D752" s="6">
        <v>15.64</v>
      </c>
      <c r="E752" s="18">
        <f t="shared" si="889"/>
        <v>17.37</v>
      </c>
      <c r="F752">
        <f t="shared" si="890"/>
        <v>0</v>
      </c>
      <c r="G752" s="18">
        <f>ROUND(INDEX(Valuation!U:U,MATCH(A752,Valuation!A:A,0)),2)</f>
        <v>174.43</v>
      </c>
      <c r="H752">
        <f t="shared" si="897"/>
        <v>2</v>
      </c>
      <c r="I752" s="18">
        <f>INDEX(WeeklyIndicators!Y:Y,MATCH(A752,WeeklyIndicators!A:A,0))</f>
        <v>160.24</v>
      </c>
      <c r="J752">
        <f t="shared" si="886"/>
        <v>2</v>
      </c>
      <c r="K752">
        <f>ROUND(INDEX(Economic!AF:AF,MATCH(EOMONTH($A752,-1),Economic!A:A,0)),2)</f>
        <v>133.80000000000001</v>
      </c>
      <c r="L752" s="11">
        <f t="shared" si="895"/>
        <v>2</v>
      </c>
      <c r="M752">
        <f>ROUND(INDEX(Manufacturing!P:P,MATCH(EOMONTH($A752,-1),Manufacturing!A:A,0)),2)</f>
        <v>108.31</v>
      </c>
      <c r="N752">
        <f t="shared" si="891"/>
        <v>3</v>
      </c>
      <c r="O752">
        <f>ROUND(INDEX(Housing!AC:AC,MATCH(EOMONTH($A752,-1),Housing!B:B,0)),2)</f>
        <v>147.29</v>
      </c>
      <c r="P752">
        <f t="shared" si="892"/>
        <v>3</v>
      </c>
      <c r="Q752">
        <f>ROUND(INDEX(Spending!AJ:AJ,MATCH(EOMONTH($A752,-1),Spending!B:B,0)),2)</f>
        <v>61.56</v>
      </c>
      <c r="R752">
        <f t="shared" si="896"/>
        <v>2</v>
      </c>
      <c r="S752">
        <f>ROUND(INDEX(Employment!V:V,MATCH(EOMONTH($A752,-1),Employment!A:A,0)),2)</f>
        <v>162.07</v>
      </c>
      <c r="T752" s="11">
        <f t="shared" si="893"/>
        <v>1</v>
      </c>
      <c r="U752">
        <f t="shared" si="885"/>
        <v>35</v>
      </c>
      <c r="V752">
        <f t="shared" si="877"/>
        <v>85.31</v>
      </c>
      <c r="W752" s="13">
        <f t="shared" si="878"/>
        <v>-2.0000000000000001E-4</v>
      </c>
      <c r="X752" s="13">
        <f t="shared" si="879"/>
        <v>1.9700000000000002E-2</v>
      </c>
      <c r="Y752">
        <f t="shared" si="871"/>
        <v>93.01</v>
      </c>
      <c r="Z752" s="13">
        <f t="shared" si="866"/>
        <v>-1.9E-3</v>
      </c>
      <c r="AA752" s="13">
        <f t="shared" si="862"/>
        <v>1.1300000000000001E-2</v>
      </c>
      <c r="AB752" s="6">
        <f t="shared" si="872"/>
        <v>106.753</v>
      </c>
      <c r="AC752">
        <f t="shared" si="864"/>
        <v>53</v>
      </c>
      <c r="AD752" s="11">
        <f t="shared" si="865"/>
        <v>2</v>
      </c>
      <c r="AE752">
        <f t="shared" si="863"/>
        <v>39</v>
      </c>
      <c r="AF752">
        <f>IF(AND(AE752&lt;15,OR(AC752&gt;=30,AA752&gt;0.15,X752&gt;=0.15)),2,VLOOKUP(AE752,Table!P:Q,2,FALSE))</f>
        <v>6</v>
      </c>
      <c r="AG752" s="22">
        <f>IF((AB752*0.98)-(D752*0.8)+((AF752-3)*3)+VLOOKUP(AM752,Table!$A$11:$B$13,2,FALSE)&lt;0,0,(AB752*0.98)-(D752*0.8)+((AF752-3)*3)+VLOOKUP(AM752,Table!$A$11:$B$13,2,FALSE))</f>
        <v>109.10594</v>
      </c>
      <c r="AH752" s="22">
        <f t="shared" si="894"/>
        <v>100</v>
      </c>
      <c r="AI752" s="18">
        <f t="shared" si="887"/>
        <v>0.91</v>
      </c>
      <c r="AJ752" s="18">
        <f t="shared" si="888"/>
        <v>0.92</v>
      </c>
      <c r="AK752" t="str">
        <f t="shared" si="873"/>
        <v/>
      </c>
      <c r="AL752">
        <f t="shared" si="884"/>
        <v>38.75</v>
      </c>
      <c r="AM752" s="11" t="str">
        <f t="shared" si="874"/>
        <v>Stocks</v>
      </c>
      <c r="AN752" t="str">
        <f t="shared" si="880"/>
        <v>Buy</v>
      </c>
      <c r="AO752" s="13">
        <f t="shared" si="881"/>
        <v>-2.2000000000000001E-3</v>
      </c>
      <c r="AP752" s="13">
        <f t="shared" si="882"/>
        <v>2.0000000000000001E-4</v>
      </c>
      <c r="AQ752" s="13">
        <f t="shared" si="883"/>
        <v>-2.2000000000000001E-3</v>
      </c>
      <c r="AR752" s="13">
        <f t="shared" si="875"/>
        <v>-2.2000000000000001E-3</v>
      </c>
      <c r="AS752" s="6">
        <f t="shared" si="867"/>
        <v>284.52625490107897</v>
      </c>
      <c r="AT752" s="6">
        <f t="shared" si="868"/>
        <v>160.3666235749086</v>
      </c>
      <c r="AU752" s="6">
        <f t="shared" si="869"/>
        <v>328.57314647484276</v>
      </c>
      <c r="AV752" s="6">
        <f t="shared" si="870"/>
        <v>402.75295712494432</v>
      </c>
      <c r="AW752" s="58">
        <f t="shared" si="876"/>
        <v>2004</v>
      </c>
      <c r="AX752" s="58">
        <f>COUNTIF(AW$3:AW752,AW752)</f>
        <v>39</v>
      </c>
    </row>
    <row r="753" spans="1:50" x14ac:dyDescent="0.25">
      <c r="A753" s="5">
        <v>38074</v>
      </c>
      <c r="B753">
        <v>1108.06</v>
      </c>
      <c r="C753">
        <v>0.93</v>
      </c>
      <c r="D753" s="6">
        <v>17.329999999999998</v>
      </c>
      <c r="E753" s="18">
        <f t="shared" si="889"/>
        <v>18.260000000000002</v>
      </c>
      <c r="F753">
        <f t="shared" si="890"/>
        <v>-1</v>
      </c>
      <c r="G753" s="18">
        <f>ROUND(INDEX(Valuation!U:U,MATCH(A753,Valuation!A:A,0)),2)</f>
        <v>175.99</v>
      </c>
      <c r="H753">
        <f t="shared" si="897"/>
        <v>2</v>
      </c>
      <c r="I753" s="18">
        <f>INDEX(WeeklyIndicators!Y:Y,MATCH(A753,WeeklyIndicators!A:A,0))</f>
        <v>160.52000000000001</v>
      </c>
      <c r="J753">
        <f t="shared" si="886"/>
        <v>2</v>
      </c>
      <c r="K753">
        <f>ROUND(INDEX(Economic!AF:AF,MATCH(EOMONTH($A753,-1),Economic!A:A,0)),2)</f>
        <v>133.99</v>
      </c>
      <c r="L753" s="11">
        <f t="shared" si="895"/>
        <v>2</v>
      </c>
      <c r="M753">
        <f>ROUND(INDEX(Manufacturing!P:P,MATCH(EOMONTH($A753,-1),Manufacturing!A:A,0)),2)</f>
        <v>112.91</v>
      </c>
      <c r="N753">
        <f t="shared" si="891"/>
        <v>3</v>
      </c>
      <c r="O753">
        <f>ROUND(INDEX(Housing!AC:AC,MATCH(EOMONTH($A753,-1),Housing!B:B,0)),2)</f>
        <v>154.31</v>
      </c>
      <c r="P753">
        <f t="shared" si="892"/>
        <v>3</v>
      </c>
      <c r="Q753">
        <f>ROUND(INDEX(Spending!AJ:AJ,MATCH(EOMONTH($A753,-1),Spending!B:B,0)),2)</f>
        <v>62.63</v>
      </c>
      <c r="R753">
        <f t="shared" si="896"/>
        <v>2</v>
      </c>
      <c r="S753">
        <f>ROUND(INDEX(Employment!V:V,MATCH(EOMONTH($A753,-1),Employment!A:A,0)),2)</f>
        <v>160.82</v>
      </c>
      <c r="T753" s="11">
        <f t="shared" si="893"/>
        <v>1</v>
      </c>
      <c r="U753">
        <f t="shared" si="885"/>
        <v>34</v>
      </c>
      <c r="V753">
        <f t="shared" si="877"/>
        <v>86.48</v>
      </c>
      <c r="W753" s="13">
        <f t="shared" si="878"/>
        <v>6.7999999999999996E-3</v>
      </c>
      <c r="X753" s="13">
        <f t="shared" si="879"/>
        <v>2.35E-2</v>
      </c>
      <c r="Y753">
        <f t="shared" si="871"/>
        <v>94.03</v>
      </c>
      <c r="Z753" s="13">
        <f t="shared" si="866"/>
        <v>3.5000000000000001E-3</v>
      </c>
      <c r="AA753" s="13">
        <f t="shared" si="862"/>
        <v>1.6500000000000001E-2</v>
      </c>
      <c r="AB753" s="6">
        <f t="shared" si="872"/>
        <v>108.349</v>
      </c>
      <c r="AC753">
        <f t="shared" si="864"/>
        <v>54</v>
      </c>
      <c r="AD753" s="11">
        <f t="shared" si="865"/>
        <v>2</v>
      </c>
      <c r="AE753">
        <f t="shared" si="863"/>
        <v>38</v>
      </c>
      <c r="AF753">
        <f>IF(AND(AE753&lt;15,OR(AC753&gt;=30,AA753&gt;0.15,X753&gt;=0.15)),2,VLOOKUP(AE753,Table!P:Q,2,FALSE))</f>
        <v>6</v>
      </c>
      <c r="AG753" s="22">
        <f>IF((AB753*0.98)-(D753*0.8)+((AF753-3)*3)+VLOOKUP(AM753,Table!$A$11:$B$13,2,FALSE)&lt;0,0,(AB753*0.98)-(D753*0.8)+((AF753-3)*3)+VLOOKUP(AM753,Table!$A$11:$B$13,2,FALSE))</f>
        <v>109.31802</v>
      </c>
      <c r="AH753" s="22">
        <f t="shared" si="894"/>
        <v>100</v>
      </c>
      <c r="AI753" s="18">
        <f t="shared" si="887"/>
        <v>0.91</v>
      </c>
      <c r="AJ753" s="18">
        <f t="shared" si="888"/>
        <v>0.92</v>
      </c>
      <c r="AK753" t="str">
        <f t="shared" si="873"/>
        <v/>
      </c>
      <c r="AL753">
        <f t="shared" si="884"/>
        <v>38.75</v>
      </c>
      <c r="AM753" s="11" t="str">
        <f t="shared" si="874"/>
        <v>Stocks</v>
      </c>
      <c r="AN753" t="str">
        <f t="shared" si="880"/>
        <v>Buy</v>
      </c>
      <c r="AO753" s="13">
        <f t="shared" si="881"/>
        <v>3.0499999999999999E-2</v>
      </c>
      <c r="AP753" s="13">
        <f t="shared" si="882"/>
        <v>2.0000000000000001E-4</v>
      </c>
      <c r="AQ753" s="13">
        <f t="shared" si="883"/>
        <v>3.0499999999999999E-2</v>
      </c>
      <c r="AR753" s="13">
        <f t="shared" si="875"/>
        <v>3.0499999999999999E-2</v>
      </c>
      <c r="AS753" s="6">
        <f t="shared" si="867"/>
        <v>276.10505085014944</v>
      </c>
      <c r="AT753" s="6">
        <f t="shared" si="868"/>
        <v>160.33455666357588</v>
      </c>
      <c r="AU753" s="6">
        <f t="shared" si="869"/>
        <v>318.84827411435492</v>
      </c>
      <c r="AV753" s="6">
        <f t="shared" si="870"/>
        <v>390.83256392522497</v>
      </c>
      <c r="AW753" s="58">
        <f t="shared" si="876"/>
        <v>2004</v>
      </c>
      <c r="AX753" s="58">
        <f>COUNTIF(AW$3:AW753,AW753)</f>
        <v>40</v>
      </c>
    </row>
    <row r="754" spans="1:50" x14ac:dyDescent="0.25">
      <c r="A754" s="5">
        <v>38067</v>
      </c>
      <c r="B754">
        <v>1109.78</v>
      </c>
      <c r="C754">
        <v>0.93</v>
      </c>
      <c r="D754" s="6">
        <v>19.149999999999999</v>
      </c>
      <c r="E754" s="18">
        <f t="shared" si="889"/>
        <v>17.309999999999999</v>
      </c>
      <c r="F754">
        <f t="shared" si="890"/>
        <v>0</v>
      </c>
      <c r="G754" s="18">
        <f>ROUND(INDEX(Valuation!U:U,MATCH(A754,Valuation!A:A,0)),2)</f>
        <v>175</v>
      </c>
      <c r="H754">
        <f t="shared" si="897"/>
        <v>2</v>
      </c>
      <c r="I754" s="18">
        <f>INDEX(WeeklyIndicators!Y:Y,MATCH(A754,WeeklyIndicators!A:A,0))</f>
        <v>156.58000000000001</v>
      </c>
      <c r="J754">
        <f t="shared" si="886"/>
        <v>2</v>
      </c>
      <c r="K754">
        <f>ROUND(INDEX(Economic!AF:AF,MATCH(EOMONTH($A754,-1),Economic!A:A,0)),2)</f>
        <v>133.99</v>
      </c>
      <c r="L754" s="11">
        <f t="shared" si="895"/>
        <v>2</v>
      </c>
      <c r="M754">
        <f>ROUND(INDEX(Manufacturing!P:P,MATCH(EOMONTH($A754,-1),Manufacturing!A:A,0)),2)</f>
        <v>112.91</v>
      </c>
      <c r="N754">
        <f t="shared" si="891"/>
        <v>3</v>
      </c>
      <c r="O754">
        <f>ROUND(INDEX(Housing!AC:AC,MATCH(EOMONTH($A754,-1),Housing!B:B,0)),2)</f>
        <v>154.31</v>
      </c>
      <c r="P754">
        <f t="shared" si="892"/>
        <v>3</v>
      </c>
      <c r="Q754">
        <f>ROUND(INDEX(Spending!AJ:AJ,MATCH(EOMONTH($A754,-1),Spending!B:B,0)),2)</f>
        <v>62.63</v>
      </c>
      <c r="R754">
        <f t="shared" si="896"/>
        <v>2</v>
      </c>
      <c r="S754">
        <f>ROUND(INDEX(Employment!V:V,MATCH(EOMONTH($A754,-1),Employment!A:A,0)),2)</f>
        <v>160.82</v>
      </c>
      <c r="T754" s="11">
        <f t="shared" si="893"/>
        <v>1</v>
      </c>
      <c r="U754">
        <f t="shared" si="885"/>
        <v>35</v>
      </c>
      <c r="V754">
        <f t="shared" si="877"/>
        <v>86.07</v>
      </c>
      <c r="W754" s="13">
        <f t="shared" si="878"/>
        <v>7.1000000000000004E-3</v>
      </c>
      <c r="X754" s="13">
        <f t="shared" si="879"/>
        <v>1.6899999999999998E-2</v>
      </c>
      <c r="Y754">
        <f t="shared" si="871"/>
        <v>93.85</v>
      </c>
      <c r="Z754" s="13">
        <f t="shared" si="866"/>
        <v>4.5999999999999999E-3</v>
      </c>
      <c r="AA754" s="13">
        <f t="shared" si="862"/>
        <v>1.37E-2</v>
      </c>
      <c r="AB754" s="6">
        <f t="shared" si="872"/>
        <v>107.81</v>
      </c>
      <c r="AC754">
        <f t="shared" si="864"/>
        <v>54</v>
      </c>
      <c r="AD754" s="11">
        <f t="shared" si="865"/>
        <v>2</v>
      </c>
      <c r="AE754">
        <f t="shared" si="863"/>
        <v>39</v>
      </c>
      <c r="AF754">
        <f>IF(AND(AE754&lt;15,OR(AC754&gt;=30,AA754&gt;0.15,X754&gt;=0.15)),2,VLOOKUP(AE754,Table!P:Q,2,FALSE))</f>
        <v>6</v>
      </c>
      <c r="AG754" s="22">
        <f>IF((AB754*0.98)-(D754*0.8)+((AF754-3)*3)+VLOOKUP(AM754,Table!$A$11:$B$13,2,FALSE)&lt;0,0,(AB754*0.98)-(D754*0.8)+((AF754-3)*3)+VLOOKUP(AM754,Table!$A$11:$B$13,2,FALSE))</f>
        <v>107.3338</v>
      </c>
      <c r="AH754" s="22">
        <f t="shared" si="894"/>
        <v>100</v>
      </c>
      <c r="AI754" s="18">
        <f t="shared" si="887"/>
        <v>0.91</v>
      </c>
      <c r="AJ754" s="18">
        <f t="shared" si="888"/>
        <v>0.92</v>
      </c>
      <c r="AK754" t="str">
        <f t="shared" si="873"/>
        <v/>
      </c>
      <c r="AL754">
        <f t="shared" si="884"/>
        <v>38.75</v>
      </c>
      <c r="AM754" s="11" t="str">
        <f t="shared" si="874"/>
        <v>Stocks</v>
      </c>
      <c r="AN754" t="str">
        <f t="shared" si="880"/>
        <v>Buy</v>
      </c>
      <c r="AO754" s="13">
        <f t="shared" si="881"/>
        <v>-1.5E-3</v>
      </c>
      <c r="AP754" s="13">
        <f t="shared" si="882"/>
        <v>2.0000000000000001E-4</v>
      </c>
      <c r="AQ754" s="13">
        <f t="shared" si="883"/>
        <v>-1.5E-3</v>
      </c>
      <c r="AR754" s="13">
        <f t="shared" si="875"/>
        <v>-1.5E-3</v>
      </c>
      <c r="AS754" s="6">
        <f t="shared" si="867"/>
        <v>276.51983059604351</v>
      </c>
      <c r="AT754" s="6">
        <f t="shared" si="868"/>
        <v>160.30249616434301</v>
      </c>
      <c r="AU754" s="6">
        <f t="shared" si="869"/>
        <v>319.32726501187273</v>
      </c>
      <c r="AV754" s="6">
        <f t="shared" si="870"/>
        <v>391.41969346542311</v>
      </c>
      <c r="AW754" s="58">
        <f t="shared" si="876"/>
        <v>2004</v>
      </c>
      <c r="AX754" s="58">
        <f>COUNTIF(AW$3:AW754,AW754)</f>
        <v>41</v>
      </c>
    </row>
    <row r="755" spans="1:50" x14ac:dyDescent="0.25">
      <c r="A755" s="5">
        <v>38060</v>
      </c>
      <c r="B755">
        <v>1120.57</v>
      </c>
      <c r="C755">
        <v>0.94</v>
      </c>
      <c r="D755" s="6">
        <v>18.3</v>
      </c>
      <c r="E755" s="18">
        <f t="shared" si="889"/>
        <v>15.78</v>
      </c>
      <c r="F755">
        <f t="shared" si="890"/>
        <v>1</v>
      </c>
      <c r="G755" s="18">
        <f>ROUND(INDEX(Valuation!U:U,MATCH(A755,Valuation!A:A,0)),2)</f>
        <v>173.69</v>
      </c>
      <c r="H755">
        <f t="shared" si="897"/>
        <v>2</v>
      </c>
      <c r="I755" s="18">
        <f>INDEX(WeeklyIndicators!Y:Y,MATCH(A755,WeeklyIndicators!A:A,0))</f>
        <v>149.84</v>
      </c>
      <c r="J755">
        <f t="shared" si="886"/>
        <v>1</v>
      </c>
      <c r="K755">
        <f>ROUND(INDEX(Economic!AF:AF,MATCH(EOMONTH($A755,-1),Economic!A:A,0)),2)</f>
        <v>133.99</v>
      </c>
      <c r="L755" s="11">
        <f t="shared" si="895"/>
        <v>2</v>
      </c>
      <c r="M755">
        <f>ROUND(INDEX(Manufacturing!P:P,MATCH(EOMONTH($A755,-1),Manufacturing!A:A,0)),2)</f>
        <v>112.91</v>
      </c>
      <c r="N755">
        <f t="shared" si="891"/>
        <v>3</v>
      </c>
      <c r="O755">
        <f>ROUND(INDEX(Housing!AC:AC,MATCH(EOMONTH($A755,-1),Housing!B:B,0)),2)</f>
        <v>154.31</v>
      </c>
      <c r="P755">
        <f t="shared" si="892"/>
        <v>3</v>
      </c>
      <c r="Q755">
        <f>ROUND(INDEX(Spending!AJ:AJ,MATCH(EOMONTH($A755,-1),Spending!B:B,0)),2)</f>
        <v>62.63</v>
      </c>
      <c r="R755">
        <f t="shared" si="896"/>
        <v>2</v>
      </c>
      <c r="S755">
        <f>ROUND(INDEX(Employment!V:V,MATCH(EOMONTH($A755,-1),Employment!A:A,0)),2)</f>
        <v>160.82</v>
      </c>
      <c r="T755" s="11">
        <f t="shared" si="893"/>
        <v>1</v>
      </c>
      <c r="U755">
        <f t="shared" si="885"/>
        <v>35</v>
      </c>
      <c r="V755">
        <f t="shared" si="877"/>
        <v>85.37</v>
      </c>
      <c r="W755" s="13">
        <f t="shared" si="878"/>
        <v>6.0000000000000001E-3</v>
      </c>
      <c r="X755" s="13">
        <f t="shared" si="879"/>
        <v>7.1000000000000013E-3</v>
      </c>
      <c r="Y755">
        <f t="shared" si="871"/>
        <v>93.54</v>
      </c>
      <c r="Z755" s="13">
        <f t="shared" si="866"/>
        <v>5.1000000000000004E-3</v>
      </c>
      <c r="AA755" s="13">
        <f t="shared" ref="AA755:AA818" si="898">SUM(Z755:Z758)</f>
        <v>7.000000000000001E-3</v>
      </c>
      <c r="AB755" s="6">
        <f t="shared" si="872"/>
        <v>106.79900000000001</v>
      </c>
      <c r="AC755">
        <f t="shared" si="864"/>
        <v>53</v>
      </c>
      <c r="AD755" s="11">
        <f t="shared" si="865"/>
        <v>2</v>
      </c>
      <c r="AE755">
        <f t="shared" si="863"/>
        <v>39</v>
      </c>
      <c r="AF755">
        <f>IF(AND(AE755&lt;15,OR(AC755&gt;=30,AA755&gt;0.15,X755&gt;=0.15)),2,VLOOKUP(AE755,Table!P:Q,2,FALSE))</f>
        <v>6</v>
      </c>
      <c r="AG755" s="22">
        <f>IF((AB755*0.98)-(D755*0.8)+((AF755-3)*3)+VLOOKUP(AM755,Table!$A$11:$B$13,2,FALSE)&lt;0,0,(AB755*0.98)-(D755*0.8)+((AF755-3)*3)+VLOOKUP(AM755,Table!$A$11:$B$13,2,FALSE))</f>
        <v>107.02302</v>
      </c>
      <c r="AH755" s="22">
        <f t="shared" si="894"/>
        <v>100</v>
      </c>
      <c r="AI755" s="18">
        <f t="shared" si="887"/>
        <v>0.91</v>
      </c>
      <c r="AJ755" s="18">
        <f t="shared" si="888"/>
        <v>0.92</v>
      </c>
      <c r="AK755" t="str">
        <f t="shared" si="873"/>
        <v/>
      </c>
      <c r="AL755">
        <f t="shared" si="884"/>
        <v>38.25</v>
      </c>
      <c r="AM755" s="11" t="str">
        <f t="shared" si="874"/>
        <v>Stocks</v>
      </c>
      <c r="AN755" t="str">
        <f t="shared" si="880"/>
        <v>Buy</v>
      </c>
      <c r="AO755" s="13">
        <f t="shared" si="881"/>
        <v>-9.5999999999999992E-3</v>
      </c>
      <c r="AP755" s="13">
        <f t="shared" si="882"/>
        <v>2.0000000000000001E-4</v>
      </c>
      <c r="AQ755" s="13">
        <f t="shared" si="883"/>
        <v>-9.5999999999999992E-3</v>
      </c>
      <c r="AR755" s="13">
        <f t="shared" si="875"/>
        <v>-9.5999999999999992E-3</v>
      </c>
      <c r="AS755" s="6">
        <f t="shared" si="867"/>
        <v>279.20015205577897</v>
      </c>
      <c r="AT755" s="6">
        <f t="shared" si="868"/>
        <v>160.27044207592783</v>
      </c>
      <c r="AU755" s="6">
        <f t="shared" si="869"/>
        <v>322.42252121554196</v>
      </c>
      <c r="AV755" s="6">
        <f t="shared" si="870"/>
        <v>395.21374542146924</v>
      </c>
      <c r="AW755" s="58">
        <f t="shared" si="876"/>
        <v>2004</v>
      </c>
      <c r="AX755" s="58">
        <f>COUNTIF(AW$3:AW755,AW755)</f>
        <v>42</v>
      </c>
    </row>
    <row r="756" spans="1:50" x14ac:dyDescent="0.25">
      <c r="A756" s="5">
        <v>38053</v>
      </c>
      <c r="B756">
        <v>1156.8599999999999</v>
      </c>
      <c r="C756">
        <v>0.94</v>
      </c>
      <c r="D756" s="6">
        <v>14.48</v>
      </c>
      <c r="E756" s="18">
        <f t="shared" si="889"/>
        <v>15.02</v>
      </c>
      <c r="F756">
        <f t="shared" si="890"/>
        <v>1</v>
      </c>
      <c r="G756" s="18">
        <f>ROUND(INDEX(Valuation!U:U,MATCH(A756,Valuation!A:A,0)),2)</f>
        <v>172.6</v>
      </c>
      <c r="H756">
        <f t="shared" si="897"/>
        <v>2</v>
      </c>
      <c r="I756" s="18">
        <f>INDEX(WeeklyIndicators!Y:Y,MATCH(A756,WeeklyIndicators!A:A,0))</f>
        <v>143.86000000000001</v>
      </c>
      <c r="J756">
        <f t="shared" si="886"/>
        <v>1</v>
      </c>
      <c r="K756">
        <f>ROUND(INDEX(Economic!AF:AF,MATCH(EOMONTH($A756,-1),Economic!A:A,0)),2)</f>
        <v>133.99</v>
      </c>
      <c r="L756" s="11">
        <f t="shared" si="895"/>
        <v>2</v>
      </c>
      <c r="M756">
        <f>ROUND(INDEX(Manufacturing!P:P,MATCH(EOMONTH($A756,-1),Manufacturing!A:A,0)),2)</f>
        <v>112.91</v>
      </c>
      <c r="N756">
        <f t="shared" si="891"/>
        <v>3</v>
      </c>
      <c r="O756">
        <f>ROUND(INDEX(Housing!AC:AC,MATCH(EOMONTH($A756,-1),Housing!B:B,0)),2)</f>
        <v>154.31</v>
      </c>
      <c r="P756">
        <f t="shared" si="892"/>
        <v>3</v>
      </c>
      <c r="Q756">
        <f>ROUND(INDEX(Spending!AJ:AJ,MATCH(EOMONTH($A756,-1),Spending!B:B,0)),2)</f>
        <v>62.63</v>
      </c>
      <c r="R756">
        <f t="shared" si="896"/>
        <v>2</v>
      </c>
      <c r="S756">
        <f>ROUND(INDEX(Employment!V:V,MATCH(EOMONTH($A756,-1),Employment!A:A,0)),2)</f>
        <v>160.82</v>
      </c>
      <c r="T756" s="11">
        <f t="shared" si="893"/>
        <v>1</v>
      </c>
      <c r="U756">
        <f t="shared" si="885"/>
        <v>35</v>
      </c>
      <c r="V756">
        <f t="shared" si="877"/>
        <v>84.75</v>
      </c>
      <c r="W756" s="13">
        <f t="shared" si="878"/>
        <v>3.5999999999999999E-3</v>
      </c>
      <c r="X756" s="13">
        <f t="shared" si="879"/>
        <v>-2.0000000000000009E-4</v>
      </c>
      <c r="Y756">
        <f t="shared" si="871"/>
        <v>93.06</v>
      </c>
      <c r="Z756" s="13">
        <f t="shared" si="866"/>
        <v>3.3E-3</v>
      </c>
      <c r="AA756" s="13">
        <f t="shared" si="898"/>
        <v>2.3000000000000004E-3</v>
      </c>
      <c r="AB756" s="6">
        <f t="shared" si="872"/>
        <v>105.80000000000001</v>
      </c>
      <c r="AC756">
        <f t="shared" si="864"/>
        <v>53</v>
      </c>
      <c r="AD756" s="11">
        <f t="shared" si="865"/>
        <v>2</v>
      </c>
      <c r="AE756">
        <f t="shared" si="863"/>
        <v>39</v>
      </c>
      <c r="AF756">
        <f>IF(AND(AE756&lt;15,OR(AC756&gt;=30,AA756&gt;0.15,X756&gt;=0.15)),2,VLOOKUP(AE756,Table!P:Q,2,FALSE))</f>
        <v>6</v>
      </c>
      <c r="AG756" s="22">
        <f>IF((AB756*0.98)-(D756*0.8)+((AF756-3)*3)+VLOOKUP(AM756,Table!$A$11:$B$13,2,FALSE)&lt;0,0,(AB756*0.98)-(D756*0.8)+((AF756-3)*3)+VLOOKUP(AM756,Table!$A$11:$B$13,2,FALSE))</f>
        <v>109.10000000000001</v>
      </c>
      <c r="AH756" s="22">
        <f t="shared" si="894"/>
        <v>100</v>
      </c>
      <c r="AI756" s="18">
        <f t="shared" si="887"/>
        <v>0.9</v>
      </c>
      <c r="AJ756" s="18">
        <f t="shared" si="888"/>
        <v>0.91</v>
      </c>
      <c r="AK756" t="str">
        <f t="shared" si="873"/>
        <v/>
      </c>
      <c r="AL756">
        <f t="shared" si="884"/>
        <v>37.5</v>
      </c>
      <c r="AM756" s="11" t="str">
        <f t="shared" si="874"/>
        <v>Stocks</v>
      </c>
      <c r="AN756" t="str">
        <f t="shared" si="880"/>
        <v>Buy</v>
      </c>
      <c r="AO756" s="13">
        <f t="shared" si="881"/>
        <v>-3.1399999999999997E-2</v>
      </c>
      <c r="AP756" s="13">
        <f t="shared" si="882"/>
        <v>2.0000000000000001E-4</v>
      </c>
      <c r="AQ756" s="13">
        <f t="shared" si="883"/>
        <v>-3.1399999999999997E-2</v>
      </c>
      <c r="AR756" s="13">
        <f t="shared" si="875"/>
        <v>-3.1399999999999997E-2</v>
      </c>
      <c r="AS756" s="6">
        <f t="shared" si="867"/>
        <v>288.25124102393039</v>
      </c>
      <c r="AT756" s="6">
        <f t="shared" si="868"/>
        <v>160.23839439704844</v>
      </c>
      <c r="AU756" s="6">
        <f t="shared" si="869"/>
        <v>332.87478960927314</v>
      </c>
      <c r="AV756" s="6">
        <f t="shared" si="870"/>
        <v>408.02575410021603</v>
      </c>
      <c r="AW756" s="58">
        <f t="shared" si="876"/>
        <v>2004</v>
      </c>
      <c r="AX756" s="58">
        <f>COUNTIF(AW$3:AW756,AW756)</f>
        <v>43</v>
      </c>
    </row>
    <row r="757" spans="1:50" x14ac:dyDescent="0.25">
      <c r="A757" s="5">
        <v>38046</v>
      </c>
      <c r="B757">
        <v>1144.94</v>
      </c>
      <c r="C757">
        <v>0.94</v>
      </c>
      <c r="D757" s="6">
        <v>14.55</v>
      </c>
      <c r="E757" s="18">
        <f t="shared" si="889"/>
        <v>15.39</v>
      </c>
      <c r="F757">
        <f t="shared" si="890"/>
        <v>1</v>
      </c>
      <c r="G757" s="18">
        <f>ROUND(INDEX(Valuation!U:U,MATCH(A757,Valuation!A:A,0)),2)</f>
        <v>173.68</v>
      </c>
      <c r="H757">
        <f t="shared" si="897"/>
        <v>2</v>
      </c>
      <c r="I757" s="18">
        <f>INDEX(WeeklyIndicators!Y:Y,MATCH(A757,WeeklyIndicators!A:A,0))</f>
        <v>138.68</v>
      </c>
      <c r="J757">
        <f t="shared" si="886"/>
        <v>1</v>
      </c>
      <c r="K757">
        <f>ROUND(INDEX(Economic!AF:AF,MATCH(EOMONTH($A757,-1),Economic!A:A,0)),2)</f>
        <v>132.93</v>
      </c>
      <c r="L757" s="11">
        <f t="shared" si="895"/>
        <v>2</v>
      </c>
      <c r="M757">
        <f>ROUND(INDEX(Manufacturing!P:P,MATCH(EOMONTH($A757,-1),Manufacturing!A:A,0)),2)</f>
        <v>112.95</v>
      </c>
      <c r="N757">
        <f t="shared" si="891"/>
        <v>3</v>
      </c>
      <c r="O757">
        <f>ROUND(INDEX(Housing!AC:AC,MATCH(EOMONTH($A757,-1),Housing!B:B,0)),2)</f>
        <v>157.63999999999999</v>
      </c>
      <c r="P757">
        <f t="shared" si="892"/>
        <v>3</v>
      </c>
      <c r="Q757">
        <f>ROUND(INDEX(Spending!AJ:AJ,MATCH(EOMONTH($A757,-1),Spending!B:B,0)),2)</f>
        <v>66.38</v>
      </c>
      <c r="R757">
        <f t="shared" si="896"/>
        <v>2</v>
      </c>
      <c r="S757">
        <f>ROUND(INDEX(Employment!V:V,MATCH(EOMONTH($A757,-1),Employment!A:A,0)),2)</f>
        <v>156.75</v>
      </c>
      <c r="T757" s="11">
        <f t="shared" si="893"/>
        <v>0</v>
      </c>
      <c r="U757">
        <f t="shared" si="885"/>
        <v>34</v>
      </c>
      <c r="V757">
        <f t="shared" si="877"/>
        <v>84.27</v>
      </c>
      <c r="W757" s="13">
        <f t="shared" si="878"/>
        <v>2.0000000000000001E-4</v>
      </c>
      <c r="X757" s="13">
        <f t="shared" si="879"/>
        <v>-4.8000000000000004E-3</v>
      </c>
      <c r="Y757">
        <f t="shared" si="871"/>
        <v>92.57</v>
      </c>
      <c r="Z757" s="13">
        <f t="shared" si="866"/>
        <v>6.9999999999999999E-4</v>
      </c>
      <c r="AA757" s="13">
        <f t="shared" si="898"/>
        <v>-1.0999999999999998E-3</v>
      </c>
      <c r="AB757" s="6">
        <f t="shared" si="872"/>
        <v>105.128</v>
      </c>
      <c r="AC757">
        <f t="shared" si="864"/>
        <v>53</v>
      </c>
      <c r="AD757" s="11">
        <f t="shared" si="865"/>
        <v>2</v>
      </c>
      <c r="AE757">
        <f t="shared" si="863"/>
        <v>38</v>
      </c>
      <c r="AF757">
        <f>IF(AND(AE757&lt;15,OR(AC757&gt;=30,AA757&gt;0.15,X757&gt;=0.15)),2,VLOOKUP(AE757,Table!P:Q,2,FALSE))</f>
        <v>6</v>
      </c>
      <c r="AG757" s="22">
        <f>IF((AB757*0.98)-(D757*0.8)+((AF757-3)*3)+VLOOKUP(AM757,Table!$A$11:$B$13,2,FALSE)&lt;0,0,(AB757*0.98)-(D757*0.8)+((AF757-3)*3)+VLOOKUP(AM757,Table!$A$11:$B$13,2,FALSE))</f>
        <v>108.38544</v>
      </c>
      <c r="AH757" s="22">
        <f t="shared" si="894"/>
        <v>100</v>
      </c>
      <c r="AI757" s="18">
        <f t="shared" si="887"/>
        <v>0.9</v>
      </c>
      <c r="AJ757" s="18">
        <f t="shared" si="888"/>
        <v>0.92</v>
      </c>
      <c r="AK757" t="str">
        <f t="shared" si="873"/>
        <v/>
      </c>
      <c r="AL757">
        <f t="shared" si="884"/>
        <v>37.25</v>
      </c>
      <c r="AM757" s="11" t="str">
        <f t="shared" si="874"/>
        <v>Stocks</v>
      </c>
      <c r="AN757" t="str">
        <f t="shared" si="880"/>
        <v>Buy</v>
      </c>
      <c r="AO757" s="13">
        <f t="shared" si="881"/>
        <v>1.04E-2</v>
      </c>
      <c r="AP757" s="13">
        <f t="shared" si="882"/>
        <v>2.0000000000000001E-4</v>
      </c>
      <c r="AQ757" s="13">
        <f t="shared" si="883"/>
        <v>1.04E-2</v>
      </c>
      <c r="AR757" s="13">
        <f t="shared" si="875"/>
        <v>1.04E-2</v>
      </c>
      <c r="AS757" s="6">
        <f t="shared" si="867"/>
        <v>285.28428446548929</v>
      </c>
      <c r="AT757" s="6">
        <f t="shared" si="868"/>
        <v>160.20635312642315</v>
      </c>
      <c r="AU757" s="6">
        <f t="shared" si="869"/>
        <v>329.44852494979529</v>
      </c>
      <c r="AV757" s="6">
        <f t="shared" si="870"/>
        <v>403.82596407384801</v>
      </c>
      <c r="AW757" s="58">
        <f t="shared" si="876"/>
        <v>2004</v>
      </c>
      <c r="AX757" s="58">
        <f>COUNTIF(AW$3:AW757,AW757)</f>
        <v>44</v>
      </c>
    </row>
    <row r="758" spans="1:50" x14ac:dyDescent="0.25">
      <c r="A758" s="5">
        <v>38039</v>
      </c>
      <c r="B758">
        <v>1144.1099999999999</v>
      </c>
      <c r="C758">
        <v>0.92</v>
      </c>
      <c r="D758" s="6">
        <v>16.04</v>
      </c>
      <c r="E758" s="18">
        <f t="shared" si="889"/>
        <v>15.87</v>
      </c>
      <c r="F758">
        <f t="shared" si="890"/>
        <v>1</v>
      </c>
      <c r="G758" s="18">
        <f>ROUND(INDEX(Valuation!U:U,MATCH(A758,Valuation!A:A,0)),2)</f>
        <v>174.94</v>
      </c>
      <c r="H758">
        <f t="shared" si="897"/>
        <v>2</v>
      </c>
      <c r="I758" s="18">
        <f>INDEX(WeeklyIndicators!Y:Y,MATCH(A758,WeeklyIndicators!A:A,0))</f>
        <v>134.72</v>
      </c>
      <c r="J758">
        <f t="shared" si="886"/>
        <v>0</v>
      </c>
      <c r="K758">
        <f>ROUND(INDEX(Economic!AF:AF,MATCH(EOMONTH($A758,-1),Economic!A:A,0)),2)</f>
        <v>132.93</v>
      </c>
      <c r="L758" s="11">
        <f t="shared" si="895"/>
        <v>2</v>
      </c>
      <c r="M758">
        <f>ROUND(INDEX(Manufacturing!P:P,MATCH(EOMONTH($A758,-1),Manufacturing!A:A,0)),2)</f>
        <v>112.95</v>
      </c>
      <c r="N758">
        <f t="shared" si="891"/>
        <v>3</v>
      </c>
      <c r="O758">
        <f>ROUND(INDEX(Housing!AC:AC,MATCH(EOMONTH($A758,-1),Housing!B:B,0)),2)</f>
        <v>157.63999999999999</v>
      </c>
      <c r="P758">
        <f t="shared" si="892"/>
        <v>3</v>
      </c>
      <c r="Q758">
        <f>ROUND(INDEX(Spending!AJ:AJ,MATCH(EOMONTH($A758,-1),Spending!B:B,0)),2)</f>
        <v>66.38</v>
      </c>
      <c r="R758">
        <f t="shared" si="896"/>
        <v>2</v>
      </c>
      <c r="S758">
        <f>ROUND(INDEX(Employment!V:V,MATCH(EOMONTH($A758,-1),Employment!A:A,0)),2)</f>
        <v>156.75</v>
      </c>
      <c r="T758" s="11">
        <f t="shared" si="893"/>
        <v>0</v>
      </c>
      <c r="U758">
        <f t="shared" si="885"/>
        <v>33</v>
      </c>
      <c r="V758">
        <f t="shared" si="877"/>
        <v>83.86</v>
      </c>
      <c r="W758" s="13">
        <f t="shared" si="878"/>
        <v>-2.7000000000000001E-3</v>
      </c>
      <c r="X758" s="13">
        <f t="shared" si="879"/>
        <v>-5.5999999999999999E-3</v>
      </c>
      <c r="Y758">
        <f t="shared" si="871"/>
        <v>92.13</v>
      </c>
      <c r="Z758" s="13">
        <f t="shared" si="866"/>
        <v>-2.0999999999999999E-3</v>
      </c>
      <c r="AA758" s="13">
        <f t="shared" si="898"/>
        <v>-1.4E-3</v>
      </c>
      <c r="AB758" s="6">
        <f t="shared" si="872"/>
        <v>104.774</v>
      </c>
      <c r="AC758">
        <f t="shared" si="864"/>
        <v>52</v>
      </c>
      <c r="AD758" s="11">
        <f t="shared" si="865"/>
        <v>2</v>
      </c>
      <c r="AE758">
        <f t="shared" si="863"/>
        <v>37</v>
      </c>
      <c r="AF758">
        <f>IF(AND(AE758&lt;15,OR(AC758&gt;=30,AA758&gt;0.15,X758&gt;=0.15)),2,VLOOKUP(AE758,Table!P:Q,2,FALSE))</f>
        <v>6</v>
      </c>
      <c r="AG758" s="22">
        <f>IF((AB758*0.98)-(D758*0.8)+((AF758-3)*3)+VLOOKUP(AM758,Table!$A$11:$B$13,2,FALSE)&lt;0,0,(AB758*0.98)-(D758*0.8)+((AF758-3)*3)+VLOOKUP(AM758,Table!$A$11:$B$13,2,FALSE))</f>
        <v>106.84652</v>
      </c>
      <c r="AH758" s="22">
        <f t="shared" si="894"/>
        <v>100</v>
      </c>
      <c r="AI758" s="18">
        <f t="shared" si="887"/>
        <v>0.9</v>
      </c>
      <c r="AJ758" s="18">
        <f t="shared" si="888"/>
        <v>0.92</v>
      </c>
      <c r="AK758" t="str">
        <f t="shared" si="873"/>
        <v/>
      </c>
      <c r="AL758">
        <f t="shared" si="884"/>
        <v>37.25</v>
      </c>
      <c r="AM758" s="11" t="str">
        <f t="shared" si="874"/>
        <v>Stocks</v>
      </c>
      <c r="AN758" t="str">
        <f t="shared" si="880"/>
        <v>Buy</v>
      </c>
      <c r="AO758" s="13">
        <f t="shared" si="881"/>
        <v>6.9999999999999999E-4</v>
      </c>
      <c r="AP758" s="13">
        <f t="shared" si="882"/>
        <v>2.0000000000000001E-4</v>
      </c>
      <c r="AQ758" s="13">
        <f t="shared" si="883"/>
        <v>6.9999999999999999E-4</v>
      </c>
      <c r="AR758" s="13">
        <f t="shared" si="875"/>
        <v>6.9999999999999999E-4</v>
      </c>
      <c r="AS758" s="6">
        <f t="shared" si="867"/>
        <v>285.08472515787878</v>
      </c>
      <c r="AT758" s="6">
        <f t="shared" si="868"/>
        <v>160.17431826277061</v>
      </c>
      <c r="AU758" s="6">
        <f t="shared" si="869"/>
        <v>329.21807229918591</v>
      </c>
      <c r="AV758" s="6">
        <f t="shared" si="870"/>
        <v>403.54348363530335</v>
      </c>
      <c r="AW758" s="58">
        <f t="shared" si="876"/>
        <v>2004</v>
      </c>
      <c r="AX758" s="58">
        <f>COUNTIF(AW$3:AW758,AW758)</f>
        <v>45</v>
      </c>
    </row>
    <row r="759" spans="1:50" x14ac:dyDescent="0.25">
      <c r="A759" s="5">
        <v>38032</v>
      </c>
      <c r="B759">
        <v>1145.81</v>
      </c>
      <c r="C759">
        <v>0.92</v>
      </c>
      <c r="D759" s="6">
        <v>15.58</v>
      </c>
      <c r="E759" s="18">
        <f t="shared" si="889"/>
        <v>16.07</v>
      </c>
      <c r="F759">
        <f t="shared" si="890"/>
        <v>0</v>
      </c>
      <c r="G759" s="18">
        <f>ROUND(INDEX(Valuation!U:U,MATCH(A759,Valuation!A:A,0)),2)</f>
        <v>175.99</v>
      </c>
      <c r="H759">
        <f t="shared" si="897"/>
        <v>2</v>
      </c>
      <c r="I759" s="18">
        <f>INDEX(WeeklyIndicators!Y:Y,MATCH(A759,WeeklyIndicators!A:A,0))</f>
        <v>134.57</v>
      </c>
      <c r="J759">
        <f t="shared" si="886"/>
        <v>0</v>
      </c>
      <c r="K759">
        <f>ROUND(INDEX(Economic!AF:AF,MATCH(EOMONTH($A759,-1),Economic!A:A,0)),2)</f>
        <v>132.93</v>
      </c>
      <c r="L759" s="11">
        <f t="shared" si="895"/>
        <v>2</v>
      </c>
      <c r="M759">
        <f>ROUND(INDEX(Manufacturing!P:P,MATCH(EOMONTH($A759,-1),Manufacturing!A:A,0)),2)</f>
        <v>112.95</v>
      </c>
      <c r="N759">
        <f t="shared" si="891"/>
        <v>3</v>
      </c>
      <c r="O759">
        <f>ROUND(INDEX(Housing!AC:AC,MATCH(EOMONTH($A759,-1),Housing!B:B,0)),2)</f>
        <v>157.63999999999999</v>
      </c>
      <c r="P759">
        <f t="shared" si="892"/>
        <v>3</v>
      </c>
      <c r="Q759">
        <f>ROUND(INDEX(Spending!AJ:AJ,MATCH(EOMONTH($A759,-1),Spending!B:B,0)),2)</f>
        <v>66.38</v>
      </c>
      <c r="R759">
        <f t="shared" si="896"/>
        <v>2</v>
      </c>
      <c r="S759">
        <f>ROUND(INDEX(Employment!V:V,MATCH(EOMONTH($A759,-1),Employment!A:A,0)),2)</f>
        <v>156.75</v>
      </c>
      <c r="T759" s="11">
        <f t="shared" si="893"/>
        <v>0</v>
      </c>
      <c r="U759">
        <f t="shared" si="885"/>
        <v>32</v>
      </c>
      <c r="V759">
        <f t="shared" si="877"/>
        <v>83.84</v>
      </c>
      <c r="W759" s="13">
        <f t="shared" si="878"/>
        <v>-1.2999999999999999E-3</v>
      </c>
      <c r="X759" s="13">
        <f t="shared" si="879"/>
        <v>-4.5999999999999999E-3</v>
      </c>
      <c r="Y759">
        <f t="shared" si="871"/>
        <v>92.16</v>
      </c>
      <c r="Z759" s="13">
        <f t="shared" si="866"/>
        <v>4.0000000000000002E-4</v>
      </c>
      <c r="AA759" s="13">
        <f t="shared" si="898"/>
        <v>-2E-3</v>
      </c>
      <c r="AB759" s="6">
        <f t="shared" si="872"/>
        <v>104.869</v>
      </c>
      <c r="AC759">
        <f t="shared" si="864"/>
        <v>52</v>
      </c>
      <c r="AD759" s="11">
        <f t="shared" si="865"/>
        <v>2</v>
      </c>
      <c r="AE759">
        <f t="shared" si="863"/>
        <v>36</v>
      </c>
      <c r="AF759">
        <f>IF(AND(AE759&lt;15,OR(AC759&gt;=30,AA759&gt;0.15,X759&gt;=0.15)),2,VLOOKUP(AE759,Table!P:Q,2,FALSE))</f>
        <v>5</v>
      </c>
      <c r="AG759" s="22">
        <f>IF((AB759*0.98)-(D759*0.8)+((AF759-3)*3)+VLOOKUP(AM759,Table!$A$11:$B$13,2,FALSE)&lt;0,0,(AB759*0.98)-(D759*0.8)+((AF759-3)*3)+VLOOKUP(AM759,Table!$A$11:$B$13,2,FALSE))</f>
        <v>104.30762</v>
      </c>
      <c r="AH759" s="22">
        <f t="shared" si="894"/>
        <v>100</v>
      </c>
      <c r="AI759" s="18">
        <f t="shared" si="887"/>
        <v>0.9</v>
      </c>
      <c r="AJ759" s="18">
        <f t="shared" si="888"/>
        <v>0.92</v>
      </c>
      <c r="AK759" t="str">
        <f t="shared" si="873"/>
        <v/>
      </c>
      <c r="AL759">
        <f t="shared" si="884"/>
        <v>37.5</v>
      </c>
      <c r="AM759" s="11" t="str">
        <f t="shared" si="874"/>
        <v>Stocks</v>
      </c>
      <c r="AN759" t="str">
        <f t="shared" si="880"/>
        <v>Buy</v>
      </c>
      <c r="AO759" s="13">
        <f t="shared" si="881"/>
        <v>-1.5E-3</v>
      </c>
      <c r="AP759" s="13">
        <f t="shared" si="882"/>
        <v>2.0000000000000001E-4</v>
      </c>
      <c r="AQ759" s="13">
        <f t="shared" si="883"/>
        <v>-1.5E-3</v>
      </c>
      <c r="AR759" s="13">
        <f t="shared" si="875"/>
        <v>-1.5E-3</v>
      </c>
      <c r="AS759" s="6">
        <f t="shared" si="867"/>
        <v>285.51299464985357</v>
      </c>
      <c r="AT759" s="6">
        <f t="shared" si="868"/>
        <v>160.14228980480965</v>
      </c>
      <c r="AU759" s="6">
        <f t="shared" si="869"/>
        <v>329.71264126107752</v>
      </c>
      <c r="AV759" s="6">
        <f t="shared" si="870"/>
        <v>404.14970819759975</v>
      </c>
      <c r="AW759" s="58">
        <f t="shared" si="876"/>
        <v>2004</v>
      </c>
      <c r="AX759" s="58">
        <f>COUNTIF(AW$3:AW759,AW759)</f>
        <v>46</v>
      </c>
    </row>
    <row r="760" spans="1:50" x14ac:dyDescent="0.25">
      <c r="A760" s="5">
        <v>38025</v>
      </c>
      <c r="B760">
        <v>1142.76</v>
      </c>
      <c r="C760">
        <v>0.92</v>
      </c>
      <c r="D760" s="6">
        <v>16</v>
      </c>
      <c r="E760" s="18">
        <f t="shared" si="889"/>
        <v>15.82</v>
      </c>
      <c r="F760">
        <f t="shared" si="890"/>
        <v>1</v>
      </c>
      <c r="G760" s="18">
        <f>ROUND(INDEX(Valuation!U:U,MATCH(A760,Valuation!A:A,0)),2)</f>
        <v>173.97</v>
      </c>
      <c r="H760">
        <f t="shared" si="897"/>
        <v>2</v>
      </c>
      <c r="I760" s="18">
        <f>INDEX(WeeklyIndicators!Y:Y,MATCH(A760,WeeklyIndicators!A:A,0))</f>
        <v>138.13</v>
      </c>
      <c r="J760">
        <f t="shared" si="886"/>
        <v>1</v>
      </c>
      <c r="K760">
        <f>ROUND(INDEX(Economic!AF:AF,MATCH(EOMONTH($A760,-1),Economic!A:A,0)),2)</f>
        <v>132.93</v>
      </c>
      <c r="L760" s="11">
        <f t="shared" si="895"/>
        <v>2</v>
      </c>
      <c r="M760">
        <f>ROUND(INDEX(Manufacturing!P:P,MATCH(EOMONTH($A760,-1),Manufacturing!A:A,0)),2)</f>
        <v>112.95</v>
      </c>
      <c r="N760">
        <f t="shared" si="891"/>
        <v>3</v>
      </c>
      <c r="O760">
        <f>ROUND(INDEX(Housing!AC:AC,MATCH(EOMONTH($A760,-1),Housing!B:B,0)),2)</f>
        <v>157.63999999999999</v>
      </c>
      <c r="P760">
        <f t="shared" si="892"/>
        <v>3</v>
      </c>
      <c r="Q760">
        <f>ROUND(INDEX(Spending!AJ:AJ,MATCH(EOMONTH($A760,-1),Spending!B:B,0)),2)</f>
        <v>66.38</v>
      </c>
      <c r="R760">
        <f t="shared" si="896"/>
        <v>2</v>
      </c>
      <c r="S760">
        <f>ROUND(INDEX(Employment!V:V,MATCH(EOMONTH($A760,-1),Employment!A:A,0)),2)</f>
        <v>156.75</v>
      </c>
      <c r="T760" s="11">
        <f t="shared" si="893"/>
        <v>0</v>
      </c>
      <c r="U760">
        <f t="shared" si="885"/>
        <v>34</v>
      </c>
      <c r="V760">
        <f t="shared" si="877"/>
        <v>84.21</v>
      </c>
      <c r="W760" s="13">
        <f t="shared" si="878"/>
        <v>-1E-3</v>
      </c>
      <c r="X760" s="13">
        <f t="shared" si="879"/>
        <v>5.9999999999999993E-3</v>
      </c>
      <c r="Y760">
        <f t="shared" si="871"/>
        <v>92.39</v>
      </c>
      <c r="Z760" s="13">
        <f t="shared" si="866"/>
        <v>-1E-4</v>
      </c>
      <c r="AA760" s="13">
        <f t="shared" si="898"/>
        <v>4.7000000000000002E-3</v>
      </c>
      <c r="AB760" s="6">
        <f t="shared" si="872"/>
        <v>105.467</v>
      </c>
      <c r="AC760">
        <f t="shared" si="864"/>
        <v>53</v>
      </c>
      <c r="AD760" s="11">
        <f t="shared" si="865"/>
        <v>2</v>
      </c>
      <c r="AE760">
        <f t="shared" ref="AE760:AE823" si="899">IF(AND(AA760&gt;=0.2,AC760&gt;=20,U760+AD760+2&lt;30),U760+AD760+2+12,U760+AD760+2)</f>
        <v>38</v>
      </c>
      <c r="AF760">
        <f>IF(AND(AE760&lt;15,OR(AC760&gt;=30,AA760&gt;0.15,X760&gt;=0.15)),2,VLOOKUP(AE760,Table!P:Q,2,FALSE))</f>
        <v>6</v>
      </c>
      <c r="AG760" s="22">
        <f>IF((AB760*0.98)-(D760*0.8)+((AF760-3)*3)+VLOOKUP(AM760,Table!$A$11:$B$13,2,FALSE)&lt;0,0,(AB760*0.98)-(D760*0.8)+((AF760-3)*3)+VLOOKUP(AM760,Table!$A$11:$B$13,2,FALSE))</f>
        <v>107.55766</v>
      </c>
      <c r="AH760" s="22">
        <f t="shared" si="894"/>
        <v>100</v>
      </c>
      <c r="AI760" s="18">
        <f t="shared" si="887"/>
        <v>0.9</v>
      </c>
      <c r="AJ760" s="18">
        <f t="shared" si="888"/>
        <v>0.93</v>
      </c>
      <c r="AK760" t="str">
        <f t="shared" si="873"/>
        <v/>
      </c>
      <c r="AL760">
        <f t="shared" si="884"/>
        <v>37.75</v>
      </c>
      <c r="AM760" s="11" t="str">
        <f t="shared" si="874"/>
        <v>Stocks</v>
      </c>
      <c r="AN760" t="str">
        <f t="shared" si="880"/>
        <v>Buy</v>
      </c>
      <c r="AO760" s="13">
        <f t="shared" si="881"/>
        <v>2.7000000000000001E-3</v>
      </c>
      <c r="AP760" s="13">
        <f t="shared" si="882"/>
        <v>2.0000000000000001E-4</v>
      </c>
      <c r="AQ760" s="13">
        <f t="shared" si="883"/>
        <v>2.7000000000000001E-3</v>
      </c>
      <c r="AR760" s="13">
        <f t="shared" si="875"/>
        <v>2.7000000000000001E-3</v>
      </c>
      <c r="AS760" s="6">
        <f t="shared" si="867"/>
        <v>284.7441853494102</v>
      </c>
      <c r="AT760" s="6">
        <f t="shared" si="868"/>
        <v>160.11026775125941</v>
      </c>
      <c r="AU760" s="6">
        <f t="shared" si="869"/>
        <v>328.82481426256862</v>
      </c>
      <c r="AV760" s="6">
        <f t="shared" si="870"/>
        <v>403.06144230338066</v>
      </c>
      <c r="AW760" s="58">
        <f t="shared" si="876"/>
        <v>2004</v>
      </c>
      <c r="AX760" s="58">
        <f>COUNTIF(AW$3:AW760,AW760)</f>
        <v>47</v>
      </c>
    </row>
    <row r="761" spans="1:50" x14ac:dyDescent="0.25">
      <c r="A761" s="5">
        <v>38018</v>
      </c>
      <c r="B761">
        <v>1131.1300000000001</v>
      </c>
      <c r="C761">
        <v>0.9</v>
      </c>
      <c r="D761" s="6">
        <v>16.63</v>
      </c>
      <c r="E761" s="18">
        <f t="shared" si="889"/>
        <v>15.49</v>
      </c>
      <c r="F761">
        <f t="shared" si="890"/>
        <v>1</v>
      </c>
      <c r="G761" s="18">
        <f>ROUND(INDEX(Valuation!U:U,MATCH(A761,Valuation!A:A,0)),2)</f>
        <v>172.68</v>
      </c>
      <c r="H761">
        <f t="shared" si="897"/>
        <v>2</v>
      </c>
      <c r="I761" s="18">
        <f>INDEX(WeeklyIndicators!Y:Y,MATCH(A761,WeeklyIndicators!A:A,0))</f>
        <v>141.31</v>
      </c>
      <c r="J761">
        <f t="shared" si="886"/>
        <v>1</v>
      </c>
      <c r="K761">
        <f>ROUND(INDEX(Economic!AF:AF,MATCH(EOMONTH($A761,-1),Economic!A:A,0)),2)</f>
        <v>132.93</v>
      </c>
      <c r="L761" s="11">
        <f t="shared" si="895"/>
        <v>2</v>
      </c>
      <c r="M761">
        <f>ROUND(INDEX(Manufacturing!P:P,MATCH(EOMONTH($A761,-1),Manufacturing!A:A,0)),2)</f>
        <v>112.95</v>
      </c>
      <c r="N761">
        <f t="shared" si="891"/>
        <v>3</v>
      </c>
      <c r="O761">
        <f>ROUND(INDEX(Housing!AC:AC,MATCH(EOMONTH($A761,-1),Housing!B:B,0)),2)</f>
        <v>157.63999999999999</v>
      </c>
      <c r="P761">
        <f t="shared" si="892"/>
        <v>3</v>
      </c>
      <c r="Q761">
        <f>ROUND(INDEX(Spending!AJ:AJ,MATCH(EOMONTH($A761,-1),Spending!B:B,0)),2)</f>
        <v>66.38</v>
      </c>
      <c r="R761">
        <f t="shared" si="896"/>
        <v>2</v>
      </c>
      <c r="S761">
        <f>ROUND(INDEX(Employment!V:V,MATCH(EOMONTH($A761,-1),Employment!A:A,0)),2)</f>
        <v>156.75</v>
      </c>
      <c r="T761" s="11">
        <f t="shared" si="893"/>
        <v>0</v>
      </c>
      <c r="U761">
        <f t="shared" si="885"/>
        <v>34</v>
      </c>
      <c r="V761">
        <f t="shared" si="877"/>
        <v>84.54</v>
      </c>
      <c r="W761" s="13">
        <f t="shared" si="878"/>
        <v>-5.9999999999999995E-4</v>
      </c>
      <c r="X761" s="13">
        <f t="shared" si="879"/>
        <v>1.9799999999999998E-2</v>
      </c>
      <c r="Y761">
        <f t="shared" si="871"/>
        <v>92.7</v>
      </c>
      <c r="Z761" s="13">
        <f t="shared" si="866"/>
        <v>4.0000000000000002E-4</v>
      </c>
      <c r="AA761" s="13">
        <f t="shared" si="898"/>
        <v>1.5100000000000001E-2</v>
      </c>
      <c r="AB761" s="6">
        <f t="shared" si="872"/>
        <v>106.498</v>
      </c>
      <c r="AC761">
        <f t="shared" si="864"/>
        <v>53</v>
      </c>
      <c r="AD761" s="11">
        <f t="shared" si="865"/>
        <v>2</v>
      </c>
      <c r="AE761">
        <f t="shared" si="899"/>
        <v>38</v>
      </c>
      <c r="AF761">
        <f>IF(AND(AE761&lt;15,OR(AC761&gt;=30,AA761&gt;0.15,X761&gt;=0.15)),2,VLOOKUP(AE761,Table!P:Q,2,FALSE))</f>
        <v>6</v>
      </c>
      <c r="AG761" s="22">
        <f>IF((AB761*0.98)-(D761*0.8)+((AF761-3)*3)+VLOOKUP(AM761,Table!$A$11:$B$13,2,FALSE)&lt;0,0,(AB761*0.98)-(D761*0.8)+((AF761-3)*3)+VLOOKUP(AM761,Table!$A$11:$B$13,2,FALSE))</f>
        <v>108.06404000000001</v>
      </c>
      <c r="AH761" s="22">
        <f t="shared" si="894"/>
        <v>100</v>
      </c>
      <c r="AI761" s="18">
        <f t="shared" si="887"/>
        <v>0.9</v>
      </c>
      <c r="AJ761" s="18">
        <f t="shared" si="888"/>
        <v>0.93</v>
      </c>
      <c r="AK761" t="str">
        <f t="shared" si="873"/>
        <v/>
      </c>
      <c r="AL761">
        <f t="shared" si="884"/>
        <v>37.5</v>
      </c>
      <c r="AM761" s="11" t="str">
        <f t="shared" si="874"/>
        <v>Stocks</v>
      </c>
      <c r="AN761" t="str">
        <f t="shared" si="880"/>
        <v>Buy</v>
      </c>
      <c r="AO761" s="13">
        <f t="shared" si="881"/>
        <v>1.03E-2</v>
      </c>
      <c r="AP761" s="13">
        <f t="shared" si="882"/>
        <v>2.0000000000000001E-4</v>
      </c>
      <c r="AQ761" s="13">
        <f t="shared" si="883"/>
        <v>1.03E-2</v>
      </c>
      <c r="AR761" s="13">
        <f t="shared" si="875"/>
        <v>1.03E-2</v>
      </c>
      <c r="AS761" s="6">
        <f t="shared" si="867"/>
        <v>281.84122077542332</v>
      </c>
      <c r="AT761" s="6">
        <f t="shared" si="868"/>
        <v>160.07825210083925</v>
      </c>
      <c r="AU761" s="6">
        <f t="shared" si="869"/>
        <v>325.47244804767757</v>
      </c>
      <c r="AV761" s="6">
        <f t="shared" si="870"/>
        <v>398.95223429019171</v>
      </c>
      <c r="AW761" s="58">
        <f t="shared" si="876"/>
        <v>2004</v>
      </c>
      <c r="AX761" s="58">
        <f>COUNTIF(AW$3:AW761,AW761)</f>
        <v>48</v>
      </c>
    </row>
    <row r="762" spans="1:50" x14ac:dyDescent="0.25">
      <c r="A762" s="5">
        <v>38011</v>
      </c>
      <c r="B762">
        <v>1141.55</v>
      </c>
      <c r="C762">
        <v>0.87</v>
      </c>
      <c r="D762" s="6">
        <v>14.84</v>
      </c>
      <c r="E762" s="18">
        <f t="shared" si="889"/>
        <v>15.53</v>
      </c>
      <c r="F762">
        <f t="shared" si="890"/>
        <v>1</v>
      </c>
      <c r="G762" s="18">
        <f>ROUND(INDEX(Valuation!U:U,MATCH(A762,Valuation!A:A,0)),2)</f>
        <v>170.48</v>
      </c>
      <c r="H762">
        <f t="shared" si="897"/>
        <v>2</v>
      </c>
      <c r="I762" s="18">
        <f>INDEX(WeeklyIndicators!Y:Y,MATCH(A762,WeeklyIndicators!A:A,0))</f>
        <v>144.08000000000001</v>
      </c>
      <c r="J762">
        <f t="shared" si="886"/>
        <v>1</v>
      </c>
      <c r="K762">
        <f>ROUND(INDEX(Economic!AF:AF,MATCH(EOMONTH($A762,-1),Economic!A:A,0)),2)</f>
        <v>126.7</v>
      </c>
      <c r="L762" s="11">
        <f t="shared" si="895"/>
        <v>2</v>
      </c>
      <c r="M762">
        <f>ROUND(INDEX(Manufacturing!P:P,MATCH(EOMONTH($A762,-1),Manufacturing!A:A,0)),2)</f>
        <v>110</v>
      </c>
      <c r="N762">
        <f t="shared" si="891"/>
        <v>3</v>
      </c>
      <c r="O762">
        <f>ROUND(INDEX(Housing!AC:AC,MATCH(EOMONTH($A762,-1),Housing!B:B,0)),2)</f>
        <v>158.62</v>
      </c>
      <c r="P762">
        <f t="shared" si="892"/>
        <v>3</v>
      </c>
      <c r="Q762">
        <f>ROUND(INDEX(Spending!AJ:AJ,MATCH(EOMONTH($A762,-1),Spending!B:B,0)),2)</f>
        <v>72.81</v>
      </c>
      <c r="R762">
        <f t="shared" si="896"/>
        <v>2</v>
      </c>
      <c r="S762">
        <f>ROUND(INDEX(Employment!V:V,MATCH(EOMONTH($A762,-1),Employment!A:A,0)),2)</f>
        <v>156.9</v>
      </c>
      <c r="T762" s="11">
        <f t="shared" si="893"/>
        <v>0</v>
      </c>
      <c r="U762">
        <f t="shared" si="885"/>
        <v>34</v>
      </c>
      <c r="V762">
        <f t="shared" si="877"/>
        <v>84.16</v>
      </c>
      <c r="W762" s="13">
        <f t="shared" si="878"/>
        <v>-1.6999999999999999E-3</v>
      </c>
      <c r="X762" s="13">
        <f t="shared" si="879"/>
        <v>3.3000000000000002E-2</v>
      </c>
      <c r="Y762">
        <f t="shared" si="871"/>
        <v>92.06</v>
      </c>
      <c r="Z762" s="13">
        <f t="shared" si="866"/>
        <v>-2.7000000000000001E-3</v>
      </c>
      <c r="AA762" s="13">
        <f t="shared" si="898"/>
        <v>2.64E-2</v>
      </c>
      <c r="AB762" s="6">
        <f t="shared" si="872"/>
        <v>106.508</v>
      </c>
      <c r="AC762">
        <f t="shared" si="864"/>
        <v>53</v>
      </c>
      <c r="AD762" s="11">
        <f t="shared" si="865"/>
        <v>2</v>
      </c>
      <c r="AE762">
        <f t="shared" si="899"/>
        <v>38</v>
      </c>
      <c r="AF762">
        <f>IF(AND(AE762&lt;15,OR(AC762&gt;=30,AA762&gt;0.15,X762&gt;=0.15)),2,VLOOKUP(AE762,Table!P:Q,2,FALSE))</f>
        <v>6</v>
      </c>
      <c r="AG762" s="22">
        <f>IF((AB762*0.98)-(D762*0.8)+((AF762-3)*3)+VLOOKUP(AM762,Table!$A$11:$B$13,2,FALSE)&lt;0,0,(AB762*0.98)-(D762*0.8)+((AF762-3)*3)+VLOOKUP(AM762,Table!$A$11:$B$13,2,FALSE))</f>
        <v>109.50583999999999</v>
      </c>
      <c r="AH762" s="22">
        <f t="shared" si="894"/>
        <v>100</v>
      </c>
      <c r="AI762" s="18">
        <f t="shared" si="887"/>
        <v>0.91</v>
      </c>
      <c r="AJ762" s="18">
        <f t="shared" si="888"/>
        <v>0.94</v>
      </c>
      <c r="AK762" t="str">
        <f t="shared" si="873"/>
        <v/>
      </c>
      <c r="AL762">
        <f t="shared" si="884"/>
        <v>37.25</v>
      </c>
      <c r="AM762" s="11" t="str">
        <f t="shared" si="874"/>
        <v>Stocks</v>
      </c>
      <c r="AN762" t="str">
        <f t="shared" si="880"/>
        <v>Buy</v>
      </c>
      <c r="AO762" s="13">
        <f t="shared" si="881"/>
        <v>-9.1000000000000004E-3</v>
      </c>
      <c r="AP762" s="13">
        <f t="shared" si="882"/>
        <v>2.0000000000000001E-4</v>
      </c>
      <c r="AQ762" s="13">
        <f t="shared" si="883"/>
        <v>-9.1000000000000004E-3</v>
      </c>
      <c r="AR762" s="13">
        <f t="shared" si="875"/>
        <v>-9.1000000000000004E-3</v>
      </c>
      <c r="AS762" s="6">
        <f t="shared" si="867"/>
        <v>284.42952949381709</v>
      </c>
      <c r="AT762" s="6">
        <f t="shared" si="868"/>
        <v>160.04624285226879</v>
      </c>
      <c r="AU762" s="6">
        <f t="shared" si="869"/>
        <v>328.4614472173555</v>
      </c>
      <c r="AV762" s="6">
        <f t="shared" si="870"/>
        <v>402.61604025652611</v>
      </c>
      <c r="AW762" s="58">
        <f t="shared" si="876"/>
        <v>2004</v>
      </c>
      <c r="AX762" s="58">
        <f>COUNTIF(AW$3:AW762,AW762)</f>
        <v>49</v>
      </c>
    </row>
    <row r="763" spans="1:50" x14ac:dyDescent="0.25">
      <c r="A763" s="5">
        <v>38004</v>
      </c>
      <c r="B763">
        <v>1139.83</v>
      </c>
      <c r="C763">
        <v>0.87</v>
      </c>
      <c r="D763" s="6">
        <v>15</v>
      </c>
      <c r="E763" s="18">
        <f t="shared" si="889"/>
        <v>16.66</v>
      </c>
      <c r="F763">
        <f t="shared" si="890"/>
        <v>0</v>
      </c>
      <c r="G763" s="18">
        <f>ROUND(INDEX(Valuation!U:U,MATCH(A763,Valuation!A:A,0)),2)</f>
        <v>174.46</v>
      </c>
      <c r="H763">
        <f t="shared" si="897"/>
        <v>2</v>
      </c>
      <c r="I763" s="18">
        <f>INDEX(WeeklyIndicators!Y:Y,MATCH(A763,WeeklyIndicators!A:A,0))</f>
        <v>146.99</v>
      </c>
      <c r="J763">
        <f t="shared" si="886"/>
        <v>1</v>
      </c>
      <c r="K763">
        <f>ROUND(INDEX(Economic!AF:AF,MATCH(EOMONTH($A763,-1),Economic!A:A,0)),2)</f>
        <v>126.7</v>
      </c>
      <c r="L763" s="11">
        <f t="shared" si="895"/>
        <v>2</v>
      </c>
      <c r="M763">
        <f>ROUND(INDEX(Manufacturing!P:P,MATCH(EOMONTH($A763,-1),Manufacturing!A:A,0)),2)</f>
        <v>110</v>
      </c>
      <c r="N763">
        <f t="shared" si="891"/>
        <v>3</v>
      </c>
      <c r="O763">
        <f>ROUND(INDEX(Housing!AC:AC,MATCH(EOMONTH($A763,-1),Housing!B:B,0)),2)</f>
        <v>158.62</v>
      </c>
      <c r="P763">
        <f t="shared" si="892"/>
        <v>3</v>
      </c>
      <c r="Q763">
        <f>ROUND(INDEX(Spending!AJ:AJ,MATCH(EOMONTH($A763,-1),Spending!B:B,0)),2)</f>
        <v>72.81</v>
      </c>
      <c r="R763">
        <f t="shared" si="896"/>
        <v>2</v>
      </c>
      <c r="S763">
        <f>ROUND(INDEX(Employment!V:V,MATCH(EOMONTH($A763,-1),Employment!A:A,0)),2)</f>
        <v>156.9</v>
      </c>
      <c r="T763" s="11">
        <f t="shared" si="893"/>
        <v>0</v>
      </c>
      <c r="U763">
        <f t="shared" si="885"/>
        <v>33</v>
      </c>
      <c r="V763">
        <f t="shared" si="877"/>
        <v>84.46</v>
      </c>
      <c r="W763" s="13">
        <f t="shared" si="878"/>
        <v>9.2999999999999992E-3</v>
      </c>
      <c r="X763" s="13">
        <f t="shared" si="879"/>
        <v>3.6799999999999999E-2</v>
      </c>
      <c r="Y763">
        <f t="shared" si="871"/>
        <v>92.41</v>
      </c>
      <c r="Z763" s="13">
        <f t="shared" si="866"/>
        <v>7.1000000000000004E-3</v>
      </c>
      <c r="AA763" s="13">
        <f t="shared" si="898"/>
        <v>3.27E-2</v>
      </c>
      <c r="AB763" s="6">
        <f t="shared" si="872"/>
        <v>107.726</v>
      </c>
      <c r="AC763">
        <f t="shared" si="864"/>
        <v>54</v>
      </c>
      <c r="AD763" s="11">
        <f t="shared" si="865"/>
        <v>2</v>
      </c>
      <c r="AE763">
        <f t="shared" si="899"/>
        <v>37</v>
      </c>
      <c r="AF763">
        <f>IF(AND(AE763&lt;15,OR(AC763&gt;=30,AA763&gt;0.15,X763&gt;=0.15)),2,VLOOKUP(AE763,Table!P:Q,2,FALSE))</f>
        <v>6</v>
      </c>
      <c r="AG763" s="22">
        <f>IF((AB763*0.98)-(D763*0.8)+((AF763-3)*3)+VLOOKUP(AM763,Table!$A$11:$B$13,2,FALSE)&lt;0,0,(AB763*0.98)-(D763*0.8)+((AF763-3)*3)+VLOOKUP(AM763,Table!$A$11:$B$13,2,FALSE))</f>
        <v>110.57147999999999</v>
      </c>
      <c r="AH763" s="22">
        <f t="shared" si="894"/>
        <v>100</v>
      </c>
      <c r="AI763" s="18">
        <f t="shared" si="887"/>
        <v>0.91</v>
      </c>
      <c r="AJ763" s="18">
        <f t="shared" si="888"/>
        <v>0.94</v>
      </c>
      <c r="AK763" t="str">
        <f t="shared" si="873"/>
        <v/>
      </c>
      <c r="AL763">
        <f t="shared" si="884"/>
        <v>36.75</v>
      </c>
      <c r="AM763" s="11" t="str">
        <f t="shared" si="874"/>
        <v>Stocks</v>
      </c>
      <c r="AN763" t="str">
        <f t="shared" si="880"/>
        <v>Buy</v>
      </c>
      <c r="AO763" s="13">
        <f t="shared" si="881"/>
        <v>1.5E-3</v>
      </c>
      <c r="AP763" s="13">
        <f t="shared" si="882"/>
        <v>2.0000000000000001E-4</v>
      </c>
      <c r="AQ763" s="13">
        <f t="shared" si="883"/>
        <v>1.5E-3</v>
      </c>
      <c r="AR763" s="13">
        <f t="shared" si="875"/>
        <v>1.5E-3</v>
      </c>
      <c r="AS763" s="6">
        <f t="shared" si="867"/>
        <v>284.00352420750579</v>
      </c>
      <c r="AT763" s="6">
        <f t="shared" si="868"/>
        <v>160.01424000426795</v>
      </c>
      <c r="AU763" s="6">
        <f t="shared" si="869"/>
        <v>327.96949297788865</v>
      </c>
      <c r="AV763" s="6">
        <f t="shared" si="870"/>
        <v>402.01302072543791</v>
      </c>
      <c r="AW763" s="58">
        <f t="shared" si="876"/>
        <v>2004</v>
      </c>
      <c r="AX763" s="58">
        <f>COUNTIF(AW$3:AW763,AW763)</f>
        <v>50</v>
      </c>
    </row>
    <row r="764" spans="1:50" x14ac:dyDescent="0.25">
      <c r="A764" s="5">
        <v>37997</v>
      </c>
      <c r="B764">
        <v>1121.8599999999999</v>
      </c>
      <c r="C764">
        <v>0.88</v>
      </c>
      <c r="D764" s="6">
        <v>16.75</v>
      </c>
      <c r="E764" s="18">
        <f t="shared" si="889"/>
        <v>17.47</v>
      </c>
      <c r="F764">
        <f t="shared" si="890"/>
        <v>0</v>
      </c>
      <c r="G764" s="18">
        <f>ROUND(INDEX(Valuation!U:U,MATCH(A764,Valuation!A:A,0)),2)</f>
        <v>176.56</v>
      </c>
      <c r="H764">
        <f t="shared" si="897"/>
        <v>2</v>
      </c>
      <c r="I764" s="18">
        <f>INDEX(WeeklyIndicators!Y:Y,MATCH(A764,WeeklyIndicators!A:A,0))</f>
        <v>149.07</v>
      </c>
      <c r="J764">
        <f t="shared" si="886"/>
        <v>1</v>
      </c>
      <c r="K764">
        <f>ROUND(INDEX(Economic!AF:AF,MATCH(EOMONTH($A764,-1),Economic!A:A,0)),2)</f>
        <v>126.7</v>
      </c>
      <c r="L764" s="11">
        <f t="shared" si="895"/>
        <v>2</v>
      </c>
      <c r="M764">
        <f>ROUND(INDEX(Manufacturing!P:P,MATCH(EOMONTH($A764,-1),Manufacturing!A:A,0)),2)</f>
        <v>110</v>
      </c>
      <c r="N764">
        <f t="shared" si="891"/>
        <v>3</v>
      </c>
      <c r="O764">
        <f>ROUND(INDEX(Housing!AC:AC,MATCH(EOMONTH($A764,-1),Housing!B:B,0)),2)</f>
        <v>158.62</v>
      </c>
      <c r="P764">
        <f t="shared" si="892"/>
        <v>3</v>
      </c>
      <c r="Q764">
        <f>ROUND(INDEX(Spending!AJ:AJ,MATCH(EOMONTH($A764,-1),Spending!B:B,0)),2)</f>
        <v>72.81</v>
      </c>
      <c r="R764">
        <f t="shared" si="896"/>
        <v>2</v>
      </c>
      <c r="S764">
        <f>ROUND(INDEX(Employment!V:V,MATCH(EOMONTH($A764,-1),Employment!A:A,0)),2)</f>
        <v>156.9</v>
      </c>
      <c r="T764" s="11">
        <f t="shared" si="893"/>
        <v>0</v>
      </c>
      <c r="U764">
        <f t="shared" si="885"/>
        <v>33</v>
      </c>
      <c r="V764">
        <f t="shared" si="877"/>
        <v>84.68</v>
      </c>
      <c r="W764" s="13">
        <f t="shared" si="878"/>
        <v>1.2800000000000001E-2</v>
      </c>
      <c r="X764" s="13">
        <f t="shared" si="879"/>
        <v>3.3799999999999997E-2</v>
      </c>
      <c r="Y764">
        <f t="shared" si="871"/>
        <v>92.58</v>
      </c>
      <c r="Z764" s="13">
        <f t="shared" si="866"/>
        <v>1.03E-2</v>
      </c>
      <c r="AA764" s="13">
        <f t="shared" si="898"/>
        <v>3.2799999999999996E-2</v>
      </c>
      <c r="AB764" s="6">
        <f t="shared" si="872"/>
        <v>108.096</v>
      </c>
      <c r="AC764">
        <f t="shared" si="864"/>
        <v>54</v>
      </c>
      <c r="AD764" s="11">
        <f t="shared" si="865"/>
        <v>2</v>
      </c>
      <c r="AE764">
        <f t="shared" si="899"/>
        <v>37</v>
      </c>
      <c r="AF764">
        <f>IF(AND(AE764&lt;15,OR(AC764&gt;=30,AA764&gt;0.15,X764&gt;=0.15)),2,VLOOKUP(AE764,Table!P:Q,2,FALSE))</f>
        <v>6</v>
      </c>
      <c r="AG764" s="22">
        <f>IF((AB764*0.98)-(D764*0.8)+((AF764-3)*3)+VLOOKUP(AM764,Table!$A$11:$B$13,2,FALSE)&lt;0,0,(AB764*0.98)-(D764*0.8)+((AF764-3)*3)+VLOOKUP(AM764,Table!$A$11:$B$13,2,FALSE))</f>
        <v>109.53408</v>
      </c>
      <c r="AH764" s="22">
        <f t="shared" si="894"/>
        <v>100</v>
      </c>
      <c r="AI764" s="18">
        <f t="shared" si="887"/>
        <v>0.91</v>
      </c>
      <c r="AJ764" s="18">
        <f t="shared" si="888"/>
        <v>0.95</v>
      </c>
      <c r="AK764" t="str">
        <f t="shared" si="873"/>
        <v/>
      </c>
      <c r="AL764">
        <f t="shared" si="884"/>
        <v>36.5</v>
      </c>
      <c r="AM764" s="11" t="str">
        <f t="shared" si="874"/>
        <v>Stocks</v>
      </c>
      <c r="AN764" t="str">
        <f t="shared" si="880"/>
        <v>Buy</v>
      </c>
      <c r="AO764" s="13">
        <f t="shared" si="881"/>
        <v>1.6E-2</v>
      </c>
      <c r="AP764" s="13">
        <f t="shared" si="882"/>
        <v>2.0000000000000001E-4</v>
      </c>
      <c r="AQ764" s="13">
        <f t="shared" si="883"/>
        <v>1.6E-2</v>
      </c>
      <c r="AR764" s="13">
        <f t="shared" si="875"/>
        <v>1.6E-2</v>
      </c>
      <c r="AS764" s="6">
        <f t="shared" si="867"/>
        <v>279.53102776329308</v>
      </c>
      <c r="AT764" s="6">
        <f t="shared" si="868"/>
        <v>159.98224355555683</v>
      </c>
      <c r="AU764" s="6">
        <f t="shared" si="869"/>
        <v>322.80461907272502</v>
      </c>
      <c r="AV764" s="6">
        <f t="shared" si="870"/>
        <v>395.6821070132263</v>
      </c>
      <c r="AW764" s="58">
        <f t="shared" si="876"/>
        <v>2004</v>
      </c>
      <c r="AX764" s="58">
        <f>COUNTIF(AW$3:AW764,AW764)</f>
        <v>51</v>
      </c>
    </row>
    <row r="765" spans="1:50" x14ac:dyDescent="0.25">
      <c r="A765" s="5">
        <v>37990</v>
      </c>
      <c r="B765">
        <v>1108.48</v>
      </c>
      <c r="C765">
        <v>0.91</v>
      </c>
      <c r="D765" s="6">
        <v>18.219999000000001</v>
      </c>
      <c r="E765" s="18">
        <f t="shared" si="889"/>
        <v>17.36</v>
      </c>
      <c r="F765">
        <f t="shared" si="890"/>
        <v>0</v>
      </c>
      <c r="G765" s="18">
        <f>ROUND(INDEX(Valuation!U:U,MATCH(A765,Valuation!A:A,0)),2)</f>
        <v>179.27</v>
      </c>
      <c r="H765">
        <f t="shared" si="897"/>
        <v>2</v>
      </c>
      <c r="I765" s="18">
        <f>INDEX(WeeklyIndicators!Y:Y,MATCH(A765,WeeklyIndicators!A:A,0))</f>
        <v>148.13</v>
      </c>
      <c r="J765">
        <f t="shared" si="886"/>
        <v>1</v>
      </c>
      <c r="K765">
        <f>ROUND(INDEX(Economic!AF:AF,MATCH(EOMONTH($A765,-1),Economic!A:A,0)),2)</f>
        <v>126.7</v>
      </c>
      <c r="L765" s="11">
        <f t="shared" si="895"/>
        <v>2</v>
      </c>
      <c r="M765">
        <f>ROUND(INDEX(Manufacturing!P:P,MATCH(EOMONTH($A765,-1),Manufacturing!A:A,0)),2)</f>
        <v>110</v>
      </c>
      <c r="N765">
        <f t="shared" si="891"/>
        <v>3</v>
      </c>
      <c r="O765">
        <f>ROUND(INDEX(Housing!AC:AC,MATCH(EOMONTH($A765,-1),Housing!B:B,0)),2)</f>
        <v>158.62</v>
      </c>
      <c r="P765">
        <f t="shared" si="892"/>
        <v>3</v>
      </c>
      <c r="Q765">
        <f>ROUND(INDEX(Spending!AJ:AJ,MATCH(EOMONTH($A765,-1),Spending!B:B,0)),2)</f>
        <v>72.81</v>
      </c>
      <c r="R765">
        <f t="shared" si="896"/>
        <v>2</v>
      </c>
      <c r="S765">
        <f>ROUND(INDEX(Employment!V:V,MATCH(EOMONTH($A765,-1),Employment!A:A,0)),2)</f>
        <v>156.9</v>
      </c>
      <c r="T765" s="11">
        <f t="shared" si="893"/>
        <v>0</v>
      </c>
      <c r="U765">
        <f t="shared" si="885"/>
        <v>33</v>
      </c>
      <c r="V765">
        <f t="shared" si="877"/>
        <v>84.58</v>
      </c>
      <c r="W765" s="13">
        <f t="shared" si="878"/>
        <v>1.26E-2</v>
      </c>
      <c r="X765" s="13">
        <f t="shared" si="879"/>
        <v>2.6799999999999997E-2</v>
      </c>
      <c r="Y765">
        <f t="shared" si="871"/>
        <v>92.82</v>
      </c>
      <c r="Z765" s="13">
        <f t="shared" si="866"/>
        <v>1.17E-2</v>
      </c>
      <c r="AA765" s="13">
        <f t="shared" si="898"/>
        <v>2.8499999999999998E-2</v>
      </c>
      <c r="AB765" s="6">
        <f t="shared" si="872"/>
        <v>108.247</v>
      </c>
      <c r="AC765">
        <f t="shared" ref="AC765:AC828" si="900">IF(ROUND(AB765/2,0)&lt;0,0,ROUND(AB765/2,0))</f>
        <v>54</v>
      </c>
      <c r="AD765" s="11">
        <f t="shared" si="865"/>
        <v>2</v>
      </c>
      <c r="AE765">
        <f t="shared" si="899"/>
        <v>37</v>
      </c>
      <c r="AF765">
        <f>IF(AND(AE765&lt;15,OR(AC765&gt;=30,AA765&gt;0.15,X765&gt;=0.15)),2,VLOOKUP(AE765,Table!P:Q,2,FALSE))</f>
        <v>6</v>
      </c>
      <c r="AG765" s="22">
        <f>IF((AB765*0.98)-(D765*0.8)+((AF765-3)*3)+VLOOKUP(AM765,Table!$A$11:$B$13,2,FALSE)&lt;0,0,(AB765*0.98)-(D765*0.8)+((AF765-3)*3)+VLOOKUP(AM765,Table!$A$11:$B$13,2,FALSE))</f>
        <v>108.5060608</v>
      </c>
      <c r="AH765" s="22">
        <f t="shared" si="894"/>
        <v>100</v>
      </c>
      <c r="AI765" s="18">
        <f t="shared" si="887"/>
        <v>0.92</v>
      </c>
      <c r="AJ765" s="18">
        <f t="shared" si="888"/>
        <v>0.96</v>
      </c>
      <c r="AK765" t="str">
        <f t="shared" si="873"/>
        <v/>
      </c>
      <c r="AL765">
        <f t="shared" si="884"/>
        <v>36.25</v>
      </c>
      <c r="AM765" s="11" t="str">
        <f t="shared" si="874"/>
        <v>Stocks</v>
      </c>
      <c r="AN765" t="str">
        <f t="shared" si="880"/>
        <v>Buy</v>
      </c>
      <c r="AO765" s="13">
        <f t="shared" si="881"/>
        <v>1.21E-2</v>
      </c>
      <c r="AP765" s="13">
        <f t="shared" si="882"/>
        <v>2.0000000000000001E-4</v>
      </c>
      <c r="AQ765" s="13">
        <f t="shared" si="883"/>
        <v>1.21E-2</v>
      </c>
      <c r="AR765" s="13">
        <f t="shared" si="875"/>
        <v>1.21E-2</v>
      </c>
      <c r="AS765" s="6">
        <f t="shared" si="867"/>
        <v>276.18913917922447</v>
      </c>
      <c r="AT765" s="6">
        <f t="shared" si="868"/>
        <v>159.95025350485588</v>
      </c>
      <c r="AU765" s="6">
        <f t="shared" si="869"/>
        <v>318.94537997502721</v>
      </c>
      <c r="AV765" s="6">
        <f t="shared" si="870"/>
        <v>390.95159274105947</v>
      </c>
      <c r="AW765" s="58">
        <f t="shared" si="876"/>
        <v>2004</v>
      </c>
      <c r="AX765" s="58">
        <f>COUNTIF(AW$3:AW765,AW765)</f>
        <v>52</v>
      </c>
    </row>
    <row r="766" spans="1:50" x14ac:dyDescent="0.25">
      <c r="A766" s="5">
        <v>37983</v>
      </c>
      <c r="B766">
        <v>1095.8900000000001</v>
      </c>
      <c r="C766">
        <v>0.88</v>
      </c>
      <c r="D766" s="6">
        <v>17.450001</v>
      </c>
      <c r="E766" s="18">
        <f t="shared" si="889"/>
        <v>16.760000000000002</v>
      </c>
      <c r="F766">
        <f t="shared" si="890"/>
        <v>0</v>
      </c>
      <c r="G766" s="18">
        <f>ROUND(INDEX(Valuation!U:U,MATCH(A766,Valuation!A:A,0)),2)</f>
        <v>178.19</v>
      </c>
      <c r="H766">
        <f t="shared" si="897"/>
        <v>2</v>
      </c>
      <c r="I766" s="18">
        <f>INDEX(WeeklyIndicators!Y:Y,MATCH(A766,WeeklyIndicators!A:A,0))</f>
        <v>143.66</v>
      </c>
      <c r="J766">
        <f t="shared" si="886"/>
        <v>1</v>
      </c>
      <c r="K766">
        <f>ROUND(INDEX(Economic!AF:AF,MATCH(EOMONTH($A766,-1),Economic!A:A,0)),2)</f>
        <v>125.2</v>
      </c>
      <c r="L766" s="11">
        <f t="shared" si="895"/>
        <v>2</v>
      </c>
      <c r="M766">
        <f>ROUND(INDEX(Manufacturing!P:P,MATCH(EOMONTH($A766,-1),Manufacturing!A:A,0)),2)</f>
        <v>101.81</v>
      </c>
      <c r="N766">
        <f t="shared" si="891"/>
        <v>2</v>
      </c>
      <c r="O766">
        <f>ROUND(INDEX(Housing!AC:AC,MATCH(EOMONTH($A766,-1),Housing!B:B,0)),2)</f>
        <v>153.33000000000001</v>
      </c>
      <c r="P766">
        <f t="shared" si="892"/>
        <v>3</v>
      </c>
      <c r="Q766">
        <f>ROUND(INDEX(Spending!AJ:AJ,MATCH(EOMONTH($A766,-1),Spending!B:B,0)),2)</f>
        <v>74.77</v>
      </c>
      <c r="R766">
        <f t="shared" si="896"/>
        <v>2</v>
      </c>
      <c r="S766">
        <f>ROUND(INDEX(Employment!V:V,MATCH(EOMONTH($A766,-1),Employment!A:A,0)),2)</f>
        <v>151.69</v>
      </c>
      <c r="T766" s="11">
        <f t="shared" si="893"/>
        <v>0</v>
      </c>
      <c r="U766">
        <f t="shared" si="885"/>
        <v>32</v>
      </c>
      <c r="V766">
        <f t="shared" si="877"/>
        <v>82.12</v>
      </c>
      <c r="W766" s="13">
        <f t="shared" si="878"/>
        <v>2.0999999999999999E-3</v>
      </c>
      <c r="X766" s="13">
        <f t="shared" si="879"/>
        <v>2.07E-2</v>
      </c>
      <c r="Y766">
        <f t="shared" si="871"/>
        <v>90.45</v>
      </c>
      <c r="Z766" s="13">
        <f t="shared" si="866"/>
        <v>3.5999999999999999E-3</v>
      </c>
      <c r="AA766" s="13">
        <f t="shared" si="898"/>
        <v>2.0100000000000003E-2</v>
      </c>
      <c r="AB766" s="6">
        <f t="shared" si="872"/>
        <v>105.059</v>
      </c>
      <c r="AC766">
        <f t="shared" si="900"/>
        <v>53</v>
      </c>
      <c r="AD766" s="11">
        <f t="shared" ref="AD766:AD829" si="901">IF(AC766&gt;47,2,IF(AND(AC766&gt;41,AC766&lt;=47),1,IF(AC766&lt;15,-2,IF(AND(AC766&lt;32,AC766&gt;=15),-1,0))))</f>
        <v>2</v>
      </c>
      <c r="AE766">
        <f t="shared" si="899"/>
        <v>36</v>
      </c>
      <c r="AF766">
        <f>IF(AND(AE766&lt;15,OR(AC766&gt;=30,AA766&gt;0.15,X766&gt;=0.15)),2,VLOOKUP(AE766,Table!P:Q,2,FALSE))</f>
        <v>5</v>
      </c>
      <c r="AG766" s="22">
        <f>IF((AB766*0.98)-(D766*0.8)+((AF766-3)*3)+VLOOKUP(AM766,Table!$A$11:$B$13,2,FALSE)&lt;0,0,(AB766*0.98)-(D766*0.8)+((AF766-3)*3)+VLOOKUP(AM766,Table!$A$11:$B$13,2,FALSE))</f>
        <v>102.9978192</v>
      </c>
      <c r="AH766" s="22">
        <f t="shared" si="894"/>
        <v>100</v>
      </c>
      <c r="AI766" s="18">
        <f t="shared" si="887"/>
        <v>0.92</v>
      </c>
      <c r="AJ766" s="18">
        <f t="shared" si="888"/>
        <v>0.96</v>
      </c>
      <c r="AK766" t="str">
        <f t="shared" si="873"/>
        <v/>
      </c>
      <c r="AL766">
        <f t="shared" si="884"/>
        <v>36</v>
      </c>
      <c r="AM766" s="11" t="str">
        <f t="shared" si="874"/>
        <v>Stocks</v>
      </c>
      <c r="AN766" t="str">
        <f t="shared" si="880"/>
        <v>Buy</v>
      </c>
      <c r="AO766" s="13">
        <f t="shared" si="881"/>
        <v>1.15E-2</v>
      </c>
      <c r="AP766" s="13">
        <f t="shared" si="882"/>
        <v>2.0000000000000001E-4</v>
      </c>
      <c r="AQ766" s="13">
        <f t="shared" si="883"/>
        <v>1.15E-2</v>
      </c>
      <c r="AR766" s="13">
        <f t="shared" si="875"/>
        <v>1.15E-2</v>
      </c>
      <c r="AS766" s="6">
        <f t="shared" si="867"/>
        <v>273.04907481880815</v>
      </c>
      <c r="AT766" s="6">
        <f t="shared" si="868"/>
        <v>159.91826985088571</v>
      </c>
      <c r="AU766" s="6">
        <f t="shared" si="869"/>
        <v>315.31920907071395</v>
      </c>
      <c r="AV766" s="6">
        <f t="shared" si="870"/>
        <v>386.50676494420111</v>
      </c>
      <c r="AW766" s="58">
        <f t="shared" si="876"/>
        <v>2003</v>
      </c>
      <c r="AX766" s="58">
        <f>COUNTIF(AW$3:AW766,AW766)</f>
        <v>1</v>
      </c>
    </row>
    <row r="767" spans="1:50" x14ac:dyDescent="0.25">
      <c r="A767" s="5">
        <v>37976</v>
      </c>
      <c r="B767">
        <v>1088.6600000000001</v>
      </c>
      <c r="C767">
        <v>0.88</v>
      </c>
      <c r="D767" s="6">
        <v>16.420000000000002</v>
      </c>
      <c r="E767" s="18">
        <f t="shared" si="889"/>
        <v>16.64</v>
      </c>
      <c r="F767">
        <f t="shared" si="890"/>
        <v>0</v>
      </c>
      <c r="G767" s="18">
        <f>ROUND(INDEX(Valuation!U:U,MATCH(A767,Valuation!A:A,0)),2)</f>
        <v>177.37</v>
      </c>
      <c r="H767">
        <f t="shared" si="897"/>
        <v>2</v>
      </c>
      <c r="I767" s="18">
        <f>INDEX(WeeklyIndicators!Y:Y,MATCH(A767,WeeklyIndicators!A:A,0))</f>
        <v>137.69999999999999</v>
      </c>
      <c r="J767">
        <f t="shared" si="886"/>
        <v>1</v>
      </c>
      <c r="K767">
        <f>ROUND(INDEX(Economic!AF:AF,MATCH(EOMONTH($A767,-1),Economic!A:A,0)),2)</f>
        <v>125.2</v>
      </c>
      <c r="L767" s="11">
        <f t="shared" si="895"/>
        <v>2</v>
      </c>
      <c r="M767">
        <f>ROUND(INDEX(Manufacturing!P:P,MATCH(EOMONTH($A767,-1),Manufacturing!A:A,0)),2)</f>
        <v>101.81</v>
      </c>
      <c r="N767">
        <f t="shared" si="891"/>
        <v>2</v>
      </c>
      <c r="O767">
        <f>ROUND(INDEX(Housing!AC:AC,MATCH(EOMONTH($A767,-1),Housing!B:B,0)),2)</f>
        <v>153.33000000000001</v>
      </c>
      <c r="P767">
        <f t="shared" si="892"/>
        <v>3</v>
      </c>
      <c r="Q767">
        <f>ROUND(INDEX(Spending!AJ:AJ,MATCH(EOMONTH($A767,-1),Spending!B:B,0)),2)</f>
        <v>74.77</v>
      </c>
      <c r="R767">
        <f t="shared" si="896"/>
        <v>2</v>
      </c>
      <c r="S767">
        <f>ROUND(INDEX(Employment!V:V,MATCH(EOMONTH($A767,-1),Employment!A:A,0)),2)</f>
        <v>151.69</v>
      </c>
      <c r="T767" s="11">
        <f t="shared" si="893"/>
        <v>0</v>
      </c>
      <c r="U767">
        <f t="shared" si="885"/>
        <v>32</v>
      </c>
      <c r="V767">
        <f t="shared" si="877"/>
        <v>81.5</v>
      </c>
      <c r="W767" s="13">
        <f t="shared" si="878"/>
        <v>6.3E-3</v>
      </c>
      <c r="X767" s="13">
        <f t="shared" si="879"/>
        <v>1.8299999999999997E-2</v>
      </c>
      <c r="Y767">
        <f t="shared" si="871"/>
        <v>89.78</v>
      </c>
      <c r="Z767" s="13">
        <f t="shared" si="866"/>
        <v>7.1999999999999998E-3</v>
      </c>
      <c r="AA767" s="13">
        <f t="shared" si="898"/>
        <v>1.3300000000000001E-2</v>
      </c>
      <c r="AB767" s="6">
        <f t="shared" si="872"/>
        <v>103.80699999999999</v>
      </c>
      <c r="AC767">
        <f t="shared" si="900"/>
        <v>52</v>
      </c>
      <c r="AD767" s="11">
        <f t="shared" si="901"/>
        <v>2</v>
      </c>
      <c r="AE767">
        <f t="shared" si="899"/>
        <v>36</v>
      </c>
      <c r="AF767">
        <f>IF(AND(AE767&lt;15,OR(AC767&gt;=30,AA767&gt;0.15,X767&gt;=0.15)),2,VLOOKUP(AE767,Table!P:Q,2,FALSE))</f>
        <v>5</v>
      </c>
      <c r="AG767" s="22">
        <f>IF((AB767*0.98)-(D767*0.8)+((AF767-3)*3)+VLOOKUP(AM767,Table!$A$11:$B$13,2,FALSE)&lt;0,0,(AB767*0.98)-(D767*0.8)+((AF767-3)*3)+VLOOKUP(AM767,Table!$A$11:$B$13,2,FALSE))</f>
        <v>102.59485999999998</v>
      </c>
      <c r="AH767" s="22">
        <f t="shared" si="894"/>
        <v>100</v>
      </c>
      <c r="AI767" s="18">
        <f t="shared" si="887"/>
        <v>0.92</v>
      </c>
      <c r="AJ767" s="18">
        <f t="shared" si="888"/>
        <v>0.97</v>
      </c>
      <c r="AK767" t="str">
        <f t="shared" si="873"/>
        <v/>
      </c>
      <c r="AL767">
        <f t="shared" si="884"/>
        <v>35.25</v>
      </c>
      <c r="AM767" s="11" t="str">
        <f t="shared" si="874"/>
        <v>Stocks</v>
      </c>
      <c r="AN767" t="str">
        <f t="shared" si="880"/>
        <v>Buy</v>
      </c>
      <c r="AO767" s="13">
        <f t="shared" si="881"/>
        <v>6.6E-3</v>
      </c>
      <c r="AP767" s="13">
        <f t="shared" si="882"/>
        <v>2.0000000000000001E-4</v>
      </c>
      <c r="AQ767" s="13">
        <f t="shared" si="883"/>
        <v>6.6E-3</v>
      </c>
      <c r="AR767" s="13">
        <f t="shared" si="875"/>
        <v>6.6E-3</v>
      </c>
      <c r="AS767" s="6">
        <f t="shared" si="867"/>
        <v>271.25876695689266</v>
      </c>
      <c r="AT767" s="6">
        <f t="shared" si="868"/>
        <v>159.88629259236723</v>
      </c>
      <c r="AU767" s="6">
        <f t="shared" si="869"/>
        <v>313.25174753696996</v>
      </c>
      <c r="AV767" s="6">
        <f t="shared" si="870"/>
        <v>383.97254613967925</v>
      </c>
      <c r="AW767" s="58">
        <f t="shared" si="876"/>
        <v>2003</v>
      </c>
      <c r="AX767" s="58">
        <f>COUNTIF(AW$3:AW767,AW767)</f>
        <v>2</v>
      </c>
    </row>
    <row r="768" spans="1:50" x14ac:dyDescent="0.25">
      <c r="A768" s="5">
        <v>37969</v>
      </c>
      <c r="B768">
        <v>1074.1400000000001</v>
      </c>
      <c r="C768">
        <v>0.9</v>
      </c>
      <c r="D768" s="6">
        <v>16.41</v>
      </c>
      <c r="E768" s="18">
        <f t="shared" si="889"/>
        <v>16.61</v>
      </c>
      <c r="F768">
        <f t="shared" si="890"/>
        <v>0</v>
      </c>
      <c r="G768" s="18">
        <f>ROUND(INDEX(Valuation!U:U,MATCH(A768,Valuation!A:A,0)),2)</f>
        <v>176.53</v>
      </c>
      <c r="H768">
        <f t="shared" si="897"/>
        <v>2</v>
      </c>
      <c r="I768" s="18">
        <f>INDEX(WeeklyIndicators!Y:Y,MATCH(A768,WeeklyIndicators!A:A,0))</f>
        <v>137.47999999999999</v>
      </c>
      <c r="J768">
        <f t="shared" si="886"/>
        <v>1</v>
      </c>
      <c r="K768">
        <f>ROUND(INDEX(Economic!AF:AF,MATCH(EOMONTH($A768,-1),Economic!A:A,0)),2)</f>
        <v>125.2</v>
      </c>
      <c r="L768" s="11">
        <f t="shared" si="895"/>
        <v>2</v>
      </c>
      <c r="M768">
        <f>ROUND(INDEX(Manufacturing!P:P,MATCH(EOMONTH($A768,-1),Manufacturing!A:A,0)),2)</f>
        <v>101.81</v>
      </c>
      <c r="N768">
        <f t="shared" si="891"/>
        <v>2</v>
      </c>
      <c r="O768">
        <f>ROUND(INDEX(Housing!AC:AC,MATCH(EOMONTH($A768,-1),Housing!B:B,0)),2)</f>
        <v>153.33000000000001</v>
      </c>
      <c r="P768">
        <f t="shared" si="892"/>
        <v>3</v>
      </c>
      <c r="Q768">
        <f>ROUND(INDEX(Spending!AJ:AJ,MATCH(EOMONTH($A768,-1),Spending!B:B,0)),2)</f>
        <v>74.77</v>
      </c>
      <c r="R768">
        <f t="shared" si="896"/>
        <v>2</v>
      </c>
      <c r="S768">
        <f>ROUND(INDEX(Employment!V:V,MATCH(EOMONTH($A768,-1),Employment!A:A,0)),2)</f>
        <v>151.69</v>
      </c>
      <c r="T768" s="11">
        <f t="shared" si="893"/>
        <v>0</v>
      </c>
      <c r="U768">
        <f t="shared" si="885"/>
        <v>32</v>
      </c>
      <c r="V768">
        <f t="shared" si="877"/>
        <v>81.48</v>
      </c>
      <c r="W768" s="13">
        <f t="shared" si="878"/>
        <v>5.7999999999999996E-3</v>
      </c>
      <c r="X768" s="13">
        <f t="shared" si="879"/>
        <v>1.2299999999999998E-2</v>
      </c>
      <c r="Y768">
        <f t="shared" si="871"/>
        <v>89.67</v>
      </c>
      <c r="Z768" s="13">
        <f t="shared" ref="Z768:Z831" si="902">ROUND((AVERAGE(Y768:Y770)-AVERAGE(Y769:Y771))/AVERAGE(Y769:Y771),4)</f>
        <v>6.0000000000000001E-3</v>
      </c>
      <c r="AA768" s="13">
        <f t="shared" si="898"/>
        <v>4.5999999999999999E-3</v>
      </c>
      <c r="AB768" s="6">
        <f t="shared" si="872"/>
        <v>102.973</v>
      </c>
      <c r="AC768">
        <f t="shared" si="900"/>
        <v>51</v>
      </c>
      <c r="AD768" s="11">
        <f t="shared" si="901"/>
        <v>2</v>
      </c>
      <c r="AE768">
        <f t="shared" si="899"/>
        <v>36</v>
      </c>
      <c r="AF768">
        <f>IF(AND(AE768&lt;15,OR(AC768&gt;=30,AA768&gt;0.15,X768&gt;=0.15)),2,VLOOKUP(AE768,Table!P:Q,2,FALSE))</f>
        <v>5</v>
      </c>
      <c r="AG768" s="22">
        <f>IF((AB768*0.98)-(D768*0.8)+((AF768-3)*3)+VLOOKUP(AM768,Table!$A$11:$B$13,2,FALSE)&lt;0,0,(AB768*0.98)-(D768*0.8)+((AF768-3)*3)+VLOOKUP(AM768,Table!$A$11:$B$13,2,FALSE))</f>
        <v>101.78554</v>
      </c>
      <c r="AH768" s="22">
        <f t="shared" si="894"/>
        <v>100</v>
      </c>
      <c r="AI768" s="18">
        <f t="shared" si="887"/>
        <v>0.92</v>
      </c>
      <c r="AJ768" s="18">
        <f t="shared" si="888"/>
        <v>0.98</v>
      </c>
      <c r="AK768" t="str">
        <f t="shared" si="873"/>
        <v/>
      </c>
      <c r="AL768">
        <f t="shared" si="884"/>
        <v>34.5</v>
      </c>
      <c r="AM768" s="11" t="str">
        <f t="shared" si="874"/>
        <v>Stocks</v>
      </c>
      <c r="AN768" t="str">
        <f t="shared" si="880"/>
        <v>Buy</v>
      </c>
      <c r="AO768" s="13">
        <f t="shared" si="881"/>
        <v>1.35E-2</v>
      </c>
      <c r="AP768" s="13">
        <f t="shared" si="882"/>
        <v>2.0000000000000001E-4</v>
      </c>
      <c r="AQ768" s="13">
        <f t="shared" si="883"/>
        <v>1.35E-2</v>
      </c>
      <c r="AR768" s="13">
        <f t="shared" si="875"/>
        <v>1.35E-2</v>
      </c>
      <c r="AS768" s="6">
        <f t="shared" si="867"/>
        <v>267.64555200482749</v>
      </c>
      <c r="AT768" s="6">
        <f t="shared" si="868"/>
        <v>159.85432172802163</v>
      </c>
      <c r="AU768" s="6">
        <f t="shared" si="869"/>
        <v>309.07917862552534</v>
      </c>
      <c r="AV768" s="6">
        <f t="shared" si="870"/>
        <v>378.85796363066527</v>
      </c>
      <c r="AW768" s="58">
        <f t="shared" si="876"/>
        <v>2003</v>
      </c>
      <c r="AX768" s="58">
        <f>COUNTIF(AW$3:AW768,AW768)</f>
        <v>3</v>
      </c>
    </row>
    <row r="769" spans="1:50" x14ac:dyDescent="0.25">
      <c r="A769" s="5">
        <v>37962</v>
      </c>
      <c r="B769">
        <v>1061.5</v>
      </c>
      <c r="C769">
        <v>0.92</v>
      </c>
      <c r="D769" s="6">
        <v>17.09</v>
      </c>
      <c r="E769" s="18">
        <f t="shared" si="889"/>
        <v>17.46</v>
      </c>
      <c r="F769">
        <f t="shared" si="890"/>
        <v>0</v>
      </c>
      <c r="G769" s="18">
        <f>ROUND(INDEX(Valuation!U:U,MATCH(A769,Valuation!A:A,0)),2)</f>
        <v>176.3</v>
      </c>
      <c r="H769">
        <f t="shared" si="897"/>
        <v>2</v>
      </c>
      <c r="I769" s="18">
        <f>INDEX(WeeklyIndicators!Y:Y,MATCH(A769,WeeklyIndicators!A:A,0))</f>
        <v>138.69999999999999</v>
      </c>
      <c r="J769">
        <f t="shared" si="886"/>
        <v>1</v>
      </c>
      <c r="K769">
        <f>ROUND(INDEX(Economic!AF:AF,MATCH(EOMONTH($A769,-1),Economic!A:A,0)),2)</f>
        <v>125.2</v>
      </c>
      <c r="L769" s="11">
        <f t="shared" si="895"/>
        <v>2</v>
      </c>
      <c r="M769">
        <f>ROUND(INDEX(Manufacturing!P:P,MATCH(EOMONTH($A769,-1),Manufacturing!A:A,0)),2)</f>
        <v>101.81</v>
      </c>
      <c r="N769">
        <f t="shared" si="891"/>
        <v>2</v>
      </c>
      <c r="O769">
        <f>ROUND(INDEX(Housing!AC:AC,MATCH(EOMONTH($A769,-1),Housing!B:B,0)),2)</f>
        <v>153.33000000000001</v>
      </c>
      <c r="P769">
        <f t="shared" si="892"/>
        <v>3</v>
      </c>
      <c r="Q769">
        <f>ROUND(INDEX(Spending!AJ:AJ,MATCH(EOMONTH($A769,-1),Spending!B:B,0)),2)</f>
        <v>74.77</v>
      </c>
      <c r="R769">
        <f t="shared" si="896"/>
        <v>2</v>
      </c>
      <c r="S769">
        <f>ROUND(INDEX(Employment!V:V,MATCH(EOMONTH($A769,-1),Employment!A:A,0)),2)</f>
        <v>151.69</v>
      </c>
      <c r="T769" s="11">
        <f t="shared" si="893"/>
        <v>0</v>
      </c>
      <c r="U769">
        <f t="shared" si="885"/>
        <v>32</v>
      </c>
      <c r="V769">
        <f t="shared" si="877"/>
        <v>81.61</v>
      </c>
      <c r="W769" s="13">
        <f t="shared" si="878"/>
        <v>6.4999999999999997E-3</v>
      </c>
      <c r="X769" s="13">
        <f t="shared" si="879"/>
        <v>2.0199999999999999E-2</v>
      </c>
      <c r="Y769">
        <f t="shared" si="871"/>
        <v>89.48</v>
      </c>
      <c r="Z769" s="13">
        <f t="shared" si="902"/>
        <v>3.3E-3</v>
      </c>
      <c r="AA769" s="13">
        <f t="shared" si="898"/>
        <v>1.2199999999999999E-2</v>
      </c>
      <c r="AB769" s="6">
        <f t="shared" si="872"/>
        <v>103.35</v>
      </c>
      <c r="AC769">
        <f t="shared" si="900"/>
        <v>52</v>
      </c>
      <c r="AD769" s="11">
        <f t="shared" si="901"/>
        <v>2</v>
      </c>
      <c r="AE769">
        <f t="shared" si="899"/>
        <v>36</v>
      </c>
      <c r="AF769">
        <f>IF(AND(AE769&lt;15,OR(AC769&gt;=30,AA769&gt;0.15,X769&gt;=0.15)),2,VLOOKUP(AE769,Table!P:Q,2,FALSE))</f>
        <v>5</v>
      </c>
      <c r="AG769" s="22">
        <f>IF((AB769*0.98)-(D769*0.8)+((AF769-3)*3)+VLOOKUP(AM769,Table!$A$11:$B$13,2,FALSE)&lt;0,0,(AB769*0.98)-(D769*0.8)+((AF769-3)*3)+VLOOKUP(AM769,Table!$A$11:$B$13,2,FALSE))</f>
        <v>101.61099999999999</v>
      </c>
      <c r="AH769" s="22">
        <f t="shared" si="894"/>
        <v>100</v>
      </c>
      <c r="AI769" s="18">
        <f t="shared" si="887"/>
        <v>0.93</v>
      </c>
      <c r="AJ769" s="18">
        <f t="shared" si="888"/>
        <v>0.98</v>
      </c>
      <c r="AK769" t="str">
        <f t="shared" si="873"/>
        <v/>
      </c>
      <c r="AL769">
        <f t="shared" si="884"/>
        <v>33.75</v>
      </c>
      <c r="AM769" s="11" t="str">
        <f t="shared" si="874"/>
        <v>Stocks</v>
      </c>
      <c r="AN769" t="str">
        <f t="shared" si="880"/>
        <v>Buy</v>
      </c>
      <c r="AO769" s="13">
        <f t="shared" si="881"/>
        <v>1.1900000000000001E-2</v>
      </c>
      <c r="AP769" s="13">
        <f t="shared" si="882"/>
        <v>2.0000000000000001E-4</v>
      </c>
      <c r="AQ769" s="13">
        <f t="shared" si="883"/>
        <v>1.1900000000000001E-2</v>
      </c>
      <c r="AR769" s="13">
        <f t="shared" si="875"/>
        <v>1.1900000000000001E-2</v>
      </c>
      <c r="AS769" s="6">
        <f t="shared" si="867"/>
        <v>264.49802550136127</v>
      </c>
      <c r="AT769" s="6">
        <f t="shared" si="868"/>
        <v>159.82235725657031</v>
      </c>
      <c r="AU769" s="6">
        <f t="shared" si="869"/>
        <v>305.44439038000331</v>
      </c>
      <c r="AV769" s="6">
        <f t="shared" si="870"/>
        <v>374.40257301182453</v>
      </c>
      <c r="AW769" s="58">
        <f t="shared" si="876"/>
        <v>2003</v>
      </c>
      <c r="AX769" s="58">
        <f>COUNTIF(AW$3:AW769,AW769)</f>
        <v>4</v>
      </c>
    </row>
    <row r="770" spans="1:50" x14ac:dyDescent="0.25">
      <c r="A770" s="5">
        <v>37955</v>
      </c>
      <c r="B770">
        <v>1058.2</v>
      </c>
      <c r="C770">
        <v>0.93</v>
      </c>
      <c r="D770" s="6">
        <v>16.32</v>
      </c>
      <c r="E770" s="18">
        <f t="shared" si="889"/>
        <v>17.41</v>
      </c>
      <c r="F770">
        <f t="shared" si="890"/>
        <v>0</v>
      </c>
      <c r="G770" s="18">
        <f>ROUND(INDEX(Valuation!U:U,MATCH(A770,Valuation!A:A,0)),2)</f>
        <v>176.25</v>
      </c>
      <c r="H770">
        <f t="shared" si="897"/>
        <v>2</v>
      </c>
      <c r="I770" s="18">
        <f>INDEX(WeeklyIndicators!Y:Y,MATCH(A770,WeeklyIndicators!A:A,0))</f>
        <v>138.09</v>
      </c>
      <c r="J770">
        <f t="shared" si="886"/>
        <v>1</v>
      </c>
      <c r="K770">
        <f>ROUND(INDEX(Economic!AF:AF,MATCH(EOMONTH($A770,-1),Economic!A:A,0)),2)</f>
        <v>122.88</v>
      </c>
      <c r="L770" s="11">
        <f t="shared" si="895"/>
        <v>1</v>
      </c>
      <c r="M770">
        <f>ROUND(INDEX(Manufacturing!P:P,MATCH(EOMONTH($A770,-1),Manufacturing!A:A,0)),2)</f>
        <v>98.39</v>
      </c>
      <c r="N770">
        <f t="shared" si="891"/>
        <v>1</v>
      </c>
      <c r="O770">
        <f>ROUND(INDEX(Housing!AC:AC,MATCH(EOMONTH($A770,-1),Housing!B:B,0)),2)</f>
        <v>150.24</v>
      </c>
      <c r="P770">
        <f t="shared" si="892"/>
        <v>3</v>
      </c>
      <c r="Q770">
        <f>ROUND(INDEX(Spending!AJ:AJ,MATCH(EOMONTH($A770,-1),Spending!B:B,0)),2)</f>
        <v>71.88</v>
      </c>
      <c r="R770">
        <f t="shared" si="896"/>
        <v>2</v>
      </c>
      <c r="S770">
        <f>ROUND(INDEX(Employment!V:V,MATCH(EOMONTH($A770,-1),Employment!A:A,0)),2)</f>
        <v>148.1</v>
      </c>
      <c r="T770" s="11">
        <f t="shared" si="893"/>
        <v>-1</v>
      </c>
      <c r="U770">
        <f t="shared" si="885"/>
        <v>29</v>
      </c>
      <c r="V770">
        <f t="shared" si="877"/>
        <v>79.98</v>
      </c>
      <c r="W770" s="13">
        <f t="shared" si="878"/>
        <v>-2.9999999999999997E-4</v>
      </c>
      <c r="X770" s="13">
        <f t="shared" si="879"/>
        <v>2.8500000000000001E-2</v>
      </c>
      <c r="Y770">
        <f t="shared" si="871"/>
        <v>87.86</v>
      </c>
      <c r="Z770" s="13">
        <f t="shared" si="902"/>
        <v>-3.2000000000000002E-3</v>
      </c>
      <c r="AA770" s="13">
        <f t="shared" si="898"/>
        <v>2.3E-2</v>
      </c>
      <c r="AB770" s="6">
        <f t="shared" si="872"/>
        <v>102.47499999999999</v>
      </c>
      <c r="AC770">
        <f t="shared" si="900"/>
        <v>51</v>
      </c>
      <c r="AD770" s="11">
        <f t="shared" si="901"/>
        <v>2</v>
      </c>
      <c r="AE770">
        <f t="shared" si="899"/>
        <v>33</v>
      </c>
      <c r="AF770">
        <f>IF(AND(AE770&lt;15,OR(AC770&gt;=30,AA770&gt;0.15,X770&gt;=0.15)),2,VLOOKUP(AE770,Table!P:Q,2,FALSE))</f>
        <v>5</v>
      </c>
      <c r="AG770" s="22">
        <f>IF((AB770*0.98)-(D770*0.8)+((AF770-3)*3)+VLOOKUP(AM770,Table!$A$11:$B$13,2,FALSE)&lt;0,0,(AB770*0.98)-(D770*0.8)+((AF770-3)*3)+VLOOKUP(AM770,Table!$A$11:$B$13,2,FALSE))</f>
        <v>101.3695</v>
      </c>
      <c r="AH770" s="22">
        <f t="shared" si="894"/>
        <v>100</v>
      </c>
      <c r="AI770" s="18">
        <f t="shared" si="887"/>
        <v>0.93</v>
      </c>
      <c r="AJ770" s="18">
        <f t="shared" si="888"/>
        <v>0.99</v>
      </c>
      <c r="AK770" t="str">
        <f t="shared" si="873"/>
        <v/>
      </c>
      <c r="AL770">
        <f t="shared" si="884"/>
        <v>33</v>
      </c>
      <c r="AM770" s="11" t="str">
        <f t="shared" si="874"/>
        <v>Stocks</v>
      </c>
      <c r="AN770" t="str">
        <f t="shared" si="880"/>
        <v>Buy</v>
      </c>
      <c r="AO770" s="13">
        <f t="shared" si="881"/>
        <v>3.0999999999999999E-3</v>
      </c>
      <c r="AP770" s="13">
        <f t="shared" si="882"/>
        <v>2.0000000000000001E-4</v>
      </c>
      <c r="AQ770" s="13">
        <f t="shared" si="883"/>
        <v>3.0999999999999999E-3</v>
      </c>
      <c r="AR770" s="13">
        <f t="shared" si="875"/>
        <v>3.0999999999999999E-3</v>
      </c>
      <c r="AS770" s="6">
        <f t="shared" si="867"/>
        <v>263.68061559302288</v>
      </c>
      <c r="AT770" s="6">
        <f t="shared" si="868"/>
        <v>159.79039917673498</v>
      </c>
      <c r="AU770" s="6">
        <f t="shared" si="869"/>
        <v>304.50043901904422</v>
      </c>
      <c r="AV770" s="6">
        <f t="shared" si="870"/>
        <v>373.24551192485745</v>
      </c>
      <c r="AW770" s="58">
        <f t="shared" si="876"/>
        <v>2003</v>
      </c>
      <c r="AX770" s="58">
        <f>COUNTIF(AW$3:AW770,AW770)</f>
        <v>5</v>
      </c>
    </row>
    <row r="771" spans="1:50" x14ac:dyDescent="0.25">
      <c r="A771" s="5">
        <v>37948</v>
      </c>
      <c r="B771">
        <v>1035.28</v>
      </c>
      <c r="C771">
        <v>0.93</v>
      </c>
      <c r="D771" s="6">
        <v>18.98</v>
      </c>
      <c r="E771" s="18">
        <f t="shared" si="889"/>
        <v>17.62</v>
      </c>
      <c r="F771">
        <f t="shared" si="890"/>
        <v>0</v>
      </c>
      <c r="G771" s="18">
        <f>ROUND(INDEX(Valuation!U:U,MATCH(A771,Valuation!A:A,0)),2)</f>
        <v>177.99</v>
      </c>
      <c r="H771">
        <f t="shared" si="897"/>
        <v>2</v>
      </c>
      <c r="I771" s="18">
        <f>INDEX(WeeklyIndicators!Y:Y,MATCH(A771,WeeklyIndicators!A:A,0))</f>
        <v>139.06</v>
      </c>
      <c r="J771">
        <f t="shared" si="886"/>
        <v>1</v>
      </c>
      <c r="K771">
        <f>ROUND(INDEX(Economic!AF:AF,MATCH(EOMONTH($A771,-1),Economic!A:A,0)),2)</f>
        <v>122.88</v>
      </c>
      <c r="L771" s="11">
        <f t="shared" si="895"/>
        <v>1</v>
      </c>
      <c r="M771">
        <f>ROUND(INDEX(Manufacturing!P:P,MATCH(EOMONTH($A771,-1),Manufacturing!A:A,0)),2)</f>
        <v>98.39</v>
      </c>
      <c r="N771">
        <f t="shared" si="891"/>
        <v>1</v>
      </c>
      <c r="O771">
        <f>ROUND(INDEX(Housing!AC:AC,MATCH(EOMONTH($A771,-1),Housing!B:B,0)),2)</f>
        <v>150.24</v>
      </c>
      <c r="P771">
        <f t="shared" si="892"/>
        <v>3</v>
      </c>
      <c r="Q771">
        <f>ROUND(INDEX(Spending!AJ:AJ,MATCH(EOMONTH($A771,-1),Spending!B:B,0)),2)</f>
        <v>71.88</v>
      </c>
      <c r="R771">
        <f t="shared" si="896"/>
        <v>2</v>
      </c>
      <c r="S771">
        <f>ROUND(INDEX(Employment!V:V,MATCH(EOMONTH($A771,-1),Employment!A:A,0)),2)</f>
        <v>148.1</v>
      </c>
      <c r="T771" s="11">
        <f t="shared" si="893"/>
        <v>-1</v>
      </c>
      <c r="U771">
        <f t="shared" si="885"/>
        <v>29</v>
      </c>
      <c r="V771">
        <f t="shared" si="877"/>
        <v>80.08</v>
      </c>
      <c r="W771" s="13">
        <f t="shared" si="878"/>
        <v>2.9999999999999997E-4</v>
      </c>
      <c r="X771" s="13">
        <f t="shared" si="879"/>
        <v>4.3999999999999997E-2</v>
      </c>
      <c r="Y771">
        <f t="shared" si="871"/>
        <v>88.08</v>
      </c>
      <c r="Z771" s="13">
        <f t="shared" si="902"/>
        <v>-1.5E-3</v>
      </c>
      <c r="AA771" s="13">
        <f t="shared" si="898"/>
        <v>4.0800000000000003E-2</v>
      </c>
      <c r="AB771" s="6">
        <f t="shared" si="872"/>
        <v>104.21900000000001</v>
      </c>
      <c r="AC771">
        <f t="shared" si="900"/>
        <v>52</v>
      </c>
      <c r="AD771" s="11">
        <f t="shared" si="901"/>
        <v>2</v>
      </c>
      <c r="AE771">
        <f t="shared" si="899"/>
        <v>33</v>
      </c>
      <c r="AF771">
        <f>IF(AND(AE771&lt;15,OR(AC771&gt;=30,AA771&gt;0.15,X771&gt;=0.15)),2,VLOOKUP(AE771,Table!P:Q,2,FALSE))</f>
        <v>5</v>
      </c>
      <c r="AG771" s="22">
        <f>IF((AB771*0.98)-(D771*0.8)+((AF771-3)*3)+VLOOKUP(AM771,Table!$A$11:$B$13,2,FALSE)&lt;0,0,(AB771*0.98)-(D771*0.8)+((AF771-3)*3)+VLOOKUP(AM771,Table!$A$11:$B$13,2,FALSE))</f>
        <v>100.95062000000001</v>
      </c>
      <c r="AH771" s="22">
        <f t="shared" si="894"/>
        <v>100</v>
      </c>
      <c r="AI771" s="18">
        <f t="shared" si="887"/>
        <v>0.93</v>
      </c>
      <c r="AJ771" s="18">
        <f t="shared" si="888"/>
        <v>0.99</v>
      </c>
      <c r="AK771" t="str">
        <f t="shared" si="873"/>
        <v/>
      </c>
      <c r="AL771">
        <f t="shared" si="884"/>
        <v>33</v>
      </c>
      <c r="AM771" s="11" t="str">
        <f t="shared" si="874"/>
        <v>Stocks</v>
      </c>
      <c r="AN771" t="str">
        <f t="shared" si="880"/>
        <v>Buy</v>
      </c>
      <c r="AO771" s="13">
        <f t="shared" si="881"/>
        <v>2.2100000000000002E-2</v>
      </c>
      <c r="AP771" s="13">
        <f t="shared" si="882"/>
        <v>2.0000000000000001E-4</v>
      </c>
      <c r="AQ771" s="13">
        <f t="shared" si="883"/>
        <v>2.2100000000000002E-2</v>
      </c>
      <c r="AR771" s="13">
        <f t="shared" si="875"/>
        <v>2.2100000000000002E-2</v>
      </c>
      <c r="AS771" s="6">
        <f t="shared" ref="AS771:AS834" si="903">AS772*(1+AO772)</f>
        <v>257.97927364545825</v>
      </c>
      <c r="AT771" s="6">
        <f t="shared" ref="AT771:AT834" si="904">AT772*(1+AP772)</f>
        <v>159.75844748723753</v>
      </c>
      <c r="AU771" s="6">
        <f t="shared" ref="AU771:AU834" si="905">AU772*(1+AQ772)</f>
        <v>297.91648470701909</v>
      </c>
      <c r="AV771" s="6">
        <f t="shared" ref="AV771:AV834" si="906">AV772*(1+AR772)</f>
        <v>365.17514130208144</v>
      </c>
      <c r="AW771" s="58">
        <f t="shared" si="876"/>
        <v>2003</v>
      </c>
      <c r="AX771" s="58">
        <f>COUNTIF(AW$3:AW771,AW771)</f>
        <v>6</v>
      </c>
    </row>
    <row r="772" spans="1:50" x14ac:dyDescent="0.25">
      <c r="A772" s="5">
        <v>37941</v>
      </c>
      <c r="B772">
        <v>1050.3499999999999</v>
      </c>
      <c r="C772">
        <v>0.93</v>
      </c>
      <c r="D772" s="6">
        <v>16.940000999999999</v>
      </c>
      <c r="E772" s="18">
        <f t="shared" si="889"/>
        <v>16.66</v>
      </c>
      <c r="F772">
        <f t="shared" si="890"/>
        <v>0</v>
      </c>
      <c r="G772" s="18">
        <f>ROUND(INDEX(Valuation!U:U,MATCH(A772,Valuation!A:A,0)),2)</f>
        <v>180.12</v>
      </c>
      <c r="H772">
        <f t="shared" si="897"/>
        <v>2</v>
      </c>
      <c r="I772" s="18">
        <f>INDEX(WeeklyIndicators!Y:Y,MATCH(A772,WeeklyIndicators!A:A,0))</f>
        <v>138.72999999999999</v>
      </c>
      <c r="J772">
        <f t="shared" si="886"/>
        <v>1</v>
      </c>
      <c r="K772">
        <f>ROUND(INDEX(Economic!AF:AF,MATCH(EOMONTH($A772,-1),Economic!A:A,0)),2)</f>
        <v>122.88</v>
      </c>
      <c r="L772" s="11">
        <f t="shared" si="895"/>
        <v>1</v>
      </c>
      <c r="M772">
        <f>ROUND(INDEX(Manufacturing!P:P,MATCH(EOMONTH($A772,-1),Manufacturing!A:A,0)),2)</f>
        <v>98.39</v>
      </c>
      <c r="N772">
        <f t="shared" si="891"/>
        <v>1</v>
      </c>
      <c r="O772">
        <f>ROUND(INDEX(Housing!AC:AC,MATCH(EOMONTH($A772,-1),Housing!B:B,0)),2)</f>
        <v>150.24</v>
      </c>
      <c r="P772">
        <f t="shared" si="892"/>
        <v>3</v>
      </c>
      <c r="Q772">
        <f>ROUND(INDEX(Spending!AJ:AJ,MATCH(EOMONTH($A772,-1),Spending!B:B,0)),2)</f>
        <v>71.88</v>
      </c>
      <c r="R772">
        <f t="shared" si="896"/>
        <v>2</v>
      </c>
      <c r="S772">
        <f>ROUND(INDEX(Employment!V:V,MATCH(EOMONTH($A772,-1),Employment!A:A,0)),2)</f>
        <v>148.1</v>
      </c>
      <c r="T772" s="11">
        <f t="shared" si="893"/>
        <v>-1</v>
      </c>
      <c r="U772">
        <f t="shared" si="885"/>
        <v>29</v>
      </c>
      <c r="V772">
        <f t="shared" si="877"/>
        <v>80.040000000000006</v>
      </c>
      <c r="W772" s="13">
        <f t="shared" si="878"/>
        <v>1.37E-2</v>
      </c>
      <c r="X772" s="13">
        <f t="shared" si="879"/>
        <v>4.5700000000000005E-2</v>
      </c>
      <c r="Y772">
        <f t="shared" ref="Y772:Y835" si="907">ROUND(((K772*0.745)+(M772*0.745)+(O772*0.36)+(Q772*0.45)+(S772*0.45)+(I772*0.55)+(G772*0.59)-(E772*1.85))/5.3,2)</f>
        <v>88.62</v>
      </c>
      <c r="Z772" s="13">
        <f t="shared" si="902"/>
        <v>1.3599999999999999E-2</v>
      </c>
      <c r="AA772" s="13">
        <f t="shared" si="898"/>
        <v>4.36E-2</v>
      </c>
      <c r="AB772" s="6">
        <f t="shared" ref="AB772:AB835" si="908">IF(ROUND(Y772+(X772*10)+(V772/30)+(AA772*67),2)+5+((G772-125)*0.1)&lt;0,0,ROUND(Y772+(X772*10)+(V772/30)+(AA772*67),2)+5+((G772-125)*0.1))</f>
        <v>105.182</v>
      </c>
      <c r="AC772">
        <f t="shared" si="900"/>
        <v>53</v>
      </c>
      <c r="AD772" s="11">
        <f t="shared" si="901"/>
        <v>2</v>
      </c>
      <c r="AE772">
        <f t="shared" si="899"/>
        <v>33</v>
      </c>
      <c r="AF772">
        <f>IF(AND(AE772&lt;15,OR(AC772&gt;=30,AA772&gt;0.15,X772&gt;=0.15)),2,VLOOKUP(AE772,Table!P:Q,2,FALSE))</f>
        <v>5</v>
      </c>
      <c r="AG772" s="22">
        <f>IF((AB772*0.98)-(D772*0.8)+((AF772-3)*3)+VLOOKUP(AM772,Table!$A$11:$B$13,2,FALSE)&lt;0,0,(AB772*0.98)-(D772*0.8)+((AF772-3)*3)+VLOOKUP(AM772,Table!$A$11:$B$13,2,FALSE))</f>
        <v>103.5263592</v>
      </c>
      <c r="AH772" s="22">
        <f t="shared" si="894"/>
        <v>100</v>
      </c>
      <c r="AI772" s="18">
        <f t="shared" si="887"/>
        <v>0.94</v>
      </c>
      <c r="AJ772" s="18">
        <f t="shared" si="888"/>
        <v>1</v>
      </c>
      <c r="AK772" t="str">
        <f t="shared" ref="AK772:AK835" si="909">IF(AND(C772&gt;AI772,AI772&gt;AJ772,C772-AJ772&gt;0.15),"Rising Rates",IF(AND(C772&lt;AI772,AI772&lt;AJ772,AJ772-C772&gt;0.15),"Falling Rates",""))</f>
        <v/>
      </c>
      <c r="AL772">
        <f t="shared" si="884"/>
        <v>32.75</v>
      </c>
      <c r="AM772" s="11" t="str">
        <f t="shared" ref="AM772:AM835" si="910">IF(OR(AND(AL772&lt;=18,G772&lt;=25),AND(AL772&lt;=14,G772&lt;200)),"Cash","Stocks")</f>
        <v>Stocks</v>
      </c>
      <c r="AN772" t="str">
        <f t="shared" si="880"/>
        <v>Buy</v>
      </c>
      <c r="AO772" s="13">
        <f t="shared" si="881"/>
        <v>-1.43E-2</v>
      </c>
      <c r="AP772" s="13">
        <f t="shared" si="882"/>
        <v>2.0000000000000001E-4</v>
      </c>
      <c r="AQ772" s="13">
        <f t="shared" si="883"/>
        <v>-1.43E-2</v>
      </c>
      <c r="AR772" s="13">
        <f t="shared" ref="AR772:AR835" si="911">IF(AM772="Stocks",AO772,AP772)</f>
        <v>-1.43E-2</v>
      </c>
      <c r="AS772" s="6">
        <f t="shared" si="903"/>
        <v>261.72189676925865</v>
      </c>
      <c r="AT772" s="6">
        <f t="shared" si="904"/>
        <v>159.72650218680019</v>
      </c>
      <c r="AU772" s="6">
        <f t="shared" si="905"/>
        <v>302.23849518821049</v>
      </c>
      <c r="AV772" s="6">
        <f t="shared" si="906"/>
        <v>370.47290382680472</v>
      </c>
      <c r="AW772" s="58">
        <f t="shared" ref="AW772:AW835" si="912">YEAR(A772)</f>
        <v>2003</v>
      </c>
      <c r="AX772" s="58">
        <f>COUNTIF(AW$3:AW772,AW772)</f>
        <v>7</v>
      </c>
    </row>
    <row r="773" spans="1:50" x14ac:dyDescent="0.25">
      <c r="A773" s="5">
        <v>37934</v>
      </c>
      <c r="B773">
        <v>1053.21</v>
      </c>
      <c r="C773">
        <v>0.94</v>
      </c>
      <c r="D773" s="6">
        <v>16.93</v>
      </c>
      <c r="E773" s="18">
        <f t="shared" si="889"/>
        <v>16.91</v>
      </c>
      <c r="F773">
        <f t="shared" si="890"/>
        <v>0</v>
      </c>
      <c r="G773" s="18">
        <f>ROUND(INDEX(Valuation!U:U,MATCH(A773,Valuation!A:A,0)),2)</f>
        <v>181.43</v>
      </c>
      <c r="H773">
        <f t="shared" si="897"/>
        <v>2</v>
      </c>
      <c r="I773" s="18">
        <f>INDEX(WeeklyIndicators!Y:Y,MATCH(A773,WeeklyIndicators!A:A,0))</f>
        <v>138.93</v>
      </c>
      <c r="J773">
        <f t="shared" si="886"/>
        <v>1</v>
      </c>
      <c r="K773">
        <f>ROUND(INDEX(Economic!AF:AF,MATCH(EOMONTH($A773,-1),Economic!A:A,0)),2)</f>
        <v>122.88</v>
      </c>
      <c r="L773" s="11">
        <f t="shared" si="895"/>
        <v>1</v>
      </c>
      <c r="M773">
        <f>ROUND(INDEX(Manufacturing!P:P,MATCH(EOMONTH($A773,-1),Manufacturing!A:A,0)),2)</f>
        <v>98.39</v>
      </c>
      <c r="N773">
        <f t="shared" si="891"/>
        <v>1</v>
      </c>
      <c r="O773">
        <f>ROUND(INDEX(Housing!AC:AC,MATCH(EOMONTH($A773,-1),Housing!B:B,0)),2)</f>
        <v>150.24</v>
      </c>
      <c r="P773">
        <f t="shared" si="892"/>
        <v>3</v>
      </c>
      <c r="Q773">
        <f>ROUND(INDEX(Spending!AJ:AJ,MATCH(EOMONTH($A773,-1),Spending!B:B,0)),2)</f>
        <v>71.88</v>
      </c>
      <c r="R773">
        <f t="shared" si="896"/>
        <v>2</v>
      </c>
      <c r="S773">
        <f>ROUND(INDEX(Employment!V:V,MATCH(EOMONTH($A773,-1),Employment!A:A,0)),2)</f>
        <v>148.1</v>
      </c>
      <c r="T773" s="11">
        <f t="shared" si="893"/>
        <v>-1</v>
      </c>
      <c r="U773">
        <f t="shared" si="885"/>
        <v>29</v>
      </c>
      <c r="V773">
        <f t="shared" ref="V773:V836" si="913">ROUND(((K773*0.745)+(M773*0.745)+(O773*0.36)+(Q773*0.45)+(S773*0.45)+(I773*0.55)+(60)-(30))/5.3,2)</f>
        <v>80.06</v>
      </c>
      <c r="W773" s="13">
        <f t="shared" ref="W773:W836" si="914">ROUND((AVERAGE(V773:V775)-AVERAGE(V774:V776))/AVERAGE(V774:V776),4)</f>
        <v>1.4800000000000001E-2</v>
      </c>
      <c r="X773" s="13">
        <f t="shared" ref="X773:X836" si="915">SUM(W773:W776)</f>
        <v>4.7699999999999999E-2</v>
      </c>
      <c r="Y773">
        <f t="shared" si="907"/>
        <v>88.7</v>
      </c>
      <c r="Z773" s="13">
        <f t="shared" si="902"/>
        <v>1.41E-2</v>
      </c>
      <c r="AA773" s="13">
        <f t="shared" si="898"/>
        <v>4.4899999999999995E-2</v>
      </c>
      <c r="AB773" s="6">
        <f t="shared" si="908"/>
        <v>105.49299999999999</v>
      </c>
      <c r="AC773">
        <f t="shared" si="900"/>
        <v>53</v>
      </c>
      <c r="AD773" s="11">
        <f t="shared" si="901"/>
        <v>2</v>
      </c>
      <c r="AE773">
        <f t="shared" si="899"/>
        <v>33</v>
      </c>
      <c r="AF773">
        <f>IF(AND(AE773&lt;15,OR(AC773&gt;=30,AA773&gt;0.15,X773&gt;=0.15)),2,VLOOKUP(AE773,Table!P:Q,2,FALSE))</f>
        <v>5</v>
      </c>
      <c r="AG773" s="22">
        <f>IF((AB773*0.98)-(D773*0.8)+((AF773-3)*3)+VLOOKUP(AM773,Table!$A$11:$B$13,2,FALSE)&lt;0,0,(AB773*0.98)-(D773*0.8)+((AF773-3)*3)+VLOOKUP(AM773,Table!$A$11:$B$13,2,FALSE))</f>
        <v>103.83914</v>
      </c>
      <c r="AH773" s="22">
        <f t="shared" si="894"/>
        <v>100</v>
      </c>
      <c r="AI773" s="18">
        <f t="shared" si="887"/>
        <v>0.94</v>
      </c>
      <c r="AJ773" s="18">
        <f t="shared" si="888"/>
        <v>1.01</v>
      </c>
      <c r="AK773" t="str">
        <f t="shared" si="909"/>
        <v/>
      </c>
      <c r="AL773">
        <f t="shared" si="884"/>
        <v>32.25</v>
      </c>
      <c r="AM773" s="11" t="str">
        <f t="shared" si="910"/>
        <v>Stocks</v>
      </c>
      <c r="AN773" t="str">
        <f t="shared" ref="AN773:AN836" si="916">IF(AND(V773&gt;AG773,V773&lt;65),"Sell","Buy")</f>
        <v>Buy</v>
      </c>
      <c r="AO773" s="13">
        <f t="shared" ref="AO773:AO836" si="917">ROUND((B772/B773)-1,4)</f>
        <v>-2.7000000000000001E-3</v>
      </c>
      <c r="AP773" s="13">
        <f t="shared" ref="AP773:AP836" si="918">ROUND((C773*0.01)/52,4)</f>
        <v>2.0000000000000001E-4</v>
      </c>
      <c r="AQ773" s="13">
        <f t="shared" ref="AQ773:AQ836" si="919">ROUND(((AH773*0.01)*AO773)+(((100-AH773)*0.01)*AP773),4)</f>
        <v>-2.7000000000000001E-3</v>
      </c>
      <c r="AR773" s="13">
        <f t="shared" si="911"/>
        <v>-2.7000000000000001E-3</v>
      </c>
      <c r="AS773" s="6">
        <f t="shared" si="903"/>
        <v>262.43045900858181</v>
      </c>
      <c r="AT773" s="6">
        <f t="shared" si="904"/>
        <v>159.69456327414537</v>
      </c>
      <c r="AU773" s="6">
        <f t="shared" si="905"/>
        <v>303.05674840891459</v>
      </c>
      <c r="AV773" s="6">
        <f t="shared" si="906"/>
        <v>371.47588872636595</v>
      </c>
      <c r="AW773" s="58">
        <f t="shared" si="912"/>
        <v>2003</v>
      </c>
      <c r="AX773" s="58">
        <f>COUNTIF(AW$3:AW773,AW773)</f>
        <v>8</v>
      </c>
    </row>
    <row r="774" spans="1:50" x14ac:dyDescent="0.25">
      <c r="A774" s="5">
        <v>37927</v>
      </c>
      <c r="B774">
        <v>1050.71</v>
      </c>
      <c r="C774">
        <v>0.94</v>
      </c>
      <c r="D774" s="6">
        <v>16.100000000000001</v>
      </c>
      <c r="E774" s="18">
        <f t="shared" si="889"/>
        <v>17.14</v>
      </c>
      <c r="F774">
        <f t="shared" si="890"/>
        <v>0</v>
      </c>
      <c r="G774" s="18">
        <f>ROUND(INDEX(Valuation!U:U,MATCH(A774,Valuation!A:A,0)),2)</f>
        <v>180.9</v>
      </c>
      <c r="H774">
        <f t="shared" si="897"/>
        <v>2</v>
      </c>
      <c r="I774" s="18">
        <f>INDEX(WeeklyIndicators!Y:Y,MATCH(A774,WeeklyIndicators!A:A,0))</f>
        <v>138.32</v>
      </c>
      <c r="J774">
        <f t="shared" si="886"/>
        <v>1</v>
      </c>
      <c r="K774">
        <f>ROUND(INDEX(Economic!AF:AF,MATCH(EOMONTH($A774,-1),Economic!A:A,0)),2)</f>
        <v>122.88</v>
      </c>
      <c r="L774" s="11">
        <f t="shared" si="895"/>
        <v>1</v>
      </c>
      <c r="M774">
        <f>ROUND(INDEX(Manufacturing!P:P,MATCH(EOMONTH($A774,-1),Manufacturing!A:A,0)),2)</f>
        <v>98.39</v>
      </c>
      <c r="N774">
        <f t="shared" si="891"/>
        <v>1</v>
      </c>
      <c r="O774">
        <f>ROUND(INDEX(Housing!AC:AC,MATCH(EOMONTH($A774,-1),Housing!B:B,0)),2)</f>
        <v>150.24</v>
      </c>
      <c r="P774">
        <f t="shared" si="892"/>
        <v>3</v>
      </c>
      <c r="Q774">
        <f>ROUND(INDEX(Spending!AJ:AJ,MATCH(EOMONTH($A774,-1),Spending!B:B,0)),2)</f>
        <v>71.88</v>
      </c>
      <c r="R774">
        <f t="shared" si="896"/>
        <v>2</v>
      </c>
      <c r="S774">
        <f>ROUND(INDEX(Employment!V:V,MATCH(EOMONTH($A774,-1),Employment!A:A,0)),2)</f>
        <v>148.1</v>
      </c>
      <c r="T774" s="11">
        <f t="shared" si="893"/>
        <v>-1</v>
      </c>
      <c r="U774">
        <f t="shared" si="885"/>
        <v>29</v>
      </c>
      <c r="V774">
        <f t="shared" si="913"/>
        <v>80</v>
      </c>
      <c r="W774" s="13">
        <f t="shared" si="914"/>
        <v>1.52E-2</v>
      </c>
      <c r="X774" s="13">
        <f t="shared" si="915"/>
        <v>4.7899999999999998E-2</v>
      </c>
      <c r="Y774">
        <f t="shared" si="907"/>
        <v>88.49</v>
      </c>
      <c r="Z774" s="13">
        <f t="shared" si="902"/>
        <v>1.46E-2</v>
      </c>
      <c r="AA774" s="13">
        <f t="shared" si="898"/>
        <v>4.36E-2</v>
      </c>
      <c r="AB774" s="6">
        <f t="shared" si="908"/>
        <v>105.15</v>
      </c>
      <c r="AC774">
        <f t="shared" si="900"/>
        <v>53</v>
      </c>
      <c r="AD774" s="11">
        <f t="shared" si="901"/>
        <v>2</v>
      </c>
      <c r="AE774">
        <f t="shared" si="899"/>
        <v>33</v>
      </c>
      <c r="AF774">
        <f>IF(AND(AE774&lt;15,OR(AC774&gt;=30,AA774&gt;0.15,X774&gt;=0.15)),2,VLOOKUP(AE774,Table!P:Q,2,FALSE))</f>
        <v>5</v>
      </c>
      <c r="AG774" s="22">
        <f>IF((AB774*0.98)-(D774*0.8)+((AF774-3)*3)+VLOOKUP(AM774,Table!$A$11:$B$13,2,FALSE)&lt;0,0,(AB774*0.98)-(D774*0.8)+((AF774-3)*3)+VLOOKUP(AM774,Table!$A$11:$B$13,2,FALSE))</f>
        <v>104.167</v>
      </c>
      <c r="AH774" s="22">
        <f t="shared" si="894"/>
        <v>100</v>
      </c>
      <c r="AI774" s="18">
        <f t="shared" si="887"/>
        <v>0.94</v>
      </c>
      <c r="AJ774" s="18">
        <f t="shared" si="888"/>
        <v>1.01</v>
      </c>
      <c r="AK774" t="str">
        <f t="shared" si="909"/>
        <v/>
      </c>
      <c r="AL774">
        <f t="shared" si="884"/>
        <v>31.5</v>
      </c>
      <c r="AM774" s="11" t="str">
        <f t="shared" si="910"/>
        <v>Stocks</v>
      </c>
      <c r="AN774" t="str">
        <f t="shared" si="916"/>
        <v>Buy</v>
      </c>
      <c r="AO774" s="13">
        <f t="shared" si="917"/>
        <v>2.3999999999999998E-3</v>
      </c>
      <c r="AP774" s="13">
        <f t="shared" si="918"/>
        <v>2.0000000000000001E-4</v>
      </c>
      <c r="AQ774" s="13">
        <f t="shared" si="919"/>
        <v>2.3999999999999998E-3</v>
      </c>
      <c r="AR774" s="13">
        <f t="shared" si="911"/>
        <v>2.3999999999999998E-3</v>
      </c>
      <c r="AS774" s="6">
        <f t="shared" si="903"/>
        <v>261.80213388725241</v>
      </c>
      <c r="AT774" s="6">
        <f t="shared" si="904"/>
        <v>159.66263074799576</v>
      </c>
      <c r="AU774" s="6">
        <f t="shared" si="905"/>
        <v>302.33115364017817</v>
      </c>
      <c r="AV774" s="6">
        <f t="shared" si="906"/>
        <v>370.58648117155423</v>
      </c>
      <c r="AW774" s="58">
        <f t="shared" si="912"/>
        <v>2003</v>
      </c>
      <c r="AX774" s="58">
        <f>COUNTIF(AW$3:AW774,AW774)</f>
        <v>9</v>
      </c>
    </row>
    <row r="775" spans="1:50" x14ac:dyDescent="0.25">
      <c r="A775" s="5">
        <v>37920</v>
      </c>
      <c r="B775">
        <v>1028.9100000000001</v>
      </c>
      <c r="C775">
        <v>0.93</v>
      </c>
      <c r="D775" s="6">
        <v>17.709999</v>
      </c>
      <c r="E775" s="18">
        <f t="shared" si="889"/>
        <v>17.93</v>
      </c>
      <c r="F775">
        <f t="shared" si="890"/>
        <v>0</v>
      </c>
      <c r="G775" s="18">
        <f>ROUND(INDEX(Valuation!U:U,MATCH(A775,Valuation!A:A,0)),2)</f>
        <v>181.28</v>
      </c>
      <c r="H775">
        <f t="shared" si="897"/>
        <v>2</v>
      </c>
      <c r="I775" s="18">
        <f>INDEX(WeeklyIndicators!Y:Y,MATCH(A775,WeeklyIndicators!A:A,0))</f>
        <v>137.74</v>
      </c>
      <c r="J775">
        <f t="shared" si="886"/>
        <v>1</v>
      </c>
      <c r="K775">
        <f>ROUND(INDEX(Economic!AF:AF,MATCH(EOMONTH($A775,-1),Economic!A:A,0)),2)</f>
        <v>119.26</v>
      </c>
      <c r="L775" s="11">
        <f t="shared" si="895"/>
        <v>1</v>
      </c>
      <c r="M775">
        <f>ROUND(INDEX(Manufacturing!P:P,MATCH(EOMONTH($A775,-1),Manufacturing!A:A,0)),2)</f>
        <v>92.46</v>
      </c>
      <c r="N775">
        <f t="shared" si="891"/>
        <v>1</v>
      </c>
      <c r="O775">
        <f>ROUND(INDEX(Housing!AC:AC,MATCH(EOMONTH($A775,-1),Housing!B:B,0)),2)</f>
        <v>141.28</v>
      </c>
      <c r="P775">
        <f t="shared" si="892"/>
        <v>3</v>
      </c>
      <c r="Q775">
        <f>ROUND(INDEX(Spending!AJ:AJ,MATCH(EOMONTH($A775,-1),Spending!B:B,0)),2)</f>
        <v>66.44</v>
      </c>
      <c r="R775">
        <f t="shared" si="896"/>
        <v>2</v>
      </c>
      <c r="S775">
        <f>ROUND(INDEX(Employment!V:V,MATCH(EOMONTH($A775,-1),Employment!A:A,0)),2)</f>
        <v>139.46</v>
      </c>
      <c r="T775" s="11">
        <f t="shared" si="893"/>
        <v>-2</v>
      </c>
      <c r="U775">
        <f t="shared" si="885"/>
        <v>28</v>
      </c>
      <c r="V775">
        <f t="shared" si="913"/>
        <v>76.790000000000006</v>
      </c>
      <c r="W775" s="13">
        <f t="shared" si="914"/>
        <v>2E-3</v>
      </c>
      <c r="X775" s="13">
        <f t="shared" si="915"/>
        <v>4.6300000000000001E-2</v>
      </c>
      <c r="Y775">
        <f t="shared" si="907"/>
        <v>85.05</v>
      </c>
      <c r="Z775" s="13">
        <f t="shared" si="902"/>
        <v>1.2999999999999999E-3</v>
      </c>
      <c r="AA775" s="13">
        <f t="shared" si="898"/>
        <v>4.19E-2</v>
      </c>
      <c r="AB775" s="6">
        <f t="shared" si="908"/>
        <v>101.508</v>
      </c>
      <c r="AC775">
        <f t="shared" si="900"/>
        <v>51</v>
      </c>
      <c r="AD775" s="11">
        <f t="shared" si="901"/>
        <v>2</v>
      </c>
      <c r="AE775">
        <f t="shared" si="899"/>
        <v>32</v>
      </c>
      <c r="AF775">
        <f>IF(AND(AE775&lt;15,OR(AC775&gt;=30,AA775&gt;0.15,X775&gt;=0.15)),2,VLOOKUP(AE775,Table!P:Q,2,FALSE))</f>
        <v>5</v>
      </c>
      <c r="AG775" s="22">
        <f>IF((AB775*0.98)-(D775*0.8)+((AF775-3)*3)+VLOOKUP(AM775,Table!$A$11:$B$13,2,FALSE)&lt;0,0,(AB775*0.98)-(D775*0.8)+((AF775-3)*3)+VLOOKUP(AM775,Table!$A$11:$B$13,2,FALSE))</f>
        <v>99.309840800000003</v>
      </c>
      <c r="AH775" s="22">
        <f t="shared" si="894"/>
        <v>97</v>
      </c>
      <c r="AI775" s="18">
        <f t="shared" si="887"/>
        <v>0.94</v>
      </c>
      <c r="AJ775" s="18">
        <f t="shared" si="888"/>
        <v>1.02</v>
      </c>
      <c r="AK775" t="str">
        <f t="shared" si="909"/>
        <v/>
      </c>
      <c r="AL775">
        <f t="shared" si="884"/>
        <v>30.75</v>
      </c>
      <c r="AM775" s="11" t="str">
        <f t="shared" si="910"/>
        <v>Stocks</v>
      </c>
      <c r="AN775" t="str">
        <f t="shared" si="916"/>
        <v>Buy</v>
      </c>
      <c r="AO775" s="13">
        <f t="shared" si="917"/>
        <v>2.12E-2</v>
      </c>
      <c r="AP775" s="13">
        <f t="shared" si="918"/>
        <v>2.0000000000000001E-4</v>
      </c>
      <c r="AQ775" s="13">
        <f t="shared" si="919"/>
        <v>2.06E-2</v>
      </c>
      <c r="AR775" s="13">
        <f t="shared" si="911"/>
        <v>2.12E-2</v>
      </c>
      <c r="AS775" s="6">
        <f t="shared" si="903"/>
        <v>256.36715030087385</v>
      </c>
      <c r="AT775" s="6">
        <f t="shared" si="904"/>
        <v>159.63070460707436</v>
      </c>
      <c r="AU775" s="6">
        <f t="shared" si="905"/>
        <v>296.22883954554004</v>
      </c>
      <c r="AV775" s="6">
        <f t="shared" si="906"/>
        <v>362.89314646646511</v>
      </c>
      <c r="AW775" s="58">
        <f t="shared" si="912"/>
        <v>2003</v>
      </c>
      <c r="AX775" s="58">
        <f>COUNTIF(AW$3:AW775,AW775)</f>
        <v>10</v>
      </c>
    </row>
    <row r="776" spans="1:50" x14ac:dyDescent="0.25">
      <c r="A776" s="5">
        <v>37913</v>
      </c>
      <c r="B776">
        <v>1039.32</v>
      </c>
      <c r="C776">
        <v>0.91</v>
      </c>
      <c r="D776" s="6">
        <v>17.620000999999998</v>
      </c>
      <c r="E776" s="18">
        <f t="shared" si="889"/>
        <v>18.52</v>
      </c>
      <c r="F776">
        <f t="shared" si="890"/>
        <v>-1</v>
      </c>
      <c r="G776" s="18">
        <f>ROUND(INDEX(Valuation!U:U,MATCH(A776,Valuation!A:A,0)),2)</f>
        <v>184.75</v>
      </c>
      <c r="H776">
        <f t="shared" si="897"/>
        <v>2</v>
      </c>
      <c r="I776" s="18">
        <f>INDEX(WeeklyIndicators!Y:Y,MATCH(A776,WeeklyIndicators!A:A,0))</f>
        <v>135.97</v>
      </c>
      <c r="J776">
        <f t="shared" si="886"/>
        <v>1</v>
      </c>
      <c r="K776">
        <f>ROUND(INDEX(Economic!AF:AF,MATCH(EOMONTH($A776,-1),Economic!A:A,0)),2)</f>
        <v>119.26</v>
      </c>
      <c r="L776" s="11">
        <f t="shared" si="895"/>
        <v>1</v>
      </c>
      <c r="M776">
        <f>ROUND(INDEX(Manufacturing!P:P,MATCH(EOMONTH($A776,-1),Manufacturing!A:A,0)),2)</f>
        <v>92.46</v>
      </c>
      <c r="N776">
        <f t="shared" si="891"/>
        <v>1</v>
      </c>
      <c r="O776">
        <f>ROUND(INDEX(Housing!AC:AC,MATCH(EOMONTH($A776,-1),Housing!B:B,0)),2)</f>
        <v>141.28</v>
      </c>
      <c r="P776">
        <f t="shared" si="892"/>
        <v>3</v>
      </c>
      <c r="Q776">
        <f>ROUND(INDEX(Spending!AJ:AJ,MATCH(EOMONTH($A776,-1),Spending!B:B,0)),2)</f>
        <v>66.44</v>
      </c>
      <c r="R776">
        <f t="shared" si="896"/>
        <v>2</v>
      </c>
      <c r="S776">
        <f>ROUND(INDEX(Employment!V:V,MATCH(EOMONTH($A776,-1),Employment!A:A,0)),2)</f>
        <v>139.46</v>
      </c>
      <c r="T776" s="11">
        <f t="shared" si="893"/>
        <v>-2</v>
      </c>
      <c r="U776">
        <f t="shared" si="885"/>
        <v>27</v>
      </c>
      <c r="V776">
        <f t="shared" si="913"/>
        <v>76.61</v>
      </c>
      <c r="W776" s="13">
        <f t="shared" si="914"/>
        <v>1.5699999999999999E-2</v>
      </c>
      <c r="X776" s="13">
        <f t="shared" si="915"/>
        <v>4.41E-2</v>
      </c>
      <c r="Y776">
        <f t="shared" si="907"/>
        <v>85.05</v>
      </c>
      <c r="Z776" s="13">
        <f t="shared" si="902"/>
        <v>1.49E-2</v>
      </c>
      <c r="AA776" s="13">
        <f t="shared" si="898"/>
        <v>4.0800000000000003E-2</v>
      </c>
      <c r="AB776" s="6">
        <f t="shared" si="908"/>
        <v>101.755</v>
      </c>
      <c r="AC776">
        <f t="shared" si="900"/>
        <v>51</v>
      </c>
      <c r="AD776" s="11">
        <f t="shared" si="901"/>
        <v>2</v>
      </c>
      <c r="AE776">
        <f t="shared" si="899"/>
        <v>31</v>
      </c>
      <c r="AF776">
        <f>IF(AND(AE776&lt;15,OR(AC776&gt;=30,AA776&gt;0.15,X776&gt;=0.15)),2,VLOOKUP(AE776,Table!P:Q,2,FALSE))</f>
        <v>4</v>
      </c>
      <c r="AG776" s="22">
        <f>IF((AB776*0.98)-(D776*0.8)+((AF776-3)*3)+VLOOKUP(AM776,Table!$A$11:$B$13,2,FALSE)&lt;0,0,(AB776*0.98)-(D776*0.8)+((AF776-3)*3)+VLOOKUP(AM776,Table!$A$11:$B$13,2,FALSE))</f>
        <v>96.623899199999997</v>
      </c>
      <c r="AH776" s="22">
        <f t="shared" si="894"/>
        <v>96</v>
      </c>
      <c r="AI776" s="18">
        <f t="shared" si="887"/>
        <v>0.94</v>
      </c>
      <c r="AJ776" s="18">
        <f t="shared" si="888"/>
        <v>1.02</v>
      </c>
      <c r="AK776" t="str">
        <f t="shared" si="909"/>
        <v/>
      </c>
      <c r="AL776">
        <f t="shared" si="884"/>
        <v>29.5</v>
      </c>
      <c r="AM776" s="11" t="str">
        <f t="shared" si="910"/>
        <v>Stocks</v>
      </c>
      <c r="AN776" t="str">
        <f t="shared" si="916"/>
        <v>Buy</v>
      </c>
      <c r="AO776" s="13">
        <f t="shared" si="917"/>
        <v>-0.01</v>
      </c>
      <c r="AP776" s="13">
        <f t="shared" si="918"/>
        <v>2.0000000000000001E-4</v>
      </c>
      <c r="AQ776" s="13">
        <f t="shared" si="919"/>
        <v>-9.5999999999999992E-3</v>
      </c>
      <c r="AR776" s="13">
        <f t="shared" si="911"/>
        <v>-0.01</v>
      </c>
      <c r="AS776" s="6">
        <f t="shared" si="903"/>
        <v>258.95671747563017</v>
      </c>
      <c r="AT776" s="6">
        <f t="shared" si="904"/>
        <v>159.59878485010435</v>
      </c>
      <c r="AU776" s="6">
        <f t="shared" si="905"/>
        <v>299.10020147974564</v>
      </c>
      <c r="AV776" s="6">
        <f t="shared" si="906"/>
        <v>366.55873380451021</v>
      </c>
      <c r="AW776" s="58">
        <f t="shared" si="912"/>
        <v>2003</v>
      </c>
      <c r="AX776" s="58">
        <f>COUNTIF(AW$3:AW776,AW776)</f>
        <v>11</v>
      </c>
    </row>
    <row r="777" spans="1:50" x14ac:dyDescent="0.25">
      <c r="A777" s="5">
        <v>37906</v>
      </c>
      <c r="B777">
        <v>1038.06</v>
      </c>
      <c r="C777">
        <v>0.9</v>
      </c>
      <c r="D777" s="6">
        <v>18.450001</v>
      </c>
      <c r="E777" s="18">
        <f t="shared" si="889"/>
        <v>20.059999999999999</v>
      </c>
      <c r="F777">
        <f t="shared" si="890"/>
        <v>-1</v>
      </c>
      <c r="G777" s="18">
        <f>ROUND(INDEX(Valuation!U:U,MATCH(A777,Valuation!A:A,0)),2)</f>
        <v>188.18</v>
      </c>
      <c r="H777">
        <f t="shared" si="897"/>
        <v>2</v>
      </c>
      <c r="I777" s="18">
        <f>INDEX(WeeklyIndicators!Y:Y,MATCH(A777,WeeklyIndicators!A:A,0))</f>
        <v>134.9</v>
      </c>
      <c r="J777">
        <f t="shared" si="886"/>
        <v>0</v>
      </c>
      <c r="K777">
        <f>ROUND(INDEX(Economic!AF:AF,MATCH(EOMONTH($A777,-1),Economic!A:A,0)),2)</f>
        <v>119.26</v>
      </c>
      <c r="L777" s="11">
        <f t="shared" si="895"/>
        <v>1</v>
      </c>
      <c r="M777">
        <f>ROUND(INDEX(Manufacturing!P:P,MATCH(EOMONTH($A777,-1),Manufacturing!A:A,0)),2)</f>
        <v>92.46</v>
      </c>
      <c r="N777">
        <f t="shared" si="891"/>
        <v>1</v>
      </c>
      <c r="O777">
        <f>ROUND(INDEX(Housing!AC:AC,MATCH(EOMONTH($A777,-1),Housing!B:B,0)),2)</f>
        <v>141.28</v>
      </c>
      <c r="P777">
        <f t="shared" si="892"/>
        <v>3</v>
      </c>
      <c r="Q777">
        <f>ROUND(INDEX(Spending!AJ:AJ,MATCH(EOMONTH($A777,-1),Spending!B:B,0)),2)</f>
        <v>66.44</v>
      </c>
      <c r="R777">
        <f t="shared" si="896"/>
        <v>2</v>
      </c>
      <c r="S777">
        <f>ROUND(INDEX(Employment!V:V,MATCH(EOMONTH($A777,-1),Employment!A:A,0)),2)</f>
        <v>139.46</v>
      </c>
      <c r="T777" s="11">
        <f t="shared" si="893"/>
        <v>-2</v>
      </c>
      <c r="U777">
        <f t="shared" si="885"/>
        <v>26</v>
      </c>
      <c r="V777">
        <f t="shared" si="913"/>
        <v>76.5</v>
      </c>
      <c r="W777" s="13">
        <f t="shared" si="914"/>
        <v>1.4999999999999999E-2</v>
      </c>
      <c r="X777" s="13">
        <f t="shared" si="915"/>
        <v>4.6700000000000005E-2</v>
      </c>
      <c r="Y777">
        <f t="shared" si="907"/>
        <v>84.78</v>
      </c>
      <c r="Z777" s="13">
        <f t="shared" si="902"/>
        <v>1.2800000000000001E-2</v>
      </c>
      <c r="AA777" s="13">
        <f t="shared" si="898"/>
        <v>4.3400000000000001E-2</v>
      </c>
      <c r="AB777" s="6">
        <f t="shared" si="908"/>
        <v>102.018</v>
      </c>
      <c r="AC777">
        <f t="shared" si="900"/>
        <v>51</v>
      </c>
      <c r="AD777" s="11">
        <f t="shared" si="901"/>
        <v>2</v>
      </c>
      <c r="AE777">
        <f t="shared" si="899"/>
        <v>30</v>
      </c>
      <c r="AF777">
        <f>IF(AND(AE777&lt;15,OR(AC777&gt;=30,AA777&gt;0.15,X777&gt;=0.15)),2,VLOOKUP(AE777,Table!P:Q,2,FALSE))</f>
        <v>4</v>
      </c>
      <c r="AG777" s="22">
        <f>IF((AB777*0.98)-(D777*0.8)+((AF777-3)*3)+VLOOKUP(AM777,Table!$A$11:$B$13,2,FALSE)&lt;0,0,(AB777*0.98)-(D777*0.8)+((AF777-3)*3)+VLOOKUP(AM777,Table!$A$11:$B$13,2,FALSE))</f>
        <v>96.217639199999994</v>
      </c>
      <c r="AH777" s="22">
        <f t="shared" si="894"/>
        <v>94</v>
      </c>
      <c r="AI777" s="18">
        <f t="shared" si="887"/>
        <v>0.93</v>
      </c>
      <c r="AJ777" s="18">
        <f t="shared" si="888"/>
        <v>1.03</v>
      </c>
      <c r="AK777" t="str">
        <f t="shared" si="909"/>
        <v/>
      </c>
      <c r="AL777">
        <f t="shared" ref="AL777:AL840" si="920">ROUND(AVERAGE(AE777:AE780),2)</f>
        <v>28.5</v>
      </c>
      <c r="AM777" s="11" t="str">
        <f t="shared" si="910"/>
        <v>Stocks</v>
      </c>
      <c r="AN777" t="str">
        <f t="shared" si="916"/>
        <v>Buy</v>
      </c>
      <c r="AO777" s="13">
        <f t="shared" si="917"/>
        <v>1.1999999999999999E-3</v>
      </c>
      <c r="AP777" s="13">
        <f t="shared" si="918"/>
        <v>2.0000000000000001E-4</v>
      </c>
      <c r="AQ777" s="13">
        <f t="shared" si="919"/>
        <v>1.1000000000000001E-3</v>
      </c>
      <c r="AR777" s="13">
        <f t="shared" si="911"/>
        <v>1.1999999999999999E-3</v>
      </c>
      <c r="AS777" s="6">
        <f t="shared" si="903"/>
        <v>258.64634186539166</v>
      </c>
      <c r="AT777" s="6">
        <f t="shared" si="904"/>
        <v>159.56687147580919</v>
      </c>
      <c r="AU777" s="6">
        <f t="shared" si="905"/>
        <v>298.77155277169675</v>
      </c>
      <c r="AV777" s="6">
        <f t="shared" si="906"/>
        <v>366.11939053586713</v>
      </c>
      <c r="AW777" s="58">
        <f t="shared" si="912"/>
        <v>2003</v>
      </c>
      <c r="AX777" s="58">
        <f>COUNTIF(AW$3:AW777,AW777)</f>
        <v>12</v>
      </c>
    </row>
    <row r="778" spans="1:50" x14ac:dyDescent="0.25">
      <c r="A778" s="5">
        <v>37899</v>
      </c>
      <c r="B778">
        <v>1029.8499999999999</v>
      </c>
      <c r="C778">
        <v>0.93</v>
      </c>
      <c r="D778" s="6">
        <v>19.5</v>
      </c>
      <c r="E778" s="18">
        <f t="shared" si="889"/>
        <v>19.760000000000002</v>
      </c>
      <c r="F778">
        <f t="shared" si="890"/>
        <v>-1</v>
      </c>
      <c r="G778" s="18">
        <f>ROUND(INDEX(Valuation!U:U,MATCH(A778,Valuation!A:A,0)),2)</f>
        <v>188.28</v>
      </c>
      <c r="H778">
        <f t="shared" si="897"/>
        <v>2</v>
      </c>
      <c r="I778" s="18">
        <f>INDEX(WeeklyIndicators!Y:Y,MATCH(A778,WeeklyIndicators!A:A,0))</f>
        <v>133.15</v>
      </c>
      <c r="J778">
        <f t="shared" si="886"/>
        <v>0</v>
      </c>
      <c r="K778">
        <f>ROUND(INDEX(Economic!AF:AF,MATCH(EOMONTH($A778,-1),Economic!A:A,0)),2)</f>
        <v>119.26</v>
      </c>
      <c r="L778" s="11">
        <f t="shared" si="895"/>
        <v>1</v>
      </c>
      <c r="M778">
        <f>ROUND(INDEX(Manufacturing!P:P,MATCH(EOMONTH($A778,-1),Manufacturing!A:A,0)),2)</f>
        <v>92.46</v>
      </c>
      <c r="N778">
        <f t="shared" si="891"/>
        <v>1</v>
      </c>
      <c r="O778">
        <f>ROUND(INDEX(Housing!AC:AC,MATCH(EOMONTH($A778,-1),Housing!B:B,0)),2)</f>
        <v>141.28</v>
      </c>
      <c r="P778">
        <f t="shared" si="892"/>
        <v>3</v>
      </c>
      <c r="Q778">
        <f>ROUND(INDEX(Spending!AJ:AJ,MATCH(EOMONTH($A778,-1),Spending!B:B,0)),2)</f>
        <v>66.44</v>
      </c>
      <c r="R778">
        <f t="shared" si="896"/>
        <v>2</v>
      </c>
      <c r="S778">
        <f>ROUND(INDEX(Employment!V:V,MATCH(EOMONTH($A778,-1),Employment!A:A,0)),2)</f>
        <v>139.46</v>
      </c>
      <c r="T778" s="11">
        <f t="shared" si="893"/>
        <v>-2</v>
      </c>
      <c r="U778">
        <f t="shared" ref="U778:U841" si="921">F778+H778+J778+L778+N778+P778+R778+T778+20</f>
        <v>26</v>
      </c>
      <c r="V778">
        <f t="shared" si="913"/>
        <v>76.319999999999993</v>
      </c>
      <c r="W778" s="13">
        <f t="shared" si="914"/>
        <v>1.3599999999999999E-2</v>
      </c>
      <c r="X778" s="13">
        <f t="shared" si="915"/>
        <v>5.4899999999999997E-2</v>
      </c>
      <c r="Y778">
        <f t="shared" si="907"/>
        <v>84.72</v>
      </c>
      <c r="Z778" s="13">
        <f t="shared" si="902"/>
        <v>1.29E-2</v>
      </c>
      <c r="AA778" s="13">
        <f t="shared" si="898"/>
        <v>5.1299999999999998E-2</v>
      </c>
      <c r="AB778" s="6">
        <f t="shared" si="908"/>
        <v>102.578</v>
      </c>
      <c r="AC778">
        <f t="shared" si="900"/>
        <v>51</v>
      </c>
      <c r="AD778" s="11">
        <f t="shared" si="901"/>
        <v>2</v>
      </c>
      <c r="AE778">
        <f t="shared" si="899"/>
        <v>30</v>
      </c>
      <c r="AF778">
        <f>IF(AND(AE778&lt;15,OR(AC778&gt;=30,AA778&gt;0.15,X778&gt;=0.15)),2,VLOOKUP(AE778,Table!P:Q,2,FALSE))</f>
        <v>4</v>
      </c>
      <c r="AG778" s="22">
        <f>IF((AB778*0.98)-(D778*0.8)+((AF778-3)*3)+VLOOKUP(AM778,Table!$A$11:$B$13,2,FALSE)&lt;0,0,(AB778*0.98)-(D778*0.8)+((AF778-3)*3)+VLOOKUP(AM778,Table!$A$11:$B$13,2,FALSE))</f>
        <v>95.926440000000014</v>
      </c>
      <c r="AH778" s="22">
        <f t="shared" si="894"/>
        <v>94</v>
      </c>
      <c r="AI778" s="18">
        <f t="shared" si="887"/>
        <v>0.93</v>
      </c>
      <c r="AJ778" s="18">
        <f t="shared" si="888"/>
        <v>1.04</v>
      </c>
      <c r="AK778" t="str">
        <f t="shared" si="909"/>
        <v/>
      </c>
      <c r="AL778">
        <f t="shared" si="920"/>
        <v>27.75</v>
      </c>
      <c r="AM778" s="11" t="str">
        <f t="shared" si="910"/>
        <v>Stocks</v>
      </c>
      <c r="AN778" t="str">
        <f t="shared" si="916"/>
        <v>Buy</v>
      </c>
      <c r="AO778" s="13">
        <f t="shared" si="917"/>
        <v>8.0000000000000002E-3</v>
      </c>
      <c r="AP778" s="13">
        <f t="shared" si="918"/>
        <v>2.0000000000000001E-4</v>
      </c>
      <c r="AQ778" s="13">
        <f t="shared" si="919"/>
        <v>7.4999999999999997E-3</v>
      </c>
      <c r="AR778" s="13">
        <f t="shared" si="911"/>
        <v>8.0000000000000002E-3</v>
      </c>
      <c r="AS778" s="6">
        <f t="shared" si="903"/>
        <v>256.59359312042824</v>
      </c>
      <c r="AT778" s="6">
        <f t="shared" si="904"/>
        <v>159.53496448291261</v>
      </c>
      <c r="AU778" s="6">
        <f t="shared" si="905"/>
        <v>296.54744691979823</v>
      </c>
      <c r="AV778" s="6">
        <f t="shared" si="906"/>
        <v>363.21368108716979</v>
      </c>
      <c r="AW778" s="58">
        <f t="shared" si="912"/>
        <v>2003</v>
      </c>
      <c r="AX778" s="58">
        <f>COUNTIF(AW$3:AW778,AW778)</f>
        <v>13</v>
      </c>
    </row>
    <row r="779" spans="1:50" x14ac:dyDescent="0.25">
      <c r="A779" s="5">
        <v>37892</v>
      </c>
      <c r="B779">
        <v>996.85</v>
      </c>
      <c r="C779">
        <v>0.93</v>
      </c>
      <c r="D779" s="6">
        <v>22.23</v>
      </c>
      <c r="E779" s="18">
        <f t="shared" si="889"/>
        <v>19.48</v>
      </c>
      <c r="F779">
        <f t="shared" si="890"/>
        <v>-1</v>
      </c>
      <c r="G779" s="18">
        <f>ROUND(INDEX(Valuation!U:U,MATCH(A779,Valuation!A:A,0)),2)</f>
        <v>186.05</v>
      </c>
      <c r="H779">
        <f t="shared" si="897"/>
        <v>2</v>
      </c>
      <c r="I779" s="18">
        <f>INDEX(WeeklyIndicators!Y:Y,MATCH(A779,WeeklyIndicators!A:A,0))</f>
        <v>132.13</v>
      </c>
      <c r="J779">
        <f t="shared" si="886"/>
        <v>0</v>
      </c>
      <c r="K779">
        <f>ROUND(INDEX(Economic!AF:AF,MATCH(EOMONTH($A779,-1),Economic!A:A,0)),2)</f>
        <v>113.21</v>
      </c>
      <c r="L779" s="11">
        <f t="shared" si="895"/>
        <v>1</v>
      </c>
      <c r="M779">
        <f>ROUND(INDEX(Manufacturing!P:P,MATCH(EOMONTH($A779,-1),Manufacturing!A:A,0)),2)</f>
        <v>87.73</v>
      </c>
      <c r="N779">
        <f t="shared" si="891"/>
        <v>0</v>
      </c>
      <c r="O779">
        <f>ROUND(INDEX(Housing!AC:AC,MATCH(EOMONTH($A779,-1),Housing!B:B,0)),2)</f>
        <v>134.21</v>
      </c>
      <c r="P779">
        <f t="shared" si="892"/>
        <v>2</v>
      </c>
      <c r="Q779">
        <f>ROUND(INDEX(Spending!AJ:AJ,MATCH(EOMONTH($A779,-1),Spending!B:B,0)),2)</f>
        <v>59.42</v>
      </c>
      <c r="R779">
        <f t="shared" si="896"/>
        <v>1</v>
      </c>
      <c r="S779">
        <f>ROUND(INDEX(Employment!V:V,MATCH(EOMONTH($A779,-1),Employment!A:A,0)),2)</f>
        <v>132.91999999999999</v>
      </c>
      <c r="T779" s="11">
        <f t="shared" si="893"/>
        <v>-2</v>
      </c>
      <c r="U779">
        <f t="shared" si="921"/>
        <v>23</v>
      </c>
      <c r="V779">
        <f t="shared" si="913"/>
        <v>73.06</v>
      </c>
      <c r="W779" s="13">
        <f t="shared" si="914"/>
        <v>-2.0000000000000001E-4</v>
      </c>
      <c r="X779" s="13">
        <f t="shared" si="915"/>
        <v>6.5000000000000002E-2</v>
      </c>
      <c r="Y779">
        <f t="shared" si="907"/>
        <v>81.319999999999993</v>
      </c>
      <c r="Z779" s="13">
        <f t="shared" si="902"/>
        <v>2.0000000000000001E-4</v>
      </c>
      <c r="AA779" s="13">
        <f t="shared" si="898"/>
        <v>6.0100000000000001E-2</v>
      </c>
      <c r="AB779" s="6">
        <f t="shared" si="908"/>
        <v>99.535000000000011</v>
      </c>
      <c r="AC779">
        <f t="shared" si="900"/>
        <v>50</v>
      </c>
      <c r="AD779" s="11">
        <f t="shared" si="901"/>
        <v>2</v>
      </c>
      <c r="AE779">
        <f t="shared" si="899"/>
        <v>27</v>
      </c>
      <c r="AF779">
        <f>IF(AND(AE779&lt;15,OR(AC779&gt;=30,AA779&gt;0.15,X779&gt;=0.15)),2,VLOOKUP(AE779,Table!P:Q,2,FALSE))</f>
        <v>4</v>
      </c>
      <c r="AG779" s="22">
        <f>IF((AB779*0.98)-(D779*0.8)+((AF779-3)*3)+VLOOKUP(AM779,Table!$A$11:$B$13,2,FALSE)&lt;0,0,(AB779*0.98)-(D779*0.8)+((AF779-3)*3)+VLOOKUP(AM779,Table!$A$11:$B$13,2,FALSE))</f>
        <v>90.760300000000001</v>
      </c>
      <c r="AH779" s="22">
        <f t="shared" si="894"/>
        <v>93</v>
      </c>
      <c r="AI779" s="18">
        <f t="shared" si="887"/>
        <v>0.93</v>
      </c>
      <c r="AJ779" s="18">
        <f t="shared" si="888"/>
        <v>1.04</v>
      </c>
      <c r="AK779" t="str">
        <f t="shared" si="909"/>
        <v/>
      </c>
      <c r="AL779">
        <f t="shared" si="920"/>
        <v>27</v>
      </c>
      <c r="AM779" s="11" t="str">
        <f t="shared" si="910"/>
        <v>Stocks</v>
      </c>
      <c r="AN779" t="str">
        <f t="shared" si="916"/>
        <v>Buy</v>
      </c>
      <c r="AO779" s="13">
        <f t="shared" si="917"/>
        <v>3.3099999999999997E-2</v>
      </c>
      <c r="AP779" s="13">
        <f t="shared" si="918"/>
        <v>2.0000000000000001E-4</v>
      </c>
      <c r="AQ779" s="13">
        <f t="shared" si="919"/>
        <v>3.0800000000000001E-2</v>
      </c>
      <c r="AR779" s="13">
        <f t="shared" si="911"/>
        <v>3.3099999999999997E-2</v>
      </c>
      <c r="AS779" s="6">
        <f t="shared" si="903"/>
        <v>248.37246454402117</v>
      </c>
      <c r="AT779" s="6">
        <f t="shared" si="904"/>
        <v>159.50306387013859</v>
      </c>
      <c r="AU779" s="6">
        <f t="shared" si="905"/>
        <v>287.68669666259046</v>
      </c>
      <c r="AV779" s="6">
        <f t="shared" si="906"/>
        <v>351.57649897122235</v>
      </c>
      <c r="AW779" s="58">
        <f t="shared" si="912"/>
        <v>2003</v>
      </c>
      <c r="AX779" s="58">
        <f>COUNTIF(AW$3:AW779,AW779)</f>
        <v>14</v>
      </c>
    </row>
    <row r="780" spans="1:50" x14ac:dyDescent="0.25">
      <c r="A780" s="5">
        <v>37885</v>
      </c>
      <c r="B780">
        <v>1036.3</v>
      </c>
      <c r="C780">
        <v>0.93</v>
      </c>
      <c r="D780" s="6">
        <v>17.540001</v>
      </c>
      <c r="E780" s="18">
        <f t="shared" si="889"/>
        <v>18.13</v>
      </c>
      <c r="F780">
        <f t="shared" si="890"/>
        <v>-1</v>
      </c>
      <c r="G780" s="18">
        <f>ROUND(INDEX(Valuation!U:U,MATCH(A780,Valuation!A:A,0)),2)</f>
        <v>183.54</v>
      </c>
      <c r="H780">
        <f t="shared" si="897"/>
        <v>2</v>
      </c>
      <c r="I780" s="18">
        <f>INDEX(WeeklyIndicators!Y:Y,MATCH(A780,WeeklyIndicators!A:A,0))</f>
        <v>133.09</v>
      </c>
      <c r="J780">
        <f t="shared" si="886"/>
        <v>0</v>
      </c>
      <c r="K780">
        <f>ROUND(INDEX(Economic!AF:AF,MATCH(EOMONTH($A780,-1),Economic!A:A,0)),2)</f>
        <v>113.21</v>
      </c>
      <c r="L780" s="11">
        <f t="shared" si="895"/>
        <v>1</v>
      </c>
      <c r="M780">
        <f>ROUND(INDEX(Manufacturing!P:P,MATCH(EOMONTH($A780,-1),Manufacturing!A:A,0)),2)</f>
        <v>87.73</v>
      </c>
      <c r="N780">
        <f t="shared" si="891"/>
        <v>0</v>
      </c>
      <c r="O780">
        <f>ROUND(INDEX(Housing!AC:AC,MATCH(EOMONTH($A780,-1),Housing!B:B,0)),2)</f>
        <v>134.21</v>
      </c>
      <c r="P780">
        <f t="shared" si="892"/>
        <v>2</v>
      </c>
      <c r="Q780">
        <f>ROUND(INDEX(Spending!AJ:AJ,MATCH(EOMONTH($A780,-1),Spending!B:B,0)),2)</f>
        <v>59.42</v>
      </c>
      <c r="R780">
        <f t="shared" si="896"/>
        <v>1</v>
      </c>
      <c r="S780">
        <f>ROUND(INDEX(Employment!V:V,MATCH(EOMONTH($A780,-1),Employment!A:A,0)),2)</f>
        <v>132.91999999999999</v>
      </c>
      <c r="T780" s="11">
        <f t="shared" si="893"/>
        <v>-2</v>
      </c>
      <c r="U780">
        <f t="shared" si="921"/>
        <v>23</v>
      </c>
      <c r="V780">
        <f t="shared" si="913"/>
        <v>73.16</v>
      </c>
      <c r="W780" s="13">
        <f t="shared" si="914"/>
        <v>1.83E-2</v>
      </c>
      <c r="X780" s="13">
        <f t="shared" si="915"/>
        <v>6.9099999999999995E-2</v>
      </c>
      <c r="Y780">
        <f t="shared" si="907"/>
        <v>81.61</v>
      </c>
      <c r="Z780" s="13">
        <f t="shared" si="902"/>
        <v>1.7500000000000002E-2</v>
      </c>
      <c r="AA780" s="13">
        <f t="shared" si="898"/>
        <v>6.4000000000000001E-2</v>
      </c>
      <c r="AB780" s="6">
        <f t="shared" si="908"/>
        <v>99.884</v>
      </c>
      <c r="AC780">
        <f t="shared" si="900"/>
        <v>50</v>
      </c>
      <c r="AD780" s="11">
        <f t="shared" si="901"/>
        <v>2</v>
      </c>
      <c r="AE780">
        <f t="shared" si="899"/>
        <v>27</v>
      </c>
      <c r="AF780">
        <f>IF(AND(AE780&lt;15,OR(AC780&gt;=30,AA780&gt;0.15,X780&gt;=0.15)),2,VLOOKUP(AE780,Table!P:Q,2,FALSE))</f>
        <v>4</v>
      </c>
      <c r="AG780" s="22">
        <f>IF((AB780*0.98)-(D780*0.8)+((AF780-3)*3)+VLOOKUP(AM780,Table!$A$11:$B$13,2,FALSE)&lt;0,0,(AB780*0.98)-(D780*0.8)+((AF780-3)*3)+VLOOKUP(AM780,Table!$A$11:$B$13,2,FALSE))</f>
        <v>94.854319199999992</v>
      </c>
      <c r="AH780" s="22">
        <f t="shared" si="894"/>
        <v>93</v>
      </c>
      <c r="AI780" s="18">
        <f t="shared" si="887"/>
        <v>0.92</v>
      </c>
      <c r="AJ780" s="18">
        <f t="shared" si="888"/>
        <v>1.05</v>
      </c>
      <c r="AK780" t="str">
        <f t="shared" si="909"/>
        <v/>
      </c>
      <c r="AL780">
        <f t="shared" si="920"/>
        <v>26</v>
      </c>
      <c r="AM780" s="11" t="str">
        <f t="shared" si="910"/>
        <v>Stocks</v>
      </c>
      <c r="AN780" t="str">
        <f t="shared" si="916"/>
        <v>Buy</v>
      </c>
      <c r="AO780" s="13">
        <f t="shared" si="917"/>
        <v>-3.8100000000000002E-2</v>
      </c>
      <c r="AP780" s="13">
        <f t="shared" si="918"/>
        <v>2.0000000000000001E-4</v>
      </c>
      <c r="AQ780" s="13">
        <f t="shared" si="919"/>
        <v>-3.5400000000000001E-2</v>
      </c>
      <c r="AR780" s="13">
        <f t="shared" si="911"/>
        <v>-3.8100000000000002E-2</v>
      </c>
      <c r="AS780" s="6">
        <f t="shared" si="903"/>
        <v>258.21027606198271</v>
      </c>
      <c r="AT780" s="6">
        <f t="shared" si="904"/>
        <v>159.47116963621136</v>
      </c>
      <c r="AU780" s="6">
        <f t="shared" si="905"/>
        <v>298.24455386957334</v>
      </c>
      <c r="AV780" s="6">
        <f t="shared" si="906"/>
        <v>365.5021301291427</v>
      </c>
      <c r="AW780" s="58">
        <f t="shared" si="912"/>
        <v>2003</v>
      </c>
      <c r="AX780" s="58">
        <f>COUNTIF(AW$3:AW780,AW780)</f>
        <v>15</v>
      </c>
    </row>
    <row r="781" spans="1:50" x14ac:dyDescent="0.25">
      <c r="A781" s="5">
        <v>37878</v>
      </c>
      <c r="B781">
        <v>1018.63</v>
      </c>
      <c r="C781">
        <v>0.94</v>
      </c>
      <c r="D781" s="6">
        <v>18.68</v>
      </c>
      <c r="E781" s="18">
        <f t="shared" si="889"/>
        <v>18.489999999999998</v>
      </c>
      <c r="F781">
        <f t="shared" si="890"/>
        <v>-1</v>
      </c>
      <c r="G781" s="18">
        <f>ROUND(INDEX(Valuation!U:U,MATCH(A781,Valuation!A:A,0)),2)</f>
        <v>182.72</v>
      </c>
      <c r="H781">
        <f t="shared" si="897"/>
        <v>2</v>
      </c>
      <c r="I781" s="18">
        <f>INDEX(WeeklyIndicators!Y:Y,MATCH(A781,WeeklyIndicators!A:A,0))</f>
        <v>134.77000000000001</v>
      </c>
      <c r="J781">
        <f t="shared" si="886"/>
        <v>0</v>
      </c>
      <c r="K781">
        <f>ROUND(INDEX(Economic!AF:AF,MATCH(EOMONTH($A781,-1),Economic!A:A,0)),2)</f>
        <v>113.21</v>
      </c>
      <c r="L781" s="11">
        <f t="shared" si="895"/>
        <v>1</v>
      </c>
      <c r="M781">
        <f>ROUND(INDEX(Manufacturing!P:P,MATCH(EOMONTH($A781,-1),Manufacturing!A:A,0)),2)</f>
        <v>87.73</v>
      </c>
      <c r="N781">
        <f t="shared" si="891"/>
        <v>0</v>
      </c>
      <c r="O781">
        <f>ROUND(INDEX(Housing!AC:AC,MATCH(EOMONTH($A781,-1),Housing!B:B,0)),2)</f>
        <v>134.21</v>
      </c>
      <c r="P781">
        <f t="shared" si="892"/>
        <v>2</v>
      </c>
      <c r="Q781">
        <f>ROUND(INDEX(Spending!AJ:AJ,MATCH(EOMONTH($A781,-1),Spending!B:B,0)),2)</f>
        <v>59.42</v>
      </c>
      <c r="R781">
        <f t="shared" si="896"/>
        <v>1</v>
      </c>
      <c r="S781">
        <f>ROUND(INDEX(Employment!V:V,MATCH(EOMONTH($A781,-1),Employment!A:A,0)),2)</f>
        <v>132.91999999999999</v>
      </c>
      <c r="T781" s="11">
        <f t="shared" si="893"/>
        <v>-2</v>
      </c>
      <c r="U781">
        <f t="shared" si="921"/>
        <v>23</v>
      </c>
      <c r="V781">
        <f t="shared" si="913"/>
        <v>73.34</v>
      </c>
      <c r="W781" s="13">
        <f t="shared" si="914"/>
        <v>2.3199999999999998E-2</v>
      </c>
      <c r="X781" s="13">
        <f t="shared" si="915"/>
        <v>4.9799999999999997E-2</v>
      </c>
      <c r="Y781">
        <f t="shared" si="907"/>
        <v>81.56</v>
      </c>
      <c r="Z781" s="13">
        <f t="shared" si="902"/>
        <v>2.07E-2</v>
      </c>
      <c r="AA781" s="13">
        <f t="shared" si="898"/>
        <v>4.65E-2</v>
      </c>
      <c r="AB781" s="6">
        <f t="shared" si="908"/>
        <v>98.39200000000001</v>
      </c>
      <c r="AC781">
        <f t="shared" si="900"/>
        <v>49</v>
      </c>
      <c r="AD781" s="11">
        <f t="shared" si="901"/>
        <v>2</v>
      </c>
      <c r="AE781">
        <f t="shared" si="899"/>
        <v>27</v>
      </c>
      <c r="AF781">
        <f>IF(AND(AE781&lt;15,OR(AC781&gt;=30,AA781&gt;0.15,X781&gt;=0.15)),2,VLOOKUP(AE781,Table!P:Q,2,FALSE))</f>
        <v>4</v>
      </c>
      <c r="AG781" s="22">
        <f>IF((AB781*0.98)-(D781*0.8)+((AF781-3)*3)+VLOOKUP(AM781,Table!$A$11:$B$13,2,FALSE)&lt;0,0,(AB781*0.98)-(D781*0.8)+((AF781-3)*3)+VLOOKUP(AM781,Table!$A$11:$B$13,2,FALSE))</f>
        <v>92.480160000000012</v>
      </c>
      <c r="AH781" s="22">
        <f t="shared" si="894"/>
        <v>89</v>
      </c>
      <c r="AI781" s="18">
        <f t="shared" si="887"/>
        <v>0.92</v>
      </c>
      <c r="AJ781" s="18">
        <f t="shared" si="888"/>
        <v>1.06</v>
      </c>
      <c r="AK781" t="str">
        <f t="shared" si="909"/>
        <v/>
      </c>
      <c r="AL781">
        <f t="shared" si="920"/>
        <v>24.75</v>
      </c>
      <c r="AM781" s="11" t="str">
        <f t="shared" si="910"/>
        <v>Stocks</v>
      </c>
      <c r="AN781" t="str">
        <f t="shared" si="916"/>
        <v>Buy</v>
      </c>
      <c r="AO781" s="13">
        <f t="shared" si="917"/>
        <v>1.7299999999999999E-2</v>
      </c>
      <c r="AP781" s="13">
        <f t="shared" si="918"/>
        <v>2.0000000000000001E-4</v>
      </c>
      <c r="AQ781" s="13">
        <f t="shared" si="919"/>
        <v>1.54E-2</v>
      </c>
      <c r="AR781" s="13">
        <f t="shared" si="911"/>
        <v>1.7299999999999999E-2</v>
      </c>
      <c r="AS781" s="6">
        <f t="shared" si="903"/>
        <v>253.81920383562633</v>
      </c>
      <c r="AT781" s="6">
        <f t="shared" si="904"/>
        <v>159.43928177985538</v>
      </c>
      <c r="AU781" s="6">
        <f t="shared" si="905"/>
        <v>293.72124667084233</v>
      </c>
      <c r="AV781" s="6">
        <f t="shared" si="906"/>
        <v>359.28647412674991</v>
      </c>
      <c r="AW781" s="58">
        <f t="shared" si="912"/>
        <v>2003</v>
      </c>
      <c r="AX781" s="58">
        <f>COUNTIF(AW$3:AW781,AW781)</f>
        <v>16</v>
      </c>
    </row>
    <row r="782" spans="1:50" x14ac:dyDescent="0.25">
      <c r="A782" s="5">
        <v>37871</v>
      </c>
      <c r="B782">
        <v>1021.39</v>
      </c>
      <c r="C782">
        <v>0.95</v>
      </c>
      <c r="D782" s="6">
        <v>18.170000000000002</v>
      </c>
      <c r="E782" s="18">
        <f t="shared" si="889"/>
        <v>18.45</v>
      </c>
      <c r="F782">
        <f t="shared" si="890"/>
        <v>-1</v>
      </c>
      <c r="G782" s="18">
        <f>ROUND(INDEX(Valuation!U:U,MATCH(A782,Valuation!A:A,0)),2)</f>
        <v>182.05</v>
      </c>
      <c r="H782">
        <f t="shared" si="897"/>
        <v>2</v>
      </c>
      <c r="I782" s="18">
        <f>INDEX(WeeklyIndicators!Y:Y,MATCH(A782,WeeklyIndicators!A:A,0))</f>
        <v>132.55000000000001</v>
      </c>
      <c r="J782">
        <f t="shared" si="886"/>
        <v>0</v>
      </c>
      <c r="K782">
        <f>ROUND(INDEX(Economic!AF:AF,MATCH(EOMONTH($A782,-1),Economic!A:A,0)),2)</f>
        <v>113.21</v>
      </c>
      <c r="L782" s="11">
        <f t="shared" si="895"/>
        <v>1</v>
      </c>
      <c r="M782">
        <f>ROUND(INDEX(Manufacturing!P:P,MATCH(EOMONTH($A782,-1),Manufacturing!A:A,0)),2)</f>
        <v>87.73</v>
      </c>
      <c r="N782">
        <f t="shared" si="891"/>
        <v>0</v>
      </c>
      <c r="O782">
        <f>ROUND(INDEX(Housing!AC:AC,MATCH(EOMONTH($A782,-1),Housing!B:B,0)),2)</f>
        <v>134.21</v>
      </c>
      <c r="P782">
        <f t="shared" si="892"/>
        <v>2</v>
      </c>
      <c r="Q782">
        <f>ROUND(INDEX(Spending!AJ:AJ,MATCH(EOMONTH($A782,-1),Spending!B:B,0)),2)</f>
        <v>59.42</v>
      </c>
      <c r="R782">
        <f t="shared" si="896"/>
        <v>1</v>
      </c>
      <c r="S782">
        <f>ROUND(INDEX(Employment!V:V,MATCH(EOMONTH($A782,-1),Employment!A:A,0)),2)</f>
        <v>132.91999999999999</v>
      </c>
      <c r="T782" s="11">
        <f t="shared" si="893"/>
        <v>-2</v>
      </c>
      <c r="U782">
        <f t="shared" si="921"/>
        <v>23</v>
      </c>
      <c r="V782">
        <f t="shared" si="913"/>
        <v>73.11</v>
      </c>
      <c r="W782" s="13">
        <f t="shared" si="914"/>
        <v>2.3699999999999999E-2</v>
      </c>
      <c r="X782" s="13">
        <f t="shared" si="915"/>
        <v>3.7499999999999999E-2</v>
      </c>
      <c r="Y782">
        <f t="shared" si="907"/>
        <v>81.27</v>
      </c>
      <c r="Z782" s="13">
        <f t="shared" si="902"/>
        <v>2.1700000000000001E-2</v>
      </c>
      <c r="AA782" s="13">
        <f t="shared" si="898"/>
        <v>3.3700000000000001E-2</v>
      </c>
      <c r="AB782" s="6">
        <f t="shared" si="908"/>
        <v>97.045000000000002</v>
      </c>
      <c r="AC782">
        <f t="shared" si="900"/>
        <v>49</v>
      </c>
      <c r="AD782" s="11">
        <f t="shared" si="901"/>
        <v>2</v>
      </c>
      <c r="AE782">
        <f t="shared" si="899"/>
        <v>27</v>
      </c>
      <c r="AF782">
        <f>IF(AND(AE782&lt;15,OR(AC782&gt;=30,AA782&gt;0.15,X782&gt;=0.15)),2,VLOOKUP(AE782,Table!P:Q,2,FALSE))</f>
        <v>4</v>
      </c>
      <c r="AG782" s="22">
        <f>IF((AB782*0.98)-(D782*0.8)+((AF782-3)*3)+VLOOKUP(AM782,Table!$A$11:$B$13,2,FALSE)&lt;0,0,(AB782*0.98)-(D782*0.8)+((AF782-3)*3)+VLOOKUP(AM782,Table!$A$11:$B$13,2,FALSE))</f>
        <v>91.568100000000001</v>
      </c>
      <c r="AH782" s="22">
        <f t="shared" si="894"/>
        <v>86</v>
      </c>
      <c r="AI782" s="18">
        <f t="shared" si="887"/>
        <v>0.91</v>
      </c>
      <c r="AJ782" s="18">
        <f t="shared" si="888"/>
        <v>1.06</v>
      </c>
      <c r="AK782" t="str">
        <f t="shared" si="909"/>
        <v/>
      </c>
      <c r="AL782">
        <f t="shared" si="920"/>
        <v>23.5</v>
      </c>
      <c r="AM782" s="11" t="str">
        <f t="shared" si="910"/>
        <v>Stocks</v>
      </c>
      <c r="AN782" t="str">
        <f t="shared" si="916"/>
        <v>Buy</v>
      </c>
      <c r="AO782" s="13">
        <f t="shared" si="917"/>
        <v>-2.7000000000000001E-3</v>
      </c>
      <c r="AP782" s="13">
        <f t="shared" si="918"/>
        <v>2.0000000000000001E-4</v>
      </c>
      <c r="AQ782" s="13">
        <f t="shared" si="919"/>
        <v>-2.3E-3</v>
      </c>
      <c r="AR782" s="13">
        <f t="shared" si="911"/>
        <v>-2.7000000000000001E-3</v>
      </c>
      <c r="AS782" s="6">
        <f t="shared" si="903"/>
        <v>254.50637103742739</v>
      </c>
      <c r="AT782" s="6">
        <f t="shared" si="904"/>
        <v>159.40740029979543</v>
      </c>
      <c r="AU782" s="6">
        <f t="shared" si="905"/>
        <v>294.398362905525</v>
      </c>
      <c r="AV782" s="6">
        <f t="shared" si="906"/>
        <v>360.25917389626983</v>
      </c>
      <c r="AW782" s="58">
        <f t="shared" si="912"/>
        <v>2003</v>
      </c>
      <c r="AX782" s="58">
        <f>COUNTIF(AW$3:AW782,AW782)</f>
        <v>17</v>
      </c>
    </row>
    <row r="783" spans="1:50" x14ac:dyDescent="0.25">
      <c r="A783" s="5">
        <v>37864</v>
      </c>
      <c r="B783">
        <v>1008.01</v>
      </c>
      <c r="C783">
        <v>0.98</v>
      </c>
      <c r="D783" s="6">
        <v>18.629999000000002</v>
      </c>
      <c r="E783" s="18">
        <f t="shared" si="889"/>
        <v>18.48</v>
      </c>
      <c r="F783">
        <f t="shared" si="890"/>
        <v>-1</v>
      </c>
      <c r="G783" s="18">
        <f>ROUND(INDEX(Valuation!U:U,MATCH(A783,Valuation!A:A,0)),2)</f>
        <v>182.47</v>
      </c>
      <c r="H783">
        <f t="shared" si="897"/>
        <v>2</v>
      </c>
      <c r="I783" s="18">
        <f>INDEX(WeeklyIndicators!Y:Y,MATCH(A783,WeeklyIndicators!A:A,0))</f>
        <v>125.42</v>
      </c>
      <c r="J783">
        <f t="shared" ref="J783:J846" si="922">IF(I783&gt;170,3,IF(AND(I783&gt;152,I783&lt;=170),2,IF(AND(I783&gt;135,I783&lt;=152),1,IF(I783&lt;60,-3,IF(AND(I783&lt;95,I783&gt;=60),-2,IF(AND(I783&lt;120,I783&gt;=95),-1,0))))))</f>
        <v>0</v>
      </c>
      <c r="K783">
        <f>ROUND(INDEX(Economic!AF:AF,MATCH(EOMONTH($A783,-1),Economic!A:A,0)),2)</f>
        <v>108.4</v>
      </c>
      <c r="L783" s="11">
        <f t="shared" si="895"/>
        <v>0</v>
      </c>
      <c r="M783">
        <f>ROUND(INDEX(Manufacturing!P:P,MATCH(EOMONTH($A783,-1),Manufacturing!A:A,0)),2)</f>
        <v>80.89</v>
      </c>
      <c r="N783">
        <f t="shared" si="891"/>
        <v>-1</v>
      </c>
      <c r="O783">
        <f>ROUND(INDEX(Housing!AC:AC,MATCH(EOMONTH($A783,-1),Housing!B:B,0)),2)</f>
        <v>126.1</v>
      </c>
      <c r="P783">
        <f t="shared" si="892"/>
        <v>1</v>
      </c>
      <c r="Q783">
        <f>ROUND(INDEX(Spending!AJ:AJ,MATCH(EOMONTH($A783,-1),Spending!B:B,0)),2)</f>
        <v>56.51</v>
      </c>
      <c r="R783">
        <f t="shared" si="896"/>
        <v>1</v>
      </c>
      <c r="S783">
        <f>ROUND(INDEX(Employment!V:V,MATCH(EOMONTH($A783,-1),Employment!A:A,0)),2)</f>
        <v>124.38</v>
      </c>
      <c r="T783" s="11">
        <f t="shared" si="893"/>
        <v>-2</v>
      </c>
      <c r="U783">
        <f t="shared" si="921"/>
        <v>20</v>
      </c>
      <c r="V783">
        <f t="shared" si="913"/>
        <v>69.209999999999994</v>
      </c>
      <c r="W783" s="13">
        <f t="shared" si="914"/>
        <v>3.8999999999999998E-3</v>
      </c>
      <c r="X783" s="13">
        <f t="shared" si="915"/>
        <v>2.7799999999999998E-2</v>
      </c>
      <c r="Y783">
        <f t="shared" si="907"/>
        <v>77.41</v>
      </c>
      <c r="Z783" s="13">
        <f t="shared" si="902"/>
        <v>4.1000000000000003E-3</v>
      </c>
      <c r="AA783" s="13">
        <f t="shared" si="898"/>
        <v>2.2200000000000001E-2</v>
      </c>
      <c r="AB783" s="6">
        <f t="shared" si="908"/>
        <v>92.227000000000004</v>
      </c>
      <c r="AC783">
        <f t="shared" si="900"/>
        <v>46</v>
      </c>
      <c r="AD783" s="11">
        <f t="shared" si="901"/>
        <v>1</v>
      </c>
      <c r="AE783">
        <f t="shared" si="899"/>
        <v>23</v>
      </c>
      <c r="AF783">
        <f>IF(AND(AE783&lt;15,OR(AC783&gt;=30,AA783&gt;0.15,X783&gt;=0.15)),2,VLOOKUP(AE783,Table!P:Q,2,FALSE))</f>
        <v>3</v>
      </c>
      <c r="AG783" s="22">
        <f>IF((AB783*0.98)-(D783*0.8)+((AF783-3)*3)+VLOOKUP(AM783,Table!$A$11:$B$13,2,FALSE)&lt;0,0,(AB783*0.98)-(D783*0.8)+((AF783-3)*3)+VLOOKUP(AM783,Table!$A$11:$B$13,2,FALSE))</f>
        <v>83.478460800000008</v>
      </c>
      <c r="AH783" s="22">
        <f t="shared" si="894"/>
        <v>84</v>
      </c>
      <c r="AI783" s="18">
        <f t="shared" ref="AI783:AI846" si="923">ROUND(AVERAGE(C783:C795),2)</f>
        <v>0.92</v>
      </c>
      <c r="AJ783" s="18">
        <f t="shared" ref="AJ783:AJ846" si="924">ROUND(AVERAGE(C783:C821),2)</f>
        <v>1.07</v>
      </c>
      <c r="AK783" t="str">
        <f t="shared" si="909"/>
        <v/>
      </c>
      <c r="AL783">
        <f t="shared" si="920"/>
        <v>22.25</v>
      </c>
      <c r="AM783" s="11" t="str">
        <f t="shared" si="910"/>
        <v>Stocks</v>
      </c>
      <c r="AN783" t="str">
        <f t="shared" si="916"/>
        <v>Buy</v>
      </c>
      <c r="AO783" s="13">
        <f t="shared" si="917"/>
        <v>1.3299999999999999E-2</v>
      </c>
      <c r="AP783" s="13">
        <f t="shared" si="918"/>
        <v>2.0000000000000001E-4</v>
      </c>
      <c r="AQ783" s="13">
        <f t="shared" si="919"/>
        <v>1.12E-2</v>
      </c>
      <c r="AR783" s="13">
        <f t="shared" si="911"/>
        <v>1.3299999999999999E-2</v>
      </c>
      <c r="AS783" s="6">
        <f t="shared" si="903"/>
        <v>251.16586503249519</v>
      </c>
      <c r="AT783" s="6">
        <f t="shared" si="904"/>
        <v>159.37552519475648</v>
      </c>
      <c r="AU783" s="6">
        <f t="shared" si="905"/>
        <v>291.1376215442296</v>
      </c>
      <c r="AV783" s="6">
        <f t="shared" si="906"/>
        <v>355.53061669423647</v>
      </c>
      <c r="AW783" s="58">
        <f t="shared" si="912"/>
        <v>2003</v>
      </c>
      <c r="AX783" s="58">
        <f>COUNTIF(AW$3:AW783,AW783)</f>
        <v>18</v>
      </c>
    </row>
    <row r="784" spans="1:50" x14ac:dyDescent="0.25">
      <c r="A784" s="5">
        <v>37857</v>
      </c>
      <c r="B784">
        <v>993.06</v>
      </c>
      <c r="C784">
        <v>0.95</v>
      </c>
      <c r="D784" s="6">
        <v>18.549999</v>
      </c>
      <c r="E784" s="18">
        <f t="shared" si="889"/>
        <v>18.8</v>
      </c>
      <c r="F784">
        <f t="shared" si="890"/>
        <v>-1</v>
      </c>
      <c r="G784" s="18">
        <f>ROUND(INDEX(Valuation!U:U,MATCH(A784,Valuation!A:A,0)),2)</f>
        <v>183.66</v>
      </c>
      <c r="H784">
        <f t="shared" si="897"/>
        <v>2</v>
      </c>
      <c r="I784" s="18">
        <f>INDEX(WeeklyIndicators!Y:Y,MATCH(A784,WeeklyIndicators!A:A,0))</f>
        <v>118.21</v>
      </c>
      <c r="J784">
        <f t="shared" si="922"/>
        <v>-1</v>
      </c>
      <c r="K784">
        <f>ROUND(INDEX(Economic!AF:AF,MATCH(EOMONTH($A784,-1),Economic!A:A,0)),2)</f>
        <v>108.4</v>
      </c>
      <c r="L784" s="11">
        <f t="shared" si="895"/>
        <v>0</v>
      </c>
      <c r="M784">
        <f>ROUND(INDEX(Manufacturing!P:P,MATCH(EOMONTH($A784,-1),Manufacturing!A:A,0)),2)</f>
        <v>80.89</v>
      </c>
      <c r="N784">
        <f t="shared" si="891"/>
        <v>-1</v>
      </c>
      <c r="O784">
        <f>ROUND(INDEX(Housing!AC:AC,MATCH(EOMONTH($A784,-1),Housing!B:B,0)),2)</f>
        <v>126.1</v>
      </c>
      <c r="P784">
        <f t="shared" si="892"/>
        <v>1</v>
      </c>
      <c r="Q784">
        <f>ROUND(INDEX(Spending!AJ:AJ,MATCH(EOMONTH($A784,-1),Spending!B:B,0)),2)</f>
        <v>56.51</v>
      </c>
      <c r="R784">
        <f t="shared" si="896"/>
        <v>1</v>
      </c>
      <c r="S784">
        <f>ROUND(INDEX(Employment!V:V,MATCH(EOMONTH($A784,-1),Employment!A:A,0)),2)</f>
        <v>124.38</v>
      </c>
      <c r="T784" s="11">
        <f t="shared" si="893"/>
        <v>-2</v>
      </c>
      <c r="U784">
        <f t="shared" si="921"/>
        <v>19</v>
      </c>
      <c r="V784">
        <f t="shared" si="913"/>
        <v>68.459999999999994</v>
      </c>
      <c r="W784" s="13">
        <f t="shared" si="914"/>
        <v>-1E-3</v>
      </c>
      <c r="X784" s="13">
        <f t="shared" si="915"/>
        <v>4.2799999999999998E-2</v>
      </c>
      <c r="Y784">
        <f t="shared" si="907"/>
        <v>76.680000000000007</v>
      </c>
      <c r="Z784" s="13">
        <f t="shared" si="902"/>
        <v>0</v>
      </c>
      <c r="AA784" s="13">
        <f t="shared" si="898"/>
        <v>3.1100000000000003E-2</v>
      </c>
      <c r="AB784" s="6">
        <f t="shared" si="908"/>
        <v>92.335999999999999</v>
      </c>
      <c r="AC784">
        <f t="shared" si="900"/>
        <v>46</v>
      </c>
      <c r="AD784" s="11">
        <f t="shared" si="901"/>
        <v>1</v>
      </c>
      <c r="AE784">
        <f t="shared" si="899"/>
        <v>22</v>
      </c>
      <c r="AF784">
        <f>IF(AND(AE784&lt;15,OR(AC784&gt;=30,AA784&gt;0.15,X784&gt;=0.15)),2,VLOOKUP(AE784,Table!P:Q,2,FALSE))</f>
        <v>3</v>
      </c>
      <c r="AG784" s="22">
        <f>IF((AB784*0.98)-(D784*0.8)+((AF784-3)*3)+VLOOKUP(AM784,Table!$A$11:$B$13,2,FALSE)&lt;0,0,(AB784*0.98)-(D784*0.8)+((AF784-3)*3)+VLOOKUP(AM784,Table!$A$11:$B$13,2,FALSE))</f>
        <v>83.649280799999985</v>
      </c>
      <c r="AH784" s="22">
        <f t="shared" si="894"/>
        <v>84</v>
      </c>
      <c r="AI784" s="18">
        <f t="shared" si="923"/>
        <v>0.93</v>
      </c>
      <c r="AJ784" s="18">
        <f t="shared" si="924"/>
        <v>1.08</v>
      </c>
      <c r="AK784" t="str">
        <f t="shared" si="909"/>
        <v/>
      </c>
      <c r="AL784">
        <f t="shared" si="920"/>
        <v>22.25</v>
      </c>
      <c r="AM784" s="11" t="str">
        <f t="shared" si="910"/>
        <v>Stocks</v>
      </c>
      <c r="AN784" t="str">
        <f t="shared" si="916"/>
        <v>Buy</v>
      </c>
      <c r="AO784" s="13">
        <f t="shared" si="917"/>
        <v>1.5100000000000001E-2</v>
      </c>
      <c r="AP784" s="13">
        <f t="shared" si="918"/>
        <v>2.0000000000000001E-4</v>
      </c>
      <c r="AQ784" s="13">
        <f t="shared" si="919"/>
        <v>1.2699999999999999E-2</v>
      </c>
      <c r="AR784" s="13">
        <f t="shared" si="911"/>
        <v>1.5100000000000001E-2</v>
      </c>
      <c r="AS784" s="6">
        <f t="shared" si="903"/>
        <v>247.42967691113705</v>
      </c>
      <c r="AT784" s="6">
        <f t="shared" si="904"/>
        <v>159.34365646346379</v>
      </c>
      <c r="AU784" s="6">
        <f t="shared" si="905"/>
        <v>287.48654245505048</v>
      </c>
      <c r="AV784" s="6">
        <f t="shared" si="906"/>
        <v>350.24196305214906</v>
      </c>
      <c r="AW784" s="58">
        <f t="shared" si="912"/>
        <v>2003</v>
      </c>
      <c r="AX784" s="58">
        <f>COUNTIF(AW$3:AW784,AW784)</f>
        <v>19</v>
      </c>
    </row>
    <row r="785" spans="1:50" x14ac:dyDescent="0.25">
      <c r="A785" s="5">
        <v>37850</v>
      </c>
      <c r="B785">
        <v>990.67</v>
      </c>
      <c r="C785">
        <v>0.94</v>
      </c>
      <c r="D785" s="6">
        <v>18.27</v>
      </c>
      <c r="E785" s="18">
        <f t="shared" ref="E785:E848" si="925">ROUND(AVERAGE(D785:D787),2)</f>
        <v>19.54</v>
      </c>
      <c r="F785">
        <f t="shared" ref="F785:F848" si="926">IF(E785&lt;11,3,IF(AND(E785&lt;14,E785&gt;=11),2,IF(AND(E785&lt;16,E785&gt;=14),1,IF(E785&gt;35,-3,IF(AND(E785&gt;25,E785&lt;=35),-2,IF(AND(E785&gt;18,E785&lt;=25),-1,0))))))</f>
        <v>-1</v>
      </c>
      <c r="G785" s="18">
        <f>ROUND(INDEX(Valuation!U:U,MATCH(A785,Valuation!A:A,0)),2)</f>
        <v>184.25</v>
      </c>
      <c r="H785">
        <f t="shared" si="897"/>
        <v>2</v>
      </c>
      <c r="I785" s="18">
        <f>INDEX(WeeklyIndicators!Y:Y,MATCH(A785,WeeklyIndicators!A:A,0))</f>
        <v>115.97</v>
      </c>
      <c r="J785">
        <f t="shared" si="922"/>
        <v>-1</v>
      </c>
      <c r="K785">
        <f>ROUND(INDEX(Economic!AF:AF,MATCH(EOMONTH($A785,-1),Economic!A:A,0)),2)</f>
        <v>108.4</v>
      </c>
      <c r="L785" s="11">
        <f t="shared" si="895"/>
        <v>0</v>
      </c>
      <c r="M785">
        <f>ROUND(INDEX(Manufacturing!P:P,MATCH(EOMONTH($A785,-1),Manufacturing!A:A,0)),2)</f>
        <v>80.89</v>
      </c>
      <c r="N785">
        <f t="shared" si="891"/>
        <v>-1</v>
      </c>
      <c r="O785">
        <f>ROUND(INDEX(Housing!AC:AC,MATCH(EOMONTH($A785,-1),Housing!B:B,0)),2)</f>
        <v>126.1</v>
      </c>
      <c r="P785">
        <f t="shared" si="892"/>
        <v>1</v>
      </c>
      <c r="Q785">
        <f>ROUND(INDEX(Spending!AJ:AJ,MATCH(EOMONTH($A785,-1),Spending!B:B,0)),2)</f>
        <v>56.51</v>
      </c>
      <c r="R785">
        <f t="shared" si="896"/>
        <v>1</v>
      </c>
      <c r="S785">
        <f>ROUND(INDEX(Employment!V:V,MATCH(EOMONTH($A785,-1),Employment!A:A,0)),2)</f>
        <v>124.38</v>
      </c>
      <c r="T785" s="11">
        <f t="shared" si="893"/>
        <v>-2</v>
      </c>
      <c r="U785">
        <f t="shared" si="921"/>
        <v>19</v>
      </c>
      <c r="V785">
        <f t="shared" si="913"/>
        <v>68.23</v>
      </c>
      <c r="W785" s="13">
        <f t="shared" si="914"/>
        <v>1.09E-2</v>
      </c>
      <c r="X785" s="13">
        <f t="shared" si="915"/>
        <v>5.1999999999999998E-2</v>
      </c>
      <c r="Y785">
        <f t="shared" si="907"/>
        <v>76.260000000000005</v>
      </c>
      <c r="Z785" s="13">
        <f t="shared" si="902"/>
        <v>7.9000000000000008E-3</v>
      </c>
      <c r="AA785" s="13">
        <f t="shared" si="898"/>
        <v>3.6299999999999999E-2</v>
      </c>
      <c r="AB785" s="6">
        <f t="shared" si="908"/>
        <v>92.414999999999992</v>
      </c>
      <c r="AC785">
        <f t="shared" si="900"/>
        <v>46</v>
      </c>
      <c r="AD785" s="11">
        <f t="shared" si="901"/>
        <v>1</v>
      </c>
      <c r="AE785">
        <f t="shared" si="899"/>
        <v>22</v>
      </c>
      <c r="AF785">
        <f>IF(AND(AE785&lt;15,OR(AC785&gt;=30,AA785&gt;0.15,X785&gt;=0.15)),2,VLOOKUP(AE785,Table!P:Q,2,FALSE))</f>
        <v>3</v>
      </c>
      <c r="AG785" s="22">
        <f>IF((AB785*0.98)-(D785*0.8)+((AF785-3)*3)+VLOOKUP(AM785,Table!$A$11:$B$13,2,FALSE)&lt;0,0,(AB785*0.98)-(D785*0.8)+((AF785-3)*3)+VLOOKUP(AM785,Table!$A$11:$B$13,2,FALSE))</f>
        <v>83.950699999999998</v>
      </c>
      <c r="AH785" s="22">
        <f t="shared" si="894"/>
        <v>84</v>
      </c>
      <c r="AI785" s="18">
        <f t="shared" si="923"/>
        <v>0.94</v>
      </c>
      <c r="AJ785" s="18">
        <f t="shared" si="924"/>
        <v>1.08</v>
      </c>
      <c r="AK785" t="str">
        <f t="shared" si="909"/>
        <v/>
      </c>
      <c r="AL785">
        <f t="shared" si="920"/>
        <v>22</v>
      </c>
      <c r="AM785" s="11" t="str">
        <f t="shared" si="910"/>
        <v>Stocks</v>
      </c>
      <c r="AN785" t="str">
        <f t="shared" si="916"/>
        <v>Buy</v>
      </c>
      <c r="AO785" s="13">
        <f t="shared" si="917"/>
        <v>2.3999999999999998E-3</v>
      </c>
      <c r="AP785" s="13">
        <f t="shared" si="918"/>
        <v>2.0000000000000001E-4</v>
      </c>
      <c r="AQ785" s="13">
        <f t="shared" si="919"/>
        <v>2E-3</v>
      </c>
      <c r="AR785" s="13">
        <f t="shared" si="911"/>
        <v>2.3999999999999998E-3</v>
      </c>
      <c r="AS785" s="6">
        <f t="shared" si="903"/>
        <v>246.83726746921096</v>
      </c>
      <c r="AT785" s="6">
        <f t="shared" si="904"/>
        <v>159.31179410464287</v>
      </c>
      <c r="AU785" s="6">
        <f t="shared" si="905"/>
        <v>286.91271702100846</v>
      </c>
      <c r="AV785" s="6">
        <f t="shared" si="906"/>
        <v>349.40339490437856</v>
      </c>
      <c r="AW785" s="58">
        <f t="shared" si="912"/>
        <v>2003</v>
      </c>
      <c r="AX785" s="58">
        <f>COUNTIF(AW$3:AW785,AW785)</f>
        <v>20</v>
      </c>
    </row>
    <row r="786" spans="1:50" x14ac:dyDescent="0.25">
      <c r="A786" s="5">
        <v>37843</v>
      </c>
      <c r="B786">
        <v>977.59</v>
      </c>
      <c r="C786">
        <v>0.94</v>
      </c>
      <c r="D786" s="6">
        <v>19.59</v>
      </c>
      <c r="E786" s="18">
        <f t="shared" si="925"/>
        <v>19.36</v>
      </c>
      <c r="F786">
        <f t="shared" si="926"/>
        <v>-1</v>
      </c>
      <c r="G786" s="18">
        <f>ROUND(INDEX(Valuation!U:U,MATCH(A786,Valuation!A:A,0)),2)</f>
        <v>183.78</v>
      </c>
      <c r="H786">
        <f t="shared" si="897"/>
        <v>2</v>
      </c>
      <c r="I786" s="18">
        <f>INDEX(WeeklyIndicators!Y:Y,MATCH(A786,WeeklyIndicators!A:A,0))</f>
        <v>117.82</v>
      </c>
      <c r="J786">
        <f t="shared" si="922"/>
        <v>-1</v>
      </c>
      <c r="K786">
        <f>ROUND(INDEX(Economic!AF:AF,MATCH(EOMONTH($A786,-1),Economic!A:A,0)),2)</f>
        <v>108.4</v>
      </c>
      <c r="L786" s="11">
        <f t="shared" si="895"/>
        <v>0</v>
      </c>
      <c r="M786">
        <f>ROUND(INDEX(Manufacturing!P:P,MATCH(EOMONTH($A786,-1),Manufacturing!A:A,0)),2)</f>
        <v>80.89</v>
      </c>
      <c r="N786">
        <f t="shared" ref="N786:N849" si="927">IF(M786&gt;108,3,IF(AND(M786&gt;100,M786&lt;=108),2,IF(AND(M786&gt;90,M786&lt;=100),1,IF(M786&lt;63,-3,IF(AND(M786&lt;74,M786&gt;=63),-2,IF(AND(M786&lt;84,M786&gt;=74),-1,0))))))</f>
        <v>-1</v>
      </c>
      <c r="O786">
        <f>ROUND(INDEX(Housing!AC:AC,MATCH(EOMONTH($A786,-1),Housing!B:B,0)),2)</f>
        <v>126.1</v>
      </c>
      <c r="P786">
        <f t="shared" ref="P786:P849" si="928">IF(O786&gt;140,3,IF(AND(O786&gt;128,O786&lt;=140),2,IF(AND(O786&gt;115,O786&lt;=128),1,IF(O786&lt;50,-3,IF(AND(O786&lt;75,O786&gt;=50),-2,IF(AND(O786&lt;100,O786&gt;=75),-1,0))))))</f>
        <v>1</v>
      </c>
      <c r="Q786">
        <f>ROUND(INDEX(Spending!AJ:AJ,MATCH(EOMONTH($A786,-1),Spending!B:B,0)),2)</f>
        <v>56.51</v>
      </c>
      <c r="R786">
        <f t="shared" si="896"/>
        <v>1</v>
      </c>
      <c r="S786">
        <f>ROUND(INDEX(Employment!V:V,MATCH(EOMONTH($A786,-1),Employment!A:A,0)),2)</f>
        <v>124.38</v>
      </c>
      <c r="T786" s="11">
        <f t="shared" ref="T786:T849" si="929">IF(S786&gt;190,3,IF(AND(S786&gt;175,S786&lt;=190),2,IF(AND(S786&gt;160,S786&lt;=175),1,IF(S786&lt;120,-3,IF(AND(S786&lt;140,S786&gt;=120),-2,IF(AND(S786&lt;150,S786&gt;=140),-1,0))))))</f>
        <v>-2</v>
      </c>
      <c r="U786">
        <f t="shared" si="921"/>
        <v>19</v>
      </c>
      <c r="V786">
        <f t="shared" si="913"/>
        <v>68.42</v>
      </c>
      <c r="W786" s="13">
        <f t="shared" si="914"/>
        <v>1.4E-2</v>
      </c>
      <c r="X786" s="13">
        <f t="shared" si="915"/>
        <v>6.0299999999999992E-2</v>
      </c>
      <c r="Y786">
        <f t="shared" si="907"/>
        <v>76.459999999999994</v>
      </c>
      <c r="Z786" s="13">
        <f t="shared" si="902"/>
        <v>1.0200000000000001E-2</v>
      </c>
      <c r="AA786" s="13">
        <f t="shared" si="898"/>
        <v>4.3999999999999997E-2</v>
      </c>
      <c r="AB786" s="6">
        <f t="shared" si="908"/>
        <v>93.168000000000006</v>
      </c>
      <c r="AC786">
        <f t="shared" si="900"/>
        <v>47</v>
      </c>
      <c r="AD786" s="11">
        <f t="shared" si="901"/>
        <v>1</v>
      </c>
      <c r="AE786">
        <f t="shared" si="899"/>
        <v>22</v>
      </c>
      <c r="AF786">
        <f>IF(AND(AE786&lt;15,OR(AC786&gt;=30,AA786&gt;0.15,X786&gt;=0.15)),2,VLOOKUP(AE786,Table!P:Q,2,FALSE))</f>
        <v>3</v>
      </c>
      <c r="AG786" s="22">
        <f>IF((AB786*0.98)-(D786*0.8)+((AF786-3)*3)+VLOOKUP(AM786,Table!$A$11:$B$13,2,FALSE)&lt;0,0,(AB786*0.98)-(D786*0.8)+((AF786-3)*3)+VLOOKUP(AM786,Table!$A$11:$B$13,2,FALSE))</f>
        <v>83.632640000000009</v>
      </c>
      <c r="AH786" s="22">
        <f t="shared" ref="AH786:AH849" si="930">IF(ROUND(AVERAGE(AG786:AG788),0)&lt;0,0,IF(ROUND(AVERAGE(AG786:AG788),0)&gt;100,100,ROUND(AVERAGE(AG786:AG788),0)))</f>
        <v>83</v>
      </c>
      <c r="AI786" s="18">
        <f t="shared" si="923"/>
        <v>0.95</v>
      </c>
      <c r="AJ786" s="18">
        <f t="shared" si="924"/>
        <v>1.0900000000000001</v>
      </c>
      <c r="AK786" t="str">
        <f t="shared" si="909"/>
        <v/>
      </c>
      <c r="AL786">
        <f t="shared" si="920"/>
        <v>21.75</v>
      </c>
      <c r="AM786" s="11" t="str">
        <f t="shared" si="910"/>
        <v>Stocks</v>
      </c>
      <c r="AN786" t="str">
        <f t="shared" si="916"/>
        <v>Buy</v>
      </c>
      <c r="AO786" s="13">
        <f t="shared" si="917"/>
        <v>1.34E-2</v>
      </c>
      <c r="AP786" s="13">
        <f t="shared" si="918"/>
        <v>2.0000000000000001E-4</v>
      </c>
      <c r="AQ786" s="13">
        <f t="shared" si="919"/>
        <v>1.12E-2</v>
      </c>
      <c r="AR786" s="13">
        <f t="shared" si="911"/>
        <v>1.34E-2</v>
      </c>
      <c r="AS786" s="6">
        <f t="shared" si="903"/>
        <v>243.57338412197646</v>
      </c>
      <c r="AT786" s="6">
        <f t="shared" si="904"/>
        <v>159.27993811701947</v>
      </c>
      <c r="AU786" s="6">
        <f t="shared" si="905"/>
        <v>283.73488629450992</v>
      </c>
      <c r="AV786" s="6">
        <f t="shared" si="906"/>
        <v>344.78329870177475</v>
      </c>
      <c r="AW786" s="58">
        <f t="shared" si="912"/>
        <v>2003</v>
      </c>
      <c r="AX786" s="58">
        <f>COUNTIF(AW$3:AW786,AW786)</f>
        <v>21</v>
      </c>
    </row>
    <row r="787" spans="1:50" x14ac:dyDescent="0.25">
      <c r="A787" s="5">
        <v>37836</v>
      </c>
      <c r="B787">
        <v>980.15</v>
      </c>
      <c r="C787">
        <v>0.95</v>
      </c>
      <c r="D787" s="6">
        <v>20.75</v>
      </c>
      <c r="E787" s="18">
        <f t="shared" si="925"/>
        <v>19.2</v>
      </c>
      <c r="F787">
        <f t="shared" si="926"/>
        <v>-1</v>
      </c>
      <c r="G787" s="18">
        <f>ROUND(INDEX(Valuation!U:U,MATCH(A787,Valuation!A:A,0)),2)</f>
        <v>183.04</v>
      </c>
      <c r="H787">
        <f t="shared" si="897"/>
        <v>2</v>
      </c>
      <c r="I787" s="18">
        <f>INDEX(WeeklyIndicators!Y:Y,MATCH(A787,WeeklyIndicators!A:A,0))</f>
        <v>120.16</v>
      </c>
      <c r="J787">
        <f t="shared" si="922"/>
        <v>0</v>
      </c>
      <c r="K787">
        <f>ROUND(INDEX(Economic!AF:AF,MATCH(EOMONTH($A787,-1),Economic!A:A,0)),2)</f>
        <v>108.4</v>
      </c>
      <c r="L787" s="11">
        <f t="shared" ref="L787:L850" si="931">IF(K787&gt;138,3,IF(AND(K787&gt;125,K787&lt;=138),2,IF(AND(K787&gt;111,K787&lt;=125),1,IF(K787&lt;50,-3,IF(AND(K787&lt;80,K787&gt;=50),-2,IF(AND(K787&lt;100,K787&gt;=80),-1,0))))))</f>
        <v>0</v>
      </c>
      <c r="M787">
        <f>ROUND(INDEX(Manufacturing!P:P,MATCH(EOMONTH($A787,-1),Manufacturing!A:A,0)),2)</f>
        <v>80.89</v>
      </c>
      <c r="N787">
        <f t="shared" si="927"/>
        <v>-1</v>
      </c>
      <c r="O787">
        <f>ROUND(INDEX(Housing!AC:AC,MATCH(EOMONTH($A787,-1),Housing!B:B,0)),2)</f>
        <v>126.1</v>
      </c>
      <c r="P787">
        <f t="shared" si="928"/>
        <v>1</v>
      </c>
      <c r="Q787">
        <f>ROUND(INDEX(Spending!AJ:AJ,MATCH(EOMONTH($A787,-1),Spending!B:B,0)),2)</f>
        <v>56.51</v>
      </c>
      <c r="R787">
        <f t="shared" ref="R787:R850" si="932">IF(Q787&gt;60,2,IF(AND(Q787&gt;50,Q787&lt;=60),1,IF(Q787&lt;30,-2,IF(AND(Q787&lt;40,Q787&gt;=30),-1,0))))</f>
        <v>1</v>
      </c>
      <c r="S787">
        <f>ROUND(INDEX(Employment!V:V,MATCH(EOMONTH($A787,-1),Employment!A:A,0)),2)</f>
        <v>124.38</v>
      </c>
      <c r="T787" s="11">
        <f t="shared" si="929"/>
        <v>-2</v>
      </c>
      <c r="U787">
        <f t="shared" si="921"/>
        <v>20</v>
      </c>
      <c r="V787">
        <f t="shared" si="913"/>
        <v>68.66</v>
      </c>
      <c r="W787" s="13">
        <f t="shared" si="914"/>
        <v>1.89E-2</v>
      </c>
      <c r="X787" s="13">
        <f t="shared" si="915"/>
        <v>6.1599999999999995E-2</v>
      </c>
      <c r="Y787">
        <f t="shared" si="907"/>
        <v>76.680000000000007</v>
      </c>
      <c r="Z787" s="13">
        <f t="shared" si="902"/>
        <v>1.2999999999999999E-2</v>
      </c>
      <c r="AA787" s="13">
        <f t="shared" si="898"/>
        <v>4.7799999999999995E-2</v>
      </c>
      <c r="AB787" s="6">
        <f t="shared" si="908"/>
        <v>93.594000000000008</v>
      </c>
      <c r="AC787">
        <f t="shared" si="900"/>
        <v>47</v>
      </c>
      <c r="AD787" s="11">
        <f t="shared" si="901"/>
        <v>1</v>
      </c>
      <c r="AE787">
        <f t="shared" si="899"/>
        <v>23</v>
      </c>
      <c r="AF787">
        <f>IF(AND(AE787&lt;15,OR(AC787&gt;=30,AA787&gt;0.15,X787&gt;=0.15)),2,VLOOKUP(AE787,Table!P:Q,2,FALSE))</f>
        <v>3</v>
      </c>
      <c r="AG787" s="22">
        <f>IF((AB787*0.98)-(D787*0.8)+((AF787-3)*3)+VLOOKUP(AM787,Table!$A$11:$B$13,2,FALSE)&lt;0,0,(AB787*0.98)-(D787*0.8)+((AF787-3)*3)+VLOOKUP(AM787,Table!$A$11:$B$13,2,FALSE))</f>
        <v>83.122119999999995</v>
      </c>
      <c r="AH787" s="22">
        <f t="shared" si="930"/>
        <v>83</v>
      </c>
      <c r="AI787" s="18">
        <f t="shared" si="923"/>
        <v>0.96</v>
      </c>
      <c r="AJ787" s="18">
        <f t="shared" si="924"/>
        <v>1.1000000000000001</v>
      </c>
      <c r="AK787" t="str">
        <f t="shared" si="909"/>
        <v/>
      </c>
      <c r="AL787">
        <f t="shared" si="920"/>
        <v>21.5</v>
      </c>
      <c r="AM787" s="11" t="str">
        <f t="shared" si="910"/>
        <v>Stocks</v>
      </c>
      <c r="AN787" t="str">
        <f t="shared" si="916"/>
        <v>Buy</v>
      </c>
      <c r="AO787" s="13">
        <f t="shared" si="917"/>
        <v>-2.5999999999999999E-3</v>
      </c>
      <c r="AP787" s="13">
        <f t="shared" si="918"/>
        <v>2.0000000000000001E-4</v>
      </c>
      <c r="AQ787" s="13">
        <f t="shared" si="919"/>
        <v>-2.0999999999999999E-3</v>
      </c>
      <c r="AR787" s="13">
        <f t="shared" si="911"/>
        <v>-2.5999999999999999E-3</v>
      </c>
      <c r="AS787" s="6">
        <f t="shared" si="903"/>
        <v>244.20832576897581</v>
      </c>
      <c r="AT787" s="6">
        <f t="shared" si="904"/>
        <v>159.24808849931961</v>
      </c>
      <c r="AU787" s="6">
        <f t="shared" si="905"/>
        <v>284.33198345977547</v>
      </c>
      <c r="AV787" s="6">
        <f t="shared" si="906"/>
        <v>345.68207208920671</v>
      </c>
      <c r="AW787" s="58">
        <f t="shared" si="912"/>
        <v>2003</v>
      </c>
      <c r="AX787" s="58">
        <f>COUNTIF(AW$3:AW787,AW787)</f>
        <v>22</v>
      </c>
    </row>
    <row r="788" spans="1:50" x14ac:dyDescent="0.25">
      <c r="A788" s="5">
        <v>37829</v>
      </c>
      <c r="B788">
        <v>998.68</v>
      </c>
      <c r="C788">
        <v>0.91</v>
      </c>
      <c r="D788" s="6">
        <v>17.75</v>
      </c>
      <c r="E788" s="18">
        <f t="shared" si="925"/>
        <v>18.440000000000001</v>
      </c>
      <c r="F788">
        <f t="shared" si="926"/>
        <v>-1</v>
      </c>
      <c r="G788" s="18">
        <f>ROUND(INDEX(Valuation!U:U,MATCH(A788,Valuation!A:A,0)),2)</f>
        <v>184.6</v>
      </c>
      <c r="H788">
        <f t="shared" si="897"/>
        <v>2</v>
      </c>
      <c r="I788" s="18">
        <f>INDEX(WeeklyIndicators!Y:Y,MATCH(A788,WeeklyIndicators!A:A,0))</f>
        <v>119.09</v>
      </c>
      <c r="J788">
        <f t="shared" si="922"/>
        <v>-1</v>
      </c>
      <c r="K788">
        <f>ROUND(INDEX(Economic!AF:AF,MATCH(EOMONTH($A788,-1),Economic!A:A,0)),2)</f>
        <v>101.92</v>
      </c>
      <c r="L788" s="11">
        <f t="shared" si="931"/>
        <v>0</v>
      </c>
      <c r="M788">
        <f>ROUND(INDEX(Manufacturing!P:P,MATCH(EOMONTH($A788,-1),Manufacturing!A:A,0)),2)</f>
        <v>76.099999999999994</v>
      </c>
      <c r="N788">
        <f t="shared" si="927"/>
        <v>-1</v>
      </c>
      <c r="O788">
        <f>ROUND(INDEX(Housing!AC:AC,MATCH(EOMONTH($A788,-1),Housing!B:B,0)),2)</f>
        <v>122.55</v>
      </c>
      <c r="P788">
        <f t="shared" si="928"/>
        <v>1</v>
      </c>
      <c r="Q788">
        <f>ROUND(INDEX(Spending!AJ:AJ,MATCH(EOMONTH($A788,-1),Spending!B:B,0)),2)</f>
        <v>55.81</v>
      </c>
      <c r="R788">
        <f t="shared" si="932"/>
        <v>1</v>
      </c>
      <c r="S788">
        <f>ROUND(INDEX(Employment!V:V,MATCH(EOMONTH($A788,-1),Employment!A:A,0)),2)</f>
        <v>116.75</v>
      </c>
      <c r="T788" s="11">
        <f t="shared" si="929"/>
        <v>-3</v>
      </c>
      <c r="U788">
        <f t="shared" si="921"/>
        <v>18</v>
      </c>
      <c r="V788">
        <f t="shared" si="913"/>
        <v>66.02</v>
      </c>
      <c r="W788" s="13">
        <f t="shared" si="914"/>
        <v>8.2000000000000007E-3</v>
      </c>
      <c r="X788" s="13">
        <f t="shared" si="915"/>
        <v>5.6400000000000006E-2</v>
      </c>
      <c r="Y788">
        <f t="shared" si="907"/>
        <v>74.47</v>
      </c>
      <c r="Z788" s="13">
        <f t="shared" si="902"/>
        <v>5.1999999999999998E-3</v>
      </c>
      <c r="AA788" s="13">
        <f t="shared" si="898"/>
        <v>4.6799999999999994E-2</v>
      </c>
      <c r="AB788" s="6">
        <f t="shared" si="908"/>
        <v>91.33</v>
      </c>
      <c r="AC788">
        <f t="shared" si="900"/>
        <v>46</v>
      </c>
      <c r="AD788" s="11">
        <f t="shared" si="901"/>
        <v>1</v>
      </c>
      <c r="AE788">
        <f t="shared" si="899"/>
        <v>21</v>
      </c>
      <c r="AF788">
        <f>IF(AND(AE788&lt;15,OR(AC788&gt;=30,AA788&gt;0.15,X788&gt;=0.15)),2,VLOOKUP(AE788,Table!P:Q,2,FALSE))</f>
        <v>3</v>
      </c>
      <c r="AG788" s="22">
        <f>IF((AB788*0.98)-(D788*0.8)+((AF788-3)*3)+VLOOKUP(AM788,Table!$A$11:$B$13,2,FALSE)&lt;0,0,(AB788*0.98)-(D788*0.8)+((AF788-3)*3)+VLOOKUP(AM788,Table!$A$11:$B$13,2,FALSE))</f>
        <v>83.303399999999996</v>
      </c>
      <c r="AH788" s="22">
        <f t="shared" si="930"/>
        <v>82</v>
      </c>
      <c r="AI788" s="18">
        <f t="shared" si="923"/>
        <v>0.97</v>
      </c>
      <c r="AJ788" s="18">
        <f t="shared" si="924"/>
        <v>1.1100000000000001</v>
      </c>
      <c r="AK788" t="str">
        <f t="shared" si="909"/>
        <v>Falling Rates</v>
      </c>
      <c r="AL788">
        <f t="shared" si="920"/>
        <v>21</v>
      </c>
      <c r="AM788" s="11" t="str">
        <f t="shared" si="910"/>
        <v>Stocks</v>
      </c>
      <c r="AN788" t="str">
        <f t="shared" si="916"/>
        <v>Buy</v>
      </c>
      <c r="AO788" s="13">
        <f t="shared" si="917"/>
        <v>-1.8599999999999998E-2</v>
      </c>
      <c r="AP788" s="13">
        <f t="shared" si="918"/>
        <v>2.0000000000000001E-4</v>
      </c>
      <c r="AQ788" s="13">
        <f t="shared" si="919"/>
        <v>-1.52E-2</v>
      </c>
      <c r="AR788" s="13">
        <f t="shared" si="911"/>
        <v>-1.8599999999999998E-2</v>
      </c>
      <c r="AS788" s="6">
        <f t="shared" si="903"/>
        <v>248.83668816891768</v>
      </c>
      <c r="AT788" s="6">
        <f t="shared" si="904"/>
        <v>159.21624525026957</v>
      </c>
      <c r="AU788" s="6">
        <f t="shared" si="905"/>
        <v>288.72053560090927</v>
      </c>
      <c r="AV788" s="6">
        <f t="shared" si="906"/>
        <v>352.23361737233205</v>
      </c>
      <c r="AW788" s="58">
        <f t="shared" si="912"/>
        <v>2003</v>
      </c>
      <c r="AX788" s="58">
        <f>COUNTIF(AW$3:AW788,AW788)</f>
        <v>23</v>
      </c>
    </row>
    <row r="789" spans="1:50" x14ac:dyDescent="0.25">
      <c r="A789" s="5">
        <v>37822</v>
      </c>
      <c r="B789">
        <v>993.32</v>
      </c>
      <c r="C789">
        <v>0.89</v>
      </c>
      <c r="D789" s="6">
        <v>19.110001</v>
      </c>
      <c r="E789" s="18">
        <f t="shared" si="925"/>
        <v>18.989999999999998</v>
      </c>
      <c r="F789">
        <f t="shared" si="926"/>
        <v>-1</v>
      </c>
      <c r="G789" s="18">
        <f>ROUND(INDEX(Valuation!U:U,MATCH(A789,Valuation!A:A,0)),2)</f>
        <v>187.34</v>
      </c>
      <c r="H789">
        <f t="shared" si="897"/>
        <v>2</v>
      </c>
      <c r="I789" s="18">
        <f>INDEX(WeeklyIndicators!Y:Y,MATCH(A789,WeeklyIndicators!A:A,0))</f>
        <v>115.12</v>
      </c>
      <c r="J789">
        <f t="shared" si="922"/>
        <v>-1</v>
      </c>
      <c r="K789">
        <f>ROUND(INDEX(Economic!AF:AF,MATCH(EOMONTH($A789,-1),Economic!A:A,0)),2)</f>
        <v>101.92</v>
      </c>
      <c r="L789" s="11">
        <f t="shared" si="931"/>
        <v>0</v>
      </c>
      <c r="M789">
        <f>ROUND(INDEX(Manufacturing!P:P,MATCH(EOMONTH($A789,-1),Manufacturing!A:A,0)),2)</f>
        <v>76.099999999999994</v>
      </c>
      <c r="N789">
        <f t="shared" si="927"/>
        <v>-1</v>
      </c>
      <c r="O789">
        <f>ROUND(INDEX(Housing!AC:AC,MATCH(EOMONTH($A789,-1),Housing!B:B,0)),2)</f>
        <v>122.55</v>
      </c>
      <c r="P789">
        <f t="shared" si="928"/>
        <v>1</v>
      </c>
      <c r="Q789">
        <f>ROUND(INDEX(Spending!AJ:AJ,MATCH(EOMONTH($A789,-1),Spending!B:B,0)),2)</f>
        <v>55.81</v>
      </c>
      <c r="R789">
        <f t="shared" si="932"/>
        <v>1</v>
      </c>
      <c r="S789">
        <f>ROUND(INDEX(Employment!V:V,MATCH(EOMONTH($A789,-1),Employment!A:A,0)),2)</f>
        <v>116.75</v>
      </c>
      <c r="T789" s="11">
        <f t="shared" si="929"/>
        <v>-3</v>
      </c>
      <c r="U789">
        <f t="shared" si="921"/>
        <v>18</v>
      </c>
      <c r="V789">
        <f t="shared" si="913"/>
        <v>65.61</v>
      </c>
      <c r="W789" s="13">
        <f t="shared" si="914"/>
        <v>1.9199999999999998E-2</v>
      </c>
      <c r="X789" s="13">
        <f t="shared" si="915"/>
        <v>5.1099999999999993E-2</v>
      </c>
      <c r="Y789">
        <f t="shared" si="907"/>
        <v>74.17</v>
      </c>
      <c r="Z789" s="13">
        <f t="shared" si="902"/>
        <v>1.5599999999999999E-2</v>
      </c>
      <c r="AA789" s="13">
        <f t="shared" si="898"/>
        <v>4.1599999999999998E-2</v>
      </c>
      <c r="AB789" s="6">
        <f t="shared" si="908"/>
        <v>90.893999999999991</v>
      </c>
      <c r="AC789">
        <f t="shared" si="900"/>
        <v>45</v>
      </c>
      <c r="AD789" s="11">
        <f t="shared" si="901"/>
        <v>1</v>
      </c>
      <c r="AE789">
        <f t="shared" si="899"/>
        <v>21</v>
      </c>
      <c r="AF789">
        <f>IF(AND(AE789&lt;15,OR(AC789&gt;=30,AA789&gt;0.15,X789&gt;=0.15)),2,VLOOKUP(AE789,Table!P:Q,2,FALSE))</f>
        <v>3</v>
      </c>
      <c r="AG789" s="22">
        <f>IF((AB789*0.98)-(D789*0.8)+((AF789-3)*3)+VLOOKUP(AM789,Table!$A$11:$B$13,2,FALSE)&lt;0,0,(AB789*0.98)-(D789*0.8)+((AF789-3)*3)+VLOOKUP(AM789,Table!$A$11:$B$13,2,FALSE))</f>
        <v>81.788119199999983</v>
      </c>
      <c r="AH789" s="22">
        <f t="shared" si="930"/>
        <v>80</v>
      </c>
      <c r="AI789" s="18">
        <f t="shared" si="923"/>
        <v>0.99</v>
      </c>
      <c r="AJ789" s="18">
        <f t="shared" si="924"/>
        <v>1.1299999999999999</v>
      </c>
      <c r="AK789" t="str">
        <f t="shared" si="909"/>
        <v>Falling Rates</v>
      </c>
      <c r="AL789">
        <f t="shared" si="920"/>
        <v>20.75</v>
      </c>
      <c r="AM789" s="11" t="str">
        <f t="shared" si="910"/>
        <v>Stocks</v>
      </c>
      <c r="AN789" t="str">
        <f t="shared" si="916"/>
        <v>Buy</v>
      </c>
      <c r="AO789" s="13">
        <f t="shared" si="917"/>
        <v>5.4000000000000003E-3</v>
      </c>
      <c r="AP789" s="13">
        <f t="shared" si="918"/>
        <v>2.0000000000000001E-4</v>
      </c>
      <c r="AQ789" s="13">
        <f t="shared" si="919"/>
        <v>4.4000000000000003E-3</v>
      </c>
      <c r="AR789" s="13">
        <f t="shared" si="911"/>
        <v>5.4000000000000003E-3</v>
      </c>
      <c r="AS789" s="6">
        <f t="shared" si="903"/>
        <v>247.50018715826303</v>
      </c>
      <c r="AT789" s="6">
        <f t="shared" si="904"/>
        <v>159.18440836859585</v>
      </c>
      <c r="AU789" s="6">
        <f t="shared" si="905"/>
        <v>287.45573038720556</v>
      </c>
      <c r="AV789" s="6">
        <f t="shared" si="906"/>
        <v>350.34177180458727</v>
      </c>
      <c r="AW789" s="58">
        <f t="shared" si="912"/>
        <v>2003</v>
      </c>
      <c r="AX789" s="58">
        <f>COUNTIF(AW$3:AW789,AW789)</f>
        <v>24</v>
      </c>
    </row>
    <row r="790" spans="1:50" x14ac:dyDescent="0.25">
      <c r="A790" s="5">
        <v>37815</v>
      </c>
      <c r="B790">
        <v>998.14</v>
      </c>
      <c r="C790">
        <v>0.88</v>
      </c>
      <c r="D790" s="6">
        <v>18.469999000000001</v>
      </c>
      <c r="E790" s="18">
        <f t="shared" si="925"/>
        <v>19.010000000000002</v>
      </c>
      <c r="F790">
        <f t="shared" si="926"/>
        <v>-1</v>
      </c>
      <c r="G790" s="18">
        <f>ROUND(INDEX(Valuation!U:U,MATCH(A790,Valuation!A:A,0)),2)</f>
        <v>189.92</v>
      </c>
      <c r="H790">
        <f t="shared" si="897"/>
        <v>2</v>
      </c>
      <c r="I790" s="18">
        <f>INDEX(WeeklyIndicators!Y:Y,MATCH(A790,WeeklyIndicators!A:A,0))</f>
        <v>108.68</v>
      </c>
      <c r="J790">
        <f t="shared" si="922"/>
        <v>-1</v>
      </c>
      <c r="K790">
        <f>ROUND(INDEX(Economic!AF:AF,MATCH(EOMONTH($A790,-1),Economic!A:A,0)),2)</f>
        <v>101.92</v>
      </c>
      <c r="L790" s="11">
        <f t="shared" si="931"/>
        <v>0</v>
      </c>
      <c r="M790">
        <f>ROUND(INDEX(Manufacturing!P:P,MATCH(EOMONTH($A790,-1),Manufacturing!A:A,0)),2)</f>
        <v>76.099999999999994</v>
      </c>
      <c r="N790">
        <f t="shared" si="927"/>
        <v>-1</v>
      </c>
      <c r="O790">
        <f>ROUND(INDEX(Housing!AC:AC,MATCH(EOMONTH($A790,-1),Housing!B:B,0)),2)</f>
        <v>122.55</v>
      </c>
      <c r="P790">
        <f t="shared" si="928"/>
        <v>1</v>
      </c>
      <c r="Q790">
        <f>ROUND(INDEX(Spending!AJ:AJ,MATCH(EOMONTH($A790,-1),Spending!B:B,0)),2)</f>
        <v>55.81</v>
      </c>
      <c r="R790">
        <f t="shared" si="932"/>
        <v>1</v>
      </c>
      <c r="S790">
        <f>ROUND(INDEX(Employment!V:V,MATCH(EOMONTH($A790,-1),Employment!A:A,0)),2)</f>
        <v>116.75</v>
      </c>
      <c r="T790" s="11">
        <f t="shared" si="929"/>
        <v>-3</v>
      </c>
      <c r="U790">
        <f t="shared" si="921"/>
        <v>18</v>
      </c>
      <c r="V790">
        <f t="shared" si="913"/>
        <v>64.94</v>
      </c>
      <c r="W790" s="13">
        <f t="shared" si="914"/>
        <v>1.5299999999999999E-2</v>
      </c>
      <c r="X790" s="13">
        <f t="shared" si="915"/>
        <v>3.8399999999999997E-2</v>
      </c>
      <c r="Y790">
        <f t="shared" si="907"/>
        <v>73.78</v>
      </c>
      <c r="Z790" s="13">
        <f t="shared" si="902"/>
        <v>1.4E-2</v>
      </c>
      <c r="AA790" s="13">
        <f t="shared" si="898"/>
        <v>2.5300000000000003E-2</v>
      </c>
      <c r="AB790" s="6">
        <f t="shared" si="908"/>
        <v>89.512</v>
      </c>
      <c r="AC790">
        <f t="shared" si="900"/>
        <v>45</v>
      </c>
      <c r="AD790" s="11">
        <f t="shared" si="901"/>
        <v>1</v>
      </c>
      <c r="AE790">
        <f t="shared" si="899"/>
        <v>21</v>
      </c>
      <c r="AF790">
        <f>IF(AND(AE790&lt;15,OR(AC790&gt;=30,AA790&gt;0.15,X790&gt;=0.15)),2,VLOOKUP(AE790,Table!P:Q,2,FALSE))</f>
        <v>3</v>
      </c>
      <c r="AG790" s="22">
        <f>IF((AB790*0.98)-(D790*0.8)+((AF790-3)*3)+VLOOKUP(AM790,Table!$A$11:$B$13,2,FALSE)&lt;0,0,(AB790*0.98)-(D790*0.8)+((AF790-3)*3)+VLOOKUP(AM790,Table!$A$11:$B$13,2,FALSE))</f>
        <v>80.945760800000002</v>
      </c>
      <c r="AH790" s="22">
        <f t="shared" si="930"/>
        <v>78</v>
      </c>
      <c r="AI790" s="18">
        <f t="shared" si="923"/>
        <v>1.01</v>
      </c>
      <c r="AJ790" s="18">
        <f t="shared" si="924"/>
        <v>1.1499999999999999</v>
      </c>
      <c r="AK790" t="str">
        <f t="shared" si="909"/>
        <v>Falling Rates</v>
      </c>
      <c r="AL790">
        <f t="shared" si="920"/>
        <v>20.25</v>
      </c>
      <c r="AM790" s="11" t="str">
        <f t="shared" si="910"/>
        <v>Stocks</v>
      </c>
      <c r="AN790" t="str">
        <f t="shared" si="916"/>
        <v>Buy</v>
      </c>
      <c r="AO790" s="13">
        <f t="shared" si="917"/>
        <v>-4.7999999999999996E-3</v>
      </c>
      <c r="AP790" s="13">
        <f t="shared" si="918"/>
        <v>2.0000000000000001E-4</v>
      </c>
      <c r="AQ790" s="13">
        <f t="shared" si="919"/>
        <v>-3.7000000000000002E-3</v>
      </c>
      <c r="AR790" s="13">
        <f t="shared" si="911"/>
        <v>-4.7999999999999996E-3</v>
      </c>
      <c r="AS790" s="6">
        <f t="shared" si="903"/>
        <v>248.69391796449261</v>
      </c>
      <c r="AT790" s="6">
        <f t="shared" si="904"/>
        <v>159.15257785302526</v>
      </c>
      <c r="AU790" s="6">
        <f t="shared" si="905"/>
        <v>288.52326647315624</v>
      </c>
      <c r="AV790" s="6">
        <f t="shared" si="906"/>
        <v>352.03152311554186</v>
      </c>
      <c r="AW790" s="58">
        <f t="shared" si="912"/>
        <v>2003</v>
      </c>
      <c r="AX790" s="58">
        <f>COUNTIF(AW$3:AW790,AW790)</f>
        <v>25</v>
      </c>
    </row>
    <row r="791" spans="1:50" x14ac:dyDescent="0.25">
      <c r="A791" s="5">
        <v>37808</v>
      </c>
      <c r="B791">
        <v>985.7</v>
      </c>
      <c r="C791">
        <v>0.87</v>
      </c>
      <c r="D791" s="6">
        <v>19.389999</v>
      </c>
      <c r="E791" s="18">
        <f t="shared" si="925"/>
        <v>19.23</v>
      </c>
      <c r="F791">
        <f t="shared" si="926"/>
        <v>-1</v>
      </c>
      <c r="G791" s="18">
        <f>ROUND(INDEX(Valuation!U:U,MATCH(A791,Valuation!A:A,0)),2)</f>
        <v>191.17</v>
      </c>
      <c r="H791">
        <f t="shared" si="897"/>
        <v>2</v>
      </c>
      <c r="I791" s="18">
        <f>INDEX(WeeklyIndicators!Y:Y,MATCH(A791,WeeklyIndicators!A:A,0))</f>
        <v>103.68</v>
      </c>
      <c r="J791">
        <f t="shared" si="922"/>
        <v>-1</v>
      </c>
      <c r="K791">
        <f>ROUND(INDEX(Economic!AF:AF,MATCH(EOMONTH($A791,-1),Economic!A:A,0)),2)</f>
        <v>101.92</v>
      </c>
      <c r="L791" s="11">
        <f t="shared" si="931"/>
        <v>0</v>
      </c>
      <c r="M791">
        <f>ROUND(INDEX(Manufacturing!P:P,MATCH(EOMONTH($A791,-1),Manufacturing!A:A,0)),2)</f>
        <v>76.099999999999994</v>
      </c>
      <c r="N791">
        <f t="shared" si="927"/>
        <v>-1</v>
      </c>
      <c r="O791">
        <f>ROUND(INDEX(Housing!AC:AC,MATCH(EOMONTH($A791,-1),Housing!B:B,0)),2)</f>
        <v>122.55</v>
      </c>
      <c r="P791">
        <f t="shared" si="928"/>
        <v>1</v>
      </c>
      <c r="Q791">
        <f>ROUND(INDEX(Spending!AJ:AJ,MATCH(EOMONTH($A791,-1),Spending!B:B,0)),2)</f>
        <v>55.81</v>
      </c>
      <c r="R791">
        <f t="shared" si="932"/>
        <v>1</v>
      </c>
      <c r="S791">
        <f>ROUND(INDEX(Employment!V:V,MATCH(EOMONTH($A791,-1),Employment!A:A,0)),2)</f>
        <v>116.75</v>
      </c>
      <c r="T791" s="11">
        <f t="shared" si="929"/>
        <v>-3</v>
      </c>
      <c r="U791">
        <f t="shared" si="921"/>
        <v>18</v>
      </c>
      <c r="V791">
        <f t="shared" si="913"/>
        <v>64.42</v>
      </c>
      <c r="W791" s="13">
        <f t="shared" si="914"/>
        <v>1.37E-2</v>
      </c>
      <c r="X791" s="13">
        <f t="shared" si="915"/>
        <v>2.75E-2</v>
      </c>
      <c r="Y791">
        <f t="shared" si="907"/>
        <v>73.33</v>
      </c>
      <c r="Z791" s="13">
        <f t="shared" si="902"/>
        <v>1.2E-2</v>
      </c>
      <c r="AA791" s="13">
        <f t="shared" si="898"/>
        <v>8.1000000000000013E-3</v>
      </c>
      <c r="AB791" s="6">
        <f t="shared" si="908"/>
        <v>87.917000000000002</v>
      </c>
      <c r="AC791">
        <f t="shared" si="900"/>
        <v>44</v>
      </c>
      <c r="AD791" s="11">
        <f t="shared" si="901"/>
        <v>1</v>
      </c>
      <c r="AE791">
        <f t="shared" si="899"/>
        <v>21</v>
      </c>
      <c r="AF791">
        <f>IF(AND(AE791&lt;15,OR(AC791&gt;=30,AA791&gt;0.15,X791&gt;=0.15)),2,VLOOKUP(AE791,Table!P:Q,2,FALSE))</f>
        <v>3</v>
      </c>
      <c r="AG791" s="22">
        <f>IF((AB791*0.98)-(D791*0.8)+((AF791-3)*3)+VLOOKUP(AM791,Table!$A$11:$B$13,2,FALSE)&lt;0,0,(AB791*0.98)-(D791*0.8)+((AF791-3)*3)+VLOOKUP(AM791,Table!$A$11:$B$13,2,FALSE))</f>
        <v>78.646660799999992</v>
      </c>
      <c r="AH791" s="22">
        <f t="shared" si="930"/>
        <v>75</v>
      </c>
      <c r="AI791" s="18">
        <f t="shared" si="923"/>
        <v>1.03</v>
      </c>
      <c r="AJ791" s="18">
        <f t="shared" si="924"/>
        <v>1.17</v>
      </c>
      <c r="AK791" t="str">
        <f t="shared" si="909"/>
        <v>Falling Rates</v>
      </c>
      <c r="AL791">
        <f t="shared" si="920"/>
        <v>19.75</v>
      </c>
      <c r="AM791" s="11" t="str">
        <f t="shared" si="910"/>
        <v>Stocks</v>
      </c>
      <c r="AN791" t="str">
        <f t="shared" si="916"/>
        <v>Buy</v>
      </c>
      <c r="AO791" s="13">
        <f t="shared" si="917"/>
        <v>1.26E-2</v>
      </c>
      <c r="AP791" s="13">
        <f t="shared" si="918"/>
        <v>2.0000000000000001E-4</v>
      </c>
      <c r="AQ791" s="13">
        <f t="shared" si="919"/>
        <v>9.4999999999999998E-3</v>
      </c>
      <c r="AR791" s="13">
        <f t="shared" si="911"/>
        <v>1.26E-2</v>
      </c>
      <c r="AS791" s="6">
        <f t="shared" si="903"/>
        <v>245.59936595347878</v>
      </c>
      <c r="AT791" s="6">
        <f t="shared" si="904"/>
        <v>159.12075370228482</v>
      </c>
      <c r="AU791" s="6">
        <f t="shared" si="905"/>
        <v>285.80808962174962</v>
      </c>
      <c r="AV791" s="6">
        <f t="shared" si="906"/>
        <v>347.65111901594105</v>
      </c>
      <c r="AW791" s="58">
        <f t="shared" si="912"/>
        <v>2003</v>
      </c>
      <c r="AX791" s="58">
        <f>COUNTIF(AW$3:AW791,AW791)</f>
        <v>26</v>
      </c>
    </row>
    <row r="792" spans="1:50" x14ac:dyDescent="0.25">
      <c r="A792" s="5">
        <v>37801</v>
      </c>
      <c r="B792">
        <v>976.22</v>
      </c>
      <c r="C792">
        <v>0.86</v>
      </c>
      <c r="D792" s="6">
        <v>19.16</v>
      </c>
      <c r="E792" s="18">
        <f t="shared" si="925"/>
        <v>19.649999999999999</v>
      </c>
      <c r="F792">
        <f t="shared" si="926"/>
        <v>-1</v>
      </c>
      <c r="G792" s="18">
        <f>ROUND(INDEX(Valuation!U:U,MATCH(A792,Valuation!A:A,0)),2)</f>
        <v>191.87</v>
      </c>
      <c r="H792">
        <f t="shared" si="897"/>
        <v>2</v>
      </c>
      <c r="I792" s="18">
        <f>INDEX(WeeklyIndicators!Y:Y,MATCH(A792,WeeklyIndicators!A:A,0))</f>
        <v>103.27</v>
      </c>
      <c r="J792">
        <f t="shared" si="922"/>
        <v>-1</v>
      </c>
      <c r="K792">
        <f>ROUND(INDEX(Economic!AF:AF,MATCH(EOMONTH($A792,-1),Economic!A:A,0)),2)</f>
        <v>90.39</v>
      </c>
      <c r="L792" s="11">
        <f t="shared" si="931"/>
        <v>-1</v>
      </c>
      <c r="M792">
        <f>ROUND(INDEX(Manufacturing!P:P,MATCH(EOMONTH($A792,-1),Manufacturing!A:A,0)),2)</f>
        <v>74.08</v>
      </c>
      <c r="N792">
        <f t="shared" si="927"/>
        <v>-1</v>
      </c>
      <c r="O792">
        <f>ROUND(INDEX(Housing!AC:AC,MATCH(EOMONTH($A792,-1),Housing!B:B,0)),2)</f>
        <v>122.67</v>
      </c>
      <c r="P792">
        <f t="shared" si="928"/>
        <v>1</v>
      </c>
      <c r="Q792">
        <f>ROUND(INDEX(Spending!AJ:AJ,MATCH(EOMONTH($A792,-1),Spending!B:B,0)),2)</f>
        <v>56.62</v>
      </c>
      <c r="R792">
        <f t="shared" si="932"/>
        <v>1</v>
      </c>
      <c r="S792">
        <f>ROUND(INDEX(Employment!V:V,MATCH(EOMONTH($A792,-1),Employment!A:A,0)),2)</f>
        <v>109.42</v>
      </c>
      <c r="T792" s="11">
        <f t="shared" si="929"/>
        <v>-3</v>
      </c>
      <c r="U792">
        <f t="shared" si="921"/>
        <v>17</v>
      </c>
      <c r="V792">
        <f t="shared" si="913"/>
        <v>61.93</v>
      </c>
      <c r="W792" s="13">
        <f t="shared" si="914"/>
        <v>2.8999999999999998E-3</v>
      </c>
      <c r="X792" s="13">
        <f t="shared" si="915"/>
        <v>9.0000000000000011E-3</v>
      </c>
      <c r="Y792">
        <f t="shared" si="907"/>
        <v>70.77</v>
      </c>
      <c r="Z792" s="13">
        <f t="shared" si="902"/>
        <v>0</v>
      </c>
      <c r="AA792" s="13">
        <f t="shared" si="898"/>
        <v>-1.43E-2</v>
      </c>
      <c r="AB792" s="6">
        <f t="shared" si="908"/>
        <v>83.656999999999996</v>
      </c>
      <c r="AC792">
        <f t="shared" si="900"/>
        <v>42</v>
      </c>
      <c r="AD792" s="11">
        <f t="shared" si="901"/>
        <v>1</v>
      </c>
      <c r="AE792">
        <f t="shared" si="899"/>
        <v>20</v>
      </c>
      <c r="AF792">
        <f>IF(AND(AE792&lt;15,OR(AC792&gt;=30,AA792&gt;0.15,X792&gt;=0.15)),2,VLOOKUP(AE792,Table!P:Q,2,FALSE))</f>
        <v>3</v>
      </c>
      <c r="AG792" s="22">
        <f>IF((AB792*0.98)-(D792*0.8)+((AF792-3)*3)+VLOOKUP(AM792,Table!$A$11:$B$13,2,FALSE)&lt;0,0,(AB792*0.98)-(D792*0.8)+((AF792-3)*3)+VLOOKUP(AM792,Table!$A$11:$B$13,2,FALSE))</f>
        <v>74.65585999999999</v>
      </c>
      <c r="AH792" s="22">
        <f t="shared" si="930"/>
        <v>71</v>
      </c>
      <c r="AI792" s="18">
        <f t="shared" si="923"/>
        <v>1.04</v>
      </c>
      <c r="AJ792" s="18">
        <f t="shared" si="924"/>
        <v>1.18</v>
      </c>
      <c r="AK792" t="str">
        <f t="shared" si="909"/>
        <v>Falling Rates</v>
      </c>
      <c r="AL792">
        <f t="shared" si="920"/>
        <v>19.25</v>
      </c>
      <c r="AM792" s="11" t="str">
        <f t="shared" si="910"/>
        <v>Stocks</v>
      </c>
      <c r="AN792" t="str">
        <f t="shared" si="916"/>
        <v>Buy</v>
      </c>
      <c r="AO792" s="13">
        <f t="shared" si="917"/>
        <v>9.7000000000000003E-3</v>
      </c>
      <c r="AP792" s="13">
        <f t="shared" si="918"/>
        <v>2.0000000000000001E-4</v>
      </c>
      <c r="AQ792" s="13">
        <f t="shared" si="919"/>
        <v>6.8999999999999999E-3</v>
      </c>
      <c r="AR792" s="13">
        <f t="shared" si="911"/>
        <v>9.7000000000000003E-3</v>
      </c>
      <c r="AS792" s="6">
        <f t="shared" si="903"/>
        <v>243.23993854954816</v>
      </c>
      <c r="AT792" s="6">
        <f t="shared" si="904"/>
        <v>159.08893591510179</v>
      </c>
      <c r="AU792" s="6">
        <f t="shared" si="905"/>
        <v>283.84952787938192</v>
      </c>
      <c r="AV792" s="6">
        <f t="shared" si="906"/>
        <v>344.31129941164806</v>
      </c>
      <c r="AW792" s="58">
        <f t="shared" si="912"/>
        <v>2003</v>
      </c>
      <c r="AX792" s="58">
        <f>COUNTIF(AW$3:AW792,AW792)</f>
        <v>27</v>
      </c>
    </row>
    <row r="793" spans="1:50" x14ac:dyDescent="0.25">
      <c r="A793" s="5">
        <v>37794</v>
      </c>
      <c r="B793">
        <v>995.69</v>
      </c>
      <c r="C793">
        <v>0.84</v>
      </c>
      <c r="D793" s="6">
        <v>19.139999</v>
      </c>
      <c r="E793" s="18">
        <f t="shared" si="925"/>
        <v>20.350000000000001</v>
      </c>
      <c r="F793">
        <f t="shared" si="926"/>
        <v>-1</v>
      </c>
      <c r="G793" s="18">
        <f>ROUND(INDEX(Valuation!U:U,MATCH(A793,Valuation!A:A,0)),2)</f>
        <v>192.99</v>
      </c>
      <c r="H793">
        <f t="shared" si="897"/>
        <v>2</v>
      </c>
      <c r="I793" s="18">
        <f>INDEX(WeeklyIndicators!Y:Y,MATCH(A793,WeeklyIndicators!A:A,0))</f>
        <v>104.54</v>
      </c>
      <c r="J793">
        <f t="shared" si="922"/>
        <v>-1</v>
      </c>
      <c r="K793">
        <f>ROUND(INDEX(Economic!AF:AF,MATCH(EOMONTH($A793,-1),Economic!A:A,0)),2)</f>
        <v>90.39</v>
      </c>
      <c r="L793" s="11">
        <f t="shared" si="931"/>
        <v>-1</v>
      </c>
      <c r="M793">
        <f>ROUND(INDEX(Manufacturing!P:P,MATCH(EOMONTH($A793,-1),Manufacturing!A:A,0)),2)</f>
        <v>74.08</v>
      </c>
      <c r="N793">
        <f t="shared" si="927"/>
        <v>-1</v>
      </c>
      <c r="O793">
        <f>ROUND(INDEX(Housing!AC:AC,MATCH(EOMONTH($A793,-1),Housing!B:B,0)),2)</f>
        <v>122.67</v>
      </c>
      <c r="P793">
        <f t="shared" si="928"/>
        <v>1</v>
      </c>
      <c r="Q793">
        <f>ROUND(INDEX(Spending!AJ:AJ,MATCH(EOMONTH($A793,-1),Spending!B:B,0)),2)</f>
        <v>56.62</v>
      </c>
      <c r="R793">
        <f t="shared" si="932"/>
        <v>1</v>
      </c>
      <c r="S793">
        <f>ROUND(INDEX(Employment!V:V,MATCH(EOMONTH($A793,-1),Employment!A:A,0)),2)</f>
        <v>109.42</v>
      </c>
      <c r="T793" s="11">
        <f t="shared" si="929"/>
        <v>-3</v>
      </c>
      <c r="U793">
        <f t="shared" si="921"/>
        <v>17</v>
      </c>
      <c r="V793">
        <f t="shared" si="913"/>
        <v>62.06</v>
      </c>
      <c r="W793" s="13">
        <f t="shared" si="914"/>
        <v>6.4999999999999997E-3</v>
      </c>
      <c r="X793" s="13">
        <f t="shared" si="915"/>
        <v>-1.0699999999999998E-2</v>
      </c>
      <c r="Y793">
        <f t="shared" si="907"/>
        <v>70.78</v>
      </c>
      <c r="Z793" s="13">
        <f t="shared" si="902"/>
        <v>-6.9999999999999999E-4</v>
      </c>
      <c r="AA793" s="13">
        <f t="shared" si="898"/>
        <v>-3.2299999999999995E-2</v>
      </c>
      <c r="AB793" s="6">
        <f t="shared" si="908"/>
        <v>82.379000000000005</v>
      </c>
      <c r="AC793">
        <f t="shared" si="900"/>
        <v>41</v>
      </c>
      <c r="AD793" s="11">
        <f t="shared" si="901"/>
        <v>0</v>
      </c>
      <c r="AE793">
        <f t="shared" si="899"/>
        <v>19</v>
      </c>
      <c r="AF793">
        <f>IF(AND(AE793&lt;15,OR(AC793&gt;=30,AA793&gt;0.15,X793&gt;=0.15)),2,VLOOKUP(AE793,Table!P:Q,2,FALSE))</f>
        <v>2</v>
      </c>
      <c r="AG793" s="22">
        <f>IF((AB793*0.98)-(D793*0.8)+((AF793-3)*3)+VLOOKUP(AM793,Table!$A$11:$B$13,2,FALSE)&lt;0,0,(AB793*0.98)-(D793*0.8)+((AF793-3)*3)+VLOOKUP(AM793,Table!$A$11:$B$13,2,FALSE))</f>
        <v>70.419420799999997</v>
      </c>
      <c r="AH793" s="22">
        <f t="shared" si="930"/>
        <v>68</v>
      </c>
      <c r="AI793" s="18">
        <f t="shared" si="923"/>
        <v>1.07</v>
      </c>
      <c r="AJ793" s="18">
        <f t="shared" si="924"/>
        <v>1.2</v>
      </c>
      <c r="AK793" t="str">
        <f t="shared" si="909"/>
        <v>Falling Rates</v>
      </c>
      <c r="AL793">
        <f t="shared" si="920"/>
        <v>19</v>
      </c>
      <c r="AM793" s="11" t="str">
        <f t="shared" si="910"/>
        <v>Stocks</v>
      </c>
      <c r="AN793" t="str">
        <f t="shared" si="916"/>
        <v>Buy</v>
      </c>
      <c r="AO793" s="13">
        <f t="shared" si="917"/>
        <v>-1.9599999999999999E-2</v>
      </c>
      <c r="AP793" s="13">
        <f t="shared" si="918"/>
        <v>2.0000000000000001E-4</v>
      </c>
      <c r="AQ793" s="13">
        <f t="shared" si="919"/>
        <v>-1.3299999999999999E-2</v>
      </c>
      <c r="AR793" s="13">
        <f t="shared" si="911"/>
        <v>-1.9599999999999999E-2</v>
      </c>
      <c r="AS793" s="6">
        <f t="shared" si="903"/>
        <v>248.10275249851912</v>
      </c>
      <c r="AT793" s="6">
        <f t="shared" si="904"/>
        <v>159.05712449020376</v>
      </c>
      <c r="AU793" s="6">
        <f t="shared" si="905"/>
        <v>287.67561353945672</v>
      </c>
      <c r="AV793" s="6">
        <f t="shared" si="906"/>
        <v>351.19471584215427</v>
      </c>
      <c r="AW793" s="58">
        <f t="shared" si="912"/>
        <v>2003</v>
      </c>
      <c r="AX793" s="58">
        <f>COUNTIF(AW$3:AW793,AW793)</f>
        <v>28</v>
      </c>
    </row>
    <row r="794" spans="1:50" x14ac:dyDescent="0.25">
      <c r="A794" s="5">
        <v>37787</v>
      </c>
      <c r="B794">
        <v>988.61</v>
      </c>
      <c r="C794">
        <v>0.92</v>
      </c>
      <c r="D794" s="6">
        <v>20.66</v>
      </c>
      <c r="E794" s="18">
        <f t="shared" si="925"/>
        <v>20.46</v>
      </c>
      <c r="F794">
        <f t="shared" si="926"/>
        <v>-1</v>
      </c>
      <c r="G794" s="18">
        <f>ROUND(INDEX(Valuation!U:U,MATCH(A794,Valuation!A:A,0)),2)</f>
        <v>195</v>
      </c>
      <c r="H794">
        <f t="shared" si="897"/>
        <v>2</v>
      </c>
      <c r="I794" s="18">
        <f>INDEX(WeeklyIndicators!Y:Y,MATCH(A794,WeeklyIndicators!A:A,0))</f>
        <v>102.86</v>
      </c>
      <c r="J794">
        <f t="shared" si="922"/>
        <v>-1</v>
      </c>
      <c r="K794">
        <f>ROUND(INDEX(Economic!AF:AF,MATCH(EOMONTH($A794,-1),Economic!A:A,0)),2)</f>
        <v>90.39</v>
      </c>
      <c r="L794" s="11">
        <f t="shared" si="931"/>
        <v>-1</v>
      </c>
      <c r="M794">
        <f>ROUND(INDEX(Manufacturing!P:P,MATCH(EOMONTH($A794,-1),Manufacturing!A:A,0)),2)</f>
        <v>74.08</v>
      </c>
      <c r="N794">
        <f t="shared" si="927"/>
        <v>-1</v>
      </c>
      <c r="O794">
        <f>ROUND(INDEX(Housing!AC:AC,MATCH(EOMONTH($A794,-1),Housing!B:B,0)),2)</f>
        <v>122.67</v>
      </c>
      <c r="P794">
        <f t="shared" si="928"/>
        <v>1</v>
      </c>
      <c r="Q794">
        <f>ROUND(INDEX(Spending!AJ:AJ,MATCH(EOMONTH($A794,-1),Spending!B:B,0)),2)</f>
        <v>56.62</v>
      </c>
      <c r="R794">
        <f t="shared" si="932"/>
        <v>1</v>
      </c>
      <c r="S794">
        <f>ROUND(INDEX(Employment!V:V,MATCH(EOMONTH($A794,-1),Employment!A:A,0)),2)</f>
        <v>109.42</v>
      </c>
      <c r="T794" s="11">
        <f t="shared" si="929"/>
        <v>-3</v>
      </c>
      <c r="U794">
        <f t="shared" si="921"/>
        <v>17</v>
      </c>
      <c r="V794">
        <f t="shared" si="913"/>
        <v>61.88</v>
      </c>
      <c r="W794" s="13">
        <f t="shared" si="914"/>
        <v>4.4000000000000003E-3</v>
      </c>
      <c r="X794" s="13">
        <f t="shared" si="915"/>
        <v>-3.8900000000000004E-2</v>
      </c>
      <c r="Y794">
        <f t="shared" si="907"/>
        <v>70.790000000000006</v>
      </c>
      <c r="Z794" s="13">
        <f t="shared" si="902"/>
        <v>-3.2000000000000002E-3</v>
      </c>
      <c r="AA794" s="13">
        <f t="shared" si="898"/>
        <v>-5.28E-2</v>
      </c>
      <c r="AB794" s="6">
        <f t="shared" si="908"/>
        <v>80.930000000000007</v>
      </c>
      <c r="AC794">
        <f t="shared" si="900"/>
        <v>40</v>
      </c>
      <c r="AD794" s="11">
        <f t="shared" si="901"/>
        <v>0</v>
      </c>
      <c r="AE794">
        <f t="shared" si="899"/>
        <v>19</v>
      </c>
      <c r="AF794">
        <f>IF(AND(AE794&lt;15,OR(AC794&gt;=30,AA794&gt;0.15,X794&gt;=0.15)),2,VLOOKUP(AE794,Table!P:Q,2,FALSE))</f>
        <v>2</v>
      </c>
      <c r="AG794" s="22">
        <f>IF((AB794*0.98)-(D794*0.8)+((AF794-3)*3)+VLOOKUP(AM794,Table!$A$11:$B$13,2,FALSE)&lt;0,0,(AB794*0.98)-(D794*0.8)+((AF794-3)*3)+VLOOKUP(AM794,Table!$A$11:$B$13,2,FALSE))</f>
        <v>67.7834</v>
      </c>
      <c r="AH794" s="22">
        <f t="shared" si="930"/>
        <v>68</v>
      </c>
      <c r="AI794" s="18">
        <f t="shared" si="923"/>
        <v>1.0900000000000001</v>
      </c>
      <c r="AJ794" s="18">
        <f t="shared" si="924"/>
        <v>1.22</v>
      </c>
      <c r="AK794" t="str">
        <f t="shared" si="909"/>
        <v>Falling Rates</v>
      </c>
      <c r="AL794">
        <f t="shared" si="920"/>
        <v>19.75</v>
      </c>
      <c r="AM794" s="11" t="str">
        <f t="shared" si="910"/>
        <v>Stocks</v>
      </c>
      <c r="AN794" t="str">
        <f t="shared" si="916"/>
        <v>Buy</v>
      </c>
      <c r="AO794" s="13">
        <f t="shared" si="917"/>
        <v>7.1999999999999998E-3</v>
      </c>
      <c r="AP794" s="13">
        <f t="shared" si="918"/>
        <v>2.0000000000000001E-4</v>
      </c>
      <c r="AQ794" s="13">
        <f t="shared" si="919"/>
        <v>5.0000000000000001E-3</v>
      </c>
      <c r="AR794" s="13">
        <f t="shared" si="911"/>
        <v>7.1999999999999998E-3</v>
      </c>
      <c r="AS794" s="6">
        <f t="shared" si="903"/>
        <v>246.32918238534461</v>
      </c>
      <c r="AT794" s="6">
        <f t="shared" si="904"/>
        <v>159.0253194263185</v>
      </c>
      <c r="AU794" s="6">
        <f t="shared" si="905"/>
        <v>286.244391581549</v>
      </c>
      <c r="AV794" s="6">
        <f t="shared" si="906"/>
        <v>348.68418967648353</v>
      </c>
      <c r="AW794" s="58">
        <f t="shared" si="912"/>
        <v>2003</v>
      </c>
      <c r="AX794" s="58">
        <f>COUNTIF(AW$3:AW794,AW794)</f>
        <v>29</v>
      </c>
    </row>
    <row r="795" spans="1:50" x14ac:dyDescent="0.25">
      <c r="A795" s="5">
        <v>37780</v>
      </c>
      <c r="B795">
        <v>987.76</v>
      </c>
      <c r="C795">
        <v>1.05</v>
      </c>
      <c r="D795" s="6">
        <v>21.25</v>
      </c>
      <c r="E795" s="18">
        <f t="shared" si="925"/>
        <v>19.96</v>
      </c>
      <c r="F795">
        <f t="shared" si="926"/>
        <v>-1</v>
      </c>
      <c r="G795" s="18">
        <f>ROUND(INDEX(Valuation!U:U,MATCH(A795,Valuation!A:A,0)),2)</f>
        <v>197.55</v>
      </c>
      <c r="H795">
        <f t="shared" si="897"/>
        <v>2</v>
      </c>
      <c r="I795" s="18">
        <f>INDEX(WeeklyIndicators!Y:Y,MATCH(A795,WeeklyIndicators!A:A,0))</f>
        <v>98.23</v>
      </c>
      <c r="J795">
        <f t="shared" si="922"/>
        <v>-1</v>
      </c>
      <c r="K795">
        <f>ROUND(INDEX(Economic!AF:AF,MATCH(EOMONTH($A795,-1),Economic!A:A,0)),2)</f>
        <v>90.39</v>
      </c>
      <c r="L795" s="11">
        <f t="shared" si="931"/>
        <v>-1</v>
      </c>
      <c r="M795">
        <f>ROUND(INDEX(Manufacturing!P:P,MATCH(EOMONTH($A795,-1),Manufacturing!A:A,0)),2)</f>
        <v>74.08</v>
      </c>
      <c r="N795">
        <f t="shared" si="927"/>
        <v>-1</v>
      </c>
      <c r="O795">
        <f>ROUND(INDEX(Housing!AC:AC,MATCH(EOMONTH($A795,-1),Housing!B:B,0)),2)</f>
        <v>122.67</v>
      </c>
      <c r="P795">
        <f t="shared" si="928"/>
        <v>1</v>
      </c>
      <c r="Q795">
        <f>ROUND(INDEX(Spending!AJ:AJ,MATCH(EOMONTH($A795,-1),Spending!B:B,0)),2)</f>
        <v>56.62</v>
      </c>
      <c r="R795">
        <f t="shared" si="932"/>
        <v>1</v>
      </c>
      <c r="S795">
        <f>ROUND(INDEX(Employment!V:V,MATCH(EOMONTH($A795,-1),Employment!A:A,0)),2)</f>
        <v>109.42</v>
      </c>
      <c r="T795" s="11">
        <f t="shared" si="929"/>
        <v>-3</v>
      </c>
      <c r="U795">
        <f t="shared" si="921"/>
        <v>17</v>
      </c>
      <c r="V795">
        <f t="shared" si="913"/>
        <v>61.4</v>
      </c>
      <c r="W795" s="13">
        <f t="shared" si="914"/>
        <v>-4.7999999999999996E-3</v>
      </c>
      <c r="X795" s="13">
        <f t="shared" si="915"/>
        <v>-6.3E-2</v>
      </c>
      <c r="Y795">
        <f t="shared" si="907"/>
        <v>70.77</v>
      </c>
      <c r="Z795" s="13">
        <f t="shared" si="902"/>
        <v>-1.04E-2</v>
      </c>
      <c r="AA795" s="13">
        <f t="shared" si="898"/>
        <v>-6.6699999999999995E-2</v>
      </c>
      <c r="AB795" s="6">
        <f t="shared" si="908"/>
        <v>79.974999999999994</v>
      </c>
      <c r="AC795">
        <f t="shared" si="900"/>
        <v>40</v>
      </c>
      <c r="AD795" s="11">
        <f t="shared" si="901"/>
        <v>0</v>
      </c>
      <c r="AE795">
        <f t="shared" si="899"/>
        <v>19</v>
      </c>
      <c r="AF795">
        <f>IF(AND(AE795&lt;15,OR(AC795&gt;=30,AA795&gt;0.15,X795&gt;=0.15)),2,VLOOKUP(AE795,Table!P:Q,2,FALSE))</f>
        <v>2</v>
      </c>
      <c r="AG795" s="22">
        <f>IF((AB795*0.98)-(D795*0.8)+((AF795-3)*3)+VLOOKUP(AM795,Table!$A$11:$B$13,2,FALSE)&lt;0,0,(AB795*0.98)-(D795*0.8)+((AF795-3)*3)+VLOOKUP(AM795,Table!$A$11:$B$13,2,FALSE))</f>
        <v>66.375499999999988</v>
      </c>
      <c r="AH795" s="22">
        <f t="shared" si="930"/>
        <v>71</v>
      </c>
      <c r="AI795" s="18">
        <f t="shared" si="923"/>
        <v>1.1000000000000001</v>
      </c>
      <c r="AJ795" s="18">
        <f t="shared" si="924"/>
        <v>1.24</v>
      </c>
      <c r="AK795" t="str">
        <f t="shared" si="909"/>
        <v>Falling Rates</v>
      </c>
      <c r="AL795">
        <f t="shared" si="920"/>
        <v>20.5</v>
      </c>
      <c r="AM795" s="11" t="str">
        <f t="shared" si="910"/>
        <v>Stocks</v>
      </c>
      <c r="AN795" t="str">
        <f t="shared" si="916"/>
        <v>Buy</v>
      </c>
      <c r="AO795" s="13">
        <f t="shared" si="917"/>
        <v>8.9999999999999998E-4</v>
      </c>
      <c r="AP795" s="13">
        <f t="shared" si="918"/>
        <v>2.0000000000000001E-4</v>
      </c>
      <c r="AQ795" s="13">
        <f t="shared" si="919"/>
        <v>6.9999999999999999E-4</v>
      </c>
      <c r="AR795" s="13">
        <f t="shared" si="911"/>
        <v>8.9999999999999998E-4</v>
      </c>
      <c r="AS795" s="6">
        <f t="shared" si="903"/>
        <v>246.10768546842306</v>
      </c>
      <c r="AT795" s="6">
        <f t="shared" si="904"/>
        <v>158.99352072217408</v>
      </c>
      <c r="AU795" s="6">
        <f t="shared" si="905"/>
        <v>286.04416066908067</v>
      </c>
      <c r="AV795" s="6">
        <f t="shared" si="906"/>
        <v>348.37065608600614</v>
      </c>
      <c r="AW795" s="58">
        <f t="shared" si="912"/>
        <v>2003</v>
      </c>
      <c r="AX795" s="58">
        <f>COUNTIF(AW$3:AW795,AW795)</f>
        <v>30</v>
      </c>
    </row>
    <row r="796" spans="1:50" x14ac:dyDescent="0.25">
      <c r="A796" s="5">
        <v>37773</v>
      </c>
      <c r="B796">
        <v>963.59</v>
      </c>
      <c r="C796">
        <v>1.0900000000000001</v>
      </c>
      <c r="D796" s="6">
        <v>19.469999000000001</v>
      </c>
      <c r="E796" s="18">
        <f t="shared" si="925"/>
        <v>19.010000000000002</v>
      </c>
      <c r="F796">
        <f t="shared" si="926"/>
        <v>-1</v>
      </c>
      <c r="G796" s="18">
        <f>ROUND(INDEX(Valuation!U:U,MATCH(A796,Valuation!A:A,0)),2)</f>
        <v>200.92</v>
      </c>
      <c r="H796">
        <f t="shared" ref="H796:H859" si="933">IF(G796&gt;200,3,IF(AND(G796&gt;160,G796&lt;=200),2,IF(AND(G796&gt;120,G796&lt;=160),1,IF(G796&lt;25,-3,IF(AND(G796&lt;50,G796&gt;=25),-2,IF(AND(G796&lt;90,G796&gt;=50),-1,0))))))</f>
        <v>3</v>
      </c>
      <c r="I796" s="18">
        <f>INDEX(WeeklyIndicators!Y:Y,MATCH(A796,WeeklyIndicators!A:A,0))</f>
        <v>93</v>
      </c>
      <c r="J796">
        <f t="shared" si="922"/>
        <v>-2</v>
      </c>
      <c r="K796">
        <f>ROUND(INDEX(Economic!AF:AF,MATCH(EOMONTH($A796,-1),Economic!A:A,0)),2)</f>
        <v>90.39</v>
      </c>
      <c r="L796" s="11">
        <f t="shared" si="931"/>
        <v>-1</v>
      </c>
      <c r="M796">
        <f>ROUND(INDEX(Manufacturing!P:P,MATCH(EOMONTH($A796,-1),Manufacturing!A:A,0)),2)</f>
        <v>74.08</v>
      </c>
      <c r="N796">
        <f t="shared" si="927"/>
        <v>-1</v>
      </c>
      <c r="O796">
        <f>ROUND(INDEX(Housing!AC:AC,MATCH(EOMONTH($A796,-1),Housing!B:B,0)),2)</f>
        <v>122.67</v>
      </c>
      <c r="P796">
        <f t="shared" si="928"/>
        <v>1</v>
      </c>
      <c r="Q796">
        <f>ROUND(INDEX(Spending!AJ:AJ,MATCH(EOMONTH($A796,-1),Spending!B:B,0)),2)</f>
        <v>56.62</v>
      </c>
      <c r="R796">
        <f t="shared" si="932"/>
        <v>1</v>
      </c>
      <c r="S796">
        <f>ROUND(INDEX(Employment!V:V,MATCH(EOMONTH($A796,-1),Employment!A:A,0)),2)</f>
        <v>109.42</v>
      </c>
      <c r="T796" s="11">
        <f t="shared" si="929"/>
        <v>-3</v>
      </c>
      <c r="U796">
        <f t="shared" si="921"/>
        <v>17</v>
      </c>
      <c r="V796">
        <f t="shared" si="913"/>
        <v>60.86</v>
      </c>
      <c r="W796" s="13">
        <f t="shared" si="914"/>
        <v>-1.6799999999999999E-2</v>
      </c>
      <c r="X796" s="13">
        <f t="shared" si="915"/>
        <v>-6.08E-2</v>
      </c>
      <c r="Y796">
        <f t="shared" si="907"/>
        <v>70.930000000000007</v>
      </c>
      <c r="Z796" s="13">
        <f t="shared" si="902"/>
        <v>-1.7999999999999999E-2</v>
      </c>
      <c r="AA796" s="13">
        <f t="shared" si="898"/>
        <v>-5.4300000000000001E-2</v>
      </c>
      <c r="AB796" s="6">
        <f t="shared" si="908"/>
        <v>81.301999999999992</v>
      </c>
      <c r="AC796">
        <f t="shared" si="900"/>
        <v>41</v>
      </c>
      <c r="AD796" s="11">
        <f t="shared" si="901"/>
        <v>0</v>
      </c>
      <c r="AE796">
        <f t="shared" si="899"/>
        <v>19</v>
      </c>
      <c r="AF796">
        <f>IF(AND(AE796&lt;15,OR(AC796&gt;=30,AA796&gt;0.15,X796&gt;=0.15)),2,VLOOKUP(AE796,Table!P:Q,2,FALSE))</f>
        <v>2</v>
      </c>
      <c r="AG796" s="22">
        <f>IF((AB796*0.98)-(D796*0.8)+((AF796-3)*3)+VLOOKUP(AM796,Table!$A$11:$B$13,2,FALSE)&lt;0,0,(AB796*0.98)-(D796*0.8)+((AF796-3)*3)+VLOOKUP(AM796,Table!$A$11:$B$13,2,FALSE))</f>
        <v>69.099960799999991</v>
      </c>
      <c r="AH796" s="22">
        <f t="shared" si="930"/>
        <v>76</v>
      </c>
      <c r="AI796" s="18">
        <f t="shared" si="923"/>
        <v>1.1100000000000001</v>
      </c>
      <c r="AJ796" s="18">
        <f t="shared" si="924"/>
        <v>1.26</v>
      </c>
      <c r="AK796" t="str">
        <f t="shared" si="909"/>
        <v>Falling Rates</v>
      </c>
      <c r="AL796">
        <f t="shared" si="920"/>
        <v>21.75</v>
      </c>
      <c r="AM796" s="11" t="str">
        <f t="shared" si="910"/>
        <v>Stocks</v>
      </c>
      <c r="AN796" t="str">
        <f t="shared" si="916"/>
        <v>Buy</v>
      </c>
      <c r="AO796" s="13">
        <f t="shared" si="917"/>
        <v>2.5100000000000001E-2</v>
      </c>
      <c r="AP796" s="13">
        <f t="shared" si="918"/>
        <v>2.0000000000000001E-4</v>
      </c>
      <c r="AQ796" s="13">
        <f t="shared" si="919"/>
        <v>1.9099999999999999E-2</v>
      </c>
      <c r="AR796" s="13">
        <f t="shared" si="911"/>
        <v>2.5100000000000001E-2</v>
      </c>
      <c r="AS796" s="6">
        <f t="shared" si="903"/>
        <v>240.08163639491082</v>
      </c>
      <c r="AT796" s="6">
        <f t="shared" si="904"/>
        <v>158.9617283764988</v>
      </c>
      <c r="AU796" s="6">
        <f t="shared" si="905"/>
        <v>280.68311320683023</v>
      </c>
      <c r="AV796" s="6">
        <f t="shared" si="906"/>
        <v>339.84065562970068</v>
      </c>
      <c r="AW796" s="58">
        <f t="shared" si="912"/>
        <v>2003</v>
      </c>
      <c r="AX796" s="58">
        <f>COUNTIF(AW$3:AW796,AW796)</f>
        <v>31</v>
      </c>
    </row>
    <row r="797" spans="1:50" x14ac:dyDescent="0.25">
      <c r="A797" s="5">
        <v>37766</v>
      </c>
      <c r="B797">
        <v>933.22</v>
      </c>
      <c r="C797">
        <v>1.04</v>
      </c>
      <c r="D797" s="6">
        <v>19.170000000000002</v>
      </c>
      <c r="E797" s="18">
        <f t="shared" si="925"/>
        <v>19.09</v>
      </c>
      <c r="F797">
        <f t="shared" si="926"/>
        <v>-1</v>
      </c>
      <c r="G797" s="18">
        <f>ROUND(INDEX(Valuation!U:U,MATCH(A797,Valuation!A:A,0)),2)</f>
        <v>204.2</v>
      </c>
      <c r="H797">
        <f t="shared" si="933"/>
        <v>3</v>
      </c>
      <c r="I797" s="18">
        <f>INDEX(WeeklyIndicators!Y:Y,MATCH(A797,WeeklyIndicators!A:A,0))</f>
        <v>95.82</v>
      </c>
      <c r="J797">
        <f t="shared" si="922"/>
        <v>-1</v>
      </c>
      <c r="K797">
        <f>ROUND(INDEX(Economic!AF:AF,MATCH(EOMONTH($A797,-1),Economic!A:A,0)),2)</f>
        <v>81.69</v>
      </c>
      <c r="L797" s="11">
        <f t="shared" si="931"/>
        <v>-1</v>
      </c>
      <c r="M797">
        <f>ROUND(INDEX(Manufacturing!P:P,MATCH(EOMONTH($A797,-1),Manufacturing!A:A,0)),2)</f>
        <v>78.489999999999995</v>
      </c>
      <c r="N797">
        <f t="shared" si="927"/>
        <v>-1</v>
      </c>
      <c r="O797">
        <f>ROUND(INDEX(Housing!AC:AC,MATCH(EOMONTH($A797,-1),Housing!B:B,0)),2)</f>
        <v>132.04</v>
      </c>
      <c r="P797">
        <f t="shared" si="928"/>
        <v>2</v>
      </c>
      <c r="Q797">
        <f>ROUND(INDEX(Spending!AJ:AJ,MATCH(EOMONTH($A797,-1),Spending!B:B,0)),2)</f>
        <v>57.48</v>
      </c>
      <c r="R797">
        <f t="shared" si="932"/>
        <v>1</v>
      </c>
      <c r="S797">
        <f>ROUND(INDEX(Employment!V:V,MATCH(EOMONTH($A797,-1),Employment!A:A,0)),2)</f>
        <v>107.22</v>
      </c>
      <c r="T797" s="11">
        <f t="shared" si="929"/>
        <v>-3</v>
      </c>
      <c r="U797">
        <f t="shared" si="921"/>
        <v>19</v>
      </c>
      <c r="V797">
        <f t="shared" si="913"/>
        <v>61.07</v>
      </c>
      <c r="W797" s="13">
        <f t="shared" si="914"/>
        <v>-2.1700000000000001E-2</v>
      </c>
      <c r="X797" s="13">
        <f t="shared" si="915"/>
        <v>-2.9099999999999997E-2</v>
      </c>
      <c r="Y797">
        <f t="shared" si="907"/>
        <v>71.48</v>
      </c>
      <c r="Z797" s="13">
        <f t="shared" si="902"/>
        <v>-2.12E-2</v>
      </c>
      <c r="AA797" s="13">
        <f t="shared" si="898"/>
        <v>-1.5099999999999999E-2</v>
      </c>
      <c r="AB797" s="6">
        <f t="shared" si="908"/>
        <v>85.13</v>
      </c>
      <c r="AC797">
        <f t="shared" si="900"/>
        <v>43</v>
      </c>
      <c r="AD797" s="11">
        <f t="shared" si="901"/>
        <v>1</v>
      </c>
      <c r="AE797">
        <f t="shared" si="899"/>
        <v>22</v>
      </c>
      <c r="AF797">
        <f>IF(AND(AE797&lt;15,OR(AC797&gt;=30,AA797&gt;0.15,X797&gt;=0.15)),2,VLOOKUP(AE797,Table!P:Q,2,FALSE))</f>
        <v>3</v>
      </c>
      <c r="AG797" s="22">
        <f>IF((AB797*0.98)-(D797*0.8)+((AF797-3)*3)+VLOOKUP(AM797,Table!$A$11:$B$13,2,FALSE)&lt;0,0,(AB797*0.98)-(D797*0.8)+((AF797-3)*3)+VLOOKUP(AM797,Table!$A$11:$B$13,2,FALSE))</f>
        <v>76.091399999999993</v>
      </c>
      <c r="AH797" s="22">
        <f t="shared" si="930"/>
        <v>82</v>
      </c>
      <c r="AI797" s="18">
        <f t="shared" si="923"/>
        <v>1.1200000000000001</v>
      </c>
      <c r="AJ797" s="18">
        <f t="shared" si="924"/>
        <v>1.27</v>
      </c>
      <c r="AK797" t="str">
        <f t="shared" si="909"/>
        <v>Falling Rates</v>
      </c>
      <c r="AL797">
        <f t="shared" si="920"/>
        <v>23.25</v>
      </c>
      <c r="AM797" s="11" t="str">
        <f t="shared" si="910"/>
        <v>Stocks</v>
      </c>
      <c r="AN797" t="str">
        <f t="shared" si="916"/>
        <v>Buy</v>
      </c>
      <c r="AO797" s="13">
        <f t="shared" si="917"/>
        <v>3.2500000000000001E-2</v>
      </c>
      <c r="AP797" s="13">
        <f t="shared" si="918"/>
        <v>2.0000000000000001E-4</v>
      </c>
      <c r="AQ797" s="13">
        <f t="shared" si="919"/>
        <v>2.6700000000000002E-2</v>
      </c>
      <c r="AR797" s="13">
        <f t="shared" si="911"/>
        <v>3.2500000000000001E-2</v>
      </c>
      <c r="AS797" s="6">
        <f t="shared" si="903"/>
        <v>232.52458730741969</v>
      </c>
      <c r="AT797" s="6">
        <f t="shared" si="904"/>
        <v>158.9299423880212</v>
      </c>
      <c r="AU797" s="6">
        <f t="shared" si="905"/>
        <v>273.38376663760619</v>
      </c>
      <c r="AV797" s="6">
        <f t="shared" si="906"/>
        <v>329.14349213530335</v>
      </c>
      <c r="AW797" s="58">
        <f t="shared" si="912"/>
        <v>2003</v>
      </c>
      <c r="AX797" s="58">
        <f>COUNTIF(AW$3:AW797,AW797)</f>
        <v>32</v>
      </c>
    </row>
    <row r="798" spans="1:50" x14ac:dyDescent="0.25">
      <c r="A798" s="5">
        <v>37759</v>
      </c>
      <c r="B798">
        <v>944.3</v>
      </c>
      <c r="C798">
        <v>1.05</v>
      </c>
      <c r="D798" s="6">
        <v>18.399999999999999</v>
      </c>
      <c r="E798" s="18">
        <f t="shared" si="925"/>
        <v>19.57</v>
      </c>
      <c r="F798">
        <f t="shared" si="926"/>
        <v>-1</v>
      </c>
      <c r="G798" s="18">
        <f>ROUND(INDEX(Valuation!U:U,MATCH(A798,Valuation!A:A,0)),2)</f>
        <v>208.61</v>
      </c>
      <c r="H798">
        <f t="shared" si="933"/>
        <v>3</v>
      </c>
      <c r="I798" s="18">
        <f>INDEX(WeeklyIndicators!Y:Y,MATCH(A798,WeeklyIndicators!A:A,0))</f>
        <v>107.45</v>
      </c>
      <c r="J798">
        <f t="shared" si="922"/>
        <v>-1</v>
      </c>
      <c r="K798">
        <f>ROUND(INDEX(Economic!AF:AF,MATCH(EOMONTH($A798,-1),Economic!A:A,0)),2)</f>
        <v>81.69</v>
      </c>
      <c r="L798" s="11">
        <f t="shared" si="931"/>
        <v>-1</v>
      </c>
      <c r="M798">
        <f>ROUND(INDEX(Manufacturing!P:P,MATCH(EOMONTH($A798,-1),Manufacturing!A:A,0)),2)</f>
        <v>78.489999999999995</v>
      </c>
      <c r="N798">
        <f t="shared" si="927"/>
        <v>-1</v>
      </c>
      <c r="O798">
        <f>ROUND(INDEX(Housing!AC:AC,MATCH(EOMONTH($A798,-1),Housing!B:B,0)),2)</f>
        <v>132.04</v>
      </c>
      <c r="P798">
        <f t="shared" si="928"/>
        <v>2</v>
      </c>
      <c r="Q798">
        <f>ROUND(INDEX(Spending!AJ:AJ,MATCH(EOMONTH($A798,-1),Spending!B:B,0)),2)</f>
        <v>57.48</v>
      </c>
      <c r="R798">
        <f t="shared" si="932"/>
        <v>1</v>
      </c>
      <c r="S798">
        <f>ROUND(INDEX(Employment!V:V,MATCH(EOMONTH($A798,-1),Employment!A:A,0)),2)</f>
        <v>107.22</v>
      </c>
      <c r="T798" s="11">
        <f t="shared" si="929"/>
        <v>-3</v>
      </c>
      <c r="U798">
        <f t="shared" si="921"/>
        <v>19</v>
      </c>
      <c r="V798">
        <f t="shared" si="913"/>
        <v>62.28</v>
      </c>
      <c r="W798" s="13">
        <f t="shared" si="914"/>
        <v>-1.9699999999999999E-2</v>
      </c>
      <c r="X798" s="13">
        <f t="shared" si="915"/>
        <v>2.1299999999999999E-2</v>
      </c>
      <c r="Y798">
        <f t="shared" si="907"/>
        <v>73.010000000000005</v>
      </c>
      <c r="Z798" s="13">
        <f t="shared" si="902"/>
        <v>-1.7100000000000001E-2</v>
      </c>
      <c r="AA798" s="13">
        <f t="shared" si="898"/>
        <v>4.1000000000000002E-2</v>
      </c>
      <c r="AB798" s="6">
        <f t="shared" si="908"/>
        <v>91.411000000000001</v>
      </c>
      <c r="AC798">
        <f t="shared" si="900"/>
        <v>46</v>
      </c>
      <c r="AD798" s="11">
        <f t="shared" si="901"/>
        <v>1</v>
      </c>
      <c r="AE798">
        <f t="shared" si="899"/>
        <v>22</v>
      </c>
      <c r="AF798">
        <f>IF(AND(AE798&lt;15,OR(AC798&gt;=30,AA798&gt;0.15,X798&gt;=0.15)),2,VLOOKUP(AE798,Table!P:Q,2,FALSE))</f>
        <v>3</v>
      </c>
      <c r="AG798" s="22">
        <f>IF((AB798*0.98)-(D798*0.8)+((AF798-3)*3)+VLOOKUP(AM798,Table!$A$11:$B$13,2,FALSE)&lt;0,0,(AB798*0.98)-(D798*0.8)+((AF798-3)*3)+VLOOKUP(AM798,Table!$A$11:$B$13,2,FALSE))</f>
        <v>82.862780000000001</v>
      </c>
      <c r="AH798" s="22">
        <f t="shared" si="930"/>
        <v>86</v>
      </c>
      <c r="AI798" s="18">
        <f t="shared" si="923"/>
        <v>1.1299999999999999</v>
      </c>
      <c r="AJ798" s="18">
        <f t="shared" si="924"/>
        <v>1.29</v>
      </c>
      <c r="AK798" t="str">
        <f t="shared" si="909"/>
        <v>Falling Rates</v>
      </c>
      <c r="AL798">
        <f t="shared" si="920"/>
        <v>24</v>
      </c>
      <c r="AM798" s="11" t="str">
        <f t="shared" si="910"/>
        <v>Stocks</v>
      </c>
      <c r="AN798" t="str">
        <f t="shared" si="916"/>
        <v>Buy</v>
      </c>
      <c r="AO798" s="13">
        <f t="shared" si="917"/>
        <v>-1.17E-2</v>
      </c>
      <c r="AP798" s="13">
        <f t="shared" si="918"/>
        <v>2.0000000000000001E-4</v>
      </c>
      <c r="AQ798" s="13">
        <f t="shared" si="919"/>
        <v>-0.01</v>
      </c>
      <c r="AR798" s="13">
        <f t="shared" si="911"/>
        <v>-1.17E-2</v>
      </c>
      <c r="AS798" s="6">
        <f t="shared" si="903"/>
        <v>235.2773320929067</v>
      </c>
      <c r="AT798" s="6">
        <f t="shared" si="904"/>
        <v>158.89816275547011</v>
      </c>
      <c r="AU798" s="6">
        <f t="shared" si="905"/>
        <v>276.14521882586484</v>
      </c>
      <c r="AV798" s="6">
        <f t="shared" si="906"/>
        <v>333.04006084721578</v>
      </c>
      <c r="AW798" s="58">
        <f t="shared" si="912"/>
        <v>2003</v>
      </c>
      <c r="AX798" s="58">
        <f>COUNTIF(AW$3:AW798,AW798)</f>
        <v>33</v>
      </c>
    </row>
    <row r="799" spans="1:50" x14ac:dyDescent="0.25">
      <c r="A799" s="5">
        <v>37752</v>
      </c>
      <c r="B799">
        <v>933.41</v>
      </c>
      <c r="C799">
        <v>1.0900000000000001</v>
      </c>
      <c r="D799" s="6">
        <v>19.690000999999999</v>
      </c>
      <c r="E799" s="18">
        <f t="shared" si="925"/>
        <v>20.37</v>
      </c>
      <c r="F799">
        <f t="shared" si="926"/>
        <v>-1</v>
      </c>
      <c r="G799" s="18">
        <f>ROUND(INDEX(Valuation!U:U,MATCH(A799,Valuation!A:A,0)),2)</f>
        <v>212.4</v>
      </c>
      <c r="H799">
        <f t="shared" si="933"/>
        <v>3</v>
      </c>
      <c r="I799" s="18">
        <f>INDEX(WeeklyIndicators!Y:Y,MATCH(A799,WeeklyIndicators!A:A,0))</f>
        <v>124</v>
      </c>
      <c r="J799">
        <f t="shared" si="922"/>
        <v>0</v>
      </c>
      <c r="K799">
        <f>ROUND(INDEX(Economic!AF:AF,MATCH(EOMONTH($A799,-1),Economic!A:A,0)),2)</f>
        <v>81.69</v>
      </c>
      <c r="L799" s="11">
        <f t="shared" si="931"/>
        <v>-1</v>
      </c>
      <c r="M799">
        <f>ROUND(INDEX(Manufacturing!P:P,MATCH(EOMONTH($A799,-1),Manufacturing!A:A,0)),2)</f>
        <v>78.489999999999995</v>
      </c>
      <c r="N799">
        <f t="shared" si="927"/>
        <v>-1</v>
      </c>
      <c r="O799">
        <f>ROUND(INDEX(Housing!AC:AC,MATCH(EOMONTH($A799,-1),Housing!B:B,0)),2)</f>
        <v>132.04</v>
      </c>
      <c r="P799">
        <f t="shared" si="928"/>
        <v>2</v>
      </c>
      <c r="Q799">
        <f>ROUND(INDEX(Spending!AJ:AJ,MATCH(EOMONTH($A799,-1),Spending!B:B,0)),2)</f>
        <v>57.48</v>
      </c>
      <c r="R799">
        <f t="shared" si="932"/>
        <v>1</v>
      </c>
      <c r="S799">
        <f>ROUND(INDEX(Employment!V:V,MATCH(EOMONTH($A799,-1),Employment!A:A,0)),2)</f>
        <v>107.22</v>
      </c>
      <c r="T799" s="11">
        <f t="shared" si="929"/>
        <v>-3</v>
      </c>
      <c r="U799">
        <f t="shared" si="921"/>
        <v>20</v>
      </c>
      <c r="V799">
        <f t="shared" si="913"/>
        <v>64</v>
      </c>
      <c r="W799" s="13">
        <f t="shared" si="914"/>
        <v>-2.5999999999999999E-3</v>
      </c>
      <c r="X799" s="13">
        <f t="shared" si="915"/>
        <v>5.6900000000000006E-2</v>
      </c>
      <c r="Y799">
        <f t="shared" si="907"/>
        <v>74.87</v>
      </c>
      <c r="Z799" s="13">
        <f t="shared" si="902"/>
        <v>2E-3</v>
      </c>
      <c r="AA799" s="13">
        <f t="shared" si="898"/>
        <v>7.7499999999999999E-2</v>
      </c>
      <c r="AB799" s="6">
        <f t="shared" si="908"/>
        <v>96.5</v>
      </c>
      <c r="AC799">
        <f t="shared" si="900"/>
        <v>48</v>
      </c>
      <c r="AD799" s="11">
        <f t="shared" si="901"/>
        <v>2</v>
      </c>
      <c r="AE799">
        <f t="shared" si="899"/>
        <v>24</v>
      </c>
      <c r="AF799">
        <f>IF(AND(AE799&lt;15,OR(AC799&gt;=30,AA799&gt;0.15,X799&gt;=0.15)),2,VLOOKUP(AE799,Table!P:Q,2,FALSE))</f>
        <v>3</v>
      </c>
      <c r="AG799" s="22">
        <f>IF((AB799*0.98)-(D799*0.8)+((AF799-3)*3)+VLOOKUP(AM799,Table!$A$11:$B$13,2,FALSE)&lt;0,0,(AB799*0.98)-(D799*0.8)+((AF799-3)*3)+VLOOKUP(AM799,Table!$A$11:$B$13,2,FALSE))</f>
        <v>86.817999199999988</v>
      </c>
      <c r="AH799" s="22">
        <f t="shared" si="930"/>
        <v>87</v>
      </c>
      <c r="AI799" s="18">
        <f t="shared" si="923"/>
        <v>1.1399999999999999</v>
      </c>
      <c r="AJ799" s="18">
        <f t="shared" si="924"/>
        <v>1.3</v>
      </c>
      <c r="AK799" t="str">
        <f t="shared" si="909"/>
        <v>Falling Rates</v>
      </c>
      <c r="AL799">
        <f t="shared" si="920"/>
        <v>24</v>
      </c>
      <c r="AM799" s="11" t="str">
        <f t="shared" si="910"/>
        <v>Stocks</v>
      </c>
      <c r="AN799" t="str">
        <f t="shared" si="916"/>
        <v>Buy</v>
      </c>
      <c r="AO799" s="13">
        <f t="shared" si="917"/>
        <v>1.17E-2</v>
      </c>
      <c r="AP799" s="13">
        <f t="shared" si="918"/>
        <v>2.0000000000000001E-4</v>
      </c>
      <c r="AQ799" s="13">
        <f t="shared" si="919"/>
        <v>1.0200000000000001E-2</v>
      </c>
      <c r="AR799" s="13">
        <f t="shared" si="911"/>
        <v>1.17E-2</v>
      </c>
      <c r="AS799" s="6">
        <f t="shared" si="903"/>
        <v>232.55642195602124</v>
      </c>
      <c r="AT799" s="6">
        <f t="shared" si="904"/>
        <v>158.86638947757459</v>
      </c>
      <c r="AU799" s="6">
        <f t="shared" si="905"/>
        <v>273.35697765379615</v>
      </c>
      <c r="AV799" s="6">
        <f t="shared" si="906"/>
        <v>329.18855475656397</v>
      </c>
      <c r="AW799" s="58">
        <f t="shared" si="912"/>
        <v>2003</v>
      </c>
      <c r="AX799" s="58">
        <f>COUNTIF(AW$3:AW799,AW799)</f>
        <v>34</v>
      </c>
    </row>
    <row r="800" spans="1:50" x14ac:dyDescent="0.25">
      <c r="A800" s="5">
        <v>37745</v>
      </c>
      <c r="B800">
        <v>930.08</v>
      </c>
      <c r="C800">
        <v>1.1100000000000001</v>
      </c>
      <c r="D800" s="6">
        <v>20.629999000000002</v>
      </c>
      <c r="E800" s="18">
        <f t="shared" si="925"/>
        <v>20.98</v>
      </c>
      <c r="F800">
        <f t="shared" si="926"/>
        <v>-1</v>
      </c>
      <c r="G800" s="18">
        <f>ROUND(INDEX(Valuation!U:U,MATCH(A800,Valuation!A:A,0)),2)</f>
        <v>215.51</v>
      </c>
      <c r="H800">
        <f t="shared" si="933"/>
        <v>3</v>
      </c>
      <c r="I800" s="18">
        <f>INDEX(WeeklyIndicators!Y:Y,MATCH(A800,WeeklyIndicators!A:A,0))</f>
        <v>135.82</v>
      </c>
      <c r="J800">
        <f t="shared" si="922"/>
        <v>1</v>
      </c>
      <c r="K800">
        <f>ROUND(INDEX(Economic!AF:AF,MATCH(EOMONTH($A800,-1),Economic!A:A,0)),2)</f>
        <v>81.69</v>
      </c>
      <c r="L800" s="11">
        <f t="shared" si="931"/>
        <v>-1</v>
      </c>
      <c r="M800">
        <f>ROUND(INDEX(Manufacturing!P:P,MATCH(EOMONTH($A800,-1),Manufacturing!A:A,0)),2)</f>
        <v>78.489999999999995</v>
      </c>
      <c r="N800">
        <f t="shared" si="927"/>
        <v>-1</v>
      </c>
      <c r="O800">
        <f>ROUND(INDEX(Housing!AC:AC,MATCH(EOMONTH($A800,-1),Housing!B:B,0)),2)</f>
        <v>132.04</v>
      </c>
      <c r="P800">
        <f t="shared" si="928"/>
        <v>2</v>
      </c>
      <c r="Q800">
        <f>ROUND(INDEX(Spending!AJ:AJ,MATCH(EOMONTH($A800,-1),Spending!B:B,0)),2)</f>
        <v>57.48</v>
      </c>
      <c r="R800">
        <f t="shared" si="932"/>
        <v>1</v>
      </c>
      <c r="S800">
        <f>ROUND(INDEX(Employment!V:V,MATCH(EOMONTH($A800,-1),Employment!A:A,0)),2)</f>
        <v>107.22</v>
      </c>
      <c r="T800" s="11">
        <f t="shared" si="929"/>
        <v>-3</v>
      </c>
      <c r="U800">
        <f t="shared" si="921"/>
        <v>21</v>
      </c>
      <c r="V800">
        <f t="shared" si="913"/>
        <v>65.22</v>
      </c>
      <c r="W800" s="13">
        <f t="shared" si="914"/>
        <v>1.49E-2</v>
      </c>
      <c r="X800" s="13">
        <f t="shared" si="915"/>
        <v>6.2600000000000003E-2</v>
      </c>
      <c r="Y800">
        <f t="shared" si="907"/>
        <v>76.23</v>
      </c>
      <c r="Z800" s="13">
        <f t="shared" si="902"/>
        <v>2.12E-2</v>
      </c>
      <c r="AA800" s="13">
        <f t="shared" si="898"/>
        <v>8.1699999999999995E-2</v>
      </c>
      <c r="AB800" s="6">
        <f t="shared" si="908"/>
        <v>98.551000000000002</v>
      </c>
      <c r="AC800">
        <f t="shared" si="900"/>
        <v>49</v>
      </c>
      <c r="AD800" s="11">
        <f t="shared" si="901"/>
        <v>2</v>
      </c>
      <c r="AE800">
        <f t="shared" si="899"/>
        <v>25</v>
      </c>
      <c r="AF800">
        <f>IF(AND(AE800&lt;15,OR(AC800&gt;=30,AA800&gt;0.15,X800&gt;=0.15)),2,VLOOKUP(AE800,Table!P:Q,2,FALSE))</f>
        <v>3</v>
      </c>
      <c r="AG800" s="22">
        <f>IF((AB800*0.98)-(D800*0.8)+((AF800-3)*3)+VLOOKUP(AM800,Table!$A$11:$B$13,2,FALSE)&lt;0,0,(AB800*0.98)-(D800*0.8)+((AF800-3)*3)+VLOOKUP(AM800,Table!$A$11:$B$13,2,FALSE))</f>
        <v>88.075980799999996</v>
      </c>
      <c r="AH800" s="22">
        <f t="shared" si="930"/>
        <v>86</v>
      </c>
      <c r="AI800" s="18">
        <f t="shared" si="923"/>
        <v>1.1399999999999999</v>
      </c>
      <c r="AJ800" s="18">
        <f t="shared" si="924"/>
        <v>1.31</v>
      </c>
      <c r="AK800" t="str">
        <f t="shared" si="909"/>
        <v>Falling Rates</v>
      </c>
      <c r="AL800">
        <f t="shared" si="920"/>
        <v>23.5</v>
      </c>
      <c r="AM800" s="11" t="str">
        <f t="shared" si="910"/>
        <v>Stocks</v>
      </c>
      <c r="AN800" t="str">
        <f t="shared" si="916"/>
        <v>Buy</v>
      </c>
      <c r="AO800" s="13">
        <f t="shared" si="917"/>
        <v>3.5999999999999999E-3</v>
      </c>
      <c r="AP800" s="13">
        <f t="shared" si="918"/>
        <v>2.0000000000000001E-4</v>
      </c>
      <c r="AQ800" s="13">
        <f t="shared" si="919"/>
        <v>3.0999999999999999E-3</v>
      </c>
      <c r="AR800" s="13">
        <f t="shared" si="911"/>
        <v>3.5999999999999999E-3</v>
      </c>
      <c r="AS800" s="6">
        <f t="shared" si="903"/>
        <v>231.72222195697611</v>
      </c>
      <c r="AT800" s="6">
        <f t="shared" si="904"/>
        <v>158.83462255306398</v>
      </c>
      <c r="AU800" s="6">
        <f t="shared" si="905"/>
        <v>272.51218986521394</v>
      </c>
      <c r="AV800" s="6">
        <f t="shared" si="906"/>
        <v>328.00772693958146</v>
      </c>
      <c r="AW800" s="58">
        <f t="shared" si="912"/>
        <v>2003</v>
      </c>
      <c r="AX800" s="58">
        <f>COUNTIF(AW$3:AW800,AW800)</f>
        <v>35</v>
      </c>
    </row>
    <row r="801" spans="1:50" x14ac:dyDescent="0.25">
      <c r="A801" s="5">
        <v>37738</v>
      </c>
      <c r="B801">
        <v>898.81</v>
      </c>
      <c r="C801">
        <v>1.1399999999999999</v>
      </c>
      <c r="D801" s="6">
        <v>20.799999</v>
      </c>
      <c r="E801" s="18">
        <f t="shared" si="925"/>
        <v>22.25</v>
      </c>
      <c r="F801">
        <f t="shared" si="926"/>
        <v>-1</v>
      </c>
      <c r="G801" s="18">
        <f>ROUND(INDEX(Valuation!U:U,MATCH(A801,Valuation!A:A,0)),2)</f>
        <v>217.66</v>
      </c>
      <c r="H801">
        <f t="shared" si="933"/>
        <v>3</v>
      </c>
      <c r="I801" s="18">
        <f>INDEX(WeeklyIndicators!Y:Y,MATCH(A801,WeeklyIndicators!A:A,0))</f>
        <v>134.68</v>
      </c>
      <c r="J801">
        <f t="shared" si="922"/>
        <v>0</v>
      </c>
      <c r="K801">
        <f>ROUND(INDEX(Economic!AF:AF,MATCH(EOMONTH($A801,-1),Economic!A:A,0)),2)</f>
        <v>76.13</v>
      </c>
      <c r="L801" s="11">
        <f t="shared" si="931"/>
        <v>-2</v>
      </c>
      <c r="M801">
        <f>ROUND(INDEX(Manufacturing!P:P,MATCH(EOMONTH($A801,-1),Manufacturing!A:A,0)),2)</f>
        <v>84.78</v>
      </c>
      <c r="N801">
        <f t="shared" si="927"/>
        <v>0</v>
      </c>
      <c r="O801">
        <f>ROUND(INDEX(Housing!AC:AC,MATCH(EOMONTH($A801,-1),Housing!B:B,0)),2)</f>
        <v>141.13999999999999</v>
      </c>
      <c r="P801">
        <f t="shared" si="928"/>
        <v>3</v>
      </c>
      <c r="Q801">
        <f>ROUND(INDEX(Spending!AJ:AJ,MATCH(EOMONTH($A801,-1),Spending!B:B,0)),2)</f>
        <v>56.05</v>
      </c>
      <c r="R801">
        <f t="shared" si="932"/>
        <v>1</v>
      </c>
      <c r="S801">
        <f>ROUND(INDEX(Employment!V:V,MATCH(EOMONTH($A801,-1),Employment!A:A,0)),2)</f>
        <v>112.06</v>
      </c>
      <c r="T801" s="11">
        <f t="shared" si="929"/>
        <v>-3</v>
      </c>
      <c r="U801">
        <f t="shared" si="921"/>
        <v>21</v>
      </c>
      <c r="V801">
        <f t="shared" si="913"/>
        <v>66.12</v>
      </c>
      <c r="W801" s="13">
        <f t="shared" si="914"/>
        <v>2.87E-2</v>
      </c>
      <c r="X801" s="13">
        <f t="shared" si="915"/>
        <v>4.0899999999999999E-2</v>
      </c>
      <c r="Y801">
        <f t="shared" si="907"/>
        <v>76.92</v>
      </c>
      <c r="Z801" s="13">
        <f t="shared" si="902"/>
        <v>3.49E-2</v>
      </c>
      <c r="AA801" s="13">
        <f t="shared" si="898"/>
        <v>5.67E-2</v>
      </c>
      <c r="AB801" s="6">
        <f t="shared" si="908"/>
        <v>97.596000000000004</v>
      </c>
      <c r="AC801">
        <f t="shared" si="900"/>
        <v>49</v>
      </c>
      <c r="AD801" s="11">
        <f t="shared" si="901"/>
        <v>2</v>
      </c>
      <c r="AE801">
        <f t="shared" si="899"/>
        <v>25</v>
      </c>
      <c r="AF801">
        <f>IF(AND(AE801&lt;15,OR(AC801&gt;=30,AA801&gt;0.15,X801&gt;=0.15)),2,VLOOKUP(AE801,Table!P:Q,2,FALSE))</f>
        <v>3</v>
      </c>
      <c r="AG801" s="22">
        <f>IF((AB801*0.98)-(D801*0.8)+((AF801-3)*3)+VLOOKUP(AM801,Table!$A$11:$B$13,2,FALSE)&lt;0,0,(AB801*0.98)-(D801*0.8)+((AF801-3)*3)+VLOOKUP(AM801,Table!$A$11:$B$13,2,FALSE))</f>
        <v>87.004080799999997</v>
      </c>
      <c r="AH801" s="22">
        <f t="shared" si="930"/>
        <v>81</v>
      </c>
      <c r="AI801" s="18">
        <f t="shared" si="923"/>
        <v>1.1499999999999999</v>
      </c>
      <c r="AJ801" s="18">
        <f t="shared" si="924"/>
        <v>1.33</v>
      </c>
      <c r="AK801" t="str">
        <f t="shared" si="909"/>
        <v>Falling Rates</v>
      </c>
      <c r="AL801">
        <f t="shared" si="920"/>
        <v>22.5</v>
      </c>
      <c r="AM801" s="11" t="str">
        <f t="shared" si="910"/>
        <v>Stocks</v>
      </c>
      <c r="AN801" t="str">
        <f t="shared" si="916"/>
        <v>Buy</v>
      </c>
      <c r="AO801" s="13">
        <f t="shared" si="917"/>
        <v>3.4799999999999998E-2</v>
      </c>
      <c r="AP801" s="13">
        <f t="shared" si="918"/>
        <v>2.0000000000000001E-4</v>
      </c>
      <c r="AQ801" s="13">
        <f t="shared" si="919"/>
        <v>2.8199999999999999E-2</v>
      </c>
      <c r="AR801" s="13">
        <f t="shared" si="911"/>
        <v>3.4799999999999998E-2</v>
      </c>
      <c r="AS801" s="6">
        <f t="shared" si="903"/>
        <v>223.9294761857133</v>
      </c>
      <c r="AT801" s="6">
        <f t="shared" si="904"/>
        <v>158.80286198066784</v>
      </c>
      <c r="AU801" s="6">
        <f t="shared" si="905"/>
        <v>265.03811502160471</v>
      </c>
      <c r="AV801" s="6">
        <f t="shared" si="906"/>
        <v>316.97692978312858</v>
      </c>
      <c r="AW801" s="58">
        <f t="shared" si="912"/>
        <v>2003</v>
      </c>
      <c r="AX801" s="58">
        <f>COUNTIF(AW$3:AW801,AW801)</f>
        <v>36</v>
      </c>
    </row>
    <row r="802" spans="1:50" x14ac:dyDescent="0.25">
      <c r="A802" s="5">
        <v>37731</v>
      </c>
      <c r="B802">
        <v>893.58</v>
      </c>
      <c r="C802">
        <v>1.1599999999999999</v>
      </c>
      <c r="D802" s="6">
        <v>21.5</v>
      </c>
      <c r="E802" s="18">
        <f t="shared" si="925"/>
        <v>25.02</v>
      </c>
      <c r="F802">
        <f t="shared" si="926"/>
        <v>-2</v>
      </c>
      <c r="G802" s="18">
        <f>ROUND(INDEX(Valuation!U:U,MATCH(A802,Valuation!A:A,0)),2)</f>
        <v>218.25</v>
      </c>
      <c r="H802">
        <f t="shared" si="933"/>
        <v>3</v>
      </c>
      <c r="I802" s="18">
        <f>INDEX(WeeklyIndicators!Y:Y,MATCH(A802,WeeklyIndicators!A:A,0))</f>
        <v>119.24</v>
      </c>
      <c r="J802">
        <f t="shared" si="922"/>
        <v>-1</v>
      </c>
      <c r="K802">
        <f>ROUND(INDEX(Economic!AF:AF,MATCH(EOMONTH($A802,-1),Economic!A:A,0)),2)</f>
        <v>76.13</v>
      </c>
      <c r="L802" s="11">
        <f t="shared" si="931"/>
        <v>-2</v>
      </c>
      <c r="M802">
        <f>ROUND(INDEX(Manufacturing!P:P,MATCH(EOMONTH($A802,-1),Manufacturing!A:A,0)),2)</f>
        <v>84.78</v>
      </c>
      <c r="N802">
        <f t="shared" si="927"/>
        <v>0</v>
      </c>
      <c r="O802">
        <f>ROUND(INDEX(Housing!AC:AC,MATCH(EOMONTH($A802,-1),Housing!B:B,0)),2)</f>
        <v>141.13999999999999</v>
      </c>
      <c r="P802">
        <f t="shared" si="928"/>
        <v>3</v>
      </c>
      <c r="Q802">
        <f>ROUND(INDEX(Spending!AJ:AJ,MATCH(EOMONTH($A802,-1),Spending!B:B,0)),2)</f>
        <v>56.05</v>
      </c>
      <c r="R802">
        <f t="shared" si="932"/>
        <v>1</v>
      </c>
      <c r="S802">
        <f>ROUND(INDEX(Employment!V:V,MATCH(EOMONTH($A802,-1),Employment!A:A,0)),2)</f>
        <v>112.06</v>
      </c>
      <c r="T802" s="11">
        <f t="shared" si="929"/>
        <v>-3</v>
      </c>
      <c r="U802">
        <f t="shared" si="921"/>
        <v>19</v>
      </c>
      <c r="V802">
        <f t="shared" si="913"/>
        <v>64.510000000000005</v>
      </c>
      <c r="W802" s="13">
        <f t="shared" si="914"/>
        <v>1.5900000000000001E-2</v>
      </c>
      <c r="X802" s="13">
        <f t="shared" si="915"/>
        <v>8.8999999999999982E-3</v>
      </c>
      <c r="Y802">
        <f t="shared" si="907"/>
        <v>74.42</v>
      </c>
      <c r="Z802" s="13">
        <f t="shared" si="902"/>
        <v>1.9400000000000001E-2</v>
      </c>
      <c r="AA802" s="13">
        <f t="shared" si="898"/>
        <v>2.3E-2</v>
      </c>
      <c r="AB802" s="6">
        <f t="shared" si="908"/>
        <v>92.525000000000006</v>
      </c>
      <c r="AC802">
        <f t="shared" si="900"/>
        <v>46</v>
      </c>
      <c r="AD802" s="11">
        <f t="shared" si="901"/>
        <v>1</v>
      </c>
      <c r="AE802">
        <f t="shared" si="899"/>
        <v>22</v>
      </c>
      <c r="AF802">
        <f>IF(AND(AE802&lt;15,OR(AC802&gt;=30,AA802&gt;0.15,X802&gt;=0.15)),2,VLOOKUP(AE802,Table!P:Q,2,FALSE))</f>
        <v>3</v>
      </c>
      <c r="AG802" s="22">
        <f>IF((AB802*0.98)-(D802*0.8)+((AF802-3)*3)+VLOOKUP(AM802,Table!$A$11:$B$13,2,FALSE)&lt;0,0,(AB802*0.98)-(D802*0.8)+((AF802-3)*3)+VLOOKUP(AM802,Table!$A$11:$B$13,2,FALSE))</f>
        <v>81.474500000000006</v>
      </c>
      <c r="AH802" s="22">
        <f t="shared" si="930"/>
        <v>75</v>
      </c>
      <c r="AI802" s="18">
        <f t="shared" si="923"/>
        <v>1.1499999999999999</v>
      </c>
      <c r="AJ802" s="18">
        <f t="shared" si="924"/>
        <v>1.34</v>
      </c>
      <c r="AK802" t="str">
        <f t="shared" si="909"/>
        <v/>
      </c>
      <c r="AL802">
        <f t="shared" si="920"/>
        <v>21.75</v>
      </c>
      <c r="AM802" s="11" t="str">
        <f t="shared" si="910"/>
        <v>Stocks</v>
      </c>
      <c r="AN802" t="str">
        <f t="shared" si="916"/>
        <v>Buy</v>
      </c>
      <c r="AO802" s="13">
        <f t="shared" si="917"/>
        <v>5.8999999999999999E-3</v>
      </c>
      <c r="AP802" s="13">
        <f t="shared" si="918"/>
        <v>2.0000000000000001E-4</v>
      </c>
      <c r="AQ802" s="13">
        <f t="shared" si="919"/>
        <v>4.4999999999999997E-3</v>
      </c>
      <c r="AR802" s="13">
        <f t="shared" si="911"/>
        <v>5.8999999999999999E-3</v>
      </c>
      <c r="AS802" s="6">
        <f t="shared" si="903"/>
        <v>222.61604154062363</v>
      </c>
      <c r="AT802" s="6">
        <f t="shared" si="904"/>
        <v>158.77110775911603</v>
      </c>
      <c r="AU802" s="6">
        <f t="shared" si="905"/>
        <v>263.85078648243376</v>
      </c>
      <c r="AV802" s="6">
        <f t="shared" si="906"/>
        <v>315.11773514576856</v>
      </c>
      <c r="AW802" s="58">
        <f t="shared" si="912"/>
        <v>2003</v>
      </c>
      <c r="AX802" s="58">
        <f>COUNTIF(AW$3:AW802,AW802)</f>
        <v>37</v>
      </c>
    </row>
    <row r="803" spans="1:50" x14ac:dyDescent="0.25">
      <c r="A803" s="5">
        <v>37724</v>
      </c>
      <c r="B803">
        <v>868.3</v>
      </c>
      <c r="C803">
        <v>1.1299999999999999</v>
      </c>
      <c r="D803" s="6">
        <v>24.440000999999999</v>
      </c>
      <c r="E803" s="18">
        <f t="shared" si="925"/>
        <v>27.11</v>
      </c>
      <c r="F803">
        <f t="shared" si="926"/>
        <v>-2</v>
      </c>
      <c r="G803" s="18">
        <f>ROUND(INDEX(Valuation!U:U,MATCH(A803,Valuation!A:A,0)),2)</f>
        <v>218.12</v>
      </c>
      <c r="H803">
        <f t="shared" si="933"/>
        <v>3</v>
      </c>
      <c r="I803" s="18">
        <f>INDEX(WeeklyIndicators!Y:Y,MATCH(A803,WeeklyIndicators!A:A,0))</f>
        <v>98.42</v>
      </c>
      <c r="J803">
        <f t="shared" si="922"/>
        <v>-1</v>
      </c>
      <c r="K803">
        <f>ROUND(INDEX(Economic!AF:AF,MATCH(EOMONTH($A803,-1),Economic!A:A,0)),2)</f>
        <v>76.13</v>
      </c>
      <c r="L803" s="11">
        <f t="shared" si="931"/>
        <v>-2</v>
      </c>
      <c r="M803">
        <f>ROUND(INDEX(Manufacturing!P:P,MATCH(EOMONTH($A803,-1),Manufacturing!A:A,0)),2)</f>
        <v>84.78</v>
      </c>
      <c r="N803">
        <f t="shared" si="927"/>
        <v>0</v>
      </c>
      <c r="O803">
        <f>ROUND(INDEX(Housing!AC:AC,MATCH(EOMONTH($A803,-1),Housing!B:B,0)),2)</f>
        <v>141.13999999999999</v>
      </c>
      <c r="P803">
        <f t="shared" si="928"/>
        <v>3</v>
      </c>
      <c r="Q803">
        <f>ROUND(INDEX(Spending!AJ:AJ,MATCH(EOMONTH($A803,-1),Spending!B:B,0)),2)</f>
        <v>56.05</v>
      </c>
      <c r="R803">
        <f t="shared" si="932"/>
        <v>1</v>
      </c>
      <c r="S803">
        <f>ROUND(INDEX(Employment!V:V,MATCH(EOMONTH($A803,-1),Employment!A:A,0)),2)</f>
        <v>112.06</v>
      </c>
      <c r="T803" s="11">
        <f t="shared" si="929"/>
        <v>-3</v>
      </c>
      <c r="U803">
        <f t="shared" si="921"/>
        <v>19</v>
      </c>
      <c r="V803">
        <f t="shared" si="913"/>
        <v>62.35</v>
      </c>
      <c r="W803" s="13">
        <f t="shared" si="914"/>
        <v>3.0999999999999999E-3</v>
      </c>
      <c r="X803" s="13">
        <f t="shared" si="915"/>
        <v>-1.0699999999999999E-2</v>
      </c>
      <c r="Y803">
        <f t="shared" si="907"/>
        <v>71.510000000000005</v>
      </c>
      <c r="Z803" s="13">
        <f t="shared" si="902"/>
        <v>6.1999999999999998E-3</v>
      </c>
      <c r="AA803" s="13">
        <f t="shared" si="898"/>
        <v>4.3E-3</v>
      </c>
      <c r="AB803" s="6">
        <f t="shared" si="908"/>
        <v>88.081999999999994</v>
      </c>
      <c r="AC803">
        <f t="shared" si="900"/>
        <v>44</v>
      </c>
      <c r="AD803" s="11">
        <f t="shared" si="901"/>
        <v>1</v>
      </c>
      <c r="AE803">
        <f t="shared" si="899"/>
        <v>22</v>
      </c>
      <c r="AF803">
        <f>IF(AND(AE803&lt;15,OR(AC803&gt;=30,AA803&gt;0.15,X803&gt;=0.15)),2,VLOOKUP(AE803,Table!P:Q,2,FALSE))</f>
        <v>3</v>
      </c>
      <c r="AG803" s="22">
        <f>IF((AB803*0.98)-(D803*0.8)+((AF803-3)*3)+VLOOKUP(AM803,Table!$A$11:$B$13,2,FALSE)&lt;0,0,(AB803*0.98)-(D803*0.8)+((AF803-3)*3)+VLOOKUP(AM803,Table!$A$11:$B$13,2,FALSE))</f>
        <v>74.768359199999992</v>
      </c>
      <c r="AH803" s="22">
        <f t="shared" si="930"/>
        <v>72</v>
      </c>
      <c r="AI803" s="18">
        <f t="shared" si="923"/>
        <v>1.1499999999999999</v>
      </c>
      <c r="AJ803" s="18">
        <f t="shared" si="924"/>
        <v>1.35</v>
      </c>
      <c r="AK803" t="str">
        <f t="shared" si="909"/>
        <v>Falling Rates</v>
      </c>
      <c r="AL803">
        <f t="shared" si="920"/>
        <v>21.75</v>
      </c>
      <c r="AM803" s="11" t="str">
        <f t="shared" si="910"/>
        <v>Stocks</v>
      </c>
      <c r="AN803" t="str">
        <f t="shared" si="916"/>
        <v>Buy</v>
      </c>
      <c r="AO803" s="13">
        <f t="shared" si="917"/>
        <v>2.9100000000000001E-2</v>
      </c>
      <c r="AP803" s="13">
        <f t="shared" si="918"/>
        <v>2.0000000000000001E-4</v>
      </c>
      <c r="AQ803" s="13">
        <f t="shared" si="919"/>
        <v>2.1000000000000001E-2</v>
      </c>
      <c r="AR803" s="13">
        <f t="shared" si="911"/>
        <v>2.9100000000000001E-2</v>
      </c>
      <c r="AS803" s="6">
        <f t="shared" si="903"/>
        <v>216.32109760045054</v>
      </c>
      <c r="AT803" s="6">
        <f t="shared" si="904"/>
        <v>158.73935988713862</v>
      </c>
      <c r="AU803" s="6">
        <f t="shared" si="905"/>
        <v>258.4238848995434</v>
      </c>
      <c r="AV803" s="6">
        <f t="shared" si="906"/>
        <v>306.20710829440151</v>
      </c>
      <c r="AW803" s="58">
        <f t="shared" si="912"/>
        <v>2003</v>
      </c>
      <c r="AX803" s="58">
        <f>COUNTIF(AW$3:AW803,AW803)</f>
        <v>38</v>
      </c>
    </row>
    <row r="804" spans="1:50" x14ac:dyDescent="0.25">
      <c r="A804" s="5">
        <v>37717</v>
      </c>
      <c r="B804">
        <v>878.85</v>
      </c>
      <c r="C804">
        <v>1.1000000000000001</v>
      </c>
      <c r="D804" s="6">
        <v>29.129999000000002</v>
      </c>
      <c r="E804" s="18">
        <f t="shared" si="925"/>
        <v>28.52</v>
      </c>
      <c r="F804">
        <f t="shared" si="926"/>
        <v>-2</v>
      </c>
      <c r="G804" s="18">
        <f>ROUND(INDEX(Valuation!U:U,MATCH(A804,Valuation!A:A,0)),2)</f>
        <v>218.12</v>
      </c>
      <c r="H804">
        <f t="shared" si="933"/>
        <v>3</v>
      </c>
      <c r="I804" s="18">
        <f>INDEX(WeeklyIndicators!Y:Y,MATCH(A804,WeeklyIndicators!A:A,0))</f>
        <v>82.92</v>
      </c>
      <c r="J804">
        <f t="shared" si="922"/>
        <v>-2</v>
      </c>
      <c r="K804">
        <f>ROUND(INDEX(Economic!AF:AF,MATCH(EOMONTH($A804,-1),Economic!A:A,0)),2)</f>
        <v>76.13</v>
      </c>
      <c r="L804" s="11">
        <f t="shared" si="931"/>
        <v>-2</v>
      </c>
      <c r="M804">
        <f>ROUND(INDEX(Manufacturing!P:P,MATCH(EOMONTH($A804,-1),Manufacturing!A:A,0)),2)</f>
        <v>84.78</v>
      </c>
      <c r="N804">
        <f t="shared" si="927"/>
        <v>0</v>
      </c>
      <c r="O804">
        <f>ROUND(INDEX(Housing!AC:AC,MATCH(EOMONTH($A804,-1),Housing!B:B,0)),2)</f>
        <v>141.13999999999999</v>
      </c>
      <c r="P804">
        <f t="shared" si="928"/>
        <v>3</v>
      </c>
      <c r="Q804">
        <f>ROUND(INDEX(Spending!AJ:AJ,MATCH(EOMONTH($A804,-1),Spending!B:B,0)),2)</f>
        <v>56.05</v>
      </c>
      <c r="R804">
        <f t="shared" si="932"/>
        <v>1</v>
      </c>
      <c r="S804">
        <f>ROUND(INDEX(Employment!V:V,MATCH(EOMONTH($A804,-1),Employment!A:A,0)),2)</f>
        <v>112.06</v>
      </c>
      <c r="T804" s="11">
        <f t="shared" si="929"/>
        <v>-3</v>
      </c>
      <c r="U804">
        <f t="shared" si="921"/>
        <v>18</v>
      </c>
      <c r="V804">
        <f t="shared" si="913"/>
        <v>60.74</v>
      </c>
      <c r="W804" s="13">
        <f t="shared" si="914"/>
        <v>-6.7999999999999996E-3</v>
      </c>
      <c r="X804" s="13">
        <f t="shared" si="915"/>
        <v>-1.3899999999999999E-2</v>
      </c>
      <c r="Y804">
        <f t="shared" si="907"/>
        <v>69.41</v>
      </c>
      <c r="Z804" s="13">
        <f t="shared" si="902"/>
        <v>-3.8E-3</v>
      </c>
      <c r="AA804" s="13">
        <f t="shared" si="898"/>
        <v>4.1000000000000003E-3</v>
      </c>
      <c r="AB804" s="6">
        <f t="shared" si="908"/>
        <v>85.881999999999991</v>
      </c>
      <c r="AC804">
        <f t="shared" si="900"/>
        <v>43</v>
      </c>
      <c r="AD804" s="11">
        <f t="shared" si="901"/>
        <v>1</v>
      </c>
      <c r="AE804">
        <f t="shared" si="899"/>
        <v>21</v>
      </c>
      <c r="AF804">
        <f>IF(AND(AE804&lt;15,OR(AC804&gt;=30,AA804&gt;0.15,X804&gt;=0.15)),2,VLOOKUP(AE804,Table!P:Q,2,FALSE))</f>
        <v>3</v>
      </c>
      <c r="AG804" s="22">
        <f>IF((AB804*0.98)-(D804*0.8)+((AF804-3)*3)+VLOOKUP(AM804,Table!$A$11:$B$13,2,FALSE)&lt;0,0,(AB804*0.98)-(D804*0.8)+((AF804-3)*3)+VLOOKUP(AM804,Table!$A$11:$B$13,2,FALSE))</f>
        <v>68.860360799999981</v>
      </c>
      <c r="AH804" s="22">
        <f t="shared" si="930"/>
        <v>70</v>
      </c>
      <c r="AI804" s="18">
        <f t="shared" si="923"/>
        <v>1.1499999999999999</v>
      </c>
      <c r="AJ804" s="18">
        <f t="shared" si="924"/>
        <v>1.37</v>
      </c>
      <c r="AK804" t="str">
        <f t="shared" si="909"/>
        <v>Falling Rates</v>
      </c>
      <c r="AL804">
        <f t="shared" si="920"/>
        <v>21.75</v>
      </c>
      <c r="AM804" s="11" t="str">
        <f t="shared" si="910"/>
        <v>Stocks</v>
      </c>
      <c r="AN804" t="str">
        <f t="shared" si="916"/>
        <v>Buy</v>
      </c>
      <c r="AO804" s="13">
        <f t="shared" si="917"/>
        <v>-1.2E-2</v>
      </c>
      <c r="AP804" s="13">
        <f t="shared" si="918"/>
        <v>2.0000000000000001E-4</v>
      </c>
      <c r="AQ804" s="13">
        <f t="shared" si="919"/>
        <v>-8.3000000000000001E-3</v>
      </c>
      <c r="AR804" s="13">
        <f t="shared" si="911"/>
        <v>-1.2E-2</v>
      </c>
      <c r="AS804" s="6">
        <f t="shared" si="903"/>
        <v>218.94847935268274</v>
      </c>
      <c r="AT804" s="6">
        <f t="shared" si="904"/>
        <v>158.70761836346594</v>
      </c>
      <c r="AU804" s="6">
        <f t="shared" si="905"/>
        <v>260.58675496575921</v>
      </c>
      <c r="AV804" s="6">
        <f t="shared" si="906"/>
        <v>309.92622297004203</v>
      </c>
      <c r="AW804" s="58">
        <f t="shared" si="912"/>
        <v>2003</v>
      </c>
      <c r="AX804" s="58">
        <f>COUNTIF(AW$3:AW804,AW804)</f>
        <v>39</v>
      </c>
    </row>
    <row r="805" spans="1:50" x14ac:dyDescent="0.25">
      <c r="A805" s="5">
        <v>37710</v>
      </c>
      <c r="B805">
        <v>863.5</v>
      </c>
      <c r="C805">
        <v>1.1499999999999999</v>
      </c>
      <c r="D805" s="6">
        <v>27.75</v>
      </c>
      <c r="E805" s="18">
        <f t="shared" si="925"/>
        <v>29.13</v>
      </c>
      <c r="F805">
        <f t="shared" si="926"/>
        <v>-2</v>
      </c>
      <c r="G805" s="18">
        <f>ROUND(INDEX(Valuation!U:U,MATCH(A805,Valuation!A:A,0)),2)</f>
        <v>220.67</v>
      </c>
      <c r="H805">
        <f t="shared" si="933"/>
        <v>3</v>
      </c>
      <c r="I805" s="18">
        <f>INDEX(WeeklyIndicators!Y:Y,MATCH(A805,WeeklyIndicators!A:A,0))</f>
        <v>77.41</v>
      </c>
      <c r="J805">
        <f t="shared" si="922"/>
        <v>-2</v>
      </c>
      <c r="K805">
        <f>ROUND(INDEX(Economic!AF:AF,MATCH(EOMONTH($A805,-1),Economic!A:A,0)),2)</f>
        <v>77.48</v>
      </c>
      <c r="L805" s="11">
        <f t="shared" si="931"/>
        <v>-2</v>
      </c>
      <c r="M805">
        <f>ROUND(INDEX(Manufacturing!P:P,MATCH(EOMONTH($A805,-1),Manufacturing!A:A,0)),2)</f>
        <v>91.25</v>
      </c>
      <c r="N805">
        <f t="shared" si="927"/>
        <v>1</v>
      </c>
      <c r="O805">
        <f>ROUND(INDEX(Housing!AC:AC,MATCH(EOMONTH($A805,-1),Housing!B:B,0)),2)</f>
        <v>143.24</v>
      </c>
      <c r="P805">
        <f t="shared" si="928"/>
        <v>3</v>
      </c>
      <c r="Q805">
        <f>ROUND(INDEX(Spending!AJ:AJ,MATCH(EOMONTH($A805,-1),Spending!B:B,0)),2)</f>
        <v>55.32</v>
      </c>
      <c r="R805">
        <f t="shared" si="932"/>
        <v>1</v>
      </c>
      <c r="S805">
        <f>ROUND(INDEX(Employment!V:V,MATCH(EOMONTH($A805,-1),Employment!A:A,0)),2)</f>
        <v>114.77</v>
      </c>
      <c r="T805" s="11">
        <f t="shared" si="929"/>
        <v>-3</v>
      </c>
      <c r="U805">
        <f t="shared" si="921"/>
        <v>19</v>
      </c>
      <c r="V805">
        <f t="shared" si="913"/>
        <v>61.58</v>
      </c>
      <c r="W805" s="13">
        <f t="shared" si="914"/>
        <v>-3.3E-3</v>
      </c>
      <c r="X805" s="13">
        <f t="shared" si="915"/>
        <v>-1.0999999999999999E-2</v>
      </c>
      <c r="Y805">
        <f t="shared" si="907"/>
        <v>70.319999999999993</v>
      </c>
      <c r="Z805" s="13">
        <f t="shared" si="902"/>
        <v>1.1999999999999999E-3</v>
      </c>
      <c r="AA805" s="13">
        <f t="shared" si="898"/>
        <v>1.0200000000000001E-2</v>
      </c>
      <c r="AB805" s="6">
        <f t="shared" si="908"/>
        <v>87.516999999999996</v>
      </c>
      <c r="AC805">
        <f t="shared" si="900"/>
        <v>44</v>
      </c>
      <c r="AD805" s="11">
        <f t="shared" si="901"/>
        <v>1</v>
      </c>
      <c r="AE805">
        <f t="shared" si="899"/>
        <v>22</v>
      </c>
      <c r="AF805">
        <f>IF(AND(AE805&lt;15,OR(AC805&gt;=30,AA805&gt;0.15,X805&gt;=0.15)),2,VLOOKUP(AE805,Table!P:Q,2,FALSE))</f>
        <v>3</v>
      </c>
      <c r="AG805" s="22">
        <f>IF((AB805*0.98)-(D805*0.8)+((AF805-3)*3)+VLOOKUP(AM805,Table!$A$11:$B$13,2,FALSE)&lt;0,0,(AB805*0.98)-(D805*0.8)+((AF805-3)*3)+VLOOKUP(AM805,Table!$A$11:$B$13,2,FALSE))</f>
        <v>71.566659999999985</v>
      </c>
      <c r="AH805" s="22">
        <f t="shared" si="930"/>
        <v>70</v>
      </c>
      <c r="AI805" s="18">
        <f t="shared" si="923"/>
        <v>1.1599999999999999</v>
      </c>
      <c r="AJ805" s="18">
        <f t="shared" si="924"/>
        <v>1.38</v>
      </c>
      <c r="AK805" t="str">
        <f t="shared" si="909"/>
        <v>Falling Rates</v>
      </c>
      <c r="AL805">
        <f t="shared" si="920"/>
        <v>22</v>
      </c>
      <c r="AM805" s="11" t="str">
        <f t="shared" si="910"/>
        <v>Stocks</v>
      </c>
      <c r="AN805" t="str">
        <f t="shared" si="916"/>
        <v>Buy</v>
      </c>
      <c r="AO805" s="13">
        <f t="shared" si="917"/>
        <v>1.78E-2</v>
      </c>
      <c r="AP805" s="13">
        <f t="shared" si="918"/>
        <v>2.0000000000000001E-4</v>
      </c>
      <c r="AQ805" s="13">
        <f t="shared" si="919"/>
        <v>1.2500000000000001E-2</v>
      </c>
      <c r="AR805" s="13">
        <f t="shared" si="911"/>
        <v>1.78E-2</v>
      </c>
      <c r="AS805" s="6">
        <f t="shared" si="903"/>
        <v>215.11935483659141</v>
      </c>
      <c r="AT805" s="6">
        <f t="shared" si="904"/>
        <v>158.67588318682857</v>
      </c>
      <c r="AU805" s="6">
        <f t="shared" si="905"/>
        <v>257.36963453408316</v>
      </c>
      <c r="AV805" s="6">
        <f t="shared" si="906"/>
        <v>304.50601588724896</v>
      </c>
      <c r="AW805" s="58">
        <f t="shared" si="912"/>
        <v>2003</v>
      </c>
      <c r="AX805" s="58">
        <f>COUNTIF(AW$3:AW805,AW805)</f>
        <v>40</v>
      </c>
    </row>
    <row r="806" spans="1:50" x14ac:dyDescent="0.25">
      <c r="A806" s="5">
        <v>37703</v>
      </c>
      <c r="B806">
        <v>895.79</v>
      </c>
      <c r="C806">
        <v>1.1399999999999999</v>
      </c>
      <c r="D806" s="6">
        <v>28.67</v>
      </c>
      <c r="E806" s="18">
        <f t="shared" si="925"/>
        <v>30.24</v>
      </c>
      <c r="F806">
        <f t="shared" si="926"/>
        <v>-2</v>
      </c>
      <c r="G806" s="18">
        <f>ROUND(INDEX(Valuation!U:U,MATCH(A806,Valuation!A:A,0)),2)</f>
        <v>221.35</v>
      </c>
      <c r="H806">
        <f t="shared" si="933"/>
        <v>3</v>
      </c>
      <c r="I806" s="18">
        <f>INDEX(WeeklyIndicators!Y:Y,MATCH(A806,WeeklyIndicators!A:A,0))</f>
        <v>79.290000000000006</v>
      </c>
      <c r="J806">
        <f t="shared" si="922"/>
        <v>-2</v>
      </c>
      <c r="K806">
        <f>ROUND(INDEX(Economic!AF:AF,MATCH(EOMONTH($A806,-1),Economic!A:A,0)),2)</f>
        <v>77.48</v>
      </c>
      <c r="L806" s="11">
        <f t="shared" si="931"/>
        <v>-2</v>
      </c>
      <c r="M806">
        <f>ROUND(INDEX(Manufacturing!P:P,MATCH(EOMONTH($A806,-1),Manufacturing!A:A,0)),2)</f>
        <v>91.25</v>
      </c>
      <c r="N806">
        <f t="shared" si="927"/>
        <v>1</v>
      </c>
      <c r="O806">
        <f>ROUND(INDEX(Housing!AC:AC,MATCH(EOMONTH($A806,-1),Housing!B:B,0)),2)</f>
        <v>143.24</v>
      </c>
      <c r="P806">
        <f t="shared" si="928"/>
        <v>3</v>
      </c>
      <c r="Q806">
        <f>ROUND(INDEX(Spending!AJ:AJ,MATCH(EOMONTH($A806,-1),Spending!B:B,0)),2)</f>
        <v>55.32</v>
      </c>
      <c r="R806">
        <f t="shared" si="932"/>
        <v>1</v>
      </c>
      <c r="S806">
        <f>ROUND(INDEX(Employment!V:V,MATCH(EOMONTH($A806,-1),Employment!A:A,0)),2)</f>
        <v>114.77</v>
      </c>
      <c r="T806" s="11">
        <f t="shared" si="929"/>
        <v>-3</v>
      </c>
      <c r="U806">
        <f t="shared" si="921"/>
        <v>19</v>
      </c>
      <c r="V806">
        <f t="shared" si="913"/>
        <v>61.78</v>
      </c>
      <c r="W806" s="13">
        <f t="shared" si="914"/>
        <v>-3.7000000000000002E-3</v>
      </c>
      <c r="X806" s="13">
        <f t="shared" si="915"/>
        <v>-1.2400000000000001E-2</v>
      </c>
      <c r="Y806">
        <f t="shared" si="907"/>
        <v>70.2</v>
      </c>
      <c r="Z806" s="13">
        <f t="shared" si="902"/>
        <v>6.9999999999999999E-4</v>
      </c>
      <c r="AA806" s="13">
        <f t="shared" si="898"/>
        <v>1.11E-2</v>
      </c>
      <c r="AB806" s="6">
        <f t="shared" si="908"/>
        <v>87.515000000000001</v>
      </c>
      <c r="AC806">
        <f t="shared" si="900"/>
        <v>44</v>
      </c>
      <c r="AD806" s="11">
        <f t="shared" si="901"/>
        <v>1</v>
      </c>
      <c r="AE806">
        <f t="shared" si="899"/>
        <v>22</v>
      </c>
      <c r="AF806">
        <f>IF(AND(AE806&lt;15,OR(AC806&gt;=30,AA806&gt;0.15,X806&gt;=0.15)),2,VLOOKUP(AE806,Table!P:Q,2,FALSE))</f>
        <v>3</v>
      </c>
      <c r="AG806" s="22">
        <f>IF((AB806*0.98)-(D806*0.8)+((AF806-3)*3)+VLOOKUP(AM806,Table!$A$11:$B$13,2,FALSE)&lt;0,0,(AB806*0.98)-(D806*0.8)+((AF806-3)*3)+VLOOKUP(AM806,Table!$A$11:$B$13,2,FALSE))</f>
        <v>70.828699999999998</v>
      </c>
      <c r="AH806" s="22">
        <f t="shared" si="930"/>
        <v>69</v>
      </c>
      <c r="AI806" s="18">
        <f t="shared" si="923"/>
        <v>1.1599999999999999</v>
      </c>
      <c r="AJ806" s="18">
        <f t="shared" si="924"/>
        <v>1.4</v>
      </c>
      <c r="AK806" t="str">
        <f t="shared" si="909"/>
        <v>Falling Rates</v>
      </c>
      <c r="AL806">
        <f t="shared" si="920"/>
        <v>22</v>
      </c>
      <c r="AM806" s="11" t="str">
        <f t="shared" si="910"/>
        <v>Stocks</v>
      </c>
      <c r="AN806" t="str">
        <f t="shared" si="916"/>
        <v>Buy</v>
      </c>
      <c r="AO806" s="13">
        <f t="shared" si="917"/>
        <v>-3.5999999999999997E-2</v>
      </c>
      <c r="AP806" s="13">
        <f t="shared" si="918"/>
        <v>2.0000000000000001E-4</v>
      </c>
      <c r="AQ806" s="13">
        <f t="shared" si="919"/>
        <v>-2.4799999999999999E-2</v>
      </c>
      <c r="AR806" s="13">
        <f t="shared" si="911"/>
        <v>-3.5999999999999997E-2</v>
      </c>
      <c r="AS806" s="6">
        <f t="shared" si="903"/>
        <v>223.15285771430646</v>
      </c>
      <c r="AT806" s="6">
        <f t="shared" si="904"/>
        <v>158.6441543559574</v>
      </c>
      <c r="AU806" s="6">
        <f t="shared" si="905"/>
        <v>263.91471957965871</v>
      </c>
      <c r="AV806" s="6">
        <f t="shared" si="906"/>
        <v>315.8776098415446</v>
      </c>
      <c r="AW806" s="58">
        <f t="shared" si="912"/>
        <v>2003</v>
      </c>
      <c r="AX806" s="58">
        <f>COUNTIF(AW$3:AW806,AW806)</f>
        <v>41</v>
      </c>
    </row>
    <row r="807" spans="1:50" x14ac:dyDescent="0.25">
      <c r="A807" s="5">
        <v>37696</v>
      </c>
      <c r="B807">
        <v>833.27</v>
      </c>
      <c r="C807">
        <v>1.0900000000000001</v>
      </c>
      <c r="D807" s="6">
        <v>30.98</v>
      </c>
      <c r="E807" s="18">
        <f t="shared" si="925"/>
        <v>30.56</v>
      </c>
      <c r="F807">
        <f t="shared" si="926"/>
        <v>-2</v>
      </c>
      <c r="G807" s="18">
        <f>ROUND(INDEX(Valuation!U:U,MATCH(A807,Valuation!A:A,0)),2)</f>
        <v>220.51</v>
      </c>
      <c r="H807">
        <f t="shared" si="933"/>
        <v>3</v>
      </c>
      <c r="I807" s="18">
        <f>INDEX(WeeklyIndicators!Y:Y,MATCH(A807,WeeklyIndicators!A:A,0))</f>
        <v>81.48</v>
      </c>
      <c r="J807">
        <f t="shared" si="922"/>
        <v>-2</v>
      </c>
      <c r="K807">
        <f>ROUND(INDEX(Economic!AF:AF,MATCH(EOMONTH($A807,-1),Economic!A:A,0)),2)</f>
        <v>77.48</v>
      </c>
      <c r="L807" s="11">
        <f t="shared" si="931"/>
        <v>-2</v>
      </c>
      <c r="M807">
        <f>ROUND(INDEX(Manufacturing!P:P,MATCH(EOMONTH($A807,-1),Manufacturing!A:A,0)),2)</f>
        <v>91.25</v>
      </c>
      <c r="N807">
        <f t="shared" si="927"/>
        <v>1</v>
      </c>
      <c r="O807">
        <f>ROUND(INDEX(Housing!AC:AC,MATCH(EOMONTH($A807,-1),Housing!B:B,0)),2)</f>
        <v>143.24</v>
      </c>
      <c r="P807">
        <f t="shared" si="928"/>
        <v>3</v>
      </c>
      <c r="Q807">
        <f>ROUND(INDEX(Spending!AJ:AJ,MATCH(EOMONTH($A807,-1),Spending!B:B,0)),2)</f>
        <v>55.32</v>
      </c>
      <c r="R807">
        <f t="shared" si="932"/>
        <v>1</v>
      </c>
      <c r="S807">
        <f>ROUND(INDEX(Employment!V:V,MATCH(EOMONTH($A807,-1),Employment!A:A,0)),2)</f>
        <v>114.77</v>
      </c>
      <c r="T807" s="11">
        <f t="shared" si="929"/>
        <v>-3</v>
      </c>
      <c r="U807">
        <f t="shared" si="921"/>
        <v>19</v>
      </c>
      <c r="V807">
        <f t="shared" si="913"/>
        <v>62</v>
      </c>
      <c r="W807" s="13">
        <f t="shared" si="914"/>
        <v>-1E-4</v>
      </c>
      <c r="X807" s="13">
        <f t="shared" si="915"/>
        <v>-1.1299999999999999E-2</v>
      </c>
      <c r="Y807">
        <f t="shared" si="907"/>
        <v>70.22</v>
      </c>
      <c r="Z807" s="13">
        <f t="shared" si="902"/>
        <v>6.0000000000000001E-3</v>
      </c>
      <c r="AA807" s="13">
        <f t="shared" si="898"/>
        <v>9.4999999999999998E-3</v>
      </c>
      <c r="AB807" s="6">
        <f t="shared" si="908"/>
        <v>87.361000000000004</v>
      </c>
      <c r="AC807">
        <f t="shared" si="900"/>
        <v>44</v>
      </c>
      <c r="AD807" s="11">
        <f t="shared" si="901"/>
        <v>1</v>
      </c>
      <c r="AE807">
        <f t="shared" si="899"/>
        <v>22</v>
      </c>
      <c r="AF807">
        <f>IF(AND(AE807&lt;15,OR(AC807&gt;=30,AA807&gt;0.15,X807&gt;=0.15)),2,VLOOKUP(AE807,Table!P:Q,2,FALSE))</f>
        <v>3</v>
      </c>
      <c r="AG807" s="22">
        <f>IF((AB807*0.98)-(D807*0.8)+((AF807-3)*3)+VLOOKUP(AM807,Table!$A$11:$B$13,2,FALSE)&lt;0,0,(AB807*0.98)-(D807*0.8)+((AF807-3)*3)+VLOOKUP(AM807,Table!$A$11:$B$13,2,FALSE))</f>
        <v>68.82978</v>
      </c>
      <c r="AH807" s="22">
        <f t="shared" si="930"/>
        <v>70</v>
      </c>
      <c r="AI807" s="18">
        <f t="shared" si="923"/>
        <v>1.1599999999999999</v>
      </c>
      <c r="AJ807" s="18">
        <f t="shared" si="924"/>
        <v>1.41</v>
      </c>
      <c r="AK807" t="str">
        <f t="shared" si="909"/>
        <v>Falling Rates</v>
      </c>
      <c r="AL807">
        <f t="shared" si="920"/>
        <v>21.5</v>
      </c>
      <c r="AM807" s="11" t="str">
        <f t="shared" si="910"/>
        <v>Stocks</v>
      </c>
      <c r="AN807" t="str">
        <f t="shared" si="916"/>
        <v>Buy</v>
      </c>
      <c r="AO807" s="13">
        <f t="shared" si="917"/>
        <v>7.4999999999999997E-2</v>
      </c>
      <c r="AP807" s="13">
        <f t="shared" si="918"/>
        <v>2.0000000000000001E-4</v>
      </c>
      <c r="AQ807" s="13">
        <f t="shared" si="919"/>
        <v>5.2600000000000001E-2</v>
      </c>
      <c r="AR807" s="13">
        <f t="shared" si="911"/>
        <v>7.4999999999999997E-2</v>
      </c>
      <c r="AS807" s="6">
        <f t="shared" si="903"/>
        <v>207.58405368772696</v>
      </c>
      <c r="AT807" s="6">
        <f t="shared" si="904"/>
        <v>158.61243186958347</v>
      </c>
      <c r="AU807" s="6">
        <f t="shared" si="905"/>
        <v>250.72650539583768</v>
      </c>
      <c r="AV807" s="6">
        <f t="shared" si="906"/>
        <v>293.83963706190195</v>
      </c>
      <c r="AW807" s="58">
        <f t="shared" si="912"/>
        <v>2003</v>
      </c>
      <c r="AX807" s="58">
        <f>COUNTIF(AW$3:AW807,AW807)</f>
        <v>42</v>
      </c>
    </row>
    <row r="808" spans="1:50" x14ac:dyDescent="0.25">
      <c r="A808" s="5">
        <v>37689</v>
      </c>
      <c r="B808">
        <v>828.89</v>
      </c>
      <c r="C808">
        <v>1.1499999999999999</v>
      </c>
      <c r="D808" s="6">
        <v>31.08</v>
      </c>
      <c r="E808" s="18">
        <f t="shared" si="925"/>
        <v>30.32</v>
      </c>
      <c r="F808">
        <f t="shared" si="926"/>
        <v>-2</v>
      </c>
      <c r="G808" s="18">
        <f>ROUND(INDEX(Valuation!U:U,MATCH(A808,Valuation!A:A,0)),2)</f>
        <v>216.68</v>
      </c>
      <c r="H808">
        <f t="shared" si="933"/>
        <v>3</v>
      </c>
      <c r="I808" s="18">
        <f>INDEX(WeeklyIndicators!Y:Y,MATCH(A808,WeeklyIndicators!A:A,0))</f>
        <v>83.29</v>
      </c>
      <c r="J808">
        <f t="shared" si="922"/>
        <v>-2</v>
      </c>
      <c r="K808">
        <f>ROUND(INDEX(Economic!AF:AF,MATCH(EOMONTH($A808,-1),Economic!A:A,0)),2)</f>
        <v>77.48</v>
      </c>
      <c r="L808" s="11">
        <f t="shared" si="931"/>
        <v>-2</v>
      </c>
      <c r="M808">
        <f>ROUND(INDEX(Manufacturing!P:P,MATCH(EOMONTH($A808,-1),Manufacturing!A:A,0)),2)</f>
        <v>91.25</v>
      </c>
      <c r="N808">
        <f t="shared" si="927"/>
        <v>1</v>
      </c>
      <c r="O808">
        <f>ROUND(INDEX(Housing!AC:AC,MATCH(EOMONTH($A808,-1),Housing!B:B,0)),2)</f>
        <v>143.24</v>
      </c>
      <c r="P808">
        <f t="shared" si="928"/>
        <v>3</v>
      </c>
      <c r="Q808">
        <f>ROUND(INDEX(Spending!AJ:AJ,MATCH(EOMONTH($A808,-1),Spending!B:B,0)),2)</f>
        <v>55.32</v>
      </c>
      <c r="R808">
        <f t="shared" si="932"/>
        <v>1</v>
      </c>
      <c r="S808">
        <f>ROUND(INDEX(Employment!V:V,MATCH(EOMONTH($A808,-1),Employment!A:A,0)),2)</f>
        <v>114.77</v>
      </c>
      <c r="T808" s="11">
        <f t="shared" si="929"/>
        <v>-3</v>
      </c>
      <c r="U808">
        <f t="shared" si="921"/>
        <v>19</v>
      </c>
      <c r="V808">
        <f t="shared" si="913"/>
        <v>62.19</v>
      </c>
      <c r="W808" s="13">
        <f t="shared" si="914"/>
        <v>-3.8999999999999998E-3</v>
      </c>
      <c r="X808" s="13">
        <f t="shared" si="915"/>
        <v>4.2000000000000006E-3</v>
      </c>
      <c r="Y808">
        <f t="shared" si="907"/>
        <v>70.069999999999993</v>
      </c>
      <c r="Z808" s="13">
        <f t="shared" si="902"/>
        <v>2.3E-3</v>
      </c>
      <c r="AA808" s="13">
        <f t="shared" si="898"/>
        <v>1.54E-2</v>
      </c>
      <c r="AB808" s="6">
        <f t="shared" si="908"/>
        <v>87.388000000000005</v>
      </c>
      <c r="AC808">
        <f t="shared" si="900"/>
        <v>44</v>
      </c>
      <c r="AD808" s="11">
        <f t="shared" si="901"/>
        <v>1</v>
      </c>
      <c r="AE808">
        <f t="shared" si="899"/>
        <v>22</v>
      </c>
      <c r="AF808">
        <f>IF(AND(AE808&lt;15,OR(AC808&gt;=30,AA808&gt;0.15,X808&gt;=0.15)),2,VLOOKUP(AE808,Table!P:Q,2,FALSE))</f>
        <v>3</v>
      </c>
      <c r="AG808" s="22">
        <f>IF((AB808*0.98)-(D808*0.8)+((AF808-3)*3)+VLOOKUP(AM808,Table!$A$11:$B$13,2,FALSE)&lt;0,0,(AB808*0.98)-(D808*0.8)+((AF808-3)*3)+VLOOKUP(AM808,Table!$A$11:$B$13,2,FALSE))</f>
        <v>68.776240000000001</v>
      </c>
      <c r="AH808" s="22">
        <f t="shared" si="930"/>
        <v>70</v>
      </c>
      <c r="AI808" s="18">
        <f t="shared" si="923"/>
        <v>1.17</v>
      </c>
      <c r="AJ808" s="18">
        <f t="shared" si="924"/>
        <v>1.43</v>
      </c>
      <c r="AK808" t="str">
        <f t="shared" si="909"/>
        <v>Falling Rates</v>
      </c>
      <c r="AL808">
        <f t="shared" si="920"/>
        <v>21.25</v>
      </c>
      <c r="AM808" s="11" t="str">
        <f t="shared" si="910"/>
        <v>Stocks</v>
      </c>
      <c r="AN808" t="str">
        <f t="shared" si="916"/>
        <v>Buy</v>
      </c>
      <c r="AO808" s="13">
        <f t="shared" si="917"/>
        <v>5.3E-3</v>
      </c>
      <c r="AP808" s="13">
        <f t="shared" si="918"/>
        <v>2.0000000000000001E-4</v>
      </c>
      <c r="AQ808" s="13">
        <f t="shared" si="919"/>
        <v>3.8E-3</v>
      </c>
      <c r="AR808" s="13">
        <f t="shared" si="911"/>
        <v>5.3E-3</v>
      </c>
      <c r="AS808" s="6">
        <f t="shared" si="903"/>
        <v>206.48965849768919</v>
      </c>
      <c r="AT808" s="6">
        <f t="shared" si="904"/>
        <v>158.5807157264382</v>
      </c>
      <c r="AU808" s="6">
        <f t="shared" si="905"/>
        <v>249.77735146028857</v>
      </c>
      <c r="AV808" s="6">
        <f t="shared" si="906"/>
        <v>292.2904974255465</v>
      </c>
      <c r="AW808" s="58">
        <f t="shared" si="912"/>
        <v>2003</v>
      </c>
      <c r="AX808" s="58">
        <f>COUNTIF(AW$3:AW808,AW808)</f>
        <v>43</v>
      </c>
    </row>
    <row r="809" spans="1:50" x14ac:dyDescent="0.25">
      <c r="A809" s="5">
        <v>37682</v>
      </c>
      <c r="B809">
        <v>841.15</v>
      </c>
      <c r="C809">
        <v>1.19</v>
      </c>
      <c r="D809" s="6">
        <v>29.629999000000002</v>
      </c>
      <c r="E809" s="18">
        <f t="shared" si="925"/>
        <v>30.83</v>
      </c>
      <c r="F809">
        <f t="shared" si="926"/>
        <v>-2</v>
      </c>
      <c r="G809" s="18">
        <f>ROUND(INDEX(Valuation!U:U,MATCH(A809,Valuation!A:A,0)),2)</f>
        <v>215.56</v>
      </c>
      <c r="H809">
        <f t="shared" si="933"/>
        <v>3</v>
      </c>
      <c r="I809" s="18">
        <f>INDEX(WeeklyIndicators!Y:Y,MATCH(A809,WeeklyIndicators!A:A,0))</f>
        <v>86.09</v>
      </c>
      <c r="J809">
        <f t="shared" si="922"/>
        <v>-2</v>
      </c>
      <c r="K809">
        <f>ROUND(INDEX(Economic!AF:AF,MATCH(EOMONTH($A809,-1),Economic!A:A,0)),2)</f>
        <v>77.48</v>
      </c>
      <c r="L809" s="11">
        <f t="shared" si="931"/>
        <v>-2</v>
      </c>
      <c r="M809">
        <f>ROUND(INDEX(Manufacturing!P:P,MATCH(EOMONTH($A809,-1),Manufacturing!A:A,0)),2)</f>
        <v>91.25</v>
      </c>
      <c r="N809">
        <f t="shared" si="927"/>
        <v>1</v>
      </c>
      <c r="O809">
        <f>ROUND(INDEX(Housing!AC:AC,MATCH(EOMONTH($A809,-1),Housing!B:B,0)),2)</f>
        <v>143.24</v>
      </c>
      <c r="P809">
        <f t="shared" si="928"/>
        <v>3</v>
      </c>
      <c r="Q809">
        <f>ROUND(INDEX(Spending!AJ:AJ,MATCH(EOMONTH($A809,-1),Spending!B:B,0)),2)</f>
        <v>55.32</v>
      </c>
      <c r="R809">
        <f t="shared" si="932"/>
        <v>1</v>
      </c>
      <c r="S809">
        <f>ROUND(INDEX(Employment!V:V,MATCH(EOMONTH($A809,-1),Employment!A:A,0)),2)</f>
        <v>114.77</v>
      </c>
      <c r="T809" s="11">
        <f t="shared" si="929"/>
        <v>-3</v>
      </c>
      <c r="U809">
        <f t="shared" si="921"/>
        <v>19</v>
      </c>
      <c r="V809">
        <f t="shared" si="913"/>
        <v>62.48</v>
      </c>
      <c r="W809" s="13">
        <f t="shared" si="914"/>
        <v>-4.7000000000000002E-3</v>
      </c>
      <c r="X809" s="13">
        <f t="shared" si="915"/>
        <v>3.4799999999999998E-2</v>
      </c>
      <c r="Y809">
        <f t="shared" si="907"/>
        <v>70.06</v>
      </c>
      <c r="Z809" s="13">
        <f t="shared" si="902"/>
        <v>2.0999999999999999E-3</v>
      </c>
      <c r="AA809" s="13">
        <f t="shared" si="898"/>
        <v>2.8400000000000002E-2</v>
      </c>
      <c r="AB809" s="6">
        <f t="shared" si="908"/>
        <v>88.445999999999998</v>
      </c>
      <c r="AC809">
        <f t="shared" si="900"/>
        <v>44</v>
      </c>
      <c r="AD809" s="11">
        <f t="shared" si="901"/>
        <v>1</v>
      </c>
      <c r="AE809">
        <f t="shared" si="899"/>
        <v>22</v>
      </c>
      <c r="AF809">
        <f>IF(AND(AE809&lt;15,OR(AC809&gt;=30,AA809&gt;0.15,X809&gt;=0.15)),2,VLOOKUP(AE809,Table!P:Q,2,FALSE))</f>
        <v>3</v>
      </c>
      <c r="AG809" s="22">
        <f>IF((AB809*0.98)-(D809*0.8)+((AF809-3)*3)+VLOOKUP(AM809,Table!$A$11:$B$13,2,FALSE)&lt;0,0,(AB809*0.98)-(D809*0.8)+((AF809-3)*3)+VLOOKUP(AM809,Table!$A$11:$B$13,2,FALSE))</f>
        <v>70.973080799999991</v>
      </c>
      <c r="AH809" s="22">
        <f t="shared" si="930"/>
        <v>70</v>
      </c>
      <c r="AI809" s="18">
        <f t="shared" si="923"/>
        <v>1.18</v>
      </c>
      <c r="AJ809" s="18">
        <f t="shared" si="924"/>
        <v>1.44</v>
      </c>
      <c r="AK809" t="str">
        <f t="shared" si="909"/>
        <v/>
      </c>
      <c r="AL809">
        <f t="shared" si="920"/>
        <v>21</v>
      </c>
      <c r="AM809" s="11" t="str">
        <f t="shared" si="910"/>
        <v>Stocks</v>
      </c>
      <c r="AN809" t="str">
        <f t="shared" si="916"/>
        <v>Buy</v>
      </c>
      <c r="AO809" s="13">
        <f t="shared" si="917"/>
        <v>-1.46E-2</v>
      </c>
      <c r="AP809" s="13">
        <f t="shared" si="918"/>
        <v>2.0000000000000001E-4</v>
      </c>
      <c r="AQ809" s="13">
        <f t="shared" si="919"/>
        <v>-1.0200000000000001E-2</v>
      </c>
      <c r="AR809" s="13">
        <f t="shared" si="911"/>
        <v>-1.46E-2</v>
      </c>
      <c r="AS809" s="6">
        <f t="shared" si="903"/>
        <v>209.54907499258087</v>
      </c>
      <c r="AT809" s="6">
        <f t="shared" si="904"/>
        <v>158.54900592525314</v>
      </c>
      <c r="AU809" s="6">
        <f t="shared" si="905"/>
        <v>252.35133507808504</v>
      </c>
      <c r="AV809" s="6">
        <f t="shared" si="906"/>
        <v>296.62116645580119</v>
      </c>
      <c r="AW809" s="58">
        <f t="shared" si="912"/>
        <v>2003</v>
      </c>
      <c r="AX809" s="58">
        <f>COUNTIF(AW$3:AW809,AW809)</f>
        <v>44</v>
      </c>
    </row>
    <row r="810" spans="1:50" x14ac:dyDescent="0.25">
      <c r="A810" s="5">
        <v>37675</v>
      </c>
      <c r="B810">
        <v>848.17</v>
      </c>
      <c r="C810">
        <v>1.17</v>
      </c>
      <c r="D810" s="6">
        <v>30.25</v>
      </c>
      <c r="E810" s="18">
        <f t="shared" si="925"/>
        <v>32.29</v>
      </c>
      <c r="F810">
        <f t="shared" si="926"/>
        <v>-2</v>
      </c>
      <c r="G810" s="18">
        <f>ROUND(INDEX(Valuation!U:U,MATCH(A810,Valuation!A:A,0)),2)</f>
        <v>214.51</v>
      </c>
      <c r="H810">
        <f t="shared" si="933"/>
        <v>3</v>
      </c>
      <c r="I810" s="18">
        <f>INDEX(WeeklyIndicators!Y:Y,MATCH(A810,WeeklyIndicators!A:A,0))</f>
        <v>92.43</v>
      </c>
      <c r="J810">
        <f t="shared" si="922"/>
        <v>-2</v>
      </c>
      <c r="K810">
        <f>ROUND(INDEX(Economic!AF:AF,MATCH(EOMONTH($A810,-1),Economic!A:A,0)),2)</f>
        <v>74.06</v>
      </c>
      <c r="L810" s="11">
        <f t="shared" si="931"/>
        <v>-2</v>
      </c>
      <c r="M810">
        <f>ROUND(INDEX(Manufacturing!P:P,MATCH(EOMONTH($A810,-1),Manufacturing!A:A,0)),2)</f>
        <v>87.97</v>
      </c>
      <c r="N810">
        <f t="shared" si="927"/>
        <v>0</v>
      </c>
      <c r="O810">
        <f>ROUND(INDEX(Housing!AC:AC,MATCH(EOMONTH($A810,-1),Housing!B:B,0)),2)</f>
        <v>136.08000000000001</v>
      </c>
      <c r="P810">
        <f t="shared" si="928"/>
        <v>2</v>
      </c>
      <c r="Q810">
        <f>ROUND(INDEX(Spending!AJ:AJ,MATCH(EOMONTH($A810,-1),Spending!B:B,0)),2)</f>
        <v>53.66</v>
      </c>
      <c r="R810">
        <f t="shared" si="932"/>
        <v>1</v>
      </c>
      <c r="S810">
        <f>ROUND(INDEX(Employment!V:V,MATCH(EOMONTH($A810,-1),Employment!A:A,0)),2)</f>
        <v>119.95</v>
      </c>
      <c r="T810" s="11">
        <f t="shared" si="929"/>
        <v>-3</v>
      </c>
      <c r="U810">
        <f t="shared" si="921"/>
        <v>17</v>
      </c>
      <c r="V810">
        <f t="shared" si="913"/>
        <v>62.01</v>
      </c>
      <c r="W810" s="13">
        <f t="shared" si="914"/>
        <v>-2.5999999999999999E-3</v>
      </c>
      <c r="X810" s="13">
        <f t="shared" si="915"/>
        <v>6.25E-2</v>
      </c>
      <c r="Y810">
        <f t="shared" si="907"/>
        <v>68.959999999999994</v>
      </c>
      <c r="Z810" s="13">
        <f t="shared" si="902"/>
        <v>-8.9999999999999998E-4</v>
      </c>
      <c r="AA810" s="13">
        <f t="shared" si="898"/>
        <v>4.02E-2</v>
      </c>
      <c r="AB810" s="6">
        <f t="shared" si="908"/>
        <v>88.300999999999988</v>
      </c>
      <c r="AC810">
        <f t="shared" si="900"/>
        <v>44</v>
      </c>
      <c r="AD810" s="11">
        <f t="shared" si="901"/>
        <v>1</v>
      </c>
      <c r="AE810">
        <f t="shared" si="899"/>
        <v>20</v>
      </c>
      <c r="AF810">
        <f>IF(AND(AE810&lt;15,OR(AC810&gt;=30,AA810&gt;0.15,X810&gt;=0.15)),2,VLOOKUP(AE810,Table!P:Q,2,FALSE))</f>
        <v>3</v>
      </c>
      <c r="AG810" s="22">
        <f>IF((AB810*0.98)-(D810*0.8)+((AF810-3)*3)+VLOOKUP(AM810,Table!$A$11:$B$13,2,FALSE)&lt;0,0,(AB810*0.98)-(D810*0.8)+((AF810-3)*3)+VLOOKUP(AM810,Table!$A$11:$B$13,2,FALSE))</f>
        <v>70.334979999999987</v>
      </c>
      <c r="AH810" s="22">
        <f t="shared" si="930"/>
        <v>68</v>
      </c>
      <c r="AI810" s="18">
        <f t="shared" si="923"/>
        <v>1.18</v>
      </c>
      <c r="AJ810" s="18">
        <f t="shared" si="924"/>
        <v>1.46</v>
      </c>
      <c r="AK810" t="str">
        <f t="shared" si="909"/>
        <v>Falling Rates</v>
      </c>
      <c r="AL810">
        <f t="shared" si="920"/>
        <v>20.5</v>
      </c>
      <c r="AM810" s="11" t="str">
        <f t="shared" si="910"/>
        <v>Stocks</v>
      </c>
      <c r="AN810" t="str">
        <f t="shared" si="916"/>
        <v>Buy</v>
      </c>
      <c r="AO810" s="13">
        <f t="shared" si="917"/>
        <v>-8.3000000000000001E-3</v>
      </c>
      <c r="AP810" s="13">
        <f t="shared" si="918"/>
        <v>2.0000000000000001E-4</v>
      </c>
      <c r="AQ810" s="13">
        <f t="shared" si="919"/>
        <v>-5.5999999999999999E-3</v>
      </c>
      <c r="AR810" s="13">
        <f t="shared" si="911"/>
        <v>-8.3000000000000001E-3</v>
      </c>
      <c r="AS810" s="6">
        <f t="shared" si="903"/>
        <v>211.30288897104049</v>
      </c>
      <c r="AT810" s="6">
        <f t="shared" si="904"/>
        <v>158.51730246476021</v>
      </c>
      <c r="AU810" s="6">
        <f t="shared" si="905"/>
        <v>253.77246085889487</v>
      </c>
      <c r="AV810" s="6">
        <f t="shared" si="906"/>
        <v>299.10372739316443</v>
      </c>
      <c r="AW810" s="58">
        <f t="shared" si="912"/>
        <v>2003</v>
      </c>
      <c r="AX810" s="58">
        <f>COUNTIF(AW$3:AW810,AW810)</f>
        <v>45</v>
      </c>
    </row>
    <row r="811" spans="1:50" x14ac:dyDescent="0.25">
      <c r="A811" s="5">
        <v>37668</v>
      </c>
      <c r="B811">
        <v>834.89</v>
      </c>
      <c r="C811">
        <v>1.1599999999999999</v>
      </c>
      <c r="D811" s="6">
        <v>32.619999</v>
      </c>
      <c r="E811" s="18">
        <f t="shared" si="925"/>
        <v>32.6</v>
      </c>
      <c r="F811">
        <f t="shared" si="926"/>
        <v>-2</v>
      </c>
      <c r="G811" s="18">
        <f>ROUND(INDEX(Valuation!U:U,MATCH(A811,Valuation!A:A,0)),2)</f>
        <v>213.12</v>
      </c>
      <c r="H811">
        <f t="shared" si="933"/>
        <v>3</v>
      </c>
      <c r="I811" s="18">
        <f>INDEX(WeeklyIndicators!Y:Y,MATCH(A811,WeeklyIndicators!A:A,0))</f>
        <v>101.15</v>
      </c>
      <c r="J811">
        <f t="shared" si="922"/>
        <v>-1</v>
      </c>
      <c r="K811">
        <f>ROUND(INDEX(Economic!AF:AF,MATCH(EOMONTH($A811,-1),Economic!A:A,0)),2)</f>
        <v>74.06</v>
      </c>
      <c r="L811" s="11">
        <f t="shared" si="931"/>
        <v>-2</v>
      </c>
      <c r="M811">
        <f>ROUND(INDEX(Manufacturing!P:P,MATCH(EOMONTH($A811,-1),Manufacturing!A:A,0)),2)</f>
        <v>87.97</v>
      </c>
      <c r="N811">
        <f t="shared" si="927"/>
        <v>0</v>
      </c>
      <c r="O811">
        <f>ROUND(INDEX(Housing!AC:AC,MATCH(EOMONTH($A811,-1),Housing!B:B,0)),2)</f>
        <v>136.08000000000001</v>
      </c>
      <c r="P811">
        <f t="shared" si="928"/>
        <v>2</v>
      </c>
      <c r="Q811">
        <f>ROUND(INDEX(Spending!AJ:AJ,MATCH(EOMONTH($A811,-1),Spending!B:B,0)),2)</f>
        <v>53.66</v>
      </c>
      <c r="R811">
        <f t="shared" si="932"/>
        <v>1</v>
      </c>
      <c r="S811">
        <f>ROUND(INDEX(Employment!V:V,MATCH(EOMONTH($A811,-1),Employment!A:A,0)),2)</f>
        <v>119.95</v>
      </c>
      <c r="T811" s="11">
        <f t="shared" si="929"/>
        <v>-3</v>
      </c>
      <c r="U811">
        <f t="shared" si="921"/>
        <v>18</v>
      </c>
      <c r="V811">
        <f t="shared" si="913"/>
        <v>62.92</v>
      </c>
      <c r="W811" s="13">
        <f t="shared" si="914"/>
        <v>1.54E-2</v>
      </c>
      <c r="X811" s="13">
        <f t="shared" si="915"/>
        <v>6.7099999999999993E-2</v>
      </c>
      <c r="Y811">
        <f t="shared" si="907"/>
        <v>69.599999999999994</v>
      </c>
      <c r="Z811" s="13">
        <f t="shared" si="902"/>
        <v>1.1900000000000001E-2</v>
      </c>
      <c r="AA811" s="13">
        <f t="shared" si="898"/>
        <v>3.8800000000000001E-2</v>
      </c>
      <c r="AB811" s="6">
        <f t="shared" si="908"/>
        <v>88.781999999999996</v>
      </c>
      <c r="AC811">
        <f t="shared" si="900"/>
        <v>44</v>
      </c>
      <c r="AD811" s="11">
        <f t="shared" si="901"/>
        <v>1</v>
      </c>
      <c r="AE811">
        <f t="shared" si="899"/>
        <v>21</v>
      </c>
      <c r="AF811">
        <f>IF(AND(AE811&lt;15,OR(AC811&gt;=30,AA811&gt;0.15,X811&gt;=0.15)),2,VLOOKUP(AE811,Table!P:Q,2,FALSE))</f>
        <v>3</v>
      </c>
      <c r="AG811" s="22">
        <f>IF((AB811*0.98)-(D811*0.8)+((AF811-3)*3)+VLOOKUP(AM811,Table!$A$11:$B$13,2,FALSE)&lt;0,0,(AB811*0.98)-(D811*0.8)+((AF811-3)*3)+VLOOKUP(AM811,Table!$A$11:$B$13,2,FALSE))</f>
        <v>68.910360800000007</v>
      </c>
      <c r="AH811" s="22">
        <f t="shared" si="930"/>
        <v>66</v>
      </c>
      <c r="AI811" s="18">
        <f t="shared" si="923"/>
        <v>1.18</v>
      </c>
      <c r="AJ811" s="18">
        <f t="shared" si="924"/>
        <v>1.47</v>
      </c>
      <c r="AK811" t="str">
        <f t="shared" si="909"/>
        <v>Falling Rates</v>
      </c>
      <c r="AL811">
        <f t="shared" si="920"/>
        <v>20.25</v>
      </c>
      <c r="AM811" s="11" t="str">
        <f t="shared" si="910"/>
        <v>Stocks</v>
      </c>
      <c r="AN811" t="str">
        <f t="shared" si="916"/>
        <v>Buy</v>
      </c>
      <c r="AO811" s="13">
        <f t="shared" si="917"/>
        <v>1.5900000000000001E-2</v>
      </c>
      <c r="AP811" s="13">
        <f t="shared" si="918"/>
        <v>2.0000000000000001E-4</v>
      </c>
      <c r="AQ811" s="13">
        <f t="shared" si="919"/>
        <v>1.06E-2</v>
      </c>
      <c r="AR811" s="13">
        <f t="shared" si="911"/>
        <v>1.5900000000000001E-2</v>
      </c>
      <c r="AS811" s="6">
        <f t="shared" si="903"/>
        <v>207.99575644358745</v>
      </c>
      <c r="AT811" s="6">
        <f t="shared" si="904"/>
        <v>158.48560534369147</v>
      </c>
      <c r="AU811" s="6">
        <f t="shared" si="905"/>
        <v>251.11068757064604</v>
      </c>
      <c r="AV811" s="6">
        <f t="shared" si="906"/>
        <v>294.42241105735252</v>
      </c>
      <c r="AW811" s="58">
        <f t="shared" si="912"/>
        <v>2003</v>
      </c>
      <c r="AX811" s="58">
        <f>COUNTIF(AW$3:AW811,AW811)</f>
        <v>46</v>
      </c>
    </row>
    <row r="812" spans="1:50" x14ac:dyDescent="0.25">
      <c r="A812" s="5">
        <v>37661</v>
      </c>
      <c r="B812">
        <v>829.69</v>
      </c>
      <c r="C812">
        <v>1.1499999999999999</v>
      </c>
      <c r="D812" s="6">
        <v>34.009998000000003</v>
      </c>
      <c r="E812" s="18">
        <f t="shared" si="925"/>
        <v>32.229999999999997</v>
      </c>
      <c r="F812">
        <f t="shared" si="926"/>
        <v>-2</v>
      </c>
      <c r="G812" s="18">
        <f>ROUND(INDEX(Valuation!U:U,MATCH(A812,Valuation!A:A,0)),2)</f>
        <v>208.12</v>
      </c>
      <c r="H812">
        <f t="shared" si="933"/>
        <v>3</v>
      </c>
      <c r="I812" s="18">
        <f>INDEX(WeeklyIndicators!Y:Y,MATCH(A812,WeeklyIndicators!A:A,0))</f>
        <v>105.5</v>
      </c>
      <c r="J812">
        <f t="shared" si="922"/>
        <v>-1</v>
      </c>
      <c r="K812">
        <f>ROUND(INDEX(Economic!AF:AF,MATCH(EOMONTH($A812,-1),Economic!A:A,0)),2)</f>
        <v>74.06</v>
      </c>
      <c r="L812" s="11">
        <f t="shared" si="931"/>
        <v>-2</v>
      </c>
      <c r="M812">
        <f>ROUND(INDEX(Manufacturing!P:P,MATCH(EOMONTH($A812,-1),Manufacturing!A:A,0)),2)</f>
        <v>87.97</v>
      </c>
      <c r="N812">
        <f t="shared" si="927"/>
        <v>0</v>
      </c>
      <c r="O812">
        <f>ROUND(INDEX(Housing!AC:AC,MATCH(EOMONTH($A812,-1),Housing!B:B,0)),2)</f>
        <v>136.08000000000001</v>
      </c>
      <c r="P812">
        <f t="shared" si="928"/>
        <v>2</v>
      </c>
      <c r="Q812">
        <f>ROUND(INDEX(Spending!AJ:AJ,MATCH(EOMONTH($A812,-1),Spending!B:B,0)),2)</f>
        <v>53.66</v>
      </c>
      <c r="R812">
        <f t="shared" si="932"/>
        <v>1</v>
      </c>
      <c r="S812">
        <f>ROUND(INDEX(Employment!V:V,MATCH(EOMONTH($A812,-1),Employment!A:A,0)),2)</f>
        <v>119.95</v>
      </c>
      <c r="T812" s="11">
        <f t="shared" si="929"/>
        <v>-3</v>
      </c>
      <c r="U812">
        <f t="shared" si="921"/>
        <v>18</v>
      </c>
      <c r="V812">
        <f t="shared" si="913"/>
        <v>63.37</v>
      </c>
      <c r="W812" s="13">
        <f t="shared" si="914"/>
        <v>2.6700000000000002E-2</v>
      </c>
      <c r="X812" s="13">
        <f t="shared" si="915"/>
        <v>3.7400000000000003E-2</v>
      </c>
      <c r="Y812">
        <f t="shared" si="907"/>
        <v>69.63</v>
      </c>
      <c r="Z812" s="13">
        <f t="shared" si="902"/>
        <v>1.5299999999999999E-2</v>
      </c>
      <c r="AA812" s="13">
        <f t="shared" si="898"/>
        <v>1.5499999999999996E-2</v>
      </c>
      <c r="AB812" s="6">
        <f t="shared" si="908"/>
        <v>86.462000000000003</v>
      </c>
      <c r="AC812">
        <f t="shared" si="900"/>
        <v>43</v>
      </c>
      <c r="AD812" s="11">
        <f t="shared" si="901"/>
        <v>1</v>
      </c>
      <c r="AE812">
        <f t="shared" si="899"/>
        <v>21</v>
      </c>
      <c r="AF812">
        <f>IF(AND(AE812&lt;15,OR(AC812&gt;=30,AA812&gt;0.15,X812&gt;=0.15)),2,VLOOKUP(AE812,Table!P:Q,2,FALSE))</f>
        <v>3</v>
      </c>
      <c r="AG812" s="22">
        <f>IF((AB812*0.98)-(D812*0.8)+((AF812-3)*3)+VLOOKUP(AM812,Table!$A$11:$B$13,2,FALSE)&lt;0,0,(AB812*0.98)-(D812*0.8)+((AF812-3)*3)+VLOOKUP(AM812,Table!$A$11:$B$13,2,FALSE))</f>
        <v>65.524761599999991</v>
      </c>
      <c r="AH812" s="22">
        <f t="shared" si="930"/>
        <v>62</v>
      </c>
      <c r="AI812" s="18">
        <f t="shared" si="923"/>
        <v>1.18</v>
      </c>
      <c r="AJ812" s="18">
        <f t="shared" si="924"/>
        <v>1.48</v>
      </c>
      <c r="AK812" t="str">
        <f t="shared" si="909"/>
        <v>Falling Rates</v>
      </c>
      <c r="AL812">
        <f t="shared" si="920"/>
        <v>20.25</v>
      </c>
      <c r="AM812" s="11" t="str">
        <f t="shared" si="910"/>
        <v>Stocks</v>
      </c>
      <c r="AN812" t="str">
        <f t="shared" si="916"/>
        <v>Buy</v>
      </c>
      <c r="AO812" s="13">
        <f t="shared" si="917"/>
        <v>6.3E-3</v>
      </c>
      <c r="AP812" s="13">
        <f t="shared" si="918"/>
        <v>2.0000000000000001E-4</v>
      </c>
      <c r="AQ812" s="13">
        <f t="shared" si="919"/>
        <v>4.0000000000000001E-3</v>
      </c>
      <c r="AR812" s="13">
        <f t="shared" si="911"/>
        <v>6.3E-3</v>
      </c>
      <c r="AS812" s="6">
        <f t="shared" si="903"/>
        <v>206.69358684645479</v>
      </c>
      <c r="AT812" s="6">
        <f t="shared" si="904"/>
        <v>158.45391456077931</v>
      </c>
      <c r="AU812" s="6">
        <f t="shared" si="905"/>
        <v>250.11024658430881</v>
      </c>
      <c r="AV812" s="6">
        <f t="shared" si="906"/>
        <v>292.57916233464425</v>
      </c>
      <c r="AW812" s="58">
        <f t="shared" si="912"/>
        <v>2003</v>
      </c>
      <c r="AX812" s="58">
        <f>COUNTIF(AW$3:AW812,AW812)</f>
        <v>47</v>
      </c>
    </row>
    <row r="813" spans="1:50" x14ac:dyDescent="0.25">
      <c r="A813" s="5">
        <v>37654</v>
      </c>
      <c r="B813">
        <v>855.7</v>
      </c>
      <c r="C813">
        <v>1.1599999999999999</v>
      </c>
      <c r="D813" s="6">
        <v>31.17</v>
      </c>
      <c r="E813" s="18">
        <f t="shared" si="925"/>
        <v>29.46</v>
      </c>
      <c r="F813">
        <f t="shared" si="926"/>
        <v>-2</v>
      </c>
      <c r="G813" s="18">
        <f>ROUND(INDEX(Valuation!U:U,MATCH(A813,Valuation!A:A,0)),2)</f>
        <v>202.86</v>
      </c>
      <c r="H813">
        <f t="shared" si="933"/>
        <v>3</v>
      </c>
      <c r="I813" s="18">
        <f>INDEX(WeeklyIndicators!Y:Y,MATCH(A813,WeeklyIndicators!A:A,0))</f>
        <v>97.19</v>
      </c>
      <c r="J813">
        <f t="shared" si="922"/>
        <v>-1</v>
      </c>
      <c r="K813">
        <f>ROUND(INDEX(Economic!AF:AF,MATCH(EOMONTH($A813,-1),Economic!A:A,0)),2)</f>
        <v>74.06</v>
      </c>
      <c r="L813" s="11">
        <f t="shared" si="931"/>
        <v>-2</v>
      </c>
      <c r="M813">
        <f>ROUND(INDEX(Manufacturing!P:P,MATCH(EOMONTH($A813,-1),Manufacturing!A:A,0)),2)</f>
        <v>87.97</v>
      </c>
      <c r="N813">
        <f t="shared" si="927"/>
        <v>0</v>
      </c>
      <c r="O813">
        <f>ROUND(INDEX(Housing!AC:AC,MATCH(EOMONTH($A813,-1),Housing!B:B,0)),2)</f>
        <v>136.08000000000001</v>
      </c>
      <c r="P813">
        <f t="shared" si="928"/>
        <v>2</v>
      </c>
      <c r="Q813">
        <f>ROUND(INDEX(Spending!AJ:AJ,MATCH(EOMONTH($A813,-1),Spending!B:B,0)),2)</f>
        <v>53.66</v>
      </c>
      <c r="R813">
        <f t="shared" si="932"/>
        <v>1</v>
      </c>
      <c r="S813">
        <f>ROUND(INDEX(Employment!V:V,MATCH(EOMONTH($A813,-1),Employment!A:A,0)),2)</f>
        <v>119.95</v>
      </c>
      <c r="T813" s="11">
        <f t="shared" si="929"/>
        <v>-3</v>
      </c>
      <c r="U813">
        <f t="shared" si="921"/>
        <v>18</v>
      </c>
      <c r="V813">
        <f t="shared" si="913"/>
        <v>62.51</v>
      </c>
      <c r="W813" s="13">
        <f t="shared" si="914"/>
        <v>2.3E-2</v>
      </c>
      <c r="X813" s="13">
        <f t="shared" si="915"/>
        <v>-7.8999999999999973E-3</v>
      </c>
      <c r="Y813">
        <f t="shared" si="907"/>
        <v>69.14</v>
      </c>
      <c r="Z813" s="13">
        <f t="shared" si="902"/>
        <v>1.3899999999999999E-2</v>
      </c>
      <c r="AA813" s="13">
        <f t="shared" si="898"/>
        <v>-1.5800000000000002E-2</v>
      </c>
      <c r="AB813" s="6">
        <f t="shared" si="908"/>
        <v>82.876000000000005</v>
      </c>
      <c r="AC813">
        <f t="shared" si="900"/>
        <v>41</v>
      </c>
      <c r="AD813" s="11">
        <f t="shared" si="901"/>
        <v>0</v>
      </c>
      <c r="AE813">
        <f t="shared" si="899"/>
        <v>20</v>
      </c>
      <c r="AF813">
        <f>IF(AND(AE813&lt;15,OR(AC813&gt;=30,AA813&gt;0.15,X813&gt;=0.15)),2,VLOOKUP(AE813,Table!P:Q,2,FALSE))</f>
        <v>3</v>
      </c>
      <c r="AG813" s="22">
        <f>IF((AB813*0.98)-(D813*0.8)+((AF813-3)*3)+VLOOKUP(AM813,Table!$A$11:$B$13,2,FALSE)&lt;0,0,(AB813*0.98)-(D813*0.8)+((AF813-3)*3)+VLOOKUP(AM813,Table!$A$11:$B$13,2,FALSE))</f>
        <v>64.282479999999993</v>
      </c>
      <c r="AH813" s="22">
        <f t="shared" si="930"/>
        <v>62</v>
      </c>
      <c r="AI813" s="18">
        <f t="shared" si="923"/>
        <v>1.19</v>
      </c>
      <c r="AJ813" s="18">
        <f t="shared" si="924"/>
        <v>1.5</v>
      </c>
      <c r="AK813" t="str">
        <f t="shared" si="909"/>
        <v>Falling Rates</v>
      </c>
      <c r="AL813">
        <f t="shared" si="920"/>
        <v>20</v>
      </c>
      <c r="AM813" s="11" t="str">
        <f t="shared" si="910"/>
        <v>Stocks</v>
      </c>
      <c r="AN813" t="str">
        <f t="shared" si="916"/>
        <v>Buy</v>
      </c>
      <c r="AO813" s="13">
        <f t="shared" si="917"/>
        <v>-3.04E-2</v>
      </c>
      <c r="AP813" s="13">
        <f t="shared" si="918"/>
        <v>2.0000000000000001E-4</v>
      </c>
      <c r="AQ813" s="13">
        <f t="shared" si="919"/>
        <v>-1.8800000000000001E-2</v>
      </c>
      <c r="AR813" s="13">
        <f t="shared" si="911"/>
        <v>-3.04E-2</v>
      </c>
      <c r="AS813" s="6">
        <f t="shared" si="903"/>
        <v>213.17407884329083</v>
      </c>
      <c r="AT813" s="6">
        <f t="shared" si="904"/>
        <v>158.42223011475636</v>
      </c>
      <c r="AU813" s="6">
        <f t="shared" si="905"/>
        <v>254.90241192856587</v>
      </c>
      <c r="AV813" s="6">
        <f t="shared" si="906"/>
        <v>301.75243640124199</v>
      </c>
      <c r="AW813" s="58">
        <f t="shared" si="912"/>
        <v>2003</v>
      </c>
      <c r="AX813" s="58">
        <f>COUNTIF(AW$3:AW813,AW813)</f>
        <v>48</v>
      </c>
    </row>
    <row r="814" spans="1:50" x14ac:dyDescent="0.25">
      <c r="A814" s="5">
        <v>37647</v>
      </c>
      <c r="B814">
        <v>861.4</v>
      </c>
      <c r="C814">
        <v>1.1499999999999999</v>
      </c>
      <c r="D814" s="6">
        <v>31.51</v>
      </c>
      <c r="E814" s="18">
        <f t="shared" si="925"/>
        <v>27.18</v>
      </c>
      <c r="F814">
        <f t="shared" si="926"/>
        <v>-2</v>
      </c>
      <c r="G814" s="18">
        <f>ROUND(INDEX(Valuation!U:U,MATCH(A814,Valuation!A:A,0)),2)</f>
        <v>199.75</v>
      </c>
      <c r="H814">
        <f t="shared" si="933"/>
        <v>2</v>
      </c>
      <c r="I814" s="18">
        <f>INDEX(WeeklyIndicators!Y:Y,MATCH(A814,WeeklyIndicators!A:A,0))</f>
        <v>79.33</v>
      </c>
      <c r="J814">
        <f t="shared" si="922"/>
        <v>-2</v>
      </c>
      <c r="K814">
        <f>ROUND(INDEX(Economic!AF:AF,MATCH(EOMONTH($A814,-1),Economic!A:A,0)),2)</f>
        <v>72.03</v>
      </c>
      <c r="L814" s="11">
        <f t="shared" si="931"/>
        <v>-2</v>
      </c>
      <c r="M814">
        <f>ROUND(INDEX(Manufacturing!P:P,MATCH(EOMONTH($A814,-1),Manufacturing!A:A,0)),2)</f>
        <v>85.75</v>
      </c>
      <c r="N814">
        <f t="shared" si="927"/>
        <v>0</v>
      </c>
      <c r="O814">
        <f>ROUND(INDEX(Housing!AC:AC,MATCH(EOMONTH($A814,-1),Housing!B:B,0)),2)</f>
        <v>130.62</v>
      </c>
      <c r="P814">
        <f t="shared" si="928"/>
        <v>2</v>
      </c>
      <c r="Q814">
        <f>ROUND(INDEX(Spending!AJ:AJ,MATCH(EOMONTH($A814,-1),Spending!B:B,0)),2)</f>
        <v>54.12</v>
      </c>
      <c r="R814">
        <f t="shared" si="932"/>
        <v>1</v>
      </c>
      <c r="S814">
        <f>ROUND(INDEX(Employment!V:V,MATCH(EOMONTH($A814,-1),Employment!A:A,0)),2)</f>
        <v>123.8</v>
      </c>
      <c r="T814" s="11">
        <f t="shared" si="929"/>
        <v>-2</v>
      </c>
      <c r="U814">
        <f t="shared" si="921"/>
        <v>17</v>
      </c>
      <c r="V814">
        <f t="shared" si="913"/>
        <v>60.05</v>
      </c>
      <c r="W814" s="13">
        <f t="shared" si="914"/>
        <v>2E-3</v>
      </c>
      <c r="X814" s="13">
        <f t="shared" si="915"/>
        <v>-4.1999999999999996E-2</v>
      </c>
      <c r="Y814">
        <f t="shared" si="907"/>
        <v>67.14</v>
      </c>
      <c r="Z814" s="13">
        <f t="shared" si="902"/>
        <v>-2.3E-3</v>
      </c>
      <c r="AA814" s="13">
        <f t="shared" si="898"/>
        <v>-3.8400000000000004E-2</v>
      </c>
      <c r="AB814" s="6">
        <f t="shared" si="908"/>
        <v>78.625</v>
      </c>
      <c r="AC814">
        <f t="shared" si="900"/>
        <v>39</v>
      </c>
      <c r="AD814" s="11">
        <f t="shared" si="901"/>
        <v>0</v>
      </c>
      <c r="AE814">
        <f t="shared" si="899"/>
        <v>19</v>
      </c>
      <c r="AF814">
        <f>IF(AND(AE814&lt;15,OR(AC814&gt;=30,AA814&gt;0.15,X814&gt;=0.15)),2,VLOOKUP(AE814,Table!P:Q,2,FALSE))</f>
        <v>2</v>
      </c>
      <c r="AG814" s="22">
        <f>IF((AB814*0.98)-(D814*0.8)+((AF814-3)*3)+VLOOKUP(AM814,Table!$A$11:$B$13,2,FALSE)&lt;0,0,(AB814*0.98)-(D814*0.8)+((AF814-3)*3)+VLOOKUP(AM814,Table!$A$11:$B$13,2,FALSE))</f>
        <v>56.844499999999996</v>
      </c>
      <c r="AH814" s="22">
        <f t="shared" si="930"/>
        <v>62</v>
      </c>
      <c r="AI814" s="18">
        <f t="shared" si="923"/>
        <v>1.22</v>
      </c>
      <c r="AJ814" s="18">
        <f t="shared" si="924"/>
        <v>1.51</v>
      </c>
      <c r="AK814" t="str">
        <f t="shared" si="909"/>
        <v>Falling Rates</v>
      </c>
      <c r="AL814">
        <f t="shared" si="920"/>
        <v>20</v>
      </c>
      <c r="AM814" s="11" t="str">
        <f t="shared" si="910"/>
        <v>Stocks</v>
      </c>
      <c r="AN814" t="str">
        <f t="shared" si="916"/>
        <v>Sell</v>
      </c>
      <c r="AO814" s="13">
        <f t="shared" si="917"/>
        <v>-6.6E-3</v>
      </c>
      <c r="AP814" s="13">
        <f t="shared" si="918"/>
        <v>2.0000000000000001E-4</v>
      </c>
      <c r="AQ814" s="13">
        <f t="shared" si="919"/>
        <v>-4.0000000000000001E-3</v>
      </c>
      <c r="AR814" s="13">
        <f t="shared" si="911"/>
        <v>-6.6E-3</v>
      </c>
      <c r="AS814" s="6">
        <f t="shared" si="903"/>
        <v>214.59037532040551</v>
      </c>
      <c r="AT814" s="6">
        <f t="shared" si="904"/>
        <v>158.3905520043555</v>
      </c>
      <c r="AU814" s="6">
        <f t="shared" si="905"/>
        <v>255.92611639414244</v>
      </c>
      <c r="AV814" s="6">
        <f t="shared" si="906"/>
        <v>303.75723414660962</v>
      </c>
      <c r="AW814" s="58">
        <f t="shared" si="912"/>
        <v>2003</v>
      </c>
      <c r="AX814" s="58">
        <f>COUNTIF(AW$3:AW814,AW814)</f>
        <v>49</v>
      </c>
    </row>
    <row r="815" spans="1:50" x14ac:dyDescent="0.25">
      <c r="A815" s="5">
        <v>37640</v>
      </c>
      <c r="B815">
        <v>901.78</v>
      </c>
      <c r="C815">
        <v>1.17</v>
      </c>
      <c r="D815" s="6">
        <v>25.700001</v>
      </c>
      <c r="E815" s="18">
        <f t="shared" si="925"/>
        <v>24.9</v>
      </c>
      <c r="F815">
        <f t="shared" si="926"/>
        <v>-1</v>
      </c>
      <c r="G815" s="18">
        <f>ROUND(INDEX(Valuation!U:U,MATCH(A815,Valuation!A:A,0)),2)</f>
        <v>200.71</v>
      </c>
      <c r="H815">
        <f t="shared" si="933"/>
        <v>3</v>
      </c>
      <c r="I815" s="18">
        <f>INDEX(WeeklyIndicators!Y:Y,MATCH(A815,WeeklyIndicators!A:A,0))</f>
        <v>64.81</v>
      </c>
      <c r="J815">
        <f t="shared" si="922"/>
        <v>-2</v>
      </c>
      <c r="K815">
        <f>ROUND(INDEX(Economic!AF:AF,MATCH(EOMONTH($A815,-1),Economic!A:A,0)),2)</f>
        <v>72.03</v>
      </c>
      <c r="L815" s="11">
        <f t="shared" si="931"/>
        <v>-2</v>
      </c>
      <c r="M815">
        <f>ROUND(INDEX(Manufacturing!P:P,MATCH(EOMONTH($A815,-1),Manufacturing!A:A,0)),2)</f>
        <v>85.75</v>
      </c>
      <c r="N815">
        <f t="shared" si="927"/>
        <v>0</v>
      </c>
      <c r="O815">
        <f>ROUND(INDEX(Housing!AC:AC,MATCH(EOMONTH($A815,-1),Housing!B:B,0)),2)</f>
        <v>130.62</v>
      </c>
      <c r="P815">
        <f t="shared" si="928"/>
        <v>2</v>
      </c>
      <c r="Q815">
        <f>ROUND(INDEX(Spending!AJ:AJ,MATCH(EOMONTH($A815,-1),Spending!B:B,0)),2)</f>
        <v>54.12</v>
      </c>
      <c r="R815">
        <f t="shared" si="932"/>
        <v>1</v>
      </c>
      <c r="S815">
        <f>ROUND(INDEX(Employment!V:V,MATCH(EOMONTH($A815,-1),Employment!A:A,0)),2)</f>
        <v>123.8</v>
      </c>
      <c r="T815" s="11">
        <f t="shared" si="929"/>
        <v>-2</v>
      </c>
      <c r="U815">
        <f t="shared" si="921"/>
        <v>19</v>
      </c>
      <c r="V815">
        <f t="shared" si="913"/>
        <v>58.54</v>
      </c>
      <c r="W815" s="13">
        <f t="shared" si="914"/>
        <v>-1.43E-2</v>
      </c>
      <c r="X815" s="13">
        <f t="shared" si="915"/>
        <v>-4.48E-2</v>
      </c>
      <c r="Y815">
        <f t="shared" si="907"/>
        <v>66.53</v>
      </c>
      <c r="Z815" s="13">
        <f t="shared" si="902"/>
        <v>-1.14E-2</v>
      </c>
      <c r="AA815" s="13">
        <f t="shared" si="898"/>
        <v>-3.9100000000000003E-2</v>
      </c>
      <c r="AB815" s="6">
        <f t="shared" si="908"/>
        <v>77.980999999999995</v>
      </c>
      <c r="AC815">
        <f t="shared" si="900"/>
        <v>39</v>
      </c>
      <c r="AD815" s="11">
        <f t="shared" si="901"/>
        <v>0</v>
      </c>
      <c r="AE815">
        <f t="shared" si="899"/>
        <v>21</v>
      </c>
      <c r="AF815">
        <f>IF(AND(AE815&lt;15,OR(AC815&gt;=30,AA815&gt;0.15,X815&gt;=0.15)),2,VLOOKUP(AE815,Table!P:Q,2,FALSE))</f>
        <v>3</v>
      </c>
      <c r="AG815" s="22">
        <f>IF((AB815*0.98)-(D815*0.8)+((AF815-3)*3)+VLOOKUP(AM815,Table!$A$11:$B$13,2,FALSE)&lt;0,0,(AB815*0.98)-(D815*0.8)+((AF815-3)*3)+VLOOKUP(AM815,Table!$A$11:$B$13,2,FALSE))</f>
        <v>63.861379200000002</v>
      </c>
      <c r="AH815" s="22">
        <f t="shared" si="930"/>
        <v>66</v>
      </c>
      <c r="AI815" s="18">
        <f t="shared" si="923"/>
        <v>1.25</v>
      </c>
      <c r="AJ815" s="18">
        <f t="shared" si="924"/>
        <v>1.53</v>
      </c>
      <c r="AK815" t="str">
        <f t="shared" si="909"/>
        <v>Falling Rates</v>
      </c>
      <c r="AL815">
        <f t="shared" si="920"/>
        <v>20</v>
      </c>
      <c r="AM815" s="11" t="str">
        <f t="shared" si="910"/>
        <v>Stocks</v>
      </c>
      <c r="AN815" t="str">
        <f t="shared" si="916"/>
        <v>Buy</v>
      </c>
      <c r="AO815" s="13">
        <f t="shared" si="917"/>
        <v>-4.48E-2</v>
      </c>
      <c r="AP815" s="13">
        <f t="shared" si="918"/>
        <v>2.0000000000000001E-4</v>
      </c>
      <c r="AQ815" s="13">
        <f t="shared" si="919"/>
        <v>-2.9499999999999998E-2</v>
      </c>
      <c r="AR815" s="13">
        <f t="shared" si="911"/>
        <v>-4.48E-2</v>
      </c>
      <c r="AS815" s="6">
        <f t="shared" si="903"/>
        <v>224.65491553643793</v>
      </c>
      <c r="AT815" s="6">
        <f t="shared" si="904"/>
        <v>158.35888022830983</v>
      </c>
      <c r="AU815" s="6">
        <f t="shared" si="905"/>
        <v>263.70542647515964</v>
      </c>
      <c r="AV815" s="6">
        <f t="shared" si="906"/>
        <v>318.00380459234674</v>
      </c>
      <c r="AW815" s="58">
        <f t="shared" si="912"/>
        <v>2003</v>
      </c>
      <c r="AX815" s="58">
        <f>COUNTIF(AW$3:AW815,AW815)</f>
        <v>50</v>
      </c>
    </row>
    <row r="816" spans="1:50" x14ac:dyDescent="0.25">
      <c r="A816" s="5">
        <v>37633</v>
      </c>
      <c r="B816">
        <v>927.57</v>
      </c>
      <c r="C816">
        <v>1.18</v>
      </c>
      <c r="D816" s="6">
        <v>24.32</v>
      </c>
      <c r="E816" s="18">
        <f t="shared" si="925"/>
        <v>26.18</v>
      </c>
      <c r="F816">
        <f t="shared" si="926"/>
        <v>-2</v>
      </c>
      <c r="G816" s="18">
        <f>ROUND(INDEX(Valuation!U:U,MATCH(A816,Valuation!A:A,0)),2)</f>
        <v>204.02</v>
      </c>
      <c r="H816">
        <f t="shared" si="933"/>
        <v>3</v>
      </c>
      <c r="I816" s="18">
        <f>INDEX(WeeklyIndicators!Y:Y,MATCH(A816,WeeklyIndicators!A:A,0))</f>
        <v>63.86</v>
      </c>
      <c r="J816">
        <f t="shared" si="922"/>
        <v>-2</v>
      </c>
      <c r="K816">
        <f>ROUND(INDEX(Economic!AF:AF,MATCH(EOMONTH($A816,-1),Economic!A:A,0)),2)</f>
        <v>72.03</v>
      </c>
      <c r="L816" s="11">
        <f t="shared" si="931"/>
        <v>-2</v>
      </c>
      <c r="M816">
        <f>ROUND(INDEX(Manufacturing!P:P,MATCH(EOMONTH($A816,-1),Manufacturing!A:A,0)),2)</f>
        <v>85.75</v>
      </c>
      <c r="N816">
        <f t="shared" si="927"/>
        <v>0</v>
      </c>
      <c r="O816">
        <f>ROUND(INDEX(Housing!AC:AC,MATCH(EOMONTH($A816,-1),Housing!B:B,0)),2)</f>
        <v>130.62</v>
      </c>
      <c r="P816">
        <f t="shared" si="928"/>
        <v>2</v>
      </c>
      <c r="Q816">
        <f>ROUND(INDEX(Spending!AJ:AJ,MATCH(EOMONTH($A816,-1),Spending!B:B,0)),2)</f>
        <v>54.12</v>
      </c>
      <c r="R816">
        <f t="shared" si="932"/>
        <v>1</v>
      </c>
      <c r="S816">
        <f>ROUND(INDEX(Employment!V:V,MATCH(EOMONTH($A816,-1),Employment!A:A,0)),2)</f>
        <v>123.8</v>
      </c>
      <c r="T816" s="11">
        <f t="shared" si="929"/>
        <v>-2</v>
      </c>
      <c r="U816">
        <f t="shared" si="921"/>
        <v>18</v>
      </c>
      <c r="V816">
        <f t="shared" si="913"/>
        <v>58.44</v>
      </c>
      <c r="W816" s="13">
        <f t="shared" si="914"/>
        <v>-1.8599999999999998E-2</v>
      </c>
      <c r="X816" s="13">
        <f t="shared" si="915"/>
        <v>-2.5699999999999997E-2</v>
      </c>
      <c r="Y816">
        <f t="shared" si="907"/>
        <v>66.36</v>
      </c>
      <c r="Z816" s="13">
        <f t="shared" si="902"/>
        <v>-1.6E-2</v>
      </c>
      <c r="AA816" s="13">
        <f t="shared" si="898"/>
        <v>-2.64E-2</v>
      </c>
      <c r="AB816" s="6">
        <f t="shared" si="908"/>
        <v>79.182000000000002</v>
      </c>
      <c r="AC816">
        <f t="shared" si="900"/>
        <v>40</v>
      </c>
      <c r="AD816" s="11">
        <f t="shared" si="901"/>
        <v>0</v>
      </c>
      <c r="AE816">
        <f t="shared" si="899"/>
        <v>20</v>
      </c>
      <c r="AF816">
        <f>IF(AND(AE816&lt;15,OR(AC816&gt;=30,AA816&gt;0.15,X816&gt;=0.15)),2,VLOOKUP(AE816,Table!P:Q,2,FALSE))</f>
        <v>3</v>
      </c>
      <c r="AG816" s="22">
        <f>IF((AB816*0.98)-(D816*0.8)+((AF816-3)*3)+VLOOKUP(AM816,Table!$A$11:$B$13,2,FALSE)&lt;0,0,(AB816*0.98)-(D816*0.8)+((AF816-3)*3)+VLOOKUP(AM816,Table!$A$11:$B$13,2,FALSE))</f>
        <v>66.142359999999996</v>
      </c>
      <c r="AH816" s="22">
        <f t="shared" si="930"/>
        <v>66</v>
      </c>
      <c r="AI816" s="18">
        <f t="shared" si="923"/>
        <v>1.29</v>
      </c>
      <c r="AJ816" s="18">
        <f t="shared" si="924"/>
        <v>1.54</v>
      </c>
      <c r="AK816" t="str">
        <f t="shared" si="909"/>
        <v>Falling Rates</v>
      </c>
      <c r="AL816">
        <f t="shared" si="920"/>
        <v>19.5</v>
      </c>
      <c r="AM816" s="11" t="str">
        <f t="shared" si="910"/>
        <v>Stocks</v>
      </c>
      <c r="AN816" t="str">
        <f t="shared" si="916"/>
        <v>Buy</v>
      </c>
      <c r="AO816" s="13">
        <f t="shared" si="917"/>
        <v>-2.7799999999999998E-2</v>
      </c>
      <c r="AP816" s="13">
        <f t="shared" si="918"/>
        <v>2.0000000000000001E-4</v>
      </c>
      <c r="AQ816" s="13">
        <f t="shared" si="919"/>
        <v>-1.83E-2</v>
      </c>
      <c r="AR816" s="13">
        <f t="shared" si="911"/>
        <v>-2.7799999999999998E-2</v>
      </c>
      <c r="AS816" s="6">
        <f t="shared" si="903"/>
        <v>231.07890921254673</v>
      </c>
      <c r="AT816" s="6">
        <f t="shared" si="904"/>
        <v>158.32721478535277</v>
      </c>
      <c r="AU816" s="6">
        <f t="shared" si="905"/>
        <v>268.6211943314247</v>
      </c>
      <c r="AV816" s="6">
        <f t="shared" si="906"/>
        <v>327.09710408593577</v>
      </c>
      <c r="AW816" s="58">
        <f t="shared" si="912"/>
        <v>2003</v>
      </c>
      <c r="AX816" s="58">
        <f>COUNTIF(AW$3:AW816,AW816)</f>
        <v>51</v>
      </c>
    </row>
    <row r="817" spans="1:50" x14ac:dyDescent="0.25">
      <c r="A817" s="5">
        <v>37626</v>
      </c>
      <c r="B817">
        <v>908.59</v>
      </c>
      <c r="C817">
        <v>1.2</v>
      </c>
      <c r="D817" s="6">
        <v>24.68</v>
      </c>
      <c r="E817" s="18">
        <f t="shared" si="925"/>
        <v>26.98</v>
      </c>
      <c r="F817">
        <f t="shared" si="926"/>
        <v>-2</v>
      </c>
      <c r="G817" s="18">
        <f>ROUND(INDEX(Valuation!U:U,MATCH(A817,Valuation!A:A,0)),2)</f>
        <v>206.46</v>
      </c>
      <c r="H817">
        <f t="shared" si="933"/>
        <v>3</v>
      </c>
      <c r="I817" s="18">
        <f>INDEX(WeeklyIndicators!Y:Y,MATCH(A817,WeeklyIndicators!A:A,0))</f>
        <v>75.87</v>
      </c>
      <c r="J817">
        <f t="shared" si="922"/>
        <v>-2</v>
      </c>
      <c r="K817">
        <f>ROUND(INDEX(Economic!AF:AF,MATCH(EOMONTH($A817,-1),Economic!A:A,0)),2)</f>
        <v>72.03</v>
      </c>
      <c r="L817" s="11">
        <f t="shared" si="931"/>
        <v>-2</v>
      </c>
      <c r="M817">
        <f>ROUND(INDEX(Manufacturing!P:P,MATCH(EOMONTH($A817,-1),Manufacturing!A:A,0)),2)</f>
        <v>85.75</v>
      </c>
      <c r="N817">
        <f t="shared" si="927"/>
        <v>0</v>
      </c>
      <c r="O817">
        <f>ROUND(INDEX(Housing!AC:AC,MATCH(EOMONTH($A817,-1),Housing!B:B,0)),2)</f>
        <v>130.62</v>
      </c>
      <c r="P817">
        <f t="shared" si="928"/>
        <v>2</v>
      </c>
      <c r="Q817">
        <f>ROUND(INDEX(Spending!AJ:AJ,MATCH(EOMONTH($A817,-1),Spending!B:B,0)),2)</f>
        <v>54.12</v>
      </c>
      <c r="R817">
        <f t="shared" si="932"/>
        <v>1</v>
      </c>
      <c r="S817">
        <f>ROUND(INDEX(Employment!V:V,MATCH(EOMONTH($A817,-1),Employment!A:A,0)),2)</f>
        <v>123.8</v>
      </c>
      <c r="T817" s="11">
        <f t="shared" si="929"/>
        <v>-2</v>
      </c>
      <c r="U817">
        <f t="shared" si="921"/>
        <v>18</v>
      </c>
      <c r="V817">
        <f t="shared" si="913"/>
        <v>59.69</v>
      </c>
      <c r="W817" s="13">
        <f t="shared" si="914"/>
        <v>-1.11E-2</v>
      </c>
      <c r="X817" s="13">
        <f t="shared" si="915"/>
        <v>-1.2200000000000003E-2</v>
      </c>
      <c r="Y817">
        <f t="shared" si="907"/>
        <v>67.599999999999994</v>
      </c>
      <c r="Z817" s="13">
        <f t="shared" si="902"/>
        <v>-8.6999999999999994E-3</v>
      </c>
      <c r="AA817" s="13">
        <f t="shared" si="898"/>
        <v>-1.4999999999999999E-2</v>
      </c>
      <c r="AB817" s="6">
        <f t="shared" si="908"/>
        <v>81.605999999999995</v>
      </c>
      <c r="AC817">
        <f t="shared" si="900"/>
        <v>41</v>
      </c>
      <c r="AD817" s="11">
        <f t="shared" si="901"/>
        <v>0</v>
      </c>
      <c r="AE817">
        <f t="shared" si="899"/>
        <v>20</v>
      </c>
      <c r="AF817">
        <f>IF(AND(AE817&lt;15,OR(AC817&gt;=30,AA817&gt;0.15,X817&gt;=0.15)),2,VLOOKUP(AE817,Table!P:Q,2,FALSE))</f>
        <v>3</v>
      </c>
      <c r="AG817" s="22">
        <f>IF((AB817*0.98)-(D817*0.8)+((AF817-3)*3)+VLOOKUP(AM817,Table!$A$11:$B$13,2,FALSE)&lt;0,0,(AB817*0.98)-(D817*0.8)+((AF817-3)*3)+VLOOKUP(AM817,Table!$A$11:$B$13,2,FALSE))</f>
        <v>68.229879999999994</v>
      </c>
      <c r="AH817" s="22">
        <f t="shared" si="930"/>
        <v>66</v>
      </c>
      <c r="AI817" s="18">
        <f t="shared" si="923"/>
        <v>1.32</v>
      </c>
      <c r="AJ817" s="18">
        <f t="shared" si="924"/>
        <v>1.55</v>
      </c>
      <c r="AK817" t="str">
        <f t="shared" si="909"/>
        <v>Falling Rates</v>
      </c>
      <c r="AL817">
        <f t="shared" si="920"/>
        <v>19.25</v>
      </c>
      <c r="AM817" s="11" t="str">
        <f t="shared" si="910"/>
        <v>Stocks</v>
      </c>
      <c r="AN817" t="str">
        <f t="shared" si="916"/>
        <v>Buy</v>
      </c>
      <c r="AO817" s="13">
        <f t="shared" si="917"/>
        <v>2.0899999999999998E-2</v>
      </c>
      <c r="AP817" s="13">
        <f t="shared" si="918"/>
        <v>2.0000000000000001E-4</v>
      </c>
      <c r="AQ817" s="13">
        <f t="shared" si="919"/>
        <v>1.3899999999999999E-2</v>
      </c>
      <c r="AR817" s="13">
        <f t="shared" si="911"/>
        <v>2.0899999999999998E-2</v>
      </c>
      <c r="AS817" s="6">
        <f t="shared" si="903"/>
        <v>226.34823118086663</v>
      </c>
      <c r="AT817" s="6">
        <f t="shared" si="904"/>
        <v>158.29555567421792</v>
      </c>
      <c r="AU817" s="6">
        <f t="shared" si="905"/>
        <v>264.93854850717497</v>
      </c>
      <c r="AV817" s="6">
        <f t="shared" si="906"/>
        <v>320.40072885290999</v>
      </c>
      <c r="AW817" s="58">
        <f t="shared" si="912"/>
        <v>2003</v>
      </c>
      <c r="AX817" s="58">
        <f>COUNTIF(AW$3:AW817,AW817)</f>
        <v>52</v>
      </c>
    </row>
    <row r="818" spans="1:50" x14ac:dyDescent="0.25">
      <c r="A818" s="5">
        <v>37619</v>
      </c>
      <c r="B818">
        <v>875.4</v>
      </c>
      <c r="C818">
        <v>1.1599999999999999</v>
      </c>
      <c r="D818" s="6">
        <v>29.549999</v>
      </c>
      <c r="E818" s="18">
        <f t="shared" si="925"/>
        <v>28.15</v>
      </c>
      <c r="F818">
        <f t="shared" si="926"/>
        <v>-2</v>
      </c>
      <c r="G818" s="18">
        <f>ROUND(INDEX(Valuation!U:U,MATCH(A818,Valuation!A:A,0)),2)</f>
        <v>208.6</v>
      </c>
      <c r="H818">
        <f t="shared" si="933"/>
        <v>3</v>
      </c>
      <c r="I818" s="18">
        <f>INDEX(WeeklyIndicators!Y:Y,MATCH(A818,WeeklyIndicators!A:A,0))</f>
        <v>87.96</v>
      </c>
      <c r="J818">
        <f t="shared" si="922"/>
        <v>-2</v>
      </c>
      <c r="K818">
        <f>ROUND(INDEX(Economic!AF:AF,MATCH(EOMONTH($A818,-1),Economic!A:A,0)),2)</f>
        <v>74.13</v>
      </c>
      <c r="L818" s="11">
        <f t="shared" si="931"/>
        <v>-2</v>
      </c>
      <c r="M818">
        <f>ROUND(INDEX(Manufacturing!P:P,MATCH(EOMONTH($A818,-1),Manufacturing!A:A,0)),2)</f>
        <v>83.5</v>
      </c>
      <c r="N818">
        <f t="shared" si="927"/>
        <v>-1</v>
      </c>
      <c r="O818">
        <f>ROUND(INDEX(Housing!AC:AC,MATCH(EOMONTH($A818,-1),Housing!B:B,0)),2)</f>
        <v>127.34</v>
      </c>
      <c r="P818">
        <f t="shared" si="928"/>
        <v>1</v>
      </c>
      <c r="Q818">
        <f>ROUND(INDEX(Spending!AJ:AJ,MATCH(EOMONTH($A818,-1),Spending!B:B,0)),2)</f>
        <v>56.09</v>
      </c>
      <c r="R818">
        <f t="shared" si="932"/>
        <v>1</v>
      </c>
      <c r="S818">
        <f>ROUND(INDEX(Employment!V:V,MATCH(EOMONTH($A818,-1),Employment!A:A,0)),2)</f>
        <v>126.59</v>
      </c>
      <c r="T818" s="11">
        <f t="shared" si="929"/>
        <v>-2</v>
      </c>
      <c r="U818">
        <f t="shared" si="921"/>
        <v>16</v>
      </c>
      <c r="V818">
        <f t="shared" si="913"/>
        <v>61.11</v>
      </c>
      <c r="W818" s="13">
        <f t="shared" si="914"/>
        <v>-8.0000000000000004E-4</v>
      </c>
      <c r="X818" s="13">
        <f t="shared" si="915"/>
        <v>-1.37E-2</v>
      </c>
      <c r="Y818">
        <f t="shared" si="907"/>
        <v>68.84</v>
      </c>
      <c r="Z818" s="13">
        <f t="shared" si="902"/>
        <v>-3.0000000000000001E-3</v>
      </c>
      <c r="AA818" s="13">
        <f t="shared" si="898"/>
        <v>-8.6E-3</v>
      </c>
      <c r="AB818" s="6">
        <f t="shared" si="908"/>
        <v>83.52</v>
      </c>
      <c r="AC818">
        <f t="shared" si="900"/>
        <v>42</v>
      </c>
      <c r="AD818" s="11">
        <f t="shared" si="901"/>
        <v>1</v>
      </c>
      <c r="AE818">
        <f t="shared" si="899"/>
        <v>19</v>
      </c>
      <c r="AF818">
        <f>IF(AND(AE818&lt;15,OR(AC818&gt;=30,AA818&gt;0.15,X818&gt;=0.15)),2,VLOOKUP(AE818,Table!P:Q,2,FALSE))</f>
        <v>2</v>
      </c>
      <c r="AG818" s="22">
        <f>IF((AB818*0.98)-(D818*0.8)+((AF818-3)*3)+VLOOKUP(AM818,Table!$A$11:$B$13,2,FALSE)&lt;0,0,(AB818*0.98)-(D818*0.8)+((AF818-3)*3)+VLOOKUP(AM818,Table!$A$11:$B$13,2,FALSE))</f>
        <v>63.20960079999999</v>
      </c>
      <c r="AH818" s="22">
        <f t="shared" si="930"/>
        <v>65</v>
      </c>
      <c r="AI818" s="18">
        <f t="shared" si="923"/>
        <v>1.35</v>
      </c>
      <c r="AJ818" s="18">
        <f t="shared" si="924"/>
        <v>1.57</v>
      </c>
      <c r="AK818" t="str">
        <f t="shared" si="909"/>
        <v>Falling Rates</v>
      </c>
      <c r="AL818">
        <f t="shared" si="920"/>
        <v>19</v>
      </c>
      <c r="AM818" s="11" t="str">
        <f t="shared" si="910"/>
        <v>Stocks</v>
      </c>
      <c r="AN818" t="str">
        <f t="shared" si="916"/>
        <v>Buy</v>
      </c>
      <c r="AO818" s="13">
        <f t="shared" si="917"/>
        <v>3.7900000000000003E-2</v>
      </c>
      <c r="AP818" s="13">
        <f t="shared" si="918"/>
        <v>2.0000000000000001E-4</v>
      </c>
      <c r="AQ818" s="13">
        <f t="shared" si="919"/>
        <v>2.47E-2</v>
      </c>
      <c r="AR818" s="13">
        <f t="shared" si="911"/>
        <v>3.7900000000000003E-2</v>
      </c>
      <c r="AS818" s="6">
        <f t="shared" si="903"/>
        <v>218.08288966265212</v>
      </c>
      <c r="AT818" s="6">
        <f t="shared" si="904"/>
        <v>158.2639028936392</v>
      </c>
      <c r="AU818" s="6">
        <f t="shared" si="905"/>
        <v>258.55230653574216</v>
      </c>
      <c r="AV818" s="6">
        <f t="shared" si="906"/>
        <v>308.70096237875515</v>
      </c>
      <c r="AW818" s="58">
        <f t="shared" si="912"/>
        <v>2002</v>
      </c>
      <c r="AX818" s="58">
        <f>COUNTIF(AW$3:AW818,AW818)</f>
        <v>1</v>
      </c>
    </row>
    <row r="819" spans="1:50" x14ac:dyDescent="0.25">
      <c r="A819" s="5">
        <v>37612</v>
      </c>
      <c r="B819">
        <v>895.76</v>
      </c>
      <c r="C819">
        <v>1.2</v>
      </c>
      <c r="D819" s="6">
        <v>26.709999</v>
      </c>
      <c r="E819" s="18">
        <f t="shared" si="925"/>
        <v>27.92</v>
      </c>
      <c r="F819">
        <f t="shared" si="926"/>
        <v>-2</v>
      </c>
      <c r="G819" s="18">
        <f>ROUND(INDEX(Valuation!U:U,MATCH(A819,Valuation!A:A,0)),2)</f>
        <v>208.59</v>
      </c>
      <c r="H819">
        <f t="shared" si="933"/>
        <v>3</v>
      </c>
      <c r="I819" s="18">
        <f>INDEX(WeeklyIndicators!Y:Y,MATCH(A819,WeeklyIndicators!A:A,0))</f>
        <v>94.97</v>
      </c>
      <c r="J819">
        <f t="shared" si="922"/>
        <v>-2</v>
      </c>
      <c r="K819">
        <f>ROUND(INDEX(Economic!AF:AF,MATCH(EOMONTH($A819,-1),Economic!A:A,0)),2)</f>
        <v>74.13</v>
      </c>
      <c r="L819" s="11">
        <f t="shared" si="931"/>
        <v>-2</v>
      </c>
      <c r="M819">
        <f>ROUND(INDEX(Manufacturing!P:P,MATCH(EOMONTH($A819,-1),Manufacturing!A:A,0)),2)</f>
        <v>83.5</v>
      </c>
      <c r="N819">
        <f t="shared" si="927"/>
        <v>-1</v>
      </c>
      <c r="O819">
        <f>ROUND(INDEX(Housing!AC:AC,MATCH(EOMONTH($A819,-1),Housing!B:B,0)),2)</f>
        <v>127.34</v>
      </c>
      <c r="P819">
        <f t="shared" si="928"/>
        <v>1</v>
      </c>
      <c r="Q819">
        <f>ROUND(INDEX(Spending!AJ:AJ,MATCH(EOMONTH($A819,-1),Spending!B:B,0)),2)</f>
        <v>56.09</v>
      </c>
      <c r="R819">
        <f t="shared" si="932"/>
        <v>1</v>
      </c>
      <c r="S819">
        <f>ROUND(INDEX(Employment!V:V,MATCH(EOMONTH($A819,-1),Employment!A:A,0)),2)</f>
        <v>126.59</v>
      </c>
      <c r="T819" s="11">
        <f t="shared" si="929"/>
        <v>-2</v>
      </c>
      <c r="U819">
        <f t="shared" si="921"/>
        <v>16</v>
      </c>
      <c r="V819">
        <f t="shared" si="913"/>
        <v>61.83</v>
      </c>
      <c r="W819" s="13">
        <f t="shared" si="914"/>
        <v>4.7999999999999996E-3</v>
      </c>
      <c r="X819" s="13">
        <f t="shared" si="915"/>
        <v>-3.1200000000000002E-2</v>
      </c>
      <c r="Y819">
        <f t="shared" si="907"/>
        <v>69.650000000000006</v>
      </c>
      <c r="Z819" s="13">
        <f t="shared" si="902"/>
        <v>1.2999999999999999E-3</v>
      </c>
      <c r="AA819" s="13">
        <f t="shared" ref="AA819:AA882" si="934">SUM(Z819:Z822)</f>
        <v>-6.6E-3</v>
      </c>
      <c r="AB819" s="6">
        <f t="shared" si="908"/>
        <v>84.318999999999988</v>
      </c>
      <c r="AC819">
        <f t="shared" si="900"/>
        <v>42</v>
      </c>
      <c r="AD819" s="11">
        <f t="shared" si="901"/>
        <v>1</v>
      </c>
      <c r="AE819">
        <f t="shared" si="899"/>
        <v>19</v>
      </c>
      <c r="AF819">
        <f>IF(AND(AE819&lt;15,OR(AC819&gt;=30,AA819&gt;0.15,X819&gt;=0.15)),2,VLOOKUP(AE819,Table!P:Q,2,FALSE))</f>
        <v>2</v>
      </c>
      <c r="AG819" s="22">
        <f>IF((AB819*0.98)-(D819*0.8)+((AF819-3)*3)+VLOOKUP(AM819,Table!$A$11:$B$13,2,FALSE)&lt;0,0,(AB819*0.98)-(D819*0.8)+((AF819-3)*3)+VLOOKUP(AM819,Table!$A$11:$B$13,2,FALSE))</f>
        <v>66.264620799999989</v>
      </c>
      <c r="AH819" s="22">
        <f t="shared" si="930"/>
        <v>65</v>
      </c>
      <c r="AI819" s="18">
        <f t="shared" si="923"/>
        <v>1.38</v>
      </c>
      <c r="AJ819" s="18">
        <f t="shared" si="924"/>
        <v>1.58</v>
      </c>
      <c r="AK819" t="str">
        <f t="shared" si="909"/>
        <v>Falling Rates</v>
      </c>
      <c r="AL819">
        <f t="shared" si="920"/>
        <v>19</v>
      </c>
      <c r="AM819" s="11" t="str">
        <f t="shared" si="910"/>
        <v>Stocks</v>
      </c>
      <c r="AN819" t="str">
        <f t="shared" si="916"/>
        <v>Buy</v>
      </c>
      <c r="AO819" s="13">
        <f t="shared" si="917"/>
        <v>-2.2700000000000001E-2</v>
      </c>
      <c r="AP819" s="13">
        <f t="shared" si="918"/>
        <v>2.0000000000000001E-4</v>
      </c>
      <c r="AQ819" s="13">
        <f t="shared" si="919"/>
        <v>-1.47E-2</v>
      </c>
      <c r="AR819" s="13">
        <f t="shared" si="911"/>
        <v>-2.2700000000000001E-2</v>
      </c>
      <c r="AS819" s="6">
        <f t="shared" si="903"/>
        <v>223.14835737506613</v>
      </c>
      <c r="AT819" s="6">
        <f t="shared" si="904"/>
        <v>158.23225644235072</v>
      </c>
      <c r="AU819" s="6">
        <f t="shared" si="905"/>
        <v>262.40972956027827</v>
      </c>
      <c r="AV819" s="6">
        <f t="shared" si="906"/>
        <v>315.87123951576297</v>
      </c>
      <c r="AW819" s="58">
        <f t="shared" si="912"/>
        <v>2002</v>
      </c>
      <c r="AX819" s="58">
        <f>COUNTIF(AW$3:AW819,AW819)</f>
        <v>2</v>
      </c>
    </row>
    <row r="820" spans="1:50" x14ac:dyDescent="0.25">
      <c r="A820" s="5">
        <v>37605</v>
      </c>
      <c r="B820">
        <v>889.48</v>
      </c>
      <c r="C820">
        <v>1.19</v>
      </c>
      <c r="D820" s="6">
        <v>28.18</v>
      </c>
      <c r="E820" s="18">
        <f t="shared" si="925"/>
        <v>28.19</v>
      </c>
      <c r="F820">
        <f t="shared" si="926"/>
        <v>-2</v>
      </c>
      <c r="G820" s="18">
        <f>ROUND(INDEX(Valuation!U:U,MATCH(A820,Valuation!A:A,0)),2)</f>
        <v>208.11</v>
      </c>
      <c r="H820">
        <f t="shared" si="933"/>
        <v>3</v>
      </c>
      <c r="I820" s="18">
        <f>INDEX(WeeklyIndicators!Y:Y,MATCH(A820,WeeklyIndicators!A:A,0))</f>
        <v>94.04</v>
      </c>
      <c r="J820">
        <f t="shared" si="922"/>
        <v>-2</v>
      </c>
      <c r="K820">
        <f>ROUND(INDEX(Economic!AF:AF,MATCH(EOMONTH($A820,-1),Economic!A:A,0)),2)</f>
        <v>74.13</v>
      </c>
      <c r="L820" s="11">
        <f t="shared" si="931"/>
        <v>-2</v>
      </c>
      <c r="M820">
        <f>ROUND(INDEX(Manufacturing!P:P,MATCH(EOMONTH($A820,-1),Manufacturing!A:A,0)),2)</f>
        <v>83.5</v>
      </c>
      <c r="N820">
        <f t="shared" si="927"/>
        <v>-1</v>
      </c>
      <c r="O820">
        <f>ROUND(INDEX(Housing!AC:AC,MATCH(EOMONTH($A820,-1),Housing!B:B,0)),2)</f>
        <v>127.34</v>
      </c>
      <c r="P820">
        <f t="shared" si="928"/>
        <v>1</v>
      </c>
      <c r="Q820">
        <f>ROUND(INDEX(Spending!AJ:AJ,MATCH(EOMONTH($A820,-1),Spending!B:B,0)),2)</f>
        <v>56.09</v>
      </c>
      <c r="R820">
        <f t="shared" si="932"/>
        <v>1</v>
      </c>
      <c r="S820">
        <f>ROUND(INDEX(Employment!V:V,MATCH(EOMONTH($A820,-1),Employment!A:A,0)),2)</f>
        <v>126.59</v>
      </c>
      <c r="T820" s="11">
        <f t="shared" si="929"/>
        <v>-2</v>
      </c>
      <c r="U820">
        <f t="shared" si="921"/>
        <v>16</v>
      </c>
      <c r="V820">
        <f t="shared" si="913"/>
        <v>61.74</v>
      </c>
      <c r="W820" s="13">
        <f t="shared" si="914"/>
        <v>-5.1000000000000004E-3</v>
      </c>
      <c r="X820" s="13">
        <f t="shared" si="915"/>
        <v>-4.6600000000000003E-2</v>
      </c>
      <c r="Y820">
        <f t="shared" si="907"/>
        <v>69.400000000000006</v>
      </c>
      <c r="Z820" s="13">
        <f t="shared" si="902"/>
        <v>-4.5999999999999999E-3</v>
      </c>
      <c r="AA820" s="13">
        <f t="shared" si="934"/>
        <v>-2.2000000000000006E-3</v>
      </c>
      <c r="AB820" s="6">
        <f t="shared" si="908"/>
        <v>84.15100000000001</v>
      </c>
      <c r="AC820">
        <f t="shared" si="900"/>
        <v>42</v>
      </c>
      <c r="AD820" s="11">
        <f t="shared" si="901"/>
        <v>1</v>
      </c>
      <c r="AE820">
        <f t="shared" si="899"/>
        <v>19</v>
      </c>
      <c r="AF820">
        <f>IF(AND(AE820&lt;15,OR(AC820&gt;=30,AA820&gt;0.15,X820&gt;=0.15)),2,VLOOKUP(AE820,Table!P:Q,2,FALSE))</f>
        <v>2</v>
      </c>
      <c r="AG820" s="22">
        <f>IF((AB820*0.98)-(D820*0.8)+((AF820-3)*3)+VLOOKUP(AM820,Table!$A$11:$B$13,2,FALSE)&lt;0,0,(AB820*0.98)-(D820*0.8)+((AF820-3)*3)+VLOOKUP(AM820,Table!$A$11:$B$13,2,FALSE))</f>
        <v>64.923980000000014</v>
      </c>
      <c r="AH820" s="22">
        <f t="shared" si="930"/>
        <v>66</v>
      </c>
      <c r="AI820" s="18">
        <f t="shared" si="923"/>
        <v>1.42</v>
      </c>
      <c r="AJ820" s="18">
        <f t="shared" si="924"/>
        <v>1.6</v>
      </c>
      <c r="AK820" t="str">
        <f t="shared" si="909"/>
        <v>Falling Rates</v>
      </c>
      <c r="AL820">
        <f t="shared" si="920"/>
        <v>19.5</v>
      </c>
      <c r="AM820" s="11" t="str">
        <f t="shared" si="910"/>
        <v>Stocks</v>
      </c>
      <c r="AN820" t="str">
        <f t="shared" si="916"/>
        <v>Buy</v>
      </c>
      <c r="AO820" s="13">
        <f t="shared" si="917"/>
        <v>7.1000000000000004E-3</v>
      </c>
      <c r="AP820" s="13">
        <f t="shared" si="918"/>
        <v>2.0000000000000001E-4</v>
      </c>
      <c r="AQ820" s="13">
        <f t="shared" si="919"/>
        <v>4.7999999999999996E-3</v>
      </c>
      <c r="AR820" s="13">
        <f t="shared" si="911"/>
        <v>7.1000000000000004E-3</v>
      </c>
      <c r="AS820" s="6">
        <f t="shared" si="903"/>
        <v>221.57517364220644</v>
      </c>
      <c r="AT820" s="6">
        <f t="shared" si="904"/>
        <v>158.20061631908689</v>
      </c>
      <c r="AU820" s="6">
        <f t="shared" si="905"/>
        <v>261.15617989677378</v>
      </c>
      <c r="AV820" s="6">
        <f t="shared" si="906"/>
        <v>313.64436452761686</v>
      </c>
      <c r="AW820" s="58">
        <f t="shared" si="912"/>
        <v>2002</v>
      </c>
      <c r="AX820" s="58">
        <f>COUNTIF(AW$3:AW820,AW820)</f>
        <v>3</v>
      </c>
    </row>
    <row r="821" spans="1:50" x14ac:dyDescent="0.25">
      <c r="A821" s="5">
        <v>37598</v>
      </c>
      <c r="B821">
        <v>912.23</v>
      </c>
      <c r="C821">
        <v>1.2</v>
      </c>
      <c r="D821" s="6">
        <v>28.879999000000002</v>
      </c>
      <c r="E821" s="18">
        <f t="shared" si="925"/>
        <v>26.51</v>
      </c>
      <c r="F821">
        <f t="shared" si="926"/>
        <v>-2</v>
      </c>
      <c r="G821" s="18">
        <f>ROUND(INDEX(Valuation!U:U,MATCH(A821,Valuation!A:A,0)),2)</f>
        <v>207.73</v>
      </c>
      <c r="H821">
        <f t="shared" si="933"/>
        <v>3</v>
      </c>
      <c r="I821" s="18">
        <f>INDEX(WeeklyIndicators!Y:Y,MATCH(A821,WeeklyIndicators!A:A,0))</f>
        <v>89.34</v>
      </c>
      <c r="J821">
        <f t="shared" si="922"/>
        <v>-2</v>
      </c>
      <c r="K821">
        <f>ROUND(INDEX(Economic!AF:AF,MATCH(EOMONTH($A821,-1),Economic!A:A,0)),2)</f>
        <v>74.13</v>
      </c>
      <c r="L821" s="11">
        <f t="shared" si="931"/>
        <v>-2</v>
      </c>
      <c r="M821">
        <f>ROUND(INDEX(Manufacturing!P:P,MATCH(EOMONTH($A821,-1),Manufacturing!A:A,0)),2)</f>
        <v>83.5</v>
      </c>
      <c r="N821">
        <f t="shared" si="927"/>
        <v>-1</v>
      </c>
      <c r="O821">
        <f>ROUND(INDEX(Housing!AC:AC,MATCH(EOMONTH($A821,-1),Housing!B:B,0)),2)</f>
        <v>127.34</v>
      </c>
      <c r="P821">
        <f t="shared" si="928"/>
        <v>1</v>
      </c>
      <c r="Q821">
        <f>ROUND(INDEX(Spending!AJ:AJ,MATCH(EOMONTH($A821,-1),Spending!B:B,0)),2)</f>
        <v>56.09</v>
      </c>
      <c r="R821">
        <f t="shared" si="932"/>
        <v>1</v>
      </c>
      <c r="S821">
        <f>ROUND(INDEX(Employment!V:V,MATCH(EOMONTH($A821,-1),Employment!A:A,0)),2)</f>
        <v>126.59</v>
      </c>
      <c r="T821" s="11">
        <f t="shared" si="929"/>
        <v>-2</v>
      </c>
      <c r="U821">
        <f t="shared" si="921"/>
        <v>16</v>
      </c>
      <c r="V821">
        <f t="shared" si="913"/>
        <v>61.25</v>
      </c>
      <c r="W821" s="13">
        <f t="shared" si="914"/>
        <v>-1.26E-2</v>
      </c>
      <c r="X821" s="13">
        <f t="shared" si="915"/>
        <v>-5.0600000000000006E-2</v>
      </c>
      <c r="Y821">
        <f t="shared" si="907"/>
        <v>69.459999999999994</v>
      </c>
      <c r="Z821" s="13">
        <f t="shared" si="902"/>
        <v>-2.3E-3</v>
      </c>
      <c r="AA821" s="13">
        <f t="shared" si="934"/>
        <v>6.2000000000000006E-3</v>
      </c>
      <c r="AB821" s="6">
        <f t="shared" si="908"/>
        <v>84.682999999999993</v>
      </c>
      <c r="AC821">
        <f t="shared" si="900"/>
        <v>42</v>
      </c>
      <c r="AD821" s="11">
        <f t="shared" si="901"/>
        <v>1</v>
      </c>
      <c r="AE821">
        <f t="shared" si="899"/>
        <v>19</v>
      </c>
      <c r="AF821">
        <f>IF(AND(AE821&lt;15,OR(AC821&gt;=30,AA821&gt;0.15,X821&gt;=0.15)),2,VLOOKUP(AE821,Table!P:Q,2,FALSE))</f>
        <v>2</v>
      </c>
      <c r="AG821" s="22">
        <f>IF((AB821*0.98)-(D821*0.8)+((AF821-3)*3)+VLOOKUP(AM821,Table!$A$11:$B$13,2,FALSE)&lt;0,0,(AB821*0.98)-(D821*0.8)+((AF821-3)*3)+VLOOKUP(AM821,Table!$A$11:$B$13,2,FALSE))</f>
        <v>64.88534079999998</v>
      </c>
      <c r="AH821" s="22">
        <f t="shared" si="930"/>
        <v>69</v>
      </c>
      <c r="AI821" s="18">
        <f t="shared" si="923"/>
        <v>1.45</v>
      </c>
      <c r="AJ821" s="18">
        <f t="shared" si="924"/>
        <v>1.62</v>
      </c>
      <c r="AK821" t="str">
        <f t="shared" si="909"/>
        <v>Falling Rates</v>
      </c>
      <c r="AL821">
        <f t="shared" si="920"/>
        <v>20</v>
      </c>
      <c r="AM821" s="11" t="str">
        <f t="shared" si="910"/>
        <v>Stocks</v>
      </c>
      <c r="AN821" t="str">
        <f t="shared" si="916"/>
        <v>Buy</v>
      </c>
      <c r="AO821" s="13">
        <f t="shared" si="917"/>
        <v>-2.4899999999999999E-2</v>
      </c>
      <c r="AP821" s="13">
        <f t="shared" si="918"/>
        <v>2.0000000000000001E-4</v>
      </c>
      <c r="AQ821" s="13">
        <f t="shared" si="919"/>
        <v>-1.7100000000000001E-2</v>
      </c>
      <c r="AR821" s="13">
        <f t="shared" si="911"/>
        <v>-2.4899999999999999E-2</v>
      </c>
      <c r="AS821" s="6">
        <f t="shared" si="903"/>
        <v>227.23328237330165</v>
      </c>
      <c r="AT821" s="6">
        <f t="shared" si="904"/>
        <v>158.16898252258238</v>
      </c>
      <c r="AU821" s="6">
        <f t="shared" si="905"/>
        <v>265.6996438058539</v>
      </c>
      <c r="AV821" s="6">
        <f t="shared" si="906"/>
        <v>321.65353761421073</v>
      </c>
      <c r="AW821" s="58">
        <f t="shared" si="912"/>
        <v>2002</v>
      </c>
      <c r="AX821" s="58">
        <f>COUNTIF(AW$3:AW821,AW821)</f>
        <v>4</v>
      </c>
    </row>
    <row r="822" spans="1:50" x14ac:dyDescent="0.25">
      <c r="A822" s="5">
        <v>37591</v>
      </c>
      <c r="B822">
        <v>936.31</v>
      </c>
      <c r="C822">
        <v>1.21</v>
      </c>
      <c r="D822" s="6">
        <v>27.5</v>
      </c>
      <c r="E822" s="18">
        <f t="shared" si="925"/>
        <v>25.77</v>
      </c>
      <c r="F822">
        <f t="shared" si="926"/>
        <v>-2</v>
      </c>
      <c r="G822" s="18">
        <f>ROUND(INDEX(Valuation!U:U,MATCH(A822,Valuation!A:A,0)),2)</f>
        <v>207.26</v>
      </c>
      <c r="H822">
        <f t="shared" si="933"/>
        <v>3</v>
      </c>
      <c r="I822" s="18">
        <f>INDEX(WeeklyIndicators!Y:Y,MATCH(A822,WeeklyIndicators!A:A,0))</f>
        <v>86.47</v>
      </c>
      <c r="J822">
        <f t="shared" si="922"/>
        <v>-2</v>
      </c>
      <c r="K822">
        <f>ROUND(INDEX(Economic!AF:AF,MATCH(EOMONTH($A822,-1),Economic!A:A,0)),2)</f>
        <v>74.13</v>
      </c>
      <c r="L822" s="11">
        <f t="shared" si="931"/>
        <v>-2</v>
      </c>
      <c r="M822">
        <f>ROUND(INDEX(Manufacturing!P:P,MATCH(EOMONTH($A822,-1),Manufacturing!A:A,0)),2)</f>
        <v>83.5</v>
      </c>
      <c r="N822">
        <f t="shared" si="927"/>
        <v>-1</v>
      </c>
      <c r="O822">
        <f>ROUND(INDEX(Housing!AC:AC,MATCH(EOMONTH($A822,-1),Housing!B:B,0)),2)</f>
        <v>127.34</v>
      </c>
      <c r="P822">
        <f t="shared" si="928"/>
        <v>1</v>
      </c>
      <c r="Q822">
        <f>ROUND(INDEX(Spending!AJ:AJ,MATCH(EOMONTH($A822,-1),Spending!B:B,0)),2)</f>
        <v>56.09</v>
      </c>
      <c r="R822">
        <f t="shared" si="932"/>
        <v>1</v>
      </c>
      <c r="S822">
        <f>ROUND(INDEX(Employment!V:V,MATCH(EOMONTH($A822,-1),Employment!A:A,0)),2)</f>
        <v>126.59</v>
      </c>
      <c r="T822" s="11">
        <f t="shared" si="929"/>
        <v>-2</v>
      </c>
      <c r="U822">
        <f t="shared" si="921"/>
        <v>16</v>
      </c>
      <c r="V822">
        <f t="shared" si="913"/>
        <v>60.95</v>
      </c>
      <c r="W822" s="13">
        <f t="shared" si="914"/>
        <v>-1.83E-2</v>
      </c>
      <c r="X822" s="13">
        <f t="shared" si="915"/>
        <v>-3.6600000000000008E-2</v>
      </c>
      <c r="Y822">
        <f t="shared" si="907"/>
        <v>69.37</v>
      </c>
      <c r="Z822" s="13">
        <f t="shared" si="902"/>
        <v>-1E-3</v>
      </c>
      <c r="AA822" s="13">
        <f t="shared" si="934"/>
        <v>2.0500000000000001E-2</v>
      </c>
      <c r="AB822" s="6">
        <f t="shared" si="908"/>
        <v>85.635999999999996</v>
      </c>
      <c r="AC822">
        <f t="shared" si="900"/>
        <v>43</v>
      </c>
      <c r="AD822" s="11">
        <f t="shared" si="901"/>
        <v>1</v>
      </c>
      <c r="AE822">
        <f t="shared" si="899"/>
        <v>19</v>
      </c>
      <c r="AF822">
        <f>IF(AND(AE822&lt;15,OR(AC822&gt;=30,AA822&gt;0.15,X822&gt;=0.15)),2,VLOOKUP(AE822,Table!P:Q,2,FALSE))</f>
        <v>2</v>
      </c>
      <c r="AG822" s="22">
        <f>IF((AB822*0.98)-(D822*0.8)+((AF822-3)*3)+VLOOKUP(AM822,Table!$A$11:$B$13,2,FALSE)&lt;0,0,(AB822*0.98)-(D822*0.8)+((AF822-3)*3)+VLOOKUP(AM822,Table!$A$11:$B$13,2,FALSE))</f>
        <v>66.923279999999991</v>
      </c>
      <c r="AH822" s="22">
        <f t="shared" si="930"/>
        <v>72</v>
      </c>
      <c r="AI822" s="18">
        <f t="shared" si="923"/>
        <v>1.48</v>
      </c>
      <c r="AJ822" s="18">
        <f t="shared" si="924"/>
        <v>1.63</v>
      </c>
      <c r="AK822" t="str">
        <f t="shared" si="909"/>
        <v>Falling Rates</v>
      </c>
      <c r="AL822">
        <f t="shared" si="920"/>
        <v>20.5</v>
      </c>
      <c r="AM822" s="11" t="str">
        <f t="shared" si="910"/>
        <v>Stocks</v>
      </c>
      <c r="AN822" t="str">
        <f t="shared" si="916"/>
        <v>Buy</v>
      </c>
      <c r="AO822" s="13">
        <f t="shared" si="917"/>
        <v>-2.5700000000000001E-2</v>
      </c>
      <c r="AP822" s="13">
        <f t="shared" si="918"/>
        <v>2.0000000000000001E-4</v>
      </c>
      <c r="AQ822" s="13">
        <f t="shared" si="919"/>
        <v>-1.84E-2</v>
      </c>
      <c r="AR822" s="13">
        <f t="shared" si="911"/>
        <v>-2.5700000000000001E-2</v>
      </c>
      <c r="AS822" s="6">
        <f t="shared" si="903"/>
        <v>233.22722197813985</v>
      </c>
      <c r="AT822" s="6">
        <f t="shared" si="904"/>
        <v>158.13735505157206</v>
      </c>
      <c r="AU822" s="6">
        <f t="shared" si="905"/>
        <v>270.68015872642002</v>
      </c>
      <c r="AV822" s="6">
        <f t="shared" si="906"/>
        <v>330.13808643560583</v>
      </c>
      <c r="AW822" s="58">
        <f t="shared" si="912"/>
        <v>2002</v>
      </c>
      <c r="AX822" s="58">
        <f>COUNTIF(AW$3:AW822,AW822)</f>
        <v>5</v>
      </c>
    </row>
    <row r="823" spans="1:50" x14ac:dyDescent="0.25">
      <c r="A823" s="5">
        <v>37584</v>
      </c>
      <c r="B823">
        <v>930.55</v>
      </c>
      <c r="C823">
        <v>1.2</v>
      </c>
      <c r="D823" s="6">
        <v>23.16</v>
      </c>
      <c r="E823" s="18">
        <f t="shared" si="925"/>
        <v>26.41</v>
      </c>
      <c r="F823">
        <f t="shared" si="926"/>
        <v>-2</v>
      </c>
      <c r="G823" s="18">
        <f>ROUND(INDEX(Valuation!U:U,MATCH(A823,Valuation!A:A,0)),2)</f>
        <v>202.79</v>
      </c>
      <c r="H823">
        <f t="shared" si="933"/>
        <v>3</v>
      </c>
      <c r="I823" s="18">
        <f>INDEX(WeeklyIndicators!Y:Y,MATCH(A823,WeeklyIndicators!A:A,0))</f>
        <v>91.05</v>
      </c>
      <c r="J823">
        <f t="shared" si="922"/>
        <v>-2</v>
      </c>
      <c r="K823">
        <f>ROUND(INDEX(Economic!AF:AF,MATCH(EOMONTH($A823,-1),Economic!A:A,0)),2)</f>
        <v>80.95</v>
      </c>
      <c r="L823" s="11">
        <f t="shared" si="931"/>
        <v>-1</v>
      </c>
      <c r="M823">
        <f>ROUND(INDEX(Manufacturing!P:P,MATCH(EOMONTH($A823,-1),Manufacturing!A:A,0)),2)</f>
        <v>86.79</v>
      </c>
      <c r="N823">
        <f t="shared" si="927"/>
        <v>0</v>
      </c>
      <c r="O823">
        <f>ROUND(INDEX(Housing!AC:AC,MATCH(EOMONTH($A823,-1),Housing!B:B,0)),2)</f>
        <v>121.29</v>
      </c>
      <c r="P823">
        <f t="shared" si="928"/>
        <v>1</v>
      </c>
      <c r="Q823">
        <f>ROUND(INDEX(Spending!AJ:AJ,MATCH(EOMONTH($A823,-1),Spending!B:B,0)),2)</f>
        <v>58.11</v>
      </c>
      <c r="R823">
        <f t="shared" si="932"/>
        <v>1</v>
      </c>
      <c r="S823">
        <f>ROUND(INDEX(Employment!V:V,MATCH(EOMONTH($A823,-1),Employment!A:A,0)),2)</f>
        <v>127.41</v>
      </c>
      <c r="T823" s="11">
        <f t="shared" si="929"/>
        <v>-2</v>
      </c>
      <c r="U823">
        <f t="shared" si="921"/>
        <v>18</v>
      </c>
      <c r="V823">
        <f t="shared" si="913"/>
        <v>62.68</v>
      </c>
      <c r="W823" s="13">
        <f t="shared" si="914"/>
        <v>-1.06E-2</v>
      </c>
      <c r="X823" s="13">
        <f t="shared" si="915"/>
        <v>-9.8000000000000032E-3</v>
      </c>
      <c r="Y823">
        <f t="shared" si="907"/>
        <v>70.37</v>
      </c>
      <c r="Z823" s="13">
        <f t="shared" si="902"/>
        <v>5.7000000000000002E-3</v>
      </c>
      <c r="AA823" s="13">
        <f t="shared" si="934"/>
        <v>3.9E-2</v>
      </c>
      <c r="AB823" s="6">
        <f t="shared" si="908"/>
        <v>87.748999999999995</v>
      </c>
      <c r="AC823">
        <f t="shared" si="900"/>
        <v>44</v>
      </c>
      <c r="AD823" s="11">
        <f t="shared" si="901"/>
        <v>1</v>
      </c>
      <c r="AE823">
        <f t="shared" si="899"/>
        <v>21</v>
      </c>
      <c r="AF823">
        <f>IF(AND(AE823&lt;15,OR(AC823&gt;=30,AA823&gt;0.15,X823&gt;=0.15)),2,VLOOKUP(AE823,Table!P:Q,2,FALSE))</f>
        <v>3</v>
      </c>
      <c r="AG823" s="22">
        <f>IF((AB823*0.98)-(D823*0.8)+((AF823-3)*3)+VLOOKUP(AM823,Table!$A$11:$B$13,2,FALSE)&lt;0,0,(AB823*0.98)-(D823*0.8)+((AF823-3)*3)+VLOOKUP(AM823,Table!$A$11:$B$13,2,FALSE))</f>
        <v>75.466019999999986</v>
      </c>
      <c r="AH823" s="22">
        <f t="shared" si="930"/>
        <v>73</v>
      </c>
      <c r="AI823" s="18">
        <f t="shared" si="923"/>
        <v>1.52</v>
      </c>
      <c r="AJ823" s="18">
        <f t="shared" si="924"/>
        <v>1.64</v>
      </c>
      <c r="AK823" t="str">
        <f t="shared" si="909"/>
        <v>Falling Rates</v>
      </c>
      <c r="AL823">
        <f t="shared" si="920"/>
        <v>21</v>
      </c>
      <c r="AM823" s="11" t="str">
        <f t="shared" si="910"/>
        <v>Stocks</v>
      </c>
      <c r="AN823" t="str">
        <f t="shared" si="916"/>
        <v>Buy</v>
      </c>
      <c r="AO823" s="13">
        <f t="shared" si="917"/>
        <v>6.1999999999999998E-3</v>
      </c>
      <c r="AP823" s="13">
        <f t="shared" si="918"/>
        <v>2.0000000000000001E-4</v>
      </c>
      <c r="AQ823" s="13">
        <f t="shared" si="919"/>
        <v>4.5999999999999999E-3</v>
      </c>
      <c r="AR823" s="13">
        <f t="shared" si="911"/>
        <v>6.1999999999999998E-3</v>
      </c>
      <c r="AS823" s="6">
        <f t="shared" si="903"/>
        <v>231.79012321421175</v>
      </c>
      <c r="AT823" s="6">
        <f t="shared" si="904"/>
        <v>158.10573390479109</v>
      </c>
      <c r="AU823" s="6">
        <f t="shared" si="905"/>
        <v>269.44073136215411</v>
      </c>
      <c r="AV823" s="6">
        <f t="shared" si="906"/>
        <v>328.10384261141508</v>
      </c>
      <c r="AW823" s="58">
        <f t="shared" si="912"/>
        <v>2002</v>
      </c>
      <c r="AX823" s="58">
        <f>COUNTIF(AW$3:AW823,AW823)</f>
        <v>6</v>
      </c>
    </row>
    <row r="824" spans="1:50" x14ac:dyDescent="0.25">
      <c r="A824" s="5">
        <v>37577</v>
      </c>
      <c r="B824">
        <v>909.83</v>
      </c>
      <c r="C824">
        <v>1.2</v>
      </c>
      <c r="D824" s="6">
        <v>26.65</v>
      </c>
      <c r="E824" s="18">
        <f t="shared" si="925"/>
        <v>28.45</v>
      </c>
      <c r="F824">
        <f t="shared" si="926"/>
        <v>-2</v>
      </c>
      <c r="G824" s="18">
        <f>ROUND(INDEX(Valuation!U:U,MATCH(A824,Valuation!A:A,0)),2)</f>
        <v>196.84</v>
      </c>
      <c r="H824">
        <f t="shared" si="933"/>
        <v>2</v>
      </c>
      <c r="I824" s="18">
        <f>INDEX(WeeklyIndicators!Y:Y,MATCH(A824,WeeklyIndicators!A:A,0))</f>
        <v>100.07</v>
      </c>
      <c r="J824">
        <f t="shared" si="922"/>
        <v>-1</v>
      </c>
      <c r="K824">
        <f>ROUND(INDEX(Economic!AF:AF,MATCH(EOMONTH($A824,-1),Economic!A:A,0)),2)</f>
        <v>80.95</v>
      </c>
      <c r="L824" s="11">
        <f t="shared" si="931"/>
        <v>-1</v>
      </c>
      <c r="M824">
        <f>ROUND(INDEX(Manufacturing!P:P,MATCH(EOMONTH($A824,-1),Manufacturing!A:A,0)),2)</f>
        <v>86.79</v>
      </c>
      <c r="N824">
        <f t="shared" si="927"/>
        <v>0</v>
      </c>
      <c r="O824">
        <f>ROUND(INDEX(Housing!AC:AC,MATCH(EOMONTH($A824,-1),Housing!B:B,0)),2)</f>
        <v>121.29</v>
      </c>
      <c r="P824">
        <f t="shared" si="928"/>
        <v>1</v>
      </c>
      <c r="Q824">
        <f>ROUND(INDEX(Spending!AJ:AJ,MATCH(EOMONTH($A824,-1),Spending!B:B,0)),2)</f>
        <v>58.11</v>
      </c>
      <c r="R824">
        <f t="shared" si="932"/>
        <v>1</v>
      </c>
      <c r="S824">
        <f>ROUND(INDEX(Employment!V:V,MATCH(EOMONTH($A824,-1),Employment!A:A,0)),2)</f>
        <v>127.41</v>
      </c>
      <c r="T824" s="11">
        <f t="shared" si="929"/>
        <v>-2</v>
      </c>
      <c r="U824">
        <f t="shared" si="921"/>
        <v>18</v>
      </c>
      <c r="V824">
        <f t="shared" si="913"/>
        <v>63.61</v>
      </c>
      <c r="W824" s="13">
        <f t="shared" si="914"/>
        <v>-9.1000000000000004E-3</v>
      </c>
      <c r="X824" s="13">
        <f t="shared" si="915"/>
        <v>1.5800000000000002E-2</v>
      </c>
      <c r="Y824">
        <f t="shared" si="907"/>
        <v>69.94</v>
      </c>
      <c r="Z824" s="13">
        <f t="shared" si="902"/>
        <v>3.8E-3</v>
      </c>
      <c r="AA824" s="13">
        <f t="shared" si="934"/>
        <v>5.7900000000000007E-2</v>
      </c>
      <c r="AB824" s="6">
        <f t="shared" si="908"/>
        <v>88.283999999999992</v>
      </c>
      <c r="AC824">
        <f t="shared" si="900"/>
        <v>44</v>
      </c>
      <c r="AD824" s="11">
        <f t="shared" si="901"/>
        <v>1</v>
      </c>
      <c r="AE824">
        <f t="shared" ref="AE824:AE887" si="935">IF(AND(AA824&gt;=0.2,AC824&gt;=20,U824+AD824+2&lt;30),U824+AD824+2+12,U824+AD824+2)</f>
        <v>21</v>
      </c>
      <c r="AF824">
        <f>IF(AND(AE824&lt;15,OR(AC824&gt;=30,AA824&gt;0.15,X824&gt;=0.15)),2,VLOOKUP(AE824,Table!P:Q,2,FALSE))</f>
        <v>3</v>
      </c>
      <c r="AG824" s="22">
        <f>IF((AB824*0.98)-(D824*0.8)+((AF824-3)*3)+VLOOKUP(AM824,Table!$A$11:$B$13,2,FALSE)&lt;0,0,(AB824*0.98)-(D824*0.8)+((AF824-3)*3)+VLOOKUP(AM824,Table!$A$11:$B$13,2,FALSE))</f>
        <v>73.198319999999995</v>
      </c>
      <c r="AH824" s="22">
        <f t="shared" si="930"/>
        <v>70</v>
      </c>
      <c r="AI824" s="18">
        <f t="shared" si="923"/>
        <v>1.55</v>
      </c>
      <c r="AJ824" s="18">
        <f t="shared" si="924"/>
        <v>1.66</v>
      </c>
      <c r="AK824" t="str">
        <f t="shared" si="909"/>
        <v>Falling Rates</v>
      </c>
      <c r="AL824">
        <f t="shared" si="920"/>
        <v>21</v>
      </c>
      <c r="AM824" s="11" t="str">
        <f t="shared" si="910"/>
        <v>Stocks</v>
      </c>
      <c r="AN824" t="str">
        <f t="shared" si="916"/>
        <v>Buy</v>
      </c>
      <c r="AO824" s="13">
        <f t="shared" si="917"/>
        <v>2.2800000000000001E-2</v>
      </c>
      <c r="AP824" s="13">
        <f t="shared" si="918"/>
        <v>2.0000000000000001E-4</v>
      </c>
      <c r="AQ824" s="13">
        <f t="shared" si="919"/>
        <v>1.6E-2</v>
      </c>
      <c r="AR824" s="13">
        <f t="shared" si="911"/>
        <v>2.2800000000000001E-2</v>
      </c>
      <c r="AS824" s="6">
        <f t="shared" si="903"/>
        <v>226.62311616563528</v>
      </c>
      <c r="AT824" s="6">
        <f t="shared" si="904"/>
        <v>158.0741190809749</v>
      </c>
      <c r="AU824" s="6">
        <f t="shared" si="905"/>
        <v>265.19757023834063</v>
      </c>
      <c r="AV824" s="6">
        <f t="shared" si="906"/>
        <v>320.78983438738277</v>
      </c>
      <c r="AW824" s="58">
        <f t="shared" si="912"/>
        <v>2002</v>
      </c>
      <c r="AX824" s="58">
        <f>COUNTIF(AW$3:AW824,AW824)</f>
        <v>7</v>
      </c>
    </row>
    <row r="825" spans="1:50" x14ac:dyDescent="0.25">
      <c r="A825" s="5">
        <v>37570</v>
      </c>
      <c r="B825">
        <v>894.74</v>
      </c>
      <c r="C825">
        <v>1.28</v>
      </c>
      <c r="D825" s="6">
        <v>29.41</v>
      </c>
      <c r="E825" s="18">
        <f t="shared" si="925"/>
        <v>29.57</v>
      </c>
      <c r="F825">
        <f t="shared" si="926"/>
        <v>-2</v>
      </c>
      <c r="G825" s="18">
        <f>ROUND(INDEX(Valuation!U:U,MATCH(A825,Valuation!A:A,0)),2)</f>
        <v>189.73</v>
      </c>
      <c r="H825">
        <f t="shared" si="933"/>
        <v>2</v>
      </c>
      <c r="I825" s="18">
        <f>INDEX(WeeklyIndicators!Y:Y,MATCH(A825,WeeklyIndicators!A:A,0))</f>
        <v>108.12</v>
      </c>
      <c r="J825">
        <f t="shared" si="922"/>
        <v>-1</v>
      </c>
      <c r="K825">
        <f>ROUND(INDEX(Economic!AF:AF,MATCH(EOMONTH($A825,-1),Economic!A:A,0)),2)</f>
        <v>80.95</v>
      </c>
      <c r="L825" s="11">
        <f t="shared" si="931"/>
        <v>-1</v>
      </c>
      <c r="M825">
        <f>ROUND(INDEX(Manufacturing!P:P,MATCH(EOMONTH($A825,-1),Manufacturing!A:A,0)),2)</f>
        <v>86.79</v>
      </c>
      <c r="N825">
        <f t="shared" si="927"/>
        <v>0</v>
      </c>
      <c r="O825">
        <f>ROUND(INDEX(Housing!AC:AC,MATCH(EOMONTH($A825,-1),Housing!B:B,0)),2)</f>
        <v>121.29</v>
      </c>
      <c r="P825">
        <f t="shared" si="928"/>
        <v>1</v>
      </c>
      <c r="Q825">
        <f>ROUND(INDEX(Spending!AJ:AJ,MATCH(EOMONTH($A825,-1),Spending!B:B,0)),2)</f>
        <v>58.11</v>
      </c>
      <c r="R825">
        <f t="shared" si="932"/>
        <v>1</v>
      </c>
      <c r="S825">
        <f>ROUND(INDEX(Employment!V:V,MATCH(EOMONTH($A825,-1),Employment!A:A,0)),2)</f>
        <v>127.41</v>
      </c>
      <c r="T825" s="11">
        <f t="shared" si="929"/>
        <v>-2</v>
      </c>
      <c r="U825">
        <f t="shared" si="921"/>
        <v>18</v>
      </c>
      <c r="V825">
        <f t="shared" si="913"/>
        <v>64.45</v>
      </c>
      <c r="W825" s="13">
        <f t="shared" si="914"/>
        <v>1.4E-3</v>
      </c>
      <c r="X825" s="13">
        <f t="shared" si="915"/>
        <v>2.07E-2</v>
      </c>
      <c r="Y825">
        <f t="shared" si="907"/>
        <v>69.59</v>
      </c>
      <c r="Z825" s="13">
        <f t="shared" si="902"/>
        <v>1.2E-2</v>
      </c>
      <c r="AA825" s="13">
        <f t="shared" si="934"/>
        <v>5.7200000000000001E-2</v>
      </c>
      <c r="AB825" s="6">
        <f t="shared" si="908"/>
        <v>87.253</v>
      </c>
      <c r="AC825">
        <f t="shared" si="900"/>
        <v>44</v>
      </c>
      <c r="AD825" s="11">
        <f t="shared" si="901"/>
        <v>1</v>
      </c>
      <c r="AE825">
        <f t="shared" si="935"/>
        <v>21</v>
      </c>
      <c r="AF825">
        <f>IF(AND(AE825&lt;15,OR(AC825&gt;=30,AA825&gt;0.15,X825&gt;=0.15)),2,VLOOKUP(AE825,Table!P:Q,2,FALSE))</f>
        <v>3</v>
      </c>
      <c r="AG825" s="22">
        <f>IF((AB825*0.98)-(D825*0.8)+((AF825-3)*3)+VLOOKUP(AM825,Table!$A$11:$B$13,2,FALSE)&lt;0,0,(AB825*0.98)-(D825*0.8)+((AF825-3)*3)+VLOOKUP(AM825,Table!$A$11:$B$13,2,FALSE))</f>
        <v>69.979939999999999</v>
      </c>
      <c r="AH825" s="22">
        <f t="shared" si="930"/>
        <v>68</v>
      </c>
      <c r="AI825" s="18">
        <f t="shared" si="923"/>
        <v>1.58</v>
      </c>
      <c r="AJ825" s="18">
        <f t="shared" si="924"/>
        <v>1.67</v>
      </c>
      <c r="AK825" t="str">
        <f t="shared" si="909"/>
        <v>Falling Rates</v>
      </c>
      <c r="AL825">
        <f t="shared" si="920"/>
        <v>20.5</v>
      </c>
      <c r="AM825" s="11" t="str">
        <f t="shared" si="910"/>
        <v>Stocks</v>
      </c>
      <c r="AN825" t="str">
        <f t="shared" si="916"/>
        <v>Buy</v>
      </c>
      <c r="AO825" s="13">
        <f t="shared" si="917"/>
        <v>1.6899999999999998E-2</v>
      </c>
      <c r="AP825" s="13">
        <f t="shared" si="918"/>
        <v>2.0000000000000001E-4</v>
      </c>
      <c r="AQ825" s="13">
        <f t="shared" si="919"/>
        <v>1.1599999999999999E-2</v>
      </c>
      <c r="AR825" s="13">
        <f t="shared" si="911"/>
        <v>1.6899999999999998E-2</v>
      </c>
      <c r="AS825" s="6">
        <f t="shared" si="903"/>
        <v>222.85683564326413</v>
      </c>
      <c r="AT825" s="6">
        <f t="shared" si="904"/>
        <v>158.04251057885912</v>
      </c>
      <c r="AU825" s="6">
        <f t="shared" si="905"/>
        <v>262.15655420951032</v>
      </c>
      <c r="AV825" s="6">
        <f t="shared" si="906"/>
        <v>315.4585843125015</v>
      </c>
      <c r="AW825" s="58">
        <f t="shared" si="912"/>
        <v>2002</v>
      </c>
      <c r="AX825" s="58">
        <f>COUNTIF(AW$3:AW825,AW825)</f>
        <v>8</v>
      </c>
    </row>
    <row r="826" spans="1:50" x14ac:dyDescent="0.25">
      <c r="A826" s="5">
        <v>37563</v>
      </c>
      <c r="B826">
        <v>900.96</v>
      </c>
      <c r="C826">
        <v>1.47</v>
      </c>
      <c r="D826" s="6">
        <v>29.299999</v>
      </c>
      <c r="E826" s="18">
        <f t="shared" si="925"/>
        <v>30.94</v>
      </c>
      <c r="F826">
        <f t="shared" si="926"/>
        <v>-2</v>
      </c>
      <c r="G826" s="18">
        <f>ROUND(INDEX(Valuation!U:U,MATCH(A826,Valuation!A:A,0)),2)</f>
        <v>187.81</v>
      </c>
      <c r="H826">
        <f t="shared" si="933"/>
        <v>2</v>
      </c>
      <c r="I826" s="18">
        <f>INDEX(WeeklyIndicators!Y:Y,MATCH(A826,WeeklyIndicators!A:A,0))</f>
        <v>110.82</v>
      </c>
      <c r="J826">
        <f t="shared" si="922"/>
        <v>-1</v>
      </c>
      <c r="K826">
        <f>ROUND(INDEX(Economic!AF:AF,MATCH(EOMONTH($A826,-1),Economic!A:A,0)),2)</f>
        <v>80.95</v>
      </c>
      <c r="L826" s="11">
        <f t="shared" si="931"/>
        <v>-1</v>
      </c>
      <c r="M826">
        <f>ROUND(INDEX(Manufacturing!P:P,MATCH(EOMONTH($A826,-1),Manufacturing!A:A,0)),2)</f>
        <v>86.79</v>
      </c>
      <c r="N826">
        <f t="shared" si="927"/>
        <v>0</v>
      </c>
      <c r="O826">
        <f>ROUND(INDEX(Housing!AC:AC,MATCH(EOMONTH($A826,-1),Housing!B:B,0)),2)</f>
        <v>121.29</v>
      </c>
      <c r="P826">
        <f t="shared" si="928"/>
        <v>1</v>
      </c>
      <c r="Q826">
        <f>ROUND(INDEX(Spending!AJ:AJ,MATCH(EOMONTH($A826,-1),Spending!B:B,0)),2)</f>
        <v>58.11</v>
      </c>
      <c r="R826">
        <f t="shared" si="932"/>
        <v>1</v>
      </c>
      <c r="S826">
        <f>ROUND(INDEX(Employment!V:V,MATCH(EOMONTH($A826,-1),Employment!A:A,0)),2)</f>
        <v>127.41</v>
      </c>
      <c r="T826" s="11">
        <f t="shared" si="929"/>
        <v>-2</v>
      </c>
      <c r="U826">
        <f t="shared" si="921"/>
        <v>18</v>
      </c>
      <c r="V826">
        <f t="shared" si="913"/>
        <v>64.73</v>
      </c>
      <c r="W826" s="13">
        <f t="shared" si="914"/>
        <v>8.5000000000000006E-3</v>
      </c>
      <c r="X826" s="13">
        <f t="shared" si="915"/>
        <v>7.3000000000000009E-3</v>
      </c>
      <c r="Y826">
        <f t="shared" si="907"/>
        <v>69.180000000000007</v>
      </c>
      <c r="Z826" s="13">
        <f t="shared" si="902"/>
        <v>1.7500000000000002E-2</v>
      </c>
      <c r="AA826" s="13">
        <f t="shared" si="934"/>
        <v>4.02E-2</v>
      </c>
      <c r="AB826" s="6">
        <f t="shared" si="908"/>
        <v>85.381</v>
      </c>
      <c r="AC826">
        <f t="shared" si="900"/>
        <v>43</v>
      </c>
      <c r="AD826" s="11">
        <f t="shared" si="901"/>
        <v>1</v>
      </c>
      <c r="AE826">
        <f t="shared" si="935"/>
        <v>21</v>
      </c>
      <c r="AF826">
        <f>IF(AND(AE826&lt;15,OR(AC826&gt;=30,AA826&gt;0.15,X826&gt;=0.15)),2,VLOOKUP(AE826,Table!P:Q,2,FALSE))</f>
        <v>3</v>
      </c>
      <c r="AG826" s="22">
        <f>IF((AB826*0.98)-(D826*0.8)+((AF826-3)*3)+VLOOKUP(AM826,Table!$A$11:$B$13,2,FALSE)&lt;0,0,(AB826*0.98)-(D826*0.8)+((AF826-3)*3)+VLOOKUP(AM826,Table!$A$11:$B$13,2,FALSE))</f>
        <v>68.233380799999992</v>
      </c>
      <c r="AH826" s="22">
        <f t="shared" si="930"/>
        <v>63</v>
      </c>
      <c r="AI826" s="18">
        <f t="shared" si="923"/>
        <v>1.6</v>
      </c>
      <c r="AJ826" s="18">
        <f t="shared" si="924"/>
        <v>1.68</v>
      </c>
      <c r="AK826" t="str">
        <f t="shared" si="909"/>
        <v>Falling Rates</v>
      </c>
      <c r="AL826">
        <f t="shared" si="920"/>
        <v>20</v>
      </c>
      <c r="AM826" s="11" t="str">
        <f t="shared" si="910"/>
        <v>Stocks</v>
      </c>
      <c r="AN826" t="str">
        <f t="shared" si="916"/>
        <v>Buy</v>
      </c>
      <c r="AO826" s="13">
        <f t="shared" si="917"/>
        <v>-6.8999999999999999E-3</v>
      </c>
      <c r="AP826" s="13">
        <f t="shared" si="918"/>
        <v>2.9999999999999997E-4</v>
      </c>
      <c r="AQ826" s="13">
        <f t="shared" si="919"/>
        <v>-4.1999999999999997E-3</v>
      </c>
      <c r="AR826" s="13">
        <f t="shared" si="911"/>
        <v>-6.8999999999999999E-3</v>
      </c>
      <c r="AS826" s="6">
        <f t="shared" si="903"/>
        <v>224.40523174228591</v>
      </c>
      <c r="AT826" s="6">
        <f t="shared" si="904"/>
        <v>157.99511204524555</v>
      </c>
      <c r="AU826" s="6">
        <f t="shared" si="905"/>
        <v>263.26225568338049</v>
      </c>
      <c r="AV826" s="6">
        <f t="shared" si="906"/>
        <v>317.65037187846292</v>
      </c>
      <c r="AW826" s="58">
        <f t="shared" si="912"/>
        <v>2002</v>
      </c>
      <c r="AX826" s="58">
        <f>COUNTIF(AW$3:AW826,AW826)</f>
        <v>9</v>
      </c>
    </row>
    <row r="827" spans="1:50" x14ac:dyDescent="0.25">
      <c r="A827" s="5">
        <v>37556</v>
      </c>
      <c r="B827">
        <v>897.65</v>
      </c>
      <c r="C827">
        <v>1.64</v>
      </c>
      <c r="D827" s="6">
        <v>30</v>
      </c>
      <c r="E827" s="18">
        <f t="shared" si="925"/>
        <v>33.08</v>
      </c>
      <c r="F827">
        <f t="shared" si="926"/>
        <v>-2</v>
      </c>
      <c r="G827" s="18">
        <f>ROUND(INDEX(Valuation!U:U,MATCH(A827,Valuation!A:A,0)),2)</f>
        <v>188.32</v>
      </c>
      <c r="H827">
        <f t="shared" si="933"/>
        <v>2</v>
      </c>
      <c r="I827" s="18">
        <f>INDEX(WeeklyIndicators!Y:Y,MATCH(A827,WeeklyIndicators!A:A,0))</f>
        <v>105.34</v>
      </c>
      <c r="J827">
        <f t="shared" si="922"/>
        <v>-1</v>
      </c>
      <c r="K827">
        <f>ROUND(INDEX(Economic!AF:AF,MATCH(EOMONTH($A827,-1),Economic!A:A,0)),2)</f>
        <v>88.41</v>
      </c>
      <c r="L827" s="11">
        <f t="shared" si="931"/>
        <v>-1</v>
      </c>
      <c r="M827">
        <f>ROUND(INDEX(Manufacturing!P:P,MATCH(EOMONTH($A827,-1),Manufacturing!A:A,0)),2)</f>
        <v>88.98</v>
      </c>
      <c r="N827">
        <f t="shared" si="927"/>
        <v>0</v>
      </c>
      <c r="O827">
        <f>ROUND(INDEX(Housing!AC:AC,MATCH(EOMONTH($A827,-1),Housing!B:B,0)),2)</f>
        <v>119.17</v>
      </c>
      <c r="P827">
        <f t="shared" si="928"/>
        <v>1</v>
      </c>
      <c r="Q827">
        <f>ROUND(INDEX(Spending!AJ:AJ,MATCH(EOMONTH($A827,-1),Spending!B:B,0)),2)</f>
        <v>60.3</v>
      </c>
      <c r="R827">
        <f t="shared" si="932"/>
        <v>2</v>
      </c>
      <c r="S827">
        <f>ROUND(INDEX(Employment!V:V,MATCH(EOMONTH($A827,-1),Employment!A:A,0)),2)</f>
        <v>125.36</v>
      </c>
      <c r="T827" s="11">
        <f t="shared" si="929"/>
        <v>-2</v>
      </c>
      <c r="U827">
        <f t="shared" si="921"/>
        <v>19</v>
      </c>
      <c r="V827">
        <f t="shared" si="913"/>
        <v>65.39</v>
      </c>
      <c r="W827" s="13">
        <f t="shared" si="914"/>
        <v>1.4999999999999999E-2</v>
      </c>
      <c r="X827" s="13">
        <f t="shared" si="915"/>
        <v>-1.7499999999999998E-2</v>
      </c>
      <c r="Y827">
        <f t="shared" si="907"/>
        <v>69.14</v>
      </c>
      <c r="Z827" s="13">
        <f t="shared" si="902"/>
        <v>2.46E-2</v>
      </c>
      <c r="AA827" s="13">
        <f t="shared" si="934"/>
        <v>7.5999999999999974E-3</v>
      </c>
      <c r="AB827" s="6">
        <f t="shared" si="908"/>
        <v>82.981999999999999</v>
      </c>
      <c r="AC827">
        <f t="shared" si="900"/>
        <v>41</v>
      </c>
      <c r="AD827" s="11">
        <f t="shared" si="901"/>
        <v>0</v>
      </c>
      <c r="AE827">
        <f t="shared" si="935"/>
        <v>21</v>
      </c>
      <c r="AF827">
        <f>IF(AND(AE827&lt;15,OR(AC827&gt;=30,AA827&gt;0.15,X827&gt;=0.15)),2,VLOOKUP(AE827,Table!P:Q,2,FALSE))</f>
        <v>3</v>
      </c>
      <c r="AG827" s="22">
        <f>IF((AB827*0.98)-(D827*0.8)+((AF827-3)*3)+VLOOKUP(AM827,Table!$A$11:$B$13,2,FALSE)&lt;0,0,(AB827*0.98)-(D827*0.8)+((AF827-3)*3)+VLOOKUP(AM827,Table!$A$11:$B$13,2,FALSE))</f>
        <v>65.322360000000003</v>
      </c>
      <c r="AH827" s="22">
        <f t="shared" si="930"/>
        <v>57</v>
      </c>
      <c r="AI827" s="18">
        <f t="shared" si="923"/>
        <v>1.62</v>
      </c>
      <c r="AJ827" s="18">
        <f t="shared" si="924"/>
        <v>1.69</v>
      </c>
      <c r="AK827" t="str">
        <f t="shared" si="909"/>
        <v/>
      </c>
      <c r="AL827">
        <f t="shared" si="920"/>
        <v>19.5</v>
      </c>
      <c r="AM827" s="11" t="str">
        <f t="shared" si="910"/>
        <v>Stocks</v>
      </c>
      <c r="AN827" t="str">
        <f t="shared" si="916"/>
        <v>Buy</v>
      </c>
      <c r="AO827" s="13">
        <f t="shared" si="917"/>
        <v>3.7000000000000002E-3</v>
      </c>
      <c r="AP827" s="13">
        <f t="shared" si="918"/>
        <v>2.9999999999999997E-4</v>
      </c>
      <c r="AQ827" s="13">
        <f t="shared" si="919"/>
        <v>2.2000000000000001E-3</v>
      </c>
      <c r="AR827" s="13">
        <f t="shared" si="911"/>
        <v>3.7000000000000002E-3</v>
      </c>
      <c r="AS827" s="6">
        <f t="shared" si="903"/>
        <v>223.57799316756589</v>
      </c>
      <c r="AT827" s="6">
        <f t="shared" si="904"/>
        <v>157.94772772692747</v>
      </c>
      <c r="AU827" s="6">
        <f t="shared" si="905"/>
        <v>262.68435011313159</v>
      </c>
      <c r="AV827" s="6">
        <f t="shared" si="906"/>
        <v>316.47939810547268</v>
      </c>
      <c r="AW827" s="58">
        <f t="shared" si="912"/>
        <v>2002</v>
      </c>
      <c r="AX827" s="58">
        <f>COUNTIF(AW$3:AW827,AW827)</f>
        <v>10</v>
      </c>
    </row>
    <row r="828" spans="1:50" x14ac:dyDescent="0.25">
      <c r="A828" s="5">
        <v>37549</v>
      </c>
      <c r="B828">
        <v>884.39</v>
      </c>
      <c r="C828">
        <v>1.64</v>
      </c>
      <c r="D828" s="6">
        <v>33.529998999999997</v>
      </c>
      <c r="E828" s="18">
        <f t="shared" si="925"/>
        <v>36.229999999999997</v>
      </c>
      <c r="F828">
        <f t="shared" si="926"/>
        <v>-3</v>
      </c>
      <c r="G828" s="18">
        <f>ROUND(INDEX(Valuation!U:U,MATCH(A828,Valuation!A:A,0)),2)</f>
        <v>190.92</v>
      </c>
      <c r="H828">
        <f t="shared" si="933"/>
        <v>2</v>
      </c>
      <c r="I828" s="18">
        <f>INDEX(WeeklyIndicators!Y:Y,MATCH(A828,WeeklyIndicators!A:A,0))</f>
        <v>93.67</v>
      </c>
      <c r="J828">
        <f t="shared" si="922"/>
        <v>-2</v>
      </c>
      <c r="K828">
        <f>ROUND(INDEX(Economic!AF:AF,MATCH(EOMONTH($A828,-1),Economic!A:A,0)),2)</f>
        <v>88.41</v>
      </c>
      <c r="L828" s="11">
        <f t="shared" si="931"/>
        <v>-1</v>
      </c>
      <c r="M828">
        <f>ROUND(INDEX(Manufacturing!P:P,MATCH(EOMONTH($A828,-1),Manufacturing!A:A,0)),2)</f>
        <v>88.98</v>
      </c>
      <c r="N828">
        <f t="shared" si="927"/>
        <v>0</v>
      </c>
      <c r="O828">
        <f>ROUND(INDEX(Housing!AC:AC,MATCH(EOMONTH($A828,-1),Housing!B:B,0)),2)</f>
        <v>119.17</v>
      </c>
      <c r="P828">
        <f t="shared" si="928"/>
        <v>1</v>
      </c>
      <c r="Q828">
        <f>ROUND(INDEX(Spending!AJ:AJ,MATCH(EOMONTH($A828,-1),Spending!B:B,0)),2)</f>
        <v>60.3</v>
      </c>
      <c r="R828">
        <f t="shared" si="932"/>
        <v>2</v>
      </c>
      <c r="S828">
        <f>ROUND(INDEX(Employment!V:V,MATCH(EOMONTH($A828,-1),Employment!A:A,0)),2)</f>
        <v>125.36</v>
      </c>
      <c r="T828" s="11">
        <f t="shared" si="929"/>
        <v>-2</v>
      </c>
      <c r="U828">
        <f t="shared" si="921"/>
        <v>17</v>
      </c>
      <c r="V828">
        <f t="shared" si="913"/>
        <v>64.17</v>
      </c>
      <c r="W828" s="13">
        <f t="shared" si="914"/>
        <v>-4.1999999999999997E-3</v>
      </c>
      <c r="X828" s="13">
        <f t="shared" si="915"/>
        <v>-3.7100000000000001E-2</v>
      </c>
      <c r="Y828">
        <f t="shared" si="907"/>
        <v>67.12</v>
      </c>
      <c r="Z828" s="13">
        <f t="shared" si="902"/>
        <v>3.0999999999999999E-3</v>
      </c>
      <c r="AA828" s="13">
        <f t="shared" si="934"/>
        <v>-2.3800000000000002E-2</v>
      </c>
      <c r="AB828" s="6">
        <f t="shared" si="908"/>
        <v>78.882000000000005</v>
      </c>
      <c r="AC828">
        <f t="shared" si="900"/>
        <v>39</v>
      </c>
      <c r="AD828" s="11">
        <f t="shared" si="901"/>
        <v>0</v>
      </c>
      <c r="AE828">
        <f t="shared" si="935"/>
        <v>19</v>
      </c>
      <c r="AF828">
        <f>IF(AND(AE828&lt;15,OR(AC828&gt;=30,AA828&gt;0.15,X828&gt;=0.15)),2,VLOOKUP(AE828,Table!P:Q,2,FALSE))</f>
        <v>2</v>
      </c>
      <c r="AG828" s="22">
        <f>IF((AB828*0.98)-(D828*0.8)+((AF828-3)*3)+VLOOKUP(AM828,Table!$A$11:$B$13,2,FALSE)&lt;0,0,(AB828*0.98)-(D828*0.8)+((AF828-3)*3)+VLOOKUP(AM828,Table!$A$11:$B$13,2,FALSE))</f>
        <v>55.4803608</v>
      </c>
      <c r="AH828" s="22">
        <f t="shared" si="930"/>
        <v>51</v>
      </c>
      <c r="AI828" s="18">
        <f t="shared" si="923"/>
        <v>1.62</v>
      </c>
      <c r="AJ828" s="18">
        <f t="shared" si="924"/>
        <v>1.69</v>
      </c>
      <c r="AK828" t="str">
        <f t="shared" si="909"/>
        <v/>
      </c>
      <c r="AL828">
        <f t="shared" si="920"/>
        <v>19.25</v>
      </c>
      <c r="AM828" s="11" t="str">
        <f t="shared" si="910"/>
        <v>Stocks</v>
      </c>
      <c r="AN828" t="str">
        <f t="shared" si="916"/>
        <v>Sell</v>
      </c>
      <c r="AO828" s="13">
        <f t="shared" si="917"/>
        <v>1.4999999999999999E-2</v>
      </c>
      <c r="AP828" s="13">
        <f t="shared" si="918"/>
        <v>2.9999999999999997E-4</v>
      </c>
      <c r="AQ828" s="13">
        <f t="shared" si="919"/>
        <v>7.7999999999999996E-3</v>
      </c>
      <c r="AR828" s="13">
        <f t="shared" si="911"/>
        <v>1.4999999999999999E-2</v>
      </c>
      <c r="AS828" s="6">
        <f t="shared" si="903"/>
        <v>220.27388489415361</v>
      </c>
      <c r="AT828" s="6">
        <f t="shared" si="904"/>
        <v>157.90035761964157</v>
      </c>
      <c r="AU828" s="6">
        <f t="shared" si="905"/>
        <v>260.65127020552848</v>
      </c>
      <c r="AV828" s="6">
        <f t="shared" si="906"/>
        <v>311.80236266549036</v>
      </c>
      <c r="AW828" s="58">
        <f t="shared" si="912"/>
        <v>2002</v>
      </c>
      <c r="AX828" s="58">
        <f>COUNTIF(AW$3:AW828,AW828)</f>
        <v>11</v>
      </c>
    </row>
    <row r="829" spans="1:50" x14ac:dyDescent="0.25">
      <c r="A829" s="5">
        <v>37542</v>
      </c>
      <c r="B829">
        <v>835.32</v>
      </c>
      <c r="C829">
        <v>1.56</v>
      </c>
      <c r="D829" s="6">
        <v>35.700001</v>
      </c>
      <c r="E829" s="18">
        <f t="shared" si="925"/>
        <v>37.380000000000003</v>
      </c>
      <c r="F829">
        <f t="shared" si="926"/>
        <v>-3</v>
      </c>
      <c r="G829" s="18">
        <f>ROUND(INDEX(Valuation!U:U,MATCH(A829,Valuation!A:A,0)),2)</f>
        <v>191.06</v>
      </c>
      <c r="H829">
        <f t="shared" si="933"/>
        <v>2</v>
      </c>
      <c r="I829" s="18">
        <f>INDEX(WeeklyIndicators!Y:Y,MATCH(A829,WeeklyIndicators!A:A,0))</f>
        <v>83.2</v>
      </c>
      <c r="J829">
        <f t="shared" si="922"/>
        <v>-2</v>
      </c>
      <c r="K829">
        <f>ROUND(INDEX(Economic!AF:AF,MATCH(EOMONTH($A829,-1),Economic!A:A,0)),2)</f>
        <v>88.41</v>
      </c>
      <c r="L829" s="11">
        <f t="shared" si="931"/>
        <v>-1</v>
      </c>
      <c r="M829">
        <f>ROUND(INDEX(Manufacturing!P:P,MATCH(EOMONTH($A829,-1),Manufacturing!A:A,0)),2)</f>
        <v>88.98</v>
      </c>
      <c r="N829">
        <f t="shared" si="927"/>
        <v>0</v>
      </c>
      <c r="O829">
        <f>ROUND(INDEX(Housing!AC:AC,MATCH(EOMONTH($A829,-1),Housing!B:B,0)),2)</f>
        <v>119.17</v>
      </c>
      <c r="P829">
        <f t="shared" si="928"/>
        <v>1</v>
      </c>
      <c r="Q829">
        <f>ROUND(INDEX(Spending!AJ:AJ,MATCH(EOMONTH($A829,-1),Spending!B:B,0)),2)</f>
        <v>60.3</v>
      </c>
      <c r="R829">
        <f t="shared" si="932"/>
        <v>2</v>
      </c>
      <c r="S829">
        <f>ROUND(INDEX(Employment!V:V,MATCH(EOMONTH($A829,-1),Employment!A:A,0)),2)</f>
        <v>125.36</v>
      </c>
      <c r="T829" s="11">
        <f t="shared" si="929"/>
        <v>-2</v>
      </c>
      <c r="U829">
        <f t="shared" si="921"/>
        <v>17</v>
      </c>
      <c r="V829">
        <f t="shared" si="913"/>
        <v>63.09</v>
      </c>
      <c r="W829" s="13">
        <f t="shared" si="914"/>
        <v>-1.2E-2</v>
      </c>
      <c r="X829" s="13">
        <f t="shared" si="915"/>
        <v>-3.5199999999999995E-2</v>
      </c>
      <c r="Y829">
        <f t="shared" si="907"/>
        <v>65.650000000000006</v>
      </c>
      <c r="Z829" s="13">
        <f t="shared" si="902"/>
        <v>-5.0000000000000001E-3</v>
      </c>
      <c r="AA829" s="13">
        <f t="shared" si="934"/>
        <v>-3.56E-2</v>
      </c>
      <c r="AB829" s="6">
        <f t="shared" si="908"/>
        <v>76.625999999999991</v>
      </c>
      <c r="AC829">
        <f t="shared" ref="AC829:AC892" si="936">IF(ROUND(AB829/2,0)&lt;0,0,ROUND(AB829/2,0))</f>
        <v>38</v>
      </c>
      <c r="AD829" s="11">
        <f t="shared" si="901"/>
        <v>0</v>
      </c>
      <c r="AE829">
        <f t="shared" si="935"/>
        <v>19</v>
      </c>
      <c r="AF829">
        <f>IF(AND(AE829&lt;15,OR(AC829&gt;=30,AA829&gt;0.15,X829&gt;=0.15)),2,VLOOKUP(AE829,Table!P:Q,2,FALSE))</f>
        <v>2</v>
      </c>
      <c r="AG829" s="22">
        <f>IF((AB829*0.98)-(D829*0.8)+((AF829-3)*3)+VLOOKUP(AM829,Table!$A$11:$B$13,2,FALSE)&lt;0,0,(AB829*0.98)-(D829*0.8)+((AF829-3)*3)+VLOOKUP(AM829,Table!$A$11:$B$13,2,FALSE))</f>
        <v>51.533479199999988</v>
      </c>
      <c r="AH829" s="22">
        <f t="shared" si="930"/>
        <v>51</v>
      </c>
      <c r="AI829" s="18">
        <f t="shared" si="923"/>
        <v>1.63</v>
      </c>
      <c r="AJ829" s="18">
        <f t="shared" si="924"/>
        <v>1.69</v>
      </c>
      <c r="AK829" t="str">
        <f t="shared" si="909"/>
        <v/>
      </c>
      <c r="AL829">
        <f t="shared" si="920"/>
        <v>19.5</v>
      </c>
      <c r="AM829" s="11" t="str">
        <f t="shared" si="910"/>
        <v>Stocks</v>
      </c>
      <c r="AN829" t="str">
        <f t="shared" si="916"/>
        <v>Sell</v>
      </c>
      <c r="AO829" s="13">
        <f t="shared" si="917"/>
        <v>5.8700000000000002E-2</v>
      </c>
      <c r="AP829" s="13">
        <f t="shared" si="918"/>
        <v>2.9999999999999997E-4</v>
      </c>
      <c r="AQ829" s="13">
        <f t="shared" si="919"/>
        <v>3.0099999999999998E-2</v>
      </c>
      <c r="AR829" s="13">
        <f t="shared" si="911"/>
        <v>5.8700000000000002E-2</v>
      </c>
      <c r="AS829" s="6">
        <f t="shared" si="903"/>
        <v>208.06072059521452</v>
      </c>
      <c r="AT829" s="6">
        <f t="shared" si="904"/>
        <v>157.85300171912584</v>
      </c>
      <c r="AU829" s="6">
        <f t="shared" si="905"/>
        <v>253.03491913943159</v>
      </c>
      <c r="AV829" s="6">
        <f t="shared" si="906"/>
        <v>294.51436919381354</v>
      </c>
      <c r="AW829" s="58">
        <f t="shared" si="912"/>
        <v>2002</v>
      </c>
      <c r="AX829" s="58">
        <f>COUNTIF(AW$3:AW829,AW829)</f>
        <v>12</v>
      </c>
    </row>
    <row r="830" spans="1:50" x14ac:dyDescent="0.25">
      <c r="A830" s="5">
        <v>37535</v>
      </c>
      <c r="B830">
        <v>800.58</v>
      </c>
      <c r="C830">
        <v>1.55</v>
      </c>
      <c r="D830" s="6">
        <v>39.459999000000003</v>
      </c>
      <c r="E830" s="18">
        <f t="shared" si="925"/>
        <v>38.47</v>
      </c>
      <c r="F830">
        <f t="shared" si="926"/>
        <v>-3</v>
      </c>
      <c r="G830" s="18">
        <f>ROUND(INDEX(Valuation!U:U,MATCH(A830,Valuation!A:A,0)),2)</f>
        <v>187.24</v>
      </c>
      <c r="H830">
        <f t="shared" si="933"/>
        <v>2</v>
      </c>
      <c r="I830" s="18">
        <f>INDEX(WeeklyIndicators!Y:Y,MATCH(A830,WeeklyIndicators!A:A,0))</f>
        <v>77.91</v>
      </c>
      <c r="J830">
        <f t="shared" si="922"/>
        <v>-2</v>
      </c>
      <c r="K830">
        <f>ROUND(INDEX(Economic!AF:AF,MATCH(EOMONTH($A830,-1),Economic!A:A,0)),2)</f>
        <v>88.41</v>
      </c>
      <c r="L830" s="11">
        <f t="shared" si="931"/>
        <v>-1</v>
      </c>
      <c r="M830">
        <f>ROUND(INDEX(Manufacturing!P:P,MATCH(EOMONTH($A830,-1),Manufacturing!A:A,0)),2)</f>
        <v>88.98</v>
      </c>
      <c r="N830">
        <f t="shared" si="927"/>
        <v>0</v>
      </c>
      <c r="O830">
        <f>ROUND(INDEX(Housing!AC:AC,MATCH(EOMONTH($A830,-1),Housing!B:B,0)),2)</f>
        <v>119.17</v>
      </c>
      <c r="P830">
        <f t="shared" si="928"/>
        <v>1</v>
      </c>
      <c r="Q830">
        <f>ROUND(INDEX(Spending!AJ:AJ,MATCH(EOMONTH($A830,-1),Spending!B:B,0)),2)</f>
        <v>60.3</v>
      </c>
      <c r="R830">
        <f t="shared" si="932"/>
        <v>2</v>
      </c>
      <c r="S830">
        <f>ROUND(INDEX(Employment!V:V,MATCH(EOMONTH($A830,-1),Employment!A:A,0)),2)</f>
        <v>125.36</v>
      </c>
      <c r="T830" s="11">
        <f t="shared" si="929"/>
        <v>-2</v>
      </c>
      <c r="U830">
        <f t="shared" si="921"/>
        <v>17</v>
      </c>
      <c r="V830">
        <f t="shared" si="913"/>
        <v>62.54</v>
      </c>
      <c r="W830" s="13">
        <f t="shared" si="914"/>
        <v>-1.6299999999999999E-2</v>
      </c>
      <c r="X830" s="13">
        <f t="shared" si="915"/>
        <v>-3.3700000000000001E-2</v>
      </c>
      <c r="Y830">
        <f t="shared" si="907"/>
        <v>64.290000000000006</v>
      </c>
      <c r="Z830" s="13">
        <f t="shared" si="902"/>
        <v>-1.5100000000000001E-2</v>
      </c>
      <c r="AA830" s="13">
        <f t="shared" si="934"/>
        <v>-4.2700000000000002E-2</v>
      </c>
      <c r="AB830" s="6">
        <f t="shared" si="908"/>
        <v>74.404000000000011</v>
      </c>
      <c r="AC830">
        <f t="shared" si="936"/>
        <v>37</v>
      </c>
      <c r="AD830" s="11">
        <f t="shared" ref="AD830:AD893" si="937">IF(AC830&gt;47,2,IF(AND(AC830&gt;41,AC830&lt;=47),1,IF(AC830&lt;15,-2,IF(AND(AC830&lt;32,AC830&gt;=15),-1,0))))</f>
        <v>0</v>
      </c>
      <c r="AE830">
        <f t="shared" si="935"/>
        <v>19</v>
      </c>
      <c r="AF830">
        <f>IF(AND(AE830&lt;15,OR(AC830&gt;=30,AA830&gt;0.15,X830&gt;=0.15)),2,VLOOKUP(AE830,Table!P:Q,2,FALSE))</f>
        <v>2</v>
      </c>
      <c r="AG830" s="22">
        <f>IF((AB830*0.98)-(D830*0.8)+((AF830-3)*3)+VLOOKUP(AM830,Table!$A$11:$B$13,2,FALSE)&lt;0,0,(AB830*0.98)-(D830*0.8)+((AF830-3)*3)+VLOOKUP(AM830,Table!$A$11:$B$13,2,FALSE))</f>
        <v>46.347920800000011</v>
      </c>
      <c r="AH830" s="22">
        <f t="shared" si="930"/>
        <v>51</v>
      </c>
      <c r="AI830" s="18">
        <f t="shared" si="923"/>
        <v>1.64</v>
      </c>
      <c r="AJ830" s="18">
        <f t="shared" si="924"/>
        <v>1.69</v>
      </c>
      <c r="AK830" t="str">
        <f t="shared" si="909"/>
        <v/>
      </c>
      <c r="AL830">
        <f t="shared" si="920"/>
        <v>20</v>
      </c>
      <c r="AM830" s="11" t="str">
        <f t="shared" si="910"/>
        <v>Stocks</v>
      </c>
      <c r="AN830" t="str">
        <f t="shared" si="916"/>
        <v>Sell</v>
      </c>
      <c r="AO830" s="13">
        <f t="shared" si="917"/>
        <v>4.3400000000000001E-2</v>
      </c>
      <c r="AP830" s="13">
        <f t="shared" si="918"/>
        <v>2.9999999999999997E-4</v>
      </c>
      <c r="AQ830" s="13">
        <f t="shared" si="919"/>
        <v>2.23E-2</v>
      </c>
      <c r="AR830" s="13">
        <f t="shared" si="911"/>
        <v>4.3400000000000001E-2</v>
      </c>
      <c r="AS830" s="6">
        <f t="shared" si="903"/>
        <v>199.40647938970145</v>
      </c>
      <c r="AT830" s="6">
        <f t="shared" si="904"/>
        <v>157.80566002111951</v>
      </c>
      <c r="AU830" s="6">
        <f t="shared" si="905"/>
        <v>247.51532733975506</v>
      </c>
      <c r="AV830" s="6">
        <f t="shared" si="906"/>
        <v>282.26410695209267</v>
      </c>
      <c r="AW830" s="58">
        <f t="shared" si="912"/>
        <v>2002</v>
      </c>
      <c r="AX830" s="58">
        <f>COUNTIF(AW$3:AW830,AW830)</f>
        <v>13</v>
      </c>
    </row>
    <row r="831" spans="1:50" x14ac:dyDescent="0.25">
      <c r="A831" s="5">
        <v>37528</v>
      </c>
      <c r="B831">
        <v>827.37</v>
      </c>
      <c r="C831">
        <v>1.62</v>
      </c>
      <c r="D831" s="6">
        <v>36.970001000000003</v>
      </c>
      <c r="E831" s="18">
        <f t="shared" si="925"/>
        <v>37.26</v>
      </c>
      <c r="F831">
        <f t="shared" si="926"/>
        <v>-3</v>
      </c>
      <c r="G831" s="18">
        <f>ROUND(INDEX(Valuation!U:U,MATCH(A831,Valuation!A:A,0)),2)</f>
        <v>181.58</v>
      </c>
      <c r="H831">
        <f t="shared" si="933"/>
        <v>2</v>
      </c>
      <c r="I831" s="18">
        <f>INDEX(WeeklyIndicators!Y:Y,MATCH(A831,WeeklyIndicators!A:A,0))</f>
        <v>77.760000000000005</v>
      </c>
      <c r="J831">
        <f t="shared" si="922"/>
        <v>-2</v>
      </c>
      <c r="K831">
        <f>ROUND(INDEX(Economic!AF:AF,MATCH(EOMONTH($A831,-1),Economic!A:A,0)),2)</f>
        <v>94.71</v>
      </c>
      <c r="L831" s="11">
        <f t="shared" si="931"/>
        <v>-1</v>
      </c>
      <c r="M831">
        <f>ROUND(INDEX(Manufacturing!P:P,MATCH(EOMONTH($A831,-1),Manufacturing!A:A,0)),2)</f>
        <v>92.26</v>
      </c>
      <c r="N831">
        <f t="shared" si="927"/>
        <v>1</v>
      </c>
      <c r="O831">
        <f>ROUND(INDEX(Housing!AC:AC,MATCH(EOMONTH($A831,-1),Housing!B:B,0)),2)</f>
        <v>122.85</v>
      </c>
      <c r="P831">
        <f t="shared" si="928"/>
        <v>1</v>
      </c>
      <c r="Q831">
        <f>ROUND(INDEX(Spending!AJ:AJ,MATCH(EOMONTH($A831,-1),Spending!B:B,0)),2)</f>
        <v>62.2</v>
      </c>
      <c r="R831">
        <f t="shared" si="932"/>
        <v>2</v>
      </c>
      <c r="S831">
        <f>ROUND(INDEX(Employment!V:V,MATCH(EOMONTH($A831,-1),Employment!A:A,0)),2)</f>
        <v>133.47</v>
      </c>
      <c r="T831" s="11">
        <f t="shared" si="929"/>
        <v>-2</v>
      </c>
      <c r="U831">
        <f t="shared" si="921"/>
        <v>18</v>
      </c>
      <c r="V831">
        <f t="shared" si="913"/>
        <v>64.97</v>
      </c>
      <c r="W831" s="13">
        <f t="shared" si="914"/>
        <v>-4.5999999999999999E-3</v>
      </c>
      <c r="X831" s="13">
        <f t="shared" si="915"/>
        <v>-2.7199999999999998E-2</v>
      </c>
      <c r="Y831">
        <f t="shared" si="907"/>
        <v>66.52</v>
      </c>
      <c r="Z831" s="13">
        <f t="shared" si="902"/>
        <v>-6.7999999999999996E-3</v>
      </c>
      <c r="AA831" s="13">
        <f t="shared" si="934"/>
        <v>-2.8999999999999998E-2</v>
      </c>
      <c r="AB831" s="6">
        <f t="shared" si="908"/>
        <v>77.128</v>
      </c>
      <c r="AC831">
        <f t="shared" si="936"/>
        <v>39</v>
      </c>
      <c r="AD831" s="11">
        <f t="shared" si="937"/>
        <v>0</v>
      </c>
      <c r="AE831">
        <f t="shared" si="935"/>
        <v>20</v>
      </c>
      <c r="AF831">
        <f>IF(AND(AE831&lt;15,OR(AC831&gt;=30,AA831&gt;0.15,X831&gt;=0.15)),2,VLOOKUP(AE831,Table!P:Q,2,FALSE))</f>
        <v>3</v>
      </c>
      <c r="AG831" s="22">
        <f>IF((AB831*0.98)-(D831*0.8)+((AF831-3)*3)+VLOOKUP(AM831,Table!$A$11:$B$13,2,FALSE)&lt;0,0,(AB831*0.98)-(D831*0.8)+((AF831-3)*3)+VLOOKUP(AM831,Table!$A$11:$B$13,2,FALSE))</f>
        <v>54.009439200000003</v>
      </c>
      <c r="AH831" s="22">
        <f t="shared" si="930"/>
        <v>55</v>
      </c>
      <c r="AI831" s="18">
        <f t="shared" si="923"/>
        <v>1.65</v>
      </c>
      <c r="AJ831" s="18">
        <f t="shared" si="924"/>
        <v>1.69</v>
      </c>
      <c r="AK831" t="str">
        <f t="shared" si="909"/>
        <v/>
      </c>
      <c r="AL831">
        <f t="shared" si="920"/>
        <v>20.5</v>
      </c>
      <c r="AM831" s="11" t="str">
        <f t="shared" si="910"/>
        <v>Stocks</v>
      </c>
      <c r="AN831" t="str">
        <f t="shared" si="916"/>
        <v>Sell</v>
      </c>
      <c r="AO831" s="13">
        <f t="shared" si="917"/>
        <v>-3.2399999999999998E-2</v>
      </c>
      <c r="AP831" s="13">
        <f t="shared" si="918"/>
        <v>2.9999999999999997E-4</v>
      </c>
      <c r="AQ831" s="13">
        <f t="shared" si="919"/>
        <v>-1.77E-2</v>
      </c>
      <c r="AR831" s="13">
        <f t="shared" si="911"/>
        <v>-3.2399999999999998E-2</v>
      </c>
      <c r="AS831" s="6">
        <f t="shared" si="903"/>
        <v>206.08358762887707</v>
      </c>
      <c r="AT831" s="6">
        <f t="shared" si="904"/>
        <v>157.75833252136312</v>
      </c>
      <c r="AU831" s="6">
        <f t="shared" si="905"/>
        <v>251.97528997226414</v>
      </c>
      <c r="AV831" s="6">
        <f t="shared" si="906"/>
        <v>291.71569548583369</v>
      </c>
      <c r="AW831" s="58">
        <f t="shared" si="912"/>
        <v>2002</v>
      </c>
      <c r="AX831" s="58">
        <f>COUNTIF(AW$3:AW831,AW831)</f>
        <v>14</v>
      </c>
    </row>
    <row r="832" spans="1:50" x14ac:dyDescent="0.25">
      <c r="A832" s="5">
        <v>37521</v>
      </c>
      <c r="B832">
        <v>845.39</v>
      </c>
      <c r="C832">
        <v>1.65</v>
      </c>
      <c r="D832" s="6">
        <v>38.979999999999997</v>
      </c>
      <c r="E832" s="18">
        <f t="shared" si="925"/>
        <v>37.04</v>
      </c>
      <c r="F832">
        <f t="shared" si="926"/>
        <v>-3</v>
      </c>
      <c r="G832" s="18">
        <f>ROUND(INDEX(Valuation!U:U,MATCH(A832,Valuation!A:A,0)),2)</f>
        <v>177.98</v>
      </c>
      <c r="H832">
        <f t="shared" si="933"/>
        <v>2</v>
      </c>
      <c r="I832" s="18">
        <f>INDEX(WeeklyIndicators!Y:Y,MATCH(A832,WeeklyIndicators!A:A,0))</f>
        <v>81.93</v>
      </c>
      <c r="J832">
        <f t="shared" si="922"/>
        <v>-2</v>
      </c>
      <c r="K832">
        <f>ROUND(INDEX(Economic!AF:AF,MATCH(EOMONTH($A832,-1),Economic!A:A,0)),2)</f>
        <v>94.71</v>
      </c>
      <c r="L832" s="11">
        <f t="shared" si="931"/>
        <v>-1</v>
      </c>
      <c r="M832">
        <f>ROUND(INDEX(Manufacturing!P:P,MATCH(EOMONTH($A832,-1),Manufacturing!A:A,0)),2)</f>
        <v>92.26</v>
      </c>
      <c r="N832">
        <f t="shared" si="927"/>
        <v>1</v>
      </c>
      <c r="O832">
        <f>ROUND(INDEX(Housing!AC:AC,MATCH(EOMONTH($A832,-1),Housing!B:B,0)),2)</f>
        <v>122.85</v>
      </c>
      <c r="P832">
        <f t="shared" si="928"/>
        <v>1</v>
      </c>
      <c r="Q832">
        <f>ROUND(INDEX(Spending!AJ:AJ,MATCH(EOMONTH($A832,-1),Spending!B:B,0)),2)</f>
        <v>62.2</v>
      </c>
      <c r="R832">
        <f t="shared" si="932"/>
        <v>2</v>
      </c>
      <c r="S832">
        <f>ROUND(INDEX(Employment!V:V,MATCH(EOMONTH($A832,-1),Employment!A:A,0)),2)</f>
        <v>133.47</v>
      </c>
      <c r="T832" s="11">
        <f t="shared" si="929"/>
        <v>-2</v>
      </c>
      <c r="U832">
        <f t="shared" si="921"/>
        <v>18</v>
      </c>
      <c r="V832">
        <f t="shared" si="913"/>
        <v>65.400000000000006</v>
      </c>
      <c r="W832" s="13">
        <f t="shared" si="914"/>
        <v>-2.3E-3</v>
      </c>
      <c r="X832" s="13">
        <f t="shared" si="915"/>
        <v>-3.2500000000000001E-2</v>
      </c>
      <c r="Y832">
        <f t="shared" si="907"/>
        <v>66.63</v>
      </c>
      <c r="Z832" s="13">
        <f t="shared" ref="Z832:Z895" si="938">ROUND((AVERAGE(Y832:Y834)-AVERAGE(Y833:Y835))/AVERAGE(Y833:Y835),4)</f>
        <v>-8.6999999999999994E-3</v>
      </c>
      <c r="AA832" s="13">
        <f t="shared" si="934"/>
        <v>-1.4899999999999997E-2</v>
      </c>
      <c r="AB832" s="6">
        <f t="shared" si="908"/>
        <v>77.787999999999997</v>
      </c>
      <c r="AC832">
        <f t="shared" si="936"/>
        <v>39</v>
      </c>
      <c r="AD832" s="11">
        <f t="shared" si="937"/>
        <v>0</v>
      </c>
      <c r="AE832">
        <f t="shared" si="935"/>
        <v>20</v>
      </c>
      <c r="AF832">
        <f>IF(AND(AE832&lt;15,OR(AC832&gt;=30,AA832&gt;0.15,X832&gt;=0.15)),2,VLOOKUP(AE832,Table!P:Q,2,FALSE))</f>
        <v>3</v>
      </c>
      <c r="AG832" s="22">
        <f>IF((AB832*0.98)-(D832*0.8)+((AF832-3)*3)+VLOOKUP(AM832,Table!$A$11:$B$13,2,FALSE)&lt;0,0,(AB832*0.98)-(D832*0.8)+((AF832-3)*3)+VLOOKUP(AM832,Table!$A$11:$B$13,2,FALSE))</f>
        <v>53.048239999999993</v>
      </c>
      <c r="AH832" s="22">
        <f t="shared" si="930"/>
        <v>57</v>
      </c>
      <c r="AI832" s="18">
        <f t="shared" si="923"/>
        <v>1.65</v>
      </c>
      <c r="AJ832" s="18">
        <f t="shared" si="924"/>
        <v>1.7</v>
      </c>
      <c r="AK832" t="str">
        <f t="shared" si="909"/>
        <v/>
      </c>
      <c r="AL832">
        <f t="shared" si="920"/>
        <v>20.75</v>
      </c>
      <c r="AM832" s="11" t="str">
        <f t="shared" si="910"/>
        <v>Stocks</v>
      </c>
      <c r="AN832" t="str">
        <f t="shared" si="916"/>
        <v>Buy</v>
      </c>
      <c r="AO832" s="13">
        <f t="shared" si="917"/>
        <v>-2.1299999999999999E-2</v>
      </c>
      <c r="AP832" s="13">
        <f t="shared" si="918"/>
        <v>2.9999999999999997E-4</v>
      </c>
      <c r="AQ832" s="13">
        <f t="shared" si="919"/>
        <v>-1.2E-2</v>
      </c>
      <c r="AR832" s="13">
        <f t="shared" si="911"/>
        <v>-2.1299999999999999E-2</v>
      </c>
      <c r="AS832" s="6">
        <f t="shared" si="903"/>
        <v>210.56870095931038</v>
      </c>
      <c r="AT832" s="6">
        <f t="shared" si="904"/>
        <v>157.71101921559844</v>
      </c>
      <c r="AU832" s="6">
        <f t="shared" si="905"/>
        <v>255.03571859540904</v>
      </c>
      <c r="AV832" s="6">
        <f t="shared" si="906"/>
        <v>298.06446866847216</v>
      </c>
      <c r="AW832" s="58">
        <f t="shared" si="912"/>
        <v>2002</v>
      </c>
      <c r="AX832" s="58">
        <f>COUNTIF(AW$3:AW832,AW832)</f>
        <v>15</v>
      </c>
    </row>
    <row r="833" spans="1:50" x14ac:dyDescent="0.25">
      <c r="A833" s="5">
        <v>37514</v>
      </c>
      <c r="B833">
        <v>889.81</v>
      </c>
      <c r="C833">
        <v>1.66</v>
      </c>
      <c r="D833" s="6">
        <v>35.82</v>
      </c>
      <c r="E833" s="18">
        <f t="shared" si="925"/>
        <v>34.93</v>
      </c>
      <c r="F833">
        <f t="shared" si="926"/>
        <v>-2</v>
      </c>
      <c r="G833" s="18">
        <f>ROUND(INDEX(Valuation!U:U,MATCH(A833,Valuation!A:A,0)),2)</f>
        <v>174.53</v>
      </c>
      <c r="H833">
        <f t="shared" si="933"/>
        <v>2</v>
      </c>
      <c r="I833" s="18">
        <f>INDEX(WeeklyIndicators!Y:Y,MATCH(A833,WeeklyIndicators!A:A,0))</f>
        <v>85.15</v>
      </c>
      <c r="J833">
        <f t="shared" si="922"/>
        <v>-2</v>
      </c>
      <c r="K833">
        <f>ROUND(INDEX(Economic!AF:AF,MATCH(EOMONTH($A833,-1),Economic!A:A,0)),2)</f>
        <v>94.71</v>
      </c>
      <c r="L833" s="11">
        <f t="shared" si="931"/>
        <v>-1</v>
      </c>
      <c r="M833">
        <f>ROUND(INDEX(Manufacturing!P:P,MATCH(EOMONTH($A833,-1),Manufacturing!A:A,0)),2)</f>
        <v>92.26</v>
      </c>
      <c r="N833">
        <f t="shared" si="927"/>
        <v>1</v>
      </c>
      <c r="O833">
        <f>ROUND(INDEX(Housing!AC:AC,MATCH(EOMONTH($A833,-1),Housing!B:B,0)),2)</f>
        <v>122.85</v>
      </c>
      <c r="P833">
        <f t="shared" si="928"/>
        <v>1</v>
      </c>
      <c r="Q833">
        <f>ROUND(INDEX(Spending!AJ:AJ,MATCH(EOMONTH($A833,-1),Spending!B:B,0)),2)</f>
        <v>62.2</v>
      </c>
      <c r="R833">
        <f t="shared" si="932"/>
        <v>2</v>
      </c>
      <c r="S833">
        <f>ROUND(INDEX(Employment!V:V,MATCH(EOMONTH($A833,-1),Employment!A:A,0)),2)</f>
        <v>133.47</v>
      </c>
      <c r="T833" s="11">
        <f t="shared" si="929"/>
        <v>-2</v>
      </c>
      <c r="U833">
        <f t="shared" si="921"/>
        <v>19</v>
      </c>
      <c r="V833">
        <f t="shared" si="913"/>
        <v>65.739999999999995</v>
      </c>
      <c r="W833" s="13">
        <f t="shared" si="914"/>
        <v>-1.0500000000000001E-2</v>
      </c>
      <c r="X833" s="13">
        <f t="shared" si="915"/>
        <v>-2.9699999999999997E-2</v>
      </c>
      <c r="Y833">
        <f t="shared" si="907"/>
        <v>67.31</v>
      </c>
      <c r="Z833" s="13">
        <f t="shared" si="938"/>
        <v>-1.21E-2</v>
      </c>
      <c r="AA833" s="13">
        <f t="shared" si="934"/>
        <v>1.37E-2</v>
      </c>
      <c r="AB833" s="6">
        <f t="shared" si="908"/>
        <v>80.073000000000008</v>
      </c>
      <c r="AC833">
        <f t="shared" si="936"/>
        <v>40</v>
      </c>
      <c r="AD833" s="11">
        <f t="shared" si="937"/>
        <v>0</v>
      </c>
      <c r="AE833">
        <f t="shared" si="935"/>
        <v>21</v>
      </c>
      <c r="AF833">
        <f>IF(AND(AE833&lt;15,OR(AC833&gt;=30,AA833&gt;0.15,X833&gt;=0.15)),2,VLOOKUP(AE833,Table!P:Q,2,FALSE))</f>
        <v>3</v>
      </c>
      <c r="AG833" s="22">
        <f>IF((AB833*0.98)-(D833*0.8)+((AF833-3)*3)+VLOOKUP(AM833,Table!$A$11:$B$13,2,FALSE)&lt;0,0,(AB833*0.98)-(D833*0.8)+((AF833-3)*3)+VLOOKUP(AM833,Table!$A$11:$B$13,2,FALSE))</f>
        <v>57.815539999999999</v>
      </c>
      <c r="AH833" s="22">
        <f t="shared" si="930"/>
        <v>60</v>
      </c>
      <c r="AI833" s="18">
        <f t="shared" si="923"/>
        <v>1.65</v>
      </c>
      <c r="AJ833" s="18">
        <f t="shared" si="924"/>
        <v>1.7</v>
      </c>
      <c r="AK833" t="str">
        <f t="shared" si="909"/>
        <v/>
      </c>
      <c r="AL833">
        <f t="shared" si="920"/>
        <v>21.5</v>
      </c>
      <c r="AM833" s="11" t="str">
        <f t="shared" si="910"/>
        <v>Stocks</v>
      </c>
      <c r="AN833" t="str">
        <f t="shared" si="916"/>
        <v>Buy</v>
      </c>
      <c r="AO833" s="13">
        <f t="shared" si="917"/>
        <v>-4.99E-2</v>
      </c>
      <c r="AP833" s="13">
        <f t="shared" si="918"/>
        <v>2.9999999999999997E-4</v>
      </c>
      <c r="AQ833" s="13">
        <f t="shared" si="919"/>
        <v>-2.98E-2</v>
      </c>
      <c r="AR833" s="13">
        <f t="shared" si="911"/>
        <v>-4.99E-2</v>
      </c>
      <c r="AS833" s="6">
        <f t="shared" si="903"/>
        <v>221.62793491138868</v>
      </c>
      <c r="AT833" s="6">
        <f t="shared" si="904"/>
        <v>157.66372009956856</v>
      </c>
      <c r="AU833" s="6">
        <f t="shared" si="905"/>
        <v>262.86922139291801</v>
      </c>
      <c r="AV833" s="6">
        <f t="shared" si="906"/>
        <v>313.71904922478916</v>
      </c>
      <c r="AW833" s="58">
        <f t="shared" si="912"/>
        <v>2002</v>
      </c>
      <c r="AX833" s="58">
        <f>COUNTIF(AW$3:AW833,AW833)</f>
        <v>16</v>
      </c>
    </row>
    <row r="834" spans="1:50" x14ac:dyDescent="0.25">
      <c r="A834" s="5">
        <v>37507</v>
      </c>
      <c r="B834">
        <v>893.92</v>
      </c>
      <c r="C834">
        <v>1.61</v>
      </c>
      <c r="D834" s="6">
        <v>36.330002</v>
      </c>
      <c r="E834" s="18">
        <f t="shared" si="925"/>
        <v>32.76</v>
      </c>
      <c r="F834">
        <f t="shared" si="926"/>
        <v>-2</v>
      </c>
      <c r="G834" s="18">
        <f>ROUND(INDEX(Valuation!U:U,MATCH(A834,Valuation!A:A,0)),2)</f>
        <v>171.84</v>
      </c>
      <c r="H834">
        <f t="shared" si="933"/>
        <v>2</v>
      </c>
      <c r="I834" s="18">
        <f>INDEX(WeeklyIndicators!Y:Y,MATCH(A834,WeeklyIndicators!A:A,0))</f>
        <v>86.43</v>
      </c>
      <c r="J834">
        <f t="shared" si="922"/>
        <v>-2</v>
      </c>
      <c r="K834">
        <f>ROUND(INDEX(Economic!AF:AF,MATCH(EOMONTH($A834,-1),Economic!A:A,0)),2)</f>
        <v>94.71</v>
      </c>
      <c r="L834" s="11">
        <f t="shared" si="931"/>
        <v>-1</v>
      </c>
      <c r="M834">
        <f>ROUND(INDEX(Manufacturing!P:P,MATCH(EOMONTH($A834,-1),Manufacturing!A:A,0)),2)</f>
        <v>92.26</v>
      </c>
      <c r="N834">
        <f t="shared" si="927"/>
        <v>1</v>
      </c>
      <c r="O834">
        <f>ROUND(INDEX(Housing!AC:AC,MATCH(EOMONTH($A834,-1),Housing!B:B,0)),2)</f>
        <v>122.85</v>
      </c>
      <c r="P834">
        <f t="shared" si="928"/>
        <v>1</v>
      </c>
      <c r="Q834">
        <f>ROUND(INDEX(Spending!AJ:AJ,MATCH(EOMONTH($A834,-1),Spending!B:B,0)),2)</f>
        <v>62.2</v>
      </c>
      <c r="R834">
        <f t="shared" si="932"/>
        <v>2</v>
      </c>
      <c r="S834">
        <f>ROUND(INDEX(Employment!V:V,MATCH(EOMONTH($A834,-1),Employment!A:A,0)),2)</f>
        <v>133.47</v>
      </c>
      <c r="T834" s="11">
        <f t="shared" si="929"/>
        <v>-2</v>
      </c>
      <c r="U834">
        <f t="shared" si="921"/>
        <v>19</v>
      </c>
      <c r="V834">
        <f t="shared" si="913"/>
        <v>65.87</v>
      </c>
      <c r="W834" s="13">
        <f t="shared" si="914"/>
        <v>-9.7999999999999997E-3</v>
      </c>
      <c r="X834" s="13">
        <f t="shared" si="915"/>
        <v>-2.0500000000000001E-2</v>
      </c>
      <c r="Y834">
        <f t="shared" si="907"/>
        <v>67.900000000000006</v>
      </c>
      <c r="Z834" s="13">
        <f t="shared" si="938"/>
        <v>-1.4E-3</v>
      </c>
      <c r="AA834" s="13">
        <f t="shared" si="934"/>
        <v>3.5500000000000004E-2</v>
      </c>
      <c r="AB834" s="6">
        <f t="shared" si="908"/>
        <v>81.953999999999994</v>
      </c>
      <c r="AC834">
        <f t="shared" si="936"/>
        <v>41</v>
      </c>
      <c r="AD834" s="11">
        <f t="shared" si="937"/>
        <v>0</v>
      </c>
      <c r="AE834">
        <f t="shared" si="935"/>
        <v>21</v>
      </c>
      <c r="AF834">
        <f>IF(AND(AE834&lt;15,OR(AC834&gt;=30,AA834&gt;0.15,X834&gt;=0.15)),2,VLOOKUP(AE834,Table!P:Q,2,FALSE))</f>
        <v>3</v>
      </c>
      <c r="AG834" s="22">
        <f>IF((AB834*0.98)-(D834*0.8)+((AF834-3)*3)+VLOOKUP(AM834,Table!$A$11:$B$13,2,FALSE)&lt;0,0,(AB834*0.98)-(D834*0.8)+((AF834-3)*3)+VLOOKUP(AM834,Table!$A$11:$B$13,2,FALSE))</f>
        <v>59.250918399999989</v>
      </c>
      <c r="AH834" s="22">
        <f t="shared" si="930"/>
        <v>62</v>
      </c>
      <c r="AI834" s="18">
        <f t="shared" si="923"/>
        <v>1.66</v>
      </c>
      <c r="AJ834" s="18">
        <f t="shared" si="924"/>
        <v>1.7</v>
      </c>
      <c r="AK834" t="str">
        <f t="shared" si="909"/>
        <v/>
      </c>
      <c r="AL834">
        <f t="shared" si="920"/>
        <v>21.75</v>
      </c>
      <c r="AM834" s="11" t="str">
        <f t="shared" si="910"/>
        <v>Stocks</v>
      </c>
      <c r="AN834" t="str">
        <f t="shared" si="916"/>
        <v>Buy</v>
      </c>
      <c r="AO834" s="13">
        <f t="shared" si="917"/>
        <v>-4.5999999999999999E-3</v>
      </c>
      <c r="AP834" s="13">
        <f t="shared" si="918"/>
        <v>2.9999999999999997E-4</v>
      </c>
      <c r="AQ834" s="13">
        <f t="shared" si="919"/>
        <v>-2.7000000000000001E-3</v>
      </c>
      <c r="AR834" s="13">
        <f t="shared" si="911"/>
        <v>-4.5999999999999999E-3</v>
      </c>
      <c r="AS834" s="6">
        <f t="shared" si="903"/>
        <v>222.65213473115199</v>
      </c>
      <c r="AT834" s="6">
        <f t="shared" si="904"/>
        <v>157.61643516901788</v>
      </c>
      <c r="AU834" s="6">
        <f t="shared" si="905"/>
        <v>263.58088979536552</v>
      </c>
      <c r="AV834" s="6">
        <f t="shared" si="906"/>
        <v>315.16882582357761</v>
      </c>
      <c r="AW834" s="58">
        <f t="shared" si="912"/>
        <v>2002</v>
      </c>
      <c r="AX834" s="58">
        <f>COUNTIF(AW$3:AW834,AW834)</f>
        <v>17</v>
      </c>
    </row>
    <row r="835" spans="1:50" x14ac:dyDescent="0.25">
      <c r="A835" s="5">
        <v>37500</v>
      </c>
      <c r="B835">
        <v>916.07</v>
      </c>
      <c r="C835">
        <v>1.65</v>
      </c>
      <c r="D835" s="6">
        <v>32.639999000000003</v>
      </c>
      <c r="E835" s="18">
        <f t="shared" si="925"/>
        <v>30.26</v>
      </c>
      <c r="F835">
        <f t="shared" si="926"/>
        <v>-2</v>
      </c>
      <c r="G835" s="18">
        <f>ROUND(INDEX(Valuation!U:U,MATCH(A835,Valuation!A:A,0)),2)</f>
        <v>168.71</v>
      </c>
      <c r="H835">
        <f t="shared" si="933"/>
        <v>2</v>
      </c>
      <c r="I835" s="18">
        <f>INDEX(WeeklyIndicators!Y:Y,MATCH(A835,WeeklyIndicators!A:A,0))</f>
        <v>86.28</v>
      </c>
      <c r="J835">
        <f t="shared" si="922"/>
        <v>-2</v>
      </c>
      <c r="K835">
        <f>ROUND(INDEX(Economic!AF:AF,MATCH(EOMONTH($A835,-1),Economic!A:A,0)),2)</f>
        <v>94.71</v>
      </c>
      <c r="L835" s="11">
        <f t="shared" si="931"/>
        <v>-1</v>
      </c>
      <c r="M835">
        <f>ROUND(INDEX(Manufacturing!P:P,MATCH(EOMONTH($A835,-1),Manufacturing!A:A,0)),2)</f>
        <v>92.26</v>
      </c>
      <c r="N835">
        <f t="shared" si="927"/>
        <v>1</v>
      </c>
      <c r="O835">
        <f>ROUND(INDEX(Housing!AC:AC,MATCH(EOMONTH($A835,-1),Housing!B:B,0)),2)</f>
        <v>122.85</v>
      </c>
      <c r="P835">
        <f t="shared" si="928"/>
        <v>1</v>
      </c>
      <c r="Q835">
        <f>ROUND(INDEX(Spending!AJ:AJ,MATCH(EOMONTH($A835,-1),Spending!B:B,0)),2)</f>
        <v>62.2</v>
      </c>
      <c r="R835">
        <f t="shared" si="932"/>
        <v>2</v>
      </c>
      <c r="S835">
        <f>ROUND(INDEX(Employment!V:V,MATCH(EOMONTH($A835,-1),Employment!A:A,0)),2)</f>
        <v>133.47</v>
      </c>
      <c r="T835" s="11">
        <f t="shared" si="929"/>
        <v>-2</v>
      </c>
      <c r="U835">
        <f t="shared" si="921"/>
        <v>19</v>
      </c>
      <c r="V835">
        <f t="shared" si="913"/>
        <v>65.849999999999994</v>
      </c>
      <c r="W835" s="13">
        <f t="shared" si="914"/>
        <v>-9.9000000000000008E-3</v>
      </c>
      <c r="X835" s="13">
        <f t="shared" si="915"/>
        <v>-1.3400000000000002E-2</v>
      </c>
      <c r="Y835">
        <f t="shared" si="907"/>
        <v>68.41</v>
      </c>
      <c r="Z835" s="13">
        <f t="shared" si="938"/>
        <v>7.3000000000000001E-3</v>
      </c>
      <c r="AA835" s="13">
        <f t="shared" si="934"/>
        <v>3.8700000000000005E-2</v>
      </c>
      <c r="AB835" s="6">
        <f t="shared" si="908"/>
        <v>82.430999999999997</v>
      </c>
      <c r="AC835">
        <f t="shared" si="936"/>
        <v>41</v>
      </c>
      <c r="AD835" s="11">
        <f t="shared" si="937"/>
        <v>0</v>
      </c>
      <c r="AE835">
        <f t="shared" si="935"/>
        <v>21</v>
      </c>
      <c r="AF835">
        <f>IF(AND(AE835&lt;15,OR(AC835&gt;=30,AA835&gt;0.15,X835&gt;=0.15)),2,VLOOKUP(AE835,Table!P:Q,2,FALSE))</f>
        <v>3</v>
      </c>
      <c r="AG835" s="22">
        <f>IF((AB835*0.98)-(D835*0.8)+((AF835-3)*3)+VLOOKUP(AM835,Table!$A$11:$B$13,2,FALSE)&lt;0,0,(AB835*0.98)-(D835*0.8)+((AF835-3)*3)+VLOOKUP(AM835,Table!$A$11:$B$13,2,FALSE))</f>
        <v>62.67038079999999</v>
      </c>
      <c r="AH835" s="22">
        <f t="shared" si="930"/>
        <v>63</v>
      </c>
      <c r="AI835" s="18">
        <f t="shared" si="923"/>
        <v>1.67</v>
      </c>
      <c r="AJ835" s="18">
        <f t="shared" si="924"/>
        <v>1.7</v>
      </c>
      <c r="AK835" t="str">
        <f t="shared" si="909"/>
        <v/>
      </c>
      <c r="AL835">
        <f t="shared" si="920"/>
        <v>21.75</v>
      </c>
      <c r="AM835" s="11" t="str">
        <f t="shared" si="910"/>
        <v>Stocks</v>
      </c>
      <c r="AN835" t="str">
        <f t="shared" si="916"/>
        <v>Buy</v>
      </c>
      <c r="AO835" s="13">
        <f t="shared" si="917"/>
        <v>-2.4199999999999999E-2</v>
      </c>
      <c r="AP835" s="13">
        <f t="shared" si="918"/>
        <v>2.9999999999999997E-4</v>
      </c>
      <c r="AQ835" s="13">
        <f t="shared" si="919"/>
        <v>-1.5100000000000001E-2</v>
      </c>
      <c r="AR835" s="13">
        <f t="shared" si="911"/>
        <v>-2.4199999999999999E-2</v>
      </c>
      <c r="AS835" s="6">
        <f t="shared" ref="AS835:AS898" si="939">AS836*(1+AO836)</f>
        <v>228.17394418031563</v>
      </c>
      <c r="AT835" s="6">
        <f t="shared" ref="AT835:AT898" si="940">AT836*(1+AP836)</f>
        <v>157.56916441969199</v>
      </c>
      <c r="AU835" s="6">
        <f t="shared" ref="AU835:AU898" si="941">AU836*(1+AQ836)</f>
        <v>267.62198171932738</v>
      </c>
      <c r="AV835" s="6">
        <f t="shared" ref="AV835:AV898" si="942">AV836*(1+AR836)</f>
        <v>322.98506438161263</v>
      </c>
      <c r="AW835" s="58">
        <f t="shared" si="912"/>
        <v>2002</v>
      </c>
      <c r="AX835" s="58">
        <f>COUNTIF(AW$3:AW835,AW835)</f>
        <v>18</v>
      </c>
    </row>
    <row r="836" spans="1:50" x14ac:dyDescent="0.25">
      <c r="A836" s="5">
        <v>37493</v>
      </c>
      <c r="B836">
        <v>940.86</v>
      </c>
      <c r="C836">
        <v>1.61</v>
      </c>
      <c r="D836" s="6">
        <v>29.32</v>
      </c>
      <c r="E836" s="18">
        <f t="shared" si="925"/>
        <v>31.15</v>
      </c>
      <c r="F836">
        <f t="shared" si="926"/>
        <v>-2</v>
      </c>
      <c r="G836" s="18">
        <f>ROUND(INDEX(Valuation!U:U,MATCH(A836,Valuation!A:A,0)),2)</f>
        <v>166.22</v>
      </c>
      <c r="H836">
        <f t="shared" si="933"/>
        <v>2</v>
      </c>
      <c r="I836" s="18">
        <f>INDEX(WeeklyIndicators!Y:Y,MATCH(A836,WeeklyIndicators!A:A,0))</f>
        <v>87.49</v>
      </c>
      <c r="J836">
        <f t="shared" si="922"/>
        <v>-2</v>
      </c>
      <c r="K836">
        <f>ROUND(INDEX(Economic!AF:AF,MATCH(EOMONTH($A836,-1),Economic!A:A,0)),2)</f>
        <v>101.16</v>
      </c>
      <c r="L836" s="11">
        <f t="shared" si="931"/>
        <v>0</v>
      </c>
      <c r="M836">
        <f>ROUND(INDEX(Manufacturing!P:P,MATCH(EOMONTH($A836,-1),Manufacturing!A:A,0)),2)</f>
        <v>94.06</v>
      </c>
      <c r="N836">
        <f t="shared" si="927"/>
        <v>1</v>
      </c>
      <c r="O836">
        <f>ROUND(INDEX(Housing!AC:AC,MATCH(EOMONTH($A836,-1),Housing!B:B,0)),2)</f>
        <v>130.9</v>
      </c>
      <c r="P836">
        <f t="shared" si="928"/>
        <v>2</v>
      </c>
      <c r="Q836">
        <f>ROUND(INDEX(Spending!AJ:AJ,MATCH(EOMONTH($A836,-1),Spending!B:B,0)),2)</f>
        <v>60.77</v>
      </c>
      <c r="R836">
        <f t="shared" si="932"/>
        <v>2</v>
      </c>
      <c r="S836">
        <f>ROUND(INDEX(Employment!V:V,MATCH(EOMONTH($A836,-1),Employment!A:A,0)),2)</f>
        <v>136.58000000000001</v>
      </c>
      <c r="T836" s="11">
        <f t="shared" si="929"/>
        <v>-2</v>
      </c>
      <c r="U836">
        <f t="shared" si="921"/>
        <v>21</v>
      </c>
      <c r="V836">
        <f t="shared" si="913"/>
        <v>67.83</v>
      </c>
      <c r="W836" s="13">
        <f t="shared" si="914"/>
        <v>5.0000000000000001E-4</v>
      </c>
      <c r="X836" s="13">
        <f t="shared" si="915"/>
        <v>-1.06E-2</v>
      </c>
      <c r="Y836">
        <f t="shared" ref="Y836:Y899" si="943">ROUND(((K836*0.745)+(M836*0.745)+(O836*0.36)+(Q836*0.45)+(S836*0.45)+(I836*0.55)+(G836*0.59)-(E836*1.85))/5.3,2)</f>
        <v>69.8</v>
      </c>
      <c r="Z836" s="13">
        <f t="shared" si="938"/>
        <v>1.9900000000000001E-2</v>
      </c>
      <c r="AA836" s="13">
        <f t="shared" si="934"/>
        <v>2.0100000000000007E-2</v>
      </c>
      <c r="AB836" s="6">
        <f t="shared" ref="AB836:AB899" si="944">IF(ROUND(Y836+(X836*10)+(V836/30)+(AA836*67),2)+5+((G836-125)*0.1)&lt;0,0,ROUND(Y836+(X836*10)+(V836/30)+(AA836*67),2)+5+((G836-125)*0.1))</f>
        <v>82.421999999999997</v>
      </c>
      <c r="AC836">
        <f t="shared" si="936"/>
        <v>41</v>
      </c>
      <c r="AD836" s="11">
        <f t="shared" si="937"/>
        <v>0</v>
      </c>
      <c r="AE836">
        <f t="shared" si="935"/>
        <v>23</v>
      </c>
      <c r="AF836">
        <f>IF(AND(AE836&lt;15,OR(AC836&gt;=30,AA836&gt;0.15,X836&gt;=0.15)),2,VLOOKUP(AE836,Table!P:Q,2,FALSE))</f>
        <v>3</v>
      </c>
      <c r="AG836" s="22">
        <f>IF((AB836*0.98)-(D836*0.8)+((AF836-3)*3)+VLOOKUP(AM836,Table!$A$11:$B$13,2,FALSE)&lt;0,0,(AB836*0.98)-(D836*0.8)+((AF836-3)*3)+VLOOKUP(AM836,Table!$A$11:$B$13,2,FALSE))</f>
        <v>65.317559999999986</v>
      </c>
      <c r="AH836" s="22">
        <f t="shared" si="930"/>
        <v>60</v>
      </c>
      <c r="AI836" s="18">
        <f t="shared" si="923"/>
        <v>1.67</v>
      </c>
      <c r="AJ836" s="18">
        <f t="shared" si="924"/>
        <v>1.7</v>
      </c>
      <c r="AK836" t="str">
        <f t="shared" ref="AK836:AK899" si="945">IF(AND(C836&gt;AI836,AI836&gt;AJ836,C836-AJ836&gt;0.15),"Rising Rates",IF(AND(C836&lt;AI836,AI836&lt;AJ836,AJ836-C836&gt;0.15),"Falling Rates",""))</f>
        <v/>
      </c>
      <c r="AL836">
        <f t="shared" si="920"/>
        <v>21.75</v>
      </c>
      <c r="AM836" s="11" t="str">
        <f t="shared" ref="AM836:AM899" si="946">IF(OR(AND(AL836&lt;=18,G836&lt;=25),AND(AL836&lt;=14,G836&lt;200)),"Cash","Stocks")</f>
        <v>Stocks</v>
      </c>
      <c r="AN836" t="str">
        <f t="shared" si="916"/>
        <v>Buy</v>
      </c>
      <c r="AO836" s="13">
        <f t="shared" si="917"/>
        <v>-2.63E-2</v>
      </c>
      <c r="AP836" s="13">
        <f t="shared" si="918"/>
        <v>2.9999999999999997E-4</v>
      </c>
      <c r="AQ836" s="13">
        <f t="shared" si="919"/>
        <v>-1.5699999999999999E-2</v>
      </c>
      <c r="AR836" s="13">
        <f t="shared" ref="AR836:AR899" si="947">IF(AM836="Stocks",AO836,AP836)</f>
        <v>-2.63E-2</v>
      </c>
      <c r="AS836" s="6">
        <f t="shared" si="939"/>
        <v>234.33700747695966</v>
      </c>
      <c r="AT836" s="6">
        <f t="shared" si="940"/>
        <v>157.52190784733779</v>
      </c>
      <c r="AU836" s="6">
        <f t="shared" si="941"/>
        <v>271.89066516237671</v>
      </c>
      <c r="AV836" s="6">
        <f t="shared" si="942"/>
        <v>331.70901138093109</v>
      </c>
      <c r="AW836" s="58">
        <f t="shared" ref="AW836:AW899" si="948">YEAR(A836)</f>
        <v>2002</v>
      </c>
      <c r="AX836" s="58">
        <f>COUNTIF(AW$3:AW836,AW836)</f>
        <v>19</v>
      </c>
    </row>
    <row r="837" spans="1:50" x14ac:dyDescent="0.25">
      <c r="A837" s="5">
        <v>37486</v>
      </c>
      <c r="B837">
        <v>928.77</v>
      </c>
      <c r="C837">
        <v>1.61</v>
      </c>
      <c r="D837" s="6">
        <v>28.809999000000001</v>
      </c>
      <c r="E837" s="18">
        <f t="shared" si="925"/>
        <v>35.14</v>
      </c>
      <c r="F837">
        <f t="shared" si="926"/>
        <v>-3</v>
      </c>
      <c r="G837" s="18">
        <f>ROUND(INDEX(Valuation!U:U,MATCH(A837,Valuation!A:A,0)),2)</f>
        <v>164.2</v>
      </c>
      <c r="H837">
        <f t="shared" si="933"/>
        <v>2</v>
      </c>
      <c r="I837" s="18">
        <f>INDEX(WeeklyIndicators!Y:Y,MATCH(A837,WeeklyIndicators!A:A,0))</f>
        <v>87.62</v>
      </c>
      <c r="J837">
        <f t="shared" si="922"/>
        <v>-2</v>
      </c>
      <c r="K837">
        <f>ROUND(INDEX(Economic!AF:AF,MATCH(EOMONTH($A837,-1),Economic!A:A,0)),2)</f>
        <v>101.16</v>
      </c>
      <c r="L837" s="11">
        <f t="shared" si="931"/>
        <v>0</v>
      </c>
      <c r="M837">
        <f>ROUND(INDEX(Manufacturing!P:P,MATCH(EOMONTH($A837,-1),Manufacturing!A:A,0)),2)</f>
        <v>94.06</v>
      </c>
      <c r="N837">
        <f t="shared" si="927"/>
        <v>1</v>
      </c>
      <c r="O837">
        <f>ROUND(INDEX(Housing!AC:AC,MATCH(EOMONTH($A837,-1),Housing!B:B,0)),2)</f>
        <v>130.9</v>
      </c>
      <c r="P837">
        <f t="shared" si="928"/>
        <v>2</v>
      </c>
      <c r="Q837">
        <f>ROUND(INDEX(Spending!AJ:AJ,MATCH(EOMONTH($A837,-1),Spending!B:B,0)),2)</f>
        <v>60.77</v>
      </c>
      <c r="R837">
        <f t="shared" si="932"/>
        <v>2</v>
      </c>
      <c r="S837">
        <f>ROUND(INDEX(Employment!V:V,MATCH(EOMONTH($A837,-1),Employment!A:A,0)),2)</f>
        <v>136.58000000000001</v>
      </c>
      <c r="T837" s="11">
        <f t="shared" si="929"/>
        <v>-2</v>
      </c>
      <c r="U837">
        <f t="shared" si="921"/>
        <v>20</v>
      </c>
      <c r="V837">
        <f t="shared" ref="V837:V900" si="949">ROUND(((K837*0.745)+(M837*0.745)+(O837*0.36)+(Q837*0.45)+(S837*0.45)+(I837*0.55)+(60)-(30))/5.3,2)</f>
        <v>67.84</v>
      </c>
      <c r="W837" s="13">
        <f t="shared" ref="W837:W900" si="950">ROUND((AVERAGE(V837:V839)-AVERAGE(V838:V840))/AVERAGE(V838:V840),4)</f>
        <v>-1.2999999999999999E-3</v>
      </c>
      <c r="X837" s="13">
        <f t="shared" ref="X837:X900" si="951">SUM(W837:W840)</f>
        <v>-2.12E-2</v>
      </c>
      <c r="Y837">
        <f t="shared" si="943"/>
        <v>68.19</v>
      </c>
      <c r="Z837" s="13">
        <f t="shared" si="938"/>
        <v>9.7000000000000003E-3</v>
      </c>
      <c r="AA837" s="13">
        <f t="shared" si="934"/>
        <v>-1.35E-2</v>
      </c>
      <c r="AB837" s="6">
        <f t="shared" si="944"/>
        <v>78.25</v>
      </c>
      <c r="AC837">
        <f t="shared" si="936"/>
        <v>39</v>
      </c>
      <c r="AD837" s="11">
        <f t="shared" si="937"/>
        <v>0</v>
      </c>
      <c r="AE837">
        <f t="shared" si="935"/>
        <v>22</v>
      </c>
      <c r="AF837">
        <f>IF(AND(AE837&lt;15,OR(AC837&gt;=30,AA837&gt;0.15,X837&gt;=0.15)),2,VLOOKUP(AE837,Table!P:Q,2,FALSE))</f>
        <v>3</v>
      </c>
      <c r="AG837" s="22">
        <f>IF((AB837*0.98)-(D837*0.8)+((AF837-3)*3)+VLOOKUP(AM837,Table!$A$11:$B$13,2,FALSE)&lt;0,0,(AB837*0.98)-(D837*0.8)+((AF837-3)*3)+VLOOKUP(AM837,Table!$A$11:$B$13,2,FALSE))</f>
        <v>61.637000799999996</v>
      </c>
      <c r="AH837" s="22">
        <f t="shared" si="930"/>
        <v>54</v>
      </c>
      <c r="AI837" s="18">
        <f t="shared" si="923"/>
        <v>1.68</v>
      </c>
      <c r="AJ837" s="18">
        <f t="shared" si="924"/>
        <v>1.71</v>
      </c>
      <c r="AK837" t="str">
        <f t="shared" si="945"/>
        <v/>
      </c>
      <c r="AL837">
        <f t="shared" si="920"/>
        <v>21</v>
      </c>
      <c r="AM837" s="11" t="str">
        <f t="shared" si="946"/>
        <v>Stocks</v>
      </c>
      <c r="AN837" t="str">
        <f t="shared" ref="AN837:AN900" si="952">IF(AND(V837&gt;AG837,V837&lt;65),"Sell","Buy")</f>
        <v>Buy</v>
      </c>
      <c r="AO837" s="13">
        <f t="shared" ref="AO837:AO900" si="953">ROUND((B836/B837)-1,4)</f>
        <v>1.2999999999999999E-2</v>
      </c>
      <c r="AP837" s="13">
        <f t="shared" ref="AP837:AP900" si="954">ROUND((C837*0.01)/52,4)</f>
        <v>2.9999999999999997E-4</v>
      </c>
      <c r="AQ837" s="13">
        <f t="shared" ref="AQ837:AQ900" si="955">ROUND(((AH837*0.01)*AO837)+(((100-AH837)*0.01)*AP837),4)</f>
        <v>7.1999999999999998E-3</v>
      </c>
      <c r="AR837" s="13">
        <f t="shared" si="947"/>
        <v>1.2999999999999999E-2</v>
      </c>
      <c r="AS837" s="6">
        <f t="shared" si="939"/>
        <v>231.32972110262554</v>
      </c>
      <c r="AT837" s="6">
        <f t="shared" si="940"/>
        <v>157.47466544770347</v>
      </c>
      <c r="AU837" s="6">
        <f t="shared" si="941"/>
        <v>269.94704642809438</v>
      </c>
      <c r="AV837" s="6">
        <f t="shared" si="942"/>
        <v>327.45213364356476</v>
      </c>
      <c r="AW837" s="58">
        <f t="shared" si="948"/>
        <v>2002</v>
      </c>
      <c r="AX837" s="58">
        <f>COUNTIF(AW$3:AW837,AW837)</f>
        <v>20</v>
      </c>
    </row>
    <row r="838" spans="1:50" x14ac:dyDescent="0.25">
      <c r="A838" s="5">
        <v>37479</v>
      </c>
      <c r="B838">
        <v>908.64</v>
      </c>
      <c r="C838">
        <v>1.59</v>
      </c>
      <c r="D838" s="6">
        <v>35.330002</v>
      </c>
      <c r="E838" s="18">
        <f t="shared" si="925"/>
        <v>37.380000000000003</v>
      </c>
      <c r="F838">
        <f t="shared" si="926"/>
        <v>-3</v>
      </c>
      <c r="G838" s="18">
        <f>ROUND(INDEX(Valuation!U:U,MATCH(A838,Valuation!A:A,0)),2)</f>
        <v>159.66999999999999</v>
      </c>
      <c r="H838">
        <f t="shared" si="933"/>
        <v>1</v>
      </c>
      <c r="I838" s="18">
        <f>INDEX(WeeklyIndicators!Y:Y,MATCH(A838,WeeklyIndicators!A:A,0))</f>
        <v>87.76</v>
      </c>
      <c r="J838">
        <f t="shared" si="922"/>
        <v>-2</v>
      </c>
      <c r="K838">
        <f>ROUND(INDEX(Economic!AF:AF,MATCH(EOMONTH($A838,-1),Economic!A:A,0)),2)</f>
        <v>101.16</v>
      </c>
      <c r="L838" s="11">
        <f t="shared" si="931"/>
        <v>0</v>
      </c>
      <c r="M838">
        <f>ROUND(INDEX(Manufacturing!P:P,MATCH(EOMONTH($A838,-1),Manufacturing!A:A,0)),2)</f>
        <v>94.06</v>
      </c>
      <c r="N838">
        <f t="shared" si="927"/>
        <v>1</v>
      </c>
      <c r="O838">
        <f>ROUND(INDEX(Housing!AC:AC,MATCH(EOMONTH($A838,-1),Housing!B:B,0)),2)</f>
        <v>130.9</v>
      </c>
      <c r="P838">
        <f t="shared" si="928"/>
        <v>2</v>
      </c>
      <c r="Q838">
        <f>ROUND(INDEX(Spending!AJ:AJ,MATCH(EOMONTH($A838,-1),Spending!B:B,0)),2)</f>
        <v>60.77</v>
      </c>
      <c r="R838">
        <f t="shared" si="932"/>
        <v>2</v>
      </c>
      <c r="S838">
        <f>ROUND(INDEX(Employment!V:V,MATCH(EOMONTH($A838,-1),Employment!A:A,0)),2)</f>
        <v>136.58000000000001</v>
      </c>
      <c r="T838" s="11">
        <f t="shared" si="929"/>
        <v>-2</v>
      </c>
      <c r="U838">
        <f t="shared" si="921"/>
        <v>19</v>
      </c>
      <c r="V838">
        <f t="shared" si="949"/>
        <v>67.86</v>
      </c>
      <c r="W838" s="13">
        <f t="shared" si="950"/>
        <v>-2.7000000000000001E-3</v>
      </c>
      <c r="X838" s="13">
        <f t="shared" si="951"/>
        <v>-2.8900000000000002E-2</v>
      </c>
      <c r="Y838">
        <f t="shared" si="943"/>
        <v>66.92</v>
      </c>
      <c r="Z838" s="13">
        <f t="shared" si="938"/>
        <v>1.8E-3</v>
      </c>
      <c r="AA838" s="13">
        <f t="shared" si="934"/>
        <v>-3.32E-2</v>
      </c>
      <c r="AB838" s="6">
        <f t="shared" si="944"/>
        <v>75.137</v>
      </c>
      <c r="AC838">
        <f t="shared" si="936"/>
        <v>38</v>
      </c>
      <c r="AD838" s="11">
        <f t="shared" si="937"/>
        <v>0</v>
      </c>
      <c r="AE838">
        <f t="shared" si="935"/>
        <v>21</v>
      </c>
      <c r="AF838">
        <f>IF(AND(AE838&lt;15,OR(AC838&gt;=30,AA838&gt;0.15,X838&gt;=0.15)),2,VLOOKUP(AE838,Table!P:Q,2,FALSE))</f>
        <v>3</v>
      </c>
      <c r="AG838" s="22">
        <f>IF((AB838*0.98)-(D838*0.8)+((AF838-3)*3)+VLOOKUP(AM838,Table!$A$11:$B$13,2,FALSE)&lt;0,0,(AB838*0.98)-(D838*0.8)+((AF838-3)*3)+VLOOKUP(AM838,Table!$A$11:$B$13,2,FALSE))</f>
        <v>53.370258399999997</v>
      </c>
      <c r="AH838" s="22">
        <f t="shared" si="930"/>
        <v>51</v>
      </c>
      <c r="AI838" s="18">
        <f t="shared" si="923"/>
        <v>1.69</v>
      </c>
      <c r="AJ838" s="18">
        <f t="shared" si="924"/>
        <v>1.72</v>
      </c>
      <c r="AK838" t="str">
        <f t="shared" si="945"/>
        <v/>
      </c>
      <c r="AL838">
        <f t="shared" si="920"/>
        <v>20.75</v>
      </c>
      <c r="AM838" s="11" t="str">
        <f t="shared" si="946"/>
        <v>Stocks</v>
      </c>
      <c r="AN838" t="str">
        <f t="shared" si="952"/>
        <v>Buy</v>
      </c>
      <c r="AO838" s="13">
        <f t="shared" si="953"/>
        <v>2.2200000000000001E-2</v>
      </c>
      <c r="AP838" s="13">
        <f t="shared" si="954"/>
        <v>2.9999999999999997E-4</v>
      </c>
      <c r="AQ838" s="13">
        <f t="shared" si="955"/>
        <v>1.15E-2</v>
      </c>
      <c r="AR838" s="13">
        <f t="shared" si="947"/>
        <v>2.2200000000000001E-2</v>
      </c>
      <c r="AS838" s="6">
        <f t="shared" si="939"/>
        <v>226.30573381199915</v>
      </c>
      <c r="AT838" s="6">
        <f t="shared" si="940"/>
        <v>157.42743721653852</v>
      </c>
      <c r="AU838" s="6">
        <f t="shared" si="941"/>
        <v>266.8779500030592</v>
      </c>
      <c r="AV838" s="6">
        <f t="shared" si="942"/>
        <v>320.3405729246378</v>
      </c>
      <c r="AW838" s="58">
        <f t="shared" si="948"/>
        <v>2002</v>
      </c>
      <c r="AX838" s="58">
        <f>COUNTIF(AW$3:AW838,AW838)</f>
        <v>21</v>
      </c>
    </row>
    <row r="839" spans="1:50" x14ac:dyDescent="0.25">
      <c r="A839" s="5">
        <v>37472</v>
      </c>
      <c r="B839">
        <v>864.24</v>
      </c>
      <c r="C839">
        <v>1.66</v>
      </c>
      <c r="D839" s="6">
        <v>41.290000999999997</v>
      </c>
      <c r="E839" s="18">
        <f t="shared" si="925"/>
        <v>38.32</v>
      </c>
      <c r="F839">
        <f t="shared" si="926"/>
        <v>-3</v>
      </c>
      <c r="G839" s="18">
        <f>ROUND(INDEX(Valuation!U:U,MATCH(A839,Valuation!A:A,0)),2)</f>
        <v>153.61000000000001</v>
      </c>
      <c r="H839">
        <f t="shared" si="933"/>
        <v>1</v>
      </c>
      <c r="I839" s="18">
        <f>INDEX(WeeklyIndicators!Y:Y,MATCH(A839,WeeklyIndicators!A:A,0))</f>
        <v>86.57</v>
      </c>
      <c r="J839">
        <f t="shared" si="922"/>
        <v>-2</v>
      </c>
      <c r="K839">
        <f>ROUND(INDEX(Economic!AF:AF,MATCH(EOMONTH($A839,-1),Economic!A:A,0)),2)</f>
        <v>101.16</v>
      </c>
      <c r="L839" s="11">
        <f t="shared" si="931"/>
        <v>0</v>
      </c>
      <c r="M839">
        <f>ROUND(INDEX(Manufacturing!P:P,MATCH(EOMONTH($A839,-1),Manufacturing!A:A,0)),2)</f>
        <v>94.06</v>
      </c>
      <c r="N839">
        <f t="shared" si="927"/>
        <v>1</v>
      </c>
      <c r="O839">
        <f>ROUND(INDEX(Housing!AC:AC,MATCH(EOMONTH($A839,-1),Housing!B:B,0)),2)</f>
        <v>130.9</v>
      </c>
      <c r="P839">
        <f t="shared" si="928"/>
        <v>2</v>
      </c>
      <c r="Q839">
        <f>ROUND(INDEX(Spending!AJ:AJ,MATCH(EOMONTH($A839,-1),Spending!B:B,0)),2)</f>
        <v>60.77</v>
      </c>
      <c r="R839">
        <f t="shared" si="932"/>
        <v>2</v>
      </c>
      <c r="S839">
        <f>ROUND(INDEX(Employment!V:V,MATCH(EOMONTH($A839,-1),Employment!A:A,0)),2)</f>
        <v>136.58000000000001</v>
      </c>
      <c r="T839" s="11">
        <f t="shared" si="929"/>
        <v>-2</v>
      </c>
      <c r="U839">
        <f t="shared" si="921"/>
        <v>19</v>
      </c>
      <c r="V839">
        <f t="shared" si="949"/>
        <v>67.73</v>
      </c>
      <c r="W839" s="13">
        <f t="shared" si="950"/>
        <v>-7.1000000000000004E-3</v>
      </c>
      <c r="X839" s="13">
        <f t="shared" si="951"/>
        <v>-3.2800000000000003E-2</v>
      </c>
      <c r="Y839">
        <f t="shared" si="943"/>
        <v>65.8</v>
      </c>
      <c r="Z839" s="13">
        <f t="shared" si="938"/>
        <v>-1.1299999999999999E-2</v>
      </c>
      <c r="AA839" s="13">
        <f t="shared" si="934"/>
        <v>-3.6600000000000001E-2</v>
      </c>
      <c r="AB839" s="6">
        <f t="shared" si="944"/>
        <v>73.141000000000005</v>
      </c>
      <c r="AC839">
        <f t="shared" si="936"/>
        <v>37</v>
      </c>
      <c r="AD839" s="11">
        <f t="shared" si="937"/>
        <v>0</v>
      </c>
      <c r="AE839">
        <f t="shared" si="935"/>
        <v>21</v>
      </c>
      <c r="AF839">
        <f>IF(AND(AE839&lt;15,OR(AC839&gt;=30,AA839&gt;0.15,X839&gt;=0.15)),2,VLOOKUP(AE839,Table!P:Q,2,FALSE))</f>
        <v>3</v>
      </c>
      <c r="AG839" s="22">
        <f>IF((AB839*0.98)-(D839*0.8)+((AF839-3)*3)+VLOOKUP(AM839,Table!$A$11:$B$13,2,FALSE)&lt;0,0,(AB839*0.98)-(D839*0.8)+((AF839-3)*3)+VLOOKUP(AM839,Table!$A$11:$B$13,2,FALSE))</f>
        <v>46.646179199999999</v>
      </c>
      <c r="AH839" s="22">
        <f t="shared" si="930"/>
        <v>50</v>
      </c>
      <c r="AI839" s="18">
        <f t="shared" si="923"/>
        <v>1.7</v>
      </c>
      <c r="AJ839" s="18">
        <f t="shared" si="924"/>
        <v>1.72</v>
      </c>
      <c r="AK839" t="str">
        <f t="shared" si="945"/>
        <v/>
      </c>
      <c r="AL839">
        <f t="shared" si="920"/>
        <v>21</v>
      </c>
      <c r="AM839" s="11" t="str">
        <f t="shared" si="946"/>
        <v>Stocks</v>
      </c>
      <c r="AN839" t="str">
        <f t="shared" si="952"/>
        <v>Buy</v>
      </c>
      <c r="AO839" s="13">
        <f t="shared" si="953"/>
        <v>5.1400000000000001E-2</v>
      </c>
      <c r="AP839" s="13">
        <f t="shared" si="954"/>
        <v>2.9999999999999997E-4</v>
      </c>
      <c r="AQ839" s="13">
        <f t="shared" si="955"/>
        <v>2.5899999999999999E-2</v>
      </c>
      <c r="AR839" s="13">
        <f t="shared" si="947"/>
        <v>5.1400000000000001E-2</v>
      </c>
      <c r="AS839" s="6">
        <f t="shared" si="939"/>
        <v>215.2422805896891</v>
      </c>
      <c r="AT839" s="6">
        <f t="shared" si="940"/>
        <v>157.38022314959366</v>
      </c>
      <c r="AU839" s="6">
        <f t="shared" si="941"/>
        <v>260.14031582323736</v>
      </c>
      <c r="AV839" s="6">
        <f t="shared" si="942"/>
        <v>304.68001990169086</v>
      </c>
      <c r="AW839" s="58">
        <f t="shared" si="948"/>
        <v>2002</v>
      </c>
      <c r="AX839" s="58">
        <f>COUNTIF(AW$3:AW839,AW839)</f>
        <v>22</v>
      </c>
    </row>
    <row r="840" spans="1:50" x14ac:dyDescent="0.25">
      <c r="A840" s="5">
        <v>37465</v>
      </c>
      <c r="B840">
        <v>852.84</v>
      </c>
      <c r="C840">
        <v>1.67</v>
      </c>
      <c r="D840" s="6">
        <v>35.509998000000003</v>
      </c>
      <c r="E840" s="18">
        <f t="shared" si="925"/>
        <v>35.54</v>
      </c>
      <c r="F840">
        <f t="shared" si="926"/>
        <v>-3</v>
      </c>
      <c r="G840" s="18">
        <f>ROUND(INDEX(Valuation!U:U,MATCH(A840,Valuation!A:A,0)),2)</f>
        <v>145.78</v>
      </c>
      <c r="H840">
        <f t="shared" si="933"/>
        <v>1</v>
      </c>
      <c r="I840" s="18">
        <f>INDEX(WeeklyIndicators!Y:Y,MATCH(A840,WeeklyIndicators!A:A,0))</f>
        <v>87.62</v>
      </c>
      <c r="J840">
        <f t="shared" si="922"/>
        <v>-2</v>
      </c>
      <c r="K840">
        <f>ROUND(INDEX(Economic!AF:AF,MATCH(EOMONTH($A840,-1),Economic!A:A,0)),2)</f>
        <v>103.51</v>
      </c>
      <c r="L840" s="11">
        <f t="shared" si="931"/>
        <v>0</v>
      </c>
      <c r="M840">
        <f>ROUND(INDEX(Manufacturing!P:P,MATCH(EOMONTH($A840,-1),Manufacturing!A:A,0)),2)</f>
        <v>95.83</v>
      </c>
      <c r="N840">
        <f t="shared" si="927"/>
        <v>1</v>
      </c>
      <c r="O840">
        <f>ROUND(INDEX(Housing!AC:AC,MATCH(EOMONTH($A840,-1),Housing!B:B,0)),2)</f>
        <v>132.41999999999999</v>
      </c>
      <c r="P840">
        <f t="shared" si="928"/>
        <v>2</v>
      </c>
      <c r="Q840">
        <f>ROUND(INDEX(Spending!AJ:AJ,MATCH(EOMONTH($A840,-1),Spending!B:B,0)),2)</f>
        <v>58.39</v>
      </c>
      <c r="R840">
        <f t="shared" si="932"/>
        <v>1</v>
      </c>
      <c r="S840">
        <f>ROUND(INDEX(Employment!V:V,MATCH(EOMONTH($A840,-1),Employment!A:A,0)),2)</f>
        <v>133.97999999999999</v>
      </c>
      <c r="T840" s="11">
        <f t="shared" si="929"/>
        <v>-2</v>
      </c>
      <c r="U840">
        <f t="shared" si="921"/>
        <v>18</v>
      </c>
      <c r="V840">
        <f t="shared" si="949"/>
        <v>68.099999999999994</v>
      </c>
      <c r="W840" s="13">
        <f t="shared" si="950"/>
        <v>-1.01E-2</v>
      </c>
      <c r="X840" s="13">
        <f t="shared" si="951"/>
        <v>-2.81E-2</v>
      </c>
      <c r="Y840">
        <f t="shared" si="943"/>
        <v>66.260000000000005</v>
      </c>
      <c r="Z840" s="13">
        <f t="shared" si="938"/>
        <v>-1.37E-2</v>
      </c>
      <c r="AA840" s="13">
        <f t="shared" si="934"/>
        <v>-2.24E-2</v>
      </c>
      <c r="AB840" s="6">
        <f t="shared" si="944"/>
        <v>73.828000000000003</v>
      </c>
      <c r="AC840">
        <f t="shared" si="936"/>
        <v>37</v>
      </c>
      <c r="AD840" s="11">
        <f t="shared" si="937"/>
        <v>0</v>
      </c>
      <c r="AE840">
        <f t="shared" si="935"/>
        <v>20</v>
      </c>
      <c r="AF840">
        <f>IF(AND(AE840&lt;15,OR(AC840&gt;=30,AA840&gt;0.15,X840&gt;=0.15)),2,VLOOKUP(AE840,Table!P:Q,2,FALSE))</f>
        <v>3</v>
      </c>
      <c r="AG840" s="22">
        <f>IF((AB840*0.98)-(D840*0.8)+((AF840-3)*3)+VLOOKUP(AM840,Table!$A$11:$B$13,2,FALSE)&lt;0,0,(AB840*0.98)-(D840*0.8)+((AF840-3)*3)+VLOOKUP(AM840,Table!$A$11:$B$13,2,FALSE))</f>
        <v>51.943441599999993</v>
      </c>
      <c r="AH840" s="22">
        <f t="shared" si="930"/>
        <v>53</v>
      </c>
      <c r="AI840" s="18">
        <f t="shared" si="923"/>
        <v>1.7</v>
      </c>
      <c r="AJ840" s="18">
        <f t="shared" si="924"/>
        <v>1.73</v>
      </c>
      <c r="AK840" t="str">
        <f t="shared" si="945"/>
        <v/>
      </c>
      <c r="AL840">
        <f t="shared" si="920"/>
        <v>21.25</v>
      </c>
      <c r="AM840" s="11" t="str">
        <f t="shared" si="946"/>
        <v>Stocks</v>
      </c>
      <c r="AN840" t="str">
        <f t="shared" si="952"/>
        <v>Buy</v>
      </c>
      <c r="AO840" s="13">
        <f t="shared" si="953"/>
        <v>1.34E-2</v>
      </c>
      <c r="AP840" s="13">
        <f t="shared" si="954"/>
        <v>2.9999999999999997E-4</v>
      </c>
      <c r="AQ840" s="13">
        <f t="shared" si="955"/>
        <v>7.1999999999999998E-3</v>
      </c>
      <c r="AR840" s="13">
        <f t="shared" si="947"/>
        <v>1.34E-2</v>
      </c>
      <c r="AS840" s="6">
        <f t="shared" si="939"/>
        <v>212.39617188641117</v>
      </c>
      <c r="AT840" s="6">
        <f t="shared" si="940"/>
        <v>157.33302324262087</v>
      </c>
      <c r="AU840" s="6">
        <f t="shared" si="941"/>
        <v>258.2806948205295</v>
      </c>
      <c r="AV840" s="6">
        <f t="shared" si="942"/>
        <v>300.65129258110403</v>
      </c>
      <c r="AW840" s="58">
        <f t="shared" si="948"/>
        <v>2002</v>
      </c>
      <c r="AX840" s="58">
        <f>COUNTIF(AW$3:AW840,AW840)</f>
        <v>23</v>
      </c>
    </row>
    <row r="841" spans="1:50" x14ac:dyDescent="0.25">
      <c r="A841" s="5">
        <v>37458</v>
      </c>
      <c r="B841">
        <v>847.75</v>
      </c>
      <c r="C841">
        <v>1.69</v>
      </c>
      <c r="D841" s="6">
        <v>38.169998</v>
      </c>
      <c r="E841" s="18">
        <f t="shared" si="925"/>
        <v>32.74</v>
      </c>
      <c r="F841">
        <f t="shared" si="926"/>
        <v>-2</v>
      </c>
      <c r="G841" s="18">
        <f>ROUND(INDEX(Valuation!U:U,MATCH(A841,Valuation!A:A,0)),2)</f>
        <v>136.88999999999999</v>
      </c>
      <c r="H841">
        <f t="shared" si="933"/>
        <v>1</v>
      </c>
      <c r="I841" s="18">
        <f>INDEX(WeeklyIndicators!Y:Y,MATCH(A841,WeeklyIndicators!A:A,0))</f>
        <v>90.64</v>
      </c>
      <c r="J841">
        <f t="shared" si="922"/>
        <v>-2</v>
      </c>
      <c r="K841">
        <f>ROUND(INDEX(Economic!AF:AF,MATCH(EOMONTH($A841,-1),Economic!A:A,0)),2)</f>
        <v>103.51</v>
      </c>
      <c r="L841" s="11">
        <f t="shared" si="931"/>
        <v>0</v>
      </c>
      <c r="M841">
        <f>ROUND(INDEX(Manufacturing!P:P,MATCH(EOMONTH($A841,-1),Manufacturing!A:A,0)),2)</f>
        <v>95.83</v>
      </c>
      <c r="N841">
        <f t="shared" si="927"/>
        <v>1</v>
      </c>
      <c r="O841">
        <f>ROUND(INDEX(Housing!AC:AC,MATCH(EOMONTH($A841,-1),Housing!B:B,0)),2)</f>
        <v>132.41999999999999</v>
      </c>
      <c r="P841">
        <f t="shared" si="928"/>
        <v>2</v>
      </c>
      <c r="Q841">
        <f>ROUND(INDEX(Spending!AJ:AJ,MATCH(EOMONTH($A841,-1),Spending!B:B,0)),2)</f>
        <v>58.39</v>
      </c>
      <c r="R841">
        <f t="shared" si="932"/>
        <v>1</v>
      </c>
      <c r="S841">
        <f>ROUND(INDEX(Employment!V:V,MATCH(EOMONTH($A841,-1),Employment!A:A,0)),2)</f>
        <v>133.97999999999999</v>
      </c>
      <c r="T841" s="11">
        <f t="shared" si="929"/>
        <v>-2</v>
      </c>
      <c r="U841">
        <f t="shared" si="921"/>
        <v>19</v>
      </c>
      <c r="V841">
        <f t="shared" si="949"/>
        <v>68.41</v>
      </c>
      <c r="W841" s="13">
        <f t="shared" si="950"/>
        <v>-8.9999999999999993E-3</v>
      </c>
      <c r="X841" s="13">
        <f t="shared" si="951"/>
        <v>-2.1299999999999999E-2</v>
      </c>
      <c r="Y841">
        <f t="shared" si="943"/>
        <v>66.56</v>
      </c>
      <c r="Z841" s="13">
        <f t="shared" si="938"/>
        <v>-0.01</v>
      </c>
      <c r="AA841" s="13">
        <f t="shared" si="934"/>
        <v>-9.6000000000000009E-3</v>
      </c>
      <c r="AB841" s="6">
        <f t="shared" si="944"/>
        <v>74.168999999999997</v>
      </c>
      <c r="AC841">
        <f t="shared" si="936"/>
        <v>37</v>
      </c>
      <c r="AD841" s="11">
        <f t="shared" si="937"/>
        <v>0</v>
      </c>
      <c r="AE841">
        <f t="shared" si="935"/>
        <v>21</v>
      </c>
      <c r="AF841">
        <f>IF(AND(AE841&lt;15,OR(AC841&gt;=30,AA841&gt;0.15,X841&gt;=0.15)),2,VLOOKUP(AE841,Table!P:Q,2,FALSE))</f>
        <v>3</v>
      </c>
      <c r="AG841" s="22">
        <f>IF((AB841*0.98)-(D841*0.8)+((AF841-3)*3)+VLOOKUP(AM841,Table!$A$11:$B$13,2,FALSE)&lt;0,0,(AB841*0.98)-(D841*0.8)+((AF841-3)*3)+VLOOKUP(AM841,Table!$A$11:$B$13,2,FALSE))</f>
        <v>50.149621600000003</v>
      </c>
      <c r="AH841" s="22">
        <f t="shared" si="930"/>
        <v>56</v>
      </c>
      <c r="AI841" s="18">
        <f t="shared" si="923"/>
        <v>1.71</v>
      </c>
      <c r="AJ841" s="18">
        <f t="shared" si="924"/>
        <v>1.74</v>
      </c>
      <c r="AK841" t="str">
        <f t="shared" si="945"/>
        <v/>
      </c>
      <c r="AL841">
        <f t="shared" ref="AL841:AL904" si="956">ROUND(AVERAGE(AE841:AE844),2)</f>
        <v>21.5</v>
      </c>
      <c r="AM841" s="11" t="str">
        <f t="shared" si="946"/>
        <v>Stocks</v>
      </c>
      <c r="AN841" t="str">
        <f t="shared" si="952"/>
        <v>Buy</v>
      </c>
      <c r="AO841" s="13">
        <f t="shared" si="953"/>
        <v>6.0000000000000001E-3</v>
      </c>
      <c r="AP841" s="13">
        <f t="shared" si="954"/>
        <v>2.9999999999999997E-4</v>
      </c>
      <c r="AQ841" s="13">
        <f t="shared" si="955"/>
        <v>3.5000000000000001E-3</v>
      </c>
      <c r="AR841" s="13">
        <f t="shared" si="947"/>
        <v>6.0000000000000001E-3</v>
      </c>
      <c r="AS841" s="6">
        <f t="shared" si="939"/>
        <v>211.12939551333119</v>
      </c>
      <c r="AT841" s="6">
        <f t="shared" si="940"/>
        <v>157.28583749137346</v>
      </c>
      <c r="AU841" s="6">
        <f t="shared" si="941"/>
        <v>257.37986529200748</v>
      </c>
      <c r="AV841" s="6">
        <f t="shared" si="942"/>
        <v>298.85814371879127</v>
      </c>
      <c r="AW841" s="58">
        <f t="shared" si="948"/>
        <v>2002</v>
      </c>
      <c r="AX841" s="58">
        <f>COUNTIF(AW$3:AW841,AW841)</f>
        <v>24</v>
      </c>
    </row>
    <row r="842" spans="1:50" x14ac:dyDescent="0.25">
      <c r="A842" s="5">
        <v>37451</v>
      </c>
      <c r="B842">
        <v>921.39</v>
      </c>
      <c r="C842">
        <v>1.69</v>
      </c>
      <c r="D842" s="6">
        <v>32.939999</v>
      </c>
      <c r="E842" s="18">
        <f t="shared" si="925"/>
        <v>28.48</v>
      </c>
      <c r="F842">
        <f t="shared" si="926"/>
        <v>-2</v>
      </c>
      <c r="G842" s="18">
        <f>ROUND(INDEX(Valuation!U:U,MATCH(A842,Valuation!A:A,0)),2)</f>
        <v>129.91999999999999</v>
      </c>
      <c r="H842">
        <f t="shared" si="933"/>
        <v>1</v>
      </c>
      <c r="I842" s="18">
        <f>INDEX(WeeklyIndicators!Y:Y,MATCH(A842,WeeklyIndicators!A:A,0))</f>
        <v>98.18</v>
      </c>
      <c r="J842">
        <f t="shared" si="922"/>
        <v>-1</v>
      </c>
      <c r="K842">
        <f>ROUND(INDEX(Economic!AF:AF,MATCH(EOMONTH($A842,-1),Economic!A:A,0)),2)</f>
        <v>103.51</v>
      </c>
      <c r="L842" s="11">
        <f t="shared" si="931"/>
        <v>0</v>
      </c>
      <c r="M842">
        <f>ROUND(INDEX(Manufacturing!P:P,MATCH(EOMONTH($A842,-1),Manufacturing!A:A,0)),2)</f>
        <v>95.83</v>
      </c>
      <c r="N842">
        <f t="shared" si="927"/>
        <v>1</v>
      </c>
      <c r="O842">
        <f>ROUND(INDEX(Housing!AC:AC,MATCH(EOMONTH($A842,-1),Housing!B:B,0)),2)</f>
        <v>132.41999999999999</v>
      </c>
      <c r="P842">
        <f t="shared" si="928"/>
        <v>2</v>
      </c>
      <c r="Q842">
        <f>ROUND(INDEX(Spending!AJ:AJ,MATCH(EOMONTH($A842,-1),Spending!B:B,0)),2)</f>
        <v>58.39</v>
      </c>
      <c r="R842">
        <f t="shared" si="932"/>
        <v>1</v>
      </c>
      <c r="S842">
        <f>ROUND(INDEX(Employment!V:V,MATCH(EOMONTH($A842,-1),Employment!A:A,0)),2)</f>
        <v>133.97999999999999</v>
      </c>
      <c r="T842" s="11">
        <f t="shared" si="929"/>
        <v>-2</v>
      </c>
      <c r="U842">
        <f t="shared" ref="U842:U905" si="957">F842+H842+J842+L842+N842+P842+R842+T842+20</f>
        <v>20</v>
      </c>
      <c r="V842">
        <f t="shared" si="949"/>
        <v>69.2</v>
      </c>
      <c r="W842" s="13">
        <f t="shared" si="950"/>
        <v>-6.6E-3</v>
      </c>
      <c r="X842" s="13">
        <f t="shared" si="951"/>
        <v>-1.5199999999999998E-2</v>
      </c>
      <c r="Y842">
        <f t="shared" si="943"/>
        <v>68.06</v>
      </c>
      <c r="Z842" s="13">
        <f t="shared" si="938"/>
        <v>-1.6000000000000001E-3</v>
      </c>
      <c r="AA842" s="13">
        <f t="shared" si="934"/>
        <v>-2.1000000000000003E-3</v>
      </c>
      <c r="AB842" s="6">
        <f t="shared" si="944"/>
        <v>75.561999999999998</v>
      </c>
      <c r="AC842">
        <f t="shared" si="936"/>
        <v>38</v>
      </c>
      <c r="AD842" s="11">
        <f t="shared" si="937"/>
        <v>0</v>
      </c>
      <c r="AE842">
        <f t="shared" si="935"/>
        <v>22</v>
      </c>
      <c r="AF842">
        <f>IF(AND(AE842&lt;15,OR(AC842&gt;=30,AA842&gt;0.15,X842&gt;=0.15)),2,VLOOKUP(AE842,Table!P:Q,2,FALSE))</f>
        <v>3</v>
      </c>
      <c r="AG842" s="22">
        <f>IF((AB842*0.98)-(D842*0.8)+((AF842-3)*3)+VLOOKUP(AM842,Table!$A$11:$B$13,2,FALSE)&lt;0,0,(AB842*0.98)-(D842*0.8)+((AF842-3)*3)+VLOOKUP(AM842,Table!$A$11:$B$13,2,FALSE))</f>
        <v>55.698760799999995</v>
      </c>
      <c r="AH842" s="22">
        <f t="shared" si="930"/>
        <v>61</v>
      </c>
      <c r="AI842" s="18">
        <f t="shared" si="923"/>
        <v>1.71</v>
      </c>
      <c r="AJ842" s="18">
        <f t="shared" si="924"/>
        <v>1.76</v>
      </c>
      <c r="AK842" t="str">
        <f t="shared" si="945"/>
        <v/>
      </c>
      <c r="AL842">
        <f t="shared" si="956"/>
        <v>21.5</v>
      </c>
      <c r="AM842" s="11" t="str">
        <f t="shared" si="946"/>
        <v>Stocks</v>
      </c>
      <c r="AN842" t="str">
        <f t="shared" si="952"/>
        <v>Buy</v>
      </c>
      <c r="AO842" s="13">
        <f t="shared" si="953"/>
        <v>-7.9899999999999999E-2</v>
      </c>
      <c r="AP842" s="13">
        <f t="shared" si="954"/>
        <v>2.9999999999999997E-4</v>
      </c>
      <c r="AQ842" s="13">
        <f t="shared" si="955"/>
        <v>-4.8599999999999997E-2</v>
      </c>
      <c r="AR842" s="13">
        <f t="shared" si="947"/>
        <v>-7.9899999999999999E-2</v>
      </c>
      <c r="AS842" s="6">
        <f t="shared" si="939"/>
        <v>229.46353169582781</v>
      </c>
      <c r="AT842" s="6">
        <f t="shared" si="940"/>
        <v>157.23866589160599</v>
      </c>
      <c r="AU842" s="6">
        <f t="shared" si="941"/>
        <v>270.52750188354793</v>
      </c>
      <c r="AV842" s="6">
        <f t="shared" si="942"/>
        <v>324.8105029005448</v>
      </c>
      <c r="AW842" s="58">
        <f t="shared" si="948"/>
        <v>2002</v>
      </c>
      <c r="AX842" s="58">
        <f>COUNTIF(AW$3:AW842,AW842)</f>
        <v>25</v>
      </c>
    </row>
    <row r="843" spans="1:50" x14ac:dyDescent="0.25">
      <c r="A843" s="5">
        <v>37444</v>
      </c>
      <c r="B843">
        <v>989.03</v>
      </c>
      <c r="C843">
        <v>1.69</v>
      </c>
      <c r="D843" s="6">
        <v>27.110001</v>
      </c>
      <c r="E843" s="18">
        <f t="shared" si="925"/>
        <v>26.58</v>
      </c>
      <c r="F843">
        <f t="shared" si="926"/>
        <v>-2</v>
      </c>
      <c r="G843" s="18">
        <f>ROUND(INDEX(Valuation!U:U,MATCH(A843,Valuation!A:A,0)),2)</f>
        <v>123.94</v>
      </c>
      <c r="H843">
        <f t="shared" si="933"/>
        <v>1</v>
      </c>
      <c r="I843" s="18">
        <f>INDEX(WeeklyIndicators!Y:Y,MATCH(A843,WeeklyIndicators!A:A,0))</f>
        <v>107.85</v>
      </c>
      <c r="J843">
        <f t="shared" si="922"/>
        <v>-1</v>
      </c>
      <c r="K843">
        <f>ROUND(INDEX(Economic!AF:AF,MATCH(EOMONTH($A843,-1),Economic!A:A,0)),2)</f>
        <v>103.51</v>
      </c>
      <c r="L843" s="11">
        <f t="shared" si="931"/>
        <v>0</v>
      </c>
      <c r="M843">
        <f>ROUND(INDEX(Manufacturing!P:P,MATCH(EOMONTH($A843,-1),Manufacturing!A:A,0)),2)</f>
        <v>95.83</v>
      </c>
      <c r="N843">
        <f t="shared" si="927"/>
        <v>1</v>
      </c>
      <c r="O843">
        <f>ROUND(INDEX(Housing!AC:AC,MATCH(EOMONTH($A843,-1),Housing!B:B,0)),2)</f>
        <v>132.41999999999999</v>
      </c>
      <c r="P843">
        <f t="shared" si="928"/>
        <v>2</v>
      </c>
      <c r="Q843">
        <f>ROUND(INDEX(Spending!AJ:AJ,MATCH(EOMONTH($A843,-1),Spending!B:B,0)),2)</f>
        <v>58.39</v>
      </c>
      <c r="R843">
        <f t="shared" si="932"/>
        <v>1</v>
      </c>
      <c r="S843">
        <f>ROUND(INDEX(Employment!V:V,MATCH(EOMONTH($A843,-1),Employment!A:A,0)),2)</f>
        <v>133.97999999999999</v>
      </c>
      <c r="T843" s="11">
        <f t="shared" si="929"/>
        <v>-2</v>
      </c>
      <c r="U843">
        <f t="shared" si="957"/>
        <v>20</v>
      </c>
      <c r="V843">
        <f t="shared" si="949"/>
        <v>70.2</v>
      </c>
      <c r="W843" s="13">
        <f t="shared" si="950"/>
        <v>-2.3999999999999998E-3</v>
      </c>
      <c r="X843" s="13">
        <f t="shared" si="951"/>
        <v>3.7999999999999996E-3</v>
      </c>
      <c r="Y843">
        <f t="shared" si="943"/>
        <v>69.06</v>
      </c>
      <c r="Z843" s="13">
        <f t="shared" si="938"/>
        <v>2.8999999999999998E-3</v>
      </c>
      <c r="AA843" s="13">
        <f t="shared" si="934"/>
        <v>1.55E-2</v>
      </c>
      <c r="AB843" s="6">
        <f t="shared" si="944"/>
        <v>77.374000000000009</v>
      </c>
      <c r="AC843">
        <f t="shared" si="936"/>
        <v>39</v>
      </c>
      <c r="AD843" s="11">
        <f t="shared" si="937"/>
        <v>0</v>
      </c>
      <c r="AE843">
        <f t="shared" si="935"/>
        <v>22</v>
      </c>
      <c r="AF843">
        <f>IF(AND(AE843&lt;15,OR(AC843&gt;=30,AA843&gt;0.15,X843&gt;=0.15)),2,VLOOKUP(AE843,Table!P:Q,2,FALSE))</f>
        <v>3</v>
      </c>
      <c r="AG843" s="22">
        <f>IF((AB843*0.98)-(D843*0.8)+((AF843-3)*3)+VLOOKUP(AM843,Table!$A$11:$B$13,2,FALSE)&lt;0,0,(AB843*0.98)-(D843*0.8)+((AF843-3)*3)+VLOOKUP(AM843,Table!$A$11:$B$13,2,FALSE))</f>
        <v>62.138519200000005</v>
      </c>
      <c r="AH843" s="22">
        <f t="shared" si="930"/>
        <v>64</v>
      </c>
      <c r="AI843" s="18">
        <f t="shared" si="923"/>
        <v>1.71</v>
      </c>
      <c r="AJ843" s="18">
        <f t="shared" si="924"/>
        <v>1.77</v>
      </c>
      <c r="AK843" t="str">
        <f t="shared" si="945"/>
        <v/>
      </c>
      <c r="AL843">
        <f t="shared" si="956"/>
        <v>21.5</v>
      </c>
      <c r="AM843" s="11" t="str">
        <f t="shared" si="946"/>
        <v>Stocks</v>
      </c>
      <c r="AN843" t="str">
        <f t="shared" si="952"/>
        <v>Buy</v>
      </c>
      <c r="AO843" s="13">
        <f t="shared" si="953"/>
        <v>-6.8400000000000002E-2</v>
      </c>
      <c r="AP843" s="13">
        <f t="shared" si="954"/>
        <v>2.9999999999999997E-4</v>
      </c>
      <c r="AQ843" s="13">
        <f t="shared" si="955"/>
        <v>-4.3700000000000003E-2</v>
      </c>
      <c r="AR843" s="13">
        <f t="shared" si="947"/>
        <v>-6.8400000000000002E-2</v>
      </c>
      <c r="AS843" s="6">
        <f t="shared" si="939"/>
        <v>246.31121908096588</v>
      </c>
      <c r="AT843" s="6">
        <f t="shared" si="940"/>
        <v>157.19150843907428</v>
      </c>
      <c r="AU843" s="6">
        <f t="shared" si="941"/>
        <v>282.88978551035024</v>
      </c>
      <c r="AV843" s="6">
        <f t="shared" si="942"/>
        <v>348.65876223759642</v>
      </c>
      <c r="AW843" s="58">
        <f t="shared" si="948"/>
        <v>2002</v>
      </c>
      <c r="AX843" s="58">
        <f>COUNTIF(AW$3:AW843,AW843)</f>
        <v>26</v>
      </c>
    </row>
    <row r="844" spans="1:50" x14ac:dyDescent="0.25">
      <c r="A844" s="5">
        <v>37437</v>
      </c>
      <c r="B844">
        <v>989.82</v>
      </c>
      <c r="C844">
        <v>1.68</v>
      </c>
      <c r="D844" s="6">
        <v>25.4</v>
      </c>
      <c r="E844" s="18">
        <f t="shared" si="925"/>
        <v>26.2</v>
      </c>
      <c r="F844">
        <f t="shared" si="926"/>
        <v>-2</v>
      </c>
      <c r="G844" s="18">
        <f>ROUND(INDEX(Valuation!U:U,MATCH(A844,Valuation!A:A,0)),2)</f>
        <v>117.86</v>
      </c>
      <c r="H844">
        <f t="shared" si="933"/>
        <v>0</v>
      </c>
      <c r="I844" s="18">
        <f>INDEX(WeeklyIndicators!Y:Y,MATCH(A844,WeeklyIndicators!A:A,0))</f>
        <v>115.38</v>
      </c>
      <c r="J844">
        <f t="shared" si="922"/>
        <v>-1</v>
      </c>
      <c r="K844">
        <f>ROUND(INDEX(Economic!AF:AF,MATCH(EOMONTH($A844,-1),Economic!A:A,0)),2)</f>
        <v>103.04</v>
      </c>
      <c r="L844" s="11">
        <f t="shared" si="931"/>
        <v>0</v>
      </c>
      <c r="M844">
        <f>ROUND(INDEX(Manufacturing!P:P,MATCH(EOMONTH($A844,-1),Manufacturing!A:A,0)),2)</f>
        <v>96.18</v>
      </c>
      <c r="N844">
        <f t="shared" si="927"/>
        <v>1</v>
      </c>
      <c r="O844">
        <f>ROUND(INDEX(Housing!AC:AC,MATCH(EOMONTH($A844,-1),Housing!B:B,0)),2)</f>
        <v>136.44</v>
      </c>
      <c r="P844">
        <f t="shared" si="928"/>
        <v>2</v>
      </c>
      <c r="Q844">
        <f>ROUND(INDEX(Spending!AJ:AJ,MATCH(EOMONTH($A844,-1),Spending!B:B,0)),2)</f>
        <v>53.21</v>
      </c>
      <c r="R844">
        <f t="shared" si="932"/>
        <v>1</v>
      </c>
      <c r="S844">
        <f>ROUND(INDEX(Employment!V:V,MATCH(EOMONTH($A844,-1),Employment!A:A,0)),2)</f>
        <v>128.09</v>
      </c>
      <c r="T844" s="11">
        <f t="shared" si="929"/>
        <v>-2</v>
      </c>
      <c r="U844">
        <f t="shared" si="957"/>
        <v>19</v>
      </c>
      <c r="V844">
        <f t="shared" si="949"/>
        <v>70.3</v>
      </c>
      <c r="W844" s="13">
        <f t="shared" si="950"/>
        <v>-3.3E-3</v>
      </c>
      <c r="X844" s="13">
        <f t="shared" si="951"/>
        <v>2.6000000000000002E-2</v>
      </c>
      <c r="Y844">
        <f t="shared" si="943"/>
        <v>68.61</v>
      </c>
      <c r="Z844" s="13">
        <f t="shared" si="938"/>
        <v>-8.9999999999999998E-4</v>
      </c>
      <c r="AA844" s="13">
        <f t="shared" si="934"/>
        <v>3.7900000000000003E-2</v>
      </c>
      <c r="AB844" s="6">
        <f t="shared" si="944"/>
        <v>78.036000000000001</v>
      </c>
      <c r="AC844">
        <f t="shared" si="936"/>
        <v>39</v>
      </c>
      <c r="AD844" s="11">
        <f t="shared" si="937"/>
        <v>0</v>
      </c>
      <c r="AE844">
        <f t="shared" si="935"/>
        <v>21</v>
      </c>
      <c r="AF844">
        <f>IF(AND(AE844&lt;15,OR(AC844&gt;=30,AA844&gt;0.15,X844&gt;=0.15)),2,VLOOKUP(AE844,Table!P:Q,2,FALSE))</f>
        <v>3</v>
      </c>
      <c r="AG844" s="22">
        <f>IF((AB844*0.98)-(D844*0.8)+((AF844-3)*3)+VLOOKUP(AM844,Table!$A$11:$B$13,2,FALSE)&lt;0,0,(AB844*0.98)-(D844*0.8)+((AF844-3)*3)+VLOOKUP(AM844,Table!$A$11:$B$13,2,FALSE))</f>
        <v>64.155280000000005</v>
      </c>
      <c r="AH844" s="22">
        <f t="shared" si="930"/>
        <v>66</v>
      </c>
      <c r="AI844" s="18">
        <f t="shared" si="923"/>
        <v>1.71</v>
      </c>
      <c r="AJ844" s="18">
        <f t="shared" si="924"/>
        <v>1.78</v>
      </c>
      <c r="AK844" t="str">
        <f t="shared" si="945"/>
        <v/>
      </c>
      <c r="AL844">
        <f t="shared" si="956"/>
        <v>22</v>
      </c>
      <c r="AM844" s="11" t="str">
        <f t="shared" si="946"/>
        <v>Stocks</v>
      </c>
      <c r="AN844" t="str">
        <f t="shared" si="952"/>
        <v>Buy</v>
      </c>
      <c r="AO844" s="13">
        <f t="shared" si="953"/>
        <v>-8.0000000000000004E-4</v>
      </c>
      <c r="AP844" s="13">
        <f t="shared" si="954"/>
        <v>2.9999999999999997E-4</v>
      </c>
      <c r="AQ844" s="13">
        <f t="shared" si="955"/>
        <v>-4.0000000000000002E-4</v>
      </c>
      <c r="AR844" s="13">
        <f t="shared" si="947"/>
        <v>-8.0000000000000004E-4</v>
      </c>
      <c r="AS844" s="6">
        <f t="shared" si="939"/>
        <v>246.50842582162318</v>
      </c>
      <c r="AT844" s="6">
        <f t="shared" si="940"/>
        <v>157.14436512953543</v>
      </c>
      <c r="AU844" s="6">
        <f t="shared" si="941"/>
        <v>283.00298670503224</v>
      </c>
      <c r="AV844" s="6">
        <f t="shared" si="942"/>
        <v>348.93791256765053</v>
      </c>
      <c r="AW844" s="58">
        <f t="shared" si="948"/>
        <v>2002</v>
      </c>
      <c r="AX844" s="58">
        <f>COUNTIF(AW$3:AW844,AW844)</f>
        <v>27</v>
      </c>
    </row>
    <row r="845" spans="1:50" x14ac:dyDescent="0.25">
      <c r="A845" s="5">
        <v>37430</v>
      </c>
      <c r="B845">
        <v>989.14</v>
      </c>
      <c r="C845">
        <v>1.69</v>
      </c>
      <c r="D845" s="6">
        <v>27.23</v>
      </c>
      <c r="E845" s="18">
        <f t="shared" si="925"/>
        <v>25.57</v>
      </c>
      <c r="F845">
        <f t="shared" si="926"/>
        <v>-2</v>
      </c>
      <c r="G845" s="18">
        <f>ROUND(INDEX(Valuation!U:U,MATCH(A845,Valuation!A:A,0)),2)</f>
        <v>111.37</v>
      </c>
      <c r="H845">
        <f t="shared" si="933"/>
        <v>0</v>
      </c>
      <c r="I845" s="18">
        <f>INDEX(WeeklyIndicators!Y:Y,MATCH(A845,WeeklyIndicators!A:A,0))</f>
        <v>118.2</v>
      </c>
      <c r="J845">
        <f t="shared" si="922"/>
        <v>-1</v>
      </c>
      <c r="K845">
        <f>ROUND(INDEX(Economic!AF:AF,MATCH(EOMONTH($A845,-1),Economic!A:A,0)),2)</f>
        <v>103.04</v>
      </c>
      <c r="L845" s="11">
        <f t="shared" si="931"/>
        <v>0</v>
      </c>
      <c r="M845">
        <f>ROUND(INDEX(Manufacturing!P:P,MATCH(EOMONTH($A845,-1),Manufacturing!A:A,0)),2)</f>
        <v>96.18</v>
      </c>
      <c r="N845">
        <f t="shared" si="927"/>
        <v>1</v>
      </c>
      <c r="O845">
        <f>ROUND(INDEX(Housing!AC:AC,MATCH(EOMONTH($A845,-1),Housing!B:B,0)),2)</f>
        <v>136.44</v>
      </c>
      <c r="P845">
        <f t="shared" si="928"/>
        <v>2</v>
      </c>
      <c r="Q845">
        <f>ROUND(INDEX(Spending!AJ:AJ,MATCH(EOMONTH($A845,-1),Spending!B:B,0)),2)</f>
        <v>53.21</v>
      </c>
      <c r="R845">
        <f t="shared" si="932"/>
        <v>1</v>
      </c>
      <c r="S845">
        <f>ROUND(INDEX(Employment!V:V,MATCH(EOMONTH($A845,-1),Employment!A:A,0)),2)</f>
        <v>128.09</v>
      </c>
      <c r="T845" s="11">
        <f t="shared" si="929"/>
        <v>-2</v>
      </c>
      <c r="U845">
        <f t="shared" si="957"/>
        <v>19</v>
      </c>
      <c r="V845">
        <f t="shared" si="949"/>
        <v>70.59</v>
      </c>
      <c r="W845" s="13">
        <f t="shared" si="950"/>
        <v>-2.8999999999999998E-3</v>
      </c>
      <c r="X845" s="13">
        <f t="shared" si="951"/>
        <v>5.9700000000000003E-2</v>
      </c>
      <c r="Y845">
        <f t="shared" si="943"/>
        <v>68.400000000000006</v>
      </c>
      <c r="Z845" s="13">
        <f t="shared" si="938"/>
        <v>-2.5000000000000001E-3</v>
      </c>
      <c r="AA845" s="13">
        <f t="shared" si="934"/>
        <v>7.9000000000000001E-2</v>
      </c>
      <c r="AB845" s="6">
        <f t="shared" si="944"/>
        <v>80.277000000000001</v>
      </c>
      <c r="AC845">
        <f t="shared" si="936"/>
        <v>40</v>
      </c>
      <c r="AD845" s="11">
        <f t="shared" si="937"/>
        <v>0</v>
      </c>
      <c r="AE845">
        <f t="shared" si="935"/>
        <v>21</v>
      </c>
      <c r="AF845">
        <f>IF(AND(AE845&lt;15,OR(AC845&gt;=30,AA845&gt;0.15,X845&gt;=0.15)),2,VLOOKUP(AE845,Table!P:Q,2,FALSE))</f>
        <v>3</v>
      </c>
      <c r="AG845" s="22">
        <f>IF((AB845*0.98)-(D845*0.8)+((AF845-3)*3)+VLOOKUP(AM845,Table!$A$11:$B$13,2,FALSE)&lt;0,0,(AB845*0.98)-(D845*0.8)+((AF845-3)*3)+VLOOKUP(AM845,Table!$A$11:$B$13,2,FALSE))</f>
        <v>64.88745999999999</v>
      </c>
      <c r="AH845" s="22">
        <f t="shared" si="930"/>
        <v>68</v>
      </c>
      <c r="AI845" s="18">
        <f t="shared" si="923"/>
        <v>1.72</v>
      </c>
      <c r="AJ845" s="18">
        <f t="shared" si="924"/>
        <v>1.8</v>
      </c>
      <c r="AK845" t="str">
        <f t="shared" si="945"/>
        <v/>
      </c>
      <c r="AL845">
        <f t="shared" si="956"/>
        <v>22.5</v>
      </c>
      <c r="AM845" s="11" t="str">
        <f t="shared" si="946"/>
        <v>Stocks</v>
      </c>
      <c r="AN845" t="str">
        <f t="shared" si="952"/>
        <v>Buy</v>
      </c>
      <c r="AO845" s="13">
        <f t="shared" si="953"/>
        <v>6.9999999999999999E-4</v>
      </c>
      <c r="AP845" s="13">
        <f t="shared" si="954"/>
        <v>2.9999999999999997E-4</v>
      </c>
      <c r="AQ845" s="13">
        <f t="shared" si="955"/>
        <v>5.9999999999999995E-4</v>
      </c>
      <c r="AR845" s="13">
        <f t="shared" si="947"/>
        <v>6.9999999999999999E-4</v>
      </c>
      <c r="AS845" s="6">
        <f t="shared" si="939"/>
        <v>246.33599062818348</v>
      </c>
      <c r="AT845" s="6">
        <f t="shared" si="940"/>
        <v>157.0972359587478</v>
      </c>
      <c r="AU845" s="6">
        <f t="shared" si="941"/>
        <v>282.83328673299246</v>
      </c>
      <c r="AV845" s="6">
        <f t="shared" si="942"/>
        <v>348.69382688882837</v>
      </c>
      <c r="AW845" s="58">
        <f t="shared" si="948"/>
        <v>2002</v>
      </c>
      <c r="AX845" s="58">
        <f>COUNTIF(AW$3:AW845,AW845)</f>
        <v>28</v>
      </c>
    </row>
    <row r="846" spans="1:50" x14ac:dyDescent="0.25">
      <c r="A846" s="5">
        <v>37423</v>
      </c>
      <c r="B846">
        <v>1007.27</v>
      </c>
      <c r="C846">
        <v>1.7</v>
      </c>
      <c r="D846" s="6">
        <v>25.959999</v>
      </c>
      <c r="E846" s="18">
        <f t="shared" si="925"/>
        <v>23.15</v>
      </c>
      <c r="F846">
        <f t="shared" si="926"/>
        <v>-1</v>
      </c>
      <c r="G846" s="18">
        <f>ROUND(INDEX(Valuation!U:U,MATCH(A846,Valuation!A:A,0)),2)</f>
        <v>103.28</v>
      </c>
      <c r="H846">
        <f t="shared" si="933"/>
        <v>0</v>
      </c>
      <c r="I846" s="18">
        <f>INDEX(WeeklyIndicators!Y:Y,MATCH(A846,WeeklyIndicators!A:A,0))</f>
        <v>119.29</v>
      </c>
      <c r="J846">
        <f t="shared" si="922"/>
        <v>-1</v>
      </c>
      <c r="K846">
        <f>ROUND(INDEX(Economic!AF:AF,MATCH(EOMONTH($A846,-1),Economic!A:A,0)),2)</f>
        <v>103.04</v>
      </c>
      <c r="L846" s="11">
        <f t="shared" si="931"/>
        <v>0</v>
      </c>
      <c r="M846">
        <f>ROUND(INDEX(Manufacturing!P:P,MATCH(EOMONTH($A846,-1),Manufacturing!A:A,0)),2)</f>
        <v>96.18</v>
      </c>
      <c r="N846">
        <f t="shared" si="927"/>
        <v>1</v>
      </c>
      <c r="O846">
        <f>ROUND(INDEX(Housing!AC:AC,MATCH(EOMONTH($A846,-1),Housing!B:B,0)),2)</f>
        <v>136.44</v>
      </c>
      <c r="P846">
        <f t="shared" si="928"/>
        <v>2</v>
      </c>
      <c r="Q846">
        <f>ROUND(INDEX(Spending!AJ:AJ,MATCH(EOMONTH($A846,-1),Spending!B:B,0)),2)</f>
        <v>53.21</v>
      </c>
      <c r="R846">
        <f t="shared" si="932"/>
        <v>1</v>
      </c>
      <c r="S846">
        <f>ROUND(INDEX(Employment!V:V,MATCH(EOMONTH($A846,-1),Employment!A:A,0)),2)</f>
        <v>128.09</v>
      </c>
      <c r="T846" s="11">
        <f t="shared" si="929"/>
        <v>-2</v>
      </c>
      <c r="U846">
        <f t="shared" si="957"/>
        <v>20</v>
      </c>
      <c r="V846">
        <f t="shared" si="949"/>
        <v>70.7</v>
      </c>
      <c r="W846" s="13">
        <f t="shared" si="950"/>
        <v>1.24E-2</v>
      </c>
      <c r="X846" s="13">
        <f t="shared" si="951"/>
        <v>8.5300000000000001E-2</v>
      </c>
      <c r="Y846">
        <f t="shared" si="943"/>
        <v>68.459999999999994</v>
      </c>
      <c r="Z846" s="13">
        <f t="shared" si="938"/>
        <v>1.6E-2</v>
      </c>
      <c r="AA846" s="13">
        <f t="shared" si="934"/>
        <v>0.11260000000000001</v>
      </c>
      <c r="AB846" s="6">
        <f t="shared" si="944"/>
        <v>82.037999999999997</v>
      </c>
      <c r="AC846">
        <f t="shared" si="936"/>
        <v>41</v>
      </c>
      <c r="AD846" s="11">
        <f t="shared" si="937"/>
        <v>0</v>
      </c>
      <c r="AE846">
        <f t="shared" si="935"/>
        <v>22</v>
      </c>
      <c r="AF846">
        <f>IF(AND(AE846&lt;15,OR(AC846&gt;=30,AA846&gt;0.15,X846&gt;=0.15)),2,VLOOKUP(AE846,Table!P:Q,2,FALSE))</f>
        <v>3</v>
      </c>
      <c r="AG846" s="22">
        <f>IF((AB846*0.98)-(D846*0.8)+((AF846-3)*3)+VLOOKUP(AM846,Table!$A$11:$B$13,2,FALSE)&lt;0,0,(AB846*0.98)-(D846*0.8)+((AF846-3)*3)+VLOOKUP(AM846,Table!$A$11:$B$13,2,FALSE))</f>
        <v>67.629240799999991</v>
      </c>
      <c r="AH846" s="22">
        <f t="shared" si="930"/>
        <v>71</v>
      </c>
      <c r="AI846" s="18">
        <f t="shared" si="923"/>
        <v>1.73</v>
      </c>
      <c r="AJ846" s="18">
        <f t="shared" si="924"/>
        <v>1.82</v>
      </c>
      <c r="AK846" t="str">
        <f t="shared" si="945"/>
        <v/>
      </c>
      <c r="AL846">
        <f t="shared" si="956"/>
        <v>22</v>
      </c>
      <c r="AM846" s="11" t="str">
        <f t="shared" si="946"/>
        <v>Stocks</v>
      </c>
      <c r="AN846" t="str">
        <f t="shared" si="952"/>
        <v>Buy</v>
      </c>
      <c r="AO846" s="13">
        <f t="shared" si="953"/>
        <v>-1.7999999999999999E-2</v>
      </c>
      <c r="AP846" s="13">
        <f t="shared" si="954"/>
        <v>2.9999999999999997E-4</v>
      </c>
      <c r="AQ846" s="13">
        <f t="shared" si="955"/>
        <v>-1.2699999999999999E-2</v>
      </c>
      <c r="AR846" s="13">
        <f t="shared" si="947"/>
        <v>-1.7999999999999999E-2</v>
      </c>
      <c r="AS846" s="6">
        <f t="shared" si="939"/>
        <v>250.85131428531923</v>
      </c>
      <c r="AT846" s="6">
        <f t="shared" si="940"/>
        <v>157.05012092247105</v>
      </c>
      <c r="AU846" s="6">
        <f t="shared" si="941"/>
        <v>286.47147445861691</v>
      </c>
      <c r="AV846" s="6">
        <f t="shared" si="942"/>
        <v>355.08536343057881</v>
      </c>
      <c r="AW846" s="58">
        <f t="shared" si="948"/>
        <v>2002</v>
      </c>
      <c r="AX846" s="58">
        <f>COUNTIF(AW$3:AW846,AW846)</f>
        <v>29</v>
      </c>
    </row>
    <row r="847" spans="1:50" x14ac:dyDescent="0.25">
      <c r="A847" s="5">
        <v>37416</v>
      </c>
      <c r="B847">
        <v>1027.53</v>
      </c>
      <c r="C847">
        <v>1.72</v>
      </c>
      <c r="D847" s="6">
        <v>23.51</v>
      </c>
      <c r="E847" s="18">
        <f t="shared" si="925"/>
        <v>20.8</v>
      </c>
      <c r="F847">
        <f t="shared" si="926"/>
        <v>-1</v>
      </c>
      <c r="G847" s="18">
        <f>ROUND(INDEX(Valuation!U:U,MATCH(A847,Valuation!A:A,0)),2)</f>
        <v>96.2</v>
      </c>
      <c r="H847">
        <f t="shared" si="933"/>
        <v>0</v>
      </c>
      <c r="I847" s="18">
        <f>INDEX(WeeklyIndicators!Y:Y,MATCH(A847,WeeklyIndicators!A:A,0))</f>
        <v>122.2</v>
      </c>
      <c r="J847">
        <f t="shared" ref="J847:J910" si="958">IF(I847&gt;170,3,IF(AND(I847&gt;152,I847&lt;=170),2,IF(AND(I847&gt;135,I847&lt;=152),1,IF(I847&lt;60,-3,IF(AND(I847&lt;95,I847&gt;=60),-2,IF(AND(I847&lt;120,I847&gt;=95),-1,0))))))</f>
        <v>0</v>
      </c>
      <c r="K847">
        <f>ROUND(INDEX(Economic!AF:AF,MATCH(EOMONTH($A847,-1),Economic!A:A,0)),2)</f>
        <v>103.04</v>
      </c>
      <c r="L847" s="11">
        <f t="shared" si="931"/>
        <v>0</v>
      </c>
      <c r="M847">
        <f>ROUND(INDEX(Manufacturing!P:P,MATCH(EOMONTH($A847,-1),Manufacturing!A:A,0)),2)</f>
        <v>96.18</v>
      </c>
      <c r="N847">
        <f t="shared" si="927"/>
        <v>1</v>
      </c>
      <c r="O847">
        <f>ROUND(INDEX(Housing!AC:AC,MATCH(EOMONTH($A847,-1),Housing!B:B,0)),2)</f>
        <v>136.44</v>
      </c>
      <c r="P847">
        <f t="shared" si="928"/>
        <v>2</v>
      </c>
      <c r="Q847">
        <f>ROUND(INDEX(Spending!AJ:AJ,MATCH(EOMONTH($A847,-1),Spending!B:B,0)),2)</f>
        <v>53.21</v>
      </c>
      <c r="R847">
        <f t="shared" si="932"/>
        <v>1</v>
      </c>
      <c r="S847">
        <f>ROUND(INDEX(Employment!V:V,MATCH(EOMONTH($A847,-1),Employment!A:A,0)),2)</f>
        <v>128.09</v>
      </c>
      <c r="T847" s="11">
        <f t="shared" si="929"/>
        <v>-2</v>
      </c>
      <c r="U847">
        <f t="shared" si="957"/>
        <v>21</v>
      </c>
      <c r="V847">
        <f t="shared" si="949"/>
        <v>71.010000000000005</v>
      </c>
      <c r="W847" s="13">
        <f t="shared" si="950"/>
        <v>1.9800000000000002E-2</v>
      </c>
      <c r="X847" s="13">
        <f t="shared" si="951"/>
        <v>0.1094</v>
      </c>
      <c r="Y847">
        <f t="shared" si="943"/>
        <v>68.790000000000006</v>
      </c>
      <c r="Z847" s="13">
        <f t="shared" si="938"/>
        <v>2.53E-2</v>
      </c>
      <c r="AA847" s="13">
        <f t="shared" si="934"/>
        <v>0.14510000000000001</v>
      </c>
      <c r="AB847" s="6">
        <f t="shared" si="944"/>
        <v>84.09</v>
      </c>
      <c r="AC847">
        <f t="shared" si="936"/>
        <v>42</v>
      </c>
      <c r="AD847" s="11">
        <f t="shared" si="937"/>
        <v>1</v>
      </c>
      <c r="AE847">
        <f t="shared" si="935"/>
        <v>24</v>
      </c>
      <c r="AF847">
        <f>IF(AND(AE847&lt;15,OR(AC847&gt;=30,AA847&gt;0.15,X847&gt;=0.15)),2,VLOOKUP(AE847,Table!P:Q,2,FALSE))</f>
        <v>3</v>
      </c>
      <c r="AG847" s="22">
        <f>IF((AB847*0.98)-(D847*0.8)+((AF847-3)*3)+VLOOKUP(AM847,Table!$A$11:$B$13,2,FALSE)&lt;0,0,(AB847*0.98)-(D847*0.8)+((AF847-3)*3)+VLOOKUP(AM847,Table!$A$11:$B$13,2,FALSE))</f>
        <v>71.600200000000001</v>
      </c>
      <c r="AH847" s="22">
        <f t="shared" si="930"/>
        <v>70</v>
      </c>
      <c r="AI847" s="18">
        <f t="shared" ref="AI847:AI910" si="959">ROUND(AVERAGE(C847:C859),2)</f>
        <v>1.74</v>
      </c>
      <c r="AJ847" s="18">
        <f t="shared" ref="AJ847:AJ910" si="960">ROUND(AVERAGE(C847:C885),2)</f>
        <v>1.84</v>
      </c>
      <c r="AK847" t="str">
        <f t="shared" si="945"/>
        <v/>
      </c>
      <c r="AL847">
        <f t="shared" si="956"/>
        <v>21</v>
      </c>
      <c r="AM847" s="11" t="str">
        <f t="shared" si="946"/>
        <v>Stocks</v>
      </c>
      <c r="AN847" t="str">
        <f t="shared" si="952"/>
        <v>Buy</v>
      </c>
      <c r="AO847" s="13">
        <f t="shared" si="953"/>
        <v>-1.9699999999999999E-2</v>
      </c>
      <c r="AP847" s="13">
        <f t="shared" si="954"/>
        <v>2.9999999999999997E-4</v>
      </c>
      <c r="AQ847" s="13">
        <f t="shared" si="955"/>
        <v>-1.37E-2</v>
      </c>
      <c r="AR847" s="13">
        <f t="shared" si="947"/>
        <v>-1.9699999999999999E-2</v>
      </c>
      <c r="AS847" s="6">
        <f t="shared" si="939"/>
        <v>255.89239445610451</v>
      </c>
      <c r="AT847" s="6">
        <f t="shared" si="940"/>
        <v>157.00302001646611</v>
      </c>
      <c r="AU847" s="6">
        <f t="shared" si="941"/>
        <v>290.45064834088708</v>
      </c>
      <c r="AV847" s="6">
        <f t="shared" si="942"/>
        <v>362.22111948442193</v>
      </c>
      <c r="AW847" s="58">
        <f t="shared" si="948"/>
        <v>2002</v>
      </c>
      <c r="AX847" s="58">
        <f>COUNTIF(AW$3:AW847,AW847)</f>
        <v>30</v>
      </c>
    </row>
    <row r="848" spans="1:50" x14ac:dyDescent="0.25">
      <c r="A848" s="5">
        <v>37409</v>
      </c>
      <c r="B848">
        <v>1067.1400000000001</v>
      </c>
      <c r="C848">
        <v>1.72</v>
      </c>
      <c r="D848" s="6">
        <v>19.98</v>
      </c>
      <c r="E848" s="18">
        <f t="shared" si="925"/>
        <v>18.86</v>
      </c>
      <c r="F848">
        <f t="shared" si="926"/>
        <v>-1</v>
      </c>
      <c r="G848" s="18">
        <f>ROUND(INDEX(Valuation!U:U,MATCH(A848,Valuation!A:A,0)),2)</f>
        <v>89.36</v>
      </c>
      <c r="H848">
        <f t="shared" si="933"/>
        <v>-1</v>
      </c>
      <c r="I848" s="18">
        <f>INDEX(WeeklyIndicators!Y:Y,MATCH(A848,WeeklyIndicators!A:A,0))</f>
        <v>124.16</v>
      </c>
      <c r="J848">
        <f t="shared" si="958"/>
        <v>0</v>
      </c>
      <c r="K848">
        <f>ROUND(INDEX(Economic!AF:AF,MATCH(EOMONTH($A848,-1),Economic!A:A,0)),2)</f>
        <v>103.04</v>
      </c>
      <c r="L848" s="11">
        <f t="shared" si="931"/>
        <v>0</v>
      </c>
      <c r="M848">
        <f>ROUND(INDEX(Manufacturing!P:P,MATCH(EOMONTH($A848,-1),Manufacturing!A:A,0)),2)</f>
        <v>96.18</v>
      </c>
      <c r="N848">
        <f t="shared" si="927"/>
        <v>1</v>
      </c>
      <c r="O848">
        <f>ROUND(INDEX(Housing!AC:AC,MATCH(EOMONTH($A848,-1),Housing!B:B,0)),2)</f>
        <v>136.44</v>
      </c>
      <c r="P848">
        <f t="shared" si="928"/>
        <v>2</v>
      </c>
      <c r="Q848">
        <f>ROUND(INDEX(Spending!AJ:AJ,MATCH(EOMONTH($A848,-1),Spending!B:B,0)),2)</f>
        <v>53.21</v>
      </c>
      <c r="R848">
        <f t="shared" si="932"/>
        <v>1</v>
      </c>
      <c r="S848">
        <f>ROUND(INDEX(Employment!V:V,MATCH(EOMONTH($A848,-1),Employment!A:A,0)),2)</f>
        <v>128.09</v>
      </c>
      <c r="T848" s="11">
        <f t="shared" si="929"/>
        <v>-2</v>
      </c>
      <c r="U848">
        <f t="shared" si="957"/>
        <v>20</v>
      </c>
      <c r="V848">
        <f t="shared" si="949"/>
        <v>71.209999999999994</v>
      </c>
      <c r="W848" s="13">
        <f t="shared" si="950"/>
        <v>3.04E-2</v>
      </c>
      <c r="X848" s="13">
        <f t="shared" si="951"/>
        <v>0.11069999999999999</v>
      </c>
      <c r="Y848">
        <f t="shared" si="943"/>
        <v>68.91</v>
      </c>
      <c r="Z848" s="13">
        <f t="shared" si="938"/>
        <v>4.02E-2</v>
      </c>
      <c r="AA848" s="13">
        <f t="shared" si="934"/>
        <v>0.14749999999999999</v>
      </c>
      <c r="AB848" s="6">
        <f t="shared" si="944"/>
        <v>83.705999999999989</v>
      </c>
      <c r="AC848">
        <f t="shared" si="936"/>
        <v>42</v>
      </c>
      <c r="AD848" s="11">
        <f t="shared" si="937"/>
        <v>1</v>
      </c>
      <c r="AE848">
        <f t="shared" si="935"/>
        <v>23</v>
      </c>
      <c r="AF848">
        <f>IF(AND(AE848&lt;15,OR(AC848&gt;=30,AA848&gt;0.15,X848&gt;=0.15)),2,VLOOKUP(AE848,Table!P:Q,2,FALSE))</f>
        <v>3</v>
      </c>
      <c r="AG848" s="22">
        <f>IF((AB848*0.98)-(D848*0.8)+((AF848-3)*3)+VLOOKUP(AM848,Table!$A$11:$B$13,2,FALSE)&lt;0,0,(AB848*0.98)-(D848*0.8)+((AF848-3)*3)+VLOOKUP(AM848,Table!$A$11:$B$13,2,FALSE))</f>
        <v>74.047879999999992</v>
      </c>
      <c r="AH848" s="22">
        <f t="shared" si="930"/>
        <v>67</v>
      </c>
      <c r="AI848" s="18">
        <f t="shared" si="959"/>
        <v>1.74</v>
      </c>
      <c r="AJ848" s="18">
        <f t="shared" si="960"/>
        <v>1.88</v>
      </c>
      <c r="AK848" t="str">
        <f t="shared" si="945"/>
        <v>Falling Rates</v>
      </c>
      <c r="AL848">
        <f t="shared" si="956"/>
        <v>19.25</v>
      </c>
      <c r="AM848" s="11" t="str">
        <f t="shared" si="946"/>
        <v>Stocks</v>
      </c>
      <c r="AN848" t="str">
        <f t="shared" si="952"/>
        <v>Buy</v>
      </c>
      <c r="AO848" s="13">
        <f t="shared" si="953"/>
        <v>-3.7100000000000001E-2</v>
      </c>
      <c r="AP848" s="13">
        <f t="shared" si="954"/>
        <v>2.9999999999999997E-4</v>
      </c>
      <c r="AQ848" s="13">
        <f t="shared" si="955"/>
        <v>-2.4799999999999999E-2</v>
      </c>
      <c r="AR848" s="13">
        <f t="shared" si="947"/>
        <v>-3.7100000000000001E-2</v>
      </c>
      <c r="AS848" s="6">
        <f t="shared" si="939"/>
        <v>265.7517857057893</v>
      </c>
      <c r="AT848" s="6">
        <f t="shared" si="940"/>
        <v>156.95593323649516</v>
      </c>
      <c r="AU848" s="6">
        <f t="shared" si="941"/>
        <v>297.83700609196791</v>
      </c>
      <c r="AV848" s="6">
        <f t="shared" si="942"/>
        <v>376.1772972109481</v>
      </c>
      <c r="AW848" s="58">
        <f t="shared" si="948"/>
        <v>2002</v>
      </c>
      <c r="AX848" s="58">
        <f>COUNTIF(AW$3:AW848,AW848)</f>
        <v>31</v>
      </c>
    </row>
    <row r="849" spans="1:50" x14ac:dyDescent="0.25">
      <c r="A849" s="5">
        <v>37402</v>
      </c>
      <c r="B849">
        <v>1083.82</v>
      </c>
      <c r="C849">
        <v>1.71</v>
      </c>
      <c r="D849" s="6">
        <v>18.899999999999999</v>
      </c>
      <c r="E849" s="18">
        <f t="shared" ref="E849:E912" si="961">ROUND(AVERAGE(D849:D851),2)</f>
        <v>19.670000000000002</v>
      </c>
      <c r="F849">
        <f t="shared" ref="F849:F912" si="962">IF(E849&lt;11,3,IF(AND(E849&lt;14,E849&gt;=11),2,IF(AND(E849&lt;16,E849&gt;=14),1,IF(E849&gt;35,-3,IF(AND(E849&gt;25,E849&lt;=35),-2,IF(AND(E849&gt;18,E849&lt;=25),-1,0))))))</f>
        <v>-1</v>
      </c>
      <c r="G849" s="18">
        <f>ROUND(INDEX(Valuation!U:U,MATCH(A849,Valuation!A:A,0)),2)</f>
        <v>86.56</v>
      </c>
      <c r="H849">
        <f t="shared" si="933"/>
        <v>-1</v>
      </c>
      <c r="I849" s="18">
        <f>INDEX(WeeklyIndicators!Y:Y,MATCH(A849,WeeklyIndicators!A:A,0))</f>
        <v>121.83</v>
      </c>
      <c r="J849">
        <f t="shared" si="958"/>
        <v>0</v>
      </c>
      <c r="K849">
        <f>ROUND(INDEX(Economic!AF:AF,MATCH(EOMONTH($A849,-1),Economic!A:A,0)),2)</f>
        <v>95.82</v>
      </c>
      <c r="L849" s="11">
        <f t="shared" si="931"/>
        <v>-1</v>
      </c>
      <c r="M849">
        <f>ROUND(INDEX(Manufacturing!P:P,MATCH(EOMONTH($A849,-1),Manufacturing!A:A,0)),2)</f>
        <v>94.88</v>
      </c>
      <c r="N849">
        <f t="shared" si="927"/>
        <v>1</v>
      </c>
      <c r="O849">
        <f>ROUND(INDEX(Housing!AC:AC,MATCH(EOMONTH($A849,-1),Housing!B:B,0)),2)</f>
        <v>134.68</v>
      </c>
      <c r="P849">
        <f t="shared" si="928"/>
        <v>2</v>
      </c>
      <c r="Q849">
        <f>ROUND(INDEX(Spending!AJ:AJ,MATCH(EOMONTH($A849,-1),Spending!B:B,0)),2)</f>
        <v>47.75</v>
      </c>
      <c r="R849">
        <f t="shared" si="932"/>
        <v>0</v>
      </c>
      <c r="S849">
        <f>ROUND(INDEX(Employment!V:V,MATCH(EOMONTH($A849,-1),Employment!A:A,0)),2)</f>
        <v>115.3</v>
      </c>
      <c r="T849" s="11">
        <f t="shared" si="929"/>
        <v>-3</v>
      </c>
      <c r="U849">
        <f t="shared" si="957"/>
        <v>17</v>
      </c>
      <c r="V849">
        <f t="shared" si="949"/>
        <v>68.099999999999994</v>
      </c>
      <c r="W849" s="13">
        <f t="shared" si="950"/>
        <v>2.2700000000000001E-2</v>
      </c>
      <c r="X849" s="13">
        <f t="shared" si="951"/>
        <v>8.4800000000000014E-2</v>
      </c>
      <c r="Y849">
        <f t="shared" si="943"/>
        <v>65.209999999999994</v>
      </c>
      <c r="Z849" s="13">
        <f t="shared" si="938"/>
        <v>3.1099999999999999E-2</v>
      </c>
      <c r="AA849" s="13">
        <f t="shared" si="934"/>
        <v>0.11420000000000001</v>
      </c>
      <c r="AB849" s="6">
        <f t="shared" si="944"/>
        <v>77.13600000000001</v>
      </c>
      <c r="AC849">
        <f t="shared" si="936"/>
        <v>39</v>
      </c>
      <c r="AD849" s="11">
        <f t="shared" si="937"/>
        <v>0</v>
      </c>
      <c r="AE849">
        <f t="shared" si="935"/>
        <v>19</v>
      </c>
      <c r="AF849">
        <f>IF(AND(AE849&lt;15,OR(AC849&gt;=30,AA849&gt;0.15,X849&gt;=0.15)),2,VLOOKUP(AE849,Table!P:Q,2,FALSE))</f>
        <v>2</v>
      </c>
      <c r="AG849" s="22">
        <f>IF((AB849*0.98)-(D849*0.8)+((AF849-3)*3)+VLOOKUP(AM849,Table!$A$11:$B$13,2,FALSE)&lt;0,0,(AB849*0.98)-(D849*0.8)+((AF849-3)*3)+VLOOKUP(AM849,Table!$A$11:$B$13,2,FALSE))</f>
        <v>65.473280000000017</v>
      </c>
      <c r="AH849" s="22">
        <f t="shared" si="930"/>
        <v>60</v>
      </c>
      <c r="AI849" s="18">
        <f t="shared" si="959"/>
        <v>1.74</v>
      </c>
      <c r="AJ849" s="18">
        <f t="shared" si="960"/>
        <v>1.93</v>
      </c>
      <c r="AK849" t="str">
        <f t="shared" si="945"/>
        <v>Falling Rates</v>
      </c>
      <c r="AL849">
        <f t="shared" si="956"/>
        <v>17.75</v>
      </c>
      <c r="AM849" s="11" t="str">
        <f t="shared" si="946"/>
        <v>Stocks</v>
      </c>
      <c r="AN849" t="str">
        <f t="shared" si="952"/>
        <v>Buy</v>
      </c>
      <c r="AO849" s="13">
        <f t="shared" si="953"/>
        <v>-1.54E-2</v>
      </c>
      <c r="AP849" s="13">
        <f t="shared" si="954"/>
        <v>2.9999999999999997E-4</v>
      </c>
      <c r="AQ849" s="13">
        <f t="shared" si="955"/>
        <v>-9.1000000000000004E-3</v>
      </c>
      <c r="AR849" s="13">
        <f t="shared" si="947"/>
        <v>-1.54E-2</v>
      </c>
      <c r="AS849" s="6">
        <f t="shared" si="939"/>
        <v>269.90837467579655</v>
      </c>
      <c r="AT849" s="6">
        <f t="shared" si="940"/>
        <v>156.90886057832165</v>
      </c>
      <c r="AU849" s="6">
        <f t="shared" si="941"/>
        <v>300.57221323238258</v>
      </c>
      <c r="AV849" s="6">
        <f t="shared" si="942"/>
        <v>382.06103718357514</v>
      </c>
      <c r="AW849" s="58">
        <f t="shared" si="948"/>
        <v>2002</v>
      </c>
      <c r="AX849" s="58">
        <f>COUNTIF(AW$3:AW849,AW849)</f>
        <v>32</v>
      </c>
    </row>
    <row r="850" spans="1:50" x14ac:dyDescent="0.25">
      <c r="A850" s="5">
        <v>37395</v>
      </c>
      <c r="B850">
        <v>1106.5899999999999</v>
      </c>
      <c r="C850">
        <v>1.73</v>
      </c>
      <c r="D850" s="6">
        <v>17.700001</v>
      </c>
      <c r="E850" s="18">
        <f t="shared" si="961"/>
        <v>20.100000000000001</v>
      </c>
      <c r="F850">
        <f t="shared" si="962"/>
        <v>-1</v>
      </c>
      <c r="G850" s="18">
        <f>ROUND(INDEX(Valuation!U:U,MATCH(A850,Valuation!A:A,0)),2)</f>
        <v>85.78</v>
      </c>
      <c r="H850">
        <f t="shared" si="933"/>
        <v>-1</v>
      </c>
      <c r="I850" s="18">
        <f>INDEX(WeeklyIndicators!Y:Y,MATCH(A850,WeeklyIndicators!A:A,0))</f>
        <v>110.41</v>
      </c>
      <c r="J850">
        <f t="shared" si="958"/>
        <v>-1</v>
      </c>
      <c r="K850">
        <f>ROUND(INDEX(Economic!AF:AF,MATCH(EOMONTH($A850,-1),Economic!A:A,0)),2)</f>
        <v>95.82</v>
      </c>
      <c r="L850" s="11">
        <f t="shared" si="931"/>
        <v>-1</v>
      </c>
      <c r="M850">
        <f>ROUND(INDEX(Manufacturing!P:P,MATCH(EOMONTH($A850,-1),Manufacturing!A:A,0)),2)</f>
        <v>94.88</v>
      </c>
      <c r="N850">
        <f t="shared" ref="N850:N913" si="963">IF(M850&gt;108,3,IF(AND(M850&gt;100,M850&lt;=108),2,IF(AND(M850&gt;90,M850&lt;=100),1,IF(M850&lt;63,-3,IF(AND(M850&lt;74,M850&gt;=63),-2,IF(AND(M850&lt;84,M850&gt;=74),-1,0))))))</f>
        <v>1</v>
      </c>
      <c r="O850">
        <f>ROUND(INDEX(Housing!AC:AC,MATCH(EOMONTH($A850,-1),Housing!B:B,0)),2)</f>
        <v>134.68</v>
      </c>
      <c r="P850">
        <f t="shared" ref="P850:P913" si="964">IF(O850&gt;140,3,IF(AND(O850&gt;128,O850&lt;=140),2,IF(AND(O850&gt;115,O850&lt;=128),1,IF(O850&lt;50,-3,IF(AND(O850&lt;75,O850&gt;=50),-2,IF(AND(O850&lt;100,O850&gt;=75),-1,0))))))</f>
        <v>2</v>
      </c>
      <c r="Q850">
        <f>ROUND(INDEX(Spending!AJ:AJ,MATCH(EOMONTH($A850,-1),Spending!B:B,0)),2)</f>
        <v>47.75</v>
      </c>
      <c r="R850">
        <f t="shared" si="932"/>
        <v>0</v>
      </c>
      <c r="S850">
        <f>ROUND(INDEX(Employment!V:V,MATCH(EOMONTH($A850,-1),Employment!A:A,0)),2)</f>
        <v>115.3</v>
      </c>
      <c r="T850" s="11">
        <f t="shared" ref="T850:T913" si="965">IF(S850&gt;190,3,IF(AND(S850&gt;175,S850&lt;=190),2,IF(AND(S850&gt;160,S850&lt;=175),1,IF(S850&lt;120,-3,IF(AND(S850&lt;140,S850&gt;=120),-2,IF(AND(S850&lt;150,S850&gt;=140),-1,0))))))</f>
        <v>-3</v>
      </c>
      <c r="U850">
        <f t="shared" si="957"/>
        <v>16</v>
      </c>
      <c r="V850">
        <f t="shared" si="949"/>
        <v>66.92</v>
      </c>
      <c r="W850" s="13">
        <f t="shared" si="950"/>
        <v>3.6499999999999998E-2</v>
      </c>
      <c r="X850" s="13">
        <f t="shared" si="951"/>
        <v>4.1499999999999995E-2</v>
      </c>
      <c r="Y850">
        <f t="shared" si="943"/>
        <v>63.79</v>
      </c>
      <c r="Z850" s="13">
        <f t="shared" si="938"/>
        <v>4.8500000000000001E-2</v>
      </c>
      <c r="AA850" s="13">
        <f t="shared" si="934"/>
        <v>5.9000000000000011E-2</v>
      </c>
      <c r="AB850" s="6">
        <f t="shared" si="944"/>
        <v>71.468000000000004</v>
      </c>
      <c r="AC850">
        <f t="shared" si="936"/>
        <v>36</v>
      </c>
      <c r="AD850" s="11">
        <f t="shared" si="937"/>
        <v>0</v>
      </c>
      <c r="AE850">
        <f t="shared" si="935"/>
        <v>18</v>
      </c>
      <c r="AF850">
        <f>IF(AND(AE850&lt;15,OR(AC850&gt;=30,AA850&gt;0.15,X850&gt;=0.15)),2,VLOOKUP(AE850,Table!P:Q,2,FALSE))</f>
        <v>2</v>
      </c>
      <c r="AG850" s="22">
        <f>IF((AB850*0.98)-(D850*0.8)+((AF850-3)*3)+VLOOKUP(AM850,Table!$A$11:$B$13,2,FALSE)&lt;0,0,(AB850*0.98)-(D850*0.8)+((AF850-3)*3)+VLOOKUP(AM850,Table!$A$11:$B$13,2,FALSE))</f>
        <v>60.878639200000002</v>
      </c>
      <c r="AH850" s="22">
        <f t="shared" ref="AH850:AH913" si="966">IF(ROUND(AVERAGE(AG850:AG852),0)&lt;0,0,IF(ROUND(AVERAGE(AG850:AG852),0)&gt;100,100,ROUND(AVERAGE(AG850:AG852),0)))</f>
        <v>55</v>
      </c>
      <c r="AI850" s="18">
        <f t="shared" si="959"/>
        <v>1.74</v>
      </c>
      <c r="AJ850" s="18">
        <f t="shared" si="960"/>
        <v>1.97</v>
      </c>
      <c r="AK850" t="str">
        <f t="shared" si="945"/>
        <v>Falling Rates</v>
      </c>
      <c r="AL850">
        <f t="shared" si="956"/>
        <v>16.5</v>
      </c>
      <c r="AM850" s="11" t="str">
        <f t="shared" si="946"/>
        <v>Stocks</v>
      </c>
      <c r="AN850" t="str">
        <f t="shared" si="952"/>
        <v>Buy</v>
      </c>
      <c r="AO850" s="13">
        <f t="shared" si="953"/>
        <v>-2.06E-2</v>
      </c>
      <c r="AP850" s="13">
        <f t="shared" si="954"/>
        <v>2.9999999999999997E-4</v>
      </c>
      <c r="AQ850" s="13">
        <f t="shared" si="955"/>
        <v>-1.12E-2</v>
      </c>
      <c r="AR850" s="13">
        <f t="shared" si="947"/>
        <v>-2.06E-2</v>
      </c>
      <c r="AS850" s="6">
        <f t="shared" si="939"/>
        <v>275.58543462915719</v>
      </c>
      <c r="AT850" s="6">
        <f t="shared" si="940"/>
        <v>156.86180203771033</v>
      </c>
      <c r="AU850" s="6">
        <f t="shared" si="941"/>
        <v>303.97675286446457</v>
      </c>
      <c r="AV850" s="6">
        <f t="shared" si="942"/>
        <v>390.09703612780794</v>
      </c>
      <c r="AW850" s="58">
        <f t="shared" si="948"/>
        <v>2002</v>
      </c>
      <c r="AX850" s="58">
        <f>COUNTIF(AW$3:AW850,AW850)</f>
        <v>33</v>
      </c>
    </row>
    <row r="851" spans="1:50" x14ac:dyDescent="0.25">
      <c r="A851" s="5">
        <v>37388</v>
      </c>
      <c r="B851">
        <v>1054.99</v>
      </c>
      <c r="C851">
        <v>1.73</v>
      </c>
      <c r="D851" s="6">
        <v>22.41</v>
      </c>
      <c r="E851" s="18">
        <f t="shared" si="961"/>
        <v>21.58</v>
      </c>
      <c r="F851">
        <f t="shared" si="962"/>
        <v>-1</v>
      </c>
      <c r="G851" s="18">
        <f>ROUND(INDEX(Valuation!U:U,MATCH(A851,Valuation!A:A,0)),2)</f>
        <v>83.89</v>
      </c>
      <c r="H851">
        <f t="shared" si="933"/>
        <v>-1</v>
      </c>
      <c r="I851" s="18">
        <f>INDEX(WeeklyIndicators!Y:Y,MATCH(A851,WeeklyIndicators!A:A,0))</f>
        <v>93.09</v>
      </c>
      <c r="J851">
        <f t="shared" si="958"/>
        <v>-2</v>
      </c>
      <c r="K851">
        <f>ROUND(INDEX(Economic!AF:AF,MATCH(EOMONTH($A851,-1),Economic!A:A,0)),2)</f>
        <v>95.82</v>
      </c>
      <c r="L851" s="11">
        <f t="shared" ref="L851:L914" si="967">IF(K851&gt;138,3,IF(AND(K851&gt;125,K851&lt;=138),2,IF(AND(K851&gt;111,K851&lt;=125),1,IF(K851&lt;50,-3,IF(AND(K851&lt;80,K851&gt;=50),-2,IF(AND(K851&lt;100,K851&gt;=80),-1,0))))))</f>
        <v>-1</v>
      </c>
      <c r="M851">
        <f>ROUND(INDEX(Manufacturing!P:P,MATCH(EOMONTH($A851,-1),Manufacturing!A:A,0)),2)</f>
        <v>94.88</v>
      </c>
      <c r="N851">
        <f t="shared" si="963"/>
        <v>1</v>
      </c>
      <c r="O851">
        <f>ROUND(INDEX(Housing!AC:AC,MATCH(EOMONTH($A851,-1),Housing!B:B,0)),2)</f>
        <v>134.68</v>
      </c>
      <c r="P851">
        <f t="shared" si="964"/>
        <v>2</v>
      </c>
      <c r="Q851">
        <f>ROUND(INDEX(Spending!AJ:AJ,MATCH(EOMONTH($A851,-1),Spending!B:B,0)),2)</f>
        <v>47.75</v>
      </c>
      <c r="R851">
        <f t="shared" ref="R851:R914" si="968">IF(Q851&gt;60,2,IF(AND(Q851&gt;50,Q851&lt;=60),1,IF(Q851&lt;30,-2,IF(AND(Q851&lt;40,Q851&gt;=30),-1,0))))</f>
        <v>0</v>
      </c>
      <c r="S851">
        <f>ROUND(INDEX(Employment!V:V,MATCH(EOMONTH($A851,-1),Employment!A:A,0)),2)</f>
        <v>115.3</v>
      </c>
      <c r="T851" s="11">
        <f t="shared" si="965"/>
        <v>-3</v>
      </c>
      <c r="U851">
        <f t="shared" si="957"/>
        <v>15</v>
      </c>
      <c r="V851">
        <f t="shared" si="949"/>
        <v>65.12</v>
      </c>
      <c r="W851" s="13">
        <f t="shared" si="950"/>
        <v>2.1100000000000001E-2</v>
      </c>
      <c r="X851" s="13">
        <f t="shared" si="951"/>
        <v>2.2700000000000001E-2</v>
      </c>
      <c r="Y851">
        <f t="shared" si="943"/>
        <v>61.26</v>
      </c>
      <c r="Z851" s="13">
        <f t="shared" si="938"/>
        <v>2.7699999999999999E-2</v>
      </c>
      <c r="AA851" s="13">
        <f t="shared" si="934"/>
        <v>0.03</v>
      </c>
      <c r="AB851" s="6">
        <f t="shared" si="944"/>
        <v>66.558999999999997</v>
      </c>
      <c r="AC851">
        <f t="shared" si="936"/>
        <v>33</v>
      </c>
      <c r="AD851" s="11">
        <f t="shared" si="937"/>
        <v>0</v>
      </c>
      <c r="AE851">
        <f t="shared" si="935"/>
        <v>17</v>
      </c>
      <c r="AF851">
        <f>IF(AND(AE851&lt;15,OR(AC851&gt;=30,AA851&gt;0.15,X851&gt;=0.15)),2,VLOOKUP(AE851,Table!P:Q,2,FALSE))</f>
        <v>2</v>
      </c>
      <c r="AG851" s="22">
        <f>IF((AB851*0.98)-(D851*0.8)+((AF851-3)*3)+VLOOKUP(AM851,Table!$A$11:$B$13,2,FALSE)&lt;0,0,(AB851*0.98)-(D851*0.8)+((AF851-3)*3)+VLOOKUP(AM851,Table!$A$11:$B$13,2,FALSE))</f>
        <v>52.299819999999997</v>
      </c>
      <c r="AH851" s="22">
        <f t="shared" si="966"/>
        <v>51</v>
      </c>
      <c r="AI851" s="18">
        <f t="shared" si="959"/>
        <v>1.74</v>
      </c>
      <c r="AJ851" s="18">
        <f t="shared" si="960"/>
        <v>2.0099999999999998</v>
      </c>
      <c r="AK851" t="str">
        <f t="shared" si="945"/>
        <v>Falling Rates</v>
      </c>
      <c r="AL851">
        <f t="shared" si="956"/>
        <v>15.75</v>
      </c>
      <c r="AM851" s="11" t="str">
        <f t="shared" si="946"/>
        <v>Stocks</v>
      </c>
      <c r="AN851" t="str">
        <f t="shared" si="952"/>
        <v>Buy</v>
      </c>
      <c r="AO851" s="13">
        <f t="shared" si="953"/>
        <v>4.8899999999999999E-2</v>
      </c>
      <c r="AP851" s="13">
        <f t="shared" si="954"/>
        <v>2.9999999999999997E-4</v>
      </c>
      <c r="AQ851" s="13">
        <f t="shared" si="955"/>
        <v>2.5100000000000001E-2</v>
      </c>
      <c r="AR851" s="13">
        <f t="shared" si="947"/>
        <v>4.8899999999999999E-2</v>
      </c>
      <c r="AS851" s="6">
        <f t="shared" si="939"/>
        <v>262.73756757475184</v>
      </c>
      <c r="AT851" s="6">
        <f t="shared" si="940"/>
        <v>156.81475761042722</v>
      </c>
      <c r="AU851" s="6">
        <f t="shared" si="941"/>
        <v>296.53375559893141</v>
      </c>
      <c r="AV851" s="6">
        <f t="shared" si="942"/>
        <v>371.91060742473826</v>
      </c>
      <c r="AW851" s="58">
        <f t="shared" si="948"/>
        <v>2002</v>
      </c>
      <c r="AX851" s="58">
        <f>COUNTIF(AW$3:AW851,AW851)</f>
        <v>34</v>
      </c>
    </row>
    <row r="852" spans="1:50" x14ac:dyDescent="0.25">
      <c r="A852" s="5">
        <v>37381</v>
      </c>
      <c r="B852">
        <v>1073.43</v>
      </c>
      <c r="C852">
        <v>1.74</v>
      </c>
      <c r="D852" s="6">
        <v>20.190000999999999</v>
      </c>
      <c r="E852" s="18">
        <f t="shared" si="961"/>
        <v>20.21</v>
      </c>
      <c r="F852">
        <f t="shared" si="962"/>
        <v>-1</v>
      </c>
      <c r="G852" s="18">
        <f>ROUND(INDEX(Valuation!U:U,MATCH(A852,Valuation!A:A,0)),2)</f>
        <v>76.59</v>
      </c>
      <c r="H852">
        <f t="shared" si="933"/>
        <v>-1</v>
      </c>
      <c r="I852" s="18">
        <f>INDEX(WeeklyIndicators!Y:Y,MATCH(A852,WeeklyIndicators!A:A,0))</f>
        <v>78.98</v>
      </c>
      <c r="J852">
        <f t="shared" si="958"/>
        <v>-2</v>
      </c>
      <c r="K852">
        <f>ROUND(INDEX(Economic!AF:AF,MATCH(EOMONTH($A852,-1),Economic!A:A,0)),2)</f>
        <v>95.82</v>
      </c>
      <c r="L852" s="11">
        <f t="shared" si="967"/>
        <v>-1</v>
      </c>
      <c r="M852">
        <f>ROUND(INDEX(Manufacturing!P:P,MATCH(EOMONTH($A852,-1),Manufacturing!A:A,0)),2)</f>
        <v>94.88</v>
      </c>
      <c r="N852">
        <f t="shared" si="963"/>
        <v>1</v>
      </c>
      <c r="O852">
        <f>ROUND(INDEX(Housing!AC:AC,MATCH(EOMONTH($A852,-1),Housing!B:B,0)),2)</f>
        <v>134.68</v>
      </c>
      <c r="P852">
        <f t="shared" si="964"/>
        <v>2</v>
      </c>
      <c r="Q852">
        <f>ROUND(INDEX(Spending!AJ:AJ,MATCH(EOMONTH($A852,-1),Spending!B:B,0)),2)</f>
        <v>47.75</v>
      </c>
      <c r="R852">
        <f t="shared" si="968"/>
        <v>0</v>
      </c>
      <c r="S852">
        <f>ROUND(INDEX(Employment!V:V,MATCH(EOMONTH($A852,-1),Employment!A:A,0)),2)</f>
        <v>115.3</v>
      </c>
      <c r="T852" s="11">
        <f t="shared" si="965"/>
        <v>-3</v>
      </c>
      <c r="U852">
        <f t="shared" si="957"/>
        <v>15</v>
      </c>
      <c r="V852">
        <f t="shared" si="949"/>
        <v>63.65</v>
      </c>
      <c r="W852" s="13">
        <f t="shared" si="950"/>
        <v>4.4999999999999997E-3</v>
      </c>
      <c r="X852" s="13">
        <f t="shared" si="951"/>
        <v>2.75E-2</v>
      </c>
      <c r="Y852">
        <f t="shared" si="943"/>
        <v>59.47</v>
      </c>
      <c r="Z852" s="13">
        <f t="shared" si="938"/>
        <v>6.8999999999999999E-3</v>
      </c>
      <c r="AA852" s="13">
        <f t="shared" si="934"/>
        <v>3.4299999999999997E-2</v>
      </c>
      <c r="AB852" s="6">
        <f t="shared" si="944"/>
        <v>64.319000000000003</v>
      </c>
      <c r="AC852">
        <f t="shared" si="936"/>
        <v>32</v>
      </c>
      <c r="AD852" s="11">
        <f t="shared" si="937"/>
        <v>0</v>
      </c>
      <c r="AE852">
        <f t="shared" si="935"/>
        <v>17</v>
      </c>
      <c r="AF852">
        <f>IF(AND(AE852&lt;15,OR(AC852&gt;=30,AA852&gt;0.15,X852&gt;=0.15)),2,VLOOKUP(AE852,Table!P:Q,2,FALSE))</f>
        <v>2</v>
      </c>
      <c r="AG852" s="22">
        <f>IF((AB852*0.98)-(D852*0.8)+((AF852-3)*3)+VLOOKUP(AM852,Table!$A$11:$B$13,2,FALSE)&lt;0,0,(AB852*0.98)-(D852*0.8)+((AF852-3)*3)+VLOOKUP(AM852,Table!$A$11:$B$13,2,FALSE))</f>
        <v>51.880619199999998</v>
      </c>
      <c r="AH852" s="22">
        <f t="shared" si="966"/>
        <v>51</v>
      </c>
      <c r="AI852" s="18">
        <f t="shared" si="959"/>
        <v>1.74</v>
      </c>
      <c r="AJ852" s="18">
        <f t="shared" si="960"/>
        <v>2.0499999999999998</v>
      </c>
      <c r="AK852" t="str">
        <f t="shared" si="945"/>
        <v/>
      </c>
      <c r="AL852">
        <f t="shared" si="956"/>
        <v>15.5</v>
      </c>
      <c r="AM852" s="11" t="str">
        <f t="shared" si="946"/>
        <v>Stocks</v>
      </c>
      <c r="AN852" t="str">
        <f t="shared" si="952"/>
        <v>Sell</v>
      </c>
      <c r="AO852" s="13">
        <f t="shared" si="953"/>
        <v>-1.72E-2</v>
      </c>
      <c r="AP852" s="13">
        <f t="shared" si="954"/>
        <v>2.9999999999999997E-4</v>
      </c>
      <c r="AQ852" s="13">
        <f t="shared" si="955"/>
        <v>-8.6E-3</v>
      </c>
      <c r="AR852" s="13">
        <f t="shared" si="947"/>
        <v>-1.72E-2</v>
      </c>
      <c r="AS852" s="6">
        <f t="shared" si="939"/>
        <v>267.33574234305235</v>
      </c>
      <c r="AT852" s="6">
        <f t="shared" si="940"/>
        <v>156.76772729223956</v>
      </c>
      <c r="AU852" s="6">
        <f t="shared" si="941"/>
        <v>299.10606778185536</v>
      </c>
      <c r="AV852" s="6">
        <f t="shared" si="942"/>
        <v>378.41942147409264</v>
      </c>
      <c r="AW852" s="58">
        <f t="shared" si="948"/>
        <v>2002</v>
      </c>
      <c r="AX852" s="58">
        <f>COUNTIF(AW$3:AW852,AW852)</f>
        <v>35</v>
      </c>
    </row>
    <row r="853" spans="1:50" x14ac:dyDescent="0.25">
      <c r="A853" s="5">
        <v>37374</v>
      </c>
      <c r="B853">
        <v>1076.32</v>
      </c>
      <c r="C853">
        <v>1.7</v>
      </c>
      <c r="D853" s="6">
        <v>22.139999</v>
      </c>
      <c r="E853" s="18">
        <f t="shared" si="961"/>
        <v>19.95</v>
      </c>
      <c r="F853">
        <f t="shared" si="962"/>
        <v>-1</v>
      </c>
      <c r="G853" s="18">
        <f>ROUND(INDEX(Valuation!U:U,MATCH(A853,Valuation!A:A,0)),2)</f>
        <v>70.680000000000007</v>
      </c>
      <c r="H853">
        <f t="shared" si="933"/>
        <v>-1</v>
      </c>
      <c r="I853" s="18">
        <f>INDEX(WeeklyIndicators!Y:Y,MATCH(A853,WeeklyIndicators!A:A,0))</f>
        <v>77.209999999999994</v>
      </c>
      <c r="J853">
        <f t="shared" si="958"/>
        <v>-2</v>
      </c>
      <c r="K853">
        <f>ROUND(INDEX(Economic!AF:AF,MATCH(EOMONTH($A853,-1),Economic!A:A,0)),2)</f>
        <v>89.42</v>
      </c>
      <c r="L853" s="11">
        <f t="shared" si="967"/>
        <v>-1</v>
      </c>
      <c r="M853">
        <f>ROUND(INDEX(Manufacturing!P:P,MATCH(EOMONTH($A853,-1),Manufacturing!A:A,0)),2)</f>
        <v>89.09</v>
      </c>
      <c r="N853">
        <f t="shared" si="963"/>
        <v>0</v>
      </c>
      <c r="O853">
        <f>ROUND(INDEX(Housing!AC:AC,MATCH(EOMONTH($A853,-1),Housing!B:B,0)),2)</f>
        <v>126.49</v>
      </c>
      <c r="P853">
        <f t="shared" si="964"/>
        <v>1</v>
      </c>
      <c r="Q853">
        <f>ROUND(INDEX(Spending!AJ:AJ,MATCH(EOMONTH($A853,-1),Spending!B:B,0)),2)</f>
        <v>44.24</v>
      </c>
      <c r="R853">
        <f t="shared" si="968"/>
        <v>0</v>
      </c>
      <c r="S853">
        <f>ROUND(INDEX(Employment!V:V,MATCH(EOMONTH($A853,-1),Employment!A:A,0)),2)</f>
        <v>104.88</v>
      </c>
      <c r="T853" s="11">
        <f t="shared" si="965"/>
        <v>-3</v>
      </c>
      <c r="U853">
        <f t="shared" si="957"/>
        <v>13</v>
      </c>
      <c r="V853">
        <f t="shared" si="949"/>
        <v>60.02</v>
      </c>
      <c r="W853" s="13">
        <f t="shared" si="950"/>
        <v>-2.06E-2</v>
      </c>
      <c r="X853" s="13">
        <f t="shared" si="951"/>
        <v>5.3499999999999999E-2</v>
      </c>
      <c r="Y853">
        <f t="shared" si="943"/>
        <v>55.26</v>
      </c>
      <c r="Z853" s="13">
        <f t="shared" si="938"/>
        <v>-2.41E-2</v>
      </c>
      <c r="AA853" s="13">
        <f t="shared" si="934"/>
        <v>6.9800000000000001E-2</v>
      </c>
      <c r="AB853" s="6">
        <f t="shared" si="944"/>
        <v>62.037999999999997</v>
      </c>
      <c r="AC853">
        <f t="shared" si="936"/>
        <v>31</v>
      </c>
      <c r="AD853" s="11">
        <f t="shared" si="937"/>
        <v>-1</v>
      </c>
      <c r="AE853">
        <f t="shared" si="935"/>
        <v>14</v>
      </c>
      <c r="AF853">
        <f>IF(AND(AE853&lt;15,OR(AC853&gt;=30,AA853&gt;0.15,X853&gt;=0.15)),2,VLOOKUP(AE853,Table!P:Q,2,FALSE))</f>
        <v>2</v>
      </c>
      <c r="AG853" s="22">
        <f>IF((AB853*0.98)-(D853*0.8)+((AF853-3)*3)+VLOOKUP(AM853,Table!$A$11:$B$13,2,FALSE)&lt;0,0,(AB853*0.98)-(D853*0.8)+((AF853-3)*3)+VLOOKUP(AM853,Table!$A$11:$B$13,2,FALSE))</f>
        <v>48.085240799999994</v>
      </c>
      <c r="AH853" s="22">
        <f t="shared" si="966"/>
        <v>52</v>
      </c>
      <c r="AI853" s="18">
        <f t="shared" si="959"/>
        <v>1.74</v>
      </c>
      <c r="AJ853" s="18">
        <f t="shared" si="960"/>
        <v>2.1</v>
      </c>
      <c r="AK853" t="str">
        <f t="shared" si="945"/>
        <v>Falling Rates</v>
      </c>
      <c r="AL853">
        <f t="shared" si="956"/>
        <v>15.25</v>
      </c>
      <c r="AM853" s="11" t="str">
        <f t="shared" si="946"/>
        <v>Stocks</v>
      </c>
      <c r="AN853" t="str">
        <f t="shared" si="952"/>
        <v>Sell</v>
      </c>
      <c r="AO853" s="13">
        <f t="shared" si="953"/>
        <v>-2.7000000000000001E-3</v>
      </c>
      <c r="AP853" s="13">
        <f t="shared" si="954"/>
        <v>2.9999999999999997E-4</v>
      </c>
      <c r="AQ853" s="13">
        <f t="shared" si="955"/>
        <v>-1.2999999999999999E-3</v>
      </c>
      <c r="AR853" s="13">
        <f t="shared" si="947"/>
        <v>-2.7000000000000001E-3</v>
      </c>
      <c r="AS853" s="6">
        <f t="shared" si="939"/>
        <v>268.05950300115546</v>
      </c>
      <c r="AT853" s="6">
        <f t="shared" si="940"/>
        <v>156.72071107891588</v>
      </c>
      <c r="AU853" s="6">
        <f t="shared" si="941"/>
        <v>299.49541181721776</v>
      </c>
      <c r="AV853" s="6">
        <f t="shared" si="942"/>
        <v>379.44392005824994</v>
      </c>
      <c r="AW853" s="58">
        <f t="shared" si="948"/>
        <v>2002</v>
      </c>
      <c r="AX853" s="58">
        <f>COUNTIF(AW$3:AW853,AW853)</f>
        <v>36</v>
      </c>
    </row>
    <row r="854" spans="1:50" x14ac:dyDescent="0.25">
      <c r="A854" s="5">
        <v>37367</v>
      </c>
      <c r="B854">
        <v>1125.17</v>
      </c>
      <c r="C854">
        <v>1.7</v>
      </c>
      <c r="D854" s="6">
        <v>18.299999</v>
      </c>
      <c r="E854" s="18">
        <f t="shared" si="961"/>
        <v>18.95</v>
      </c>
      <c r="F854">
        <f t="shared" si="962"/>
        <v>-1</v>
      </c>
      <c r="G854" s="18">
        <f>ROUND(INDEX(Valuation!U:U,MATCH(A854,Valuation!A:A,0)),2)</f>
        <v>68.150000000000006</v>
      </c>
      <c r="H854">
        <f t="shared" si="933"/>
        <v>-1</v>
      </c>
      <c r="I854" s="18">
        <f>INDEX(WeeklyIndicators!Y:Y,MATCH(A854,WeeklyIndicators!A:A,0))</f>
        <v>88.69</v>
      </c>
      <c r="J854">
        <f t="shared" si="958"/>
        <v>-2</v>
      </c>
      <c r="K854">
        <f>ROUND(INDEX(Economic!AF:AF,MATCH(EOMONTH($A854,-1),Economic!A:A,0)),2)</f>
        <v>89.42</v>
      </c>
      <c r="L854" s="11">
        <f t="shared" si="967"/>
        <v>-1</v>
      </c>
      <c r="M854">
        <f>ROUND(INDEX(Manufacturing!P:P,MATCH(EOMONTH($A854,-1),Manufacturing!A:A,0)),2)</f>
        <v>89.09</v>
      </c>
      <c r="N854">
        <f t="shared" si="963"/>
        <v>0</v>
      </c>
      <c r="O854">
        <f>ROUND(INDEX(Housing!AC:AC,MATCH(EOMONTH($A854,-1),Housing!B:B,0)),2)</f>
        <v>126.49</v>
      </c>
      <c r="P854">
        <f t="shared" si="964"/>
        <v>1</v>
      </c>
      <c r="Q854">
        <f>ROUND(INDEX(Spending!AJ:AJ,MATCH(EOMONTH($A854,-1),Spending!B:B,0)),2)</f>
        <v>44.24</v>
      </c>
      <c r="R854">
        <f t="shared" si="968"/>
        <v>0</v>
      </c>
      <c r="S854">
        <f>ROUND(INDEX(Employment!V:V,MATCH(EOMONTH($A854,-1),Employment!A:A,0)),2)</f>
        <v>104.88</v>
      </c>
      <c r="T854" s="11">
        <f t="shared" si="965"/>
        <v>-3</v>
      </c>
      <c r="U854">
        <f t="shared" si="957"/>
        <v>13</v>
      </c>
      <c r="V854">
        <f t="shared" si="949"/>
        <v>61.21</v>
      </c>
      <c r="W854" s="13">
        <f t="shared" si="950"/>
        <v>1.77E-2</v>
      </c>
      <c r="X854" s="13">
        <f t="shared" si="951"/>
        <v>7.0099999999999996E-2</v>
      </c>
      <c r="Y854">
        <f t="shared" si="943"/>
        <v>56.52</v>
      </c>
      <c r="Z854" s="13">
        <f t="shared" si="938"/>
        <v>1.95E-2</v>
      </c>
      <c r="AA854" s="13">
        <f t="shared" si="934"/>
        <v>0.10040000000000002</v>
      </c>
      <c r="AB854" s="6">
        <f t="shared" si="944"/>
        <v>65.304999999999993</v>
      </c>
      <c r="AC854">
        <f t="shared" si="936"/>
        <v>33</v>
      </c>
      <c r="AD854" s="11">
        <f t="shared" si="937"/>
        <v>0</v>
      </c>
      <c r="AE854">
        <f t="shared" si="935"/>
        <v>15</v>
      </c>
      <c r="AF854">
        <f>IF(AND(AE854&lt;15,OR(AC854&gt;=30,AA854&gt;0.15,X854&gt;=0.15)),2,VLOOKUP(AE854,Table!P:Q,2,FALSE))</f>
        <v>2</v>
      </c>
      <c r="AG854" s="22">
        <f>IF((AB854*0.98)-(D854*0.8)+((AF854-3)*3)+VLOOKUP(AM854,Table!$A$11:$B$13,2,FALSE)&lt;0,0,(AB854*0.98)-(D854*0.8)+((AF854-3)*3)+VLOOKUP(AM854,Table!$A$11:$B$13,2,FALSE))</f>
        <v>54.358900799999994</v>
      </c>
      <c r="AH854" s="22">
        <f t="shared" si="966"/>
        <v>56</v>
      </c>
      <c r="AI854" s="18">
        <f t="shared" si="959"/>
        <v>1.74</v>
      </c>
      <c r="AJ854" s="18">
        <f t="shared" si="960"/>
        <v>2.14</v>
      </c>
      <c r="AK854" t="str">
        <f t="shared" si="945"/>
        <v>Falling Rates</v>
      </c>
      <c r="AL854">
        <f t="shared" si="956"/>
        <v>15.25</v>
      </c>
      <c r="AM854" s="11" t="str">
        <f t="shared" si="946"/>
        <v>Stocks</v>
      </c>
      <c r="AN854" t="str">
        <f t="shared" si="952"/>
        <v>Sell</v>
      </c>
      <c r="AO854" s="13">
        <f t="shared" si="953"/>
        <v>-4.3400000000000001E-2</v>
      </c>
      <c r="AP854" s="13">
        <f t="shared" si="954"/>
        <v>2.9999999999999997E-4</v>
      </c>
      <c r="AQ854" s="13">
        <f t="shared" si="955"/>
        <v>-2.4199999999999999E-2</v>
      </c>
      <c r="AR854" s="13">
        <f t="shared" si="947"/>
        <v>-4.3400000000000001E-2</v>
      </c>
      <c r="AS854" s="6">
        <f t="shared" si="939"/>
        <v>280.22109868404294</v>
      </c>
      <c r="AT854" s="6">
        <f t="shared" si="940"/>
        <v>156.67370896622603</v>
      </c>
      <c r="AU854" s="6">
        <f t="shared" si="941"/>
        <v>306.92294713795633</v>
      </c>
      <c r="AV854" s="6">
        <f t="shared" si="942"/>
        <v>396.65891705859286</v>
      </c>
      <c r="AW854" s="58">
        <f t="shared" si="948"/>
        <v>2002</v>
      </c>
      <c r="AX854" s="58">
        <f>COUNTIF(AW$3:AW854,AW854)</f>
        <v>37</v>
      </c>
    </row>
    <row r="855" spans="1:50" x14ac:dyDescent="0.25">
      <c r="A855" s="5">
        <v>37360</v>
      </c>
      <c r="B855">
        <v>1111.01</v>
      </c>
      <c r="C855">
        <v>1.69</v>
      </c>
      <c r="D855" s="6">
        <v>19.420000000000002</v>
      </c>
      <c r="E855" s="18">
        <f t="shared" si="961"/>
        <v>18.649999999999999</v>
      </c>
      <c r="F855">
        <f t="shared" si="962"/>
        <v>-1</v>
      </c>
      <c r="G855" s="18">
        <f>ROUND(INDEX(Valuation!U:U,MATCH(A855,Valuation!A:A,0)),2)</f>
        <v>68.569999999999993</v>
      </c>
      <c r="H855">
        <f t="shared" si="933"/>
        <v>-1</v>
      </c>
      <c r="I855" s="18">
        <f>INDEX(WeeklyIndicators!Y:Y,MATCH(A855,WeeklyIndicators!A:A,0))</f>
        <v>104.26</v>
      </c>
      <c r="J855">
        <f t="shared" si="958"/>
        <v>-1</v>
      </c>
      <c r="K855">
        <f>ROUND(INDEX(Economic!AF:AF,MATCH(EOMONTH($A855,-1),Economic!A:A,0)),2)</f>
        <v>89.42</v>
      </c>
      <c r="L855" s="11">
        <f t="shared" si="967"/>
        <v>-1</v>
      </c>
      <c r="M855">
        <f>ROUND(INDEX(Manufacturing!P:P,MATCH(EOMONTH($A855,-1),Manufacturing!A:A,0)),2)</f>
        <v>89.09</v>
      </c>
      <c r="N855">
        <f t="shared" si="963"/>
        <v>0</v>
      </c>
      <c r="O855">
        <f>ROUND(INDEX(Housing!AC:AC,MATCH(EOMONTH($A855,-1),Housing!B:B,0)),2)</f>
        <v>126.49</v>
      </c>
      <c r="P855">
        <f t="shared" si="964"/>
        <v>1</v>
      </c>
      <c r="Q855">
        <f>ROUND(INDEX(Spending!AJ:AJ,MATCH(EOMONTH($A855,-1),Spending!B:B,0)),2)</f>
        <v>44.24</v>
      </c>
      <c r="R855">
        <f t="shared" si="968"/>
        <v>0</v>
      </c>
      <c r="S855">
        <f>ROUND(INDEX(Employment!V:V,MATCH(EOMONTH($A855,-1),Employment!A:A,0)),2)</f>
        <v>104.88</v>
      </c>
      <c r="T855" s="11">
        <f t="shared" si="965"/>
        <v>-3</v>
      </c>
      <c r="U855">
        <f t="shared" si="957"/>
        <v>14</v>
      </c>
      <c r="V855">
        <f t="shared" si="949"/>
        <v>62.83</v>
      </c>
      <c r="W855" s="13">
        <f t="shared" si="950"/>
        <v>2.5899999999999999E-2</v>
      </c>
      <c r="X855" s="13">
        <f t="shared" si="951"/>
        <v>5.3999999999999999E-2</v>
      </c>
      <c r="Y855">
        <f t="shared" si="943"/>
        <v>58.29</v>
      </c>
      <c r="Z855" s="13">
        <f t="shared" si="938"/>
        <v>3.2000000000000001E-2</v>
      </c>
      <c r="AA855" s="13">
        <f t="shared" si="934"/>
        <v>9.64E-2</v>
      </c>
      <c r="AB855" s="6">
        <f t="shared" si="944"/>
        <v>66.736999999999995</v>
      </c>
      <c r="AC855">
        <f t="shared" si="936"/>
        <v>33</v>
      </c>
      <c r="AD855" s="11">
        <f t="shared" si="937"/>
        <v>0</v>
      </c>
      <c r="AE855">
        <f t="shared" si="935"/>
        <v>16</v>
      </c>
      <c r="AF855">
        <f>IF(AND(AE855&lt;15,OR(AC855&gt;=30,AA855&gt;0.15,X855&gt;=0.15)),2,VLOOKUP(AE855,Table!P:Q,2,FALSE))</f>
        <v>2</v>
      </c>
      <c r="AG855" s="22">
        <f>IF((AB855*0.98)-(D855*0.8)+((AF855-3)*3)+VLOOKUP(AM855,Table!$A$11:$B$13,2,FALSE)&lt;0,0,(AB855*0.98)-(D855*0.8)+((AF855-3)*3)+VLOOKUP(AM855,Table!$A$11:$B$13,2,FALSE))</f>
        <v>54.866259999999997</v>
      </c>
      <c r="AH855" s="22">
        <f t="shared" si="966"/>
        <v>56</v>
      </c>
      <c r="AI855" s="18">
        <f t="shared" si="959"/>
        <v>1.73</v>
      </c>
      <c r="AJ855" s="18">
        <f t="shared" si="960"/>
        <v>2.19</v>
      </c>
      <c r="AK855" t="str">
        <f t="shared" si="945"/>
        <v>Falling Rates</v>
      </c>
      <c r="AL855">
        <f t="shared" si="956"/>
        <v>18</v>
      </c>
      <c r="AM855" s="11" t="str">
        <f t="shared" si="946"/>
        <v>Stocks</v>
      </c>
      <c r="AN855" t="str">
        <f t="shared" si="952"/>
        <v>Sell</v>
      </c>
      <c r="AO855" s="13">
        <f t="shared" si="953"/>
        <v>1.2699999999999999E-2</v>
      </c>
      <c r="AP855" s="13">
        <f t="shared" si="954"/>
        <v>2.9999999999999997E-4</v>
      </c>
      <c r="AQ855" s="13">
        <f t="shared" si="955"/>
        <v>7.1999999999999998E-3</v>
      </c>
      <c r="AR855" s="13">
        <f t="shared" si="947"/>
        <v>1.2699999999999999E-2</v>
      </c>
      <c r="AS855" s="6">
        <f t="shared" si="939"/>
        <v>276.70692079000986</v>
      </c>
      <c r="AT855" s="6">
        <f t="shared" si="940"/>
        <v>156.62672094994105</v>
      </c>
      <c r="AU855" s="6">
        <f t="shared" si="941"/>
        <v>304.72889906469055</v>
      </c>
      <c r="AV855" s="6">
        <f t="shared" si="942"/>
        <v>391.68452360876159</v>
      </c>
      <c r="AW855" s="58">
        <f t="shared" si="948"/>
        <v>2002</v>
      </c>
      <c r="AX855" s="58">
        <f>COUNTIF(AW$3:AW855,AW855)</f>
        <v>38</v>
      </c>
    </row>
    <row r="856" spans="1:50" x14ac:dyDescent="0.25">
      <c r="A856" s="5">
        <v>37353</v>
      </c>
      <c r="B856">
        <v>1122.73</v>
      </c>
      <c r="C856">
        <v>1.75</v>
      </c>
      <c r="D856" s="6">
        <v>19.129999000000002</v>
      </c>
      <c r="E856" s="18">
        <f t="shared" si="961"/>
        <v>18.100000000000001</v>
      </c>
      <c r="F856">
        <f t="shared" si="962"/>
        <v>-1</v>
      </c>
      <c r="G856" s="18">
        <f>ROUND(INDEX(Valuation!U:U,MATCH(A856,Valuation!A:A,0)),2)</f>
        <v>67.650000000000006</v>
      </c>
      <c r="H856">
        <f t="shared" si="933"/>
        <v>-1</v>
      </c>
      <c r="I856" s="18">
        <f>INDEX(WeeklyIndicators!Y:Y,MATCH(A856,WeeklyIndicators!A:A,0))</f>
        <v>114.66</v>
      </c>
      <c r="J856">
        <f t="shared" si="958"/>
        <v>-1</v>
      </c>
      <c r="K856">
        <f>ROUND(INDEX(Economic!AF:AF,MATCH(EOMONTH($A856,-1),Economic!A:A,0)),2)</f>
        <v>89.42</v>
      </c>
      <c r="L856" s="11">
        <f t="shared" si="967"/>
        <v>-1</v>
      </c>
      <c r="M856">
        <f>ROUND(INDEX(Manufacturing!P:P,MATCH(EOMONTH($A856,-1),Manufacturing!A:A,0)),2)</f>
        <v>89.09</v>
      </c>
      <c r="N856">
        <f t="shared" si="963"/>
        <v>0</v>
      </c>
      <c r="O856">
        <f>ROUND(INDEX(Housing!AC:AC,MATCH(EOMONTH($A856,-1),Housing!B:B,0)),2)</f>
        <v>126.49</v>
      </c>
      <c r="P856">
        <f t="shared" si="964"/>
        <v>1</v>
      </c>
      <c r="Q856">
        <f>ROUND(INDEX(Spending!AJ:AJ,MATCH(EOMONTH($A856,-1),Spending!B:B,0)),2)</f>
        <v>44.24</v>
      </c>
      <c r="R856">
        <f t="shared" si="968"/>
        <v>0</v>
      </c>
      <c r="S856">
        <f>ROUND(INDEX(Employment!V:V,MATCH(EOMONTH($A856,-1),Employment!A:A,0)),2)</f>
        <v>104.88</v>
      </c>
      <c r="T856" s="11">
        <f t="shared" si="965"/>
        <v>-3</v>
      </c>
      <c r="U856">
        <f t="shared" si="957"/>
        <v>14</v>
      </c>
      <c r="V856">
        <f t="shared" si="949"/>
        <v>63.9</v>
      </c>
      <c r="W856" s="13">
        <f t="shared" si="950"/>
        <v>3.0499999999999999E-2</v>
      </c>
      <c r="X856" s="13">
        <f t="shared" si="951"/>
        <v>7.4700000000000003E-2</v>
      </c>
      <c r="Y856">
        <f t="shared" si="943"/>
        <v>59.46</v>
      </c>
      <c r="Z856" s="13">
        <f t="shared" si="938"/>
        <v>4.24E-2</v>
      </c>
      <c r="AA856" s="13">
        <f t="shared" si="934"/>
        <v>0.13109999999999999</v>
      </c>
      <c r="AB856" s="6">
        <f t="shared" si="944"/>
        <v>70.385000000000005</v>
      </c>
      <c r="AC856">
        <f t="shared" si="936"/>
        <v>35</v>
      </c>
      <c r="AD856" s="11">
        <f t="shared" si="937"/>
        <v>0</v>
      </c>
      <c r="AE856">
        <f t="shared" si="935"/>
        <v>16</v>
      </c>
      <c r="AF856">
        <f>IF(AND(AE856&lt;15,OR(AC856&gt;=30,AA856&gt;0.15,X856&gt;=0.15)),2,VLOOKUP(AE856,Table!P:Q,2,FALSE))</f>
        <v>2</v>
      </c>
      <c r="AG856" s="22">
        <f>IF((AB856*0.98)-(D856*0.8)+((AF856-3)*3)+VLOOKUP(AM856,Table!$A$11:$B$13,2,FALSE)&lt;0,0,(AB856*0.98)-(D856*0.8)+((AF856-3)*3)+VLOOKUP(AM856,Table!$A$11:$B$13,2,FALSE))</f>
        <v>58.6733008</v>
      </c>
      <c r="AH856" s="22">
        <f t="shared" si="966"/>
        <v>60</v>
      </c>
      <c r="AI856" s="18">
        <f t="shared" si="959"/>
        <v>1.72</v>
      </c>
      <c r="AJ856" s="18">
        <f t="shared" si="960"/>
        <v>2.2400000000000002</v>
      </c>
      <c r="AK856" t="str">
        <f t="shared" si="945"/>
        <v/>
      </c>
      <c r="AL856">
        <f t="shared" si="956"/>
        <v>20.5</v>
      </c>
      <c r="AM856" s="11" t="str">
        <f t="shared" si="946"/>
        <v>Stocks</v>
      </c>
      <c r="AN856" t="str">
        <f t="shared" si="952"/>
        <v>Sell</v>
      </c>
      <c r="AO856" s="13">
        <f t="shared" si="953"/>
        <v>-1.04E-2</v>
      </c>
      <c r="AP856" s="13">
        <f t="shared" si="954"/>
        <v>2.9999999999999997E-4</v>
      </c>
      <c r="AQ856" s="13">
        <f t="shared" si="955"/>
        <v>-6.1000000000000004E-3</v>
      </c>
      <c r="AR856" s="13">
        <f t="shared" si="947"/>
        <v>-1.04E-2</v>
      </c>
      <c r="AS856" s="6">
        <f t="shared" si="939"/>
        <v>279.61491591553136</v>
      </c>
      <c r="AT856" s="6">
        <f t="shared" si="940"/>
        <v>156.57974702583331</v>
      </c>
      <c r="AU856" s="6">
        <f t="shared" si="941"/>
        <v>306.59915390350193</v>
      </c>
      <c r="AV856" s="6">
        <f t="shared" si="942"/>
        <v>395.80085247449637</v>
      </c>
      <c r="AW856" s="58">
        <f t="shared" si="948"/>
        <v>2002</v>
      </c>
      <c r="AX856" s="58">
        <f>COUNTIF(AW$3:AW856,AW856)</f>
        <v>39</v>
      </c>
    </row>
    <row r="857" spans="1:50" x14ac:dyDescent="0.25">
      <c r="A857" s="5">
        <v>37346</v>
      </c>
      <c r="B857">
        <v>1147.3900000000001</v>
      </c>
      <c r="C857">
        <v>1.78</v>
      </c>
      <c r="D857" s="6">
        <v>17.399999999999999</v>
      </c>
      <c r="E857" s="18">
        <f t="shared" si="961"/>
        <v>17.86</v>
      </c>
      <c r="F857">
        <f t="shared" si="962"/>
        <v>0</v>
      </c>
      <c r="G857" s="18">
        <f>ROUND(INDEX(Valuation!U:U,MATCH(A857,Valuation!A:A,0)),2)</f>
        <v>64.040000000000006</v>
      </c>
      <c r="H857">
        <f t="shared" si="933"/>
        <v>-1</v>
      </c>
      <c r="I857" s="18">
        <f>INDEX(WeeklyIndicators!Y:Y,MATCH(A857,WeeklyIndicators!A:A,0))</f>
        <v>118.78</v>
      </c>
      <c r="J857">
        <f t="shared" si="958"/>
        <v>-1</v>
      </c>
      <c r="K857">
        <f>ROUND(INDEX(Economic!AF:AF,MATCH(EOMONTH($A857,-1),Economic!A:A,0)),2)</f>
        <v>77.39</v>
      </c>
      <c r="L857" s="11">
        <f t="shared" si="967"/>
        <v>-2</v>
      </c>
      <c r="M857">
        <f>ROUND(INDEX(Manufacturing!P:P,MATCH(EOMONTH($A857,-1),Manufacturing!A:A,0)),2)</f>
        <v>74.849999999999994</v>
      </c>
      <c r="N857">
        <f t="shared" si="963"/>
        <v>-1</v>
      </c>
      <c r="O857">
        <f>ROUND(INDEX(Housing!AC:AC,MATCH(EOMONTH($A857,-1),Housing!B:B,0)),2)</f>
        <v>111.48</v>
      </c>
      <c r="P857">
        <f t="shared" si="964"/>
        <v>0</v>
      </c>
      <c r="Q857">
        <f>ROUND(INDEX(Spending!AJ:AJ,MATCH(EOMONTH($A857,-1),Spending!B:B,0)),2)</f>
        <v>44.76</v>
      </c>
      <c r="R857">
        <f t="shared" si="968"/>
        <v>0</v>
      </c>
      <c r="S857">
        <f>ROUND(INDEX(Employment!V:V,MATCH(EOMONTH($A857,-1),Employment!A:A,0)),2)</f>
        <v>84.67</v>
      </c>
      <c r="T857" s="11">
        <f t="shared" si="965"/>
        <v>-3</v>
      </c>
      <c r="U857">
        <f t="shared" si="957"/>
        <v>12</v>
      </c>
      <c r="V857">
        <f t="shared" si="949"/>
        <v>57.95</v>
      </c>
      <c r="W857" s="13">
        <f t="shared" si="950"/>
        <v>-4.0000000000000001E-3</v>
      </c>
      <c r="X857" s="13">
        <f t="shared" si="951"/>
        <v>0.10020000000000001</v>
      </c>
      <c r="Y857">
        <f t="shared" si="943"/>
        <v>53.18</v>
      </c>
      <c r="Z857" s="13">
        <f t="shared" si="938"/>
        <v>6.4999999999999997E-3</v>
      </c>
      <c r="AA857" s="13">
        <f t="shared" si="934"/>
        <v>0.1636</v>
      </c>
      <c r="AB857" s="6">
        <f t="shared" si="944"/>
        <v>65.97399999999999</v>
      </c>
      <c r="AC857">
        <f t="shared" si="936"/>
        <v>33</v>
      </c>
      <c r="AD857" s="11">
        <f t="shared" si="937"/>
        <v>0</v>
      </c>
      <c r="AE857">
        <f t="shared" si="935"/>
        <v>14</v>
      </c>
      <c r="AF857">
        <f>IF(AND(AE857&lt;15,OR(AC857&gt;=30,AA857&gt;0.15,X857&gt;=0.15)),2,VLOOKUP(AE857,Table!P:Q,2,FALSE))</f>
        <v>2</v>
      </c>
      <c r="AG857" s="22">
        <f>IF((AB857*0.98)-(D857*0.8)+((AF857-3)*3)+VLOOKUP(AM857,Table!$A$11:$B$13,2,FALSE)&lt;0,0,(AB857*0.98)-(D857*0.8)+((AF857-3)*3)+VLOOKUP(AM857,Table!$A$11:$B$13,2,FALSE))</f>
        <v>55.734519999999989</v>
      </c>
      <c r="AH857" s="22">
        <f t="shared" si="966"/>
        <v>61</v>
      </c>
      <c r="AI857" s="18">
        <f t="shared" si="959"/>
        <v>1.72</v>
      </c>
      <c r="AJ857" s="18">
        <f t="shared" si="960"/>
        <v>2.2799999999999998</v>
      </c>
      <c r="AK857" t="str">
        <f t="shared" si="945"/>
        <v/>
      </c>
      <c r="AL857">
        <f t="shared" si="956"/>
        <v>20</v>
      </c>
      <c r="AM857" s="11" t="str">
        <f t="shared" si="946"/>
        <v>Stocks</v>
      </c>
      <c r="AN857" t="str">
        <f t="shared" si="952"/>
        <v>Sell</v>
      </c>
      <c r="AO857" s="13">
        <f t="shared" si="953"/>
        <v>-2.1499999999999998E-2</v>
      </c>
      <c r="AP857" s="13">
        <f t="shared" si="954"/>
        <v>2.9999999999999997E-4</v>
      </c>
      <c r="AQ857" s="13">
        <f t="shared" si="955"/>
        <v>-1.2999999999999999E-2</v>
      </c>
      <c r="AR857" s="13">
        <f t="shared" si="947"/>
        <v>-2.1499999999999998E-2</v>
      </c>
      <c r="AS857" s="6">
        <f t="shared" si="939"/>
        <v>285.75872858000139</v>
      </c>
      <c r="AT857" s="6">
        <f t="shared" si="940"/>
        <v>156.53278718967641</v>
      </c>
      <c r="AU857" s="6">
        <f t="shared" si="941"/>
        <v>310.63744063171424</v>
      </c>
      <c r="AV857" s="6">
        <f t="shared" si="942"/>
        <v>404.49754979509078</v>
      </c>
      <c r="AW857" s="58">
        <f t="shared" si="948"/>
        <v>2002</v>
      </c>
      <c r="AX857" s="58">
        <f>COUNTIF(AW$3:AW857,AW857)</f>
        <v>40</v>
      </c>
    </row>
    <row r="858" spans="1:50" x14ac:dyDescent="0.25">
      <c r="A858" s="5">
        <v>37339</v>
      </c>
      <c r="B858">
        <v>1148.7</v>
      </c>
      <c r="C858">
        <v>1.81</v>
      </c>
      <c r="D858" s="6">
        <v>17.77</v>
      </c>
      <c r="E858" s="18">
        <f t="shared" si="961"/>
        <v>18.489999999999998</v>
      </c>
      <c r="F858">
        <f t="shared" si="962"/>
        <v>-1</v>
      </c>
      <c r="G858" s="18">
        <f>ROUND(INDEX(Valuation!U:U,MATCH(A858,Valuation!A:A,0)),2)</f>
        <v>62.27</v>
      </c>
      <c r="H858">
        <f t="shared" si="933"/>
        <v>-1</v>
      </c>
      <c r="I858" s="18">
        <f>INDEX(WeeklyIndicators!Y:Y,MATCH(A858,WeeklyIndicators!A:A,0))</f>
        <v>120.95</v>
      </c>
      <c r="J858">
        <f t="shared" si="958"/>
        <v>0</v>
      </c>
      <c r="K858">
        <f>ROUND(INDEX(Economic!AF:AF,MATCH(EOMONTH($A858,-1),Economic!A:A,0)),2)</f>
        <v>77.39</v>
      </c>
      <c r="L858" s="11">
        <f t="shared" si="967"/>
        <v>-2</v>
      </c>
      <c r="M858">
        <f>ROUND(INDEX(Manufacturing!P:P,MATCH(EOMONTH($A858,-1),Manufacturing!A:A,0)),2)</f>
        <v>74.849999999999994</v>
      </c>
      <c r="N858">
        <f t="shared" si="963"/>
        <v>-1</v>
      </c>
      <c r="O858">
        <f>ROUND(INDEX(Housing!AC:AC,MATCH(EOMONTH($A858,-1),Housing!B:B,0)),2)</f>
        <v>111.48</v>
      </c>
      <c r="P858">
        <f t="shared" si="964"/>
        <v>0</v>
      </c>
      <c r="Q858">
        <f>ROUND(INDEX(Spending!AJ:AJ,MATCH(EOMONTH($A858,-1),Spending!B:B,0)),2)</f>
        <v>44.76</v>
      </c>
      <c r="R858">
        <f t="shared" si="968"/>
        <v>0</v>
      </c>
      <c r="S858">
        <f>ROUND(INDEX(Employment!V:V,MATCH(EOMONTH($A858,-1),Employment!A:A,0)),2)</f>
        <v>84.67</v>
      </c>
      <c r="T858" s="11">
        <f t="shared" si="965"/>
        <v>-3</v>
      </c>
      <c r="U858">
        <f t="shared" si="957"/>
        <v>12</v>
      </c>
      <c r="V858">
        <f t="shared" si="949"/>
        <v>58.17</v>
      </c>
      <c r="W858" s="13">
        <f t="shared" si="950"/>
        <v>1.6000000000000001E-3</v>
      </c>
      <c r="X858" s="13">
        <f t="shared" si="951"/>
        <v>0.157</v>
      </c>
      <c r="Y858">
        <f t="shared" si="943"/>
        <v>52.99</v>
      </c>
      <c r="Z858" s="13">
        <f t="shared" si="938"/>
        <v>1.55E-2</v>
      </c>
      <c r="AA858" s="13">
        <f t="shared" si="934"/>
        <v>0.22299999999999998</v>
      </c>
      <c r="AB858" s="6">
        <f t="shared" si="944"/>
        <v>70.167000000000002</v>
      </c>
      <c r="AC858">
        <f t="shared" si="936"/>
        <v>35</v>
      </c>
      <c r="AD858" s="11">
        <f t="shared" si="937"/>
        <v>0</v>
      </c>
      <c r="AE858">
        <f t="shared" si="935"/>
        <v>26</v>
      </c>
      <c r="AF858">
        <f>IF(AND(AE858&lt;15,OR(AC858&gt;=30,AA858&gt;0.15,X858&gt;=0.15)),2,VLOOKUP(AE858,Table!P:Q,2,FALSE))</f>
        <v>4</v>
      </c>
      <c r="AG858" s="22">
        <f>IF((AB858*0.98)-(D858*0.8)+((AF858-3)*3)+VLOOKUP(AM858,Table!$A$11:$B$13,2,FALSE)&lt;0,0,(AB858*0.98)-(D858*0.8)+((AF858-3)*3)+VLOOKUP(AM858,Table!$A$11:$B$13,2,FALSE))</f>
        <v>65.547660000000008</v>
      </c>
      <c r="AH858" s="22">
        <f t="shared" si="966"/>
        <v>52</v>
      </c>
      <c r="AI858" s="18">
        <f t="shared" si="959"/>
        <v>1.71</v>
      </c>
      <c r="AJ858" s="18">
        <f t="shared" si="960"/>
        <v>2.33</v>
      </c>
      <c r="AK858" t="str">
        <f t="shared" si="945"/>
        <v/>
      </c>
      <c r="AL858">
        <f t="shared" si="956"/>
        <v>19.5</v>
      </c>
      <c r="AM858" s="11" t="str">
        <f t="shared" si="946"/>
        <v>Stocks</v>
      </c>
      <c r="AN858" t="str">
        <f t="shared" si="952"/>
        <v>Buy</v>
      </c>
      <c r="AO858" s="13">
        <f t="shared" si="953"/>
        <v>-1.1000000000000001E-3</v>
      </c>
      <c r="AP858" s="13">
        <f t="shared" si="954"/>
        <v>2.9999999999999997E-4</v>
      </c>
      <c r="AQ858" s="13">
        <f t="shared" si="955"/>
        <v>-4.0000000000000002E-4</v>
      </c>
      <c r="AR858" s="13">
        <f t="shared" si="947"/>
        <v>-1.1000000000000001E-3</v>
      </c>
      <c r="AS858" s="6">
        <f t="shared" si="939"/>
        <v>286.07340933026467</v>
      </c>
      <c r="AT858" s="6">
        <f t="shared" si="940"/>
        <v>156.48584143724526</v>
      </c>
      <c r="AU858" s="6">
        <f t="shared" si="941"/>
        <v>310.76174532984618</v>
      </c>
      <c r="AV858" s="6">
        <f t="shared" si="942"/>
        <v>404.94298708087973</v>
      </c>
      <c r="AW858" s="58">
        <f t="shared" si="948"/>
        <v>2002</v>
      </c>
      <c r="AX858" s="58">
        <f>COUNTIF(AW$3:AW858,AW858)</f>
        <v>41</v>
      </c>
    </row>
    <row r="859" spans="1:50" x14ac:dyDescent="0.25">
      <c r="A859" s="5">
        <v>37332</v>
      </c>
      <c r="B859">
        <v>1166.1600000000001</v>
      </c>
      <c r="C859">
        <v>1.81</v>
      </c>
      <c r="D859" s="6">
        <v>18.420000000000002</v>
      </c>
      <c r="E859" s="18">
        <f t="shared" si="961"/>
        <v>19.22</v>
      </c>
      <c r="F859">
        <f t="shared" si="962"/>
        <v>-1</v>
      </c>
      <c r="G859" s="18">
        <f>ROUND(INDEX(Valuation!U:U,MATCH(A859,Valuation!A:A,0)),2)</f>
        <v>58.69</v>
      </c>
      <c r="H859">
        <f t="shared" si="933"/>
        <v>-1</v>
      </c>
      <c r="I859" s="18">
        <f>INDEX(WeeklyIndicators!Y:Y,MATCH(A859,WeeklyIndicators!A:A,0))</f>
        <v>124.74</v>
      </c>
      <c r="J859">
        <f t="shared" si="958"/>
        <v>0</v>
      </c>
      <c r="K859">
        <f>ROUND(INDEX(Economic!AF:AF,MATCH(EOMONTH($A859,-1),Economic!A:A,0)),2)</f>
        <v>77.39</v>
      </c>
      <c r="L859" s="11">
        <f t="shared" si="967"/>
        <v>-2</v>
      </c>
      <c r="M859">
        <f>ROUND(INDEX(Manufacturing!P:P,MATCH(EOMONTH($A859,-1),Manufacturing!A:A,0)),2)</f>
        <v>74.849999999999994</v>
      </c>
      <c r="N859">
        <f t="shared" si="963"/>
        <v>-1</v>
      </c>
      <c r="O859">
        <f>ROUND(INDEX(Housing!AC:AC,MATCH(EOMONTH($A859,-1),Housing!B:B,0)),2)</f>
        <v>111.48</v>
      </c>
      <c r="P859">
        <f t="shared" si="964"/>
        <v>0</v>
      </c>
      <c r="Q859">
        <f>ROUND(INDEX(Spending!AJ:AJ,MATCH(EOMONTH($A859,-1),Spending!B:B,0)),2)</f>
        <v>44.76</v>
      </c>
      <c r="R859">
        <f t="shared" si="968"/>
        <v>0</v>
      </c>
      <c r="S859">
        <f>ROUND(INDEX(Employment!V:V,MATCH(EOMONTH($A859,-1),Employment!A:A,0)),2)</f>
        <v>84.67</v>
      </c>
      <c r="T859" s="11">
        <f t="shared" si="965"/>
        <v>-3</v>
      </c>
      <c r="U859">
        <f t="shared" si="957"/>
        <v>12</v>
      </c>
      <c r="V859">
        <f t="shared" si="949"/>
        <v>58.57</v>
      </c>
      <c r="W859" s="13">
        <f t="shared" si="950"/>
        <v>4.6600000000000003E-2</v>
      </c>
      <c r="X859" s="13">
        <f t="shared" si="951"/>
        <v>0.15089999999999998</v>
      </c>
      <c r="Y859">
        <f t="shared" si="943"/>
        <v>52.73</v>
      </c>
      <c r="Z859" s="13">
        <f t="shared" si="938"/>
        <v>6.6699999999999995E-2</v>
      </c>
      <c r="AA859" s="13">
        <f t="shared" si="934"/>
        <v>0.20160000000000003</v>
      </c>
      <c r="AB859" s="6">
        <f t="shared" si="944"/>
        <v>68.069000000000003</v>
      </c>
      <c r="AC859">
        <f t="shared" si="936"/>
        <v>34</v>
      </c>
      <c r="AD859" s="11">
        <f t="shared" si="937"/>
        <v>0</v>
      </c>
      <c r="AE859">
        <f t="shared" si="935"/>
        <v>26</v>
      </c>
      <c r="AF859">
        <f>IF(AND(AE859&lt;15,OR(AC859&gt;=30,AA859&gt;0.15,X859&gt;=0.15)),2,VLOOKUP(AE859,Table!P:Q,2,FALSE))</f>
        <v>4</v>
      </c>
      <c r="AG859" s="22">
        <f>IF((AB859*0.98)-(D859*0.8)+((AF859-3)*3)+VLOOKUP(AM859,Table!$A$11:$B$13,2,FALSE)&lt;0,0,(AB859*0.98)-(D859*0.8)+((AF859-3)*3)+VLOOKUP(AM859,Table!$A$11:$B$13,2,FALSE))</f>
        <v>62.971620000000001</v>
      </c>
      <c r="AH859" s="22">
        <f t="shared" si="966"/>
        <v>36</v>
      </c>
      <c r="AI859" s="18">
        <f t="shared" si="959"/>
        <v>1.7</v>
      </c>
      <c r="AJ859" s="18">
        <f t="shared" si="960"/>
        <v>2.37</v>
      </c>
      <c r="AK859" t="str">
        <f t="shared" si="945"/>
        <v/>
      </c>
      <c r="AL859">
        <f t="shared" si="956"/>
        <v>15.5</v>
      </c>
      <c r="AM859" s="11" t="str">
        <f t="shared" si="946"/>
        <v>Stocks</v>
      </c>
      <c r="AN859" t="str">
        <f t="shared" si="952"/>
        <v>Buy</v>
      </c>
      <c r="AO859" s="13">
        <f t="shared" si="953"/>
        <v>-1.4999999999999999E-2</v>
      </c>
      <c r="AP859" s="13">
        <f t="shared" si="954"/>
        <v>2.9999999999999997E-4</v>
      </c>
      <c r="AQ859" s="13">
        <f t="shared" si="955"/>
        <v>-5.1999999999999998E-3</v>
      </c>
      <c r="AR859" s="13">
        <f t="shared" si="947"/>
        <v>-1.4999999999999999E-2</v>
      </c>
      <c r="AS859" s="6">
        <f t="shared" si="939"/>
        <v>290.42985718808598</v>
      </c>
      <c r="AT859" s="6">
        <f t="shared" si="940"/>
        <v>156.43890976431598</v>
      </c>
      <c r="AU859" s="6">
        <f t="shared" si="941"/>
        <v>312.38615332714733</v>
      </c>
      <c r="AV859" s="6">
        <f t="shared" si="942"/>
        <v>411.10963155419262</v>
      </c>
      <c r="AW859" s="58">
        <f t="shared" si="948"/>
        <v>2002</v>
      </c>
      <c r="AX859" s="58">
        <f>COUNTIF(AW$3:AW859,AW859)</f>
        <v>42</v>
      </c>
    </row>
    <row r="860" spans="1:50" x14ac:dyDescent="0.25">
      <c r="A860" s="5">
        <v>37325</v>
      </c>
      <c r="B860">
        <v>1164.31</v>
      </c>
      <c r="C860">
        <v>1.76</v>
      </c>
      <c r="D860" s="6">
        <v>19.27</v>
      </c>
      <c r="E860" s="18">
        <f t="shared" si="961"/>
        <v>20.7</v>
      </c>
      <c r="F860">
        <f t="shared" si="962"/>
        <v>-1</v>
      </c>
      <c r="G860" s="18">
        <f>ROUND(INDEX(Valuation!U:U,MATCH(A860,Valuation!A:A,0)),2)</f>
        <v>57.28</v>
      </c>
      <c r="H860">
        <f t="shared" ref="H860:H923" si="969">IF(G860&gt;200,3,IF(AND(G860&gt;160,G860&lt;=200),2,IF(AND(G860&gt;120,G860&lt;=160),1,IF(G860&lt;25,-3,IF(AND(G860&lt;50,G860&gt;=25),-2,IF(AND(G860&lt;90,G860&gt;=50),-1,0))))))</f>
        <v>-1</v>
      </c>
      <c r="I860" s="18">
        <f>INDEX(WeeklyIndicators!Y:Y,MATCH(A860,WeeklyIndicators!A:A,0))</f>
        <v>125.6</v>
      </c>
      <c r="J860">
        <f t="shared" si="958"/>
        <v>0</v>
      </c>
      <c r="K860">
        <f>ROUND(INDEX(Economic!AF:AF,MATCH(EOMONTH($A860,-1),Economic!A:A,0)),2)</f>
        <v>77.39</v>
      </c>
      <c r="L860" s="11">
        <f t="shared" si="967"/>
        <v>-2</v>
      </c>
      <c r="M860">
        <f>ROUND(INDEX(Manufacturing!P:P,MATCH(EOMONTH($A860,-1),Manufacturing!A:A,0)),2)</f>
        <v>74.849999999999994</v>
      </c>
      <c r="N860">
        <f t="shared" si="963"/>
        <v>-1</v>
      </c>
      <c r="O860">
        <f>ROUND(INDEX(Housing!AC:AC,MATCH(EOMONTH($A860,-1),Housing!B:B,0)),2)</f>
        <v>111.48</v>
      </c>
      <c r="P860">
        <f t="shared" si="964"/>
        <v>0</v>
      </c>
      <c r="Q860">
        <f>ROUND(INDEX(Spending!AJ:AJ,MATCH(EOMONTH($A860,-1),Spending!B:B,0)),2)</f>
        <v>44.76</v>
      </c>
      <c r="R860">
        <f t="shared" si="968"/>
        <v>0</v>
      </c>
      <c r="S860">
        <f>ROUND(INDEX(Employment!V:V,MATCH(EOMONTH($A860,-1),Employment!A:A,0)),2)</f>
        <v>84.67</v>
      </c>
      <c r="T860" s="11">
        <f t="shared" si="965"/>
        <v>-3</v>
      </c>
      <c r="U860">
        <f t="shared" si="957"/>
        <v>12</v>
      </c>
      <c r="V860">
        <f t="shared" si="949"/>
        <v>58.66</v>
      </c>
      <c r="W860" s="13">
        <f t="shared" si="950"/>
        <v>5.6000000000000001E-2</v>
      </c>
      <c r="X860" s="13">
        <f t="shared" si="951"/>
        <v>0.11260000000000001</v>
      </c>
      <c r="Y860">
        <f t="shared" si="943"/>
        <v>52.15</v>
      </c>
      <c r="Z860" s="13">
        <f t="shared" si="938"/>
        <v>7.4899999999999994E-2</v>
      </c>
      <c r="AA860" s="13">
        <f t="shared" si="934"/>
        <v>0.14510000000000001</v>
      </c>
      <c r="AB860" s="6">
        <f t="shared" si="944"/>
        <v>63.178000000000004</v>
      </c>
      <c r="AC860">
        <f t="shared" si="936"/>
        <v>32</v>
      </c>
      <c r="AD860" s="11">
        <f t="shared" si="937"/>
        <v>0</v>
      </c>
      <c r="AE860">
        <f t="shared" si="935"/>
        <v>14</v>
      </c>
      <c r="AF860">
        <f>IF(AND(AE860&lt;15,OR(AC860&gt;=30,AA860&gt;0.15,X860&gt;=0.15)),2,VLOOKUP(AE860,Table!P:Q,2,FALSE))</f>
        <v>2</v>
      </c>
      <c r="AG860" s="22">
        <f>IF((AB860*0.98)-(D860*0.8)+((AF860-3)*3)+VLOOKUP(AM860,Table!$A$11:$B$13,2,FALSE)&lt;0,0,(AB860*0.98)-(D860*0.8)+((AF860-3)*3)+VLOOKUP(AM860,Table!$A$11:$B$13,2,FALSE))</f>
        <v>27.498440000000002</v>
      </c>
      <c r="AH860" s="22">
        <f t="shared" si="966"/>
        <v>16</v>
      </c>
      <c r="AI860" s="18">
        <f t="shared" si="959"/>
        <v>1.69</v>
      </c>
      <c r="AJ860" s="18">
        <f t="shared" si="960"/>
        <v>2.41</v>
      </c>
      <c r="AK860" t="str">
        <f t="shared" si="945"/>
        <v/>
      </c>
      <c r="AL860">
        <f t="shared" si="956"/>
        <v>11.5</v>
      </c>
      <c r="AM860" s="11" t="str">
        <f t="shared" si="946"/>
        <v>Cash</v>
      </c>
      <c r="AN860" t="str">
        <f t="shared" si="952"/>
        <v>Sell</v>
      </c>
      <c r="AO860" s="13">
        <f t="shared" si="953"/>
        <v>1.6000000000000001E-3</v>
      </c>
      <c r="AP860" s="13">
        <f t="shared" si="954"/>
        <v>2.9999999999999997E-4</v>
      </c>
      <c r="AQ860" s="13">
        <f t="shared" si="955"/>
        <v>5.0000000000000001E-4</v>
      </c>
      <c r="AR860" s="13">
        <f t="shared" si="947"/>
        <v>2.9999999999999997E-4</v>
      </c>
      <c r="AS860" s="6">
        <f t="shared" si="939"/>
        <v>289.96591172931903</v>
      </c>
      <c r="AT860" s="6">
        <f t="shared" si="940"/>
        <v>156.39199216666597</v>
      </c>
      <c r="AU860" s="6">
        <f t="shared" si="941"/>
        <v>312.23003830799337</v>
      </c>
      <c r="AV860" s="6">
        <f t="shared" si="942"/>
        <v>410.98633565349661</v>
      </c>
      <c r="AW860" s="58">
        <f t="shared" si="948"/>
        <v>2002</v>
      </c>
      <c r="AX860" s="58">
        <f>COUNTIF(AW$3:AW860,AW860)</f>
        <v>43</v>
      </c>
    </row>
    <row r="861" spans="1:50" x14ac:dyDescent="0.25">
      <c r="A861" s="5">
        <v>37318</v>
      </c>
      <c r="B861">
        <v>1131.78</v>
      </c>
      <c r="C861">
        <v>1.74</v>
      </c>
      <c r="D861" s="6">
        <v>19.959999</v>
      </c>
      <c r="E861" s="18">
        <f t="shared" si="961"/>
        <v>21.73</v>
      </c>
      <c r="F861">
        <f t="shared" si="962"/>
        <v>-1</v>
      </c>
      <c r="G861" s="18">
        <f>ROUND(INDEX(Valuation!U:U,MATCH(A861,Valuation!A:A,0)),2)</f>
        <v>53.37</v>
      </c>
      <c r="H861">
        <f t="shared" si="969"/>
        <v>-1</v>
      </c>
      <c r="I861" s="18">
        <f>INDEX(WeeklyIndicators!Y:Y,MATCH(A861,WeeklyIndicators!A:A,0))</f>
        <v>118.2</v>
      </c>
      <c r="J861">
        <f t="shared" si="958"/>
        <v>-1</v>
      </c>
      <c r="K861">
        <f>ROUND(INDEX(Economic!AF:AF,MATCH(EOMONTH($A861,-1),Economic!A:A,0)),2)</f>
        <v>77.39</v>
      </c>
      <c r="L861" s="11">
        <f t="shared" si="967"/>
        <v>-2</v>
      </c>
      <c r="M861">
        <f>ROUND(INDEX(Manufacturing!P:P,MATCH(EOMONTH($A861,-1),Manufacturing!A:A,0)),2)</f>
        <v>74.849999999999994</v>
      </c>
      <c r="N861">
        <f t="shared" si="963"/>
        <v>-1</v>
      </c>
      <c r="O861">
        <f>ROUND(INDEX(Housing!AC:AC,MATCH(EOMONTH($A861,-1),Housing!B:B,0)),2)</f>
        <v>111.48</v>
      </c>
      <c r="P861">
        <f t="shared" si="964"/>
        <v>0</v>
      </c>
      <c r="Q861">
        <f>ROUND(INDEX(Spending!AJ:AJ,MATCH(EOMONTH($A861,-1),Spending!B:B,0)),2)</f>
        <v>44.76</v>
      </c>
      <c r="R861">
        <f t="shared" si="968"/>
        <v>0</v>
      </c>
      <c r="S861">
        <f>ROUND(INDEX(Employment!V:V,MATCH(EOMONTH($A861,-1),Employment!A:A,0)),2)</f>
        <v>84.67</v>
      </c>
      <c r="T861" s="11">
        <f t="shared" si="965"/>
        <v>-3</v>
      </c>
      <c r="U861">
        <f t="shared" si="957"/>
        <v>11</v>
      </c>
      <c r="V861">
        <f t="shared" si="949"/>
        <v>57.89</v>
      </c>
      <c r="W861" s="13">
        <f t="shared" si="950"/>
        <v>5.28E-2</v>
      </c>
      <c r="X861" s="13">
        <f t="shared" si="951"/>
        <v>6.3200000000000006E-2</v>
      </c>
      <c r="Y861">
        <f t="shared" si="943"/>
        <v>50.58</v>
      </c>
      <c r="Z861" s="13">
        <f t="shared" si="938"/>
        <v>6.59E-2</v>
      </c>
      <c r="AA861" s="13">
        <f t="shared" si="934"/>
        <v>7.7399999999999997E-2</v>
      </c>
      <c r="AB861" s="6">
        <f t="shared" si="944"/>
        <v>56.167000000000002</v>
      </c>
      <c r="AC861">
        <f t="shared" si="936"/>
        <v>28</v>
      </c>
      <c r="AD861" s="11">
        <f t="shared" si="937"/>
        <v>-1</v>
      </c>
      <c r="AE861">
        <f t="shared" si="935"/>
        <v>12</v>
      </c>
      <c r="AF861">
        <f>IF(AND(AE861&lt;15,OR(AC861&gt;=30,AA861&gt;0.15,X861&gt;=0.15)),2,VLOOKUP(AE861,Table!P:Q,2,FALSE))</f>
        <v>1</v>
      </c>
      <c r="AG861" s="22">
        <f>IF((AB861*0.98)-(D861*0.8)+((AF861-3)*3)+VLOOKUP(AM861,Table!$A$11:$B$13,2,FALSE)&lt;0,0,(AB861*0.98)-(D861*0.8)+((AF861-3)*3)+VLOOKUP(AM861,Table!$A$11:$B$13,2,FALSE))</f>
        <v>17.075660800000001</v>
      </c>
      <c r="AH861" s="22">
        <f t="shared" si="966"/>
        <v>9</v>
      </c>
      <c r="AI861" s="18">
        <f t="shared" si="959"/>
        <v>1.69</v>
      </c>
      <c r="AJ861" s="18">
        <f t="shared" si="960"/>
        <v>2.46</v>
      </c>
      <c r="AK861" t="str">
        <f t="shared" si="945"/>
        <v/>
      </c>
      <c r="AL861">
        <f t="shared" si="956"/>
        <v>10.25</v>
      </c>
      <c r="AM861" s="11" t="str">
        <f t="shared" si="946"/>
        <v>Cash</v>
      </c>
      <c r="AN861" t="str">
        <f t="shared" si="952"/>
        <v>Sell</v>
      </c>
      <c r="AO861" s="13">
        <f t="shared" si="953"/>
        <v>2.87E-2</v>
      </c>
      <c r="AP861" s="13">
        <f t="shared" si="954"/>
        <v>2.9999999999999997E-4</v>
      </c>
      <c r="AQ861" s="13">
        <f t="shared" si="955"/>
        <v>2.8999999999999998E-3</v>
      </c>
      <c r="AR861" s="13">
        <f t="shared" si="947"/>
        <v>2.9999999999999997E-4</v>
      </c>
      <c r="AS861" s="6">
        <f t="shared" si="939"/>
        <v>281.87606856160107</v>
      </c>
      <c r="AT861" s="6">
        <f t="shared" si="940"/>
        <v>156.34508864007395</v>
      </c>
      <c r="AU861" s="6">
        <f t="shared" si="941"/>
        <v>311.32718945856357</v>
      </c>
      <c r="AV861" s="6">
        <f t="shared" si="942"/>
        <v>410.86307673047747</v>
      </c>
      <c r="AW861" s="58">
        <f t="shared" si="948"/>
        <v>2002</v>
      </c>
      <c r="AX861" s="58">
        <f>COUNTIF(AW$3:AW861,AW861)</f>
        <v>44</v>
      </c>
    </row>
    <row r="862" spans="1:50" x14ac:dyDescent="0.25">
      <c r="A862" s="5">
        <v>37311</v>
      </c>
      <c r="B862">
        <v>1089.8399999999999</v>
      </c>
      <c r="C862">
        <v>1.73</v>
      </c>
      <c r="D862" s="6">
        <v>22.860001</v>
      </c>
      <c r="E862" s="18">
        <f t="shared" si="961"/>
        <v>22.83</v>
      </c>
      <c r="F862">
        <f t="shared" si="962"/>
        <v>-1</v>
      </c>
      <c r="G862" s="18">
        <f>ROUND(INDEX(Valuation!U:U,MATCH(A862,Valuation!A:A,0)),2)</f>
        <v>52.62</v>
      </c>
      <c r="H862">
        <f t="shared" si="969"/>
        <v>-1</v>
      </c>
      <c r="I862" s="18">
        <f>INDEX(WeeklyIndicators!Y:Y,MATCH(A862,WeeklyIndicators!A:A,0))</f>
        <v>106.07</v>
      </c>
      <c r="J862">
        <f t="shared" si="958"/>
        <v>-1</v>
      </c>
      <c r="K862">
        <f>ROUND(INDEX(Economic!AF:AF,MATCH(EOMONTH($A862,-1),Economic!A:A,0)),2)</f>
        <v>64.98</v>
      </c>
      <c r="L862" s="11">
        <f t="shared" si="967"/>
        <v>-2</v>
      </c>
      <c r="M862">
        <f>ROUND(INDEX(Manufacturing!P:P,MATCH(EOMONTH($A862,-1),Manufacturing!A:A,0)),2)</f>
        <v>61.41</v>
      </c>
      <c r="N862">
        <f t="shared" si="963"/>
        <v>-3</v>
      </c>
      <c r="O862">
        <f>ROUND(INDEX(Housing!AC:AC,MATCH(EOMONTH($A862,-1),Housing!B:B,0)),2)</f>
        <v>101.88</v>
      </c>
      <c r="P862">
        <f t="shared" si="964"/>
        <v>0</v>
      </c>
      <c r="Q862">
        <f>ROUND(INDEX(Spending!AJ:AJ,MATCH(EOMONTH($A862,-1),Spending!B:B,0)),2)</f>
        <v>42.39</v>
      </c>
      <c r="R862">
        <f t="shared" si="968"/>
        <v>0</v>
      </c>
      <c r="S862">
        <f>ROUND(INDEX(Employment!V:V,MATCH(EOMONTH($A862,-1),Employment!A:A,0)),2)</f>
        <v>68.59</v>
      </c>
      <c r="T862" s="11">
        <f t="shared" si="965"/>
        <v>-3</v>
      </c>
      <c r="U862">
        <f t="shared" si="957"/>
        <v>9</v>
      </c>
      <c r="V862">
        <f t="shared" si="949"/>
        <v>50.78</v>
      </c>
      <c r="W862" s="13">
        <f t="shared" si="950"/>
        <v>-4.4999999999999997E-3</v>
      </c>
      <c r="X862" s="13">
        <f t="shared" si="951"/>
        <v>3.5099999999999999E-2</v>
      </c>
      <c r="Y862">
        <f t="shared" si="943"/>
        <v>43.01</v>
      </c>
      <c r="Z862" s="13">
        <f t="shared" si="938"/>
        <v>-5.8999999999999999E-3</v>
      </c>
      <c r="AA862" s="13">
        <f t="shared" si="934"/>
        <v>3.9599999999999996E-2</v>
      </c>
      <c r="AB862" s="6">
        <f t="shared" si="944"/>
        <v>45.472000000000001</v>
      </c>
      <c r="AC862">
        <f t="shared" si="936"/>
        <v>23</v>
      </c>
      <c r="AD862" s="11">
        <f t="shared" si="937"/>
        <v>-1</v>
      </c>
      <c r="AE862">
        <f t="shared" si="935"/>
        <v>10</v>
      </c>
      <c r="AF862">
        <f>IF(AND(AE862&lt;15,OR(AC862&gt;=30,AA862&gt;0.15,X862&gt;=0.15)),2,VLOOKUP(AE862,Table!P:Q,2,FALSE))</f>
        <v>1</v>
      </c>
      <c r="AG862" s="22">
        <f>IF((AB862*0.98)-(D862*0.8)+((AF862-3)*3)+VLOOKUP(AM862,Table!$A$11:$B$13,2,FALSE)&lt;0,0,(AB862*0.98)-(D862*0.8)+((AF862-3)*3)+VLOOKUP(AM862,Table!$A$11:$B$13,2,FALSE))</f>
        <v>4.2745591999999952</v>
      </c>
      <c r="AH862" s="22">
        <f t="shared" si="966"/>
        <v>5</v>
      </c>
      <c r="AI862" s="18">
        <f t="shared" si="959"/>
        <v>1.7</v>
      </c>
      <c r="AJ862" s="18">
        <f t="shared" si="960"/>
        <v>2.5</v>
      </c>
      <c r="AK862" t="str">
        <f t="shared" si="945"/>
        <v/>
      </c>
      <c r="AL862">
        <f t="shared" si="956"/>
        <v>9.5</v>
      </c>
      <c r="AM862" s="11" t="str">
        <f t="shared" si="946"/>
        <v>Cash</v>
      </c>
      <c r="AN862" t="str">
        <f t="shared" si="952"/>
        <v>Sell</v>
      </c>
      <c r="AO862" s="13">
        <f t="shared" si="953"/>
        <v>3.85E-2</v>
      </c>
      <c r="AP862" s="13">
        <f t="shared" si="954"/>
        <v>2.9999999999999997E-4</v>
      </c>
      <c r="AQ862" s="13">
        <f t="shared" si="955"/>
        <v>2.2000000000000001E-3</v>
      </c>
      <c r="AR862" s="13">
        <f t="shared" si="947"/>
        <v>2.9999999999999997E-4</v>
      </c>
      <c r="AS862" s="6">
        <f t="shared" si="939"/>
        <v>271.42616134963993</v>
      </c>
      <c r="AT862" s="6">
        <f t="shared" si="940"/>
        <v>156.29819918031987</v>
      </c>
      <c r="AU862" s="6">
        <f t="shared" si="941"/>
        <v>310.64377315761681</v>
      </c>
      <c r="AV862" s="6">
        <f t="shared" si="942"/>
        <v>410.73985477404528</v>
      </c>
      <c r="AW862" s="58">
        <f t="shared" si="948"/>
        <v>2002</v>
      </c>
      <c r="AX862" s="58">
        <f>COUNTIF(AW$3:AW862,AW862)</f>
        <v>45</v>
      </c>
    </row>
    <row r="863" spans="1:50" x14ac:dyDescent="0.25">
      <c r="A863" s="5">
        <v>37304</v>
      </c>
      <c r="B863">
        <v>1104.18</v>
      </c>
      <c r="C863">
        <v>1.72</v>
      </c>
      <c r="D863" s="6">
        <v>22.370000999999998</v>
      </c>
      <c r="E863" s="18">
        <f t="shared" si="961"/>
        <v>22.25</v>
      </c>
      <c r="F863">
        <f t="shared" si="962"/>
        <v>-1</v>
      </c>
      <c r="G863" s="18">
        <f>ROUND(INDEX(Valuation!U:U,MATCH(A863,Valuation!A:A,0)),2)</f>
        <v>50.77</v>
      </c>
      <c r="H863">
        <f t="shared" si="969"/>
        <v>-1</v>
      </c>
      <c r="I863" s="18">
        <f>INDEX(WeeklyIndicators!Y:Y,MATCH(A863,WeeklyIndicators!A:A,0))</f>
        <v>96.45</v>
      </c>
      <c r="J863">
        <f t="shared" si="958"/>
        <v>-1</v>
      </c>
      <c r="K863">
        <f>ROUND(INDEX(Economic!AF:AF,MATCH(EOMONTH($A863,-1),Economic!A:A,0)),2)</f>
        <v>64.98</v>
      </c>
      <c r="L863" s="11">
        <f t="shared" si="967"/>
        <v>-2</v>
      </c>
      <c r="M863">
        <f>ROUND(INDEX(Manufacturing!P:P,MATCH(EOMONTH($A863,-1),Manufacturing!A:A,0)),2)</f>
        <v>61.41</v>
      </c>
      <c r="N863">
        <f t="shared" si="963"/>
        <v>-3</v>
      </c>
      <c r="O863">
        <f>ROUND(INDEX(Housing!AC:AC,MATCH(EOMONTH($A863,-1),Housing!B:B,0)),2)</f>
        <v>101.88</v>
      </c>
      <c r="P863">
        <f t="shared" si="964"/>
        <v>0</v>
      </c>
      <c r="Q863">
        <f>ROUND(INDEX(Spending!AJ:AJ,MATCH(EOMONTH($A863,-1),Spending!B:B,0)),2)</f>
        <v>42.39</v>
      </c>
      <c r="R863">
        <f t="shared" si="968"/>
        <v>0</v>
      </c>
      <c r="S863">
        <f>ROUND(INDEX(Employment!V:V,MATCH(EOMONTH($A863,-1),Employment!A:A,0)),2)</f>
        <v>68.59</v>
      </c>
      <c r="T863" s="11">
        <f t="shared" si="965"/>
        <v>-3</v>
      </c>
      <c r="U863">
        <f t="shared" si="957"/>
        <v>9</v>
      </c>
      <c r="V863">
        <f t="shared" si="949"/>
        <v>49.78</v>
      </c>
      <c r="W863" s="13">
        <f t="shared" si="950"/>
        <v>8.3000000000000001E-3</v>
      </c>
      <c r="X863" s="13">
        <f t="shared" si="951"/>
        <v>5.3099999999999994E-2</v>
      </c>
      <c r="Y863">
        <f t="shared" si="943"/>
        <v>42</v>
      </c>
      <c r="Z863" s="13">
        <f t="shared" si="938"/>
        <v>1.0200000000000001E-2</v>
      </c>
      <c r="AA863" s="13">
        <f t="shared" si="934"/>
        <v>5.8499999999999996E-2</v>
      </c>
      <c r="AB863" s="6">
        <f t="shared" si="944"/>
        <v>45.686999999999998</v>
      </c>
      <c r="AC863">
        <f t="shared" si="936"/>
        <v>23</v>
      </c>
      <c r="AD863" s="11">
        <f t="shared" si="937"/>
        <v>-1</v>
      </c>
      <c r="AE863">
        <f t="shared" si="935"/>
        <v>10</v>
      </c>
      <c r="AF863">
        <f>IF(AND(AE863&lt;15,OR(AC863&gt;=30,AA863&gt;0.15,X863&gt;=0.15)),2,VLOOKUP(AE863,Table!P:Q,2,FALSE))</f>
        <v>1</v>
      </c>
      <c r="AG863" s="22">
        <f>IF((AB863*0.98)-(D863*0.8)+((AF863-3)*3)+VLOOKUP(AM863,Table!$A$11:$B$13,2,FALSE)&lt;0,0,(AB863*0.98)-(D863*0.8)+((AF863-3)*3)+VLOOKUP(AM863,Table!$A$11:$B$13,2,FALSE))</f>
        <v>4.8772591999999939</v>
      </c>
      <c r="AH863" s="22">
        <f t="shared" si="966"/>
        <v>6</v>
      </c>
      <c r="AI863" s="18">
        <f t="shared" si="959"/>
        <v>1.71</v>
      </c>
      <c r="AJ863" s="18">
        <f t="shared" si="960"/>
        <v>2.5499999999999998</v>
      </c>
      <c r="AK863" t="str">
        <f t="shared" si="945"/>
        <v/>
      </c>
      <c r="AL863">
        <f t="shared" si="956"/>
        <v>9.5</v>
      </c>
      <c r="AM863" s="11" t="str">
        <f t="shared" si="946"/>
        <v>Cash</v>
      </c>
      <c r="AN863" t="str">
        <f t="shared" si="952"/>
        <v>Sell</v>
      </c>
      <c r="AO863" s="13">
        <f t="shared" si="953"/>
        <v>-1.2999999999999999E-2</v>
      </c>
      <c r="AP863" s="13">
        <f t="shared" si="954"/>
        <v>2.9999999999999997E-4</v>
      </c>
      <c r="AQ863" s="13">
        <f t="shared" si="955"/>
        <v>-5.0000000000000001E-4</v>
      </c>
      <c r="AR863" s="13">
        <f t="shared" si="947"/>
        <v>2.9999999999999997E-4</v>
      </c>
      <c r="AS863" s="6">
        <f t="shared" si="939"/>
        <v>275.0011766460384</v>
      </c>
      <c r="AT863" s="6">
        <f t="shared" si="940"/>
        <v>156.25132378318492</v>
      </c>
      <c r="AU863" s="6">
        <f t="shared" si="941"/>
        <v>310.79917274398878</v>
      </c>
      <c r="AV863" s="6">
        <f t="shared" si="942"/>
        <v>410.61666977311336</v>
      </c>
      <c r="AW863" s="58">
        <f t="shared" si="948"/>
        <v>2002</v>
      </c>
      <c r="AX863" s="58">
        <f>COUNTIF(AW$3:AW863,AW863)</f>
        <v>46</v>
      </c>
    </row>
    <row r="864" spans="1:50" x14ac:dyDescent="0.25">
      <c r="A864" s="5">
        <v>37297</v>
      </c>
      <c r="B864">
        <v>1096.22</v>
      </c>
      <c r="C864">
        <v>1.72</v>
      </c>
      <c r="D864" s="6">
        <v>23.26</v>
      </c>
      <c r="E864" s="18">
        <f t="shared" si="961"/>
        <v>21.8</v>
      </c>
      <c r="F864">
        <f t="shared" si="962"/>
        <v>-1</v>
      </c>
      <c r="G864" s="18">
        <f>ROUND(INDEX(Valuation!U:U,MATCH(A864,Valuation!A:A,0)),2)</f>
        <v>49.71</v>
      </c>
      <c r="H864">
        <f t="shared" si="969"/>
        <v>-2</v>
      </c>
      <c r="I864" s="18">
        <f>INDEX(WeeklyIndicators!Y:Y,MATCH(A864,WeeklyIndicators!A:A,0))</f>
        <v>98.01</v>
      </c>
      <c r="J864">
        <f t="shared" si="958"/>
        <v>-1</v>
      </c>
      <c r="K864">
        <f>ROUND(INDEX(Economic!AF:AF,MATCH(EOMONTH($A864,-1),Economic!A:A,0)),2)</f>
        <v>64.98</v>
      </c>
      <c r="L864" s="11">
        <f t="shared" si="967"/>
        <v>-2</v>
      </c>
      <c r="M864">
        <f>ROUND(INDEX(Manufacturing!P:P,MATCH(EOMONTH($A864,-1),Manufacturing!A:A,0)),2)</f>
        <v>61.41</v>
      </c>
      <c r="N864">
        <f t="shared" si="963"/>
        <v>-3</v>
      </c>
      <c r="O864">
        <f>ROUND(INDEX(Housing!AC:AC,MATCH(EOMONTH($A864,-1),Housing!B:B,0)),2)</f>
        <v>101.88</v>
      </c>
      <c r="P864">
        <f t="shared" si="964"/>
        <v>0</v>
      </c>
      <c r="Q864">
        <f>ROUND(INDEX(Spending!AJ:AJ,MATCH(EOMONTH($A864,-1),Spending!B:B,0)),2)</f>
        <v>42.39</v>
      </c>
      <c r="R864">
        <f t="shared" si="968"/>
        <v>0</v>
      </c>
      <c r="S864">
        <f>ROUND(INDEX(Employment!V:V,MATCH(EOMONTH($A864,-1),Employment!A:A,0)),2)</f>
        <v>68.59</v>
      </c>
      <c r="T864" s="11">
        <f t="shared" si="965"/>
        <v>-3</v>
      </c>
      <c r="U864">
        <f t="shared" si="957"/>
        <v>8</v>
      </c>
      <c r="V864">
        <f t="shared" si="949"/>
        <v>49.94</v>
      </c>
      <c r="W864" s="13">
        <f t="shared" si="950"/>
        <v>6.6E-3</v>
      </c>
      <c r="X864" s="13">
        <f t="shared" si="951"/>
        <v>6.1699999999999998E-2</v>
      </c>
      <c r="Y864">
        <f t="shared" si="943"/>
        <v>42.2</v>
      </c>
      <c r="Z864" s="13">
        <f t="shared" si="938"/>
        <v>7.1999999999999998E-3</v>
      </c>
      <c r="AA864" s="13">
        <f t="shared" si="934"/>
        <v>6.6899999999999987E-2</v>
      </c>
      <c r="AB864" s="6">
        <f t="shared" si="944"/>
        <v>46.430999999999997</v>
      </c>
      <c r="AC864">
        <f t="shared" si="936"/>
        <v>23</v>
      </c>
      <c r="AD864" s="11">
        <f t="shared" si="937"/>
        <v>-1</v>
      </c>
      <c r="AE864">
        <f t="shared" si="935"/>
        <v>9</v>
      </c>
      <c r="AF864">
        <f>IF(AND(AE864&lt;15,OR(AC864&gt;=30,AA864&gt;0.15,X864&gt;=0.15)),2,VLOOKUP(AE864,Table!P:Q,2,FALSE))</f>
        <v>1</v>
      </c>
      <c r="AG864" s="22">
        <f>IF((AB864*0.98)-(D864*0.8)+((AF864-3)*3)+VLOOKUP(AM864,Table!$A$11:$B$13,2,FALSE)&lt;0,0,(AB864*0.98)-(D864*0.8)+((AF864-3)*3)+VLOOKUP(AM864,Table!$A$11:$B$13,2,FALSE))</f>
        <v>4.8943799999999946</v>
      </c>
      <c r="AH864" s="22">
        <f t="shared" si="966"/>
        <v>5</v>
      </c>
      <c r="AI864" s="18">
        <f t="shared" si="959"/>
        <v>1.72</v>
      </c>
      <c r="AJ864" s="18">
        <f t="shared" si="960"/>
        <v>2.6</v>
      </c>
      <c r="AK864" t="str">
        <f t="shared" si="945"/>
        <v/>
      </c>
      <c r="AL864">
        <f t="shared" si="956"/>
        <v>9.75</v>
      </c>
      <c r="AM864" s="11" t="str">
        <f t="shared" si="946"/>
        <v>Cash</v>
      </c>
      <c r="AN864" t="str">
        <f t="shared" si="952"/>
        <v>Sell</v>
      </c>
      <c r="AO864" s="13">
        <f t="shared" si="953"/>
        <v>7.3000000000000001E-3</v>
      </c>
      <c r="AP864" s="13">
        <f t="shared" si="954"/>
        <v>2.9999999999999997E-4</v>
      </c>
      <c r="AQ864" s="13">
        <f t="shared" si="955"/>
        <v>6.9999999999999999E-4</v>
      </c>
      <c r="AR864" s="13">
        <f t="shared" si="947"/>
        <v>2.9999999999999997E-4</v>
      </c>
      <c r="AS864" s="6">
        <f t="shared" si="939"/>
        <v>273.00821666438833</v>
      </c>
      <c r="AT864" s="6">
        <f t="shared" si="940"/>
        <v>156.20446244445159</v>
      </c>
      <c r="AU864" s="6">
        <f t="shared" si="941"/>
        <v>310.58176550813312</v>
      </c>
      <c r="AV864" s="6">
        <f t="shared" si="942"/>
        <v>410.49352171659837</v>
      </c>
      <c r="AW864" s="58">
        <f t="shared" si="948"/>
        <v>2002</v>
      </c>
      <c r="AX864" s="58">
        <f>COUNTIF(AW$3:AW864,AW864)</f>
        <v>47</v>
      </c>
    </row>
    <row r="865" spans="1:50" x14ac:dyDescent="0.25">
      <c r="A865" s="5">
        <v>37290</v>
      </c>
      <c r="B865">
        <v>1122.2</v>
      </c>
      <c r="C865">
        <v>1.71</v>
      </c>
      <c r="D865" s="6">
        <v>21.120000999999998</v>
      </c>
      <c r="E865" s="18">
        <f t="shared" si="961"/>
        <v>21.55</v>
      </c>
      <c r="F865">
        <f t="shared" si="962"/>
        <v>-1</v>
      </c>
      <c r="G865" s="18">
        <f>ROUND(INDEX(Valuation!U:U,MATCH(A865,Valuation!A:A,0)),2)</f>
        <v>49.17</v>
      </c>
      <c r="H865">
        <f t="shared" si="969"/>
        <v>-2</v>
      </c>
      <c r="I865" s="18">
        <f>INDEX(WeeklyIndicators!Y:Y,MATCH(A865,WeeklyIndicators!A:A,0))</f>
        <v>112.7</v>
      </c>
      <c r="J865">
        <f t="shared" si="958"/>
        <v>-1</v>
      </c>
      <c r="K865">
        <f>ROUND(INDEX(Economic!AF:AF,MATCH(EOMONTH($A865,-1),Economic!A:A,0)),2)</f>
        <v>64.98</v>
      </c>
      <c r="L865" s="11">
        <f t="shared" si="967"/>
        <v>-2</v>
      </c>
      <c r="M865">
        <f>ROUND(INDEX(Manufacturing!P:P,MATCH(EOMONTH($A865,-1),Manufacturing!A:A,0)),2)</f>
        <v>61.41</v>
      </c>
      <c r="N865">
        <f t="shared" si="963"/>
        <v>-3</v>
      </c>
      <c r="O865">
        <f>ROUND(INDEX(Housing!AC:AC,MATCH(EOMONTH($A865,-1),Housing!B:B,0)),2)</f>
        <v>101.88</v>
      </c>
      <c r="P865">
        <f t="shared" si="964"/>
        <v>0</v>
      </c>
      <c r="Q865">
        <f>ROUND(INDEX(Spending!AJ:AJ,MATCH(EOMONTH($A865,-1),Spending!B:B,0)),2)</f>
        <v>42.39</v>
      </c>
      <c r="R865">
        <f t="shared" si="968"/>
        <v>0</v>
      </c>
      <c r="S865">
        <f>ROUND(INDEX(Employment!V:V,MATCH(EOMONTH($A865,-1),Employment!A:A,0)),2)</f>
        <v>68.59</v>
      </c>
      <c r="T865" s="11">
        <f t="shared" si="965"/>
        <v>-3</v>
      </c>
      <c r="U865">
        <f t="shared" si="957"/>
        <v>8</v>
      </c>
      <c r="V865">
        <f t="shared" si="949"/>
        <v>51.46</v>
      </c>
      <c r="W865" s="13">
        <f t="shared" si="950"/>
        <v>2.47E-2</v>
      </c>
      <c r="X865" s="13">
        <f t="shared" si="951"/>
        <v>5.9699999999999996E-2</v>
      </c>
      <c r="Y865">
        <f t="shared" si="943"/>
        <v>43.76</v>
      </c>
      <c r="Z865" s="13">
        <f t="shared" si="938"/>
        <v>2.81E-2</v>
      </c>
      <c r="AA865" s="13">
        <f t="shared" si="934"/>
        <v>6.3699999999999993E-2</v>
      </c>
      <c r="AB865" s="6">
        <f t="shared" si="944"/>
        <v>47.757000000000005</v>
      </c>
      <c r="AC865">
        <f t="shared" si="936"/>
        <v>24</v>
      </c>
      <c r="AD865" s="11">
        <f t="shared" si="937"/>
        <v>-1</v>
      </c>
      <c r="AE865">
        <f t="shared" si="935"/>
        <v>9</v>
      </c>
      <c r="AF865">
        <f>IF(AND(AE865&lt;15,OR(AC865&gt;=30,AA865&gt;0.15,X865&gt;=0.15)),2,VLOOKUP(AE865,Table!P:Q,2,FALSE))</f>
        <v>1</v>
      </c>
      <c r="AG865" s="22">
        <f>IF((AB865*0.98)-(D865*0.8)+((AF865-3)*3)+VLOOKUP(AM865,Table!$A$11:$B$13,2,FALSE)&lt;0,0,(AB865*0.98)-(D865*0.8)+((AF865-3)*3)+VLOOKUP(AM865,Table!$A$11:$B$13,2,FALSE))</f>
        <v>7.9058592000000054</v>
      </c>
      <c r="AH865" s="22">
        <f t="shared" si="966"/>
        <v>3</v>
      </c>
      <c r="AI865" s="18">
        <f t="shared" si="959"/>
        <v>1.73</v>
      </c>
      <c r="AJ865" s="18">
        <f t="shared" si="960"/>
        <v>2.65</v>
      </c>
      <c r="AK865" t="str">
        <f t="shared" si="945"/>
        <v>Falling Rates</v>
      </c>
      <c r="AL865">
        <f t="shared" si="956"/>
        <v>10.25</v>
      </c>
      <c r="AM865" s="11" t="str">
        <f t="shared" si="946"/>
        <v>Cash</v>
      </c>
      <c r="AN865" t="str">
        <f t="shared" si="952"/>
        <v>Sell</v>
      </c>
      <c r="AO865" s="13">
        <f t="shared" si="953"/>
        <v>-2.3199999999999998E-2</v>
      </c>
      <c r="AP865" s="13">
        <f t="shared" si="954"/>
        <v>2.9999999999999997E-4</v>
      </c>
      <c r="AQ865" s="13">
        <f t="shared" si="955"/>
        <v>-4.0000000000000002E-4</v>
      </c>
      <c r="AR865" s="13">
        <f t="shared" si="947"/>
        <v>2.9999999999999997E-4</v>
      </c>
      <c r="AS865" s="6">
        <f t="shared" si="939"/>
        <v>279.49244130260882</v>
      </c>
      <c r="AT865" s="6">
        <f t="shared" si="940"/>
        <v>156.15761515990363</v>
      </c>
      <c r="AU865" s="6">
        <f t="shared" si="941"/>
        <v>310.70604792730404</v>
      </c>
      <c r="AV865" s="6">
        <f t="shared" si="942"/>
        <v>410.37041059342033</v>
      </c>
      <c r="AW865" s="58">
        <f t="shared" si="948"/>
        <v>2002</v>
      </c>
      <c r="AX865" s="58">
        <f>COUNTIF(AW$3:AW865,AW865)</f>
        <v>48</v>
      </c>
    </row>
    <row r="866" spans="1:50" x14ac:dyDescent="0.25">
      <c r="A866" s="5">
        <v>37283</v>
      </c>
      <c r="B866">
        <v>1133.28</v>
      </c>
      <c r="C866">
        <v>1.68</v>
      </c>
      <c r="D866" s="6">
        <v>21.01</v>
      </c>
      <c r="E866" s="18">
        <f t="shared" si="961"/>
        <v>22.04</v>
      </c>
      <c r="F866">
        <f t="shared" si="962"/>
        <v>-1</v>
      </c>
      <c r="G866" s="18">
        <f>ROUND(INDEX(Valuation!U:U,MATCH(A866,Valuation!A:A,0)),2)</f>
        <v>49.67</v>
      </c>
      <c r="H866">
        <f t="shared" si="969"/>
        <v>-2</v>
      </c>
      <c r="I866" s="18">
        <f>INDEX(WeeklyIndicators!Y:Y,MATCH(A866,WeeklyIndicators!A:A,0))</f>
        <v>128.07</v>
      </c>
      <c r="J866">
        <f t="shared" si="958"/>
        <v>0</v>
      </c>
      <c r="K866">
        <f>ROUND(INDEX(Economic!AF:AF,MATCH(EOMONTH($A866,-1),Economic!A:A,0)),2)</f>
        <v>52.76</v>
      </c>
      <c r="L866" s="11">
        <f t="shared" si="967"/>
        <v>-2</v>
      </c>
      <c r="M866">
        <f>ROUND(INDEX(Manufacturing!P:P,MATCH(EOMONTH($A866,-1),Manufacturing!A:A,0)),2)</f>
        <v>51.38</v>
      </c>
      <c r="N866">
        <f t="shared" si="963"/>
        <v>-3</v>
      </c>
      <c r="O866">
        <f>ROUND(INDEX(Housing!AC:AC,MATCH(EOMONTH($A866,-1),Housing!B:B,0)),2)</f>
        <v>100.13</v>
      </c>
      <c r="P866">
        <f t="shared" si="964"/>
        <v>0</v>
      </c>
      <c r="Q866">
        <f>ROUND(INDEX(Spending!AJ:AJ,MATCH(EOMONTH($A866,-1),Spending!B:B,0)),2)</f>
        <v>43.98</v>
      </c>
      <c r="R866">
        <f t="shared" si="968"/>
        <v>0</v>
      </c>
      <c r="S866">
        <f>ROUND(INDEX(Employment!V:V,MATCH(EOMONTH($A866,-1),Employment!A:A,0)),2)</f>
        <v>51.94</v>
      </c>
      <c r="T866" s="11">
        <f t="shared" si="965"/>
        <v>-3</v>
      </c>
      <c r="U866">
        <f t="shared" si="957"/>
        <v>9</v>
      </c>
      <c r="V866">
        <f t="shared" si="949"/>
        <v>48.53</v>
      </c>
      <c r="W866" s="13">
        <f t="shared" si="950"/>
        <v>1.35E-2</v>
      </c>
      <c r="X866" s="13">
        <f t="shared" si="951"/>
        <v>2.4399999999999998E-2</v>
      </c>
      <c r="Y866">
        <f t="shared" si="943"/>
        <v>40.71</v>
      </c>
      <c r="Z866" s="13">
        <f t="shared" si="938"/>
        <v>1.2999999999999999E-2</v>
      </c>
      <c r="AA866" s="13">
        <f t="shared" si="934"/>
        <v>2.1599999999999994E-2</v>
      </c>
      <c r="AB866" s="6">
        <f t="shared" si="944"/>
        <v>41.487000000000002</v>
      </c>
      <c r="AC866">
        <f t="shared" si="936"/>
        <v>21</v>
      </c>
      <c r="AD866" s="11">
        <f t="shared" si="937"/>
        <v>-1</v>
      </c>
      <c r="AE866">
        <f t="shared" si="935"/>
        <v>10</v>
      </c>
      <c r="AF866">
        <f>IF(AND(AE866&lt;15,OR(AC866&gt;=30,AA866&gt;0.15,X866&gt;=0.15)),2,VLOOKUP(AE866,Table!P:Q,2,FALSE))</f>
        <v>1</v>
      </c>
      <c r="AG866" s="22">
        <f>IF((AB866*0.98)-(D866*0.8)+((AF866-3)*3)+VLOOKUP(AM866,Table!$A$11:$B$13,2,FALSE)&lt;0,0,(AB866*0.98)-(D866*0.8)+((AF866-3)*3)+VLOOKUP(AM866,Table!$A$11:$B$13,2,FALSE))</f>
        <v>1.8492599999999975</v>
      </c>
      <c r="AH866" s="22">
        <f t="shared" si="966"/>
        <v>1</v>
      </c>
      <c r="AI866" s="18">
        <f t="shared" si="959"/>
        <v>1.75</v>
      </c>
      <c r="AJ866" s="18">
        <f t="shared" si="960"/>
        <v>2.7</v>
      </c>
      <c r="AK866" t="str">
        <f t="shared" si="945"/>
        <v>Falling Rates</v>
      </c>
      <c r="AL866">
        <f t="shared" si="956"/>
        <v>10.5</v>
      </c>
      <c r="AM866" s="11" t="str">
        <f t="shared" si="946"/>
        <v>Cash</v>
      </c>
      <c r="AN866" t="str">
        <f t="shared" si="952"/>
        <v>Sell</v>
      </c>
      <c r="AO866" s="13">
        <f t="shared" si="953"/>
        <v>-9.7999999999999997E-3</v>
      </c>
      <c r="AP866" s="13">
        <f t="shared" si="954"/>
        <v>2.9999999999999997E-4</v>
      </c>
      <c r="AQ866" s="13">
        <f t="shared" si="955"/>
        <v>2.0000000000000001E-4</v>
      </c>
      <c r="AR866" s="13">
        <f t="shared" si="947"/>
        <v>2.9999999999999997E-4</v>
      </c>
      <c r="AS866" s="6">
        <f t="shared" si="939"/>
        <v>282.25857534095013</v>
      </c>
      <c r="AT866" s="6">
        <f t="shared" si="940"/>
        <v>156.11078192532602</v>
      </c>
      <c r="AU866" s="6">
        <f t="shared" si="941"/>
        <v>310.64391914347533</v>
      </c>
      <c r="AV866" s="6">
        <f t="shared" si="942"/>
        <v>410.24733639250258</v>
      </c>
      <c r="AW866" s="58">
        <f t="shared" si="948"/>
        <v>2002</v>
      </c>
      <c r="AX866" s="58">
        <f>COUNTIF(AW$3:AW866,AW866)</f>
        <v>49</v>
      </c>
    </row>
    <row r="867" spans="1:50" x14ac:dyDescent="0.25">
      <c r="A867" s="5">
        <v>37276</v>
      </c>
      <c r="B867">
        <v>1127.58</v>
      </c>
      <c r="C867">
        <v>1.58</v>
      </c>
      <c r="D867" s="6">
        <v>22.52</v>
      </c>
      <c r="E867" s="18">
        <f t="shared" si="961"/>
        <v>21.86</v>
      </c>
      <c r="F867">
        <f t="shared" si="962"/>
        <v>-1</v>
      </c>
      <c r="G867" s="18">
        <f>ROUND(INDEX(Valuation!U:U,MATCH(A867,Valuation!A:A,0)),2)</f>
        <v>50.63</v>
      </c>
      <c r="H867">
        <f t="shared" si="969"/>
        <v>-1</v>
      </c>
      <c r="I867" s="18">
        <f>INDEX(WeeklyIndicators!Y:Y,MATCH(A867,WeeklyIndicators!A:A,0))</f>
        <v>132.08000000000001</v>
      </c>
      <c r="J867">
        <f t="shared" si="958"/>
        <v>0</v>
      </c>
      <c r="K867">
        <f>ROUND(INDEX(Economic!AF:AF,MATCH(EOMONTH($A867,-1),Economic!A:A,0)),2)</f>
        <v>52.76</v>
      </c>
      <c r="L867" s="11">
        <f t="shared" si="967"/>
        <v>-2</v>
      </c>
      <c r="M867">
        <f>ROUND(INDEX(Manufacturing!P:P,MATCH(EOMONTH($A867,-1),Manufacturing!A:A,0)),2)</f>
        <v>51.38</v>
      </c>
      <c r="N867">
        <f t="shared" si="963"/>
        <v>-3</v>
      </c>
      <c r="O867">
        <f>ROUND(INDEX(Housing!AC:AC,MATCH(EOMONTH($A867,-1),Housing!B:B,0)),2)</f>
        <v>100.13</v>
      </c>
      <c r="P867">
        <f t="shared" si="964"/>
        <v>0</v>
      </c>
      <c r="Q867">
        <f>ROUND(INDEX(Spending!AJ:AJ,MATCH(EOMONTH($A867,-1),Spending!B:B,0)),2)</f>
        <v>43.98</v>
      </c>
      <c r="R867">
        <f t="shared" si="968"/>
        <v>0</v>
      </c>
      <c r="S867">
        <f>ROUND(INDEX(Employment!V:V,MATCH(EOMONTH($A867,-1),Employment!A:A,0)),2)</f>
        <v>51.94</v>
      </c>
      <c r="T867" s="11">
        <f t="shared" si="965"/>
        <v>-3</v>
      </c>
      <c r="U867">
        <f t="shared" si="957"/>
        <v>10</v>
      </c>
      <c r="V867">
        <f t="shared" si="949"/>
        <v>48.95</v>
      </c>
      <c r="W867" s="13">
        <f t="shared" si="950"/>
        <v>1.6899999999999998E-2</v>
      </c>
      <c r="X867" s="13">
        <f t="shared" si="951"/>
        <v>-3.0000000000000165E-4</v>
      </c>
      <c r="Y867">
        <f t="shared" si="943"/>
        <v>41.3</v>
      </c>
      <c r="Z867" s="13">
        <f t="shared" si="938"/>
        <v>1.8599999999999998E-2</v>
      </c>
      <c r="AA867" s="13">
        <f t="shared" si="934"/>
        <v>-6.2000000000000024E-3</v>
      </c>
      <c r="AB867" s="6">
        <f t="shared" si="944"/>
        <v>40.072999999999993</v>
      </c>
      <c r="AC867">
        <f t="shared" si="936"/>
        <v>20</v>
      </c>
      <c r="AD867" s="11">
        <f t="shared" si="937"/>
        <v>-1</v>
      </c>
      <c r="AE867">
        <f t="shared" si="935"/>
        <v>11</v>
      </c>
      <c r="AF867">
        <f>IF(AND(AE867&lt;15,OR(AC867&gt;=30,AA867&gt;0.15,X867&gt;=0.15)),2,VLOOKUP(AE867,Table!P:Q,2,FALSE))</f>
        <v>1</v>
      </c>
      <c r="AG867" s="22">
        <f>IF((AB867*0.98)-(D867*0.8)+((AF867-3)*3)+VLOOKUP(AM867,Table!$A$11:$B$13,2,FALSE)&lt;0,0,(AB867*0.98)-(D867*0.8)+((AF867-3)*3)+VLOOKUP(AM867,Table!$A$11:$B$13,2,FALSE))</f>
        <v>0</v>
      </c>
      <c r="AH867" s="22">
        <f t="shared" si="966"/>
        <v>0</v>
      </c>
      <c r="AI867" s="18">
        <f t="shared" si="959"/>
        <v>1.79</v>
      </c>
      <c r="AJ867" s="18">
        <f t="shared" si="960"/>
        <v>2.75</v>
      </c>
      <c r="AK867" t="str">
        <f t="shared" si="945"/>
        <v>Falling Rates</v>
      </c>
      <c r="AL867">
        <f t="shared" si="956"/>
        <v>10.25</v>
      </c>
      <c r="AM867" s="11" t="str">
        <f t="shared" si="946"/>
        <v>Cash</v>
      </c>
      <c r="AN867" t="str">
        <f t="shared" si="952"/>
        <v>Sell</v>
      </c>
      <c r="AO867" s="13">
        <f t="shared" si="953"/>
        <v>5.1000000000000004E-3</v>
      </c>
      <c r="AP867" s="13">
        <f t="shared" si="954"/>
        <v>2.9999999999999997E-4</v>
      </c>
      <c r="AQ867" s="13">
        <f t="shared" si="955"/>
        <v>2.9999999999999997E-4</v>
      </c>
      <c r="AR867" s="13">
        <f t="shared" si="947"/>
        <v>2.9999999999999997E-4</v>
      </c>
      <c r="AS867" s="6">
        <f t="shared" si="939"/>
        <v>280.82636090035828</v>
      </c>
      <c r="AT867" s="6">
        <f t="shared" si="940"/>
        <v>156.06396273650509</v>
      </c>
      <c r="AU867" s="6">
        <f t="shared" si="941"/>
        <v>310.55075391730014</v>
      </c>
      <c r="AV867" s="6">
        <f t="shared" si="942"/>
        <v>410.12429910277177</v>
      </c>
      <c r="AW867" s="58">
        <f t="shared" si="948"/>
        <v>2002</v>
      </c>
      <c r="AX867" s="58">
        <f>COUNTIF(AW$3:AW867,AW867)</f>
        <v>50</v>
      </c>
    </row>
    <row r="868" spans="1:50" x14ac:dyDescent="0.25">
      <c r="A868" s="5">
        <v>37269</v>
      </c>
      <c r="B868">
        <v>1145.5999999999999</v>
      </c>
      <c r="C868">
        <v>1.63</v>
      </c>
      <c r="D868" s="6">
        <v>22.6</v>
      </c>
      <c r="E868" s="18">
        <f t="shared" si="961"/>
        <v>21.48</v>
      </c>
      <c r="F868">
        <f t="shared" si="962"/>
        <v>-1</v>
      </c>
      <c r="G868" s="18">
        <f>ROUND(INDEX(Valuation!U:U,MATCH(A868,Valuation!A:A,0)),2)</f>
        <v>50.39</v>
      </c>
      <c r="H868">
        <f t="shared" si="969"/>
        <v>-1</v>
      </c>
      <c r="I868" s="18">
        <f>INDEX(WeeklyIndicators!Y:Y,MATCH(A868,WeeklyIndicators!A:A,0))</f>
        <v>121.68</v>
      </c>
      <c r="J868">
        <f t="shared" si="958"/>
        <v>0</v>
      </c>
      <c r="K868">
        <f>ROUND(INDEX(Economic!AF:AF,MATCH(EOMONTH($A868,-1),Economic!A:A,0)),2)</f>
        <v>52.76</v>
      </c>
      <c r="L868" s="11">
        <f t="shared" si="967"/>
        <v>-2</v>
      </c>
      <c r="M868">
        <f>ROUND(INDEX(Manufacturing!P:P,MATCH(EOMONTH($A868,-1),Manufacturing!A:A,0)),2)</f>
        <v>51.38</v>
      </c>
      <c r="N868">
        <f t="shared" si="963"/>
        <v>-3</v>
      </c>
      <c r="O868">
        <f>ROUND(INDEX(Housing!AC:AC,MATCH(EOMONTH($A868,-1),Housing!B:B,0)),2)</f>
        <v>100.13</v>
      </c>
      <c r="P868">
        <f t="shared" si="964"/>
        <v>0</v>
      </c>
      <c r="Q868">
        <f>ROUND(INDEX(Spending!AJ:AJ,MATCH(EOMONTH($A868,-1),Spending!B:B,0)),2)</f>
        <v>43.98</v>
      </c>
      <c r="R868">
        <f t="shared" si="968"/>
        <v>0</v>
      </c>
      <c r="S868">
        <f>ROUND(INDEX(Employment!V:V,MATCH(EOMONTH($A868,-1),Employment!A:A,0)),2)</f>
        <v>51.94</v>
      </c>
      <c r="T868" s="11">
        <f t="shared" si="965"/>
        <v>-3</v>
      </c>
      <c r="U868">
        <f t="shared" si="957"/>
        <v>10</v>
      </c>
      <c r="V868">
        <f t="shared" si="949"/>
        <v>47.87</v>
      </c>
      <c r="W868" s="13">
        <f t="shared" si="950"/>
        <v>4.5999999999999999E-3</v>
      </c>
      <c r="X868" s="13">
        <f t="shared" si="951"/>
        <v>-1.4800000000000001E-2</v>
      </c>
      <c r="Y868">
        <f t="shared" si="943"/>
        <v>40.32</v>
      </c>
      <c r="Z868" s="13">
        <f t="shared" si="938"/>
        <v>4.0000000000000001E-3</v>
      </c>
      <c r="AA868" s="13">
        <f t="shared" si="934"/>
        <v>-2.1700000000000004E-2</v>
      </c>
      <c r="AB868" s="6">
        <f t="shared" si="944"/>
        <v>37.849000000000004</v>
      </c>
      <c r="AC868">
        <f t="shared" si="936"/>
        <v>19</v>
      </c>
      <c r="AD868" s="11">
        <f t="shared" si="937"/>
        <v>-1</v>
      </c>
      <c r="AE868">
        <f t="shared" si="935"/>
        <v>11</v>
      </c>
      <c r="AF868">
        <f>IF(AND(AE868&lt;15,OR(AC868&gt;=30,AA868&gt;0.15,X868&gt;=0.15)),2,VLOOKUP(AE868,Table!P:Q,2,FALSE))</f>
        <v>1</v>
      </c>
      <c r="AG868" s="22">
        <f>IF((AB868*0.98)-(D868*0.8)+((AF868-3)*3)+VLOOKUP(AM868,Table!$A$11:$B$13,2,FALSE)&lt;0,0,(AB868*0.98)-(D868*0.8)+((AF868-3)*3)+VLOOKUP(AM868,Table!$A$11:$B$13,2,FALSE))</f>
        <v>0</v>
      </c>
      <c r="AH868" s="22">
        <f t="shared" si="966"/>
        <v>9</v>
      </c>
      <c r="AI868" s="18">
        <f t="shared" si="959"/>
        <v>1.83</v>
      </c>
      <c r="AJ868" s="18">
        <f t="shared" si="960"/>
        <v>2.81</v>
      </c>
      <c r="AK868" t="str">
        <f t="shared" si="945"/>
        <v>Falling Rates</v>
      </c>
      <c r="AL868">
        <f t="shared" si="956"/>
        <v>9.75</v>
      </c>
      <c r="AM868" s="11" t="str">
        <f t="shared" si="946"/>
        <v>Cash</v>
      </c>
      <c r="AN868" t="str">
        <f t="shared" si="952"/>
        <v>Sell</v>
      </c>
      <c r="AO868" s="13">
        <f t="shared" si="953"/>
        <v>-1.5699999999999999E-2</v>
      </c>
      <c r="AP868" s="13">
        <f t="shared" si="954"/>
        <v>2.9999999999999997E-4</v>
      </c>
      <c r="AQ868" s="13">
        <f t="shared" si="955"/>
        <v>-1.1000000000000001E-3</v>
      </c>
      <c r="AR868" s="13">
        <f t="shared" si="947"/>
        <v>2.9999999999999997E-4</v>
      </c>
      <c r="AS868" s="6">
        <f t="shared" si="939"/>
        <v>285.3056597585678</v>
      </c>
      <c r="AT868" s="6">
        <f t="shared" si="940"/>
        <v>156.01715758922833</v>
      </c>
      <c r="AU868" s="6">
        <f t="shared" si="941"/>
        <v>310.89273592681963</v>
      </c>
      <c r="AV868" s="6">
        <f t="shared" si="942"/>
        <v>410.00129871315784</v>
      </c>
      <c r="AW868" s="58">
        <f t="shared" si="948"/>
        <v>2002</v>
      </c>
      <c r="AX868" s="58">
        <f>COUNTIF(AW$3:AW868,AW868)</f>
        <v>51</v>
      </c>
    </row>
    <row r="869" spans="1:50" x14ac:dyDescent="0.25">
      <c r="A869" s="5">
        <v>37262</v>
      </c>
      <c r="B869">
        <v>1172.51</v>
      </c>
      <c r="C869">
        <v>1.7</v>
      </c>
      <c r="D869" s="6">
        <v>20.450001</v>
      </c>
      <c r="E869" s="18">
        <f t="shared" si="961"/>
        <v>21.45</v>
      </c>
      <c r="F869">
        <f t="shared" si="962"/>
        <v>-1</v>
      </c>
      <c r="G869" s="18">
        <f>ROUND(INDEX(Valuation!U:U,MATCH(A869,Valuation!A:A,0)),2)</f>
        <v>51.16</v>
      </c>
      <c r="H869">
        <f t="shared" si="969"/>
        <v>-1</v>
      </c>
      <c r="I869" s="18">
        <f>INDEX(WeeklyIndicators!Y:Y,MATCH(A869,WeeklyIndicators!A:A,0))</f>
        <v>109.38</v>
      </c>
      <c r="J869">
        <f t="shared" si="958"/>
        <v>-1</v>
      </c>
      <c r="K869">
        <f>ROUND(INDEX(Economic!AF:AF,MATCH(EOMONTH($A869,-1),Economic!A:A,0)),2)</f>
        <v>52.76</v>
      </c>
      <c r="L869" s="11">
        <f t="shared" si="967"/>
        <v>-2</v>
      </c>
      <c r="M869">
        <f>ROUND(INDEX(Manufacturing!P:P,MATCH(EOMONTH($A869,-1),Manufacturing!A:A,0)),2)</f>
        <v>51.38</v>
      </c>
      <c r="N869">
        <f t="shared" si="963"/>
        <v>-3</v>
      </c>
      <c r="O869">
        <f>ROUND(INDEX(Housing!AC:AC,MATCH(EOMONTH($A869,-1),Housing!B:B,0)),2)</f>
        <v>100.13</v>
      </c>
      <c r="P869">
        <f t="shared" si="964"/>
        <v>0</v>
      </c>
      <c r="Q869">
        <f>ROUND(INDEX(Spending!AJ:AJ,MATCH(EOMONTH($A869,-1),Spending!B:B,0)),2)</f>
        <v>43.98</v>
      </c>
      <c r="R869">
        <f t="shared" si="968"/>
        <v>0</v>
      </c>
      <c r="S869">
        <f>ROUND(INDEX(Employment!V:V,MATCH(EOMONTH($A869,-1),Employment!A:A,0)),2)</f>
        <v>51.94</v>
      </c>
      <c r="T869" s="11">
        <f t="shared" si="965"/>
        <v>-3</v>
      </c>
      <c r="U869">
        <f t="shared" si="957"/>
        <v>9</v>
      </c>
      <c r="V869">
        <f t="shared" si="949"/>
        <v>46.6</v>
      </c>
      <c r="W869" s="13">
        <f t="shared" si="950"/>
        <v>-1.06E-2</v>
      </c>
      <c r="X869" s="13">
        <f t="shared" si="951"/>
        <v>-1.4E-2</v>
      </c>
      <c r="Y869">
        <f t="shared" si="943"/>
        <v>39.14</v>
      </c>
      <c r="Z869" s="13">
        <f t="shared" si="938"/>
        <v>-1.4E-2</v>
      </c>
      <c r="AA869" s="13">
        <f t="shared" si="934"/>
        <v>-1.3100000000000001E-2</v>
      </c>
      <c r="AB869" s="6">
        <f t="shared" si="944"/>
        <v>37.295999999999999</v>
      </c>
      <c r="AC869">
        <f t="shared" si="936"/>
        <v>19</v>
      </c>
      <c r="AD869" s="11">
        <f t="shared" si="937"/>
        <v>-1</v>
      </c>
      <c r="AE869">
        <f t="shared" si="935"/>
        <v>10</v>
      </c>
      <c r="AF869">
        <f>IF(AND(AE869&lt;15,OR(AC869&gt;=30,AA869&gt;0.15,X869&gt;=0.15)),2,VLOOKUP(AE869,Table!P:Q,2,FALSE))</f>
        <v>1</v>
      </c>
      <c r="AG869" s="22">
        <f>IF((AB869*0.98)-(D869*0.8)+((AF869-3)*3)+VLOOKUP(AM869,Table!$A$11:$B$13,2,FALSE)&lt;0,0,(AB869*0.98)-(D869*0.8)+((AF869-3)*3)+VLOOKUP(AM869,Table!$A$11:$B$13,2,FALSE))</f>
        <v>0</v>
      </c>
      <c r="AH869" s="22">
        <f t="shared" si="966"/>
        <v>20</v>
      </c>
      <c r="AI869" s="18">
        <f t="shared" si="959"/>
        <v>1.88</v>
      </c>
      <c r="AJ869" s="18">
        <f t="shared" si="960"/>
        <v>2.87</v>
      </c>
      <c r="AK869" t="str">
        <f t="shared" si="945"/>
        <v>Falling Rates</v>
      </c>
      <c r="AL869">
        <f t="shared" si="956"/>
        <v>12.5</v>
      </c>
      <c r="AM869" s="11" t="str">
        <f t="shared" si="946"/>
        <v>Cash</v>
      </c>
      <c r="AN869" t="str">
        <f t="shared" si="952"/>
        <v>Sell</v>
      </c>
      <c r="AO869" s="13">
        <f t="shared" si="953"/>
        <v>-2.3E-2</v>
      </c>
      <c r="AP869" s="13">
        <f t="shared" si="954"/>
        <v>2.9999999999999997E-4</v>
      </c>
      <c r="AQ869" s="13">
        <f t="shared" si="955"/>
        <v>-4.4000000000000003E-3</v>
      </c>
      <c r="AR869" s="13">
        <f t="shared" si="947"/>
        <v>2.9999999999999997E-4</v>
      </c>
      <c r="AS869" s="6">
        <f t="shared" si="939"/>
        <v>292.02216966076543</v>
      </c>
      <c r="AT869" s="6">
        <f t="shared" si="940"/>
        <v>155.97036647928456</v>
      </c>
      <c r="AU869" s="6">
        <f t="shared" si="941"/>
        <v>312.26670944839253</v>
      </c>
      <c r="AV869" s="6">
        <f t="shared" si="942"/>
        <v>409.8783352125941</v>
      </c>
      <c r="AW869" s="58">
        <f t="shared" si="948"/>
        <v>2002</v>
      </c>
      <c r="AX869" s="58">
        <f>COUNTIF(AW$3:AW869,AW869)</f>
        <v>52</v>
      </c>
    </row>
    <row r="870" spans="1:50" x14ac:dyDescent="0.25">
      <c r="A870" s="5">
        <v>37255</v>
      </c>
      <c r="B870">
        <v>1161.02</v>
      </c>
      <c r="C870">
        <v>1.7</v>
      </c>
      <c r="D870" s="6">
        <v>21.4</v>
      </c>
      <c r="E870" s="18">
        <f t="shared" si="961"/>
        <v>22.84</v>
      </c>
      <c r="F870">
        <f t="shared" si="962"/>
        <v>-1</v>
      </c>
      <c r="G870" s="18">
        <f>ROUND(INDEX(Valuation!U:U,MATCH(A870,Valuation!A:A,0)),2)</f>
        <v>55.38</v>
      </c>
      <c r="H870">
        <f t="shared" si="969"/>
        <v>-1</v>
      </c>
      <c r="I870" s="18">
        <f>INDEX(WeeklyIndicators!Y:Y,MATCH(A870,WeeklyIndicators!A:A,0))</f>
        <v>105.35</v>
      </c>
      <c r="J870">
        <f t="shared" si="958"/>
        <v>-1</v>
      </c>
      <c r="K870">
        <f>ROUND(INDEX(Economic!AF:AF,MATCH(EOMONTH($A870,-1),Economic!A:A,0)),2)</f>
        <v>47.5</v>
      </c>
      <c r="L870" s="11">
        <f t="shared" si="967"/>
        <v>-3</v>
      </c>
      <c r="M870">
        <f>ROUND(INDEX(Manufacturing!P:P,MATCH(EOMONTH($A870,-1),Manufacturing!A:A,0)),2)</f>
        <v>56.22</v>
      </c>
      <c r="N870">
        <f t="shared" si="963"/>
        <v>-3</v>
      </c>
      <c r="O870">
        <f>ROUND(INDEX(Housing!AC:AC,MATCH(EOMONTH($A870,-1),Housing!B:B,0)),2)</f>
        <v>106.16</v>
      </c>
      <c r="P870">
        <f t="shared" si="964"/>
        <v>0</v>
      </c>
      <c r="Q870">
        <f>ROUND(INDEX(Spending!AJ:AJ,MATCH(EOMONTH($A870,-1),Spending!B:B,0)),2)</f>
        <v>45.15</v>
      </c>
      <c r="R870">
        <f t="shared" si="968"/>
        <v>0</v>
      </c>
      <c r="S870">
        <f>ROUND(INDEX(Employment!V:V,MATCH(EOMONTH($A870,-1),Employment!A:A,0)),2)</f>
        <v>51.17</v>
      </c>
      <c r="T870" s="11">
        <f t="shared" si="965"/>
        <v>-3</v>
      </c>
      <c r="U870">
        <f t="shared" si="957"/>
        <v>8</v>
      </c>
      <c r="V870">
        <f t="shared" si="949"/>
        <v>46.56</v>
      </c>
      <c r="W870" s="13">
        <f t="shared" si="950"/>
        <v>-1.12E-2</v>
      </c>
      <c r="X870" s="13">
        <f t="shared" si="951"/>
        <v>2.8900000000000002E-2</v>
      </c>
      <c r="Y870">
        <f t="shared" si="943"/>
        <v>39.090000000000003</v>
      </c>
      <c r="Z870" s="13">
        <f t="shared" si="938"/>
        <v>-1.4800000000000001E-2</v>
      </c>
      <c r="AA870" s="13">
        <f t="shared" si="934"/>
        <v>5.4800000000000001E-2</v>
      </c>
      <c r="AB870" s="6">
        <f t="shared" si="944"/>
        <v>42.637999999999998</v>
      </c>
      <c r="AC870">
        <f t="shared" si="936"/>
        <v>21</v>
      </c>
      <c r="AD870" s="11">
        <f t="shared" si="937"/>
        <v>-1</v>
      </c>
      <c r="AE870">
        <f t="shared" si="935"/>
        <v>9</v>
      </c>
      <c r="AF870">
        <f>IF(AND(AE870&lt;15,OR(AC870&gt;=30,AA870&gt;0.15,X870&gt;=0.15)),2,VLOOKUP(AE870,Table!P:Q,2,FALSE))</f>
        <v>1</v>
      </c>
      <c r="AG870" s="22">
        <f>IF((AB870*0.98)-(D870*0.8)+((AF870-3)*3)+VLOOKUP(AM870,Table!$A$11:$B$13,2,FALSE)&lt;0,0,(AB870*0.98)-(D870*0.8)+((AF870-3)*3)+VLOOKUP(AM870,Table!$A$11:$B$13,2,FALSE))</f>
        <v>26.665239999999994</v>
      </c>
      <c r="AH870" s="22">
        <f t="shared" si="966"/>
        <v>36</v>
      </c>
      <c r="AI870" s="18">
        <f t="shared" si="959"/>
        <v>1.92</v>
      </c>
      <c r="AJ870" s="18">
        <f t="shared" si="960"/>
        <v>2.93</v>
      </c>
      <c r="AK870" t="str">
        <f t="shared" si="945"/>
        <v>Falling Rates</v>
      </c>
      <c r="AL870">
        <f t="shared" si="956"/>
        <v>15.5</v>
      </c>
      <c r="AM870" s="11" t="str">
        <f t="shared" si="946"/>
        <v>Stocks</v>
      </c>
      <c r="AN870" t="str">
        <f t="shared" si="952"/>
        <v>Sell</v>
      </c>
      <c r="AO870" s="13">
        <f t="shared" si="953"/>
        <v>9.9000000000000008E-3</v>
      </c>
      <c r="AP870" s="13">
        <f t="shared" si="954"/>
        <v>2.9999999999999997E-4</v>
      </c>
      <c r="AQ870" s="13">
        <f t="shared" si="955"/>
        <v>3.8E-3</v>
      </c>
      <c r="AR870" s="13">
        <f t="shared" si="947"/>
        <v>9.9000000000000008E-3</v>
      </c>
      <c r="AS870" s="6">
        <f t="shared" si="939"/>
        <v>289.1594907028076</v>
      </c>
      <c r="AT870" s="6">
        <f t="shared" si="940"/>
        <v>155.92358940246382</v>
      </c>
      <c r="AU870" s="6">
        <f t="shared" si="941"/>
        <v>311.08458801393954</v>
      </c>
      <c r="AV870" s="6">
        <f t="shared" si="942"/>
        <v>405.86031806376286</v>
      </c>
      <c r="AW870" s="58">
        <f t="shared" si="948"/>
        <v>2001</v>
      </c>
      <c r="AX870" s="58">
        <f>COUNTIF(AW$3:AW870,AW870)</f>
        <v>1</v>
      </c>
    </row>
    <row r="871" spans="1:50" x14ac:dyDescent="0.25">
      <c r="A871" s="5">
        <v>37248</v>
      </c>
      <c r="B871">
        <v>1144.8900000000001</v>
      </c>
      <c r="C871">
        <v>1.68</v>
      </c>
      <c r="D871" s="6">
        <v>22.5</v>
      </c>
      <c r="E871" s="18">
        <f t="shared" si="961"/>
        <v>23.54</v>
      </c>
      <c r="F871">
        <f t="shared" si="962"/>
        <v>-1</v>
      </c>
      <c r="G871" s="18">
        <f>ROUND(INDEX(Valuation!U:U,MATCH(A871,Valuation!A:A,0)),2)</f>
        <v>58.32</v>
      </c>
      <c r="H871">
        <f t="shared" si="969"/>
        <v>-1</v>
      </c>
      <c r="I871" s="18">
        <f>INDEX(WeeklyIndicators!Y:Y,MATCH(A871,WeeklyIndicators!A:A,0))</f>
        <v>111.84</v>
      </c>
      <c r="J871">
        <f t="shared" si="958"/>
        <v>-1</v>
      </c>
      <c r="K871">
        <f>ROUND(INDEX(Economic!AF:AF,MATCH(EOMONTH($A871,-1),Economic!A:A,0)),2)</f>
        <v>47.5</v>
      </c>
      <c r="L871" s="11">
        <f t="shared" si="967"/>
        <v>-3</v>
      </c>
      <c r="M871">
        <f>ROUND(INDEX(Manufacturing!P:P,MATCH(EOMONTH($A871,-1),Manufacturing!A:A,0)),2)</f>
        <v>56.22</v>
      </c>
      <c r="N871">
        <f t="shared" si="963"/>
        <v>-3</v>
      </c>
      <c r="O871">
        <f>ROUND(INDEX(Housing!AC:AC,MATCH(EOMONTH($A871,-1),Housing!B:B,0)),2)</f>
        <v>106.16</v>
      </c>
      <c r="P871">
        <f t="shared" si="964"/>
        <v>0</v>
      </c>
      <c r="Q871">
        <f>ROUND(INDEX(Spending!AJ:AJ,MATCH(EOMONTH($A871,-1),Spending!B:B,0)),2)</f>
        <v>45.15</v>
      </c>
      <c r="R871">
        <f t="shared" si="968"/>
        <v>0</v>
      </c>
      <c r="S871">
        <f>ROUND(INDEX(Employment!V:V,MATCH(EOMONTH($A871,-1),Employment!A:A,0)),2)</f>
        <v>51.17</v>
      </c>
      <c r="T871" s="11">
        <f t="shared" si="965"/>
        <v>-3</v>
      </c>
      <c r="U871">
        <f t="shared" si="957"/>
        <v>8</v>
      </c>
      <c r="V871">
        <f t="shared" si="949"/>
        <v>47.23</v>
      </c>
      <c r="W871" s="13">
        <f t="shared" si="950"/>
        <v>2.3999999999999998E-3</v>
      </c>
      <c r="X871" s="13">
        <f t="shared" si="951"/>
        <v>8.7800000000000003E-2</v>
      </c>
      <c r="Y871">
        <f t="shared" si="943"/>
        <v>39.85</v>
      </c>
      <c r="Z871" s="13">
        <f t="shared" si="938"/>
        <v>3.0999999999999999E-3</v>
      </c>
      <c r="AA871" s="13">
        <f t="shared" si="934"/>
        <v>0.14799999999999999</v>
      </c>
      <c r="AB871" s="6">
        <f t="shared" si="944"/>
        <v>50.552</v>
      </c>
      <c r="AC871">
        <f t="shared" si="936"/>
        <v>25</v>
      </c>
      <c r="AD871" s="11">
        <f t="shared" si="937"/>
        <v>-1</v>
      </c>
      <c r="AE871">
        <f t="shared" si="935"/>
        <v>9</v>
      </c>
      <c r="AF871">
        <f>IF(AND(AE871&lt;15,OR(AC871&gt;=30,AA871&gt;0.15,X871&gt;=0.15)),2,VLOOKUP(AE871,Table!P:Q,2,FALSE))</f>
        <v>1</v>
      </c>
      <c r="AG871" s="22">
        <f>IF((AB871*0.98)-(D871*0.8)+((AF871-3)*3)+VLOOKUP(AM871,Table!$A$11:$B$13,2,FALSE)&lt;0,0,(AB871*0.98)-(D871*0.8)+((AF871-3)*3)+VLOOKUP(AM871,Table!$A$11:$B$13,2,FALSE))</f>
        <v>33.540959999999998</v>
      </c>
      <c r="AH871" s="22">
        <f t="shared" si="966"/>
        <v>35</v>
      </c>
      <c r="AI871" s="18">
        <f t="shared" si="959"/>
        <v>1.97</v>
      </c>
      <c r="AJ871" s="18">
        <f t="shared" si="960"/>
        <v>2.99</v>
      </c>
      <c r="AK871" t="str">
        <f t="shared" si="945"/>
        <v>Falling Rates</v>
      </c>
      <c r="AL871">
        <f t="shared" si="956"/>
        <v>15.5</v>
      </c>
      <c r="AM871" s="11" t="str">
        <f t="shared" si="946"/>
        <v>Stocks</v>
      </c>
      <c r="AN871" t="str">
        <f t="shared" si="952"/>
        <v>Sell</v>
      </c>
      <c r="AO871" s="13">
        <f t="shared" si="953"/>
        <v>1.41E-2</v>
      </c>
      <c r="AP871" s="13">
        <f t="shared" si="954"/>
        <v>2.9999999999999997E-4</v>
      </c>
      <c r="AQ871" s="13">
        <f t="shared" si="955"/>
        <v>5.1000000000000004E-3</v>
      </c>
      <c r="AR871" s="13">
        <f t="shared" si="947"/>
        <v>1.41E-2</v>
      </c>
      <c r="AS871" s="6">
        <f t="shared" si="939"/>
        <v>285.13903037452678</v>
      </c>
      <c r="AT871" s="6">
        <f t="shared" si="940"/>
        <v>155.87682635455747</v>
      </c>
      <c r="AU871" s="6">
        <f t="shared" si="941"/>
        <v>309.50610686890809</v>
      </c>
      <c r="AV871" s="6">
        <f t="shared" si="942"/>
        <v>400.21725477148493</v>
      </c>
      <c r="AW871" s="58">
        <f t="shared" si="948"/>
        <v>2001</v>
      </c>
      <c r="AX871" s="58">
        <f>COUNTIF(AW$3:AW871,AW871)</f>
        <v>2</v>
      </c>
    </row>
    <row r="872" spans="1:50" x14ac:dyDescent="0.25">
      <c r="A872" s="5">
        <v>37241</v>
      </c>
      <c r="B872">
        <v>1123.0899999999999</v>
      </c>
      <c r="C872">
        <v>1.66</v>
      </c>
      <c r="D872" s="6">
        <v>24.629999000000002</v>
      </c>
      <c r="E872" s="18">
        <f t="shared" si="961"/>
        <v>23.99</v>
      </c>
      <c r="F872">
        <f t="shared" si="962"/>
        <v>-1</v>
      </c>
      <c r="G872" s="18">
        <f>ROUND(INDEX(Valuation!U:U,MATCH(A872,Valuation!A:A,0)),2)</f>
        <v>60.66</v>
      </c>
      <c r="H872">
        <f t="shared" si="969"/>
        <v>-1</v>
      </c>
      <c r="I872" s="18">
        <f>INDEX(WeeklyIndicators!Y:Y,MATCH(A872,WeeklyIndicators!A:A,0))</f>
        <v>120.18</v>
      </c>
      <c r="J872">
        <f t="shared" si="958"/>
        <v>0</v>
      </c>
      <c r="K872">
        <f>ROUND(INDEX(Economic!AF:AF,MATCH(EOMONTH($A872,-1),Economic!A:A,0)),2)</f>
        <v>47.5</v>
      </c>
      <c r="L872" s="11">
        <f t="shared" si="967"/>
        <v>-3</v>
      </c>
      <c r="M872">
        <f>ROUND(INDEX(Manufacturing!P:P,MATCH(EOMONTH($A872,-1),Manufacturing!A:A,0)),2)</f>
        <v>56.22</v>
      </c>
      <c r="N872">
        <f t="shared" si="963"/>
        <v>-3</v>
      </c>
      <c r="O872">
        <f>ROUND(INDEX(Housing!AC:AC,MATCH(EOMONTH($A872,-1),Housing!B:B,0)),2)</f>
        <v>106.16</v>
      </c>
      <c r="P872">
        <f t="shared" si="964"/>
        <v>0</v>
      </c>
      <c r="Q872">
        <f>ROUND(INDEX(Spending!AJ:AJ,MATCH(EOMONTH($A872,-1),Spending!B:B,0)),2)</f>
        <v>45.15</v>
      </c>
      <c r="R872">
        <f t="shared" si="968"/>
        <v>0</v>
      </c>
      <c r="S872">
        <f>ROUND(INDEX(Employment!V:V,MATCH(EOMONTH($A872,-1),Employment!A:A,0)),2)</f>
        <v>51.17</v>
      </c>
      <c r="T872" s="11">
        <f t="shared" si="965"/>
        <v>-3</v>
      </c>
      <c r="U872">
        <f t="shared" si="957"/>
        <v>9</v>
      </c>
      <c r="V872">
        <f t="shared" si="949"/>
        <v>48.1</v>
      </c>
      <c r="W872" s="13">
        <f t="shared" si="950"/>
        <v>5.4000000000000003E-3</v>
      </c>
      <c r="X872" s="13">
        <f t="shared" si="951"/>
        <v>0.1517</v>
      </c>
      <c r="Y872">
        <f t="shared" si="943"/>
        <v>40.82</v>
      </c>
      <c r="Z872" s="13">
        <f t="shared" si="938"/>
        <v>1.26E-2</v>
      </c>
      <c r="AA872" s="13">
        <f t="shared" si="934"/>
        <v>0.25290000000000001</v>
      </c>
      <c r="AB872" s="6">
        <f t="shared" si="944"/>
        <v>59.445999999999998</v>
      </c>
      <c r="AC872">
        <f t="shared" si="936"/>
        <v>30</v>
      </c>
      <c r="AD872" s="11">
        <f t="shared" si="937"/>
        <v>-1</v>
      </c>
      <c r="AE872">
        <f t="shared" si="935"/>
        <v>22</v>
      </c>
      <c r="AF872">
        <f>IF(AND(AE872&lt;15,OR(AC872&gt;=30,AA872&gt;0.15,X872&gt;=0.15)),2,VLOOKUP(AE872,Table!P:Q,2,FALSE))</f>
        <v>3</v>
      </c>
      <c r="AG872" s="22">
        <f>IF((AB872*0.98)-(D872*0.8)+((AF872-3)*3)+VLOOKUP(AM872,Table!$A$11:$B$13,2,FALSE)&lt;0,0,(AB872*0.98)-(D872*0.8)+((AF872-3)*3)+VLOOKUP(AM872,Table!$A$11:$B$13,2,FALSE))</f>
        <v>46.553080799999989</v>
      </c>
      <c r="AH872" s="22">
        <f t="shared" si="966"/>
        <v>28</v>
      </c>
      <c r="AI872" s="18">
        <f t="shared" si="959"/>
        <v>2.0099999999999998</v>
      </c>
      <c r="AJ872" s="18">
        <f t="shared" si="960"/>
        <v>3.06</v>
      </c>
      <c r="AK872" t="str">
        <f t="shared" si="945"/>
        <v>Falling Rates</v>
      </c>
      <c r="AL872">
        <f t="shared" si="956"/>
        <v>15.75</v>
      </c>
      <c r="AM872" s="11" t="str">
        <f t="shared" si="946"/>
        <v>Stocks</v>
      </c>
      <c r="AN872" t="str">
        <f t="shared" si="952"/>
        <v>Sell</v>
      </c>
      <c r="AO872" s="13">
        <f t="shared" si="953"/>
        <v>1.9400000000000001E-2</v>
      </c>
      <c r="AP872" s="13">
        <f t="shared" si="954"/>
        <v>2.9999999999999997E-4</v>
      </c>
      <c r="AQ872" s="13">
        <f t="shared" si="955"/>
        <v>5.5999999999999999E-3</v>
      </c>
      <c r="AR872" s="13">
        <f t="shared" si="947"/>
        <v>1.9400000000000001E-2</v>
      </c>
      <c r="AS872" s="6">
        <f t="shared" si="939"/>
        <v>279.71260582158794</v>
      </c>
      <c r="AT872" s="6">
        <f t="shared" si="940"/>
        <v>155.83007733135807</v>
      </c>
      <c r="AU872" s="6">
        <f t="shared" si="941"/>
        <v>307.78252473041772</v>
      </c>
      <c r="AV872" s="6">
        <f t="shared" si="942"/>
        <v>392.60079926572973</v>
      </c>
      <c r="AW872" s="58">
        <f t="shared" si="948"/>
        <v>2001</v>
      </c>
      <c r="AX872" s="58">
        <f>COUNTIF(AW$3:AW872,AW872)</f>
        <v>3</v>
      </c>
    </row>
    <row r="873" spans="1:50" x14ac:dyDescent="0.25">
      <c r="A873" s="5">
        <v>37234</v>
      </c>
      <c r="B873">
        <v>1158.31</v>
      </c>
      <c r="C873">
        <v>1.72</v>
      </c>
      <c r="D873" s="6">
        <v>23.49</v>
      </c>
      <c r="E873" s="18">
        <f t="shared" si="961"/>
        <v>23.53</v>
      </c>
      <c r="F873">
        <f t="shared" si="962"/>
        <v>-1</v>
      </c>
      <c r="G873" s="18">
        <f>ROUND(INDEX(Valuation!U:U,MATCH(A873,Valuation!A:A,0)),2)</f>
        <v>59.33</v>
      </c>
      <c r="H873">
        <f t="shared" si="969"/>
        <v>-1</v>
      </c>
      <c r="I873" s="18">
        <f>INDEX(WeeklyIndicators!Y:Y,MATCH(A873,WeeklyIndicators!A:A,0))</f>
        <v>120.73</v>
      </c>
      <c r="J873">
        <f t="shared" si="958"/>
        <v>0</v>
      </c>
      <c r="K873">
        <f>ROUND(INDEX(Economic!AF:AF,MATCH(EOMONTH($A873,-1),Economic!A:A,0)),2)</f>
        <v>47.5</v>
      </c>
      <c r="L873" s="11">
        <f t="shared" si="967"/>
        <v>-3</v>
      </c>
      <c r="M873">
        <f>ROUND(INDEX(Manufacturing!P:P,MATCH(EOMONTH($A873,-1),Manufacturing!A:A,0)),2)</f>
        <v>56.22</v>
      </c>
      <c r="N873">
        <f t="shared" si="963"/>
        <v>-3</v>
      </c>
      <c r="O873">
        <f>ROUND(INDEX(Housing!AC:AC,MATCH(EOMONTH($A873,-1),Housing!B:B,0)),2)</f>
        <v>106.16</v>
      </c>
      <c r="P873">
        <f t="shared" si="964"/>
        <v>0</v>
      </c>
      <c r="Q873">
        <f>ROUND(INDEX(Spending!AJ:AJ,MATCH(EOMONTH($A873,-1),Spending!B:B,0)),2)</f>
        <v>45.15</v>
      </c>
      <c r="R873">
        <f t="shared" si="968"/>
        <v>0</v>
      </c>
      <c r="S873">
        <f>ROUND(INDEX(Employment!V:V,MATCH(EOMONTH($A873,-1),Employment!A:A,0)),2)</f>
        <v>51.17</v>
      </c>
      <c r="T873" s="11">
        <f t="shared" si="965"/>
        <v>-3</v>
      </c>
      <c r="U873">
        <f t="shared" si="957"/>
        <v>9</v>
      </c>
      <c r="V873">
        <f t="shared" si="949"/>
        <v>48.16</v>
      </c>
      <c r="W873" s="13">
        <f t="shared" si="950"/>
        <v>3.2300000000000002E-2</v>
      </c>
      <c r="X873" s="13">
        <f t="shared" si="951"/>
        <v>0.15139999999999998</v>
      </c>
      <c r="Y873">
        <f t="shared" si="943"/>
        <v>40.89</v>
      </c>
      <c r="Z873" s="13">
        <f t="shared" si="938"/>
        <v>5.3900000000000003E-2</v>
      </c>
      <c r="AA873" s="13">
        <f t="shared" si="934"/>
        <v>0.26630000000000004</v>
      </c>
      <c r="AB873" s="6">
        <f t="shared" si="944"/>
        <v>60.282999999999994</v>
      </c>
      <c r="AC873">
        <f t="shared" si="936"/>
        <v>30</v>
      </c>
      <c r="AD873" s="11">
        <f t="shared" si="937"/>
        <v>-1</v>
      </c>
      <c r="AE873">
        <f t="shared" si="935"/>
        <v>22</v>
      </c>
      <c r="AF873">
        <f>IF(AND(AE873&lt;15,OR(AC873&gt;=30,AA873&gt;0.15,X873&gt;=0.15)),2,VLOOKUP(AE873,Table!P:Q,2,FALSE))</f>
        <v>3</v>
      </c>
      <c r="AG873" s="22">
        <f>IF((AB873*0.98)-(D873*0.8)+((AF873-3)*3)+VLOOKUP(AM873,Table!$A$11:$B$13,2,FALSE)&lt;0,0,(AB873*0.98)-(D873*0.8)+((AF873-3)*3)+VLOOKUP(AM873,Table!$A$11:$B$13,2,FALSE))</f>
        <v>24.285339999999991</v>
      </c>
      <c r="AH873" s="22">
        <f t="shared" si="966"/>
        <v>14</v>
      </c>
      <c r="AI873" s="18">
        <f t="shared" si="959"/>
        <v>2.1</v>
      </c>
      <c r="AJ873" s="18">
        <f t="shared" si="960"/>
        <v>3.13</v>
      </c>
      <c r="AK873" t="str">
        <f t="shared" si="945"/>
        <v>Falling Rates</v>
      </c>
      <c r="AL873">
        <f t="shared" si="956"/>
        <v>12.5</v>
      </c>
      <c r="AM873" s="11" t="str">
        <f t="shared" si="946"/>
        <v>Cash</v>
      </c>
      <c r="AN873" t="str">
        <f t="shared" si="952"/>
        <v>Sell</v>
      </c>
      <c r="AO873" s="13">
        <f t="shared" si="953"/>
        <v>-3.04E-2</v>
      </c>
      <c r="AP873" s="13">
        <f t="shared" si="954"/>
        <v>2.9999999999999997E-4</v>
      </c>
      <c r="AQ873" s="13">
        <f t="shared" si="955"/>
        <v>-4.0000000000000001E-3</v>
      </c>
      <c r="AR873" s="13">
        <f t="shared" si="947"/>
        <v>2.9999999999999997E-4</v>
      </c>
      <c r="AS873" s="6">
        <f t="shared" si="939"/>
        <v>288.48247300081266</v>
      </c>
      <c r="AT873" s="6">
        <f t="shared" si="940"/>
        <v>155.78334232865947</v>
      </c>
      <c r="AU873" s="6">
        <f t="shared" si="941"/>
        <v>309.01859912692544</v>
      </c>
      <c r="AV873" s="6">
        <f t="shared" si="942"/>
        <v>392.48305434942495</v>
      </c>
      <c r="AW873" s="58">
        <f t="shared" si="948"/>
        <v>2001</v>
      </c>
      <c r="AX873" s="58">
        <f>COUNTIF(AW$3:AW873,AW873)</f>
        <v>4</v>
      </c>
    </row>
    <row r="874" spans="1:50" x14ac:dyDescent="0.25">
      <c r="A874" s="5">
        <v>37227</v>
      </c>
      <c r="B874">
        <v>1139.45</v>
      </c>
      <c r="C874">
        <v>1.84</v>
      </c>
      <c r="D874" s="6">
        <v>23.84</v>
      </c>
      <c r="E874" s="18">
        <f t="shared" si="961"/>
        <v>24.05</v>
      </c>
      <c r="F874">
        <f t="shared" si="962"/>
        <v>-1</v>
      </c>
      <c r="G874" s="18">
        <f>ROUND(INDEX(Valuation!U:U,MATCH(A874,Valuation!A:A,0)),2)</f>
        <v>59.72</v>
      </c>
      <c r="H874">
        <f t="shared" si="969"/>
        <v>-1</v>
      </c>
      <c r="I874" s="18">
        <f>INDEX(WeeklyIndicators!Y:Y,MATCH(A874,WeeklyIndicators!A:A,0))</f>
        <v>108.42</v>
      </c>
      <c r="J874">
        <f t="shared" si="958"/>
        <v>-1</v>
      </c>
      <c r="K874">
        <f>ROUND(INDEX(Economic!AF:AF,MATCH(EOMONTH($A874,-1),Economic!A:A,0)),2)</f>
        <v>47.5</v>
      </c>
      <c r="L874" s="11">
        <f t="shared" si="967"/>
        <v>-3</v>
      </c>
      <c r="M874">
        <f>ROUND(INDEX(Manufacturing!P:P,MATCH(EOMONTH($A874,-1),Manufacturing!A:A,0)),2)</f>
        <v>56.22</v>
      </c>
      <c r="N874">
        <f t="shared" si="963"/>
        <v>-3</v>
      </c>
      <c r="O874">
        <f>ROUND(INDEX(Housing!AC:AC,MATCH(EOMONTH($A874,-1),Housing!B:B,0)),2)</f>
        <v>106.16</v>
      </c>
      <c r="P874">
        <f t="shared" si="964"/>
        <v>0</v>
      </c>
      <c r="Q874">
        <f>ROUND(INDEX(Spending!AJ:AJ,MATCH(EOMONTH($A874,-1),Spending!B:B,0)),2)</f>
        <v>45.15</v>
      </c>
      <c r="R874">
        <f t="shared" si="968"/>
        <v>0</v>
      </c>
      <c r="S874">
        <f>ROUND(INDEX(Employment!V:V,MATCH(EOMONTH($A874,-1),Employment!A:A,0)),2)</f>
        <v>51.17</v>
      </c>
      <c r="T874" s="11">
        <f t="shared" si="965"/>
        <v>-3</v>
      </c>
      <c r="U874">
        <f t="shared" si="957"/>
        <v>8</v>
      </c>
      <c r="V874">
        <f t="shared" si="949"/>
        <v>46.88</v>
      </c>
      <c r="W874" s="13">
        <f t="shared" si="950"/>
        <v>4.7699999999999999E-2</v>
      </c>
      <c r="X874" s="13">
        <f t="shared" si="951"/>
        <v>9.4699999999999979E-2</v>
      </c>
      <c r="Y874">
        <f t="shared" si="943"/>
        <v>39.47</v>
      </c>
      <c r="Z874" s="13">
        <f t="shared" si="938"/>
        <v>7.8399999999999997E-2</v>
      </c>
      <c r="AA874" s="13">
        <f t="shared" si="934"/>
        <v>0.1981</v>
      </c>
      <c r="AB874" s="6">
        <f t="shared" si="944"/>
        <v>53.722000000000001</v>
      </c>
      <c r="AC874">
        <f t="shared" si="936"/>
        <v>27</v>
      </c>
      <c r="AD874" s="11">
        <f t="shared" si="937"/>
        <v>-1</v>
      </c>
      <c r="AE874">
        <f t="shared" si="935"/>
        <v>9</v>
      </c>
      <c r="AF874">
        <f>IF(AND(AE874&lt;15,OR(AC874&gt;=30,AA874&gt;0.15,X874&gt;=0.15)),2,VLOOKUP(AE874,Table!P:Q,2,FALSE))</f>
        <v>2</v>
      </c>
      <c r="AG874" s="22">
        <f>IF((AB874*0.98)-(D874*0.8)+((AF874-3)*3)+VLOOKUP(AM874,Table!$A$11:$B$13,2,FALSE)&lt;0,0,(AB874*0.98)-(D874*0.8)+((AF874-3)*3)+VLOOKUP(AM874,Table!$A$11:$B$13,2,FALSE))</f>
        <v>14.575559999999996</v>
      </c>
      <c r="AH874" s="22">
        <f t="shared" si="966"/>
        <v>6</v>
      </c>
      <c r="AI874" s="18">
        <f t="shared" si="959"/>
        <v>2.2200000000000002</v>
      </c>
      <c r="AJ874" s="18">
        <f t="shared" si="960"/>
        <v>3.21</v>
      </c>
      <c r="AK874" t="str">
        <f t="shared" si="945"/>
        <v>Falling Rates</v>
      </c>
      <c r="AL874">
        <f t="shared" si="956"/>
        <v>9</v>
      </c>
      <c r="AM874" s="11" t="str">
        <f t="shared" si="946"/>
        <v>Cash</v>
      </c>
      <c r="AN874" t="str">
        <f t="shared" si="952"/>
        <v>Sell</v>
      </c>
      <c r="AO874" s="13">
        <f t="shared" si="953"/>
        <v>1.66E-2</v>
      </c>
      <c r="AP874" s="13">
        <f t="shared" si="954"/>
        <v>4.0000000000000002E-4</v>
      </c>
      <c r="AQ874" s="13">
        <f t="shared" si="955"/>
        <v>1.4E-3</v>
      </c>
      <c r="AR874" s="13">
        <f t="shared" si="947"/>
        <v>4.0000000000000002E-4</v>
      </c>
      <c r="AS874" s="6">
        <f t="shared" si="939"/>
        <v>283.77186012277463</v>
      </c>
      <c r="AT874" s="6">
        <f t="shared" si="940"/>
        <v>155.72105390709663</v>
      </c>
      <c r="AU874" s="6">
        <f t="shared" si="941"/>
        <v>308.58657791784043</v>
      </c>
      <c r="AV874" s="6">
        <f t="shared" si="942"/>
        <v>392.32612389986502</v>
      </c>
      <c r="AW874" s="58">
        <f t="shared" si="948"/>
        <v>2001</v>
      </c>
      <c r="AX874" s="58">
        <f>COUNTIF(AW$3:AW874,AW874)</f>
        <v>5</v>
      </c>
    </row>
    <row r="875" spans="1:50" x14ac:dyDescent="0.25">
      <c r="A875" s="5">
        <v>37220</v>
      </c>
      <c r="B875">
        <v>1150.3399999999999</v>
      </c>
      <c r="C875">
        <v>1.91</v>
      </c>
      <c r="D875" s="6">
        <v>23.25</v>
      </c>
      <c r="E875" s="18">
        <f t="shared" si="961"/>
        <v>25.25</v>
      </c>
      <c r="F875">
        <f t="shared" si="962"/>
        <v>-2</v>
      </c>
      <c r="G875" s="18">
        <f>ROUND(INDEX(Valuation!U:U,MATCH(A875,Valuation!A:A,0)),2)</f>
        <v>58.05</v>
      </c>
      <c r="H875">
        <f t="shared" si="969"/>
        <v>-1</v>
      </c>
      <c r="I875" s="18">
        <f>INDEX(WeeklyIndicators!Y:Y,MATCH(A875,WeeklyIndicators!A:A,0))</f>
        <v>80.81</v>
      </c>
      <c r="J875">
        <f t="shared" si="958"/>
        <v>-2</v>
      </c>
      <c r="K875">
        <f>ROUND(INDEX(Economic!AF:AF,MATCH(EOMONTH($A875,-1),Economic!A:A,0)),2)</f>
        <v>51.97</v>
      </c>
      <c r="L875" s="11">
        <f t="shared" si="967"/>
        <v>-2</v>
      </c>
      <c r="M875">
        <f>ROUND(INDEX(Manufacturing!P:P,MATCH(EOMONTH($A875,-1),Manufacturing!A:A,0)),2)</f>
        <v>64.44</v>
      </c>
      <c r="N875">
        <f t="shared" si="963"/>
        <v>-2</v>
      </c>
      <c r="O875">
        <f>ROUND(INDEX(Housing!AC:AC,MATCH(EOMONTH($A875,-1),Housing!B:B,0)),2)</f>
        <v>116.17</v>
      </c>
      <c r="P875">
        <f t="shared" si="964"/>
        <v>1</v>
      </c>
      <c r="Q875">
        <f>ROUND(INDEX(Spending!AJ:AJ,MATCH(EOMONTH($A875,-1),Spending!B:B,0)),2)</f>
        <v>41.1</v>
      </c>
      <c r="R875">
        <f t="shared" si="968"/>
        <v>0</v>
      </c>
      <c r="S875">
        <f>ROUND(INDEX(Employment!V:V,MATCH(EOMONTH($A875,-1),Employment!A:A,0)),2)</f>
        <v>65.19</v>
      </c>
      <c r="T875" s="11">
        <f t="shared" si="965"/>
        <v>-3</v>
      </c>
      <c r="U875">
        <f t="shared" si="957"/>
        <v>9</v>
      </c>
      <c r="V875">
        <f t="shared" si="949"/>
        <v>47.33</v>
      </c>
      <c r="W875" s="13">
        <f t="shared" si="950"/>
        <v>6.6299999999999998E-2</v>
      </c>
      <c r="X875" s="13">
        <f t="shared" si="951"/>
        <v>3.8999999999999868E-3</v>
      </c>
      <c r="Y875">
        <f t="shared" si="943"/>
        <v>39.31</v>
      </c>
      <c r="Z875" s="13">
        <f t="shared" si="938"/>
        <v>0.108</v>
      </c>
      <c r="AA875" s="13">
        <f t="shared" si="934"/>
        <v>6.83E-2</v>
      </c>
      <c r="AB875" s="6">
        <f t="shared" si="944"/>
        <v>43.805</v>
      </c>
      <c r="AC875">
        <f t="shared" si="936"/>
        <v>22</v>
      </c>
      <c r="AD875" s="11">
        <f t="shared" si="937"/>
        <v>-1</v>
      </c>
      <c r="AE875">
        <f t="shared" si="935"/>
        <v>10</v>
      </c>
      <c r="AF875">
        <f>IF(AND(AE875&lt;15,OR(AC875&gt;=30,AA875&gt;0.15,X875&gt;=0.15)),2,VLOOKUP(AE875,Table!P:Q,2,FALSE))</f>
        <v>1</v>
      </c>
      <c r="AG875" s="22">
        <f>IF((AB875*0.98)-(D875*0.8)+((AF875-3)*3)+VLOOKUP(AM875,Table!$A$11:$B$13,2,FALSE)&lt;0,0,(AB875*0.98)-(D875*0.8)+((AF875-3)*3)+VLOOKUP(AM875,Table!$A$11:$B$13,2,FALSE))</f>
        <v>2.3288999999999973</v>
      </c>
      <c r="AH875" s="22">
        <f t="shared" si="966"/>
        <v>1</v>
      </c>
      <c r="AI875" s="18">
        <f t="shared" si="959"/>
        <v>2.34</v>
      </c>
      <c r="AJ875" s="18">
        <f t="shared" si="960"/>
        <v>3.28</v>
      </c>
      <c r="AK875" t="str">
        <f t="shared" si="945"/>
        <v>Falling Rates</v>
      </c>
      <c r="AL875">
        <f t="shared" si="956"/>
        <v>8.75</v>
      </c>
      <c r="AM875" s="11" t="str">
        <f t="shared" si="946"/>
        <v>Cash</v>
      </c>
      <c r="AN875" t="str">
        <f t="shared" si="952"/>
        <v>Sell</v>
      </c>
      <c r="AO875" s="13">
        <f t="shared" si="953"/>
        <v>-9.4999999999999998E-3</v>
      </c>
      <c r="AP875" s="13">
        <f t="shared" si="954"/>
        <v>4.0000000000000002E-4</v>
      </c>
      <c r="AQ875" s="13">
        <f t="shared" si="955"/>
        <v>2.9999999999999997E-4</v>
      </c>
      <c r="AR875" s="13">
        <f t="shared" si="947"/>
        <v>4.0000000000000002E-4</v>
      </c>
      <c r="AS875" s="6">
        <f t="shared" si="939"/>
        <v>286.49354883672351</v>
      </c>
      <c r="AT875" s="6">
        <f t="shared" si="940"/>
        <v>155.65879039094025</v>
      </c>
      <c r="AU875" s="6">
        <f t="shared" si="941"/>
        <v>308.49402970892777</v>
      </c>
      <c r="AV875" s="6">
        <f t="shared" si="942"/>
        <v>392.16925619738606</v>
      </c>
      <c r="AW875" s="58">
        <f t="shared" si="948"/>
        <v>2001</v>
      </c>
      <c r="AX875" s="58">
        <f>COUNTIF(AW$3:AW875,AW875)</f>
        <v>6</v>
      </c>
    </row>
    <row r="876" spans="1:50" x14ac:dyDescent="0.25">
      <c r="A876" s="5">
        <v>37213</v>
      </c>
      <c r="B876">
        <v>1138.6500000000001</v>
      </c>
      <c r="C876">
        <v>1.86</v>
      </c>
      <c r="D876" s="6">
        <v>25.07</v>
      </c>
      <c r="E876" s="18">
        <f t="shared" si="961"/>
        <v>27.74</v>
      </c>
      <c r="F876">
        <f t="shared" si="962"/>
        <v>-2</v>
      </c>
      <c r="G876" s="18">
        <f>ROUND(INDEX(Valuation!U:U,MATCH(A876,Valuation!A:A,0)),2)</f>
        <v>57.58</v>
      </c>
      <c r="H876">
        <f t="shared" si="969"/>
        <v>-1</v>
      </c>
      <c r="I876" s="18">
        <f>INDEX(WeeklyIndicators!Y:Y,MATCH(A876,WeeklyIndicators!A:A,0))</f>
        <v>45.87</v>
      </c>
      <c r="J876">
        <f t="shared" si="958"/>
        <v>-3</v>
      </c>
      <c r="K876">
        <f>ROUND(INDEX(Economic!AF:AF,MATCH(EOMONTH($A876,-1),Economic!A:A,0)),2)</f>
        <v>51.97</v>
      </c>
      <c r="L876" s="11">
        <f t="shared" si="967"/>
        <v>-2</v>
      </c>
      <c r="M876">
        <f>ROUND(INDEX(Manufacturing!P:P,MATCH(EOMONTH($A876,-1),Manufacturing!A:A,0)),2)</f>
        <v>64.44</v>
      </c>
      <c r="N876">
        <f t="shared" si="963"/>
        <v>-2</v>
      </c>
      <c r="O876">
        <f>ROUND(INDEX(Housing!AC:AC,MATCH(EOMONTH($A876,-1),Housing!B:B,0)),2)</f>
        <v>116.17</v>
      </c>
      <c r="P876">
        <f t="shared" si="964"/>
        <v>1</v>
      </c>
      <c r="Q876">
        <f>ROUND(INDEX(Spending!AJ:AJ,MATCH(EOMONTH($A876,-1),Spending!B:B,0)),2)</f>
        <v>41.1</v>
      </c>
      <c r="R876">
        <f t="shared" si="968"/>
        <v>0</v>
      </c>
      <c r="S876">
        <f>ROUND(INDEX(Employment!V:V,MATCH(EOMONTH($A876,-1),Employment!A:A,0)),2)</f>
        <v>65.19</v>
      </c>
      <c r="T876" s="11">
        <f t="shared" si="965"/>
        <v>-3</v>
      </c>
      <c r="U876">
        <f t="shared" si="957"/>
        <v>8</v>
      </c>
      <c r="V876">
        <f t="shared" si="949"/>
        <v>43.7</v>
      </c>
      <c r="W876" s="13">
        <f t="shared" si="950"/>
        <v>5.1000000000000004E-3</v>
      </c>
      <c r="X876" s="13">
        <f t="shared" si="951"/>
        <v>-8.7099999999999997E-2</v>
      </c>
      <c r="Y876">
        <f t="shared" si="943"/>
        <v>34.770000000000003</v>
      </c>
      <c r="Z876" s="13">
        <f t="shared" si="938"/>
        <v>2.5999999999999999E-2</v>
      </c>
      <c r="AA876" s="13">
        <f t="shared" si="934"/>
        <v>-6.8099999999999994E-2</v>
      </c>
      <c r="AB876" s="6">
        <f t="shared" si="944"/>
        <v>29.047999999999998</v>
      </c>
      <c r="AC876">
        <f t="shared" si="936"/>
        <v>15</v>
      </c>
      <c r="AD876" s="11">
        <f t="shared" si="937"/>
        <v>-1</v>
      </c>
      <c r="AE876">
        <f t="shared" si="935"/>
        <v>9</v>
      </c>
      <c r="AF876">
        <f>IF(AND(AE876&lt;15,OR(AC876&gt;=30,AA876&gt;0.15,X876&gt;=0.15)),2,VLOOKUP(AE876,Table!P:Q,2,FALSE))</f>
        <v>1</v>
      </c>
      <c r="AG876" s="22">
        <f>IF((AB876*0.98)-(D876*0.8)+((AF876-3)*3)+VLOOKUP(AM876,Table!$A$11:$B$13,2,FALSE)&lt;0,0,(AB876*0.98)-(D876*0.8)+((AF876-3)*3)+VLOOKUP(AM876,Table!$A$11:$B$13,2,FALSE))</f>
        <v>0</v>
      </c>
      <c r="AH876" s="22">
        <f t="shared" si="966"/>
        <v>0</v>
      </c>
      <c r="AI876" s="18">
        <f t="shared" si="959"/>
        <v>2.4500000000000002</v>
      </c>
      <c r="AJ876" s="18">
        <f t="shared" si="960"/>
        <v>3.36</v>
      </c>
      <c r="AK876" t="str">
        <f t="shared" si="945"/>
        <v>Falling Rates</v>
      </c>
      <c r="AL876">
        <f t="shared" si="956"/>
        <v>8.25</v>
      </c>
      <c r="AM876" s="11" t="str">
        <f t="shared" si="946"/>
        <v>Cash</v>
      </c>
      <c r="AN876" t="str">
        <f t="shared" si="952"/>
        <v>Sell</v>
      </c>
      <c r="AO876" s="13">
        <f t="shared" si="953"/>
        <v>1.03E-2</v>
      </c>
      <c r="AP876" s="13">
        <f t="shared" si="954"/>
        <v>4.0000000000000002E-4</v>
      </c>
      <c r="AQ876" s="13">
        <f t="shared" si="955"/>
        <v>4.0000000000000002E-4</v>
      </c>
      <c r="AR876" s="13">
        <f t="shared" si="947"/>
        <v>4.0000000000000002E-4</v>
      </c>
      <c r="AS876" s="6">
        <f t="shared" si="939"/>
        <v>283.57274951670149</v>
      </c>
      <c r="AT876" s="6">
        <f t="shared" si="940"/>
        <v>155.59655177023217</v>
      </c>
      <c r="AU876" s="6">
        <f t="shared" si="941"/>
        <v>308.37068143635327</v>
      </c>
      <c r="AV876" s="6">
        <f t="shared" si="942"/>
        <v>392.01245121689931</v>
      </c>
      <c r="AW876" s="58">
        <f t="shared" si="948"/>
        <v>2001</v>
      </c>
      <c r="AX876" s="58">
        <f>COUNTIF(AW$3:AW876,AW876)</f>
        <v>7</v>
      </c>
    </row>
    <row r="877" spans="1:50" x14ac:dyDescent="0.25">
      <c r="A877" s="5">
        <v>37206</v>
      </c>
      <c r="B877">
        <v>1120.31</v>
      </c>
      <c r="C877">
        <v>1.83</v>
      </c>
      <c r="D877" s="6">
        <v>27.440000999999999</v>
      </c>
      <c r="E877" s="18">
        <f t="shared" si="961"/>
        <v>28.86</v>
      </c>
      <c r="F877">
        <f t="shared" si="962"/>
        <v>-2</v>
      </c>
      <c r="G877" s="18">
        <f>ROUND(INDEX(Valuation!U:U,MATCH(A877,Valuation!A:A,0)),2)</f>
        <v>56.96</v>
      </c>
      <c r="H877">
        <f t="shared" si="969"/>
        <v>-1</v>
      </c>
      <c r="I877" s="18">
        <f>INDEX(WeeklyIndicators!Y:Y,MATCH(A877,WeeklyIndicators!A:A,0))</f>
        <v>16.02</v>
      </c>
      <c r="J877">
        <f t="shared" si="958"/>
        <v>-3</v>
      </c>
      <c r="K877">
        <f>ROUND(INDEX(Economic!AF:AF,MATCH(EOMONTH($A877,-1),Economic!A:A,0)),2)</f>
        <v>51.97</v>
      </c>
      <c r="L877" s="11">
        <f t="shared" si="967"/>
        <v>-2</v>
      </c>
      <c r="M877">
        <f>ROUND(INDEX(Manufacturing!P:P,MATCH(EOMONTH($A877,-1),Manufacturing!A:A,0)),2)</f>
        <v>64.44</v>
      </c>
      <c r="N877">
        <f t="shared" si="963"/>
        <v>-2</v>
      </c>
      <c r="O877">
        <f>ROUND(INDEX(Housing!AC:AC,MATCH(EOMONTH($A877,-1),Housing!B:B,0)),2)</f>
        <v>116.17</v>
      </c>
      <c r="P877">
        <f t="shared" si="964"/>
        <v>1</v>
      </c>
      <c r="Q877">
        <f>ROUND(INDEX(Spending!AJ:AJ,MATCH(EOMONTH($A877,-1),Spending!B:B,0)),2)</f>
        <v>41.1</v>
      </c>
      <c r="R877">
        <f t="shared" si="968"/>
        <v>0</v>
      </c>
      <c r="S877">
        <f>ROUND(INDEX(Employment!V:V,MATCH(EOMONTH($A877,-1),Employment!A:A,0)),2)</f>
        <v>65.19</v>
      </c>
      <c r="T877" s="11">
        <f t="shared" si="965"/>
        <v>-3</v>
      </c>
      <c r="U877">
        <f t="shared" si="957"/>
        <v>8</v>
      </c>
      <c r="V877">
        <f t="shared" si="949"/>
        <v>40.6</v>
      </c>
      <c r="W877" s="13">
        <f t="shared" si="950"/>
        <v>-2.4400000000000002E-2</v>
      </c>
      <c r="X877" s="13">
        <f t="shared" si="951"/>
        <v>-0.13420000000000001</v>
      </c>
      <c r="Y877">
        <f t="shared" si="943"/>
        <v>31.21</v>
      </c>
      <c r="Z877" s="13">
        <f t="shared" si="938"/>
        <v>-1.43E-2</v>
      </c>
      <c r="AA877" s="13">
        <f t="shared" si="934"/>
        <v>-0.14700000000000002</v>
      </c>
      <c r="AB877" s="6">
        <f t="shared" si="944"/>
        <v>19.566000000000003</v>
      </c>
      <c r="AC877">
        <f t="shared" si="936"/>
        <v>10</v>
      </c>
      <c r="AD877" s="11">
        <f t="shared" si="937"/>
        <v>-2</v>
      </c>
      <c r="AE877">
        <f t="shared" si="935"/>
        <v>8</v>
      </c>
      <c r="AF877">
        <f>IF(AND(AE877&lt;15,OR(AC877&gt;=30,AA877&gt;0.15,X877&gt;=0.15)),2,VLOOKUP(AE877,Table!P:Q,2,FALSE))</f>
        <v>1</v>
      </c>
      <c r="AG877" s="22">
        <f>IF((AB877*0.98)-(D877*0.8)+((AF877-3)*3)+VLOOKUP(AM877,Table!$A$11:$B$13,2,FALSE)&lt;0,0,(AB877*0.98)-(D877*0.8)+((AF877-3)*3)+VLOOKUP(AM877,Table!$A$11:$B$13,2,FALSE))</f>
        <v>0</v>
      </c>
      <c r="AH877" s="22">
        <f t="shared" si="966"/>
        <v>0</v>
      </c>
      <c r="AI877" s="18">
        <f t="shared" si="959"/>
        <v>2.56</v>
      </c>
      <c r="AJ877" s="18">
        <f t="shared" si="960"/>
        <v>3.43</v>
      </c>
      <c r="AK877" t="str">
        <f t="shared" si="945"/>
        <v>Falling Rates</v>
      </c>
      <c r="AL877">
        <f t="shared" si="956"/>
        <v>8</v>
      </c>
      <c r="AM877" s="11" t="str">
        <f t="shared" si="946"/>
        <v>Cash</v>
      </c>
      <c r="AN877" t="str">
        <f t="shared" si="952"/>
        <v>Sell</v>
      </c>
      <c r="AO877" s="13">
        <f t="shared" si="953"/>
        <v>1.6400000000000001E-2</v>
      </c>
      <c r="AP877" s="13">
        <f t="shared" si="954"/>
        <v>4.0000000000000002E-4</v>
      </c>
      <c r="AQ877" s="13">
        <f t="shared" si="955"/>
        <v>4.0000000000000002E-4</v>
      </c>
      <c r="AR877" s="13">
        <f t="shared" si="947"/>
        <v>4.0000000000000002E-4</v>
      </c>
      <c r="AS877" s="6">
        <f t="shared" si="939"/>
        <v>278.99719551033206</v>
      </c>
      <c r="AT877" s="6">
        <f t="shared" si="940"/>
        <v>155.53433803501818</v>
      </c>
      <c r="AU877" s="6">
        <f t="shared" si="941"/>
        <v>308.24738248335996</v>
      </c>
      <c r="AV877" s="6">
        <f t="shared" si="942"/>
        <v>391.85570893332601</v>
      </c>
      <c r="AW877" s="58">
        <f t="shared" si="948"/>
        <v>2001</v>
      </c>
      <c r="AX877" s="58">
        <f>COUNTIF(AW$3:AW877,AW877)</f>
        <v>8</v>
      </c>
    </row>
    <row r="878" spans="1:50" x14ac:dyDescent="0.25">
      <c r="A878" s="5">
        <v>37199</v>
      </c>
      <c r="B878">
        <v>1087.2</v>
      </c>
      <c r="C878">
        <v>2.0099999999999998</v>
      </c>
      <c r="D878" s="6">
        <v>30.709999</v>
      </c>
      <c r="E878" s="18">
        <f t="shared" si="961"/>
        <v>31.08</v>
      </c>
      <c r="F878">
        <f t="shared" si="962"/>
        <v>-2</v>
      </c>
      <c r="G878" s="18">
        <f>ROUND(INDEX(Valuation!U:U,MATCH(A878,Valuation!A:A,0)),2)</f>
        <v>57.57</v>
      </c>
      <c r="H878">
        <f t="shared" si="969"/>
        <v>-1</v>
      </c>
      <c r="I878" s="18">
        <f>INDEX(WeeklyIndicators!Y:Y,MATCH(A878,WeeklyIndicators!A:A,0))</f>
        <v>2.0099999999999998</v>
      </c>
      <c r="J878">
        <f t="shared" si="958"/>
        <v>-3</v>
      </c>
      <c r="K878">
        <f>ROUND(INDEX(Economic!AF:AF,MATCH(EOMONTH($A878,-1),Economic!A:A,0)),2)</f>
        <v>51.97</v>
      </c>
      <c r="L878" s="11">
        <f t="shared" si="967"/>
        <v>-2</v>
      </c>
      <c r="M878">
        <f>ROUND(INDEX(Manufacturing!P:P,MATCH(EOMONTH($A878,-1),Manufacturing!A:A,0)),2)</f>
        <v>64.44</v>
      </c>
      <c r="N878">
        <f t="shared" si="963"/>
        <v>-2</v>
      </c>
      <c r="O878">
        <f>ROUND(INDEX(Housing!AC:AC,MATCH(EOMONTH($A878,-1),Housing!B:B,0)),2)</f>
        <v>116.17</v>
      </c>
      <c r="P878">
        <f t="shared" si="964"/>
        <v>1</v>
      </c>
      <c r="Q878">
        <f>ROUND(INDEX(Spending!AJ:AJ,MATCH(EOMONTH($A878,-1),Spending!B:B,0)),2)</f>
        <v>41.1</v>
      </c>
      <c r="R878">
        <f t="shared" si="968"/>
        <v>0</v>
      </c>
      <c r="S878">
        <f>ROUND(INDEX(Employment!V:V,MATCH(EOMONTH($A878,-1),Employment!A:A,0)),2)</f>
        <v>65.19</v>
      </c>
      <c r="T878" s="11">
        <f t="shared" si="965"/>
        <v>-3</v>
      </c>
      <c r="U878">
        <f t="shared" si="957"/>
        <v>8</v>
      </c>
      <c r="V878">
        <f t="shared" si="949"/>
        <v>39.15</v>
      </c>
      <c r="W878" s="13">
        <f t="shared" si="950"/>
        <v>-4.3099999999999999E-2</v>
      </c>
      <c r="X878" s="13">
        <f t="shared" si="951"/>
        <v>-0.15670000000000001</v>
      </c>
      <c r="Y878">
        <f t="shared" si="943"/>
        <v>29.05</v>
      </c>
      <c r="Z878" s="13">
        <f t="shared" si="938"/>
        <v>-5.1400000000000001E-2</v>
      </c>
      <c r="AA878" s="13">
        <f t="shared" si="934"/>
        <v>-0.19030000000000002</v>
      </c>
      <c r="AB878" s="6">
        <f t="shared" si="944"/>
        <v>14.296999999999997</v>
      </c>
      <c r="AC878">
        <f t="shared" si="936"/>
        <v>7</v>
      </c>
      <c r="AD878" s="11">
        <f t="shared" si="937"/>
        <v>-2</v>
      </c>
      <c r="AE878">
        <f t="shared" si="935"/>
        <v>8</v>
      </c>
      <c r="AF878">
        <f>IF(AND(AE878&lt;15,OR(AC878&gt;=30,AA878&gt;0.15,X878&gt;=0.15)),2,VLOOKUP(AE878,Table!P:Q,2,FALSE))</f>
        <v>1</v>
      </c>
      <c r="AG878" s="22">
        <f>IF((AB878*0.98)-(D878*0.8)+((AF878-3)*3)+VLOOKUP(AM878,Table!$A$11:$B$13,2,FALSE)&lt;0,0,(AB878*0.98)-(D878*0.8)+((AF878-3)*3)+VLOOKUP(AM878,Table!$A$11:$B$13,2,FALSE))</f>
        <v>0</v>
      </c>
      <c r="AH878" s="22">
        <f t="shared" si="966"/>
        <v>0</v>
      </c>
      <c r="AI878" s="18">
        <f t="shared" si="959"/>
        <v>2.68</v>
      </c>
      <c r="AJ878" s="18">
        <f t="shared" si="960"/>
        <v>3.51</v>
      </c>
      <c r="AK878" t="str">
        <f t="shared" si="945"/>
        <v>Falling Rates</v>
      </c>
      <c r="AL878">
        <f t="shared" si="956"/>
        <v>8</v>
      </c>
      <c r="AM878" s="11" t="str">
        <f t="shared" si="946"/>
        <v>Cash</v>
      </c>
      <c r="AN878" t="str">
        <f t="shared" si="952"/>
        <v>Sell</v>
      </c>
      <c r="AO878" s="13">
        <f t="shared" si="953"/>
        <v>3.0499999999999999E-2</v>
      </c>
      <c r="AP878" s="13">
        <f t="shared" si="954"/>
        <v>4.0000000000000002E-4</v>
      </c>
      <c r="AQ878" s="13">
        <f t="shared" si="955"/>
        <v>4.0000000000000002E-4</v>
      </c>
      <c r="AR878" s="13">
        <f t="shared" si="947"/>
        <v>4.0000000000000002E-4</v>
      </c>
      <c r="AS878" s="6">
        <f t="shared" si="939"/>
        <v>270.73963659420872</v>
      </c>
      <c r="AT878" s="6">
        <f t="shared" si="940"/>
        <v>155.47214917534805</v>
      </c>
      <c r="AU878" s="6">
        <f t="shared" si="941"/>
        <v>308.12413283022789</v>
      </c>
      <c r="AV878" s="6">
        <f t="shared" si="942"/>
        <v>391.69902932159738</v>
      </c>
      <c r="AW878" s="58">
        <f t="shared" si="948"/>
        <v>2001</v>
      </c>
      <c r="AX878" s="58">
        <f>COUNTIF(AW$3:AW878,AW878)</f>
        <v>9</v>
      </c>
    </row>
    <row r="879" spans="1:50" x14ac:dyDescent="0.25">
      <c r="A879" s="5">
        <v>37192</v>
      </c>
      <c r="B879">
        <v>1104.6099999999999</v>
      </c>
      <c r="C879">
        <v>2.13</v>
      </c>
      <c r="D879" s="6">
        <v>28.42</v>
      </c>
      <c r="E879" s="18">
        <f t="shared" si="961"/>
        <v>32.6</v>
      </c>
      <c r="F879">
        <f t="shared" si="962"/>
        <v>-2</v>
      </c>
      <c r="G879" s="18">
        <f>ROUND(INDEX(Valuation!U:U,MATCH(A879,Valuation!A:A,0)),2)</f>
        <v>56.86</v>
      </c>
      <c r="H879">
        <f t="shared" si="969"/>
        <v>-1</v>
      </c>
      <c r="I879" s="18">
        <f>INDEX(WeeklyIndicators!Y:Y,MATCH(A879,WeeklyIndicators!A:A,0))</f>
        <v>1.46</v>
      </c>
      <c r="J879">
        <f t="shared" si="958"/>
        <v>-3</v>
      </c>
      <c r="K879">
        <f>ROUND(INDEX(Economic!AF:AF,MATCH(EOMONTH($A879,-1),Economic!A:A,0)),2)</f>
        <v>57.53</v>
      </c>
      <c r="L879" s="11">
        <f t="shared" si="967"/>
        <v>-2</v>
      </c>
      <c r="M879">
        <f>ROUND(INDEX(Manufacturing!P:P,MATCH(EOMONTH($A879,-1),Manufacturing!A:A,0)),2)</f>
        <v>70.14</v>
      </c>
      <c r="N879">
        <f t="shared" si="963"/>
        <v>-2</v>
      </c>
      <c r="O879">
        <f>ROUND(INDEX(Housing!AC:AC,MATCH(EOMONTH($A879,-1),Housing!B:B,0)),2)</f>
        <v>125.81</v>
      </c>
      <c r="P879">
        <f t="shared" si="964"/>
        <v>1</v>
      </c>
      <c r="Q879">
        <f>ROUND(INDEX(Spending!AJ:AJ,MATCH(EOMONTH($A879,-1),Spending!B:B,0)),2)</f>
        <v>42.59</v>
      </c>
      <c r="R879">
        <f t="shared" si="968"/>
        <v>0</v>
      </c>
      <c r="S879">
        <f>ROUND(INDEX(Employment!V:V,MATCH(EOMONTH($A879,-1),Employment!A:A,0)),2)</f>
        <v>84.17</v>
      </c>
      <c r="T879" s="11">
        <f t="shared" si="965"/>
        <v>-3</v>
      </c>
      <c r="U879">
        <f t="shared" si="957"/>
        <v>8</v>
      </c>
      <c r="V879">
        <f t="shared" si="949"/>
        <v>43.07</v>
      </c>
      <c r="W879" s="13">
        <f t="shared" si="950"/>
        <v>-2.47E-2</v>
      </c>
      <c r="X879" s="13">
        <f t="shared" si="951"/>
        <v>-0.15670000000000001</v>
      </c>
      <c r="Y879">
        <f t="shared" si="943"/>
        <v>32.36</v>
      </c>
      <c r="Z879" s="13">
        <f t="shared" si="938"/>
        <v>-2.8400000000000002E-2</v>
      </c>
      <c r="AA879" s="13">
        <f t="shared" si="934"/>
        <v>-0.20780000000000004</v>
      </c>
      <c r="AB879" s="6">
        <f t="shared" si="944"/>
        <v>16.495999999999999</v>
      </c>
      <c r="AC879">
        <f t="shared" si="936"/>
        <v>8</v>
      </c>
      <c r="AD879" s="11">
        <f t="shared" si="937"/>
        <v>-2</v>
      </c>
      <c r="AE879">
        <f t="shared" si="935"/>
        <v>8</v>
      </c>
      <c r="AF879">
        <f>IF(AND(AE879&lt;15,OR(AC879&gt;=30,AA879&gt;0.15,X879&gt;=0.15)),2,VLOOKUP(AE879,Table!P:Q,2,FALSE))</f>
        <v>1</v>
      </c>
      <c r="AG879" s="22">
        <f>IF((AB879*0.98)-(D879*0.8)+((AF879-3)*3)+VLOOKUP(AM879,Table!$A$11:$B$13,2,FALSE)&lt;0,0,(AB879*0.98)-(D879*0.8)+((AF879-3)*3)+VLOOKUP(AM879,Table!$A$11:$B$13,2,FALSE))</f>
        <v>0</v>
      </c>
      <c r="AH879" s="22">
        <f t="shared" si="966"/>
        <v>0</v>
      </c>
      <c r="AI879" s="18">
        <f t="shared" si="959"/>
        <v>2.79</v>
      </c>
      <c r="AJ879" s="18">
        <f t="shared" si="960"/>
        <v>3.59</v>
      </c>
      <c r="AK879" t="str">
        <f t="shared" si="945"/>
        <v>Falling Rates</v>
      </c>
      <c r="AL879">
        <f t="shared" si="956"/>
        <v>7.75</v>
      </c>
      <c r="AM879" s="11" t="str">
        <f t="shared" si="946"/>
        <v>Cash</v>
      </c>
      <c r="AN879" t="str">
        <f t="shared" si="952"/>
        <v>Sell</v>
      </c>
      <c r="AO879" s="13">
        <f t="shared" si="953"/>
        <v>-1.5800000000000002E-2</v>
      </c>
      <c r="AP879" s="13">
        <f t="shared" si="954"/>
        <v>4.0000000000000002E-4</v>
      </c>
      <c r="AQ879" s="13">
        <f t="shared" si="955"/>
        <v>4.0000000000000002E-4</v>
      </c>
      <c r="AR879" s="13">
        <f t="shared" si="947"/>
        <v>4.0000000000000002E-4</v>
      </c>
      <c r="AS879" s="6">
        <f t="shared" si="939"/>
        <v>275.08599532026898</v>
      </c>
      <c r="AT879" s="6">
        <f t="shared" si="940"/>
        <v>155.40998518127554</v>
      </c>
      <c r="AU879" s="6">
        <f t="shared" si="941"/>
        <v>308.00093245724503</v>
      </c>
      <c r="AV879" s="6">
        <f t="shared" si="942"/>
        <v>391.54241235665472</v>
      </c>
      <c r="AW879" s="58">
        <f t="shared" si="948"/>
        <v>2001</v>
      </c>
      <c r="AX879" s="58">
        <f>COUNTIF(AW$3:AW879,AW879)</f>
        <v>10</v>
      </c>
    </row>
    <row r="880" spans="1:50" x14ac:dyDescent="0.25">
      <c r="A880" s="5">
        <v>37185</v>
      </c>
      <c r="B880">
        <v>1073.48</v>
      </c>
      <c r="C880">
        <v>2.17</v>
      </c>
      <c r="D880" s="6">
        <v>34.110000999999997</v>
      </c>
      <c r="E880" s="18">
        <f t="shared" si="961"/>
        <v>34.26</v>
      </c>
      <c r="F880">
        <f t="shared" si="962"/>
        <v>-2</v>
      </c>
      <c r="G880" s="18">
        <f>ROUND(INDEX(Valuation!U:U,MATCH(A880,Valuation!A:A,0)),2)</f>
        <v>58.37</v>
      </c>
      <c r="H880">
        <f t="shared" si="969"/>
        <v>-1</v>
      </c>
      <c r="I880" s="18">
        <f>INDEX(WeeklyIndicators!Y:Y,MATCH(A880,WeeklyIndicators!A:A,0))</f>
        <v>7.31</v>
      </c>
      <c r="J880">
        <f t="shared" si="958"/>
        <v>-3</v>
      </c>
      <c r="K880">
        <f>ROUND(INDEX(Economic!AF:AF,MATCH(EOMONTH($A880,-1),Economic!A:A,0)),2)</f>
        <v>57.53</v>
      </c>
      <c r="L880" s="11">
        <f t="shared" si="967"/>
        <v>-2</v>
      </c>
      <c r="M880">
        <f>ROUND(INDEX(Manufacturing!P:P,MATCH(EOMONTH($A880,-1),Manufacturing!A:A,0)),2)</f>
        <v>70.14</v>
      </c>
      <c r="N880">
        <f t="shared" si="963"/>
        <v>-2</v>
      </c>
      <c r="O880">
        <f>ROUND(INDEX(Housing!AC:AC,MATCH(EOMONTH($A880,-1),Housing!B:B,0)),2)</f>
        <v>125.81</v>
      </c>
      <c r="P880">
        <f t="shared" si="964"/>
        <v>1</v>
      </c>
      <c r="Q880">
        <f>ROUND(INDEX(Spending!AJ:AJ,MATCH(EOMONTH($A880,-1),Spending!B:B,0)),2)</f>
        <v>42.59</v>
      </c>
      <c r="R880">
        <f t="shared" si="968"/>
        <v>0</v>
      </c>
      <c r="S880">
        <f>ROUND(INDEX(Employment!V:V,MATCH(EOMONTH($A880,-1),Employment!A:A,0)),2)</f>
        <v>84.17</v>
      </c>
      <c r="T880" s="11">
        <f t="shared" si="965"/>
        <v>-3</v>
      </c>
      <c r="U880">
        <f t="shared" si="957"/>
        <v>8</v>
      </c>
      <c r="V880">
        <f t="shared" si="949"/>
        <v>43.67</v>
      </c>
      <c r="W880" s="13">
        <f t="shared" si="950"/>
        <v>-4.2000000000000003E-2</v>
      </c>
      <c r="X880" s="13">
        <f t="shared" si="951"/>
        <v>-0.15890000000000001</v>
      </c>
      <c r="Y880">
        <f t="shared" si="943"/>
        <v>32.549999999999997</v>
      </c>
      <c r="Z880" s="13">
        <f t="shared" si="938"/>
        <v>-5.2900000000000003E-2</v>
      </c>
      <c r="AA880" s="13">
        <f t="shared" si="934"/>
        <v>-0.2291</v>
      </c>
      <c r="AB880" s="6">
        <f t="shared" si="944"/>
        <v>15.407</v>
      </c>
      <c r="AC880">
        <f t="shared" si="936"/>
        <v>8</v>
      </c>
      <c r="AD880" s="11">
        <f t="shared" si="937"/>
        <v>-2</v>
      </c>
      <c r="AE880">
        <f t="shared" si="935"/>
        <v>8</v>
      </c>
      <c r="AF880">
        <f>IF(AND(AE880&lt;15,OR(AC880&gt;=30,AA880&gt;0.15,X880&gt;=0.15)),2,VLOOKUP(AE880,Table!P:Q,2,FALSE))</f>
        <v>1</v>
      </c>
      <c r="AG880" s="22">
        <f>IF((AB880*0.98)-(D880*0.8)+((AF880-3)*3)+VLOOKUP(AM880,Table!$A$11:$B$13,2,FALSE)&lt;0,0,(AB880*0.98)-(D880*0.8)+((AF880-3)*3)+VLOOKUP(AM880,Table!$A$11:$B$13,2,FALSE))</f>
        <v>0</v>
      </c>
      <c r="AH880" s="22">
        <f t="shared" si="966"/>
        <v>0</v>
      </c>
      <c r="AI880" s="18">
        <f t="shared" si="959"/>
        <v>2.9</v>
      </c>
      <c r="AJ880" s="18">
        <f t="shared" si="960"/>
        <v>3.66</v>
      </c>
      <c r="AK880" t="str">
        <f t="shared" si="945"/>
        <v>Falling Rates</v>
      </c>
      <c r="AL880">
        <f t="shared" si="956"/>
        <v>7.75</v>
      </c>
      <c r="AM880" s="11" t="str">
        <f t="shared" si="946"/>
        <v>Cash</v>
      </c>
      <c r="AN880" t="str">
        <f t="shared" si="952"/>
        <v>Sell</v>
      </c>
      <c r="AO880" s="13">
        <f t="shared" si="953"/>
        <v>2.9000000000000001E-2</v>
      </c>
      <c r="AP880" s="13">
        <f t="shared" si="954"/>
        <v>4.0000000000000002E-4</v>
      </c>
      <c r="AQ880" s="13">
        <f t="shared" si="955"/>
        <v>4.0000000000000002E-4</v>
      </c>
      <c r="AR880" s="13">
        <f t="shared" si="947"/>
        <v>4.0000000000000002E-4</v>
      </c>
      <c r="AS880" s="6">
        <f t="shared" si="939"/>
        <v>267.33332878548981</v>
      </c>
      <c r="AT880" s="6">
        <f t="shared" si="940"/>
        <v>155.34784604285841</v>
      </c>
      <c r="AU880" s="6">
        <f t="shared" si="941"/>
        <v>307.87778134470716</v>
      </c>
      <c r="AV880" s="6">
        <f t="shared" si="942"/>
        <v>391.38585801344936</v>
      </c>
      <c r="AW880" s="58">
        <f t="shared" si="948"/>
        <v>2001</v>
      </c>
      <c r="AX880" s="58">
        <f>COUNTIF(AW$3:AW880,AW880)</f>
        <v>11</v>
      </c>
    </row>
    <row r="881" spans="1:50" x14ac:dyDescent="0.25">
      <c r="A881" s="5">
        <v>37178</v>
      </c>
      <c r="B881">
        <v>1091.6500000000001</v>
      </c>
      <c r="C881">
        <v>2.2000000000000002</v>
      </c>
      <c r="D881" s="6">
        <v>35.270000000000003</v>
      </c>
      <c r="E881" s="18">
        <f t="shared" si="961"/>
        <v>33.53</v>
      </c>
      <c r="F881">
        <f t="shared" si="962"/>
        <v>-2</v>
      </c>
      <c r="G881" s="18">
        <f>ROUND(INDEX(Valuation!U:U,MATCH(A881,Valuation!A:A,0)),2)</f>
        <v>60</v>
      </c>
      <c r="H881">
        <f t="shared" si="969"/>
        <v>-1</v>
      </c>
      <c r="I881" s="18">
        <f>INDEX(WeeklyIndicators!Y:Y,MATCH(A881,WeeklyIndicators!A:A,0))</f>
        <v>18.399999999999999</v>
      </c>
      <c r="J881">
        <f t="shared" si="958"/>
        <v>-3</v>
      </c>
      <c r="K881">
        <f>ROUND(INDEX(Economic!AF:AF,MATCH(EOMONTH($A881,-1),Economic!A:A,0)),2)</f>
        <v>57.53</v>
      </c>
      <c r="L881" s="11">
        <f t="shared" si="967"/>
        <v>-2</v>
      </c>
      <c r="M881">
        <f>ROUND(INDEX(Manufacturing!P:P,MATCH(EOMONTH($A881,-1),Manufacturing!A:A,0)),2)</f>
        <v>70.14</v>
      </c>
      <c r="N881">
        <f t="shared" si="963"/>
        <v>-2</v>
      </c>
      <c r="O881">
        <f>ROUND(INDEX(Housing!AC:AC,MATCH(EOMONTH($A881,-1),Housing!B:B,0)),2)</f>
        <v>125.81</v>
      </c>
      <c r="P881">
        <f t="shared" si="964"/>
        <v>1</v>
      </c>
      <c r="Q881">
        <f>ROUND(INDEX(Spending!AJ:AJ,MATCH(EOMONTH($A881,-1),Spending!B:B,0)),2)</f>
        <v>42.59</v>
      </c>
      <c r="R881">
        <f t="shared" si="968"/>
        <v>0</v>
      </c>
      <c r="S881">
        <f>ROUND(INDEX(Employment!V:V,MATCH(EOMONTH($A881,-1),Employment!A:A,0)),2)</f>
        <v>84.17</v>
      </c>
      <c r="T881" s="11">
        <f t="shared" si="965"/>
        <v>-3</v>
      </c>
      <c r="U881">
        <f t="shared" si="957"/>
        <v>8</v>
      </c>
      <c r="V881">
        <f t="shared" si="949"/>
        <v>44.82</v>
      </c>
      <c r="W881" s="13">
        <f t="shared" si="950"/>
        <v>-4.6899999999999997E-2</v>
      </c>
      <c r="X881" s="13">
        <f t="shared" si="951"/>
        <v>-0.13170000000000001</v>
      </c>
      <c r="Y881">
        <f t="shared" si="943"/>
        <v>34.14</v>
      </c>
      <c r="Z881" s="13">
        <f t="shared" si="938"/>
        <v>-5.7599999999999998E-2</v>
      </c>
      <c r="AA881" s="13">
        <f t="shared" si="934"/>
        <v>-0.2069</v>
      </c>
      <c r="AB881" s="6">
        <f t="shared" si="944"/>
        <v>18.95</v>
      </c>
      <c r="AC881">
        <f t="shared" si="936"/>
        <v>9</v>
      </c>
      <c r="AD881" s="11">
        <f t="shared" si="937"/>
        <v>-2</v>
      </c>
      <c r="AE881">
        <f t="shared" si="935"/>
        <v>8</v>
      </c>
      <c r="AF881">
        <f>IF(AND(AE881&lt;15,OR(AC881&gt;=30,AA881&gt;0.15,X881&gt;=0.15)),2,VLOOKUP(AE881,Table!P:Q,2,FALSE))</f>
        <v>1</v>
      </c>
      <c r="AG881" s="22">
        <f>IF((AB881*0.98)-(D881*0.8)+((AF881-3)*3)+VLOOKUP(AM881,Table!$A$11:$B$13,2,FALSE)&lt;0,0,(AB881*0.98)-(D881*0.8)+((AF881-3)*3)+VLOOKUP(AM881,Table!$A$11:$B$13,2,FALSE))</f>
        <v>0</v>
      </c>
      <c r="AH881" s="22">
        <f t="shared" si="966"/>
        <v>0</v>
      </c>
      <c r="AI881" s="18">
        <f t="shared" si="959"/>
        <v>3</v>
      </c>
      <c r="AJ881" s="18">
        <f t="shared" si="960"/>
        <v>3.74</v>
      </c>
      <c r="AK881" t="str">
        <f t="shared" si="945"/>
        <v>Falling Rates</v>
      </c>
      <c r="AL881">
        <f t="shared" si="956"/>
        <v>8.25</v>
      </c>
      <c r="AM881" s="11" t="str">
        <f t="shared" si="946"/>
        <v>Cash</v>
      </c>
      <c r="AN881" t="str">
        <f t="shared" si="952"/>
        <v>Sell</v>
      </c>
      <c r="AO881" s="13">
        <f t="shared" si="953"/>
        <v>-1.66E-2</v>
      </c>
      <c r="AP881" s="13">
        <f t="shared" si="954"/>
        <v>4.0000000000000002E-4</v>
      </c>
      <c r="AQ881" s="13">
        <f t="shared" si="955"/>
        <v>4.0000000000000002E-4</v>
      </c>
      <c r="AR881" s="13">
        <f t="shared" si="947"/>
        <v>4.0000000000000002E-4</v>
      </c>
      <c r="AS881" s="6">
        <f t="shared" si="939"/>
        <v>271.84597191935103</v>
      </c>
      <c r="AT881" s="6">
        <f t="shared" si="940"/>
        <v>155.28573175015836</v>
      </c>
      <c r="AU881" s="6">
        <f t="shared" si="941"/>
        <v>307.75467947291799</v>
      </c>
      <c r="AV881" s="6">
        <f t="shared" si="942"/>
        <v>391.22936626694258</v>
      </c>
      <c r="AW881" s="58">
        <f t="shared" si="948"/>
        <v>2001</v>
      </c>
      <c r="AX881" s="58">
        <f>COUNTIF(AW$3:AW881,AW881)</f>
        <v>12</v>
      </c>
    </row>
    <row r="882" spans="1:50" x14ac:dyDescent="0.25">
      <c r="A882" s="5">
        <v>37171</v>
      </c>
      <c r="B882">
        <v>1071.3800000000001</v>
      </c>
      <c r="C882">
        <v>2.21</v>
      </c>
      <c r="D882" s="6">
        <v>33.389999000000003</v>
      </c>
      <c r="E882" s="18">
        <f t="shared" si="961"/>
        <v>35.99</v>
      </c>
      <c r="F882">
        <f t="shared" si="962"/>
        <v>-3</v>
      </c>
      <c r="G882" s="18">
        <f>ROUND(INDEX(Valuation!U:U,MATCH(A882,Valuation!A:A,0)),2)</f>
        <v>63.63</v>
      </c>
      <c r="H882">
        <f t="shared" si="969"/>
        <v>-1</v>
      </c>
      <c r="I882" s="18">
        <f>INDEX(WeeklyIndicators!Y:Y,MATCH(A882,WeeklyIndicators!A:A,0))</f>
        <v>33.6</v>
      </c>
      <c r="J882">
        <f t="shared" si="958"/>
        <v>-3</v>
      </c>
      <c r="K882">
        <f>ROUND(INDEX(Economic!AF:AF,MATCH(EOMONTH($A882,-1),Economic!A:A,0)),2)</f>
        <v>57.53</v>
      </c>
      <c r="L882" s="11">
        <f t="shared" si="967"/>
        <v>-2</v>
      </c>
      <c r="M882">
        <f>ROUND(INDEX(Manufacturing!P:P,MATCH(EOMONTH($A882,-1),Manufacturing!A:A,0)),2)</f>
        <v>70.14</v>
      </c>
      <c r="N882">
        <f t="shared" si="963"/>
        <v>-2</v>
      </c>
      <c r="O882">
        <f>ROUND(INDEX(Housing!AC:AC,MATCH(EOMONTH($A882,-1),Housing!B:B,0)),2)</f>
        <v>125.81</v>
      </c>
      <c r="P882">
        <f t="shared" si="964"/>
        <v>1</v>
      </c>
      <c r="Q882">
        <f>ROUND(INDEX(Spending!AJ:AJ,MATCH(EOMONTH($A882,-1),Spending!B:B,0)),2)</f>
        <v>42.59</v>
      </c>
      <c r="R882">
        <f t="shared" si="968"/>
        <v>0</v>
      </c>
      <c r="S882">
        <f>ROUND(INDEX(Employment!V:V,MATCH(EOMONTH($A882,-1),Employment!A:A,0)),2)</f>
        <v>84.17</v>
      </c>
      <c r="T882" s="11">
        <f t="shared" si="965"/>
        <v>-3</v>
      </c>
      <c r="U882">
        <f t="shared" si="957"/>
        <v>7</v>
      </c>
      <c r="V882">
        <f t="shared" si="949"/>
        <v>46.4</v>
      </c>
      <c r="W882" s="13">
        <f t="shared" si="950"/>
        <v>-4.3099999999999999E-2</v>
      </c>
      <c r="X882" s="13">
        <f t="shared" si="951"/>
        <v>-8.9400000000000007E-2</v>
      </c>
      <c r="Y882">
        <f t="shared" si="943"/>
        <v>35.26</v>
      </c>
      <c r="Z882" s="13">
        <f t="shared" si="938"/>
        <v>-6.8900000000000003E-2</v>
      </c>
      <c r="AA882" s="13">
        <f t="shared" si="934"/>
        <v>-0.15120000000000003</v>
      </c>
      <c r="AB882" s="6">
        <f t="shared" si="944"/>
        <v>24.643000000000001</v>
      </c>
      <c r="AC882">
        <f t="shared" si="936"/>
        <v>12</v>
      </c>
      <c r="AD882" s="11">
        <f t="shared" si="937"/>
        <v>-2</v>
      </c>
      <c r="AE882">
        <f t="shared" si="935"/>
        <v>7</v>
      </c>
      <c r="AF882">
        <f>IF(AND(AE882&lt;15,OR(AC882&gt;=30,AA882&gt;0.15,X882&gt;=0.15)),2,VLOOKUP(AE882,Table!P:Q,2,FALSE))</f>
        <v>1</v>
      </c>
      <c r="AG882" s="22">
        <f>IF((AB882*0.98)-(D882*0.8)+((AF882-3)*3)+VLOOKUP(AM882,Table!$A$11:$B$13,2,FALSE)&lt;0,0,(AB882*0.98)-(D882*0.8)+((AF882-3)*3)+VLOOKUP(AM882,Table!$A$11:$B$13,2,FALSE))</f>
        <v>0</v>
      </c>
      <c r="AH882" s="22">
        <f t="shared" si="966"/>
        <v>0</v>
      </c>
      <c r="AI882" s="18">
        <f t="shared" si="959"/>
        <v>3.1</v>
      </c>
      <c r="AJ882" s="18">
        <f t="shared" si="960"/>
        <v>3.82</v>
      </c>
      <c r="AK882" t="str">
        <f t="shared" si="945"/>
        <v>Falling Rates</v>
      </c>
      <c r="AL882">
        <f t="shared" si="956"/>
        <v>8.5</v>
      </c>
      <c r="AM882" s="11" t="str">
        <f t="shared" si="946"/>
        <v>Cash</v>
      </c>
      <c r="AN882" t="str">
        <f t="shared" si="952"/>
        <v>Sell</v>
      </c>
      <c r="AO882" s="13">
        <f t="shared" si="953"/>
        <v>1.89E-2</v>
      </c>
      <c r="AP882" s="13">
        <f t="shared" si="954"/>
        <v>4.0000000000000002E-4</v>
      </c>
      <c r="AQ882" s="13">
        <f t="shared" si="955"/>
        <v>4.0000000000000002E-4</v>
      </c>
      <c r="AR882" s="13">
        <f t="shared" si="947"/>
        <v>4.0000000000000002E-4</v>
      </c>
      <c r="AS882" s="6">
        <f t="shared" si="939"/>
        <v>266.80338788826288</v>
      </c>
      <c r="AT882" s="6">
        <f t="shared" si="940"/>
        <v>155.22364229324108</v>
      </c>
      <c r="AU882" s="6">
        <f t="shared" si="941"/>
        <v>307.63162682218911</v>
      </c>
      <c r="AV882" s="6">
        <f t="shared" si="942"/>
        <v>391.07293709210575</v>
      </c>
      <c r="AW882" s="58">
        <f t="shared" si="948"/>
        <v>2001</v>
      </c>
      <c r="AX882" s="58">
        <f>COUNTIF(AW$3:AW882,AW882)</f>
        <v>13</v>
      </c>
    </row>
    <row r="883" spans="1:50" x14ac:dyDescent="0.25">
      <c r="A883" s="5">
        <v>37164</v>
      </c>
      <c r="B883">
        <v>1040.94</v>
      </c>
      <c r="C883">
        <v>2.34</v>
      </c>
      <c r="D883" s="6">
        <v>31.93</v>
      </c>
      <c r="E883" s="18">
        <f t="shared" si="961"/>
        <v>35.19</v>
      </c>
      <c r="F883">
        <f t="shared" si="962"/>
        <v>-3</v>
      </c>
      <c r="G883" s="18">
        <f>ROUND(INDEX(Valuation!U:U,MATCH(A883,Valuation!A:A,0)),2)</f>
        <v>59.34</v>
      </c>
      <c r="H883">
        <f t="shared" si="969"/>
        <v>-1</v>
      </c>
      <c r="I883" s="18">
        <f>INDEX(WeeklyIndicators!Y:Y,MATCH(A883,WeeklyIndicators!A:A,0))</f>
        <v>53.13</v>
      </c>
      <c r="J883">
        <f t="shared" si="958"/>
        <v>-3</v>
      </c>
      <c r="K883">
        <f>ROUND(INDEX(Economic!AF:AF,MATCH(EOMONTH($A883,-1),Economic!A:A,0)),2)</f>
        <v>60.89</v>
      </c>
      <c r="L883" s="11">
        <f t="shared" si="967"/>
        <v>-2</v>
      </c>
      <c r="M883">
        <f>ROUND(INDEX(Manufacturing!P:P,MATCH(EOMONTH($A883,-1),Manufacturing!A:A,0)),2)</f>
        <v>69.56</v>
      </c>
      <c r="N883">
        <f t="shared" si="963"/>
        <v>-2</v>
      </c>
      <c r="O883">
        <f>ROUND(INDEX(Housing!AC:AC,MATCH(EOMONTH($A883,-1),Housing!B:B,0)),2)</f>
        <v>131.74</v>
      </c>
      <c r="P883">
        <f t="shared" si="964"/>
        <v>2</v>
      </c>
      <c r="Q883">
        <f>ROUND(INDEX(Spending!AJ:AJ,MATCH(EOMONTH($A883,-1),Spending!B:B,0)),2)</f>
        <v>38.92</v>
      </c>
      <c r="R883">
        <f t="shared" si="968"/>
        <v>-1</v>
      </c>
      <c r="S883">
        <f>ROUND(INDEX(Employment!V:V,MATCH(EOMONTH($A883,-1),Employment!A:A,0)),2)</f>
        <v>92.11</v>
      </c>
      <c r="T883" s="11">
        <f t="shared" si="965"/>
        <v>-3</v>
      </c>
      <c r="U883">
        <f t="shared" si="957"/>
        <v>7</v>
      </c>
      <c r="V883">
        <f t="shared" si="949"/>
        <v>49.58</v>
      </c>
      <c r="W883" s="13">
        <f t="shared" si="950"/>
        <v>-2.69E-2</v>
      </c>
      <c r="X883" s="13">
        <f t="shared" si="951"/>
        <v>-4.5900000000000003E-2</v>
      </c>
      <c r="Y883">
        <f t="shared" si="943"/>
        <v>38.25</v>
      </c>
      <c r="Z883" s="13">
        <f t="shared" si="938"/>
        <v>-4.9700000000000001E-2</v>
      </c>
      <c r="AA883" s="13">
        <f t="shared" ref="AA883:AA946" si="970">SUM(Z883:Z886)</f>
        <v>-7.6299999999999993E-2</v>
      </c>
      <c r="AB883" s="6">
        <f t="shared" si="944"/>
        <v>32.763999999999996</v>
      </c>
      <c r="AC883">
        <f t="shared" si="936"/>
        <v>16</v>
      </c>
      <c r="AD883" s="11">
        <f t="shared" si="937"/>
        <v>-1</v>
      </c>
      <c r="AE883">
        <f t="shared" si="935"/>
        <v>8</v>
      </c>
      <c r="AF883">
        <f>IF(AND(AE883&lt;15,OR(AC883&gt;=30,AA883&gt;0.15,X883&gt;=0.15)),2,VLOOKUP(AE883,Table!P:Q,2,FALSE))</f>
        <v>1</v>
      </c>
      <c r="AG883" s="22">
        <f>IF((AB883*0.98)-(D883*0.8)+((AF883-3)*3)+VLOOKUP(AM883,Table!$A$11:$B$13,2,FALSE)&lt;0,0,(AB883*0.98)-(D883*0.8)+((AF883-3)*3)+VLOOKUP(AM883,Table!$A$11:$B$13,2,FALSE))</f>
        <v>0</v>
      </c>
      <c r="AH883" s="22">
        <f t="shared" si="966"/>
        <v>0</v>
      </c>
      <c r="AI883" s="18">
        <f t="shared" si="959"/>
        <v>3.21</v>
      </c>
      <c r="AJ883" s="18">
        <f t="shared" si="960"/>
        <v>3.9</v>
      </c>
      <c r="AK883" t="str">
        <f t="shared" si="945"/>
        <v>Falling Rates</v>
      </c>
      <c r="AL883">
        <f t="shared" si="956"/>
        <v>9.25</v>
      </c>
      <c r="AM883" s="11" t="str">
        <f t="shared" si="946"/>
        <v>Cash</v>
      </c>
      <c r="AN883" t="str">
        <f t="shared" si="952"/>
        <v>Sell</v>
      </c>
      <c r="AO883" s="13">
        <f t="shared" si="953"/>
        <v>2.92E-2</v>
      </c>
      <c r="AP883" s="13">
        <f t="shared" si="954"/>
        <v>5.0000000000000001E-4</v>
      </c>
      <c r="AQ883" s="13">
        <f t="shared" si="955"/>
        <v>5.0000000000000001E-4</v>
      </c>
      <c r="AR883" s="13">
        <f t="shared" si="947"/>
        <v>5.0000000000000001E-4</v>
      </c>
      <c r="AS883" s="6">
        <f t="shared" si="939"/>
        <v>259.23376203678868</v>
      </c>
      <c r="AT883" s="6">
        <f t="shared" si="940"/>
        <v>155.14606925861179</v>
      </c>
      <c r="AU883" s="6">
        <f t="shared" si="941"/>
        <v>307.47788787824999</v>
      </c>
      <c r="AV883" s="6">
        <f t="shared" si="942"/>
        <v>390.8774983429343</v>
      </c>
      <c r="AW883" s="58">
        <f t="shared" si="948"/>
        <v>2001</v>
      </c>
      <c r="AX883" s="58">
        <f>COUNTIF(AW$3:AW883,AW883)</f>
        <v>14</v>
      </c>
    </row>
    <row r="884" spans="1:50" x14ac:dyDescent="0.25">
      <c r="A884" s="5">
        <v>37157</v>
      </c>
      <c r="B884">
        <v>965.8</v>
      </c>
      <c r="C884">
        <v>2.2999999999999998</v>
      </c>
      <c r="D884" s="6">
        <v>42.66</v>
      </c>
      <c r="E884" s="18">
        <f t="shared" si="961"/>
        <v>32.86</v>
      </c>
      <c r="F884">
        <f t="shared" si="962"/>
        <v>-2</v>
      </c>
      <c r="G884" s="18">
        <f>ROUND(INDEX(Valuation!U:U,MATCH(A884,Valuation!A:A,0)),2)</f>
        <v>54.77</v>
      </c>
      <c r="H884">
        <f t="shared" si="969"/>
        <v>-1</v>
      </c>
      <c r="I884" s="18">
        <f>INDEX(WeeklyIndicators!Y:Y,MATCH(A884,WeeklyIndicators!A:A,0))</f>
        <v>74.02</v>
      </c>
      <c r="J884">
        <f t="shared" si="958"/>
        <v>-2</v>
      </c>
      <c r="K884">
        <f>ROUND(INDEX(Economic!AF:AF,MATCH(EOMONTH($A884,-1),Economic!A:A,0)),2)</f>
        <v>60.89</v>
      </c>
      <c r="L884" s="11">
        <f t="shared" si="967"/>
        <v>-2</v>
      </c>
      <c r="M884">
        <f>ROUND(INDEX(Manufacturing!P:P,MATCH(EOMONTH($A884,-1),Manufacturing!A:A,0)),2)</f>
        <v>69.56</v>
      </c>
      <c r="N884">
        <f t="shared" si="963"/>
        <v>-2</v>
      </c>
      <c r="O884">
        <f>ROUND(INDEX(Housing!AC:AC,MATCH(EOMONTH($A884,-1),Housing!B:B,0)),2)</f>
        <v>131.74</v>
      </c>
      <c r="P884">
        <f t="shared" si="964"/>
        <v>2</v>
      </c>
      <c r="Q884">
        <f>ROUND(INDEX(Spending!AJ:AJ,MATCH(EOMONTH($A884,-1),Spending!B:B,0)),2)</f>
        <v>38.92</v>
      </c>
      <c r="R884">
        <f t="shared" si="968"/>
        <v>-1</v>
      </c>
      <c r="S884">
        <f>ROUND(INDEX(Employment!V:V,MATCH(EOMONTH($A884,-1),Employment!A:A,0)),2)</f>
        <v>92.11</v>
      </c>
      <c r="T884" s="11">
        <f t="shared" si="965"/>
        <v>-3</v>
      </c>
      <c r="U884">
        <f t="shared" si="957"/>
        <v>9</v>
      </c>
      <c r="V884">
        <f t="shared" si="949"/>
        <v>51.75</v>
      </c>
      <c r="W884" s="13">
        <f t="shared" si="950"/>
        <v>-1.4800000000000001E-2</v>
      </c>
      <c r="X884" s="13">
        <f t="shared" si="951"/>
        <v>-1.6199999999999999E-2</v>
      </c>
      <c r="Y884">
        <f t="shared" si="943"/>
        <v>40.72</v>
      </c>
      <c r="Z884" s="13">
        <f t="shared" si="938"/>
        <v>-3.0700000000000002E-2</v>
      </c>
      <c r="AA884" s="13">
        <f t="shared" si="970"/>
        <v>-1.3200000000000005E-2</v>
      </c>
      <c r="AB884" s="6">
        <f t="shared" si="944"/>
        <v>39.376999999999995</v>
      </c>
      <c r="AC884">
        <f t="shared" si="936"/>
        <v>20</v>
      </c>
      <c r="AD884" s="11">
        <f t="shared" si="937"/>
        <v>-1</v>
      </c>
      <c r="AE884">
        <f t="shared" si="935"/>
        <v>10</v>
      </c>
      <c r="AF884">
        <f>IF(AND(AE884&lt;15,OR(AC884&gt;=30,AA884&gt;0.15,X884&gt;=0.15)),2,VLOOKUP(AE884,Table!P:Q,2,FALSE))</f>
        <v>1</v>
      </c>
      <c r="AG884" s="22">
        <f>IF((AB884*0.98)-(D884*0.8)+((AF884-3)*3)+VLOOKUP(AM884,Table!$A$11:$B$13,2,FALSE)&lt;0,0,(AB884*0.98)-(D884*0.8)+((AF884-3)*3)+VLOOKUP(AM884,Table!$A$11:$B$13,2,FALSE))</f>
        <v>0</v>
      </c>
      <c r="AH884" s="22">
        <f t="shared" si="966"/>
        <v>1</v>
      </c>
      <c r="AI884" s="18">
        <f t="shared" si="959"/>
        <v>3.29</v>
      </c>
      <c r="AJ884" s="18">
        <f t="shared" si="960"/>
        <v>3.98</v>
      </c>
      <c r="AK884" t="str">
        <f t="shared" si="945"/>
        <v>Falling Rates</v>
      </c>
      <c r="AL884">
        <f t="shared" si="956"/>
        <v>10</v>
      </c>
      <c r="AM884" s="11" t="str">
        <f t="shared" si="946"/>
        <v>Cash</v>
      </c>
      <c r="AN884" t="str">
        <f t="shared" si="952"/>
        <v>Sell</v>
      </c>
      <c r="AO884" s="13">
        <f t="shared" si="953"/>
        <v>7.7799999999999994E-2</v>
      </c>
      <c r="AP884" s="13">
        <f t="shared" si="954"/>
        <v>4.0000000000000002E-4</v>
      </c>
      <c r="AQ884" s="13">
        <f t="shared" si="955"/>
        <v>1.1999999999999999E-3</v>
      </c>
      <c r="AR884" s="13">
        <f t="shared" si="947"/>
        <v>4.0000000000000002E-4</v>
      </c>
      <c r="AS884" s="6">
        <f t="shared" si="939"/>
        <v>240.52121176172633</v>
      </c>
      <c r="AT884" s="6">
        <f t="shared" si="940"/>
        <v>155.08403564435406</v>
      </c>
      <c r="AU884" s="6">
        <f t="shared" si="941"/>
        <v>307.10935665026966</v>
      </c>
      <c r="AV884" s="6">
        <f t="shared" si="942"/>
        <v>390.72120985899073</v>
      </c>
      <c r="AW884" s="58">
        <f t="shared" si="948"/>
        <v>2001</v>
      </c>
      <c r="AX884" s="58">
        <f>COUNTIF(AW$3:AW884,AW884)</f>
        <v>15</v>
      </c>
    </row>
    <row r="885" spans="1:50" x14ac:dyDescent="0.25">
      <c r="A885" s="5">
        <v>37150</v>
      </c>
      <c r="B885">
        <v>1092.54</v>
      </c>
      <c r="C885">
        <v>2.82</v>
      </c>
      <c r="D885" s="6">
        <v>30.99</v>
      </c>
      <c r="E885" s="18">
        <f t="shared" si="961"/>
        <v>25.21</v>
      </c>
      <c r="F885">
        <f t="shared" si="962"/>
        <v>-2</v>
      </c>
      <c r="G885" s="18">
        <f>ROUND(INDEX(Valuation!U:U,MATCH(A885,Valuation!A:A,0)),2)</f>
        <v>45.85</v>
      </c>
      <c r="H885">
        <f t="shared" si="969"/>
        <v>-2</v>
      </c>
      <c r="I885" s="18">
        <f>INDEX(WeeklyIndicators!Y:Y,MATCH(A885,WeeklyIndicators!A:A,0))</f>
        <v>86.66</v>
      </c>
      <c r="J885">
        <f t="shared" si="958"/>
        <v>-2</v>
      </c>
      <c r="K885">
        <f>ROUND(INDEX(Economic!AF:AF,MATCH(EOMONTH($A885,-1),Economic!A:A,0)),2)</f>
        <v>60.89</v>
      </c>
      <c r="L885" s="11">
        <f t="shared" si="967"/>
        <v>-2</v>
      </c>
      <c r="M885">
        <f>ROUND(INDEX(Manufacturing!P:P,MATCH(EOMONTH($A885,-1),Manufacturing!A:A,0)),2)</f>
        <v>69.56</v>
      </c>
      <c r="N885">
        <f t="shared" si="963"/>
        <v>-2</v>
      </c>
      <c r="O885">
        <f>ROUND(INDEX(Housing!AC:AC,MATCH(EOMONTH($A885,-1),Housing!B:B,0)),2)</f>
        <v>131.74</v>
      </c>
      <c r="P885">
        <f t="shared" si="964"/>
        <v>2</v>
      </c>
      <c r="Q885">
        <f>ROUND(INDEX(Spending!AJ:AJ,MATCH(EOMONTH($A885,-1),Spending!B:B,0)),2)</f>
        <v>38.92</v>
      </c>
      <c r="R885">
        <f t="shared" si="968"/>
        <v>-1</v>
      </c>
      <c r="S885">
        <f>ROUND(INDEX(Employment!V:V,MATCH(EOMONTH($A885,-1),Employment!A:A,0)),2)</f>
        <v>92.11</v>
      </c>
      <c r="T885" s="11">
        <f t="shared" si="965"/>
        <v>-3</v>
      </c>
      <c r="U885">
        <f t="shared" si="957"/>
        <v>8</v>
      </c>
      <c r="V885">
        <f t="shared" si="949"/>
        <v>53.06</v>
      </c>
      <c r="W885" s="13">
        <f t="shared" si="950"/>
        <v>-4.5999999999999999E-3</v>
      </c>
      <c r="X885" s="13">
        <f t="shared" si="951"/>
        <v>-2.999999999999997E-4</v>
      </c>
      <c r="Y885">
        <f t="shared" si="943"/>
        <v>43.71</v>
      </c>
      <c r="Z885" s="13">
        <f t="shared" si="938"/>
        <v>-1.9E-3</v>
      </c>
      <c r="AA885" s="13">
        <f t="shared" si="970"/>
        <v>2.8200000000000003E-2</v>
      </c>
      <c r="AB885" s="6">
        <f t="shared" si="944"/>
        <v>44.454999999999998</v>
      </c>
      <c r="AC885">
        <f t="shared" si="936"/>
        <v>22</v>
      </c>
      <c r="AD885" s="11">
        <f t="shared" si="937"/>
        <v>-1</v>
      </c>
      <c r="AE885">
        <f t="shared" si="935"/>
        <v>9</v>
      </c>
      <c r="AF885">
        <f>IF(AND(AE885&lt;15,OR(AC885&gt;=30,AA885&gt;0.15,X885&gt;=0.15)),2,VLOOKUP(AE885,Table!P:Q,2,FALSE))</f>
        <v>1</v>
      </c>
      <c r="AG885" s="22">
        <f>IF((AB885*0.98)-(D885*0.8)+((AF885-3)*3)+VLOOKUP(AM885,Table!$A$11:$B$13,2,FALSE)&lt;0,0,(AB885*0.98)-(D885*0.8)+((AF885-3)*3)+VLOOKUP(AM885,Table!$A$11:$B$13,2,FALSE))</f>
        <v>0</v>
      </c>
      <c r="AH885" s="22">
        <f t="shared" si="966"/>
        <v>3</v>
      </c>
      <c r="AI885" s="18">
        <f t="shared" si="959"/>
        <v>3.38</v>
      </c>
      <c r="AJ885" s="18">
        <f t="shared" si="960"/>
        <v>4.0599999999999996</v>
      </c>
      <c r="AK885" t="str">
        <f t="shared" si="945"/>
        <v>Falling Rates</v>
      </c>
      <c r="AL885">
        <f t="shared" si="956"/>
        <v>10.25</v>
      </c>
      <c r="AM885" s="11" t="str">
        <f t="shared" si="946"/>
        <v>Cash</v>
      </c>
      <c r="AN885" t="str">
        <f t="shared" si="952"/>
        <v>Sell</v>
      </c>
      <c r="AO885" s="13">
        <f t="shared" si="953"/>
        <v>-0.11600000000000001</v>
      </c>
      <c r="AP885" s="13">
        <f t="shared" si="954"/>
        <v>5.0000000000000001E-4</v>
      </c>
      <c r="AQ885" s="13">
        <f t="shared" si="955"/>
        <v>-3.0000000000000001E-3</v>
      </c>
      <c r="AR885" s="13">
        <f t="shared" si="947"/>
        <v>5.0000000000000001E-4</v>
      </c>
      <c r="AS885" s="6">
        <f t="shared" si="939"/>
        <v>272.08281873498453</v>
      </c>
      <c r="AT885" s="6">
        <f t="shared" si="940"/>
        <v>155.00653237816499</v>
      </c>
      <c r="AU885" s="6">
        <f t="shared" si="941"/>
        <v>308.03345702133367</v>
      </c>
      <c r="AV885" s="6">
        <f t="shared" si="942"/>
        <v>390.52594688554797</v>
      </c>
      <c r="AW885" s="58">
        <f t="shared" si="948"/>
        <v>2001</v>
      </c>
      <c r="AX885" s="58">
        <f>COUNTIF(AW$3:AW885,AW885)</f>
        <v>16</v>
      </c>
    </row>
    <row r="886" spans="1:50" x14ac:dyDescent="0.25">
      <c r="A886" s="5">
        <v>37143</v>
      </c>
      <c r="B886">
        <v>1085.78</v>
      </c>
      <c r="C886">
        <v>3.29</v>
      </c>
      <c r="D886" s="6">
        <v>24.92</v>
      </c>
      <c r="E886" s="18">
        <f t="shared" si="961"/>
        <v>22.82</v>
      </c>
      <c r="F886">
        <f t="shared" si="962"/>
        <v>-1</v>
      </c>
      <c r="G886" s="18">
        <f>ROUND(INDEX(Valuation!U:U,MATCH(A886,Valuation!A:A,0)),2)</f>
        <v>39.92</v>
      </c>
      <c r="H886">
        <f t="shared" si="969"/>
        <v>-2</v>
      </c>
      <c r="I886" s="18">
        <f>INDEX(WeeklyIndicators!Y:Y,MATCH(A886,WeeklyIndicators!A:A,0))</f>
        <v>94.14</v>
      </c>
      <c r="J886">
        <f t="shared" si="958"/>
        <v>-2</v>
      </c>
      <c r="K886">
        <f>ROUND(INDEX(Economic!AF:AF,MATCH(EOMONTH($A886,-1),Economic!A:A,0)),2)</f>
        <v>60.89</v>
      </c>
      <c r="L886" s="11">
        <f t="shared" si="967"/>
        <v>-2</v>
      </c>
      <c r="M886">
        <f>ROUND(INDEX(Manufacturing!P:P,MATCH(EOMONTH($A886,-1),Manufacturing!A:A,0)),2)</f>
        <v>69.56</v>
      </c>
      <c r="N886">
        <f t="shared" si="963"/>
        <v>-2</v>
      </c>
      <c r="O886">
        <f>ROUND(INDEX(Housing!AC:AC,MATCH(EOMONTH($A886,-1),Housing!B:B,0)),2)</f>
        <v>131.74</v>
      </c>
      <c r="P886">
        <f t="shared" si="964"/>
        <v>2</v>
      </c>
      <c r="Q886">
        <f>ROUND(INDEX(Spending!AJ:AJ,MATCH(EOMONTH($A886,-1),Spending!B:B,0)),2)</f>
        <v>38.92</v>
      </c>
      <c r="R886">
        <f t="shared" si="968"/>
        <v>-1</v>
      </c>
      <c r="S886">
        <f>ROUND(INDEX(Employment!V:V,MATCH(EOMONTH($A886,-1),Employment!A:A,0)),2)</f>
        <v>92.11</v>
      </c>
      <c r="T886" s="11">
        <f t="shared" si="965"/>
        <v>-3</v>
      </c>
      <c r="U886">
        <f t="shared" si="957"/>
        <v>9</v>
      </c>
      <c r="V886">
        <f t="shared" si="949"/>
        <v>53.84</v>
      </c>
      <c r="W886" s="13">
        <f t="shared" si="950"/>
        <v>4.0000000000000002E-4</v>
      </c>
      <c r="X886" s="13">
        <f t="shared" si="951"/>
        <v>8.4000000000000012E-3</v>
      </c>
      <c r="Y886">
        <f t="shared" si="943"/>
        <v>44.66</v>
      </c>
      <c r="Z886" s="13">
        <f t="shared" si="938"/>
        <v>6.0000000000000001E-3</v>
      </c>
      <c r="AA886" s="13">
        <f t="shared" si="970"/>
        <v>4.6600000000000003E-2</v>
      </c>
      <c r="AB886" s="6">
        <f t="shared" si="944"/>
        <v>46.151999999999994</v>
      </c>
      <c r="AC886">
        <f t="shared" si="936"/>
        <v>23</v>
      </c>
      <c r="AD886" s="11">
        <f t="shared" si="937"/>
        <v>-1</v>
      </c>
      <c r="AE886">
        <f t="shared" si="935"/>
        <v>10</v>
      </c>
      <c r="AF886">
        <f>IF(AND(AE886&lt;15,OR(AC886&gt;=30,AA886&gt;0.15,X886&gt;=0.15)),2,VLOOKUP(AE886,Table!P:Q,2,FALSE))</f>
        <v>1</v>
      </c>
      <c r="AG886" s="22">
        <f>IF((AB886*0.98)-(D886*0.8)+((AF886-3)*3)+VLOOKUP(AM886,Table!$A$11:$B$13,2,FALSE)&lt;0,0,(AB886*0.98)-(D886*0.8)+((AF886-3)*3)+VLOOKUP(AM886,Table!$A$11:$B$13,2,FALSE))</f>
        <v>3.2929599999999901</v>
      </c>
      <c r="AH886" s="22">
        <f t="shared" si="966"/>
        <v>4</v>
      </c>
      <c r="AI886" s="18">
        <f t="shared" si="959"/>
        <v>3.43</v>
      </c>
      <c r="AJ886" s="18">
        <f t="shared" si="960"/>
        <v>4.1399999999999997</v>
      </c>
      <c r="AK886" t="str">
        <f t="shared" si="945"/>
        <v>Falling Rates</v>
      </c>
      <c r="AL886">
        <f t="shared" si="956"/>
        <v>10.75</v>
      </c>
      <c r="AM886" s="11" t="str">
        <f t="shared" si="946"/>
        <v>Cash</v>
      </c>
      <c r="AN886" t="str">
        <f t="shared" si="952"/>
        <v>Sell</v>
      </c>
      <c r="AO886" s="13">
        <f t="shared" si="953"/>
        <v>6.1999999999999998E-3</v>
      </c>
      <c r="AP886" s="13">
        <f t="shared" si="954"/>
        <v>5.9999999999999995E-4</v>
      </c>
      <c r="AQ886" s="13">
        <f t="shared" si="955"/>
        <v>8.0000000000000004E-4</v>
      </c>
      <c r="AR886" s="13">
        <f t="shared" si="947"/>
        <v>5.9999999999999995E-4</v>
      </c>
      <c r="AS886" s="6">
        <f t="shared" si="939"/>
        <v>270.4062996769872</v>
      </c>
      <c r="AT886" s="6">
        <f t="shared" si="940"/>
        <v>154.91358422762843</v>
      </c>
      <c r="AU886" s="6">
        <f t="shared" si="941"/>
        <v>307.78722723954206</v>
      </c>
      <c r="AV886" s="6">
        <f t="shared" si="942"/>
        <v>390.29177182245451</v>
      </c>
      <c r="AW886" s="58">
        <f t="shared" si="948"/>
        <v>2001</v>
      </c>
      <c r="AX886" s="58">
        <f>COUNTIF(AW$3:AW886,AW886)</f>
        <v>17</v>
      </c>
    </row>
    <row r="887" spans="1:50" x14ac:dyDescent="0.25">
      <c r="A887" s="5">
        <v>37136</v>
      </c>
      <c r="B887">
        <v>1133.58</v>
      </c>
      <c r="C887">
        <v>3.33</v>
      </c>
      <c r="D887" s="6">
        <v>19.709999</v>
      </c>
      <c r="E887" s="18">
        <f t="shared" si="961"/>
        <v>21.37</v>
      </c>
      <c r="F887">
        <f t="shared" si="962"/>
        <v>-1</v>
      </c>
      <c r="G887" s="18">
        <f>ROUND(INDEX(Valuation!U:U,MATCH(A887,Valuation!A:A,0)),2)</f>
        <v>34.14</v>
      </c>
      <c r="H887">
        <f t="shared" si="969"/>
        <v>-2</v>
      </c>
      <c r="I887" s="18">
        <f>INDEX(WeeklyIndicators!Y:Y,MATCH(A887,WeeklyIndicators!A:A,0))</f>
        <v>96.93</v>
      </c>
      <c r="J887">
        <f t="shared" si="958"/>
        <v>-1</v>
      </c>
      <c r="K887">
        <f>ROUND(INDEX(Economic!AF:AF,MATCH(EOMONTH($A887,-1),Economic!A:A,0)),2)</f>
        <v>60.89</v>
      </c>
      <c r="L887" s="11">
        <f t="shared" si="967"/>
        <v>-2</v>
      </c>
      <c r="M887">
        <f>ROUND(INDEX(Manufacturing!P:P,MATCH(EOMONTH($A887,-1),Manufacturing!A:A,0)),2)</f>
        <v>69.56</v>
      </c>
      <c r="N887">
        <f t="shared" si="963"/>
        <v>-2</v>
      </c>
      <c r="O887">
        <f>ROUND(INDEX(Housing!AC:AC,MATCH(EOMONTH($A887,-1),Housing!B:B,0)),2)</f>
        <v>131.74</v>
      </c>
      <c r="P887">
        <f t="shared" si="964"/>
        <v>2</v>
      </c>
      <c r="Q887">
        <f>ROUND(INDEX(Spending!AJ:AJ,MATCH(EOMONTH($A887,-1),Spending!B:B,0)),2)</f>
        <v>38.92</v>
      </c>
      <c r="R887">
        <f t="shared" si="968"/>
        <v>-1</v>
      </c>
      <c r="S887">
        <f>ROUND(INDEX(Employment!V:V,MATCH(EOMONTH($A887,-1),Employment!A:A,0)),2)</f>
        <v>92.11</v>
      </c>
      <c r="T887" s="11">
        <f t="shared" si="965"/>
        <v>-3</v>
      </c>
      <c r="U887">
        <f t="shared" si="957"/>
        <v>10</v>
      </c>
      <c r="V887">
        <f t="shared" si="949"/>
        <v>54.13</v>
      </c>
      <c r="W887" s="13">
        <f t="shared" si="950"/>
        <v>2.8E-3</v>
      </c>
      <c r="X887" s="13">
        <f t="shared" si="951"/>
        <v>1.23E-2</v>
      </c>
      <c r="Y887">
        <f t="shared" si="943"/>
        <v>44.81</v>
      </c>
      <c r="Z887" s="13">
        <f t="shared" si="938"/>
        <v>1.34E-2</v>
      </c>
      <c r="AA887" s="13">
        <f t="shared" si="970"/>
        <v>4.8000000000000001E-2</v>
      </c>
      <c r="AB887" s="6">
        <f t="shared" si="944"/>
        <v>45.864000000000004</v>
      </c>
      <c r="AC887">
        <f t="shared" si="936"/>
        <v>23</v>
      </c>
      <c r="AD887" s="11">
        <f t="shared" si="937"/>
        <v>-1</v>
      </c>
      <c r="AE887">
        <f t="shared" si="935"/>
        <v>11</v>
      </c>
      <c r="AF887">
        <f>IF(AND(AE887&lt;15,OR(AC887&gt;=30,AA887&gt;0.15,X887&gt;=0.15)),2,VLOOKUP(AE887,Table!P:Q,2,FALSE))</f>
        <v>1</v>
      </c>
      <c r="AG887" s="22">
        <f>IF((AB887*0.98)-(D887*0.8)+((AF887-3)*3)+VLOOKUP(AM887,Table!$A$11:$B$13,2,FALSE)&lt;0,0,(AB887*0.98)-(D887*0.8)+((AF887-3)*3)+VLOOKUP(AM887,Table!$A$11:$B$13,2,FALSE))</f>
        <v>7.1787208000000078</v>
      </c>
      <c r="AH887" s="22">
        <f t="shared" si="966"/>
        <v>5</v>
      </c>
      <c r="AI887" s="18">
        <f t="shared" si="959"/>
        <v>3.45</v>
      </c>
      <c r="AJ887" s="18">
        <f t="shared" si="960"/>
        <v>4.21</v>
      </c>
      <c r="AK887" t="str">
        <f t="shared" si="945"/>
        <v>Falling Rates</v>
      </c>
      <c r="AL887">
        <f t="shared" si="956"/>
        <v>10.75</v>
      </c>
      <c r="AM887" s="11" t="str">
        <f t="shared" si="946"/>
        <v>Cash</v>
      </c>
      <c r="AN887" t="str">
        <f t="shared" si="952"/>
        <v>Sell</v>
      </c>
      <c r="AO887" s="13">
        <f t="shared" si="953"/>
        <v>-4.2200000000000001E-2</v>
      </c>
      <c r="AP887" s="13">
        <f t="shared" si="954"/>
        <v>5.9999999999999995E-4</v>
      </c>
      <c r="AQ887" s="13">
        <f t="shared" si="955"/>
        <v>-1.5E-3</v>
      </c>
      <c r="AR887" s="13">
        <f t="shared" si="947"/>
        <v>5.9999999999999995E-4</v>
      </c>
      <c r="AS887" s="6">
        <f t="shared" si="939"/>
        <v>282.32021265085319</v>
      </c>
      <c r="AT887" s="6">
        <f t="shared" si="940"/>
        <v>154.82069181254093</v>
      </c>
      <c r="AU887" s="6">
        <f t="shared" si="941"/>
        <v>308.24960164200508</v>
      </c>
      <c r="AV887" s="6">
        <f t="shared" si="942"/>
        <v>390.05773718014643</v>
      </c>
      <c r="AW887" s="58">
        <f t="shared" si="948"/>
        <v>2001</v>
      </c>
      <c r="AX887" s="58">
        <f>COUNTIF(AW$3:AW887,AW887)</f>
        <v>18</v>
      </c>
    </row>
    <row r="888" spans="1:50" x14ac:dyDescent="0.25">
      <c r="A888" s="5">
        <v>37129</v>
      </c>
      <c r="B888">
        <v>1184.93</v>
      </c>
      <c r="C888">
        <v>3.33</v>
      </c>
      <c r="D888" s="6">
        <v>23.84</v>
      </c>
      <c r="E888" s="18">
        <f t="shared" si="961"/>
        <v>21.43</v>
      </c>
      <c r="F888">
        <f t="shared" si="962"/>
        <v>-1</v>
      </c>
      <c r="G888" s="18">
        <f>ROUND(INDEX(Valuation!U:U,MATCH(A888,Valuation!A:A,0)),2)</f>
        <v>29.54</v>
      </c>
      <c r="H888">
        <f t="shared" si="969"/>
        <v>-2</v>
      </c>
      <c r="I888" s="18">
        <f>INDEX(WeeklyIndicators!Y:Y,MATCH(A888,WeeklyIndicators!A:A,0))</f>
        <v>98.86</v>
      </c>
      <c r="J888">
        <f t="shared" si="958"/>
        <v>-1</v>
      </c>
      <c r="K888">
        <f>ROUND(INDEX(Economic!AF:AF,MATCH(EOMONTH($A888,-1),Economic!A:A,0)),2)</f>
        <v>57.84</v>
      </c>
      <c r="L888" s="11">
        <f t="shared" si="967"/>
        <v>-2</v>
      </c>
      <c r="M888">
        <f>ROUND(INDEX(Manufacturing!P:P,MATCH(EOMONTH($A888,-1),Manufacturing!A:A,0)),2)</f>
        <v>64.41</v>
      </c>
      <c r="N888">
        <f t="shared" si="963"/>
        <v>-2</v>
      </c>
      <c r="O888">
        <f>ROUND(INDEX(Housing!AC:AC,MATCH(EOMONTH($A888,-1),Housing!B:B,0)),2)</f>
        <v>133.47999999999999</v>
      </c>
      <c r="P888">
        <f t="shared" si="964"/>
        <v>2</v>
      </c>
      <c r="Q888">
        <f>ROUND(INDEX(Spending!AJ:AJ,MATCH(EOMONTH($A888,-1),Spending!B:B,0)),2)</f>
        <v>39.090000000000003</v>
      </c>
      <c r="R888">
        <f t="shared" si="968"/>
        <v>-1</v>
      </c>
      <c r="S888">
        <f>ROUND(INDEX(Employment!V:V,MATCH(EOMONTH($A888,-1),Employment!A:A,0)),2)</f>
        <v>98.02</v>
      </c>
      <c r="T888" s="11">
        <f t="shared" si="965"/>
        <v>-3</v>
      </c>
      <c r="U888">
        <f t="shared" si="957"/>
        <v>10</v>
      </c>
      <c r="V888">
        <f t="shared" si="949"/>
        <v>53.81</v>
      </c>
      <c r="W888" s="13">
        <f t="shared" si="950"/>
        <v>1.1000000000000001E-3</v>
      </c>
      <c r="X888" s="13">
        <f t="shared" si="951"/>
        <v>1.7800000000000003E-2</v>
      </c>
      <c r="Y888">
        <f t="shared" si="943"/>
        <v>43.96</v>
      </c>
      <c r="Z888" s="13">
        <f t="shared" si="938"/>
        <v>1.0699999999999999E-2</v>
      </c>
      <c r="AA888" s="13">
        <f t="shared" si="970"/>
        <v>4.3400000000000008E-2</v>
      </c>
      <c r="AB888" s="6">
        <f t="shared" si="944"/>
        <v>44.294000000000004</v>
      </c>
      <c r="AC888">
        <f t="shared" si="936"/>
        <v>22</v>
      </c>
      <c r="AD888" s="11">
        <f t="shared" si="937"/>
        <v>-1</v>
      </c>
      <c r="AE888">
        <f t="shared" ref="AE888:AE951" si="971">IF(AND(AA888&gt;=0.2,AC888&gt;=20,U888+AD888+2&lt;30),U888+AD888+2+12,U888+AD888+2)</f>
        <v>11</v>
      </c>
      <c r="AF888">
        <f>IF(AND(AE888&lt;15,OR(AC888&gt;=30,AA888&gt;0.15,X888&gt;=0.15)),2,VLOOKUP(AE888,Table!P:Q,2,FALSE))</f>
        <v>1</v>
      </c>
      <c r="AG888" s="22">
        <f>IF((AB888*0.98)-(D888*0.8)+((AF888-3)*3)+VLOOKUP(AM888,Table!$A$11:$B$13,2,FALSE)&lt;0,0,(AB888*0.98)-(D888*0.8)+((AF888-3)*3)+VLOOKUP(AM888,Table!$A$11:$B$13,2,FALSE))</f>
        <v>2.3361200000000046</v>
      </c>
      <c r="AH888" s="22">
        <f t="shared" si="966"/>
        <v>4</v>
      </c>
      <c r="AI888" s="18">
        <f t="shared" si="959"/>
        <v>3.47</v>
      </c>
      <c r="AJ888" s="18">
        <f t="shared" si="960"/>
        <v>4.28</v>
      </c>
      <c r="AK888" t="str">
        <f t="shared" si="945"/>
        <v>Falling Rates</v>
      </c>
      <c r="AL888">
        <f t="shared" si="956"/>
        <v>10.5</v>
      </c>
      <c r="AM888" s="11" t="str">
        <f t="shared" si="946"/>
        <v>Cash</v>
      </c>
      <c r="AN888" t="str">
        <f t="shared" si="952"/>
        <v>Sell</v>
      </c>
      <c r="AO888" s="13">
        <f t="shared" si="953"/>
        <v>-4.3299999999999998E-2</v>
      </c>
      <c r="AP888" s="13">
        <f t="shared" si="954"/>
        <v>5.9999999999999995E-4</v>
      </c>
      <c r="AQ888" s="13">
        <f t="shared" si="955"/>
        <v>-1.1999999999999999E-3</v>
      </c>
      <c r="AR888" s="13">
        <f t="shared" si="947"/>
        <v>5.9999999999999995E-4</v>
      </c>
      <c r="AS888" s="6">
        <f t="shared" si="939"/>
        <v>295.09795406172594</v>
      </c>
      <c r="AT888" s="6">
        <f t="shared" si="940"/>
        <v>154.72785509948125</v>
      </c>
      <c r="AU888" s="6">
        <f t="shared" si="941"/>
        <v>308.61994557669709</v>
      </c>
      <c r="AV888" s="6">
        <f t="shared" si="942"/>
        <v>389.82384287442181</v>
      </c>
      <c r="AW888" s="58">
        <f t="shared" si="948"/>
        <v>2001</v>
      </c>
      <c r="AX888" s="58">
        <f>COUNTIF(AW$3:AW888,AW888)</f>
        <v>19</v>
      </c>
    </row>
    <row r="889" spans="1:50" x14ac:dyDescent="0.25">
      <c r="A889" s="5">
        <v>37122</v>
      </c>
      <c r="B889">
        <v>1161.97</v>
      </c>
      <c r="C889">
        <v>3.34</v>
      </c>
      <c r="D889" s="6">
        <v>20.549999</v>
      </c>
      <c r="E889" s="18">
        <f t="shared" si="961"/>
        <v>20.81</v>
      </c>
      <c r="F889">
        <f t="shared" si="962"/>
        <v>-1</v>
      </c>
      <c r="G889" s="18">
        <f>ROUND(INDEX(Valuation!U:U,MATCH(A889,Valuation!A:A,0)),2)</f>
        <v>27.06</v>
      </c>
      <c r="H889">
        <f t="shared" si="969"/>
        <v>-2</v>
      </c>
      <c r="I889" s="18">
        <f>INDEX(WeeklyIndicators!Y:Y,MATCH(A889,WeeklyIndicators!A:A,0))</f>
        <v>98.48</v>
      </c>
      <c r="J889">
        <f t="shared" si="958"/>
        <v>-1</v>
      </c>
      <c r="K889">
        <f>ROUND(INDEX(Economic!AF:AF,MATCH(EOMONTH($A889,-1),Economic!A:A,0)),2)</f>
        <v>57.84</v>
      </c>
      <c r="L889" s="11">
        <f t="shared" si="967"/>
        <v>-2</v>
      </c>
      <c r="M889">
        <f>ROUND(INDEX(Manufacturing!P:P,MATCH(EOMONTH($A889,-1),Manufacturing!A:A,0)),2)</f>
        <v>64.41</v>
      </c>
      <c r="N889">
        <f t="shared" si="963"/>
        <v>-2</v>
      </c>
      <c r="O889">
        <f>ROUND(INDEX(Housing!AC:AC,MATCH(EOMONTH($A889,-1),Housing!B:B,0)),2)</f>
        <v>133.47999999999999</v>
      </c>
      <c r="P889">
        <f t="shared" si="964"/>
        <v>2</v>
      </c>
      <c r="Q889">
        <f>ROUND(INDEX(Spending!AJ:AJ,MATCH(EOMONTH($A889,-1),Spending!B:B,0)),2)</f>
        <v>39.090000000000003</v>
      </c>
      <c r="R889">
        <f t="shared" si="968"/>
        <v>-1</v>
      </c>
      <c r="S889">
        <f>ROUND(INDEX(Employment!V:V,MATCH(EOMONTH($A889,-1),Employment!A:A,0)),2)</f>
        <v>98.02</v>
      </c>
      <c r="T889" s="11">
        <f t="shared" si="965"/>
        <v>-3</v>
      </c>
      <c r="U889">
        <f t="shared" si="957"/>
        <v>10</v>
      </c>
      <c r="V889">
        <f t="shared" si="949"/>
        <v>53.77</v>
      </c>
      <c r="W889" s="13">
        <f t="shared" si="950"/>
        <v>4.1000000000000003E-3</v>
      </c>
      <c r="X889" s="13">
        <f t="shared" si="951"/>
        <v>2.8299999999999999E-2</v>
      </c>
      <c r="Y889">
        <f t="shared" si="943"/>
        <v>43.86</v>
      </c>
      <c r="Z889" s="13">
        <f t="shared" si="938"/>
        <v>1.6500000000000001E-2</v>
      </c>
      <c r="AA889" s="13">
        <f t="shared" si="970"/>
        <v>4.3499999999999997E-2</v>
      </c>
      <c r="AB889" s="6">
        <f t="shared" si="944"/>
        <v>44.055999999999997</v>
      </c>
      <c r="AC889">
        <f t="shared" si="936"/>
        <v>22</v>
      </c>
      <c r="AD889" s="11">
        <f t="shared" si="937"/>
        <v>-1</v>
      </c>
      <c r="AE889">
        <f t="shared" si="971"/>
        <v>11</v>
      </c>
      <c r="AF889">
        <f>IF(AND(AE889&lt;15,OR(AC889&gt;=30,AA889&gt;0.15,X889&gt;=0.15)),2,VLOOKUP(AE889,Table!P:Q,2,FALSE))</f>
        <v>1</v>
      </c>
      <c r="AG889" s="22">
        <f>IF((AB889*0.98)-(D889*0.8)+((AF889-3)*3)+VLOOKUP(AM889,Table!$A$11:$B$13,2,FALSE)&lt;0,0,(AB889*0.98)-(D889*0.8)+((AF889-3)*3)+VLOOKUP(AM889,Table!$A$11:$B$13,2,FALSE))</f>
        <v>4.7348807999999956</v>
      </c>
      <c r="AH889" s="22">
        <f t="shared" si="966"/>
        <v>4</v>
      </c>
      <c r="AI889" s="18">
        <f t="shared" si="959"/>
        <v>3.49</v>
      </c>
      <c r="AJ889" s="18">
        <f t="shared" si="960"/>
        <v>4.3499999999999996</v>
      </c>
      <c r="AK889" t="str">
        <f t="shared" si="945"/>
        <v>Falling Rates</v>
      </c>
      <c r="AL889">
        <f t="shared" si="956"/>
        <v>10.25</v>
      </c>
      <c r="AM889" s="11" t="str">
        <f t="shared" si="946"/>
        <v>Cash</v>
      </c>
      <c r="AN889" t="str">
        <f t="shared" si="952"/>
        <v>Sell</v>
      </c>
      <c r="AO889" s="13">
        <f t="shared" si="953"/>
        <v>1.9800000000000002E-2</v>
      </c>
      <c r="AP889" s="13">
        <f t="shared" si="954"/>
        <v>5.9999999999999995E-4</v>
      </c>
      <c r="AQ889" s="13">
        <f t="shared" si="955"/>
        <v>1.4E-3</v>
      </c>
      <c r="AR889" s="13">
        <f t="shared" si="947"/>
        <v>5.9999999999999995E-4</v>
      </c>
      <c r="AS889" s="6">
        <f t="shared" si="939"/>
        <v>289.36845858180618</v>
      </c>
      <c r="AT889" s="6">
        <f t="shared" si="940"/>
        <v>154.63507405504822</v>
      </c>
      <c r="AU889" s="6">
        <f t="shared" si="941"/>
        <v>308.18848170231382</v>
      </c>
      <c r="AV889" s="6">
        <f t="shared" si="942"/>
        <v>389.59008882112914</v>
      </c>
      <c r="AW889" s="58">
        <f t="shared" si="948"/>
        <v>2001</v>
      </c>
      <c r="AX889" s="58">
        <f>COUNTIF(AW$3:AW889,AW889)</f>
        <v>20</v>
      </c>
    </row>
    <row r="890" spans="1:50" x14ac:dyDescent="0.25">
      <c r="A890" s="5">
        <v>37115</v>
      </c>
      <c r="B890">
        <v>1190.1600000000001</v>
      </c>
      <c r="C890">
        <v>3.41</v>
      </c>
      <c r="D890" s="6">
        <v>19.889999</v>
      </c>
      <c r="E890" s="18">
        <f t="shared" si="961"/>
        <v>21.41</v>
      </c>
      <c r="F890">
        <f t="shared" si="962"/>
        <v>-1</v>
      </c>
      <c r="G890" s="18">
        <f>ROUND(INDEX(Valuation!U:U,MATCH(A890,Valuation!A:A,0)),2)</f>
        <v>22.49</v>
      </c>
      <c r="H890">
        <f t="shared" si="969"/>
        <v>-3</v>
      </c>
      <c r="I890" s="18">
        <f>INDEX(WeeklyIndicators!Y:Y,MATCH(A890,WeeklyIndicators!A:A,0))</f>
        <v>97.61</v>
      </c>
      <c r="J890">
        <f t="shared" si="958"/>
        <v>-1</v>
      </c>
      <c r="K890">
        <f>ROUND(INDEX(Economic!AF:AF,MATCH(EOMONTH($A890,-1),Economic!A:A,0)),2)</f>
        <v>57.84</v>
      </c>
      <c r="L890" s="11">
        <f t="shared" si="967"/>
        <v>-2</v>
      </c>
      <c r="M890">
        <f>ROUND(INDEX(Manufacturing!P:P,MATCH(EOMONTH($A890,-1),Manufacturing!A:A,0)),2)</f>
        <v>64.41</v>
      </c>
      <c r="N890">
        <f t="shared" si="963"/>
        <v>-2</v>
      </c>
      <c r="O890">
        <f>ROUND(INDEX(Housing!AC:AC,MATCH(EOMONTH($A890,-1),Housing!B:B,0)),2)</f>
        <v>133.47999999999999</v>
      </c>
      <c r="P890">
        <f t="shared" si="964"/>
        <v>2</v>
      </c>
      <c r="Q890">
        <f>ROUND(INDEX(Spending!AJ:AJ,MATCH(EOMONTH($A890,-1),Spending!B:B,0)),2)</f>
        <v>39.090000000000003</v>
      </c>
      <c r="R890">
        <f t="shared" si="968"/>
        <v>-1</v>
      </c>
      <c r="S890">
        <f>ROUND(INDEX(Employment!V:V,MATCH(EOMONTH($A890,-1),Employment!A:A,0)),2)</f>
        <v>98.02</v>
      </c>
      <c r="T890" s="11">
        <f t="shared" si="965"/>
        <v>-3</v>
      </c>
      <c r="U890">
        <f t="shared" si="957"/>
        <v>9</v>
      </c>
      <c r="V890">
        <f t="shared" si="949"/>
        <v>53.68</v>
      </c>
      <c r="W890" s="13">
        <f t="shared" si="950"/>
        <v>4.3E-3</v>
      </c>
      <c r="X890" s="13">
        <f t="shared" si="951"/>
        <v>3.8800000000000001E-2</v>
      </c>
      <c r="Y890">
        <f t="shared" si="943"/>
        <v>43.05</v>
      </c>
      <c r="Z890" s="13">
        <f t="shared" si="938"/>
        <v>7.4000000000000003E-3</v>
      </c>
      <c r="AA890" s="13">
        <f t="shared" si="970"/>
        <v>4.6699999999999998E-2</v>
      </c>
      <c r="AB890" s="6">
        <f t="shared" si="944"/>
        <v>43.108999999999995</v>
      </c>
      <c r="AC890">
        <f t="shared" si="936"/>
        <v>22</v>
      </c>
      <c r="AD890" s="11">
        <f t="shared" si="937"/>
        <v>-1</v>
      </c>
      <c r="AE890">
        <f t="shared" si="971"/>
        <v>10</v>
      </c>
      <c r="AF890">
        <f>IF(AND(AE890&lt;15,OR(AC890&gt;=30,AA890&gt;0.15,X890&gt;=0.15)),2,VLOOKUP(AE890,Table!P:Q,2,FALSE))</f>
        <v>1</v>
      </c>
      <c r="AG890" s="22">
        <f>IF((AB890*0.98)-(D890*0.8)+((AF890-3)*3)+VLOOKUP(AM890,Table!$A$11:$B$13,2,FALSE)&lt;0,0,(AB890*0.98)-(D890*0.8)+((AF890-3)*3)+VLOOKUP(AM890,Table!$A$11:$B$13,2,FALSE))</f>
        <v>4.3348207999999921</v>
      </c>
      <c r="AH890" s="22">
        <f t="shared" si="966"/>
        <v>2</v>
      </c>
      <c r="AI890" s="18">
        <f t="shared" si="959"/>
        <v>3.51</v>
      </c>
      <c r="AJ890" s="18">
        <f t="shared" si="960"/>
        <v>4.43</v>
      </c>
      <c r="AK890" t="str">
        <f t="shared" si="945"/>
        <v>Falling Rates</v>
      </c>
      <c r="AL890">
        <f t="shared" si="956"/>
        <v>10</v>
      </c>
      <c r="AM890" s="11" t="str">
        <f t="shared" si="946"/>
        <v>Cash</v>
      </c>
      <c r="AN890" t="str">
        <f t="shared" si="952"/>
        <v>Sell</v>
      </c>
      <c r="AO890" s="13">
        <f t="shared" si="953"/>
        <v>-2.3699999999999999E-2</v>
      </c>
      <c r="AP890" s="13">
        <f t="shared" si="954"/>
        <v>6.9999999999999999E-4</v>
      </c>
      <c r="AQ890" s="13">
        <f t="shared" si="955"/>
        <v>2.0000000000000001E-4</v>
      </c>
      <c r="AR890" s="13">
        <f t="shared" si="947"/>
        <v>6.9999999999999999E-4</v>
      </c>
      <c r="AS890" s="6">
        <f t="shared" si="939"/>
        <v>296.39297201864815</v>
      </c>
      <c r="AT890" s="6">
        <f t="shared" si="940"/>
        <v>154.52690522139326</v>
      </c>
      <c r="AU890" s="6">
        <f t="shared" si="941"/>
        <v>308.12685633104763</v>
      </c>
      <c r="AV890" s="6">
        <f t="shared" si="942"/>
        <v>389.31756652456198</v>
      </c>
      <c r="AW890" s="58">
        <f t="shared" si="948"/>
        <v>2001</v>
      </c>
      <c r="AX890" s="58">
        <f>COUNTIF(AW$3:AW890,AW890)</f>
        <v>21</v>
      </c>
    </row>
    <row r="891" spans="1:50" x14ac:dyDescent="0.25">
      <c r="A891" s="5">
        <v>37108</v>
      </c>
      <c r="B891">
        <v>1214.3499999999999</v>
      </c>
      <c r="C891">
        <v>3.46</v>
      </c>
      <c r="D891" s="6">
        <v>22</v>
      </c>
      <c r="E891" s="18">
        <f t="shared" si="961"/>
        <v>21.83</v>
      </c>
      <c r="F891">
        <f t="shared" si="962"/>
        <v>-1</v>
      </c>
      <c r="G891" s="18">
        <f>ROUND(INDEX(Valuation!U:U,MATCH(A891,Valuation!A:A,0)),2)</f>
        <v>19.86</v>
      </c>
      <c r="H891">
        <f t="shared" si="969"/>
        <v>-3</v>
      </c>
      <c r="I891" s="18">
        <f>INDEX(WeeklyIndicators!Y:Y,MATCH(A891,WeeklyIndicators!A:A,0))</f>
        <v>97.21</v>
      </c>
      <c r="J891">
        <f t="shared" si="958"/>
        <v>-1</v>
      </c>
      <c r="K891">
        <f>ROUND(INDEX(Economic!AF:AF,MATCH(EOMONTH($A891,-1),Economic!A:A,0)),2)</f>
        <v>57.84</v>
      </c>
      <c r="L891" s="11">
        <f t="shared" si="967"/>
        <v>-2</v>
      </c>
      <c r="M891">
        <f>ROUND(INDEX(Manufacturing!P:P,MATCH(EOMONTH($A891,-1),Manufacturing!A:A,0)),2)</f>
        <v>64.41</v>
      </c>
      <c r="N891">
        <f t="shared" si="963"/>
        <v>-2</v>
      </c>
      <c r="O891">
        <f>ROUND(INDEX(Housing!AC:AC,MATCH(EOMONTH($A891,-1),Housing!B:B,0)),2)</f>
        <v>133.47999999999999</v>
      </c>
      <c r="P891">
        <f t="shared" si="964"/>
        <v>2</v>
      </c>
      <c r="Q891">
        <f>ROUND(INDEX(Spending!AJ:AJ,MATCH(EOMONTH($A891,-1),Spending!B:B,0)),2)</f>
        <v>39.090000000000003</v>
      </c>
      <c r="R891">
        <f t="shared" si="968"/>
        <v>-1</v>
      </c>
      <c r="S891">
        <f>ROUND(INDEX(Employment!V:V,MATCH(EOMONTH($A891,-1),Employment!A:A,0)),2)</f>
        <v>98.02</v>
      </c>
      <c r="T891" s="11">
        <f t="shared" si="965"/>
        <v>-3</v>
      </c>
      <c r="U891">
        <f t="shared" si="957"/>
        <v>9</v>
      </c>
      <c r="V891">
        <f t="shared" si="949"/>
        <v>53.64</v>
      </c>
      <c r="W891" s="13">
        <f t="shared" si="950"/>
        <v>8.3000000000000001E-3</v>
      </c>
      <c r="X891" s="13">
        <f t="shared" si="951"/>
        <v>3.7700000000000004E-2</v>
      </c>
      <c r="Y891">
        <f t="shared" si="943"/>
        <v>42.57</v>
      </c>
      <c r="Z891" s="13">
        <f t="shared" si="938"/>
        <v>8.8000000000000005E-3</v>
      </c>
      <c r="AA891" s="13">
        <f t="shared" si="970"/>
        <v>4.7E-2</v>
      </c>
      <c r="AB891" s="6">
        <f t="shared" si="944"/>
        <v>42.366</v>
      </c>
      <c r="AC891">
        <f t="shared" si="936"/>
        <v>21</v>
      </c>
      <c r="AD891" s="11">
        <f t="shared" si="937"/>
        <v>-1</v>
      </c>
      <c r="AE891">
        <f t="shared" si="971"/>
        <v>10</v>
      </c>
      <c r="AF891">
        <f>IF(AND(AE891&lt;15,OR(AC891&gt;=30,AA891&gt;0.15,X891&gt;=0.15)),2,VLOOKUP(AE891,Table!P:Q,2,FALSE))</f>
        <v>1</v>
      </c>
      <c r="AG891" s="22">
        <f>IF((AB891*0.98)-(D891*0.8)+((AF891-3)*3)+VLOOKUP(AM891,Table!$A$11:$B$13,2,FALSE)&lt;0,0,(AB891*0.98)-(D891*0.8)+((AF891-3)*3)+VLOOKUP(AM891,Table!$A$11:$B$13,2,FALSE))</f>
        <v>1.9186799999999948</v>
      </c>
      <c r="AH891" s="22">
        <f t="shared" si="966"/>
        <v>1</v>
      </c>
      <c r="AI891" s="18">
        <f t="shared" si="959"/>
        <v>3.53</v>
      </c>
      <c r="AJ891" s="18">
        <f t="shared" si="960"/>
        <v>4.5</v>
      </c>
      <c r="AK891" t="str">
        <f t="shared" si="945"/>
        <v>Falling Rates</v>
      </c>
      <c r="AL891">
        <f t="shared" si="956"/>
        <v>9.75</v>
      </c>
      <c r="AM891" s="11" t="str">
        <f t="shared" si="946"/>
        <v>Cash</v>
      </c>
      <c r="AN891" t="str">
        <f t="shared" si="952"/>
        <v>Sell</v>
      </c>
      <c r="AO891" s="13">
        <f t="shared" si="953"/>
        <v>-1.9900000000000001E-2</v>
      </c>
      <c r="AP891" s="13">
        <f t="shared" si="954"/>
        <v>6.9999999999999999E-4</v>
      </c>
      <c r="AQ891" s="13">
        <f t="shared" si="955"/>
        <v>5.0000000000000001E-4</v>
      </c>
      <c r="AR891" s="13">
        <f t="shared" si="947"/>
        <v>6.9999999999999999E-4</v>
      </c>
      <c r="AS891" s="6">
        <f t="shared" si="939"/>
        <v>302.41094992209793</v>
      </c>
      <c r="AT891" s="6">
        <f t="shared" si="940"/>
        <v>154.41881205295621</v>
      </c>
      <c r="AU891" s="6">
        <f t="shared" si="941"/>
        <v>307.97286989609961</v>
      </c>
      <c r="AV891" s="6">
        <f t="shared" si="942"/>
        <v>389.04523486015989</v>
      </c>
      <c r="AW891" s="58">
        <f t="shared" si="948"/>
        <v>2001</v>
      </c>
      <c r="AX891" s="58">
        <f>COUNTIF(AW$3:AW891,AW891)</f>
        <v>22</v>
      </c>
    </row>
    <row r="892" spans="1:50" x14ac:dyDescent="0.25">
      <c r="A892" s="5">
        <v>37101</v>
      </c>
      <c r="B892">
        <v>1205.82</v>
      </c>
      <c r="C892">
        <v>3.48</v>
      </c>
      <c r="D892" s="6">
        <v>22.34</v>
      </c>
      <c r="E892" s="18">
        <f t="shared" si="961"/>
        <v>21.7</v>
      </c>
      <c r="F892">
        <f t="shared" si="962"/>
        <v>-1</v>
      </c>
      <c r="G892" s="18">
        <f>ROUND(INDEX(Valuation!U:U,MATCH(A892,Valuation!A:A,0)),2)</f>
        <v>16.82</v>
      </c>
      <c r="H892">
        <f t="shared" si="969"/>
        <v>-3</v>
      </c>
      <c r="I892" s="18">
        <f>INDEX(WeeklyIndicators!Y:Y,MATCH(A892,WeeklyIndicators!A:A,0))</f>
        <v>98.52</v>
      </c>
      <c r="J892">
        <f t="shared" si="958"/>
        <v>-1</v>
      </c>
      <c r="K892">
        <f>ROUND(INDEX(Economic!AF:AF,MATCH(EOMONTH($A892,-1),Economic!A:A,0)),2)</f>
        <v>56.33</v>
      </c>
      <c r="L892" s="11">
        <f t="shared" si="967"/>
        <v>-2</v>
      </c>
      <c r="M892">
        <f>ROUND(INDEX(Manufacturing!P:P,MATCH(EOMONTH($A892,-1),Manufacturing!A:A,0)),2)</f>
        <v>62.02</v>
      </c>
      <c r="N892">
        <f t="shared" si="963"/>
        <v>-3</v>
      </c>
      <c r="O892">
        <f>ROUND(INDEX(Housing!AC:AC,MATCH(EOMONTH($A892,-1),Housing!B:B,0)),2)</f>
        <v>132.97999999999999</v>
      </c>
      <c r="P892">
        <f t="shared" si="964"/>
        <v>2</v>
      </c>
      <c r="Q892">
        <f>ROUND(INDEX(Spending!AJ:AJ,MATCH(EOMONTH($A892,-1),Spending!B:B,0)),2)</f>
        <v>41.97</v>
      </c>
      <c r="R892">
        <f t="shared" si="968"/>
        <v>0</v>
      </c>
      <c r="S892">
        <f>ROUND(INDEX(Employment!V:V,MATCH(EOMONTH($A892,-1),Employment!A:A,0)),2)</f>
        <v>94.32</v>
      </c>
      <c r="T892" s="11">
        <f t="shared" si="965"/>
        <v>-3</v>
      </c>
      <c r="U892">
        <f t="shared" si="957"/>
        <v>9</v>
      </c>
      <c r="V892">
        <f t="shared" si="949"/>
        <v>53.12</v>
      </c>
      <c r="W892" s="13">
        <f t="shared" si="950"/>
        <v>1.1599999999999999E-2</v>
      </c>
      <c r="X892" s="13">
        <f t="shared" si="951"/>
        <v>1.9300000000000005E-2</v>
      </c>
      <c r="Y892">
        <f t="shared" si="943"/>
        <v>41.76</v>
      </c>
      <c r="Z892" s="13">
        <f t="shared" si="938"/>
        <v>1.0800000000000001E-2</v>
      </c>
      <c r="AA892" s="13">
        <f t="shared" si="970"/>
        <v>2.7099999999999999E-2</v>
      </c>
      <c r="AB892" s="6">
        <f t="shared" si="944"/>
        <v>39.721999999999994</v>
      </c>
      <c r="AC892">
        <f t="shared" si="936"/>
        <v>20</v>
      </c>
      <c r="AD892" s="11">
        <f t="shared" si="937"/>
        <v>-1</v>
      </c>
      <c r="AE892">
        <f t="shared" si="971"/>
        <v>10</v>
      </c>
      <c r="AF892">
        <f>IF(AND(AE892&lt;15,OR(AC892&gt;=30,AA892&gt;0.15,X892&gt;=0.15)),2,VLOOKUP(AE892,Table!P:Q,2,FALSE))</f>
        <v>1</v>
      </c>
      <c r="AG892" s="22">
        <f>IF((AB892*0.98)-(D892*0.8)+((AF892-3)*3)+VLOOKUP(AM892,Table!$A$11:$B$13,2,FALSE)&lt;0,0,(AB892*0.98)-(D892*0.8)+((AF892-3)*3)+VLOOKUP(AM892,Table!$A$11:$B$13,2,FALSE))</f>
        <v>0</v>
      </c>
      <c r="AH892" s="22">
        <f t="shared" si="966"/>
        <v>0</v>
      </c>
      <c r="AI892" s="18">
        <f t="shared" si="959"/>
        <v>3.55</v>
      </c>
      <c r="AJ892" s="18">
        <f t="shared" si="960"/>
        <v>4.57</v>
      </c>
      <c r="AK892" t="str">
        <f t="shared" si="945"/>
        <v>Falling Rates</v>
      </c>
      <c r="AL892">
        <f t="shared" si="956"/>
        <v>9.5</v>
      </c>
      <c r="AM892" s="11" t="str">
        <f t="shared" si="946"/>
        <v>Cash</v>
      </c>
      <c r="AN892" t="str">
        <f t="shared" si="952"/>
        <v>Sell</v>
      </c>
      <c r="AO892" s="13">
        <f t="shared" si="953"/>
        <v>7.1000000000000004E-3</v>
      </c>
      <c r="AP892" s="13">
        <f t="shared" si="954"/>
        <v>6.9999999999999999E-4</v>
      </c>
      <c r="AQ892" s="13">
        <f t="shared" si="955"/>
        <v>6.9999999999999999E-4</v>
      </c>
      <c r="AR892" s="13">
        <f t="shared" si="947"/>
        <v>6.9999999999999999E-4</v>
      </c>
      <c r="AS892" s="6">
        <f t="shared" si="939"/>
        <v>300.27896924049043</v>
      </c>
      <c r="AT892" s="6">
        <f t="shared" si="940"/>
        <v>154.31079449680846</v>
      </c>
      <c r="AU892" s="6">
        <f t="shared" si="941"/>
        <v>307.75743968831779</v>
      </c>
      <c r="AV892" s="6">
        <f t="shared" si="942"/>
        <v>388.77309369457373</v>
      </c>
      <c r="AW892" s="58">
        <f t="shared" si="948"/>
        <v>2001</v>
      </c>
      <c r="AX892" s="58">
        <f>COUNTIF(AW$3:AW892,AW892)</f>
        <v>23</v>
      </c>
    </row>
    <row r="893" spans="1:50" x14ac:dyDescent="0.25">
      <c r="A893" s="5">
        <v>37094</v>
      </c>
      <c r="B893">
        <v>1210.8499999999999</v>
      </c>
      <c r="C893">
        <v>3.49</v>
      </c>
      <c r="D893" s="6">
        <v>21.139999</v>
      </c>
      <c r="E893" s="18">
        <f t="shared" si="961"/>
        <v>20.61</v>
      </c>
      <c r="F893">
        <f t="shared" si="962"/>
        <v>-1</v>
      </c>
      <c r="G893" s="18">
        <f>ROUND(INDEX(Valuation!U:U,MATCH(A893,Valuation!A:A,0)),2)</f>
        <v>17.77</v>
      </c>
      <c r="H893">
        <f t="shared" si="969"/>
        <v>-3</v>
      </c>
      <c r="I893" s="18">
        <f>INDEX(WeeklyIndicators!Y:Y,MATCH(A893,WeeklyIndicators!A:A,0))</f>
        <v>97.27</v>
      </c>
      <c r="J893">
        <f t="shared" si="958"/>
        <v>-1</v>
      </c>
      <c r="K893">
        <f>ROUND(INDEX(Economic!AF:AF,MATCH(EOMONTH($A893,-1),Economic!A:A,0)),2)</f>
        <v>56.33</v>
      </c>
      <c r="L893" s="11">
        <f t="shared" si="967"/>
        <v>-2</v>
      </c>
      <c r="M893">
        <f>ROUND(INDEX(Manufacturing!P:P,MATCH(EOMONTH($A893,-1),Manufacturing!A:A,0)),2)</f>
        <v>62.02</v>
      </c>
      <c r="N893">
        <f t="shared" si="963"/>
        <v>-3</v>
      </c>
      <c r="O893">
        <f>ROUND(INDEX(Housing!AC:AC,MATCH(EOMONTH($A893,-1),Housing!B:B,0)),2)</f>
        <v>132.97999999999999</v>
      </c>
      <c r="P893">
        <f t="shared" si="964"/>
        <v>2</v>
      </c>
      <c r="Q893">
        <f>ROUND(INDEX(Spending!AJ:AJ,MATCH(EOMONTH($A893,-1),Spending!B:B,0)),2)</f>
        <v>41.97</v>
      </c>
      <c r="R893">
        <f t="shared" si="968"/>
        <v>0</v>
      </c>
      <c r="S893">
        <f>ROUND(INDEX(Employment!V:V,MATCH(EOMONTH($A893,-1),Employment!A:A,0)),2)</f>
        <v>94.32</v>
      </c>
      <c r="T893" s="11">
        <f t="shared" si="965"/>
        <v>-3</v>
      </c>
      <c r="U893">
        <f t="shared" si="957"/>
        <v>9</v>
      </c>
      <c r="V893">
        <f t="shared" si="949"/>
        <v>52.99</v>
      </c>
      <c r="W893" s="13">
        <f t="shared" si="950"/>
        <v>1.46E-2</v>
      </c>
      <c r="X893" s="13">
        <f t="shared" si="951"/>
        <v>-1.23E-2</v>
      </c>
      <c r="Y893">
        <f t="shared" si="943"/>
        <v>42.12</v>
      </c>
      <c r="Z893" s="13">
        <f t="shared" si="938"/>
        <v>1.9699999999999999E-2</v>
      </c>
      <c r="AA893" s="13">
        <f t="shared" si="970"/>
        <v>-5.899999999999999E-3</v>
      </c>
      <c r="AB893" s="6">
        <f t="shared" si="944"/>
        <v>37.646999999999998</v>
      </c>
      <c r="AC893">
        <f t="shared" ref="AC893:AC956" si="972">IF(ROUND(AB893/2,0)&lt;0,0,ROUND(AB893/2,0))</f>
        <v>19</v>
      </c>
      <c r="AD893" s="11">
        <f t="shared" si="937"/>
        <v>-1</v>
      </c>
      <c r="AE893">
        <f t="shared" si="971"/>
        <v>10</v>
      </c>
      <c r="AF893">
        <f>IF(AND(AE893&lt;15,OR(AC893&gt;=30,AA893&gt;0.15,X893&gt;=0.15)),2,VLOOKUP(AE893,Table!P:Q,2,FALSE))</f>
        <v>1</v>
      </c>
      <c r="AG893" s="22">
        <f>IF((AB893*0.98)-(D893*0.8)+((AF893-3)*3)+VLOOKUP(AM893,Table!$A$11:$B$13,2,FALSE)&lt;0,0,(AB893*0.98)-(D893*0.8)+((AF893-3)*3)+VLOOKUP(AM893,Table!$A$11:$B$13,2,FALSE))</f>
        <v>0</v>
      </c>
      <c r="AH893" s="22">
        <f t="shared" si="966"/>
        <v>0</v>
      </c>
      <c r="AI893" s="18">
        <f t="shared" si="959"/>
        <v>3.57</v>
      </c>
      <c r="AJ893" s="18">
        <f t="shared" si="960"/>
        <v>4.6399999999999997</v>
      </c>
      <c r="AK893" t="str">
        <f t="shared" si="945"/>
        <v>Falling Rates</v>
      </c>
      <c r="AL893">
        <f t="shared" si="956"/>
        <v>9.25</v>
      </c>
      <c r="AM893" s="11" t="str">
        <f t="shared" si="946"/>
        <v>Cash</v>
      </c>
      <c r="AN893" t="str">
        <f t="shared" si="952"/>
        <v>Sell</v>
      </c>
      <c r="AO893" s="13">
        <f t="shared" si="953"/>
        <v>-4.1999999999999997E-3</v>
      </c>
      <c r="AP893" s="13">
        <f t="shared" si="954"/>
        <v>6.9999999999999999E-4</v>
      </c>
      <c r="AQ893" s="13">
        <f t="shared" si="955"/>
        <v>6.9999999999999999E-4</v>
      </c>
      <c r="AR893" s="13">
        <f t="shared" si="947"/>
        <v>6.9999999999999999E-4</v>
      </c>
      <c r="AS893" s="6">
        <f t="shared" si="939"/>
        <v>301.54546017321792</v>
      </c>
      <c r="AT893" s="6">
        <f t="shared" si="940"/>
        <v>154.20285250005841</v>
      </c>
      <c r="AU893" s="6">
        <f t="shared" si="941"/>
        <v>307.5421601761945</v>
      </c>
      <c r="AV893" s="6">
        <f t="shared" si="942"/>
        <v>388.50114289454757</v>
      </c>
      <c r="AW893" s="58">
        <f t="shared" si="948"/>
        <v>2001</v>
      </c>
      <c r="AX893" s="58">
        <f>COUNTIF(AW$3:AW893,AW893)</f>
        <v>24</v>
      </c>
    </row>
    <row r="894" spans="1:50" x14ac:dyDescent="0.25">
      <c r="A894" s="5">
        <v>37087</v>
      </c>
      <c r="B894">
        <v>1215.68</v>
      </c>
      <c r="C894">
        <v>3.54</v>
      </c>
      <c r="D894" s="6">
        <v>21.629999000000002</v>
      </c>
      <c r="E894" s="18">
        <f t="shared" si="961"/>
        <v>20.239999999999998</v>
      </c>
      <c r="F894">
        <f t="shared" si="962"/>
        <v>-1</v>
      </c>
      <c r="G894" s="18">
        <f>ROUND(INDEX(Valuation!U:U,MATCH(A894,Valuation!A:A,0)),2)</f>
        <v>16.8</v>
      </c>
      <c r="H894">
        <f t="shared" si="969"/>
        <v>-3</v>
      </c>
      <c r="I894" s="18">
        <f>INDEX(WeeklyIndicators!Y:Y,MATCH(A894,WeeklyIndicators!A:A,0))</f>
        <v>90.77</v>
      </c>
      <c r="J894">
        <f t="shared" si="958"/>
        <v>-2</v>
      </c>
      <c r="K894">
        <f>ROUND(INDEX(Economic!AF:AF,MATCH(EOMONTH($A894,-1),Economic!A:A,0)),2)</f>
        <v>56.33</v>
      </c>
      <c r="L894" s="11">
        <f t="shared" si="967"/>
        <v>-2</v>
      </c>
      <c r="M894">
        <f>ROUND(INDEX(Manufacturing!P:P,MATCH(EOMONTH($A894,-1),Manufacturing!A:A,0)),2)</f>
        <v>62.02</v>
      </c>
      <c r="N894">
        <f t="shared" si="963"/>
        <v>-3</v>
      </c>
      <c r="O894">
        <f>ROUND(INDEX(Housing!AC:AC,MATCH(EOMONTH($A894,-1),Housing!B:B,0)),2)</f>
        <v>132.97999999999999</v>
      </c>
      <c r="P894">
        <f t="shared" si="964"/>
        <v>2</v>
      </c>
      <c r="Q894">
        <f>ROUND(INDEX(Spending!AJ:AJ,MATCH(EOMONTH($A894,-1),Spending!B:B,0)),2)</f>
        <v>41.97</v>
      </c>
      <c r="R894">
        <f t="shared" si="968"/>
        <v>0</v>
      </c>
      <c r="S894">
        <f>ROUND(INDEX(Employment!V:V,MATCH(EOMONTH($A894,-1),Employment!A:A,0)),2)</f>
        <v>94.32</v>
      </c>
      <c r="T894" s="11">
        <f t="shared" si="965"/>
        <v>-3</v>
      </c>
      <c r="U894">
        <f t="shared" si="957"/>
        <v>8</v>
      </c>
      <c r="V894">
        <f t="shared" si="949"/>
        <v>52.32</v>
      </c>
      <c r="W894" s="13">
        <f t="shared" si="950"/>
        <v>3.2000000000000002E-3</v>
      </c>
      <c r="X894" s="13">
        <f t="shared" si="951"/>
        <v>-4.3499999999999997E-2</v>
      </c>
      <c r="Y894">
        <f t="shared" si="943"/>
        <v>41.47</v>
      </c>
      <c r="Z894" s="13">
        <f t="shared" si="938"/>
        <v>7.7000000000000002E-3</v>
      </c>
      <c r="AA894" s="13">
        <f t="shared" si="970"/>
        <v>-4.5700000000000005E-2</v>
      </c>
      <c r="AB894" s="6">
        <f t="shared" si="944"/>
        <v>33.9</v>
      </c>
      <c r="AC894">
        <f t="shared" si="972"/>
        <v>17</v>
      </c>
      <c r="AD894" s="11">
        <f t="shared" ref="AD894:AD957" si="973">IF(AC894&gt;47,2,IF(AND(AC894&gt;41,AC894&lt;=47),1,IF(AC894&lt;15,-2,IF(AND(AC894&lt;32,AC894&gt;=15),-1,0))))</f>
        <v>-1</v>
      </c>
      <c r="AE894">
        <f t="shared" si="971"/>
        <v>9</v>
      </c>
      <c r="AF894">
        <f>IF(AND(AE894&lt;15,OR(AC894&gt;=30,AA894&gt;0.15,X894&gt;=0.15)),2,VLOOKUP(AE894,Table!P:Q,2,FALSE))</f>
        <v>1</v>
      </c>
      <c r="AG894" s="22">
        <f>IF((AB894*0.98)-(D894*0.8)+((AF894-3)*3)+VLOOKUP(AM894,Table!$A$11:$B$13,2,FALSE)&lt;0,0,(AB894*0.98)-(D894*0.8)+((AF894-3)*3)+VLOOKUP(AM894,Table!$A$11:$B$13,2,FALSE))</f>
        <v>0</v>
      </c>
      <c r="AH894" s="22">
        <f t="shared" si="966"/>
        <v>0</v>
      </c>
      <c r="AI894" s="18">
        <f t="shared" si="959"/>
        <v>3.6</v>
      </c>
      <c r="AJ894" s="18">
        <f t="shared" si="960"/>
        <v>4.71</v>
      </c>
      <c r="AK894" t="str">
        <f t="shared" si="945"/>
        <v>Falling Rates</v>
      </c>
      <c r="AL894">
        <f t="shared" si="956"/>
        <v>9</v>
      </c>
      <c r="AM894" s="11" t="str">
        <f t="shared" si="946"/>
        <v>Cash</v>
      </c>
      <c r="AN894" t="str">
        <f t="shared" si="952"/>
        <v>Sell</v>
      </c>
      <c r="AO894" s="13">
        <f t="shared" si="953"/>
        <v>-4.0000000000000001E-3</v>
      </c>
      <c r="AP894" s="13">
        <f t="shared" si="954"/>
        <v>6.9999999999999999E-4</v>
      </c>
      <c r="AQ894" s="13">
        <f t="shared" si="955"/>
        <v>6.9999999999999999E-4</v>
      </c>
      <c r="AR894" s="13">
        <f t="shared" si="947"/>
        <v>6.9999999999999999E-4</v>
      </c>
      <c r="AS894" s="6">
        <f t="shared" si="939"/>
        <v>302.75648611768867</v>
      </c>
      <c r="AT894" s="6">
        <f t="shared" si="940"/>
        <v>154.09498600985154</v>
      </c>
      <c r="AU894" s="6">
        <f t="shared" si="941"/>
        <v>307.32703125431652</v>
      </c>
      <c r="AV894" s="6">
        <f t="shared" si="942"/>
        <v>388.22938232691877</v>
      </c>
      <c r="AW894" s="58">
        <f t="shared" si="948"/>
        <v>2001</v>
      </c>
      <c r="AX894" s="58">
        <f>COUNTIF(AW$3:AW894,AW894)</f>
        <v>25</v>
      </c>
    </row>
    <row r="895" spans="1:50" x14ac:dyDescent="0.25">
      <c r="A895" s="5">
        <v>37080</v>
      </c>
      <c r="B895">
        <v>1190.5899999999999</v>
      </c>
      <c r="C895">
        <v>3.57</v>
      </c>
      <c r="D895" s="6">
        <v>19.059999000000001</v>
      </c>
      <c r="E895" s="18">
        <f t="shared" si="961"/>
        <v>20.63</v>
      </c>
      <c r="F895">
        <f t="shared" si="962"/>
        <v>-1</v>
      </c>
      <c r="G895" s="18">
        <f>ROUND(INDEX(Valuation!U:U,MATCH(A895,Valuation!A:A,0)),2)</f>
        <v>17.77</v>
      </c>
      <c r="H895">
        <f t="shared" si="969"/>
        <v>-3</v>
      </c>
      <c r="I895" s="18">
        <f>INDEX(WeeklyIndicators!Y:Y,MATCH(A895,WeeklyIndicators!A:A,0))</f>
        <v>81.010000000000005</v>
      </c>
      <c r="J895">
        <f t="shared" si="958"/>
        <v>-2</v>
      </c>
      <c r="K895">
        <f>ROUND(INDEX(Economic!AF:AF,MATCH(EOMONTH($A895,-1),Economic!A:A,0)),2)</f>
        <v>56.33</v>
      </c>
      <c r="L895" s="11">
        <f t="shared" si="967"/>
        <v>-2</v>
      </c>
      <c r="M895">
        <f>ROUND(INDEX(Manufacturing!P:P,MATCH(EOMONTH($A895,-1),Manufacturing!A:A,0)),2)</f>
        <v>62.02</v>
      </c>
      <c r="N895">
        <f t="shared" si="963"/>
        <v>-3</v>
      </c>
      <c r="O895">
        <f>ROUND(INDEX(Housing!AC:AC,MATCH(EOMONTH($A895,-1),Housing!B:B,0)),2)</f>
        <v>132.97999999999999</v>
      </c>
      <c r="P895">
        <f t="shared" si="964"/>
        <v>2</v>
      </c>
      <c r="Q895">
        <f>ROUND(INDEX(Spending!AJ:AJ,MATCH(EOMONTH($A895,-1),Spending!B:B,0)),2)</f>
        <v>41.97</v>
      </c>
      <c r="R895">
        <f t="shared" si="968"/>
        <v>0</v>
      </c>
      <c r="S895">
        <f>ROUND(INDEX(Employment!V:V,MATCH(EOMONTH($A895,-1),Employment!A:A,0)),2)</f>
        <v>94.32</v>
      </c>
      <c r="T895" s="11">
        <f t="shared" si="965"/>
        <v>-3</v>
      </c>
      <c r="U895">
        <f t="shared" si="957"/>
        <v>8</v>
      </c>
      <c r="V895">
        <f t="shared" si="949"/>
        <v>51.31</v>
      </c>
      <c r="W895" s="13">
        <f t="shared" si="950"/>
        <v>-1.01E-2</v>
      </c>
      <c r="X895" s="13">
        <f t="shared" si="951"/>
        <v>-6.0500000000000005E-2</v>
      </c>
      <c r="Y895">
        <f t="shared" si="943"/>
        <v>40.42</v>
      </c>
      <c r="Z895" s="13">
        <f t="shared" si="938"/>
        <v>-1.11E-2</v>
      </c>
      <c r="AA895" s="13">
        <f t="shared" si="970"/>
        <v>-6.9500000000000006E-2</v>
      </c>
      <c r="AB895" s="6">
        <f t="shared" si="944"/>
        <v>31.146999999999998</v>
      </c>
      <c r="AC895">
        <f t="shared" si="972"/>
        <v>16</v>
      </c>
      <c r="AD895" s="11">
        <f t="shared" si="973"/>
        <v>-1</v>
      </c>
      <c r="AE895">
        <f t="shared" si="971"/>
        <v>9</v>
      </c>
      <c r="AF895">
        <f>IF(AND(AE895&lt;15,OR(AC895&gt;=30,AA895&gt;0.15,X895&gt;=0.15)),2,VLOOKUP(AE895,Table!P:Q,2,FALSE))</f>
        <v>1</v>
      </c>
      <c r="AG895" s="22">
        <f>IF((AB895*0.98)-(D895*0.8)+((AF895-3)*3)+VLOOKUP(AM895,Table!$A$11:$B$13,2,FALSE)&lt;0,0,(AB895*0.98)-(D895*0.8)+((AF895-3)*3)+VLOOKUP(AM895,Table!$A$11:$B$13,2,FALSE))</f>
        <v>0</v>
      </c>
      <c r="AH895" s="22">
        <f t="shared" si="966"/>
        <v>0</v>
      </c>
      <c r="AI895" s="18">
        <f t="shared" si="959"/>
        <v>3.63</v>
      </c>
      <c r="AJ895" s="18">
        <f t="shared" si="960"/>
        <v>4.7699999999999996</v>
      </c>
      <c r="AK895" t="str">
        <f t="shared" si="945"/>
        <v>Falling Rates</v>
      </c>
      <c r="AL895">
        <f t="shared" si="956"/>
        <v>9</v>
      </c>
      <c r="AM895" s="11" t="str">
        <f t="shared" si="946"/>
        <v>Cash</v>
      </c>
      <c r="AN895" t="str">
        <f t="shared" si="952"/>
        <v>Sell</v>
      </c>
      <c r="AO895" s="13">
        <f t="shared" si="953"/>
        <v>2.1100000000000001E-2</v>
      </c>
      <c r="AP895" s="13">
        <f t="shared" si="954"/>
        <v>6.9999999999999999E-4</v>
      </c>
      <c r="AQ895" s="13">
        <f t="shared" si="955"/>
        <v>6.9999999999999999E-4</v>
      </c>
      <c r="AR895" s="13">
        <f t="shared" si="947"/>
        <v>6.9999999999999999E-4</v>
      </c>
      <c r="AS895" s="6">
        <f t="shared" si="939"/>
        <v>296.50032917215623</v>
      </c>
      <c r="AT895" s="6">
        <f t="shared" si="940"/>
        <v>153.98719497337018</v>
      </c>
      <c r="AU895" s="6">
        <f t="shared" si="941"/>
        <v>307.11205281734442</v>
      </c>
      <c r="AV895" s="6">
        <f t="shared" si="942"/>
        <v>387.95781185861779</v>
      </c>
      <c r="AW895" s="58">
        <f t="shared" si="948"/>
        <v>2001</v>
      </c>
      <c r="AX895" s="58">
        <f>COUNTIF(AW$3:AW895,AW895)</f>
        <v>26</v>
      </c>
    </row>
    <row r="896" spans="1:50" x14ac:dyDescent="0.25">
      <c r="A896" s="5">
        <v>37073</v>
      </c>
      <c r="B896">
        <v>1224.3800000000001</v>
      </c>
      <c r="C896">
        <v>3.47</v>
      </c>
      <c r="D896" s="6">
        <v>20.02</v>
      </c>
      <c r="E896" s="18">
        <f t="shared" si="961"/>
        <v>20.92</v>
      </c>
      <c r="F896">
        <f t="shared" si="962"/>
        <v>-1</v>
      </c>
      <c r="G896" s="18">
        <f>ROUND(INDEX(Valuation!U:U,MATCH(A896,Valuation!A:A,0)),2)</f>
        <v>17.41</v>
      </c>
      <c r="H896">
        <f t="shared" si="969"/>
        <v>-3</v>
      </c>
      <c r="I896" s="18">
        <f>INDEX(WeeklyIndicators!Y:Y,MATCH(A896,WeeklyIndicators!A:A,0))</f>
        <v>75.540000000000006</v>
      </c>
      <c r="J896">
        <f t="shared" si="958"/>
        <v>-2</v>
      </c>
      <c r="K896">
        <f>ROUND(INDEX(Economic!AF:AF,MATCH(EOMONTH($A896,-1),Economic!A:A,0)),2)</f>
        <v>56.33</v>
      </c>
      <c r="L896" s="11">
        <f t="shared" si="967"/>
        <v>-2</v>
      </c>
      <c r="M896">
        <f>ROUND(INDEX(Manufacturing!P:P,MATCH(EOMONTH($A896,-1),Manufacturing!A:A,0)),2)</f>
        <v>62.02</v>
      </c>
      <c r="N896">
        <f t="shared" si="963"/>
        <v>-3</v>
      </c>
      <c r="O896">
        <f>ROUND(INDEX(Housing!AC:AC,MATCH(EOMONTH($A896,-1),Housing!B:B,0)),2)</f>
        <v>132.97999999999999</v>
      </c>
      <c r="P896">
        <f t="shared" si="964"/>
        <v>2</v>
      </c>
      <c r="Q896">
        <f>ROUND(INDEX(Spending!AJ:AJ,MATCH(EOMONTH($A896,-1),Spending!B:B,0)),2)</f>
        <v>41.97</v>
      </c>
      <c r="R896">
        <f t="shared" si="968"/>
        <v>0</v>
      </c>
      <c r="S896">
        <f>ROUND(INDEX(Employment!V:V,MATCH(EOMONTH($A896,-1),Employment!A:A,0)),2)</f>
        <v>94.32</v>
      </c>
      <c r="T896" s="11">
        <f t="shared" si="965"/>
        <v>-3</v>
      </c>
      <c r="U896">
        <f t="shared" si="957"/>
        <v>8</v>
      </c>
      <c r="V896">
        <f t="shared" si="949"/>
        <v>50.74</v>
      </c>
      <c r="W896" s="13">
        <f t="shared" si="950"/>
        <v>-0.02</v>
      </c>
      <c r="X896" s="13">
        <f t="shared" si="951"/>
        <v>-5.0799999999999998E-2</v>
      </c>
      <c r="Y896">
        <f t="shared" si="943"/>
        <v>39.72</v>
      </c>
      <c r="Z896" s="13">
        <f t="shared" ref="Z896:Z959" si="974">ROUND((AVERAGE(Y896:Y898)-AVERAGE(Y897:Y899))/AVERAGE(Y897:Y899),4)</f>
        <v>-2.2200000000000001E-2</v>
      </c>
      <c r="AA896" s="13">
        <f t="shared" si="970"/>
        <v>-6.1000000000000006E-2</v>
      </c>
      <c r="AB896" s="6">
        <f t="shared" si="944"/>
        <v>31.061</v>
      </c>
      <c r="AC896">
        <f t="shared" si="972"/>
        <v>16</v>
      </c>
      <c r="AD896" s="11">
        <f t="shared" si="973"/>
        <v>-1</v>
      </c>
      <c r="AE896">
        <f t="shared" si="971"/>
        <v>9</v>
      </c>
      <c r="AF896">
        <f>IF(AND(AE896&lt;15,OR(AC896&gt;=30,AA896&gt;0.15,X896&gt;=0.15)),2,VLOOKUP(AE896,Table!P:Q,2,FALSE))</f>
        <v>1</v>
      </c>
      <c r="AG896" s="22">
        <f>IF((AB896*0.98)-(D896*0.8)+((AF896-3)*3)+VLOOKUP(AM896,Table!$A$11:$B$13,2,FALSE)&lt;0,0,(AB896*0.98)-(D896*0.8)+((AF896-3)*3)+VLOOKUP(AM896,Table!$A$11:$B$13,2,FALSE))</f>
        <v>0</v>
      </c>
      <c r="AH896" s="22">
        <f t="shared" si="966"/>
        <v>0</v>
      </c>
      <c r="AI896" s="18">
        <f t="shared" si="959"/>
        <v>3.66</v>
      </c>
      <c r="AJ896" s="18">
        <f t="shared" si="960"/>
        <v>4.83</v>
      </c>
      <c r="AK896" t="str">
        <f t="shared" si="945"/>
        <v>Falling Rates</v>
      </c>
      <c r="AL896">
        <f t="shared" si="956"/>
        <v>9.25</v>
      </c>
      <c r="AM896" s="11" t="str">
        <f t="shared" si="946"/>
        <v>Cash</v>
      </c>
      <c r="AN896" t="str">
        <f t="shared" si="952"/>
        <v>Sell</v>
      </c>
      <c r="AO896" s="13">
        <f t="shared" si="953"/>
        <v>-2.76E-2</v>
      </c>
      <c r="AP896" s="13">
        <f t="shared" si="954"/>
        <v>6.9999999999999999E-4</v>
      </c>
      <c r="AQ896" s="13">
        <f t="shared" si="955"/>
        <v>6.9999999999999999E-4</v>
      </c>
      <c r="AR896" s="13">
        <f t="shared" si="947"/>
        <v>6.9999999999999999E-4</v>
      </c>
      <c r="AS896" s="6">
        <f t="shared" si="939"/>
        <v>304.91601107790643</v>
      </c>
      <c r="AT896" s="6">
        <f t="shared" si="940"/>
        <v>153.87947933783371</v>
      </c>
      <c r="AU896" s="6">
        <f t="shared" si="941"/>
        <v>306.89722476001242</v>
      </c>
      <c r="AV896" s="6">
        <f t="shared" si="942"/>
        <v>387.68643135666815</v>
      </c>
      <c r="AW896" s="58">
        <f t="shared" si="948"/>
        <v>2001</v>
      </c>
      <c r="AX896" s="58">
        <f>COUNTIF(AW$3:AW896,AW896)</f>
        <v>27</v>
      </c>
    </row>
    <row r="897" spans="1:50" x14ac:dyDescent="0.25">
      <c r="A897" s="5">
        <v>37066</v>
      </c>
      <c r="B897">
        <v>1225.3499999999999</v>
      </c>
      <c r="C897">
        <v>3.42</v>
      </c>
      <c r="D897" s="6">
        <v>22.809999000000001</v>
      </c>
      <c r="E897" s="18">
        <f t="shared" si="961"/>
        <v>21.44</v>
      </c>
      <c r="F897">
        <f t="shared" si="962"/>
        <v>-1</v>
      </c>
      <c r="G897" s="18">
        <f>ROUND(INDEX(Valuation!U:U,MATCH(A897,Valuation!A:A,0)),2)</f>
        <v>16.7</v>
      </c>
      <c r="H897">
        <f t="shared" si="969"/>
        <v>-3</v>
      </c>
      <c r="I897" s="18">
        <f>INDEX(WeeklyIndicators!Y:Y,MATCH(A897,WeeklyIndicators!A:A,0))</f>
        <v>78.91</v>
      </c>
      <c r="J897">
        <f t="shared" si="958"/>
        <v>-2</v>
      </c>
      <c r="K897">
        <f>ROUND(INDEX(Economic!AF:AF,MATCH(EOMONTH($A897,-1),Economic!A:A,0)),2)</f>
        <v>60.24</v>
      </c>
      <c r="L897" s="11">
        <f t="shared" si="967"/>
        <v>-2</v>
      </c>
      <c r="M897">
        <f>ROUND(INDEX(Manufacturing!P:P,MATCH(EOMONTH($A897,-1),Manufacturing!A:A,0)),2)</f>
        <v>56.88</v>
      </c>
      <c r="N897">
        <f t="shared" si="963"/>
        <v>-3</v>
      </c>
      <c r="O897">
        <f>ROUND(INDEX(Housing!AC:AC,MATCH(EOMONTH($A897,-1),Housing!B:B,0)),2)</f>
        <v>130.56</v>
      </c>
      <c r="P897">
        <f t="shared" si="964"/>
        <v>2</v>
      </c>
      <c r="Q897">
        <f>ROUND(INDEX(Spending!AJ:AJ,MATCH(EOMONTH($A897,-1),Spending!B:B,0)),2)</f>
        <v>45</v>
      </c>
      <c r="R897">
        <f t="shared" si="968"/>
        <v>0</v>
      </c>
      <c r="S897">
        <f>ROUND(INDEX(Employment!V:V,MATCH(EOMONTH($A897,-1),Employment!A:A,0)),2)</f>
        <v>103.93</v>
      </c>
      <c r="T897" s="11">
        <f t="shared" si="965"/>
        <v>-3</v>
      </c>
      <c r="U897">
        <f t="shared" si="957"/>
        <v>8</v>
      </c>
      <c r="V897">
        <f t="shared" si="949"/>
        <v>51.83</v>
      </c>
      <c r="W897" s="13">
        <f t="shared" si="950"/>
        <v>-1.66E-2</v>
      </c>
      <c r="X897" s="13">
        <f t="shared" si="951"/>
        <v>-1.84E-2</v>
      </c>
      <c r="Y897">
        <f t="shared" si="943"/>
        <v>40.54</v>
      </c>
      <c r="Z897" s="13">
        <f t="shared" si="974"/>
        <v>-2.01E-2</v>
      </c>
      <c r="AA897" s="13">
        <f t="shared" si="970"/>
        <v>-2.4099999999999996E-2</v>
      </c>
      <c r="AB897" s="6">
        <f t="shared" si="944"/>
        <v>34.64</v>
      </c>
      <c r="AC897">
        <f t="shared" si="972"/>
        <v>17</v>
      </c>
      <c r="AD897" s="11">
        <f t="shared" si="973"/>
        <v>-1</v>
      </c>
      <c r="AE897">
        <f t="shared" si="971"/>
        <v>9</v>
      </c>
      <c r="AF897">
        <f>IF(AND(AE897&lt;15,OR(AC897&gt;=30,AA897&gt;0.15,X897&gt;=0.15)),2,VLOOKUP(AE897,Table!P:Q,2,FALSE))</f>
        <v>1</v>
      </c>
      <c r="AG897" s="22">
        <f>IF((AB897*0.98)-(D897*0.8)+((AF897-3)*3)+VLOOKUP(AM897,Table!$A$11:$B$13,2,FALSE)&lt;0,0,(AB897*0.98)-(D897*0.8)+((AF897-3)*3)+VLOOKUP(AM897,Table!$A$11:$B$13,2,FALSE))</f>
        <v>0</v>
      </c>
      <c r="AH897" s="22">
        <f t="shared" si="966"/>
        <v>2</v>
      </c>
      <c r="AI897" s="18">
        <f t="shared" si="959"/>
        <v>3.72</v>
      </c>
      <c r="AJ897" s="18">
        <f t="shared" si="960"/>
        <v>4.9000000000000004</v>
      </c>
      <c r="AK897" t="str">
        <f t="shared" si="945"/>
        <v>Falling Rates</v>
      </c>
      <c r="AL897">
        <f t="shared" si="956"/>
        <v>9.5</v>
      </c>
      <c r="AM897" s="11" t="str">
        <f t="shared" si="946"/>
        <v>Cash</v>
      </c>
      <c r="AN897" t="str">
        <f t="shared" si="952"/>
        <v>Sell</v>
      </c>
      <c r="AO897" s="13">
        <f t="shared" si="953"/>
        <v>-8.0000000000000004E-4</v>
      </c>
      <c r="AP897" s="13">
        <f t="shared" si="954"/>
        <v>6.9999999999999999E-4</v>
      </c>
      <c r="AQ897" s="13">
        <f t="shared" si="955"/>
        <v>6.9999999999999999E-4</v>
      </c>
      <c r="AR897" s="13">
        <f t="shared" si="947"/>
        <v>6.9999999999999999E-4</v>
      </c>
      <c r="AS897" s="6">
        <f t="shared" si="939"/>
        <v>305.16013918925785</v>
      </c>
      <c r="AT897" s="6">
        <f t="shared" si="940"/>
        <v>153.77183905049839</v>
      </c>
      <c r="AU897" s="6">
        <f t="shared" si="941"/>
        <v>306.68254697712848</v>
      </c>
      <c r="AV897" s="6">
        <f t="shared" si="942"/>
        <v>387.41524068818643</v>
      </c>
      <c r="AW897" s="58">
        <f t="shared" si="948"/>
        <v>2001</v>
      </c>
      <c r="AX897" s="58">
        <f>COUNTIF(AW$3:AW897,AW897)</f>
        <v>28</v>
      </c>
    </row>
    <row r="898" spans="1:50" x14ac:dyDescent="0.25">
      <c r="A898" s="5">
        <v>37059</v>
      </c>
      <c r="B898">
        <v>1214.3599999999999</v>
      </c>
      <c r="C898">
        <v>3.48</v>
      </c>
      <c r="D898" s="6">
        <v>19.920000000000002</v>
      </c>
      <c r="E898" s="18">
        <f t="shared" si="961"/>
        <v>20.7</v>
      </c>
      <c r="F898">
        <f t="shared" si="962"/>
        <v>-1</v>
      </c>
      <c r="G898" s="18">
        <f>ROUND(INDEX(Valuation!U:U,MATCH(A898,Valuation!A:A,0)),2)</f>
        <v>15.89</v>
      </c>
      <c r="H898">
        <f t="shared" si="969"/>
        <v>-3</v>
      </c>
      <c r="I898" s="18">
        <f>INDEX(WeeklyIndicators!Y:Y,MATCH(A898,WeeklyIndicators!A:A,0))</f>
        <v>89.11</v>
      </c>
      <c r="J898">
        <f t="shared" si="958"/>
        <v>-2</v>
      </c>
      <c r="K898">
        <f>ROUND(INDEX(Economic!AF:AF,MATCH(EOMONTH($A898,-1),Economic!A:A,0)),2)</f>
        <v>60.24</v>
      </c>
      <c r="L898" s="11">
        <f t="shared" si="967"/>
        <v>-2</v>
      </c>
      <c r="M898">
        <f>ROUND(INDEX(Manufacturing!P:P,MATCH(EOMONTH($A898,-1),Manufacturing!A:A,0)),2)</f>
        <v>56.88</v>
      </c>
      <c r="N898">
        <f t="shared" si="963"/>
        <v>-3</v>
      </c>
      <c r="O898">
        <f>ROUND(INDEX(Housing!AC:AC,MATCH(EOMONTH($A898,-1),Housing!B:B,0)),2)</f>
        <v>130.56</v>
      </c>
      <c r="P898">
        <f t="shared" si="964"/>
        <v>2</v>
      </c>
      <c r="Q898">
        <f>ROUND(INDEX(Spending!AJ:AJ,MATCH(EOMONTH($A898,-1),Spending!B:B,0)),2)</f>
        <v>45</v>
      </c>
      <c r="R898">
        <f t="shared" si="968"/>
        <v>0</v>
      </c>
      <c r="S898">
        <f>ROUND(INDEX(Employment!V:V,MATCH(EOMONTH($A898,-1),Employment!A:A,0)),2)</f>
        <v>103.93</v>
      </c>
      <c r="T898" s="11">
        <f t="shared" si="965"/>
        <v>-3</v>
      </c>
      <c r="U898">
        <f t="shared" si="957"/>
        <v>8</v>
      </c>
      <c r="V898">
        <f t="shared" si="949"/>
        <v>52.88</v>
      </c>
      <c r="W898" s="13">
        <f t="shared" si="950"/>
        <v>-1.38E-2</v>
      </c>
      <c r="X898" s="13">
        <f t="shared" si="951"/>
        <v>2.35E-2</v>
      </c>
      <c r="Y898">
        <f t="shared" si="943"/>
        <v>41.77</v>
      </c>
      <c r="Z898" s="13">
        <f t="shared" si="974"/>
        <v>-1.61E-2</v>
      </c>
      <c r="AA898" s="13">
        <f t="shared" si="970"/>
        <v>3.3499999999999995E-2</v>
      </c>
      <c r="AB898" s="6">
        <f t="shared" si="944"/>
        <v>40.098999999999997</v>
      </c>
      <c r="AC898">
        <f t="shared" si="972"/>
        <v>20</v>
      </c>
      <c r="AD898" s="11">
        <f t="shared" si="973"/>
        <v>-1</v>
      </c>
      <c r="AE898">
        <f t="shared" si="971"/>
        <v>9</v>
      </c>
      <c r="AF898">
        <f>IF(AND(AE898&lt;15,OR(AC898&gt;=30,AA898&gt;0.15,X898&gt;=0.15)),2,VLOOKUP(AE898,Table!P:Q,2,FALSE))</f>
        <v>1</v>
      </c>
      <c r="AG898" s="22">
        <f>IF((AB898*0.98)-(D898*0.8)+((AF898-3)*3)+VLOOKUP(AM898,Table!$A$11:$B$13,2,FALSE)&lt;0,0,(AB898*0.98)-(D898*0.8)+((AF898-3)*3)+VLOOKUP(AM898,Table!$A$11:$B$13,2,FALSE))</f>
        <v>1.3610199999999963</v>
      </c>
      <c r="AH898" s="22">
        <f t="shared" si="966"/>
        <v>4</v>
      </c>
      <c r="AI898" s="18">
        <f t="shared" si="959"/>
        <v>3.78</v>
      </c>
      <c r="AJ898" s="18">
        <f t="shared" si="960"/>
        <v>4.97</v>
      </c>
      <c r="AK898" t="str">
        <f t="shared" si="945"/>
        <v>Falling Rates</v>
      </c>
      <c r="AL898">
        <f t="shared" si="956"/>
        <v>9.5</v>
      </c>
      <c r="AM898" s="11" t="str">
        <f t="shared" si="946"/>
        <v>Cash</v>
      </c>
      <c r="AN898" t="str">
        <f t="shared" si="952"/>
        <v>Sell</v>
      </c>
      <c r="AO898" s="13">
        <f t="shared" si="953"/>
        <v>9.1000000000000004E-3</v>
      </c>
      <c r="AP898" s="13">
        <f t="shared" si="954"/>
        <v>6.9999999999999999E-4</v>
      </c>
      <c r="AQ898" s="13">
        <f t="shared" si="955"/>
        <v>1E-3</v>
      </c>
      <c r="AR898" s="13">
        <f t="shared" si="947"/>
        <v>6.9999999999999999E-4</v>
      </c>
      <c r="AS898" s="6">
        <f t="shared" si="939"/>
        <v>302.40822434769382</v>
      </c>
      <c r="AT898" s="6">
        <f t="shared" si="940"/>
        <v>153.66427405865733</v>
      </c>
      <c r="AU898" s="6">
        <f t="shared" si="941"/>
        <v>306.37617080632219</v>
      </c>
      <c r="AV898" s="6">
        <f t="shared" si="942"/>
        <v>387.14423972038219</v>
      </c>
      <c r="AW898" s="58">
        <f t="shared" si="948"/>
        <v>2001</v>
      </c>
      <c r="AX898" s="58">
        <f>COUNTIF(AW$3:AW898,AW898)</f>
        <v>29</v>
      </c>
    </row>
    <row r="899" spans="1:50" x14ac:dyDescent="0.25">
      <c r="A899" s="5">
        <v>37052</v>
      </c>
      <c r="B899">
        <v>1264.96</v>
      </c>
      <c r="C899">
        <v>3.56</v>
      </c>
      <c r="D899" s="6">
        <v>21.59</v>
      </c>
      <c r="E899" s="18">
        <f t="shared" si="961"/>
        <v>21.14</v>
      </c>
      <c r="F899">
        <f t="shared" si="962"/>
        <v>-1</v>
      </c>
      <c r="G899" s="18">
        <f>ROUND(INDEX(Valuation!U:U,MATCH(A899,Valuation!A:A,0)),2)</f>
        <v>14.43</v>
      </c>
      <c r="H899">
        <f t="shared" si="969"/>
        <v>-3</v>
      </c>
      <c r="I899" s="18">
        <f>INDEX(WeeklyIndicators!Y:Y,MATCH(A899,WeeklyIndicators!A:A,0))</f>
        <v>99.1</v>
      </c>
      <c r="J899">
        <f t="shared" si="958"/>
        <v>-1</v>
      </c>
      <c r="K899">
        <f>ROUND(INDEX(Economic!AF:AF,MATCH(EOMONTH($A899,-1),Economic!A:A,0)),2)</f>
        <v>60.24</v>
      </c>
      <c r="L899" s="11">
        <f t="shared" si="967"/>
        <v>-2</v>
      </c>
      <c r="M899">
        <f>ROUND(INDEX(Manufacturing!P:P,MATCH(EOMONTH($A899,-1),Manufacturing!A:A,0)),2)</f>
        <v>56.88</v>
      </c>
      <c r="N899">
        <f t="shared" si="963"/>
        <v>-3</v>
      </c>
      <c r="O899">
        <f>ROUND(INDEX(Housing!AC:AC,MATCH(EOMONTH($A899,-1),Housing!B:B,0)),2)</f>
        <v>130.56</v>
      </c>
      <c r="P899">
        <f t="shared" si="964"/>
        <v>2</v>
      </c>
      <c r="Q899">
        <f>ROUND(INDEX(Spending!AJ:AJ,MATCH(EOMONTH($A899,-1),Spending!B:B,0)),2)</f>
        <v>45</v>
      </c>
      <c r="R899">
        <f t="shared" si="968"/>
        <v>0</v>
      </c>
      <c r="S899">
        <f>ROUND(INDEX(Employment!V:V,MATCH(EOMONTH($A899,-1),Employment!A:A,0)),2)</f>
        <v>103.93</v>
      </c>
      <c r="T899" s="11">
        <f t="shared" si="965"/>
        <v>-3</v>
      </c>
      <c r="U899">
        <f t="shared" si="957"/>
        <v>9</v>
      </c>
      <c r="V899">
        <f t="shared" si="949"/>
        <v>53.92</v>
      </c>
      <c r="W899" s="13">
        <f t="shared" si="950"/>
        <v>-4.0000000000000002E-4</v>
      </c>
      <c r="X899" s="13">
        <f t="shared" si="951"/>
        <v>5.0200000000000002E-2</v>
      </c>
      <c r="Y899">
        <f t="shared" si="943"/>
        <v>42.49</v>
      </c>
      <c r="Z899" s="13">
        <f t="shared" si="974"/>
        <v>-2.5999999999999999E-3</v>
      </c>
      <c r="AA899" s="13">
        <f t="shared" si="970"/>
        <v>7.9299999999999995E-2</v>
      </c>
      <c r="AB899" s="6">
        <f t="shared" si="944"/>
        <v>44.042999999999999</v>
      </c>
      <c r="AC899">
        <f t="shared" si="972"/>
        <v>22</v>
      </c>
      <c r="AD899" s="11">
        <f t="shared" si="973"/>
        <v>-1</v>
      </c>
      <c r="AE899">
        <f t="shared" si="971"/>
        <v>10</v>
      </c>
      <c r="AF899">
        <f>IF(AND(AE899&lt;15,OR(AC899&gt;=30,AA899&gt;0.15,X899&gt;=0.15)),2,VLOOKUP(AE899,Table!P:Q,2,FALSE))</f>
        <v>1</v>
      </c>
      <c r="AG899" s="22">
        <f>IF((AB899*0.98)-(D899*0.8)+((AF899-3)*3)+VLOOKUP(AM899,Table!$A$11:$B$13,2,FALSE)&lt;0,0,(AB899*0.98)-(D899*0.8)+((AF899-3)*3)+VLOOKUP(AM899,Table!$A$11:$B$13,2,FALSE))</f>
        <v>3.8901399999999988</v>
      </c>
      <c r="AH899" s="22">
        <f t="shared" si="966"/>
        <v>7</v>
      </c>
      <c r="AI899" s="18">
        <f t="shared" si="959"/>
        <v>3.86</v>
      </c>
      <c r="AJ899" s="18">
        <f t="shared" si="960"/>
        <v>5.03</v>
      </c>
      <c r="AK899" t="str">
        <f t="shared" si="945"/>
        <v>Falling Rates</v>
      </c>
      <c r="AL899">
        <f t="shared" si="956"/>
        <v>9.5</v>
      </c>
      <c r="AM899" s="11" t="str">
        <f t="shared" si="946"/>
        <v>Cash</v>
      </c>
      <c r="AN899" t="str">
        <f t="shared" si="952"/>
        <v>Sell</v>
      </c>
      <c r="AO899" s="13">
        <f t="shared" si="953"/>
        <v>-0.04</v>
      </c>
      <c r="AP899" s="13">
        <f t="shared" si="954"/>
        <v>6.9999999999999999E-4</v>
      </c>
      <c r="AQ899" s="13">
        <f t="shared" si="955"/>
        <v>-2.0999999999999999E-3</v>
      </c>
      <c r="AR899" s="13">
        <f t="shared" si="947"/>
        <v>6.9999999999999999E-4</v>
      </c>
      <c r="AS899" s="6">
        <f t="shared" ref="AS899:AS962" si="975">AS900*(1+AO900)</f>
        <v>315.00856702884772</v>
      </c>
      <c r="AT899" s="6">
        <f t="shared" ref="AT899:AT962" si="976">AT900*(1+AP900)</f>
        <v>153.55678430964059</v>
      </c>
      <c r="AU899" s="6">
        <f t="shared" ref="AU899:AU962" si="977">AU900*(1+AQ900)</f>
        <v>307.02091472724942</v>
      </c>
      <c r="AV899" s="6">
        <f t="shared" ref="AV899:AV962" si="978">AV900*(1+AR900)</f>
        <v>386.87342832055782</v>
      </c>
      <c r="AW899" s="58">
        <f t="shared" si="948"/>
        <v>2001</v>
      </c>
      <c r="AX899" s="58">
        <f>COUNTIF(AW$3:AW899,AW899)</f>
        <v>30</v>
      </c>
    </row>
    <row r="900" spans="1:50" x14ac:dyDescent="0.25">
      <c r="A900" s="5">
        <v>37045</v>
      </c>
      <c r="B900">
        <v>1260.67</v>
      </c>
      <c r="C900">
        <v>3.59</v>
      </c>
      <c r="D900" s="6">
        <v>20.6</v>
      </c>
      <c r="E900" s="18">
        <f t="shared" si="961"/>
        <v>21.79</v>
      </c>
      <c r="F900">
        <f t="shared" si="962"/>
        <v>-1</v>
      </c>
      <c r="G900" s="18">
        <f>ROUND(INDEX(Valuation!U:U,MATCH(A900,Valuation!A:A,0)),2)</f>
        <v>16.77</v>
      </c>
      <c r="H900">
        <f t="shared" si="969"/>
        <v>-3</v>
      </c>
      <c r="I900" s="18">
        <f>INDEX(WeeklyIndicators!Y:Y,MATCH(A900,WeeklyIndicators!A:A,0))</f>
        <v>104.68</v>
      </c>
      <c r="J900">
        <f t="shared" si="958"/>
        <v>-1</v>
      </c>
      <c r="K900">
        <f>ROUND(INDEX(Economic!AF:AF,MATCH(EOMONTH($A900,-1),Economic!A:A,0)),2)</f>
        <v>60.24</v>
      </c>
      <c r="L900" s="11">
        <f t="shared" si="967"/>
        <v>-2</v>
      </c>
      <c r="M900">
        <f>ROUND(INDEX(Manufacturing!P:P,MATCH(EOMONTH($A900,-1),Manufacturing!A:A,0)),2)</f>
        <v>56.88</v>
      </c>
      <c r="N900">
        <f t="shared" si="963"/>
        <v>-3</v>
      </c>
      <c r="O900">
        <f>ROUND(INDEX(Housing!AC:AC,MATCH(EOMONTH($A900,-1),Housing!B:B,0)),2)</f>
        <v>130.56</v>
      </c>
      <c r="P900">
        <f t="shared" si="964"/>
        <v>2</v>
      </c>
      <c r="Q900">
        <f>ROUND(INDEX(Spending!AJ:AJ,MATCH(EOMONTH($A900,-1),Spending!B:B,0)),2)</f>
        <v>45</v>
      </c>
      <c r="R900">
        <f t="shared" si="968"/>
        <v>0</v>
      </c>
      <c r="S900">
        <f>ROUND(INDEX(Employment!V:V,MATCH(EOMONTH($A900,-1),Employment!A:A,0)),2)</f>
        <v>103.93</v>
      </c>
      <c r="T900" s="11">
        <f t="shared" si="965"/>
        <v>-3</v>
      </c>
      <c r="U900">
        <f t="shared" si="957"/>
        <v>9</v>
      </c>
      <c r="V900">
        <f t="shared" si="949"/>
        <v>54.5</v>
      </c>
      <c r="W900" s="13">
        <f t="shared" si="950"/>
        <v>1.24E-2</v>
      </c>
      <c r="X900" s="13">
        <f t="shared" si="951"/>
        <v>6.2199999999999998E-2</v>
      </c>
      <c r="Y900">
        <f t="shared" ref="Y900:Y963" si="979">ROUND(((K900*0.745)+(M900*0.745)+(O900*0.36)+(Q900*0.45)+(S900*0.45)+(I900*0.55)+(G900*0.59)-(E900*1.85))/5.3,2)</f>
        <v>43.1</v>
      </c>
      <c r="Z900" s="13">
        <f t="shared" si="974"/>
        <v>1.47E-2</v>
      </c>
      <c r="AA900" s="13">
        <f t="shared" si="970"/>
        <v>0.10969999999999999</v>
      </c>
      <c r="AB900" s="6">
        <f t="shared" ref="AB900:AB963" si="980">IF(ROUND(Y900+(X900*10)+(V900/30)+(AA900*67),2)+5+((G900-125)*0.1)&lt;0,0,ROUND(Y900+(X900*10)+(V900/30)+(AA900*67),2)+5+((G900-125)*0.1))</f>
        <v>47.067</v>
      </c>
      <c r="AC900">
        <f t="shared" si="972"/>
        <v>24</v>
      </c>
      <c r="AD900" s="11">
        <f t="shared" si="973"/>
        <v>-1</v>
      </c>
      <c r="AE900">
        <f t="shared" si="971"/>
        <v>10</v>
      </c>
      <c r="AF900">
        <f>IF(AND(AE900&lt;15,OR(AC900&gt;=30,AA900&gt;0.15,X900&gt;=0.15)),2,VLOOKUP(AE900,Table!P:Q,2,FALSE))</f>
        <v>1</v>
      </c>
      <c r="AG900" s="22">
        <f>IF((AB900*0.98)-(D900*0.8)+((AF900-3)*3)+VLOOKUP(AM900,Table!$A$11:$B$13,2,FALSE)&lt;0,0,(AB900*0.98)-(D900*0.8)+((AF900-3)*3)+VLOOKUP(AM900,Table!$A$11:$B$13,2,FALSE))</f>
        <v>7.6456599999999959</v>
      </c>
      <c r="AH900" s="22">
        <f t="shared" si="966"/>
        <v>7</v>
      </c>
      <c r="AI900" s="18">
        <f t="shared" si="959"/>
        <v>3.94</v>
      </c>
      <c r="AJ900" s="18">
        <f t="shared" si="960"/>
        <v>5.09</v>
      </c>
      <c r="AK900" t="str">
        <f t="shared" ref="AK900:AK963" si="981">IF(AND(C900&gt;AI900,AI900&gt;AJ900,C900-AJ900&gt;0.15),"Rising Rates",IF(AND(C900&lt;AI900,AI900&lt;AJ900,AJ900-C900&gt;0.15),"Falling Rates",""))</f>
        <v>Falling Rates</v>
      </c>
      <c r="AL900">
        <f t="shared" si="956"/>
        <v>9.25</v>
      </c>
      <c r="AM900" s="11" t="str">
        <f t="shared" ref="AM900:AM963" si="982">IF(OR(AND(AL900&lt;=18,G900&lt;=25),AND(AL900&lt;=14,G900&lt;200)),"Cash","Stocks")</f>
        <v>Cash</v>
      </c>
      <c r="AN900" t="str">
        <f t="shared" si="952"/>
        <v>Sell</v>
      </c>
      <c r="AO900" s="13">
        <f t="shared" si="953"/>
        <v>3.3999999999999998E-3</v>
      </c>
      <c r="AP900" s="13">
        <f t="shared" si="954"/>
        <v>6.9999999999999999E-4</v>
      </c>
      <c r="AQ900" s="13">
        <f t="shared" si="955"/>
        <v>8.9999999999999998E-4</v>
      </c>
      <c r="AR900" s="13">
        <f t="shared" ref="AR900:AR963" si="983">IF(AM900="Stocks",AO900,AP900)</f>
        <v>6.9999999999999999E-4</v>
      </c>
      <c r="AS900" s="6">
        <f t="shared" si="975"/>
        <v>313.94116706084083</v>
      </c>
      <c r="AT900" s="6">
        <f t="shared" si="976"/>
        <v>153.44936975081504</v>
      </c>
      <c r="AU900" s="6">
        <f t="shared" si="977"/>
        <v>306.74484436731888</v>
      </c>
      <c r="AV900" s="6">
        <f t="shared" si="978"/>
        <v>386.6028063561086</v>
      </c>
      <c r="AW900" s="58">
        <f t="shared" ref="AW900:AW963" si="984">YEAR(A900)</f>
        <v>2001</v>
      </c>
      <c r="AX900" s="58">
        <f>COUNTIF(AW$3:AW900,AW900)</f>
        <v>31</v>
      </c>
    </row>
    <row r="901" spans="1:50" x14ac:dyDescent="0.25">
      <c r="A901" s="5">
        <v>37038</v>
      </c>
      <c r="B901">
        <v>1277.8900000000001</v>
      </c>
      <c r="C901">
        <v>3.58</v>
      </c>
      <c r="D901" s="6">
        <v>21.23</v>
      </c>
      <c r="E901" s="18">
        <f t="shared" si="961"/>
        <v>22.89</v>
      </c>
      <c r="F901">
        <f t="shared" si="962"/>
        <v>-1</v>
      </c>
      <c r="G901" s="18">
        <f>ROUND(INDEX(Valuation!U:U,MATCH(A901,Valuation!A:A,0)),2)</f>
        <v>21.36</v>
      </c>
      <c r="H901">
        <f t="shared" si="969"/>
        <v>-3</v>
      </c>
      <c r="I901" s="18">
        <f>INDEX(WeeklyIndicators!Y:Y,MATCH(A901,WeeklyIndicators!A:A,0))</f>
        <v>101.28</v>
      </c>
      <c r="J901">
        <f t="shared" si="958"/>
        <v>-1</v>
      </c>
      <c r="K901">
        <f>ROUND(INDEX(Economic!AF:AF,MATCH(EOMONTH($A901,-1),Economic!A:A,0)),2)</f>
        <v>68.099999999999994</v>
      </c>
      <c r="L901" s="11">
        <f t="shared" si="967"/>
        <v>-2</v>
      </c>
      <c r="M901">
        <f>ROUND(INDEX(Manufacturing!P:P,MATCH(EOMONTH($A901,-1),Manufacturing!A:A,0)),2)</f>
        <v>51.56</v>
      </c>
      <c r="N901">
        <f t="shared" si="963"/>
        <v>-3</v>
      </c>
      <c r="O901">
        <f>ROUND(INDEX(Housing!AC:AC,MATCH(EOMONTH($A901,-1),Housing!B:B,0)),2)</f>
        <v>127.65</v>
      </c>
      <c r="P901">
        <f t="shared" si="964"/>
        <v>1</v>
      </c>
      <c r="Q901">
        <f>ROUND(INDEX(Spending!AJ:AJ,MATCH(EOMONTH($A901,-1),Spending!B:B,0)),2)</f>
        <v>47.65</v>
      </c>
      <c r="R901">
        <f t="shared" si="968"/>
        <v>0</v>
      </c>
      <c r="S901">
        <f>ROUND(INDEX(Employment!V:V,MATCH(EOMONTH($A901,-1),Employment!A:A,0)),2)</f>
        <v>110.95</v>
      </c>
      <c r="T901" s="11">
        <f t="shared" si="965"/>
        <v>-3</v>
      </c>
      <c r="U901">
        <f t="shared" si="957"/>
        <v>8</v>
      </c>
      <c r="V901">
        <f t="shared" ref="V901:V964" si="985">ROUND(((K901*0.745)+(M901*0.745)+(O901*0.36)+(Q901*0.45)+(S901*0.45)+(I901*0.55)+(60)-(30))/5.3,2)</f>
        <v>55.13</v>
      </c>
      <c r="W901" s="13">
        <f t="shared" ref="W901:W964" si="986">ROUND((AVERAGE(V901:V903)-AVERAGE(V902:V904))/AVERAGE(V902:V904),4)</f>
        <v>2.53E-2</v>
      </c>
      <c r="X901" s="13">
        <f t="shared" ref="X901:X964" si="987">SUM(W901:W904)</f>
        <v>5.8799999999999998E-2</v>
      </c>
      <c r="Y901">
        <f t="shared" si="979"/>
        <v>43.85</v>
      </c>
      <c r="Z901" s="13">
        <f t="shared" si="974"/>
        <v>3.7499999999999999E-2</v>
      </c>
      <c r="AA901" s="13">
        <f t="shared" si="970"/>
        <v>0.1143</v>
      </c>
      <c r="AB901" s="6">
        <f t="shared" si="980"/>
        <v>48.566000000000003</v>
      </c>
      <c r="AC901">
        <f t="shared" si="972"/>
        <v>24</v>
      </c>
      <c r="AD901" s="11">
        <f t="shared" si="973"/>
        <v>-1</v>
      </c>
      <c r="AE901">
        <f t="shared" si="971"/>
        <v>9</v>
      </c>
      <c r="AF901">
        <f>IF(AND(AE901&lt;15,OR(AC901&gt;=30,AA901&gt;0.15,X901&gt;=0.15)),2,VLOOKUP(AE901,Table!P:Q,2,FALSE))</f>
        <v>1</v>
      </c>
      <c r="AG901" s="22">
        <f>IF((AB901*0.98)-(D901*0.8)+((AF901-3)*3)+VLOOKUP(AM901,Table!$A$11:$B$13,2,FALSE)&lt;0,0,(AB901*0.98)-(D901*0.8)+((AF901-3)*3)+VLOOKUP(AM901,Table!$A$11:$B$13,2,FALSE))</f>
        <v>8.6106800000000021</v>
      </c>
      <c r="AH901" s="22">
        <f t="shared" si="966"/>
        <v>4</v>
      </c>
      <c r="AI901" s="18">
        <f t="shared" si="959"/>
        <v>4.03</v>
      </c>
      <c r="AJ901" s="18">
        <f t="shared" si="960"/>
        <v>5.16</v>
      </c>
      <c r="AK901" t="str">
        <f t="shared" si="981"/>
        <v>Falling Rates</v>
      </c>
      <c r="AL901">
        <f t="shared" si="956"/>
        <v>8.5</v>
      </c>
      <c r="AM901" s="11" t="str">
        <f t="shared" si="982"/>
        <v>Cash</v>
      </c>
      <c r="AN901" t="str">
        <f t="shared" ref="AN901:AN964" si="988">IF(AND(V901&gt;AG901,V901&lt;65),"Sell","Buy")</f>
        <v>Sell</v>
      </c>
      <c r="AO901" s="13">
        <f t="shared" ref="AO901:AO964" si="989">ROUND((B900/B901)-1,4)</f>
        <v>-1.35E-2</v>
      </c>
      <c r="AP901" s="13">
        <f t="shared" ref="AP901:AP964" si="990">ROUND((C901*0.01)/52,4)</f>
        <v>6.9999999999999999E-4</v>
      </c>
      <c r="AQ901" s="13">
        <f t="shared" ref="AQ901:AQ964" si="991">ROUND(((AH901*0.01)*AO901)+(((100-AH901)*0.01)*AP901),4)</f>
        <v>1E-4</v>
      </c>
      <c r="AR901" s="13">
        <f t="shared" si="983"/>
        <v>6.9999999999999999E-4</v>
      </c>
      <c r="AS901" s="6">
        <f t="shared" si="975"/>
        <v>318.23737157713208</v>
      </c>
      <c r="AT901" s="6">
        <f t="shared" si="976"/>
        <v>153.34203032958433</v>
      </c>
      <c r="AU901" s="6">
        <f t="shared" si="977"/>
        <v>306.71417295002385</v>
      </c>
      <c r="AV901" s="6">
        <f t="shared" si="978"/>
        <v>386.33237369452246</v>
      </c>
      <c r="AW901" s="58">
        <f t="shared" si="984"/>
        <v>2001</v>
      </c>
      <c r="AX901" s="58">
        <f>COUNTIF(AW$3:AW901,AW901)</f>
        <v>32</v>
      </c>
    </row>
    <row r="902" spans="1:50" x14ac:dyDescent="0.25">
      <c r="A902" s="5">
        <v>37031</v>
      </c>
      <c r="B902">
        <v>1291.96</v>
      </c>
      <c r="C902">
        <v>3.54</v>
      </c>
      <c r="D902" s="6">
        <v>23.540001</v>
      </c>
      <c r="E902" s="18">
        <f t="shared" si="961"/>
        <v>23.82</v>
      </c>
      <c r="F902">
        <f t="shared" si="962"/>
        <v>-1</v>
      </c>
      <c r="G902" s="18">
        <f>ROUND(INDEX(Valuation!U:U,MATCH(A902,Valuation!A:A,0)),2)</f>
        <v>25.35</v>
      </c>
      <c r="H902">
        <f t="shared" si="969"/>
        <v>-2</v>
      </c>
      <c r="I902" s="18">
        <f>INDEX(WeeklyIndicators!Y:Y,MATCH(A902,WeeklyIndicators!A:A,0))</f>
        <v>90.21</v>
      </c>
      <c r="J902">
        <f t="shared" si="958"/>
        <v>-2</v>
      </c>
      <c r="K902">
        <f>ROUND(INDEX(Economic!AF:AF,MATCH(EOMONTH($A902,-1),Economic!A:A,0)),2)</f>
        <v>68.099999999999994</v>
      </c>
      <c r="L902" s="11">
        <f t="shared" si="967"/>
        <v>-2</v>
      </c>
      <c r="M902">
        <f>ROUND(INDEX(Manufacturing!P:P,MATCH(EOMONTH($A902,-1),Manufacturing!A:A,0)),2)</f>
        <v>51.56</v>
      </c>
      <c r="N902">
        <f t="shared" si="963"/>
        <v>-3</v>
      </c>
      <c r="O902">
        <f>ROUND(INDEX(Housing!AC:AC,MATCH(EOMONTH($A902,-1),Housing!B:B,0)),2)</f>
        <v>127.65</v>
      </c>
      <c r="P902">
        <f t="shared" si="964"/>
        <v>1</v>
      </c>
      <c r="Q902">
        <f>ROUND(INDEX(Spending!AJ:AJ,MATCH(EOMONTH($A902,-1),Spending!B:B,0)),2)</f>
        <v>47.65</v>
      </c>
      <c r="R902">
        <f t="shared" si="968"/>
        <v>0</v>
      </c>
      <c r="S902">
        <f>ROUND(INDEX(Employment!V:V,MATCH(EOMONTH($A902,-1),Employment!A:A,0)),2)</f>
        <v>110.95</v>
      </c>
      <c r="T902" s="11">
        <f t="shared" si="965"/>
        <v>-3</v>
      </c>
      <c r="U902">
        <f t="shared" si="957"/>
        <v>8</v>
      </c>
      <c r="V902">
        <f t="shared" si="985"/>
        <v>53.98</v>
      </c>
      <c r="W902" s="13">
        <f t="shared" si="986"/>
        <v>1.29E-2</v>
      </c>
      <c r="X902" s="13">
        <f t="shared" si="987"/>
        <v>4.8300000000000003E-2</v>
      </c>
      <c r="Y902">
        <f t="shared" si="979"/>
        <v>42.83</v>
      </c>
      <c r="Z902" s="13">
        <f t="shared" si="974"/>
        <v>2.9700000000000001E-2</v>
      </c>
      <c r="AA902" s="13">
        <f t="shared" si="970"/>
        <v>9.1799999999999993E-2</v>
      </c>
      <c r="AB902" s="6">
        <f t="shared" si="980"/>
        <v>46.294999999999995</v>
      </c>
      <c r="AC902">
        <f t="shared" si="972"/>
        <v>23</v>
      </c>
      <c r="AD902" s="11">
        <f t="shared" si="973"/>
        <v>-1</v>
      </c>
      <c r="AE902">
        <f t="shared" si="971"/>
        <v>9</v>
      </c>
      <c r="AF902">
        <f>IF(AND(AE902&lt;15,OR(AC902&gt;=30,AA902&gt;0.15,X902&gt;=0.15)),2,VLOOKUP(AE902,Table!P:Q,2,FALSE))</f>
        <v>1</v>
      </c>
      <c r="AG902" s="22">
        <f>IF((AB902*0.98)-(D902*0.8)+((AF902-3)*3)+VLOOKUP(AM902,Table!$A$11:$B$13,2,FALSE)&lt;0,0,(AB902*0.98)-(D902*0.8)+((AF902-3)*3)+VLOOKUP(AM902,Table!$A$11:$B$13,2,FALSE))</f>
        <v>4.5370991999999966</v>
      </c>
      <c r="AH902" s="22">
        <f t="shared" si="966"/>
        <v>2</v>
      </c>
      <c r="AI902" s="18">
        <f t="shared" si="959"/>
        <v>4.13</v>
      </c>
      <c r="AJ902" s="18">
        <f t="shared" si="960"/>
        <v>5.22</v>
      </c>
      <c r="AK902" t="str">
        <f t="shared" si="981"/>
        <v>Falling Rates</v>
      </c>
      <c r="AL902">
        <f t="shared" si="956"/>
        <v>8.25</v>
      </c>
      <c r="AM902" s="11" t="str">
        <f t="shared" si="982"/>
        <v>Cash</v>
      </c>
      <c r="AN902" t="str">
        <f t="shared" si="988"/>
        <v>Sell</v>
      </c>
      <c r="AO902" s="13">
        <f t="shared" si="989"/>
        <v>-1.09E-2</v>
      </c>
      <c r="AP902" s="13">
        <f t="shared" si="990"/>
        <v>6.9999999999999999E-4</v>
      </c>
      <c r="AQ902" s="13">
        <f t="shared" si="991"/>
        <v>5.0000000000000001E-4</v>
      </c>
      <c r="AR902" s="13">
        <f t="shared" si="983"/>
        <v>6.9999999999999999E-4</v>
      </c>
      <c r="AS902" s="6">
        <f t="shared" si="975"/>
        <v>321.74438537774955</v>
      </c>
      <c r="AT902" s="6">
        <f t="shared" si="976"/>
        <v>153.23476599338898</v>
      </c>
      <c r="AU902" s="6">
        <f t="shared" si="977"/>
        <v>306.56089250377198</v>
      </c>
      <c r="AV902" s="6">
        <f t="shared" si="978"/>
        <v>386.06213020338015</v>
      </c>
      <c r="AW902" s="58">
        <f t="shared" si="984"/>
        <v>2001</v>
      </c>
      <c r="AX902" s="58">
        <f>COUNTIF(AW$3:AW902,AW902)</f>
        <v>33</v>
      </c>
    </row>
    <row r="903" spans="1:50" x14ac:dyDescent="0.25">
      <c r="A903" s="5">
        <v>37024</v>
      </c>
      <c r="B903">
        <v>1245.67</v>
      </c>
      <c r="C903">
        <v>3.65</v>
      </c>
      <c r="D903" s="6">
        <v>23.91</v>
      </c>
      <c r="E903" s="18">
        <f t="shared" si="961"/>
        <v>24.44</v>
      </c>
      <c r="F903">
        <f t="shared" si="962"/>
        <v>-1</v>
      </c>
      <c r="G903" s="18">
        <f>ROUND(INDEX(Valuation!U:U,MATCH(A903,Valuation!A:A,0)),2)</f>
        <v>26.2</v>
      </c>
      <c r="H903">
        <f t="shared" si="969"/>
        <v>-2</v>
      </c>
      <c r="I903" s="18">
        <f>INDEX(WeeklyIndicators!Y:Y,MATCH(A903,WeeklyIndicators!A:A,0))</f>
        <v>75.89</v>
      </c>
      <c r="J903">
        <f t="shared" si="958"/>
        <v>-2</v>
      </c>
      <c r="K903">
        <f>ROUND(INDEX(Economic!AF:AF,MATCH(EOMONTH($A903,-1),Economic!A:A,0)),2)</f>
        <v>68.099999999999994</v>
      </c>
      <c r="L903" s="11">
        <f t="shared" si="967"/>
        <v>-2</v>
      </c>
      <c r="M903">
        <f>ROUND(INDEX(Manufacturing!P:P,MATCH(EOMONTH($A903,-1),Manufacturing!A:A,0)),2)</f>
        <v>51.56</v>
      </c>
      <c r="N903">
        <f t="shared" si="963"/>
        <v>-3</v>
      </c>
      <c r="O903">
        <f>ROUND(INDEX(Housing!AC:AC,MATCH(EOMONTH($A903,-1),Housing!B:B,0)),2)</f>
        <v>127.65</v>
      </c>
      <c r="P903">
        <f t="shared" si="964"/>
        <v>1</v>
      </c>
      <c r="Q903">
        <f>ROUND(INDEX(Spending!AJ:AJ,MATCH(EOMONTH($A903,-1),Spending!B:B,0)),2)</f>
        <v>47.65</v>
      </c>
      <c r="R903">
        <f t="shared" si="968"/>
        <v>0</v>
      </c>
      <c r="S903">
        <f>ROUND(INDEX(Employment!V:V,MATCH(EOMONTH($A903,-1),Employment!A:A,0)),2)</f>
        <v>110.95</v>
      </c>
      <c r="T903" s="11">
        <f t="shared" si="965"/>
        <v>-3</v>
      </c>
      <c r="U903">
        <f t="shared" si="957"/>
        <v>8</v>
      </c>
      <c r="V903">
        <f t="shared" si="985"/>
        <v>52.49</v>
      </c>
      <c r="W903" s="13">
        <f t="shared" si="986"/>
        <v>1.1599999999999999E-2</v>
      </c>
      <c r="X903" s="13">
        <f t="shared" si="987"/>
        <v>3.5900000000000001E-2</v>
      </c>
      <c r="Y903">
        <f t="shared" si="979"/>
        <v>41.22</v>
      </c>
      <c r="Z903" s="13">
        <f t="shared" si="974"/>
        <v>2.7799999999999998E-2</v>
      </c>
      <c r="AA903" s="13">
        <f t="shared" si="970"/>
        <v>5.4199999999999998E-2</v>
      </c>
      <c r="AB903" s="6">
        <f t="shared" si="980"/>
        <v>42.08</v>
      </c>
      <c r="AC903">
        <f t="shared" si="972"/>
        <v>21</v>
      </c>
      <c r="AD903" s="11">
        <f t="shared" si="973"/>
        <v>-1</v>
      </c>
      <c r="AE903">
        <f t="shared" si="971"/>
        <v>9</v>
      </c>
      <c r="AF903">
        <f>IF(AND(AE903&lt;15,OR(AC903&gt;=30,AA903&gt;0.15,X903&gt;=0.15)),2,VLOOKUP(AE903,Table!P:Q,2,FALSE))</f>
        <v>1</v>
      </c>
      <c r="AG903" s="22">
        <f>IF((AB903*0.98)-(D903*0.8)+((AF903-3)*3)+VLOOKUP(AM903,Table!$A$11:$B$13,2,FALSE)&lt;0,0,(AB903*0.98)-(D903*0.8)+((AF903-3)*3)+VLOOKUP(AM903,Table!$A$11:$B$13,2,FALSE))</f>
        <v>0.1103999999999985</v>
      </c>
      <c r="AH903" s="22">
        <f t="shared" si="966"/>
        <v>0</v>
      </c>
      <c r="AI903" s="18">
        <f t="shared" si="959"/>
        <v>4.2300000000000004</v>
      </c>
      <c r="AJ903" s="18">
        <f t="shared" si="960"/>
        <v>5.29</v>
      </c>
      <c r="AK903" t="str">
        <f t="shared" si="981"/>
        <v>Falling Rates</v>
      </c>
      <c r="AL903">
        <f t="shared" si="956"/>
        <v>8.25</v>
      </c>
      <c r="AM903" s="11" t="str">
        <f t="shared" si="982"/>
        <v>Cash</v>
      </c>
      <c r="AN903" t="str">
        <f t="shared" si="988"/>
        <v>Sell</v>
      </c>
      <c r="AO903" s="13">
        <f t="shared" si="989"/>
        <v>3.7199999999999997E-2</v>
      </c>
      <c r="AP903" s="13">
        <f t="shared" si="990"/>
        <v>6.9999999999999999E-4</v>
      </c>
      <c r="AQ903" s="13">
        <f t="shared" si="991"/>
        <v>6.9999999999999999E-4</v>
      </c>
      <c r="AR903" s="13">
        <f t="shared" si="983"/>
        <v>6.9999999999999999E-4</v>
      </c>
      <c r="AS903" s="6">
        <f t="shared" si="975"/>
        <v>310.2047680078573</v>
      </c>
      <c r="AT903" s="6">
        <f t="shared" si="976"/>
        <v>153.12757668970619</v>
      </c>
      <c r="AU903" s="6">
        <f t="shared" si="977"/>
        <v>306.34644998877985</v>
      </c>
      <c r="AV903" s="6">
        <f t="shared" si="978"/>
        <v>385.79207575035491</v>
      </c>
      <c r="AW903" s="58">
        <f t="shared" si="984"/>
        <v>2001</v>
      </c>
      <c r="AX903" s="58">
        <f>COUNTIF(AW$3:AW903,AW903)</f>
        <v>34</v>
      </c>
    </row>
    <row r="904" spans="1:50" x14ac:dyDescent="0.25">
      <c r="A904" s="5">
        <v>37017</v>
      </c>
      <c r="B904">
        <v>1266.6099999999999</v>
      </c>
      <c r="C904">
        <v>3.78</v>
      </c>
      <c r="D904" s="6">
        <v>24.02</v>
      </c>
      <c r="E904" s="18">
        <f t="shared" si="961"/>
        <v>25.17</v>
      </c>
      <c r="F904">
        <f t="shared" si="962"/>
        <v>-2</v>
      </c>
      <c r="G904" s="18">
        <f>ROUND(INDEX(Valuation!U:U,MATCH(A904,Valuation!A:A,0)),2)</f>
        <v>22.85</v>
      </c>
      <c r="H904">
        <f t="shared" si="969"/>
        <v>-3</v>
      </c>
      <c r="I904" s="18">
        <f>INDEX(WeeklyIndicators!Y:Y,MATCH(A904,WeeklyIndicators!A:A,0))</f>
        <v>62.83</v>
      </c>
      <c r="J904">
        <f t="shared" si="958"/>
        <v>-2</v>
      </c>
      <c r="K904">
        <f>ROUND(INDEX(Economic!AF:AF,MATCH(EOMONTH($A904,-1),Economic!A:A,0)),2)</f>
        <v>68.099999999999994</v>
      </c>
      <c r="L904" s="11">
        <f t="shared" si="967"/>
        <v>-2</v>
      </c>
      <c r="M904">
        <f>ROUND(INDEX(Manufacturing!P:P,MATCH(EOMONTH($A904,-1),Manufacturing!A:A,0)),2)</f>
        <v>51.56</v>
      </c>
      <c r="N904">
        <f t="shared" si="963"/>
        <v>-3</v>
      </c>
      <c r="O904">
        <f>ROUND(INDEX(Housing!AC:AC,MATCH(EOMONTH($A904,-1),Housing!B:B,0)),2)</f>
        <v>127.65</v>
      </c>
      <c r="P904">
        <f t="shared" si="964"/>
        <v>1</v>
      </c>
      <c r="Q904">
        <f>ROUND(INDEX(Spending!AJ:AJ,MATCH(EOMONTH($A904,-1),Spending!B:B,0)),2)</f>
        <v>47.65</v>
      </c>
      <c r="R904">
        <f t="shared" si="968"/>
        <v>0</v>
      </c>
      <c r="S904">
        <f>ROUND(INDEX(Employment!V:V,MATCH(EOMONTH($A904,-1),Employment!A:A,0)),2)</f>
        <v>110.95</v>
      </c>
      <c r="T904" s="11">
        <f t="shared" si="965"/>
        <v>-3</v>
      </c>
      <c r="U904">
        <f t="shared" si="957"/>
        <v>6</v>
      </c>
      <c r="V904">
        <f t="shared" si="985"/>
        <v>51.14</v>
      </c>
      <c r="W904" s="13">
        <f t="shared" si="986"/>
        <v>8.9999999999999993E-3</v>
      </c>
      <c r="X904" s="13">
        <f t="shared" si="987"/>
        <v>-1.2999999999999998E-2</v>
      </c>
      <c r="Y904">
        <f t="shared" si="979"/>
        <v>39.229999999999997</v>
      </c>
      <c r="Z904" s="13">
        <f t="shared" si="974"/>
        <v>1.9300000000000001E-2</v>
      </c>
      <c r="AA904" s="13">
        <f t="shared" si="970"/>
        <v>-2.9700000000000001E-2</v>
      </c>
      <c r="AB904" s="6">
        <f t="shared" si="980"/>
        <v>33.594999999999999</v>
      </c>
      <c r="AC904">
        <f t="shared" si="972"/>
        <v>17</v>
      </c>
      <c r="AD904" s="11">
        <f t="shared" si="973"/>
        <v>-1</v>
      </c>
      <c r="AE904">
        <f t="shared" si="971"/>
        <v>7</v>
      </c>
      <c r="AF904">
        <f>IF(AND(AE904&lt;15,OR(AC904&gt;=30,AA904&gt;0.15,X904&gt;=0.15)),2,VLOOKUP(AE904,Table!P:Q,2,FALSE))</f>
        <v>1</v>
      </c>
      <c r="AG904" s="22">
        <f>IF((AB904*0.98)-(D904*0.8)+((AF904-3)*3)+VLOOKUP(AM904,Table!$A$11:$B$13,2,FALSE)&lt;0,0,(AB904*0.98)-(D904*0.8)+((AF904-3)*3)+VLOOKUP(AM904,Table!$A$11:$B$13,2,FALSE))</f>
        <v>0</v>
      </c>
      <c r="AH904" s="22">
        <f t="shared" si="966"/>
        <v>0</v>
      </c>
      <c r="AI904" s="18">
        <f t="shared" si="959"/>
        <v>4.33</v>
      </c>
      <c r="AJ904" s="18">
        <f t="shared" si="960"/>
        <v>5.35</v>
      </c>
      <c r="AK904" t="str">
        <f t="shared" si="981"/>
        <v>Falling Rates</v>
      </c>
      <c r="AL904">
        <f t="shared" si="956"/>
        <v>8.25</v>
      </c>
      <c r="AM904" s="11" t="str">
        <f t="shared" si="982"/>
        <v>Cash</v>
      </c>
      <c r="AN904" t="str">
        <f t="shared" si="988"/>
        <v>Sell</v>
      </c>
      <c r="AO904" s="13">
        <f t="shared" si="989"/>
        <v>-1.6500000000000001E-2</v>
      </c>
      <c r="AP904" s="13">
        <f t="shared" si="990"/>
        <v>6.9999999999999999E-4</v>
      </c>
      <c r="AQ904" s="13">
        <f t="shared" si="991"/>
        <v>6.9999999999999999E-4</v>
      </c>
      <c r="AR904" s="13">
        <f t="shared" si="983"/>
        <v>6.9999999999999999E-4</v>
      </c>
      <c r="AS904" s="6">
        <f t="shared" si="975"/>
        <v>315.40901678480657</v>
      </c>
      <c r="AT904" s="6">
        <f t="shared" si="976"/>
        <v>153.02046236604997</v>
      </c>
      <c r="AU904" s="6">
        <f t="shared" si="977"/>
        <v>306.13215747854491</v>
      </c>
      <c r="AV904" s="6">
        <f t="shared" si="978"/>
        <v>385.52221020321269</v>
      </c>
      <c r="AW904" s="58">
        <f t="shared" si="984"/>
        <v>2001</v>
      </c>
      <c r="AX904" s="58">
        <f>COUNTIF(AW$3:AW904,AW904)</f>
        <v>35</v>
      </c>
    </row>
    <row r="905" spans="1:50" x14ac:dyDescent="0.25">
      <c r="A905" s="5">
        <v>37010</v>
      </c>
      <c r="B905">
        <v>1253.05</v>
      </c>
      <c r="C905">
        <v>3.72</v>
      </c>
      <c r="D905" s="6">
        <v>25.379999000000002</v>
      </c>
      <c r="E905" s="18">
        <f t="shared" si="961"/>
        <v>27.73</v>
      </c>
      <c r="F905">
        <f t="shared" si="962"/>
        <v>-2</v>
      </c>
      <c r="G905" s="18">
        <f>ROUND(INDEX(Valuation!U:U,MATCH(A905,Valuation!A:A,0)),2)</f>
        <v>23.6</v>
      </c>
      <c r="H905">
        <f t="shared" si="969"/>
        <v>-3</v>
      </c>
      <c r="I905" s="18">
        <f>INDEX(WeeklyIndicators!Y:Y,MATCH(A905,WeeklyIndicators!A:A,0))</f>
        <v>50.81</v>
      </c>
      <c r="J905">
        <f t="shared" si="958"/>
        <v>-3</v>
      </c>
      <c r="K905">
        <f>ROUND(INDEX(Economic!AF:AF,MATCH(EOMONTH($A905,-1),Economic!A:A,0)),2)</f>
        <v>80.41</v>
      </c>
      <c r="L905" s="11">
        <f t="shared" si="967"/>
        <v>-1</v>
      </c>
      <c r="M905">
        <f>ROUND(INDEX(Manufacturing!P:P,MATCH(EOMONTH($A905,-1),Manufacturing!A:A,0)),2)</f>
        <v>48.91</v>
      </c>
      <c r="N905">
        <f t="shared" si="963"/>
        <v>-3</v>
      </c>
      <c r="O905">
        <f>ROUND(INDEX(Housing!AC:AC,MATCH(EOMONTH($A905,-1),Housing!B:B,0)),2)</f>
        <v>122.79</v>
      </c>
      <c r="P905">
        <f t="shared" si="964"/>
        <v>1</v>
      </c>
      <c r="Q905">
        <f>ROUND(INDEX(Spending!AJ:AJ,MATCH(EOMONTH($A905,-1),Spending!B:B,0)),2)</f>
        <v>50.12</v>
      </c>
      <c r="R905">
        <f t="shared" si="968"/>
        <v>1</v>
      </c>
      <c r="S905">
        <f>ROUND(INDEX(Employment!V:V,MATCH(EOMONTH($A905,-1),Employment!A:A,0)),2)</f>
        <v>121</v>
      </c>
      <c r="T905" s="11">
        <f t="shared" si="965"/>
        <v>-2</v>
      </c>
      <c r="U905">
        <f t="shared" si="957"/>
        <v>8</v>
      </c>
      <c r="V905">
        <f t="shared" si="985"/>
        <v>51.98</v>
      </c>
      <c r="W905" s="13">
        <f t="shared" si="986"/>
        <v>1.4800000000000001E-2</v>
      </c>
      <c r="X905" s="13">
        <f t="shared" si="987"/>
        <v>-6.4200000000000007E-2</v>
      </c>
      <c r="Y905">
        <f t="shared" si="979"/>
        <v>39.270000000000003</v>
      </c>
      <c r="Z905" s="13">
        <f t="shared" si="974"/>
        <v>1.4999999999999999E-2</v>
      </c>
      <c r="AA905" s="13">
        <f t="shared" si="970"/>
        <v>-0.1022</v>
      </c>
      <c r="AB905" s="6">
        <f t="shared" si="980"/>
        <v>28.369999999999997</v>
      </c>
      <c r="AC905">
        <f t="shared" si="972"/>
        <v>14</v>
      </c>
      <c r="AD905" s="11">
        <f t="shared" si="973"/>
        <v>-2</v>
      </c>
      <c r="AE905">
        <f t="shared" si="971"/>
        <v>8</v>
      </c>
      <c r="AF905">
        <f>IF(AND(AE905&lt;15,OR(AC905&gt;=30,AA905&gt;0.15,X905&gt;=0.15)),2,VLOOKUP(AE905,Table!P:Q,2,FALSE))</f>
        <v>1</v>
      </c>
      <c r="AG905" s="22">
        <f>IF((AB905*0.98)-(D905*0.8)+((AF905-3)*3)+VLOOKUP(AM905,Table!$A$11:$B$13,2,FALSE)&lt;0,0,(AB905*0.98)-(D905*0.8)+((AF905-3)*3)+VLOOKUP(AM905,Table!$A$11:$B$13,2,FALSE))</f>
        <v>0</v>
      </c>
      <c r="AH905" s="22">
        <f t="shared" si="966"/>
        <v>0</v>
      </c>
      <c r="AI905" s="18">
        <f t="shared" si="959"/>
        <v>4.42</v>
      </c>
      <c r="AJ905" s="18">
        <f t="shared" si="960"/>
        <v>5.41</v>
      </c>
      <c r="AK905" t="str">
        <f t="shared" si="981"/>
        <v>Falling Rates</v>
      </c>
      <c r="AL905">
        <f t="shared" ref="AL905:AL968" si="992">ROUND(AVERAGE(AE905:AE908),2)</f>
        <v>8.75</v>
      </c>
      <c r="AM905" s="11" t="str">
        <f t="shared" si="982"/>
        <v>Cash</v>
      </c>
      <c r="AN905" t="str">
        <f t="shared" si="988"/>
        <v>Sell</v>
      </c>
      <c r="AO905" s="13">
        <f t="shared" si="989"/>
        <v>1.0800000000000001E-2</v>
      </c>
      <c r="AP905" s="13">
        <f t="shared" si="990"/>
        <v>6.9999999999999999E-4</v>
      </c>
      <c r="AQ905" s="13">
        <f t="shared" si="991"/>
        <v>6.9999999999999999E-4</v>
      </c>
      <c r="AR905" s="13">
        <f t="shared" si="983"/>
        <v>6.9999999999999999E-4</v>
      </c>
      <c r="AS905" s="6">
        <f t="shared" si="975"/>
        <v>312.03899563198121</v>
      </c>
      <c r="AT905" s="6">
        <f t="shared" si="976"/>
        <v>152.91342296997101</v>
      </c>
      <c r="AU905" s="6">
        <f t="shared" si="977"/>
        <v>305.91801486813722</v>
      </c>
      <c r="AV905" s="6">
        <f t="shared" si="978"/>
        <v>385.25253342981188</v>
      </c>
      <c r="AW905" s="58">
        <f t="shared" si="984"/>
        <v>2001</v>
      </c>
      <c r="AX905" s="58">
        <f>COUNTIF(AW$3:AW905,AW905)</f>
        <v>36</v>
      </c>
    </row>
    <row r="906" spans="1:50" x14ac:dyDescent="0.25">
      <c r="A906" s="5">
        <v>37003</v>
      </c>
      <c r="B906">
        <v>1242.98</v>
      </c>
      <c r="C906">
        <v>3.87</v>
      </c>
      <c r="D906" s="6">
        <v>26.120000999999998</v>
      </c>
      <c r="E906" s="18">
        <f t="shared" si="961"/>
        <v>28.82</v>
      </c>
      <c r="F906">
        <f t="shared" si="962"/>
        <v>-2</v>
      </c>
      <c r="G906" s="18">
        <f>ROUND(INDEX(Valuation!U:U,MATCH(A906,Valuation!A:A,0)),2)</f>
        <v>26.94</v>
      </c>
      <c r="H906">
        <f t="shared" si="969"/>
        <v>-2</v>
      </c>
      <c r="I906" s="18">
        <f>INDEX(WeeklyIndicators!Y:Y,MATCH(A906,WeeklyIndicators!A:A,0))</f>
        <v>38.46</v>
      </c>
      <c r="J906">
        <f t="shared" si="958"/>
        <v>-3</v>
      </c>
      <c r="K906">
        <f>ROUND(INDEX(Economic!AF:AF,MATCH(EOMONTH($A906,-1),Economic!A:A,0)),2)</f>
        <v>80.41</v>
      </c>
      <c r="L906" s="11">
        <f t="shared" si="967"/>
        <v>-1</v>
      </c>
      <c r="M906">
        <f>ROUND(INDEX(Manufacturing!P:P,MATCH(EOMONTH($A906,-1),Manufacturing!A:A,0)),2)</f>
        <v>48.91</v>
      </c>
      <c r="N906">
        <f t="shared" si="963"/>
        <v>-3</v>
      </c>
      <c r="O906">
        <f>ROUND(INDEX(Housing!AC:AC,MATCH(EOMONTH($A906,-1),Housing!B:B,0)),2)</f>
        <v>122.79</v>
      </c>
      <c r="P906">
        <f t="shared" si="964"/>
        <v>1</v>
      </c>
      <c r="Q906">
        <f>ROUND(INDEX(Spending!AJ:AJ,MATCH(EOMONTH($A906,-1),Spending!B:B,0)),2)</f>
        <v>50.12</v>
      </c>
      <c r="R906">
        <f t="shared" si="968"/>
        <v>1</v>
      </c>
      <c r="S906">
        <f>ROUND(INDEX(Employment!V:V,MATCH(EOMONTH($A906,-1),Employment!A:A,0)),2)</f>
        <v>121</v>
      </c>
      <c r="T906" s="11">
        <f t="shared" si="965"/>
        <v>-2</v>
      </c>
      <c r="U906">
        <f t="shared" ref="U906:U947" si="993">F906+H906+J906+L906+N906+P906+R906+T906+20</f>
        <v>9</v>
      </c>
      <c r="V906">
        <f t="shared" si="985"/>
        <v>50.7</v>
      </c>
      <c r="W906" s="13">
        <f t="shared" si="986"/>
        <v>5.0000000000000001E-4</v>
      </c>
      <c r="X906" s="13">
        <f t="shared" si="987"/>
        <v>-0.1191</v>
      </c>
      <c r="Y906">
        <f t="shared" si="979"/>
        <v>37.979999999999997</v>
      </c>
      <c r="Z906" s="13">
        <f t="shared" si="974"/>
        <v>-7.9000000000000008E-3</v>
      </c>
      <c r="AA906" s="13">
        <f t="shared" si="970"/>
        <v>-0.16170000000000001</v>
      </c>
      <c r="AB906" s="6">
        <f t="shared" si="980"/>
        <v>22.843999999999998</v>
      </c>
      <c r="AC906">
        <f t="shared" si="972"/>
        <v>11</v>
      </c>
      <c r="AD906" s="11">
        <f t="shared" si="973"/>
        <v>-2</v>
      </c>
      <c r="AE906">
        <f t="shared" si="971"/>
        <v>9</v>
      </c>
      <c r="AF906">
        <f>IF(AND(AE906&lt;15,OR(AC906&gt;=30,AA906&gt;0.15,X906&gt;=0.15)),2,VLOOKUP(AE906,Table!P:Q,2,FALSE))</f>
        <v>1</v>
      </c>
      <c r="AG906" s="22">
        <f>IF((AB906*0.98)-(D906*0.8)+((AF906-3)*3)+VLOOKUP(AM906,Table!$A$11:$B$13,2,FALSE)&lt;0,0,(AB906*0.98)-(D906*0.8)+((AF906-3)*3)+VLOOKUP(AM906,Table!$A$11:$B$13,2,FALSE))</f>
        <v>0</v>
      </c>
      <c r="AH906" s="22">
        <f t="shared" si="966"/>
        <v>0</v>
      </c>
      <c r="AI906" s="18">
        <f t="shared" si="959"/>
        <v>4.53</v>
      </c>
      <c r="AJ906" s="18">
        <f t="shared" si="960"/>
        <v>5.47</v>
      </c>
      <c r="AK906" t="str">
        <f t="shared" si="981"/>
        <v>Falling Rates</v>
      </c>
      <c r="AL906">
        <f t="shared" si="992"/>
        <v>9</v>
      </c>
      <c r="AM906" s="11" t="str">
        <f t="shared" si="982"/>
        <v>Cash</v>
      </c>
      <c r="AN906" t="str">
        <f t="shared" si="988"/>
        <v>Sell</v>
      </c>
      <c r="AO906" s="13">
        <f t="shared" si="989"/>
        <v>8.0999999999999996E-3</v>
      </c>
      <c r="AP906" s="13">
        <f t="shared" si="990"/>
        <v>6.9999999999999999E-4</v>
      </c>
      <c r="AQ906" s="13">
        <f t="shared" si="991"/>
        <v>6.9999999999999999E-4</v>
      </c>
      <c r="AR906" s="13">
        <f t="shared" si="983"/>
        <v>6.9999999999999999E-4</v>
      </c>
      <c r="AS906" s="6">
        <f t="shared" si="975"/>
        <v>309.53178814798252</v>
      </c>
      <c r="AT906" s="6">
        <f t="shared" si="976"/>
        <v>152.80645844905669</v>
      </c>
      <c r="AU906" s="6">
        <f t="shared" si="977"/>
        <v>305.70402205270034</v>
      </c>
      <c r="AV906" s="6">
        <f t="shared" si="978"/>
        <v>384.98304529810321</v>
      </c>
      <c r="AW906" s="58">
        <f t="shared" si="984"/>
        <v>2001</v>
      </c>
      <c r="AX906" s="58">
        <f>COUNTIF(AW$3:AW906,AW906)</f>
        <v>37</v>
      </c>
    </row>
    <row r="907" spans="1:50" x14ac:dyDescent="0.25">
      <c r="A907" s="5">
        <v>36996</v>
      </c>
      <c r="B907">
        <v>1183.5</v>
      </c>
      <c r="C907">
        <v>3.9</v>
      </c>
      <c r="D907" s="6">
        <v>31.690000999999999</v>
      </c>
      <c r="E907" s="18">
        <f t="shared" si="961"/>
        <v>30.26</v>
      </c>
      <c r="F907">
        <f t="shared" si="962"/>
        <v>-2</v>
      </c>
      <c r="G907" s="18">
        <f>ROUND(INDEX(Valuation!U:U,MATCH(A907,Valuation!A:A,0)),2)</f>
        <v>31.15</v>
      </c>
      <c r="H907">
        <f t="shared" si="969"/>
        <v>-2</v>
      </c>
      <c r="I907" s="18">
        <f>INDEX(WeeklyIndicators!Y:Y,MATCH(A907,WeeklyIndicators!A:A,0))</f>
        <v>29.53</v>
      </c>
      <c r="J907">
        <f t="shared" si="958"/>
        <v>-3</v>
      </c>
      <c r="K907">
        <f>ROUND(INDEX(Economic!AF:AF,MATCH(EOMONTH($A907,-1),Economic!A:A,0)),2)</f>
        <v>80.41</v>
      </c>
      <c r="L907" s="11">
        <f t="shared" si="967"/>
        <v>-1</v>
      </c>
      <c r="M907">
        <f>ROUND(INDEX(Manufacturing!P:P,MATCH(EOMONTH($A907,-1),Manufacturing!A:A,0)),2)</f>
        <v>48.91</v>
      </c>
      <c r="N907">
        <f t="shared" si="963"/>
        <v>-3</v>
      </c>
      <c r="O907">
        <f>ROUND(INDEX(Housing!AC:AC,MATCH(EOMONTH($A907,-1),Housing!B:B,0)),2)</f>
        <v>122.79</v>
      </c>
      <c r="P907">
        <f t="shared" si="964"/>
        <v>1</v>
      </c>
      <c r="Q907">
        <f>ROUND(INDEX(Spending!AJ:AJ,MATCH(EOMONTH($A907,-1),Spending!B:B,0)),2)</f>
        <v>50.12</v>
      </c>
      <c r="R907">
        <f t="shared" si="968"/>
        <v>1</v>
      </c>
      <c r="S907">
        <f>ROUND(INDEX(Employment!V:V,MATCH(EOMONTH($A907,-1),Employment!A:A,0)),2)</f>
        <v>121</v>
      </c>
      <c r="T907" s="11">
        <f t="shared" si="965"/>
        <v>-2</v>
      </c>
      <c r="U907">
        <f t="shared" si="993"/>
        <v>9</v>
      </c>
      <c r="V907">
        <f t="shared" si="985"/>
        <v>49.77</v>
      </c>
      <c r="W907" s="13">
        <f t="shared" si="986"/>
        <v>-3.73E-2</v>
      </c>
      <c r="X907" s="13">
        <f t="shared" si="987"/>
        <v>-0.13689999999999999</v>
      </c>
      <c r="Y907">
        <f t="shared" si="979"/>
        <v>37.020000000000003</v>
      </c>
      <c r="Z907" s="13">
        <f t="shared" si="974"/>
        <v>-5.6099999999999997E-2</v>
      </c>
      <c r="AA907" s="13">
        <f t="shared" si="970"/>
        <v>-0.1704</v>
      </c>
      <c r="AB907" s="6">
        <f t="shared" si="980"/>
        <v>21.505000000000003</v>
      </c>
      <c r="AC907">
        <f t="shared" si="972"/>
        <v>11</v>
      </c>
      <c r="AD907" s="11">
        <f t="shared" si="973"/>
        <v>-2</v>
      </c>
      <c r="AE907">
        <f t="shared" si="971"/>
        <v>9</v>
      </c>
      <c r="AF907">
        <f>IF(AND(AE907&lt;15,OR(AC907&gt;=30,AA907&gt;0.15,X907&gt;=0.15)),2,VLOOKUP(AE907,Table!P:Q,2,FALSE))</f>
        <v>1</v>
      </c>
      <c r="AG907" s="22">
        <f>IF((AB907*0.98)-(D907*0.8)+((AF907-3)*3)+VLOOKUP(AM907,Table!$A$11:$B$13,2,FALSE)&lt;0,0,(AB907*0.98)-(D907*0.8)+((AF907-3)*3)+VLOOKUP(AM907,Table!$A$11:$B$13,2,FALSE))</f>
        <v>0</v>
      </c>
      <c r="AH907" s="22">
        <f t="shared" si="966"/>
        <v>0</v>
      </c>
      <c r="AI907" s="18">
        <f t="shared" si="959"/>
        <v>4.63</v>
      </c>
      <c r="AJ907" s="18">
        <f t="shared" si="960"/>
        <v>5.52</v>
      </c>
      <c r="AK907" t="str">
        <f t="shared" si="981"/>
        <v>Falling Rates</v>
      </c>
      <c r="AL907">
        <f t="shared" si="992"/>
        <v>9</v>
      </c>
      <c r="AM907" s="11" t="str">
        <f t="shared" si="982"/>
        <v>Cash</v>
      </c>
      <c r="AN907" t="str">
        <f t="shared" si="988"/>
        <v>Sell</v>
      </c>
      <c r="AO907" s="13">
        <f t="shared" si="989"/>
        <v>5.0299999999999997E-2</v>
      </c>
      <c r="AP907" s="13">
        <f t="shared" si="990"/>
        <v>8.0000000000000004E-4</v>
      </c>
      <c r="AQ907" s="13">
        <f t="shared" si="991"/>
        <v>8.0000000000000004E-4</v>
      </c>
      <c r="AR907" s="13">
        <f t="shared" si="983"/>
        <v>8.0000000000000004E-4</v>
      </c>
      <c r="AS907" s="6">
        <f t="shared" si="975"/>
        <v>294.70797690943778</v>
      </c>
      <c r="AT907" s="6">
        <f t="shared" si="976"/>
        <v>152.68431100025649</v>
      </c>
      <c r="AU907" s="6">
        <f t="shared" si="977"/>
        <v>305.45965432923697</v>
      </c>
      <c r="AV907" s="6">
        <f t="shared" si="978"/>
        <v>384.67530505406</v>
      </c>
      <c r="AW907" s="58">
        <f t="shared" si="984"/>
        <v>2001</v>
      </c>
      <c r="AX907" s="58">
        <f>COUNTIF(AW$3:AW907,AW907)</f>
        <v>38</v>
      </c>
    </row>
    <row r="908" spans="1:50" x14ac:dyDescent="0.25">
      <c r="A908" s="5">
        <v>36989</v>
      </c>
      <c r="B908">
        <v>1128.43</v>
      </c>
      <c r="C908">
        <v>4.01</v>
      </c>
      <c r="D908" s="6">
        <v>28.639999</v>
      </c>
      <c r="E908" s="18">
        <f t="shared" si="961"/>
        <v>29.67</v>
      </c>
      <c r="F908">
        <f t="shared" si="962"/>
        <v>-2</v>
      </c>
      <c r="G908" s="18">
        <f>ROUND(INDEX(Valuation!U:U,MATCH(A908,Valuation!A:A,0)),2)</f>
        <v>34.450000000000003</v>
      </c>
      <c r="H908">
        <f t="shared" si="969"/>
        <v>-2</v>
      </c>
      <c r="I908" s="18">
        <f>INDEX(WeeklyIndicators!Y:Y,MATCH(A908,WeeklyIndicators!A:A,0))</f>
        <v>29.39</v>
      </c>
      <c r="J908">
        <f t="shared" si="958"/>
        <v>-3</v>
      </c>
      <c r="K908">
        <f>ROUND(INDEX(Economic!AF:AF,MATCH(EOMONTH($A908,-1),Economic!A:A,0)),2)</f>
        <v>80.41</v>
      </c>
      <c r="L908" s="11">
        <f t="shared" si="967"/>
        <v>-1</v>
      </c>
      <c r="M908">
        <f>ROUND(INDEX(Manufacturing!P:P,MATCH(EOMONTH($A908,-1),Manufacturing!A:A,0)),2)</f>
        <v>48.91</v>
      </c>
      <c r="N908">
        <f t="shared" si="963"/>
        <v>-3</v>
      </c>
      <c r="O908">
        <f>ROUND(INDEX(Housing!AC:AC,MATCH(EOMONTH($A908,-1),Housing!B:B,0)),2)</f>
        <v>122.79</v>
      </c>
      <c r="P908">
        <f t="shared" si="964"/>
        <v>1</v>
      </c>
      <c r="Q908">
        <f>ROUND(INDEX(Spending!AJ:AJ,MATCH(EOMONTH($A908,-1),Spending!B:B,0)),2)</f>
        <v>50.12</v>
      </c>
      <c r="R908">
        <f t="shared" si="968"/>
        <v>1</v>
      </c>
      <c r="S908">
        <f>ROUND(INDEX(Employment!V:V,MATCH(EOMONTH($A908,-1),Employment!A:A,0)),2)</f>
        <v>121</v>
      </c>
      <c r="T908" s="11">
        <f t="shared" si="965"/>
        <v>-2</v>
      </c>
      <c r="U908">
        <f t="shared" si="993"/>
        <v>9</v>
      </c>
      <c r="V908">
        <f t="shared" si="985"/>
        <v>49.76</v>
      </c>
      <c r="W908" s="13">
        <f t="shared" si="986"/>
        <v>-4.2200000000000001E-2</v>
      </c>
      <c r="X908" s="13">
        <f t="shared" si="987"/>
        <v>-0.14460000000000001</v>
      </c>
      <c r="Y908">
        <f t="shared" si="979"/>
        <v>37.58</v>
      </c>
      <c r="Z908" s="13">
        <f t="shared" si="974"/>
        <v>-5.3199999999999997E-2</v>
      </c>
      <c r="AA908" s="13">
        <f t="shared" si="970"/>
        <v>-0.16969999999999999</v>
      </c>
      <c r="AB908" s="6">
        <f t="shared" si="980"/>
        <v>22.365000000000002</v>
      </c>
      <c r="AC908">
        <f t="shared" si="972"/>
        <v>11</v>
      </c>
      <c r="AD908" s="11">
        <f t="shared" si="973"/>
        <v>-2</v>
      </c>
      <c r="AE908">
        <f t="shared" si="971"/>
        <v>9</v>
      </c>
      <c r="AF908">
        <f>IF(AND(AE908&lt;15,OR(AC908&gt;=30,AA908&gt;0.15,X908&gt;=0.15)),2,VLOOKUP(AE908,Table!P:Q,2,FALSE))</f>
        <v>1</v>
      </c>
      <c r="AG908" s="22">
        <f>IF((AB908*0.98)-(D908*0.8)+((AF908-3)*3)+VLOOKUP(AM908,Table!$A$11:$B$13,2,FALSE)&lt;0,0,(AB908*0.98)-(D908*0.8)+((AF908-3)*3)+VLOOKUP(AM908,Table!$A$11:$B$13,2,FALSE))</f>
        <v>0</v>
      </c>
      <c r="AH908" s="22">
        <f t="shared" si="966"/>
        <v>0</v>
      </c>
      <c r="AI908" s="18">
        <f t="shared" si="959"/>
        <v>4.72</v>
      </c>
      <c r="AJ908" s="18">
        <f t="shared" si="960"/>
        <v>5.57</v>
      </c>
      <c r="AK908" t="str">
        <f t="shared" si="981"/>
        <v>Falling Rates</v>
      </c>
      <c r="AL908">
        <f t="shared" si="992"/>
        <v>9.25</v>
      </c>
      <c r="AM908" s="11" t="str">
        <f t="shared" si="982"/>
        <v>Cash</v>
      </c>
      <c r="AN908" t="str">
        <f t="shared" si="988"/>
        <v>Sell</v>
      </c>
      <c r="AO908" s="13">
        <f t="shared" si="989"/>
        <v>4.8800000000000003E-2</v>
      </c>
      <c r="AP908" s="13">
        <f t="shared" si="990"/>
        <v>8.0000000000000004E-4</v>
      </c>
      <c r="AQ908" s="13">
        <f t="shared" si="991"/>
        <v>8.0000000000000004E-4</v>
      </c>
      <c r="AR908" s="13">
        <f t="shared" si="983"/>
        <v>8.0000000000000004E-4</v>
      </c>
      <c r="AS908" s="6">
        <f t="shared" si="975"/>
        <v>280.99540132478813</v>
      </c>
      <c r="AT908" s="6">
        <f t="shared" si="976"/>
        <v>152.56226119130346</v>
      </c>
      <c r="AU908" s="6">
        <f t="shared" si="977"/>
        <v>305.21548194368205</v>
      </c>
      <c r="AV908" s="6">
        <f t="shared" si="978"/>
        <v>384.36781080541573</v>
      </c>
      <c r="AW908" s="58">
        <f t="shared" si="984"/>
        <v>2001</v>
      </c>
      <c r="AX908" s="58">
        <f>COUNTIF(AW$3:AW908,AW908)</f>
        <v>39</v>
      </c>
    </row>
    <row r="909" spans="1:50" x14ac:dyDescent="0.25">
      <c r="A909" s="5">
        <v>36982</v>
      </c>
      <c r="B909">
        <v>1160.33</v>
      </c>
      <c r="C909">
        <v>4.22</v>
      </c>
      <c r="D909" s="6">
        <v>30.450001</v>
      </c>
      <c r="E909" s="18">
        <f t="shared" si="961"/>
        <v>28.66</v>
      </c>
      <c r="F909">
        <f t="shared" si="962"/>
        <v>-2</v>
      </c>
      <c r="G909" s="18">
        <f>ROUND(INDEX(Valuation!U:U,MATCH(A909,Valuation!A:A,0)),2)</f>
        <v>35.159999999999997</v>
      </c>
      <c r="H909">
        <f t="shared" si="969"/>
        <v>-2</v>
      </c>
      <c r="I909" s="18">
        <f>INDEX(WeeklyIndicators!Y:Y,MATCH(A909,WeeklyIndicators!A:A,0))</f>
        <v>37.82</v>
      </c>
      <c r="J909">
        <f t="shared" si="958"/>
        <v>-3</v>
      </c>
      <c r="K909">
        <f>ROUND(INDEX(Economic!AF:AF,MATCH(EOMONTH($A909,-1),Economic!A:A,0)),2)</f>
        <v>80.41</v>
      </c>
      <c r="L909" s="11">
        <f t="shared" si="967"/>
        <v>-1</v>
      </c>
      <c r="M909">
        <f>ROUND(INDEX(Manufacturing!P:P,MATCH(EOMONTH($A909,-1),Manufacturing!A:A,0)),2)</f>
        <v>48.91</v>
      </c>
      <c r="N909">
        <f t="shared" si="963"/>
        <v>-3</v>
      </c>
      <c r="O909">
        <f>ROUND(INDEX(Housing!AC:AC,MATCH(EOMONTH($A909,-1),Housing!B:B,0)),2)</f>
        <v>122.79</v>
      </c>
      <c r="P909">
        <f t="shared" si="964"/>
        <v>1</v>
      </c>
      <c r="Q909">
        <f>ROUND(INDEX(Spending!AJ:AJ,MATCH(EOMONTH($A909,-1),Spending!B:B,0)),2)</f>
        <v>50.12</v>
      </c>
      <c r="R909">
        <f t="shared" si="968"/>
        <v>1</v>
      </c>
      <c r="S909">
        <f>ROUND(INDEX(Employment!V:V,MATCH(EOMONTH($A909,-1),Employment!A:A,0)),2)</f>
        <v>121</v>
      </c>
      <c r="T909" s="11">
        <f t="shared" si="965"/>
        <v>-2</v>
      </c>
      <c r="U909">
        <f t="shared" si="993"/>
        <v>9</v>
      </c>
      <c r="V909">
        <f t="shared" si="985"/>
        <v>50.63</v>
      </c>
      <c r="W909" s="13">
        <f t="shared" si="986"/>
        <v>-4.0099999999999997E-2</v>
      </c>
      <c r="X909" s="13">
        <f t="shared" si="987"/>
        <v>-0.1492</v>
      </c>
      <c r="Y909">
        <f t="shared" si="979"/>
        <v>38.880000000000003</v>
      </c>
      <c r="Z909" s="13">
        <f t="shared" si="974"/>
        <v>-4.4499999999999998E-2</v>
      </c>
      <c r="AA909" s="13">
        <f t="shared" si="970"/>
        <v>-0.1719</v>
      </c>
      <c r="AB909" s="6">
        <f t="shared" si="980"/>
        <v>23.576000000000001</v>
      </c>
      <c r="AC909">
        <f t="shared" si="972"/>
        <v>12</v>
      </c>
      <c r="AD909" s="11">
        <f t="shared" si="973"/>
        <v>-2</v>
      </c>
      <c r="AE909">
        <f t="shared" si="971"/>
        <v>9</v>
      </c>
      <c r="AF909">
        <f>IF(AND(AE909&lt;15,OR(AC909&gt;=30,AA909&gt;0.15,X909&gt;=0.15)),2,VLOOKUP(AE909,Table!P:Q,2,FALSE))</f>
        <v>1</v>
      </c>
      <c r="AG909" s="22">
        <f>IF((AB909*0.98)-(D909*0.8)+((AF909-3)*3)+VLOOKUP(AM909,Table!$A$11:$B$13,2,FALSE)&lt;0,0,(AB909*0.98)-(D909*0.8)+((AF909-3)*3)+VLOOKUP(AM909,Table!$A$11:$B$13,2,FALSE))</f>
        <v>0</v>
      </c>
      <c r="AH909" s="22">
        <f t="shared" si="966"/>
        <v>0</v>
      </c>
      <c r="AI909" s="18">
        <f t="shared" si="959"/>
        <v>4.82</v>
      </c>
      <c r="AJ909" s="18">
        <f t="shared" si="960"/>
        <v>5.62</v>
      </c>
      <c r="AK909" t="str">
        <f t="shared" si="981"/>
        <v>Falling Rates</v>
      </c>
      <c r="AL909">
        <f t="shared" si="992"/>
        <v>9.5</v>
      </c>
      <c r="AM909" s="11" t="str">
        <f t="shared" si="982"/>
        <v>Cash</v>
      </c>
      <c r="AN909" t="str">
        <f t="shared" si="988"/>
        <v>Sell</v>
      </c>
      <c r="AO909" s="13">
        <f t="shared" si="989"/>
        <v>-2.75E-2</v>
      </c>
      <c r="AP909" s="13">
        <f t="shared" si="990"/>
        <v>8.0000000000000004E-4</v>
      </c>
      <c r="AQ909" s="13">
        <f t="shared" si="991"/>
        <v>8.0000000000000004E-4</v>
      </c>
      <c r="AR909" s="13">
        <f t="shared" si="983"/>
        <v>8.0000000000000004E-4</v>
      </c>
      <c r="AS909" s="6">
        <f t="shared" si="975"/>
        <v>288.94128670929371</v>
      </c>
      <c r="AT909" s="6">
        <f t="shared" si="976"/>
        <v>152.44030894414817</v>
      </c>
      <c r="AU909" s="6">
        <f t="shared" si="977"/>
        <v>304.97150473989018</v>
      </c>
      <c r="AV909" s="6">
        <f t="shared" si="978"/>
        <v>384.06056235553132</v>
      </c>
      <c r="AW909" s="58">
        <f t="shared" si="984"/>
        <v>2001</v>
      </c>
      <c r="AX909" s="58">
        <f>COUNTIF(AW$3:AW909,AW909)</f>
        <v>40</v>
      </c>
    </row>
    <row r="910" spans="1:50" x14ac:dyDescent="0.25">
      <c r="A910" s="5">
        <v>36975</v>
      </c>
      <c r="B910">
        <v>1139.83</v>
      </c>
      <c r="C910">
        <v>4.2699999999999996</v>
      </c>
      <c r="D910" s="6">
        <v>29.91</v>
      </c>
      <c r="E910" s="18">
        <f t="shared" si="961"/>
        <v>27.65</v>
      </c>
      <c r="F910">
        <f t="shared" si="962"/>
        <v>-2</v>
      </c>
      <c r="G910" s="18">
        <f>ROUND(INDEX(Valuation!U:U,MATCH(A910,Valuation!A:A,0)),2)</f>
        <v>31.3</v>
      </c>
      <c r="H910">
        <f t="shared" si="969"/>
        <v>-2</v>
      </c>
      <c r="I910" s="18">
        <f>INDEX(WeeklyIndicators!Y:Y,MATCH(A910,WeeklyIndicators!A:A,0))</f>
        <v>50.49</v>
      </c>
      <c r="J910">
        <f t="shared" si="958"/>
        <v>-3</v>
      </c>
      <c r="K910">
        <f>ROUND(INDEX(Economic!AF:AF,MATCH(EOMONTH($A910,-1),Economic!A:A,0)),2)</f>
        <v>93.58</v>
      </c>
      <c r="L910" s="11">
        <f t="shared" si="967"/>
        <v>-1</v>
      </c>
      <c r="M910">
        <f>ROUND(INDEX(Manufacturing!P:P,MATCH(EOMONTH($A910,-1),Manufacturing!A:A,0)),2)</f>
        <v>52.2</v>
      </c>
      <c r="N910">
        <f t="shared" si="963"/>
        <v>-3</v>
      </c>
      <c r="O910">
        <f>ROUND(INDEX(Housing!AC:AC,MATCH(EOMONTH($A910,-1),Housing!B:B,0)),2)</f>
        <v>121.69</v>
      </c>
      <c r="P910">
        <f t="shared" si="964"/>
        <v>1</v>
      </c>
      <c r="Q910">
        <f>ROUND(INDEX(Spending!AJ:AJ,MATCH(EOMONTH($A910,-1),Spending!B:B,0)),2)</f>
        <v>52.51</v>
      </c>
      <c r="R910">
        <f t="shared" si="968"/>
        <v>1</v>
      </c>
      <c r="S910">
        <f>ROUND(INDEX(Employment!V:V,MATCH(EOMONTH($A910,-1),Employment!A:A,0)),2)</f>
        <v>135.15</v>
      </c>
      <c r="T910" s="11">
        <f t="shared" si="965"/>
        <v>-2</v>
      </c>
      <c r="U910">
        <f t="shared" si="993"/>
        <v>9</v>
      </c>
      <c r="V910">
        <f t="shared" si="985"/>
        <v>55.59</v>
      </c>
      <c r="W910" s="13">
        <f t="shared" si="986"/>
        <v>-1.7299999999999999E-2</v>
      </c>
      <c r="X910" s="13">
        <f t="shared" si="987"/>
        <v>-0.151</v>
      </c>
      <c r="Y910">
        <f t="shared" si="979"/>
        <v>43.76</v>
      </c>
      <c r="Z910" s="13">
        <f t="shared" si="974"/>
        <v>-1.66E-2</v>
      </c>
      <c r="AA910" s="13">
        <f t="shared" si="970"/>
        <v>-0.17399999999999999</v>
      </c>
      <c r="AB910" s="6">
        <f t="shared" si="980"/>
        <v>28.080000000000002</v>
      </c>
      <c r="AC910">
        <f t="shared" si="972"/>
        <v>14</v>
      </c>
      <c r="AD910" s="11">
        <f t="shared" si="973"/>
        <v>-2</v>
      </c>
      <c r="AE910">
        <f t="shared" si="971"/>
        <v>9</v>
      </c>
      <c r="AF910">
        <f>IF(AND(AE910&lt;15,OR(AC910&gt;=30,AA910&gt;0.15,X910&gt;=0.15)),2,VLOOKUP(AE910,Table!P:Q,2,FALSE))</f>
        <v>1</v>
      </c>
      <c r="AG910" s="22">
        <f>IF((AB910*0.98)-(D910*0.8)+((AF910-3)*3)+VLOOKUP(AM910,Table!$A$11:$B$13,2,FALSE)&lt;0,0,(AB910*0.98)-(D910*0.8)+((AF910-3)*3)+VLOOKUP(AM910,Table!$A$11:$B$13,2,FALSE))</f>
        <v>0</v>
      </c>
      <c r="AH910" s="22">
        <f t="shared" si="966"/>
        <v>0</v>
      </c>
      <c r="AI910" s="18">
        <f t="shared" si="959"/>
        <v>4.9400000000000004</v>
      </c>
      <c r="AJ910" s="18">
        <f t="shared" si="960"/>
        <v>5.66</v>
      </c>
      <c r="AK910" t="str">
        <f t="shared" si="981"/>
        <v>Falling Rates</v>
      </c>
      <c r="AL910">
        <f t="shared" si="992"/>
        <v>10</v>
      </c>
      <c r="AM910" s="11" t="str">
        <f t="shared" si="982"/>
        <v>Cash</v>
      </c>
      <c r="AN910" t="str">
        <f t="shared" si="988"/>
        <v>Sell</v>
      </c>
      <c r="AO910" s="13">
        <f t="shared" si="989"/>
        <v>1.7999999999999999E-2</v>
      </c>
      <c r="AP910" s="13">
        <f t="shared" si="990"/>
        <v>8.0000000000000004E-4</v>
      </c>
      <c r="AQ910" s="13">
        <f t="shared" si="991"/>
        <v>8.0000000000000004E-4</v>
      </c>
      <c r="AR910" s="13">
        <f t="shared" si="983"/>
        <v>8.0000000000000004E-4</v>
      </c>
      <c r="AS910" s="6">
        <f t="shared" si="975"/>
        <v>283.83230521541623</v>
      </c>
      <c r="AT910" s="6">
        <f t="shared" si="976"/>
        <v>152.31845418080354</v>
      </c>
      <c r="AU910" s="6">
        <f t="shared" si="977"/>
        <v>304.72772256184072</v>
      </c>
      <c r="AV910" s="6">
        <f t="shared" si="978"/>
        <v>383.75355950792499</v>
      </c>
      <c r="AW910" s="58">
        <f t="shared" si="984"/>
        <v>2001</v>
      </c>
      <c r="AX910" s="58">
        <f>COUNTIF(AW$3:AW910,AW910)</f>
        <v>41</v>
      </c>
    </row>
    <row r="911" spans="1:50" x14ac:dyDescent="0.25">
      <c r="A911" s="5">
        <v>36968</v>
      </c>
      <c r="B911">
        <v>1150.53</v>
      </c>
      <c r="C911">
        <v>4.47</v>
      </c>
      <c r="D911" s="6">
        <v>25.620000999999998</v>
      </c>
      <c r="E911" s="18">
        <f t="shared" si="961"/>
        <v>26.75</v>
      </c>
      <c r="F911">
        <f t="shared" si="962"/>
        <v>-2</v>
      </c>
      <c r="G911" s="18">
        <f>ROUND(INDEX(Valuation!U:U,MATCH(A911,Valuation!A:A,0)),2)</f>
        <v>24.12</v>
      </c>
      <c r="H911">
        <f t="shared" si="969"/>
        <v>-3</v>
      </c>
      <c r="I911" s="18">
        <f>INDEX(WeeklyIndicators!Y:Y,MATCH(A911,WeeklyIndicators!A:A,0))</f>
        <v>60.58</v>
      </c>
      <c r="J911">
        <f t="shared" ref="J911:J974" si="994">IF(I911&gt;170,3,IF(AND(I911&gt;152,I911&lt;=170),2,IF(AND(I911&gt;135,I911&lt;=152),1,IF(I911&lt;60,-3,IF(AND(I911&lt;95,I911&gt;=60),-2,IF(AND(I911&lt;120,I911&gt;=95),-1,0))))))</f>
        <v>-2</v>
      </c>
      <c r="K911">
        <f>ROUND(INDEX(Economic!AF:AF,MATCH(EOMONTH($A911,-1),Economic!A:A,0)),2)</f>
        <v>93.58</v>
      </c>
      <c r="L911" s="11">
        <f t="shared" si="967"/>
        <v>-1</v>
      </c>
      <c r="M911">
        <f>ROUND(INDEX(Manufacturing!P:P,MATCH(EOMONTH($A911,-1),Manufacturing!A:A,0)),2)</f>
        <v>52.2</v>
      </c>
      <c r="N911">
        <f t="shared" si="963"/>
        <v>-3</v>
      </c>
      <c r="O911">
        <f>ROUND(INDEX(Housing!AC:AC,MATCH(EOMONTH($A911,-1),Housing!B:B,0)),2)</f>
        <v>121.69</v>
      </c>
      <c r="P911">
        <f t="shared" si="964"/>
        <v>1</v>
      </c>
      <c r="Q911">
        <f>ROUND(INDEX(Spending!AJ:AJ,MATCH(EOMONTH($A911,-1),Spending!B:B,0)),2)</f>
        <v>52.51</v>
      </c>
      <c r="R911">
        <f t="shared" si="968"/>
        <v>1</v>
      </c>
      <c r="S911">
        <f>ROUND(INDEX(Employment!V:V,MATCH(EOMONTH($A911,-1),Employment!A:A,0)),2)</f>
        <v>135.15</v>
      </c>
      <c r="T911" s="11">
        <f t="shared" si="965"/>
        <v>-2</v>
      </c>
      <c r="U911">
        <f t="shared" si="993"/>
        <v>9</v>
      </c>
      <c r="V911">
        <f t="shared" si="985"/>
        <v>56.64</v>
      </c>
      <c r="W911" s="13">
        <f t="shared" si="986"/>
        <v>-4.4999999999999998E-2</v>
      </c>
      <c r="X911" s="13">
        <f t="shared" si="987"/>
        <v>-0.14049999999999999</v>
      </c>
      <c r="Y911">
        <f t="shared" si="979"/>
        <v>44.33</v>
      </c>
      <c r="Z911" s="13">
        <f t="shared" si="974"/>
        <v>-5.5399999999999998E-2</v>
      </c>
      <c r="AA911" s="13">
        <f t="shared" si="970"/>
        <v>-0.15769999999999998</v>
      </c>
      <c r="AB911" s="6">
        <f t="shared" si="980"/>
        <v>29.161999999999999</v>
      </c>
      <c r="AC911">
        <f t="shared" si="972"/>
        <v>15</v>
      </c>
      <c r="AD911" s="11">
        <f t="shared" si="973"/>
        <v>-1</v>
      </c>
      <c r="AE911">
        <f t="shared" si="971"/>
        <v>10</v>
      </c>
      <c r="AF911">
        <f>IF(AND(AE911&lt;15,OR(AC911&gt;=30,AA911&gt;0.15,X911&gt;=0.15)),2,VLOOKUP(AE911,Table!P:Q,2,FALSE))</f>
        <v>1</v>
      </c>
      <c r="AG911" s="22">
        <f>IF((AB911*0.98)-(D911*0.8)+((AF911-3)*3)+VLOOKUP(AM911,Table!$A$11:$B$13,2,FALSE)&lt;0,0,(AB911*0.98)-(D911*0.8)+((AF911-3)*3)+VLOOKUP(AM911,Table!$A$11:$B$13,2,FALSE))</f>
        <v>0</v>
      </c>
      <c r="AH911" s="22">
        <f t="shared" si="966"/>
        <v>0</v>
      </c>
      <c r="AI911" s="18">
        <f t="shared" ref="AI911:AI974" si="995">ROUND(AVERAGE(C911:C923),2)</f>
        <v>5.03</v>
      </c>
      <c r="AJ911" s="18">
        <f t="shared" ref="AJ911:AJ974" si="996">ROUND(AVERAGE(C911:C949),2)</f>
        <v>5.69</v>
      </c>
      <c r="AK911" t="str">
        <f t="shared" si="981"/>
        <v>Falling Rates</v>
      </c>
      <c r="AL911">
        <f t="shared" si="992"/>
        <v>11.5</v>
      </c>
      <c r="AM911" s="11" t="str">
        <f t="shared" si="982"/>
        <v>Cash</v>
      </c>
      <c r="AN911" t="str">
        <f t="shared" si="988"/>
        <v>Sell</v>
      </c>
      <c r="AO911" s="13">
        <f t="shared" si="989"/>
        <v>-9.2999999999999992E-3</v>
      </c>
      <c r="AP911" s="13">
        <f t="shared" si="990"/>
        <v>8.9999999999999998E-4</v>
      </c>
      <c r="AQ911" s="13">
        <f t="shared" si="991"/>
        <v>8.9999999999999998E-4</v>
      </c>
      <c r="AR911" s="13">
        <f t="shared" si="983"/>
        <v>8.9999999999999998E-4</v>
      </c>
      <c r="AS911" s="6">
        <f t="shared" si="975"/>
        <v>286.4967247556437</v>
      </c>
      <c r="AT911" s="6">
        <f t="shared" si="976"/>
        <v>152.18149083904842</v>
      </c>
      <c r="AU911" s="6">
        <f t="shared" si="977"/>
        <v>304.4537142190436</v>
      </c>
      <c r="AV911" s="6">
        <f t="shared" si="978"/>
        <v>383.40849186524633</v>
      </c>
      <c r="AW911" s="58">
        <f t="shared" si="984"/>
        <v>2001</v>
      </c>
      <c r="AX911" s="58">
        <f>COUNTIF(AW$3:AW911,AW911)</f>
        <v>42</v>
      </c>
    </row>
    <row r="912" spans="1:50" x14ac:dyDescent="0.25">
      <c r="A912" s="5">
        <v>36961</v>
      </c>
      <c r="B912">
        <v>1233.42</v>
      </c>
      <c r="C912">
        <v>4.62</v>
      </c>
      <c r="D912" s="6">
        <v>27.43</v>
      </c>
      <c r="E912" s="18">
        <f t="shared" si="961"/>
        <v>25.59</v>
      </c>
      <c r="F912">
        <f t="shared" si="962"/>
        <v>-2</v>
      </c>
      <c r="G912" s="18">
        <f>ROUND(INDEX(Valuation!U:U,MATCH(A912,Valuation!A:A,0)),2)</f>
        <v>17.57</v>
      </c>
      <c r="H912">
        <f t="shared" si="969"/>
        <v>-3</v>
      </c>
      <c r="I912" s="18">
        <f>INDEX(WeeklyIndicators!Y:Y,MATCH(A912,WeeklyIndicators!A:A,0))</f>
        <v>68.239999999999995</v>
      </c>
      <c r="J912">
        <f t="shared" si="994"/>
        <v>-2</v>
      </c>
      <c r="K912">
        <f>ROUND(INDEX(Economic!AF:AF,MATCH(EOMONTH($A912,-1),Economic!A:A,0)),2)</f>
        <v>93.58</v>
      </c>
      <c r="L912" s="11">
        <f t="shared" si="967"/>
        <v>-1</v>
      </c>
      <c r="M912">
        <f>ROUND(INDEX(Manufacturing!P:P,MATCH(EOMONTH($A912,-1),Manufacturing!A:A,0)),2)</f>
        <v>52.2</v>
      </c>
      <c r="N912">
        <f t="shared" si="963"/>
        <v>-3</v>
      </c>
      <c r="O912">
        <f>ROUND(INDEX(Housing!AC:AC,MATCH(EOMONTH($A912,-1),Housing!B:B,0)),2)</f>
        <v>121.69</v>
      </c>
      <c r="P912">
        <f t="shared" si="964"/>
        <v>1</v>
      </c>
      <c r="Q912">
        <f>ROUND(INDEX(Spending!AJ:AJ,MATCH(EOMONTH($A912,-1),Spending!B:B,0)),2)</f>
        <v>52.51</v>
      </c>
      <c r="R912">
        <f t="shared" si="968"/>
        <v>1</v>
      </c>
      <c r="S912">
        <f>ROUND(INDEX(Employment!V:V,MATCH(EOMONTH($A912,-1),Employment!A:A,0)),2)</f>
        <v>135.15</v>
      </c>
      <c r="T912" s="11">
        <f t="shared" si="965"/>
        <v>-2</v>
      </c>
      <c r="U912">
        <f t="shared" si="993"/>
        <v>9</v>
      </c>
      <c r="V912">
        <f t="shared" si="985"/>
        <v>57.43</v>
      </c>
      <c r="W912" s="13">
        <f t="shared" si="986"/>
        <v>-4.6800000000000001E-2</v>
      </c>
      <c r="X912" s="13">
        <f t="shared" si="987"/>
        <v>-0.10290000000000001</v>
      </c>
      <c r="Y912">
        <f t="shared" si="979"/>
        <v>44.8</v>
      </c>
      <c r="Z912" s="13">
        <f t="shared" si="974"/>
        <v>-5.5399999999999998E-2</v>
      </c>
      <c r="AA912" s="13">
        <f t="shared" si="970"/>
        <v>-0.1026</v>
      </c>
      <c r="AB912" s="6">
        <f t="shared" si="980"/>
        <v>33.067</v>
      </c>
      <c r="AC912">
        <f t="shared" si="972"/>
        <v>17</v>
      </c>
      <c r="AD912" s="11">
        <f t="shared" si="973"/>
        <v>-1</v>
      </c>
      <c r="AE912">
        <f t="shared" si="971"/>
        <v>10</v>
      </c>
      <c r="AF912">
        <f>IF(AND(AE912&lt;15,OR(AC912&gt;=30,AA912&gt;0.15,X912&gt;=0.15)),2,VLOOKUP(AE912,Table!P:Q,2,FALSE))</f>
        <v>1</v>
      </c>
      <c r="AG912" s="22">
        <f>IF((AB912*0.98)-(D912*0.8)+((AF912-3)*3)+VLOOKUP(AM912,Table!$A$11:$B$13,2,FALSE)&lt;0,0,(AB912*0.98)-(D912*0.8)+((AF912-3)*3)+VLOOKUP(AM912,Table!$A$11:$B$13,2,FALSE))</f>
        <v>0</v>
      </c>
      <c r="AH912" s="22">
        <f t="shared" si="966"/>
        <v>4</v>
      </c>
      <c r="AI912" s="18">
        <f t="shared" si="995"/>
        <v>5.14</v>
      </c>
      <c r="AJ912" s="18">
        <f t="shared" si="996"/>
        <v>5.72</v>
      </c>
      <c r="AK912" t="str">
        <f t="shared" si="981"/>
        <v>Falling Rates</v>
      </c>
      <c r="AL912">
        <f t="shared" si="992"/>
        <v>12.75</v>
      </c>
      <c r="AM912" s="11" t="str">
        <f t="shared" si="982"/>
        <v>Cash</v>
      </c>
      <c r="AN912" t="str">
        <f t="shared" si="988"/>
        <v>Sell</v>
      </c>
      <c r="AO912" s="13">
        <f t="shared" si="989"/>
        <v>-6.7199999999999996E-2</v>
      </c>
      <c r="AP912" s="13">
        <f t="shared" si="990"/>
        <v>8.9999999999999998E-4</v>
      </c>
      <c r="AQ912" s="13">
        <f t="shared" si="991"/>
        <v>-1.8E-3</v>
      </c>
      <c r="AR912" s="13">
        <f t="shared" si="983"/>
        <v>8.9999999999999998E-4</v>
      </c>
      <c r="AS912" s="6">
        <f t="shared" si="975"/>
        <v>307.13628297131618</v>
      </c>
      <c r="AT912" s="6">
        <f t="shared" si="976"/>
        <v>152.04465065346031</v>
      </c>
      <c r="AU912" s="6">
        <f t="shared" si="977"/>
        <v>305.00271911344782</v>
      </c>
      <c r="AV912" s="6">
        <f t="shared" si="978"/>
        <v>383.06373450419261</v>
      </c>
      <c r="AW912" s="58">
        <f t="shared" si="984"/>
        <v>2001</v>
      </c>
      <c r="AX912" s="58">
        <f>COUNTIF(AW$3:AW912,AW912)</f>
        <v>43</v>
      </c>
    </row>
    <row r="913" spans="1:50" x14ac:dyDescent="0.25">
      <c r="A913" s="5">
        <v>36954</v>
      </c>
      <c r="B913">
        <v>1234.18</v>
      </c>
      <c r="C913">
        <v>4.72</v>
      </c>
      <c r="D913" s="6">
        <v>27.209999</v>
      </c>
      <c r="E913" s="18">
        <f t="shared" ref="E913:E976" si="997">ROUND(AVERAGE(D913:D915),2)</f>
        <v>23.79</v>
      </c>
      <c r="F913">
        <f t="shared" ref="F913:F976" si="998">IF(E913&lt;11,3,IF(AND(E913&lt;14,E913&gt;=11),2,IF(AND(E913&lt;16,E913&gt;=14),1,IF(E913&gt;35,-3,IF(AND(E913&gt;25,E913&lt;=35),-2,IF(AND(E913&gt;18,E913&lt;=25),-1,0))))))</f>
        <v>-1</v>
      </c>
      <c r="G913" s="18">
        <f>ROUND(INDEX(Valuation!U:U,MATCH(A913,Valuation!A:A,0)),2)</f>
        <v>12.57</v>
      </c>
      <c r="H913">
        <f t="shared" si="969"/>
        <v>-3</v>
      </c>
      <c r="I913" s="18">
        <f>INDEX(WeeklyIndicators!Y:Y,MATCH(A913,WeeklyIndicators!A:A,0))</f>
        <v>79.239999999999995</v>
      </c>
      <c r="J913">
        <f t="shared" si="994"/>
        <v>-2</v>
      </c>
      <c r="K913">
        <f>ROUND(INDEX(Economic!AF:AF,MATCH(EOMONTH($A913,-1),Economic!A:A,0)),2)</f>
        <v>93.58</v>
      </c>
      <c r="L913" s="11">
        <f t="shared" si="967"/>
        <v>-1</v>
      </c>
      <c r="M913">
        <f>ROUND(INDEX(Manufacturing!P:P,MATCH(EOMONTH($A913,-1),Manufacturing!A:A,0)),2)</f>
        <v>52.2</v>
      </c>
      <c r="N913">
        <f t="shared" si="963"/>
        <v>-3</v>
      </c>
      <c r="O913">
        <f>ROUND(INDEX(Housing!AC:AC,MATCH(EOMONTH($A913,-1),Housing!B:B,0)),2)</f>
        <v>121.69</v>
      </c>
      <c r="P913">
        <f t="shared" si="964"/>
        <v>1</v>
      </c>
      <c r="Q913">
        <f>ROUND(INDEX(Spending!AJ:AJ,MATCH(EOMONTH($A913,-1),Spending!B:B,0)),2)</f>
        <v>52.51</v>
      </c>
      <c r="R913">
        <f t="shared" si="968"/>
        <v>1</v>
      </c>
      <c r="S913">
        <f>ROUND(INDEX(Employment!V:V,MATCH(EOMONTH($A913,-1),Employment!A:A,0)),2)</f>
        <v>135.15</v>
      </c>
      <c r="T913" s="11">
        <f t="shared" si="965"/>
        <v>-2</v>
      </c>
      <c r="U913">
        <f t="shared" si="993"/>
        <v>10</v>
      </c>
      <c r="V913">
        <f t="shared" si="985"/>
        <v>58.57</v>
      </c>
      <c r="W913" s="13">
        <f t="shared" si="986"/>
        <v>-4.19E-2</v>
      </c>
      <c r="X913" s="13">
        <f t="shared" si="987"/>
        <v>-5.2399999999999995E-2</v>
      </c>
      <c r="Y913">
        <f t="shared" si="979"/>
        <v>46.01</v>
      </c>
      <c r="Z913" s="13">
        <f t="shared" si="974"/>
        <v>-4.6600000000000003E-2</v>
      </c>
      <c r="AA913" s="13">
        <f t="shared" si="970"/>
        <v>-3.3500000000000002E-2</v>
      </c>
      <c r="AB913" s="6">
        <f t="shared" si="980"/>
        <v>38.946999999999996</v>
      </c>
      <c r="AC913">
        <f t="shared" si="972"/>
        <v>19</v>
      </c>
      <c r="AD913" s="11">
        <f t="shared" si="973"/>
        <v>-1</v>
      </c>
      <c r="AE913">
        <f t="shared" si="971"/>
        <v>11</v>
      </c>
      <c r="AF913">
        <f>IF(AND(AE913&lt;15,OR(AC913&gt;=30,AA913&gt;0.15,X913&gt;=0.15)),2,VLOOKUP(AE913,Table!P:Q,2,FALSE))</f>
        <v>1</v>
      </c>
      <c r="AG913" s="22">
        <f>IF((AB913*0.98)-(D913*0.8)+((AF913-3)*3)+VLOOKUP(AM913,Table!$A$11:$B$13,2,FALSE)&lt;0,0,(AB913*0.98)-(D913*0.8)+((AF913-3)*3)+VLOOKUP(AM913,Table!$A$11:$B$13,2,FALSE))</f>
        <v>0</v>
      </c>
      <c r="AH913" s="22">
        <f t="shared" si="966"/>
        <v>9</v>
      </c>
      <c r="AI913" s="18">
        <f t="shared" si="995"/>
        <v>5.24</v>
      </c>
      <c r="AJ913" s="18">
        <f t="shared" si="996"/>
        <v>5.75</v>
      </c>
      <c r="AK913" t="str">
        <f t="shared" si="981"/>
        <v>Falling Rates</v>
      </c>
      <c r="AL913">
        <f t="shared" si="992"/>
        <v>14</v>
      </c>
      <c r="AM913" s="11" t="str">
        <f t="shared" si="982"/>
        <v>Cash</v>
      </c>
      <c r="AN913" t="str">
        <f t="shared" si="988"/>
        <v>Sell</v>
      </c>
      <c r="AO913" s="13">
        <f t="shared" si="989"/>
        <v>-5.9999999999999995E-4</v>
      </c>
      <c r="AP913" s="13">
        <f t="shared" si="990"/>
        <v>8.9999999999999998E-4</v>
      </c>
      <c r="AQ913" s="13">
        <f t="shared" si="991"/>
        <v>8.0000000000000004E-4</v>
      </c>
      <c r="AR913" s="13">
        <f t="shared" si="983"/>
        <v>8.9999999999999998E-4</v>
      </c>
      <c r="AS913" s="6">
        <f t="shared" si="975"/>
        <v>307.32067537654211</v>
      </c>
      <c r="AT913" s="6">
        <f t="shared" si="976"/>
        <v>151.90793351329836</v>
      </c>
      <c r="AU913" s="6">
        <f t="shared" si="977"/>
        <v>304.75891198386074</v>
      </c>
      <c r="AV913" s="6">
        <f t="shared" si="978"/>
        <v>382.71928714576148</v>
      </c>
      <c r="AW913" s="58">
        <f t="shared" si="984"/>
        <v>2001</v>
      </c>
      <c r="AX913" s="58">
        <f>COUNTIF(AW$3:AW913,AW913)</f>
        <v>44</v>
      </c>
    </row>
    <row r="914" spans="1:50" x14ac:dyDescent="0.25">
      <c r="A914" s="5">
        <v>36947</v>
      </c>
      <c r="B914">
        <v>1245.8599999999999</v>
      </c>
      <c r="C914">
        <v>4.87</v>
      </c>
      <c r="D914" s="6">
        <v>22.120000999999998</v>
      </c>
      <c r="E914" s="18">
        <f t="shared" si="997"/>
        <v>22.03</v>
      </c>
      <c r="F914">
        <f t="shared" si="998"/>
        <v>-1</v>
      </c>
      <c r="G914" s="18">
        <f>ROUND(INDEX(Valuation!U:U,MATCH(A914,Valuation!A:A,0)),2)</f>
        <v>7.4</v>
      </c>
      <c r="H914">
        <f t="shared" si="969"/>
        <v>-3</v>
      </c>
      <c r="I914" s="18">
        <f>INDEX(WeeklyIndicators!Y:Y,MATCH(A914,WeeklyIndicators!A:A,0))</f>
        <v>95.18</v>
      </c>
      <c r="J914">
        <f t="shared" si="994"/>
        <v>-1</v>
      </c>
      <c r="K914">
        <f>ROUND(INDEX(Economic!AF:AF,MATCH(EOMONTH($A914,-1),Economic!A:A,0)),2)</f>
        <v>107.46</v>
      </c>
      <c r="L914" s="11">
        <f t="shared" si="967"/>
        <v>0</v>
      </c>
      <c r="M914">
        <f>ROUND(INDEX(Manufacturing!P:P,MATCH(EOMONTH($A914,-1),Manufacturing!A:A,0)),2)</f>
        <v>63.31</v>
      </c>
      <c r="N914">
        <f t="shared" ref="N914:N977" si="999">IF(M914&gt;108,3,IF(AND(M914&gt;100,M914&lt;=108),2,IF(AND(M914&gt;90,M914&lt;=100),1,IF(M914&lt;63,-3,IF(AND(M914&lt;74,M914&gt;=63),-2,IF(AND(M914&lt;84,M914&gt;=74),-1,0))))))</f>
        <v>-2</v>
      </c>
      <c r="O914">
        <f>ROUND(INDEX(Housing!AC:AC,MATCH(EOMONTH($A914,-1),Housing!B:B,0)),2)</f>
        <v>121.21</v>
      </c>
      <c r="P914">
        <f t="shared" ref="P914:P977" si="1000">IF(O914&gt;140,3,IF(AND(O914&gt;128,O914&lt;=140),2,IF(AND(O914&gt;115,O914&lt;=128),1,IF(O914&lt;50,-3,IF(AND(O914&lt;75,O914&gt;=50),-2,IF(AND(O914&lt;100,O914&gt;=75),-1,0))))))</f>
        <v>1</v>
      </c>
      <c r="Q914">
        <f>ROUND(INDEX(Spending!AJ:AJ,MATCH(EOMONTH($A914,-1),Spending!B:B,0)),2)</f>
        <v>55.72</v>
      </c>
      <c r="R914">
        <f t="shared" si="968"/>
        <v>1</v>
      </c>
      <c r="S914">
        <f>ROUND(INDEX(Employment!V:V,MATCH(EOMONTH($A914,-1),Employment!A:A,0)),2)</f>
        <v>144.57</v>
      </c>
      <c r="T914" s="11">
        <f t="shared" ref="T914:T977" si="1001">IF(S914&gt;190,3,IF(AND(S914&gt;175,S914&lt;=190),2,IF(AND(S914&gt;160,S914&lt;=175),1,IF(S914&lt;120,-3,IF(AND(S914&lt;140,S914&gt;=120),-2,IF(AND(S914&lt;150,S914&gt;=140),-1,0))))))</f>
        <v>-1</v>
      </c>
      <c r="U914">
        <f t="shared" si="993"/>
        <v>14</v>
      </c>
      <c r="V914">
        <f t="shared" si="985"/>
        <v>64.78</v>
      </c>
      <c r="W914" s="13">
        <f t="shared" si="986"/>
        <v>-6.7999999999999996E-3</v>
      </c>
      <c r="X914" s="13">
        <f t="shared" si="987"/>
        <v>-5.1000000000000004E-3</v>
      </c>
      <c r="Y914">
        <f t="shared" si="979"/>
        <v>52.25</v>
      </c>
      <c r="Z914" s="13">
        <f t="shared" si="974"/>
        <v>-2.9999999999999997E-4</v>
      </c>
      <c r="AA914" s="13">
        <f t="shared" si="970"/>
        <v>2.8900000000000002E-2</v>
      </c>
      <c r="AB914" s="6">
        <f t="shared" si="980"/>
        <v>49.53</v>
      </c>
      <c r="AC914">
        <f t="shared" si="972"/>
        <v>25</v>
      </c>
      <c r="AD914" s="11">
        <f t="shared" si="973"/>
        <v>-1</v>
      </c>
      <c r="AE914">
        <f t="shared" si="971"/>
        <v>15</v>
      </c>
      <c r="AF914">
        <f>IF(AND(AE914&lt;15,OR(AC914&gt;=30,AA914&gt;0.15,X914&gt;=0.15)),2,VLOOKUP(AE914,Table!P:Q,2,FALSE))</f>
        <v>2</v>
      </c>
      <c r="AG914" s="22">
        <f>IF((AB914*0.98)-(D914*0.8)+((AF914-3)*3)+VLOOKUP(AM914,Table!$A$11:$B$13,2,FALSE)&lt;0,0,(AB914*0.98)-(D914*0.8)+((AF914-3)*3)+VLOOKUP(AM914,Table!$A$11:$B$13,2,FALSE))</f>
        <v>11.8433992</v>
      </c>
      <c r="AH914" s="22">
        <f t="shared" ref="AH914:AH977" si="1002">IF(ROUND(AVERAGE(AG914:AG916),0)&lt;0,0,IF(ROUND(AVERAGE(AG914:AG916),0)&gt;100,100,ROUND(AVERAGE(AG914:AG916),0)))</f>
        <v>14</v>
      </c>
      <c r="AI914" s="18">
        <f t="shared" si="995"/>
        <v>5.35</v>
      </c>
      <c r="AJ914" s="18">
        <f t="shared" si="996"/>
        <v>5.77</v>
      </c>
      <c r="AK914" t="str">
        <f t="shared" si="981"/>
        <v>Falling Rates</v>
      </c>
      <c r="AL914">
        <f t="shared" si="992"/>
        <v>15</v>
      </c>
      <c r="AM914" s="11" t="str">
        <f t="shared" si="982"/>
        <v>Cash</v>
      </c>
      <c r="AN914" t="str">
        <f t="shared" si="988"/>
        <v>Sell</v>
      </c>
      <c r="AO914" s="13">
        <f t="shared" si="989"/>
        <v>-9.4000000000000004E-3</v>
      </c>
      <c r="AP914" s="13">
        <f t="shared" si="990"/>
        <v>8.9999999999999998E-4</v>
      </c>
      <c r="AQ914" s="13">
        <f t="shared" si="991"/>
        <v>-5.0000000000000001E-4</v>
      </c>
      <c r="AR914" s="13">
        <f t="shared" si="983"/>
        <v>8.9999999999999998E-4</v>
      </c>
      <c r="AS914" s="6">
        <f t="shared" si="975"/>
        <v>310.23690225776511</v>
      </c>
      <c r="AT914" s="6">
        <f t="shared" si="976"/>
        <v>151.77133930792124</v>
      </c>
      <c r="AU914" s="6">
        <f t="shared" si="977"/>
        <v>304.91136766769455</v>
      </c>
      <c r="AV914" s="6">
        <f t="shared" si="978"/>
        <v>382.37514951120141</v>
      </c>
      <c r="AW914" s="58">
        <f t="shared" si="984"/>
        <v>2001</v>
      </c>
      <c r="AX914" s="58">
        <f>COUNTIF(AW$3:AW914,AW914)</f>
        <v>45</v>
      </c>
    </row>
    <row r="915" spans="1:50" x14ac:dyDescent="0.25">
      <c r="A915" s="5">
        <v>36940</v>
      </c>
      <c r="B915">
        <v>1301.53</v>
      </c>
      <c r="C915">
        <v>4.93</v>
      </c>
      <c r="D915" s="6">
        <v>22.030000999999999</v>
      </c>
      <c r="E915" s="18">
        <f t="shared" si="997"/>
        <v>22.18</v>
      </c>
      <c r="F915">
        <f t="shared" si="998"/>
        <v>-1</v>
      </c>
      <c r="G915" s="18">
        <f>ROUND(INDEX(Valuation!U:U,MATCH(A915,Valuation!A:A,0)),2)</f>
        <v>2.59</v>
      </c>
      <c r="H915">
        <f t="shared" si="969"/>
        <v>-3</v>
      </c>
      <c r="I915" s="18">
        <f>INDEX(WeeklyIndicators!Y:Y,MATCH(A915,WeeklyIndicators!A:A,0))</f>
        <v>109.88</v>
      </c>
      <c r="J915">
        <f t="shared" si="994"/>
        <v>-1</v>
      </c>
      <c r="K915">
        <f>ROUND(INDEX(Economic!AF:AF,MATCH(EOMONTH($A915,-1),Economic!A:A,0)),2)</f>
        <v>107.46</v>
      </c>
      <c r="L915" s="11">
        <f t="shared" ref="L915:L978" si="1003">IF(K915&gt;138,3,IF(AND(K915&gt;125,K915&lt;=138),2,IF(AND(K915&gt;111,K915&lt;=125),1,IF(K915&lt;50,-3,IF(AND(K915&lt;80,K915&gt;=50),-2,IF(AND(K915&lt;100,K915&gt;=80),-1,0))))))</f>
        <v>0</v>
      </c>
      <c r="M915">
        <f>ROUND(INDEX(Manufacturing!P:P,MATCH(EOMONTH($A915,-1),Manufacturing!A:A,0)),2)</f>
        <v>63.31</v>
      </c>
      <c r="N915">
        <f t="shared" si="999"/>
        <v>-2</v>
      </c>
      <c r="O915">
        <f>ROUND(INDEX(Housing!AC:AC,MATCH(EOMONTH($A915,-1),Housing!B:B,0)),2)</f>
        <v>121.21</v>
      </c>
      <c r="P915">
        <f t="shared" si="1000"/>
        <v>1</v>
      </c>
      <c r="Q915">
        <f>ROUND(INDEX(Spending!AJ:AJ,MATCH(EOMONTH($A915,-1),Spending!B:B,0)),2)</f>
        <v>55.72</v>
      </c>
      <c r="R915">
        <f t="shared" ref="R915:R978" si="1004">IF(Q915&gt;60,2,IF(AND(Q915&gt;50,Q915&lt;=60),1,IF(Q915&lt;30,-2,IF(AND(Q915&lt;40,Q915&gt;=30),-1,0))))</f>
        <v>1</v>
      </c>
      <c r="S915">
        <f>ROUND(INDEX(Employment!V:V,MATCH(EOMONTH($A915,-1),Employment!A:A,0)),2)</f>
        <v>144.57</v>
      </c>
      <c r="T915" s="11">
        <f t="shared" si="1001"/>
        <v>-1</v>
      </c>
      <c r="U915">
        <f t="shared" si="993"/>
        <v>14</v>
      </c>
      <c r="V915">
        <f t="shared" si="985"/>
        <v>66.31</v>
      </c>
      <c r="W915" s="13">
        <f t="shared" si="986"/>
        <v>-7.4000000000000003E-3</v>
      </c>
      <c r="X915" s="13">
        <f t="shared" si="987"/>
        <v>1.7899999999999999E-2</v>
      </c>
      <c r="Y915">
        <f t="shared" si="979"/>
        <v>53.19</v>
      </c>
      <c r="Z915" s="13">
        <f t="shared" si="974"/>
        <v>-2.9999999999999997E-4</v>
      </c>
      <c r="AA915" s="13">
        <f t="shared" si="970"/>
        <v>5.2700000000000004E-2</v>
      </c>
      <c r="AB915" s="6">
        <f t="shared" si="980"/>
        <v>51.869</v>
      </c>
      <c r="AC915">
        <f t="shared" si="972"/>
        <v>26</v>
      </c>
      <c r="AD915" s="11">
        <f t="shared" si="973"/>
        <v>-1</v>
      </c>
      <c r="AE915">
        <f t="shared" si="971"/>
        <v>15</v>
      </c>
      <c r="AF915">
        <f>IF(AND(AE915&lt;15,OR(AC915&gt;=30,AA915&gt;0.15,X915&gt;=0.15)),2,VLOOKUP(AE915,Table!P:Q,2,FALSE))</f>
        <v>2</v>
      </c>
      <c r="AG915" s="22">
        <f>IF((AB915*0.98)-(D915*0.8)+((AF915-3)*3)+VLOOKUP(AM915,Table!$A$11:$B$13,2,FALSE)&lt;0,0,(AB915*0.98)-(D915*0.8)+((AF915-3)*3)+VLOOKUP(AM915,Table!$A$11:$B$13,2,FALSE))</f>
        <v>14.207619199999996</v>
      </c>
      <c r="AH915" s="22">
        <f t="shared" si="1002"/>
        <v>14</v>
      </c>
      <c r="AI915" s="18">
        <f t="shared" si="995"/>
        <v>5.45</v>
      </c>
      <c r="AJ915" s="18">
        <f t="shared" si="996"/>
        <v>5.8</v>
      </c>
      <c r="AK915" t="str">
        <f t="shared" si="981"/>
        <v>Falling Rates</v>
      </c>
      <c r="AL915">
        <f t="shared" si="992"/>
        <v>15</v>
      </c>
      <c r="AM915" s="11" t="str">
        <f t="shared" si="982"/>
        <v>Cash</v>
      </c>
      <c r="AN915" t="str">
        <f t="shared" si="988"/>
        <v>Buy</v>
      </c>
      <c r="AO915" s="13">
        <f t="shared" si="989"/>
        <v>-4.2799999999999998E-2</v>
      </c>
      <c r="AP915" s="13">
        <f t="shared" si="990"/>
        <v>8.9999999999999998E-4</v>
      </c>
      <c r="AQ915" s="13">
        <f t="shared" si="991"/>
        <v>-5.1999999999999998E-3</v>
      </c>
      <c r="AR915" s="13">
        <f t="shared" si="983"/>
        <v>8.9999999999999998E-4</v>
      </c>
      <c r="AS915" s="6">
        <f t="shared" si="975"/>
        <v>324.1087570599301</v>
      </c>
      <c r="AT915" s="6">
        <f t="shared" si="976"/>
        <v>151.63486792678714</v>
      </c>
      <c r="AU915" s="6">
        <f t="shared" si="977"/>
        <v>306.50519468003068</v>
      </c>
      <c r="AV915" s="6">
        <f t="shared" si="978"/>
        <v>382.03132132201165</v>
      </c>
      <c r="AW915" s="58">
        <f t="shared" si="984"/>
        <v>2001</v>
      </c>
      <c r="AX915" s="58">
        <f>COUNTIF(AW$3:AW915,AW915)</f>
        <v>46</v>
      </c>
    </row>
    <row r="916" spans="1:50" x14ac:dyDescent="0.25">
      <c r="A916" s="5">
        <v>36933</v>
      </c>
      <c r="B916">
        <v>1314.76</v>
      </c>
      <c r="C916">
        <v>4.9400000000000004</v>
      </c>
      <c r="D916" s="6">
        <v>21.950001</v>
      </c>
      <c r="E916" s="18">
        <f t="shared" si="997"/>
        <v>22.59</v>
      </c>
      <c r="F916">
        <f t="shared" si="998"/>
        <v>-1</v>
      </c>
      <c r="G916" s="18">
        <f>ROUND(INDEX(Valuation!U:U,MATCH(A916,Valuation!A:A,0)),2)</f>
        <v>0.87</v>
      </c>
      <c r="H916">
        <f t="shared" si="969"/>
        <v>-3</v>
      </c>
      <c r="I916" s="18">
        <f>INDEX(WeeklyIndicators!Y:Y,MATCH(A916,WeeklyIndicators!A:A,0))</f>
        <v>115.33</v>
      </c>
      <c r="J916">
        <f t="shared" si="994"/>
        <v>-1</v>
      </c>
      <c r="K916">
        <f>ROUND(INDEX(Economic!AF:AF,MATCH(EOMONTH($A916,-1),Economic!A:A,0)),2)</f>
        <v>107.46</v>
      </c>
      <c r="L916" s="11">
        <f t="shared" si="1003"/>
        <v>0</v>
      </c>
      <c r="M916">
        <f>ROUND(INDEX(Manufacturing!P:P,MATCH(EOMONTH($A916,-1),Manufacturing!A:A,0)),2)</f>
        <v>63.31</v>
      </c>
      <c r="N916">
        <f t="shared" si="999"/>
        <v>-2</v>
      </c>
      <c r="O916">
        <f>ROUND(INDEX(Housing!AC:AC,MATCH(EOMONTH($A916,-1),Housing!B:B,0)),2)</f>
        <v>121.21</v>
      </c>
      <c r="P916">
        <f t="shared" si="1000"/>
        <v>1</v>
      </c>
      <c r="Q916">
        <f>ROUND(INDEX(Spending!AJ:AJ,MATCH(EOMONTH($A916,-1),Spending!B:B,0)),2)</f>
        <v>55.72</v>
      </c>
      <c r="R916">
        <f t="shared" si="1004"/>
        <v>1</v>
      </c>
      <c r="S916">
        <f>ROUND(INDEX(Employment!V:V,MATCH(EOMONTH($A916,-1),Employment!A:A,0)),2)</f>
        <v>144.57</v>
      </c>
      <c r="T916" s="11">
        <f t="shared" si="1001"/>
        <v>-1</v>
      </c>
      <c r="U916">
        <f t="shared" si="993"/>
        <v>14</v>
      </c>
      <c r="V916">
        <f t="shared" si="985"/>
        <v>66.87</v>
      </c>
      <c r="W916" s="13">
        <f t="shared" si="986"/>
        <v>3.7000000000000002E-3</v>
      </c>
      <c r="X916" s="13">
        <f t="shared" si="987"/>
        <v>3.0099999999999998E-2</v>
      </c>
      <c r="Y916">
        <f t="shared" si="979"/>
        <v>53.42</v>
      </c>
      <c r="Z916" s="13">
        <f t="shared" si="974"/>
        <v>1.37E-2</v>
      </c>
      <c r="AA916" s="13">
        <f t="shared" si="970"/>
        <v>5.7000000000000009E-2</v>
      </c>
      <c r="AB916" s="6">
        <f t="shared" si="980"/>
        <v>52.357000000000014</v>
      </c>
      <c r="AC916">
        <f t="shared" si="972"/>
        <v>26</v>
      </c>
      <c r="AD916" s="11">
        <f t="shared" si="973"/>
        <v>-1</v>
      </c>
      <c r="AE916">
        <f t="shared" si="971"/>
        <v>15</v>
      </c>
      <c r="AF916">
        <f>IF(AND(AE916&lt;15,OR(AC916&gt;=30,AA916&gt;0.15,X916&gt;=0.15)),2,VLOOKUP(AE916,Table!P:Q,2,FALSE))</f>
        <v>2</v>
      </c>
      <c r="AG916" s="22">
        <f>IF((AB916*0.98)-(D916*0.8)+((AF916-3)*3)+VLOOKUP(AM916,Table!$A$11:$B$13,2,FALSE)&lt;0,0,(AB916*0.98)-(D916*0.8)+((AF916-3)*3)+VLOOKUP(AM916,Table!$A$11:$B$13,2,FALSE))</f>
        <v>14.749859200000017</v>
      </c>
      <c r="AH916" s="22">
        <f t="shared" si="1002"/>
        <v>13</v>
      </c>
      <c r="AI916" s="18">
        <f t="shared" si="995"/>
        <v>5.54</v>
      </c>
      <c r="AJ916" s="18">
        <f t="shared" si="996"/>
        <v>5.82</v>
      </c>
      <c r="AK916" t="str">
        <f t="shared" si="981"/>
        <v>Falling Rates</v>
      </c>
      <c r="AL916">
        <f t="shared" si="992"/>
        <v>15</v>
      </c>
      <c r="AM916" s="11" t="str">
        <f t="shared" si="982"/>
        <v>Cash</v>
      </c>
      <c r="AN916" t="str">
        <f t="shared" si="988"/>
        <v>Buy</v>
      </c>
      <c r="AO916" s="13">
        <f t="shared" si="989"/>
        <v>-1.01E-2</v>
      </c>
      <c r="AP916" s="13">
        <f t="shared" si="990"/>
        <v>1E-3</v>
      </c>
      <c r="AQ916" s="13">
        <f t="shared" si="991"/>
        <v>-4.0000000000000002E-4</v>
      </c>
      <c r="AR916" s="13">
        <f t="shared" si="983"/>
        <v>1E-3</v>
      </c>
      <c r="AS916" s="6">
        <f t="shared" si="975"/>
        <v>327.41565517722</v>
      </c>
      <c r="AT916" s="6">
        <f t="shared" si="976"/>
        <v>151.48338454224492</v>
      </c>
      <c r="AU916" s="6">
        <f t="shared" si="977"/>
        <v>306.62784581835803</v>
      </c>
      <c r="AV916" s="6">
        <f t="shared" si="978"/>
        <v>381.64967165036131</v>
      </c>
      <c r="AW916" s="58">
        <f t="shared" si="984"/>
        <v>2001</v>
      </c>
      <c r="AX916" s="58">
        <f>COUNTIF(AW$3:AW916,AW916)</f>
        <v>47</v>
      </c>
    </row>
    <row r="917" spans="1:50" x14ac:dyDescent="0.25">
      <c r="A917" s="5">
        <v>36926</v>
      </c>
      <c r="B917">
        <v>1349.47</v>
      </c>
      <c r="C917">
        <v>4.91</v>
      </c>
      <c r="D917" s="6">
        <v>22.57</v>
      </c>
      <c r="E917" s="18">
        <f t="shared" si="997"/>
        <v>23.46</v>
      </c>
      <c r="F917">
        <f t="shared" si="998"/>
        <v>-1</v>
      </c>
      <c r="G917" s="18">
        <f>ROUND(INDEX(Valuation!U:U,MATCH(A917,Valuation!A:A,0)),2)</f>
        <v>0</v>
      </c>
      <c r="H917">
        <f t="shared" si="969"/>
        <v>-3</v>
      </c>
      <c r="I917" s="18">
        <f>INDEX(WeeklyIndicators!Y:Y,MATCH(A917,WeeklyIndicators!A:A,0))</f>
        <v>108.26</v>
      </c>
      <c r="J917">
        <f t="shared" si="994"/>
        <v>-1</v>
      </c>
      <c r="K917">
        <f>ROUND(INDEX(Economic!AF:AF,MATCH(EOMONTH($A917,-1),Economic!A:A,0)),2)</f>
        <v>107.46</v>
      </c>
      <c r="L917" s="11">
        <f t="shared" si="1003"/>
        <v>0</v>
      </c>
      <c r="M917">
        <f>ROUND(INDEX(Manufacturing!P:P,MATCH(EOMONTH($A917,-1),Manufacturing!A:A,0)),2)</f>
        <v>63.31</v>
      </c>
      <c r="N917">
        <f t="shared" si="999"/>
        <v>-2</v>
      </c>
      <c r="O917">
        <f>ROUND(INDEX(Housing!AC:AC,MATCH(EOMONTH($A917,-1),Housing!B:B,0)),2)</f>
        <v>121.21</v>
      </c>
      <c r="P917">
        <f t="shared" si="1000"/>
        <v>1</v>
      </c>
      <c r="Q917">
        <f>ROUND(INDEX(Spending!AJ:AJ,MATCH(EOMONTH($A917,-1),Spending!B:B,0)),2)</f>
        <v>55.72</v>
      </c>
      <c r="R917">
        <f t="shared" si="1004"/>
        <v>1</v>
      </c>
      <c r="S917">
        <f>ROUND(INDEX(Employment!V:V,MATCH(EOMONTH($A917,-1),Employment!A:A,0)),2)</f>
        <v>144.57</v>
      </c>
      <c r="T917" s="11">
        <f t="shared" si="1001"/>
        <v>-1</v>
      </c>
      <c r="U917">
        <f t="shared" si="993"/>
        <v>14</v>
      </c>
      <c r="V917">
        <f t="shared" si="985"/>
        <v>66.14</v>
      </c>
      <c r="W917" s="13">
        <f t="shared" si="986"/>
        <v>5.4000000000000003E-3</v>
      </c>
      <c r="X917" s="13">
        <f t="shared" si="987"/>
        <v>2.7900000000000001E-2</v>
      </c>
      <c r="Y917">
        <f t="shared" si="979"/>
        <v>52.29</v>
      </c>
      <c r="Z917" s="13">
        <f t="shared" si="974"/>
        <v>1.5800000000000002E-2</v>
      </c>
      <c r="AA917" s="13">
        <f t="shared" si="970"/>
        <v>4.0800000000000003E-2</v>
      </c>
      <c r="AB917" s="6">
        <f t="shared" si="980"/>
        <v>50.01</v>
      </c>
      <c r="AC917">
        <f t="shared" si="972"/>
        <v>25</v>
      </c>
      <c r="AD917" s="11">
        <f t="shared" si="973"/>
        <v>-1</v>
      </c>
      <c r="AE917">
        <f t="shared" si="971"/>
        <v>15</v>
      </c>
      <c r="AF917">
        <f>IF(AND(AE917&lt;15,OR(AC917&gt;=30,AA917&gt;0.15,X917&gt;=0.15)),2,VLOOKUP(AE917,Table!P:Q,2,FALSE))</f>
        <v>2</v>
      </c>
      <c r="AG917" s="22">
        <f>IF((AB917*0.98)-(D917*0.8)+((AF917-3)*3)+VLOOKUP(AM917,Table!$A$11:$B$13,2,FALSE)&lt;0,0,(AB917*0.98)-(D917*0.8)+((AF917-3)*3)+VLOOKUP(AM917,Table!$A$11:$B$13,2,FALSE))</f>
        <v>11.953799999999998</v>
      </c>
      <c r="AH917" s="22">
        <f t="shared" si="1002"/>
        <v>10</v>
      </c>
      <c r="AI917" s="18">
        <f t="shared" si="995"/>
        <v>5.64</v>
      </c>
      <c r="AJ917" s="18">
        <f t="shared" si="996"/>
        <v>5.85</v>
      </c>
      <c r="AK917" t="str">
        <f t="shared" si="981"/>
        <v>Falling Rates</v>
      </c>
      <c r="AL917">
        <f t="shared" si="992"/>
        <v>15</v>
      </c>
      <c r="AM917" s="11" t="str">
        <f t="shared" si="982"/>
        <v>Cash</v>
      </c>
      <c r="AN917" t="str">
        <f t="shared" si="988"/>
        <v>Buy</v>
      </c>
      <c r="AO917" s="13">
        <f t="shared" si="989"/>
        <v>-2.5700000000000001E-2</v>
      </c>
      <c r="AP917" s="13">
        <f t="shared" si="990"/>
        <v>8.9999999999999998E-4</v>
      </c>
      <c r="AQ917" s="13">
        <f t="shared" si="991"/>
        <v>-1.8E-3</v>
      </c>
      <c r="AR917" s="13">
        <f t="shared" si="983"/>
        <v>8.9999999999999998E-4</v>
      </c>
      <c r="AS917" s="6">
        <f t="shared" si="975"/>
        <v>336.05219663062712</v>
      </c>
      <c r="AT917" s="6">
        <f t="shared" si="976"/>
        <v>151.34717208736632</v>
      </c>
      <c r="AU917" s="6">
        <f t="shared" si="977"/>
        <v>307.18077120652981</v>
      </c>
      <c r="AV917" s="6">
        <f t="shared" si="978"/>
        <v>381.30649580413763</v>
      </c>
      <c r="AW917" s="58">
        <f t="shared" si="984"/>
        <v>2001</v>
      </c>
      <c r="AX917" s="58">
        <f>COUNTIF(AW$3:AW917,AW917)</f>
        <v>48</v>
      </c>
    </row>
    <row r="918" spans="1:50" x14ac:dyDescent="0.25">
      <c r="A918" s="5">
        <v>36919</v>
      </c>
      <c r="B918">
        <v>1354.95</v>
      </c>
      <c r="C918">
        <v>5.1100000000000003</v>
      </c>
      <c r="D918" s="6">
        <v>23.24</v>
      </c>
      <c r="E918" s="18">
        <f t="shared" si="997"/>
        <v>25.49</v>
      </c>
      <c r="F918">
        <f t="shared" si="998"/>
        <v>-2</v>
      </c>
      <c r="G918" s="18">
        <f>ROUND(INDEX(Valuation!U:U,MATCH(A918,Valuation!A:A,0)),2)</f>
        <v>0</v>
      </c>
      <c r="H918">
        <f t="shared" si="969"/>
        <v>-3</v>
      </c>
      <c r="I918" s="18">
        <f>INDEX(WeeklyIndicators!Y:Y,MATCH(A918,WeeklyIndicators!A:A,0))</f>
        <v>91.39</v>
      </c>
      <c r="J918">
        <f t="shared" si="994"/>
        <v>-2</v>
      </c>
      <c r="K918">
        <f>ROUND(INDEX(Economic!AF:AF,MATCH(EOMONTH($A918,-1),Economic!A:A,0)),2)</f>
        <v>115.89</v>
      </c>
      <c r="L918" s="11">
        <f t="shared" si="1003"/>
        <v>1</v>
      </c>
      <c r="M918">
        <f>ROUND(INDEX(Manufacturing!P:P,MATCH(EOMONTH($A918,-1),Manufacturing!A:A,0)),2)</f>
        <v>72.38</v>
      </c>
      <c r="N918">
        <f t="shared" si="999"/>
        <v>-2</v>
      </c>
      <c r="O918">
        <f>ROUND(INDEX(Housing!AC:AC,MATCH(EOMONTH($A918,-1),Housing!B:B,0)),2)</f>
        <v>122.41</v>
      </c>
      <c r="P918">
        <f t="shared" si="1000"/>
        <v>1</v>
      </c>
      <c r="Q918">
        <f>ROUND(INDEX(Spending!AJ:AJ,MATCH(EOMONTH($A918,-1),Spending!B:B,0)),2)</f>
        <v>56.29</v>
      </c>
      <c r="R918">
        <f t="shared" si="1004"/>
        <v>1</v>
      </c>
      <c r="S918">
        <f>ROUND(INDEX(Employment!V:V,MATCH(EOMONTH($A918,-1),Employment!A:A,0)),2)</f>
        <v>154.18</v>
      </c>
      <c r="T918" s="11">
        <f t="shared" si="1001"/>
        <v>0</v>
      </c>
      <c r="U918">
        <f t="shared" si="993"/>
        <v>14</v>
      </c>
      <c r="V918">
        <f t="shared" si="985"/>
        <v>67.790000000000006</v>
      </c>
      <c r="W918" s="13">
        <f t="shared" si="986"/>
        <v>1.6199999999999999E-2</v>
      </c>
      <c r="X918" s="13">
        <f t="shared" si="987"/>
        <v>2.1700000000000001E-2</v>
      </c>
      <c r="Y918">
        <f t="shared" si="979"/>
        <v>53.24</v>
      </c>
      <c r="Z918" s="13">
        <f t="shared" si="974"/>
        <v>2.35E-2</v>
      </c>
      <c r="AA918" s="13">
        <f t="shared" si="970"/>
        <v>2.1100000000000001E-2</v>
      </c>
      <c r="AB918" s="6">
        <f t="shared" si="980"/>
        <v>49.63</v>
      </c>
      <c r="AC918">
        <f t="shared" si="972"/>
        <v>25</v>
      </c>
      <c r="AD918" s="11">
        <f t="shared" si="973"/>
        <v>-1</v>
      </c>
      <c r="AE918">
        <f t="shared" si="971"/>
        <v>15</v>
      </c>
      <c r="AF918">
        <f>IF(AND(AE918&lt;15,OR(AC918&gt;=30,AA918&gt;0.15,X918&gt;=0.15)),2,VLOOKUP(AE918,Table!P:Q,2,FALSE))</f>
        <v>2</v>
      </c>
      <c r="AG918" s="22">
        <f>IF((AB918*0.98)-(D918*0.8)+((AF918-3)*3)+VLOOKUP(AM918,Table!$A$11:$B$13,2,FALSE)&lt;0,0,(AB918*0.98)-(D918*0.8)+((AF918-3)*3)+VLOOKUP(AM918,Table!$A$11:$B$13,2,FALSE))</f>
        <v>11.045400000000001</v>
      </c>
      <c r="AH918" s="22">
        <f t="shared" si="1002"/>
        <v>6</v>
      </c>
      <c r="AI918" s="18">
        <f t="shared" si="995"/>
        <v>5.74</v>
      </c>
      <c r="AJ918" s="18">
        <f t="shared" si="996"/>
        <v>5.87</v>
      </c>
      <c r="AK918" t="str">
        <f t="shared" si="981"/>
        <v>Falling Rates</v>
      </c>
      <c r="AL918">
        <f t="shared" si="992"/>
        <v>15</v>
      </c>
      <c r="AM918" s="11" t="str">
        <f t="shared" si="982"/>
        <v>Cash</v>
      </c>
      <c r="AN918" t="str">
        <f t="shared" si="988"/>
        <v>Buy</v>
      </c>
      <c r="AO918" s="13">
        <f t="shared" si="989"/>
        <v>-4.0000000000000001E-3</v>
      </c>
      <c r="AP918" s="13">
        <f t="shared" si="990"/>
        <v>1E-3</v>
      </c>
      <c r="AQ918" s="13">
        <f t="shared" si="991"/>
        <v>6.9999999999999999E-4</v>
      </c>
      <c r="AR918" s="13">
        <f t="shared" si="983"/>
        <v>1E-3</v>
      </c>
      <c r="AS918" s="6">
        <f t="shared" si="975"/>
        <v>337.40180384601115</v>
      </c>
      <c r="AT918" s="6">
        <f t="shared" si="976"/>
        <v>151.19597611125508</v>
      </c>
      <c r="AU918" s="6">
        <f t="shared" si="977"/>
        <v>306.96589507997385</v>
      </c>
      <c r="AV918" s="6">
        <f t="shared" si="978"/>
        <v>380.92557023390378</v>
      </c>
      <c r="AW918" s="58">
        <f t="shared" si="984"/>
        <v>2001</v>
      </c>
      <c r="AX918" s="58">
        <f>COUNTIF(AW$3:AW918,AW918)</f>
        <v>49</v>
      </c>
    </row>
    <row r="919" spans="1:50" x14ac:dyDescent="0.25">
      <c r="A919" s="5">
        <v>36912</v>
      </c>
      <c r="B919">
        <v>1342.54</v>
      </c>
      <c r="C919">
        <v>5.17</v>
      </c>
      <c r="D919" s="6">
        <v>24.559999000000001</v>
      </c>
      <c r="E919" s="18">
        <f t="shared" si="997"/>
        <v>26.69</v>
      </c>
      <c r="F919">
        <f t="shared" si="998"/>
        <v>-2</v>
      </c>
      <c r="G919" s="18">
        <f>ROUND(INDEX(Valuation!U:U,MATCH(A919,Valuation!A:A,0)),2)</f>
        <v>1.03</v>
      </c>
      <c r="H919">
        <f t="shared" si="969"/>
        <v>-3</v>
      </c>
      <c r="I919" s="18">
        <f>INDEX(WeeklyIndicators!Y:Y,MATCH(A919,WeeklyIndicators!A:A,0))</f>
        <v>75.38</v>
      </c>
      <c r="J919">
        <f t="shared" si="994"/>
        <v>-2</v>
      </c>
      <c r="K919">
        <f>ROUND(INDEX(Economic!AF:AF,MATCH(EOMONTH($A919,-1),Economic!A:A,0)),2)</f>
        <v>115.89</v>
      </c>
      <c r="L919" s="11">
        <f t="shared" si="1003"/>
        <v>1</v>
      </c>
      <c r="M919">
        <f>ROUND(INDEX(Manufacturing!P:P,MATCH(EOMONTH($A919,-1),Manufacturing!A:A,0)),2)</f>
        <v>72.38</v>
      </c>
      <c r="N919">
        <f t="shared" si="999"/>
        <v>-2</v>
      </c>
      <c r="O919">
        <f>ROUND(INDEX(Housing!AC:AC,MATCH(EOMONTH($A919,-1),Housing!B:B,0)),2)</f>
        <v>122.41</v>
      </c>
      <c r="P919">
        <f t="shared" si="1000"/>
        <v>1</v>
      </c>
      <c r="Q919">
        <f>ROUND(INDEX(Spending!AJ:AJ,MATCH(EOMONTH($A919,-1),Spending!B:B,0)),2)</f>
        <v>56.29</v>
      </c>
      <c r="R919">
        <f t="shared" si="1004"/>
        <v>1</v>
      </c>
      <c r="S919">
        <f>ROUND(INDEX(Employment!V:V,MATCH(EOMONTH($A919,-1),Employment!A:A,0)),2)</f>
        <v>154.18</v>
      </c>
      <c r="T919" s="11">
        <f t="shared" si="1001"/>
        <v>0</v>
      </c>
      <c r="U919">
        <f t="shared" si="993"/>
        <v>14</v>
      </c>
      <c r="V919">
        <f t="shared" si="985"/>
        <v>66.13</v>
      </c>
      <c r="W919" s="13">
        <f t="shared" si="986"/>
        <v>4.7999999999999996E-3</v>
      </c>
      <c r="X919" s="13">
        <f t="shared" si="987"/>
        <v>4.0000000000000001E-3</v>
      </c>
      <c r="Y919">
        <f t="shared" si="979"/>
        <v>51.27</v>
      </c>
      <c r="Z919" s="13">
        <f t="shared" si="974"/>
        <v>4.0000000000000001E-3</v>
      </c>
      <c r="AA919" s="13">
        <f t="shared" si="970"/>
        <v>-2.6999999999999997E-3</v>
      </c>
      <c r="AB919" s="6">
        <f t="shared" si="980"/>
        <v>45.933</v>
      </c>
      <c r="AC919">
        <f t="shared" si="972"/>
        <v>23</v>
      </c>
      <c r="AD919" s="11">
        <f t="shared" si="973"/>
        <v>-1</v>
      </c>
      <c r="AE919">
        <f t="shared" si="971"/>
        <v>15</v>
      </c>
      <c r="AF919">
        <f>IF(AND(AE919&lt;15,OR(AC919&gt;=30,AA919&gt;0.15,X919&gt;=0.15)),2,VLOOKUP(AE919,Table!P:Q,2,FALSE))</f>
        <v>2</v>
      </c>
      <c r="AG919" s="22">
        <f>IF((AB919*0.98)-(D919*0.8)+((AF919-3)*3)+VLOOKUP(AM919,Table!$A$11:$B$13,2,FALSE)&lt;0,0,(AB919*0.98)-(D919*0.8)+((AF919-3)*3)+VLOOKUP(AM919,Table!$A$11:$B$13,2,FALSE))</f>
        <v>6.3663407999999961</v>
      </c>
      <c r="AH919" s="22">
        <f t="shared" si="1002"/>
        <v>3</v>
      </c>
      <c r="AI919" s="18">
        <f t="shared" si="995"/>
        <v>5.82</v>
      </c>
      <c r="AJ919" s="18">
        <f t="shared" si="996"/>
        <v>5.88</v>
      </c>
      <c r="AK919" t="str">
        <f t="shared" si="981"/>
        <v>Falling Rates</v>
      </c>
      <c r="AL919">
        <f t="shared" si="992"/>
        <v>15</v>
      </c>
      <c r="AM919" s="11" t="str">
        <f t="shared" si="982"/>
        <v>Cash</v>
      </c>
      <c r="AN919" t="str">
        <f t="shared" si="988"/>
        <v>Buy</v>
      </c>
      <c r="AO919" s="13">
        <f t="shared" si="989"/>
        <v>9.1999999999999998E-3</v>
      </c>
      <c r="AP919" s="13">
        <f t="shared" si="990"/>
        <v>1E-3</v>
      </c>
      <c r="AQ919" s="13">
        <f t="shared" si="991"/>
        <v>1.1999999999999999E-3</v>
      </c>
      <c r="AR919" s="13">
        <f t="shared" si="983"/>
        <v>1E-3</v>
      </c>
      <c r="AS919" s="6">
        <f t="shared" si="975"/>
        <v>334.32600460365745</v>
      </c>
      <c r="AT919" s="6">
        <f t="shared" si="976"/>
        <v>151.04493118007503</v>
      </c>
      <c r="AU919" s="6">
        <f t="shared" si="977"/>
        <v>306.59797750696544</v>
      </c>
      <c r="AV919" s="6">
        <f t="shared" si="978"/>
        <v>380.54502520869511</v>
      </c>
      <c r="AW919" s="58">
        <f t="shared" si="984"/>
        <v>2001</v>
      </c>
      <c r="AX919" s="58">
        <f>COUNTIF(AW$3:AW919,AW919)</f>
        <v>50</v>
      </c>
    </row>
    <row r="920" spans="1:50" x14ac:dyDescent="0.25">
      <c r="A920" s="5">
        <v>36905</v>
      </c>
      <c r="B920">
        <v>1318.55</v>
      </c>
      <c r="C920">
        <v>5.13</v>
      </c>
      <c r="D920" s="6">
        <v>28.67</v>
      </c>
      <c r="E920" s="18">
        <f t="shared" si="997"/>
        <v>27.69</v>
      </c>
      <c r="F920">
        <f t="shared" si="998"/>
        <v>-2</v>
      </c>
      <c r="G920" s="18">
        <f>ROUND(INDEX(Valuation!U:U,MATCH(A920,Valuation!A:A,0)),2)</f>
        <v>1.03</v>
      </c>
      <c r="H920">
        <f t="shared" si="969"/>
        <v>-3</v>
      </c>
      <c r="I920" s="18">
        <f>INDEX(WeeklyIndicators!Y:Y,MATCH(A920,WeeklyIndicators!A:A,0))</f>
        <v>65.09</v>
      </c>
      <c r="J920">
        <f t="shared" si="994"/>
        <v>-2</v>
      </c>
      <c r="K920">
        <f>ROUND(INDEX(Economic!AF:AF,MATCH(EOMONTH($A920,-1),Economic!A:A,0)),2)</f>
        <v>115.89</v>
      </c>
      <c r="L920" s="11">
        <f t="shared" si="1003"/>
        <v>1</v>
      </c>
      <c r="M920">
        <f>ROUND(INDEX(Manufacturing!P:P,MATCH(EOMONTH($A920,-1),Manufacturing!A:A,0)),2)</f>
        <v>72.38</v>
      </c>
      <c r="N920">
        <f t="shared" si="999"/>
        <v>-2</v>
      </c>
      <c r="O920">
        <f>ROUND(INDEX(Housing!AC:AC,MATCH(EOMONTH($A920,-1),Housing!B:B,0)),2)</f>
        <v>122.41</v>
      </c>
      <c r="P920">
        <f t="shared" si="1000"/>
        <v>1</v>
      </c>
      <c r="Q920">
        <f>ROUND(INDEX(Spending!AJ:AJ,MATCH(EOMONTH($A920,-1),Spending!B:B,0)),2)</f>
        <v>56.29</v>
      </c>
      <c r="R920">
        <f t="shared" si="1004"/>
        <v>1</v>
      </c>
      <c r="S920">
        <f>ROUND(INDEX(Employment!V:V,MATCH(EOMONTH($A920,-1),Employment!A:A,0)),2)</f>
        <v>154.18</v>
      </c>
      <c r="T920" s="11">
        <f t="shared" si="1001"/>
        <v>0</v>
      </c>
      <c r="U920">
        <f t="shared" si="993"/>
        <v>14</v>
      </c>
      <c r="V920">
        <f t="shared" si="985"/>
        <v>65.06</v>
      </c>
      <c r="W920" s="13">
        <f t="shared" si="986"/>
        <v>1.5E-3</v>
      </c>
      <c r="X920" s="13">
        <f t="shared" si="987"/>
        <v>-0.01</v>
      </c>
      <c r="Y920">
        <f t="shared" si="979"/>
        <v>49.85</v>
      </c>
      <c r="Z920" s="13">
        <f t="shared" si="974"/>
        <v>-2.5000000000000001E-3</v>
      </c>
      <c r="AA920" s="13">
        <f t="shared" si="970"/>
        <v>-1.6199999999999999E-2</v>
      </c>
      <c r="AB920" s="6">
        <f t="shared" si="980"/>
        <v>43.433</v>
      </c>
      <c r="AC920">
        <f t="shared" si="972"/>
        <v>22</v>
      </c>
      <c r="AD920" s="11">
        <f t="shared" si="973"/>
        <v>-1</v>
      </c>
      <c r="AE920">
        <f t="shared" si="971"/>
        <v>15</v>
      </c>
      <c r="AF920">
        <f>IF(AND(AE920&lt;15,OR(AC920&gt;=30,AA920&gt;0.15,X920&gt;=0.15)),2,VLOOKUP(AE920,Table!P:Q,2,FALSE))</f>
        <v>2</v>
      </c>
      <c r="AG920" s="22">
        <f>IF((AB920*0.98)-(D920*0.8)+((AF920-3)*3)+VLOOKUP(AM920,Table!$A$11:$B$13,2,FALSE)&lt;0,0,(AB920*0.98)-(D920*0.8)+((AF920-3)*3)+VLOOKUP(AM920,Table!$A$11:$B$13,2,FALSE))</f>
        <v>0.6283399999999979</v>
      </c>
      <c r="AH920" s="22">
        <f t="shared" si="1002"/>
        <v>1</v>
      </c>
      <c r="AI920" s="18">
        <f t="shared" si="995"/>
        <v>5.89</v>
      </c>
      <c r="AJ920" s="18">
        <f t="shared" si="996"/>
        <v>5.89</v>
      </c>
      <c r="AK920" t="str">
        <f t="shared" si="981"/>
        <v/>
      </c>
      <c r="AL920">
        <f t="shared" si="992"/>
        <v>15</v>
      </c>
      <c r="AM920" s="11" t="str">
        <f t="shared" si="982"/>
        <v>Cash</v>
      </c>
      <c r="AN920" t="str">
        <f t="shared" si="988"/>
        <v>Buy</v>
      </c>
      <c r="AO920" s="13">
        <f t="shared" si="989"/>
        <v>1.8200000000000001E-2</v>
      </c>
      <c r="AP920" s="13">
        <f t="shared" si="990"/>
        <v>1E-3</v>
      </c>
      <c r="AQ920" s="13">
        <f t="shared" si="991"/>
        <v>1.1999999999999999E-3</v>
      </c>
      <c r="AR920" s="13">
        <f t="shared" si="983"/>
        <v>1E-3</v>
      </c>
      <c r="AS920" s="6">
        <f t="shared" si="975"/>
        <v>328.35003398512811</v>
      </c>
      <c r="AT920" s="6">
        <f t="shared" si="976"/>
        <v>150.89403714293212</v>
      </c>
      <c r="AU920" s="6">
        <f t="shared" si="977"/>
        <v>306.23050090587833</v>
      </c>
      <c r="AV920" s="6">
        <f t="shared" si="978"/>
        <v>380.16486034834679</v>
      </c>
      <c r="AW920" s="58">
        <f t="shared" si="984"/>
        <v>2001</v>
      </c>
      <c r="AX920" s="58">
        <f>COUNTIF(AW$3:AW920,AW920)</f>
        <v>51</v>
      </c>
    </row>
    <row r="921" spans="1:50" x14ac:dyDescent="0.25">
      <c r="A921" s="5">
        <v>36898</v>
      </c>
      <c r="B921">
        <v>1298.3499999999999</v>
      </c>
      <c r="C921">
        <v>5.36</v>
      </c>
      <c r="D921" s="6">
        <v>26.85</v>
      </c>
      <c r="E921" s="18">
        <f t="shared" si="997"/>
        <v>26.98</v>
      </c>
      <c r="F921">
        <f t="shared" si="998"/>
        <v>-2</v>
      </c>
      <c r="G921" s="18">
        <f>ROUND(INDEX(Valuation!U:U,MATCH(A921,Valuation!A:A,0)),2)</f>
        <v>1.29</v>
      </c>
      <c r="H921">
        <f t="shared" si="969"/>
        <v>-3</v>
      </c>
      <c r="I921" s="18">
        <f>INDEX(WeeklyIndicators!Y:Y,MATCH(A921,WeeklyIndicators!A:A,0))</f>
        <v>60.85</v>
      </c>
      <c r="J921">
        <f t="shared" si="994"/>
        <v>-2</v>
      </c>
      <c r="K921">
        <f>ROUND(INDEX(Economic!AF:AF,MATCH(EOMONTH($A921,-1),Economic!A:A,0)),2)</f>
        <v>115.89</v>
      </c>
      <c r="L921" s="11">
        <f t="shared" si="1003"/>
        <v>1</v>
      </c>
      <c r="M921">
        <f>ROUND(INDEX(Manufacturing!P:P,MATCH(EOMONTH($A921,-1),Manufacturing!A:A,0)),2)</f>
        <v>72.38</v>
      </c>
      <c r="N921">
        <f t="shared" si="999"/>
        <v>-2</v>
      </c>
      <c r="O921">
        <f>ROUND(INDEX(Housing!AC:AC,MATCH(EOMONTH($A921,-1),Housing!B:B,0)),2)</f>
        <v>122.41</v>
      </c>
      <c r="P921">
        <f t="shared" si="1000"/>
        <v>1</v>
      </c>
      <c r="Q921">
        <f>ROUND(INDEX(Spending!AJ:AJ,MATCH(EOMONTH($A921,-1),Spending!B:B,0)),2)</f>
        <v>56.29</v>
      </c>
      <c r="R921">
        <f t="shared" si="1004"/>
        <v>1</v>
      </c>
      <c r="S921">
        <f>ROUND(INDEX(Employment!V:V,MATCH(EOMONTH($A921,-1),Employment!A:A,0)),2)</f>
        <v>154.18</v>
      </c>
      <c r="T921" s="11">
        <f t="shared" si="1001"/>
        <v>0</v>
      </c>
      <c r="U921">
        <f t="shared" si="993"/>
        <v>14</v>
      </c>
      <c r="V921">
        <f t="shared" si="985"/>
        <v>64.62</v>
      </c>
      <c r="W921" s="13">
        <f t="shared" si="986"/>
        <v>-8.0000000000000004E-4</v>
      </c>
      <c r="X921" s="13">
        <f t="shared" si="987"/>
        <v>-2.2600000000000002E-2</v>
      </c>
      <c r="Y921">
        <f t="shared" si="979"/>
        <v>49.69</v>
      </c>
      <c r="Z921" s="13">
        <f t="shared" si="974"/>
        <v>-3.8999999999999998E-3</v>
      </c>
      <c r="AA921" s="13">
        <f t="shared" si="970"/>
        <v>-2.7099999999999999E-2</v>
      </c>
      <c r="AB921" s="6">
        <f t="shared" si="980"/>
        <v>42.428999999999995</v>
      </c>
      <c r="AC921">
        <f t="shared" si="972"/>
        <v>21</v>
      </c>
      <c r="AD921" s="11">
        <f t="shared" si="973"/>
        <v>-1</v>
      </c>
      <c r="AE921">
        <f t="shared" si="971"/>
        <v>15</v>
      </c>
      <c r="AF921">
        <f>IF(AND(AE921&lt;15,OR(AC921&gt;=30,AA921&gt;0.15,X921&gt;=0.15)),2,VLOOKUP(AE921,Table!P:Q,2,FALSE))</f>
        <v>2</v>
      </c>
      <c r="AG921" s="22">
        <f>IF((AB921*0.98)-(D921*0.8)+((AF921-3)*3)+VLOOKUP(AM921,Table!$A$11:$B$13,2,FALSE)&lt;0,0,(AB921*0.98)-(D921*0.8)+((AF921-3)*3)+VLOOKUP(AM921,Table!$A$11:$B$13,2,FALSE))</f>
        <v>1.1004199999999926</v>
      </c>
      <c r="AH921" s="22">
        <f t="shared" si="1002"/>
        <v>1</v>
      </c>
      <c r="AI921" s="18">
        <f t="shared" si="995"/>
        <v>5.96</v>
      </c>
      <c r="AJ921" s="18">
        <f t="shared" si="996"/>
        <v>5.91</v>
      </c>
      <c r="AK921" t="str">
        <f t="shared" si="981"/>
        <v/>
      </c>
      <c r="AL921">
        <f t="shared" si="992"/>
        <v>15</v>
      </c>
      <c r="AM921" s="11" t="str">
        <f t="shared" si="982"/>
        <v>Cash</v>
      </c>
      <c r="AN921" t="str">
        <f t="shared" si="988"/>
        <v>Sell</v>
      </c>
      <c r="AO921" s="13">
        <f t="shared" si="989"/>
        <v>1.5599999999999999E-2</v>
      </c>
      <c r="AP921" s="13">
        <f t="shared" si="990"/>
        <v>1E-3</v>
      </c>
      <c r="AQ921" s="13">
        <f t="shared" si="991"/>
        <v>1.1000000000000001E-3</v>
      </c>
      <c r="AR921" s="13">
        <f t="shared" si="983"/>
        <v>1E-3</v>
      </c>
      <c r="AS921" s="6">
        <f t="shared" si="975"/>
        <v>323.30645331343845</v>
      </c>
      <c r="AT921" s="6">
        <f t="shared" si="976"/>
        <v>150.74329384908305</v>
      </c>
      <c r="AU921" s="6">
        <f t="shared" si="977"/>
        <v>305.89401748664301</v>
      </c>
      <c r="AV921" s="6">
        <f t="shared" si="978"/>
        <v>379.78507527307374</v>
      </c>
      <c r="AW921" s="58">
        <f t="shared" si="984"/>
        <v>2001</v>
      </c>
      <c r="AX921" s="58">
        <f>COUNTIF(AW$3:AW921,AW921)</f>
        <v>52</v>
      </c>
    </row>
    <row r="922" spans="1:50" x14ac:dyDescent="0.25">
      <c r="A922" s="5">
        <v>36891</v>
      </c>
      <c r="B922">
        <v>1320.28</v>
      </c>
      <c r="C922">
        <v>5.66</v>
      </c>
      <c r="D922" s="6">
        <v>27.549999</v>
      </c>
      <c r="E922" s="18">
        <f t="shared" si="997"/>
        <v>25.5</v>
      </c>
      <c r="F922">
        <f t="shared" si="998"/>
        <v>-2</v>
      </c>
      <c r="G922" s="18">
        <f>ROUND(INDEX(Valuation!U:U,MATCH(A922,Valuation!A:A,0)),2)</f>
        <v>0.26</v>
      </c>
      <c r="H922">
        <f t="shared" si="969"/>
        <v>-3</v>
      </c>
      <c r="I922" s="18">
        <f>INDEX(WeeklyIndicators!Y:Y,MATCH(A922,WeeklyIndicators!A:A,0))</f>
        <v>55.09</v>
      </c>
      <c r="J922">
        <f t="shared" si="994"/>
        <v>-3</v>
      </c>
      <c r="K922">
        <f>ROUND(INDEX(Economic!AF:AF,MATCH(EOMONTH($A922,-1),Economic!A:A,0)),2)</f>
        <v>120.08</v>
      </c>
      <c r="L922" s="11">
        <f t="shared" si="1003"/>
        <v>1</v>
      </c>
      <c r="M922">
        <f>ROUND(INDEX(Manufacturing!P:P,MATCH(EOMONTH($A922,-1),Manufacturing!A:A,0)),2)</f>
        <v>78.73</v>
      </c>
      <c r="N922">
        <f t="shared" si="999"/>
        <v>-1</v>
      </c>
      <c r="O922">
        <f>ROUND(INDEX(Housing!AC:AC,MATCH(EOMONTH($A922,-1),Housing!B:B,0)),2)</f>
        <v>118.14</v>
      </c>
      <c r="P922">
        <f t="shared" si="1000"/>
        <v>1</v>
      </c>
      <c r="Q922">
        <f>ROUND(INDEX(Spending!AJ:AJ,MATCH(EOMONTH($A922,-1),Spending!B:B,0)),2)</f>
        <v>55.32</v>
      </c>
      <c r="R922">
        <f t="shared" si="1004"/>
        <v>1</v>
      </c>
      <c r="S922">
        <f>ROUND(INDEX(Employment!V:V,MATCH(EOMONTH($A922,-1),Employment!A:A,0)),2)</f>
        <v>154.91999999999999</v>
      </c>
      <c r="T922" s="11">
        <f t="shared" si="1001"/>
        <v>0</v>
      </c>
      <c r="U922">
        <f t="shared" si="993"/>
        <v>14</v>
      </c>
      <c r="V922">
        <f t="shared" si="985"/>
        <v>65.2</v>
      </c>
      <c r="W922" s="13">
        <f t="shared" si="986"/>
        <v>-1.5E-3</v>
      </c>
      <c r="X922" s="13">
        <f t="shared" si="987"/>
        <v>-3.4500000000000003E-2</v>
      </c>
      <c r="Y922">
        <f t="shared" si="979"/>
        <v>50.67</v>
      </c>
      <c r="Z922" s="13">
        <f t="shared" si="974"/>
        <v>-2.9999999999999997E-4</v>
      </c>
      <c r="AA922" s="13">
        <f t="shared" si="970"/>
        <v>-3.9300000000000002E-2</v>
      </c>
      <c r="AB922" s="6">
        <f t="shared" si="980"/>
        <v>42.396000000000001</v>
      </c>
      <c r="AC922">
        <f t="shared" si="972"/>
        <v>21</v>
      </c>
      <c r="AD922" s="11">
        <f t="shared" si="973"/>
        <v>-1</v>
      </c>
      <c r="AE922">
        <f t="shared" si="971"/>
        <v>15</v>
      </c>
      <c r="AF922">
        <f>IF(AND(AE922&lt;15,OR(AC922&gt;=30,AA922&gt;0.15,X922&gt;=0.15)),2,VLOOKUP(AE922,Table!P:Q,2,FALSE))</f>
        <v>2</v>
      </c>
      <c r="AG922" s="22">
        <f>IF((AB922*0.98)-(D922*0.8)+((AF922-3)*3)+VLOOKUP(AM922,Table!$A$11:$B$13,2,FALSE)&lt;0,0,(AB922*0.98)-(D922*0.8)+((AF922-3)*3)+VLOOKUP(AM922,Table!$A$11:$B$13,2,FALSE))</f>
        <v>0.50808079999999833</v>
      </c>
      <c r="AH922" s="22">
        <f t="shared" si="1002"/>
        <v>1</v>
      </c>
      <c r="AI922" s="18">
        <f t="shared" si="995"/>
        <v>6.02</v>
      </c>
      <c r="AJ922" s="18">
        <f t="shared" si="996"/>
        <v>5.92</v>
      </c>
      <c r="AK922" t="str">
        <f t="shared" si="981"/>
        <v/>
      </c>
      <c r="AL922">
        <f t="shared" si="992"/>
        <v>15</v>
      </c>
      <c r="AM922" s="11" t="str">
        <f t="shared" si="982"/>
        <v>Cash</v>
      </c>
      <c r="AN922" t="str">
        <f t="shared" si="988"/>
        <v>Buy</v>
      </c>
      <c r="AO922" s="13">
        <f t="shared" si="989"/>
        <v>-1.66E-2</v>
      </c>
      <c r="AP922" s="13">
        <f t="shared" si="990"/>
        <v>1.1000000000000001E-3</v>
      </c>
      <c r="AQ922" s="13">
        <f t="shared" si="991"/>
        <v>8.9999999999999998E-4</v>
      </c>
      <c r="AR922" s="13">
        <f t="shared" si="983"/>
        <v>1.1000000000000001E-3</v>
      </c>
      <c r="AS922" s="6">
        <f t="shared" si="975"/>
        <v>328.76393462826769</v>
      </c>
      <c r="AT922" s="6">
        <f t="shared" si="976"/>
        <v>150.57765842481572</v>
      </c>
      <c r="AU922" s="6">
        <f t="shared" si="977"/>
        <v>305.618960422263</v>
      </c>
      <c r="AV922" s="6">
        <f t="shared" si="978"/>
        <v>379.36777072527588</v>
      </c>
      <c r="AW922" s="58">
        <f t="shared" si="984"/>
        <v>2000</v>
      </c>
      <c r="AX922" s="58">
        <f>COUNTIF(AW$3:AW922,AW922)</f>
        <v>1</v>
      </c>
    </row>
    <row r="923" spans="1:50" x14ac:dyDescent="0.25">
      <c r="A923" s="5">
        <v>36884</v>
      </c>
      <c r="B923">
        <v>1305.95</v>
      </c>
      <c r="C923">
        <v>5.51</v>
      </c>
      <c r="D923" s="6">
        <v>26.549999</v>
      </c>
      <c r="E923" s="18">
        <f t="shared" si="997"/>
        <v>25.48</v>
      </c>
      <c r="F923">
        <f t="shared" si="998"/>
        <v>-2</v>
      </c>
      <c r="G923" s="18">
        <f>ROUND(INDEX(Valuation!U:U,MATCH(A923,Valuation!A:A,0)),2)</f>
        <v>0.26</v>
      </c>
      <c r="H923">
        <f t="shared" si="969"/>
        <v>-3</v>
      </c>
      <c r="I923" s="18">
        <f>INDEX(WeeklyIndicators!Y:Y,MATCH(A923,WeeklyIndicators!A:A,0))</f>
        <v>50.82</v>
      </c>
      <c r="J923">
        <f t="shared" si="994"/>
        <v>-3</v>
      </c>
      <c r="K923">
        <f>ROUND(INDEX(Economic!AF:AF,MATCH(EOMONTH($A923,-1),Economic!A:A,0)),2)</f>
        <v>120.08</v>
      </c>
      <c r="L923" s="11">
        <f t="shared" si="1003"/>
        <v>1</v>
      </c>
      <c r="M923">
        <f>ROUND(INDEX(Manufacturing!P:P,MATCH(EOMONTH($A923,-1),Manufacturing!A:A,0)),2)</f>
        <v>78.73</v>
      </c>
      <c r="N923">
        <f t="shared" si="999"/>
        <v>-1</v>
      </c>
      <c r="O923">
        <f>ROUND(INDEX(Housing!AC:AC,MATCH(EOMONTH($A923,-1),Housing!B:B,0)),2)</f>
        <v>118.14</v>
      </c>
      <c r="P923">
        <f t="shared" si="1000"/>
        <v>1</v>
      </c>
      <c r="Q923">
        <f>ROUND(INDEX(Spending!AJ:AJ,MATCH(EOMONTH($A923,-1),Spending!B:B,0)),2)</f>
        <v>55.32</v>
      </c>
      <c r="R923">
        <f t="shared" si="1004"/>
        <v>1</v>
      </c>
      <c r="S923">
        <f>ROUND(INDEX(Employment!V:V,MATCH(EOMONTH($A923,-1),Employment!A:A,0)),2)</f>
        <v>154.91999999999999</v>
      </c>
      <c r="T923" s="11">
        <f t="shared" si="1001"/>
        <v>0</v>
      </c>
      <c r="U923">
        <f t="shared" si="993"/>
        <v>14</v>
      </c>
      <c r="V923">
        <f t="shared" si="985"/>
        <v>64.760000000000005</v>
      </c>
      <c r="W923" s="13">
        <f t="shared" si="986"/>
        <v>-9.1999999999999998E-3</v>
      </c>
      <c r="X923" s="13">
        <f t="shared" si="987"/>
        <v>-4.5999999999999999E-2</v>
      </c>
      <c r="Y923">
        <f t="shared" si="979"/>
        <v>50.23</v>
      </c>
      <c r="Z923" s="13">
        <f t="shared" si="974"/>
        <v>-9.4999999999999998E-3</v>
      </c>
      <c r="AA923" s="13">
        <f t="shared" si="970"/>
        <v>-5.9200000000000003E-2</v>
      </c>
      <c r="AB923" s="6">
        <f t="shared" si="980"/>
        <v>40.486000000000004</v>
      </c>
      <c r="AC923">
        <f t="shared" si="972"/>
        <v>20</v>
      </c>
      <c r="AD923" s="11">
        <f t="shared" si="973"/>
        <v>-1</v>
      </c>
      <c r="AE923">
        <f t="shared" si="971"/>
        <v>15</v>
      </c>
      <c r="AF923">
        <f>IF(AND(AE923&lt;15,OR(AC923&gt;=30,AA923&gt;0.15,X923&gt;=0.15)),2,VLOOKUP(AE923,Table!P:Q,2,FALSE))</f>
        <v>2</v>
      </c>
      <c r="AG923" s="22">
        <f>IF((AB923*0.98)-(D923*0.8)+((AF923-3)*3)+VLOOKUP(AM923,Table!$A$11:$B$13,2,FALSE)&lt;0,0,(AB923*0.98)-(D923*0.8)+((AF923-3)*3)+VLOOKUP(AM923,Table!$A$11:$B$13,2,FALSE))</f>
        <v>0</v>
      </c>
      <c r="AH923" s="22">
        <f t="shared" si="1002"/>
        <v>1</v>
      </c>
      <c r="AI923" s="18">
        <f t="shared" si="995"/>
        <v>6.05</v>
      </c>
      <c r="AJ923" s="18">
        <f t="shared" si="996"/>
        <v>5.92</v>
      </c>
      <c r="AK923" t="str">
        <f t="shared" si="981"/>
        <v/>
      </c>
      <c r="AL923">
        <f t="shared" si="992"/>
        <v>15.25</v>
      </c>
      <c r="AM923" s="11" t="str">
        <f t="shared" si="982"/>
        <v>Cash</v>
      </c>
      <c r="AN923" t="str">
        <f t="shared" si="988"/>
        <v>Sell</v>
      </c>
      <c r="AO923" s="13">
        <f t="shared" si="989"/>
        <v>1.0999999999999999E-2</v>
      </c>
      <c r="AP923" s="13">
        <f t="shared" si="990"/>
        <v>1.1000000000000001E-3</v>
      </c>
      <c r="AQ923" s="13">
        <f t="shared" si="991"/>
        <v>1.1999999999999999E-3</v>
      </c>
      <c r="AR923" s="13">
        <f t="shared" si="983"/>
        <v>1.1000000000000001E-3</v>
      </c>
      <c r="AS923" s="6">
        <f t="shared" si="975"/>
        <v>325.1868789597109</v>
      </c>
      <c r="AT923" s="6">
        <f t="shared" si="976"/>
        <v>150.41220499931646</v>
      </c>
      <c r="AU923" s="6">
        <f t="shared" si="977"/>
        <v>305.25265723358268</v>
      </c>
      <c r="AV923" s="6">
        <f t="shared" si="978"/>
        <v>378.95092470809692</v>
      </c>
      <c r="AW923" s="58">
        <f t="shared" si="984"/>
        <v>2000</v>
      </c>
      <c r="AX923" s="58">
        <f>COUNTIF(AW$3:AW923,AW923)</f>
        <v>2</v>
      </c>
    </row>
    <row r="924" spans="1:50" x14ac:dyDescent="0.25">
      <c r="A924" s="5">
        <v>36877</v>
      </c>
      <c r="B924">
        <v>1312.15</v>
      </c>
      <c r="C924">
        <v>5.89</v>
      </c>
      <c r="D924" s="6">
        <v>22.41</v>
      </c>
      <c r="E924" s="18">
        <f t="shared" si="997"/>
        <v>25.3</v>
      </c>
      <c r="F924">
        <f t="shared" si="998"/>
        <v>-2</v>
      </c>
      <c r="G924" s="18">
        <f>ROUND(INDEX(Valuation!U:U,MATCH(A924,Valuation!A:A,0)),2)</f>
        <v>0</v>
      </c>
      <c r="H924">
        <f t="shared" ref="H924:H987" si="1005">IF(G924&gt;200,3,IF(AND(G924&gt;160,G924&lt;=200),2,IF(AND(G924&gt;120,G924&lt;=160),1,IF(G924&lt;25,-3,IF(AND(G924&lt;50,G924&gt;=25),-2,IF(AND(G924&lt;90,G924&gt;=50),-1,0))))))</f>
        <v>-3</v>
      </c>
      <c r="I924" s="18">
        <f>INDEX(WeeklyIndicators!Y:Y,MATCH(A924,WeeklyIndicators!A:A,0))</f>
        <v>50.95</v>
      </c>
      <c r="J924">
        <f t="shared" si="994"/>
        <v>-3</v>
      </c>
      <c r="K924">
        <f>ROUND(INDEX(Economic!AF:AF,MATCH(EOMONTH($A924,-1),Economic!A:A,0)),2)</f>
        <v>120.08</v>
      </c>
      <c r="L924" s="11">
        <f t="shared" si="1003"/>
        <v>1</v>
      </c>
      <c r="M924">
        <f>ROUND(INDEX(Manufacturing!P:P,MATCH(EOMONTH($A924,-1),Manufacturing!A:A,0)),2)</f>
        <v>78.73</v>
      </c>
      <c r="N924">
        <f t="shared" si="999"/>
        <v>-1</v>
      </c>
      <c r="O924">
        <f>ROUND(INDEX(Housing!AC:AC,MATCH(EOMONTH($A924,-1),Housing!B:B,0)),2)</f>
        <v>118.14</v>
      </c>
      <c r="P924">
        <f t="shared" si="1000"/>
        <v>1</v>
      </c>
      <c r="Q924">
        <f>ROUND(INDEX(Spending!AJ:AJ,MATCH(EOMONTH($A924,-1),Spending!B:B,0)),2)</f>
        <v>55.32</v>
      </c>
      <c r="R924">
        <f t="shared" si="1004"/>
        <v>1</v>
      </c>
      <c r="S924">
        <f>ROUND(INDEX(Employment!V:V,MATCH(EOMONTH($A924,-1),Employment!A:A,0)),2)</f>
        <v>154.91999999999999</v>
      </c>
      <c r="T924" s="11">
        <f t="shared" si="1001"/>
        <v>0</v>
      </c>
      <c r="U924">
        <f t="shared" si="993"/>
        <v>14</v>
      </c>
      <c r="V924">
        <f t="shared" si="985"/>
        <v>64.77</v>
      </c>
      <c r="W924" s="13">
        <f t="shared" si="986"/>
        <v>-1.11E-2</v>
      </c>
      <c r="X924" s="13">
        <f t="shared" si="987"/>
        <v>-5.16E-2</v>
      </c>
      <c r="Y924">
        <f t="shared" si="979"/>
        <v>50.28</v>
      </c>
      <c r="Z924" s="13">
        <f t="shared" si="974"/>
        <v>-1.34E-2</v>
      </c>
      <c r="AA924" s="13">
        <f t="shared" si="970"/>
        <v>-6.7599999999999993E-2</v>
      </c>
      <c r="AB924" s="6">
        <f t="shared" si="980"/>
        <v>39.89</v>
      </c>
      <c r="AC924">
        <f t="shared" si="972"/>
        <v>20</v>
      </c>
      <c r="AD924" s="11">
        <f t="shared" si="973"/>
        <v>-1</v>
      </c>
      <c r="AE924">
        <f t="shared" si="971"/>
        <v>15</v>
      </c>
      <c r="AF924">
        <f>IF(AND(AE924&lt;15,OR(AC924&gt;=30,AA924&gt;0.15,X924&gt;=0.15)),2,VLOOKUP(AE924,Table!P:Q,2,FALSE))</f>
        <v>2</v>
      </c>
      <c r="AG924" s="22">
        <f>IF((AB924*0.98)-(D924*0.8)+((AF924-3)*3)+VLOOKUP(AM924,Table!$A$11:$B$13,2,FALSE)&lt;0,0,(AB924*0.98)-(D924*0.8)+((AF924-3)*3)+VLOOKUP(AM924,Table!$A$11:$B$13,2,FALSE))</f>
        <v>2.1641999999999975</v>
      </c>
      <c r="AH924" s="22">
        <f t="shared" si="1002"/>
        <v>1</v>
      </c>
      <c r="AI924" s="18">
        <f t="shared" si="995"/>
        <v>6.08</v>
      </c>
      <c r="AJ924" s="18">
        <f t="shared" si="996"/>
        <v>5.92</v>
      </c>
      <c r="AK924" t="str">
        <f t="shared" si="981"/>
        <v/>
      </c>
      <c r="AL924">
        <f t="shared" si="992"/>
        <v>15</v>
      </c>
      <c r="AM924" s="11" t="str">
        <f t="shared" si="982"/>
        <v>Cash</v>
      </c>
      <c r="AN924" t="str">
        <f t="shared" si="988"/>
        <v>Sell</v>
      </c>
      <c r="AO924" s="13">
        <f t="shared" si="989"/>
        <v>-4.7000000000000002E-3</v>
      </c>
      <c r="AP924" s="13">
        <f t="shared" si="990"/>
        <v>1.1000000000000001E-3</v>
      </c>
      <c r="AQ924" s="13">
        <f t="shared" si="991"/>
        <v>1E-3</v>
      </c>
      <c r="AR924" s="13">
        <f t="shared" si="983"/>
        <v>1.1000000000000001E-3</v>
      </c>
      <c r="AS924" s="6">
        <f t="shared" si="975"/>
        <v>326.72247459028523</v>
      </c>
      <c r="AT924" s="6">
        <f t="shared" si="976"/>
        <v>150.24693337260658</v>
      </c>
      <c r="AU924" s="6">
        <f t="shared" si="977"/>
        <v>304.94770952405867</v>
      </c>
      <c r="AV924" s="6">
        <f t="shared" si="978"/>
        <v>378.5345367177074</v>
      </c>
      <c r="AW924" s="58">
        <f t="shared" si="984"/>
        <v>2000</v>
      </c>
      <c r="AX924" s="58">
        <f>COUNTIF(AW$3:AW924,AW924)</f>
        <v>3</v>
      </c>
    </row>
    <row r="925" spans="1:50" x14ac:dyDescent="0.25">
      <c r="A925" s="5">
        <v>36870</v>
      </c>
      <c r="B925">
        <v>1369.89</v>
      </c>
      <c r="C925">
        <v>5.94</v>
      </c>
      <c r="D925" s="6">
        <v>27.48</v>
      </c>
      <c r="E925" s="18">
        <f t="shared" si="997"/>
        <v>26.1</v>
      </c>
      <c r="F925">
        <f t="shared" si="998"/>
        <v>-2</v>
      </c>
      <c r="G925" s="18">
        <f>ROUND(INDEX(Valuation!U:U,MATCH(A925,Valuation!A:A,0)),2)</f>
        <v>0</v>
      </c>
      <c r="H925">
        <f t="shared" si="1005"/>
        <v>-3</v>
      </c>
      <c r="I925" s="18">
        <f>INDEX(WeeklyIndicators!Y:Y,MATCH(A925,WeeklyIndicators!A:A,0))</f>
        <v>57.89</v>
      </c>
      <c r="J925">
        <f t="shared" si="994"/>
        <v>-3</v>
      </c>
      <c r="K925">
        <f>ROUND(INDEX(Economic!AF:AF,MATCH(EOMONTH($A925,-1),Economic!A:A,0)),2)</f>
        <v>120.08</v>
      </c>
      <c r="L925" s="11">
        <f t="shared" si="1003"/>
        <v>1</v>
      </c>
      <c r="M925">
        <f>ROUND(INDEX(Manufacturing!P:P,MATCH(EOMONTH($A925,-1),Manufacturing!A:A,0)),2)</f>
        <v>78.73</v>
      </c>
      <c r="N925">
        <f t="shared" si="999"/>
        <v>-1</v>
      </c>
      <c r="O925">
        <f>ROUND(INDEX(Housing!AC:AC,MATCH(EOMONTH($A925,-1),Housing!B:B,0)),2)</f>
        <v>118.14</v>
      </c>
      <c r="P925">
        <f t="shared" si="1000"/>
        <v>1</v>
      </c>
      <c r="Q925">
        <f>ROUND(INDEX(Spending!AJ:AJ,MATCH(EOMONTH($A925,-1),Spending!B:B,0)),2)</f>
        <v>55.32</v>
      </c>
      <c r="R925">
        <f t="shared" si="1004"/>
        <v>1</v>
      </c>
      <c r="S925">
        <f>ROUND(INDEX(Employment!V:V,MATCH(EOMONTH($A925,-1),Employment!A:A,0)),2)</f>
        <v>154.91999999999999</v>
      </c>
      <c r="T925" s="11">
        <f t="shared" si="1001"/>
        <v>0</v>
      </c>
      <c r="U925">
        <f t="shared" si="993"/>
        <v>14</v>
      </c>
      <c r="V925">
        <f t="shared" si="985"/>
        <v>65.489999999999995</v>
      </c>
      <c r="W925" s="13">
        <f t="shared" si="986"/>
        <v>-1.2699999999999999E-2</v>
      </c>
      <c r="X925" s="13">
        <f t="shared" si="987"/>
        <v>-6.0700000000000004E-2</v>
      </c>
      <c r="Y925">
        <f t="shared" si="979"/>
        <v>50.72</v>
      </c>
      <c r="Z925" s="13">
        <f t="shared" si="974"/>
        <v>-1.61E-2</v>
      </c>
      <c r="AA925" s="13">
        <f t="shared" si="970"/>
        <v>-8.249999999999999E-2</v>
      </c>
      <c r="AB925" s="6">
        <f t="shared" si="980"/>
        <v>39.270000000000003</v>
      </c>
      <c r="AC925">
        <f t="shared" si="972"/>
        <v>20</v>
      </c>
      <c r="AD925" s="11">
        <f t="shared" si="973"/>
        <v>-1</v>
      </c>
      <c r="AE925">
        <f t="shared" si="971"/>
        <v>15</v>
      </c>
      <c r="AF925">
        <f>IF(AND(AE925&lt;15,OR(AC925&gt;=30,AA925&gt;0.15,X925&gt;=0.15)),2,VLOOKUP(AE925,Table!P:Q,2,FALSE))</f>
        <v>2</v>
      </c>
      <c r="AG925" s="22">
        <f>IF((AB925*0.98)-(D925*0.8)+((AF925-3)*3)+VLOOKUP(AM925,Table!$A$11:$B$13,2,FALSE)&lt;0,0,(AB925*0.98)-(D925*0.8)+((AF925-3)*3)+VLOOKUP(AM925,Table!$A$11:$B$13,2,FALSE))</f>
        <v>0</v>
      </c>
      <c r="AH925" s="22">
        <f t="shared" si="1002"/>
        <v>0</v>
      </c>
      <c r="AI925" s="18">
        <f t="shared" si="995"/>
        <v>6.09</v>
      </c>
      <c r="AJ925" s="18">
        <f t="shared" si="996"/>
        <v>5.92</v>
      </c>
      <c r="AK925" t="str">
        <f t="shared" si="981"/>
        <v/>
      </c>
      <c r="AL925">
        <f t="shared" si="992"/>
        <v>14.75</v>
      </c>
      <c r="AM925" s="11" t="str">
        <f t="shared" si="982"/>
        <v>Cash</v>
      </c>
      <c r="AN925" t="str">
        <f t="shared" si="988"/>
        <v>Buy</v>
      </c>
      <c r="AO925" s="13">
        <f t="shared" si="989"/>
        <v>-4.2099999999999999E-2</v>
      </c>
      <c r="AP925" s="13">
        <f t="shared" si="990"/>
        <v>1.1000000000000001E-3</v>
      </c>
      <c r="AQ925" s="13">
        <f t="shared" si="991"/>
        <v>1.1000000000000001E-3</v>
      </c>
      <c r="AR925" s="13">
        <f t="shared" si="983"/>
        <v>1.1000000000000001E-3</v>
      </c>
      <c r="AS925" s="6">
        <f t="shared" si="975"/>
        <v>341.0820279677265</v>
      </c>
      <c r="AT925" s="6">
        <f t="shared" si="976"/>
        <v>150.08184334492714</v>
      </c>
      <c r="AU925" s="6">
        <f t="shared" si="977"/>
        <v>304.6126356248713</v>
      </c>
      <c r="AV925" s="6">
        <f t="shared" si="978"/>
        <v>378.11860625083142</v>
      </c>
      <c r="AW925" s="58">
        <f t="shared" si="984"/>
        <v>2000</v>
      </c>
      <c r="AX925" s="58">
        <f>COUNTIF(AW$3:AW925,AW925)</f>
        <v>4</v>
      </c>
    </row>
    <row r="926" spans="1:50" x14ac:dyDescent="0.25">
      <c r="A926" s="5">
        <v>36863</v>
      </c>
      <c r="B926">
        <v>1315.23</v>
      </c>
      <c r="C926">
        <v>6.08</v>
      </c>
      <c r="D926" s="6">
        <v>26</v>
      </c>
      <c r="E926" s="18">
        <f t="shared" si="997"/>
        <v>26.45</v>
      </c>
      <c r="F926">
        <f t="shared" si="998"/>
        <v>-2</v>
      </c>
      <c r="G926" s="18">
        <f>ROUND(INDEX(Valuation!U:U,MATCH(A926,Valuation!A:A,0)),2)</f>
        <v>0</v>
      </c>
      <c r="H926">
        <f t="shared" si="1005"/>
        <v>-3</v>
      </c>
      <c r="I926" s="18">
        <f>INDEX(WeeklyIndicators!Y:Y,MATCH(A926,WeeklyIndicators!A:A,0))</f>
        <v>68.36</v>
      </c>
      <c r="J926">
        <f t="shared" si="994"/>
        <v>-2</v>
      </c>
      <c r="K926">
        <f>ROUND(INDEX(Economic!AF:AF,MATCH(EOMONTH($A926,-1),Economic!A:A,0)),2)</f>
        <v>120.08</v>
      </c>
      <c r="L926" s="11">
        <f t="shared" si="1003"/>
        <v>1</v>
      </c>
      <c r="M926">
        <f>ROUND(INDEX(Manufacturing!P:P,MATCH(EOMONTH($A926,-1),Manufacturing!A:A,0)),2)</f>
        <v>78.73</v>
      </c>
      <c r="N926">
        <f t="shared" si="999"/>
        <v>-1</v>
      </c>
      <c r="O926">
        <f>ROUND(INDEX(Housing!AC:AC,MATCH(EOMONTH($A926,-1),Housing!B:B,0)),2)</f>
        <v>118.14</v>
      </c>
      <c r="P926">
        <f t="shared" si="1000"/>
        <v>1</v>
      </c>
      <c r="Q926">
        <f>ROUND(INDEX(Spending!AJ:AJ,MATCH(EOMONTH($A926,-1),Spending!B:B,0)),2)</f>
        <v>55.32</v>
      </c>
      <c r="R926">
        <f t="shared" si="1004"/>
        <v>1</v>
      </c>
      <c r="S926">
        <f>ROUND(INDEX(Employment!V:V,MATCH(EOMONTH($A926,-1),Employment!A:A,0)),2)</f>
        <v>154.91999999999999</v>
      </c>
      <c r="T926" s="11">
        <f t="shared" si="1001"/>
        <v>0</v>
      </c>
      <c r="U926">
        <f t="shared" si="993"/>
        <v>15</v>
      </c>
      <c r="V926">
        <f t="shared" si="985"/>
        <v>66.58</v>
      </c>
      <c r="W926" s="13">
        <f t="shared" si="986"/>
        <v>-1.2999999999999999E-2</v>
      </c>
      <c r="X926" s="13">
        <f t="shared" si="987"/>
        <v>-6.3500000000000001E-2</v>
      </c>
      <c r="Y926">
        <f t="shared" si="979"/>
        <v>51.68</v>
      </c>
      <c r="Z926" s="13">
        <f t="shared" si="974"/>
        <v>-2.0199999999999999E-2</v>
      </c>
      <c r="AA926" s="13">
        <f t="shared" si="970"/>
        <v>-8.8099999999999984E-2</v>
      </c>
      <c r="AB926" s="6">
        <f t="shared" si="980"/>
        <v>39.86</v>
      </c>
      <c r="AC926">
        <f t="shared" si="972"/>
        <v>20</v>
      </c>
      <c r="AD926" s="11">
        <f t="shared" si="973"/>
        <v>-1</v>
      </c>
      <c r="AE926">
        <f t="shared" si="971"/>
        <v>16</v>
      </c>
      <c r="AF926">
        <f>IF(AND(AE926&lt;15,OR(AC926&gt;=30,AA926&gt;0.15,X926&gt;=0.15)),2,VLOOKUP(AE926,Table!P:Q,2,FALSE))</f>
        <v>2</v>
      </c>
      <c r="AG926" s="22">
        <f>IF((AB926*0.98)-(D926*0.8)+((AF926-3)*3)+VLOOKUP(AM926,Table!$A$11:$B$13,2,FALSE)&lt;0,0,(AB926*0.98)-(D926*0.8)+((AF926-3)*3)+VLOOKUP(AM926,Table!$A$11:$B$13,2,FALSE))</f>
        <v>0</v>
      </c>
      <c r="AH926" s="22">
        <f t="shared" si="1002"/>
        <v>0</v>
      </c>
      <c r="AI926" s="18">
        <f t="shared" si="995"/>
        <v>6.09</v>
      </c>
      <c r="AJ926" s="18">
        <f t="shared" si="996"/>
        <v>5.91</v>
      </c>
      <c r="AK926" t="str">
        <f t="shared" si="981"/>
        <v/>
      </c>
      <c r="AL926">
        <f t="shared" si="992"/>
        <v>15</v>
      </c>
      <c r="AM926" s="11" t="str">
        <f t="shared" si="982"/>
        <v>Cash</v>
      </c>
      <c r="AN926" t="str">
        <f t="shared" si="988"/>
        <v>Buy</v>
      </c>
      <c r="AO926" s="13">
        <f t="shared" si="989"/>
        <v>4.1599999999999998E-2</v>
      </c>
      <c r="AP926" s="13">
        <f t="shared" si="990"/>
        <v>1.1999999999999999E-3</v>
      </c>
      <c r="AQ926" s="13">
        <f t="shared" si="991"/>
        <v>1.1999999999999999E-3</v>
      </c>
      <c r="AR926" s="13">
        <f t="shared" si="983"/>
        <v>1.1999999999999999E-3</v>
      </c>
      <c r="AS926" s="6">
        <f t="shared" si="975"/>
        <v>327.4597042700907</v>
      </c>
      <c r="AT926" s="6">
        <f t="shared" si="976"/>
        <v>149.90196099173704</v>
      </c>
      <c r="AU926" s="6">
        <f t="shared" si="977"/>
        <v>304.24753857857701</v>
      </c>
      <c r="AV926" s="6">
        <f t="shared" si="978"/>
        <v>377.66540776151754</v>
      </c>
      <c r="AW926" s="58">
        <f t="shared" si="984"/>
        <v>2000</v>
      </c>
      <c r="AX926" s="58">
        <f>COUNTIF(AW$3:AW926,AW926)</f>
        <v>5</v>
      </c>
    </row>
    <row r="927" spans="1:50" x14ac:dyDescent="0.25">
      <c r="A927" s="5">
        <v>36856</v>
      </c>
      <c r="B927">
        <v>1341.77</v>
      </c>
      <c r="C927">
        <v>6.18</v>
      </c>
      <c r="D927" s="6">
        <v>24.809999000000001</v>
      </c>
      <c r="E927" s="18">
        <f t="shared" si="997"/>
        <v>25.67</v>
      </c>
      <c r="F927">
        <f t="shared" si="998"/>
        <v>-2</v>
      </c>
      <c r="G927" s="18">
        <f>ROUND(INDEX(Valuation!U:U,MATCH(A927,Valuation!A:A,0)),2)</f>
        <v>0</v>
      </c>
      <c r="H927">
        <f t="shared" si="1005"/>
        <v>-3</v>
      </c>
      <c r="I927" s="18">
        <f>INDEX(WeeklyIndicators!Y:Y,MATCH(A927,WeeklyIndicators!A:A,0))</f>
        <v>78.98</v>
      </c>
      <c r="J927">
        <f t="shared" si="994"/>
        <v>-2</v>
      </c>
      <c r="K927">
        <f>ROUND(INDEX(Economic!AF:AF,MATCH(EOMONTH($A927,-1),Economic!A:A,0)),2)</f>
        <v>121.5</v>
      </c>
      <c r="L927" s="11">
        <f t="shared" si="1003"/>
        <v>1</v>
      </c>
      <c r="M927">
        <f>ROUND(INDEX(Manufacturing!P:P,MATCH(EOMONTH($A927,-1),Manufacturing!A:A,0)),2)</f>
        <v>80.400000000000006</v>
      </c>
      <c r="N927">
        <f t="shared" si="999"/>
        <v>-1</v>
      </c>
      <c r="O927">
        <f>ROUND(INDEX(Housing!AC:AC,MATCH(EOMONTH($A927,-1),Housing!B:B,0)),2)</f>
        <v>111.79</v>
      </c>
      <c r="P927">
        <f t="shared" si="1000"/>
        <v>0</v>
      </c>
      <c r="Q927">
        <f>ROUND(INDEX(Spending!AJ:AJ,MATCH(EOMONTH($A927,-1),Spending!B:B,0)),2)</f>
        <v>54.15</v>
      </c>
      <c r="R927">
        <f t="shared" si="1004"/>
        <v>1</v>
      </c>
      <c r="S927">
        <f>ROUND(INDEX(Employment!V:V,MATCH(EOMONTH($A927,-1),Employment!A:A,0)),2)</f>
        <v>147.72999999999999</v>
      </c>
      <c r="T927" s="11">
        <f t="shared" si="1001"/>
        <v>-1</v>
      </c>
      <c r="U927">
        <f t="shared" si="993"/>
        <v>13</v>
      </c>
      <c r="V927">
        <f t="shared" si="985"/>
        <v>66.97</v>
      </c>
      <c r="W927" s="13">
        <f t="shared" si="986"/>
        <v>-1.4800000000000001E-2</v>
      </c>
      <c r="X927" s="13">
        <f t="shared" si="987"/>
        <v>-6.0100000000000001E-2</v>
      </c>
      <c r="Y927">
        <f t="shared" si="979"/>
        <v>52.35</v>
      </c>
      <c r="Z927" s="13">
        <f t="shared" si="974"/>
        <v>-1.7899999999999999E-2</v>
      </c>
      <c r="AA927" s="13">
        <f t="shared" si="970"/>
        <v>-8.9200000000000002E-2</v>
      </c>
      <c r="AB927" s="6">
        <f t="shared" si="980"/>
        <v>40.5</v>
      </c>
      <c r="AC927">
        <f t="shared" si="972"/>
        <v>20</v>
      </c>
      <c r="AD927" s="11">
        <f t="shared" si="973"/>
        <v>-1</v>
      </c>
      <c r="AE927">
        <f t="shared" si="971"/>
        <v>14</v>
      </c>
      <c r="AF927">
        <f>IF(AND(AE927&lt;15,OR(AC927&gt;=30,AA927&gt;0.15,X927&gt;=0.15)),2,VLOOKUP(AE927,Table!P:Q,2,FALSE))</f>
        <v>2</v>
      </c>
      <c r="AG927" s="22">
        <f>IF((AB927*0.98)-(D927*0.8)+((AF927-3)*3)+VLOOKUP(AM927,Table!$A$11:$B$13,2,FALSE)&lt;0,0,(AB927*0.98)-(D927*0.8)+((AF927-3)*3)+VLOOKUP(AM927,Table!$A$11:$B$13,2,FALSE))</f>
        <v>0.84200079999999389</v>
      </c>
      <c r="AH927" s="22">
        <f t="shared" si="1002"/>
        <v>3</v>
      </c>
      <c r="AI927" s="18">
        <f t="shared" si="995"/>
        <v>6.1</v>
      </c>
      <c r="AJ927" s="18">
        <f t="shared" si="996"/>
        <v>5.9</v>
      </c>
      <c r="AK927" t="str">
        <f t="shared" si="981"/>
        <v>Rising Rates</v>
      </c>
      <c r="AL927">
        <f t="shared" si="992"/>
        <v>14.75</v>
      </c>
      <c r="AM927" s="11" t="str">
        <f t="shared" si="982"/>
        <v>Cash</v>
      </c>
      <c r="AN927" t="str">
        <f t="shared" si="988"/>
        <v>Buy</v>
      </c>
      <c r="AO927" s="13">
        <f t="shared" si="989"/>
        <v>-1.9800000000000002E-2</v>
      </c>
      <c r="AP927" s="13">
        <f t="shared" si="990"/>
        <v>1.1999999999999999E-3</v>
      </c>
      <c r="AQ927" s="13">
        <f t="shared" si="991"/>
        <v>5.9999999999999995E-4</v>
      </c>
      <c r="AR927" s="13">
        <f t="shared" si="983"/>
        <v>1.1999999999999999E-3</v>
      </c>
      <c r="AS927" s="6">
        <f t="shared" si="975"/>
        <v>334.07437693337147</v>
      </c>
      <c r="AT927" s="6">
        <f t="shared" si="976"/>
        <v>149.72229423865065</v>
      </c>
      <c r="AU927" s="6">
        <f t="shared" si="977"/>
        <v>304.06509951886574</v>
      </c>
      <c r="AV927" s="6">
        <f t="shared" si="978"/>
        <v>377.21275245856725</v>
      </c>
      <c r="AW927" s="58">
        <f t="shared" si="984"/>
        <v>2000</v>
      </c>
      <c r="AX927" s="58">
        <f>COUNTIF(AW$3:AW927,AW927)</f>
        <v>6</v>
      </c>
    </row>
    <row r="928" spans="1:50" x14ac:dyDescent="0.25">
      <c r="A928" s="5">
        <v>36849</v>
      </c>
      <c r="B928">
        <v>1367.72</v>
      </c>
      <c r="C928">
        <v>6.18</v>
      </c>
      <c r="D928" s="6">
        <v>28.530000999999999</v>
      </c>
      <c r="E928" s="18">
        <f t="shared" si="997"/>
        <v>26.22</v>
      </c>
      <c r="F928">
        <f t="shared" si="998"/>
        <v>-2</v>
      </c>
      <c r="G928" s="18">
        <f>ROUND(INDEX(Valuation!U:U,MATCH(A928,Valuation!A:A,0)),2)</f>
        <v>0</v>
      </c>
      <c r="H928">
        <f t="shared" si="1005"/>
        <v>-3</v>
      </c>
      <c r="I928" s="18">
        <f>INDEX(WeeklyIndicators!Y:Y,MATCH(A928,WeeklyIndicators!A:A,0))</f>
        <v>89.5</v>
      </c>
      <c r="J928">
        <f t="shared" si="994"/>
        <v>-2</v>
      </c>
      <c r="K928">
        <f>ROUND(INDEX(Economic!AF:AF,MATCH(EOMONTH($A928,-1),Economic!A:A,0)),2)</f>
        <v>121.5</v>
      </c>
      <c r="L928" s="11">
        <f t="shared" si="1003"/>
        <v>1</v>
      </c>
      <c r="M928">
        <f>ROUND(INDEX(Manufacturing!P:P,MATCH(EOMONTH($A928,-1),Manufacturing!A:A,0)),2)</f>
        <v>80.400000000000006</v>
      </c>
      <c r="N928">
        <f t="shared" si="999"/>
        <v>-1</v>
      </c>
      <c r="O928">
        <f>ROUND(INDEX(Housing!AC:AC,MATCH(EOMONTH($A928,-1),Housing!B:B,0)),2)</f>
        <v>111.79</v>
      </c>
      <c r="P928">
        <f t="shared" si="1000"/>
        <v>0</v>
      </c>
      <c r="Q928">
        <f>ROUND(INDEX(Spending!AJ:AJ,MATCH(EOMONTH($A928,-1),Spending!B:B,0)),2)</f>
        <v>54.15</v>
      </c>
      <c r="R928">
        <f t="shared" si="1004"/>
        <v>1</v>
      </c>
      <c r="S928">
        <f>ROUND(INDEX(Employment!V:V,MATCH(EOMONTH($A928,-1),Employment!A:A,0)),2)</f>
        <v>147.72999999999999</v>
      </c>
      <c r="T928" s="11">
        <f t="shared" si="1001"/>
        <v>-1</v>
      </c>
      <c r="U928">
        <f t="shared" si="993"/>
        <v>13</v>
      </c>
      <c r="V928">
        <f t="shared" si="985"/>
        <v>68.06</v>
      </c>
      <c r="W928" s="13">
        <f t="shared" si="986"/>
        <v>-2.0199999999999999E-2</v>
      </c>
      <c r="X928" s="13">
        <f t="shared" si="987"/>
        <v>-3.9499999999999993E-2</v>
      </c>
      <c r="Y928">
        <f t="shared" si="979"/>
        <v>53.25</v>
      </c>
      <c r="Z928" s="13">
        <f t="shared" si="974"/>
        <v>-2.8299999999999999E-2</v>
      </c>
      <c r="AA928" s="13">
        <f t="shared" si="970"/>
        <v>-7.3900000000000007E-2</v>
      </c>
      <c r="AB928" s="6">
        <f t="shared" si="980"/>
        <v>42.67</v>
      </c>
      <c r="AC928">
        <f t="shared" si="972"/>
        <v>21</v>
      </c>
      <c r="AD928" s="11">
        <f t="shared" si="973"/>
        <v>-1</v>
      </c>
      <c r="AE928">
        <f t="shared" si="971"/>
        <v>14</v>
      </c>
      <c r="AF928">
        <f>IF(AND(AE928&lt;15,OR(AC928&gt;=30,AA928&gt;0.15,X928&gt;=0.15)),2,VLOOKUP(AE928,Table!P:Q,2,FALSE))</f>
        <v>2</v>
      </c>
      <c r="AG928" s="22">
        <f>IF((AB928*0.98)-(D928*0.8)+((AF928-3)*3)+VLOOKUP(AM928,Table!$A$11:$B$13,2,FALSE)&lt;0,0,(AB928*0.98)-(D928*0.8)+((AF928-3)*3)+VLOOKUP(AM928,Table!$A$11:$B$13,2,FALSE))</f>
        <v>0</v>
      </c>
      <c r="AH928" s="22">
        <f t="shared" si="1002"/>
        <v>5</v>
      </c>
      <c r="AI928" s="18">
        <f t="shared" si="995"/>
        <v>6.09</v>
      </c>
      <c r="AJ928" s="18">
        <f t="shared" si="996"/>
        <v>5.89</v>
      </c>
      <c r="AK928" t="str">
        <f t="shared" si="981"/>
        <v>Rising Rates</v>
      </c>
      <c r="AL928">
        <f t="shared" si="992"/>
        <v>16</v>
      </c>
      <c r="AM928" s="11" t="str">
        <f t="shared" si="982"/>
        <v>Cash</v>
      </c>
      <c r="AN928" t="str">
        <f t="shared" si="988"/>
        <v>Buy</v>
      </c>
      <c r="AO928" s="13">
        <f t="shared" si="989"/>
        <v>-1.9E-2</v>
      </c>
      <c r="AP928" s="13">
        <f t="shared" si="990"/>
        <v>1.1999999999999999E-3</v>
      </c>
      <c r="AQ928" s="13">
        <f t="shared" si="991"/>
        <v>2.0000000000000001E-4</v>
      </c>
      <c r="AR928" s="13">
        <f t="shared" si="983"/>
        <v>1.1999999999999999E-3</v>
      </c>
      <c r="AS928" s="6">
        <f t="shared" si="975"/>
        <v>340.54472674145921</v>
      </c>
      <c r="AT928" s="6">
        <f t="shared" si="976"/>
        <v>149.54284282725791</v>
      </c>
      <c r="AU928" s="6">
        <f t="shared" si="977"/>
        <v>304.00429865913389</v>
      </c>
      <c r="AV928" s="6">
        <f t="shared" si="978"/>
        <v>376.76063969093809</v>
      </c>
      <c r="AW928" s="58">
        <f t="shared" si="984"/>
        <v>2000</v>
      </c>
      <c r="AX928" s="58">
        <f>COUNTIF(AW$3:AW928,AW928)</f>
        <v>7</v>
      </c>
    </row>
    <row r="929" spans="1:50" x14ac:dyDescent="0.25">
      <c r="A929" s="5">
        <v>36842</v>
      </c>
      <c r="B929">
        <v>1365.98</v>
      </c>
      <c r="C929">
        <v>6.22</v>
      </c>
      <c r="D929" s="6">
        <v>23.67</v>
      </c>
      <c r="E929" s="18">
        <f t="shared" si="997"/>
        <v>24.79</v>
      </c>
      <c r="F929">
        <f t="shared" si="998"/>
        <v>-1</v>
      </c>
      <c r="G929" s="18">
        <f>ROUND(INDEX(Valuation!U:U,MATCH(A929,Valuation!A:A,0)),2)</f>
        <v>0</v>
      </c>
      <c r="H929">
        <f t="shared" si="1005"/>
        <v>-3</v>
      </c>
      <c r="I929" s="18">
        <f>INDEX(WeeklyIndicators!Y:Y,MATCH(A929,WeeklyIndicators!A:A,0))</f>
        <v>100.85</v>
      </c>
      <c r="J929">
        <f t="shared" si="994"/>
        <v>-1</v>
      </c>
      <c r="K929">
        <f>ROUND(INDEX(Economic!AF:AF,MATCH(EOMONTH($A929,-1),Economic!A:A,0)),2)</f>
        <v>121.5</v>
      </c>
      <c r="L929" s="11">
        <f t="shared" si="1003"/>
        <v>1</v>
      </c>
      <c r="M929">
        <f>ROUND(INDEX(Manufacturing!P:P,MATCH(EOMONTH($A929,-1),Manufacturing!A:A,0)),2)</f>
        <v>80.400000000000006</v>
      </c>
      <c r="N929">
        <f t="shared" si="999"/>
        <v>-1</v>
      </c>
      <c r="O929">
        <f>ROUND(INDEX(Housing!AC:AC,MATCH(EOMONTH($A929,-1),Housing!B:B,0)),2)</f>
        <v>111.79</v>
      </c>
      <c r="P929">
        <f t="shared" si="1000"/>
        <v>0</v>
      </c>
      <c r="Q929">
        <f>ROUND(INDEX(Spending!AJ:AJ,MATCH(EOMONTH($A929,-1),Spending!B:B,0)),2)</f>
        <v>54.15</v>
      </c>
      <c r="R929">
        <f t="shared" si="1004"/>
        <v>1</v>
      </c>
      <c r="S929">
        <f>ROUND(INDEX(Employment!V:V,MATCH(EOMONTH($A929,-1),Employment!A:A,0)),2)</f>
        <v>147.72999999999999</v>
      </c>
      <c r="T929" s="11">
        <f t="shared" si="1001"/>
        <v>-1</v>
      </c>
      <c r="U929">
        <f t="shared" si="993"/>
        <v>15</v>
      </c>
      <c r="V929">
        <f t="shared" si="985"/>
        <v>69.239999999999995</v>
      </c>
      <c r="W929" s="13">
        <f t="shared" si="986"/>
        <v>-1.55E-2</v>
      </c>
      <c r="X929" s="13">
        <f t="shared" si="987"/>
        <v>-7.5999999999999974E-3</v>
      </c>
      <c r="Y929">
        <f t="shared" si="979"/>
        <v>54.93</v>
      </c>
      <c r="Z929" s="13">
        <f t="shared" si="974"/>
        <v>-2.1700000000000001E-2</v>
      </c>
      <c r="AA929" s="13">
        <f t="shared" si="970"/>
        <v>-4.0099999999999997E-2</v>
      </c>
      <c r="AB929" s="6">
        <f t="shared" si="980"/>
        <v>46.98</v>
      </c>
      <c r="AC929">
        <f t="shared" si="972"/>
        <v>23</v>
      </c>
      <c r="AD929" s="11">
        <f t="shared" si="973"/>
        <v>-1</v>
      </c>
      <c r="AE929">
        <f t="shared" si="971"/>
        <v>16</v>
      </c>
      <c r="AF929">
        <f>IF(AND(AE929&lt;15,OR(AC929&gt;=30,AA929&gt;0.15,X929&gt;=0.15)),2,VLOOKUP(AE929,Table!P:Q,2,FALSE))</f>
        <v>2</v>
      </c>
      <c r="AG929" s="22">
        <f>IF((AB929*0.98)-(D929*0.8)+((AF929-3)*3)+VLOOKUP(AM929,Table!$A$11:$B$13,2,FALSE)&lt;0,0,(AB929*0.98)-(D929*0.8)+((AF929-3)*3)+VLOOKUP(AM929,Table!$A$11:$B$13,2,FALSE))</f>
        <v>8.1043999999999947</v>
      </c>
      <c r="AH929" s="22">
        <f t="shared" si="1002"/>
        <v>18</v>
      </c>
      <c r="AI929" s="18">
        <f t="shared" si="995"/>
        <v>6.08</v>
      </c>
      <c r="AJ929" s="18">
        <f t="shared" si="996"/>
        <v>5.87</v>
      </c>
      <c r="AK929" t="str">
        <f t="shared" si="981"/>
        <v>Rising Rates</v>
      </c>
      <c r="AL929">
        <f t="shared" si="992"/>
        <v>17.25</v>
      </c>
      <c r="AM929" s="11" t="str">
        <f t="shared" si="982"/>
        <v>Cash</v>
      </c>
      <c r="AN929" t="str">
        <f t="shared" si="988"/>
        <v>Buy</v>
      </c>
      <c r="AO929" s="13">
        <f t="shared" si="989"/>
        <v>1.2999999999999999E-3</v>
      </c>
      <c r="AP929" s="13">
        <f t="shared" si="990"/>
        <v>1.1999999999999999E-3</v>
      </c>
      <c r="AQ929" s="13">
        <f t="shared" si="991"/>
        <v>1.1999999999999999E-3</v>
      </c>
      <c r="AR929" s="13">
        <f t="shared" si="983"/>
        <v>1.1999999999999999E-3</v>
      </c>
      <c r="AS929" s="6">
        <f t="shared" si="975"/>
        <v>340.10259337007807</v>
      </c>
      <c r="AT929" s="6">
        <f t="shared" si="976"/>
        <v>149.36360649945854</v>
      </c>
      <c r="AU929" s="6">
        <f t="shared" si="977"/>
        <v>303.63993074224317</v>
      </c>
      <c r="AV929" s="6">
        <f t="shared" si="978"/>
        <v>376.30906880836801</v>
      </c>
      <c r="AW929" s="58">
        <f t="shared" si="984"/>
        <v>2000</v>
      </c>
      <c r="AX929" s="58">
        <f>COUNTIF(AW$3:AW929,AW929)</f>
        <v>8</v>
      </c>
    </row>
    <row r="930" spans="1:50" x14ac:dyDescent="0.25">
      <c r="A930" s="5">
        <v>36835</v>
      </c>
      <c r="B930">
        <v>1426.69</v>
      </c>
      <c r="C930">
        <v>6.19</v>
      </c>
      <c r="D930" s="6">
        <v>26.469999000000001</v>
      </c>
      <c r="E930" s="18">
        <f t="shared" si="997"/>
        <v>26.1</v>
      </c>
      <c r="F930">
        <f t="shared" si="998"/>
        <v>-2</v>
      </c>
      <c r="G930" s="18">
        <f>ROUND(INDEX(Valuation!U:U,MATCH(A930,Valuation!A:A,0)),2)</f>
        <v>0</v>
      </c>
      <c r="H930">
        <f t="shared" si="1005"/>
        <v>-3</v>
      </c>
      <c r="I930" s="18">
        <f>INDEX(WeeklyIndicators!Y:Y,MATCH(A930,WeeklyIndicators!A:A,0))</f>
        <v>108.6</v>
      </c>
      <c r="J930">
        <f t="shared" si="994"/>
        <v>-1</v>
      </c>
      <c r="K930">
        <f>ROUND(INDEX(Economic!AF:AF,MATCH(EOMONTH($A930,-1),Economic!A:A,0)),2)</f>
        <v>121.5</v>
      </c>
      <c r="L930" s="11">
        <f t="shared" si="1003"/>
        <v>1</v>
      </c>
      <c r="M930">
        <f>ROUND(INDEX(Manufacturing!P:P,MATCH(EOMONTH($A930,-1),Manufacturing!A:A,0)),2)</f>
        <v>80.400000000000006</v>
      </c>
      <c r="N930">
        <f t="shared" si="999"/>
        <v>-1</v>
      </c>
      <c r="O930">
        <f>ROUND(INDEX(Housing!AC:AC,MATCH(EOMONTH($A930,-1),Housing!B:B,0)),2)</f>
        <v>111.79</v>
      </c>
      <c r="P930">
        <f t="shared" si="1000"/>
        <v>0</v>
      </c>
      <c r="Q930">
        <f>ROUND(INDEX(Spending!AJ:AJ,MATCH(EOMONTH($A930,-1),Spending!B:B,0)),2)</f>
        <v>54.15</v>
      </c>
      <c r="R930">
        <f t="shared" si="1004"/>
        <v>1</v>
      </c>
      <c r="S930">
        <f>ROUND(INDEX(Employment!V:V,MATCH(EOMONTH($A930,-1),Employment!A:A,0)),2)</f>
        <v>147.72999999999999</v>
      </c>
      <c r="T930" s="11">
        <f t="shared" si="1001"/>
        <v>-1</v>
      </c>
      <c r="U930">
        <f t="shared" si="993"/>
        <v>14</v>
      </c>
      <c r="V930">
        <f t="shared" si="985"/>
        <v>70.040000000000006</v>
      </c>
      <c r="W930" s="13">
        <f t="shared" si="986"/>
        <v>-9.5999999999999992E-3</v>
      </c>
      <c r="X930" s="13">
        <f t="shared" si="987"/>
        <v>1.3000000000000001E-2</v>
      </c>
      <c r="Y930">
        <f t="shared" si="979"/>
        <v>55.27</v>
      </c>
      <c r="Z930" s="13">
        <f t="shared" si="974"/>
        <v>-2.1299999999999999E-2</v>
      </c>
      <c r="AA930" s="13">
        <f t="shared" si="970"/>
        <v>-1.8599999999999998E-2</v>
      </c>
      <c r="AB930" s="6">
        <f t="shared" si="980"/>
        <v>48.99</v>
      </c>
      <c r="AC930">
        <f t="shared" si="972"/>
        <v>24</v>
      </c>
      <c r="AD930" s="11">
        <f t="shared" si="973"/>
        <v>-1</v>
      </c>
      <c r="AE930">
        <f t="shared" si="971"/>
        <v>15</v>
      </c>
      <c r="AF930">
        <f>IF(AND(AE930&lt;15,OR(AC930&gt;=30,AA930&gt;0.15,X930&gt;=0.15)),2,VLOOKUP(AE930,Table!P:Q,2,FALSE))</f>
        <v>2</v>
      </c>
      <c r="AG930" s="22">
        <f>IF((AB930*0.98)-(D930*0.8)+((AF930-3)*3)+VLOOKUP(AM930,Table!$A$11:$B$13,2,FALSE)&lt;0,0,(AB930*0.98)-(D930*0.8)+((AF930-3)*3)+VLOOKUP(AM930,Table!$A$11:$B$13,2,FALSE))</f>
        <v>7.8342007999999943</v>
      </c>
      <c r="AH930" s="22">
        <f t="shared" si="1002"/>
        <v>27</v>
      </c>
      <c r="AI930" s="18">
        <f t="shared" si="995"/>
        <v>6.07</v>
      </c>
      <c r="AJ930" s="18">
        <f t="shared" si="996"/>
        <v>5.85</v>
      </c>
      <c r="AK930" t="str">
        <f t="shared" si="981"/>
        <v>Rising Rates</v>
      </c>
      <c r="AL930">
        <f t="shared" si="992"/>
        <v>18</v>
      </c>
      <c r="AM930" s="11" t="str">
        <f t="shared" si="982"/>
        <v>Cash</v>
      </c>
      <c r="AN930" t="str">
        <f t="shared" si="988"/>
        <v>Buy</v>
      </c>
      <c r="AO930" s="13">
        <f t="shared" si="989"/>
        <v>-4.2599999999999999E-2</v>
      </c>
      <c r="AP930" s="13">
        <f t="shared" si="990"/>
        <v>1.1999999999999999E-3</v>
      </c>
      <c r="AQ930" s="13">
        <f t="shared" si="991"/>
        <v>-1.06E-2</v>
      </c>
      <c r="AR930" s="13">
        <f t="shared" si="983"/>
        <v>1.1999999999999999E-3</v>
      </c>
      <c r="AS930" s="6">
        <f t="shared" si="975"/>
        <v>355.23563126183211</v>
      </c>
      <c r="AT930" s="6">
        <f t="shared" si="976"/>
        <v>149.18458499746157</v>
      </c>
      <c r="AU930" s="6">
        <f t="shared" si="977"/>
        <v>306.89299650519831</v>
      </c>
      <c r="AV930" s="6">
        <f t="shared" si="978"/>
        <v>375.85803916137434</v>
      </c>
      <c r="AW930" s="58">
        <f t="shared" si="984"/>
        <v>2000</v>
      </c>
      <c r="AX930" s="58">
        <f>COUNTIF(AW$3:AW930,AW930)</f>
        <v>9</v>
      </c>
    </row>
    <row r="931" spans="1:50" x14ac:dyDescent="0.25">
      <c r="A931" s="5">
        <v>36828</v>
      </c>
      <c r="B931">
        <v>1379.58</v>
      </c>
      <c r="C931">
        <v>6.18</v>
      </c>
      <c r="D931" s="6">
        <v>24.24</v>
      </c>
      <c r="E931" s="18">
        <f t="shared" si="997"/>
        <v>24.85</v>
      </c>
      <c r="F931">
        <f t="shared" si="998"/>
        <v>-1</v>
      </c>
      <c r="G931" s="18">
        <f>ROUND(INDEX(Valuation!U:U,MATCH(A931,Valuation!A:A,0)),2)</f>
        <v>0</v>
      </c>
      <c r="H931">
        <f t="shared" si="1005"/>
        <v>-3</v>
      </c>
      <c r="I931" s="18">
        <f>INDEX(WeeklyIndicators!Y:Y,MATCH(A931,WeeklyIndicators!A:A,0))</f>
        <v>114.28</v>
      </c>
      <c r="J931">
        <f t="shared" si="994"/>
        <v>-1</v>
      </c>
      <c r="K931">
        <f>ROUND(INDEX(Economic!AF:AF,MATCH(EOMONTH($A931,-1),Economic!A:A,0)),2)</f>
        <v>126.64</v>
      </c>
      <c r="L931" s="11">
        <f t="shared" si="1003"/>
        <v>2</v>
      </c>
      <c r="M931">
        <f>ROUND(INDEX(Manufacturing!P:P,MATCH(EOMONTH($A931,-1),Manufacturing!A:A,0)),2)</f>
        <v>85.8</v>
      </c>
      <c r="N931">
        <f t="shared" si="999"/>
        <v>0</v>
      </c>
      <c r="O931">
        <f>ROUND(INDEX(Housing!AC:AC,MATCH(EOMONTH($A931,-1),Housing!B:B,0)),2)</f>
        <v>108.98</v>
      </c>
      <c r="P931">
        <f t="shared" si="1000"/>
        <v>0</v>
      </c>
      <c r="Q931">
        <f>ROUND(INDEX(Spending!AJ:AJ,MATCH(EOMONTH($A931,-1),Spending!B:B,0)),2)</f>
        <v>54</v>
      </c>
      <c r="R931">
        <f t="shared" si="1004"/>
        <v>1</v>
      </c>
      <c r="S931">
        <f>ROUND(INDEX(Employment!V:V,MATCH(EOMONTH($A931,-1),Employment!A:A,0)),2)</f>
        <v>152.79</v>
      </c>
      <c r="T931" s="11">
        <f t="shared" si="1001"/>
        <v>0</v>
      </c>
      <c r="U931">
        <f t="shared" si="993"/>
        <v>18</v>
      </c>
      <c r="V931">
        <f t="shared" si="985"/>
        <v>72.34</v>
      </c>
      <c r="W931" s="13">
        <f t="shared" si="986"/>
        <v>5.7999999999999996E-3</v>
      </c>
      <c r="X931" s="13">
        <f t="shared" si="987"/>
        <v>2.2000000000000002E-2</v>
      </c>
      <c r="Y931">
        <f t="shared" si="979"/>
        <v>58.01</v>
      </c>
      <c r="Z931" s="13">
        <f t="shared" si="974"/>
        <v>-2.5999999999999999E-3</v>
      </c>
      <c r="AA931" s="13">
        <f t="shared" si="970"/>
        <v>-2.7000000000000006E-3</v>
      </c>
      <c r="AB931" s="6">
        <f t="shared" si="980"/>
        <v>52.960000000000008</v>
      </c>
      <c r="AC931">
        <f t="shared" si="972"/>
        <v>26</v>
      </c>
      <c r="AD931" s="11">
        <f t="shared" si="973"/>
        <v>-1</v>
      </c>
      <c r="AE931">
        <f t="shared" si="971"/>
        <v>19</v>
      </c>
      <c r="AF931">
        <f>IF(AND(AE931&lt;15,OR(AC931&gt;=30,AA931&gt;0.15,X931&gt;=0.15)),2,VLOOKUP(AE931,Table!P:Q,2,FALSE))</f>
        <v>2</v>
      </c>
      <c r="AG931" s="22">
        <f>IF((AB931*0.98)-(D931*0.8)+((AF931-3)*3)+VLOOKUP(AM931,Table!$A$11:$B$13,2,FALSE)&lt;0,0,(AB931*0.98)-(D931*0.8)+((AF931-3)*3)+VLOOKUP(AM931,Table!$A$11:$B$13,2,FALSE))</f>
        <v>37.508800000000008</v>
      </c>
      <c r="AH931" s="22">
        <f t="shared" si="1002"/>
        <v>37</v>
      </c>
      <c r="AI931" s="18">
        <f t="shared" si="995"/>
        <v>6.06</v>
      </c>
      <c r="AJ931" s="18">
        <f t="shared" si="996"/>
        <v>5.83</v>
      </c>
      <c r="AK931" t="str">
        <f t="shared" si="981"/>
        <v>Rising Rates</v>
      </c>
      <c r="AL931">
        <f t="shared" si="992"/>
        <v>19</v>
      </c>
      <c r="AM931" s="11" t="str">
        <f t="shared" si="982"/>
        <v>Stocks</v>
      </c>
      <c r="AN931" t="str">
        <f t="shared" si="988"/>
        <v>Buy</v>
      </c>
      <c r="AO931" s="13">
        <f t="shared" si="989"/>
        <v>3.4099999999999998E-2</v>
      </c>
      <c r="AP931" s="13">
        <f t="shared" si="990"/>
        <v>1.1999999999999999E-3</v>
      </c>
      <c r="AQ931" s="13">
        <f t="shared" si="991"/>
        <v>1.34E-2</v>
      </c>
      <c r="AR931" s="13">
        <f t="shared" si="983"/>
        <v>3.4099999999999998E-2</v>
      </c>
      <c r="AS931" s="6">
        <f t="shared" si="975"/>
        <v>343.52154652531874</v>
      </c>
      <c r="AT931" s="6">
        <f t="shared" si="976"/>
        <v>149.00577806378502</v>
      </c>
      <c r="AU931" s="6">
        <f t="shared" si="977"/>
        <v>302.83500740595844</v>
      </c>
      <c r="AV931" s="6">
        <f t="shared" si="978"/>
        <v>363.46391950621251</v>
      </c>
      <c r="AW931" s="58">
        <f t="shared" si="984"/>
        <v>2000</v>
      </c>
      <c r="AX931" s="58">
        <f>COUNTIF(AW$3:AW931,AW931)</f>
        <v>10</v>
      </c>
    </row>
    <row r="932" spans="1:50" x14ac:dyDescent="0.25">
      <c r="A932" s="5">
        <v>36821</v>
      </c>
      <c r="B932">
        <v>1396.93</v>
      </c>
      <c r="C932">
        <v>6.11</v>
      </c>
      <c r="D932" s="6">
        <v>27.6</v>
      </c>
      <c r="E932" s="18">
        <f t="shared" si="997"/>
        <v>23.63</v>
      </c>
      <c r="F932">
        <f t="shared" si="998"/>
        <v>-1</v>
      </c>
      <c r="G932" s="18">
        <f>ROUND(INDEX(Valuation!U:U,MATCH(A932,Valuation!A:A,0)),2)</f>
        <v>0</v>
      </c>
      <c r="H932">
        <f t="shared" si="1005"/>
        <v>-3</v>
      </c>
      <c r="I932" s="18">
        <f>INDEX(WeeklyIndicators!Y:Y,MATCH(A932,WeeklyIndicators!A:A,0))</f>
        <v>116.46</v>
      </c>
      <c r="J932">
        <f t="shared" si="994"/>
        <v>-1</v>
      </c>
      <c r="K932">
        <f>ROUND(INDEX(Economic!AF:AF,MATCH(EOMONTH($A932,-1),Economic!A:A,0)),2)</f>
        <v>126.64</v>
      </c>
      <c r="L932" s="11">
        <f t="shared" si="1003"/>
        <v>2</v>
      </c>
      <c r="M932">
        <f>ROUND(INDEX(Manufacturing!P:P,MATCH(EOMONTH($A932,-1),Manufacturing!A:A,0)),2)</f>
        <v>85.8</v>
      </c>
      <c r="N932">
        <f t="shared" si="999"/>
        <v>0</v>
      </c>
      <c r="O932">
        <f>ROUND(INDEX(Housing!AC:AC,MATCH(EOMONTH($A932,-1),Housing!B:B,0)),2)</f>
        <v>108.98</v>
      </c>
      <c r="P932">
        <f t="shared" si="1000"/>
        <v>0</v>
      </c>
      <c r="Q932">
        <f>ROUND(INDEX(Spending!AJ:AJ,MATCH(EOMONTH($A932,-1),Spending!B:B,0)),2)</f>
        <v>54</v>
      </c>
      <c r="R932">
        <f t="shared" si="1004"/>
        <v>1</v>
      </c>
      <c r="S932">
        <f>ROUND(INDEX(Employment!V:V,MATCH(EOMONTH($A932,-1),Employment!A:A,0)),2)</f>
        <v>152.79</v>
      </c>
      <c r="T932" s="11">
        <f t="shared" si="1001"/>
        <v>0</v>
      </c>
      <c r="U932">
        <f t="shared" si="993"/>
        <v>18</v>
      </c>
      <c r="V932">
        <f t="shared" si="985"/>
        <v>72.569999999999993</v>
      </c>
      <c r="W932" s="13">
        <f t="shared" si="986"/>
        <v>1.17E-2</v>
      </c>
      <c r="X932" s="13">
        <f t="shared" si="987"/>
        <v>8.3000000000000018E-3</v>
      </c>
      <c r="Y932">
        <f t="shared" si="979"/>
        <v>58.66</v>
      </c>
      <c r="Z932" s="13">
        <f t="shared" si="974"/>
        <v>5.4999999999999997E-3</v>
      </c>
      <c r="AA932" s="13">
        <f t="shared" si="970"/>
        <v>-1.3899999999999999E-2</v>
      </c>
      <c r="AB932" s="6">
        <f t="shared" si="980"/>
        <v>52.72999999999999</v>
      </c>
      <c r="AC932">
        <f t="shared" si="972"/>
        <v>26</v>
      </c>
      <c r="AD932" s="11">
        <f t="shared" si="973"/>
        <v>-1</v>
      </c>
      <c r="AE932">
        <f t="shared" si="971"/>
        <v>19</v>
      </c>
      <c r="AF932">
        <f>IF(AND(AE932&lt;15,OR(AC932&gt;=30,AA932&gt;0.15,X932&gt;=0.15)),2,VLOOKUP(AE932,Table!P:Q,2,FALSE))</f>
        <v>2</v>
      </c>
      <c r="AG932" s="22">
        <f>IF((AB932*0.98)-(D932*0.8)+((AF932-3)*3)+VLOOKUP(AM932,Table!$A$11:$B$13,2,FALSE)&lt;0,0,(AB932*0.98)-(D932*0.8)+((AF932-3)*3)+VLOOKUP(AM932,Table!$A$11:$B$13,2,FALSE))</f>
        <v>34.595399999999984</v>
      </c>
      <c r="AH932" s="22">
        <f t="shared" si="1002"/>
        <v>28</v>
      </c>
      <c r="AI932" s="18">
        <f t="shared" si="995"/>
        <v>6.05</v>
      </c>
      <c r="AJ932" s="18">
        <f t="shared" si="996"/>
        <v>5.81</v>
      </c>
      <c r="AK932" t="str">
        <f t="shared" si="981"/>
        <v>Rising Rates</v>
      </c>
      <c r="AL932">
        <f t="shared" si="992"/>
        <v>18.75</v>
      </c>
      <c r="AM932" s="11" t="str">
        <f t="shared" si="982"/>
        <v>Stocks</v>
      </c>
      <c r="AN932" t="str">
        <f t="shared" si="988"/>
        <v>Buy</v>
      </c>
      <c r="AO932" s="13">
        <f t="shared" si="989"/>
        <v>-1.24E-2</v>
      </c>
      <c r="AP932" s="13">
        <f t="shared" si="990"/>
        <v>1.1999999999999999E-3</v>
      </c>
      <c r="AQ932" s="13">
        <f t="shared" si="991"/>
        <v>-2.5999999999999999E-3</v>
      </c>
      <c r="AR932" s="13">
        <f t="shared" si="983"/>
        <v>-1.24E-2</v>
      </c>
      <c r="AS932" s="6">
        <f t="shared" si="975"/>
        <v>347.8346967652073</v>
      </c>
      <c r="AT932" s="6">
        <f t="shared" si="976"/>
        <v>148.82718544125549</v>
      </c>
      <c r="AU932" s="6">
        <f t="shared" si="977"/>
        <v>303.62443092636698</v>
      </c>
      <c r="AV932" s="6">
        <f t="shared" si="978"/>
        <v>368.02746001034075</v>
      </c>
      <c r="AW932" s="58">
        <f t="shared" si="984"/>
        <v>2000</v>
      </c>
      <c r="AX932" s="58">
        <f>COUNTIF(AW$3:AW932,AW932)</f>
        <v>11</v>
      </c>
    </row>
    <row r="933" spans="1:50" x14ac:dyDescent="0.25">
      <c r="A933" s="5">
        <v>36814</v>
      </c>
      <c r="B933">
        <v>1374.17</v>
      </c>
      <c r="C933">
        <v>6.03</v>
      </c>
      <c r="D933" s="6">
        <v>22.709999</v>
      </c>
      <c r="E933" s="18">
        <f t="shared" si="997"/>
        <v>21.34</v>
      </c>
      <c r="F933">
        <f t="shared" si="998"/>
        <v>-1</v>
      </c>
      <c r="G933" s="18">
        <f>ROUND(INDEX(Valuation!U:U,MATCH(A933,Valuation!A:A,0)),2)</f>
        <v>0</v>
      </c>
      <c r="H933">
        <f t="shared" si="1005"/>
        <v>-3</v>
      </c>
      <c r="I933" s="18">
        <f>INDEX(WeeklyIndicators!Y:Y,MATCH(A933,WeeklyIndicators!A:A,0))</f>
        <v>112.1</v>
      </c>
      <c r="J933">
        <f t="shared" si="994"/>
        <v>-1</v>
      </c>
      <c r="K933">
        <f>ROUND(INDEX(Economic!AF:AF,MATCH(EOMONTH($A933,-1),Economic!A:A,0)),2)</f>
        <v>126.64</v>
      </c>
      <c r="L933" s="11">
        <f t="shared" si="1003"/>
        <v>2</v>
      </c>
      <c r="M933">
        <f>ROUND(INDEX(Manufacturing!P:P,MATCH(EOMONTH($A933,-1),Manufacturing!A:A,0)),2)</f>
        <v>85.8</v>
      </c>
      <c r="N933">
        <f t="shared" si="999"/>
        <v>0</v>
      </c>
      <c r="O933">
        <f>ROUND(INDEX(Housing!AC:AC,MATCH(EOMONTH($A933,-1),Housing!B:B,0)),2)</f>
        <v>108.98</v>
      </c>
      <c r="P933">
        <f t="shared" si="1000"/>
        <v>0</v>
      </c>
      <c r="Q933">
        <f>ROUND(INDEX(Spending!AJ:AJ,MATCH(EOMONTH($A933,-1),Spending!B:B,0)),2)</f>
        <v>54</v>
      </c>
      <c r="R933">
        <f t="shared" si="1004"/>
        <v>1</v>
      </c>
      <c r="S933">
        <f>ROUND(INDEX(Employment!V:V,MATCH(EOMONTH($A933,-1),Employment!A:A,0)),2)</f>
        <v>152.79</v>
      </c>
      <c r="T933" s="11">
        <f t="shared" si="1001"/>
        <v>0</v>
      </c>
      <c r="U933">
        <f t="shared" si="993"/>
        <v>18</v>
      </c>
      <c r="V933">
        <f t="shared" si="985"/>
        <v>72.12</v>
      </c>
      <c r="W933" s="13">
        <f t="shared" si="986"/>
        <v>5.1000000000000004E-3</v>
      </c>
      <c r="X933" s="13">
        <f t="shared" si="987"/>
        <v>-1.11E-2</v>
      </c>
      <c r="Y933">
        <f t="shared" si="979"/>
        <v>59.01</v>
      </c>
      <c r="Z933" s="13">
        <f t="shared" si="974"/>
        <v>-2.0000000000000001E-4</v>
      </c>
      <c r="AA933" s="13">
        <f t="shared" si="970"/>
        <v>-3.0100000000000002E-2</v>
      </c>
      <c r="AB933" s="6">
        <f t="shared" si="980"/>
        <v>51.789999999999992</v>
      </c>
      <c r="AC933">
        <f t="shared" si="972"/>
        <v>26</v>
      </c>
      <c r="AD933" s="11">
        <f t="shared" si="973"/>
        <v>-1</v>
      </c>
      <c r="AE933">
        <f t="shared" si="971"/>
        <v>19</v>
      </c>
      <c r="AF933">
        <f>IF(AND(AE933&lt;15,OR(AC933&gt;=30,AA933&gt;0.15,X933&gt;=0.15)),2,VLOOKUP(AE933,Table!P:Q,2,FALSE))</f>
        <v>2</v>
      </c>
      <c r="AG933" s="22">
        <f>IF((AB933*0.98)-(D933*0.8)+((AF933-3)*3)+VLOOKUP(AM933,Table!$A$11:$B$13,2,FALSE)&lt;0,0,(AB933*0.98)-(D933*0.8)+((AF933-3)*3)+VLOOKUP(AM933,Table!$A$11:$B$13,2,FALSE))</f>
        <v>37.586200799999986</v>
      </c>
      <c r="AH933" s="22">
        <f t="shared" si="1002"/>
        <v>20</v>
      </c>
      <c r="AI933" s="18">
        <f t="shared" si="995"/>
        <v>6.04</v>
      </c>
      <c r="AJ933" s="18">
        <f t="shared" si="996"/>
        <v>5.79</v>
      </c>
      <c r="AK933" t="str">
        <f t="shared" si="981"/>
        <v/>
      </c>
      <c r="AL933">
        <f t="shared" si="992"/>
        <v>18.25</v>
      </c>
      <c r="AM933" s="11" t="str">
        <f t="shared" si="982"/>
        <v>Stocks</v>
      </c>
      <c r="AN933" t="str">
        <f t="shared" si="988"/>
        <v>Buy</v>
      </c>
      <c r="AO933" s="13">
        <f t="shared" si="989"/>
        <v>1.66E-2</v>
      </c>
      <c r="AP933" s="13">
        <f t="shared" si="990"/>
        <v>1.1999999999999999E-3</v>
      </c>
      <c r="AQ933" s="13">
        <f t="shared" si="991"/>
        <v>4.3E-3</v>
      </c>
      <c r="AR933" s="13">
        <f t="shared" si="983"/>
        <v>1.66E-2</v>
      </c>
      <c r="AS933" s="6">
        <f t="shared" si="975"/>
        <v>342.15492501004064</v>
      </c>
      <c r="AT933" s="6">
        <f t="shared" si="976"/>
        <v>148.64880687300789</v>
      </c>
      <c r="AU933" s="6">
        <f t="shared" si="977"/>
        <v>302.3244358522025</v>
      </c>
      <c r="AV933" s="6">
        <f t="shared" si="978"/>
        <v>362.01796184373478</v>
      </c>
      <c r="AW933" s="58">
        <f t="shared" si="984"/>
        <v>2000</v>
      </c>
      <c r="AX933" s="58">
        <f>COUNTIF(AW$3:AW933,AW933)</f>
        <v>12</v>
      </c>
    </row>
    <row r="934" spans="1:50" x14ac:dyDescent="0.25">
      <c r="A934" s="5">
        <v>36807</v>
      </c>
      <c r="B934">
        <v>1408.99</v>
      </c>
      <c r="C934">
        <v>6.06</v>
      </c>
      <c r="D934" s="6">
        <v>20.57</v>
      </c>
      <c r="E934" s="18">
        <f t="shared" si="997"/>
        <v>19.940000000000001</v>
      </c>
      <c r="F934">
        <f t="shared" si="998"/>
        <v>-1</v>
      </c>
      <c r="G934" s="18">
        <f>ROUND(INDEX(Valuation!U:U,MATCH(A934,Valuation!A:A,0)),2)</f>
        <v>0</v>
      </c>
      <c r="H934">
        <f t="shared" si="1005"/>
        <v>-3</v>
      </c>
      <c r="I934" s="18">
        <f>INDEX(WeeklyIndicators!Y:Y,MATCH(A934,WeeklyIndicators!A:A,0))</f>
        <v>102.21</v>
      </c>
      <c r="J934">
        <f t="shared" si="994"/>
        <v>-1</v>
      </c>
      <c r="K934">
        <f>ROUND(INDEX(Economic!AF:AF,MATCH(EOMONTH($A934,-1),Economic!A:A,0)),2)</f>
        <v>126.64</v>
      </c>
      <c r="L934" s="11">
        <f t="shared" si="1003"/>
        <v>2</v>
      </c>
      <c r="M934">
        <f>ROUND(INDEX(Manufacturing!P:P,MATCH(EOMONTH($A934,-1),Manufacturing!A:A,0)),2)</f>
        <v>85.8</v>
      </c>
      <c r="N934">
        <f t="shared" si="999"/>
        <v>0</v>
      </c>
      <c r="O934">
        <f>ROUND(INDEX(Housing!AC:AC,MATCH(EOMONTH($A934,-1),Housing!B:B,0)),2)</f>
        <v>108.98</v>
      </c>
      <c r="P934">
        <f t="shared" si="1000"/>
        <v>0</v>
      </c>
      <c r="Q934">
        <f>ROUND(INDEX(Spending!AJ:AJ,MATCH(EOMONTH($A934,-1),Spending!B:B,0)),2)</f>
        <v>54</v>
      </c>
      <c r="R934">
        <f t="shared" si="1004"/>
        <v>1</v>
      </c>
      <c r="S934">
        <f>ROUND(INDEX(Employment!V:V,MATCH(EOMONTH($A934,-1),Employment!A:A,0)),2)</f>
        <v>152.79</v>
      </c>
      <c r="T934" s="11">
        <f t="shared" si="1001"/>
        <v>0</v>
      </c>
      <c r="U934">
        <f t="shared" si="993"/>
        <v>18</v>
      </c>
      <c r="V934">
        <f t="shared" si="985"/>
        <v>71.09</v>
      </c>
      <c r="W934" s="13">
        <f t="shared" si="986"/>
        <v>-5.9999999999999995E-4</v>
      </c>
      <c r="X934" s="13">
        <f t="shared" si="987"/>
        <v>-4.5100000000000001E-2</v>
      </c>
      <c r="Y934">
        <f t="shared" si="979"/>
        <v>58.47</v>
      </c>
      <c r="Z934" s="13">
        <f t="shared" si="974"/>
        <v>-5.4000000000000003E-3</v>
      </c>
      <c r="AA934" s="13">
        <f t="shared" si="970"/>
        <v>-6.3299999999999995E-2</v>
      </c>
      <c r="AB934" s="6">
        <f t="shared" si="980"/>
        <v>48.65</v>
      </c>
      <c r="AC934">
        <f t="shared" si="972"/>
        <v>24</v>
      </c>
      <c r="AD934" s="11">
        <f t="shared" si="973"/>
        <v>-1</v>
      </c>
      <c r="AE934">
        <f t="shared" si="971"/>
        <v>19</v>
      </c>
      <c r="AF934">
        <f>IF(AND(AE934&lt;15,OR(AC934&gt;=30,AA934&gt;0.15,X934&gt;=0.15)),2,VLOOKUP(AE934,Table!P:Q,2,FALSE))</f>
        <v>2</v>
      </c>
      <c r="AG934" s="22">
        <f>IF((AB934*0.98)-(D934*0.8)+((AF934-3)*3)+VLOOKUP(AM934,Table!$A$11:$B$13,2,FALSE)&lt;0,0,(AB934*0.98)-(D934*0.8)+((AF934-3)*3)+VLOOKUP(AM934,Table!$A$11:$B$13,2,FALSE))</f>
        <v>12.221</v>
      </c>
      <c r="AH934" s="22">
        <f t="shared" si="1002"/>
        <v>11</v>
      </c>
      <c r="AI934" s="18">
        <f t="shared" si="995"/>
        <v>6.03</v>
      </c>
      <c r="AJ934" s="18">
        <f t="shared" si="996"/>
        <v>5.77</v>
      </c>
      <c r="AK934" t="str">
        <f t="shared" si="981"/>
        <v>Rising Rates</v>
      </c>
      <c r="AL934">
        <f t="shared" si="992"/>
        <v>18</v>
      </c>
      <c r="AM934" s="11" t="str">
        <f t="shared" si="982"/>
        <v>Cash</v>
      </c>
      <c r="AN934" t="str">
        <f t="shared" si="988"/>
        <v>Buy</v>
      </c>
      <c r="AO934" s="13">
        <f t="shared" si="989"/>
        <v>-2.47E-2</v>
      </c>
      <c r="AP934" s="13">
        <f t="shared" si="990"/>
        <v>1.1999999999999999E-3</v>
      </c>
      <c r="AQ934" s="13">
        <f t="shared" si="991"/>
        <v>-1.6000000000000001E-3</v>
      </c>
      <c r="AR934" s="13">
        <f t="shared" si="983"/>
        <v>1.1999999999999999E-3</v>
      </c>
      <c r="AS934" s="6">
        <f t="shared" si="975"/>
        <v>350.82018354356671</v>
      </c>
      <c r="AT934" s="6">
        <f t="shared" si="976"/>
        <v>148.4706421024849</v>
      </c>
      <c r="AU934" s="6">
        <f t="shared" si="977"/>
        <v>302.80893014042721</v>
      </c>
      <c r="AV934" s="6">
        <f t="shared" si="978"/>
        <v>361.58406097057008</v>
      </c>
      <c r="AW934" s="58">
        <f t="shared" si="984"/>
        <v>2000</v>
      </c>
      <c r="AX934" s="58">
        <f>COUNTIF(AW$3:AW934,AW934)</f>
        <v>13</v>
      </c>
    </row>
    <row r="935" spans="1:50" x14ac:dyDescent="0.25">
      <c r="A935" s="5">
        <v>36800</v>
      </c>
      <c r="B935">
        <v>1436.51</v>
      </c>
      <c r="C935">
        <v>6.03</v>
      </c>
      <c r="D935" s="6">
        <v>20.74</v>
      </c>
      <c r="E935" s="18">
        <f t="shared" si="997"/>
        <v>19.239999999999998</v>
      </c>
      <c r="F935">
        <f t="shared" si="998"/>
        <v>-1</v>
      </c>
      <c r="G935" s="18">
        <f>ROUND(INDEX(Valuation!U:U,MATCH(A935,Valuation!A:A,0)),2)</f>
        <v>0</v>
      </c>
      <c r="H935">
        <f t="shared" si="1005"/>
        <v>-3</v>
      </c>
      <c r="I935" s="18">
        <f>INDEX(WeeklyIndicators!Y:Y,MATCH(A935,WeeklyIndicators!A:A,0))</f>
        <v>92.35</v>
      </c>
      <c r="J935">
        <f t="shared" si="994"/>
        <v>-2</v>
      </c>
      <c r="K935">
        <f>ROUND(INDEX(Economic!AF:AF,MATCH(EOMONTH($A935,-1),Economic!A:A,0)),2)</f>
        <v>126.64</v>
      </c>
      <c r="L935" s="11">
        <f t="shared" si="1003"/>
        <v>2</v>
      </c>
      <c r="M935">
        <f>ROUND(INDEX(Manufacturing!P:P,MATCH(EOMONTH($A935,-1),Manufacturing!A:A,0)),2)</f>
        <v>85.8</v>
      </c>
      <c r="N935">
        <f t="shared" si="999"/>
        <v>0</v>
      </c>
      <c r="O935">
        <f>ROUND(INDEX(Housing!AC:AC,MATCH(EOMONTH($A935,-1),Housing!B:B,0)),2)</f>
        <v>108.98</v>
      </c>
      <c r="P935">
        <f t="shared" si="1000"/>
        <v>0</v>
      </c>
      <c r="Q935">
        <f>ROUND(INDEX(Spending!AJ:AJ,MATCH(EOMONTH($A935,-1),Spending!B:B,0)),2)</f>
        <v>54</v>
      </c>
      <c r="R935">
        <f t="shared" si="1004"/>
        <v>1</v>
      </c>
      <c r="S935">
        <f>ROUND(INDEX(Employment!V:V,MATCH(EOMONTH($A935,-1),Employment!A:A,0)),2)</f>
        <v>152.79</v>
      </c>
      <c r="T935" s="11">
        <f t="shared" si="1001"/>
        <v>0</v>
      </c>
      <c r="U935">
        <f t="shared" si="993"/>
        <v>17</v>
      </c>
      <c r="V935">
        <f t="shared" si="985"/>
        <v>70.069999999999993</v>
      </c>
      <c r="W935" s="13">
        <f t="shared" si="986"/>
        <v>-7.9000000000000008E-3</v>
      </c>
      <c r="X935" s="13">
        <f t="shared" si="987"/>
        <v>-7.1999999999999995E-2</v>
      </c>
      <c r="Y935">
        <f t="shared" si="979"/>
        <v>57.69</v>
      </c>
      <c r="Z935" s="13">
        <f t="shared" si="974"/>
        <v>-1.38E-2</v>
      </c>
      <c r="AA935" s="13">
        <f t="shared" si="970"/>
        <v>-8.6499999999999994E-2</v>
      </c>
      <c r="AB935" s="6">
        <f t="shared" si="980"/>
        <v>46.01</v>
      </c>
      <c r="AC935">
        <f t="shared" si="972"/>
        <v>23</v>
      </c>
      <c r="AD935" s="11">
        <f t="shared" si="973"/>
        <v>-1</v>
      </c>
      <c r="AE935">
        <f t="shared" si="971"/>
        <v>18</v>
      </c>
      <c r="AF935">
        <f>IF(AND(AE935&lt;15,OR(AC935&gt;=30,AA935&gt;0.15,X935&gt;=0.15)),2,VLOOKUP(AE935,Table!P:Q,2,FALSE))</f>
        <v>2</v>
      </c>
      <c r="AG935" s="22">
        <f>IF((AB935*0.98)-(D935*0.8)+((AF935-3)*3)+VLOOKUP(AM935,Table!$A$11:$B$13,2,FALSE)&lt;0,0,(AB935*0.98)-(D935*0.8)+((AF935-3)*3)+VLOOKUP(AM935,Table!$A$11:$B$13,2,FALSE))</f>
        <v>9.497799999999998</v>
      </c>
      <c r="AH935" s="22">
        <f t="shared" si="1002"/>
        <v>20</v>
      </c>
      <c r="AI935" s="18">
        <f t="shared" si="995"/>
        <v>6.02</v>
      </c>
      <c r="AJ935" s="18">
        <f t="shared" si="996"/>
        <v>5.75</v>
      </c>
      <c r="AK935" t="str">
        <f t="shared" si="981"/>
        <v>Rising Rates</v>
      </c>
      <c r="AL935">
        <f t="shared" si="992"/>
        <v>17.75</v>
      </c>
      <c r="AM935" s="11" t="str">
        <f t="shared" si="982"/>
        <v>Cash</v>
      </c>
      <c r="AN935" t="str">
        <f t="shared" si="988"/>
        <v>Buy</v>
      </c>
      <c r="AO935" s="13">
        <f t="shared" si="989"/>
        <v>-1.9199999999999998E-2</v>
      </c>
      <c r="AP935" s="13">
        <f t="shared" si="990"/>
        <v>1.1999999999999999E-3</v>
      </c>
      <c r="AQ935" s="13">
        <f t="shared" si="991"/>
        <v>-2.8999999999999998E-3</v>
      </c>
      <c r="AR935" s="13">
        <f t="shared" si="983"/>
        <v>1.1999999999999999E-3</v>
      </c>
      <c r="AS935" s="6">
        <f t="shared" si="975"/>
        <v>357.68778909417489</v>
      </c>
      <c r="AT935" s="6">
        <f t="shared" si="976"/>
        <v>148.29269087343675</v>
      </c>
      <c r="AU935" s="6">
        <f t="shared" si="977"/>
        <v>303.68963006762334</v>
      </c>
      <c r="AV935" s="6">
        <f t="shared" si="978"/>
        <v>361.15068015438476</v>
      </c>
      <c r="AW935" s="58">
        <f t="shared" si="984"/>
        <v>2000</v>
      </c>
      <c r="AX935" s="58">
        <f>COUNTIF(AW$3:AW935,AW935)</f>
        <v>14</v>
      </c>
    </row>
    <row r="936" spans="1:50" x14ac:dyDescent="0.25">
      <c r="A936" s="5">
        <v>36793</v>
      </c>
      <c r="B936">
        <v>1448.72</v>
      </c>
      <c r="C936">
        <v>5.98</v>
      </c>
      <c r="D936" s="6">
        <v>18.52</v>
      </c>
      <c r="E936" s="18">
        <f t="shared" si="997"/>
        <v>18.170000000000002</v>
      </c>
      <c r="F936">
        <f t="shared" si="998"/>
        <v>-1</v>
      </c>
      <c r="G936" s="18">
        <f>ROUND(INDEX(Valuation!U:U,MATCH(A936,Valuation!A:A,0)),2)</f>
        <v>0</v>
      </c>
      <c r="H936">
        <f t="shared" si="1005"/>
        <v>-3</v>
      </c>
      <c r="I936" s="18">
        <f>INDEX(WeeklyIndicators!Y:Y,MATCH(A936,WeeklyIndicators!A:A,0))</f>
        <v>87.56</v>
      </c>
      <c r="J936">
        <f t="shared" si="994"/>
        <v>-2</v>
      </c>
      <c r="K936">
        <f>ROUND(INDEX(Economic!AF:AF,MATCH(EOMONTH($A936,-1),Economic!A:A,0)),2)</f>
        <v>134.5</v>
      </c>
      <c r="L936" s="11">
        <f t="shared" si="1003"/>
        <v>2</v>
      </c>
      <c r="M936">
        <f>ROUND(INDEX(Manufacturing!P:P,MATCH(EOMONTH($A936,-1),Manufacturing!A:A,0)),2)</f>
        <v>89.48</v>
      </c>
      <c r="N936">
        <f t="shared" si="999"/>
        <v>0</v>
      </c>
      <c r="O936">
        <f>ROUND(INDEX(Housing!AC:AC,MATCH(EOMONTH($A936,-1),Housing!B:B,0)),2)</f>
        <v>106.38</v>
      </c>
      <c r="P936">
        <f t="shared" si="1000"/>
        <v>0</v>
      </c>
      <c r="Q936">
        <f>ROUND(INDEX(Spending!AJ:AJ,MATCH(EOMONTH($A936,-1),Spending!B:B,0)),2)</f>
        <v>59.44</v>
      </c>
      <c r="R936">
        <f t="shared" si="1004"/>
        <v>1</v>
      </c>
      <c r="S936">
        <f>ROUND(INDEX(Employment!V:V,MATCH(EOMONTH($A936,-1),Employment!A:A,0)),2)</f>
        <v>147.71</v>
      </c>
      <c r="T936" s="11">
        <f t="shared" si="1001"/>
        <v>-1</v>
      </c>
      <c r="U936">
        <f t="shared" si="993"/>
        <v>16</v>
      </c>
      <c r="V936">
        <f t="shared" si="985"/>
        <v>71.040000000000006</v>
      </c>
      <c r="W936" s="13">
        <f t="shared" si="986"/>
        <v>-7.7000000000000002E-3</v>
      </c>
      <c r="X936" s="13">
        <f t="shared" si="987"/>
        <v>-8.6800000000000002E-2</v>
      </c>
      <c r="Y936">
        <f t="shared" si="979"/>
        <v>59.04</v>
      </c>
      <c r="Z936" s="13">
        <f t="shared" si="974"/>
        <v>-1.0699999999999999E-2</v>
      </c>
      <c r="AA936" s="13">
        <f t="shared" si="970"/>
        <v>-9.6000000000000002E-2</v>
      </c>
      <c r="AB936" s="6">
        <f t="shared" si="980"/>
        <v>46.61</v>
      </c>
      <c r="AC936">
        <f t="shared" si="972"/>
        <v>23</v>
      </c>
      <c r="AD936" s="11">
        <f t="shared" si="973"/>
        <v>-1</v>
      </c>
      <c r="AE936">
        <f t="shared" si="971"/>
        <v>17</v>
      </c>
      <c r="AF936">
        <f>IF(AND(AE936&lt;15,OR(AC936&gt;=30,AA936&gt;0.15,X936&gt;=0.15)),2,VLOOKUP(AE936,Table!P:Q,2,FALSE))</f>
        <v>2</v>
      </c>
      <c r="AG936" s="22">
        <f>IF((AB936*0.98)-(D936*0.8)+((AF936-3)*3)+VLOOKUP(AM936,Table!$A$11:$B$13,2,FALSE)&lt;0,0,(AB936*0.98)-(D936*0.8)+((AF936-3)*3)+VLOOKUP(AM936,Table!$A$11:$B$13,2,FALSE))</f>
        <v>11.861799999999995</v>
      </c>
      <c r="AH936" s="22">
        <f t="shared" si="1002"/>
        <v>30</v>
      </c>
      <c r="AI936" s="18">
        <f t="shared" si="995"/>
        <v>5.99</v>
      </c>
      <c r="AJ936" s="18">
        <f t="shared" si="996"/>
        <v>5.73</v>
      </c>
      <c r="AK936" t="str">
        <f t="shared" si="981"/>
        <v/>
      </c>
      <c r="AL936">
        <f t="shared" si="992"/>
        <v>18</v>
      </c>
      <c r="AM936" s="11" t="str">
        <f t="shared" si="982"/>
        <v>Cash</v>
      </c>
      <c r="AN936" t="str">
        <f t="shared" si="988"/>
        <v>Buy</v>
      </c>
      <c r="AO936" s="13">
        <f t="shared" si="989"/>
        <v>-8.3999999999999995E-3</v>
      </c>
      <c r="AP936" s="13">
        <f t="shared" si="990"/>
        <v>1.1999999999999999E-3</v>
      </c>
      <c r="AQ936" s="13">
        <f t="shared" si="991"/>
        <v>-1.6999999999999999E-3</v>
      </c>
      <c r="AR936" s="13">
        <f t="shared" si="983"/>
        <v>1.1999999999999999E-3</v>
      </c>
      <c r="AS936" s="6">
        <f t="shared" si="975"/>
        <v>360.7178187718585</v>
      </c>
      <c r="AT936" s="6">
        <f t="shared" si="976"/>
        <v>148.11495292992083</v>
      </c>
      <c r="AU936" s="6">
        <f t="shared" si="977"/>
        <v>304.20678159633712</v>
      </c>
      <c r="AV936" s="6">
        <f t="shared" si="978"/>
        <v>360.7178187718585</v>
      </c>
      <c r="AW936" s="58">
        <f t="shared" si="984"/>
        <v>2000</v>
      </c>
      <c r="AX936" s="58">
        <f>COUNTIF(AW$3:AW936,AW936)</f>
        <v>15</v>
      </c>
    </row>
    <row r="937" spans="1:50" x14ac:dyDescent="0.25">
      <c r="A937" s="5">
        <v>36786</v>
      </c>
      <c r="B937">
        <v>1465.81</v>
      </c>
      <c r="C937">
        <v>5.95</v>
      </c>
      <c r="D937" s="6">
        <v>18.459999</v>
      </c>
      <c r="E937" s="18">
        <f t="shared" si="997"/>
        <v>17.510000000000002</v>
      </c>
      <c r="F937">
        <f t="shared" si="998"/>
        <v>0</v>
      </c>
      <c r="G937" s="18">
        <f>ROUND(INDEX(Valuation!U:U,MATCH(A937,Valuation!A:A,0)),2)</f>
        <v>0</v>
      </c>
      <c r="H937">
        <f t="shared" si="1005"/>
        <v>-3</v>
      </c>
      <c r="I937" s="18">
        <f>INDEX(WeeklyIndicators!Y:Y,MATCH(A937,WeeklyIndicators!A:A,0))</f>
        <v>89.12</v>
      </c>
      <c r="J937">
        <f t="shared" si="994"/>
        <v>-2</v>
      </c>
      <c r="K937">
        <f>ROUND(INDEX(Economic!AF:AF,MATCH(EOMONTH($A937,-1),Economic!A:A,0)),2)</f>
        <v>134.5</v>
      </c>
      <c r="L937" s="11">
        <f t="shared" si="1003"/>
        <v>2</v>
      </c>
      <c r="M937">
        <f>ROUND(INDEX(Manufacturing!P:P,MATCH(EOMONTH($A937,-1),Manufacturing!A:A,0)),2)</f>
        <v>89.48</v>
      </c>
      <c r="N937">
        <f t="shared" si="999"/>
        <v>0</v>
      </c>
      <c r="O937">
        <f>ROUND(INDEX(Housing!AC:AC,MATCH(EOMONTH($A937,-1),Housing!B:B,0)),2)</f>
        <v>106.38</v>
      </c>
      <c r="P937">
        <f t="shared" si="1000"/>
        <v>0</v>
      </c>
      <c r="Q937">
        <f>ROUND(INDEX(Spending!AJ:AJ,MATCH(EOMONTH($A937,-1),Spending!B:B,0)),2)</f>
        <v>59.44</v>
      </c>
      <c r="R937">
        <f t="shared" si="1004"/>
        <v>1</v>
      </c>
      <c r="S937">
        <f>ROUND(INDEX(Employment!V:V,MATCH(EOMONTH($A937,-1),Employment!A:A,0)),2)</f>
        <v>147.71</v>
      </c>
      <c r="T937" s="11">
        <f t="shared" si="1001"/>
        <v>-1</v>
      </c>
      <c r="U937">
        <f t="shared" si="993"/>
        <v>17</v>
      </c>
      <c r="V937">
        <f t="shared" si="985"/>
        <v>71.209999999999994</v>
      </c>
      <c r="W937" s="13">
        <f t="shared" si="986"/>
        <v>-2.8899999999999999E-2</v>
      </c>
      <c r="X937" s="13">
        <f t="shared" si="987"/>
        <v>-7.9700000000000007E-2</v>
      </c>
      <c r="Y937">
        <f t="shared" si="979"/>
        <v>59.43</v>
      </c>
      <c r="Z937" s="13">
        <f t="shared" si="974"/>
        <v>-3.3399999999999999E-2</v>
      </c>
      <c r="AA937" s="13">
        <f t="shared" si="970"/>
        <v>-8.3100000000000007E-2</v>
      </c>
      <c r="AB937" s="6">
        <f t="shared" si="980"/>
        <v>47.94</v>
      </c>
      <c r="AC937">
        <f t="shared" si="972"/>
        <v>24</v>
      </c>
      <c r="AD937" s="11">
        <f t="shared" si="973"/>
        <v>-1</v>
      </c>
      <c r="AE937">
        <f t="shared" si="971"/>
        <v>18</v>
      </c>
      <c r="AF937">
        <f>IF(AND(AE937&lt;15,OR(AC937&gt;=30,AA937&gt;0.15,X937&gt;=0.15)),2,VLOOKUP(AE937,Table!P:Q,2,FALSE))</f>
        <v>2</v>
      </c>
      <c r="AG937" s="22">
        <f>IF((AB937*0.98)-(D937*0.8)+((AF937-3)*3)+VLOOKUP(AM937,Table!$A$11:$B$13,2,FALSE)&lt;0,0,(AB937*0.98)-(D937*0.8)+((AF937-3)*3)+VLOOKUP(AM937,Table!$A$11:$B$13,2,FALSE))</f>
        <v>37.213200799999996</v>
      </c>
      <c r="AH937" s="22">
        <f t="shared" si="1002"/>
        <v>40</v>
      </c>
      <c r="AI937" s="18">
        <f t="shared" si="995"/>
        <v>5.96</v>
      </c>
      <c r="AJ937" s="18">
        <f t="shared" si="996"/>
        <v>5.71</v>
      </c>
      <c r="AK937" t="str">
        <f t="shared" si="981"/>
        <v/>
      </c>
      <c r="AL937">
        <f t="shared" si="992"/>
        <v>19.5</v>
      </c>
      <c r="AM937" s="11" t="str">
        <f t="shared" si="982"/>
        <v>Stocks</v>
      </c>
      <c r="AN937" t="str">
        <f t="shared" si="988"/>
        <v>Buy</v>
      </c>
      <c r="AO937" s="13">
        <f t="shared" si="989"/>
        <v>-1.17E-2</v>
      </c>
      <c r="AP937" s="13">
        <f t="shared" si="990"/>
        <v>1.1000000000000001E-3</v>
      </c>
      <c r="AQ937" s="13">
        <f t="shared" si="991"/>
        <v>-4.0000000000000001E-3</v>
      </c>
      <c r="AR937" s="13">
        <f t="shared" si="983"/>
        <v>-1.17E-2</v>
      </c>
      <c r="AS937" s="6">
        <f t="shared" si="975"/>
        <v>364.98818048351563</v>
      </c>
      <c r="AT937" s="6">
        <f t="shared" si="976"/>
        <v>147.95220550386657</v>
      </c>
      <c r="AU937" s="6">
        <f t="shared" si="977"/>
        <v>305.42849557865173</v>
      </c>
      <c r="AV937" s="6">
        <f t="shared" si="978"/>
        <v>364.98818048351563</v>
      </c>
      <c r="AW937" s="58">
        <f t="shared" si="984"/>
        <v>2000</v>
      </c>
      <c r="AX937" s="58">
        <f>COUNTIF(AW$3:AW937,AW937)</f>
        <v>16</v>
      </c>
    </row>
    <row r="938" spans="1:50" x14ac:dyDescent="0.25">
      <c r="A938" s="5">
        <v>36779</v>
      </c>
      <c r="B938">
        <v>1494.5</v>
      </c>
      <c r="C938">
        <v>6.02</v>
      </c>
      <c r="D938" s="6">
        <v>17.530000999999999</v>
      </c>
      <c r="E938" s="18">
        <f t="shared" si="997"/>
        <v>17.04</v>
      </c>
      <c r="F938">
        <f t="shared" si="998"/>
        <v>0</v>
      </c>
      <c r="G938" s="18">
        <f>ROUND(INDEX(Valuation!U:U,MATCH(A938,Valuation!A:A,0)),2)</f>
        <v>0</v>
      </c>
      <c r="H938">
        <f t="shared" si="1005"/>
        <v>-3</v>
      </c>
      <c r="I938" s="18">
        <f>INDEX(WeeklyIndicators!Y:Y,MATCH(A938,WeeklyIndicators!A:A,0))</f>
        <v>94.57</v>
      </c>
      <c r="J938">
        <f t="shared" si="994"/>
        <v>-2</v>
      </c>
      <c r="K938">
        <f>ROUND(INDEX(Economic!AF:AF,MATCH(EOMONTH($A938,-1),Economic!A:A,0)),2)</f>
        <v>134.5</v>
      </c>
      <c r="L938" s="11">
        <f t="shared" si="1003"/>
        <v>2</v>
      </c>
      <c r="M938">
        <f>ROUND(INDEX(Manufacturing!P:P,MATCH(EOMONTH($A938,-1),Manufacturing!A:A,0)),2)</f>
        <v>89.48</v>
      </c>
      <c r="N938">
        <f t="shared" si="999"/>
        <v>0</v>
      </c>
      <c r="O938">
        <f>ROUND(INDEX(Housing!AC:AC,MATCH(EOMONTH($A938,-1),Housing!B:B,0)),2)</f>
        <v>106.38</v>
      </c>
      <c r="P938">
        <f t="shared" si="1000"/>
        <v>0</v>
      </c>
      <c r="Q938">
        <f>ROUND(INDEX(Spending!AJ:AJ,MATCH(EOMONTH($A938,-1),Spending!B:B,0)),2)</f>
        <v>59.44</v>
      </c>
      <c r="R938">
        <f t="shared" si="1004"/>
        <v>1</v>
      </c>
      <c r="S938">
        <f>ROUND(INDEX(Employment!V:V,MATCH(EOMONTH($A938,-1),Employment!A:A,0)),2)</f>
        <v>147.71</v>
      </c>
      <c r="T938" s="11">
        <f t="shared" si="1001"/>
        <v>-1</v>
      </c>
      <c r="U938">
        <f t="shared" si="993"/>
        <v>17</v>
      </c>
      <c r="V938">
        <f t="shared" si="985"/>
        <v>71.77</v>
      </c>
      <c r="W938" s="13">
        <f t="shared" si="986"/>
        <v>-2.75E-2</v>
      </c>
      <c r="X938" s="13">
        <f t="shared" si="987"/>
        <v>-5.8900000000000008E-2</v>
      </c>
      <c r="Y938">
        <f t="shared" si="979"/>
        <v>60.16</v>
      </c>
      <c r="Z938" s="13">
        <f t="shared" si="974"/>
        <v>-2.86E-2</v>
      </c>
      <c r="AA938" s="13">
        <f t="shared" si="970"/>
        <v>-5.96E-2</v>
      </c>
      <c r="AB938" s="6">
        <f t="shared" si="980"/>
        <v>50.47</v>
      </c>
      <c r="AC938">
        <f t="shared" si="972"/>
        <v>25</v>
      </c>
      <c r="AD938" s="11">
        <f t="shared" si="973"/>
        <v>-1</v>
      </c>
      <c r="AE938">
        <f t="shared" si="971"/>
        <v>18</v>
      </c>
      <c r="AF938">
        <f>IF(AND(AE938&lt;15,OR(AC938&gt;=30,AA938&gt;0.15,X938&gt;=0.15)),2,VLOOKUP(AE938,Table!P:Q,2,FALSE))</f>
        <v>2</v>
      </c>
      <c r="AG938" s="22">
        <f>IF((AB938*0.98)-(D938*0.8)+((AF938-3)*3)+VLOOKUP(AM938,Table!$A$11:$B$13,2,FALSE)&lt;0,0,(AB938*0.98)-(D938*0.8)+((AF938-3)*3)+VLOOKUP(AM938,Table!$A$11:$B$13,2,FALSE))</f>
        <v>40.436599200000003</v>
      </c>
      <c r="AH938" s="22">
        <f t="shared" si="1002"/>
        <v>46</v>
      </c>
      <c r="AI938" s="18">
        <f t="shared" si="995"/>
        <v>5.94</v>
      </c>
      <c r="AJ938" s="18">
        <f t="shared" si="996"/>
        <v>5.7</v>
      </c>
      <c r="AK938" t="str">
        <f t="shared" si="981"/>
        <v>Rising Rates</v>
      </c>
      <c r="AL938">
        <f t="shared" si="992"/>
        <v>20.75</v>
      </c>
      <c r="AM938" s="11" t="str">
        <f t="shared" si="982"/>
        <v>Stocks</v>
      </c>
      <c r="AN938" t="str">
        <f t="shared" si="988"/>
        <v>Buy</v>
      </c>
      <c r="AO938" s="13">
        <f t="shared" si="989"/>
        <v>-1.9199999999999998E-2</v>
      </c>
      <c r="AP938" s="13">
        <f t="shared" si="990"/>
        <v>1.1999999999999999E-3</v>
      </c>
      <c r="AQ938" s="13">
        <f t="shared" si="991"/>
        <v>-8.2000000000000007E-3</v>
      </c>
      <c r="AR938" s="13">
        <f t="shared" si="983"/>
        <v>-1.9199999999999998E-2</v>
      </c>
      <c r="AS938" s="6">
        <f t="shared" si="975"/>
        <v>372.13313670831531</v>
      </c>
      <c r="AT938" s="6">
        <f t="shared" si="976"/>
        <v>147.77487565308286</v>
      </c>
      <c r="AU938" s="6">
        <f t="shared" si="977"/>
        <v>307.95371605026389</v>
      </c>
      <c r="AV938" s="6">
        <f t="shared" si="978"/>
        <v>372.13313670831531</v>
      </c>
      <c r="AW938" s="58">
        <f t="shared" si="984"/>
        <v>2000</v>
      </c>
      <c r="AX938" s="58">
        <f>COUNTIF(AW$3:AW938,AW938)</f>
        <v>17</v>
      </c>
    </row>
    <row r="939" spans="1:50" x14ac:dyDescent="0.25">
      <c r="A939" s="5">
        <v>36772</v>
      </c>
      <c r="B939">
        <v>1520.77</v>
      </c>
      <c r="C939">
        <v>6.13</v>
      </c>
      <c r="D939" s="6">
        <v>16.530000999999999</v>
      </c>
      <c r="E939" s="18">
        <f t="shared" si="997"/>
        <v>17.38</v>
      </c>
      <c r="F939">
        <f t="shared" si="998"/>
        <v>0</v>
      </c>
      <c r="G939" s="18">
        <f>ROUND(INDEX(Valuation!U:U,MATCH(A939,Valuation!A:A,0)),2)</f>
        <v>0</v>
      </c>
      <c r="H939">
        <f t="shared" si="1005"/>
        <v>-3</v>
      </c>
      <c r="I939" s="18">
        <f>INDEX(WeeklyIndicators!Y:Y,MATCH(A939,WeeklyIndicators!A:A,0))</f>
        <v>103.61</v>
      </c>
      <c r="J939">
        <f t="shared" si="994"/>
        <v>-1</v>
      </c>
      <c r="K939">
        <f>ROUND(INDEX(Economic!AF:AF,MATCH(EOMONTH($A939,-1),Economic!A:A,0)),2)</f>
        <v>134.5</v>
      </c>
      <c r="L939" s="11">
        <f t="shared" si="1003"/>
        <v>2</v>
      </c>
      <c r="M939">
        <f>ROUND(INDEX(Manufacturing!P:P,MATCH(EOMONTH($A939,-1),Manufacturing!A:A,0)),2)</f>
        <v>89.48</v>
      </c>
      <c r="N939">
        <f t="shared" si="999"/>
        <v>0</v>
      </c>
      <c r="O939">
        <f>ROUND(INDEX(Housing!AC:AC,MATCH(EOMONTH($A939,-1),Housing!B:B,0)),2)</f>
        <v>106.38</v>
      </c>
      <c r="P939">
        <f t="shared" si="1000"/>
        <v>0</v>
      </c>
      <c r="Q939">
        <f>ROUND(INDEX(Spending!AJ:AJ,MATCH(EOMONTH($A939,-1),Spending!B:B,0)),2)</f>
        <v>59.44</v>
      </c>
      <c r="R939">
        <f t="shared" si="1004"/>
        <v>1</v>
      </c>
      <c r="S939">
        <f>ROUND(INDEX(Employment!V:V,MATCH(EOMONTH($A939,-1),Employment!A:A,0)),2)</f>
        <v>147.71</v>
      </c>
      <c r="T939" s="11">
        <f t="shared" si="1001"/>
        <v>-1</v>
      </c>
      <c r="U939">
        <f t="shared" si="993"/>
        <v>18</v>
      </c>
      <c r="V939">
        <f t="shared" si="985"/>
        <v>72.709999999999994</v>
      </c>
      <c r="W939" s="13">
        <f t="shared" si="986"/>
        <v>-2.2700000000000001E-2</v>
      </c>
      <c r="X939" s="13">
        <f t="shared" si="987"/>
        <v>-3.6499999999999998E-2</v>
      </c>
      <c r="Y939">
        <f t="shared" si="979"/>
        <v>60.98</v>
      </c>
      <c r="Z939" s="13">
        <f t="shared" si="974"/>
        <v>-2.3300000000000001E-2</v>
      </c>
      <c r="AA939" s="13">
        <f t="shared" si="970"/>
        <v>-3.7199999999999997E-2</v>
      </c>
      <c r="AB939" s="6">
        <f t="shared" si="980"/>
        <v>53.05</v>
      </c>
      <c r="AC939">
        <f t="shared" si="972"/>
        <v>27</v>
      </c>
      <c r="AD939" s="11">
        <f t="shared" si="973"/>
        <v>-1</v>
      </c>
      <c r="AE939">
        <f t="shared" si="971"/>
        <v>19</v>
      </c>
      <c r="AF939">
        <f>IF(AND(AE939&lt;15,OR(AC939&gt;=30,AA939&gt;0.15,X939&gt;=0.15)),2,VLOOKUP(AE939,Table!P:Q,2,FALSE))</f>
        <v>2</v>
      </c>
      <c r="AG939" s="22">
        <f>IF((AB939*0.98)-(D939*0.8)+((AF939-3)*3)+VLOOKUP(AM939,Table!$A$11:$B$13,2,FALSE)&lt;0,0,(AB939*0.98)-(D939*0.8)+((AF939-3)*3)+VLOOKUP(AM939,Table!$A$11:$B$13,2,FALSE))</f>
        <v>43.764999199999998</v>
      </c>
      <c r="AH939" s="22">
        <f t="shared" si="1002"/>
        <v>49</v>
      </c>
      <c r="AI939" s="18">
        <f t="shared" si="995"/>
        <v>5.92</v>
      </c>
      <c r="AJ939" s="18">
        <f t="shared" si="996"/>
        <v>5.67</v>
      </c>
      <c r="AK939" t="str">
        <f t="shared" si="981"/>
        <v>Rising Rates</v>
      </c>
      <c r="AL939">
        <f t="shared" si="992"/>
        <v>22</v>
      </c>
      <c r="AM939" s="11" t="str">
        <f t="shared" si="982"/>
        <v>Stocks</v>
      </c>
      <c r="AN939" t="str">
        <f t="shared" si="988"/>
        <v>Buy</v>
      </c>
      <c r="AO939" s="13">
        <f t="shared" si="989"/>
        <v>-1.7299999999999999E-2</v>
      </c>
      <c r="AP939" s="13">
        <f t="shared" si="990"/>
        <v>1.1999999999999999E-3</v>
      </c>
      <c r="AQ939" s="13">
        <f t="shared" si="991"/>
        <v>-7.9000000000000008E-3</v>
      </c>
      <c r="AR939" s="13">
        <f t="shared" si="983"/>
        <v>-1.7299999999999999E-2</v>
      </c>
      <c r="AS939" s="6">
        <f t="shared" si="975"/>
        <v>378.68437642038799</v>
      </c>
      <c r="AT939" s="6">
        <f t="shared" si="976"/>
        <v>147.59775834307115</v>
      </c>
      <c r="AU939" s="6">
        <f t="shared" si="977"/>
        <v>310.40592284070544</v>
      </c>
      <c r="AV939" s="6">
        <f t="shared" si="978"/>
        <v>378.68437642038799</v>
      </c>
      <c r="AW939" s="58">
        <f t="shared" si="984"/>
        <v>2000</v>
      </c>
      <c r="AX939" s="58">
        <f>COUNTIF(AW$3:AW939,AW939)</f>
        <v>18</v>
      </c>
    </row>
    <row r="940" spans="1:50" x14ac:dyDescent="0.25">
      <c r="A940" s="5">
        <v>36765</v>
      </c>
      <c r="B940">
        <v>1506.45</v>
      </c>
      <c r="C940">
        <v>6.11</v>
      </c>
      <c r="D940" s="6">
        <v>17.049999</v>
      </c>
      <c r="E940" s="18">
        <f t="shared" si="997"/>
        <v>18.07</v>
      </c>
      <c r="F940">
        <f t="shared" si="998"/>
        <v>-1</v>
      </c>
      <c r="G940" s="18">
        <f>ROUND(INDEX(Valuation!U:U,MATCH(A940,Valuation!A:A,0)),2)</f>
        <v>0</v>
      </c>
      <c r="H940">
        <f t="shared" si="1005"/>
        <v>-3</v>
      </c>
      <c r="I940" s="18">
        <f>INDEX(WeeklyIndicators!Y:Y,MATCH(A940,WeeklyIndicators!A:A,0))</f>
        <v>111.4</v>
      </c>
      <c r="J940">
        <f t="shared" si="994"/>
        <v>-1</v>
      </c>
      <c r="K940">
        <f>ROUND(INDEX(Economic!AF:AF,MATCH(EOMONTH($A940,-1),Economic!A:A,0)),2)</f>
        <v>144.11000000000001</v>
      </c>
      <c r="L940" s="11">
        <f t="shared" si="1003"/>
        <v>3</v>
      </c>
      <c r="M940">
        <f>ROUND(INDEX(Manufacturing!P:P,MATCH(EOMONTH($A940,-1),Manufacturing!A:A,0)),2)</f>
        <v>94.67</v>
      </c>
      <c r="N940">
        <f t="shared" si="999"/>
        <v>1</v>
      </c>
      <c r="O940">
        <f>ROUND(INDEX(Housing!AC:AC,MATCH(EOMONTH($A940,-1),Housing!B:B,0)),2)</f>
        <v>109.92</v>
      </c>
      <c r="P940">
        <f t="shared" si="1000"/>
        <v>0</v>
      </c>
      <c r="Q940">
        <f>ROUND(INDEX(Spending!AJ:AJ,MATCH(EOMONTH($A940,-1),Spending!B:B,0)),2)</f>
        <v>67.5</v>
      </c>
      <c r="R940">
        <f t="shared" si="1004"/>
        <v>2</v>
      </c>
      <c r="S940">
        <f>ROUND(INDEX(Employment!V:V,MATCH(EOMONTH($A940,-1),Employment!A:A,0)),2)</f>
        <v>160.66999999999999</v>
      </c>
      <c r="T940" s="11">
        <f t="shared" si="1001"/>
        <v>1</v>
      </c>
      <c r="U940">
        <f t="shared" si="993"/>
        <v>22</v>
      </c>
      <c r="V940">
        <f t="shared" si="985"/>
        <v>77.62</v>
      </c>
      <c r="W940" s="13">
        <f t="shared" si="986"/>
        <v>-5.9999999999999995E-4</v>
      </c>
      <c r="X940" s="13">
        <f t="shared" si="987"/>
        <v>-1.8700000000000001E-2</v>
      </c>
      <c r="Y940">
        <f t="shared" si="979"/>
        <v>65.66</v>
      </c>
      <c r="Z940" s="13">
        <f t="shared" si="974"/>
        <v>2.2000000000000001E-3</v>
      </c>
      <c r="AA940" s="13">
        <f t="shared" si="970"/>
        <v>-1.8499999999999999E-2</v>
      </c>
      <c r="AB940" s="6">
        <f t="shared" si="980"/>
        <v>59.319999999999993</v>
      </c>
      <c r="AC940">
        <f t="shared" si="972"/>
        <v>30</v>
      </c>
      <c r="AD940" s="11">
        <f t="shared" si="973"/>
        <v>-1</v>
      </c>
      <c r="AE940">
        <f t="shared" si="971"/>
        <v>23</v>
      </c>
      <c r="AF940">
        <f>IF(AND(AE940&lt;15,OR(AC940&gt;=30,AA940&gt;0.15,X940&gt;=0.15)),2,VLOOKUP(AE940,Table!P:Q,2,FALSE))</f>
        <v>3</v>
      </c>
      <c r="AG940" s="22">
        <f>IF((AB940*0.98)-(D940*0.8)+((AF940-3)*3)+VLOOKUP(AM940,Table!$A$11:$B$13,2,FALSE)&lt;0,0,(AB940*0.98)-(D940*0.8)+((AF940-3)*3)+VLOOKUP(AM940,Table!$A$11:$B$13,2,FALSE))</f>
        <v>52.493600799999996</v>
      </c>
      <c r="AH940" s="22">
        <f t="shared" si="1002"/>
        <v>52</v>
      </c>
      <c r="AI940" s="18">
        <f t="shared" si="995"/>
        <v>5.88</v>
      </c>
      <c r="AJ940" s="18">
        <f t="shared" si="996"/>
        <v>5.65</v>
      </c>
      <c r="AK940" t="str">
        <f t="shared" si="981"/>
        <v>Rising Rates</v>
      </c>
      <c r="AL940">
        <f t="shared" si="992"/>
        <v>23</v>
      </c>
      <c r="AM940" s="11" t="str">
        <f t="shared" si="982"/>
        <v>Stocks</v>
      </c>
      <c r="AN940" t="str">
        <f t="shared" si="988"/>
        <v>Buy</v>
      </c>
      <c r="AO940" s="13">
        <f t="shared" si="989"/>
        <v>9.4999999999999998E-3</v>
      </c>
      <c r="AP940" s="13">
        <f t="shared" si="990"/>
        <v>1.1999999999999999E-3</v>
      </c>
      <c r="AQ940" s="13">
        <f t="shared" si="991"/>
        <v>5.4999999999999997E-3</v>
      </c>
      <c r="AR940" s="13">
        <f t="shared" si="983"/>
        <v>9.4999999999999998E-3</v>
      </c>
      <c r="AS940" s="6">
        <f t="shared" si="975"/>
        <v>375.12072949023076</v>
      </c>
      <c r="AT940" s="6">
        <f t="shared" si="976"/>
        <v>147.42085331908822</v>
      </c>
      <c r="AU940" s="6">
        <f t="shared" si="977"/>
        <v>308.70802868294919</v>
      </c>
      <c r="AV940" s="6">
        <f t="shared" si="978"/>
        <v>375.12072949023076</v>
      </c>
      <c r="AW940" s="58">
        <f t="shared" si="984"/>
        <v>2000</v>
      </c>
      <c r="AX940" s="58">
        <f>COUNTIF(AW$3:AW940,AW940)</f>
        <v>19</v>
      </c>
    </row>
    <row r="941" spans="1:50" x14ac:dyDescent="0.25">
      <c r="A941" s="5">
        <v>36758</v>
      </c>
      <c r="B941">
        <v>1491.72</v>
      </c>
      <c r="C941">
        <v>6.09</v>
      </c>
      <c r="D941" s="6">
        <v>18.549999</v>
      </c>
      <c r="E941" s="18">
        <f t="shared" si="997"/>
        <v>19.34</v>
      </c>
      <c r="F941">
        <f t="shared" si="998"/>
        <v>-1</v>
      </c>
      <c r="G941" s="18">
        <f>ROUND(INDEX(Valuation!U:U,MATCH(A941,Valuation!A:A,0)),2)</f>
        <v>0</v>
      </c>
      <c r="H941">
        <f t="shared" si="1005"/>
        <v>-3</v>
      </c>
      <c r="I941" s="18">
        <f>INDEX(WeeklyIndicators!Y:Y,MATCH(A941,WeeklyIndicators!A:A,0))</f>
        <v>115.63</v>
      </c>
      <c r="J941">
        <f t="shared" si="994"/>
        <v>-1</v>
      </c>
      <c r="K941">
        <f>ROUND(INDEX(Economic!AF:AF,MATCH(EOMONTH($A941,-1),Economic!A:A,0)),2)</f>
        <v>144.11000000000001</v>
      </c>
      <c r="L941" s="11">
        <f t="shared" si="1003"/>
        <v>3</v>
      </c>
      <c r="M941">
        <f>ROUND(INDEX(Manufacturing!P:P,MATCH(EOMONTH($A941,-1),Manufacturing!A:A,0)),2)</f>
        <v>94.67</v>
      </c>
      <c r="N941">
        <f t="shared" si="999"/>
        <v>1</v>
      </c>
      <c r="O941">
        <f>ROUND(INDEX(Housing!AC:AC,MATCH(EOMONTH($A941,-1),Housing!B:B,0)),2)</f>
        <v>109.92</v>
      </c>
      <c r="P941">
        <f t="shared" si="1000"/>
        <v>0</v>
      </c>
      <c r="Q941">
        <f>ROUND(INDEX(Spending!AJ:AJ,MATCH(EOMONTH($A941,-1),Spending!B:B,0)),2)</f>
        <v>67.5</v>
      </c>
      <c r="R941">
        <f t="shared" si="1004"/>
        <v>2</v>
      </c>
      <c r="S941">
        <f>ROUND(INDEX(Employment!V:V,MATCH(EOMONTH($A941,-1),Employment!A:A,0)),2)</f>
        <v>160.66999999999999</v>
      </c>
      <c r="T941" s="11">
        <f t="shared" si="1001"/>
        <v>1</v>
      </c>
      <c r="U941">
        <f t="shared" si="993"/>
        <v>22</v>
      </c>
      <c r="V941">
        <f t="shared" si="985"/>
        <v>78.06</v>
      </c>
      <c r="W941" s="13">
        <f t="shared" si="986"/>
        <v>-8.0999999999999996E-3</v>
      </c>
      <c r="X941" s="13">
        <f t="shared" si="987"/>
        <v>-1.5699999999999999E-2</v>
      </c>
      <c r="Y941">
        <f t="shared" si="979"/>
        <v>65.650000000000006</v>
      </c>
      <c r="Z941" s="13">
        <f t="shared" si="974"/>
        <v>-9.9000000000000008E-3</v>
      </c>
      <c r="AA941" s="13">
        <f t="shared" si="970"/>
        <v>-1.49E-2</v>
      </c>
      <c r="AB941" s="6">
        <f t="shared" si="980"/>
        <v>59.599999999999994</v>
      </c>
      <c r="AC941">
        <f t="shared" si="972"/>
        <v>30</v>
      </c>
      <c r="AD941" s="11">
        <f t="shared" si="973"/>
        <v>-1</v>
      </c>
      <c r="AE941">
        <f t="shared" si="971"/>
        <v>23</v>
      </c>
      <c r="AF941">
        <f>IF(AND(AE941&lt;15,OR(AC941&gt;=30,AA941&gt;0.15,X941&gt;=0.15)),2,VLOOKUP(AE941,Table!P:Q,2,FALSE))</f>
        <v>3</v>
      </c>
      <c r="AG941" s="22">
        <f>IF((AB941*0.98)-(D941*0.8)+((AF941-3)*3)+VLOOKUP(AM941,Table!$A$11:$B$13,2,FALSE)&lt;0,0,(AB941*0.98)-(D941*0.8)+((AF941-3)*3)+VLOOKUP(AM941,Table!$A$11:$B$13,2,FALSE))</f>
        <v>51.568000799999993</v>
      </c>
      <c r="AH941" s="22">
        <f t="shared" si="1002"/>
        <v>51</v>
      </c>
      <c r="AI941" s="18">
        <f t="shared" si="995"/>
        <v>5.85</v>
      </c>
      <c r="AJ941" s="18">
        <f t="shared" si="996"/>
        <v>5.62</v>
      </c>
      <c r="AK941" t="str">
        <f t="shared" si="981"/>
        <v>Rising Rates</v>
      </c>
      <c r="AL941">
        <f t="shared" si="992"/>
        <v>23</v>
      </c>
      <c r="AM941" s="11" t="str">
        <f t="shared" si="982"/>
        <v>Stocks</v>
      </c>
      <c r="AN941" t="str">
        <f t="shared" si="988"/>
        <v>Buy</v>
      </c>
      <c r="AO941" s="13">
        <f t="shared" si="989"/>
        <v>9.9000000000000008E-3</v>
      </c>
      <c r="AP941" s="13">
        <f t="shared" si="990"/>
        <v>1.1999999999999999E-3</v>
      </c>
      <c r="AQ941" s="13">
        <f t="shared" si="991"/>
        <v>5.5999999999999999E-3</v>
      </c>
      <c r="AR941" s="13">
        <f t="shared" si="983"/>
        <v>9.9000000000000008E-3</v>
      </c>
      <c r="AS941" s="6">
        <f t="shared" si="975"/>
        <v>371.44343943977697</v>
      </c>
      <c r="AT941" s="6">
        <f t="shared" si="976"/>
        <v>147.24416032669617</v>
      </c>
      <c r="AU941" s="6">
        <f t="shared" si="977"/>
        <v>306.98889089394311</v>
      </c>
      <c r="AV941" s="6">
        <f t="shared" si="978"/>
        <v>371.44343943977697</v>
      </c>
      <c r="AW941" s="58">
        <f t="shared" si="984"/>
        <v>2000</v>
      </c>
      <c r="AX941" s="58">
        <f>COUNTIF(AW$3:AW941,AW941)</f>
        <v>20</v>
      </c>
    </row>
    <row r="942" spans="1:50" x14ac:dyDescent="0.25">
      <c r="A942" s="5">
        <v>36751</v>
      </c>
      <c r="B942">
        <v>1471.84</v>
      </c>
      <c r="C942">
        <v>6.08</v>
      </c>
      <c r="D942" s="6">
        <v>18.620000999999998</v>
      </c>
      <c r="E942" s="18">
        <f t="shared" si="997"/>
        <v>19.47</v>
      </c>
      <c r="F942">
        <f t="shared" si="998"/>
        <v>-1</v>
      </c>
      <c r="G942" s="18">
        <f>ROUND(INDEX(Valuation!U:U,MATCH(A942,Valuation!A:A,0)),2)</f>
        <v>0</v>
      </c>
      <c r="H942">
        <f t="shared" si="1005"/>
        <v>-3</v>
      </c>
      <c r="I942" s="18">
        <f>INDEX(WeeklyIndicators!Y:Y,MATCH(A942,WeeklyIndicators!A:A,0))</f>
        <v>115.18</v>
      </c>
      <c r="J942">
        <f t="shared" si="994"/>
        <v>-1</v>
      </c>
      <c r="K942">
        <f>ROUND(INDEX(Economic!AF:AF,MATCH(EOMONTH($A942,-1),Economic!A:A,0)),2)</f>
        <v>144.11000000000001</v>
      </c>
      <c r="L942" s="11">
        <f t="shared" si="1003"/>
        <v>3</v>
      </c>
      <c r="M942">
        <f>ROUND(INDEX(Manufacturing!P:P,MATCH(EOMONTH($A942,-1),Manufacturing!A:A,0)),2)</f>
        <v>94.67</v>
      </c>
      <c r="N942">
        <f t="shared" si="999"/>
        <v>1</v>
      </c>
      <c r="O942">
        <f>ROUND(INDEX(Housing!AC:AC,MATCH(EOMONTH($A942,-1),Housing!B:B,0)),2)</f>
        <v>109.92</v>
      </c>
      <c r="P942">
        <f t="shared" si="1000"/>
        <v>0</v>
      </c>
      <c r="Q942">
        <f>ROUND(INDEX(Spending!AJ:AJ,MATCH(EOMONTH($A942,-1),Spending!B:B,0)),2)</f>
        <v>67.5</v>
      </c>
      <c r="R942">
        <f t="shared" si="1004"/>
        <v>2</v>
      </c>
      <c r="S942">
        <f>ROUND(INDEX(Employment!V:V,MATCH(EOMONTH($A942,-1),Employment!A:A,0)),2)</f>
        <v>160.66999999999999</v>
      </c>
      <c r="T942" s="11">
        <f t="shared" si="1001"/>
        <v>1</v>
      </c>
      <c r="U942">
        <f t="shared" si="993"/>
        <v>22</v>
      </c>
      <c r="V942">
        <f t="shared" si="985"/>
        <v>78.02</v>
      </c>
      <c r="W942" s="13">
        <f t="shared" si="986"/>
        <v>-5.1000000000000004E-3</v>
      </c>
      <c r="X942" s="13">
        <f t="shared" si="987"/>
        <v>-1.14E-2</v>
      </c>
      <c r="Y942">
        <f t="shared" si="979"/>
        <v>65.56</v>
      </c>
      <c r="Z942" s="13">
        <f t="shared" si="974"/>
        <v>-6.1999999999999998E-3</v>
      </c>
      <c r="AA942" s="13">
        <f t="shared" si="970"/>
        <v>-5.6000000000000008E-3</v>
      </c>
      <c r="AB942" s="6">
        <f t="shared" si="980"/>
        <v>60.17</v>
      </c>
      <c r="AC942">
        <f t="shared" si="972"/>
        <v>30</v>
      </c>
      <c r="AD942" s="11">
        <f t="shared" si="973"/>
        <v>-1</v>
      </c>
      <c r="AE942">
        <f t="shared" si="971"/>
        <v>23</v>
      </c>
      <c r="AF942">
        <f>IF(AND(AE942&lt;15,OR(AC942&gt;=30,AA942&gt;0.15,X942&gt;=0.15)),2,VLOOKUP(AE942,Table!P:Q,2,FALSE))</f>
        <v>3</v>
      </c>
      <c r="AG942" s="22">
        <f>IF((AB942*0.98)-(D942*0.8)+((AF942-3)*3)+VLOOKUP(AM942,Table!$A$11:$B$13,2,FALSE)&lt;0,0,(AB942*0.98)-(D942*0.8)+((AF942-3)*3)+VLOOKUP(AM942,Table!$A$11:$B$13,2,FALSE))</f>
        <v>52.070599200000004</v>
      </c>
      <c r="AH942" s="22">
        <f t="shared" si="1002"/>
        <v>51</v>
      </c>
      <c r="AI942" s="18">
        <f t="shared" si="995"/>
        <v>5.83</v>
      </c>
      <c r="AJ942" s="18">
        <f t="shared" si="996"/>
        <v>5.6</v>
      </c>
      <c r="AK942" t="str">
        <f t="shared" si="981"/>
        <v>Rising Rates</v>
      </c>
      <c r="AL942">
        <f t="shared" si="992"/>
        <v>23</v>
      </c>
      <c r="AM942" s="11" t="str">
        <f t="shared" si="982"/>
        <v>Stocks</v>
      </c>
      <c r="AN942" t="str">
        <f t="shared" si="988"/>
        <v>Buy</v>
      </c>
      <c r="AO942" s="13">
        <f t="shared" si="989"/>
        <v>1.35E-2</v>
      </c>
      <c r="AP942" s="13">
        <f t="shared" si="990"/>
        <v>1.1999999999999999E-3</v>
      </c>
      <c r="AQ942" s="13">
        <f t="shared" si="991"/>
        <v>7.4999999999999997E-3</v>
      </c>
      <c r="AR942" s="13">
        <f t="shared" si="983"/>
        <v>1.35E-2</v>
      </c>
      <c r="AS942" s="6">
        <f t="shared" si="975"/>
        <v>366.49574685720467</v>
      </c>
      <c r="AT942" s="6">
        <f t="shared" si="976"/>
        <v>147.06767911176206</v>
      </c>
      <c r="AU942" s="6">
        <f t="shared" si="977"/>
        <v>304.70361379051423</v>
      </c>
      <c r="AV942" s="6">
        <f t="shared" si="978"/>
        <v>366.49574685720467</v>
      </c>
      <c r="AW942" s="58">
        <f t="shared" si="984"/>
        <v>2000</v>
      </c>
      <c r="AX942" s="58">
        <f>COUNTIF(AW$3:AW942,AW942)</f>
        <v>21</v>
      </c>
    </row>
    <row r="943" spans="1:50" x14ac:dyDescent="0.25">
      <c r="A943" s="5">
        <v>36744</v>
      </c>
      <c r="B943">
        <v>1462.93</v>
      </c>
      <c r="C943">
        <v>6.05</v>
      </c>
      <c r="D943" s="6">
        <v>20.84</v>
      </c>
      <c r="E943" s="18">
        <f t="shared" si="997"/>
        <v>19.7</v>
      </c>
      <c r="F943">
        <f t="shared" si="998"/>
        <v>-1</v>
      </c>
      <c r="G943" s="18">
        <f>ROUND(INDEX(Valuation!U:U,MATCH(A943,Valuation!A:A,0)),2)</f>
        <v>0</v>
      </c>
      <c r="H943">
        <f t="shared" si="1005"/>
        <v>-3</v>
      </c>
      <c r="I943" s="18">
        <f>INDEX(WeeklyIndicators!Y:Y,MATCH(A943,WeeklyIndicators!A:A,0))</f>
        <v>112.64</v>
      </c>
      <c r="J943">
        <f t="shared" si="994"/>
        <v>-1</v>
      </c>
      <c r="K943">
        <f>ROUND(INDEX(Economic!AF:AF,MATCH(EOMONTH($A943,-1),Economic!A:A,0)),2)</f>
        <v>144.11000000000001</v>
      </c>
      <c r="L943" s="11">
        <f t="shared" si="1003"/>
        <v>3</v>
      </c>
      <c r="M943">
        <f>ROUND(INDEX(Manufacturing!P:P,MATCH(EOMONTH($A943,-1),Manufacturing!A:A,0)),2)</f>
        <v>94.67</v>
      </c>
      <c r="N943">
        <f t="shared" si="999"/>
        <v>1</v>
      </c>
      <c r="O943">
        <f>ROUND(INDEX(Housing!AC:AC,MATCH(EOMONTH($A943,-1),Housing!B:B,0)),2)</f>
        <v>109.92</v>
      </c>
      <c r="P943">
        <f t="shared" si="1000"/>
        <v>0</v>
      </c>
      <c r="Q943">
        <f>ROUND(INDEX(Spending!AJ:AJ,MATCH(EOMONTH($A943,-1),Spending!B:B,0)),2)</f>
        <v>67.5</v>
      </c>
      <c r="R943">
        <f t="shared" si="1004"/>
        <v>2</v>
      </c>
      <c r="S943">
        <f>ROUND(INDEX(Employment!V:V,MATCH(EOMONTH($A943,-1),Employment!A:A,0)),2)</f>
        <v>160.66999999999999</v>
      </c>
      <c r="T943" s="11">
        <f t="shared" si="1001"/>
        <v>1</v>
      </c>
      <c r="U943">
        <f t="shared" si="993"/>
        <v>22</v>
      </c>
      <c r="V943">
        <f t="shared" si="985"/>
        <v>77.75</v>
      </c>
      <c r="W943" s="13">
        <f t="shared" si="986"/>
        <v>-4.8999999999999998E-3</v>
      </c>
      <c r="X943" s="13">
        <f t="shared" si="987"/>
        <v>-2.2100000000000002E-2</v>
      </c>
      <c r="Y943">
        <f t="shared" si="979"/>
        <v>65.22</v>
      </c>
      <c r="Z943" s="13">
        <f t="shared" si="974"/>
        <v>-4.5999999999999999E-3</v>
      </c>
      <c r="AA943" s="13">
        <f t="shared" si="970"/>
        <v>-1.6500000000000001E-2</v>
      </c>
      <c r="AB943" s="6">
        <f t="shared" si="980"/>
        <v>58.989999999999995</v>
      </c>
      <c r="AC943">
        <f t="shared" si="972"/>
        <v>29</v>
      </c>
      <c r="AD943" s="11">
        <f t="shared" si="973"/>
        <v>-1</v>
      </c>
      <c r="AE943">
        <f t="shared" si="971"/>
        <v>23</v>
      </c>
      <c r="AF943">
        <f>IF(AND(AE943&lt;15,OR(AC943&gt;=30,AA943&gt;0.15,X943&gt;=0.15)),2,VLOOKUP(AE943,Table!P:Q,2,FALSE))</f>
        <v>3</v>
      </c>
      <c r="AG943" s="22">
        <f>IF((AB943*0.98)-(D943*0.8)+((AF943-3)*3)+VLOOKUP(AM943,Table!$A$11:$B$13,2,FALSE)&lt;0,0,(AB943*0.98)-(D943*0.8)+((AF943-3)*3)+VLOOKUP(AM943,Table!$A$11:$B$13,2,FALSE))</f>
        <v>49.138199999999998</v>
      </c>
      <c r="AH943" s="22">
        <f t="shared" si="1002"/>
        <v>51</v>
      </c>
      <c r="AI943" s="18">
        <f t="shared" si="995"/>
        <v>5.82</v>
      </c>
      <c r="AJ943" s="18">
        <f t="shared" si="996"/>
        <v>5.57</v>
      </c>
      <c r="AK943" t="str">
        <f t="shared" si="981"/>
        <v>Rising Rates</v>
      </c>
      <c r="AL943">
        <f t="shared" si="992"/>
        <v>23</v>
      </c>
      <c r="AM943" s="11" t="str">
        <f t="shared" si="982"/>
        <v>Stocks</v>
      </c>
      <c r="AN943" t="str">
        <f t="shared" si="988"/>
        <v>Buy</v>
      </c>
      <c r="AO943" s="13">
        <f t="shared" si="989"/>
        <v>6.1000000000000004E-3</v>
      </c>
      <c r="AP943" s="13">
        <f t="shared" si="990"/>
        <v>1.1999999999999999E-3</v>
      </c>
      <c r="AQ943" s="13">
        <f t="shared" si="991"/>
        <v>3.7000000000000002E-3</v>
      </c>
      <c r="AR943" s="13">
        <f t="shared" si="983"/>
        <v>6.1000000000000004E-3</v>
      </c>
      <c r="AS943" s="6">
        <f t="shared" si="975"/>
        <v>364.27367742491271</v>
      </c>
      <c r="AT943" s="6">
        <f t="shared" si="976"/>
        <v>146.89140942045751</v>
      </c>
      <c r="AU943" s="6">
        <f t="shared" si="977"/>
        <v>303.58036643470581</v>
      </c>
      <c r="AV943" s="6">
        <f t="shared" si="978"/>
        <v>364.27367742491271</v>
      </c>
      <c r="AW943" s="58">
        <f t="shared" si="984"/>
        <v>2000</v>
      </c>
      <c r="AX943" s="58">
        <f>COUNTIF(AW$3:AW943,AW943)</f>
        <v>22</v>
      </c>
    </row>
    <row r="944" spans="1:50" x14ac:dyDescent="0.25">
      <c r="A944" s="5">
        <v>36737</v>
      </c>
      <c r="B944">
        <v>1419.89</v>
      </c>
      <c r="C944">
        <v>6.01</v>
      </c>
      <c r="D944" s="6">
        <v>18.940000999999999</v>
      </c>
      <c r="E944" s="18">
        <f t="shared" si="997"/>
        <v>19.16</v>
      </c>
      <c r="F944">
        <f t="shared" si="998"/>
        <v>-1</v>
      </c>
      <c r="G944" s="18">
        <f>ROUND(INDEX(Valuation!U:U,MATCH(A944,Valuation!A:A,0)),2)</f>
        <v>0</v>
      </c>
      <c r="H944">
        <f t="shared" si="1005"/>
        <v>-3</v>
      </c>
      <c r="I944" s="18">
        <f>INDEX(WeeklyIndicators!Y:Y,MATCH(A944,WeeklyIndicators!A:A,0))</f>
        <v>106.55</v>
      </c>
      <c r="J944">
        <f t="shared" si="994"/>
        <v>-1</v>
      </c>
      <c r="K944">
        <f>ROUND(INDEX(Economic!AF:AF,MATCH(EOMONTH($A944,-1),Economic!A:A,0)),2)</f>
        <v>149.38999999999999</v>
      </c>
      <c r="L944" s="11">
        <f t="shared" si="1003"/>
        <v>3</v>
      </c>
      <c r="M944">
        <f>ROUND(INDEX(Manufacturing!P:P,MATCH(EOMONTH($A944,-1),Manufacturing!A:A,0)),2)</f>
        <v>96.43</v>
      </c>
      <c r="N944">
        <f t="shared" si="999"/>
        <v>1</v>
      </c>
      <c r="O944">
        <f>ROUND(INDEX(Housing!AC:AC,MATCH(EOMONTH($A944,-1),Housing!B:B,0)),2)</f>
        <v>113.65</v>
      </c>
      <c r="P944">
        <f t="shared" si="1000"/>
        <v>0</v>
      </c>
      <c r="Q944">
        <f>ROUND(INDEX(Spending!AJ:AJ,MATCH(EOMONTH($A944,-1),Spending!B:B,0)),2)</f>
        <v>75.27</v>
      </c>
      <c r="R944">
        <f t="shared" si="1004"/>
        <v>2</v>
      </c>
      <c r="S944">
        <f>ROUND(INDEX(Employment!V:V,MATCH(EOMONTH($A944,-1),Employment!A:A,0)),2)</f>
        <v>171.84</v>
      </c>
      <c r="T944" s="11">
        <f t="shared" si="1001"/>
        <v>1</v>
      </c>
      <c r="U944">
        <f t="shared" si="993"/>
        <v>22</v>
      </c>
      <c r="V944">
        <f t="shared" si="985"/>
        <v>79.97</v>
      </c>
      <c r="W944" s="13">
        <f t="shared" si="986"/>
        <v>2.3999999999999998E-3</v>
      </c>
      <c r="X944" s="13">
        <f t="shared" si="987"/>
        <v>-2.8299999999999999E-2</v>
      </c>
      <c r="Y944">
        <f t="shared" si="979"/>
        <v>67.62</v>
      </c>
      <c r="Z944" s="13">
        <f t="shared" si="974"/>
        <v>5.7999999999999996E-3</v>
      </c>
      <c r="AA944" s="13">
        <f t="shared" si="970"/>
        <v>-2.1900000000000003E-2</v>
      </c>
      <c r="AB944" s="6">
        <f t="shared" si="980"/>
        <v>61.040000000000006</v>
      </c>
      <c r="AC944">
        <f t="shared" si="972"/>
        <v>31</v>
      </c>
      <c r="AD944" s="11">
        <f t="shared" si="973"/>
        <v>-1</v>
      </c>
      <c r="AE944">
        <f t="shared" si="971"/>
        <v>23</v>
      </c>
      <c r="AF944">
        <f>IF(AND(AE944&lt;15,OR(AC944&gt;=30,AA944&gt;0.15,X944&gt;=0.15)),2,VLOOKUP(AE944,Table!P:Q,2,FALSE))</f>
        <v>3</v>
      </c>
      <c r="AG944" s="22">
        <f>IF((AB944*0.98)-(D944*0.8)+((AF944-3)*3)+VLOOKUP(AM944,Table!$A$11:$B$13,2,FALSE)&lt;0,0,(AB944*0.98)-(D944*0.8)+((AF944-3)*3)+VLOOKUP(AM944,Table!$A$11:$B$13,2,FALSE))</f>
        <v>52.667199199999999</v>
      </c>
      <c r="AH944" s="22">
        <f t="shared" si="1002"/>
        <v>52</v>
      </c>
      <c r="AI944" s="18">
        <f t="shared" si="995"/>
        <v>5.8</v>
      </c>
      <c r="AJ944" s="18">
        <f t="shared" si="996"/>
        <v>5.54</v>
      </c>
      <c r="AK944" t="str">
        <f t="shared" si="981"/>
        <v>Rising Rates</v>
      </c>
      <c r="AL944">
        <f t="shared" si="992"/>
        <v>23</v>
      </c>
      <c r="AM944" s="11" t="str">
        <f t="shared" si="982"/>
        <v>Stocks</v>
      </c>
      <c r="AN944" t="str">
        <f t="shared" si="988"/>
        <v>Buy</v>
      </c>
      <c r="AO944" s="13">
        <f t="shared" si="989"/>
        <v>3.0300000000000001E-2</v>
      </c>
      <c r="AP944" s="13">
        <f t="shared" si="990"/>
        <v>1.1999999999999999E-3</v>
      </c>
      <c r="AQ944" s="13">
        <f t="shared" si="991"/>
        <v>1.6299999999999999E-2</v>
      </c>
      <c r="AR944" s="13">
        <f t="shared" si="983"/>
        <v>3.0300000000000001E-2</v>
      </c>
      <c r="AS944" s="6">
        <f t="shared" si="975"/>
        <v>353.56078562060827</v>
      </c>
      <c r="AT944" s="6">
        <f t="shared" si="976"/>
        <v>146.71535099925839</v>
      </c>
      <c r="AU944" s="6">
        <f t="shared" si="977"/>
        <v>298.71137108600396</v>
      </c>
      <c r="AV944" s="6">
        <f t="shared" si="978"/>
        <v>353.56078562060827</v>
      </c>
      <c r="AW944" s="58">
        <f t="shared" si="984"/>
        <v>2000</v>
      </c>
      <c r="AX944" s="58">
        <f>COUNTIF(AW$3:AW944,AW944)</f>
        <v>23</v>
      </c>
    </row>
    <row r="945" spans="1:50" x14ac:dyDescent="0.25">
      <c r="A945" s="5">
        <v>36730</v>
      </c>
      <c r="B945">
        <v>1480.19</v>
      </c>
      <c r="C945">
        <v>5.98</v>
      </c>
      <c r="D945" s="6">
        <v>19.32</v>
      </c>
      <c r="E945" s="18">
        <f t="shared" si="997"/>
        <v>19.36</v>
      </c>
      <c r="F945">
        <f t="shared" si="998"/>
        <v>-1</v>
      </c>
      <c r="G945" s="18">
        <f>ROUND(INDEX(Valuation!U:U,MATCH(A945,Valuation!A:A,0)),2)</f>
        <v>0</v>
      </c>
      <c r="H945">
        <f t="shared" si="1005"/>
        <v>-3</v>
      </c>
      <c r="I945" s="18">
        <f>INDEX(WeeklyIndicators!Y:Y,MATCH(A945,WeeklyIndicators!A:A,0))</f>
        <v>99.31</v>
      </c>
      <c r="J945">
        <f t="shared" si="994"/>
        <v>-1</v>
      </c>
      <c r="K945">
        <f>ROUND(INDEX(Economic!AF:AF,MATCH(EOMONTH($A945,-1),Economic!A:A,0)),2)</f>
        <v>149.38999999999999</v>
      </c>
      <c r="L945" s="11">
        <f t="shared" si="1003"/>
        <v>3</v>
      </c>
      <c r="M945">
        <f>ROUND(INDEX(Manufacturing!P:P,MATCH(EOMONTH($A945,-1),Manufacturing!A:A,0)),2)</f>
        <v>96.43</v>
      </c>
      <c r="N945">
        <f t="shared" si="999"/>
        <v>1</v>
      </c>
      <c r="O945">
        <f>ROUND(INDEX(Housing!AC:AC,MATCH(EOMONTH($A945,-1),Housing!B:B,0)),2)</f>
        <v>113.65</v>
      </c>
      <c r="P945">
        <f t="shared" si="1000"/>
        <v>0</v>
      </c>
      <c r="Q945">
        <f>ROUND(INDEX(Spending!AJ:AJ,MATCH(EOMONTH($A945,-1),Spending!B:B,0)),2)</f>
        <v>75.27</v>
      </c>
      <c r="R945">
        <f t="shared" si="1004"/>
        <v>2</v>
      </c>
      <c r="S945">
        <f>ROUND(INDEX(Employment!V:V,MATCH(EOMONTH($A945,-1),Employment!A:A,0)),2)</f>
        <v>171.84</v>
      </c>
      <c r="T945" s="11">
        <f t="shared" si="1001"/>
        <v>1</v>
      </c>
      <c r="U945">
        <f t="shared" si="993"/>
        <v>22</v>
      </c>
      <c r="V945">
        <f t="shared" si="985"/>
        <v>79.22</v>
      </c>
      <c r="W945" s="13">
        <f t="shared" si="986"/>
        <v>-3.8E-3</v>
      </c>
      <c r="X945" s="13">
        <f t="shared" si="987"/>
        <v>-3.5100000000000006E-2</v>
      </c>
      <c r="Y945">
        <f t="shared" si="979"/>
        <v>66.8</v>
      </c>
      <c r="Z945" s="13">
        <f t="shared" si="974"/>
        <v>-5.9999999999999995E-4</v>
      </c>
      <c r="AA945" s="13">
        <f t="shared" si="970"/>
        <v>-2.9400000000000003E-2</v>
      </c>
      <c r="AB945" s="6">
        <f t="shared" si="980"/>
        <v>59.620000000000005</v>
      </c>
      <c r="AC945">
        <f t="shared" si="972"/>
        <v>30</v>
      </c>
      <c r="AD945" s="11">
        <f t="shared" si="973"/>
        <v>-1</v>
      </c>
      <c r="AE945">
        <f t="shared" si="971"/>
        <v>23</v>
      </c>
      <c r="AF945">
        <f>IF(AND(AE945&lt;15,OR(AC945&gt;=30,AA945&gt;0.15,X945&gt;=0.15)),2,VLOOKUP(AE945,Table!P:Q,2,FALSE))</f>
        <v>3</v>
      </c>
      <c r="AG945" s="22">
        <f>IF((AB945*0.98)-(D945*0.8)+((AF945-3)*3)+VLOOKUP(AM945,Table!$A$11:$B$13,2,FALSE)&lt;0,0,(AB945*0.98)-(D945*0.8)+((AF945-3)*3)+VLOOKUP(AM945,Table!$A$11:$B$13,2,FALSE))</f>
        <v>50.971600000000002</v>
      </c>
      <c r="AH945" s="22">
        <f t="shared" si="1002"/>
        <v>52</v>
      </c>
      <c r="AI945" s="18">
        <f t="shared" si="995"/>
        <v>5.77</v>
      </c>
      <c r="AJ945" s="18">
        <f t="shared" si="996"/>
        <v>5.52</v>
      </c>
      <c r="AK945" t="str">
        <f t="shared" si="981"/>
        <v>Rising Rates</v>
      </c>
      <c r="AL945">
        <f t="shared" si="992"/>
        <v>23.25</v>
      </c>
      <c r="AM945" s="11" t="str">
        <f t="shared" si="982"/>
        <v>Stocks</v>
      </c>
      <c r="AN945" t="str">
        <f t="shared" si="988"/>
        <v>Buy</v>
      </c>
      <c r="AO945" s="13">
        <f t="shared" si="989"/>
        <v>-4.07E-2</v>
      </c>
      <c r="AP945" s="13">
        <f t="shared" si="990"/>
        <v>1.1999999999999999E-3</v>
      </c>
      <c r="AQ945" s="13">
        <f t="shared" si="991"/>
        <v>-2.06E-2</v>
      </c>
      <c r="AR945" s="13">
        <f t="shared" si="983"/>
        <v>-4.07E-2</v>
      </c>
      <c r="AS945" s="6">
        <f t="shared" si="975"/>
        <v>368.56122758324636</v>
      </c>
      <c r="AT945" s="6">
        <f t="shared" si="976"/>
        <v>146.53950359494445</v>
      </c>
      <c r="AU945" s="6">
        <f t="shared" si="977"/>
        <v>304.9942526914478</v>
      </c>
      <c r="AV945" s="6">
        <f t="shared" si="978"/>
        <v>368.56122758324636</v>
      </c>
      <c r="AW945" s="58">
        <f t="shared" si="984"/>
        <v>2000</v>
      </c>
      <c r="AX945" s="58">
        <f>COUNTIF(AW$3:AW945,AW945)</f>
        <v>24</v>
      </c>
    </row>
    <row r="946" spans="1:50" x14ac:dyDescent="0.25">
      <c r="A946" s="5">
        <v>36723</v>
      </c>
      <c r="B946">
        <v>1509.98</v>
      </c>
      <c r="C946">
        <v>5.96</v>
      </c>
      <c r="D946" s="6">
        <v>19.219999000000001</v>
      </c>
      <c r="E946" s="18">
        <f t="shared" si="997"/>
        <v>20.37</v>
      </c>
      <c r="F946">
        <f t="shared" si="998"/>
        <v>-1</v>
      </c>
      <c r="G946" s="18">
        <f>ROUND(INDEX(Valuation!U:U,MATCH(A946,Valuation!A:A,0)),2)</f>
        <v>0</v>
      </c>
      <c r="H946">
        <f t="shared" si="1005"/>
        <v>-3</v>
      </c>
      <c r="I946" s="18">
        <f>INDEX(WeeklyIndicators!Y:Y,MATCH(A946,WeeklyIndicators!A:A,0))</f>
        <v>96.42</v>
      </c>
      <c r="J946">
        <f t="shared" si="994"/>
        <v>-1</v>
      </c>
      <c r="K946">
        <f>ROUND(INDEX(Economic!AF:AF,MATCH(EOMONTH($A946,-1),Economic!A:A,0)),2)</f>
        <v>149.38999999999999</v>
      </c>
      <c r="L946" s="11">
        <f t="shared" si="1003"/>
        <v>3</v>
      </c>
      <c r="M946">
        <f>ROUND(INDEX(Manufacturing!P:P,MATCH(EOMONTH($A946,-1),Manufacturing!A:A,0)),2)</f>
        <v>96.43</v>
      </c>
      <c r="N946">
        <f t="shared" si="999"/>
        <v>1</v>
      </c>
      <c r="O946">
        <f>ROUND(INDEX(Housing!AC:AC,MATCH(EOMONTH($A946,-1),Housing!B:B,0)),2)</f>
        <v>113.65</v>
      </c>
      <c r="P946">
        <f t="shared" si="1000"/>
        <v>0</v>
      </c>
      <c r="Q946">
        <f>ROUND(INDEX(Spending!AJ:AJ,MATCH(EOMONTH($A946,-1),Spending!B:B,0)),2)</f>
        <v>75.27</v>
      </c>
      <c r="R946">
        <f t="shared" si="1004"/>
        <v>2</v>
      </c>
      <c r="S946">
        <f>ROUND(INDEX(Employment!V:V,MATCH(EOMONTH($A946,-1),Employment!A:A,0)),2)</f>
        <v>171.84</v>
      </c>
      <c r="T946" s="11">
        <f t="shared" si="1001"/>
        <v>1</v>
      </c>
      <c r="U946">
        <f t="shared" si="993"/>
        <v>22</v>
      </c>
      <c r="V946">
        <f t="shared" si="985"/>
        <v>78.92</v>
      </c>
      <c r="W946" s="13">
        <f t="shared" si="986"/>
        <v>-1.5800000000000002E-2</v>
      </c>
      <c r="X946" s="13">
        <f t="shared" si="987"/>
        <v>-2.3900000000000001E-2</v>
      </c>
      <c r="Y946">
        <f t="shared" si="979"/>
        <v>66.150000000000006</v>
      </c>
      <c r="Z946" s="13">
        <f t="shared" si="974"/>
        <v>-1.7100000000000001E-2</v>
      </c>
      <c r="AA946" s="13">
        <f t="shared" si="970"/>
        <v>-1.3100000000000001E-2</v>
      </c>
      <c r="AB946" s="6">
        <f t="shared" si="980"/>
        <v>60.16</v>
      </c>
      <c r="AC946">
        <f t="shared" si="972"/>
        <v>30</v>
      </c>
      <c r="AD946" s="11">
        <f t="shared" si="973"/>
        <v>-1</v>
      </c>
      <c r="AE946">
        <f t="shared" si="971"/>
        <v>23</v>
      </c>
      <c r="AF946">
        <f>IF(AND(AE946&lt;15,OR(AC946&gt;=30,AA946&gt;0.15,X946&gt;=0.15)),2,VLOOKUP(AE946,Table!P:Q,2,FALSE))</f>
        <v>3</v>
      </c>
      <c r="AG946" s="22">
        <f>IF((AB946*0.98)-(D946*0.8)+((AF946-3)*3)+VLOOKUP(AM946,Table!$A$11:$B$13,2,FALSE)&lt;0,0,(AB946*0.98)-(D946*0.8)+((AF946-3)*3)+VLOOKUP(AM946,Table!$A$11:$B$13,2,FALSE))</f>
        <v>51.580800799999992</v>
      </c>
      <c r="AH946" s="22">
        <f t="shared" si="1002"/>
        <v>53</v>
      </c>
      <c r="AI946" s="18">
        <f t="shared" si="995"/>
        <v>5.74</v>
      </c>
      <c r="AJ946" s="18">
        <f t="shared" si="996"/>
        <v>5.49</v>
      </c>
      <c r="AK946" t="str">
        <f t="shared" si="981"/>
        <v>Rising Rates</v>
      </c>
      <c r="AL946">
        <f t="shared" si="992"/>
        <v>24.25</v>
      </c>
      <c r="AM946" s="11" t="str">
        <f t="shared" si="982"/>
        <v>Stocks</v>
      </c>
      <c r="AN946" t="str">
        <f t="shared" si="988"/>
        <v>Buy</v>
      </c>
      <c r="AO946" s="13">
        <f t="shared" si="989"/>
        <v>-1.9699999999999999E-2</v>
      </c>
      <c r="AP946" s="13">
        <f t="shared" si="990"/>
        <v>1.1000000000000001E-3</v>
      </c>
      <c r="AQ946" s="13">
        <f t="shared" si="991"/>
        <v>-9.9000000000000008E-3</v>
      </c>
      <c r="AR946" s="13">
        <f t="shared" si="983"/>
        <v>-1.9699999999999999E-2</v>
      </c>
      <c r="AS946" s="6">
        <f t="shared" si="975"/>
        <v>375.96779310746342</v>
      </c>
      <c r="AT946" s="6">
        <f t="shared" si="976"/>
        <v>146.37848725895958</v>
      </c>
      <c r="AU946" s="6">
        <f t="shared" si="977"/>
        <v>308.04388717447512</v>
      </c>
      <c r="AV946" s="6">
        <f t="shared" si="978"/>
        <v>375.96779310746342</v>
      </c>
      <c r="AW946" s="58">
        <f t="shared" si="984"/>
        <v>2000</v>
      </c>
      <c r="AX946" s="58">
        <f>COUNTIF(AW$3:AW946,AW946)</f>
        <v>25</v>
      </c>
    </row>
    <row r="947" spans="1:50" x14ac:dyDescent="0.25">
      <c r="A947" s="5">
        <v>36716</v>
      </c>
      <c r="B947">
        <v>1478.9</v>
      </c>
      <c r="C947">
        <v>5.82</v>
      </c>
      <c r="D947" s="6">
        <v>19.540001</v>
      </c>
      <c r="E947" s="18">
        <f t="shared" si="997"/>
        <v>20.79</v>
      </c>
      <c r="F947">
        <f t="shared" si="998"/>
        <v>-1</v>
      </c>
      <c r="G947" s="18">
        <f>ROUND(INDEX(Valuation!U:U,MATCH(A947,Valuation!A:A,0)),2)</f>
        <v>0</v>
      </c>
      <c r="H947">
        <f t="shared" si="1005"/>
        <v>-3</v>
      </c>
      <c r="I947" s="18">
        <f>INDEX(WeeklyIndicators!Y:Y,MATCH(A947,WeeklyIndicators!A:A,0))</f>
        <v>100.93</v>
      </c>
      <c r="J947">
        <f t="shared" si="994"/>
        <v>-1</v>
      </c>
      <c r="K947">
        <f>ROUND(INDEX(Economic!AF:AF,MATCH(EOMONTH($A947,-1),Economic!A:A,0)),2)</f>
        <v>149.38999999999999</v>
      </c>
      <c r="L947" s="11">
        <f t="shared" si="1003"/>
        <v>3</v>
      </c>
      <c r="M947">
        <f>ROUND(INDEX(Manufacturing!P:P,MATCH(EOMONTH($A947,-1),Manufacturing!A:A,0)),2)</f>
        <v>96.43</v>
      </c>
      <c r="N947">
        <f t="shared" si="999"/>
        <v>1</v>
      </c>
      <c r="O947">
        <f>ROUND(INDEX(Housing!AC:AC,MATCH(EOMONTH($A947,-1),Housing!B:B,0)),2)</f>
        <v>113.65</v>
      </c>
      <c r="P947">
        <f t="shared" si="1000"/>
        <v>0</v>
      </c>
      <c r="Q947">
        <f>ROUND(INDEX(Spending!AJ:AJ,MATCH(EOMONTH($A947,-1),Spending!B:B,0)),2)</f>
        <v>75.27</v>
      </c>
      <c r="R947">
        <f t="shared" si="1004"/>
        <v>2</v>
      </c>
      <c r="S947">
        <f>ROUND(INDEX(Employment!V:V,MATCH(EOMONTH($A947,-1),Employment!A:A,0)),2)</f>
        <v>171.84</v>
      </c>
      <c r="T947" s="11">
        <f t="shared" si="1001"/>
        <v>1</v>
      </c>
      <c r="U947">
        <f t="shared" si="993"/>
        <v>22</v>
      </c>
      <c r="V947">
        <f t="shared" si="985"/>
        <v>79.39</v>
      </c>
      <c r="W947" s="13">
        <f t="shared" si="986"/>
        <v>-1.11E-2</v>
      </c>
      <c r="X947" s="13">
        <f t="shared" si="987"/>
        <v>-5.4999999999999997E-3</v>
      </c>
      <c r="Y947">
        <f t="shared" si="979"/>
        <v>66.47</v>
      </c>
      <c r="Z947" s="13">
        <f t="shared" si="974"/>
        <v>-0.01</v>
      </c>
      <c r="AA947" s="13">
        <f t="shared" ref="AA947:AA1010" si="1006">SUM(Z947:Z950)</f>
        <v>1.3499999999999998E-2</v>
      </c>
      <c r="AB947" s="6">
        <f t="shared" si="980"/>
        <v>62.47</v>
      </c>
      <c r="AC947">
        <f t="shared" si="972"/>
        <v>31</v>
      </c>
      <c r="AD947" s="11">
        <f t="shared" si="973"/>
        <v>-1</v>
      </c>
      <c r="AE947">
        <f t="shared" si="971"/>
        <v>23</v>
      </c>
      <c r="AF947">
        <f>IF(AND(AE947&lt;15,OR(AC947&gt;=30,AA947&gt;0.15,X947&gt;=0.15)),2,VLOOKUP(AE947,Table!P:Q,2,FALSE))</f>
        <v>3</v>
      </c>
      <c r="AG947" s="22">
        <f>IF((AB947*0.98)-(D947*0.8)+((AF947-3)*3)+VLOOKUP(AM947,Table!$A$11:$B$13,2,FALSE)&lt;0,0,(AB947*0.98)-(D947*0.8)+((AF947-3)*3)+VLOOKUP(AM947,Table!$A$11:$B$13,2,FALSE))</f>
        <v>53.588599199999997</v>
      </c>
      <c r="AH947" s="22">
        <f t="shared" si="1002"/>
        <v>55</v>
      </c>
      <c r="AI947" s="18">
        <f t="shared" si="995"/>
        <v>5.72</v>
      </c>
      <c r="AJ947" s="18">
        <f t="shared" si="996"/>
        <v>5.46</v>
      </c>
      <c r="AK947" t="str">
        <f t="shared" si="981"/>
        <v>Rising Rates</v>
      </c>
      <c r="AL947">
        <f t="shared" si="992"/>
        <v>25</v>
      </c>
      <c r="AM947" s="11" t="str">
        <f t="shared" si="982"/>
        <v>Stocks</v>
      </c>
      <c r="AN947" t="str">
        <f t="shared" si="988"/>
        <v>Buy</v>
      </c>
      <c r="AO947" s="13">
        <f t="shared" si="989"/>
        <v>2.1000000000000001E-2</v>
      </c>
      <c r="AP947" s="13">
        <f t="shared" si="990"/>
        <v>1.1000000000000001E-3</v>
      </c>
      <c r="AQ947" s="13">
        <f t="shared" si="991"/>
        <v>1.2E-2</v>
      </c>
      <c r="AR947" s="13">
        <f t="shared" si="983"/>
        <v>2.1000000000000001E-2</v>
      </c>
      <c r="AS947" s="6">
        <f t="shared" si="975"/>
        <v>368.23486102591914</v>
      </c>
      <c r="AT947" s="6">
        <f t="shared" si="976"/>
        <v>146.21764784632862</v>
      </c>
      <c r="AU947" s="6">
        <f t="shared" si="977"/>
        <v>304.3911928601533</v>
      </c>
      <c r="AV947" s="6">
        <f t="shared" si="978"/>
        <v>368.23486102591914</v>
      </c>
      <c r="AW947" s="58">
        <f t="shared" si="984"/>
        <v>2000</v>
      </c>
      <c r="AX947" s="58">
        <f>COUNTIF(AW$3:AW947,AW947)</f>
        <v>26</v>
      </c>
    </row>
    <row r="948" spans="1:50" x14ac:dyDescent="0.25">
      <c r="A948" s="5">
        <v>36709</v>
      </c>
      <c r="B948">
        <v>1454.6</v>
      </c>
      <c r="C948">
        <v>5.67</v>
      </c>
      <c r="D948" s="6">
        <v>22.34</v>
      </c>
      <c r="E948" s="18">
        <f t="shared" si="997"/>
        <v>21.66</v>
      </c>
      <c r="F948">
        <f t="shared" si="998"/>
        <v>-1</v>
      </c>
      <c r="G948" s="18">
        <f>ROUND(INDEX(Valuation!U:U,MATCH(A948,Valuation!A:A,0)),2)</f>
        <v>0</v>
      </c>
      <c r="H948">
        <f t="shared" si="1005"/>
        <v>-3</v>
      </c>
      <c r="I948" s="18">
        <f>INDEX(WeeklyIndicators!Y:Y,MATCH(A948,WeeklyIndicators!A:A,0))</f>
        <v>108.04</v>
      </c>
      <c r="J948">
        <f t="shared" si="994"/>
        <v>-1</v>
      </c>
      <c r="K948">
        <f>ROUND(INDEX(Economic!AF:AF,MATCH(EOMONTH($A948,-1),Economic!A:A,0)),2)</f>
        <v>149.38999999999999</v>
      </c>
      <c r="L948" s="11">
        <f t="shared" si="1003"/>
        <v>3</v>
      </c>
      <c r="M948">
        <f>ROUND(INDEX(Manufacturing!P:P,MATCH(EOMONTH($A948,-1),Manufacturing!A:A,0)),2)</f>
        <v>96.43</v>
      </c>
      <c r="N948">
        <f t="shared" si="999"/>
        <v>1</v>
      </c>
      <c r="O948">
        <f>ROUND(INDEX(Housing!AC:AC,MATCH(EOMONTH($A948,-1),Housing!B:B,0)),2)</f>
        <v>113.65</v>
      </c>
      <c r="P948">
        <f t="shared" si="1000"/>
        <v>0</v>
      </c>
      <c r="Q948">
        <f>ROUND(INDEX(Spending!AJ:AJ,MATCH(EOMONTH($A948,-1),Spending!B:B,0)),2)</f>
        <v>75.27</v>
      </c>
      <c r="R948">
        <f t="shared" si="1004"/>
        <v>2</v>
      </c>
      <c r="S948">
        <f>ROUND(INDEX(Employment!V:V,MATCH(EOMONTH($A948,-1),Employment!A:A,0)),2)</f>
        <v>171.84</v>
      </c>
      <c r="T948" s="11">
        <f t="shared" si="1001"/>
        <v>1</v>
      </c>
      <c r="U948">
        <f t="shared" ref="U948:U969" si="1007">F948+H948+J948+L948+N948+P948+R948+T948+20</f>
        <v>22</v>
      </c>
      <c r="V948">
        <f t="shared" si="985"/>
        <v>80.13</v>
      </c>
      <c r="W948" s="13">
        <f t="shared" si="986"/>
        <v>-4.4000000000000003E-3</v>
      </c>
      <c r="X948" s="13">
        <f t="shared" si="987"/>
        <v>4.0000000000000018E-4</v>
      </c>
      <c r="Y948">
        <f t="shared" si="979"/>
        <v>66.91</v>
      </c>
      <c r="Z948" s="13">
        <f t="shared" si="974"/>
        <v>-1.6999999999999999E-3</v>
      </c>
      <c r="AA948" s="13">
        <f t="shared" si="1006"/>
        <v>2.1999999999999999E-2</v>
      </c>
      <c r="AB948" s="6">
        <f t="shared" si="980"/>
        <v>63.56</v>
      </c>
      <c r="AC948">
        <f t="shared" si="972"/>
        <v>32</v>
      </c>
      <c r="AD948" s="11">
        <f t="shared" si="973"/>
        <v>0</v>
      </c>
      <c r="AE948">
        <f t="shared" si="971"/>
        <v>24</v>
      </c>
      <c r="AF948">
        <f>IF(AND(AE948&lt;15,OR(AC948&gt;=30,AA948&gt;0.15,X948&gt;=0.15)),2,VLOOKUP(AE948,Table!P:Q,2,FALSE))</f>
        <v>3</v>
      </c>
      <c r="AG948" s="22">
        <f>IF((AB948*0.98)-(D948*0.8)+((AF948-3)*3)+VLOOKUP(AM948,Table!$A$11:$B$13,2,FALSE)&lt;0,0,(AB948*0.98)-(D948*0.8)+((AF948-3)*3)+VLOOKUP(AM948,Table!$A$11:$B$13,2,FALSE))</f>
        <v>52.416800000000002</v>
      </c>
      <c r="AH948" s="22">
        <f t="shared" si="1002"/>
        <v>55</v>
      </c>
      <c r="AI948" s="18">
        <f t="shared" si="995"/>
        <v>5.71</v>
      </c>
      <c r="AJ948" s="18">
        <f t="shared" si="996"/>
        <v>5.43</v>
      </c>
      <c r="AK948" t="str">
        <f t="shared" si="981"/>
        <v/>
      </c>
      <c r="AL948">
        <f t="shared" si="992"/>
        <v>25.5</v>
      </c>
      <c r="AM948" s="11" t="str">
        <f t="shared" si="982"/>
        <v>Stocks</v>
      </c>
      <c r="AN948" t="str">
        <f t="shared" si="988"/>
        <v>Buy</v>
      </c>
      <c r="AO948" s="13">
        <f t="shared" si="989"/>
        <v>1.67E-2</v>
      </c>
      <c r="AP948" s="13">
        <f t="shared" si="990"/>
        <v>1.1000000000000001E-3</v>
      </c>
      <c r="AQ948" s="13">
        <f t="shared" si="991"/>
        <v>9.7000000000000003E-3</v>
      </c>
      <c r="AR948" s="13">
        <f t="shared" si="983"/>
        <v>1.67E-2</v>
      </c>
      <c r="AS948" s="6">
        <f t="shared" si="975"/>
        <v>362.18634899765829</v>
      </c>
      <c r="AT948" s="6">
        <f t="shared" si="976"/>
        <v>146.05698516264968</v>
      </c>
      <c r="AU948" s="6">
        <f t="shared" si="977"/>
        <v>301.46696331598821</v>
      </c>
      <c r="AV948" s="6">
        <f t="shared" si="978"/>
        <v>362.18634899765829</v>
      </c>
      <c r="AW948" s="58">
        <f t="shared" si="984"/>
        <v>2000</v>
      </c>
      <c r="AX948" s="58">
        <f>COUNTIF(AW$3:AW948,AW948)</f>
        <v>27</v>
      </c>
    </row>
    <row r="949" spans="1:50" x14ac:dyDescent="0.25">
      <c r="A949" s="5">
        <v>36702</v>
      </c>
      <c r="B949">
        <v>1441.48</v>
      </c>
      <c r="C949">
        <v>5.66</v>
      </c>
      <c r="D949" s="6">
        <v>20.5</v>
      </c>
      <c r="E949" s="18">
        <f t="shared" si="997"/>
        <v>21.37</v>
      </c>
      <c r="F949">
        <f t="shared" si="998"/>
        <v>-1</v>
      </c>
      <c r="G949" s="18">
        <f>ROUND(INDEX(Valuation!U:U,MATCH(A949,Valuation!A:A,0)),2)</f>
        <v>0</v>
      </c>
      <c r="H949">
        <f t="shared" si="1005"/>
        <v>-3</v>
      </c>
      <c r="I949" s="18">
        <f>INDEX(WeeklyIndicators!Y:Y,MATCH(A949,WeeklyIndicators!A:A,0))</f>
        <v>107.8</v>
      </c>
      <c r="J949">
        <f t="shared" si="994"/>
        <v>-1</v>
      </c>
      <c r="K949">
        <f>ROUND(INDEX(Economic!AF:AF,MATCH(EOMONTH($A949,-1),Economic!A:A,0)),2)</f>
        <v>149.32</v>
      </c>
      <c r="L949" s="11">
        <f t="shared" si="1003"/>
        <v>3</v>
      </c>
      <c r="M949">
        <f>ROUND(INDEX(Manufacturing!P:P,MATCH(EOMONTH($A949,-1),Manufacturing!A:A,0)),2)</f>
        <v>98.74</v>
      </c>
      <c r="N949">
        <f t="shared" si="999"/>
        <v>1</v>
      </c>
      <c r="O949">
        <f>ROUND(INDEX(Housing!AC:AC,MATCH(EOMONTH($A949,-1),Housing!B:B,0)),2)</f>
        <v>119.96</v>
      </c>
      <c r="P949">
        <f t="shared" si="1000"/>
        <v>1</v>
      </c>
      <c r="Q949">
        <f>ROUND(INDEX(Spending!AJ:AJ,MATCH(EOMONTH($A949,-1),Spending!B:B,0)),2)</f>
        <v>78.64</v>
      </c>
      <c r="R949">
        <f t="shared" si="1004"/>
        <v>2</v>
      </c>
      <c r="S949">
        <f>ROUND(INDEX(Employment!V:V,MATCH(EOMONTH($A949,-1),Employment!A:A,0)),2)</f>
        <v>190.78</v>
      </c>
      <c r="T949" s="11">
        <f t="shared" si="1001"/>
        <v>3</v>
      </c>
      <c r="U949">
        <f t="shared" si="1007"/>
        <v>25</v>
      </c>
      <c r="V949">
        <f t="shared" si="985"/>
        <v>82.74</v>
      </c>
      <c r="W949" s="13">
        <f t="shared" si="986"/>
        <v>7.4000000000000003E-3</v>
      </c>
      <c r="X949" s="13">
        <f t="shared" si="987"/>
        <v>-6.4999999999999988E-3</v>
      </c>
      <c r="Y949">
        <f t="shared" si="979"/>
        <v>69.62</v>
      </c>
      <c r="Z949" s="13">
        <f t="shared" si="974"/>
        <v>1.5699999999999999E-2</v>
      </c>
      <c r="AA949" s="13">
        <f t="shared" si="1006"/>
        <v>1.1999999999999999E-2</v>
      </c>
      <c r="AB949" s="6">
        <f t="shared" si="980"/>
        <v>65.62</v>
      </c>
      <c r="AC949">
        <f t="shared" si="972"/>
        <v>33</v>
      </c>
      <c r="AD949" s="11">
        <f t="shared" si="973"/>
        <v>0</v>
      </c>
      <c r="AE949">
        <f t="shared" si="971"/>
        <v>27</v>
      </c>
      <c r="AF949">
        <f>IF(AND(AE949&lt;15,OR(AC949&gt;=30,AA949&gt;0.15,X949&gt;=0.15)),2,VLOOKUP(AE949,Table!P:Q,2,FALSE))</f>
        <v>4</v>
      </c>
      <c r="AG949" s="22">
        <f>IF((AB949*0.98)-(D949*0.8)+((AF949-3)*3)+VLOOKUP(AM949,Table!$A$11:$B$13,2,FALSE)&lt;0,0,(AB949*0.98)-(D949*0.8)+((AF949-3)*3)+VLOOKUP(AM949,Table!$A$11:$B$13,2,FALSE))</f>
        <v>58.907600000000002</v>
      </c>
      <c r="AH949" s="22">
        <f t="shared" si="1002"/>
        <v>54</v>
      </c>
      <c r="AI949" s="18">
        <f t="shared" si="995"/>
        <v>5.72</v>
      </c>
      <c r="AJ949" s="18">
        <f t="shared" si="996"/>
        <v>5.41</v>
      </c>
      <c r="AK949" t="str">
        <f t="shared" si="981"/>
        <v/>
      </c>
      <c r="AL949">
        <f t="shared" si="992"/>
        <v>25.5</v>
      </c>
      <c r="AM949" s="11" t="str">
        <f t="shared" si="982"/>
        <v>Stocks</v>
      </c>
      <c r="AN949" t="str">
        <f t="shared" si="988"/>
        <v>Buy</v>
      </c>
      <c r="AO949" s="13">
        <f t="shared" si="989"/>
        <v>9.1000000000000004E-3</v>
      </c>
      <c r="AP949" s="13">
        <f t="shared" si="990"/>
        <v>1.1000000000000001E-3</v>
      </c>
      <c r="AQ949" s="13">
        <f t="shared" si="991"/>
        <v>5.4000000000000003E-3</v>
      </c>
      <c r="AR949" s="13">
        <f t="shared" si="983"/>
        <v>9.1000000000000004E-3</v>
      </c>
      <c r="AS949" s="6">
        <f t="shared" si="975"/>
        <v>358.92017540150454</v>
      </c>
      <c r="AT949" s="6">
        <f t="shared" si="976"/>
        <v>145.89649901373457</v>
      </c>
      <c r="AU949" s="6">
        <f t="shared" si="977"/>
        <v>299.84778527550048</v>
      </c>
      <c r="AV949" s="6">
        <f t="shared" si="978"/>
        <v>358.92017540150454</v>
      </c>
      <c r="AW949" s="58">
        <f t="shared" si="984"/>
        <v>2000</v>
      </c>
      <c r="AX949" s="58">
        <f>COUNTIF(AW$3:AW949,AW949)</f>
        <v>28</v>
      </c>
    </row>
    <row r="950" spans="1:50" x14ac:dyDescent="0.25">
      <c r="A950" s="5">
        <v>36695</v>
      </c>
      <c r="B950">
        <v>1464.46</v>
      </c>
      <c r="C950">
        <v>5.68</v>
      </c>
      <c r="D950" s="6">
        <v>22.139999</v>
      </c>
      <c r="E950" s="18">
        <f t="shared" si="997"/>
        <v>22.7</v>
      </c>
      <c r="F950">
        <f t="shared" si="998"/>
        <v>-1</v>
      </c>
      <c r="G950" s="18">
        <f>ROUND(INDEX(Valuation!U:U,MATCH(A950,Valuation!A:A,0)),2)</f>
        <v>0</v>
      </c>
      <c r="H950">
        <f t="shared" si="1005"/>
        <v>-3</v>
      </c>
      <c r="I950" s="18">
        <f>INDEX(WeeklyIndicators!Y:Y,MATCH(A950,WeeklyIndicators!A:A,0))</f>
        <v>101.66</v>
      </c>
      <c r="J950">
        <f t="shared" si="994"/>
        <v>-1</v>
      </c>
      <c r="K950">
        <f>ROUND(INDEX(Economic!AF:AF,MATCH(EOMONTH($A950,-1),Economic!A:A,0)),2)</f>
        <v>149.32</v>
      </c>
      <c r="L950" s="11">
        <f t="shared" si="1003"/>
        <v>3</v>
      </c>
      <c r="M950">
        <f>ROUND(INDEX(Manufacturing!P:P,MATCH(EOMONTH($A950,-1),Manufacturing!A:A,0)),2)</f>
        <v>98.74</v>
      </c>
      <c r="N950">
        <f t="shared" si="999"/>
        <v>1</v>
      </c>
      <c r="O950">
        <f>ROUND(INDEX(Housing!AC:AC,MATCH(EOMONTH($A950,-1),Housing!B:B,0)),2)</f>
        <v>119.96</v>
      </c>
      <c r="P950">
        <f t="shared" si="1000"/>
        <v>1</v>
      </c>
      <c r="Q950">
        <f>ROUND(INDEX(Spending!AJ:AJ,MATCH(EOMONTH($A950,-1),Spending!B:B,0)),2)</f>
        <v>78.64</v>
      </c>
      <c r="R950">
        <f t="shared" si="1004"/>
        <v>2</v>
      </c>
      <c r="S950">
        <f>ROUND(INDEX(Employment!V:V,MATCH(EOMONTH($A950,-1),Employment!A:A,0)),2)</f>
        <v>190.78</v>
      </c>
      <c r="T950" s="11">
        <f t="shared" si="1001"/>
        <v>3</v>
      </c>
      <c r="U950">
        <f t="shared" si="1007"/>
        <v>25</v>
      </c>
      <c r="V950">
        <f t="shared" si="985"/>
        <v>82.1</v>
      </c>
      <c r="W950" s="13">
        <f t="shared" si="986"/>
        <v>2.5999999999999999E-3</v>
      </c>
      <c r="X950" s="13">
        <f t="shared" si="987"/>
        <v>-2.6099999999999998E-2</v>
      </c>
      <c r="Y950">
        <f t="shared" si="979"/>
        <v>68.52</v>
      </c>
      <c r="Z950" s="13">
        <f t="shared" si="974"/>
        <v>9.4999999999999998E-3</v>
      </c>
      <c r="AA950" s="13">
        <f t="shared" si="1006"/>
        <v>-1.4999999999999999E-2</v>
      </c>
      <c r="AB950" s="6">
        <f t="shared" si="980"/>
        <v>62.489999999999995</v>
      </c>
      <c r="AC950">
        <f t="shared" si="972"/>
        <v>31</v>
      </c>
      <c r="AD950" s="11">
        <f t="shared" si="973"/>
        <v>-1</v>
      </c>
      <c r="AE950">
        <f t="shared" si="971"/>
        <v>26</v>
      </c>
      <c r="AF950">
        <f>IF(AND(AE950&lt;15,OR(AC950&gt;=30,AA950&gt;0.15,X950&gt;=0.15)),2,VLOOKUP(AE950,Table!P:Q,2,FALSE))</f>
        <v>4</v>
      </c>
      <c r="AG950" s="22">
        <f>IF((AB950*0.98)-(D950*0.8)+((AF950-3)*3)+VLOOKUP(AM950,Table!$A$11:$B$13,2,FALSE)&lt;0,0,(AB950*0.98)-(D950*0.8)+((AF950-3)*3)+VLOOKUP(AM950,Table!$A$11:$B$13,2,FALSE))</f>
        <v>54.528200799999993</v>
      </c>
      <c r="AH950" s="22">
        <f t="shared" si="1002"/>
        <v>50</v>
      </c>
      <c r="AI950" s="18">
        <f t="shared" si="995"/>
        <v>5.72</v>
      </c>
      <c r="AJ950" s="18">
        <f t="shared" si="996"/>
        <v>5.38</v>
      </c>
      <c r="AK950" t="str">
        <f t="shared" si="981"/>
        <v/>
      </c>
      <c r="AL950">
        <f t="shared" si="992"/>
        <v>24.75</v>
      </c>
      <c r="AM950" s="11" t="str">
        <f t="shared" si="982"/>
        <v>Stocks</v>
      </c>
      <c r="AN950" t="str">
        <f t="shared" si="988"/>
        <v>Buy</v>
      </c>
      <c r="AO950" s="13">
        <f t="shared" si="989"/>
        <v>-1.5699999999999999E-2</v>
      </c>
      <c r="AP950" s="13">
        <f t="shared" si="990"/>
        <v>1.1000000000000001E-3</v>
      </c>
      <c r="AQ950" s="13">
        <f t="shared" si="991"/>
        <v>-7.3000000000000001E-3</v>
      </c>
      <c r="AR950" s="13">
        <f t="shared" si="983"/>
        <v>-1.5699999999999999E-2</v>
      </c>
      <c r="AS950" s="6">
        <f t="shared" si="975"/>
        <v>364.64510352687654</v>
      </c>
      <c r="AT950" s="6">
        <f t="shared" si="976"/>
        <v>145.73618920560838</v>
      </c>
      <c r="AU950" s="6">
        <f t="shared" si="977"/>
        <v>302.05277050015161</v>
      </c>
      <c r="AV950" s="6">
        <f t="shared" si="978"/>
        <v>364.64510352687654</v>
      </c>
      <c r="AW950" s="58">
        <f t="shared" si="984"/>
        <v>2000</v>
      </c>
      <c r="AX950" s="58">
        <f>COUNTIF(AW$3:AW950,AW950)</f>
        <v>29</v>
      </c>
    </row>
    <row r="951" spans="1:50" x14ac:dyDescent="0.25">
      <c r="A951" s="5">
        <v>36688</v>
      </c>
      <c r="B951">
        <v>1456.95</v>
      </c>
      <c r="C951">
        <v>5.76</v>
      </c>
      <c r="D951" s="6">
        <v>21.48</v>
      </c>
      <c r="E951" s="18">
        <f t="shared" si="997"/>
        <v>23.8</v>
      </c>
      <c r="F951">
        <f t="shared" si="998"/>
        <v>-1</v>
      </c>
      <c r="G951" s="18">
        <f>ROUND(INDEX(Valuation!U:U,MATCH(A951,Valuation!A:A,0)),2)</f>
        <v>0</v>
      </c>
      <c r="H951">
        <f t="shared" si="1005"/>
        <v>-3</v>
      </c>
      <c r="I951" s="18">
        <f>INDEX(WeeklyIndicators!Y:Y,MATCH(A951,WeeklyIndicators!A:A,0))</f>
        <v>93.17</v>
      </c>
      <c r="J951">
        <f t="shared" si="994"/>
        <v>-2</v>
      </c>
      <c r="K951">
        <f>ROUND(INDEX(Economic!AF:AF,MATCH(EOMONTH($A951,-1),Economic!A:A,0)),2)</f>
        <v>149.32</v>
      </c>
      <c r="L951" s="11">
        <f t="shared" si="1003"/>
        <v>3</v>
      </c>
      <c r="M951">
        <f>ROUND(INDEX(Manufacturing!P:P,MATCH(EOMONTH($A951,-1),Manufacturing!A:A,0)),2)</f>
        <v>98.74</v>
      </c>
      <c r="N951">
        <f t="shared" si="999"/>
        <v>1</v>
      </c>
      <c r="O951">
        <f>ROUND(INDEX(Housing!AC:AC,MATCH(EOMONTH($A951,-1),Housing!B:B,0)),2)</f>
        <v>119.96</v>
      </c>
      <c r="P951">
        <f t="shared" si="1000"/>
        <v>1</v>
      </c>
      <c r="Q951">
        <f>ROUND(INDEX(Spending!AJ:AJ,MATCH(EOMONTH($A951,-1),Spending!B:B,0)),2)</f>
        <v>78.64</v>
      </c>
      <c r="R951">
        <f t="shared" si="1004"/>
        <v>2</v>
      </c>
      <c r="S951">
        <f>ROUND(INDEX(Employment!V:V,MATCH(EOMONTH($A951,-1),Employment!A:A,0)),2)</f>
        <v>190.78</v>
      </c>
      <c r="T951" s="11">
        <f t="shared" si="1001"/>
        <v>3</v>
      </c>
      <c r="U951">
        <f t="shared" si="1007"/>
        <v>24</v>
      </c>
      <c r="V951">
        <f t="shared" si="985"/>
        <v>81.22</v>
      </c>
      <c r="W951" s="13">
        <f t="shared" si="986"/>
        <v>-5.1999999999999998E-3</v>
      </c>
      <c r="X951" s="13">
        <f t="shared" si="987"/>
        <v>-3.7200000000000004E-2</v>
      </c>
      <c r="Y951">
        <f t="shared" si="979"/>
        <v>67.25</v>
      </c>
      <c r="Z951" s="13">
        <f t="shared" si="974"/>
        <v>-1.5E-3</v>
      </c>
      <c r="AA951" s="13">
        <f t="shared" si="1006"/>
        <v>-3.27E-2</v>
      </c>
      <c r="AB951" s="6">
        <f t="shared" si="980"/>
        <v>59.89</v>
      </c>
      <c r="AC951">
        <f t="shared" si="972"/>
        <v>30</v>
      </c>
      <c r="AD951" s="11">
        <f t="shared" si="973"/>
        <v>-1</v>
      </c>
      <c r="AE951">
        <f t="shared" si="971"/>
        <v>25</v>
      </c>
      <c r="AF951">
        <f>IF(AND(AE951&lt;15,OR(AC951&gt;=30,AA951&gt;0.15,X951&gt;=0.15)),2,VLOOKUP(AE951,Table!P:Q,2,FALSE))</f>
        <v>3</v>
      </c>
      <c r="AG951" s="22">
        <f>IF((AB951*0.98)-(D951*0.8)+((AF951-3)*3)+VLOOKUP(AM951,Table!$A$11:$B$13,2,FALSE)&lt;0,0,(AB951*0.98)-(D951*0.8)+((AF951-3)*3)+VLOOKUP(AM951,Table!$A$11:$B$13,2,FALSE))</f>
        <v>49.508200000000002</v>
      </c>
      <c r="AH951" s="22">
        <f t="shared" si="1002"/>
        <v>47</v>
      </c>
      <c r="AI951" s="18">
        <f t="shared" si="995"/>
        <v>5.72</v>
      </c>
      <c r="AJ951" s="18">
        <f t="shared" si="996"/>
        <v>5.35</v>
      </c>
      <c r="AK951" t="str">
        <f t="shared" si="981"/>
        <v>Rising Rates</v>
      </c>
      <c r="AL951">
        <f t="shared" si="992"/>
        <v>24.5</v>
      </c>
      <c r="AM951" s="11" t="str">
        <f t="shared" si="982"/>
        <v>Stocks</v>
      </c>
      <c r="AN951" t="str">
        <f t="shared" si="988"/>
        <v>Buy</v>
      </c>
      <c r="AO951" s="13">
        <f t="shared" si="989"/>
        <v>5.1999999999999998E-3</v>
      </c>
      <c r="AP951" s="13">
        <f t="shared" si="990"/>
        <v>1.1000000000000001E-3</v>
      </c>
      <c r="AQ951" s="13">
        <f t="shared" si="991"/>
        <v>3.0000000000000001E-3</v>
      </c>
      <c r="AR951" s="13">
        <f t="shared" si="983"/>
        <v>5.1999999999999998E-3</v>
      </c>
      <c r="AS951" s="6">
        <f t="shared" si="975"/>
        <v>362.75875798535264</v>
      </c>
      <c r="AT951" s="6">
        <f t="shared" si="976"/>
        <v>145.57605554450942</v>
      </c>
      <c r="AU951" s="6">
        <f t="shared" si="977"/>
        <v>301.14932253255398</v>
      </c>
      <c r="AV951" s="6">
        <f t="shared" si="978"/>
        <v>362.75875798535264</v>
      </c>
      <c r="AW951" s="58">
        <f t="shared" si="984"/>
        <v>2000</v>
      </c>
      <c r="AX951" s="58">
        <f>COUNTIF(AW$3:AW951,AW951)</f>
        <v>30</v>
      </c>
    </row>
    <row r="952" spans="1:50" x14ac:dyDescent="0.25">
      <c r="A952" s="5">
        <v>36681</v>
      </c>
      <c r="B952">
        <v>1477.26</v>
      </c>
      <c r="C952">
        <v>5.59</v>
      </c>
      <c r="D952" s="6">
        <v>24.469999000000001</v>
      </c>
      <c r="E952" s="18">
        <f t="shared" si="997"/>
        <v>25.32</v>
      </c>
      <c r="F952">
        <f t="shared" si="998"/>
        <v>-2</v>
      </c>
      <c r="G952" s="18">
        <f>ROUND(INDEX(Valuation!U:U,MATCH(A952,Valuation!A:A,0)),2)</f>
        <v>0</v>
      </c>
      <c r="H952">
        <f t="shared" si="1005"/>
        <v>-3</v>
      </c>
      <c r="I952" s="18">
        <f>INDEX(WeeklyIndicators!Y:Y,MATCH(A952,WeeklyIndicators!A:A,0))</f>
        <v>90.42</v>
      </c>
      <c r="J952">
        <f t="shared" si="994"/>
        <v>-2</v>
      </c>
      <c r="K952">
        <f>ROUND(INDEX(Economic!AF:AF,MATCH(EOMONTH($A952,-1),Economic!A:A,0)),2)</f>
        <v>149.32</v>
      </c>
      <c r="L952" s="11">
        <f t="shared" si="1003"/>
        <v>3</v>
      </c>
      <c r="M952">
        <f>ROUND(INDEX(Manufacturing!P:P,MATCH(EOMONTH($A952,-1),Manufacturing!A:A,0)),2)</f>
        <v>98.74</v>
      </c>
      <c r="N952">
        <f t="shared" si="999"/>
        <v>1</v>
      </c>
      <c r="O952">
        <f>ROUND(INDEX(Housing!AC:AC,MATCH(EOMONTH($A952,-1),Housing!B:B,0)),2)</f>
        <v>119.96</v>
      </c>
      <c r="P952">
        <f t="shared" si="1000"/>
        <v>1</v>
      </c>
      <c r="Q952">
        <f>ROUND(INDEX(Spending!AJ:AJ,MATCH(EOMONTH($A952,-1),Spending!B:B,0)),2)</f>
        <v>78.64</v>
      </c>
      <c r="R952">
        <f t="shared" si="1004"/>
        <v>2</v>
      </c>
      <c r="S952">
        <f>ROUND(INDEX(Employment!V:V,MATCH(EOMONTH($A952,-1),Employment!A:A,0)),2)</f>
        <v>190.78</v>
      </c>
      <c r="T952" s="11">
        <f t="shared" si="1001"/>
        <v>3</v>
      </c>
      <c r="U952">
        <f t="shared" si="1007"/>
        <v>23</v>
      </c>
      <c r="V952">
        <f t="shared" si="985"/>
        <v>80.94</v>
      </c>
      <c r="W952" s="13">
        <f t="shared" si="986"/>
        <v>-1.1299999999999999E-2</v>
      </c>
      <c r="X952" s="13">
        <f t="shared" si="987"/>
        <v>-3.56E-2</v>
      </c>
      <c r="Y952">
        <f t="shared" si="979"/>
        <v>66.44</v>
      </c>
      <c r="Z952" s="13">
        <f t="shared" si="974"/>
        <v>-1.17E-2</v>
      </c>
      <c r="AA952" s="13">
        <f t="shared" si="1006"/>
        <v>-3.4200000000000001E-2</v>
      </c>
      <c r="AB952" s="6">
        <f t="shared" si="980"/>
        <v>58.989999999999995</v>
      </c>
      <c r="AC952">
        <f t="shared" si="972"/>
        <v>29</v>
      </c>
      <c r="AD952" s="11">
        <f t="shared" si="973"/>
        <v>-1</v>
      </c>
      <c r="AE952">
        <f t="shared" ref="AE952:AE1015" si="1008">IF(AND(AA952&gt;=0.2,AC952&gt;=20,U952+AD952+2&lt;30),U952+AD952+2+12,U952+AD952+2)</f>
        <v>24</v>
      </c>
      <c r="AF952">
        <f>IF(AND(AE952&lt;15,OR(AC952&gt;=30,AA952&gt;0.15,X952&gt;=0.15)),2,VLOOKUP(AE952,Table!P:Q,2,FALSE))</f>
        <v>3</v>
      </c>
      <c r="AG952" s="22">
        <f>IF((AB952*0.98)-(D952*0.8)+((AF952-3)*3)+VLOOKUP(AM952,Table!$A$11:$B$13,2,FALSE)&lt;0,0,(AB952*0.98)-(D952*0.8)+((AF952-3)*3)+VLOOKUP(AM952,Table!$A$11:$B$13,2,FALSE))</f>
        <v>46.234200799999996</v>
      </c>
      <c r="AH952" s="22">
        <f t="shared" si="1002"/>
        <v>46</v>
      </c>
      <c r="AI952" s="18">
        <f t="shared" si="995"/>
        <v>5.72</v>
      </c>
      <c r="AJ952" s="18">
        <f t="shared" si="996"/>
        <v>5.33</v>
      </c>
      <c r="AK952" t="str">
        <f t="shared" si="981"/>
        <v/>
      </c>
      <c r="AL952">
        <f t="shared" si="992"/>
        <v>24.5</v>
      </c>
      <c r="AM952" s="11" t="str">
        <f t="shared" si="982"/>
        <v>Stocks</v>
      </c>
      <c r="AN952" t="str">
        <f t="shared" si="988"/>
        <v>Buy</v>
      </c>
      <c r="AO952" s="13">
        <f t="shared" si="989"/>
        <v>-1.37E-2</v>
      </c>
      <c r="AP952" s="13">
        <f t="shared" si="990"/>
        <v>1.1000000000000001E-3</v>
      </c>
      <c r="AQ952" s="13">
        <f t="shared" si="991"/>
        <v>-5.7000000000000002E-3</v>
      </c>
      <c r="AR952" s="13">
        <f t="shared" si="983"/>
        <v>-1.37E-2</v>
      </c>
      <c r="AS952" s="6">
        <f t="shared" si="975"/>
        <v>367.79758489846159</v>
      </c>
      <c r="AT952" s="6">
        <f t="shared" si="976"/>
        <v>145.41609783688881</v>
      </c>
      <c r="AU952" s="6">
        <f t="shared" si="977"/>
        <v>302.87571410294078</v>
      </c>
      <c r="AV952" s="6">
        <f t="shared" si="978"/>
        <v>367.79758489846159</v>
      </c>
      <c r="AW952" s="58">
        <f t="shared" si="984"/>
        <v>2000</v>
      </c>
      <c r="AX952" s="58">
        <f>COUNTIF(AW$3:AW952,AW952)</f>
        <v>31</v>
      </c>
    </row>
    <row r="953" spans="1:50" x14ac:dyDescent="0.25">
      <c r="A953" s="5">
        <v>36674</v>
      </c>
      <c r="B953">
        <v>1378.02</v>
      </c>
      <c r="C953">
        <v>5.73</v>
      </c>
      <c r="D953" s="6">
        <v>25.440000999999999</v>
      </c>
      <c r="E953" s="18">
        <f t="shared" si="997"/>
        <v>26.34</v>
      </c>
      <c r="F953">
        <f t="shared" si="998"/>
        <v>-2</v>
      </c>
      <c r="G953" s="18">
        <f>ROUND(INDEX(Valuation!U:U,MATCH(A953,Valuation!A:A,0)),2)</f>
        <v>0</v>
      </c>
      <c r="H953">
        <f t="shared" si="1005"/>
        <v>-3</v>
      </c>
      <c r="I953" s="18">
        <f>INDEX(WeeklyIndicators!Y:Y,MATCH(A953,WeeklyIndicators!A:A,0))</f>
        <v>93.93</v>
      </c>
      <c r="J953">
        <f t="shared" si="994"/>
        <v>-2</v>
      </c>
      <c r="K953">
        <f>ROUND(INDEX(Economic!AF:AF,MATCH(EOMONTH($A953,-1),Economic!A:A,0)),2)</f>
        <v>148.32</v>
      </c>
      <c r="L953" s="11">
        <f t="shared" si="1003"/>
        <v>3</v>
      </c>
      <c r="M953">
        <f>ROUND(INDEX(Manufacturing!P:P,MATCH(EOMONTH($A953,-1),Manufacturing!A:A,0)),2)</f>
        <v>100.22</v>
      </c>
      <c r="N953">
        <f t="shared" si="999"/>
        <v>2</v>
      </c>
      <c r="O953">
        <f>ROUND(INDEX(Housing!AC:AC,MATCH(EOMONTH($A953,-1),Housing!B:B,0)),2)</f>
        <v>122.32</v>
      </c>
      <c r="P953">
        <f t="shared" si="1000"/>
        <v>1</v>
      </c>
      <c r="Q953">
        <f>ROUND(INDEX(Spending!AJ:AJ,MATCH(EOMONTH($A953,-1),Spending!B:B,0)),2)</f>
        <v>80.41</v>
      </c>
      <c r="R953">
        <f t="shared" si="1004"/>
        <v>2</v>
      </c>
      <c r="S953">
        <f>ROUND(INDEX(Employment!V:V,MATCH(EOMONTH($A953,-1),Employment!A:A,0)),2)</f>
        <v>188.23</v>
      </c>
      <c r="T953" s="11">
        <f t="shared" si="1001"/>
        <v>2</v>
      </c>
      <c r="U953">
        <f t="shared" si="1007"/>
        <v>23</v>
      </c>
      <c r="V953">
        <f t="shared" si="985"/>
        <v>81.459999999999994</v>
      </c>
      <c r="W953" s="13">
        <f t="shared" si="986"/>
        <v>-1.2200000000000001E-2</v>
      </c>
      <c r="X953" s="13">
        <f t="shared" si="987"/>
        <v>-2.6100000000000002E-2</v>
      </c>
      <c r="Y953">
        <f t="shared" si="979"/>
        <v>66.61</v>
      </c>
      <c r="Z953" s="13">
        <f t="shared" si="974"/>
        <v>-1.1299999999999999E-2</v>
      </c>
      <c r="AA953" s="13">
        <f t="shared" si="1006"/>
        <v>-3.2299999999999995E-2</v>
      </c>
      <c r="AB953" s="6">
        <f t="shared" si="980"/>
        <v>59.400000000000006</v>
      </c>
      <c r="AC953">
        <f t="shared" si="972"/>
        <v>30</v>
      </c>
      <c r="AD953" s="11">
        <f t="shared" si="973"/>
        <v>-1</v>
      </c>
      <c r="AE953">
        <f t="shared" si="1008"/>
        <v>24</v>
      </c>
      <c r="AF953">
        <f>IF(AND(AE953&lt;15,OR(AC953&gt;=30,AA953&gt;0.15,X953&gt;=0.15)),2,VLOOKUP(AE953,Table!P:Q,2,FALSE))</f>
        <v>3</v>
      </c>
      <c r="AG953" s="22">
        <f>IF((AB953*0.98)-(D953*0.8)+((AF953-3)*3)+VLOOKUP(AM953,Table!$A$11:$B$13,2,FALSE)&lt;0,0,(AB953*0.98)-(D953*0.8)+((AF953-3)*3)+VLOOKUP(AM953,Table!$A$11:$B$13,2,FALSE))</f>
        <v>45.859999200000004</v>
      </c>
      <c r="AH953" s="22">
        <f t="shared" si="1002"/>
        <v>46</v>
      </c>
      <c r="AI953" s="18">
        <f t="shared" si="995"/>
        <v>5.72</v>
      </c>
      <c r="AJ953" s="18">
        <f t="shared" si="996"/>
        <v>5.31</v>
      </c>
      <c r="AK953" t="str">
        <f t="shared" si="981"/>
        <v>Rising Rates</v>
      </c>
      <c r="AL953">
        <f t="shared" si="992"/>
        <v>25</v>
      </c>
      <c r="AM953" s="11" t="str">
        <f t="shared" si="982"/>
        <v>Stocks</v>
      </c>
      <c r="AN953" t="str">
        <f t="shared" si="988"/>
        <v>Buy</v>
      </c>
      <c r="AO953" s="13">
        <f t="shared" si="989"/>
        <v>7.1999999999999995E-2</v>
      </c>
      <c r="AP953" s="13">
        <f t="shared" si="990"/>
        <v>1.1000000000000001E-3</v>
      </c>
      <c r="AQ953" s="13">
        <f t="shared" si="991"/>
        <v>3.3700000000000001E-2</v>
      </c>
      <c r="AR953" s="13">
        <f t="shared" si="983"/>
        <v>7.1999999999999995E-2</v>
      </c>
      <c r="AS953" s="6">
        <f t="shared" si="975"/>
        <v>343.094762032147</v>
      </c>
      <c r="AT953" s="6">
        <f t="shared" si="976"/>
        <v>145.25631588941044</v>
      </c>
      <c r="AU953" s="6">
        <f t="shared" si="977"/>
        <v>293.00156148103002</v>
      </c>
      <c r="AV953" s="6">
        <f t="shared" si="978"/>
        <v>343.094762032147</v>
      </c>
      <c r="AW953" s="58">
        <f t="shared" si="984"/>
        <v>2000</v>
      </c>
      <c r="AX953" s="58">
        <f>COUNTIF(AW$3:AW953,AW953)</f>
        <v>32</v>
      </c>
    </row>
    <row r="954" spans="1:50" x14ac:dyDescent="0.25">
      <c r="A954" s="5">
        <v>36667</v>
      </c>
      <c r="B954">
        <v>1406.95</v>
      </c>
      <c r="C954">
        <v>5.86</v>
      </c>
      <c r="D954" s="6">
        <v>26.049999</v>
      </c>
      <c r="E954" s="18">
        <f t="shared" si="997"/>
        <v>26.59</v>
      </c>
      <c r="F954">
        <f t="shared" si="998"/>
        <v>-2</v>
      </c>
      <c r="G954" s="18">
        <f>ROUND(INDEX(Valuation!U:U,MATCH(A954,Valuation!A:A,0)),2)</f>
        <v>0</v>
      </c>
      <c r="H954">
        <f t="shared" si="1005"/>
        <v>-3</v>
      </c>
      <c r="I954" s="18">
        <f>INDEX(WeeklyIndicators!Y:Y,MATCH(A954,WeeklyIndicators!A:A,0))</f>
        <v>103.9</v>
      </c>
      <c r="J954">
        <f t="shared" si="994"/>
        <v>-1</v>
      </c>
      <c r="K954">
        <f>ROUND(INDEX(Economic!AF:AF,MATCH(EOMONTH($A954,-1),Economic!A:A,0)),2)</f>
        <v>148.32</v>
      </c>
      <c r="L954" s="11">
        <f t="shared" si="1003"/>
        <v>3</v>
      </c>
      <c r="M954">
        <f>ROUND(INDEX(Manufacturing!P:P,MATCH(EOMONTH($A954,-1),Manufacturing!A:A,0)),2)</f>
        <v>100.22</v>
      </c>
      <c r="N954">
        <f t="shared" si="999"/>
        <v>2</v>
      </c>
      <c r="O954">
        <f>ROUND(INDEX(Housing!AC:AC,MATCH(EOMONTH($A954,-1),Housing!B:B,0)),2)</f>
        <v>122.32</v>
      </c>
      <c r="P954">
        <f t="shared" si="1000"/>
        <v>1</v>
      </c>
      <c r="Q954">
        <f>ROUND(INDEX(Spending!AJ:AJ,MATCH(EOMONTH($A954,-1),Spending!B:B,0)),2)</f>
        <v>80.41</v>
      </c>
      <c r="R954">
        <f t="shared" si="1004"/>
        <v>2</v>
      </c>
      <c r="S954">
        <f>ROUND(INDEX(Employment!V:V,MATCH(EOMONTH($A954,-1),Employment!A:A,0)),2)</f>
        <v>188.23</v>
      </c>
      <c r="T954" s="11">
        <f t="shared" si="1001"/>
        <v>2</v>
      </c>
      <c r="U954">
        <f t="shared" si="1007"/>
        <v>24</v>
      </c>
      <c r="V954">
        <f t="shared" si="985"/>
        <v>82.5</v>
      </c>
      <c r="W954" s="13">
        <f t="shared" si="986"/>
        <v>-8.5000000000000006E-3</v>
      </c>
      <c r="X954" s="13">
        <f t="shared" si="987"/>
        <v>-1.67E-2</v>
      </c>
      <c r="Y954">
        <f t="shared" si="979"/>
        <v>67.55</v>
      </c>
      <c r="Z954" s="13">
        <f t="shared" si="974"/>
        <v>-8.2000000000000007E-3</v>
      </c>
      <c r="AA954" s="13">
        <f t="shared" si="1006"/>
        <v>-3.2100000000000004E-2</v>
      </c>
      <c r="AB954" s="6">
        <f t="shared" si="980"/>
        <v>60.480000000000004</v>
      </c>
      <c r="AC954">
        <f t="shared" si="972"/>
        <v>30</v>
      </c>
      <c r="AD954" s="11">
        <f t="shared" si="973"/>
        <v>-1</v>
      </c>
      <c r="AE954">
        <f t="shared" si="1008"/>
        <v>25</v>
      </c>
      <c r="AF954">
        <f>IF(AND(AE954&lt;15,OR(AC954&gt;=30,AA954&gt;0.15,X954&gt;=0.15)),2,VLOOKUP(AE954,Table!P:Q,2,FALSE))</f>
        <v>3</v>
      </c>
      <c r="AG954" s="22">
        <f>IF((AB954*0.98)-(D954*0.8)+((AF954-3)*3)+VLOOKUP(AM954,Table!$A$11:$B$13,2,FALSE)&lt;0,0,(AB954*0.98)-(D954*0.8)+((AF954-3)*3)+VLOOKUP(AM954,Table!$A$11:$B$13,2,FALSE))</f>
        <v>46.430400800000001</v>
      </c>
      <c r="AH954" s="22">
        <f t="shared" si="1002"/>
        <v>48</v>
      </c>
      <c r="AI954" s="18">
        <f t="shared" si="995"/>
        <v>5.71</v>
      </c>
      <c r="AJ954" s="18">
        <f t="shared" si="996"/>
        <v>5.28</v>
      </c>
      <c r="AK954" t="str">
        <f t="shared" si="981"/>
        <v>Rising Rates</v>
      </c>
      <c r="AL954">
        <f t="shared" si="992"/>
        <v>25.75</v>
      </c>
      <c r="AM954" s="11" t="str">
        <f t="shared" si="982"/>
        <v>Stocks</v>
      </c>
      <c r="AN954" t="str">
        <f t="shared" si="988"/>
        <v>Buy</v>
      </c>
      <c r="AO954" s="13">
        <f t="shared" si="989"/>
        <v>-2.06E-2</v>
      </c>
      <c r="AP954" s="13">
        <f t="shared" si="990"/>
        <v>1.1000000000000001E-3</v>
      </c>
      <c r="AQ954" s="13">
        <f t="shared" si="991"/>
        <v>-9.2999999999999992E-3</v>
      </c>
      <c r="AR954" s="13">
        <f t="shared" si="983"/>
        <v>-2.06E-2</v>
      </c>
      <c r="AS954" s="6">
        <f t="shared" si="975"/>
        <v>350.31117217903511</v>
      </c>
      <c r="AT954" s="6">
        <f t="shared" si="976"/>
        <v>145.0967095089506</v>
      </c>
      <c r="AU954" s="6">
        <f t="shared" si="977"/>
        <v>295.75205559809228</v>
      </c>
      <c r="AV954" s="6">
        <f t="shared" si="978"/>
        <v>350.31117217903511</v>
      </c>
      <c r="AW954" s="58">
        <f t="shared" si="984"/>
        <v>2000</v>
      </c>
      <c r="AX954" s="58">
        <f>COUNTIF(AW$3:AW954,AW954)</f>
        <v>33</v>
      </c>
    </row>
    <row r="955" spans="1:50" x14ac:dyDescent="0.25">
      <c r="A955" s="5">
        <v>36660</v>
      </c>
      <c r="B955">
        <v>1420.96</v>
      </c>
      <c r="C955">
        <v>5.94</v>
      </c>
      <c r="D955" s="6">
        <v>27.530000999999999</v>
      </c>
      <c r="E955" s="18">
        <f t="shared" si="997"/>
        <v>26.53</v>
      </c>
      <c r="F955">
        <f t="shared" si="998"/>
        <v>-2</v>
      </c>
      <c r="G955" s="18">
        <f>ROUND(INDEX(Valuation!U:U,MATCH(A955,Valuation!A:A,0)),2)</f>
        <v>0</v>
      </c>
      <c r="H955">
        <f t="shared" si="1005"/>
        <v>-3</v>
      </c>
      <c r="I955" s="18">
        <f>INDEX(WeeklyIndicators!Y:Y,MATCH(A955,WeeklyIndicators!A:A,0))</f>
        <v>115.86</v>
      </c>
      <c r="J955">
        <f t="shared" si="994"/>
        <v>-1</v>
      </c>
      <c r="K955">
        <f>ROUND(INDEX(Economic!AF:AF,MATCH(EOMONTH($A955,-1),Economic!A:A,0)),2)</f>
        <v>148.32</v>
      </c>
      <c r="L955" s="11">
        <f t="shared" si="1003"/>
        <v>3</v>
      </c>
      <c r="M955">
        <f>ROUND(INDEX(Manufacturing!P:P,MATCH(EOMONTH($A955,-1),Manufacturing!A:A,0)),2)</f>
        <v>100.22</v>
      </c>
      <c r="N955">
        <f t="shared" si="999"/>
        <v>2</v>
      </c>
      <c r="O955">
        <f>ROUND(INDEX(Housing!AC:AC,MATCH(EOMONTH($A955,-1),Housing!B:B,0)),2)</f>
        <v>122.32</v>
      </c>
      <c r="P955">
        <f t="shared" si="1000"/>
        <v>1</v>
      </c>
      <c r="Q955">
        <f>ROUND(INDEX(Spending!AJ:AJ,MATCH(EOMONTH($A955,-1),Spending!B:B,0)),2)</f>
        <v>80.41</v>
      </c>
      <c r="R955">
        <f t="shared" si="1004"/>
        <v>2</v>
      </c>
      <c r="S955">
        <f>ROUND(INDEX(Employment!V:V,MATCH(EOMONTH($A955,-1),Employment!A:A,0)),2)</f>
        <v>188.23</v>
      </c>
      <c r="T955" s="11">
        <f t="shared" si="1001"/>
        <v>2</v>
      </c>
      <c r="U955">
        <f t="shared" si="1007"/>
        <v>24</v>
      </c>
      <c r="V955">
        <f t="shared" si="985"/>
        <v>83.74</v>
      </c>
      <c r="W955" s="13">
        <f t="shared" si="986"/>
        <v>-3.5999999999999999E-3</v>
      </c>
      <c r="X955" s="13">
        <f t="shared" si="987"/>
        <v>-1.06E-2</v>
      </c>
      <c r="Y955">
        <f t="shared" si="979"/>
        <v>68.819999999999993</v>
      </c>
      <c r="Z955" s="13">
        <f t="shared" si="974"/>
        <v>-3.0000000000000001E-3</v>
      </c>
      <c r="AA955" s="13">
        <f t="shared" si="1006"/>
        <v>-3.49E-2</v>
      </c>
      <c r="AB955" s="6">
        <f t="shared" si="980"/>
        <v>61.67</v>
      </c>
      <c r="AC955">
        <f t="shared" si="972"/>
        <v>31</v>
      </c>
      <c r="AD955" s="11">
        <f t="shared" si="973"/>
        <v>-1</v>
      </c>
      <c r="AE955">
        <f t="shared" si="1008"/>
        <v>25</v>
      </c>
      <c r="AF955">
        <f>IF(AND(AE955&lt;15,OR(AC955&gt;=30,AA955&gt;0.15,X955&gt;=0.15)),2,VLOOKUP(AE955,Table!P:Q,2,FALSE))</f>
        <v>3</v>
      </c>
      <c r="AG955" s="22">
        <f>IF((AB955*0.98)-(D955*0.8)+((AF955-3)*3)+VLOOKUP(AM955,Table!$A$11:$B$13,2,FALSE)&lt;0,0,(AB955*0.98)-(D955*0.8)+((AF955-3)*3)+VLOOKUP(AM955,Table!$A$11:$B$13,2,FALSE))</f>
        <v>46.412599200000002</v>
      </c>
      <c r="AH955" s="22">
        <f t="shared" si="1002"/>
        <v>50</v>
      </c>
      <c r="AI955" s="18">
        <f t="shared" si="995"/>
        <v>5.69</v>
      </c>
      <c r="AJ955" s="18">
        <f t="shared" si="996"/>
        <v>5.25</v>
      </c>
      <c r="AK955" t="str">
        <f t="shared" si="981"/>
        <v>Rising Rates</v>
      </c>
      <c r="AL955">
        <f t="shared" si="992"/>
        <v>26.25</v>
      </c>
      <c r="AM955" s="11" t="str">
        <f t="shared" si="982"/>
        <v>Stocks</v>
      </c>
      <c r="AN955" t="str">
        <f t="shared" si="988"/>
        <v>Buy</v>
      </c>
      <c r="AO955" s="13">
        <f t="shared" si="989"/>
        <v>-9.9000000000000008E-3</v>
      </c>
      <c r="AP955" s="13">
        <f t="shared" si="990"/>
        <v>1.1000000000000001E-3</v>
      </c>
      <c r="AQ955" s="13">
        <f t="shared" si="991"/>
        <v>-4.4000000000000003E-3</v>
      </c>
      <c r="AR955" s="13">
        <f t="shared" si="983"/>
        <v>-9.9000000000000008E-3</v>
      </c>
      <c r="AS955" s="6">
        <f t="shared" si="975"/>
        <v>353.81393008689537</v>
      </c>
      <c r="AT955" s="6">
        <f t="shared" si="976"/>
        <v>144.93727850259774</v>
      </c>
      <c r="AU955" s="6">
        <f t="shared" si="977"/>
        <v>297.05911570720394</v>
      </c>
      <c r="AV955" s="6">
        <f t="shared" si="978"/>
        <v>353.81393008689537</v>
      </c>
      <c r="AW955" s="58">
        <f t="shared" si="984"/>
        <v>2000</v>
      </c>
      <c r="AX955" s="58">
        <f>COUNTIF(AW$3:AW955,AW955)</f>
        <v>34</v>
      </c>
    </row>
    <row r="956" spans="1:50" x14ac:dyDescent="0.25">
      <c r="A956" s="5">
        <v>36653</v>
      </c>
      <c r="B956">
        <v>1432.63</v>
      </c>
      <c r="C956">
        <v>5.74</v>
      </c>
      <c r="D956" s="6">
        <v>26.200001</v>
      </c>
      <c r="E956" s="18">
        <f t="shared" si="997"/>
        <v>28.51</v>
      </c>
      <c r="F956">
        <f t="shared" si="998"/>
        <v>-2</v>
      </c>
      <c r="G956" s="18">
        <f>ROUND(INDEX(Valuation!U:U,MATCH(A956,Valuation!A:A,0)),2)</f>
        <v>0</v>
      </c>
      <c r="H956">
        <f t="shared" si="1005"/>
        <v>-3</v>
      </c>
      <c r="I956" s="18">
        <f>INDEX(WeeklyIndicators!Y:Y,MATCH(A956,WeeklyIndicators!A:A,0))</f>
        <v>123.47</v>
      </c>
      <c r="J956">
        <f t="shared" si="994"/>
        <v>0</v>
      </c>
      <c r="K956">
        <f>ROUND(INDEX(Economic!AF:AF,MATCH(EOMONTH($A956,-1),Economic!A:A,0)),2)</f>
        <v>148.32</v>
      </c>
      <c r="L956" s="11">
        <f t="shared" si="1003"/>
        <v>3</v>
      </c>
      <c r="M956">
        <f>ROUND(INDEX(Manufacturing!P:P,MATCH(EOMONTH($A956,-1),Manufacturing!A:A,0)),2)</f>
        <v>100.22</v>
      </c>
      <c r="N956">
        <f t="shared" si="999"/>
        <v>2</v>
      </c>
      <c r="O956">
        <f>ROUND(INDEX(Housing!AC:AC,MATCH(EOMONTH($A956,-1),Housing!B:B,0)),2)</f>
        <v>122.32</v>
      </c>
      <c r="P956">
        <f t="shared" si="1000"/>
        <v>1</v>
      </c>
      <c r="Q956">
        <f>ROUND(INDEX(Spending!AJ:AJ,MATCH(EOMONTH($A956,-1),Spending!B:B,0)),2)</f>
        <v>80.41</v>
      </c>
      <c r="R956">
        <f t="shared" si="1004"/>
        <v>2</v>
      </c>
      <c r="S956">
        <f>ROUND(INDEX(Employment!V:V,MATCH(EOMONTH($A956,-1),Employment!A:A,0)),2)</f>
        <v>188.23</v>
      </c>
      <c r="T956" s="11">
        <f t="shared" si="1001"/>
        <v>2</v>
      </c>
      <c r="U956">
        <f t="shared" si="1007"/>
        <v>25</v>
      </c>
      <c r="V956">
        <f t="shared" si="985"/>
        <v>84.53</v>
      </c>
      <c r="W956" s="13">
        <f t="shared" si="986"/>
        <v>-1.8E-3</v>
      </c>
      <c r="X956" s="13">
        <f t="shared" si="987"/>
        <v>-1.4999999999999996E-3</v>
      </c>
      <c r="Y956">
        <f t="shared" si="979"/>
        <v>68.92</v>
      </c>
      <c r="Z956" s="13">
        <f t="shared" si="974"/>
        <v>-9.7999999999999997E-3</v>
      </c>
      <c r="AA956" s="13">
        <f t="shared" si="1006"/>
        <v>-3.0299999999999997E-2</v>
      </c>
      <c r="AB956" s="6">
        <f t="shared" si="980"/>
        <v>62.19</v>
      </c>
      <c r="AC956">
        <f t="shared" si="972"/>
        <v>31</v>
      </c>
      <c r="AD956" s="11">
        <f t="shared" si="973"/>
        <v>-1</v>
      </c>
      <c r="AE956">
        <f t="shared" si="1008"/>
        <v>26</v>
      </c>
      <c r="AF956">
        <f>IF(AND(AE956&lt;15,OR(AC956&gt;=30,AA956&gt;0.15,X956&gt;=0.15)),2,VLOOKUP(AE956,Table!P:Q,2,FALSE))</f>
        <v>4</v>
      </c>
      <c r="AG956" s="22">
        <f>IF((AB956*0.98)-(D956*0.8)+((AF956-3)*3)+VLOOKUP(AM956,Table!$A$11:$B$13,2,FALSE)&lt;0,0,(AB956*0.98)-(D956*0.8)+((AF956-3)*3)+VLOOKUP(AM956,Table!$A$11:$B$13,2,FALSE))</f>
        <v>50.986199199999994</v>
      </c>
      <c r="AH956" s="22">
        <f t="shared" si="1002"/>
        <v>51</v>
      </c>
      <c r="AI956" s="18">
        <f t="shared" si="995"/>
        <v>5.65</v>
      </c>
      <c r="AJ956" s="18">
        <f t="shared" si="996"/>
        <v>5.22</v>
      </c>
      <c r="AK956" t="str">
        <f t="shared" si="981"/>
        <v>Rising Rates</v>
      </c>
      <c r="AL956">
        <f t="shared" si="992"/>
        <v>27</v>
      </c>
      <c r="AM956" s="11" t="str">
        <f t="shared" si="982"/>
        <v>Stocks</v>
      </c>
      <c r="AN956" t="str">
        <f t="shared" si="988"/>
        <v>Buy</v>
      </c>
      <c r="AO956" s="13">
        <f t="shared" si="989"/>
        <v>-8.0999999999999996E-3</v>
      </c>
      <c r="AP956" s="13">
        <f t="shared" si="990"/>
        <v>1.1000000000000001E-3</v>
      </c>
      <c r="AQ956" s="13">
        <f t="shared" si="991"/>
        <v>-3.5999999999999999E-3</v>
      </c>
      <c r="AR956" s="13">
        <f t="shared" si="983"/>
        <v>-8.0999999999999996E-3</v>
      </c>
      <c r="AS956" s="6">
        <f t="shared" si="975"/>
        <v>356.70322621927147</v>
      </c>
      <c r="AT956" s="6">
        <f t="shared" si="976"/>
        <v>144.7780226776523</v>
      </c>
      <c r="AU956" s="6">
        <f t="shared" si="977"/>
        <v>298.13239231955436</v>
      </c>
      <c r="AV956" s="6">
        <f t="shared" si="978"/>
        <v>356.70322621927147</v>
      </c>
      <c r="AW956" s="58">
        <f t="shared" si="984"/>
        <v>2000</v>
      </c>
      <c r="AX956" s="58">
        <f>COUNTIF(AW$3:AW956,AW956)</f>
        <v>35</v>
      </c>
    </row>
    <row r="957" spans="1:50" x14ac:dyDescent="0.25">
      <c r="A957" s="5">
        <v>36646</v>
      </c>
      <c r="B957">
        <v>1452.43</v>
      </c>
      <c r="C957">
        <v>5.62</v>
      </c>
      <c r="D957" s="6">
        <v>25.85</v>
      </c>
      <c r="E957" s="18">
        <f t="shared" si="997"/>
        <v>27.91</v>
      </c>
      <c r="F957">
        <f t="shared" si="998"/>
        <v>-2</v>
      </c>
      <c r="G957" s="18">
        <f>ROUND(INDEX(Valuation!U:U,MATCH(A957,Valuation!A:A,0)),2)</f>
        <v>0</v>
      </c>
      <c r="H957">
        <f t="shared" si="1005"/>
        <v>-3</v>
      </c>
      <c r="I957" s="18">
        <f>INDEX(WeeklyIndicators!Y:Y,MATCH(A957,WeeklyIndicators!A:A,0))</f>
        <v>124.78</v>
      </c>
      <c r="J957">
        <f t="shared" si="994"/>
        <v>0</v>
      </c>
      <c r="K957">
        <f>ROUND(INDEX(Economic!AF:AF,MATCH(EOMONTH($A957,-1),Economic!A:A,0)),2)</f>
        <v>147.28</v>
      </c>
      <c r="L957" s="11">
        <f t="shared" si="1003"/>
        <v>3</v>
      </c>
      <c r="M957">
        <f>ROUND(INDEX(Manufacturing!P:P,MATCH(EOMONTH($A957,-1),Manufacturing!A:A,0)),2)</f>
        <v>103.84</v>
      </c>
      <c r="N957">
        <f t="shared" si="999"/>
        <v>2</v>
      </c>
      <c r="O957">
        <f>ROUND(INDEX(Housing!AC:AC,MATCH(EOMONTH($A957,-1),Housing!B:B,0)),2)</f>
        <v>124.92</v>
      </c>
      <c r="P957">
        <f t="shared" si="1000"/>
        <v>1</v>
      </c>
      <c r="Q957">
        <f>ROUND(INDEX(Spending!AJ:AJ,MATCH(EOMONTH($A957,-1),Spending!B:B,0)),2)</f>
        <v>76.650000000000006</v>
      </c>
      <c r="R957">
        <f t="shared" si="1004"/>
        <v>2</v>
      </c>
      <c r="S957">
        <f>ROUND(INDEX(Employment!V:V,MATCH(EOMONTH($A957,-1),Employment!A:A,0)),2)</f>
        <v>185.57</v>
      </c>
      <c r="T957" s="11">
        <f t="shared" si="1001"/>
        <v>2</v>
      </c>
      <c r="U957">
        <f t="shared" si="1007"/>
        <v>25</v>
      </c>
      <c r="V957">
        <f t="shared" si="985"/>
        <v>84.66</v>
      </c>
      <c r="W957" s="13">
        <f t="shared" si="986"/>
        <v>-2.8E-3</v>
      </c>
      <c r="X957" s="13">
        <f t="shared" si="987"/>
        <v>1.2800000000000001E-2</v>
      </c>
      <c r="Y957">
        <f t="shared" si="979"/>
        <v>69.25</v>
      </c>
      <c r="Z957" s="13">
        <f t="shared" si="974"/>
        <v>-1.11E-2</v>
      </c>
      <c r="AA957" s="13">
        <f t="shared" si="1006"/>
        <v>-8.0000000000000002E-3</v>
      </c>
      <c r="AB957" s="6">
        <f t="shared" si="980"/>
        <v>64.16</v>
      </c>
      <c r="AC957">
        <f t="shared" ref="AC957:AC1020" si="1009">IF(ROUND(AB957/2,0)&lt;0,0,ROUND(AB957/2,0))</f>
        <v>32</v>
      </c>
      <c r="AD957" s="11">
        <f t="shared" si="973"/>
        <v>0</v>
      </c>
      <c r="AE957">
        <f t="shared" si="1008"/>
        <v>27</v>
      </c>
      <c r="AF957">
        <f>IF(AND(AE957&lt;15,OR(AC957&gt;=30,AA957&gt;0.15,X957&gt;=0.15)),2,VLOOKUP(AE957,Table!P:Q,2,FALSE))</f>
        <v>4</v>
      </c>
      <c r="AG957" s="22">
        <f>IF((AB957*0.98)-(D957*0.8)+((AF957-3)*3)+VLOOKUP(AM957,Table!$A$11:$B$13,2,FALSE)&lt;0,0,(AB957*0.98)-(D957*0.8)+((AF957-3)*3)+VLOOKUP(AM957,Table!$A$11:$B$13,2,FALSE))</f>
        <v>53.196799999999996</v>
      </c>
      <c r="AH957" s="22">
        <f t="shared" si="1002"/>
        <v>54</v>
      </c>
      <c r="AI957" s="18">
        <f t="shared" si="995"/>
        <v>5.63</v>
      </c>
      <c r="AJ957" s="18">
        <f t="shared" si="996"/>
        <v>5.19</v>
      </c>
      <c r="AK957" t="str">
        <f t="shared" si="981"/>
        <v/>
      </c>
      <c r="AL957">
        <f t="shared" si="992"/>
        <v>27.5</v>
      </c>
      <c r="AM957" s="11" t="str">
        <f t="shared" si="982"/>
        <v>Stocks</v>
      </c>
      <c r="AN957" t="str">
        <f t="shared" si="988"/>
        <v>Buy</v>
      </c>
      <c r="AO957" s="13">
        <f t="shared" si="989"/>
        <v>-1.3599999999999999E-2</v>
      </c>
      <c r="AP957" s="13">
        <f t="shared" si="990"/>
        <v>1.1000000000000001E-3</v>
      </c>
      <c r="AQ957" s="13">
        <f t="shared" si="991"/>
        <v>-6.7999999999999996E-3</v>
      </c>
      <c r="AR957" s="13">
        <f t="shared" si="983"/>
        <v>-1.3599999999999999E-2</v>
      </c>
      <c r="AS957" s="6">
        <f t="shared" si="975"/>
        <v>361.62127556698243</v>
      </c>
      <c r="AT957" s="6">
        <f t="shared" si="976"/>
        <v>144.61894184162651</v>
      </c>
      <c r="AU957" s="6">
        <f t="shared" si="977"/>
        <v>300.17357261332495</v>
      </c>
      <c r="AV957" s="6">
        <f t="shared" si="978"/>
        <v>361.62127556698243</v>
      </c>
      <c r="AW957" s="58">
        <f t="shared" si="984"/>
        <v>2000</v>
      </c>
      <c r="AX957" s="58">
        <f>COUNTIF(AW$3:AW957,AW957)</f>
        <v>36</v>
      </c>
    </row>
    <row r="958" spans="1:50" x14ac:dyDescent="0.25">
      <c r="A958" s="5">
        <v>36639</v>
      </c>
      <c r="B958">
        <v>1434.54</v>
      </c>
      <c r="C958">
        <v>5.65</v>
      </c>
      <c r="D958" s="6">
        <v>33.490001999999997</v>
      </c>
      <c r="E958" s="18">
        <f t="shared" si="997"/>
        <v>27.33</v>
      </c>
      <c r="F958">
        <f t="shared" si="998"/>
        <v>-2</v>
      </c>
      <c r="G958" s="18">
        <f>ROUND(INDEX(Valuation!U:U,MATCH(A958,Valuation!A:A,0)),2)</f>
        <v>0</v>
      </c>
      <c r="H958">
        <f t="shared" si="1005"/>
        <v>-3</v>
      </c>
      <c r="I958" s="18">
        <f>INDEX(WeeklyIndicators!Y:Y,MATCH(A958,WeeklyIndicators!A:A,0))</f>
        <v>124.67</v>
      </c>
      <c r="J958">
        <f t="shared" si="994"/>
        <v>0</v>
      </c>
      <c r="K958">
        <f>ROUND(INDEX(Economic!AF:AF,MATCH(EOMONTH($A958,-1),Economic!A:A,0)),2)</f>
        <v>147.28</v>
      </c>
      <c r="L958" s="11">
        <f t="shared" si="1003"/>
        <v>3</v>
      </c>
      <c r="M958">
        <f>ROUND(INDEX(Manufacturing!P:P,MATCH(EOMONTH($A958,-1),Manufacturing!A:A,0)),2)</f>
        <v>103.84</v>
      </c>
      <c r="N958">
        <f t="shared" si="999"/>
        <v>2</v>
      </c>
      <c r="O958">
        <f>ROUND(INDEX(Housing!AC:AC,MATCH(EOMONTH($A958,-1),Housing!B:B,0)),2)</f>
        <v>124.92</v>
      </c>
      <c r="P958">
        <f t="shared" si="1000"/>
        <v>1</v>
      </c>
      <c r="Q958">
        <f>ROUND(INDEX(Spending!AJ:AJ,MATCH(EOMONTH($A958,-1),Spending!B:B,0)),2)</f>
        <v>76.650000000000006</v>
      </c>
      <c r="R958">
        <f t="shared" si="1004"/>
        <v>2</v>
      </c>
      <c r="S958">
        <f>ROUND(INDEX(Employment!V:V,MATCH(EOMONTH($A958,-1),Employment!A:A,0)),2)</f>
        <v>185.57</v>
      </c>
      <c r="T958" s="11">
        <f t="shared" si="1001"/>
        <v>2</v>
      </c>
      <c r="U958">
        <f t="shared" si="1007"/>
        <v>25</v>
      </c>
      <c r="V958">
        <f t="shared" si="985"/>
        <v>84.65</v>
      </c>
      <c r="W958" s="13">
        <f t="shared" si="986"/>
        <v>-2.3999999999999998E-3</v>
      </c>
      <c r="X958" s="13">
        <f t="shared" si="987"/>
        <v>3.15E-2</v>
      </c>
      <c r="Y958">
        <f t="shared" si="979"/>
        <v>69.45</v>
      </c>
      <c r="Z958" s="13">
        <f t="shared" si="974"/>
        <v>-1.0999999999999999E-2</v>
      </c>
      <c r="AA958" s="13">
        <f t="shared" si="1006"/>
        <v>2.4100000000000003E-2</v>
      </c>
      <c r="AB958" s="6">
        <f t="shared" si="980"/>
        <v>66.7</v>
      </c>
      <c r="AC958">
        <f t="shared" si="1009"/>
        <v>33</v>
      </c>
      <c r="AD958" s="11">
        <f t="shared" ref="AD958:AD1021" si="1010">IF(AC958&gt;47,2,IF(AND(AC958&gt;41,AC958&lt;=47),1,IF(AC958&lt;15,-2,IF(AND(AC958&lt;32,AC958&gt;=15),-1,0))))</f>
        <v>0</v>
      </c>
      <c r="AE958">
        <f t="shared" si="1008"/>
        <v>27</v>
      </c>
      <c r="AF958">
        <f>IF(AND(AE958&lt;15,OR(AC958&gt;=30,AA958&gt;0.15,X958&gt;=0.15)),2,VLOOKUP(AE958,Table!P:Q,2,FALSE))</f>
        <v>4</v>
      </c>
      <c r="AG958" s="22">
        <f>IF((AB958*0.98)-(D958*0.8)+((AF958-3)*3)+VLOOKUP(AM958,Table!$A$11:$B$13,2,FALSE)&lt;0,0,(AB958*0.98)-(D958*0.8)+((AF958-3)*3)+VLOOKUP(AM958,Table!$A$11:$B$13,2,FALSE))</f>
        <v>49.573998400000001</v>
      </c>
      <c r="AH958" s="22">
        <f t="shared" si="1002"/>
        <v>57</v>
      </c>
      <c r="AI958" s="18">
        <f t="shared" si="995"/>
        <v>5.62</v>
      </c>
      <c r="AJ958" s="18">
        <f t="shared" si="996"/>
        <v>5.17</v>
      </c>
      <c r="AK958" t="str">
        <f t="shared" si="981"/>
        <v>Rising Rates</v>
      </c>
      <c r="AL958">
        <f t="shared" si="992"/>
        <v>27.75</v>
      </c>
      <c r="AM958" s="11" t="str">
        <f t="shared" si="982"/>
        <v>Stocks</v>
      </c>
      <c r="AN958" t="str">
        <f t="shared" si="988"/>
        <v>Buy</v>
      </c>
      <c r="AO958" s="13">
        <f t="shared" si="989"/>
        <v>1.2500000000000001E-2</v>
      </c>
      <c r="AP958" s="13">
        <f t="shared" si="990"/>
        <v>1.1000000000000001E-3</v>
      </c>
      <c r="AQ958" s="13">
        <f t="shared" si="991"/>
        <v>7.6E-3</v>
      </c>
      <c r="AR958" s="13">
        <f t="shared" si="983"/>
        <v>1.2500000000000001E-2</v>
      </c>
      <c r="AS958" s="6">
        <f t="shared" si="975"/>
        <v>357.15681537479747</v>
      </c>
      <c r="AT958" s="6">
        <f t="shared" si="976"/>
        <v>144.46003580224402</v>
      </c>
      <c r="AU958" s="6">
        <f t="shared" si="977"/>
        <v>297.90946071191439</v>
      </c>
      <c r="AV958" s="6">
        <f t="shared" si="978"/>
        <v>357.15681537479747</v>
      </c>
      <c r="AW958" s="58">
        <f t="shared" si="984"/>
        <v>2000</v>
      </c>
      <c r="AX958" s="58">
        <f>COUNTIF(AW$3:AW958,AW958)</f>
        <v>37</v>
      </c>
    </row>
    <row r="959" spans="1:50" x14ac:dyDescent="0.25">
      <c r="A959" s="5">
        <v>36632</v>
      </c>
      <c r="B959">
        <v>1356.56</v>
      </c>
      <c r="C959">
        <v>5.67</v>
      </c>
      <c r="D959" s="6">
        <v>24.389999</v>
      </c>
      <c r="E959" s="18">
        <f t="shared" si="997"/>
        <v>23.94</v>
      </c>
      <c r="F959">
        <f t="shared" si="998"/>
        <v>-1</v>
      </c>
      <c r="G959" s="18">
        <f>ROUND(INDEX(Valuation!U:U,MATCH(A959,Valuation!A:A,0)),2)</f>
        <v>0</v>
      </c>
      <c r="H959">
        <f t="shared" si="1005"/>
        <v>-3</v>
      </c>
      <c r="I959" s="18">
        <f>INDEX(WeeklyIndicators!Y:Y,MATCH(A959,WeeklyIndicators!A:A,0))</f>
        <v>128.04</v>
      </c>
      <c r="J959">
        <f t="shared" si="994"/>
        <v>0</v>
      </c>
      <c r="K959">
        <f>ROUND(INDEX(Economic!AF:AF,MATCH(EOMONTH($A959,-1),Economic!A:A,0)),2)</f>
        <v>147.28</v>
      </c>
      <c r="L959" s="11">
        <f t="shared" si="1003"/>
        <v>3</v>
      </c>
      <c r="M959">
        <f>ROUND(INDEX(Manufacturing!P:P,MATCH(EOMONTH($A959,-1),Manufacturing!A:A,0)),2)</f>
        <v>103.84</v>
      </c>
      <c r="N959">
        <f t="shared" si="999"/>
        <v>2</v>
      </c>
      <c r="O959">
        <f>ROUND(INDEX(Housing!AC:AC,MATCH(EOMONTH($A959,-1),Housing!B:B,0)),2)</f>
        <v>124.92</v>
      </c>
      <c r="P959">
        <f t="shared" si="1000"/>
        <v>1</v>
      </c>
      <c r="Q959">
        <f>ROUND(INDEX(Spending!AJ:AJ,MATCH(EOMONTH($A959,-1),Spending!B:B,0)),2)</f>
        <v>76.650000000000006</v>
      </c>
      <c r="R959">
        <f t="shared" si="1004"/>
        <v>2</v>
      </c>
      <c r="S959">
        <f>ROUND(INDEX(Employment!V:V,MATCH(EOMONTH($A959,-1),Employment!A:A,0)),2)</f>
        <v>185.57</v>
      </c>
      <c r="T959" s="11">
        <f t="shared" si="1001"/>
        <v>2</v>
      </c>
      <c r="U959">
        <f t="shared" si="1007"/>
        <v>26</v>
      </c>
      <c r="V959">
        <f t="shared" si="985"/>
        <v>85</v>
      </c>
      <c r="W959" s="13">
        <f t="shared" si="986"/>
        <v>5.4999999999999997E-3</v>
      </c>
      <c r="X959" s="13">
        <f t="shared" si="987"/>
        <v>4.3099999999999999E-2</v>
      </c>
      <c r="Y959">
        <f t="shared" si="979"/>
        <v>70.98</v>
      </c>
      <c r="Z959" s="13">
        <f t="shared" si="974"/>
        <v>1.6000000000000001E-3</v>
      </c>
      <c r="AA959" s="13">
        <f t="shared" si="1006"/>
        <v>5.3500000000000006E-2</v>
      </c>
      <c r="AB959" s="6">
        <f t="shared" si="980"/>
        <v>70.33</v>
      </c>
      <c r="AC959">
        <f t="shared" si="1009"/>
        <v>35</v>
      </c>
      <c r="AD959" s="11">
        <f t="shared" si="1010"/>
        <v>0</v>
      </c>
      <c r="AE959">
        <f t="shared" si="1008"/>
        <v>28</v>
      </c>
      <c r="AF959">
        <f>IF(AND(AE959&lt;15,OR(AC959&gt;=30,AA959&gt;0.15,X959&gt;=0.15)),2,VLOOKUP(AE959,Table!P:Q,2,FALSE))</f>
        <v>4</v>
      </c>
      <c r="AG959" s="22">
        <f>IF((AB959*0.98)-(D959*0.8)+((AF959-3)*3)+VLOOKUP(AM959,Table!$A$11:$B$13,2,FALSE)&lt;0,0,(AB959*0.98)-(D959*0.8)+((AF959-3)*3)+VLOOKUP(AM959,Table!$A$11:$B$13,2,FALSE))</f>
        <v>60.411400799999996</v>
      </c>
      <c r="AH959" s="22">
        <f t="shared" si="1002"/>
        <v>61</v>
      </c>
      <c r="AI959" s="18">
        <f t="shared" si="995"/>
        <v>5.59</v>
      </c>
      <c r="AJ959" s="18">
        <f t="shared" si="996"/>
        <v>5.14</v>
      </c>
      <c r="AK959" t="str">
        <f t="shared" si="981"/>
        <v>Rising Rates</v>
      </c>
      <c r="AL959">
        <f t="shared" si="992"/>
        <v>28</v>
      </c>
      <c r="AM959" s="11" t="str">
        <f t="shared" si="982"/>
        <v>Stocks</v>
      </c>
      <c r="AN959" t="str">
        <f t="shared" si="988"/>
        <v>Buy</v>
      </c>
      <c r="AO959" s="13">
        <f t="shared" si="989"/>
        <v>5.7500000000000002E-2</v>
      </c>
      <c r="AP959" s="13">
        <f t="shared" si="990"/>
        <v>1.1000000000000001E-3</v>
      </c>
      <c r="AQ959" s="13">
        <f t="shared" si="991"/>
        <v>3.5499999999999997E-2</v>
      </c>
      <c r="AR959" s="13">
        <f t="shared" si="983"/>
        <v>5.7500000000000002E-2</v>
      </c>
      <c r="AS959" s="6">
        <f t="shared" si="975"/>
        <v>337.73694125276353</v>
      </c>
      <c r="AT959" s="6">
        <f t="shared" si="976"/>
        <v>144.30130436743983</v>
      </c>
      <c r="AU959" s="6">
        <f t="shared" si="977"/>
        <v>287.69624404820314</v>
      </c>
      <c r="AV959" s="6">
        <f t="shared" si="978"/>
        <v>337.73694125276353</v>
      </c>
      <c r="AW959" s="58">
        <f t="shared" si="984"/>
        <v>2000</v>
      </c>
      <c r="AX959" s="58">
        <f>COUNTIF(AW$3:AW959,AW959)</f>
        <v>38</v>
      </c>
    </row>
    <row r="960" spans="1:50" x14ac:dyDescent="0.25">
      <c r="A960" s="5">
        <v>36625</v>
      </c>
      <c r="B960">
        <v>1516.35</v>
      </c>
      <c r="C960">
        <v>5.7</v>
      </c>
      <c r="D960" s="6">
        <v>24.110001</v>
      </c>
      <c r="E960" s="18">
        <f t="shared" si="997"/>
        <v>23.26</v>
      </c>
      <c r="F960">
        <f t="shared" si="998"/>
        <v>-1</v>
      </c>
      <c r="G960" s="18">
        <f>ROUND(INDEX(Valuation!U:U,MATCH(A960,Valuation!A:A,0)),2)</f>
        <v>0</v>
      </c>
      <c r="H960">
        <f t="shared" si="1005"/>
        <v>-3</v>
      </c>
      <c r="I960" s="18">
        <f>INDEX(WeeklyIndicators!Y:Y,MATCH(A960,WeeklyIndicators!A:A,0))</f>
        <v>131.75</v>
      </c>
      <c r="J960">
        <f t="shared" si="994"/>
        <v>0</v>
      </c>
      <c r="K960">
        <f>ROUND(INDEX(Economic!AF:AF,MATCH(EOMONTH($A960,-1),Economic!A:A,0)),2)</f>
        <v>147.28</v>
      </c>
      <c r="L960" s="11">
        <f t="shared" si="1003"/>
        <v>3</v>
      </c>
      <c r="M960">
        <f>ROUND(INDEX(Manufacturing!P:P,MATCH(EOMONTH($A960,-1),Manufacturing!A:A,0)),2)</f>
        <v>103.84</v>
      </c>
      <c r="N960">
        <f t="shared" si="999"/>
        <v>2</v>
      </c>
      <c r="O960">
        <f>ROUND(INDEX(Housing!AC:AC,MATCH(EOMONTH($A960,-1),Housing!B:B,0)),2)</f>
        <v>124.92</v>
      </c>
      <c r="P960">
        <f t="shared" si="1000"/>
        <v>1</v>
      </c>
      <c r="Q960">
        <f>ROUND(INDEX(Spending!AJ:AJ,MATCH(EOMONTH($A960,-1),Spending!B:B,0)),2)</f>
        <v>76.650000000000006</v>
      </c>
      <c r="R960">
        <f t="shared" si="1004"/>
        <v>2</v>
      </c>
      <c r="S960">
        <f>ROUND(INDEX(Employment!V:V,MATCH(EOMONTH($A960,-1),Employment!A:A,0)),2)</f>
        <v>185.57</v>
      </c>
      <c r="T960" s="11">
        <f t="shared" si="1001"/>
        <v>2</v>
      </c>
      <c r="U960">
        <f t="shared" si="1007"/>
        <v>26</v>
      </c>
      <c r="V960">
        <f t="shared" si="985"/>
        <v>85.38</v>
      </c>
      <c r="W960" s="13">
        <f t="shared" si="986"/>
        <v>1.2500000000000001E-2</v>
      </c>
      <c r="X960" s="13">
        <f t="shared" si="987"/>
        <v>3.5400000000000001E-2</v>
      </c>
      <c r="Y960">
        <f t="shared" si="979"/>
        <v>71.599999999999994</v>
      </c>
      <c r="Z960" s="13">
        <f t="shared" ref="Z960:Z1023" si="1011">ROUND((AVERAGE(Y960:Y962)-AVERAGE(Y961:Y963))/AVERAGE(Y961:Y963),4)</f>
        <v>1.2500000000000001E-2</v>
      </c>
      <c r="AA960" s="13">
        <f t="shared" si="1006"/>
        <v>5.2900000000000003E-2</v>
      </c>
      <c r="AB960" s="6">
        <f t="shared" si="980"/>
        <v>70.84</v>
      </c>
      <c r="AC960">
        <f t="shared" si="1009"/>
        <v>35</v>
      </c>
      <c r="AD960" s="11">
        <f t="shared" si="1010"/>
        <v>0</v>
      </c>
      <c r="AE960">
        <f t="shared" si="1008"/>
        <v>28</v>
      </c>
      <c r="AF960">
        <f>IF(AND(AE960&lt;15,OR(AC960&gt;=30,AA960&gt;0.15,X960&gt;=0.15)),2,VLOOKUP(AE960,Table!P:Q,2,FALSE))</f>
        <v>4</v>
      </c>
      <c r="AG960" s="22">
        <f>IF((AB960*0.98)-(D960*0.8)+((AF960-3)*3)+VLOOKUP(AM960,Table!$A$11:$B$13,2,FALSE)&lt;0,0,(AB960*0.98)-(D960*0.8)+((AF960-3)*3)+VLOOKUP(AM960,Table!$A$11:$B$13,2,FALSE))</f>
        <v>61.135199200000002</v>
      </c>
      <c r="AH960" s="22">
        <f t="shared" si="1002"/>
        <v>59</v>
      </c>
      <c r="AI960" s="18">
        <f t="shared" si="995"/>
        <v>5.56</v>
      </c>
      <c r="AJ960" s="18">
        <f t="shared" si="996"/>
        <v>5.1100000000000003</v>
      </c>
      <c r="AK960" t="str">
        <f t="shared" si="981"/>
        <v>Rising Rates</v>
      </c>
      <c r="AL960">
        <f t="shared" si="992"/>
        <v>27.5</v>
      </c>
      <c r="AM960" s="11" t="str">
        <f t="shared" si="982"/>
        <v>Stocks</v>
      </c>
      <c r="AN960" t="str">
        <f t="shared" si="988"/>
        <v>Buy</v>
      </c>
      <c r="AO960" s="13">
        <f t="shared" si="989"/>
        <v>-0.10539999999999999</v>
      </c>
      <c r="AP960" s="13">
        <f t="shared" si="990"/>
        <v>1.1000000000000001E-3</v>
      </c>
      <c r="AQ960" s="13">
        <f t="shared" si="991"/>
        <v>-6.1699999999999998E-2</v>
      </c>
      <c r="AR960" s="13">
        <f t="shared" si="983"/>
        <v>-0.10539999999999999</v>
      </c>
      <c r="AS960" s="6">
        <f t="shared" si="975"/>
        <v>377.52843869077071</v>
      </c>
      <c r="AT960" s="6">
        <f t="shared" si="976"/>
        <v>144.14274734535991</v>
      </c>
      <c r="AU960" s="6">
        <f t="shared" si="977"/>
        <v>306.61434940658972</v>
      </c>
      <c r="AV960" s="6">
        <f t="shared" si="978"/>
        <v>377.52843869077071</v>
      </c>
      <c r="AW960" s="58">
        <f t="shared" si="984"/>
        <v>2000</v>
      </c>
      <c r="AX960" s="58">
        <f>COUNTIF(AW$3:AW960,AW960)</f>
        <v>39</v>
      </c>
    </row>
    <row r="961" spans="1:50" x14ac:dyDescent="0.25">
      <c r="A961" s="5">
        <v>36618</v>
      </c>
      <c r="B961">
        <v>1498.58</v>
      </c>
      <c r="C961">
        <v>5.71</v>
      </c>
      <c r="D961" s="6">
        <v>23.309999000000001</v>
      </c>
      <c r="E961" s="18">
        <f t="shared" si="997"/>
        <v>22.31</v>
      </c>
      <c r="F961">
        <f t="shared" si="998"/>
        <v>-1</v>
      </c>
      <c r="G961" s="18">
        <f>ROUND(INDEX(Valuation!U:U,MATCH(A961,Valuation!A:A,0)),2)</f>
        <v>0</v>
      </c>
      <c r="H961">
        <f t="shared" si="1005"/>
        <v>-3</v>
      </c>
      <c r="I961" s="18">
        <f>INDEX(WeeklyIndicators!Y:Y,MATCH(A961,WeeklyIndicators!A:A,0))</f>
        <v>130.58000000000001</v>
      </c>
      <c r="J961">
        <f t="shared" si="994"/>
        <v>0</v>
      </c>
      <c r="K961">
        <f>ROUND(INDEX(Economic!AF:AF,MATCH(EOMONTH($A961,-1),Economic!A:A,0)),2)</f>
        <v>147.28</v>
      </c>
      <c r="L961" s="11">
        <f t="shared" si="1003"/>
        <v>3</v>
      </c>
      <c r="M961">
        <f>ROUND(INDEX(Manufacturing!P:P,MATCH(EOMONTH($A961,-1),Manufacturing!A:A,0)),2)</f>
        <v>103.84</v>
      </c>
      <c r="N961">
        <f t="shared" si="999"/>
        <v>2</v>
      </c>
      <c r="O961">
        <f>ROUND(INDEX(Housing!AC:AC,MATCH(EOMONTH($A961,-1),Housing!B:B,0)),2)</f>
        <v>124.92</v>
      </c>
      <c r="P961">
        <f t="shared" si="1000"/>
        <v>1</v>
      </c>
      <c r="Q961">
        <f>ROUND(INDEX(Spending!AJ:AJ,MATCH(EOMONTH($A961,-1),Spending!B:B,0)),2)</f>
        <v>76.650000000000006</v>
      </c>
      <c r="R961">
        <f t="shared" si="1004"/>
        <v>2</v>
      </c>
      <c r="S961">
        <f>ROUND(INDEX(Employment!V:V,MATCH(EOMONTH($A961,-1),Employment!A:A,0)),2)</f>
        <v>185.57</v>
      </c>
      <c r="T961" s="11">
        <f t="shared" si="1001"/>
        <v>2</v>
      </c>
      <c r="U961">
        <f t="shared" si="1007"/>
        <v>26</v>
      </c>
      <c r="V961">
        <f t="shared" si="985"/>
        <v>85.26</v>
      </c>
      <c r="W961" s="13">
        <f t="shared" si="986"/>
        <v>1.5900000000000001E-2</v>
      </c>
      <c r="X961" s="13">
        <f t="shared" si="987"/>
        <v>1.1300000000000001E-2</v>
      </c>
      <c r="Y961">
        <f t="shared" si="979"/>
        <v>71.81</v>
      </c>
      <c r="Z961" s="13">
        <f t="shared" si="1011"/>
        <v>2.1000000000000001E-2</v>
      </c>
      <c r="AA961" s="13">
        <f t="shared" si="1006"/>
        <v>2.7300000000000005E-2</v>
      </c>
      <c r="AB961" s="6">
        <f t="shared" si="980"/>
        <v>69.09</v>
      </c>
      <c r="AC961">
        <f t="shared" si="1009"/>
        <v>35</v>
      </c>
      <c r="AD961" s="11">
        <f t="shared" si="1010"/>
        <v>0</v>
      </c>
      <c r="AE961">
        <f t="shared" si="1008"/>
        <v>28</v>
      </c>
      <c r="AF961">
        <f>IF(AND(AE961&lt;15,OR(AC961&gt;=30,AA961&gt;0.15,X961&gt;=0.15)),2,VLOOKUP(AE961,Table!P:Q,2,FALSE))</f>
        <v>4</v>
      </c>
      <c r="AG961" s="22">
        <f>IF((AB961*0.98)-(D961*0.8)+((AF961-3)*3)+VLOOKUP(AM961,Table!$A$11:$B$13,2,FALSE)&lt;0,0,(AB961*0.98)-(D961*0.8)+((AF961-3)*3)+VLOOKUP(AM961,Table!$A$11:$B$13,2,FALSE))</f>
        <v>60.060200800000004</v>
      </c>
      <c r="AH961" s="22">
        <f t="shared" si="1002"/>
        <v>57</v>
      </c>
      <c r="AI961" s="18">
        <f t="shared" si="995"/>
        <v>5.53</v>
      </c>
      <c r="AJ961" s="18">
        <f t="shared" si="996"/>
        <v>5.08</v>
      </c>
      <c r="AK961" t="str">
        <f t="shared" si="981"/>
        <v>Rising Rates</v>
      </c>
      <c r="AL961">
        <f t="shared" si="992"/>
        <v>27</v>
      </c>
      <c r="AM961" s="11" t="str">
        <f t="shared" si="982"/>
        <v>Stocks</v>
      </c>
      <c r="AN961" t="str">
        <f t="shared" si="988"/>
        <v>Buy</v>
      </c>
      <c r="AO961" s="13">
        <f t="shared" si="989"/>
        <v>1.1900000000000001E-2</v>
      </c>
      <c r="AP961" s="13">
        <f t="shared" si="990"/>
        <v>1.1000000000000001E-3</v>
      </c>
      <c r="AQ961" s="13">
        <f t="shared" si="991"/>
        <v>7.3000000000000001E-3</v>
      </c>
      <c r="AR961" s="13">
        <f t="shared" si="983"/>
        <v>1.1900000000000001E-2</v>
      </c>
      <c r="AS961" s="6">
        <f t="shared" si="975"/>
        <v>373.08868335880095</v>
      </c>
      <c r="AT961" s="6">
        <f t="shared" si="976"/>
        <v>143.98436454436109</v>
      </c>
      <c r="AU961" s="6">
        <f t="shared" si="977"/>
        <v>304.39228572082766</v>
      </c>
      <c r="AV961" s="6">
        <f t="shared" si="978"/>
        <v>373.08868335880095</v>
      </c>
      <c r="AW961" s="58">
        <f t="shared" si="984"/>
        <v>2000</v>
      </c>
      <c r="AX961" s="58">
        <f>COUNTIF(AW$3:AW961,AW961)</f>
        <v>40</v>
      </c>
    </row>
    <row r="962" spans="1:50" x14ac:dyDescent="0.25">
      <c r="A962" s="5">
        <v>36611</v>
      </c>
      <c r="B962">
        <v>1527.46</v>
      </c>
      <c r="C962">
        <v>5.74</v>
      </c>
      <c r="D962" s="6">
        <v>22.370000999999998</v>
      </c>
      <c r="E962" s="18">
        <f t="shared" si="997"/>
        <v>20.94</v>
      </c>
      <c r="F962">
        <f t="shared" si="998"/>
        <v>-1</v>
      </c>
      <c r="G962" s="18">
        <f>ROUND(INDEX(Valuation!U:U,MATCH(A962,Valuation!A:A,0)),2)</f>
        <v>0</v>
      </c>
      <c r="H962">
        <f t="shared" si="1005"/>
        <v>-3</v>
      </c>
      <c r="I962" s="18">
        <f>INDEX(WeeklyIndicators!Y:Y,MATCH(A962,WeeklyIndicators!A:A,0))</f>
        <v>120.78</v>
      </c>
      <c r="J962">
        <f t="shared" si="994"/>
        <v>0</v>
      </c>
      <c r="K962">
        <f>ROUND(INDEX(Economic!AF:AF,MATCH(EOMONTH($A962,-1),Economic!A:A,0)),2)</f>
        <v>142.77000000000001</v>
      </c>
      <c r="L962" s="11">
        <f t="shared" si="1003"/>
        <v>3</v>
      </c>
      <c r="M962">
        <f>ROUND(INDEX(Manufacturing!P:P,MATCH(EOMONTH($A962,-1),Manufacturing!A:A,0)),2)</f>
        <v>107.22</v>
      </c>
      <c r="N962">
        <f t="shared" si="999"/>
        <v>2</v>
      </c>
      <c r="O962">
        <f>ROUND(INDEX(Housing!AC:AC,MATCH(EOMONTH($A962,-1),Housing!B:B,0)),2)</f>
        <v>127.6</v>
      </c>
      <c r="P962">
        <f t="shared" si="1000"/>
        <v>1</v>
      </c>
      <c r="Q962">
        <f>ROUND(INDEX(Spending!AJ:AJ,MATCH(EOMONTH($A962,-1),Spending!B:B,0)),2)</f>
        <v>72.12</v>
      </c>
      <c r="R962">
        <f t="shared" si="1004"/>
        <v>2</v>
      </c>
      <c r="S962">
        <f>ROUND(INDEX(Employment!V:V,MATCH(EOMONTH($A962,-1),Employment!A:A,0)),2)</f>
        <v>182.31</v>
      </c>
      <c r="T962" s="11">
        <f t="shared" si="1001"/>
        <v>2</v>
      </c>
      <c r="U962">
        <f t="shared" si="1007"/>
        <v>26</v>
      </c>
      <c r="V962">
        <f t="shared" si="985"/>
        <v>83.6</v>
      </c>
      <c r="W962" s="13">
        <f t="shared" si="986"/>
        <v>9.1999999999999998E-3</v>
      </c>
      <c r="X962" s="13">
        <f t="shared" si="987"/>
        <v>-2.06E-2</v>
      </c>
      <c r="Y962">
        <f t="shared" si="979"/>
        <v>70.63</v>
      </c>
      <c r="Z962" s="13">
        <f t="shared" si="1011"/>
        <v>1.84E-2</v>
      </c>
      <c r="AA962" s="13">
        <f t="shared" si="1006"/>
        <v>-1.6799999999999999E-2</v>
      </c>
      <c r="AB962" s="6">
        <f t="shared" si="980"/>
        <v>64.59</v>
      </c>
      <c r="AC962">
        <f t="shared" si="1009"/>
        <v>32</v>
      </c>
      <c r="AD962" s="11">
        <f t="shared" si="1010"/>
        <v>0</v>
      </c>
      <c r="AE962">
        <f t="shared" si="1008"/>
        <v>28</v>
      </c>
      <c r="AF962">
        <f>IF(AND(AE962&lt;15,OR(AC962&gt;=30,AA962&gt;0.15,X962&gt;=0.15)),2,VLOOKUP(AE962,Table!P:Q,2,FALSE))</f>
        <v>4</v>
      </c>
      <c r="AG962" s="22">
        <f>IF((AB962*0.98)-(D962*0.8)+((AF962-3)*3)+VLOOKUP(AM962,Table!$A$11:$B$13,2,FALSE)&lt;0,0,(AB962*0.98)-(D962*0.8)+((AF962-3)*3)+VLOOKUP(AM962,Table!$A$11:$B$13,2,FALSE))</f>
        <v>56.402199199999998</v>
      </c>
      <c r="AH962" s="22">
        <f t="shared" si="1002"/>
        <v>54</v>
      </c>
      <c r="AI962" s="18">
        <f t="shared" si="995"/>
        <v>5.49</v>
      </c>
      <c r="AJ962" s="18">
        <f t="shared" si="996"/>
        <v>5.05</v>
      </c>
      <c r="AK962" t="str">
        <f t="shared" si="981"/>
        <v>Rising Rates</v>
      </c>
      <c r="AL962">
        <f t="shared" si="992"/>
        <v>26.25</v>
      </c>
      <c r="AM962" s="11" t="str">
        <f t="shared" si="982"/>
        <v>Stocks</v>
      </c>
      <c r="AN962" t="str">
        <f t="shared" si="988"/>
        <v>Buy</v>
      </c>
      <c r="AO962" s="13">
        <f t="shared" si="989"/>
        <v>-1.89E-2</v>
      </c>
      <c r="AP962" s="13">
        <f t="shared" si="990"/>
        <v>1.1000000000000001E-3</v>
      </c>
      <c r="AQ962" s="13">
        <f t="shared" si="991"/>
        <v>-9.7000000000000003E-3</v>
      </c>
      <c r="AR962" s="13">
        <f t="shared" si="983"/>
        <v>-1.89E-2</v>
      </c>
      <c r="AS962" s="6">
        <f t="shared" si="975"/>
        <v>380.27589782774533</v>
      </c>
      <c r="AT962" s="6">
        <f t="shared" si="976"/>
        <v>143.82615577301075</v>
      </c>
      <c r="AU962" s="6">
        <f t="shared" si="977"/>
        <v>307.37381169426203</v>
      </c>
      <c r="AV962" s="6">
        <f t="shared" si="978"/>
        <v>380.27589782774533</v>
      </c>
      <c r="AW962" s="58">
        <f t="shared" si="984"/>
        <v>2000</v>
      </c>
      <c r="AX962" s="58">
        <f>COUNTIF(AW$3:AW962,AW962)</f>
        <v>41</v>
      </c>
    </row>
    <row r="963" spans="1:50" x14ac:dyDescent="0.25">
      <c r="A963" s="5">
        <v>36604</v>
      </c>
      <c r="B963">
        <v>1464.47</v>
      </c>
      <c r="C963">
        <v>5.71</v>
      </c>
      <c r="D963" s="6">
        <v>21.24</v>
      </c>
      <c r="E963" s="18">
        <f t="shared" si="997"/>
        <v>21.88</v>
      </c>
      <c r="F963">
        <f t="shared" si="998"/>
        <v>-1</v>
      </c>
      <c r="G963" s="18">
        <f>ROUND(INDEX(Valuation!U:U,MATCH(A963,Valuation!A:A,0)),2)</f>
        <v>0</v>
      </c>
      <c r="H963">
        <f t="shared" si="1005"/>
        <v>-3</v>
      </c>
      <c r="I963" s="18">
        <f>INDEX(WeeklyIndicators!Y:Y,MATCH(A963,WeeklyIndicators!A:A,0))</f>
        <v>107.77</v>
      </c>
      <c r="J963">
        <f t="shared" si="994"/>
        <v>-1</v>
      </c>
      <c r="K963">
        <f>ROUND(INDEX(Economic!AF:AF,MATCH(EOMONTH($A963,-1),Economic!A:A,0)),2)</f>
        <v>142.77000000000001</v>
      </c>
      <c r="L963" s="11">
        <f t="shared" si="1003"/>
        <v>3</v>
      </c>
      <c r="M963">
        <f>ROUND(INDEX(Manufacturing!P:P,MATCH(EOMONTH($A963,-1),Manufacturing!A:A,0)),2)</f>
        <v>107.22</v>
      </c>
      <c r="N963">
        <f t="shared" si="999"/>
        <v>2</v>
      </c>
      <c r="O963">
        <f>ROUND(INDEX(Housing!AC:AC,MATCH(EOMONTH($A963,-1),Housing!B:B,0)),2)</f>
        <v>127.6</v>
      </c>
      <c r="P963">
        <f t="shared" si="1000"/>
        <v>1</v>
      </c>
      <c r="Q963">
        <f>ROUND(INDEX(Spending!AJ:AJ,MATCH(EOMONTH($A963,-1),Spending!B:B,0)),2)</f>
        <v>72.12</v>
      </c>
      <c r="R963">
        <f t="shared" si="1004"/>
        <v>2</v>
      </c>
      <c r="S963">
        <f>ROUND(INDEX(Employment!V:V,MATCH(EOMONTH($A963,-1),Employment!A:A,0)),2)</f>
        <v>182.31</v>
      </c>
      <c r="T963" s="11">
        <f t="shared" si="1001"/>
        <v>2</v>
      </c>
      <c r="U963">
        <f t="shared" si="1007"/>
        <v>25</v>
      </c>
      <c r="V963">
        <f t="shared" si="985"/>
        <v>82.25</v>
      </c>
      <c r="W963" s="13">
        <f t="shared" si="986"/>
        <v>-2.2000000000000001E-3</v>
      </c>
      <c r="X963" s="13">
        <f t="shared" si="987"/>
        <v>-4.0800000000000003E-2</v>
      </c>
      <c r="Y963">
        <f t="shared" si="979"/>
        <v>68.959999999999994</v>
      </c>
      <c r="Z963" s="13">
        <f t="shared" si="1011"/>
        <v>1E-3</v>
      </c>
      <c r="AA963" s="13">
        <f t="shared" si="1006"/>
        <v>-5.1199999999999996E-2</v>
      </c>
      <c r="AB963" s="6">
        <f t="shared" si="980"/>
        <v>60.36</v>
      </c>
      <c r="AC963">
        <f t="shared" si="1009"/>
        <v>30</v>
      </c>
      <c r="AD963" s="11">
        <f t="shared" si="1010"/>
        <v>-1</v>
      </c>
      <c r="AE963">
        <f t="shared" si="1008"/>
        <v>26</v>
      </c>
      <c r="AF963">
        <f>IF(AND(AE963&lt;15,OR(AC963&gt;=30,AA963&gt;0.15,X963&gt;=0.15)),2,VLOOKUP(AE963,Table!P:Q,2,FALSE))</f>
        <v>4</v>
      </c>
      <c r="AG963" s="22">
        <f>IF((AB963*0.98)-(D963*0.8)+((AF963-3)*3)+VLOOKUP(AM963,Table!$A$11:$B$13,2,FALSE)&lt;0,0,(AB963*0.98)-(D963*0.8)+((AF963-3)*3)+VLOOKUP(AM963,Table!$A$11:$B$13,2,FALSE))</f>
        <v>53.160799999999995</v>
      </c>
      <c r="AH963" s="22">
        <f t="shared" si="1002"/>
        <v>51</v>
      </c>
      <c r="AI963" s="18">
        <f t="shared" si="995"/>
        <v>5.46</v>
      </c>
      <c r="AJ963" s="18">
        <f t="shared" si="996"/>
        <v>5.0199999999999996</v>
      </c>
      <c r="AK963" t="str">
        <f t="shared" si="981"/>
        <v>Rising Rates</v>
      </c>
      <c r="AL963">
        <f t="shared" si="992"/>
        <v>26.5</v>
      </c>
      <c r="AM963" s="11" t="str">
        <f t="shared" si="982"/>
        <v>Stocks</v>
      </c>
      <c r="AN963" t="str">
        <f t="shared" si="988"/>
        <v>Buy</v>
      </c>
      <c r="AO963" s="13">
        <f t="shared" si="989"/>
        <v>4.2999999999999997E-2</v>
      </c>
      <c r="AP963" s="13">
        <f t="shared" si="990"/>
        <v>1.1000000000000001E-3</v>
      </c>
      <c r="AQ963" s="13">
        <f t="shared" si="991"/>
        <v>2.2499999999999999E-2</v>
      </c>
      <c r="AR963" s="13">
        <f t="shared" si="983"/>
        <v>4.2999999999999997E-2</v>
      </c>
      <c r="AS963" s="6">
        <f t="shared" ref="AS963:AS1026" si="1012">AS964*(1+AO964)</f>
        <v>364.59817624903678</v>
      </c>
      <c r="AT963" s="6">
        <f t="shared" ref="AT963:AT1026" si="1013">AT964*(1+AP964)</f>
        <v>143.66812084008666</v>
      </c>
      <c r="AU963" s="6">
        <f t="shared" ref="AU963:AU1026" si="1014">AU964*(1+AQ964)</f>
        <v>300.61008478656436</v>
      </c>
      <c r="AV963" s="6">
        <f t="shared" ref="AV963:AV1026" si="1015">AV964*(1+AR964)</f>
        <v>364.59817624903678</v>
      </c>
      <c r="AW963" s="58">
        <f t="shared" si="984"/>
        <v>2000</v>
      </c>
      <c r="AX963" s="58">
        <f>COUNTIF(AW$3:AW963,AW963)</f>
        <v>42</v>
      </c>
    </row>
    <row r="964" spans="1:50" x14ac:dyDescent="0.25">
      <c r="A964" s="5">
        <v>36597</v>
      </c>
      <c r="B964">
        <v>1395.07</v>
      </c>
      <c r="C964">
        <v>5.67</v>
      </c>
      <c r="D964" s="6">
        <v>19.209999</v>
      </c>
      <c r="E964" s="18">
        <f t="shared" si="997"/>
        <v>23.47</v>
      </c>
      <c r="F964">
        <f t="shared" si="998"/>
        <v>-1</v>
      </c>
      <c r="G964" s="18">
        <f>ROUND(INDEX(Valuation!U:U,MATCH(A964,Valuation!A:A,0)),2)</f>
        <v>0</v>
      </c>
      <c r="H964">
        <f t="shared" si="1005"/>
        <v>-3</v>
      </c>
      <c r="I964" s="18">
        <f>INDEX(WeeklyIndicators!Y:Y,MATCH(A964,WeeklyIndicators!A:A,0))</f>
        <v>98.78</v>
      </c>
      <c r="J964">
        <f t="shared" si="994"/>
        <v>-1</v>
      </c>
      <c r="K964">
        <f>ROUND(INDEX(Economic!AF:AF,MATCH(EOMONTH($A964,-1),Economic!A:A,0)),2)</f>
        <v>142.77000000000001</v>
      </c>
      <c r="L964" s="11">
        <f t="shared" si="1003"/>
        <v>3</v>
      </c>
      <c r="M964">
        <f>ROUND(INDEX(Manufacturing!P:P,MATCH(EOMONTH($A964,-1),Manufacturing!A:A,0)),2)</f>
        <v>107.22</v>
      </c>
      <c r="N964">
        <f t="shared" si="999"/>
        <v>2</v>
      </c>
      <c r="O964">
        <f>ROUND(INDEX(Housing!AC:AC,MATCH(EOMONTH($A964,-1),Housing!B:B,0)),2)</f>
        <v>127.6</v>
      </c>
      <c r="P964">
        <f t="shared" si="1000"/>
        <v>1</v>
      </c>
      <c r="Q964">
        <f>ROUND(INDEX(Spending!AJ:AJ,MATCH(EOMONTH($A964,-1),Spending!B:B,0)),2)</f>
        <v>72.12</v>
      </c>
      <c r="R964">
        <f t="shared" si="1004"/>
        <v>2</v>
      </c>
      <c r="S964">
        <f>ROUND(INDEX(Employment!V:V,MATCH(EOMONTH($A964,-1),Employment!A:A,0)),2)</f>
        <v>182.31</v>
      </c>
      <c r="T964" s="11">
        <f t="shared" si="1001"/>
        <v>2</v>
      </c>
      <c r="U964">
        <f t="shared" si="1007"/>
        <v>25</v>
      </c>
      <c r="V964">
        <f t="shared" si="985"/>
        <v>81.319999999999993</v>
      </c>
      <c r="W964" s="13">
        <f t="shared" si="986"/>
        <v>-1.1599999999999999E-2</v>
      </c>
      <c r="X964" s="13">
        <f t="shared" si="987"/>
        <v>-3.9599999999999996E-2</v>
      </c>
      <c r="Y964">
        <f t="shared" ref="Y964:Y1027" si="1016">ROUND(((K964*0.745)+(M964*0.745)+(O964*0.36)+(Q964*0.45)+(S964*0.45)+(I964*0.55)+(G964*0.59)-(E964*1.85))/5.3,2)</f>
        <v>67.47</v>
      </c>
      <c r="Z964" s="13">
        <f t="shared" si="1011"/>
        <v>-1.3100000000000001E-2</v>
      </c>
      <c r="AA964" s="13">
        <f t="shared" si="1006"/>
        <v>-5.8699999999999995E-2</v>
      </c>
      <c r="AB964" s="6">
        <f t="shared" ref="AB964:AB1027" si="1017">IF(ROUND(Y964+(X964*10)+(V964/30)+(AA964*67),2)+5+((G964-125)*0.1)&lt;0,0,ROUND(Y964+(X964*10)+(V964/30)+(AA964*67),2)+5+((G964-125)*0.1))</f>
        <v>58.349999999999994</v>
      </c>
      <c r="AC964">
        <f t="shared" si="1009"/>
        <v>29</v>
      </c>
      <c r="AD964" s="11">
        <f t="shared" si="1010"/>
        <v>-1</v>
      </c>
      <c r="AE964">
        <f t="shared" si="1008"/>
        <v>26</v>
      </c>
      <c r="AF964">
        <f>IF(AND(AE964&lt;15,OR(AC964&gt;=30,AA964&gt;0.15,X964&gt;=0.15)),2,VLOOKUP(AE964,Table!P:Q,2,FALSE))</f>
        <v>4</v>
      </c>
      <c r="AG964" s="22">
        <f>IF((AB964*0.98)-(D964*0.8)+((AF964-3)*3)+VLOOKUP(AM964,Table!$A$11:$B$13,2,FALSE)&lt;0,0,(AB964*0.98)-(D964*0.8)+((AF964-3)*3)+VLOOKUP(AM964,Table!$A$11:$B$13,2,FALSE))</f>
        <v>52.815000799999993</v>
      </c>
      <c r="AH964" s="22">
        <f t="shared" si="1002"/>
        <v>50</v>
      </c>
      <c r="AI964" s="18">
        <f t="shared" si="995"/>
        <v>5.42</v>
      </c>
      <c r="AJ964" s="18">
        <f t="shared" si="996"/>
        <v>4.99</v>
      </c>
      <c r="AK964" t="str">
        <f t="shared" ref="AK964:AK1027" si="1018">IF(AND(C964&gt;AI964,AI964&gt;AJ964,C964-AJ964&gt;0.15),"Rising Rates",IF(AND(C964&lt;AI964,AI964&lt;AJ964,AJ964-C964&gt;0.15),"Falling Rates",""))</f>
        <v>Rising Rates</v>
      </c>
      <c r="AL964">
        <f t="shared" si="992"/>
        <v>27.5</v>
      </c>
      <c r="AM964" s="11" t="str">
        <f t="shared" ref="AM964:AM1027" si="1019">IF(OR(AND(AL964&lt;=18,G964&lt;=25),AND(AL964&lt;=14,G964&lt;200)),"Cash","Stocks")</f>
        <v>Stocks</v>
      </c>
      <c r="AN964" t="str">
        <f t="shared" si="988"/>
        <v>Buy</v>
      </c>
      <c r="AO964" s="13">
        <f t="shared" si="989"/>
        <v>4.9700000000000001E-2</v>
      </c>
      <c r="AP964" s="13">
        <f t="shared" si="990"/>
        <v>1.1000000000000001E-3</v>
      </c>
      <c r="AQ964" s="13">
        <f t="shared" si="991"/>
        <v>2.5399999999999999E-2</v>
      </c>
      <c r="AR964" s="13">
        <f t="shared" ref="AR964:AR1027" si="1020">IF(AM964="Stocks",AO964,AP964)</f>
        <v>4.9700000000000001E-2</v>
      </c>
      <c r="AS964" s="6">
        <f t="shared" si="1012"/>
        <v>347.3355970744372</v>
      </c>
      <c r="AT964" s="6">
        <f t="shared" si="1013"/>
        <v>143.51025955457661</v>
      </c>
      <c r="AU964" s="6">
        <f t="shared" si="1014"/>
        <v>293.16372614254374</v>
      </c>
      <c r="AV964" s="6">
        <f t="shared" si="1015"/>
        <v>347.3355970744372</v>
      </c>
      <c r="AW964" s="58">
        <f t="shared" ref="AW964:AW1027" si="1021">YEAR(A964)</f>
        <v>2000</v>
      </c>
      <c r="AX964" s="58">
        <f>COUNTIF(AW$3:AW964,AW964)</f>
        <v>43</v>
      </c>
    </row>
    <row r="965" spans="1:50" x14ac:dyDescent="0.25">
      <c r="A965" s="5">
        <v>36590</v>
      </c>
      <c r="B965">
        <v>1409.17</v>
      </c>
      <c r="C965">
        <v>5.62</v>
      </c>
      <c r="D965" s="6">
        <v>25.200001</v>
      </c>
      <c r="E965" s="18">
        <f t="shared" si="997"/>
        <v>25.21</v>
      </c>
      <c r="F965">
        <f t="shared" si="998"/>
        <v>-2</v>
      </c>
      <c r="G965" s="18">
        <f>ROUND(INDEX(Valuation!U:U,MATCH(A965,Valuation!A:A,0)),2)</f>
        <v>0</v>
      </c>
      <c r="H965">
        <f t="shared" si="1005"/>
        <v>-3</v>
      </c>
      <c r="I965" s="18">
        <f>INDEX(WeeklyIndicators!Y:Y,MATCH(A965,WeeklyIndicators!A:A,0))</f>
        <v>98.98</v>
      </c>
      <c r="J965">
        <f t="shared" si="994"/>
        <v>-1</v>
      </c>
      <c r="K965">
        <f>ROUND(INDEX(Economic!AF:AF,MATCH(EOMONTH($A965,-1),Economic!A:A,0)),2)</f>
        <v>142.77000000000001</v>
      </c>
      <c r="L965" s="11">
        <f t="shared" si="1003"/>
        <v>3</v>
      </c>
      <c r="M965">
        <f>ROUND(INDEX(Manufacturing!P:P,MATCH(EOMONTH($A965,-1),Manufacturing!A:A,0)),2)</f>
        <v>107.22</v>
      </c>
      <c r="N965">
        <f t="shared" si="999"/>
        <v>2</v>
      </c>
      <c r="O965">
        <f>ROUND(INDEX(Housing!AC:AC,MATCH(EOMONTH($A965,-1),Housing!B:B,0)),2)</f>
        <v>127.6</v>
      </c>
      <c r="P965">
        <f t="shared" si="1000"/>
        <v>1</v>
      </c>
      <c r="Q965">
        <f>ROUND(INDEX(Spending!AJ:AJ,MATCH(EOMONTH($A965,-1),Spending!B:B,0)),2)</f>
        <v>72.12</v>
      </c>
      <c r="R965">
        <f t="shared" si="1004"/>
        <v>2</v>
      </c>
      <c r="S965">
        <f>ROUND(INDEX(Employment!V:V,MATCH(EOMONTH($A965,-1),Employment!A:A,0)),2)</f>
        <v>182.31</v>
      </c>
      <c r="T965" s="11">
        <f t="shared" si="1001"/>
        <v>2</v>
      </c>
      <c r="U965">
        <f t="shared" si="1007"/>
        <v>24</v>
      </c>
      <c r="V965">
        <f t="shared" ref="V965:V1028" si="1022">ROUND(((K965*0.745)+(M965*0.745)+(O965*0.36)+(Q965*0.45)+(S965*0.45)+(I965*0.55)+(60)-(30))/5.3,2)</f>
        <v>81.34</v>
      </c>
      <c r="W965" s="13">
        <f t="shared" ref="W965:W1028" si="1023">ROUND((AVERAGE(V965:V967)-AVERAGE(V966:V968))/AVERAGE(V966:V968),4)</f>
        <v>-1.6E-2</v>
      </c>
      <c r="X965" s="13">
        <f t="shared" ref="X965:X1028" si="1024">SUM(W965:W968)</f>
        <v>-2.1400000000000002E-2</v>
      </c>
      <c r="Y965">
        <f t="shared" si="1016"/>
        <v>66.88</v>
      </c>
      <c r="Z965" s="13">
        <f t="shared" si="1011"/>
        <v>-2.3099999999999999E-2</v>
      </c>
      <c r="AA965" s="13">
        <f t="shared" si="1006"/>
        <v>-3.9099999999999996E-2</v>
      </c>
      <c r="AB965" s="6">
        <f t="shared" si="1017"/>
        <v>59.260000000000005</v>
      </c>
      <c r="AC965">
        <f t="shared" si="1009"/>
        <v>30</v>
      </c>
      <c r="AD965" s="11">
        <f t="shared" si="1010"/>
        <v>-1</v>
      </c>
      <c r="AE965">
        <f t="shared" si="1008"/>
        <v>25</v>
      </c>
      <c r="AF965">
        <f>IF(AND(AE965&lt;15,OR(AC965&gt;=30,AA965&gt;0.15,X965&gt;=0.15)),2,VLOOKUP(AE965,Table!P:Q,2,FALSE))</f>
        <v>3</v>
      </c>
      <c r="AG965" s="22">
        <f>IF((AB965*0.98)-(D965*0.8)+((AF965-3)*3)+VLOOKUP(AM965,Table!$A$11:$B$13,2,FALSE)&lt;0,0,(AB965*0.98)-(D965*0.8)+((AF965-3)*3)+VLOOKUP(AM965,Table!$A$11:$B$13,2,FALSE))</f>
        <v>45.914799200000004</v>
      </c>
      <c r="AH965" s="22">
        <f t="shared" si="1002"/>
        <v>52</v>
      </c>
      <c r="AI965" s="18">
        <f t="shared" si="995"/>
        <v>5.38</v>
      </c>
      <c r="AJ965" s="18">
        <f t="shared" si="996"/>
        <v>4.96</v>
      </c>
      <c r="AK965" t="str">
        <f t="shared" si="1018"/>
        <v>Rising Rates</v>
      </c>
      <c r="AL965">
        <f t="shared" si="992"/>
        <v>28.5</v>
      </c>
      <c r="AM965" s="11" t="str">
        <f t="shared" si="1019"/>
        <v>Stocks</v>
      </c>
      <c r="AN965" t="str">
        <f t="shared" ref="AN965:AN1028" si="1025">IF(AND(V965&gt;AG965,V965&lt;65),"Sell","Buy")</f>
        <v>Buy</v>
      </c>
      <c r="AO965" s="13">
        <f t="shared" ref="AO965:AO1028" si="1026">ROUND((B964/B965)-1,4)</f>
        <v>-0.01</v>
      </c>
      <c r="AP965" s="13">
        <f t="shared" ref="AP965:AP1028" si="1027">ROUND((C965*0.01)/52,4)</f>
        <v>1.1000000000000001E-3</v>
      </c>
      <c r="AQ965" s="13">
        <f t="shared" ref="AQ965:AQ1028" si="1028">ROUND(((AH965*0.01)*AO965)+(((100-AH965)*0.01)*AP965),4)</f>
        <v>-4.7000000000000002E-3</v>
      </c>
      <c r="AR965" s="13">
        <f t="shared" si="1020"/>
        <v>-0.01</v>
      </c>
      <c r="AS965" s="6">
        <f t="shared" si="1012"/>
        <v>350.84403744892649</v>
      </c>
      <c r="AT965" s="6">
        <f t="shared" si="1013"/>
        <v>143.35257172567836</v>
      </c>
      <c r="AU965" s="6">
        <f t="shared" si="1014"/>
        <v>294.54810222299182</v>
      </c>
      <c r="AV965" s="6">
        <f t="shared" si="1015"/>
        <v>350.84403744892649</v>
      </c>
      <c r="AW965" s="58">
        <f t="shared" si="1021"/>
        <v>2000</v>
      </c>
      <c r="AX965" s="58">
        <f>COUNTIF(AW$3:AW965,AW965)</f>
        <v>44</v>
      </c>
    </row>
    <row r="966" spans="1:50" x14ac:dyDescent="0.25">
      <c r="A966" s="5">
        <v>36583</v>
      </c>
      <c r="B966">
        <v>1333.36</v>
      </c>
      <c r="C966">
        <v>5.62</v>
      </c>
      <c r="D966" s="6">
        <v>26</v>
      </c>
      <c r="E966" s="18">
        <f t="shared" si="997"/>
        <v>23.99</v>
      </c>
      <c r="F966">
        <f t="shared" si="998"/>
        <v>-1</v>
      </c>
      <c r="G966" s="18">
        <f>ROUND(INDEX(Valuation!U:U,MATCH(A966,Valuation!A:A,0)),2)</f>
        <v>0</v>
      </c>
      <c r="H966">
        <f t="shared" si="1005"/>
        <v>-3</v>
      </c>
      <c r="I966" s="18">
        <f>INDEX(WeeklyIndicators!Y:Y,MATCH(A966,WeeklyIndicators!A:A,0))</f>
        <v>109.19</v>
      </c>
      <c r="J966">
        <f t="shared" si="994"/>
        <v>-1</v>
      </c>
      <c r="K966">
        <f>ROUND(INDEX(Economic!AF:AF,MATCH(EOMONTH($A966,-1),Economic!A:A,0)),2)</f>
        <v>137.9</v>
      </c>
      <c r="L966" s="11">
        <f t="shared" si="1003"/>
        <v>2</v>
      </c>
      <c r="M966">
        <f>ROUND(INDEX(Manufacturing!P:P,MATCH(EOMONTH($A966,-1),Manufacturing!A:A,0)),2)</f>
        <v>111.4</v>
      </c>
      <c r="N966">
        <f t="shared" si="999"/>
        <v>3</v>
      </c>
      <c r="O966">
        <f>ROUND(INDEX(Housing!AC:AC,MATCH(EOMONTH($A966,-1),Housing!B:B,0)),2)</f>
        <v>128.36000000000001</v>
      </c>
      <c r="P966">
        <f t="shared" si="1000"/>
        <v>2</v>
      </c>
      <c r="Q966">
        <f>ROUND(INDEX(Spending!AJ:AJ,MATCH(EOMONTH($A966,-1),Spending!B:B,0)),2)</f>
        <v>69.510000000000005</v>
      </c>
      <c r="R966">
        <f t="shared" si="1004"/>
        <v>2</v>
      </c>
      <c r="S966">
        <f>ROUND(INDEX(Employment!V:V,MATCH(EOMONTH($A966,-1),Employment!A:A,0)),2)</f>
        <v>190.12</v>
      </c>
      <c r="T966" s="11">
        <f t="shared" si="1001"/>
        <v>3</v>
      </c>
      <c r="U966">
        <f t="shared" si="1007"/>
        <v>27</v>
      </c>
      <c r="V966">
        <f t="shared" si="1022"/>
        <v>82.8</v>
      </c>
      <c r="W966" s="13">
        <f t="shared" si="1023"/>
        <v>-1.0999999999999999E-2</v>
      </c>
      <c r="X966" s="13">
        <f t="shared" si="1024"/>
        <v>4.5999999999999999E-3</v>
      </c>
      <c r="Y966">
        <f t="shared" si="1016"/>
        <v>68.760000000000005</v>
      </c>
      <c r="Z966" s="13">
        <f t="shared" si="1011"/>
        <v>-1.6E-2</v>
      </c>
      <c r="AA966" s="13">
        <f t="shared" si="1006"/>
        <v>-3.7000000000000002E-3</v>
      </c>
      <c r="AB966" s="6">
        <f t="shared" si="1017"/>
        <v>63.819999999999993</v>
      </c>
      <c r="AC966">
        <f t="shared" si="1009"/>
        <v>32</v>
      </c>
      <c r="AD966" s="11">
        <f t="shared" si="1010"/>
        <v>0</v>
      </c>
      <c r="AE966">
        <f t="shared" si="1008"/>
        <v>29</v>
      </c>
      <c r="AF966">
        <f>IF(AND(AE966&lt;15,OR(AC966&gt;=30,AA966&gt;0.15,X966&gt;=0.15)),2,VLOOKUP(AE966,Table!P:Q,2,FALSE))</f>
        <v>4</v>
      </c>
      <c r="AG966" s="22">
        <f>IF((AB966*0.98)-(D966*0.8)+((AF966-3)*3)+VLOOKUP(AM966,Table!$A$11:$B$13,2,FALSE)&lt;0,0,(AB966*0.98)-(D966*0.8)+((AF966-3)*3)+VLOOKUP(AM966,Table!$A$11:$B$13,2,FALSE))</f>
        <v>52.743599999999986</v>
      </c>
      <c r="AH966" s="22">
        <f t="shared" si="1002"/>
        <v>57</v>
      </c>
      <c r="AI966" s="18">
        <f t="shared" si="995"/>
        <v>5.34</v>
      </c>
      <c r="AJ966" s="18">
        <f t="shared" si="996"/>
        <v>4.93</v>
      </c>
      <c r="AK966" t="str">
        <f t="shared" si="1018"/>
        <v>Rising Rates</v>
      </c>
      <c r="AL966">
        <f t="shared" si="992"/>
        <v>30</v>
      </c>
      <c r="AM966" s="11" t="str">
        <f t="shared" si="1019"/>
        <v>Stocks</v>
      </c>
      <c r="AN966" t="str">
        <f t="shared" si="1025"/>
        <v>Buy</v>
      </c>
      <c r="AO966" s="13">
        <f t="shared" si="1026"/>
        <v>5.6899999999999999E-2</v>
      </c>
      <c r="AP966" s="13">
        <f t="shared" si="1027"/>
        <v>1.1000000000000001E-3</v>
      </c>
      <c r="AQ966" s="13">
        <f t="shared" si="1028"/>
        <v>3.2899999999999999E-2</v>
      </c>
      <c r="AR966" s="13">
        <f t="shared" si="1020"/>
        <v>5.6899999999999999E-2</v>
      </c>
      <c r="AS966" s="6">
        <f t="shared" si="1012"/>
        <v>331.95575498999574</v>
      </c>
      <c r="AT966" s="6">
        <f t="shared" si="1013"/>
        <v>143.19505716279926</v>
      </c>
      <c r="AU966" s="6">
        <f t="shared" si="1014"/>
        <v>285.16613633748847</v>
      </c>
      <c r="AV966" s="6">
        <f t="shared" si="1015"/>
        <v>331.95575498999574</v>
      </c>
      <c r="AW966" s="58">
        <f t="shared" si="1021"/>
        <v>2000</v>
      </c>
      <c r="AX966" s="58">
        <f>COUNTIF(AW$3:AW966,AW966)</f>
        <v>45</v>
      </c>
    </row>
    <row r="967" spans="1:50" x14ac:dyDescent="0.25">
      <c r="A967" s="5">
        <v>36576</v>
      </c>
      <c r="B967">
        <v>1346.09</v>
      </c>
      <c r="C967">
        <v>5.55</v>
      </c>
      <c r="D967" s="6">
        <v>24.42</v>
      </c>
      <c r="E967" s="18">
        <f t="shared" si="997"/>
        <v>24.03</v>
      </c>
      <c r="F967">
        <f t="shared" si="998"/>
        <v>-1</v>
      </c>
      <c r="G967" s="18">
        <f>ROUND(INDEX(Valuation!U:U,MATCH(A967,Valuation!A:A,0)),2)</f>
        <v>0</v>
      </c>
      <c r="H967">
        <f t="shared" si="1005"/>
        <v>-3</v>
      </c>
      <c r="I967" s="18">
        <f>INDEX(WeeklyIndicators!Y:Y,MATCH(A967,WeeklyIndicators!A:A,0))</f>
        <v>122.8</v>
      </c>
      <c r="J967">
        <f t="shared" si="994"/>
        <v>0</v>
      </c>
      <c r="K967">
        <f>ROUND(INDEX(Economic!AF:AF,MATCH(EOMONTH($A967,-1),Economic!A:A,0)),2)</f>
        <v>137.9</v>
      </c>
      <c r="L967" s="11">
        <f t="shared" si="1003"/>
        <v>2</v>
      </c>
      <c r="M967">
        <f>ROUND(INDEX(Manufacturing!P:P,MATCH(EOMONTH($A967,-1),Manufacturing!A:A,0)),2)</f>
        <v>111.4</v>
      </c>
      <c r="N967">
        <f t="shared" si="999"/>
        <v>3</v>
      </c>
      <c r="O967">
        <f>ROUND(INDEX(Housing!AC:AC,MATCH(EOMONTH($A967,-1),Housing!B:B,0)),2)</f>
        <v>128.36000000000001</v>
      </c>
      <c r="P967">
        <f t="shared" si="1000"/>
        <v>2</v>
      </c>
      <c r="Q967">
        <f>ROUND(INDEX(Spending!AJ:AJ,MATCH(EOMONTH($A967,-1),Spending!B:B,0)),2)</f>
        <v>69.510000000000005</v>
      </c>
      <c r="R967">
        <f t="shared" si="1004"/>
        <v>2</v>
      </c>
      <c r="S967">
        <f>ROUND(INDEX(Employment!V:V,MATCH(EOMONTH($A967,-1),Employment!A:A,0)),2)</f>
        <v>190.12</v>
      </c>
      <c r="T967" s="11">
        <f t="shared" si="1001"/>
        <v>3</v>
      </c>
      <c r="U967">
        <f t="shared" si="1007"/>
        <v>28</v>
      </c>
      <c r="V967">
        <f t="shared" si="1022"/>
        <v>84.21</v>
      </c>
      <c r="W967" s="13">
        <f t="shared" si="1023"/>
        <v>-1E-3</v>
      </c>
      <c r="X967" s="13">
        <f t="shared" si="1024"/>
        <v>2.18E-2</v>
      </c>
      <c r="Y967">
        <f t="shared" si="1016"/>
        <v>70.16</v>
      </c>
      <c r="Z967" s="13">
        <f t="shared" si="1011"/>
        <v>-6.4999999999999997E-3</v>
      </c>
      <c r="AA967" s="13">
        <f t="shared" si="1006"/>
        <v>2.24E-2</v>
      </c>
      <c r="AB967" s="6">
        <f t="shared" si="1017"/>
        <v>67.19</v>
      </c>
      <c r="AC967">
        <f t="shared" si="1009"/>
        <v>34</v>
      </c>
      <c r="AD967" s="11">
        <f t="shared" si="1010"/>
        <v>0</v>
      </c>
      <c r="AE967">
        <f t="shared" si="1008"/>
        <v>30</v>
      </c>
      <c r="AF967">
        <f>IF(AND(AE967&lt;15,OR(AC967&gt;=30,AA967&gt;0.15,X967&gt;=0.15)),2,VLOOKUP(AE967,Table!P:Q,2,FALSE))</f>
        <v>4</v>
      </c>
      <c r="AG967" s="22">
        <f>IF((AB967*0.98)-(D967*0.8)+((AF967-3)*3)+VLOOKUP(AM967,Table!$A$11:$B$13,2,FALSE)&lt;0,0,(AB967*0.98)-(D967*0.8)+((AF967-3)*3)+VLOOKUP(AM967,Table!$A$11:$B$13,2,FALSE))</f>
        <v>57.310199999999995</v>
      </c>
      <c r="AH967" s="22">
        <f t="shared" si="1002"/>
        <v>59</v>
      </c>
      <c r="AI967" s="18">
        <f t="shared" si="995"/>
        <v>5.3</v>
      </c>
      <c r="AJ967" s="18">
        <f t="shared" si="996"/>
        <v>4.91</v>
      </c>
      <c r="AK967" t="str">
        <f t="shared" si="1018"/>
        <v>Rising Rates</v>
      </c>
      <c r="AL967">
        <f t="shared" si="992"/>
        <v>30.25</v>
      </c>
      <c r="AM967" s="11" t="str">
        <f t="shared" si="1019"/>
        <v>Stocks</v>
      </c>
      <c r="AN967" t="str">
        <f t="shared" si="1025"/>
        <v>Buy</v>
      </c>
      <c r="AO967" s="13">
        <f t="shared" si="1026"/>
        <v>-9.4999999999999998E-3</v>
      </c>
      <c r="AP967" s="13">
        <f t="shared" si="1027"/>
        <v>1.1000000000000001E-3</v>
      </c>
      <c r="AQ967" s="13">
        <f t="shared" si="1028"/>
        <v>-5.1999999999999998E-3</v>
      </c>
      <c r="AR967" s="13">
        <f t="shared" si="1020"/>
        <v>-9.4999999999999998E-3</v>
      </c>
      <c r="AS967" s="6">
        <f t="shared" si="1012"/>
        <v>335.13958100958678</v>
      </c>
      <c r="AT967" s="6">
        <f t="shared" si="1013"/>
        <v>143.03771567555614</v>
      </c>
      <c r="AU967" s="6">
        <f t="shared" si="1014"/>
        <v>286.6567514450025</v>
      </c>
      <c r="AV967" s="6">
        <f t="shared" si="1015"/>
        <v>335.13958100958678</v>
      </c>
      <c r="AW967" s="58">
        <f t="shared" si="1021"/>
        <v>2000</v>
      </c>
      <c r="AX967" s="58">
        <f>COUNTIF(AW$3:AW967,AW967)</f>
        <v>46</v>
      </c>
    </row>
    <row r="968" spans="1:50" x14ac:dyDescent="0.25">
      <c r="A968" s="5">
        <v>36569</v>
      </c>
      <c r="B968">
        <v>1387.12</v>
      </c>
      <c r="C968">
        <v>5.49</v>
      </c>
      <c r="D968" s="6">
        <v>21.540001</v>
      </c>
      <c r="E968" s="18">
        <f t="shared" si="997"/>
        <v>22.83</v>
      </c>
      <c r="F968">
        <f t="shared" si="998"/>
        <v>-1</v>
      </c>
      <c r="G968" s="18">
        <f>ROUND(INDEX(Valuation!U:U,MATCH(A968,Valuation!A:A,0)),2)</f>
        <v>0</v>
      </c>
      <c r="H968">
        <f t="shared" si="1005"/>
        <v>-3</v>
      </c>
      <c r="I968" s="18">
        <f>INDEX(WeeklyIndicators!Y:Y,MATCH(A968,WeeklyIndicators!A:A,0))</f>
        <v>134.01</v>
      </c>
      <c r="J968">
        <f t="shared" si="994"/>
        <v>0</v>
      </c>
      <c r="K968">
        <f>ROUND(INDEX(Economic!AF:AF,MATCH(EOMONTH($A968,-1),Economic!A:A,0)),2)</f>
        <v>137.9</v>
      </c>
      <c r="L968" s="11">
        <f t="shared" si="1003"/>
        <v>2</v>
      </c>
      <c r="M968">
        <f>ROUND(INDEX(Manufacturing!P:P,MATCH(EOMONTH($A968,-1),Manufacturing!A:A,0)),2)</f>
        <v>111.4</v>
      </c>
      <c r="N968">
        <f t="shared" si="999"/>
        <v>3</v>
      </c>
      <c r="O968">
        <f>ROUND(INDEX(Housing!AC:AC,MATCH(EOMONTH($A968,-1),Housing!B:B,0)),2)</f>
        <v>128.36000000000001</v>
      </c>
      <c r="P968">
        <f t="shared" si="1000"/>
        <v>2</v>
      </c>
      <c r="Q968">
        <f>ROUND(INDEX(Spending!AJ:AJ,MATCH(EOMONTH($A968,-1),Spending!B:B,0)),2)</f>
        <v>69.510000000000005</v>
      </c>
      <c r="R968">
        <f t="shared" si="1004"/>
        <v>2</v>
      </c>
      <c r="S968">
        <f>ROUND(INDEX(Employment!V:V,MATCH(EOMONTH($A968,-1),Employment!A:A,0)),2)</f>
        <v>190.12</v>
      </c>
      <c r="T968" s="11">
        <f t="shared" si="1001"/>
        <v>3</v>
      </c>
      <c r="U968">
        <f t="shared" si="1007"/>
        <v>28</v>
      </c>
      <c r="V968">
        <f t="shared" si="1022"/>
        <v>85.37</v>
      </c>
      <c r="W968" s="13">
        <f t="shared" si="1023"/>
        <v>6.6E-3</v>
      </c>
      <c r="X968" s="13">
        <f t="shared" si="1024"/>
        <v>2.5500000000000002E-2</v>
      </c>
      <c r="Y968">
        <f t="shared" si="1016"/>
        <v>71.739999999999995</v>
      </c>
      <c r="Z968" s="13">
        <f t="shared" si="1011"/>
        <v>6.4999999999999997E-3</v>
      </c>
      <c r="AA968" s="13">
        <f t="shared" si="1006"/>
        <v>3.0900000000000004E-2</v>
      </c>
      <c r="AB968" s="6">
        <f t="shared" si="1017"/>
        <v>69.41</v>
      </c>
      <c r="AC968">
        <f t="shared" si="1009"/>
        <v>35</v>
      </c>
      <c r="AD968" s="11">
        <f t="shared" si="1010"/>
        <v>0</v>
      </c>
      <c r="AE968">
        <f t="shared" si="1008"/>
        <v>30</v>
      </c>
      <c r="AF968">
        <f>IF(AND(AE968&lt;15,OR(AC968&gt;=30,AA968&gt;0.15,X968&gt;=0.15)),2,VLOOKUP(AE968,Table!P:Q,2,FALSE))</f>
        <v>4</v>
      </c>
      <c r="AG968" s="22">
        <f>IF((AB968*0.98)-(D968*0.8)+((AF968-3)*3)+VLOOKUP(AM968,Table!$A$11:$B$13,2,FALSE)&lt;0,0,(AB968*0.98)-(D968*0.8)+((AF968-3)*3)+VLOOKUP(AM968,Table!$A$11:$B$13,2,FALSE))</f>
        <v>61.789799199999997</v>
      </c>
      <c r="AH968" s="22">
        <f t="shared" si="1002"/>
        <v>60</v>
      </c>
      <c r="AI968" s="18">
        <f t="shared" si="995"/>
        <v>5.27</v>
      </c>
      <c r="AJ968" s="18">
        <f t="shared" si="996"/>
        <v>4.88</v>
      </c>
      <c r="AK968" t="str">
        <f t="shared" si="1018"/>
        <v>Rising Rates</v>
      </c>
      <c r="AL968">
        <f t="shared" si="992"/>
        <v>30.25</v>
      </c>
      <c r="AM968" s="11" t="str">
        <f t="shared" si="1019"/>
        <v>Stocks</v>
      </c>
      <c r="AN968" t="str">
        <f t="shared" si="1025"/>
        <v>Buy</v>
      </c>
      <c r="AO968" s="13">
        <f t="shared" si="1026"/>
        <v>-2.9600000000000001E-2</v>
      </c>
      <c r="AP968" s="13">
        <f t="shared" si="1027"/>
        <v>1.1000000000000001E-3</v>
      </c>
      <c r="AQ968" s="13">
        <f t="shared" si="1028"/>
        <v>-1.7299999999999999E-2</v>
      </c>
      <c r="AR968" s="13">
        <f t="shared" si="1020"/>
        <v>-2.9600000000000001E-2</v>
      </c>
      <c r="AS968" s="6">
        <f t="shared" si="1012"/>
        <v>345.36230524483386</v>
      </c>
      <c r="AT968" s="6">
        <f t="shared" si="1013"/>
        <v>142.88054707377498</v>
      </c>
      <c r="AU968" s="6">
        <f t="shared" si="1014"/>
        <v>291.70321710084716</v>
      </c>
      <c r="AV968" s="6">
        <f t="shared" si="1015"/>
        <v>345.36230524483386</v>
      </c>
      <c r="AW968" s="58">
        <f t="shared" si="1021"/>
        <v>2000</v>
      </c>
      <c r="AX968" s="58">
        <f>COUNTIF(AW$3:AW968,AW968)</f>
        <v>47</v>
      </c>
    </row>
    <row r="969" spans="1:50" x14ac:dyDescent="0.25">
      <c r="A969" s="5">
        <v>36562</v>
      </c>
      <c r="B969">
        <v>1424.37</v>
      </c>
      <c r="C969">
        <v>5.5</v>
      </c>
      <c r="D969" s="6">
        <v>26.139999</v>
      </c>
      <c r="E969" s="18">
        <f t="shared" si="997"/>
        <v>22.21</v>
      </c>
      <c r="F969">
        <f t="shared" si="998"/>
        <v>-1</v>
      </c>
      <c r="G969" s="18">
        <f>ROUND(INDEX(Valuation!U:U,MATCH(A969,Valuation!A:A,0)),2)</f>
        <v>0</v>
      </c>
      <c r="H969">
        <f t="shared" si="1005"/>
        <v>-3</v>
      </c>
      <c r="I969" s="18">
        <f>INDEX(WeeklyIndicators!Y:Y,MATCH(A969,WeeklyIndicators!A:A,0))</f>
        <v>136.25</v>
      </c>
      <c r="J969">
        <f t="shared" si="994"/>
        <v>1</v>
      </c>
      <c r="K969">
        <f>ROUND(INDEX(Economic!AF:AF,MATCH(EOMONTH($A969,-1),Economic!A:A,0)),2)</f>
        <v>137.9</v>
      </c>
      <c r="L969" s="11">
        <f t="shared" si="1003"/>
        <v>2</v>
      </c>
      <c r="M969">
        <f>ROUND(INDEX(Manufacturing!P:P,MATCH(EOMONTH($A969,-1),Manufacturing!A:A,0)),2)</f>
        <v>111.4</v>
      </c>
      <c r="N969">
        <f t="shared" si="999"/>
        <v>3</v>
      </c>
      <c r="O969">
        <f>ROUND(INDEX(Housing!AC:AC,MATCH(EOMONTH($A969,-1),Housing!B:B,0)),2)</f>
        <v>128.36000000000001</v>
      </c>
      <c r="P969">
        <f t="shared" si="1000"/>
        <v>2</v>
      </c>
      <c r="Q969">
        <f>ROUND(INDEX(Spending!AJ:AJ,MATCH(EOMONTH($A969,-1),Spending!B:B,0)),2)</f>
        <v>69.510000000000005</v>
      </c>
      <c r="R969">
        <f t="shared" si="1004"/>
        <v>2</v>
      </c>
      <c r="S969">
        <f>ROUND(INDEX(Employment!V:V,MATCH(EOMONTH($A969,-1),Employment!A:A,0)),2)</f>
        <v>190.12</v>
      </c>
      <c r="T969" s="11">
        <f t="shared" si="1001"/>
        <v>3</v>
      </c>
      <c r="U969">
        <f t="shared" si="1007"/>
        <v>29</v>
      </c>
      <c r="V969">
        <f t="shared" si="1022"/>
        <v>85.61</v>
      </c>
      <c r="W969" s="13">
        <f t="shared" si="1023"/>
        <v>0.01</v>
      </c>
      <c r="X969" s="13">
        <f t="shared" si="1024"/>
        <v>1.89E-2</v>
      </c>
      <c r="Y969">
        <f t="shared" si="1016"/>
        <v>72.19</v>
      </c>
      <c r="Z969" s="13">
        <f t="shared" si="1011"/>
        <v>1.23E-2</v>
      </c>
      <c r="AA969" s="13">
        <f t="shared" si="1006"/>
        <v>2.1399999999999999E-2</v>
      </c>
      <c r="AB969" s="6">
        <f t="shared" si="1017"/>
        <v>69.17</v>
      </c>
      <c r="AC969">
        <f t="shared" si="1009"/>
        <v>35</v>
      </c>
      <c r="AD969" s="11">
        <f t="shared" si="1010"/>
        <v>0</v>
      </c>
      <c r="AE969">
        <f t="shared" si="1008"/>
        <v>31</v>
      </c>
      <c r="AF969">
        <f>IF(AND(AE969&lt;15,OR(AC969&gt;=30,AA969&gt;0.15,X969&gt;=0.15)),2,VLOOKUP(AE969,Table!P:Q,2,FALSE))</f>
        <v>4</v>
      </c>
      <c r="AG969" s="22">
        <f>IF((AB969*0.98)-(D969*0.8)+((AF969-3)*3)+VLOOKUP(AM969,Table!$A$11:$B$13,2,FALSE)&lt;0,0,(AB969*0.98)-(D969*0.8)+((AF969-3)*3)+VLOOKUP(AM969,Table!$A$11:$B$13,2,FALSE))</f>
        <v>57.87460080000001</v>
      </c>
      <c r="AH969" s="22">
        <f t="shared" si="1002"/>
        <v>59</v>
      </c>
      <c r="AI969" s="18">
        <f t="shared" si="995"/>
        <v>5.23</v>
      </c>
      <c r="AJ969" s="18">
        <f t="shared" si="996"/>
        <v>4.8499999999999996</v>
      </c>
      <c r="AK969" t="str">
        <f t="shared" si="1018"/>
        <v>Rising Rates</v>
      </c>
      <c r="AL969">
        <f t="shared" ref="AL969:AL1032" si="1029">ROUND(AVERAGE(AE969:AE972),2)</f>
        <v>29.75</v>
      </c>
      <c r="AM969" s="11" t="str">
        <f t="shared" si="1019"/>
        <v>Stocks</v>
      </c>
      <c r="AN969" t="str">
        <f t="shared" si="1025"/>
        <v>Buy</v>
      </c>
      <c r="AO969" s="13">
        <f t="shared" si="1026"/>
        <v>-2.6200000000000001E-2</v>
      </c>
      <c r="AP969" s="13">
        <f t="shared" si="1027"/>
        <v>1.1000000000000001E-3</v>
      </c>
      <c r="AQ969" s="13">
        <f t="shared" si="1028"/>
        <v>-1.4999999999999999E-2</v>
      </c>
      <c r="AR969" s="13">
        <f t="shared" si="1020"/>
        <v>-2.6200000000000001E-2</v>
      </c>
      <c r="AS969" s="6">
        <f t="shared" si="1012"/>
        <v>354.65424650321819</v>
      </c>
      <c r="AT969" s="6">
        <f t="shared" si="1013"/>
        <v>142.72355116749071</v>
      </c>
      <c r="AU969" s="6">
        <f t="shared" si="1014"/>
        <v>296.14539807192602</v>
      </c>
      <c r="AV969" s="6">
        <f t="shared" si="1015"/>
        <v>354.65424650321819</v>
      </c>
      <c r="AW969" s="58">
        <f t="shared" si="1021"/>
        <v>2000</v>
      </c>
      <c r="AX969" s="58">
        <f>COUNTIF(AW$3:AW969,AW969)</f>
        <v>48</v>
      </c>
    </row>
    <row r="970" spans="1:50" x14ac:dyDescent="0.25">
      <c r="A970" s="5">
        <v>36555</v>
      </c>
      <c r="B970">
        <v>1360.16</v>
      </c>
      <c r="C970">
        <v>5.41</v>
      </c>
      <c r="D970" s="6">
        <v>20.82</v>
      </c>
      <c r="E970" s="18">
        <f t="shared" si="997"/>
        <v>20.73</v>
      </c>
      <c r="F970">
        <f t="shared" si="998"/>
        <v>-1</v>
      </c>
      <c r="G970" s="18">
        <f>ROUND(INDEX(Valuation!U:U,MATCH(A970,Valuation!A:A,0)),2)</f>
        <v>0</v>
      </c>
      <c r="H970">
        <f t="shared" si="1005"/>
        <v>-3</v>
      </c>
      <c r="I970" s="18">
        <f>INDEX(WeeklyIndicators!Y:Y,MATCH(A970,WeeklyIndicators!A:A,0))</f>
        <v>132.38999999999999</v>
      </c>
      <c r="J970">
        <f t="shared" si="994"/>
        <v>0</v>
      </c>
      <c r="K970">
        <f>ROUND(INDEX(Economic!AF:AF,MATCH(EOMONTH($A970,-1),Economic!A:A,0)),2)</f>
        <v>132.57</v>
      </c>
      <c r="L970" s="11">
        <f t="shared" si="1003"/>
        <v>2</v>
      </c>
      <c r="M970">
        <f>ROUND(INDEX(Manufacturing!P:P,MATCH(EOMONTH($A970,-1),Manufacturing!A:A,0)),2)</f>
        <v>110.41</v>
      </c>
      <c r="N970">
        <f t="shared" si="999"/>
        <v>3</v>
      </c>
      <c r="O970">
        <f>ROUND(INDEX(Housing!AC:AC,MATCH(EOMONTH($A970,-1),Housing!B:B,0)),2)</f>
        <v>128.74</v>
      </c>
      <c r="P970">
        <f t="shared" si="1000"/>
        <v>2</v>
      </c>
      <c r="Q970">
        <f>ROUND(INDEX(Spending!AJ:AJ,MATCH(EOMONTH($A970,-1),Spending!B:B,0)),2)</f>
        <v>65.28</v>
      </c>
      <c r="R970">
        <f t="shared" si="1004"/>
        <v>2</v>
      </c>
      <c r="S970">
        <f>ROUND(INDEX(Employment!V:V,MATCH(EOMONTH($A970,-1),Employment!A:A,0)),2)</f>
        <v>195.68</v>
      </c>
      <c r="T970" s="11">
        <f t="shared" si="1001"/>
        <v>3</v>
      </c>
      <c r="U970">
        <f t="shared" ref="U970:U1033" si="1030">F970+H970+J970+L970+N970+P970+R970+T970+20</f>
        <v>28</v>
      </c>
      <c r="V970">
        <f t="shared" si="1022"/>
        <v>84.46</v>
      </c>
      <c r="W970" s="13">
        <f t="shared" si="1023"/>
        <v>6.1999999999999998E-3</v>
      </c>
      <c r="X970" s="13">
        <f t="shared" si="1024"/>
        <v>4.7999999999999996E-3</v>
      </c>
      <c r="Y970">
        <f t="shared" si="1016"/>
        <v>71.56</v>
      </c>
      <c r="Z970" s="13">
        <f t="shared" si="1011"/>
        <v>1.01E-2</v>
      </c>
      <c r="AA970" s="13">
        <f t="shared" si="1006"/>
        <v>2E-3</v>
      </c>
      <c r="AB970" s="6">
        <f t="shared" si="1017"/>
        <v>67.06</v>
      </c>
      <c r="AC970">
        <f t="shared" si="1009"/>
        <v>34</v>
      </c>
      <c r="AD970" s="11">
        <f t="shared" si="1010"/>
        <v>0</v>
      </c>
      <c r="AE970">
        <f t="shared" si="1008"/>
        <v>30</v>
      </c>
      <c r="AF970">
        <f>IF(AND(AE970&lt;15,OR(AC970&gt;=30,AA970&gt;0.15,X970&gt;=0.15)),2,VLOOKUP(AE970,Table!P:Q,2,FALSE))</f>
        <v>4</v>
      </c>
      <c r="AG970" s="22">
        <f>IF((AB970*0.98)-(D970*0.8)+((AF970-3)*3)+VLOOKUP(AM970,Table!$A$11:$B$13,2,FALSE)&lt;0,0,(AB970*0.98)-(D970*0.8)+((AF970-3)*3)+VLOOKUP(AM970,Table!$A$11:$B$13,2,FALSE))</f>
        <v>60.062799999999996</v>
      </c>
      <c r="AH970" s="22">
        <f t="shared" si="1002"/>
        <v>58</v>
      </c>
      <c r="AI970" s="18">
        <f t="shared" si="995"/>
        <v>5.19</v>
      </c>
      <c r="AJ970" s="18">
        <f t="shared" si="996"/>
        <v>4.83</v>
      </c>
      <c r="AK970" t="str">
        <f t="shared" si="1018"/>
        <v>Rising Rates</v>
      </c>
      <c r="AL970">
        <f t="shared" si="1029"/>
        <v>29</v>
      </c>
      <c r="AM970" s="11" t="str">
        <f t="shared" si="1019"/>
        <v>Stocks</v>
      </c>
      <c r="AN970" t="str">
        <f t="shared" si="1025"/>
        <v>Buy</v>
      </c>
      <c r="AO970" s="13">
        <f t="shared" si="1026"/>
        <v>4.7199999999999999E-2</v>
      </c>
      <c r="AP970" s="13">
        <f t="shared" si="1027"/>
        <v>1E-3</v>
      </c>
      <c r="AQ970" s="13">
        <f t="shared" si="1028"/>
        <v>2.7799999999999998E-2</v>
      </c>
      <c r="AR970" s="13">
        <f t="shared" si="1020"/>
        <v>4.7199999999999999E-2</v>
      </c>
      <c r="AS970" s="6">
        <f t="shared" si="1012"/>
        <v>338.66906656151474</v>
      </c>
      <c r="AT970" s="6">
        <f t="shared" si="1013"/>
        <v>142.58097019729342</v>
      </c>
      <c r="AU970" s="6">
        <f t="shared" si="1014"/>
        <v>288.13523844320491</v>
      </c>
      <c r="AV970" s="6">
        <f t="shared" si="1015"/>
        <v>338.66906656151474</v>
      </c>
      <c r="AW970" s="58">
        <f t="shared" si="1021"/>
        <v>2000</v>
      </c>
      <c r="AX970" s="58">
        <f>COUNTIF(AW$3:AW970,AW970)</f>
        <v>49</v>
      </c>
    </row>
    <row r="971" spans="1:50" x14ac:dyDescent="0.25">
      <c r="A971" s="5">
        <v>36548</v>
      </c>
      <c r="B971">
        <v>1441.36</v>
      </c>
      <c r="C971">
        <v>5.31</v>
      </c>
      <c r="D971" s="6">
        <v>19.66</v>
      </c>
      <c r="E971" s="18">
        <f t="shared" si="997"/>
        <v>22.01</v>
      </c>
      <c r="F971">
        <f t="shared" si="998"/>
        <v>-1</v>
      </c>
      <c r="G971" s="18">
        <f>ROUND(INDEX(Valuation!U:U,MATCH(A971,Valuation!A:A,0)),2)</f>
        <v>0</v>
      </c>
      <c r="H971">
        <f t="shared" si="1005"/>
        <v>-3</v>
      </c>
      <c r="I971" s="18">
        <f>INDEX(WeeklyIndicators!Y:Y,MATCH(A971,WeeklyIndicators!A:A,0))</f>
        <v>125.07</v>
      </c>
      <c r="J971">
        <f t="shared" si="994"/>
        <v>0</v>
      </c>
      <c r="K971">
        <f>ROUND(INDEX(Economic!AF:AF,MATCH(EOMONTH($A971,-1),Economic!A:A,0)),2)</f>
        <v>132.57</v>
      </c>
      <c r="L971" s="11">
        <f t="shared" si="1003"/>
        <v>2</v>
      </c>
      <c r="M971">
        <f>ROUND(INDEX(Manufacturing!P:P,MATCH(EOMONTH($A971,-1),Manufacturing!A:A,0)),2)</f>
        <v>110.41</v>
      </c>
      <c r="N971">
        <f t="shared" si="999"/>
        <v>3</v>
      </c>
      <c r="O971">
        <f>ROUND(INDEX(Housing!AC:AC,MATCH(EOMONTH($A971,-1),Housing!B:B,0)),2)</f>
        <v>128.74</v>
      </c>
      <c r="P971">
        <f t="shared" si="1000"/>
        <v>2</v>
      </c>
      <c r="Q971">
        <f>ROUND(INDEX(Spending!AJ:AJ,MATCH(EOMONTH($A971,-1),Spending!B:B,0)),2)</f>
        <v>65.28</v>
      </c>
      <c r="R971">
        <f t="shared" si="1004"/>
        <v>2</v>
      </c>
      <c r="S971">
        <f>ROUND(INDEX(Employment!V:V,MATCH(EOMONTH($A971,-1),Employment!A:A,0)),2)</f>
        <v>195.68</v>
      </c>
      <c r="T971" s="11">
        <f t="shared" si="1001"/>
        <v>3</v>
      </c>
      <c r="U971">
        <f t="shared" si="1030"/>
        <v>28</v>
      </c>
      <c r="V971">
        <f t="shared" si="1022"/>
        <v>83.7</v>
      </c>
      <c r="W971" s="13">
        <f t="shared" si="1023"/>
        <v>2.7000000000000001E-3</v>
      </c>
      <c r="X971" s="13">
        <f t="shared" si="1024"/>
        <v>-8.8000000000000005E-3</v>
      </c>
      <c r="Y971">
        <f t="shared" si="1016"/>
        <v>70.349999999999994</v>
      </c>
      <c r="Z971" s="13">
        <f t="shared" si="1011"/>
        <v>2E-3</v>
      </c>
      <c r="AA971" s="13">
        <f t="shared" si="1006"/>
        <v>-1.8599999999999998E-2</v>
      </c>
      <c r="AB971" s="6">
        <f t="shared" si="1017"/>
        <v>64.31</v>
      </c>
      <c r="AC971">
        <f t="shared" si="1009"/>
        <v>32</v>
      </c>
      <c r="AD971" s="11">
        <f t="shared" si="1010"/>
        <v>0</v>
      </c>
      <c r="AE971">
        <f t="shared" si="1008"/>
        <v>30</v>
      </c>
      <c r="AF971">
        <f>IF(AND(AE971&lt;15,OR(AC971&gt;=30,AA971&gt;0.15,X971&gt;=0.15)),2,VLOOKUP(AE971,Table!P:Q,2,FALSE))</f>
        <v>4</v>
      </c>
      <c r="AG971" s="22">
        <f>IF((AB971*0.98)-(D971*0.8)+((AF971-3)*3)+VLOOKUP(AM971,Table!$A$11:$B$13,2,FALSE)&lt;0,0,(AB971*0.98)-(D971*0.8)+((AF971-3)*3)+VLOOKUP(AM971,Table!$A$11:$B$13,2,FALSE))</f>
        <v>58.2958</v>
      </c>
      <c r="AH971" s="22">
        <f t="shared" si="1002"/>
        <v>55</v>
      </c>
      <c r="AI971" s="18">
        <f t="shared" si="995"/>
        <v>5.16</v>
      </c>
      <c r="AJ971" s="18">
        <f t="shared" si="996"/>
        <v>4.8</v>
      </c>
      <c r="AK971" t="str">
        <f t="shared" si="1018"/>
        <v>Rising Rates</v>
      </c>
      <c r="AL971">
        <f t="shared" si="1029"/>
        <v>28.75</v>
      </c>
      <c r="AM971" s="11" t="str">
        <f t="shared" si="1019"/>
        <v>Stocks</v>
      </c>
      <c r="AN971" t="str">
        <f t="shared" si="1025"/>
        <v>Buy</v>
      </c>
      <c r="AO971" s="13">
        <f t="shared" si="1026"/>
        <v>-5.6300000000000003E-2</v>
      </c>
      <c r="AP971" s="13">
        <f t="shared" si="1027"/>
        <v>1E-3</v>
      </c>
      <c r="AQ971" s="13">
        <f t="shared" si="1028"/>
        <v>-3.0499999999999999E-2</v>
      </c>
      <c r="AR971" s="13">
        <f t="shared" si="1020"/>
        <v>-5.6300000000000003E-2</v>
      </c>
      <c r="AS971" s="6">
        <f t="shared" si="1012"/>
        <v>358.87365323886274</v>
      </c>
      <c r="AT971" s="6">
        <f t="shared" si="1013"/>
        <v>142.43853166562781</v>
      </c>
      <c r="AU971" s="6">
        <f t="shared" si="1014"/>
        <v>297.19983336070646</v>
      </c>
      <c r="AV971" s="6">
        <f t="shared" si="1015"/>
        <v>358.87365323886274</v>
      </c>
      <c r="AW971" s="58">
        <f t="shared" si="1021"/>
        <v>2000</v>
      </c>
      <c r="AX971" s="58">
        <f>COUNTIF(AW$3:AW971,AW971)</f>
        <v>50</v>
      </c>
    </row>
    <row r="972" spans="1:50" x14ac:dyDescent="0.25">
      <c r="A972" s="5">
        <v>36541</v>
      </c>
      <c r="B972">
        <v>1465.15</v>
      </c>
      <c r="C972">
        <v>5.26</v>
      </c>
      <c r="D972" s="6">
        <v>21.719999000000001</v>
      </c>
      <c r="E972" s="18">
        <f t="shared" si="997"/>
        <v>22.49</v>
      </c>
      <c r="F972">
        <f t="shared" si="998"/>
        <v>-1</v>
      </c>
      <c r="G972" s="18">
        <f>ROUND(INDEX(Valuation!U:U,MATCH(A972,Valuation!A:A,0)),2)</f>
        <v>0</v>
      </c>
      <c r="H972">
        <f t="shared" si="1005"/>
        <v>-3</v>
      </c>
      <c r="I972" s="18">
        <f>INDEX(WeeklyIndicators!Y:Y,MATCH(A972,WeeklyIndicators!A:A,0))</f>
        <v>119.2</v>
      </c>
      <c r="J972">
        <f t="shared" si="994"/>
        <v>-1</v>
      </c>
      <c r="K972">
        <f>ROUND(INDEX(Economic!AF:AF,MATCH(EOMONTH($A972,-1),Economic!A:A,0)),2)</f>
        <v>132.57</v>
      </c>
      <c r="L972" s="11">
        <f t="shared" si="1003"/>
        <v>2</v>
      </c>
      <c r="M972">
        <f>ROUND(INDEX(Manufacturing!P:P,MATCH(EOMONTH($A972,-1),Manufacturing!A:A,0)),2)</f>
        <v>110.41</v>
      </c>
      <c r="N972">
        <f t="shared" si="999"/>
        <v>3</v>
      </c>
      <c r="O972">
        <f>ROUND(INDEX(Housing!AC:AC,MATCH(EOMONTH($A972,-1),Housing!B:B,0)),2)</f>
        <v>128.74</v>
      </c>
      <c r="P972">
        <f t="shared" si="1000"/>
        <v>2</v>
      </c>
      <c r="Q972">
        <f>ROUND(INDEX(Spending!AJ:AJ,MATCH(EOMONTH($A972,-1),Spending!B:B,0)),2)</f>
        <v>65.28</v>
      </c>
      <c r="R972">
        <f t="shared" si="1004"/>
        <v>2</v>
      </c>
      <c r="S972">
        <f>ROUND(INDEX(Employment!V:V,MATCH(EOMONTH($A972,-1),Employment!A:A,0)),2)</f>
        <v>195.68</v>
      </c>
      <c r="T972" s="11">
        <f t="shared" si="1001"/>
        <v>3</v>
      </c>
      <c r="U972">
        <f t="shared" si="1030"/>
        <v>27</v>
      </c>
      <c r="V972">
        <f t="shared" si="1022"/>
        <v>83.09</v>
      </c>
      <c r="W972" s="13">
        <f t="shared" si="1023"/>
        <v>0</v>
      </c>
      <c r="X972" s="13">
        <f t="shared" si="1024"/>
        <v>-2.18E-2</v>
      </c>
      <c r="Y972">
        <f t="shared" si="1016"/>
        <v>69.58</v>
      </c>
      <c r="Z972" s="13">
        <f t="shared" si="1011"/>
        <v>-3.0000000000000001E-3</v>
      </c>
      <c r="AA972" s="13">
        <f t="shared" si="1006"/>
        <v>-3.2199999999999999E-2</v>
      </c>
      <c r="AB972" s="6">
        <f t="shared" si="1017"/>
        <v>62.47</v>
      </c>
      <c r="AC972">
        <f t="shared" si="1009"/>
        <v>31</v>
      </c>
      <c r="AD972" s="11">
        <f t="shared" si="1010"/>
        <v>-1</v>
      </c>
      <c r="AE972">
        <f t="shared" si="1008"/>
        <v>28</v>
      </c>
      <c r="AF972">
        <f>IF(AND(AE972&lt;15,OR(AC972&gt;=30,AA972&gt;0.15,X972&gt;=0.15)),2,VLOOKUP(AE972,Table!P:Q,2,FALSE))</f>
        <v>4</v>
      </c>
      <c r="AG972" s="22">
        <f>IF((AB972*0.98)-(D972*0.8)+((AF972-3)*3)+VLOOKUP(AM972,Table!$A$11:$B$13,2,FALSE)&lt;0,0,(AB972*0.98)-(D972*0.8)+((AF972-3)*3)+VLOOKUP(AM972,Table!$A$11:$B$13,2,FALSE))</f>
        <v>54.844600799999995</v>
      </c>
      <c r="AH972" s="22">
        <f t="shared" si="1002"/>
        <v>54</v>
      </c>
      <c r="AI972" s="18">
        <f t="shared" si="995"/>
        <v>5.13</v>
      </c>
      <c r="AJ972" s="18">
        <f t="shared" si="996"/>
        <v>4.7699999999999996</v>
      </c>
      <c r="AK972" t="str">
        <f t="shared" si="1018"/>
        <v>Rising Rates</v>
      </c>
      <c r="AL972">
        <f t="shared" si="1029"/>
        <v>28.5</v>
      </c>
      <c r="AM972" s="11" t="str">
        <f t="shared" si="1019"/>
        <v>Stocks</v>
      </c>
      <c r="AN972" t="str">
        <f t="shared" si="1025"/>
        <v>Buy</v>
      </c>
      <c r="AO972" s="13">
        <f t="shared" si="1026"/>
        <v>-1.6199999999999999E-2</v>
      </c>
      <c r="AP972" s="13">
        <f t="shared" si="1027"/>
        <v>1E-3</v>
      </c>
      <c r="AQ972" s="13">
        <f t="shared" si="1028"/>
        <v>-8.3000000000000001E-3</v>
      </c>
      <c r="AR972" s="13">
        <f t="shared" si="1020"/>
        <v>-1.6199999999999999E-2</v>
      </c>
      <c r="AS972" s="6">
        <f t="shared" si="1012"/>
        <v>364.78314010862243</v>
      </c>
      <c r="AT972" s="6">
        <f t="shared" si="1013"/>
        <v>142.29623543019761</v>
      </c>
      <c r="AU972" s="6">
        <f t="shared" si="1014"/>
        <v>299.68723743138696</v>
      </c>
      <c r="AV972" s="6">
        <f t="shared" si="1015"/>
        <v>364.78314010862243</v>
      </c>
      <c r="AW972" s="58">
        <f t="shared" si="1021"/>
        <v>2000</v>
      </c>
      <c r="AX972" s="58">
        <f>COUNTIF(AW$3:AW972,AW972)</f>
        <v>51</v>
      </c>
    </row>
    <row r="973" spans="1:50" x14ac:dyDescent="0.25">
      <c r="A973" s="5">
        <v>36534</v>
      </c>
      <c r="B973">
        <v>1441.47</v>
      </c>
      <c r="C973">
        <v>5.26</v>
      </c>
      <c r="D973" s="6">
        <v>24.639999</v>
      </c>
      <c r="E973" s="18">
        <f t="shared" si="997"/>
        <v>22.37</v>
      </c>
      <c r="F973">
        <f t="shared" si="998"/>
        <v>-1</v>
      </c>
      <c r="G973" s="18">
        <f>ROUND(INDEX(Valuation!U:U,MATCH(A973,Valuation!A:A,0)),2)</f>
        <v>0</v>
      </c>
      <c r="H973">
        <f t="shared" si="1005"/>
        <v>-3</v>
      </c>
      <c r="I973" s="18">
        <f>INDEX(WeeklyIndicators!Y:Y,MATCH(A973,WeeklyIndicators!A:A,0))</f>
        <v>117.57</v>
      </c>
      <c r="J973">
        <f t="shared" si="994"/>
        <v>-1</v>
      </c>
      <c r="K973">
        <f>ROUND(INDEX(Economic!AF:AF,MATCH(EOMONTH($A973,-1),Economic!A:A,0)),2)</f>
        <v>132.57</v>
      </c>
      <c r="L973" s="11">
        <f t="shared" si="1003"/>
        <v>2</v>
      </c>
      <c r="M973">
        <f>ROUND(INDEX(Manufacturing!P:P,MATCH(EOMONTH($A973,-1),Manufacturing!A:A,0)),2)</f>
        <v>110.41</v>
      </c>
      <c r="N973">
        <f t="shared" si="999"/>
        <v>3</v>
      </c>
      <c r="O973">
        <f>ROUND(INDEX(Housing!AC:AC,MATCH(EOMONTH($A973,-1),Housing!B:B,0)),2)</f>
        <v>128.74</v>
      </c>
      <c r="P973">
        <f t="shared" si="1000"/>
        <v>2</v>
      </c>
      <c r="Q973">
        <f>ROUND(INDEX(Spending!AJ:AJ,MATCH(EOMONTH($A973,-1),Spending!B:B,0)),2)</f>
        <v>65.28</v>
      </c>
      <c r="R973">
        <f t="shared" si="1004"/>
        <v>2</v>
      </c>
      <c r="S973">
        <f>ROUND(INDEX(Employment!V:V,MATCH(EOMONTH($A973,-1),Employment!A:A,0)),2)</f>
        <v>195.68</v>
      </c>
      <c r="T973" s="11">
        <f t="shared" si="1001"/>
        <v>3</v>
      </c>
      <c r="U973">
        <f t="shared" si="1030"/>
        <v>27</v>
      </c>
      <c r="V973">
        <f t="shared" si="1022"/>
        <v>82.92</v>
      </c>
      <c r="W973" s="13">
        <f t="shared" si="1023"/>
        <v>-4.1000000000000003E-3</v>
      </c>
      <c r="X973" s="13">
        <f t="shared" si="1024"/>
        <v>-2.7099999999999999E-2</v>
      </c>
      <c r="Y973">
        <f t="shared" si="1016"/>
        <v>69.45</v>
      </c>
      <c r="Z973" s="13">
        <f t="shared" si="1011"/>
        <v>-7.1000000000000004E-3</v>
      </c>
      <c r="AA973" s="13">
        <f t="shared" si="1006"/>
        <v>-3.5799999999999998E-2</v>
      </c>
      <c r="AB973" s="6">
        <f t="shared" si="1017"/>
        <v>62.040000000000006</v>
      </c>
      <c r="AC973">
        <f t="shared" si="1009"/>
        <v>31</v>
      </c>
      <c r="AD973" s="11">
        <f t="shared" si="1010"/>
        <v>-1</v>
      </c>
      <c r="AE973">
        <f t="shared" si="1008"/>
        <v>28</v>
      </c>
      <c r="AF973">
        <f>IF(AND(AE973&lt;15,OR(AC973&gt;=30,AA973&gt;0.15,X973&gt;=0.15)),2,VLOOKUP(AE973,Table!P:Q,2,FALSE))</f>
        <v>4</v>
      </c>
      <c r="AG973" s="22">
        <f>IF((AB973*0.98)-(D973*0.8)+((AF973-3)*3)+VLOOKUP(AM973,Table!$A$11:$B$13,2,FALSE)&lt;0,0,(AB973*0.98)-(D973*0.8)+((AF973-3)*3)+VLOOKUP(AM973,Table!$A$11:$B$13,2,FALSE))</f>
        <v>52.087200800000005</v>
      </c>
      <c r="AH973" s="22">
        <f t="shared" si="1002"/>
        <v>55</v>
      </c>
      <c r="AI973" s="18">
        <f t="shared" si="995"/>
        <v>5.0999999999999996</v>
      </c>
      <c r="AJ973" s="18">
        <f t="shared" si="996"/>
        <v>4.75</v>
      </c>
      <c r="AK973" t="str">
        <f t="shared" si="1018"/>
        <v>Rising Rates</v>
      </c>
      <c r="AL973">
        <f t="shared" si="1029"/>
        <v>28.75</v>
      </c>
      <c r="AM973" s="11" t="str">
        <f t="shared" si="1019"/>
        <v>Stocks</v>
      </c>
      <c r="AN973" t="str">
        <f t="shared" si="1025"/>
        <v>Buy</v>
      </c>
      <c r="AO973" s="13">
        <f t="shared" si="1026"/>
        <v>1.6400000000000001E-2</v>
      </c>
      <c r="AP973" s="13">
        <f t="shared" si="1027"/>
        <v>1E-3</v>
      </c>
      <c r="AQ973" s="13">
        <f t="shared" si="1028"/>
        <v>9.4999999999999998E-3</v>
      </c>
      <c r="AR973" s="13">
        <f t="shared" si="1020"/>
        <v>1.6400000000000001E-2</v>
      </c>
      <c r="AS973" s="6">
        <f t="shared" si="1012"/>
        <v>358.89722560864072</v>
      </c>
      <c r="AT973" s="6">
        <f t="shared" si="1013"/>
        <v>142.15408134884879</v>
      </c>
      <c r="AU973" s="6">
        <f t="shared" si="1014"/>
        <v>296.86700092262203</v>
      </c>
      <c r="AV973" s="6">
        <f t="shared" si="1015"/>
        <v>358.89722560864072</v>
      </c>
      <c r="AW973" s="58">
        <f t="shared" si="1021"/>
        <v>2000</v>
      </c>
      <c r="AX973" s="58">
        <f>COUNTIF(AW$3:AW973,AW973)</f>
        <v>52</v>
      </c>
    </row>
    <row r="974" spans="1:50" x14ac:dyDescent="0.25">
      <c r="A974" s="5">
        <v>36527</v>
      </c>
      <c r="B974">
        <v>1469.25</v>
      </c>
      <c r="C974">
        <v>5.17</v>
      </c>
      <c r="D974" s="6">
        <v>21.120000999999998</v>
      </c>
      <c r="E974" s="18">
        <f t="shared" si="997"/>
        <v>21.32</v>
      </c>
      <c r="F974">
        <f t="shared" si="998"/>
        <v>-1</v>
      </c>
      <c r="G974" s="18">
        <f>ROUND(INDEX(Valuation!U:U,MATCH(A974,Valuation!A:A,0)),2)</f>
        <v>0</v>
      </c>
      <c r="H974">
        <f t="shared" si="1005"/>
        <v>-3</v>
      </c>
      <c r="I974" s="18">
        <f>INDEX(WeeklyIndicators!Y:Y,MATCH(A974,WeeklyIndicators!A:A,0))</f>
        <v>118.74</v>
      </c>
      <c r="J974">
        <f t="shared" si="994"/>
        <v>-1</v>
      </c>
      <c r="K974">
        <f>ROUND(INDEX(Economic!AF:AF,MATCH(EOMONTH($A974,-1),Economic!A:A,0)),2)</f>
        <v>132.57</v>
      </c>
      <c r="L974" s="11">
        <f t="shared" si="1003"/>
        <v>2</v>
      </c>
      <c r="M974">
        <f>ROUND(INDEX(Manufacturing!P:P,MATCH(EOMONTH($A974,-1),Manufacturing!A:A,0)),2)</f>
        <v>110.41</v>
      </c>
      <c r="N974">
        <f t="shared" si="999"/>
        <v>3</v>
      </c>
      <c r="O974">
        <f>ROUND(INDEX(Housing!AC:AC,MATCH(EOMONTH($A974,-1),Housing!B:B,0)),2)</f>
        <v>128.74</v>
      </c>
      <c r="P974">
        <f t="shared" si="1000"/>
        <v>2</v>
      </c>
      <c r="Q974">
        <f>ROUND(INDEX(Spending!AJ:AJ,MATCH(EOMONTH($A974,-1),Spending!B:B,0)),2)</f>
        <v>65.28</v>
      </c>
      <c r="R974">
        <f t="shared" si="1004"/>
        <v>2</v>
      </c>
      <c r="S974">
        <f>ROUND(INDEX(Employment!V:V,MATCH(EOMONTH($A974,-1),Employment!A:A,0)),2)</f>
        <v>195.68</v>
      </c>
      <c r="T974" s="11">
        <f t="shared" si="1001"/>
        <v>3</v>
      </c>
      <c r="U974">
        <f t="shared" si="1030"/>
        <v>27</v>
      </c>
      <c r="V974">
        <f t="shared" si="1022"/>
        <v>83.04</v>
      </c>
      <c r="W974" s="13">
        <f t="shared" si="1023"/>
        <v>-7.4000000000000003E-3</v>
      </c>
      <c r="X974" s="13">
        <f t="shared" si="1024"/>
        <v>-2.1999999999999999E-2</v>
      </c>
      <c r="Y974">
        <f t="shared" si="1016"/>
        <v>69.94</v>
      </c>
      <c r="Z974" s="13">
        <f t="shared" si="1011"/>
        <v>-1.0500000000000001E-2</v>
      </c>
      <c r="AA974" s="13">
        <f t="shared" si="1006"/>
        <v>-2.4900000000000002E-2</v>
      </c>
      <c r="AB974" s="6">
        <f t="shared" si="1017"/>
        <v>63.319999999999993</v>
      </c>
      <c r="AC974">
        <f t="shared" si="1009"/>
        <v>32</v>
      </c>
      <c r="AD974" s="11">
        <f t="shared" si="1010"/>
        <v>0</v>
      </c>
      <c r="AE974">
        <f t="shared" si="1008"/>
        <v>29</v>
      </c>
      <c r="AF974">
        <f>IF(AND(AE974&lt;15,OR(AC974&gt;=30,AA974&gt;0.15,X974&gt;=0.15)),2,VLOOKUP(AE974,Table!P:Q,2,FALSE))</f>
        <v>4</v>
      </c>
      <c r="AG974" s="22">
        <f>IF((AB974*0.98)-(D974*0.8)+((AF974-3)*3)+VLOOKUP(AM974,Table!$A$11:$B$13,2,FALSE)&lt;0,0,(AB974*0.98)-(D974*0.8)+((AF974-3)*3)+VLOOKUP(AM974,Table!$A$11:$B$13,2,FALSE))</f>
        <v>56.157599199999993</v>
      </c>
      <c r="AH974" s="22">
        <f t="shared" si="1002"/>
        <v>58</v>
      </c>
      <c r="AI974" s="18">
        <f t="shared" si="995"/>
        <v>5.05</v>
      </c>
      <c r="AJ974" s="18">
        <f t="shared" si="996"/>
        <v>4.72</v>
      </c>
      <c r="AK974" t="str">
        <f t="shared" si="1018"/>
        <v>Rising Rates</v>
      </c>
      <c r="AL974">
        <f t="shared" si="1029"/>
        <v>29.25</v>
      </c>
      <c r="AM974" s="11" t="str">
        <f t="shared" si="1019"/>
        <v>Stocks</v>
      </c>
      <c r="AN974" t="str">
        <f t="shared" si="1025"/>
        <v>Buy</v>
      </c>
      <c r="AO974" s="13">
        <f t="shared" si="1026"/>
        <v>-1.89E-2</v>
      </c>
      <c r="AP974" s="13">
        <f t="shared" si="1027"/>
        <v>1E-3</v>
      </c>
      <c r="AQ974" s="13">
        <f t="shared" si="1028"/>
        <v>-1.0500000000000001E-2</v>
      </c>
      <c r="AR974" s="13">
        <f t="shared" si="1020"/>
        <v>-1.89E-2</v>
      </c>
      <c r="AS974" s="6">
        <f t="shared" si="1012"/>
        <v>365.8110545394361</v>
      </c>
      <c r="AT974" s="6">
        <f t="shared" si="1013"/>
        <v>142.01206927956923</v>
      </c>
      <c r="AU974" s="6">
        <f t="shared" si="1014"/>
        <v>300.01718132655077</v>
      </c>
      <c r="AV974" s="6">
        <f t="shared" si="1015"/>
        <v>365.8110545394361</v>
      </c>
      <c r="AW974" s="58">
        <f t="shared" si="1021"/>
        <v>2000</v>
      </c>
      <c r="AX974" s="58">
        <f>COUNTIF(AW$3:AW974,AW974)</f>
        <v>53</v>
      </c>
    </row>
    <row r="975" spans="1:50" x14ac:dyDescent="0.25">
      <c r="A975" s="5">
        <v>36520</v>
      </c>
      <c r="B975">
        <v>1458.34</v>
      </c>
      <c r="C975">
        <v>5.38</v>
      </c>
      <c r="D975" s="6">
        <v>21.35</v>
      </c>
      <c r="E975" s="18">
        <f t="shared" si="997"/>
        <v>20.72</v>
      </c>
      <c r="F975">
        <f t="shared" si="998"/>
        <v>-1</v>
      </c>
      <c r="G975" s="18">
        <f>ROUND(INDEX(Valuation!U:U,MATCH(A975,Valuation!A:A,0)),2)</f>
        <v>0</v>
      </c>
      <c r="H975">
        <f t="shared" si="1005"/>
        <v>-3</v>
      </c>
      <c r="I975" s="18">
        <f>INDEX(WeeklyIndicators!Y:Y,MATCH(A975,WeeklyIndicators!A:A,0))</f>
        <v>123.5</v>
      </c>
      <c r="J975">
        <f t="shared" ref="J975:J1038" si="1031">IF(I975&gt;170,3,IF(AND(I975&gt;152,I975&lt;=170),2,IF(AND(I975&gt;135,I975&lt;=152),1,IF(I975&lt;60,-3,IF(AND(I975&lt;95,I975&gt;=60),-2,IF(AND(I975&lt;120,I975&gt;=95),-1,0))))))</f>
        <v>0</v>
      </c>
      <c r="K975">
        <f>ROUND(INDEX(Economic!AF:AF,MATCH(EOMONTH($A975,-1),Economic!A:A,0)),2)</f>
        <v>134.80000000000001</v>
      </c>
      <c r="L975" s="11">
        <f t="shared" si="1003"/>
        <v>2</v>
      </c>
      <c r="M975">
        <f>ROUND(INDEX(Manufacturing!P:P,MATCH(EOMONTH($A975,-1),Manufacturing!A:A,0)),2)</f>
        <v>109.36</v>
      </c>
      <c r="N975">
        <f t="shared" si="999"/>
        <v>3</v>
      </c>
      <c r="O975">
        <f>ROUND(INDEX(Housing!AC:AC,MATCH(EOMONTH($A975,-1),Housing!B:B,0)),2)</f>
        <v>127.29</v>
      </c>
      <c r="P975">
        <f t="shared" si="1000"/>
        <v>1</v>
      </c>
      <c r="Q975">
        <f>ROUND(INDEX(Spending!AJ:AJ,MATCH(EOMONTH($A975,-1),Spending!B:B,0)),2)</f>
        <v>63.78</v>
      </c>
      <c r="R975">
        <f t="shared" si="1004"/>
        <v>2</v>
      </c>
      <c r="S975">
        <f>ROUND(INDEX(Employment!V:V,MATCH(EOMONTH($A975,-1),Employment!A:A,0)),2)</f>
        <v>191.32</v>
      </c>
      <c r="T975" s="11">
        <f t="shared" si="1001"/>
        <v>3</v>
      </c>
      <c r="U975">
        <f t="shared" si="1030"/>
        <v>27</v>
      </c>
      <c r="V975">
        <f t="shared" si="1022"/>
        <v>83.1</v>
      </c>
      <c r="W975" s="13">
        <f t="shared" si="1023"/>
        <v>-1.03E-2</v>
      </c>
      <c r="X975" s="13">
        <f t="shared" si="1024"/>
        <v>-4.3999999999999977E-3</v>
      </c>
      <c r="Y975">
        <f t="shared" si="1016"/>
        <v>70.209999999999994</v>
      </c>
      <c r="Z975" s="13">
        <f t="shared" si="1011"/>
        <v>-1.1599999999999999E-2</v>
      </c>
      <c r="AA975" s="13">
        <f t="shared" si="1006"/>
        <v>-1.0000000000000009E-3</v>
      </c>
      <c r="AB975" s="6">
        <f t="shared" si="1017"/>
        <v>65.37</v>
      </c>
      <c r="AC975">
        <f t="shared" si="1009"/>
        <v>33</v>
      </c>
      <c r="AD975" s="11">
        <f t="shared" si="1010"/>
        <v>0</v>
      </c>
      <c r="AE975">
        <f t="shared" si="1008"/>
        <v>29</v>
      </c>
      <c r="AF975">
        <f>IF(AND(AE975&lt;15,OR(AC975&gt;=30,AA975&gt;0.15,X975&gt;=0.15)),2,VLOOKUP(AE975,Table!P:Q,2,FALSE))</f>
        <v>4</v>
      </c>
      <c r="AG975" s="22">
        <f>IF((AB975*0.98)-(D975*0.8)+((AF975-3)*3)+VLOOKUP(AM975,Table!$A$11:$B$13,2,FALSE)&lt;0,0,(AB975*0.98)-(D975*0.8)+((AF975-3)*3)+VLOOKUP(AM975,Table!$A$11:$B$13,2,FALSE))</f>
        <v>57.982600000000005</v>
      </c>
      <c r="AH975" s="22">
        <f t="shared" si="1002"/>
        <v>62</v>
      </c>
      <c r="AI975" s="18">
        <f t="shared" ref="AI975:AI1038" si="1032">ROUND(AVERAGE(C975:C987),2)</f>
        <v>5.0199999999999996</v>
      </c>
      <c r="AJ975" s="18">
        <f t="shared" ref="AJ975:AJ1038" si="1033">ROUND(AVERAGE(C975:C1013),2)</f>
        <v>4.7</v>
      </c>
      <c r="AK975" t="str">
        <f t="shared" si="1018"/>
        <v>Rising Rates</v>
      </c>
      <c r="AL975">
        <f t="shared" si="1029"/>
        <v>29.5</v>
      </c>
      <c r="AM975" s="11" t="str">
        <f t="shared" si="1019"/>
        <v>Stocks</v>
      </c>
      <c r="AN975" t="str">
        <f t="shared" si="1025"/>
        <v>Buy</v>
      </c>
      <c r="AO975" s="13">
        <f t="shared" si="1026"/>
        <v>7.4999999999999997E-3</v>
      </c>
      <c r="AP975" s="13">
        <f t="shared" si="1027"/>
        <v>1E-3</v>
      </c>
      <c r="AQ975" s="13">
        <f t="shared" si="1028"/>
        <v>5.0000000000000001E-3</v>
      </c>
      <c r="AR975" s="13">
        <f t="shared" si="1020"/>
        <v>7.4999999999999997E-3</v>
      </c>
      <c r="AS975" s="6">
        <f t="shared" si="1012"/>
        <v>363.08789532450231</v>
      </c>
      <c r="AT975" s="6">
        <f t="shared" si="1013"/>
        <v>141.87019908048876</v>
      </c>
      <c r="AU975" s="6">
        <f t="shared" si="1014"/>
        <v>298.52455853388142</v>
      </c>
      <c r="AV975" s="6">
        <f t="shared" si="1015"/>
        <v>363.08789532450231</v>
      </c>
      <c r="AW975" s="58">
        <f t="shared" si="1021"/>
        <v>1999</v>
      </c>
      <c r="AX975" s="58">
        <f>COUNTIF(AW$3:AW975,AW975)</f>
        <v>1</v>
      </c>
    </row>
    <row r="976" spans="1:50" x14ac:dyDescent="0.25">
      <c r="A976" s="5">
        <v>36513</v>
      </c>
      <c r="B976">
        <v>1421.03</v>
      </c>
      <c r="C976">
        <v>5.23</v>
      </c>
      <c r="D976" s="6">
        <v>21.48</v>
      </c>
      <c r="E976" s="18">
        <f t="shared" si="997"/>
        <v>21.04</v>
      </c>
      <c r="F976">
        <f t="shared" si="998"/>
        <v>-1</v>
      </c>
      <c r="G976" s="18">
        <f>ROUND(INDEX(Valuation!U:U,MATCH(A976,Valuation!A:A,0)),2)</f>
        <v>0</v>
      </c>
      <c r="H976">
        <f t="shared" si="1005"/>
        <v>-3</v>
      </c>
      <c r="I976" s="18">
        <f>INDEX(WeeklyIndicators!Y:Y,MATCH(A976,WeeklyIndicators!A:A,0))</f>
        <v>131.59</v>
      </c>
      <c r="J976">
        <f t="shared" si="1031"/>
        <v>0</v>
      </c>
      <c r="K976">
        <f>ROUND(INDEX(Economic!AF:AF,MATCH(EOMONTH($A976,-1),Economic!A:A,0)),2)</f>
        <v>134.80000000000001</v>
      </c>
      <c r="L976" s="11">
        <f t="shared" si="1003"/>
        <v>2</v>
      </c>
      <c r="M976">
        <f>ROUND(INDEX(Manufacturing!P:P,MATCH(EOMONTH($A976,-1),Manufacturing!A:A,0)),2)</f>
        <v>109.36</v>
      </c>
      <c r="N976">
        <f t="shared" si="999"/>
        <v>3</v>
      </c>
      <c r="O976">
        <f>ROUND(INDEX(Housing!AC:AC,MATCH(EOMONTH($A976,-1),Housing!B:B,0)),2)</f>
        <v>127.29</v>
      </c>
      <c r="P976">
        <f t="shared" si="1000"/>
        <v>1</v>
      </c>
      <c r="Q976">
        <f>ROUND(INDEX(Spending!AJ:AJ,MATCH(EOMONTH($A976,-1),Spending!B:B,0)),2)</f>
        <v>63.78</v>
      </c>
      <c r="R976">
        <f t="shared" si="1004"/>
        <v>2</v>
      </c>
      <c r="S976">
        <f>ROUND(INDEX(Employment!V:V,MATCH(EOMONTH($A976,-1),Employment!A:A,0)),2)</f>
        <v>191.32</v>
      </c>
      <c r="T976" s="11">
        <f t="shared" si="1001"/>
        <v>3</v>
      </c>
      <c r="U976">
        <f t="shared" si="1030"/>
        <v>27</v>
      </c>
      <c r="V976">
        <f t="shared" si="1022"/>
        <v>83.94</v>
      </c>
      <c r="W976" s="13">
        <f t="shared" si="1023"/>
        <v>-5.3E-3</v>
      </c>
      <c r="X976" s="13">
        <f t="shared" si="1024"/>
        <v>2.2499999999999999E-2</v>
      </c>
      <c r="Y976">
        <f t="shared" si="1016"/>
        <v>70.94</v>
      </c>
      <c r="Z976" s="13">
        <f t="shared" si="1011"/>
        <v>-6.6E-3</v>
      </c>
      <c r="AA976" s="13">
        <f t="shared" si="1006"/>
        <v>3.61E-2</v>
      </c>
      <c r="AB976" s="6">
        <f t="shared" si="1017"/>
        <v>68.88</v>
      </c>
      <c r="AC976">
        <f t="shared" si="1009"/>
        <v>34</v>
      </c>
      <c r="AD976" s="11">
        <f t="shared" si="1010"/>
        <v>0</v>
      </c>
      <c r="AE976">
        <f t="shared" si="1008"/>
        <v>29</v>
      </c>
      <c r="AF976">
        <f>IF(AND(AE976&lt;15,OR(AC976&gt;=30,AA976&gt;0.15,X976&gt;=0.15)),2,VLOOKUP(AE976,Table!P:Q,2,FALSE))</f>
        <v>4</v>
      </c>
      <c r="AG976" s="22">
        <f>IF((AB976*0.98)-(D976*0.8)+((AF976-3)*3)+VLOOKUP(AM976,Table!$A$11:$B$13,2,FALSE)&lt;0,0,(AB976*0.98)-(D976*0.8)+((AF976-3)*3)+VLOOKUP(AM976,Table!$A$11:$B$13,2,FALSE))</f>
        <v>61.318399999999997</v>
      </c>
      <c r="AH976" s="22">
        <f t="shared" si="1002"/>
        <v>65</v>
      </c>
      <c r="AI976" s="18">
        <f t="shared" si="1032"/>
        <v>4.96</v>
      </c>
      <c r="AJ976" s="18">
        <f t="shared" si="1033"/>
        <v>4.68</v>
      </c>
      <c r="AK976" t="str">
        <f t="shared" si="1018"/>
        <v>Rising Rates</v>
      </c>
      <c r="AL976">
        <f t="shared" si="1029"/>
        <v>29.5</v>
      </c>
      <c r="AM976" s="11" t="str">
        <f t="shared" si="1019"/>
        <v>Stocks</v>
      </c>
      <c r="AN976" t="str">
        <f t="shared" si="1025"/>
        <v>Buy</v>
      </c>
      <c r="AO976" s="13">
        <f t="shared" si="1026"/>
        <v>2.63E-2</v>
      </c>
      <c r="AP976" s="13">
        <f t="shared" si="1027"/>
        <v>1E-3</v>
      </c>
      <c r="AQ976" s="13">
        <f t="shared" si="1028"/>
        <v>1.7399999999999999E-2</v>
      </c>
      <c r="AR976" s="13">
        <f t="shared" si="1020"/>
        <v>2.63E-2</v>
      </c>
      <c r="AS976" s="6">
        <f t="shared" si="1012"/>
        <v>353.78339211195782</v>
      </c>
      <c r="AT976" s="6">
        <f t="shared" si="1013"/>
        <v>141.72847060987888</v>
      </c>
      <c r="AU976" s="6">
        <f t="shared" si="1014"/>
        <v>293.41906677204776</v>
      </c>
      <c r="AV976" s="6">
        <f t="shared" si="1015"/>
        <v>353.78339211195782</v>
      </c>
      <c r="AW976" s="58">
        <f t="shared" si="1021"/>
        <v>1999</v>
      </c>
      <c r="AX976" s="58">
        <f>COUNTIF(AW$3:AW976,AW976)</f>
        <v>2</v>
      </c>
    </row>
    <row r="977" spans="1:50" x14ac:dyDescent="0.25">
      <c r="A977" s="5">
        <v>36506</v>
      </c>
      <c r="B977">
        <v>1417.04</v>
      </c>
      <c r="C977">
        <v>5.09</v>
      </c>
      <c r="D977" s="6">
        <v>19.32</v>
      </c>
      <c r="E977" s="18">
        <f t="shared" ref="E977:E1040" si="1034">ROUND(AVERAGE(D977:D979),2)</f>
        <v>20.25</v>
      </c>
      <c r="F977">
        <f t="shared" ref="F977:F1040" si="1035">IF(E977&lt;11,3,IF(AND(E977&lt;14,E977&gt;=11),2,IF(AND(E977&lt;16,E977&gt;=14),1,IF(E977&gt;35,-3,IF(AND(E977&gt;25,E977&lt;=35),-2,IF(AND(E977&gt;18,E977&lt;=25),-1,0))))))</f>
        <v>-1</v>
      </c>
      <c r="G977" s="18">
        <f>ROUND(INDEX(Valuation!U:U,MATCH(A977,Valuation!A:A,0)),2)</f>
        <v>0</v>
      </c>
      <c r="H977">
        <f t="shared" si="1005"/>
        <v>-3</v>
      </c>
      <c r="I977" s="18">
        <f>INDEX(WeeklyIndicators!Y:Y,MATCH(A977,WeeklyIndicators!A:A,0))</f>
        <v>140.81</v>
      </c>
      <c r="J977">
        <f t="shared" si="1031"/>
        <v>1</v>
      </c>
      <c r="K977">
        <f>ROUND(INDEX(Economic!AF:AF,MATCH(EOMONTH($A977,-1),Economic!A:A,0)),2)</f>
        <v>134.80000000000001</v>
      </c>
      <c r="L977" s="11">
        <f t="shared" si="1003"/>
        <v>2</v>
      </c>
      <c r="M977">
        <f>ROUND(INDEX(Manufacturing!P:P,MATCH(EOMONTH($A977,-1),Manufacturing!A:A,0)),2)</f>
        <v>109.36</v>
      </c>
      <c r="N977">
        <f t="shared" si="999"/>
        <v>3</v>
      </c>
      <c r="O977">
        <f>ROUND(INDEX(Housing!AC:AC,MATCH(EOMONTH($A977,-1),Housing!B:B,0)),2)</f>
        <v>127.29</v>
      </c>
      <c r="P977">
        <f t="shared" si="1000"/>
        <v>1</v>
      </c>
      <c r="Q977">
        <f>ROUND(INDEX(Spending!AJ:AJ,MATCH(EOMONTH($A977,-1),Spending!B:B,0)),2)</f>
        <v>63.78</v>
      </c>
      <c r="R977">
        <f t="shared" si="1004"/>
        <v>2</v>
      </c>
      <c r="S977">
        <f>ROUND(INDEX(Employment!V:V,MATCH(EOMONTH($A977,-1),Employment!A:A,0)),2)</f>
        <v>191.32</v>
      </c>
      <c r="T977" s="11">
        <f t="shared" si="1001"/>
        <v>3</v>
      </c>
      <c r="U977">
        <f t="shared" si="1030"/>
        <v>28</v>
      </c>
      <c r="V977">
        <f t="shared" si="1022"/>
        <v>84.9</v>
      </c>
      <c r="W977" s="13">
        <f t="shared" si="1023"/>
        <v>1E-3</v>
      </c>
      <c r="X977" s="13">
        <f t="shared" si="1024"/>
        <v>4.8500000000000001E-2</v>
      </c>
      <c r="Y977">
        <f t="shared" si="1016"/>
        <v>72.17</v>
      </c>
      <c r="Z977" s="13">
        <f t="shared" si="1011"/>
        <v>3.8E-3</v>
      </c>
      <c r="AA977" s="13">
        <f t="shared" si="1006"/>
        <v>7.0599999999999996E-2</v>
      </c>
      <c r="AB977" s="6">
        <f t="shared" si="1017"/>
        <v>72.72</v>
      </c>
      <c r="AC977">
        <f t="shared" si="1009"/>
        <v>36</v>
      </c>
      <c r="AD977" s="11">
        <f t="shared" si="1010"/>
        <v>0</v>
      </c>
      <c r="AE977">
        <f t="shared" si="1008"/>
        <v>30</v>
      </c>
      <c r="AF977">
        <f>IF(AND(AE977&lt;15,OR(AC977&gt;=30,AA977&gt;0.15,X977&gt;=0.15)),2,VLOOKUP(AE977,Table!P:Q,2,FALSE))</f>
        <v>4</v>
      </c>
      <c r="AG977" s="22">
        <f>IF((AB977*0.98)-(D977*0.8)+((AF977-3)*3)+VLOOKUP(AM977,Table!$A$11:$B$13,2,FALSE)&lt;0,0,(AB977*0.98)-(D977*0.8)+((AF977-3)*3)+VLOOKUP(AM977,Table!$A$11:$B$13,2,FALSE))</f>
        <v>66.809599999999989</v>
      </c>
      <c r="AH977" s="22">
        <f t="shared" si="1002"/>
        <v>67</v>
      </c>
      <c r="AI977" s="18">
        <f t="shared" si="1032"/>
        <v>4.92</v>
      </c>
      <c r="AJ977" s="18">
        <f t="shared" si="1033"/>
        <v>4.66</v>
      </c>
      <c r="AK977" t="str">
        <f t="shared" si="1018"/>
        <v>Rising Rates</v>
      </c>
      <c r="AL977">
        <f t="shared" si="1029"/>
        <v>29.5</v>
      </c>
      <c r="AM977" s="11" t="str">
        <f t="shared" si="1019"/>
        <v>Stocks</v>
      </c>
      <c r="AN977" t="str">
        <f t="shared" si="1025"/>
        <v>Buy</v>
      </c>
      <c r="AO977" s="13">
        <f t="shared" si="1026"/>
        <v>2.8E-3</v>
      </c>
      <c r="AP977" s="13">
        <f t="shared" si="1027"/>
        <v>1E-3</v>
      </c>
      <c r="AQ977" s="13">
        <f t="shared" si="1028"/>
        <v>2.2000000000000001E-3</v>
      </c>
      <c r="AR977" s="13">
        <f t="shared" si="1020"/>
        <v>2.8E-3</v>
      </c>
      <c r="AS977" s="6">
        <f t="shared" si="1012"/>
        <v>352.79556453127032</v>
      </c>
      <c r="AT977" s="6">
        <f t="shared" si="1013"/>
        <v>141.58688372615273</v>
      </c>
      <c r="AU977" s="6">
        <f t="shared" si="1014"/>
        <v>292.77496185596465</v>
      </c>
      <c r="AV977" s="6">
        <f t="shared" si="1015"/>
        <v>352.79556453127032</v>
      </c>
      <c r="AW977" s="58">
        <f t="shared" si="1021"/>
        <v>1999</v>
      </c>
      <c r="AX977" s="58">
        <f>COUNTIF(AW$3:AW977,AW977)</f>
        <v>3</v>
      </c>
    </row>
    <row r="978" spans="1:50" x14ac:dyDescent="0.25">
      <c r="A978" s="5">
        <v>36499</v>
      </c>
      <c r="B978">
        <v>1433.3</v>
      </c>
      <c r="C978">
        <v>5.13</v>
      </c>
      <c r="D978" s="6">
        <v>22.33</v>
      </c>
      <c r="E978" s="18">
        <f t="shared" si="1034"/>
        <v>21.03</v>
      </c>
      <c r="F978">
        <f t="shared" si="1035"/>
        <v>-1</v>
      </c>
      <c r="G978" s="18">
        <f>ROUND(INDEX(Valuation!U:U,MATCH(A978,Valuation!A:A,0)),2)</f>
        <v>0</v>
      </c>
      <c r="H978">
        <f t="shared" si="1005"/>
        <v>-3</v>
      </c>
      <c r="I978" s="18">
        <f>INDEX(WeeklyIndicators!Y:Y,MATCH(A978,WeeklyIndicators!A:A,0))</f>
        <v>148.63</v>
      </c>
      <c r="J978">
        <f t="shared" si="1031"/>
        <v>1</v>
      </c>
      <c r="K978">
        <f>ROUND(INDEX(Economic!AF:AF,MATCH(EOMONTH($A978,-1),Economic!A:A,0)),2)</f>
        <v>134.80000000000001</v>
      </c>
      <c r="L978" s="11">
        <f t="shared" si="1003"/>
        <v>2</v>
      </c>
      <c r="M978">
        <f>ROUND(INDEX(Manufacturing!P:P,MATCH(EOMONTH($A978,-1),Manufacturing!A:A,0)),2)</f>
        <v>109.36</v>
      </c>
      <c r="N978">
        <f t="shared" ref="N978:N1041" si="1036">IF(M978&gt;108,3,IF(AND(M978&gt;100,M978&lt;=108),2,IF(AND(M978&gt;90,M978&lt;=100),1,IF(M978&lt;63,-3,IF(AND(M978&lt;74,M978&gt;=63),-2,IF(AND(M978&lt;84,M978&gt;=74),-1,0))))))</f>
        <v>3</v>
      </c>
      <c r="O978">
        <f>ROUND(INDEX(Housing!AC:AC,MATCH(EOMONTH($A978,-1),Housing!B:B,0)),2)</f>
        <v>127.29</v>
      </c>
      <c r="P978">
        <f t="shared" ref="P978:P1041" si="1037">IF(O978&gt;140,3,IF(AND(O978&gt;128,O978&lt;=140),2,IF(AND(O978&gt;115,O978&lt;=128),1,IF(O978&lt;50,-3,IF(AND(O978&lt;75,O978&gt;=50),-2,IF(AND(O978&lt;100,O978&gt;=75),-1,0))))))</f>
        <v>1</v>
      </c>
      <c r="Q978">
        <f>ROUND(INDEX(Spending!AJ:AJ,MATCH(EOMONTH($A978,-1),Spending!B:B,0)),2)</f>
        <v>63.78</v>
      </c>
      <c r="R978">
        <f t="shared" si="1004"/>
        <v>2</v>
      </c>
      <c r="S978">
        <f>ROUND(INDEX(Employment!V:V,MATCH(EOMONTH($A978,-1),Employment!A:A,0)),2)</f>
        <v>191.32</v>
      </c>
      <c r="T978" s="11">
        <f t="shared" ref="T978:T1041" si="1038">IF(S978&gt;190,3,IF(AND(S978&gt;175,S978&lt;=190),2,IF(AND(S978&gt;160,S978&lt;=175),1,IF(S978&lt;120,-3,IF(AND(S978&lt;140,S978&gt;=120),-2,IF(AND(S978&lt;150,S978&gt;=140),-1,0))))))</f>
        <v>3</v>
      </c>
      <c r="U978">
        <f t="shared" si="1030"/>
        <v>28</v>
      </c>
      <c r="V978">
        <f t="shared" si="1022"/>
        <v>85.71</v>
      </c>
      <c r="W978" s="13">
        <f t="shared" si="1023"/>
        <v>1.0200000000000001E-2</v>
      </c>
      <c r="X978" s="13">
        <f t="shared" si="1024"/>
        <v>6.3399999999999998E-2</v>
      </c>
      <c r="Y978">
        <f t="shared" si="1016"/>
        <v>72.709999999999994</v>
      </c>
      <c r="Z978" s="13">
        <f t="shared" si="1011"/>
        <v>1.34E-2</v>
      </c>
      <c r="AA978" s="13">
        <f t="shared" si="1006"/>
        <v>9.1200000000000003E-2</v>
      </c>
      <c r="AB978" s="6">
        <f t="shared" si="1017"/>
        <v>74.81</v>
      </c>
      <c r="AC978">
        <f t="shared" si="1009"/>
        <v>37</v>
      </c>
      <c r="AD978" s="11">
        <f t="shared" si="1010"/>
        <v>0</v>
      </c>
      <c r="AE978">
        <f t="shared" si="1008"/>
        <v>30</v>
      </c>
      <c r="AF978">
        <f>IF(AND(AE978&lt;15,OR(AC978&gt;=30,AA978&gt;0.15,X978&gt;=0.15)),2,VLOOKUP(AE978,Table!P:Q,2,FALSE))</f>
        <v>4</v>
      </c>
      <c r="AG978" s="22">
        <f>IF((AB978*0.98)-(D978*0.8)+((AF978-3)*3)+VLOOKUP(AM978,Table!$A$11:$B$13,2,FALSE)&lt;0,0,(AB978*0.98)-(D978*0.8)+((AF978-3)*3)+VLOOKUP(AM978,Table!$A$11:$B$13,2,FALSE))</f>
        <v>66.449799999999996</v>
      </c>
      <c r="AH978" s="22">
        <f t="shared" ref="AH978:AH1041" si="1039">IF(ROUND(AVERAGE(AG978:AG980),0)&lt;0,0,IF(ROUND(AVERAGE(AG978:AG980),0)&gt;100,100,ROUND(AVERAGE(AG978:AG980),0)))</f>
        <v>66</v>
      </c>
      <c r="AI978" s="18">
        <f t="shared" si="1032"/>
        <v>4.88</v>
      </c>
      <c r="AJ978" s="18">
        <f t="shared" si="1033"/>
        <v>4.6399999999999997</v>
      </c>
      <c r="AK978" t="str">
        <f t="shared" si="1018"/>
        <v>Rising Rates</v>
      </c>
      <c r="AL978">
        <f t="shared" si="1029"/>
        <v>29</v>
      </c>
      <c r="AM978" s="11" t="str">
        <f t="shared" si="1019"/>
        <v>Stocks</v>
      </c>
      <c r="AN978" t="str">
        <f t="shared" si="1025"/>
        <v>Buy</v>
      </c>
      <c r="AO978" s="13">
        <f t="shared" si="1026"/>
        <v>-1.1299999999999999E-2</v>
      </c>
      <c r="AP978" s="13">
        <f t="shared" si="1027"/>
        <v>1E-3</v>
      </c>
      <c r="AQ978" s="13">
        <f t="shared" si="1028"/>
        <v>-7.1000000000000004E-3</v>
      </c>
      <c r="AR978" s="13">
        <f t="shared" si="1020"/>
        <v>-1.1299999999999999E-2</v>
      </c>
      <c r="AS978" s="6">
        <f t="shared" si="1012"/>
        <v>356.82771774175211</v>
      </c>
      <c r="AT978" s="6">
        <f t="shared" si="1013"/>
        <v>141.44543828786487</v>
      </c>
      <c r="AU978" s="6">
        <f t="shared" si="1014"/>
        <v>294.86852840765903</v>
      </c>
      <c r="AV978" s="6">
        <f t="shared" si="1015"/>
        <v>356.82771774175211</v>
      </c>
      <c r="AW978" s="58">
        <f t="shared" si="1021"/>
        <v>1999</v>
      </c>
      <c r="AX978" s="58">
        <f>COUNTIF(AW$3:AW978,AW978)</f>
        <v>4</v>
      </c>
    </row>
    <row r="979" spans="1:50" x14ac:dyDescent="0.25">
      <c r="A979" s="5">
        <v>36492</v>
      </c>
      <c r="B979">
        <v>1416.62</v>
      </c>
      <c r="C979">
        <v>5.12</v>
      </c>
      <c r="D979" s="6">
        <v>19.110001</v>
      </c>
      <c r="E979" s="18">
        <f t="shared" si="1034"/>
        <v>20.81</v>
      </c>
      <c r="F979">
        <f t="shared" si="1035"/>
        <v>-1</v>
      </c>
      <c r="G979" s="18">
        <f>ROUND(INDEX(Valuation!U:U,MATCH(A979,Valuation!A:A,0)),2)</f>
        <v>0</v>
      </c>
      <c r="H979">
        <f t="shared" si="1005"/>
        <v>-3</v>
      </c>
      <c r="I979" s="18">
        <f>INDEX(WeeklyIndicators!Y:Y,MATCH(A979,WeeklyIndicators!A:A,0))</f>
        <v>150.54</v>
      </c>
      <c r="J979">
        <f t="shared" si="1031"/>
        <v>1</v>
      </c>
      <c r="K979">
        <f>ROUND(INDEX(Economic!AF:AF,MATCH(EOMONTH($A979,-1),Economic!A:A,0)),2)</f>
        <v>136.05000000000001</v>
      </c>
      <c r="L979" s="11">
        <f t="shared" ref="L979:L1042" si="1040">IF(K979&gt;138,3,IF(AND(K979&gt;125,K979&lt;=138),2,IF(AND(K979&gt;111,K979&lt;=125),1,IF(K979&lt;50,-3,IF(AND(K979&lt;80,K979&gt;=50),-2,IF(AND(K979&lt;100,K979&gt;=80),-1,0))))))</f>
        <v>2</v>
      </c>
      <c r="M979">
        <f>ROUND(INDEX(Manufacturing!P:P,MATCH(EOMONTH($A979,-1),Manufacturing!A:A,0)),2)</f>
        <v>105.88</v>
      </c>
      <c r="N979">
        <f t="shared" si="1036"/>
        <v>2</v>
      </c>
      <c r="O979">
        <f>ROUND(INDEX(Housing!AC:AC,MATCH(EOMONTH($A979,-1),Housing!B:B,0)),2)</f>
        <v>129.22999999999999</v>
      </c>
      <c r="P979">
        <f t="shared" si="1037"/>
        <v>2</v>
      </c>
      <c r="Q979">
        <f>ROUND(INDEX(Spending!AJ:AJ,MATCH(EOMONTH($A979,-1),Spending!B:B,0)),2)</f>
        <v>63.76</v>
      </c>
      <c r="R979">
        <f t="shared" ref="R979:R1042" si="1041">IF(Q979&gt;60,2,IF(AND(Q979&gt;50,Q979&lt;=60),1,IF(Q979&lt;30,-2,IF(AND(Q979&lt;40,Q979&gt;=30),-1,0))))</f>
        <v>2</v>
      </c>
      <c r="S979">
        <f>ROUND(INDEX(Employment!V:V,MATCH(EOMONTH($A979,-1),Employment!A:A,0)),2)</f>
        <v>186.31</v>
      </c>
      <c r="T979" s="11">
        <f t="shared" si="1038"/>
        <v>2</v>
      </c>
      <c r="U979">
        <f t="shared" si="1030"/>
        <v>27</v>
      </c>
      <c r="V979">
        <f t="shared" si="1022"/>
        <v>85.3</v>
      </c>
      <c r="W979" s="13">
        <f t="shared" si="1023"/>
        <v>1.66E-2</v>
      </c>
      <c r="X979" s="13">
        <f t="shared" si="1024"/>
        <v>5.6999999999999995E-2</v>
      </c>
      <c r="Y979">
        <f t="shared" si="1016"/>
        <v>72.38</v>
      </c>
      <c r="Z979" s="13">
        <f t="shared" si="1011"/>
        <v>2.5499999999999998E-2</v>
      </c>
      <c r="AA979" s="13">
        <f t="shared" si="1006"/>
        <v>8.270000000000001E-2</v>
      </c>
      <c r="AB979" s="6">
        <f t="shared" si="1017"/>
        <v>73.83</v>
      </c>
      <c r="AC979">
        <f t="shared" si="1009"/>
        <v>37</v>
      </c>
      <c r="AD979" s="11">
        <f t="shared" si="1010"/>
        <v>0</v>
      </c>
      <c r="AE979">
        <f t="shared" si="1008"/>
        <v>29</v>
      </c>
      <c r="AF979">
        <f>IF(AND(AE979&lt;15,OR(AC979&gt;=30,AA979&gt;0.15,X979&gt;=0.15)),2,VLOOKUP(AE979,Table!P:Q,2,FALSE))</f>
        <v>4</v>
      </c>
      <c r="AG979" s="22">
        <f>IF((AB979*0.98)-(D979*0.8)+((AF979-3)*3)+VLOOKUP(AM979,Table!$A$11:$B$13,2,FALSE)&lt;0,0,(AB979*0.98)-(D979*0.8)+((AF979-3)*3)+VLOOKUP(AM979,Table!$A$11:$B$13,2,FALSE))</f>
        <v>68.065399200000002</v>
      </c>
      <c r="AH979" s="22">
        <f t="shared" si="1039"/>
        <v>63</v>
      </c>
      <c r="AI979" s="18">
        <f t="shared" si="1032"/>
        <v>4.8600000000000003</v>
      </c>
      <c r="AJ979" s="18">
        <f t="shared" si="1033"/>
        <v>4.62</v>
      </c>
      <c r="AK979" t="str">
        <f t="shared" si="1018"/>
        <v>Rising Rates</v>
      </c>
      <c r="AL979">
        <f t="shared" si="1029"/>
        <v>28</v>
      </c>
      <c r="AM979" s="11" t="str">
        <f t="shared" si="1019"/>
        <v>Stocks</v>
      </c>
      <c r="AN979" t="str">
        <f t="shared" si="1025"/>
        <v>Buy</v>
      </c>
      <c r="AO979" s="13">
        <f t="shared" si="1026"/>
        <v>1.18E-2</v>
      </c>
      <c r="AP979" s="13">
        <f t="shared" si="1027"/>
        <v>1E-3</v>
      </c>
      <c r="AQ979" s="13">
        <f t="shared" si="1028"/>
        <v>7.7999999999999996E-3</v>
      </c>
      <c r="AR979" s="13">
        <f t="shared" si="1020"/>
        <v>1.18E-2</v>
      </c>
      <c r="AS979" s="6">
        <f t="shared" si="1012"/>
        <v>352.66625592187398</v>
      </c>
      <c r="AT979" s="6">
        <f t="shared" si="1013"/>
        <v>141.30413415371117</v>
      </c>
      <c r="AU979" s="6">
        <f t="shared" si="1014"/>
        <v>292.58635483990776</v>
      </c>
      <c r="AV979" s="6">
        <f t="shared" si="1015"/>
        <v>352.66625592187398</v>
      </c>
      <c r="AW979" s="58">
        <f t="shared" si="1021"/>
        <v>1999</v>
      </c>
      <c r="AX979" s="58">
        <f>COUNTIF(AW$3:AW979,AW979)</f>
        <v>5</v>
      </c>
    </row>
    <row r="980" spans="1:50" x14ac:dyDescent="0.25">
      <c r="A980" s="5">
        <v>36485</v>
      </c>
      <c r="B980">
        <v>1422</v>
      </c>
      <c r="C980">
        <v>5.0999999999999996</v>
      </c>
      <c r="D980" s="6">
        <v>21.65</v>
      </c>
      <c r="E980" s="18">
        <f t="shared" si="1034"/>
        <v>21.84</v>
      </c>
      <c r="F980">
        <f t="shared" si="1035"/>
        <v>-1</v>
      </c>
      <c r="G980" s="18">
        <f>ROUND(INDEX(Valuation!U:U,MATCH(A980,Valuation!A:A,0)),2)</f>
        <v>0</v>
      </c>
      <c r="H980">
        <f t="shared" si="1005"/>
        <v>-3</v>
      </c>
      <c r="I980" s="18">
        <f>INDEX(WeeklyIndicators!Y:Y,MATCH(A980,WeeklyIndicators!A:A,0))</f>
        <v>144.16</v>
      </c>
      <c r="J980">
        <f t="shared" si="1031"/>
        <v>1</v>
      </c>
      <c r="K980">
        <f>ROUND(INDEX(Economic!AF:AF,MATCH(EOMONTH($A980,-1),Economic!A:A,0)),2)</f>
        <v>136.05000000000001</v>
      </c>
      <c r="L980" s="11">
        <f t="shared" si="1040"/>
        <v>2</v>
      </c>
      <c r="M980">
        <f>ROUND(INDEX(Manufacturing!P:P,MATCH(EOMONTH($A980,-1),Manufacturing!A:A,0)),2)</f>
        <v>105.88</v>
      </c>
      <c r="N980">
        <f t="shared" si="1036"/>
        <v>2</v>
      </c>
      <c r="O980">
        <f>ROUND(INDEX(Housing!AC:AC,MATCH(EOMONTH($A980,-1),Housing!B:B,0)),2)</f>
        <v>129.22999999999999</v>
      </c>
      <c r="P980">
        <f t="shared" si="1037"/>
        <v>2</v>
      </c>
      <c r="Q980">
        <f>ROUND(INDEX(Spending!AJ:AJ,MATCH(EOMONTH($A980,-1),Spending!B:B,0)),2)</f>
        <v>63.76</v>
      </c>
      <c r="R980">
        <f t="shared" si="1041"/>
        <v>2</v>
      </c>
      <c r="S980">
        <f>ROUND(INDEX(Employment!V:V,MATCH(EOMONTH($A980,-1),Employment!A:A,0)),2)</f>
        <v>186.31</v>
      </c>
      <c r="T980" s="11">
        <f t="shared" si="1038"/>
        <v>2</v>
      </c>
      <c r="U980">
        <f t="shared" si="1030"/>
        <v>27</v>
      </c>
      <c r="V980">
        <f t="shared" si="1022"/>
        <v>84.64</v>
      </c>
      <c r="W980" s="13">
        <f t="shared" si="1023"/>
        <v>2.07E-2</v>
      </c>
      <c r="X980" s="13">
        <f t="shared" si="1024"/>
        <v>3.3799999999999997E-2</v>
      </c>
      <c r="Y980">
        <f t="shared" si="1016"/>
        <v>71.349999999999994</v>
      </c>
      <c r="Z980" s="13">
        <f t="shared" si="1011"/>
        <v>2.7900000000000001E-2</v>
      </c>
      <c r="AA980" s="13">
        <f t="shared" si="1006"/>
        <v>5.21E-2</v>
      </c>
      <c r="AB980" s="6">
        <f t="shared" si="1017"/>
        <v>70.5</v>
      </c>
      <c r="AC980">
        <f t="shared" si="1009"/>
        <v>35</v>
      </c>
      <c r="AD980" s="11">
        <f t="shared" si="1010"/>
        <v>0</v>
      </c>
      <c r="AE980">
        <f t="shared" si="1008"/>
        <v>29</v>
      </c>
      <c r="AF980">
        <f>IF(AND(AE980&lt;15,OR(AC980&gt;=30,AA980&gt;0.15,X980&gt;=0.15)),2,VLOOKUP(AE980,Table!P:Q,2,FALSE))</f>
        <v>4</v>
      </c>
      <c r="AG980" s="22">
        <f>IF((AB980*0.98)-(D980*0.8)+((AF980-3)*3)+VLOOKUP(AM980,Table!$A$11:$B$13,2,FALSE)&lt;0,0,(AB980*0.98)-(D980*0.8)+((AF980-3)*3)+VLOOKUP(AM980,Table!$A$11:$B$13,2,FALSE))</f>
        <v>62.77</v>
      </c>
      <c r="AH980" s="22">
        <f t="shared" si="1039"/>
        <v>58</v>
      </c>
      <c r="AI980" s="18">
        <f t="shared" si="1032"/>
        <v>4.84</v>
      </c>
      <c r="AJ980" s="18">
        <f t="shared" si="1033"/>
        <v>4.6100000000000003</v>
      </c>
      <c r="AK980" t="str">
        <f t="shared" si="1018"/>
        <v>Rising Rates</v>
      </c>
      <c r="AL980">
        <f t="shared" si="1029"/>
        <v>27.5</v>
      </c>
      <c r="AM980" s="11" t="str">
        <f t="shared" si="1019"/>
        <v>Stocks</v>
      </c>
      <c r="AN980" t="str">
        <f t="shared" si="1025"/>
        <v>Buy</v>
      </c>
      <c r="AO980" s="13">
        <f t="shared" si="1026"/>
        <v>-3.8E-3</v>
      </c>
      <c r="AP980" s="13">
        <f t="shared" si="1027"/>
        <v>1E-3</v>
      </c>
      <c r="AQ980" s="13">
        <f t="shared" si="1028"/>
        <v>-1.8E-3</v>
      </c>
      <c r="AR980" s="13">
        <f t="shared" si="1020"/>
        <v>-3.8E-3</v>
      </c>
      <c r="AS980" s="6">
        <f t="shared" si="1012"/>
        <v>354.01149962043161</v>
      </c>
      <c r="AT980" s="6">
        <f t="shared" si="1013"/>
        <v>141.16297118252865</v>
      </c>
      <c r="AU980" s="6">
        <f t="shared" si="1014"/>
        <v>293.11395996784989</v>
      </c>
      <c r="AV980" s="6">
        <f t="shared" si="1015"/>
        <v>354.01149962043161</v>
      </c>
      <c r="AW980" s="58">
        <f t="shared" si="1021"/>
        <v>1999</v>
      </c>
      <c r="AX980" s="58">
        <f>COUNTIF(AW$3:AW980,AW980)</f>
        <v>6</v>
      </c>
    </row>
    <row r="981" spans="1:50" x14ac:dyDescent="0.25">
      <c r="A981" s="5">
        <v>36478</v>
      </c>
      <c r="B981">
        <v>1396.06</v>
      </c>
      <c r="C981">
        <v>5.05</v>
      </c>
      <c r="D981" s="6">
        <v>21.66</v>
      </c>
      <c r="E981" s="18">
        <f t="shared" si="1034"/>
        <v>21.83</v>
      </c>
      <c r="F981">
        <f t="shared" si="1035"/>
        <v>-1</v>
      </c>
      <c r="G981" s="18">
        <f>ROUND(INDEX(Valuation!U:U,MATCH(A981,Valuation!A:A,0)),2)</f>
        <v>0</v>
      </c>
      <c r="H981">
        <f t="shared" si="1005"/>
        <v>-3</v>
      </c>
      <c r="I981" s="18">
        <f>INDEX(WeeklyIndicators!Y:Y,MATCH(A981,WeeklyIndicators!A:A,0))</f>
        <v>129.63</v>
      </c>
      <c r="J981">
        <f t="shared" si="1031"/>
        <v>0</v>
      </c>
      <c r="K981">
        <f>ROUND(INDEX(Economic!AF:AF,MATCH(EOMONTH($A981,-1),Economic!A:A,0)),2)</f>
        <v>136.05000000000001</v>
      </c>
      <c r="L981" s="11">
        <f t="shared" si="1040"/>
        <v>2</v>
      </c>
      <c r="M981">
        <f>ROUND(INDEX(Manufacturing!P:P,MATCH(EOMONTH($A981,-1),Manufacturing!A:A,0)),2)</f>
        <v>105.88</v>
      </c>
      <c r="N981">
        <f t="shared" si="1036"/>
        <v>2</v>
      </c>
      <c r="O981">
        <f>ROUND(INDEX(Housing!AC:AC,MATCH(EOMONTH($A981,-1),Housing!B:B,0)),2)</f>
        <v>129.22999999999999</v>
      </c>
      <c r="P981">
        <f t="shared" si="1037"/>
        <v>2</v>
      </c>
      <c r="Q981">
        <f>ROUND(INDEX(Spending!AJ:AJ,MATCH(EOMONTH($A981,-1),Spending!B:B,0)),2)</f>
        <v>63.76</v>
      </c>
      <c r="R981">
        <f t="shared" si="1041"/>
        <v>2</v>
      </c>
      <c r="S981">
        <f>ROUND(INDEX(Employment!V:V,MATCH(EOMONTH($A981,-1),Employment!A:A,0)),2)</f>
        <v>186.31</v>
      </c>
      <c r="T981" s="11">
        <f t="shared" si="1038"/>
        <v>2</v>
      </c>
      <c r="U981">
        <f t="shared" si="1030"/>
        <v>26</v>
      </c>
      <c r="V981">
        <f t="shared" si="1022"/>
        <v>83.13</v>
      </c>
      <c r="W981" s="13">
        <f t="shared" si="1023"/>
        <v>1.5900000000000001E-2</v>
      </c>
      <c r="X981" s="13">
        <f t="shared" si="1024"/>
        <v>4.4000000000000029E-3</v>
      </c>
      <c r="Y981">
        <f t="shared" si="1016"/>
        <v>69.849999999999994</v>
      </c>
      <c r="Z981" s="13">
        <f t="shared" si="1011"/>
        <v>2.4400000000000002E-2</v>
      </c>
      <c r="AA981" s="13">
        <f t="shared" si="1006"/>
        <v>1.2999999999999999E-2</v>
      </c>
      <c r="AB981" s="6">
        <f t="shared" si="1017"/>
        <v>66.040000000000006</v>
      </c>
      <c r="AC981">
        <f t="shared" si="1009"/>
        <v>33</v>
      </c>
      <c r="AD981" s="11">
        <f t="shared" si="1010"/>
        <v>0</v>
      </c>
      <c r="AE981">
        <f t="shared" si="1008"/>
        <v>28</v>
      </c>
      <c r="AF981">
        <f>IF(AND(AE981&lt;15,OR(AC981&gt;=30,AA981&gt;0.15,X981&gt;=0.15)),2,VLOOKUP(AE981,Table!P:Q,2,FALSE))</f>
        <v>4</v>
      </c>
      <c r="AG981" s="22">
        <f>IF((AB981*0.98)-(D981*0.8)+((AF981-3)*3)+VLOOKUP(AM981,Table!$A$11:$B$13,2,FALSE)&lt;0,0,(AB981*0.98)-(D981*0.8)+((AF981-3)*3)+VLOOKUP(AM981,Table!$A$11:$B$13,2,FALSE))</f>
        <v>58.391199999999998</v>
      </c>
      <c r="AH981" s="22">
        <f t="shared" si="1039"/>
        <v>54</v>
      </c>
      <c r="AI981" s="18">
        <f t="shared" si="1032"/>
        <v>4.8</v>
      </c>
      <c r="AJ981" s="18">
        <f t="shared" si="1033"/>
        <v>4.59</v>
      </c>
      <c r="AK981" t="str">
        <f t="shared" si="1018"/>
        <v>Rising Rates</v>
      </c>
      <c r="AL981">
        <f t="shared" si="1029"/>
        <v>26.75</v>
      </c>
      <c r="AM981" s="11" t="str">
        <f t="shared" si="1019"/>
        <v>Stocks</v>
      </c>
      <c r="AN981" t="str">
        <f t="shared" si="1025"/>
        <v>Buy</v>
      </c>
      <c r="AO981" s="13">
        <f t="shared" si="1026"/>
        <v>1.8599999999999998E-2</v>
      </c>
      <c r="AP981" s="13">
        <f t="shared" si="1027"/>
        <v>1E-3</v>
      </c>
      <c r="AQ981" s="13">
        <f t="shared" si="1028"/>
        <v>1.0500000000000001E-2</v>
      </c>
      <c r="AR981" s="13">
        <f t="shared" si="1020"/>
        <v>1.8599999999999998E-2</v>
      </c>
      <c r="AS981" s="6">
        <f t="shared" si="1012"/>
        <v>347.54712313020974</v>
      </c>
      <c r="AT981" s="6">
        <f t="shared" si="1013"/>
        <v>141.02194923329537</v>
      </c>
      <c r="AU981" s="6">
        <f t="shared" si="1014"/>
        <v>290.06824341202366</v>
      </c>
      <c r="AV981" s="6">
        <f t="shared" si="1015"/>
        <v>347.54712313020974</v>
      </c>
      <c r="AW981" s="58">
        <f t="shared" si="1021"/>
        <v>1999</v>
      </c>
      <c r="AX981" s="58">
        <f>COUNTIF(AW$3:AW981,AW981)</f>
        <v>7</v>
      </c>
    </row>
    <row r="982" spans="1:50" x14ac:dyDescent="0.25">
      <c r="A982" s="5">
        <v>36471</v>
      </c>
      <c r="B982">
        <v>1370.23</v>
      </c>
      <c r="C982">
        <v>4.9800000000000004</v>
      </c>
      <c r="D982" s="6">
        <v>22.200001</v>
      </c>
      <c r="E982" s="18">
        <f t="shared" si="1034"/>
        <v>24.2</v>
      </c>
      <c r="F982">
        <f t="shared" si="1035"/>
        <v>-1</v>
      </c>
      <c r="G982" s="18">
        <f>ROUND(INDEX(Valuation!U:U,MATCH(A982,Valuation!A:A,0)),2)</f>
        <v>0</v>
      </c>
      <c r="H982">
        <f t="shared" si="1005"/>
        <v>-3</v>
      </c>
      <c r="I982" s="18">
        <f>INDEX(WeeklyIndicators!Y:Y,MATCH(A982,WeeklyIndicators!A:A,0))</f>
        <v>110.73</v>
      </c>
      <c r="J982">
        <f t="shared" si="1031"/>
        <v>-1</v>
      </c>
      <c r="K982">
        <f>ROUND(INDEX(Economic!AF:AF,MATCH(EOMONTH($A982,-1),Economic!A:A,0)),2)</f>
        <v>136.05000000000001</v>
      </c>
      <c r="L982" s="11">
        <f t="shared" si="1040"/>
        <v>2</v>
      </c>
      <c r="M982">
        <f>ROUND(INDEX(Manufacturing!P:P,MATCH(EOMONTH($A982,-1),Manufacturing!A:A,0)),2)</f>
        <v>105.88</v>
      </c>
      <c r="N982">
        <f t="shared" si="1036"/>
        <v>2</v>
      </c>
      <c r="O982">
        <f>ROUND(INDEX(Housing!AC:AC,MATCH(EOMONTH($A982,-1),Housing!B:B,0)),2)</f>
        <v>129.22999999999999</v>
      </c>
      <c r="P982">
        <f t="shared" si="1037"/>
        <v>2</v>
      </c>
      <c r="Q982">
        <f>ROUND(INDEX(Spending!AJ:AJ,MATCH(EOMONTH($A982,-1),Spending!B:B,0)),2)</f>
        <v>63.76</v>
      </c>
      <c r="R982">
        <f t="shared" si="1041"/>
        <v>2</v>
      </c>
      <c r="S982">
        <f>ROUND(INDEX(Employment!V:V,MATCH(EOMONTH($A982,-1),Employment!A:A,0)),2)</f>
        <v>186.31</v>
      </c>
      <c r="T982" s="11">
        <f t="shared" si="1038"/>
        <v>2</v>
      </c>
      <c r="U982">
        <f t="shared" si="1030"/>
        <v>25</v>
      </c>
      <c r="V982">
        <f t="shared" si="1022"/>
        <v>81.17</v>
      </c>
      <c r="W982" s="13">
        <f t="shared" si="1023"/>
        <v>3.8E-3</v>
      </c>
      <c r="X982" s="13">
        <f t="shared" si="1024"/>
        <v>-0.02</v>
      </c>
      <c r="Y982">
        <f t="shared" si="1016"/>
        <v>67.06</v>
      </c>
      <c r="Z982" s="13">
        <f t="shared" si="1011"/>
        <v>4.8999999999999998E-3</v>
      </c>
      <c r="AA982" s="13">
        <f t="shared" si="1006"/>
        <v>-2.5500000000000002E-2</v>
      </c>
      <c r="AB982" s="6">
        <f t="shared" si="1017"/>
        <v>60.36</v>
      </c>
      <c r="AC982">
        <f t="shared" si="1009"/>
        <v>30</v>
      </c>
      <c r="AD982" s="11">
        <f t="shared" si="1010"/>
        <v>-1</v>
      </c>
      <c r="AE982">
        <f t="shared" si="1008"/>
        <v>26</v>
      </c>
      <c r="AF982">
        <f>IF(AND(AE982&lt;15,OR(AC982&gt;=30,AA982&gt;0.15,X982&gt;=0.15)),2,VLOOKUP(AE982,Table!P:Q,2,FALSE))</f>
        <v>4</v>
      </c>
      <c r="AG982" s="22">
        <f>IF((AB982*0.98)-(D982*0.8)+((AF982-3)*3)+VLOOKUP(AM982,Table!$A$11:$B$13,2,FALSE)&lt;0,0,(AB982*0.98)-(D982*0.8)+((AF982-3)*3)+VLOOKUP(AM982,Table!$A$11:$B$13,2,FALSE))</f>
        <v>52.392799199999999</v>
      </c>
      <c r="AH982" s="22">
        <f t="shared" si="1039"/>
        <v>49</v>
      </c>
      <c r="AI982" s="18">
        <f t="shared" si="1032"/>
        <v>4.78</v>
      </c>
      <c r="AJ982" s="18">
        <f t="shared" si="1033"/>
        <v>4.57</v>
      </c>
      <c r="AK982" t="str">
        <f t="shared" si="1018"/>
        <v>Rising Rates</v>
      </c>
      <c r="AL982">
        <f t="shared" si="1029"/>
        <v>26.5</v>
      </c>
      <c r="AM982" s="11" t="str">
        <f t="shared" si="1019"/>
        <v>Stocks</v>
      </c>
      <c r="AN982" t="str">
        <f t="shared" si="1025"/>
        <v>Buy</v>
      </c>
      <c r="AO982" s="13">
        <f t="shared" si="1026"/>
        <v>1.89E-2</v>
      </c>
      <c r="AP982" s="13">
        <f t="shared" si="1027"/>
        <v>1E-3</v>
      </c>
      <c r="AQ982" s="13">
        <f t="shared" si="1028"/>
        <v>9.7999999999999997E-3</v>
      </c>
      <c r="AR982" s="13">
        <f t="shared" si="1020"/>
        <v>1.89E-2</v>
      </c>
      <c r="AS982" s="6">
        <f t="shared" si="1012"/>
        <v>341.10032695083891</v>
      </c>
      <c r="AT982" s="6">
        <f t="shared" si="1013"/>
        <v>140.88106816513024</v>
      </c>
      <c r="AU982" s="6">
        <f t="shared" si="1014"/>
        <v>287.25316242030465</v>
      </c>
      <c r="AV982" s="6">
        <f t="shared" si="1015"/>
        <v>341.10032695083891</v>
      </c>
      <c r="AW982" s="58">
        <f t="shared" si="1021"/>
        <v>1999</v>
      </c>
      <c r="AX982" s="58">
        <f>COUNTIF(AW$3:AW982,AW982)</f>
        <v>8</v>
      </c>
    </row>
    <row r="983" spans="1:50" x14ac:dyDescent="0.25">
      <c r="A983" s="5">
        <v>36464</v>
      </c>
      <c r="B983">
        <v>1362.93</v>
      </c>
      <c r="C983">
        <v>4.96</v>
      </c>
      <c r="D983" s="6">
        <v>21.639999</v>
      </c>
      <c r="E983" s="18">
        <f t="shared" si="1034"/>
        <v>23.63</v>
      </c>
      <c r="F983">
        <f t="shared" si="1035"/>
        <v>-1</v>
      </c>
      <c r="G983" s="18">
        <f>ROUND(INDEX(Valuation!U:U,MATCH(A983,Valuation!A:A,0)),2)</f>
        <v>0</v>
      </c>
      <c r="H983">
        <f t="shared" si="1005"/>
        <v>-3</v>
      </c>
      <c r="I983" s="18">
        <f>INDEX(WeeklyIndicators!Y:Y,MATCH(A983,WeeklyIndicators!A:A,0))</f>
        <v>95.33</v>
      </c>
      <c r="J983">
        <f t="shared" si="1031"/>
        <v>-1</v>
      </c>
      <c r="K983">
        <f>ROUND(INDEX(Economic!AF:AF,MATCH(EOMONTH($A983,-1),Economic!A:A,0)),2)</f>
        <v>140.91</v>
      </c>
      <c r="L983" s="11">
        <f t="shared" si="1040"/>
        <v>3</v>
      </c>
      <c r="M983">
        <f>ROUND(INDEX(Manufacturing!P:P,MATCH(EOMONTH($A983,-1),Manufacturing!A:A,0)),2)</f>
        <v>104.13</v>
      </c>
      <c r="N983">
        <f t="shared" si="1036"/>
        <v>2</v>
      </c>
      <c r="O983">
        <f>ROUND(INDEX(Housing!AC:AC,MATCH(EOMONTH($A983,-1),Housing!B:B,0)),2)</f>
        <v>129.01</v>
      </c>
      <c r="P983">
        <f t="shared" si="1037"/>
        <v>2</v>
      </c>
      <c r="Q983">
        <f>ROUND(INDEX(Spending!AJ:AJ,MATCH(EOMONTH($A983,-1),Spending!B:B,0)),2)</f>
        <v>63.54</v>
      </c>
      <c r="R983">
        <f t="shared" si="1041"/>
        <v>2</v>
      </c>
      <c r="S983">
        <f>ROUND(INDEX(Employment!V:V,MATCH(EOMONTH($A983,-1),Employment!A:A,0)),2)</f>
        <v>181.92</v>
      </c>
      <c r="T983" s="11">
        <f t="shared" si="1038"/>
        <v>2</v>
      </c>
      <c r="U983">
        <f t="shared" si="1030"/>
        <v>26</v>
      </c>
      <c r="V983">
        <f t="shared" si="1022"/>
        <v>79.599999999999994</v>
      </c>
      <c r="W983" s="13">
        <f t="shared" si="1023"/>
        <v>-6.6E-3</v>
      </c>
      <c r="X983" s="13">
        <f t="shared" si="1024"/>
        <v>-2.9500000000000002E-2</v>
      </c>
      <c r="Y983">
        <f t="shared" si="1016"/>
        <v>65.69</v>
      </c>
      <c r="Z983" s="13">
        <f t="shared" si="1011"/>
        <v>-5.1000000000000004E-3</v>
      </c>
      <c r="AA983" s="13">
        <f t="shared" si="1006"/>
        <v>-4.36E-2</v>
      </c>
      <c r="AB983" s="6">
        <f t="shared" si="1017"/>
        <v>57.629999999999995</v>
      </c>
      <c r="AC983">
        <f t="shared" si="1009"/>
        <v>29</v>
      </c>
      <c r="AD983" s="11">
        <f t="shared" si="1010"/>
        <v>-1</v>
      </c>
      <c r="AE983">
        <f t="shared" si="1008"/>
        <v>27</v>
      </c>
      <c r="AF983">
        <f>IF(AND(AE983&lt;15,OR(AC983&gt;=30,AA983&gt;0.15,X983&gt;=0.15)),2,VLOOKUP(AE983,Table!P:Q,2,FALSE))</f>
        <v>4</v>
      </c>
      <c r="AG983" s="22">
        <f>IF((AB983*0.98)-(D983*0.8)+((AF983-3)*3)+VLOOKUP(AM983,Table!$A$11:$B$13,2,FALSE)&lt;0,0,(AB983*0.98)-(D983*0.8)+((AF983-3)*3)+VLOOKUP(AM983,Table!$A$11:$B$13,2,FALSE))</f>
        <v>50.1654008</v>
      </c>
      <c r="AH983" s="22">
        <f t="shared" si="1039"/>
        <v>49</v>
      </c>
      <c r="AI983" s="18">
        <f t="shared" si="1032"/>
        <v>4.75</v>
      </c>
      <c r="AJ983" s="18">
        <f t="shared" si="1033"/>
        <v>4.5599999999999996</v>
      </c>
      <c r="AK983" t="str">
        <f t="shared" si="1018"/>
        <v>Rising Rates</v>
      </c>
      <c r="AL983">
        <f t="shared" si="1029"/>
        <v>26.5</v>
      </c>
      <c r="AM983" s="11" t="str">
        <f t="shared" si="1019"/>
        <v>Stocks</v>
      </c>
      <c r="AN983" t="str">
        <f t="shared" si="1025"/>
        <v>Buy</v>
      </c>
      <c r="AO983" s="13">
        <f t="shared" si="1026"/>
        <v>5.4000000000000003E-3</v>
      </c>
      <c r="AP983" s="13">
        <f t="shared" si="1027"/>
        <v>1E-3</v>
      </c>
      <c r="AQ983" s="13">
        <f t="shared" si="1028"/>
        <v>3.2000000000000002E-3</v>
      </c>
      <c r="AR983" s="13">
        <f t="shared" si="1020"/>
        <v>5.4000000000000003E-3</v>
      </c>
      <c r="AS983" s="6">
        <f t="shared" si="1012"/>
        <v>339.26827824829809</v>
      </c>
      <c r="AT983" s="6">
        <f t="shared" si="1013"/>
        <v>140.74032783729297</v>
      </c>
      <c r="AU983" s="6">
        <f t="shared" si="1014"/>
        <v>286.33688439025582</v>
      </c>
      <c r="AV983" s="6">
        <f t="shared" si="1015"/>
        <v>339.26827824829809</v>
      </c>
      <c r="AW983" s="58">
        <f t="shared" si="1021"/>
        <v>1999</v>
      </c>
      <c r="AX983" s="58">
        <f>COUNTIF(AW$3:AW983,AW983)</f>
        <v>9</v>
      </c>
    </row>
    <row r="984" spans="1:50" x14ac:dyDescent="0.25">
      <c r="A984" s="5">
        <v>36457</v>
      </c>
      <c r="B984">
        <v>1301.6500000000001</v>
      </c>
      <c r="C984">
        <v>4.97</v>
      </c>
      <c r="D984" s="6">
        <v>28.75</v>
      </c>
      <c r="E984" s="18">
        <f t="shared" si="1034"/>
        <v>24.72</v>
      </c>
      <c r="F984">
        <f t="shared" si="1035"/>
        <v>-1</v>
      </c>
      <c r="G984" s="18">
        <f>ROUND(INDEX(Valuation!U:U,MATCH(A984,Valuation!A:A,0)),2)</f>
        <v>0</v>
      </c>
      <c r="H984">
        <f t="shared" si="1005"/>
        <v>-3</v>
      </c>
      <c r="I984" s="18">
        <f>INDEX(WeeklyIndicators!Y:Y,MATCH(A984,WeeklyIndicators!A:A,0))</f>
        <v>92.64</v>
      </c>
      <c r="J984">
        <f t="shared" si="1031"/>
        <v>-2</v>
      </c>
      <c r="K984">
        <f>ROUND(INDEX(Economic!AF:AF,MATCH(EOMONTH($A984,-1),Economic!A:A,0)),2)</f>
        <v>140.91</v>
      </c>
      <c r="L984" s="11">
        <f t="shared" si="1040"/>
        <v>3</v>
      </c>
      <c r="M984">
        <f>ROUND(INDEX(Manufacturing!P:P,MATCH(EOMONTH($A984,-1),Manufacturing!A:A,0)),2)</f>
        <v>104.13</v>
      </c>
      <c r="N984">
        <f t="shared" si="1036"/>
        <v>2</v>
      </c>
      <c r="O984">
        <f>ROUND(INDEX(Housing!AC:AC,MATCH(EOMONTH($A984,-1),Housing!B:B,0)),2)</f>
        <v>129.01</v>
      </c>
      <c r="P984">
        <f t="shared" si="1037"/>
        <v>2</v>
      </c>
      <c r="Q984">
        <f>ROUND(INDEX(Spending!AJ:AJ,MATCH(EOMONTH($A984,-1),Spending!B:B,0)),2)</f>
        <v>63.54</v>
      </c>
      <c r="R984">
        <f t="shared" si="1041"/>
        <v>2</v>
      </c>
      <c r="S984">
        <f>ROUND(INDEX(Employment!V:V,MATCH(EOMONTH($A984,-1),Employment!A:A,0)),2)</f>
        <v>181.92</v>
      </c>
      <c r="T984" s="11">
        <f t="shared" si="1038"/>
        <v>2</v>
      </c>
      <c r="U984">
        <f t="shared" si="1030"/>
        <v>25</v>
      </c>
      <c r="V984">
        <f t="shared" si="1022"/>
        <v>79.319999999999993</v>
      </c>
      <c r="W984" s="13">
        <f t="shared" si="1023"/>
        <v>-8.6999999999999994E-3</v>
      </c>
      <c r="X984" s="13">
        <f t="shared" si="1024"/>
        <v>-2.69E-2</v>
      </c>
      <c r="Y984">
        <f t="shared" si="1016"/>
        <v>65.03</v>
      </c>
      <c r="Z984" s="13">
        <f t="shared" si="1011"/>
        <v>-1.12E-2</v>
      </c>
      <c r="AA984" s="13">
        <f t="shared" si="1006"/>
        <v>-4.7399999999999998E-2</v>
      </c>
      <c r="AB984" s="6">
        <f t="shared" si="1017"/>
        <v>56.730000000000004</v>
      </c>
      <c r="AC984">
        <f t="shared" si="1009"/>
        <v>28</v>
      </c>
      <c r="AD984" s="11">
        <f t="shared" si="1010"/>
        <v>-1</v>
      </c>
      <c r="AE984">
        <f t="shared" si="1008"/>
        <v>26</v>
      </c>
      <c r="AF984">
        <f>IF(AND(AE984&lt;15,OR(AC984&gt;=30,AA984&gt;0.15,X984&gt;=0.15)),2,VLOOKUP(AE984,Table!P:Q,2,FALSE))</f>
        <v>4</v>
      </c>
      <c r="AG984" s="22">
        <f>IF((AB984*0.98)-(D984*0.8)+((AF984-3)*3)+VLOOKUP(AM984,Table!$A$11:$B$13,2,FALSE)&lt;0,0,(AB984*0.98)-(D984*0.8)+((AF984-3)*3)+VLOOKUP(AM984,Table!$A$11:$B$13,2,FALSE))</f>
        <v>43.595400000000005</v>
      </c>
      <c r="AH984" s="22">
        <f t="shared" si="1039"/>
        <v>49</v>
      </c>
      <c r="AI984" s="18">
        <f t="shared" si="1032"/>
        <v>4.72</v>
      </c>
      <c r="AJ984" s="18">
        <f t="shared" si="1033"/>
        <v>4.54</v>
      </c>
      <c r="AK984" t="str">
        <f t="shared" si="1018"/>
        <v>Rising Rates</v>
      </c>
      <c r="AL984">
        <f t="shared" si="1029"/>
        <v>26.75</v>
      </c>
      <c r="AM984" s="11" t="str">
        <f t="shared" si="1019"/>
        <v>Stocks</v>
      </c>
      <c r="AN984" t="str">
        <f t="shared" si="1025"/>
        <v>Buy</v>
      </c>
      <c r="AO984" s="13">
        <f t="shared" si="1026"/>
        <v>4.7100000000000003E-2</v>
      </c>
      <c r="AP984" s="13">
        <f t="shared" si="1027"/>
        <v>1E-3</v>
      </c>
      <c r="AQ984" s="13">
        <f t="shared" si="1028"/>
        <v>2.3599999999999999E-2</v>
      </c>
      <c r="AR984" s="13">
        <f t="shared" si="1020"/>
        <v>4.7100000000000003E-2</v>
      </c>
      <c r="AS984" s="6">
        <f t="shared" si="1012"/>
        <v>324.00752387384023</v>
      </c>
      <c r="AT984" s="6">
        <f t="shared" si="1013"/>
        <v>140.59972810918379</v>
      </c>
      <c r="AU984" s="6">
        <f t="shared" si="1014"/>
        <v>279.73513519954651</v>
      </c>
      <c r="AV984" s="6">
        <f t="shared" si="1015"/>
        <v>324.00752387384023</v>
      </c>
      <c r="AW984" s="58">
        <f t="shared" si="1021"/>
        <v>1999</v>
      </c>
      <c r="AX984" s="58">
        <f>COUNTIF(AW$3:AW984,AW984)</f>
        <v>10</v>
      </c>
    </row>
    <row r="985" spans="1:50" x14ac:dyDescent="0.25">
      <c r="A985" s="5">
        <v>36450</v>
      </c>
      <c r="B985">
        <v>1247.4100000000001</v>
      </c>
      <c r="C985">
        <v>4.84</v>
      </c>
      <c r="D985" s="6">
        <v>20.49</v>
      </c>
      <c r="E985" s="18">
        <f t="shared" si="1034"/>
        <v>24.4</v>
      </c>
      <c r="F985">
        <f t="shared" si="1035"/>
        <v>-1</v>
      </c>
      <c r="G985" s="18">
        <f>ROUND(INDEX(Valuation!U:U,MATCH(A985,Valuation!A:A,0)),2)</f>
        <v>0</v>
      </c>
      <c r="H985">
        <f t="shared" si="1005"/>
        <v>-3</v>
      </c>
      <c r="I985" s="18">
        <f>INDEX(WeeklyIndicators!Y:Y,MATCH(A985,WeeklyIndicators!A:A,0))</f>
        <v>101.71</v>
      </c>
      <c r="J985">
        <f t="shared" si="1031"/>
        <v>-1</v>
      </c>
      <c r="K985">
        <f>ROUND(INDEX(Economic!AF:AF,MATCH(EOMONTH($A985,-1),Economic!A:A,0)),2)</f>
        <v>140.91</v>
      </c>
      <c r="L985" s="11">
        <f t="shared" si="1040"/>
        <v>3</v>
      </c>
      <c r="M985">
        <f>ROUND(INDEX(Manufacturing!P:P,MATCH(EOMONTH($A985,-1),Manufacturing!A:A,0)),2)</f>
        <v>104.13</v>
      </c>
      <c r="N985">
        <f t="shared" si="1036"/>
        <v>2</v>
      </c>
      <c r="O985">
        <f>ROUND(INDEX(Housing!AC:AC,MATCH(EOMONTH($A985,-1),Housing!B:B,0)),2)</f>
        <v>129.01</v>
      </c>
      <c r="P985">
        <f t="shared" si="1037"/>
        <v>2</v>
      </c>
      <c r="Q985">
        <f>ROUND(INDEX(Spending!AJ:AJ,MATCH(EOMONTH($A985,-1),Spending!B:B,0)),2)</f>
        <v>63.54</v>
      </c>
      <c r="R985">
        <f t="shared" si="1041"/>
        <v>2</v>
      </c>
      <c r="S985">
        <f>ROUND(INDEX(Employment!V:V,MATCH(EOMONTH($A985,-1),Employment!A:A,0)),2)</f>
        <v>181.92</v>
      </c>
      <c r="T985" s="11">
        <f t="shared" si="1038"/>
        <v>2</v>
      </c>
      <c r="U985">
        <f t="shared" si="1030"/>
        <v>26</v>
      </c>
      <c r="V985">
        <f t="shared" si="1022"/>
        <v>80.260000000000005</v>
      </c>
      <c r="W985" s="13">
        <f t="shared" si="1023"/>
        <v>-8.5000000000000006E-3</v>
      </c>
      <c r="X985" s="13">
        <f t="shared" si="1024"/>
        <v>-1.5100000000000001E-2</v>
      </c>
      <c r="Y985">
        <f t="shared" si="1016"/>
        <v>66.09</v>
      </c>
      <c r="Z985" s="13">
        <f t="shared" si="1011"/>
        <v>-1.41E-2</v>
      </c>
      <c r="AA985" s="13">
        <f t="shared" si="1006"/>
        <v>-3.2099999999999997E-2</v>
      </c>
      <c r="AB985" s="6">
        <f t="shared" si="1017"/>
        <v>58.959999999999994</v>
      </c>
      <c r="AC985">
        <f t="shared" si="1009"/>
        <v>29</v>
      </c>
      <c r="AD985" s="11">
        <f t="shared" si="1010"/>
        <v>-1</v>
      </c>
      <c r="AE985">
        <f t="shared" si="1008"/>
        <v>27</v>
      </c>
      <c r="AF985">
        <f>IF(AND(AE985&lt;15,OR(AC985&gt;=30,AA985&gt;0.15,X985&gt;=0.15)),2,VLOOKUP(AE985,Table!P:Q,2,FALSE))</f>
        <v>4</v>
      </c>
      <c r="AG985" s="22">
        <f>IF((AB985*0.98)-(D985*0.8)+((AF985-3)*3)+VLOOKUP(AM985,Table!$A$11:$B$13,2,FALSE)&lt;0,0,(AB985*0.98)-(D985*0.8)+((AF985-3)*3)+VLOOKUP(AM985,Table!$A$11:$B$13,2,FALSE))</f>
        <v>52.388799999999989</v>
      </c>
      <c r="AH985" s="22">
        <f t="shared" si="1039"/>
        <v>52</v>
      </c>
      <c r="AI985" s="18">
        <f t="shared" si="1032"/>
        <v>4.6900000000000004</v>
      </c>
      <c r="AJ985" s="18">
        <f t="shared" si="1033"/>
        <v>4.53</v>
      </c>
      <c r="AK985" t="str">
        <f t="shared" si="1018"/>
        <v>Rising Rates</v>
      </c>
      <c r="AL985">
        <f t="shared" si="1029"/>
        <v>27.25</v>
      </c>
      <c r="AM985" s="11" t="str">
        <f t="shared" si="1019"/>
        <v>Stocks</v>
      </c>
      <c r="AN985" t="str">
        <f t="shared" si="1025"/>
        <v>Buy</v>
      </c>
      <c r="AO985" s="13">
        <f t="shared" si="1026"/>
        <v>4.3499999999999997E-2</v>
      </c>
      <c r="AP985" s="13">
        <f t="shared" si="1027"/>
        <v>8.9999999999999998E-4</v>
      </c>
      <c r="AQ985" s="13">
        <f t="shared" si="1028"/>
        <v>2.3099999999999999E-2</v>
      </c>
      <c r="AR985" s="13">
        <f t="shared" si="1020"/>
        <v>4.3499999999999997E-2</v>
      </c>
      <c r="AS985" s="6">
        <f t="shared" si="1012"/>
        <v>310.5007416136466</v>
      </c>
      <c r="AT985" s="6">
        <f t="shared" si="1013"/>
        <v>140.47330213726028</v>
      </c>
      <c r="AU985" s="6">
        <f t="shared" si="1014"/>
        <v>273.41915277054687</v>
      </c>
      <c r="AV985" s="6">
        <f t="shared" si="1015"/>
        <v>310.5007416136466</v>
      </c>
      <c r="AW985" s="58">
        <f t="shared" si="1021"/>
        <v>1999</v>
      </c>
      <c r="AX985" s="58">
        <f>COUNTIF(AW$3:AW985,AW985)</f>
        <v>11</v>
      </c>
    </row>
    <row r="986" spans="1:50" x14ac:dyDescent="0.25">
      <c r="A986" s="5">
        <v>36443</v>
      </c>
      <c r="B986">
        <v>1336.02</v>
      </c>
      <c r="C986">
        <v>4.6900000000000004</v>
      </c>
      <c r="D986" s="6">
        <v>24.93</v>
      </c>
      <c r="E986" s="18">
        <f t="shared" si="1034"/>
        <v>25.34</v>
      </c>
      <c r="F986">
        <f t="shared" si="1035"/>
        <v>-2</v>
      </c>
      <c r="G986" s="18">
        <f>ROUND(INDEX(Valuation!U:U,MATCH(A986,Valuation!A:A,0)),2)</f>
        <v>0</v>
      </c>
      <c r="H986">
        <f t="shared" si="1005"/>
        <v>-3</v>
      </c>
      <c r="I986" s="18">
        <f>INDEX(WeeklyIndicators!Y:Y,MATCH(A986,WeeklyIndicators!A:A,0))</f>
        <v>110.67</v>
      </c>
      <c r="J986">
        <f t="shared" si="1031"/>
        <v>-1</v>
      </c>
      <c r="K986">
        <f>ROUND(INDEX(Economic!AF:AF,MATCH(EOMONTH($A986,-1),Economic!A:A,0)),2)</f>
        <v>140.91</v>
      </c>
      <c r="L986" s="11">
        <f t="shared" si="1040"/>
        <v>3</v>
      </c>
      <c r="M986">
        <f>ROUND(INDEX(Manufacturing!P:P,MATCH(EOMONTH($A986,-1),Manufacturing!A:A,0)),2)</f>
        <v>104.13</v>
      </c>
      <c r="N986">
        <f t="shared" si="1036"/>
        <v>2</v>
      </c>
      <c r="O986">
        <f>ROUND(INDEX(Housing!AC:AC,MATCH(EOMONTH($A986,-1),Housing!B:B,0)),2)</f>
        <v>129.01</v>
      </c>
      <c r="P986">
        <f t="shared" si="1037"/>
        <v>2</v>
      </c>
      <c r="Q986">
        <f>ROUND(INDEX(Spending!AJ:AJ,MATCH(EOMONTH($A986,-1),Spending!B:B,0)),2)</f>
        <v>63.54</v>
      </c>
      <c r="R986">
        <f t="shared" si="1041"/>
        <v>2</v>
      </c>
      <c r="S986">
        <f>ROUND(INDEX(Employment!V:V,MATCH(EOMONTH($A986,-1),Employment!A:A,0)),2)</f>
        <v>181.92</v>
      </c>
      <c r="T986" s="11">
        <f t="shared" si="1038"/>
        <v>2</v>
      </c>
      <c r="U986">
        <f t="shared" si="1030"/>
        <v>25</v>
      </c>
      <c r="V986">
        <f t="shared" si="1022"/>
        <v>81.19</v>
      </c>
      <c r="W986" s="13">
        <f t="shared" si="1023"/>
        <v>-5.7000000000000002E-3</v>
      </c>
      <c r="X986" s="13">
        <f t="shared" si="1024"/>
        <v>1.0000000000000026E-4</v>
      </c>
      <c r="Y986">
        <f t="shared" si="1016"/>
        <v>66.69</v>
      </c>
      <c r="Z986" s="13">
        <f t="shared" si="1011"/>
        <v>-1.32E-2</v>
      </c>
      <c r="AA986" s="13">
        <f t="shared" si="1006"/>
        <v>-5.9000000000000025E-3</v>
      </c>
      <c r="AB986" s="6">
        <f t="shared" si="1017"/>
        <v>61.5</v>
      </c>
      <c r="AC986">
        <f t="shared" si="1009"/>
        <v>31</v>
      </c>
      <c r="AD986" s="11">
        <f t="shared" si="1010"/>
        <v>-1</v>
      </c>
      <c r="AE986">
        <f t="shared" si="1008"/>
        <v>26</v>
      </c>
      <c r="AF986">
        <f>IF(AND(AE986&lt;15,OR(AC986&gt;=30,AA986&gt;0.15,X986&gt;=0.15)),2,VLOOKUP(AE986,Table!P:Q,2,FALSE))</f>
        <v>4</v>
      </c>
      <c r="AG986" s="22">
        <f>IF((AB986*0.98)-(D986*0.8)+((AF986-3)*3)+VLOOKUP(AM986,Table!$A$11:$B$13,2,FALSE)&lt;0,0,(AB986*0.98)-(D986*0.8)+((AF986-3)*3)+VLOOKUP(AM986,Table!$A$11:$B$13,2,FALSE))</f>
        <v>51.325999999999993</v>
      </c>
      <c r="AH986" s="22">
        <f t="shared" si="1039"/>
        <v>53</v>
      </c>
      <c r="AI986" s="18">
        <f t="shared" si="1032"/>
        <v>4.66</v>
      </c>
      <c r="AJ986" s="18">
        <f t="shared" si="1033"/>
        <v>4.51</v>
      </c>
      <c r="AK986" t="str">
        <f t="shared" si="1018"/>
        <v>Rising Rates</v>
      </c>
      <c r="AL986">
        <f t="shared" si="1029"/>
        <v>27.5</v>
      </c>
      <c r="AM986" s="11" t="str">
        <f t="shared" si="1019"/>
        <v>Stocks</v>
      </c>
      <c r="AN986" t="str">
        <f t="shared" si="1025"/>
        <v>Buy</v>
      </c>
      <c r="AO986" s="13">
        <f t="shared" si="1026"/>
        <v>-6.6299999999999998E-2</v>
      </c>
      <c r="AP986" s="13">
        <f t="shared" si="1027"/>
        <v>8.9999999999999998E-4</v>
      </c>
      <c r="AQ986" s="13">
        <f t="shared" si="1028"/>
        <v>-3.4700000000000002E-2</v>
      </c>
      <c r="AR986" s="13">
        <f t="shared" si="1020"/>
        <v>-6.6299999999999998E-2</v>
      </c>
      <c r="AS986" s="6">
        <f t="shared" si="1012"/>
        <v>332.5487218738852</v>
      </c>
      <c r="AT986" s="6">
        <f t="shared" si="1013"/>
        <v>140.34698984639854</v>
      </c>
      <c r="AU986" s="6">
        <f t="shared" si="1014"/>
        <v>283.24785327933995</v>
      </c>
      <c r="AV986" s="6">
        <f t="shared" si="1015"/>
        <v>332.5487218738852</v>
      </c>
      <c r="AW986" s="58">
        <f t="shared" si="1021"/>
        <v>1999</v>
      </c>
      <c r="AX986" s="58">
        <f>COUNTIF(AW$3:AW986,AW986)</f>
        <v>12</v>
      </c>
    </row>
    <row r="987" spans="1:50" x14ac:dyDescent="0.25">
      <c r="A987" s="5">
        <v>36436</v>
      </c>
      <c r="B987">
        <v>1282.81</v>
      </c>
      <c r="C987">
        <v>4.71</v>
      </c>
      <c r="D987" s="6">
        <v>27.790001</v>
      </c>
      <c r="E987" s="18">
        <f t="shared" si="1034"/>
        <v>24.37</v>
      </c>
      <c r="F987">
        <f t="shared" si="1035"/>
        <v>-1</v>
      </c>
      <c r="G987" s="18">
        <f>ROUND(INDEX(Valuation!U:U,MATCH(A987,Valuation!A:A,0)),2)</f>
        <v>0</v>
      </c>
      <c r="H987">
        <f t="shared" si="1005"/>
        <v>-3</v>
      </c>
      <c r="I987" s="18">
        <f>INDEX(WeeklyIndicators!Y:Y,MATCH(A987,WeeklyIndicators!A:A,0))</f>
        <v>113.03</v>
      </c>
      <c r="J987">
        <f t="shared" si="1031"/>
        <v>-1</v>
      </c>
      <c r="K987">
        <f>ROUND(INDEX(Economic!AF:AF,MATCH(EOMONTH($A987,-1),Economic!A:A,0)),2)</f>
        <v>140.91</v>
      </c>
      <c r="L987" s="11">
        <f t="shared" si="1040"/>
        <v>3</v>
      </c>
      <c r="M987">
        <f>ROUND(INDEX(Manufacturing!P:P,MATCH(EOMONTH($A987,-1),Manufacturing!A:A,0)),2)</f>
        <v>104.13</v>
      </c>
      <c r="N987">
        <f t="shared" si="1036"/>
        <v>2</v>
      </c>
      <c r="O987">
        <f>ROUND(INDEX(Housing!AC:AC,MATCH(EOMONTH($A987,-1),Housing!B:B,0)),2)</f>
        <v>129.01</v>
      </c>
      <c r="P987">
        <f t="shared" si="1037"/>
        <v>2</v>
      </c>
      <c r="Q987">
        <f>ROUND(INDEX(Spending!AJ:AJ,MATCH(EOMONTH($A987,-1),Spending!B:B,0)),2)</f>
        <v>63.54</v>
      </c>
      <c r="R987">
        <f t="shared" si="1041"/>
        <v>2</v>
      </c>
      <c r="S987">
        <f>ROUND(INDEX(Employment!V:V,MATCH(EOMONTH($A987,-1),Employment!A:A,0)),2)</f>
        <v>181.92</v>
      </c>
      <c r="T987" s="11">
        <f t="shared" si="1038"/>
        <v>2</v>
      </c>
      <c r="U987">
        <f t="shared" si="1030"/>
        <v>26</v>
      </c>
      <c r="V987">
        <f t="shared" si="1022"/>
        <v>81.44</v>
      </c>
      <c r="W987" s="13">
        <f t="shared" si="1023"/>
        <v>-4.0000000000000001E-3</v>
      </c>
      <c r="X987" s="13">
        <f t="shared" si="1024"/>
        <v>1.2E-2</v>
      </c>
      <c r="Y987">
        <f t="shared" si="1016"/>
        <v>67.27</v>
      </c>
      <c r="Z987" s="13">
        <f t="shared" si="1011"/>
        <v>-8.8999999999999999E-3</v>
      </c>
      <c r="AA987" s="13">
        <f t="shared" si="1006"/>
        <v>1.9200000000000002E-2</v>
      </c>
      <c r="AB987" s="6">
        <f t="shared" si="1017"/>
        <v>63.89</v>
      </c>
      <c r="AC987">
        <f t="shared" si="1009"/>
        <v>32</v>
      </c>
      <c r="AD987" s="11">
        <f t="shared" si="1010"/>
        <v>0</v>
      </c>
      <c r="AE987">
        <f t="shared" si="1008"/>
        <v>28</v>
      </c>
      <c r="AF987">
        <f>IF(AND(AE987&lt;15,OR(AC987&gt;=30,AA987&gt;0.15,X987&gt;=0.15)),2,VLOOKUP(AE987,Table!P:Q,2,FALSE))</f>
        <v>4</v>
      </c>
      <c r="AG987" s="22">
        <f>IF((AB987*0.98)-(D987*0.8)+((AF987-3)*3)+VLOOKUP(AM987,Table!$A$11:$B$13,2,FALSE)&lt;0,0,(AB987*0.98)-(D987*0.8)+((AF987-3)*3)+VLOOKUP(AM987,Table!$A$11:$B$13,2,FALSE))</f>
        <v>51.3801992</v>
      </c>
      <c r="AH987" s="22">
        <f t="shared" si="1039"/>
        <v>55</v>
      </c>
      <c r="AI987" s="18">
        <f t="shared" si="1032"/>
        <v>4.6500000000000004</v>
      </c>
      <c r="AJ987" s="18">
        <f t="shared" si="1033"/>
        <v>4.51</v>
      </c>
      <c r="AK987" t="str">
        <f t="shared" si="1018"/>
        <v>Rising Rates</v>
      </c>
      <c r="AL987">
        <f t="shared" si="1029"/>
        <v>27.75</v>
      </c>
      <c r="AM987" s="11" t="str">
        <f t="shared" si="1019"/>
        <v>Stocks</v>
      </c>
      <c r="AN987" t="str">
        <f t="shared" si="1025"/>
        <v>Buy</v>
      </c>
      <c r="AO987" s="13">
        <f t="shared" si="1026"/>
        <v>4.1500000000000002E-2</v>
      </c>
      <c r="AP987" s="13">
        <f t="shared" si="1027"/>
        <v>8.9999999999999998E-4</v>
      </c>
      <c r="AQ987" s="13">
        <f t="shared" si="1028"/>
        <v>2.3199999999999998E-2</v>
      </c>
      <c r="AR987" s="13">
        <f t="shared" si="1020"/>
        <v>4.1500000000000002E-2</v>
      </c>
      <c r="AS987" s="6">
        <f t="shared" si="1012"/>
        <v>319.29786065663484</v>
      </c>
      <c r="AT987" s="6">
        <f t="shared" si="1013"/>
        <v>140.22079113437761</v>
      </c>
      <c r="AU987" s="6">
        <f t="shared" si="1014"/>
        <v>276.82550164126263</v>
      </c>
      <c r="AV987" s="6">
        <f t="shared" si="1015"/>
        <v>319.29786065663484</v>
      </c>
      <c r="AW987" s="58">
        <f t="shared" si="1021"/>
        <v>1999</v>
      </c>
      <c r="AX987" s="58">
        <f>COUNTIF(AW$3:AW987,AW987)</f>
        <v>13</v>
      </c>
    </row>
    <row r="988" spans="1:50" x14ac:dyDescent="0.25">
      <c r="A988" s="5">
        <v>36429</v>
      </c>
      <c r="B988">
        <v>1277.3599999999999</v>
      </c>
      <c r="C988">
        <v>4.6500000000000004</v>
      </c>
      <c r="D988" s="6">
        <v>23.299999</v>
      </c>
      <c r="E988" s="18">
        <f t="shared" si="1034"/>
        <v>22.1</v>
      </c>
      <c r="F988">
        <f t="shared" si="1035"/>
        <v>-1</v>
      </c>
      <c r="G988" s="18">
        <f>ROUND(INDEX(Valuation!U:U,MATCH(A988,Valuation!A:A,0)),2)</f>
        <v>0</v>
      </c>
      <c r="H988">
        <f t="shared" ref="H988:H1051" si="1042">IF(G988&gt;200,3,IF(AND(G988&gt;160,G988&lt;=200),2,IF(AND(G988&gt;120,G988&lt;=160),1,IF(G988&lt;25,-3,IF(AND(G988&lt;50,G988&gt;=25),-2,IF(AND(G988&lt;90,G988&gt;=50),-1,0))))))</f>
        <v>-3</v>
      </c>
      <c r="I988" s="18">
        <f>INDEX(WeeklyIndicators!Y:Y,MATCH(A988,WeeklyIndicators!A:A,0))</f>
        <v>114.68</v>
      </c>
      <c r="J988">
        <f t="shared" si="1031"/>
        <v>-1</v>
      </c>
      <c r="K988">
        <f>ROUND(INDEX(Economic!AF:AF,MATCH(EOMONTH($A988,-1),Economic!A:A,0)),2)</f>
        <v>144.30000000000001</v>
      </c>
      <c r="L988" s="11">
        <f t="shared" si="1040"/>
        <v>3</v>
      </c>
      <c r="M988">
        <f>ROUND(INDEX(Manufacturing!P:P,MATCH(EOMONTH($A988,-1),Manufacturing!A:A,0)),2)</f>
        <v>104.96</v>
      </c>
      <c r="N988">
        <f t="shared" si="1036"/>
        <v>2</v>
      </c>
      <c r="O988">
        <f>ROUND(INDEX(Housing!AC:AC,MATCH(EOMONTH($A988,-1),Housing!B:B,0)),2)</f>
        <v>130.69999999999999</v>
      </c>
      <c r="P988">
        <f t="shared" si="1037"/>
        <v>2</v>
      </c>
      <c r="Q988">
        <f>ROUND(INDEX(Spending!AJ:AJ,MATCH(EOMONTH($A988,-1),Spending!B:B,0)),2)</f>
        <v>63.69</v>
      </c>
      <c r="R988">
        <f t="shared" si="1041"/>
        <v>2</v>
      </c>
      <c r="S988">
        <f>ROUND(INDEX(Employment!V:V,MATCH(EOMONTH($A988,-1),Employment!A:A,0)),2)</f>
        <v>181.88</v>
      </c>
      <c r="T988" s="11">
        <f t="shared" si="1038"/>
        <v>2</v>
      </c>
      <c r="U988">
        <f t="shared" si="1030"/>
        <v>26</v>
      </c>
      <c r="V988">
        <f t="shared" si="1022"/>
        <v>82.33</v>
      </c>
      <c r="W988" s="13">
        <f t="shared" si="1023"/>
        <v>3.0999999999999999E-3</v>
      </c>
      <c r="X988" s="13">
        <f t="shared" si="1024"/>
        <v>1.35E-2</v>
      </c>
      <c r="Y988">
        <f t="shared" si="1016"/>
        <v>68.95</v>
      </c>
      <c r="Z988" s="13">
        <f t="shared" si="1011"/>
        <v>4.1000000000000003E-3</v>
      </c>
      <c r="AA988" s="13">
        <f t="shared" si="1006"/>
        <v>2.9399999999999999E-2</v>
      </c>
      <c r="AB988" s="6">
        <f t="shared" si="1017"/>
        <v>66.3</v>
      </c>
      <c r="AC988">
        <f t="shared" si="1009"/>
        <v>33</v>
      </c>
      <c r="AD988" s="11">
        <f t="shared" si="1010"/>
        <v>0</v>
      </c>
      <c r="AE988">
        <f t="shared" si="1008"/>
        <v>28</v>
      </c>
      <c r="AF988">
        <f>IF(AND(AE988&lt;15,OR(AC988&gt;=30,AA988&gt;0.15,X988&gt;=0.15)),2,VLOOKUP(AE988,Table!P:Q,2,FALSE))</f>
        <v>4</v>
      </c>
      <c r="AG988" s="22">
        <f>IF((AB988*0.98)-(D988*0.8)+((AF988-3)*3)+VLOOKUP(AM988,Table!$A$11:$B$13,2,FALSE)&lt;0,0,(AB988*0.98)-(D988*0.8)+((AF988-3)*3)+VLOOKUP(AM988,Table!$A$11:$B$13,2,FALSE))</f>
        <v>57.334000799999984</v>
      </c>
      <c r="AH988" s="22">
        <f t="shared" si="1039"/>
        <v>56</v>
      </c>
      <c r="AI988" s="18">
        <f t="shared" si="1032"/>
        <v>4.6500000000000004</v>
      </c>
      <c r="AJ988" s="18">
        <f t="shared" si="1033"/>
        <v>4.5</v>
      </c>
      <c r="AK988" t="str">
        <f t="shared" si="1018"/>
        <v/>
      </c>
      <c r="AL988">
        <f t="shared" si="1029"/>
        <v>27.5</v>
      </c>
      <c r="AM988" s="11" t="str">
        <f t="shared" si="1019"/>
        <v>Stocks</v>
      </c>
      <c r="AN988" t="str">
        <f t="shared" si="1025"/>
        <v>Buy</v>
      </c>
      <c r="AO988" s="13">
        <f t="shared" si="1026"/>
        <v>4.3E-3</v>
      </c>
      <c r="AP988" s="13">
        <f t="shared" si="1027"/>
        <v>8.9999999999999998E-4</v>
      </c>
      <c r="AQ988" s="13">
        <f t="shared" si="1028"/>
        <v>2.8E-3</v>
      </c>
      <c r="AR988" s="13">
        <f t="shared" si="1020"/>
        <v>4.3E-3</v>
      </c>
      <c r="AS988" s="6">
        <f t="shared" si="1012"/>
        <v>317.93075839553404</v>
      </c>
      <c r="AT988" s="6">
        <f t="shared" si="1013"/>
        <v>140.09470589906846</v>
      </c>
      <c r="AU988" s="6">
        <f t="shared" si="1014"/>
        <v>276.05255448869434</v>
      </c>
      <c r="AV988" s="6">
        <f t="shared" si="1015"/>
        <v>317.93075839553404</v>
      </c>
      <c r="AW988" s="58">
        <f t="shared" si="1021"/>
        <v>1999</v>
      </c>
      <c r="AX988" s="58">
        <f>COUNTIF(AW$3:AW988,AW988)</f>
        <v>14</v>
      </c>
    </row>
    <row r="989" spans="1:50" x14ac:dyDescent="0.25">
      <c r="A989" s="5">
        <v>36422</v>
      </c>
      <c r="B989">
        <v>1335.42</v>
      </c>
      <c r="C989">
        <v>4.6100000000000003</v>
      </c>
      <c r="D989" s="6">
        <v>22.030000999999999</v>
      </c>
      <c r="E989" s="18">
        <f t="shared" si="1034"/>
        <v>21.61</v>
      </c>
      <c r="F989">
        <f t="shared" si="1035"/>
        <v>-1</v>
      </c>
      <c r="G989" s="18">
        <f>ROUND(INDEX(Valuation!U:U,MATCH(A989,Valuation!A:A,0)),2)</f>
        <v>0</v>
      </c>
      <c r="H989">
        <f t="shared" si="1042"/>
        <v>-3</v>
      </c>
      <c r="I989" s="18">
        <f>INDEX(WeeklyIndicators!Y:Y,MATCH(A989,WeeklyIndicators!A:A,0))</f>
        <v>117.35</v>
      </c>
      <c r="J989">
        <f t="shared" si="1031"/>
        <v>-1</v>
      </c>
      <c r="K989">
        <f>ROUND(INDEX(Economic!AF:AF,MATCH(EOMONTH($A989,-1),Economic!A:A,0)),2)</f>
        <v>144.30000000000001</v>
      </c>
      <c r="L989" s="11">
        <f t="shared" si="1040"/>
        <v>3</v>
      </c>
      <c r="M989">
        <f>ROUND(INDEX(Manufacturing!P:P,MATCH(EOMONTH($A989,-1),Manufacturing!A:A,0)),2)</f>
        <v>104.96</v>
      </c>
      <c r="N989">
        <f t="shared" si="1036"/>
        <v>2</v>
      </c>
      <c r="O989">
        <f>ROUND(INDEX(Housing!AC:AC,MATCH(EOMONTH($A989,-1),Housing!B:B,0)),2)</f>
        <v>130.69999999999999</v>
      </c>
      <c r="P989">
        <f t="shared" si="1037"/>
        <v>2</v>
      </c>
      <c r="Q989">
        <f>ROUND(INDEX(Spending!AJ:AJ,MATCH(EOMONTH($A989,-1),Spending!B:B,0)),2)</f>
        <v>63.69</v>
      </c>
      <c r="R989">
        <f t="shared" si="1041"/>
        <v>2</v>
      </c>
      <c r="S989">
        <f>ROUND(INDEX(Employment!V:V,MATCH(EOMONTH($A989,-1),Employment!A:A,0)),2)</f>
        <v>181.88</v>
      </c>
      <c r="T989" s="11">
        <f t="shared" si="1038"/>
        <v>2</v>
      </c>
      <c r="U989">
        <f t="shared" si="1030"/>
        <v>26</v>
      </c>
      <c r="V989">
        <f t="shared" si="1022"/>
        <v>82.6</v>
      </c>
      <c r="W989" s="13">
        <f t="shared" si="1023"/>
        <v>6.7000000000000002E-3</v>
      </c>
      <c r="X989" s="13">
        <f t="shared" si="1024"/>
        <v>-3.1999999999999997E-3</v>
      </c>
      <c r="Y989">
        <f t="shared" si="1016"/>
        <v>69.400000000000006</v>
      </c>
      <c r="Z989" s="13">
        <f t="shared" si="1011"/>
        <v>1.21E-2</v>
      </c>
      <c r="AA989" s="13">
        <f t="shared" si="1006"/>
        <v>5.2999999999999992E-3</v>
      </c>
      <c r="AB989" s="6">
        <f t="shared" si="1017"/>
        <v>64.98</v>
      </c>
      <c r="AC989">
        <f t="shared" si="1009"/>
        <v>32</v>
      </c>
      <c r="AD989" s="11">
        <f t="shared" si="1010"/>
        <v>0</v>
      </c>
      <c r="AE989">
        <f t="shared" si="1008"/>
        <v>28</v>
      </c>
      <c r="AF989">
        <f>IF(AND(AE989&lt;15,OR(AC989&gt;=30,AA989&gt;0.15,X989&gt;=0.15)),2,VLOOKUP(AE989,Table!P:Q,2,FALSE))</f>
        <v>4</v>
      </c>
      <c r="AG989" s="22">
        <f>IF((AB989*0.98)-(D989*0.8)+((AF989-3)*3)+VLOOKUP(AM989,Table!$A$11:$B$13,2,FALSE)&lt;0,0,(AB989*0.98)-(D989*0.8)+((AF989-3)*3)+VLOOKUP(AM989,Table!$A$11:$B$13,2,FALSE))</f>
        <v>57.056399200000001</v>
      </c>
      <c r="AH989" s="22">
        <f t="shared" si="1039"/>
        <v>54</v>
      </c>
      <c r="AI989" s="18">
        <f t="shared" si="1032"/>
        <v>4.6399999999999997</v>
      </c>
      <c r="AJ989" s="18">
        <f t="shared" si="1033"/>
        <v>4.49</v>
      </c>
      <c r="AK989" t="str">
        <f t="shared" si="1018"/>
        <v/>
      </c>
      <c r="AL989">
        <f t="shared" si="1029"/>
        <v>27.25</v>
      </c>
      <c r="AM989" s="11" t="str">
        <f t="shared" si="1019"/>
        <v>Stocks</v>
      </c>
      <c r="AN989" t="str">
        <f t="shared" si="1025"/>
        <v>Buy</v>
      </c>
      <c r="AO989" s="13">
        <f t="shared" si="1026"/>
        <v>-4.3499999999999997E-2</v>
      </c>
      <c r="AP989" s="13">
        <f t="shared" si="1027"/>
        <v>8.9999999999999998E-4</v>
      </c>
      <c r="AQ989" s="13">
        <f t="shared" si="1028"/>
        <v>-2.3099999999999999E-2</v>
      </c>
      <c r="AR989" s="13">
        <f t="shared" si="1020"/>
        <v>-4.3499999999999997E-2</v>
      </c>
      <c r="AS989" s="6">
        <f t="shared" si="1012"/>
        <v>332.38971081603142</v>
      </c>
      <c r="AT989" s="6">
        <f t="shared" si="1013"/>
        <v>139.96873403843389</v>
      </c>
      <c r="AU989" s="6">
        <f t="shared" si="1014"/>
        <v>282.58015609447676</v>
      </c>
      <c r="AV989" s="6">
        <f t="shared" si="1015"/>
        <v>332.38971081603142</v>
      </c>
      <c r="AW989" s="58">
        <f t="shared" si="1021"/>
        <v>1999</v>
      </c>
      <c r="AX989" s="58">
        <f>COUNTIF(AW$3:AW989,AW989)</f>
        <v>15</v>
      </c>
    </row>
    <row r="990" spans="1:50" x14ac:dyDescent="0.25">
      <c r="A990" s="5">
        <v>36415</v>
      </c>
      <c r="B990">
        <v>1351.66</v>
      </c>
      <c r="C990">
        <v>4.67</v>
      </c>
      <c r="D990" s="6">
        <v>20.98</v>
      </c>
      <c r="E990" s="18">
        <f t="shared" si="1034"/>
        <v>21.92</v>
      </c>
      <c r="F990">
        <f t="shared" si="1035"/>
        <v>-1</v>
      </c>
      <c r="G990" s="18">
        <f>ROUND(INDEX(Valuation!U:U,MATCH(A990,Valuation!A:A,0)),2)</f>
        <v>0</v>
      </c>
      <c r="H990">
        <f t="shared" si="1042"/>
        <v>-3</v>
      </c>
      <c r="I990" s="18">
        <f>INDEX(WeeklyIndicators!Y:Y,MATCH(A990,WeeklyIndicators!A:A,0))</f>
        <v>115.6</v>
      </c>
      <c r="J990">
        <f t="shared" si="1031"/>
        <v>-1</v>
      </c>
      <c r="K990">
        <f>ROUND(INDEX(Economic!AF:AF,MATCH(EOMONTH($A990,-1),Economic!A:A,0)),2)</f>
        <v>144.30000000000001</v>
      </c>
      <c r="L990" s="11">
        <f t="shared" si="1040"/>
        <v>3</v>
      </c>
      <c r="M990">
        <f>ROUND(INDEX(Manufacturing!P:P,MATCH(EOMONTH($A990,-1),Manufacturing!A:A,0)),2)</f>
        <v>104.96</v>
      </c>
      <c r="N990">
        <f t="shared" si="1036"/>
        <v>2</v>
      </c>
      <c r="O990">
        <f>ROUND(INDEX(Housing!AC:AC,MATCH(EOMONTH($A990,-1),Housing!B:B,0)),2)</f>
        <v>130.69999999999999</v>
      </c>
      <c r="P990">
        <f t="shared" si="1037"/>
        <v>2</v>
      </c>
      <c r="Q990">
        <f>ROUND(INDEX(Spending!AJ:AJ,MATCH(EOMONTH($A990,-1),Spending!B:B,0)),2)</f>
        <v>63.69</v>
      </c>
      <c r="R990">
        <f t="shared" si="1041"/>
        <v>2</v>
      </c>
      <c r="S990">
        <f>ROUND(INDEX(Employment!V:V,MATCH(EOMONTH($A990,-1),Employment!A:A,0)),2)</f>
        <v>181.88</v>
      </c>
      <c r="T990" s="11">
        <f t="shared" si="1038"/>
        <v>2</v>
      </c>
      <c r="U990">
        <f t="shared" si="1030"/>
        <v>26</v>
      </c>
      <c r="V990">
        <f t="shared" si="1022"/>
        <v>82.42</v>
      </c>
      <c r="W990" s="13">
        <f t="shared" si="1023"/>
        <v>6.1999999999999998E-3</v>
      </c>
      <c r="X990" s="13">
        <f t="shared" si="1024"/>
        <v>-3.1099999999999999E-2</v>
      </c>
      <c r="Y990">
        <f t="shared" si="1016"/>
        <v>69.11</v>
      </c>
      <c r="Z990" s="13">
        <f t="shared" si="1011"/>
        <v>1.1900000000000001E-2</v>
      </c>
      <c r="AA990" s="13">
        <f t="shared" si="1006"/>
        <v>-4.0100000000000004E-2</v>
      </c>
      <c r="AB990" s="6">
        <f t="shared" si="1017"/>
        <v>61.36</v>
      </c>
      <c r="AC990">
        <f t="shared" si="1009"/>
        <v>31</v>
      </c>
      <c r="AD990" s="11">
        <f t="shared" si="1010"/>
        <v>-1</v>
      </c>
      <c r="AE990">
        <f t="shared" si="1008"/>
        <v>27</v>
      </c>
      <c r="AF990">
        <f>IF(AND(AE990&lt;15,OR(AC990&gt;=30,AA990&gt;0.15,X990&gt;=0.15)),2,VLOOKUP(AE990,Table!P:Q,2,FALSE))</f>
        <v>4</v>
      </c>
      <c r="AG990" s="22">
        <f>IF((AB990*0.98)-(D990*0.8)+((AF990-3)*3)+VLOOKUP(AM990,Table!$A$11:$B$13,2,FALSE)&lt;0,0,(AB990*0.98)-(D990*0.8)+((AF990-3)*3)+VLOOKUP(AM990,Table!$A$11:$B$13,2,FALSE))</f>
        <v>54.348799999999997</v>
      </c>
      <c r="AH990" s="22">
        <f t="shared" si="1039"/>
        <v>50</v>
      </c>
      <c r="AI990" s="18">
        <f t="shared" si="1032"/>
        <v>4.6399999999999997</v>
      </c>
      <c r="AJ990" s="18">
        <f t="shared" si="1033"/>
        <v>4.49</v>
      </c>
      <c r="AK990" t="str">
        <f t="shared" si="1018"/>
        <v>Rising Rates</v>
      </c>
      <c r="AL990">
        <f t="shared" si="1029"/>
        <v>27</v>
      </c>
      <c r="AM990" s="11" t="str">
        <f t="shared" si="1019"/>
        <v>Stocks</v>
      </c>
      <c r="AN990" t="str">
        <f t="shared" si="1025"/>
        <v>Buy</v>
      </c>
      <c r="AO990" s="13">
        <f t="shared" si="1026"/>
        <v>-1.2E-2</v>
      </c>
      <c r="AP990" s="13">
        <f t="shared" si="1027"/>
        <v>8.9999999999999998E-4</v>
      </c>
      <c r="AQ990" s="13">
        <f t="shared" si="1028"/>
        <v>-5.5999999999999999E-3</v>
      </c>
      <c r="AR990" s="13">
        <f t="shared" si="1020"/>
        <v>-1.2E-2</v>
      </c>
      <c r="AS990" s="6">
        <f t="shared" si="1012"/>
        <v>336.42683280974842</v>
      </c>
      <c r="AT990" s="6">
        <f t="shared" si="1013"/>
        <v>139.84287545052842</v>
      </c>
      <c r="AU990" s="6">
        <f t="shared" si="1014"/>
        <v>284.171516587366</v>
      </c>
      <c r="AV990" s="6">
        <f t="shared" si="1015"/>
        <v>336.42683280974842</v>
      </c>
      <c r="AW990" s="58">
        <f t="shared" si="1021"/>
        <v>1999</v>
      </c>
      <c r="AX990" s="58">
        <f>COUNTIF(AW$3:AW990,AW990)</f>
        <v>16</v>
      </c>
    </row>
    <row r="991" spans="1:50" x14ac:dyDescent="0.25">
      <c r="A991" s="5">
        <v>36408</v>
      </c>
      <c r="B991">
        <v>1357.24</v>
      </c>
      <c r="C991">
        <v>4.82</v>
      </c>
      <c r="D991" s="6">
        <v>21.83</v>
      </c>
      <c r="E991" s="18">
        <f t="shared" si="1034"/>
        <v>22.36</v>
      </c>
      <c r="F991">
        <f t="shared" si="1035"/>
        <v>-1</v>
      </c>
      <c r="G991" s="18">
        <f>ROUND(INDEX(Valuation!U:U,MATCH(A991,Valuation!A:A,0)),2)</f>
        <v>0</v>
      </c>
      <c r="H991">
        <f t="shared" si="1042"/>
        <v>-3</v>
      </c>
      <c r="I991" s="18">
        <f>INDEX(WeeklyIndicators!Y:Y,MATCH(A991,WeeklyIndicators!A:A,0))</f>
        <v>107.33</v>
      </c>
      <c r="J991">
        <f t="shared" si="1031"/>
        <v>-1</v>
      </c>
      <c r="K991">
        <f>ROUND(INDEX(Economic!AF:AF,MATCH(EOMONTH($A991,-1),Economic!A:A,0)),2)</f>
        <v>144.30000000000001</v>
      </c>
      <c r="L991" s="11">
        <f t="shared" si="1040"/>
        <v>3</v>
      </c>
      <c r="M991">
        <f>ROUND(INDEX(Manufacturing!P:P,MATCH(EOMONTH($A991,-1),Manufacturing!A:A,0)),2)</f>
        <v>104.96</v>
      </c>
      <c r="N991">
        <f t="shared" si="1036"/>
        <v>2</v>
      </c>
      <c r="O991">
        <f>ROUND(INDEX(Housing!AC:AC,MATCH(EOMONTH($A991,-1),Housing!B:B,0)),2)</f>
        <v>130.69999999999999</v>
      </c>
      <c r="P991">
        <f t="shared" si="1037"/>
        <v>2</v>
      </c>
      <c r="Q991">
        <f>ROUND(INDEX(Spending!AJ:AJ,MATCH(EOMONTH($A991,-1),Spending!B:B,0)),2)</f>
        <v>63.69</v>
      </c>
      <c r="R991">
        <f t="shared" si="1041"/>
        <v>2</v>
      </c>
      <c r="S991">
        <f>ROUND(INDEX(Employment!V:V,MATCH(EOMONTH($A991,-1),Employment!A:A,0)),2)</f>
        <v>181.88</v>
      </c>
      <c r="T991" s="11">
        <f t="shared" si="1038"/>
        <v>2</v>
      </c>
      <c r="U991">
        <f t="shared" si="1030"/>
        <v>26</v>
      </c>
      <c r="V991">
        <f t="shared" si="1022"/>
        <v>81.56</v>
      </c>
      <c r="W991" s="13">
        <f t="shared" si="1023"/>
        <v>-2.5000000000000001E-3</v>
      </c>
      <c r="X991" s="13">
        <f t="shared" si="1024"/>
        <v>-5.6999999999999995E-2</v>
      </c>
      <c r="Y991">
        <f t="shared" si="1016"/>
        <v>68.099999999999994</v>
      </c>
      <c r="Z991" s="13">
        <f t="shared" si="1011"/>
        <v>1.2999999999999999E-3</v>
      </c>
      <c r="AA991" s="13">
        <f t="shared" si="1006"/>
        <v>-8.5900000000000004E-2</v>
      </c>
      <c r="AB991" s="6">
        <f t="shared" si="1017"/>
        <v>56.989999999999995</v>
      </c>
      <c r="AC991">
        <f t="shared" si="1009"/>
        <v>28</v>
      </c>
      <c r="AD991" s="11">
        <f t="shared" si="1010"/>
        <v>-1</v>
      </c>
      <c r="AE991">
        <f t="shared" si="1008"/>
        <v>27</v>
      </c>
      <c r="AF991">
        <f>IF(AND(AE991&lt;15,OR(AC991&gt;=30,AA991&gt;0.15,X991&gt;=0.15)),2,VLOOKUP(AE991,Table!P:Q,2,FALSE))</f>
        <v>4</v>
      </c>
      <c r="AG991" s="22">
        <f>IF((AB991*0.98)-(D991*0.8)+((AF991-3)*3)+VLOOKUP(AM991,Table!$A$11:$B$13,2,FALSE)&lt;0,0,(AB991*0.98)-(D991*0.8)+((AF991-3)*3)+VLOOKUP(AM991,Table!$A$11:$B$13,2,FALSE))</f>
        <v>49.386199999999995</v>
      </c>
      <c r="AH991" s="22">
        <f t="shared" si="1039"/>
        <v>48</v>
      </c>
      <c r="AI991" s="18">
        <f t="shared" si="1032"/>
        <v>4.63</v>
      </c>
      <c r="AJ991" s="18">
        <f t="shared" si="1033"/>
        <v>4.4800000000000004</v>
      </c>
      <c r="AK991" t="str">
        <f t="shared" si="1018"/>
        <v>Rising Rates</v>
      </c>
      <c r="AL991">
        <f t="shared" si="1029"/>
        <v>27</v>
      </c>
      <c r="AM991" s="11" t="str">
        <f t="shared" si="1019"/>
        <v>Stocks</v>
      </c>
      <c r="AN991" t="str">
        <f t="shared" si="1025"/>
        <v>Buy</v>
      </c>
      <c r="AO991" s="13">
        <f t="shared" si="1026"/>
        <v>-4.1000000000000003E-3</v>
      </c>
      <c r="AP991" s="13">
        <f t="shared" si="1027"/>
        <v>8.9999999999999998E-4</v>
      </c>
      <c r="AQ991" s="13">
        <f t="shared" si="1028"/>
        <v>-1.5E-3</v>
      </c>
      <c r="AR991" s="13">
        <f t="shared" si="1020"/>
        <v>-4.1000000000000003E-3</v>
      </c>
      <c r="AS991" s="6">
        <f t="shared" si="1012"/>
        <v>337.81186144165923</v>
      </c>
      <c r="AT991" s="6">
        <f t="shared" si="1013"/>
        <v>139.71713003349828</v>
      </c>
      <c r="AU991" s="6">
        <f t="shared" si="1014"/>
        <v>284.598414208679</v>
      </c>
      <c r="AV991" s="6">
        <f t="shared" si="1015"/>
        <v>337.81186144165923</v>
      </c>
      <c r="AW991" s="58">
        <f t="shared" si="1021"/>
        <v>1999</v>
      </c>
      <c r="AX991" s="58">
        <f>COUNTIF(AW$3:AW991,AW991)</f>
        <v>17</v>
      </c>
    </row>
    <row r="992" spans="1:50" x14ac:dyDescent="0.25">
      <c r="A992" s="5">
        <v>36401</v>
      </c>
      <c r="B992">
        <v>1348.27</v>
      </c>
      <c r="C992">
        <v>4.8099999999999996</v>
      </c>
      <c r="D992" s="6">
        <v>22.950001</v>
      </c>
      <c r="E992" s="18">
        <f t="shared" si="1034"/>
        <v>23.95</v>
      </c>
      <c r="F992">
        <f t="shared" si="1035"/>
        <v>-1</v>
      </c>
      <c r="G992" s="18">
        <f>ROUND(INDEX(Valuation!U:U,MATCH(A992,Valuation!A:A,0)),2)</f>
        <v>0</v>
      </c>
      <c r="H992">
        <f t="shared" si="1042"/>
        <v>-3</v>
      </c>
      <c r="I992" s="18">
        <f>INDEX(WeeklyIndicators!Y:Y,MATCH(A992,WeeklyIndicators!A:A,0))</f>
        <v>97.18</v>
      </c>
      <c r="J992">
        <f t="shared" si="1031"/>
        <v>-1</v>
      </c>
      <c r="K992">
        <f>ROUND(INDEX(Economic!AF:AF,MATCH(EOMONTH($A992,-1),Economic!A:A,0)),2)</f>
        <v>146.52000000000001</v>
      </c>
      <c r="L992" s="11">
        <f t="shared" si="1040"/>
        <v>3</v>
      </c>
      <c r="M992">
        <f>ROUND(INDEX(Manufacturing!P:P,MATCH(EOMONTH($A992,-1),Manufacturing!A:A,0)),2)</f>
        <v>104.95</v>
      </c>
      <c r="N992">
        <f t="shared" si="1036"/>
        <v>2</v>
      </c>
      <c r="O992">
        <f>ROUND(INDEX(Housing!AC:AC,MATCH(EOMONTH($A992,-1),Housing!B:B,0)),2)</f>
        <v>132.11000000000001</v>
      </c>
      <c r="P992">
        <f t="shared" si="1037"/>
        <v>2</v>
      </c>
      <c r="Q992">
        <f>ROUND(INDEX(Spending!AJ:AJ,MATCH(EOMONTH($A992,-1),Spending!B:B,0)),2)</f>
        <v>62.13</v>
      </c>
      <c r="R992">
        <f t="shared" si="1041"/>
        <v>2</v>
      </c>
      <c r="S992">
        <f>ROUND(INDEX(Employment!V:V,MATCH(EOMONTH($A992,-1),Employment!A:A,0)),2)</f>
        <v>183.87</v>
      </c>
      <c r="T992" s="11">
        <f t="shared" si="1038"/>
        <v>2</v>
      </c>
      <c r="U992">
        <f t="shared" si="1030"/>
        <v>26</v>
      </c>
      <c r="V992">
        <f t="shared" si="1022"/>
        <v>80.95</v>
      </c>
      <c r="W992" s="13">
        <f t="shared" si="1023"/>
        <v>-1.3599999999999999E-2</v>
      </c>
      <c r="X992" s="13">
        <f t="shared" si="1024"/>
        <v>-6.4599999999999991E-2</v>
      </c>
      <c r="Y992">
        <f t="shared" si="1016"/>
        <v>66.930000000000007</v>
      </c>
      <c r="Z992" s="13">
        <f t="shared" si="1011"/>
        <v>-0.02</v>
      </c>
      <c r="AA992" s="13">
        <f t="shared" si="1006"/>
        <v>-0.1026</v>
      </c>
      <c r="AB992" s="6">
        <f t="shared" si="1017"/>
        <v>54.61</v>
      </c>
      <c r="AC992">
        <f t="shared" si="1009"/>
        <v>27</v>
      </c>
      <c r="AD992" s="11">
        <f t="shared" si="1010"/>
        <v>-1</v>
      </c>
      <c r="AE992">
        <f t="shared" si="1008"/>
        <v>27</v>
      </c>
      <c r="AF992">
        <f>IF(AND(AE992&lt;15,OR(AC992&gt;=30,AA992&gt;0.15,X992&gt;=0.15)),2,VLOOKUP(AE992,Table!P:Q,2,FALSE))</f>
        <v>4</v>
      </c>
      <c r="AG992" s="22">
        <f>IF((AB992*0.98)-(D992*0.8)+((AF992-3)*3)+VLOOKUP(AM992,Table!$A$11:$B$13,2,FALSE)&lt;0,0,(AB992*0.98)-(D992*0.8)+((AF992-3)*3)+VLOOKUP(AM992,Table!$A$11:$B$13,2,FALSE))</f>
        <v>46.157799199999999</v>
      </c>
      <c r="AH992" s="22">
        <f t="shared" si="1039"/>
        <v>48</v>
      </c>
      <c r="AI992" s="18">
        <f t="shared" si="1032"/>
        <v>4.6100000000000003</v>
      </c>
      <c r="AJ992" s="18">
        <f t="shared" si="1033"/>
        <v>4.47</v>
      </c>
      <c r="AK992" t="str">
        <f t="shared" si="1018"/>
        <v>Rising Rates</v>
      </c>
      <c r="AL992">
        <f t="shared" si="1029"/>
        <v>27.5</v>
      </c>
      <c r="AM992" s="11" t="str">
        <f t="shared" si="1019"/>
        <v>Stocks</v>
      </c>
      <c r="AN992" t="str">
        <f t="shared" si="1025"/>
        <v>Buy</v>
      </c>
      <c r="AO992" s="13">
        <f t="shared" si="1026"/>
        <v>6.7000000000000002E-3</v>
      </c>
      <c r="AP992" s="13">
        <f t="shared" si="1027"/>
        <v>8.9999999999999998E-4</v>
      </c>
      <c r="AQ992" s="13">
        <f t="shared" si="1028"/>
        <v>3.7000000000000002E-3</v>
      </c>
      <c r="AR992" s="13">
        <f t="shared" si="1020"/>
        <v>6.7000000000000002E-3</v>
      </c>
      <c r="AS992" s="6">
        <f t="shared" si="1012"/>
        <v>335.56358541934964</v>
      </c>
      <c r="AT992" s="6">
        <f t="shared" si="1013"/>
        <v>139.59149768558126</v>
      </c>
      <c r="AU992" s="6">
        <f t="shared" si="1014"/>
        <v>283.54928186577564</v>
      </c>
      <c r="AV992" s="6">
        <f t="shared" si="1015"/>
        <v>335.56358541934964</v>
      </c>
      <c r="AW992" s="58">
        <f t="shared" si="1021"/>
        <v>1999</v>
      </c>
      <c r="AX992" s="58">
        <f>COUNTIF(AW$3:AW992,AW992)</f>
        <v>18</v>
      </c>
    </row>
    <row r="993" spans="1:50" x14ac:dyDescent="0.25">
      <c r="A993" s="5">
        <v>36394</v>
      </c>
      <c r="B993">
        <v>1336.61</v>
      </c>
      <c r="C993">
        <v>4.6500000000000004</v>
      </c>
      <c r="D993" s="6">
        <v>22.309999000000001</v>
      </c>
      <c r="E993" s="18">
        <f t="shared" si="1034"/>
        <v>24.52</v>
      </c>
      <c r="F993">
        <f t="shared" si="1035"/>
        <v>-1</v>
      </c>
      <c r="G993" s="18">
        <f>ROUND(INDEX(Valuation!U:U,MATCH(A993,Valuation!A:A,0)),2)</f>
        <v>0</v>
      </c>
      <c r="H993">
        <f t="shared" si="1042"/>
        <v>-3</v>
      </c>
      <c r="I993" s="18">
        <f>INDEX(WeeklyIndicators!Y:Y,MATCH(A993,WeeklyIndicators!A:A,0))</f>
        <v>96.89</v>
      </c>
      <c r="J993">
        <f t="shared" si="1031"/>
        <v>-1</v>
      </c>
      <c r="K993">
        <f>ROUND(INDEX(Economic!AF:AF,MATCH(EOMONTH($A993,-1),Economic!A:A,0)),2)</f>
        <v>146.52000000000001</v>
      </c>
      <c r="L993" s="11">
        <f t="shared" si="1040"/>
        <v>3</v>
      </c>
      <c r="M993">
        <f>ROUND(INDEX(Manufacturing!P:P,MATCH(EOMONTH($A993,-1),Manufacturing!A:A,0)),2)</f>
        <v>104.95</v>
      </c>
      <c r="N993">
        <f t="shared" si="1036"/>
        <v>2</v>
      </c>
      <c r="O993">
        <f>ROUND(INDEX(Housing!AC:AC,MATCH(EOMONTH($A993,-1),Housing!B:B,0)),2)</f>
        <v>132.11000000000001</v>
      </c>
      <c r="P993">
        <f t="shared" si="1037"/>
        <v>2</v>
      </c>
      <c r="Q993">
        <f>ROUND(INDEX(Spending!AJ:AJ,MATCH(EOMONTH($A993,-1),Spending!B:B,0)),2)</f>
        <v>62.13</v>
      </c>
      <c r="R993">
        <f t="shared" si="1041"/>
        <v>2</v>
      </c>
      <c r="S993">
        <f>ROUND(INDEX(Employment!V:V,MATCH(EOMONTH($A993,-1),Employment!A:A,0)),2)</f>
        <v>183.87</v>
      </c>
      <c r="T993" s="11">
        <f t="shared" si="1038"/>
        <v>2</v>
      </c>
      <c r="U993">
        <f t="shared" si="1030"/>
        <v>26</v>
      </c>
      <c r="V993">
        <f t="shared" si="1022"/>
        <v>80.92</v>
      </c>
      <c r="W993" s="13">
        <f t="shared" si="1023"/>
        <v>-2.12E-2</v>
      </c>
      <c r="X993" s="13">
        <f t="shared" si="1024"/>
        <v>-5.0099999999999999E-2</v>
      </c>
      <c r="Y993">
        <f t="shared" si="1016"/>
        <v>66.7</v>
      </c>
      <c r="Z993" s="13">
        <f t="shared" si="1011"/>
        <v>-3.3300000000000003E-2</v>
      </c>
      <c r="AA993" s="13">
        <f t="shared" si="1006"/>
        <v>-7.980000000000001E-2</v>
      </c>
      <c r="AB993" s="6">
        <f t="shared" si="1017"/>
        <v>56.05</v>
      </c>
      <c r="AC993">
        <f t="shared" si="1009"/>
        <v>28</v>
      </c>
      <c r="AD993" s="11">
        <f t="shared" si="1010"/>
        <v>-1</v>
      </c>
      <c r="AE993">
        <f t="shared" si="1008"/>
        <v>27</v>
      </c>
      <c r="AF993">
        <f>IF(AND(AE993&lt;15,OR(AC993&gt;=30,AA993&gt;0.15,X993&gt;=0.15)),2,VLOOKUP(AE993,Table!P:Q,2,FALSE))</f>
        <v>4</v>
      </c>
      <c r="AG993" s="22">
        <f>IF((AB993*0.98)-(D993*0.8)+((AF993-3)*3)+VLOOKUP(AM993,Table!$A$11:$B$13,2,FALSE)&lt;0,0,(AB993*0.98)-(D993*0.8)+((AF993-3)*3)+VLOOKUP(AM993,Table!$A$11:$B$13,2,FALSE))</f>
        <v>48.081000799999998</v>
      </c>
      <c r="AH993" s="22">
        <f t="shared" si="1039"/>
        <v>52</v>
      </c>
      <c r="AI993" s="18">
        <f t="shared" si="1032"/>
        <v>4.58</v>
      </c>
      <c r="AJ993" s="18">
        <f t="shared" si="1033"/>
        <v>4.46</v>
      </c>
      <c r="AK993" t="str">
        <f t="shared" si="1018"/>
        <v>Rising Rates</v>
      </c>
      <c r="AL993">
        <f t="shared" si="1029"/>
        <v>28.25</v>
      </c>
      <c r="AM993" s="11" t="str">
        <f t="shared" si="1019"/>
        <v>Stocks</v>
      </c>
      <c r="AN993" t="str">
        <f t="shared" si="1025"/>
        <v>Buy</v>
      </c>
      <c r="AO993" s="13">
        <f t="shared" si="1026"/>
        <v>8.6999999999999994E-3</v>
      </c>
      <c r="AP993" s="13">
        <f t="shared" si="1027"/>
        <v>8.9999999999999998E-4</v>
      </c>
      <c r="AQ993" s="13">
        <f t="shared" si="1028"/>
        <v>5.0000000000000001E-3</v>
      </c>
      <c r="AR993" s="13">
        <f t="shared" si="1020"/>
        <v>8.6999999999999994E-3</v>
      </c>
      <c r="AS993" s="6">
        <f t="shared" si="1012"/>
        <v>332.66936197020885</v>
      </c>
      <c r="AT993" s="6">
        <f t="shared" si="1013"/>
        <v>139.46597830510669</v>
      </c>
      <c r="AU993" s="6">
        <f t="shared" si="1014"/>
        <v>282.1385889211698</v>
      </c>
      <c r="AV993" s="6">
        <f t="shared" si="1015"/>
        <v>332.66936197020885</v>
      </c>
      <c r="AW993" s="58">
        <f t="shared" si="1021"/>
        <v>1999</v>
      </c>
      <c r="AX993" s="58">
        <f>COUNTIF(AW$3:AW993,AW993)</f>
        <v>19</v>
      </c>
    </row>
    <row r="994" spans="1:50" x14ac:dyDescent="0.25">
      <c r="A994" s="5">
        <v>36387</v>
      </c>
      <c r="B994">
        <v>1327.68</v>
      </c>
      <c r="C994">
        <v>4.72</v>
      </c>
      <c r="D994" s="6">
        <v>26.6</v>
      </c>
      <c r="E994" s="18">
        <f t="shared" si="1034"/>
        <v>24.85</v>
      </c>
      <c r="F994">
        <f t="shared" si="1035"/>
        <v>-1</v>
      </c>
      <c r="G994" s="18">
        <f>ROUND(INDEX(Valuation!U:U,MATCH(A994,Valuation!A:A,0)),2)</f>
        <v>0</v>
      </c>
      <c r="H994">
        <f t="shared" si="1042"/>
        <v>-3</v>
      </c>
      <c r="I994" s="18">
        <f>INDEX(WeeklyIndicators!Y:Y,MATCH(A994,WeeklyIndicators!A:A,0))</f>
        <v>108.93</v>
      </c>
      <c r="J994">
        <f t="shared" si="1031"/>
        <v>-1</v>
      </c>
      <c r="K994">
        <f>ROUND(INDEX(Economic!AF:AF,MATCH(EOMONTH($A994,-1),Economic!A:A,0)),2)</f>
        <v>146.52000000000001</v>
      </c>
      <c r="L994" s="11">
        <f t="shared" si="1040"/>
        <v>3</v>
      </c>
      <c r="M994">
        <f>ROUND(INDEX(Manufacturing!P:P,MATCH(EOMONTH($A994,-1),Manufacturing!A:A,0)),2)</f>
        <v>104.95</v>
      </c>
      <c r="N994">
        <f t="shared" si="1036"/>
        <v>2</v>
      </c>
      <c r="O994">
        <f>ROUND(INDEX(Housing!AC:AC,MATCH(EOMONTH($A994,-1),Housing!B:B,0)),2)</f>
        <v>132.11000000000001</v>
      </c>
      <c r="P994">
        <f t="shared" si="1037"/>
        <v>2</v>
      </c>
      <c r="Q994">
        <f>ROUND(INDEX(Spending!AJ:AJ,MATCH(EOMONTH($A994,-1),Spending!B:B,0)),2)</f>
        <v>62.13</v>
      </c>
      <c r="R994">
        <f t="shared" si="1041"/>
        <v>2</v>
      </c>
      <c r="S994">
        <f>ROUND(INDEX(Employment!V:V,MATCH(EOMONTH($A994,-1),Employment!A:A,0)),2)</f>
        <v>183.87</v>
      </c>
      <c r="T994" s="11">
        <f t="shared" si="1038"/>
        <v>2</v>
      </c>
      <c r="U994">
        <f t="shared" si="1030"/>
        <v>26</v>
      </c>
      <c r="V994">
        <f t="shared" si="1022"/>
        <v>82.17</v>
      </c>
      <c r="W994" s="13">
        <f t="shared" si="1023"/>
        <v>-1.9699999999999999E-2</v>
      </c>
      <c r="X994" s="13">
        <f t="shared" si="1024"/>
        <v>-2.01E-2</v>
      </c>
      <c r="Y994">
        <f t="shared" si="1016"/>
        <v>67.84</v>
      </c>
      <c r="Z994" s="13">
        <f t="shared" si="1011"/>
        <v>-3.39E-2</v>
      </c>
      <c r="AA994" s="13">
        <f t="shared" si="1006"/>
        <v>-2.7900000000000001E-2</v>
      </c>
      <c r="AB994" s="6">
        <f t="shared" si="1017"/>
        <v>61.010000000000005</v>
      </c>
      <c r="AC994">
        <f t="shared" si="1009"/>
        <v>31</v>
      </c>
      <c r="AD994" s="11">
        <f t="shared" si="1010"/>
        <v>-1</v>
      </c>
      <c r="AE994">
        <f t="shared" si="1008"/>
        <v>27</v>
      </c>
      <c r="AF994">
        <f>IF(AND(AE994&lt;15,OR(AC994&gt;=30,AA994&gt;0.15,X994&gt;=0.15)),2,VLOOKUP(AE994,Table!P:Q,2,FALSE))</f>
        <v>4</v>
      </c>
      <c r="AG994" s="22">
        <f>IF((AB994*0.98)-(D994*0.8)+((AF994-3)*3)+VLOOKUP(AM994,Table!$A$11:$B$13,2,FALSE)&lt;0,0,(AB994*0.98)-(D994*0.8)+((AF994-3)*3)+VLOOKUP(AM994,Table!$A$11:$B$13,2,FALSE))</f>
        <v>49.509800000000006</v>
      </c>
      <c r="AH994" s="22">
        <f t="shared" si="1039"/>
        <v>57</v>
      </c>
      <c r="AI994" s="18">
        <f t="shared" si="1032"/>
        <v>4.57</v>
      </c>
      <c r="AJ994" s="18">
        <f t="shared" si="1033"/>
        <v>4.45</v>
      </c>
      <c r="AK994" t="str">
        <f t="shared" si="1018"/>
        <v>Rising Rates</v>
      </c>
      <c r="AL994">
        <f t="shared" si="1029"/>
        <v>29.25</v>
      </c>
      <c r="AM994" s="11" t="str">
        <f t="shared" si="1019"/>
        <v>Stocks</v>
      </c>
      <c r="AN994" t="str">
        <f t="shared" si="1025"/>
        <v>Buy</v>
      </c>
      <c r="AO994" s="13">
        <f t="shared" si="1026"/>
        <v>6.7000000000000002E-3</v>
      </c>
      <c r="AP994" s="13">
        <f t="shared" si="1027"/>
        <v>8.9999999999999998E-4</v>
      </c>
      <c r="AQ994" s="13">
        <f t="shared" si="1028"/>
        <v>4.1999999999999997E-3</v>
      </c>
      <c r="AR994" s="13">
        <f t="shared" si="1020"/>
        <v>6.7000000000000002E-3</v>
      </c>
      <c r="AS994" s="6">
        <f t="shared" si="1012"/>
        <v>330.45531138393648</v>
      </c>
      <c r="AT994" s="6">
        <f t="shared" si="1013"/>
        <v>139.34057179049526</v>
      </c>
      <c r="AU994" s="6">
        <f t="shared" si="1014"/>
        <v>280.95856295675145</v>
      </c>
      <c r="AV994" s="6">
        <f t="shared" si="1015"/>
        <v>330.45531138393648</v>
      </c>
      <c r="AW994" s="58">
        <f t="shared" si="1021"/>
        <v>1999</v>
      </c>
      <c r="AX994" s="58">
        <f>COUNTIF(AW$3:AW994,AW994)</f>
        <v>20</v>
      </c>
    </row>
    <row r="995" spans="1:50" x14ac:dyDescent="0.25">
      <c r="A995" s="5">
        <v>36380</v>
      </c>
      <c r="B995">
        <v>1300.29</v>
      </c>
      <c r="C995">
        <v>4.6500000000000004</v>
      </c>
      <c r="D995" s="6">
        <v>24.639999</v>
      </c>
      <c r="E995" s="18">
        <f t="shared" si="1034"/>
        <v>21.79</v>
      </c>
      <c r="F995">
        <f t="shared" si="1035"/>
        <v>-1</v>
      </c>
      <c r="G995" s="18">
        <f>ROUND(INDEX(Valuation!U:U,MATCH(A995,Valuation!A:A,0)),2)</f>
        <v>0</v>
      </c>
      <c r="H995">
        <f t="shared" si="1042"/>
        <v>-3</v>
      </c>
      <c r="I995" s="18">
        <f>INDEX(WeeklyIndicators!Y:Y,MATCH(A995,WeeklyIndicators!A:A,0))</f>
        <v>129.59</v>
      </c>
      <c r="J995">
        <f t="shared" si="1031"/>
        <v>0</v>
      </c>
      <c r="K995">
        <f>ROUND(INDEX(Economic!AF:AF,MATCH(EOMONTH($A995,-1),Economic!A:A,0)),2)</f>
        <v>146.52000000000001</v>
      </c>
      <c r="L995" s="11">
        <f t="shared" si="1040"/>
        <v>3</v>
      </c>
      <c r="M995">
        <f>ROUND(INDEX(Manufacturing!P:P,MATCH(EOMONTH($A995,-1),Manufacturing!A:A,0)),2)</f>
        <v>104.95</v>
      </c>
      <c r="N995">
        <f t="shared" si="1036"/>
        <v>2</v>
      </c>
      <c r="O995">
        <f>ROUND(INDEX(Housing!AC:AC,MATCH(EOMONTH($A995,-1),Housing!B:B,0)),2)</f>
        <v>132.11000000000001</v>
      </c>
      <c r="P995">
        <f t="shared" si="1037"/>
        <v>2</v>
      </c>
      <c r="Q995">
        <f>ROUND(INDEX(Spending!AJ:AJ,MATCH(EOMONTH($A995,-1),Spending!B:B,0)),2)</f>
        <v>62.13</v>
      </c>
      <c r="R995">
        <f t="shared" si="1041"/>
        <v>2</v>
      </c>
      <c r="S995">
        <f>ROUND(INDEX(Employment!V:V,MATCH(EOMONTH($A995,-1),Employment!A:A,0)),2)</f>
        <v>183.87</v>
      </c>
      <c r="T995" s="11">
        <f t="shared" si="1038"/>
        <v>2</v>
      </c>
      <c r="U995">
        <f t="shared" si="1030"/>
        <v>27</v>
      </c>
      <c r="V995">
        <f t="shared" si="1022"/>
        <v>84.32</v>
      </c>
      <c r="W995" s="13">
        <f t="shared" si="1023"/>
        <v>-1.01E-2</v>
      </c>
      <c r="X995" s="13">
        <f t="shared" si="1024"/>
        <v>1.1600000000000001E-2</v>
      </c>
      <c r="Y995">
        <f t="shared" si="1016"/>
        <v>71.05</v>
      </c>
      <c r="Z995" s="13">
        <f t="shared" si="1011"/>
        <v>-1.54E-2</v>
      </c>
      <c r="AA995" s="13">
        <f t="shared" si="1006"/>
        <v>2.7199999999999998E-2</v>
      </c>
      <c r="AB995" s="6">
        <f t="shared" si="1017"/>
        <v>68.3</v>
      </c>
      <c r="AC995">
        <f t="shared" si="1009"/>
        <v>34</v>
      </c>
      <c r="AD995" s="11">
        <f t="shared" si="1010"/>
        <v>0</v>
      </c>
      <c r="AE995">
        <f t="shared" si="1008"/>
        <v>29</v>
      </c>
      <c r="AF995">
        <f>IF(AND(AE995&lt;15,OR(AC995&gt;=30,AA995&gt;0.15,X995&gt;=0.15)),2,VLOOKUP(AE995,Table!P:Q,2,FALSE))</f>
        <v>4</v>
      </c>
      <c r="AG995" s="22">
        <f>IF((AB995*0.98)-(D995*0.8)+((AF995-3)*3)+VLOOKUP(AM995,Table!$A$11:$B$13,2,FALSE)&lt;0,0,(AB995*0.98)-(D995*0.8)+((AF995-3)*3)+VLOOKUP(AM995,Table!$A$11:$B$13,2,FALSE))</f>
        <v>58.222000799999996</v>
      </c>
      <c r="AH995" s="22">
        <f t="shared" si="1039"/>
        <v>65</v>
      </c>
      <c r="AI995" s="18">
        <f t="shared" si="1032"/>
        <v>4.55</v>
      </c>
      <c r="AJ995" s="18">
        <f t="shared" si="1033"/>
        <v>4.4400000000000004</v>
      </c>
      <c r="AK995" t="str">
        <f t="shared" si="1018"/>
        <v>Rising Rates</v>
      </c>
      <c r="AL995">
        <f t="shared" si="1029"/>
        <v>30.25</v>
      </c>
      <c r="AM995" s="11" t="str">
        <f t="shared" si="1019"/>
        <v>Stocks</v>
      </c>
      <c r="AN995" t="str">
        <f t="shared" si="1025"/>
        <v>Buy</v>
      </c>
      <c r="AO995" s="13">
        <f t="shared" si="1026"/>
        <v>2.1100000000000001E-2</v>
      </c>
      <c r="AP995" s="13">
        <f t="shared" si="1027"/>
        <v>8.9999999999999998E-4</v>
      </c>
      <c r="AQ995" s="13">
        <f t="shared" si="1028"/>
        <v>1.4E-2</v>
      </c>
      <c r="AR995" s="13">
        <f t="shared" si="1020"/>
        <v>2.1100000000000001E-2</v>
      </c>
      <c r="AS995" s="6">
        <f t="shared" si="1012"/>
        <v>323.62678619521745</v>
      </c>
      <c r="AT995" s="6">
        <f t="shared" si="1013"/>
        <v>139.21527804025905</v>
      </c>
      <c r="AU995" s="6">
        <f t="shared" si="1014"/>
        <v>277.07945064768387</v>
      </c>
      <c r="AV995" s="6">
        <f t="shared" si="1015"/>
        <v>323.62678619521745</v>
      </c>
      <c r="AW995" s="58">
        <f t="shared" si="1021"/>
        <v>1999</v>
      </c>
      <c r="AX995" s="58">
        <f>COUNTIF(AW$3:AW995,AW995)</f>
        <v>21</v>
      </c>
    </row>
    <row r="996" spans="1:50" x14ac:dyDescent="0.25">
      <c r="A996" s="5">
        <v>36373</v>
      </c>
      <c r="B996">
        <v>1328.72</v>
      </c>
      <c r="C996">
        <v>4.59</v>
      </c>
      <c r="D996" s="6">
        <v>23.32</v>
      </c>
      <c r="E996" s="18">
        <f t="shared" si="1034"/>
        <v>19.57</v>
      </c>
      <c r="F996">
        <f t="shared" si="1035"/>
        <v>-1</v>
      </c>
      <c r="G996" s="18">
        <f>ROUND(INDEX(Valuation!U:U,MATCH(A996,Valuation!A:A,0)),2)</f>
        <v>0</v>
      </c>
      <c r="H996">
        <f t="shared" si="1042"/>
        <v>-3</v>
      </c>
      <c r="I996" s="18">
        <f>INDEX(WeeklyIndicators!Y:Y,MATCH(A996,WeeklyIndicators!A:A,0))</f>
        <v>148.46</v>
      </c>
      <c r="J996">
        <f t="shared" si="1031"/>
        <v>1</v>
      </c>
      <c r="K996">
        <f>ROUND(INDEX(Economic!AF:AF,MATCH(EOMONTH($A996,-1),Economic!A:A,0)),2)</f>
        <v>146.52000000000001</v>
      </c>
      <c r="L996" s="11">
        <f t="shared" si="1040"/>
        <v>3</v>
      </c>
      <c r="M996">
        <f>ROUND(INDEX(Manufacturing!P:P,MATCH(EOMONTH($A996,-1),Manufacturing!A:A,0)),2)</f>
        <v>104.95</v>
      </c>
      <c r="N996">
        <f t="shared" si="1036"/>
        <v>2</v>
      </c>
      <c r="O996">
        <f>ROUND(INDEX(Housing!AC:AC,MATCH(EOMONTH($A996,-1),Housing!B:B,0)),2)</f>
        <v>132.11000000000001</v>
      </c>
      <c r="P996">
        <f t="shared" si="1037"/>
        <v>2</v>
      </c>
      <c r="Q996">
        <f>ROUND(INDEX(Spending!AJ:AJ,MATCH(EOMONTH($A996,-1),Spending!B:B,0)),2)</f>
        <v>62.13</v>
      </c>
      <c r="R996">
        <f t="shared" si="1041"/>
        <v>2</v>
      </c>
      <c r="S996">
        <f>ROUND(INDEX(Employment!V:V,MATCH(EOMONTH($A996,-1),Employment!A:A,0)),2)</f>
        <v>183.87</v>
      </c>
      <c r="T996" s="11">
        <f t="shared" si="1038"/>
        <v>2</v>
      </c>
      <c r="U996">
        <f t="shared" si="1030"/>
        <v>28</v>
      </c>
      <c r="V996">
        <f t="shared" si="1022"/>
        <v>86.28</v>
      </c>
      <c r="W996" s="13">
        <f t="shared" si="1023"/>
        <v>8.9999999999999998E-4</v>
      </c>
      <c r="X996" s="13">
        <f t="shared" si="1024"/>
        <v>3.2199999999999999E-2</v>
      </c>
      <c r="Y996">
        <f t="shared" si="1016"/>
        <v>73.78</v>
      </c>
      <c r="Z996" s="13">
        <f t="shared" si="1011"/>
        <v>2.8E-3</v>
      </c>
      <c r="AA996" s="13">
        <f t="shared" si="1006"/>
        <v>6.2100000000000002E-2</v>
      </c>
      <c r="AB996" s="6">
        <f t="shared" si="1017"/>
        <v>73.64</v>
      </c>
      <c r="AC996">
        <f t="shared" si="1009"/>
        <v>37</v>
      </c>
      <c r="AD996" s="11">
        <f t="shared" si="1010"/>
        <v>0</v>
      </c>
      <c r="AE996">
        <f t="shared" si="1008"/>
        <v>30</v>
      </c>
      <c r="AF996">
        <f>IF(AND(AE996&lt;15,OR(AC996&gt;=30,AA996&gt;0.15,X996&gt;=0.15)),2,VLOOKUP(AE996,Table!P:Q,2,FALSE))</f>
        <v>4</v>
      </c>
      <c r="AG996" s="22">
        <f>IF((AB996*0.98)-(D996*0.8)+((AF996-3)*3)+VLOOKUP(AM996,Table!$A$11:$B$13,2,FALSE)&lt;0,0,(AB996*0.98)-(D996*0.8)+((AF996-3)*3)+VLOOKUP(AM996,Table!$A$11:$B$13,2,FALSE))</f>
        <v>64.511199999999988</v>
      </c>
      <c r="AH996" s="22">
        <f t="shared" si="1039"/>
        <v>68</v>
      </c>
      <c r="AI996" s="18">
        <f t="shared" si="1032"/>
        <v>4.54</v>
      </c>
      <c r="AJ996" s="18">
        <f t="shared" si="1033"/>
        <v>4.4400000000000004</v>
      </c>
      <c r="AK996" t="str">
        <f t="shared" si="1018"/>
        <v/>
      </c>
      <c r="AL996">
        <f t="shared" si="1029"/>
        <v>30.5</v>
      </c>
      <c r="AM996" s="11" t="str">
        <f t="shared" si="1019"/>
        <v>Stocks</v>
      </c>
      <c r="AN996" t="str">
        <f t="shared" si="1025"/>
        <v>Buy</v>
      </c>
      <c r="AO996" s="13">
        <f t="shared" si="1026"/>
        <v>-2.1399999999999999E-2</v>
      </c>
      <c r="AP996" s="13">
        <f t="shared" si="1027"/>
        <v>8.9999999999999998E-4</v>
      </c>
      <c r="AQ996" s="13">
        <f t="shared" si="1028"/>
        <v>-1.43E-2</v>
      </c>
      <c r="AR996" s="13">
        <f t="shared" si="1020"/>
        <v>-2.1399999999999999E-2</v>
      </c>
      <c r="AS996" s="6">
        <f t="shared" si="1012"/>
        <v>330.70384855427903</v>
      </c>
      <c r="AT996" s="6">
        <f t="shared" si="1013"/>
        <v>139.09009695300136</v>
      </c>
      <c r="AU996" s="6">
        <f t="shared" si="1014"/>
        <v>281.09916876096565</v>
      </c>
      <c r="AV996" s="6">
        <f t="shared" si="1015"/>
        <v>330.70384855427903</v>
      </c>
      <c r="AW996" s="58">
        <f t="shared" si="1021"/>
        <v>1999</v>
      </c>
      <c r="AX996" s="58">
        <f>COUNTIF(AW$3:AW996,AW996)</f>
        <v>22</v>
      </c>
    </row>
    <row r="997" spans="1:50" x14ac:dyDescent="0.25">
      <c r="A997" s="5">
        <v>36366</v>
      </c>
      <c r="B997">
        <v>1356.94</v>
      </c>
      <c r="C997">
        <v>4.5</v>
      </c>
      <c r="D997" s="6">
        <v>17.420000000000002</v>
      </c>
      <c r="E997" s="18">
        <f t="shared" si="1034"/>
        <v>18.010000000000002</v>
      </c>
      <c r="F997">
        <f t="shared" si="1035"/>
        <v>-1</v>
      </c>
      <c r="G997" s="18">
        <f>ROUND(INDEX(Valuation!U:U,MATCH(A997,Valuation!A:A,0)),2)</f>
        <v>0</v>
      </c>
      <c r="H997">
        <f t="shared" si="1042"/>
        <v>-3</v>
      </c>
      <c r="I997" s="18">
        <f>INDEX(WeeklyIndicators!Y:Y,MATCH(A997,WeeklyIndicators!A:A,0))</f>
        <v>157.46</v>
      </c>
      <c r="J997">
        <f t="shared" si="1031"/>
        <v>2</v>
      </c>
      <c r="K997">
        <f>ROUND(INDEX(Economic!AF:AF,MATCH(EOMONTH($A997,-1),Economic!A:A,0)),2)</f>
        <v>146.80000000000001</v>
      </c>
      <c r="L997" s="11">
        <f t="shared" si="1040"/>
        <v>3</v>
      </c>
      <c r="M997">
        <f>ROUND(INDEX(Manufacturing!P:P,MATCH(EOMONTH($A997,-1),Manufacturing!A:A,0)),2)</f>
        <v>104.4</v>
      </c>
      <c r="N997">
        <f t="shared" si="1036"/>
        <v>2</v>
      </c>
      <c r="O997">
        <f>ROUND(INDEX(Housing!AC:AC,MATCH(EOMONTH($A997,-1),Housing!B:B,0)),2)</f>
        <v>135.38999999999999</v>
      </c>
      <c r="P997">
        <f t="shared" si="1037"/>
        <v>2</v>
      </c>
      <c r="Q997">
        <f>ROUND(INDEX(Spending!AJ:AJ,MATCH(EOMONTH($A997,-1),Spending!B:B,0)),2)</f>
        <v>60.29</v>
      </c>
      <c r="R997">
        <f t="shared" si="1041"/>
        <v>2</v>
      </c>
      <c r="S997">
        <f>ROUND(INDEX(Employment!V:V,MATCH(EOMONTH($A997,-1),Employment!A:A,0)),2)</f>
        <v>183.96</v>
      </c>
      <c r="T997" s="11">
        <f t="shared" si="1038"/>
        <v>2</v>
      </c>
      <c r="U997">
        <f t="shared" si="1030"/>
        <v>29</v>
      </c>
      <c r="V997">
        <f t="shared" si="1022"/>
        <v>87.25</v>
      </c>
      <c r="W997" s="13">
        <f t="shared" si="1023"/>
        <v>8.8000000000000005E-3</v>
      </c>
      <c r="X997" s="13">
        <f t="shared" si="1024"/>
        <v>3.7999999999999999E-2</v>
      </c>
      <c r="Y997">
        <f t="shared" si="1016"/>
        <v>75.3</v>
      </c>
      <c r="Z997" s="13">
        <f t="shared" si="1011"/>
        <v>1.8599999999999998E-2</v>
      </c>
      <c r="AA997" s="13">
        <f t="shared" si="1006"/>
        <v>6.9500000000000006E-2</v>
      </c>
      <c r="AB997" s="6">
        <f t="shared" si="1017"/>
        <v>75.739999999999995</v>
      </c>
      <c r="AC997">
        <f t="shared" si="1009"/>
        <v>38</v>
      </c>
      <c r="AD997" s="11">
        <f t="shared" si="1010"/>
        <v>0</v>
      </c>
      <c r="AE997">
        <f t="shared" si="1008"/>
        <v>31</v>
      </c>
      <c r="AF997">
        <f>IF(AND(AE997&lt;15,OR(AC997&gt;=30,AA997&gt;0.15,X997&gt;=0.15)),2,VLOOKUP(AE997,Table!P:Q,2,FALSE))</f>
        <v>4</v>
      </c>
      <c r="AG997" s="22">
        <f>IF((AB997*0.98)-(D997*0.8)+((AF997-3)*3)+VLOOKUP(AM997,Table!$A$11:$B$13,2,FALSE)&lt;0,0,(AB997*0.98)-(D997*0.8)+((AF997-3)*3)+VLOOKUP(AM997,Table!$A$11:$B$13,2,FALSE))</f>
        <v>71.289199999999994</v>
      </c>
      <c r="AH997" s="22">
        <f t="shared" si="1039"/>
        <v>69</v>
      </c>
      <c r="AI997" s="18">
        <f t="shared" si="1032"/>
        <v>4.53</v>
      </c>
      <c r="AJ997" s="18">
        <f t="shared" si="1033"/>
        <v>4.43</v>
      </c>
      <c r="AK997" t="str">
        <f t="shared" si="1018"/>
        <v/>
      </c>
      <c r="AL997">
        <f t="shared" si="1029"/>
        <v>30.5</v>
      </c>
      <c r="AM997" s="11" t="str">
        <f t="shared" si="1019"/>
        <v>Stocks</v>
      </c>
      <c r="AN997" t="str">
        <f t="shared" si="1025"/>
        <v>Buy</v>
      </c>
      <c r="AO997" s="13">
        <f t="shared" si="1026"/>
        <v>-2.0799999999999999E-2</v>
      </c>
      <c r="AP997" s="13">
        <f t="shared" si="1027"/>
        <v>8.9999999999999998E-4</v>
      </c>
      <c r="AQ997" s="13">
        <f t="shared" si="1028"/>
        <v>-1.41E-2</v>
      </c>
      <c r="AR997" s="13">
        <f t="shared" si="1020"/>
        <v>-2.0799999999999999E-2</v>
      </c>
      <c r="AS997" s="6">
        <f t="shared" si="1012"/>
        <v>337.72860350722942</v>
      </c>
      <c r="AT997" s="6">
        <f t="shared" si="1013"/>
        <v>138.96502842741671</v>
      </c>
      <c r="AU997" s="6">
        <f t="shared" si="1014"/>
        <v>285.11935161879057</v>
      </c>
      <c r="AV997" s="6">
        <f t="shared" si="1015"/>
        <v>337.72860350722942</v>
      </c>
      <c r="AW997" s="58">
        <f t="shared" si="1021"/>
        <v>1999</v>
      </c>
      <c r="AX997" s="58">
        <f>COUNTIF(AW$3:AW997,AW997)</f>
        <v>23</v>
      </c>
    </row>
    <row r="998" spans="1:50" x14ac:dyDescent="0.25">
      <c r="A998" s="5">
        <v>36359</v>
      </c>
      <c r="B998">
        <v>1418.78</v>
      </c>
      <c r="C998">
        <v>4.57</v>
      </c>
      <c r="D998" s="6">
        <v>17.959999</v>
      </c>
      <c r="E998" s="18">
        <f t="shared" si="1034"/>
        <v>19.46</v>
      </c>
      <c r="F998">
        <f t="shared" si="1035"/>
        <v>-1</v>
      </c>
      <c r="G998" s="18">
        <f>ROUND(INDEX(Valuation!U:U,MATCH(A998,Valuation!A:A,0)),2)</f>
        <v>0</v>
      </c>
      <c r="H998">
        <f t="shared" si="1042"/>
        <v>-3</v>
      </c>
      <c r="I998" s="18">
        <f>INDEX(WeeklyIndicators!Y:Y,MATCH(A998,WeeklyIndicators!A:A,0))</f>
        <v>154.62</v>
      </c>
      <c r="J998">
        <f t="shared" si="1031"/>
        <v>2</v>
      </c>
      <c r="K998">
        <f>ROUND(INDEX(Economic!AF:AF,MATCH(EOMONTH($A998,-1),Economic!A:A,0)),2)</f>
        <v>146.80000000000001</v>
      </c>
      <c r="L998" s="11">
        <f t="shared" si="1040"/>
        <v>3</v>
      </c>
      <c r="M998">
        <f>ROUND(INDEX(Manufacturing!P:P,MATCH(EOMONTH($A998,-1),Manufacturing!A:A,0)),2)</f>
        <v>104.4</v>
      </c>
      <c r="N998">
        <f t="shared" si="1036"/>
        <v>2</v>
      </c>
      <c r="O998">
        <f>ROUND(INDEX(Housing!AC:AC,MATCH(EOMONTH($A998,-1),Housing!B:B,0)),2)</f>
        <v>135.38999999999999</v>
      </c>
      <c r="P998">
        <f t="shared" si="1037"/>
        <v>2</v>
      </c>
      <c r="Q998">
        <f>ROUND(INDEX(Spending!AJ:AJ,MATCH(EOMONTH($A998,-1),Spending!B:B,0)),2)</f>
        <v>60.29</v>
      </c>
      <c r="R998">
        <f t="shared" si="1041"/>
        <v>2</v>
      </c>
      <c r="S998">
        <f>ROUND(INDEX(Employment!V:V,MATCH(EOMONTH($A998,-1),Employment!A:A,0)),2)</f>
        <v>183.96</v>
      </c>
      <c r="T998" s="11">
        <f t="shared" si="1038"/>
        <v>2</v>
      </c>
      <c r="U998">
        <f t="shared" si="1030"/>
        <v>29</v>
      </c>
      <c r="V998">
        <f t="shared" si="1022"/>
        <v>86.95</v>
      </c>
      <c r="W998" s="13">
        <f t="shared" si="1023"/>
        <v>1.2E-2</v>
      </c>
      <c r="X998" s="13">
        <f t="shared" si="1024"/>
        <v>3.1399999999999997E-2</v>
      </c>
      <c r="Y998">
        <f t="shared" si="1016"/>
        <v>74.5</v>
      </c>
      <c r="Z998" s="13">
        <f t="shared" si="1011"/>
        <v>2.12E-2</v>
      </c>
      <c r="AA998" s="13">
        <f t="shared" si="1006"/>
        <v>5.67E-2</v>
      </c>
      <c r="AB998" s="6">
        <f t="shared" si="1017"/>
        <v>74.010000000000005</v>
      </c>
      <c r="AC998">
        <f t="shared" si="1009"/>
        <v>37</v>
      </c>
      <c r="AD998" s="11">
        <f t="shared" si="1010"/>
        <v>0</v>
      </c>
      <c r="AE998">
        <f t="shared" si="1008"/>
        <v>31</v>
      </c>
      <c r="AF998">
        <f>IF(AND(AE998&lt;15,OR(AC998&gt;=30,AA998&gt;0.15,X998&gt;=0.15)),2,VLOOKUP(AE998,Table!P:Q,2,FALSE))</f>
        <v>4</v>
      </c>
      <c r="AG998" s="22">
        <f>IF((AB998*0.98)-(D998*0.8)+((AF998-3)*3)+VLOOKUP(AM998,Table!$A$11:$B$13,2,FALSE)&lt;0,0,(AB998*0.98)-(D998*0.8)+((AF998-3)*3)+VLOOKUP(AM998,Table!$A$11:$B$13,2,FALSE))</f>
        <v>69.161800800000009</v>
      </c>
      <c r="AH998" s="22">
        <f t="shared" si="1039"/>
        <v>65</v>
      </c>
      <c r="AI998" s="18">
        <f t="shared" si="1032"/>
        <v>4.51</v>
      </c>
      <c r="AJ998" s="18">
        <f t="shared" si="1033"/>
        <v>4.41</v>
      </c>
      <c r="AK998" t="str">
        <f t="shared" si="1018"/>
        <v>Rising Rates</v>
      </c>
      <c r="AL998">
        <f t="shared" si="1029"/>
        <v>29.75</v>
      </c>
      <c r="AM998" s="11" t="str">
        <f t="shared" si="1019"/>
        <v>Stocks</v>
      </c>
      <c r="AN998" t="str">
        <f t="shared" si="1025"/>
        <v>Buy</v>
      </c>
      <c r="AO998" s="13">
        <f t="shared" si="1026"/>
        <v>-4.36E-2</v>
      </c>
      <c r="AP998" s="13">
        <f t="shared" si="1027"/>
        <v>8.9999999999999998E-4</v>
      </c>
      <c r="AQ998" s="13">
        <f t="shared" si="1028"/>
        <v>-2.8000000000000001E-2</v>
      </c>
      <c r="AR998" s="13">
        <f t="shared" si="1020"/>
        <v>-4.36E-2</v>
      </c>
      <c r="AS998" s="6">
        <f t="shared" si="1012"/>
        <v>353.12484682897264</v>
      </c>
      <c r="AT998" s="6">
        <f t="shared" si="1013"/>
        <v>138.84007236229067</v>
      </c>
      <c r="AU998" s="6">
        <f t="shared" si="1014"/>
        <v>293.33266627447591</v>
      </c>
      <c r="AV998" s="6">
        <f t="shared" si="1015"/>
        <v>353.12484682897264</v>
      </c>
      <c r="AW998" s="58">
        <f t="shared" si="1021"/>
        <v>1999</v>
      </c>
      <c r="AX998" s="58">
        <f>COUNTIF(AW$3:AW998,AW998)</f>
        <v>24</v>
      </c>
    </row>
    <row r="999" spans="1:50" x14ac:dyDescent="0.25">
      <c r="A999" s="5">
        <v>36352</v>
      </c>
      <c r="B999">
        <v>1403.28</v>
      </c>
      <c r="C999">
        <v>4.55</v>
      </c>
      <c r="D999" s="6">
        <v>18.66</v>
      </c>
      <c r="E999" s="18">
        <f t="shared" si="1034"/>
        <v>20.72</v>
      </c>
      <c r="F999">
        <f t="shared" si="1035"/>
        <v>-1</v>
      </c>
      <c r="G999" s="18">
        <f>ROUND(INDEX(Valuation!U:U,MATCH(A999,Valuation!A:A,0)),2)</f>
        <v>0</v>
      </c>
      <c r="H999">
        <f t="shared" si="1042"/>
        <v>-3</v>
      </c>
      <c r="I999" s="18">
        <f>INDEX(WeeklyIndicators!Y:Y,MATCH(A999,WeeklyIndicators!A:A,0))</f>
        <v>145.85</v>
      </c>
      <c r="J999">
        <f t="shared" si="1031"/>
        <v>1</v>
      </c>
      <c r="K999">
        <f>ROUND(INDEX(Economic!AF:AF,MATCH(EOMONTH($A999,-1),Economic!A:A,0)),2)</f>
        <v>146.80000000000001</v>
      </c>
      <c r="L999" s="11">
        <f t="shared" si="1040"/>
        <v>3</v>
      </c>
      <c r="M999">
        <f>ROUND(INDEX(Manufacturing!P:P,MATCH(EOMONTH($A999,-1),Manufacturing!A:A,0)),2)</f>
        <v>104.4</v>
      </c>
      <c r="N999">
        <f t="shared" si="1036"/>
        <v>2</v>
      </c>
      <c r="O999">
        <f>ROUND(INDEX(Housing!AC:AC,MATCH(EOMONTH($A999,-1),Housing!B:B,0)),2)</f>
        <v>135.38999999999999</v>
      </c>
      <c r="P999">
        <f t="shared" si="1037"/>
        <v>2</v>
      </c>
      <c r="Q999">
        <f>ROUND(INDEX(Spending!AJ:AJ,MATCH(EOMONTH($A999,-1),Spending!B:B,0)),2)</f>
        <v>60.29</v>
      </c>
      <c r="R999">
        <f t="shared" si="1041"/>
        <v>2</v>
      </c>
      <c r="S999">
        <f>ROUND(INDEX(Employment!V:V,MATCH(EOMONTH($A999,-1),Employment!A:A,0)),2)</f>
        <v>183.96</v>
      </c>
      <c r="T999" s="11">
        <f t="shared" si="1038"/>
        <v>2</v>
      </c>
      <c r="U999">
        <f t="shared" si="1030"/>
        <v>28</v>
      </c>
      <c r="V999">
        <f t="shared" si="1022"/>
        <v>86.04</v>
      </c>
      <c r="W999" s="13">
        <f t="shared" si="1023"/>
        <v>1.0500000000000001E-2</v>
      </c>
      <c r="X999" s="13">
        <f t="shared" si="1024"/>
        <v>1.6800000000000002E-2</v>
      </c>
      <c r="Y999">
        <f t="shared" si="1016"/>
        <v>73.150000000000006</v>
      </c>
      <c r="Z999" s="13">
        <f t="shared" si="1011"/>
        <v>1.95E-2</v>
      </c>
      <c r="AA999" s="13">
        <f t="shared" si="1006"/>
        <v>3.3500000000000002E-2</v>
      </c>
      <c r="AB999" s="6">
        <f t="shared" si="1017"/>
        <v>70.930000000000007</v>
      </c>
      <c r="AC999">
        <f t="shared" si="1009"/>
        <v>35</v>
      </c>
      <c r="AD999" s="11">
        <f t="shared" si="1010"/>
        <v>0</v>
      </c>
      <c r="AE999">
        <f t="shared" si="1008"/>
        <v>30</v>
      </c>
      <c r="AF999">
        <f>IF(AND(AE999&lt;15,OR(AC999&gt;=30,AA999&gt;0.15,X999&gt;=0.15)),2,VLOOKUP(AE999,Table!P:Q,2,FALSE))</f>
        <v>4</v>
      </c>
      <c r="AG999" s="22">
        <f>IF((AB999*0.98)-(D999*0.8)+((AF999-3)*3)+VLOOKUP(AM999,Table!$A$11:$B$13,2,FALSE)&lt;0,0,(AB999*0.98)-(D999*0.8)+((AF999-3)*3)+VLOOKUP(AM999,Table!$A$11:$B$13,2,FALSE))</f>
        <v>65.583400000000012</v>
      </c>
      <c r="AH999" s="22">
        <f t="shared" si="1039"/>
        <v>61</v>
      </c>
      <c r="AI999" s="18">
        <f t="shared" si="1032"/>
        <v>4.4800000000000004</v>
      </c>
      <c r="AJ999" s="18">
        <f t="shared" si="1033"/>
        <v>4.3899999999999997</v>
      </c>
      <c r="AK999" t="str">
        <f t="shared" si="1018"/>
        <v>Rising Rates</v>
      </c>
      <c r="AL999">
        <f t="shared" si="1029"/>
        <v>29</v>
      </c>
      <c r="AM999" s="11" t="str">
        <f t="shared" si="1019"/>
        <v>Stocks</v>
      </c>
      <c r="AN999" t="str">
        <f t="shared" si="1025"/>
        <v>Buy</v>
      </c>
      <c r="AO999" s="13">
        <f t="shared" si="1026"/>
        <v>1.0999999999999999E-2</v>
      </c>
      <c r="AP999" s="13">
        <f t="shared" si="1027"/>
        <v>8.9999999999999998E-4</v>
      </c>
      <c r="AQ999" s="13">
        <f t="shared" si="1028"/>
        <v>7.1000000000000004E-3</v>
      </c>
      <c r="AR999" s="13">
        <f t="shared" si="1020"/>
        <v>1.0999999999999999E-2</v>
      </c>
      <c r="AS999" s="6">
        <f t="shared" si="1012"/>
        <v>349.28273672499768</v>
      </c>
      <c r="AT999" s="6">
        <f t="shared" si="1013"/>
        <v>138.71522865649985</v>
      </c>
      <c r="AU999" s="6">
        <f t="shared" si="1014"/>
        <v>291.26468699679862</v>
      </c>
      <c r="AV999" s="6">
        <f t="shared" si="1015"/>
        <v>349.28273672499768</v>
      </c>
      <c r="AW999" s="58">
        <f t="shared" si="1021"/>
        <v>1999</v>
      </c>
      <c r="AX999" s="58">
        <f>COUNTIF(AW$3:AW999,AW999)</f>
        <v>25</v>
      </c>
    </row>
    <row r="1000" spans="1:50" x14ac:dyDescent="0.25">
      <c r="A1000" s="5">
        <v>36345</v>
      </c>
      <c r="B1000">
        <v>1391.22</v>
      </c>
      <c r="C1000">
        <v>4.63</v>
      </c>
      <c r="D1000" s="6">
        <v>21.76</v>
      </c>
      <c r="E1000" s="18">
        <f t="shared" si="1034"/>
        <v>23.14</v>
      </c>
      <c r="F1000">
        <f t="shared" si="1035"/>
        <v>-1</v>
      </c>
      <c r="G1000" s="18">
        <f>ROUND(INDEX(Valuation!U:U,MATCH(A1000,Valuation!A:A,0)),2)</f>
        <v>0</v>
      </c>
      <c r="H1000">
        <f t="shared" si="1042"/>
        <v>-3</v>
      </c>
      <c r="I1000" s="18">
        <f>INDEX(WeeklyIndicators!Y:Y,MATCH(A1000,WeeklyIndicators!A:A,0))</f>
        <v>135.51</v>
      </c>
      <c r="J1000">
        <f t="shared" si="1031"/>
        <v>1</v>
      </c>
      <c r="K1000">
        <f>ROUND(INDEX(Economic!AF:AF,MATCH(EOMONTH($A1000,-1),Economic!A:A,0)),2)</f>
        <v>146.80000000000001</v>
      </c>
      <c r="L1000" s="11">
        <f t="shared" si="1040"/>
        <v>3</v>
      </c>
      <c r="M1000">
        <f>ROUND(INDEX(Manufacturing!P:P,MATCH(EOMONTH($A1000,-1),Manufacturing!A:A,0)),2)</f>
        <v>104.4</v>
      </c>
      <c r="N1000">
        <f t="shared" si="1036"/>
        <v>2</v>
      </c>
      <c r="O1000">
        <f>ROUND(INDEX(Housing!AC:AC,MATCH(EOMONTH($A1000,-1),Housing!B:B,0)),2)</f>
        <v>135.38999999999999</v>
      </c>
      <c r="P1000">
        <f t="shared" si="1037"/>
        <v>2</v>
      </c>
      <c r="Q1000">
        <f>ROUND(INDEX(Spending!AJ:AJ,MATCH(EOMONTH($A1000,-1),Spending!B:B,0)),2)</f>
        <v>60.29</v>
      </c>
      <c r="R1000">
        <f t="shared" si="1041"/>
        <v>2</v>
      </c>
      <c r="S1000">
        <f>ROUND(INDEX(Employment!V:V,MATCH(EOMONTH($A1000,-1),Employment!A:A,0)),2)</f>
        <v>183.96</v>
      </c>
      <c r="T1000" s="11">
        <f t="shared" si="1038"/>
        <v>2</v>
      </c>
      <c r="U1000">
        <f t="shared" si="1030"/>
        <v>28</v>
      </c>
      <c r="V1000">
        <f t="shared" si="1022"/>
        <v>84.97</v>
      </c>
      <c r="W1000" s="13">
        <f t="shared" si="1023"/>
        <v>6.7000000000000002E-3</v>
      </c>
      <c r="X1000" s="13">
        <f t="shared" si="1024"/>
        <v>3.8E-3</v>
      </c>
      <c r="Y1000">
        <f t="shared" si="1016"/>
        <v>71.23</v>
      </c>
      <c r="Z1000" s="13">
        <f t="shared" si="1011"/>
        <v>1.0200000000000001E-2</v>
      </c>
      <c r="AA1000" s="13">
        <f t="shared" si="1006"/>
        <v>1.32E-2</v>
      </c>
      <c r="AB1000" s="6">
        <f t="shared" si="1017"/>
        <v>67.48</v>
      </c>
      <c r="AC1000">
        <f t="shared" si="1009"/>
        <v>34</v>
      </c>
      <c r="AD1000" s="11">
        <f t="shared" si="1010"/>
        <v>0</v>
      </c>
      <c r="AE1000">
        <f t="shared" si="1008"/>
        <v>30</v>
      </c>
      <c r="AF1000">
        <f>IF(AND(AE1000&lt;15,OR(AC1000&gt;=30,AA1000&gt;0.15,X1000&gt;=0.15)),2,VLOOKUP(AE1000,Table!P:Q,2,FALSE))</f>
        <v>4</v>
      </c>
      <c r="AG1000" s="22">
        <f>IF((AB1000*0.98)-(D1000*0.8)+((AF1000-3)*3)+VLOOKUP(AM1000,Table!$A$11:$B$13,2,FALSE)&lt;0,0,(AB1000*0.98)-(D1000*0.8)+((AF1000-3)*3)+VLOOKUP(AM1000,Table!$A$11:$B$13,2,FALSE))</f>
        <v>59.722400000000007</v>
      </c>
      <c r="AH1000" s="22">
        <f t="shared" si="1039"/>
        <v>57</v>
      </c>
      <c r="AI1000" s="18">
        <f t="shared" si="1032"/>
        <v>4.46</v>
      </c>
      <c r="AJ1000" s="18">
        <f t="shared" si="1033"/>
        <v>4.38</v>
      </c>
      <c r="AK1000" t="str">
        <f t="shared" si="1018"/>
        <v>Rising Rates</v>
      </c>
      <c r="AL1000">
        <f t="shared" si="1029"/>
        <v>28.5</v>
      </c>
      <c r="AM1000" s="11" t="str">
        <f t="shared" si="1019"/>
        <v>Stocks</v>
      </c>
      <c r="AN1000" t="str">
        <f t="shared" si="1025"/>
        <v>Buy</v>
      </c>
      <c r="AO1000" s="13">
        <f t="shared" si="1026"/>
        <v>8.6999999999999994E-3</v>
      </c>
      <c r="AP1000" s="13">
        <f t="shared" si="1027"/>
        <v>8.9999999999999998E-4</v>
      </c>
      <c r="AQ1000" s="13">
        <f t="shared" si="1028"/>
        <v>5.3E-3</v>
      </c>
      <c r="AR1000" s="13">
        <f t="shared" si="1020"/>
        <v>8.6999999999999994E-3</v>
      </c>
      <c r="AS1000" s="6">
        <f t="shared" si="1012"/>
        <v>346.27018610587658</v>
      </c>
      <c r="AT1000" s="6">
        <f t="shared" si="1013"/>
        <v>138.59049720901174</v>
      </c>
      <c r="AU1000" s="6">
        <f t="shared" si="1014"/>
        <v>289.72912264677069</v>
      </c>
      <c r="AV1000" s="6">
        <f t="shared" si="1015"/>
        <v>346.27018610587658</v>
      </c>
      <c r="AW1000" s="58">
        <f t="shared" si="1021"/>
        <v>1999</v>
      </c>
      <c r="AX1000" s="58">
        <f>COUNTIF(AW$3:AW1000,AW1000)</f>
        <v>26</v>
      </c>
    </row>
    <row r="1001" spans="1:50" x14ac:dyDescent="0.25">
      <c r="A1001" s="5">
        <v>36338</v>
      </c>
      <c r="B1001">
        <v>1315.31</v>
      </c>
      <c r="C1001">
        <v>4.6100000000000003</v>
      </c>
      <c r="D1001" s="6">
        <v>21.75</v>
      </c>
      <c r="E1001" s="18">
        <f t="shared" si="1034"/>
        <v>23.69</v>
      </c>
      <c r="F1001">
        <f t="shared" si="1035"/>
        <v>-1</v>
      </c>
      <c r="G1001" s="18">
        <f>ROUND(INDEX(Valuation!U:U,MATCH(A1001,Valuation!A:A,0)),2)</f>
        <v>0</v>
      </c>
      <c r="H1001">
        <f t="shared" si="1042"/>
        <v>-3</v>
      </c>
      <c r="I1001" s="18">
        <f>INDEX(WeeklyIndicators!Y:Y,MATCH(A1001,WeeklyIndicators!A:A,0))</f>
        <v>127.74</v>
      </c>
      <c r="J1001">
        <f t="shared" si="1031"/>
        <v>0</v>
      </c>
      <c r="K1001">
        <f>ROUND(INDEX(Economic!AF:AF,MATCH(EOMONTH($A1001,-1),Economic!A:A,0)),2)</f>
        <v>146.66</v>
      </c>
      <c r="L1001" s="11">
        <f t="shared" si="1040"/>
        <v>3</v>
      </c>
      <c r="M1001">
        <f>ROUND(INDEX(Manufacturing!P:P,MATCH(EOMONTH($A1001,-1),Manufacturing!A:A,0)),2)</f>
        <v>104.48</v>
      </c>
      <c r="N1001">
        <f t="shared" si="1036"/>
        <v>2</v>
      </c>
      <c r="O1001">
        <f>ROUND(INDEX(Housing!AC:AC,MATCH(EOMONTH($A1001,-1),Housing!B:B,0)),2)</f>
        <v>138.46</v>
      </c>
      <c r="P1001">
        <f t="shared" si="1037"/>
        <v>2</v>
      </c>
      <c r="Q1001">
        <f>ROUND(INDEX(Spending!AJ:AJ,MATCH(EOMONTH($A1001,-1),Spending!B:B,0)),2)</f>
        <v>59.15</v>
      </c>
      <c r="R1001">
        <f t="shared" si="1041"/>
        <v>1</v>
      </c>
      <c r="S1001">
        <f>ROUND(INDEX(Employment!V:V,MATCH(EOMONTH($A1001,-1),Employment!A:A,0)),2)</f>
        <v>179.57</v>
      </c>
      <c r="T1001" s="11">
        <f t="shared" si="1038"/>
        <v>2</v>
      </c>
      <c r="U1001">
        <f t="shared" si="1030"/>
        <v>26</v>
      </c>
      <c r="V1001">
        <f t="shared" si="1022"/>
        <v>83.89</v>
      </c>
      <c r="W1001" s="13">
        <f t="shared" si="1023"/>
        <v>2.2000000000000001E-3</v>
      </c>
      <c r="X1001" s="13">
        <f t="shared" si="1024"/>
        <v>-3.1999999999999997E-3</v>
      </c>
      <c r="Y1001">
        <f t="shared" si="1016"/>
        <v>69.959999999999994</v>
      </c>
      <c r="Z1001" s="13">
        <f t="shared" si="1011"/>
        <v>5.7999999999999996E-3</v>
      </c>
      <c r="AA1001" s="13">
        <f t="shared" si="1006"/>
        <v>6.9999999999999967E-4</v>
      </c>
      <c r="AB1001" s="6">
        <f t="shared" si="1017"/>
        <v>65.27</v>
      </c>
      <c r="AC1001">
        <f t="shared" si="1009"/>
        <v>33</v>
      </c>
      <c r="AD1001" s="11">
        <f t="shared" si="1010"/>
        <v>0</v>
      </c>
      <c r="AE1001">
        <f t="shared" si="1008"/>
        <v>28</v>
      </c>
      <c r="AF1001">
        <f>IF(AND(AE1001&lt;15,OR(AC1001&gt;=30,AA1001&gt;0.15,X1001&gt;=0.15)),2,VLOOKUP(AE1001,Table!P:Q,2,FALSE))</f>
        <v>4</v>
      </c>
      <c r="AG1001" s="22">
        <f>IF((AB1001*0.98)-(D1001*0.8)+((AF1001-3)*3)+VLOOKUP(AM1001,Table!$A$11:$B$13,2,FALSE)&lt;0,0,(AB1001*0.98)-(D1001*0.8)+((AF1001-3)*3)+VLOOKUP(AM1001,Table!$A$11:$B$13,2,FALSE))</f>
        <v>57.564599999999999</v>
      </c>
      <c r="AH1001" s="22">
        <f t="shared" si="1039"/>
        <v>55</v>
      </c>
      <c r="AI1001" s="18">
        <f t="shared" si="1032"/>
        <v>4.4400000000000004</v>
      </c>
      <c r="AJ1001" s="18">
        <f t="shared" si="1033"/>
        <v>4.37</v>
      </c>
      <c r="AK1001" t="str">
        <f t="shared" si="1018"/>
        <v>Rising Rates</v>
      </c>
      <c r="AL1001">
        <f t="shared" si="1029"/>
        <v>27.75</v>
      </c>
      <c r="AM1001" s="11" t="str">
        <f t="shared" si="1019"/>
        <v>Stocks</v>
      </c>
      <c r="AN1001" t="str">
        <f t="shared" si="1025"/>
        <v>Buy</v>
      </c>
      <c r="AO1001" s="13">
        <f t="shared" si="1026"/>
        <v>5.7700000000000001E-2</v>
      </c>
      <c r="AP1001" s="13">
        <f t="shared" si="1027"/>
        <v>8.9999999999999998E-4</v>
      </c>
      <c r="AQ1001" s="13">
        <f t="shared" si="1028"/>
        <v>3.2099999999999997E-2</v>
      </c>
      <c r="AR1001" s="13">
        <f t="shared" si="1020"/>
        <v>5.7700000000000001E-2</v>
      </c>
      <c r="AS1001" s="6">
        <f t="shared" si="1012"/>
        <v>327.38034046126177</v>
      </c>
      <c r="AT1001" s="6">
        <f t="shared" si="1013"/>
        <v>138.46587791888476</v>
      </c>
      <c r="AU1001" s="6">
        <f t="shared" si="1014"/>
        <v>280.71807251891357</v>
      </c>
      <c r="AV1001" s="6">
        <f t="shared" si="1015"/>
        <v>327.38034046126177</v>
      </c>
      <c r="AW1001" s="58">
        <f t="shared" si="1021"/>
        <v>1999</v>
      </c>
      <c r="AX1001" s="58">
        <f>COUNTIF(AW$3:AW1001,AW1001)</f>
        <v>27</v>
      </c>
    </row>
    <row r="1002" spans="1:50" x14ac:dyDescent="0.25">
      <c r="A1002" s="5">
        <v>36331</v>
      </c>
      <c r="B1002">
        <v>1342.84</v>
      </c>
      <c r="C1002">
        <v>4.5599999999999996</v>
      </c>
      <c r="D1002" s="6">
        <v>25.9</v>
      </c>
      <c r="E1002" s="18">
        <f t="shared" si="1034"/>
        <v>24.91</v>
      </c>
      <c r="F1002">
        <f t="shared" si="1035"/>
        <v>-1</v>
      </c>
      <c r="G1002" s="18">
        <f>ROUND(INDEX(Valuation!U:U,MATCH(A1002,Valuation!A:A,0)),2)</f>
        <v>0</v>
      </c>
      <c r="H1002">
        <f t="shared" si="1042"/>
        <v>-3</v>
      </c>
      <c r="I1002" s="18">
        <f>INDEX(WeeklyIndicators!Y:Y,MATCH(A1002,WeeklyIndicators!A:A,0))</f>
        <v>123.04</v>
      </c>
      <c r="J1002">
        <f t="shared" si="1031"/>
        <v>0</v>
      </c>
      <c r="K1002">
        <f>ROUND(INDEX(Economic!AF:AF,MATCH(EOMONTH($A1002,-1),Economic!A:A,0)),2)</f>
        <v>146.66</v>
      </c>
      <c r="L1002" s="11">
        <f t="shared" si="1040"/>
        <v>3</v>
      </c>
      <c r="M1002">
        <f>ROUND(INDEX(Manufacturing!P:P,MATCH(EOMONTH($A1002,-1),Manufacturing!A:A,0)),2)</f>
        <v>104.48</v>
      </c>
      <c r="N1002">
        <f t="shared" si="1036"/>
        <v>2</v>
      </c>
      <c r="O1002">
        <f>ROUND(INDEX(Housing!AC:AC,MATCH(EOMONTH($A1002,-1),Housing!B:B,0)),2)</f>
        <v>138.46</v>
      </c>
      <c r="P1002">
        <f t="shared" si="1037"/>
        <v>2</v>
      </c>
      <c r="Q1002">
        <f>ROUND(INDEX(Spending!AJ:AJ,MATCH(EOMONTH($A1002,-1),Spending!B:B,0)),2)</f>
        <v>59.15</v>
      </c>
      <c r="R1002">
        <f t="shared" si="1041"/>
        <v>1</v>
      </c>
      <c r="S1002">
        <f>ROUND(INDEX(Employment!V:V,MATCH(EOMONTH($A1002,-1),Employment!A:A,0)),2)</f>
        <v>179.57</v>
      </c>
      <c r="T1002" s="11">
        <f t="shared" si="1038"/>
        <v>2</v>
      </c>
      <c r="U1002">
        <f t="shared" si="1030"/>
        <v>26</v>
      </c>
      <c r="V1002">
        <f t="shared" si="1022"/>
        <v>83.4</v>
      </c>
      <c r="W1002" s="13">
        <f t="shared" si="1023"/>
        <v>-2.5999999999999999E-3</v>
      </c>
      <c r="X1002" s="13">
        <f t="shared" si="1024"/>
        <v>-1.2000000000000005E-3</v>
      </c>
      <c r="Y1002">
        <f t="shared" si="1016"/>
        <v>69.05</v>
      </c>
      <c r="Z1002" s="13">
        <f t="shared" si="1011"/>
        <v>-2E-3</v>
      </c>
      <c r="AA1002" s="13">
        <f t="shared" si="1006"/>
        <v>-2.9000000000000002E-3</v>
      </c>
      <c r="AB1002" s="6">
        <f t="shared" si="1017"/>
        <v>64.12</v>
      </c>
      <c r="AC1002">
        <f t="shared" si="1009"/>
        <v>32</v>
      </c>
      <c r="AD1002" s="11">
        <f t="shared" si="1010"/>
        <v>0</v>
      </c>
      <c r="AE1002">
        <f t="shared" si="1008"/>
        <v>28</v>
      </c>
      <c r="AF1002">
        <f>IF(AND(AE1002&lt;15,OR(AC1002&gt;=30,AA1002&gt;0.15,X1002&gt;=0.15)),2,VLOOKUP(AE1002,Table!P:Q,2,FALSE))</f>
        <v>4</v>
      </c>
      <c r="AG1002" s="22">
        <f>IF((AB1002*0.98)-(D1002*0.8)+((AF1002-3)*3)+VLOOKUP(AM1002,Table!$A$11:$B$13,2,FALSE)&lt;0,0,(AB1002*0.98)-(D1002*0.8)+((AF1002-3)*3)+VLOOKUP(AM1002,Table!$A$11:$B$13,2,FALSE))</f>
        <v>53.117600000000003</v>
      </c>
      <c r="AH1002" s="22">
        <f t="shared" si="1039"/>
        <v>54</v>
      </c>
      <c r="AI1002" s="18">
        <f t="shared" si="1032"/>
        <v>4.42</v>
      </c>
      <c r="AJ1002" s="18">
        <f t="shared" si="1033"/>
        <v>4.3600000000000003</v>
      </c>
      <c r="AK1002" t="str">
        <f t="shared" si="1018"/>
        <v>Rising Rates</v>
      </c>
      <c r="AL1002">
        <f t="shared" si="1029"/>
        <v>27.75</v>
      </c>
      <c r="AM1002" s="11" t="str">
        <f t="shared" si="1019"/>
        <v>Stocks</v>
      </c>
      <c r="AN1002" t="str">
        <f t="shared" si="1025"/>
        <v>Buy</v>
      </c>
      <c r="AO1002" s="13">
        <f t="shared" si="1026"/>
        <v>-2.0500000000000001E-2</v>
      </c>
      <c r="AP1002" s="13">
        <f t="shared" si="1027"/>
        <v>8.9999999999999998E-4</v>
      </c>
      <c r="AQ1002" s="13">
        <f t="shared" si="1028"/>
        <v>-1.0699999999999999E-2</v>
      </c>
      <c r="AR1002" s="13">
        <f t="shared" si="1020"/>
        <v>-2.0500000000000001E-2</v>
      </c>
      <c r="AS1002" s="6">
        <f t="shared" si="1012"/>
        <v>334.2320984801039</v>
      </c>
      <c r="AT1002" s="6">
        <f t="shared" si="1013"/>
        <v>138.34137068526803</v>
      </c>
      <c r="AU1002" s="6">
        <f t="shared" si="1014"/>
        <v>283.75424291813766</v>
      </c>
      <c r="AV1002" s="6">
        <f t="shared" si="1015"/>
        <v>334.2320984801039</v>
      </c>
      <c r="AW1002" s="58">
        <f t="shared" si="1021"/>
        <v>1999</v>
      </c>
      <c r="AX1002" s="58">
        <f>COUNTIF(AW$3:AW1002,AW1002)</f>
        <v>28</v>
      </c>
    </row>
    <row r="1003" spans="1:50" x14ac:dyDescent="0.25">
      <c r="A1003" s="5">
        <v>36324</v>
      </c>
      <c r="B1003">
        <v>1293.6400000000001</v>
      </c>
      <c r="C1003">
        <v>4.5</v>
      </c>
      <c r="D1003" s="6">
        <v>23.43</v>
      </c>
      <c r="E1003" s="18">
        <f t="shared" si="1034"/>
        <v>24.41</v>
      </c>
      <c r="F1003">
        <f t="shared" si="1035"/>
        <v>-1</v>
      </c>
      <c r="G1003" s="18">
        <f>ROUND(INDEX(Valuation!U:U,MATCH(A1003,Valuation!A:A,0)),2)</f>
        <v>0</v>
      </c>
      <c r="H1003">
        <f t="shared" si="1042"/>
        <v>-3</v>
      </c>
      <c r="I1003" s="18">
        <f>INDEX(WeeklyIndicators!Y:Y,MATCH(A1003,WeeklyIndicators!A:A,0))</f>
        <v>121.86</v>
      </c>
      <c r="J1003">
        <f t="shared" si="1031"/>
        <v>0</v>
      </c>
      <c r="K1003">
        <f>ROUND(INDEX(Economic!AF:AF,MATCH(EOMONTH($A1003,-1),Economic!A:A,0)),2)</f>
        <v>146.66</v>
      </c>
      <c r="L1003" s="11">
        <f t="shared" si="1040"/>
        <v>3</v>
      </c>
      <c r="M1003">
        <f>ROUND(INDEX(Manufacturing!P:P,MATCH(EOMONTH($A1003,-1),Manufacturing!A:A,0)),2)</f>
        <v>104.48</v>
      </c>
      <c r="N1003">
        <f t="shared" si="1036"/>
        <v>2</v>
      </c>
      <c r="O1003">
        <f>ROUND(INDEX(Housing!AC:AC,MATCH(EOMONTH($A1003,-1),Housing!B:B,0)),2)</f>
        <v>138.46</v>
      </c>
      <c r="P1003">
        <f t="shared" si="1037"/>
        <v>2</v>
      </c>
      <c r="Q1003">
        <f>ROUND(INDEX(Spending!AJ:AJ,MATCH(EOMONTH($A1003,-1),Spending!B:B,0)),2)</f>
        <v>59.15</v>
      </c>
      <c r="R1003">
        <f t="shared" si="1041"/>
        <v>1</v>
      </c>
      <c r="S1003">
        <f>ROUND(INDEX(Employment!V:V,MATCH(EOMONTH($A1003,-1),Employment!A:A,0)),2)</f>
        <v>179.57</v>
      </c>
      <c r="T1003" s="11">
        <f t="shared" si="1038"/>
        <v>2</v>
      </c>
      <c r="U1003">
        <f t="shared" si="1030"/>
        <v>26</v>
      </c>
      <c r="V1003">
        <f t="shared" si="1022"/>
        <v>83.28</v>
      </c>
      <c r="W1003" s="13">
        <f t="shared" si="1023"/>
        <v>-2.5000000000000001E-3</v>
      </c>
      <c r="X1003" s="13">
        <f t="shared" si="1024"/>
        <v>5.2999999999999992E-3</v>
      </c>
      <c r="Y1003">
        <f t="shared" si="1016"/>
        <v>69.099999999999994</v>
      </c>
      <c r="Z1003" s="13">
        <f t="shared" si="1011"/>
        <v>-8.0000000000000004E-4</v>
      </c>
      <c r="AA1003" s="13">
        <f t="shared" si="1006"/>
        <v>-1.1999999999999997E-3</v>
      </c>
      <c r="AB1003" s="6">
        <f t="shared" si="1017"/>
        <v>64.349999999999994</v>
      </c>
      <c r="AC1003">
        <f t="shared" si="1009"/>
        <v>32</v>
      </c>
      <c r="AD1003" s="11">
        <f t="shared" si="1010"/>
        <v>0</v>
      </c>
      <c r="AE1003">
        <f t="shared" si="1008"/>
        <v>28</v>
      </c>
      <c r="AF1003">
        <f>IF(AND(AE1003&lt;15,OR(AC1003&gt;=30,AA1003&gt;0.15,X1003&gt;=0.15)),2,VLOOKUP(AE1003,Table!P:Q,2,FALSE))</f>
        <v>4</v>
      </c>
      <c r="AG1003" s="22">
        <f>IF((AB1003*0.98)-(D1003*0.8)+((AF1003-3)*3)+VLOOKUP(AM1003,Table!$A$11:$B$13,2,FALSE)&lt;0,0,(AB1003*0.98)-(D1003*0.8)+((AF1003-3)*3)+VLOOKUP(AM1003,Table!$A$11:$B$13,2,FALSE))</f>
        <v>55.318999999999996</v>
      </c>
      <c r="AH1003" s="22">
        <f t="shared" si="1039"/>
        <v>55</v>
      </c>
      <c r="AI1003" s="18">
        <f t="shared" si="1032"/>
        <v>4.41</v>
      </c>
      <c r="AJ1003" s="18">
        <f t="shared" si="1033"/>
        <v>4.37</v>
      </c>
      <c r="AK1003" t="str">
        <f t="shared" si="1018"/>
        <v/>
      </c>
      <c r="AL1003">
        <f t="shared" si="1029"/>
        <v>27.75</v>
      </c>
      <c r="AM1003" s="11" t="str">
        <f t="shared" si="1019"/>
        <v>Stocks</v>
      </c>
      <c r="AN1003" t="str">
        <f t="shared" si="1025"/>
        <v>Buy</v>
      </c>
      <c r="AO1003" s="13">
        <f t="shared" si="1026"/>
        <v>3.7999999999999999E-2</v>
      </c>
      <c r="AP1003" s="13">
        <f t="shared" si="1027"/>
        <v>8.9999999999999998E-4</v>
      </c>
      <c r="AQ1003" s="13">
        <f t="shared" si="1028"/>
        <v>2.1299999999999999E-2</v>
      </c>
      <c r="AR1003" s="13">
        <f t="shared" si="1020"/>
        <v>3.7999999999999999E-2</v>
      </c>
      <c r="AS1003" s="6">
        <f t="shared" si="1012"/>
        <v>321.99624131031203</v>
      </c>
      <c r="AT1003" s="6">
        <f t="shared" si="1013"/>
        <v>138.21697540740138</v>
      </c>
      <c r="AU1003" s="6">
        <f t="shared" si="1014"/>
        <v>277.83632910813435</v>
      </c>
      <c r="AV1003" s="6">
        <f t="shared" si="1015"/>
        <v>321.99624131031203</v>
      </c>
      <c r="AW1003" s="58">
        <f t="shared" si="1021"/>
        <v>1999</v>
      </c>
      <c r="AX1003" s="58">
        <f>COUNTIF(AW$3:AW1003,AW1003)</f>
        <v>29</v>
      </c>
    </row>
    <row r="1004" spans="1:50" x14ac:dyDescent="0.25">
      <c r="A1004" s="5">
        <v>36317</v>
      </c>
      <c r="B1004">
        <v>1327.75</v>
      </c>
      <c r="C1004">
        <v>4.53</v>
      </c>
      <c r="D1004" s="6">
        <v>25.389999</v>
      </c>
      <c r="E1004" s="18">
        <f t="shared" si="1034"/>
        <v>25.55</v>
      </c>
      <c r="F1004">
        <f t="shared" si="1035"/>
        <v>-2</v>
      </c>
      <c r="G1004" s="18">
        <f>ROUND(INDEX(Valuation!U:U,MATCH(A1004,Valuation!A:A,0)),2)</f>
        <v>0</v>
      </c>
      <c r="H1004">
        <f t="shared" si="1042"/>
        <v>-3</v>
      </c>
      <c r="I1004" s="18">
        <f>INDEX(WeeklyIndicators!Y:Y,MATCH(A1004,WeeklyIndicators!A:A,0))</f>
        <v>122.49</v>
      </c>
      <c r="J1004">
        <f t="shared" si="1031"/>
        <v>0</v>
      </c>
      <c r="K1004">
        <f>ROUND(INDEX(Economic!AF:AF,MATCH(EOMONTH($A1004,-1),Economic!A:A,0)),2)</f>
        <v>146.66</v>
      </c>
      <c r="L1004" s="11">
        <f t="shared" si="1040"/>
        <v>3</v>
      </c>
      <c r="M1004">
        <f>ROUND(INDEX(Manufacturing!P:P,MATCH(EOMONTH($A1004,-1),Manufacturing!A:A,0)),2)</f>
        <v>104.48</v>
      </c>
      <c r="N1004">
        <f t="shared" si="1036"/>
        <v>2</v>
      </c>
      <c r="O1004">
        <f>ROUND(INDEX(Housing!AC:AC,MATCH(EOMONTH($A1004,-1),Housing!B:B,0)),2)</f>
        <v>138.46</v>
      </c>
      <c r="P1004">
        <f t="shared" si="1037"/>
        <v>2</v>
      </c>
      <c r="Q1004">
        <f>ROUND(INDEX(Spending!AJ:AJ,MATCH(EOMONTH($A1004,-1),Spending!B:B,0)),2)</f>
        <v>59.15</v>
      </c>
      <c r="R1004">
        <f t="shared" si="1041"/>
        <v>1</v>
      </c>
      <c r="S1004">
        <f>ROUND(INDEX(Employment!V:V,MATCH(EOMONTH($A1004,-1),Employment!A:A,0)),2)</f>
        <v>179.57</v>
      </c>
      <c r="T1004" s="11">
        <f t="shared" si="1038"/>
        <v>2</v>
      </c>
      <c r="U1004">
        <f t="shared" si="1030"/>
        <v>25</v>
      </c>
      <c r="V1004">
        <f t="shared" si="1022"/>
        <v>83.35</v>
      </c>
      <c r="W1004" s="13">
        <f t="shared" si="1023"/>
        <v>-2.9999999999999997E-4</v>
      </c>
      <c r="X1004" s="13">
        <f t="shared" si="1024"/>
        <v>1.0199999999999999E-2</v>
      </c>
      <c r="Y1004">
        <f t="shared" si="1016"/>
        <v>68.77</v>
      </c>
      <c r="Z1004" s="13">
        <f t="shared" si="1011"/>
        <v>-2.3E-3</v>
      </c>
      <c r="AA1004" s="13">
        <f t="shared" si="1006"/>
        <v>-5.9999999999999984E-4</v>
      </c>
      <c r="AB1004" s="6">
        <f t="shared" si="1017"/>
        <v>64.11</v>
      </c>
      <c r="AC1004">
        <f t="shared" si="1009"/>
        <v>32</v>
      </c>
      <c r="AD1004" s="11">
        <f t="shared" si="1010"/>
        <v>0</v>
      </c>
      <c r="AE1004">
        <f t="shared" si="1008"/>
        <v>27</v>
      </c>
      <c r="AF1004">
        <f>IF(AND(AE1004&lt;15,OR(AC1004&gt;=30,AA1004&gt;0.15,X1004&gt;=0.15)),2,VLOOKUP(AE1004,Table!P:Q,2,FALSE))</f>
        <v>4</v>
      </c>
      <c r="AG1004" s="22">
        <f>IF((AB1004*0.98)-(D1004*0.8)+((AF1004-3)*3)+VLOOKUP(AM1004,Table!$A$11:$B$13,2,FALSE)&lt;0,0,(AB1004*0.98)-(D1004*0.8)+((AF1004-3)*3)+VLOOKUP(AM1004,Table!$A$11:$B$13,2,FALSE))</f>
        <v>53.515800799999994</v>
      </c>
      <c r="AH1004" s="22">
        <f t="shared" si="1039"/>
        <v>54</v>
      </c>
      <c r="AI1004" s="18">
        <f t="shared" si="1032"/>
        <v>4.41</v>
      </c>
      <c r="AJ1004" s="18">
        <f t="shared" si="1033"/>
        <v>4.37</v>
      </c>
      <c r="AK1004" t="str">
        <f t="shared" si="1018"/>
        <v>Rising Rates</v>
      </c>
      <c r="AL1004">
        <f t="shared" si="1029"/>
        <v>27.75</v>
      </c>
      <c r="AM1004" s="11" t="str">
        <f t="shared" si="1019"/>
        <v>Stocks</v>
      </c>
      <c r="AN1004" t="str">
        <f t="shared" si="1025"/>
        <v>Buy</v>
      </c>
      <c r="AO1004" s="13">
        <f t="shared" si="1026"/>
        <v>-2.5700000000000001E-2</v>
      </c>
      <c r="AP1004" s="13">
        <f t="shared" si="1027"/>
        <v>8.9999999999999998E-4</v>
      </c>
      <c r="AQ1004" s="13">
        <f t="shared" si="1028"/>
        <v>-1.35E-2</v>
      </c>
      <c r="AR1004" s="13">
        <f t="shared" si="1020"/>
        <v>-2.5700000000000001E-2</v>
      </c>
      <c r="AS1004" s="6">
        <f t="shared" si="1012"/>
        <v>330.48982993976398</v>
      </c>
      <c r="AT1004" s="6">
        <f t="shared" si="1013"/>
        <v>138.09269198461524</v>
      </c>
      <c r="AU1004" s="6">
        <f t="shared" si="1014"/>
        <v>281.63844815827099</v>
      </c>
      <c r="AV1004" s="6">
        <f t="shared" si="1015"/>
        <v>330.48982993976398</v>
      </c>
      <c r="AW1004" s="58">
        <f t="shared" si="1021"/>
        <v>1999</v>
      </c>
      <c r="AX1004" s="58">
        <f>COUNTIF(AW$3:AW1004,AW1004)</f>
        <v>30</v>
      </c>
    </row>
    <row r="1005" spans="1:50" x14ac:dyDescent="0.25">
      <c r="A1005" s="5">
        <v>36310</v>
      </c>
      <c r="B1005">
        <v>1301.8399999999999</v>
      </c>
      <c r="C1005">
        <v>4.5199999999999996</v>
      </c>
      <c r="D1005" s="6">
        <v>24.4</v>
      </c>
      <c r="E1005" s="18">
        <f t="shared" si="1034"/>
        <v>25.54</v>
      </c>
      <c r="F1005">
        <f t="shared" si="1035"/>
        <v>-2</v>
      </c>
      <c r="G1005" s="18">
        <f>ROUND(INDEX(Valuation!U:U,MATCH(A1005,Valuation!A:A,0)),2)</f>
        <v>0</v>
      </c>
      <c r="H1005">
        <f t="shared" si="1042"/>
        <v>-3</v>
      </c>
      <c r="I1005" s="18">
        <f>INDEX(WeeklyIndicators!Y:Y,MATCH(A1005,WeeklyIndicators!A:A,0))</f>
        <v>123.28</v>
      </c>
      <c r="J1005">
        <f t="shared" si="1031"/>
        <v>0</v>
      </c>
      <c r="K1005">
        <f>ROUND(INDEX(Economic!AF:AF,MATCH(EOMONTH($A1005,-1),Economic!A:A,0)),2)</f>
        <v>146.41999999999999</v>
      </c>
      <c r="L1005" s="11">
        <f t="shared" si="1040"/>
        <v>3</v>
      </c>
      <c r="M1005">
        <f>ROUND(INDEX(Manufacturing!P:P,MATCH(EOMONTH($A1005,-1),Manufacturing!A:A,0)),2)</f>
        <v>105.44</v>
      </c>
      <c r="N1005">
        <f t="shared" si="1036"/>
        <v>2</v>
      </c>
      <c r="O1005">
        <f>ROUND(INDEX(Housing!AC:AC,MATCH(EOMONTH($A1005,-1),Housing!B:B,0)),2)</f>
        <v>141.47</v>
      </c>
      <c r="P1005">
        <f t="shared" si="1037"/>
        <v>3</v>
      </c>
      <c r="Q1005">
        <f>ROUND(INDEX(Spending!AJ:AJ,MATCH(EOMONTH($A1005,-1),Spending!B:B,0)),2)</f>
        <v>59.77</v>
      </c>
      <c r="R1005">
        <f t="shared" si="1041"/>
        <v>1</v>
      </c>
      <c r="S1005">
        <f>ROUND(INDEX(Employment!V:V,MATCH(EOMONTH($A1005,-1),Employment!A:A,0)),2)</f>
        <v>182.64</v>
      </c>
      <c r="T1005" s="11">
        <f t="shared" si="1038"/>
        <v>2</v>
      </c>
      <c r="U1005">
        <f t="shared" si="1030"/>
        <v>26</v>
      </c>
      <c r="V1005">
        <f t="shared" si="1022"/>
        <v>84.05</v>
      </c>
      <c r="W1005" s="13">
        <f t="shared" si="1023"/>
        <v>4.1999999999999997E-3</v>
      </c>
      <c r="X1005" s="13">
        <f t="shared" si="1024"/>
        <v>9.7999999999999997E-3</v>
      </c>
      <c r="Y1005">
        <f t="shared" si="1016"/>
        <v>69.47</v>
      </c>
      <c r="Z1005" s="13">
        <f t="shared" si="1011"/>
        <v>2.2000000000000001E-3</v>
      </c>
      <c r="AA1005" s="13">
        <f t="shared" si="1006"/>
        <v>-1.2999999999999999E-3</v>
      </c>
      <c r="AB1005" s="6">
        <f t="shared" si="1017"/>
        <v>64.78</v>
      </c>
      <c r="AC1005">
        <f t="shared" si="1009"/>
        <v>32</v>
      </c>
      <c r="AD1005" s="11">
        <f t="shared" si="1010"/>
        <v>0</v>
      </c>
      <c r="AE1005">
        <f t="shared" si="1008"/>
        <v>28</v>
      </c>
      <c r="AF1005">
        <f>IF(AND(AE1005&lt;15,OR(AC1005&gt;=30,AA1005&gt;0.15,X1005&gt;=0.15)),2,VLOOKUP(AE1005,Table!P:Q,2,FALSE))</f>
        <v>4</v>
      </c>
      <c r="AG1005" s="22">
        <f>IF((AB1005*0.98)-(D1005*0.8)+((AF1005-3)*3)+VLOOKUP(AM1005,Table!$A$11:$B$13,2,FALSE)&lt;0,0,(AB1005*0.98)-(D1005*0.8)+((AF1005-3)*3)+VLOOKUP(AM1005,Table!$A$11:$B$13,2,FALSE))</f>
        <v>54.964399999999998</v>
      </c>
      <c r="AH1005" s="22">
        <f t="shared" si="1039"/>
        <v>54</v>
      </c>
      <c r="AI1005" s="18">
        <f t="shared" si="1032"/>
        <v>4.41</v>
      </c>
      <c r="AJ1005" s="18">
        <f t="shared" si="1033"/>
        <v>4.38</v>
      </c>
      <c r="AK1005" t="str">
        <f t="shared" si="1018"/>
        <v/>
      </c>
      <c r="AL1005">
        <f t="shared" si="1029"/>
        <v>28</v>
      </c>
      <c r="AM1005" s="11" t="str">
        <f t="shared" si="1019"/>
        <v>Stocks</v>
      </c>
      <c r="AN1005" t="str">
        <f t="shared" si="1025"/>
        <v>Buy</v>
      </c>
      <c r="AO1005" s="13">
        <f t="shared" si="1026"/>
        <v>1.9900000000000001E-2</v>
      </c>
      <c r="AP1005" s="13">
        <f t="shared" si="1027"/>
        <v>8.9999999999999998E-4</v>
      </c>
      <c r="AQ1005" s="13">
        <f t="shared" si="1028"/>
        <v>1.12E-2</v>
      </c>
      <c r="AR1005" s="13">
        <f t="shared" si="1020"/>
        <v>1.9900000000000001E-2</v>
      </c>
      <c r="AS1005" s="6">
        <f t="shared" si="1012"/>
        <v>324.04140596113734</v>
      </c>
      <c r="AT1005" s="6">
        <f t="shared" si="1013"/>
        <v>137.96852031633057</v>
      </c>
      <c r="AU1005" s="6">
        <f t="shared" si="1014"/>
        <v>278.51903496664454</v>
      </c>
      <c r="AV1005" s="6">
        <f t="shared" si="1015"/>
        <v>324.04140596113734</v>
      </c>
      <c r="AW1005" s="58">
        <f t="shared" si="1021"/>
        <v>1999</v>
      </c>
      <c r="AX1005" s="58">
        <f>COUNTIF(AW$3:AW1005,AW1005)</f>
        <v>31</v>
      </c>
    </row>
    <row r="1006" spans="1:50" x14ac:dyDescent="0.25">
      <c r="A1006" s="5">
        <v>36303</v>
      </c>
      <c r="B1006">
        <v>1330.29</v>
      </c>
      <c r="C1006">
        <v>4.51</v>
      </c>
      <c r="D1006" s="6">
        <v>26.860001</v>
      </c>
      <c r="E1006" s="18">
        <f t="shared" si="1034"/>
        <v>25.76</v>
      </c>
      <c r="F1006">
        <f t="shared" si="1035"/>
        <v>-2</v>
      </c>
      <c r="G1006" s="18">
        <f>ROUND(INDEX(Valuation!U:U,MATCH(A1006,Valuation!A:A,0)),2)</f>
        <v>0</v>
      </c>
      <c r="H1006">
        <f t="shared" si="1042"/>
        <v>-3</v>
      </c>
      <c r="I1006" s="18">
        <f>INDEX(WeeklyIndicators!Y:Y,MATCH(A1006,WeeklyIndicators!A:A,0))</f>
        <v>121.94</v>
      </c>
      <c r="J1006">
        <f t="shared" si="1031"/>
        <v>0</v>
      </c>
      <c r="K1006">
        <f>ROUND(INDEX(Economic!AF:AF,MATCH(EOMONTH($A1006,-1),Economic!A:A,0)),2)</f>
        <v>146.41999999999999</v>
      </c>
      <c r="L1006" s="11">
        <f t="shared" si="1040"/>
        <v>3</v>
      </c>
      <c r="M1006">
        <f>ROUND(INDEX(Manufacturing!P:P,MATCH(EOMONTH($A1006,-1),Manufacturing!A:A,0)),2)</f>
        <v>105.44</v>
      </c>
      <c r="N1006">
        <f t="shared" si="1036"/>
        <v>2</v>
      </c>
      <c r="O1006">
        <f>ROUND(INDEX(Housing!AC:AC,MATCH(EOMONTH($A1006,-1),Housing!B:B,0)),2)</f>
        <v>141.47</v>
      </c>
      <c r="P1006">
        <f t="shared" si="1037"/>
        <v>3</v>
      </c>
      <c r="Q1006">
        <f>ROUND(INDEX(Spending!AJ:AJ,MATCH(EOMONTH($A1006,-1),Spending!B:B,0)),2)</f>
        <v>59.77</v>
      </c>
      <c r="R1006">
        <f t="shared" si="1041"/>
        <v>1</v>
      </c>
      <c r="S1006">
        <f>ROUND(INDEX(Employment!V:V,MATCH(EOMONTH($A1006,-1),Employment!A:A,0)),2)</f>
        <v>182.64</v>
      </c>
      <c r="T1006" s="11">
        <f t="shared" si="1038"/>
        <v>2</v>
      </c>
      <c r="U1006">
        <f t="shared" si="1030"/>
        <v>26</v>
      </c>
      <c r="V1006">
        <f t="shared" si="1022"/>
        <v>83.91</v>
      </c>
      <c r="W1006" s="13">
        <f t="shared" si="1023"/>
        <v>3.8999999999999998E-3</v>
      </c>
      <c r="X1006" s="13">
        <f t="shared" si="1024"/>
        <v>3.2000000000000002E-3</v>
      </c>
      <c r="Y1006">
        <f t="shared" si="1016"/>
        <v>69.260000000000005</v>
      </c>
      <c r="Z1006" s="13">
        <f t="shared" si="1011"/>
        <v>-2.9999999999999997E-4</v>
      </c>
      <c r="AA1006" s="13">
        <f t="shared" si="1006"/>
        <v>-5.3E-3</v>
      </c>
      <c r="AB1006" s="6">
        <f t="shared" si="1017"/>
        <v>64.23</v>
      </c>
      <c r="AC1006">
        <f t="shared" si="1009"/>
        <v>32</v>
      </c>
      <c r="AD1006" s="11">
        <f t="shared" si="1010"/>
        <v>0</v>
      </c>
      <c r="AE1006">
        <f t="shared" si="1008"/>
        <v>28</v>
      </c>
      <c r="AF1006">
        <f>IF(AND(AE1006&lt;15,OR(AC1006&gt;=30,AA1006&gt;0.15,X1006&gt;=0.15)),2,VLOOKUP(AE1006,Table!P:Q,2,FALSE))</f>
        <v>4</v>
      </c>
      <c r="AG1006" s="22">
        <f>IF((AB1006*0.98)-(D1006*0.8)+((AF1006-3)*3)+VLOOKUP(AM1006,Table!$A$11:$B$13,2,FALSE)&lt;0,0,(AB1006*0.98)-(D1006*0.8)+((AF1006-3)*3)+VLOOKUP(AM1006,Table!$A$11:$B$13,2,FALSE))</f>
        <v>52.457399199999998</v>
      </c>
      <c r="AH1006" s="22">
        <f t="shared" si="1039"/>
        <v>53</v>
      </c>
      <c r="AI1006" s="18">
        <f t="shared" si="1032"/>
        <v>4.41</v>
      </c>
      <c r="AJ1006" s="18">
        <f t="shared" si="1033"/>
        <v>4.3899999999999997</v>
      </c>
      <c r="AK1006" t="str">
        <f t="shared" si="1018"/>
        <v/>
      </c>
      <c r="AL1006">
        <f t="shared" si="1029"/>
        <v>28</v>
      </c>
      <c r="AM1006" s="11" t="str">
        <f t="shared" si="1019"/>
        <v>Stocks</v>
      </c>
      <c r="AN1006" t="str">
        <f t="shared" si="1025"/>
        <v>Buy</v>
      </c>
      <c r="AO1006" s="13">
        <f t="shared" si="1026"/>
        <v>-2.1399999999999999E-2</v>
      </c>
      <c r="AP1006" s="13">
        <f t="shared" si="1027"/>
        <v>8.9999999999999998E-4</v>
      </c>
      <c r="AQ1006" s="13">
        <f t="shared" si="1028"/>
        <v>-1.09E-2</v>
      </c>
      <c r="AR1006" s="13">
        <f t="shared" si="1020"/>
        <v>-2.1399999999999999E-2</v>
      </c>
      <c r="AS1006" s="6">
        <f t="shared" si="1012"/>
        <v>331.12753521473263</v>
      </c>
      <c r="AT1006" s="6">
        <f t="shared" si="1013"/>
        <v>137.84446030205874</v>
      </c>
      <c r="AU1006" s="6">
        <f t="shared" si="1014"/>
        <v>281.58834795940203</v>
      </c>
      <c r="AV1006" s="6">
        <f t="shared" si="1015"/>
        <v>331.12753521473263</v>
      </c>
      <c r="AW1006" s="58">
        <f t="shared" si="1021"/>
        <v>1999</v>
      </c>
      <c r="AX1006" s="58">
        <f>COUNTIF(AW$3:AW1006,AW1006)</f>
        <v>32</v>
      </c>
    </row>
    <row r="1007" spans="1:50" x14ac:dyDescent="0.25">
      <c r="A1007" s="5">
        <v>36296</v>
      </c>
      <c r="B1007">
        <v>1337.8</v>
      </c>
      <c r="C1007">
        <v>4.4800000000000004</v>
      </c>
      <c r="D1007" s="6">
        <v>25.360001</v>
      </c>
      <c r="E1007" s="18">
        <f t="shared" si="1034"/>
        <v>24.4</v>
      </c>
      <c r="F1007">
        <f t="shared" si="1035"/>
        <v>-1</v>
      </c>
      <c r="G1007" s="18">
        <f>ROUND(INDEX(Valuation!U:U,MATCH(A1007,Valuation!A:A,0)),2)</f>
        <v>0</v>
      </c>
      <c r="H1007">
        <f t="shared" si="1042"/>
        <v>-3</v>
      </c>
      <c r="I1007" s="18">
        <f>INDEX(WeeklyIndicators!Y:Y,MATCH(A1007,WeeklyIndicators!A:A,0))</f>
        <v>117.25</v>
      </c>
      <c r="J1007">
        <f t="shared" si="1031"/>
        <v>-1</v>
      </c>
      <c r="K1007">
        <f>ROUND(INDEX(Economic!AF:AF,MATCH(EOMONTH($A1007,-1),Economic!A:A,0)),2)</f>
        <v>146.41999999999999</v>
      </c>
      <c r="L1007" s="11">
        <f t="shared" si="1040"/>
        <v>3</v>
      </c>
      <c r="M1007">
        <f>ROUND(INDEX(Manufacturing!P:P,MATCH(EOMONTH($A1007,-1),Manufacturing!A:A,0)),2)</f>
        <v>105.44</v>
      </c>
      <c r="N1007">
        <f t="shared" si="1036"/>
        <v>2</v>
      </c>
      <c r="O1007">
        <f>ROUND(INDEX(Housing!AC:AC,MATCH(EOMONTH($A1007,-1),Housing!B:B,0)),2)</f>
        <v>141.47</v>
      </c>
      <c r="P1007">
        <f t="shared" si="1037"/>
        <v>3</v>
      </c>
      <c r="Q1007">
        <f>ROUND(INDEX(Spending!AJ:AJ,MATCH(EOMONTH($A1007,-1),Spending!B:B,0)),2)</f>
        <v>59.77</v>
      </c>
      <c r="R1007">
        <f t="shared" si="1041"/>
        <v>1</v>
      </c>
      <c r="S1007">
        <f>ROUND(INDEX(Employment!V:V,MATCH(EOMONTH($A1007,-1),Employment!A:A,0)),2)</f>
        <v>182.64</v>
      </c>
      <c r="T1007" s="11">
        <f t="shared" si="1038"/>
        <v>2</v>
      </c>
      <c r="U1007">
        <f t="shared" si="1030"/>
        <v>26</v>
      </c>
      <c r="V1007">
        <f t="shared" si="1022"/>
        <v>83.42</v>
      </c>
      <c r="W1007" s="13">
        <f t="shared" si="1023"/>
        <v>2.3999999999999998E-3</v>
      </c>
      <c r="X1007" s="13">
        <f t="shared" si="1024"/>
        <v>-4.8000000000000004E-3</v>
      </c>
      <c r="Y1007">
        <f t="shared" si="1016"/>
        <v>69.239999999999995</v>
      </c>
      <c r="Z1007" s="13">
        <f t="shared" si="1011"/>
        <v>-2.0000000000000001E-4</v>
      </c>
      <c r="AA1007" s="13">
        <f t="shared" si="1006"/>
        <v>-6.8999999999999999E-3</v>
      </c>
      <c r="AB1007" s="6">
        <f t="shared" si="1017"/>
        <v>64.010000000000005</v>
      </c>
      <c r="AC1007">
        <f t="shared" si="1009"/>
        <v>32</v>
      </c>
      <c r="AD1007" s="11">
        <f t="shared" si="1010"/>
        <v>0</v>
      </c>
      <c r="AE1007">
        <f t="shared" si="1008"/>
        <v>28</v>
      </c>
      <c r="AF1007">
        <f>IF(AND(AE1007&lt;15,OR(AC1007&gt;=30,AA1007&gt;0.15,X1007&gt;=0.15)),2,VLOOKUP(AE1007,Table!P:Q,2,FALSE))</f>
        <v>4</v>
      </c>
      <c r="AG1007" s="22">
        <f>IF((AB1007*0.98)-(D1007*0.8)+((AF1007-3)*3)+VLOOKUP(AM1007,Table!$A$11:$B$13,2,FALSE)&lt;0,0,(AB1007*0.98)-(D1007*0.8)+((AF1007-3)*3)+VLOOKUP(AM1007,Table!$A$11:$B$13,2,FALSE))</f>
        <v>53.441799200000005</v>
      </c>
      <c r="AH1007" s="22">
        <f t="shared" si="1039"/>
        <v>54</v>
      </c>
      <c r="AI1007" s="18">
        <f t="shared" si="1032"/>
        <v>4.4000000000000004</v>
      </c>
      <c r="AJ1007" s="18">
        <f t="shared" si="1033"/>
        <v>4.4000000000000004</v>
      </c>
      <c r="AK1007" t="str">
        <f t="shared" si="1018"/>
        <v/>
      </c>
      <c r="AL1007">
        <f t="shared" si="1029"/>
        <v>28.5</v>
      </c>
      <c r="AM1007" s="11" t="str">
        <f t="shared" si="1019"/>
        <v>Stocks</v>
      </c>
      <c r="AN1007" t="str">
        <f t="shared" si="1025"/>
        <v>Buy</v>
      </c>
      <c r="AO1007" s="13">
        <f t="shared" si="1026"/>
        <v>-5.5999999999999999E-3</v>
      </c>
      <c r="AP1007" s="13">
        <f t="shared" si="1027"/>
        <v>8.9999999999999998E-4</v>
      </c>
      <c r="AQ1007" s="13">
        <f t="shared" si="1028"/>
        <v>-2.5999999999999999E-3</v>
      </c>
      <c r="AR1007" s="13">
        <f t="shared" si="1020"/>
        <v>-5.5999999999999999E-3</v>
      </c>
      <c r="AS1007" s="6">
        <f t="shared" si="1012"/>
        <v>332.99229205021385</v>
      </c>
      <c r="AT1007" s="6">
        <f t="shared" si="1013"/>
        <v>137.72051184140147</v>
      </c>
      <c r="AU1007" s="6">
        <f t="shared" si="1014"/>
        <v>282.32238616342693</v>
      </c>
      <c r="AV1007" s="6">
        <f t="shared" si="1015"/>
        <v>332.99229205021385</v>
      </c>
      <c r="AW1007" s="58">
        <f t="shared" si="1021"/>
        <v>1999</v>
      </c>
      <c r="AX1007" s="58">
        <f>COUNTIF(AW$3:AW1007,AW1007)</f>
        <v>33</v>
      </c>
    </row>
    <row r="1008" spans="1:50" x14ac:dyDescent="0.25">
      <c r="A1008" s="5">
        <v>36289</v>
      </c>
      <c r="B1008">
        <v>1345</v>
      </c>
      <c r="C1008">
        <v>4.49</v>
      </c>
      <c r="D1008" s="6">
        <v>25.07</v>
      </c>
      <c r="E1008" s="18">
        <f t="shared" si="1034"/>
        <v>23.91</v>
      </c>
      <c r="F1008">
        <f t="shared" si="1035"/>
        <v>-1</v>
      </c>
      <c r="G1008" s="18">
        <f>ROUND(INDEX(Valuation!U:U,MATCH(A1008,Valuation!A:A,0)),2)</f>
        <v>0</v>
      </c>
      <c r="H1008">
        <f t="shared" si="1042"/>
        <v>-3</v>
      </c>
      <c r="I1008" s="18">
        <f>INDEX(WeeklyIndicators!Y:Y,MATCH(A1008,WeeklyIndicators!A:A,0))</f>
        <v>113.32</v>
      </c>
      <c r="J1008">
        <f t="shared" si="1031"/>
        <v>-1</v>
      </c>
      <c r="K1008">
        <f>ROUND(INDEX(Economic!AF:AF,MATCH(EOMONTH($A1008,-1),Economic!A:A,0)),2)</f>
        <v>146.41999999999999</v>
      </c>
      <c r="L1008" s="11">
        <f t="shared" si="1040"/>
        <v>3</v>
      </c>
      <c r="M1008">
        <f>ROUND(INDEX(Manufacturing!P:P,MATCH(EOMONTH($A1008,-1),Manufacturing!A:A,0)),2)</f>
        <v>105.44</v>
      </c>
      <c r="N1008">
        <f t="shared" si="1036"/>
        <v>2</v>
      </c>
      <c r="O1008">
        <f>ROUND(INDEX(Housing!AC:AC,MATCH(EOMONTH($A1008,-1),Housing!B:B,0)),2)</f>
        <v>141.47</v>
      </c>
      <c r="P1008">
        <f t="shared" si="1037"/>
        <v>3</v>
      </c>
      <c r="Q1008">
        <f>ROUND(INDEX(Spending!AJ:AJ,MATCH(EOMONTH($A1008,-1),Spending!B:B,0)),2)</f>
        <v>59.77</v>
      </c>
      <c r="R1008">
        <f t="shared" si="1041"/>
        <v>1</v>
      </c>
      <c r="S1008">
        <f>ROUND(INDEX(Employment!V:V,MATCH(EOMONTH($A1008,-1),Employment!A:A,0)),2)</f>
        <v>182.64</v>
      </c>
      <c r="T1008" s="11">
        <f t="shared" si="1038"/>
        <v>2</v>
      </c>
      <c r="U1008">
        <f t="shared" si="1030"/>
        <v>26</v>
      </c>
      <c r="V1008">
        <f t="shared" si="1022"/>
        <v>83.01</v>
      </c>
      <c r="W1008" s="13">
        <f t="shared" si="1023"/>
        <v>-6.9999999999999999E-4</v>
      </c>
      <c r="X1008" s="13">
        <f t="shared" si="1024"/>
        <v>-7.0999999999999995E-3</v>
      </c>
      <c r="Y1008">
        <f t="shared" si="1016"/>
        <v>69.010000000000005</v>
      </c>
      <c r="Z1008" s="13">
        <f t="shared" si="1011"/>
        <v>-3.0000000000000001E-3</v>
      </c>
      <c r="AA1008" s="13">
        <f t="shared" si="1006"/>
        <v>-3.6000000000000003E-3</v>
      </c>
      <c r="AB1008" s="6">
        <f t="shared" si="1017"/>
        <v>63.959999999999994</v>
      </c>
      <c r="AC1008">
        <f t="shared" si="1009"/>
        <v>32</v>
      </c>
      <c r="AD1008" s="11">
        <f t="shared" si="1010"/>
        <v>0</v>
      </c>
      <c r="AE1008">
        <f t="shared" si="1008"/>
        <v>28</v>
      </c>
      <c r="AF1008">
        <f>IF(AND(AE1008&lt;15,OR(AC1008&gt;=30,AA1008&gt;0.15,X1008&gt;=0.15)),2,VLOOKUP(AE1008,Table!P:Q,2,FALSE))</f>
        <v>4</v>
      </c>
      <c r="AG1008" s="22">
        <f>IF((AB1008*0.98)-(D1008*0.8)+((AF1008-3)*3)+VLOOKUP(AM1008,Table!$A$11:$B$13,2,FALSE)&lt;0,0,(AB1008*0.98)-(D1008*0.8)+((AF1008-3)*3)+VLOOKUP(AM1008,Table!$A$11:$B$13,2,FALSE))</f>
        <v>53.624799999999993</v>
      </c>
      <c r="AH1008" s="22">
        <f t="shared" si="1039"/>
        <v>55</v>
      </c>
      <c r="AI1008" s="18">
        <f t="shared" si="1032"/>
        <v>4.4000000000000004</v>
      </c>
      <c r="AJ1008" s="18">
        <f t="shared" si="1033"/>
        <v>4.41</v>
      </c>
      <c r="AK1008" t="str">
        <f t="shared" si="1018"/>
        <v/>
      </c>
      <c r="AL1008">
        <f t="shared" si="1029"/>
        <v>29</v>
      </c>
      <c r="AM1008" s="11" t="str">
        <f t="shared" si="1019"/>
        <v>Stocks</v>
      </c>
      <c r="AN1008" t="str">
        <f t="shared" si="1025"/>
        <v>Buy</v>
      </c>
      <c r="AO1008" s="13">
        <f t="shared" si="1026"/>
        <v>-5.4000000000000003E-3</v>
      </c>
      <c r="AP1008" s="13">
        <f t="shared" si="1027"/>
        <v>8.9999999999999998E-4</v>
      </c>
      <c r="AQ1008" s="13">
        <f t="shared" si="1028"/>
        <v>-2.5999999999999999E-3</v>
      </c>
      <c r="AR1008" s="13">
        <f t="shared" si="1020"/>
        <v>-5.4000000000000003E-3</v>
      </c>
      <c r="AS1008" s="6">
        <f t="shared" si="1012"/>
        <v>334.80021320150195</v>
      </c>
      <c r="AT1008" s="6">
        <f t="shared" si="1013"/>
        <v>137.59667483405084</v>
      </c>
      <c r="AU1008" s="6">
        <f t="shared" si="1014"/>
        <v>283.05833784181567</v>
      </c>
      <c r="AV1008" s="6">
        <f t="shared" si="1015"/>
        <v>334.80021320150195</v>
      </c>
      <c r="AW1008" s="58">
        <f t="shared" si="1021"/>
        <v>1999</v>
      </c>
      <c r="AX1008" s="58">
        <f>COUNTIF(AW$3:AW1008,AW1008)</f>
        <v>34</v>
      </c>
    </row>
    <row r="1009" spans="1:50" x14ac:dyDescent="0.25">
      <c r="A1009" s="5">
        <v>36282</v>
      </c>
      <c r="B1009">
        <v>1335.18</v>
      </c>
      <c r="C1009">
        <v>4.3899999999999997</v>
      </c>
      <c r="D1009" s="6">
        <v>22.76</v>
      </c>
      <c r="E1009" s="18">
        <f t="shared" si="1034"/>
        <v>22.81</v>
      </c>
      <c r="F1009">
        <f t="shared" si="1035"/>
        <v>-1</v>
      </c>
      <c r="G1009" s="18">
        <f>ROUND(INDEX(Valuation!U:U,MATCH(A1009,Valuation!A:A,0)),2)</f>
        <v>0</v>
      </c>
      <c r="H1009">
        <f t="shared" si="1042"/>
        <v>-3</v>
      </c>
      <c r="I1009" s="18">
        <f>INDEX(WeeklyIndicators!Y:Y,MATCH(A1009,WeeklyIndicators!A:A,0))</f>
        <v>112.63</v>
      </c>
      <c r="J1009">
        <f t="shared" si="1031"/>
        <v>-1</v>
      </c>
      <c r="K1009">
        <f>ROUND(INDEX(Economic!AF:AF,MATCH(EOMONTH($A1009,-1),Economic!A:A,0)),2)</f>
        <v>146.41999999999999</v>
      </c>
      <c r="L1009" s="11">
        <f t="shared" si="1040"/>
        <v>3</v>
      </c>
      <c r="M1009">
        <f>ROUND(INDEX(Manufacturing!P:P,MATCH(EOMONTH($A1009,-1),Manufacturing!A:A,0)),2)</f>
        <v>105.44</v>
      </c>
      <c r="N1009">
        <f t="shared" si="1036"/>
        <v>2</v>
      </c>
      <c r="O1009">
        <f>ROUND(INDEX(Housing!AC:AC,MATCH(EOMONTH($A1009,-1),Housing!B:B,0)),2)</f>
        <v>141.47</v>
      </c>
      <c r="P1009">
        <f t="shared" si="1037"/>
        <v>3</v>
      </c>
      <c r="Q1009">
        <f>ROUND(INDEX(Spending!AJ:AJ,MATCH(EOMONTH($A1009,-1),Spending!B:B,0)),2)</f>
        <v>59.77</v>
      </c>
      <c r="R1009">
        <f t="shared" si="1041"/>
        <v>1</v>
      </c>
      <c r="S1009">
        <f>ROUND(INDEX(Employment!V:V,MATCH(EOMONTH($A1009,-1),Employment!A:A,0)),2)</f>
        <v>182.64</v>
      </c>
      <c r="T1009" s="11">
        <f t="shared" si="1038"/>
        <v>2</v>
      </c>
      <c r="U1009">
        <f t="shared" si="1030"/>
        <v>26</v>
      </c>
      <c r="V1009">
        <f t="shared" si="1022"/>
        <v>82.94</v>
      </c>
      <c r="W1009" s="13">
        <f t="shared" si="1023"/>
        <v>-2.3999999999999998E-3</v>
      </c>
      <c r="X1009" s="13">
        <f t="shared" si="1024"/>
        <v>-6.1000000000000004E-3</v>
      </c>
      <c r="Y1009">
        <f t="shared" si="1016"/>
        <v>69.319999999999993</v>
      </c>
      <c r="Z1009" s="13">
        <f t="shared" si="1011"/>
        <v>-1.8E-3</v>
      </c>
      <c r="AA1009" s="13">
        <f t="shared" si="1006"/>
        <v>3.3999999999999998E-3</v>
      </c>
      <c r="AB1009" s="6">
        <f t="shared" si="1017"/>
        <v>64.75</v>
      </c>
      <c r="AC1009">
        <f t="shared" si="1009"/>
        <v>32</v>
      </c>
      <c r="AD1009" s="11">
        <f t="shared" si="1010"/>
        <v>0</v>
      </c>
      <c r="AE1009">
        <f t="shared" si="1008"/>
        <v>28</v>
      </c>
      <c r="AF1009">
        <f>IF(AND(AE1009&lt;15,OR(AC1009&gt;=30,AA1009&gt;0.15,X1009&gt;=0.15)),2,VLOOKUP(AE1009,Table!P:Q,2,FALSE))</f>
        <v>4</v>
      </c>
      <c r="AG1009" s="22">
        <f>IF((AB1009*0.98)-(D1009*0.8)+((AF1009-3)*3)+VLOOKUP(AM1009,Table!$A$11:$B$13,2,FALSE)&lt;0,0,(AB1009*0.98)-(D1009*0.8)+((AF1009-3)*3)+VLOOKUP(AM1009,Table!$A$11:$B$13,2,FALSE))</f>
        <v>56.247</v>
      </c>
      <c r="AH1009" s="22">
        <f t="shared" si="1039"/>
        <v>57</v>
      </c>
      <c r="AI1009" s="18">
        <f t="shared" si="1032"/>
        <v>4.3899999999999997</v>
      </c>
      <c r="AJ1009" s="18">
        <f t="shared" si="1033"/>
        <v>4.42</v>
      </c>
      <c r="AK1009" t="str">
        <f t="shared" si="1018"/>
        <v/>
      </c>
      <c r="AL1009">
        <f t="shared" si="1029"/>
        <v>29.75</v>
      </c>
      <c r="AM1009" s="11" t="str">
        <f t="shared" si="1019"/>
        <v>Stocks</v>
      </c>
      <c r="AN1009" t="str">
        <f t="shared" si="1025"/>
        <v>Buy</v>
      </c>
      <c r="AO1009" s="13">
        <f t="shared" si="1026"/>
        <v>7.4000000000000003E-3</v>
      </c>
      <c r="AP1009" s="13">
        <f t="shared" si="1027"/>
        <v>8.0000000000000004E-4</v>
      </c>
      <c r="AQ1009" s="13">
        <f t="shared" si="1028"/>
        <v>4.5999999999999999E-3</v>
      </c>
      <c r="AR1009" s="13">
        <f t="shared" si="1020"/>
        <v>7.4000000000000003E-3</v>
      </c>
      <c r="AS1009" s="6">
        <f t="shared" si="1012"/>
        <v>332.34089061098069</v>
      </c>
      <c r="AT1009" s="6">
        <f t="shared" si="1013"/>
        <v>137.48668548566232</v>
      </c>
      <c r="AU1009" s="6">
        <f t="shared" si="1014"/>
        <v>281.76223157656352</v>
      </c>
      <c r="AV1009" s="6">
        <f t="shared" si="1015"/>
        <v>332.34089061098069</v>
      </c>
      <c r="AW1009" s="58">
        <f t="shared" si="1021"/>
        <v>1999</v>
      </c>
      <c r="AX1009" s="58">
        <f>COUNTIF(AW$3:AW1009,AW1009)</f>
        <v>35</v>
      </c>
    </row>
    <row r="1010" spans="1:50" x14ac:dyDescent="0.25">
      <c r="A1010" s="5">
        <v>36275</v>
      </c>
      <c r="B1010">
        <v>1356.85</v>
      </c>
      <c r="C1010">
        <v>4.26</v>
      </c>
      <c r="D1010" s="6">
        <v>23.9</v>
      </c>
      <c r="E1010" s="18">
        <f t="shared" si="1034"/>
        <v>22.58</v>
      </c>
      <c r="F1010">
        <f t="shared" si="1035"/>
        <v>-1</v>
      </c>
      <c r="G1010" s="18">
        <f>ROUND(INDEX(Valuation!U:U,MATCH(A1010,Valuation!A:A,0)),2)</f>
        <v>0</v>
      </c>
      <c r="H1010">
        <f t="shared" si="1042"/>
        <v>-3</v>
      </c>
      <c r="I1010" s="18">
        <f>INDEX(WeeklyIndicators!Y:Y,MATCH(A1010,WeeklyIndicators!A:A,0))</f>
        <v>114.18</v>
      </c>
      <c r="J1010">
        <f t="shared" si="1031"/>
        <v>-1</v>
      </c>
      <c r="K1010">
        <f>ROUND(INDEX(Economic!AF:AF,MATCH(EOMONTH($A1010,-1),Economic!A:A,0)),2)</f>
        <v>143.01</v>
      </c>
      <c r="L1010" s="11">
        <f t="shared" si="1040"/>
        <v>3</v>
      </c>
      <c r="M1010">
        <f>ROUND(INDEX(Manufacturing!P:P,MATCH(EOMONTH($A1010,-1),Manufacturing!A:A,0)),2)</f>
        <v>108.03</v>
      </c>
      <c r="N1010">
        <f t="shared" si="1036"/>
        <v>3</v>
      </c>
      <c r="O1010">
        <f>ROUND(INDEX(Housing!AC:AC,MATCH(EOMONTH($A1010,-1),Housing!B:B,0)),2)</f>
        <v>145.38999999999999</v>
      </c>
      <c r="P1010">
        <f t="shared" si="1037"/>
        <v>3</v>
      </c>
      <c r="Q1010">
        <f>ROUND(INDEX(Spending!AJ:AJ,MATCH(EOMONTH($A1010,-1),Spending!B:B,0)),2)</f>
        <v>61.4</v>
      </c>
      <c r="R1010">
        <f t="shared" si="1041"/>
        <v>2</v>
      </c>
      <c r="S1010">
        <f>ROUND(INDEX(Employment!V:V,MATCH(EOMONTH($A1010,-1),Employment!A:A,0)),2)</f>
        <v>176</v>
      </c>
      <c r="T1010" s="11">
        <f t="shared" si="1038"/>
        <v>2</v>
      </c>
      <c r="U1010">
        <f t="shared" si="1030"/>
        <v>28</v>
      </c>
      <c r="V1010">
        <f t="shared" si="1022"/>
        <v>82.83</v>
      </c>
      <c r="W1010" s="13">
        <f t="shared" si="1023"/>
        <v>-4.1000000000000003E-3</v>
      </c>
      <c r="X1010" s="13">
        <f t="shared" si="1024"/>
        <v>-3.3E-3</v>
      </c>
      <c r="Y1010">
        <f t="shared" si="1016"/>
        <v>69.290000000000006</v>
      </c>
      <c r="Z1010" s="13">
        <f t="shared" si="1011"/>
        <v>-1.9E-3</v>
      </c>
      <c r="AA1010" s="13">
        <f t="shared" si="1006"/>
        <v>1.0200000000000001E-2</v>
      </c>
      <c r="AB1010" s="6">
        <f t="shared" si="1017"/>
        <v>65.2</v>
      </c>
      <c r="AC1010">
        <f t="shared" si="1009"/>
        <v>33</v>
      </c>
      <c r="AD1010" s="11">
        <f t="shared" si="1010"/>
        <v>0</v>
      </c>
      <c r="AE1010">
        <f t="shared" si="1008"/>
        <v>30</v>
      </c>
      <c r="AF1010">
        <f>IF(AND(AE1010&lt;15,OR(AC1010&gt;=30,AA1010&gt;0.15,X1010&gt;=0.15)),2,VLOOKUP(AE1010,Table!P:Q,2,FALSE))</f>
        <v>4</v>
      </c>
      <c r="AG1010" s="22">
        <f>IF((AB1010*0.98)-(D1010*0.8)+((AF1010-3)*3)+VLOOKUP(AM1010,Table!$A$11:$B$13,2,FALSE)&lt;0,0,(AB1010*0.98)-(D1010*0.8)+((AF1010-3)*3)+VLOOKUP(AM1010,Table!$A$11:$B$13,2,FALSE))</f>
        <v>55.775999999999996</v>
      </c>
      <c r="AH1010" s="22">
        <f t="shared" si="1039"/>
        <v>58</v>
      </c>
      <c r="AI1010" s="18">
        <f t="shared" si="1032"/>
        <v>4.3899999999999997</v>
      </c>
      <c r="AJ1010" s="18">
        <f t="shared" si="1033"/>
        <v>4.43</v>
      </c>
      <c r="AK1010" t="str">
        <f t="shared" si="1018"/>
        <v>Falling Rates</v>
      </c>
      <c r="AL1010">
        <f t="shared" si="1029"/>
        <v>30.5</v>
      </c>
      <c r="AM1010" s="11" t="str">
        <f t="shared" si="1019"/>
        <v>Stocks</v>
      </c>
      <c r="AN1010" t="str">
        <f t="shared" si="1025"/>
        <v>Buy</v>
      </c>
      <c r="AO1010" s="13">
        <f t="shared" si="1026"/>
        <v>-1.6E-2</v>
      </c>
      <c r="AP1010" s="13">
        <f t="shared" si="1027"/>
        <v>8.0000000000000004E-4</v>
      </c>
      <c r="AQ1010" s="13">
        <f t="shared" si="1028"/>
        <v>-8.8999999999999999E-3</v>
      </c>
      <c r="AR1010" s="13">
        <f t="shared" si="1020"/>
        <v>-1.6E-2</v>
      </c>
      <c r="AS1010" s="6">
        <f t="shared" si="1012"/>
        <v>337.74480753148447</v>
      </c>
      <c r="AT1010" s="6">
        <f t="shared" si="1013"/>
        <v>137.37678405841561</v>
      </c>
      <c r="AU1010" s="6">
        <f t="shared" si="1014"/>
        <v>284.29243424131118</v>
      </c>
      <c r="AV1010" s="6">
        <f t="shared" si="1015"/>
        <v>337.74480753148447</v>
      </c>
      <c r="AW1010" s="58">
        <f t="shared" si="1021"/>
        <v>1999</v>
      </c>
      <c r="AX1010" s="58">
        <f>COUNTIF(AW$3:AW1010,AW1010)</f>
        <v>36</v>
      </c>
    </row>
    <row r="1011" spans="1:50" x14ac:dyDescent="0.25">
      <c r="A1011" s="5">
        <v>36268</v>
      </c>
      <c r="B1011">
        <v>1319</v>
      </c>
      <c r="C1011">
        <v>4.2</v>
      </c>
      <c r="D1011" s="6">
        <v>21.77</v>
      </c>
      <c r="E1011" s="18">
        <f t="shared" si="1034"/>
        <v>22.62</v>
      </c>
      <c r="F1011">
        <f t="shared" si="1035"/>
        <v>-1</v>
      </c>
      <c r="G1011" s="18">
        <f>ROUND(INDEX(Valuation!U:U,MATCH(A1011,Valuation!A:A,0)),2)</f>
        <v>0</v>
      </c>
      <c r="H1011">
        <f t="shared" si="1042"/>
        <v>-3</v>
      </c>
      <c r="I1011" s="18">
        <f>INDEX(WeeklyIndicators!Y:Y,MATCH(A1011,WeeklyIndicators!A:A,0))</f>
        <v>117.66</v>
      </c>
      <c r="J1011">
        <f t="shared" si="1031"/>
        <v>-1</v>
      </c>
      <c r="K1011">
        <f>ROUND(INDEX(Economic!AF:AF,MATCH(EOMONTH($A1011,-1),Economic!A:A,0)),2)</f>
        <v>143.01</v>
      </c>
      <c r="L1011" s="11">
        <f t="shared" si="1040"/>
        <v>3</v>
      </c>
      <c r="M1011">
        <f>ROUND(INDEX(Manufacturing!P:P,MATCH(EOMONTH($A1011,-1),Manufacturing!A:A,0)),2)</f>
        <v>108.03</v>
      </c>
      <c r="N1011">
        <f t="shared" si="1036"/>
        <v>3</v>
      </c>
      <c r="O1011">
        <f>ROUND(INDEX(Housing!AC:AC,MATCH(EOMONTH($A1011,-1),Housing!B:B,0)),2)</f>
        <v>145.38999999999999</v>
      </c>
      <c r="P1011">
        <f t="shared" si="1037"/>
        <v>3</v>
      </c>
      <c r="Q1011">
        <f>ROUND(INDEX(Spending!AJ:AJ,MATCH(EOMONTH($A1011,-1),Spending!B:B,0)),2)</f>
        <v>61.4</v>
      </c>
      <c r="R1011">
        <f t="shared" si="1041"/>
        <v>2</v>
      </c>
      <c r="S1011">
        <f>ROUND(INDEX(Employment!V:V,MATCH(EOMONTH($A1011,-1),Employment!A:A,0)),2)</f>
        <v>176</v>
      </c>
      <c r="T1011" s="11">
        <f t="shared" si="1038"/>
        <v>2</v>
      </c>
      <c r="U1011">
        <f t="shared" si="1030"/>
        <v>28</v>
      </c>
      <c r="V1011">
        <f t="shared" si="1022"/>
        <v>83.19</v>
      </c>
      <c r="W1011" s="13">
        <f t="shared" si="1023"/>
        <v>1E-4</v>
      </c>
      <c r="X1011" s="13">
        <f t="shared" si="1024"/>
        <v>-2E-3</v>
      </c>
      <c r="Y1011">
        <f t="shared" si="1016"/>
        <v>69.63</v>
      </c>
      <c r="Z1011" s="13">
        <f t="shared" si="1011"/>
        <v>3.0999999999999999E-3</v>
      </c>
      <c r="AA1011" s="13">
        <f t="shared" ref="AA1011:AA1074" si="1043">SUM(Z1011:Z1014)</f>
        <v>1.6399999999999998E-2</v>
      </c>
      <c r="AB1011" s="6">
        <f t="shared" si="1017"/>
        <v>65.98</v>
      </c>
      <c r="AC1011">
        <f t="shared" si="1009"/>
        <v>33</v>
      </c>
      <c r="AD1011" s="11">
        <f t="shared" si="1010"/>
        <v>0</v>
      </c>
      <c r="AE1011">
        <f t="shared" si="1008"/>
        <v>30</v>
      </c>
      <c r="AF1011">
        <f>IF(AND(AE1011&lt;15,OR(AC1011&gt;=30,AA1011&gt;0.15,X1011&gt;=0.15)),2,VLOOKUP(AE1011,Table!P:Q,2,FALSE))</f>
        <v>4</v>
      </c>
      <c r="AG1011" s="22">
        <f>IF((AB1011*0.98)-(D1011*0.8)+((AF1011-3)*3)+VLOOKUP(AM1011,Table!$A$11:$B$13,2,FALSE)&lt;0,0,(AB1011*0.98)-(D1011*0.8)+((AF1011-3)*3)+VLOOKUP(AM1011,Table!$A$11:$B$13,2,FALSE))</f>
        <v>58.244399999999999</v>
      </c>
      <c r="AH1011" s="22">
        <f t="shared" si="1039"/>
        <v>58</v>
      </c>
      <c r="AI1011" s="18">
        <f t="shared" si="1032"/>
        <v>4.3899999999999997</v>
      </c>
      <c r="AJ1011" s="18">
        <f t="shared" si="1033"/>
        <v>4.45</v>
      </c>
      <c r="AK1011" t="str">
        <f t="shared" si="1018"/>
        <v>Falling Rates</v>
      </c>
      <c r="AL1011">
        <f t="shared" si="1029"/>
        <v>30.25</v>
      </c>
      <c r="AM1011" s="11" t="str">
        <f t="shared" si="1019"/>
        <v>Stocks</v>
      </c>
      <c r="AN1011" t="str">
        <f t="shared" si="1025"/>
        <v>Buy</v>
      </c>
      <c r="AO1011" s="13">
        <f t="shared" si="1026"/>
        <v>2.87E-2</v>
      </c>
      <c r="AP1011" s="13">
        <f t="shared" si="1027"/>
        <v>8.0000000000000004E-4</v>
      </c>
      <c r="AQ1011" s="13">
        <f t="shared" si="1028"/>
        <v>1.7000000000000001E-2</v>
      </c>
      <c r="AR1011" s="13">
        <f t="shared" si="1020"/>
        <v>2.87E-2</v>
      </c>
      <c r="AS1011" s="6">
        <f t="shared" si="1012"/>
        <v>328.32196707639201</v>
      </c>
      <c r="AT1011" s="6">
        <f t="shared" si="1013"/>
        <v>137.26697048202999</v>
      </c>
      <c r="AU1011" s="6">
        <f t="shared" si="1014"/>
        <v>279.54024999145645</v>
      </c>
      <c r="AV1011" s="6">
        <f t="shared" si="1015"/>
        <v>328.32196707639201</v>
      </c>
      <c r="AW1011" s="58">
        <f t="shared" si="1021"/>
        <v>1999</v>
      </c>
      <c r="AX1011" s="58">
        <f>COUNTIF(AW$3:AW1011,AW1011)</f>
        <v>37</v>
      </c>
    </row>
    <row r="1012" spans="1:50" x14ac:dyDescent="0.25">
      <c r="A1012" s="5">
        <v>36261</v>
      </c>
      <c r="B1012">
        <v>1348.35</v>
      </c>
      <c r="C1012">
        <v>4.29</v>
      </c>
      <c r="D1012" s="6">
        <v>22.059999000000001</v>
      </c>
      <c r="E1012" s="18">
        <f t="shared" si="1034"/>
        <v>23.47</v>
      </c>
      <c r="F1012">
        <f t="shared" si="1035"/>
        <v>-1</v>
      </c>
      <c r="G1012" s="18">
        <f>ROUND(INDEX(Valuation!U:U,MATCH(A1012,Valuation!A:A,0)),2)</f>
        <v>0</v>
      </c>
      <c r="H1012">
        <f t="shared" si="1042"/>
        <v>-3</v>
      </c>
      <c r="I1012" s="18">
        <f>INDEX(WeeklyIndicators!Y:Y,MATCH(A1012,WeeklyIndicators!A:A,0))</f>
        <v>121.17</v>
      </c>
      <c r="J1012">
        <f t="shared" si="1031"/>
        <v>0</v>
      </c>
      <c r="K1012">
        <f>ROUND(INDEX(Economic!AF:AF,MATCH(EOMONTH($A1012,-1),Economic!A:A,0)),2)</f>
        <v>143.01</v>
      </c>
      <c r="L1012" s="11">
        <f t="shared" si="1040"/>
        <v>3</v>
      </c>
      <c r="M1012">
        <f>ROUND(INDEX(Manufacturing!P:P,MATCH(EOMONTH($A1012,-1),Manufacturing!A:A,0)),2)</f>
        <v>108.03</v>
      </c>
      <c r="N1012">
        <f t="shared" si="1036"/>
        <v>3</v>
      </c>
      <c r="O1012">
        <f>ROUND(INDEX(Housing!AC:AC,MATCH(EOMONTH($A1012,-1),Housing!B:B,0)),2)</f>
        <v>145.38999999999999</v>
      </c>
      <c r="P1012">
        <f t="shared" si="1037"/>
        <v>3</v>
      </c>
      <c r="Q1012">
        <f>ROUND(INDEX(Spending!AJ:AJ,MATCH(EOMONTH($A1012,-1),Spending!B:B,0)),2)</f>
        <v>61.4</v>
      </c>
      <c r="R1012">
        <f t="shared" si="1041"/>
        <v>2</v>
      </c>
      <c r="S1012">
        <f>ROUND(INDEX(Employment!V:V,MATCH(EOMONTH($A1012,-1),Employment!A:A,0)),2)</f>
        <v>176</v>
      </c>
      <c r="T1012" s="11">
        <f t="shared" si="1038"/>
        <v>2</v>
      </c>
      <c r="U1012">
        <f t="shared" si="1030"/>
        <v>29</v>
      </c>
      <c r="V1012">
        <f t="shared" si="1022"/>
        <v>83.55</v>
      </c>
      <c r="W1012" s="13">
        <f t="shared" si="1023"/>
        <v>2.9999999999999997E-4</v>
      </c>
      <c r="X1012" s="13">
        <f t="shared" si="1024"/>
        <v>1.7000000000000001E-3</v>
      </c>
      <c r="Y1012">
        <f t="shared" si="1016"/>
        <v>69.7</v>
      </c>
      <c r="Z1012" s="13">
        <f t="shared" si="1011"/>
        <v>4.0000000000000001E-3</v>
      </c>
      <c r="AA1012" s="13">
        <f t="shared" si="1043"/>
        <v>2.4800000000000003E-2</v>
      </c>
      <c r="AB1012" s="6">
        <f t="shared" si="1017"/>
        <v>66.66</v>
      </c>
      <c r="AC1012">
        <f t="shared" si="1009"/>
        <v>33</v>
      </c>
      <c r="AD1012" s="11">
        <f t="shared" si="1010"/>
        <v>0</v>
      </c>
      <c r="AE1012">
        <f t="shared" si="1008"/>
        <v>31</v>
      </c>
      <c r="AF1012">
        <f>IF(AND(AE1012&lt;15,OR(AC1012&gt;=30,AA1012&gt;0.15,X1012&gt;=0.15)),2,VLOOKUP(AE1012,Table!P:Q,2,FALSE))</f>
        <v>4</v>
      </c>
      <c r="AG1012" s="22">
        <f>IF((AB1012*0.98)-(D1012*0.8)+((AF1012-3)*3)+VLOOKUP(AM1012,Table!$A$11:$B$13,2,FALSE)&lt;0,0,(AB1012*0.98)-(D1012*0.8)+((AF1012-3)*3)+VLOOKUP(AM1012,Table!$A$11:$B$13,2,FALSE))</f>
        <v>58.678800799999991</v>
      </c>
      <c r="AH1012" s="22">
        <f t="shared" si="1039"/>
        <v>58</v>
      </c>
      <c r="AI1012" s="18">
        <f t="shared" si="1032"/>
        <v>4.4000000000000004</v>
      </c>
      <c r="AJ1012" s="18">
        <f t="shared" si="1033"/>
        <v>4.47</v>
      </c>
      <c r="AK1012" t="str">
        <f t="shared" si="1018"/>
        <v>Falling Rates</v>
      </c>
      <c r="AL1012">
        <f t="shared" si="1029"/>
        <v>29.75</v>
      </c>
      <c r="AM1012" s="11" t="str">
        <f t="shared" si="1019"/>
        <v>Stocks</v>
      </c>
      <c r="AN1012" t="str">
        <f t="shared" si="1025"/>
        <v>Buy</v>
      </c>
      <c r="AO1012" s="13">
        <f t="shared" si="1026"/>
        <v>-2.18E-2</v>
      </c>
      <c r="AP1012" s="13">
        <f t="shared" si="1027"/>
        <v>8.0000000000000004E-4</v>
      </c>
      <c r="AQ1012" s="13">
        <f t="shared" si="1028"/>
        <v>-1.23E-2</v>
      </c>
      <c r="AR1012" s="13">
        <f t="shared" si="1020"/>
        <v>-2.18E-2</v>
      </c>
      <c r="AS1012" s="6">
        <f t="shared" si="1012"/>
        <v>335.63889498711103</v>
      </c>
      <c r="AT1012" s="6">
        <f t="shared" si="1013"/>
        <v>137.15724468628099</v>
      </c>
      <c r="AU1012" s="6">
        <f t="shared" si="1014"/>
        <v>283.02141337598101</v>
      </c>
      <c r="AV1012" s="6">
        <f t="shared" si="1015"/>
        <v>335.63889498711103</v>
      </c>
      <c r="AW1012" s="58">
        <f t="shared" si="1021"/>
        <v>1999</v>
      </c>
      <c r="AX1012" s="58">
        <f>COUNTIF(AW$3:AW1012,AW1012)</f>
        <v>38</v>
      </c>
    </row>
    <row r="1013" spans="1:50" x14ac:dyDescent="0.25">
      <c r="A1013" s="5">
        <v>36254</v>
      </c>
      <c r="B1013">
        <v>1293.72</v>
      </c>
      <c r="C1013">
        <v>4.3499999999999996</v>
      </c>
      <c r="D1013" s="6">
        <v>24.040001</v>
      </c>
      <c r="E1013" s="18">
        <f t="shared" si="1034"/>
        <v>24.4</v>
      </c>
      <c r="F1013">
        <f t="shared" si="1035"/>
        <v>-1</v>
      </c>
      <c r="G1013" s="18">
        <f>ROUND(INDEX(Valuation!U:U,MATCH(A1013,Valuation!A:A,0)),2)</f>
        <v>0</v>
      </c>
      <c r="H1013">
        <f t="shared" si="1042"/>
        <v>-3</v>
      </c>
      <c r="I1013" s="18">
        <f>INDEX(WeeklyIndicators!Y:Y,MATCH(A1013,WeeklyIndicators!A:A,0))</f>
        <v>124.11</v>
      </c>
      <c r="J1013">
        <f t="shared" si="1031"/>
        <v>0</v>
      </c>
      <c r="K1013">
        <f>ROUND(INDEX(Economic!AF:AF,MATCH(EOMONTH($A1013,-1),Economic!A:A,0)),2)</f>
        <v>143.01</v>
      </c>
      <c r="L1013" s="11">
        <f t="shared" si="1040"/>
        <v>3</v>
      </c>
      <c r="M1013">
        <f>ROUND(INDEX(Manufacturing!P:P,MATCH(EOMONTH($A1013,-1),Manufacturing!A:A,0)),2)</f>
        <v>108.03</v>
      </c>
      <c r="N1013">
        <f t="shared" si="1036"/>
        <v>3</v>
      </c>
      <c r="O1013">
        <f>ROUND(INDEX(Housing!AC:AC,MATCH(EOMONTH($A1013,-1),Housing!B:B,0)),2)</f>
        <v>145.38999999999999</v>
      </c>
      <c r="P1013">
        <f t="shared" si="1037"/>
        <v>3</v>
      </c>
      <c r="Q1013">
        <f>ROUND(INDEX(Spending!AJ:AJ,MATCH(EOMONTH($A1013,-1),Spending!B:B,0)),2)</f>
        <v>61.4</v>
      </c>
      <c r="R1013">
        <f t="shared" si="1041"/>
        <v>2</v>
      </c>
      <c r="S1013">
        <f>ROUND(INDEX(Employment!V:V,MATCH(EOMONTH($A1013,-1),Employment!A:A,0)),2)</f>
        <v>176</v>
      </c>
      <c r="T1013" s="11">
        <f t="shared" si="1038"/>
        <v>2</v>
      </c>
      <c r="U1013">
        <f t="shared" si="1030"/>
        <v>29</v>
      </c>
      <c r="V1013">
        <f t="shared" si="1022"/>
        <v>83.86</v>
      </c>
      <c r="W1013" s="13">
        <f t="shared" si="1023"/>
        <v>4.0000000000000002E-4</v>
      </c>
      <c r="X1013" s="13">
        <f t="shared" si="1024"/>
        <v>9.4999999999999998E-3</v>
      </c>
      <c r="Y1013">
        <f t="shared" si="1016"/>
        <v>69.680000000000007</v>
      </c>
      <c r="Z1013" s="13">
        <f t="shared" si="1011"/>
        <v>5.0000000000000001E-3</v>
      </c>
      <c r="AA1013" s="13">
        <f t="shared" si="1043"/>
        <v>3.3399999999999999E-2</v>
      </c>
      <c r="AB1013" s="6">
        <f t="shared" si="1017"/>
        <v>67.31</v>
      </c>
      <c r="AC1013">
        <f t="shared" si="1009"/>
        <v>34</v>
      </c>
      <c r="AD1013" s="11">
        <f t="shared" si="1010"/>
        <v>0</v>
      </c>
      <c r="AE1013">
        <f t="shared" si="1008"/>
        <v>31</v>
      </c>
      <c r="AF1013">
        <f>IF(AND(AE1013&lt;15,OR(AC1013&gt;=30,AA1013&gt;0.15,X1013&gt;=0.15)),2,VLOOKUP(AE1013,Table!P:Q,2,FALSE))</f>
        <v>4</v>
      </c>
      <c r="AG1013" s="22">
        <f>IF((AB1013*0.98)-(D1013*0.8)+((AF1013-3)*3)+VLOOKUP(AM1013,Table!$A$11:$B$13,2,FALSE)&lt;0,0,(AB1013*0.98)-(D1013*0.8)+((AF1013-3)*3)+VLOOKUP(AM1013,Table!$A$11:$B$13,2,FALSE))</f>
        <v>57.731799200000005</v>
      </c>
      <c r="AH1013" s="22">
        <f t="shared" si="1039"/>
        <v>58</v>
      </c>
      <c r="AI1013" s="18">
        <f t="shared" si="1032"/>
        <v>4.4000000000000004</v>
      </c>
      <c r="AJ1013" s="18">
        <f t="shared" si="1033"/>
        <v>4.49</v>
      </c>
      <c r="AK1013" t="str">
        <f t="shared" si="1018"/>
        <v/>
      </c>
      <c r="AL1013">
        <f t="shared" si="1029"/>
        <v>29</v>
      </c>
      <c r="AM1013" s="11" t="str">
        <f t="shared" si="1019"/>
        <v>Stocks</v>
      </c>
      <c r="AN1013" t="str">
        <f t="shared" si="1025"/>
        <v>Buy</v>
      </c>
      <c r="AO1013" s="13">
        <f t="shared" si="1026"/>
        <v>4.2200000000000001E-2</v>
      </c>
      <c r="AP1013" s="13">
        <f t="shared" si="1027"/>
        <v>8.0000000000000004E-4</v>
      </c>
      <c r="AQ1013" s="13">
        <f t="shared" si="1028"/>
        <v>2.4799999999999999E-2</v>
      </c>
      <c r="AR1013" s="13">
        <f t="shared" si="1020"/>
        <v>4.2200000000000001E-2</v>
      </c>
      <c r="AS1013" s="6">
        <f t="shared" si="1012"/>
        <v>322.0484503810315</v>
      </c>
      <c r="AT1013" s="6">
        <f t="shared" si="1013"/>
        <v>137.04760660100021</v>
      </c>
      <c r="AU1013" s="6">
        <f t="shared" si="1014"/>
        <v>276.17233935985661</v>
      </c>
      <c r="AV1013" s="6">
        <f t="shared" si="1015"/>
        <v>322.0484503810315</v>
      </c>
      <c r="AW1013" s="58">
        <f t="shared" si="1021"/>
        <v>1999</v>
      </c>
      <c r="AX1013" s="58">
        <f>COUNTIF(AW$3:AW1013,AW1013)</f>
        <v>39</v>
      </c>
    </row>
    <row r="1014" spans="1:50" x14ac:dyDescent="0.25">
      <c r="A1014" s="5">
        <v>36247</v>
      </c>
      <c r="B1014">
        <v>1282.8</v>
      </c>
      <c r="C1014">
        <v>4.3899999999999997</v>
      </c>
      <c r="D1014" s="6">
        <v>24.32</v>
      </c>
      <c r="E1014" s="18">
        <f t="shared" si="1034"/>
        <v>24.41</v>
      </c>
      <c r="F1014">
        <f t="shared" si="1035"/>
        <v>-1</v>
      </c>
      <c r="G1014" s="18">
        <f>ROUND(INDEX(Valuation!U:U,MATCH(A1014,Valuation!A:A,0)),2)</f>
        <v>0</v>
      </c>
      <c r="H1014">
        <f t="shared" si="1042"/>
        <v>-3</v>
      </c>
      <c r="I1014" s="18">
        <f>INDEX(WeeklyIndicators!Y:Y,MATCH(A1014,WeeklyIndicators!A:A,0))</f>
        <v>125.58</v>
      </c>
      <c r="J1014">
        <f t="shared" si="1031"/>
        <v>0</v>
      </c>
      <c r="K1014">
        <f>ROUND(INDEX(Economic!AF:AF,MATCH(EOMONTH($A1014,-1),Economic!A:A,0)),2)</f>
        <v>134.79</v>
      </c>
      <c r="L1014" s="11">
        <f t="shared" si="1040"/>
        <v>2</v>
      </c>
      <c r="M1014">
        <f>ROUND(INDEX(Manufacturing!P:P,MATCH(EOMONTH($A1014,-1),Manufacturing!A:A,0)),2)</f>
        <v>103.66</v>
      </c>
      <c r="N1014">
        <f t="shared" si="1036"/>
        <v>2</v>
      </c>
      <c r="O1014">
        <f>ROUND(INDEX(Housing!AC:AC,MATCH(EOMONTH($A1014,-1),Housing!B:B,0)),2)</f>
        <v>147.06</v>
      </c>
      <c r="P1014">
        <f t="shared" si="1037"/>
        <v>3</v>
      </c>
      <c r="Q1014">
        <f>ROUND(INDEX(Spending!AJ:AJ,MATCH(EOMONTH($A1014,-1),Spending!B:B,0)),2)</f>
        <v>62.62</v>
      </c>
      <c r="R1014">
        <f t="shared" si="1041"/>
        <v>2</v>
      </c>
      <c r="S1014">
        <f>ROUND(INDEX(Employment!V:V,MATCH(EOMONTH($A1014,-1),Employment!A:A,0)),2)</f>
        <v>184.35</v>
      </c>
      <c r="T1014" s="11">
        <f t="shared" si="1038"/>
        <v>2</v>
      </c>
      <c r="U1014">
        <f t="shared" si="1030"/>
        <v>27</v>
      </c>
      <c r="V1014">
        <f t="shared" si="1022"/>
        <v>83.17</v>
      </c>
      <c r="W1014" s="13">
        <f t="shared" si="1023"/>
        <v>-2.8E-3</v>
      </c>
      <c r="X1014" s="13">
        <f t="shared" si="1024"/>
        <v>2.29E-2</v>
      </c>
      <c r="Y1014">
        <f t="shared" si="1016"/>
        <v>68.989999999999995</v>
      </c>
      <c r="Z1014" s="13">
        <f t="shared" si="1011"/>
        <v>4.3E-3</v>
      </c>
      <c r="AA1014" s="13">
        <f t="shared" si="1043"/>
        <v>4.6100000000000002E-2</v>
      </c>
      <c r="AB1014" s="6">
        <f t="shared" si="1017"/>
        <v>67.58</v>
      </c>
      <c r="AC1014">
        <f t="shared" si="1009"/>
        <v>34</v>
      </c>
      <c r="AD1014" s="11">
        <f t="shared" si="1010"/>
        <v>0</v>
      </c>
      <c r="AE1014">
        <f t="shared" si="1008"/>
        <v>29</v>
      </c>
      <c r="AF1014">
        <f>IF(AND(AE1014&lt;15,OR(AC1014&gt;=30,AA1014&gt;0.15,X1014&gt;=0.15)),2,VLOOKUP(AE1014,Table!P:Q,2,FALSE))</f>
        <v>4</v>
      </c>
      <c r="AG1014" s="22">
        <f>IF((AB1014*0.98)-(D1014*0.8)+((AF1014-3)*3)+VLOOKUP(AM1014,Table!$A$11:$B$13,2,FALSE)&lt;0,0,(AB1014*0.98)-(D1014*0.8)+((AF1014-3)*3)+VLOOKUP(AM1014,Table!$A$11:$B$13,2,FALSE))</f>
        <v>57.77239999999999</v>
      </c>
      <c r="AH1014" s="22">
        <f t="shared" si="1039"/>
        <v>58</v>
      </c>
      <c r="AI1014" s="18">
        <f t="shared" si="1032"/>
        <v>4.41</v>
      </c>
      <c r="AJ1014" s="18">
        <f t="shared" si="1033"/>
        <v>4.5</v>
      </c>
      <c r="AK1014" t="str">
        <f t="shared" si="1018"/>
        <v/>
      </c>
      <c r="AL1014">
        <f t="shared" si="1029"/>
        <v>28.25</v>
      </c>
      <c r="AM1014" s="11" t="str">
        <f t="shared" si="1019"/>
        <v>Stocks</v>
      </c>
      <c r="AN1014" t="str">
        <f t="shared" si="1025"/>
        <v>Buy</v>
      </c>
      <c r="AO1014" s="13">
        <f t="shared" si="1026"/>
        <v>8.5000000000000006E-3</v>
      </c>
      <c r="AP1014" s="13">
        <f t="shared" si="1027"/>
        <v>8.0000000000000004E-4</v>
      </c>
      <c r="AQ1014" s="13">
        <f t="shared" si="1028"/>
        <v>5.3E-3</v>
      </c>
      <c r="AR1014" s="13">
        <f t="shared" si="1020"/>
        <v>8.5000000000000006E-3</v>
      </c>
      <c r="AS1014" s="6">
        <f t="shared" si="1012"/>
        <v>319.33411044227222</v>
      </c>
      <c r="AT1014" s="6">
        <f t="shared" si="1013"/>
        <v>136.93805615607536</v>
      </c>
      <c r="AU1014" s="6">
        <f t="shared" si="1014"/>
        <v>274.716342743317</v>
      </c>
      <c r="AV1014" s="6">
        <f t="shared" si="1015"/>
        <v>319.33411044227222</v>
      </c>
      <c r="AW1014" s="58">
        <f t="shared" si="1021"/>
        <v>1999</v>
      </c>
      <c r="AX1014" s="58">
        <f>COUNTIF(AW$3:AW1014,AW1014)</f>
        <v>40</v>
      </c>
    </row>
    <row r="1015" spans="1:50" x14ac:dyDescent="0.25">
      <c r="A1015" s="5">
        <v>36240</v>
      </c>
      <c r="B1015">
        <v>1299.29</v>
      </c>
      <c r="C1015">
        <v>4.42</v>
      </c>
      <c r="D1015" s="6">
        <v>24.84</v>
      </c>
      <c r="E1015" s="18">
        <f t="shared" si="1034"/>
        <v>25.6</v>
      </c>
      <c r="F1015">
        <f t="shared" si="1035"/>
        <v>-2</v>
      </c>
      <c r="G1015" s="18">
        <f>ROUND(INDEX(Valuation!U:U,MATCH(A1015,Valuation!A:A,0)),2)</f>
        <v>0</v>
      </c>
      <c r="H1015">
        <f t="shared" si="1042"/>
        <v>-3</v>
      </c>
      <c r="I1015" s="18">
        <f>INDEX(WeeklyIndicators!Y:Y,MATCH(A1015,WeeklyIndicators!A:A,0))</f>
        <v>128.44</v>
      </c>
      <c r="J1015">
        <f t="shared" si="1031"/>
        <v>0</v>
      </c>
      <c r="K1015">
        <f>ROUND(INDEX(Economic!AF:AF,MATCH(EOMONTH($A1015,-1),Economic!A:A,0)),2)</f>
        <v>134.79</v>
      </c>
      <c r="L1015" s="11">
        <f t="shared" si="1040"/>
        <v>2</v>
      </c>
      <c r="M1015">
        <f>ROUND(INDEX(Manufacturing!P:P,MATCH(EOMONTH($A1015,-1),Manufacturing!A:A,0)),2)</f>
        <v>103.66</v>
      </c>
      <c r="N1015">
        <f t="shared" si="1036"/>
        <v>2</v>
      </c>
      <c r="O1015">
        <f>ROUND(INDEX(Housing!AC:AC,MATCH(EOMONTH($A1015,-1),Housing!B:B,0)),2)</f>
        <v>147.06</v>
      </c>
      <c r="P1015">
        <f t="shared" si="1037"/>
        <v>3</v>
      </c>
      <c r="Q1015">
        <f>ROUND(INDEX(Spending!AJ:AJ,MATCH(EOMONTH($A1015,-1),Spending!B:B,0)),2)</f>
        <v>62.62</v>
      </c>
      <c r="R1015">
        <f t="shared" si="1041"/>
        <v>2</v>
      </c>
      <c r="S1015">
        <f>ROUND(INDEX(Employment!V:V,MATCH(EOMONTH($A1015,-1),Employment!A:A,0)),2)</f>
        <v>184.35</v>
      </c>
      <c r="T1015" s="11">
        <f t="shared" si="1038"/>
        <v>2</v>
      </c>
      <c r="U1015">
        <f t="shared" si="1030"/>
        <v>26</v>
      </c>
      <c r="V1015">
        <f t="shared" si="1022"/>
        <v>83.47</v>
      </c>
      <c r="W1015" s="13">
        <f t="shared" si="1023"/>
        <v>3.8E-3</v>
      </c>
      <c r="X1015" s="13">
        <f t="shared" si="1024"/>
        <v>3.8600000000000002E-2</v>
      </c>
      <c r="Y1015">
        <f t="shared" si="1016"/>
        <v>68.87</v>
      </c>
      <c r="Z1015" s="13">
        <f t="shared" si="1011"/>
        <v>1.15E-2</v>
      </c>
      <c r="AA1015" s="13">
        <f t="shared" si="1043"/>
        <v>5.7100000000000005E-2</v>
      </c>
      <c r="AB1015" s="6">
        <f t="shared" si="1017"/>
        <v>68.36</v>
      </c>
      <c r="AC1015">
        <f t="shared" si="1009"/>
        <v>34</v>
      </c>
      <c r="AD1015" s="11">
        <f t="shared" si="1010"/>
        <v>0</v>
      </c>
      <c r="AE1015">
        <f t="shared" si="1008"/>
        <v>28</v>
      </c>
      <c r="AF1015">
        <f>IF(AND(AE1015&lt;15,OR(AC1015&gt;=30,AA1015&gt;0.15,X1015&gt;=0.15)),2,VLOOKUP(AE1015,Table!P:Q,2,FALSE))</f>
        <v>4</v>
      </c>
      <c r="AG1015" s="22">
        <f>IF((AB1015*0.98)-(D1015*0.8)+((AF1015-3)*3)+VLOOKUP(AM1015,Table!$A$11:$B$13,2,FALSE)&lt;0,0,(AB1015*0.98)-(D1015*0.8)+((AF1015-3)*3)+VLOOKUP(AM1015,Table!$A$11:$B$13,2,FALSE))</f>
        <v>58.120800000000003</v>
      </c>
      <c r="AH1015" s="22">
        <f t="shared" si="1039"/>
        <v>58</v>
      </c>
      <c r="AI1015" s="18">
        <f t="shared" si="1032"/>
        <v>4.41</v>
      </c>
      <c r="AJ1015" s="18">
        <f t="shared" si="1033"/>
        <v>4.5199999999999996</v>
      </c>
      <c r="AK1015" t="str">
        <f t="shared" si="1018"/>
        <v/>
      </c>
      <c r="AL1015">
        <f t="shared" si="1029"/>
        <v>28</v>
      </c>
      <c r="AM1015" s="11" t="str">
        <f t="shared" si="1019"/>
        <v>Stocks</v>
      </c>
      <c r="AN1015" t="str">
        <f t="shared" si="1025"/>
        <v>Buy</v>
      </c>
      <c r="AO1015" s="13">
        <f t="shared" si="1026"/>
        <v>-1.2699999999999999E-2</v>
      </c>
      <c r="AP1015" s="13">
        <f t="shared" si="1027"/>
        <v>8.9999999999999998E-4</v>
      </c>
      <c r="AQ1015" s="13">
        <f t="shared" si="1028"/>
        <v>-7.0000000000000001E-3</v>
      </c>
      <c r="AR1015" s="13">
        <f t="shared" si="1020"/>
        <v>-1.2699999999999999E-2</v>
      </c>
      <c r="AS1015" s="6">
        <f t="shared" si="1012"/>
        <v>323.44182157629115</v>
      </c>
      <c r="AT1015" s="6">
        <f t="shared" si="1013"/>
        <v>136.81492272562232</v>
      </c>
      <c r="AU1015" s="6">
        <f t="shared" si="1014"/>
        <v>276.65291313526387</v>
      </c>
      <c r="AV1015" s="6">
        <f t="shared" si="1015"/>
        <v>323.44182157629115</v>
      </c>
      <c r="AW1015" s="58">
        <f t="shared" si="1021"/>
        <v>1999</v>
      </c>
      <c r="AX1015" s="58">
        <f>COUNTIF(AW$3:AW1015,AW1015)</f>
        <v>41</v>
      </c>
    </row>
    <row r="1016" spans="1:50" x14ac:dyDescent="0.25">
      <c r="A1016" s="5">
        <v>36233</v>
      </c>
      <c r="B1016">
        <v>1294.5899999999999</v>
      </c>
      <c r="C1016">
        <v>4.4800000000000004</v>
      </c>
      <c r="D1016" s="6">
        <v>24.08</v>
      </c>
      <c r="E1016" s="18">
        <f t="shared" si="1034"/>
        <v>27.09</v>
      </c>
      <c r="F1016">
        <f t="shared" si="1035"/>
        <v>-2</v>
      </c>
      <c r="G1016" s="18">
        <f>ROUND(INDEX(Valuation!U:U,MATCH(A1016,Valuation!A:A,0)),2)</f>
        <v>0</v>
      </c>
      <c r="H1016">
        <f t="shared" si="1042"/>
        <v>-3</v>
      </c>
      <c r="I1016" s="18">
        <f>INDEX(WeeklyIndicators!Y:Y,MATCH(A1016,WeeklyIndicators!A:A,0))</f>
        <v>131.21</v>
      </c>
      <c r="J1016">
        <f t="shared" si="1031"/>
        <v>0</v>
      </c>
      <c r="K1016">
        <f>ROUND(INDEX(Economic!AF:AF,MATCH(EOMONTH($A1016,-1),Economic!A:A,0)),2)</f>
        <v>134.79</v>
      </c>
      <c r="L1016" s="11">
        <f t="shared" si="1040"/>
        <v>2</v>
      </c>
      <c r="M1016">
        <f>ROUND(INDEX(Manufacturing!P:P,MATCH(EOMONTH($A1016,-1),Manufacturing!A:A,0)),2)</f>
        <v>103.66</v>
      </c>
      <c r="N1016">
        <f t="shared" si="1036"/>
        <v>2</v>
      </c>
      <c r="O1016">
        <f>ROUND(INDEX(Housing!AC:AC,MATCH(EOMONTH($A1016,-1),Housing!B:B,0)),2)</f>
        <v>147.06</v>
      </c>
      <c r="P1016">
        <f t="shared" si="1037"/>
        <v>3</v>
      </c>
      <c r="Q1016">
        <f>ROUND(INDEX(Spending!AJ:AJ,MATCH(EOMONTH($A1016,-1),Spending!B:B,0)),2)</f>
        <v>62.62</v>
      </c>
      <c r="R1016">
        <f t="shared" si="1041"/>
        <v>2</v>
      </c>
      <c r="S1016">
        <f>ROUND(INDEX(Employment!V:V,MATCH(EOMONTH($A1016,-1),Employment!A:A,0)),2)</f>
        <v>184.35</v>
      </c>
      <c r="T1016" s="11">
        <f t="shared" si="1038"/>
        <v>2</v>
      </c>
      <c r="U1016">
        <f t="shared" si="1030"/>
        <v>26</v>
      </c>
      <c r="V1016">
        <f t="shared" si="1022"/>
        <v>83.75</v>
      </c>
      <c r="W1016" s="13">
        <f t="shared" si="1023"/>
        <v>8.0999999999999996E-3</v>
      </c>
      <c r="X1016" s="13">
        <f t="shared" si="1024"/>
        <v>5.4300000000000001E-2</v>
      </c>
      <c r="Y1016">
        <f t="shared" si="1016"/>
        <v>68.64</v>
      </c>
      <c r="Z1016" s="13">
        <f t="shared" si="1011"/>
        <v>1.26E-2</v>
      </c>
      <c r="AA1016" s="13">
        <f t="shared" si="1043"/>
        <v>6.93E-2</v>
      </c>
      <c r="AB1016" s="6">
        <f t="shared" si="1017"/>
        <v>69.12</v>
      </c>
      <c r="AC1016">
        <f t="shared" si="1009"/>
        <v>35</v>
      </c>
      <c r="AD1016" s="11">
        <f t="shared" si="1010"/>
        <v>0</v>
      </c>
      <c r="AE1016">
        <f t="shared" ref="AE1016:AE1079" si="1044">IF(AND(AA1016&gt;=0.2,AC1016&gt;=20,U1016+AD1016+2&lt;30),U1016+AD1016+2+12,U1016+AD1016+2)</f>
        <v>28</v>
      </c>
      <c r="AF1016">
        <f>IF(AND(AE1016&lt;15,OR(AC1016&gt;=30,AA1016&gt;0.15,X1016&gt;=0.15)),2,VLOOKUP(AE1016,Table!P:Q,2,FALSE))</f>
        <v>4</v>
      </c>
      <c r="AG1016" s="22">
        <f>IF((AB1016*0.98)-(D1016*0.8)+((AF1016-3)*3)+VLOOKUP(AM1016,Table!$A$11:$B$13,2,FALSE)&lt;0,0,(AB1016*0.98)-(D1016*0.8)+((AF1016-3)*3)+VLOOKUP(AM1016,Table!$A$11:$B$13,2,FALSE))</f>
        <v>59.473600000000005</v>
      </c>
      <c r="AH1016" s="22">
        <f t="shared" si="1039"/>
        <v>56</v>
      </c>
      <c r="AI1016" s="18">
        <f t="shared" si="1032"/>
        <v>4.41</v>
      </c>
      <c r="AJ1016" s="18">
        <f t="shared" si="1033"/>
        <v>4.53</v>
      </c>
      <c r="AK1016" t="str">
        <f t="shared" si="1018"/>
        <v/>
      </c>
      <c r="AL1016">
        <f t="shared" si="1029"/>
        <v>27.75</v>
      </c>
      <c r="AM1016" s="11" t="str">
        <f t="shared" si="1019"/>
        <v>Stocks</v>
      </c>
      <c r="AN1016" t="str">
        <f t="shared" si="1025"/>
        <v>Buy</v>
      </c>
      <c r="AO1016" s="13">
        <f t="shared" si="1026"/>
        <v>3.5999999999999999E-3</v>
      </c>
      <c r="AP1016" s="13">
        <f t="shared" si="1027"/>
        <v>8.9999999999999998E-4</v>
      </c>
      <c r="AQ1016" s="13">
        <f t="shared" si="1028"/>
        <v>2.3999999999999998E-3</v>
      </c>
      <c r="AR1016" s="13">
        <f t="shared" si="1020"/>
        <v>3.5999999999999999E-3</v>
      </c>
      <c r="AS1016" s="6">
        <f t="shared" si="1012"/>
        <v>322.28160778825344</v>
      </c>
      <c r="AT1016" s="6">
        <f t="shared" si="1013"/>
        <v>136.6919000156083</v>
      </c>
      <c r="AU1016" s="6">
        <f t="shared" si="1014"/>
        <v>275.99053584922575</v>
      </c>
      <c r="AV1016" s="6">
        <f t="shared" si="1015"/>
        <v>322.28160778825344</v>
      </c>
      <c r="AW1016" s="58">
        <f t="shared" si="1021"/>
        <v>1999</v>
      </c>
      <c r="AX1016" s="58">
        <f>COUNTIF(AW$3:AW1016,AW1016)</f>
        <v>42</v>
      </c>
    </row>
    <row r="1017" spans="1:50" x14ac:dyDescent="0.25">
      <c r="A1017" s="5">
        <v>36226</v>
      </c>
      <c r="B1017">
        <v>1275.47</v>
      </c>
      <c r="C1017">
        <v>4.5199999999999996</v>
      </c>
      <c r="D1017" s="6">
        <v>27.879999000000002</v>
      </c>
      <c r="E1017" s="18">
        <f t="shared" si="1034"/>
        <v>28.98</v>
      </c>
      <c r="F1017">
        <f t="shared" si="1035"/>
        <v>-2</v>
      </c>
      <c r="G1017" s="18">
        <f>ROUND(INDEX(Valuation!U:U,MATCH(A1017,Valuation!A:A,0)),2)</f>
        <v>0</v>
      </c>
      <c r="H1017">
        <f t="shared" si="1042"/>
        <v>-3</v>
      </c>
      <c r="I1017" s="18">
        <f>INDEX(WeeklyIndicators!Y:Y,MATCH(A1017,WeeklyIndicators!A:A,0))</f>
        <v>132.38</v>
      </c>
      <c r="J1017">
        <f t="shared" si="1031"/>
        <v>0</v>
      </c>
      <c r="K1017">
        <f>ROUND(INDEX(Economic!AF:AF,MATCH(EOMONTH($A1017,-1),Economic!A:A,0)),2)</f>
        <v>134.79</v>
      </c>
      <c r="L1017" s="11">
        <f t="shared" si="1040"/>
        <v>2</v>
      </c>
      <c r="M1017">
        <f>ROUND(INDEX(Manufacturing!P:P,MATCH(EOMONTH($A1017,-1),Manufacturing!A:A,0)),2)</f>
        <v>103.66</v>
      </c>
      <c r="N1017">
        <f t="shared" si="1036"/>
        <v>2</v>
      </c>
      <c r="O1017">
        <f>ROUND(INDEX(Housing!AC:AC,MATCH(EOMONTH($A1017,-1),Housing!B:B,0)),2)</f>
        <v>147.06</v>
      </c>
      <c r="P1017">
        <f t="shared" si="1037"/>
        <v>3</v>
      </c>
      <c r="Q1017">
        <f>ROUND(INDEX(Spending!AJ:AJ,MATCH(EOMONTH($A1017,-1),Spending!B:B,0)),2)</f>
        <v>62.62</v>
      </c>
      <c r="R1017">
        <f t="shared" si="1041"/>
        <v>2</v>
      </c>
      <c r="S1017">
        <f>ROUND(INDEX(Employment!V:V,MATCH(EOMONTH($A1017,-1),Employment!A:A,0)),2)</f>
        <v>184.35</v>
      </c>
      <c r="T1017" s="11">
        <f t="shared" si="1038"/>
        <v>2</v>
      </c>
      <c r="U1017">
        <f t="shared" si="1030"/>
        <v>26</v>
      </c>
      <c r="V1017">
        <f t="shared" si="1022"/>
        <v>83.87</v>
      </c>
      <c r="W1017" s="13">
        <f t="shared" si="1023"/>
        <v>1.38E-2</v>
      </c>
      <c r="X1017" s="13">
        <f t="shared" si="1024"/>
        <v>5.8600000000000006E-2</v>
      </c>
      <c r="Y1017">
        <f t="shared" si="1016"/>
        <v>68.099999999999994</v>
      </c>
      <c r="Z1017" s="13">
        <f t="shared" si="1011"/>
        <v>1.77E-2</v>
      </c>
      <c r="AA1017" s="13">
        <f t="shared" si="1043"/>
        <v>6.54E-2</v>
      </c>
      <c r="AB1017" s="6">
        <f t="shared" si="1017"/>
        <v>68.36</v>
      </c>
      <c r="AC1017">
        <f t="shared" si="1009"/>
        <v>34</v>
      </c>
      <c r="AD1017" s="11">
        <f t="shared" si="1010"/>
        <v>0</v>
      </c>
      <c r="AE1017">
        <f t="shared" si="1044"/>
        <v>28</v>
      </c>
      <c r="AF1017">
        <f>IF(AND(AE1017&lt;15,OR(AC1017&gt;=30,AA1017&gt;0.15,X1017&gt;=0.15)),2,VLOOKUP(AE1017,Table!P:Q,2,FALSE))</f>
        <v>4</v>
      </c>
      <c r="AG1017" s="22">
        <f>IF((AB1017*0.98)-(D1017*0.8)+((AF1017-3)*3)+VLOOKUP(AM1017,Table!$A$11:$B$13,2,FALSE)&lt;0,0,(AB1017*0.98)-(D1017*0.8)+((AF1017-3)*3)+VLOOKUP(AM1017,Table!$A$11:$B$13,2,FALSE))</f>
        <v>55.688800799999996</v>
      </c>
      <c r="AH1017" s="22">
        <f t="shared" si="1039"/>
        <v>52</v>
      </c>
      <c r="AI1017" s="18">
        <f t="shared" si="1032"/>
        <v>4.4000000000000004</v>
      </c>
      <c r="AJ1017" s="18">
        <f t="shared" si="1033"/>
        <v>4.55</v>
      </c>
      <c r="AK1017" t="str">
        <f t="shared" si="1018"/>
        <v/>
      </c>
      <c r="AL1017">
        <f t="shared" si="1029"/>
        <v>27.25</v>
      </c>
      <c r="AM1017" s="11" t="str">
        <f t="shared" si="1019"/>
        <v>Stocks</v>
      </c>
      <c r="AN1017" t="str">
        <f t="shared" si="1025"/>
        <v>Buy</v>
      </c>
      <c r="AO1017" s="13">
        <f t="shared" si="1026"/>
        <v>1.4999999999999999E-2</v>
      </c>
      <c r="AP1017" s="13">
        <f t="shared" si="1027"/>
        <v>8.9999999999999998E-4</v>
      </c>
      <c r="AQ1017" s="13">
        <f t="shared" si="1028"/>
        <v>8.2000000000000007E-3</v>
      </c>
      <c r="AR1017" s="13">
        <f t="shared" si="1020"/>
        <v>1.4999999999999999E-2</v>
      </c>
      <c r="AS1017" s="6">
        <f t="shared" si="1012"/>
        <v>317.51882540714627</v>
      </c>
      <c r="AT1017" s="6">
        <f t="shared" si="1013"/>
        <v>136.56898792647448</v>
      </c>
      <c r="AU1017" s="6">
        <f t="shared" si="1014"/>
        <v>273.74582012420723</v>
      </c>
      <c r="AV1017" s="6">
        <f t="shared" si="1015"/>
        <v>317.51882540714627</v>
      </c>
      <c r="AW1017" s="58">
        <f t="shared" si="1021"/>
        <v>1999</v>
      </c>
      <c r="AX1017" s="58">
        <f>COUNTIF(AW$3:AW1017,AW1017)</f>
        <v>43</v>
      </c>
    </row>
    <row r="1018" spans="1:50" x14ac:dyDescent="0.25">
      <c r="A1018" s="5">
        <v>36219</v>
      </c>
      <c r="B1018">
        <v>1238.33</v>
      </c>
      <c r="C1018">
        <v>4.53</v>
      </c>
      <c r="D1018" s="6">
        <v>29.299999</v>
      </c>
      <c r="E1018" s="18">
        <f t="shared" si="1034"/>
        <v>29.58</v>
      </c>
      <c r="F1018">
        <f t="shared" si="1035"/>
        <v>-2</v>
      </c>
      <c r="G1018" s="18">
        <f>ROUND(INDEX(Valuation!U:U,MATCH(A1018,Valuation!A:A,0)),2)</f>
        <v>0</v>
      </c>
      <c r="H1018">
        <f t="shared" si="1042"/>
        <v>-3</v>
      </c>
      <c r="I1018" s="18">
        <f>INDEX(WeeklyIndicators!Y:Y,MATCH(A1018,WeeklyIndicators!A:A,0))</f>
        <v>129.06</v>
      </c>
      <c r="J1018">
        <f t="shared" si="1031"/>
        <v>0</v>
      </c>
      <c r="K1018">
        <f>ROUND(INDEX(Economic!AF:AF,MATCH(EOMONTH($A1018,-1),Economic!A:A,0)),2)</f>
        <v>126.12</v>
      </c>
      <c r="L1018" s="11">
        <f t="shared" si="1040"/>
        <v>2</v>
      </c>
      <c r="M1018">
        <f>ROUND(INDEX(Manufacturing!P:P,MATCH(EOMONTH($A1018,-1),Manufacturing!A:A,0)),2)</f>
        <v>104.24</v>
      </c>
      <c r="N1018">
        <f t="shared" si="1036"/>
        <v>2</v>
      </c>
      <c r="O1018">
        <f>ROUND(INDEX(Housing!AC:AC,MATCH(EOMONTH($A1018,-1),Housing!B:B,0)),2)</f>
        <v>149.72</v>
      </c>
      <c r="P1018">
        <f t="shared" si="1037"/>
        <v>3</v>
      </c>
      <c r="Q1018">
        <f>ROUND(INDEX(Spending!AJ:AJ,MATCH(EOMONTH($A1018,-1),Spending!B:B,0)),2)</f>
        <v>63.66</v>
      </c>
      <c r="R1018">
        <f t="shared" si="1041"/>
        <v>2</v>
      </c>
      <c r="S1018">
        <f>ROUND(INDEX(Employment!V:V,MATCH(EOMONTH($A1018,-1),Employment!A:A,0)),2)</f>
        <v>182.71</v>
      </c>
      <c r="T1018" s="11">
        <f t="shared" si="1038"/>
        <v>2</v>
      </c>
      <c r="U1018">
        <f t="shared" si="1030"/>
        <v>26</v>
      </c>
      <c r="V1018">
        <f t="shared" si="1022"/>
        <v>82.52</v>
      </c>
      <c r="W1018" s="13">
        <f t="shared" si="1023"/>
        <v>1.29E-2</v>
      </c>
      <c r="X1018" s="13">
        <f t="shared" si="1024"/>
        <v>4.9700000000000001E-2</v>
      </c>
      <c r="Y1018">
        <f t="shared" si="1016"/>
        <v>66.540000000000006</v>
      </c>
      <c r="Z1018" s="13">
        <f t="shared" si="1011"/>
        <v>1.5299999999999999E-2</v>
      </c>
      <c r="AA1018" s="13">
        <f t="shared" si="1043"/>
        <v>4.1700000000000001E-2</v>
      </c>
      <c r="AB1018" s="6">
        <f t="shared" si="1017"/>
        <v>65.08</v>
      </c>
      <c r="AC1018">
        <f t="shared" si="1009"/>
        <v>33</v>
      </c>
      <c r="AD1018" s="11">
        <f t="shared" si="1010"/>
        <v>0</v>
      </c>
      <c r="AE1018">
        <f t="shared" si="1044"/>
        <v>28</v>
      </c>
      <c r="AF1018">
        <f>IF(AND(AE1018&lt;15,OR(AC1018&gt;=30,AA1018&gt;0.15,X1018&gt;=0.15)),2,VLOOKUP(AE1018,Table!P:Q,2,FALSE))</f>
        <v>4</v>
      </c>
      <c r="AG1018" s="22">
        <f>IF((AB1018*0.98)-(D1018*0.8)+((AF1018-3)*3)+VLOOKUP(AM1018,Table!$A$11:$B$13,2,FALSE)&lt;0,0,(AB1018*0.98)-(D1018*0.8)+((AF1018-3)*3)+VLOOKUP(AM1018,Table!$A$11:$B$13,2,FALSE))</f>
        <v>51.338400799999995</v>
      </c>
      <c r="AH1018" s="22">
        <f t="shared" si="1039"/>
        <v>48</v>
      </c>
      <c r="AI1018" s="18">
        <f t="shared" si="1032"/>
        <v>4.3899999999999997</v>
      </c>
      <c r="AJ1018" s="18">
        <f t="shared" si="1033"/>
        <v>4.5599999999999996</v>
      </c>
      <c r="AK1018" t="str">
        <f t="shared" si="1018"/>
        <v/>
      </c>
      <c r="AL1018">
        <f t="shared" si="1029"/>
        <v>26.75</v>
      </c>
      <c r="AM1018" s="11" t="str">
        <f t="shared" si="1019"/>
        <v>Stocks</v>
      </c>
      <c r="AN1018" t="str">
        <f t="shared" si="1025"/>
        <v>Buy</v>
      </c>
      <c r="AO1018" s="13">
        <f t="shared" si="1026"/>
        <v>0.03</v>
      </c>
      <c r="AP1018" s="13">
        <f t="shared" si="1027"/>
        <v>8.9999999999999998E-4</v>
      </c>
      <c r="AQ1018" s="13">
        <f t="shared" si="1028"/>
        <v>1.49E-2</v>
      </c>
      <c r="AR1018" s="13">
        <f t="shared" si="1020"/>
        <v>0.03</v>
      </c>
      <c r="AS1018" s="6">
        <f t="shared" si="1012"/>
        <v>308.27070427878277</v>
      </c>
      <c r="AT1018" s="6">
        <f t="shared" si="1013"/>
        <v>136.44618635875162</v>
      </c>
      <c r="AU1018" s="6">
        <f t="shared" si="1014"/>
        <v>269.72688947108804</v>
      </c>
      <c r="AV1018" s="6">
        <f t="shared" si="1015"/>
        <v>308.27070427878277</v>
      </c>
      <c r="AW1018" s="58">
        <f t="shared" si="1021"/>
        <v>1999</v>
      </c>
      <c r="AX1018" s="58">
        <f>COUNTIF(AW$3:AW1018,AW1018)</f>
        <v>44</v>
      </c>
    </row>
    <row r="1019" spans="1:50" x14ac:dyDescent="0.25">
      <c r="A1019" s="5">
        <v>36212</v>
      </c>
      <c r="B1019">
        <v>1239.22</v>
      </c>
      <c r="C1019">
        <v>4.42</v>
      </c>
      <c r="D1019" s="6">
        <v>29.76</v>
      </c>
      <c r="E1019" s="18">
        <f t="shared" si="1034"/>
        <v>28.56</v>
      </c>
      <c r="F1019">
        <f t="shared" si="1035"/>
        <v>-2</v>
      </c>
      <c r="G1019" s="18">
        <f>ROUND(INDEX(Valuation!U:U,MATCH(A1019,Valuation!A:A,0)),2)</f>
        <v>0</v>
      </c>
      <c r="H1019">
        <f t="shared" si="1042"/>
        <v>-3</v>
      </c>
      <c r="I1019" s="18">
        <f>INDEX(WeeklyIndicators!Y:Y,MATCH(A1019,WeeklyIndicators!A:A,0))</f>
        <v>121.57</v>
      </c>
      <c r="J1019">
        <f t="shared" si="1031"/>
        <v>0</v>
      </c>
      <c r="K1019">
        <f>ROUND(INDEX(Economic!AF:AF,MATCH(EOMONTH($A1019,-1),Economic!A:A,0)),2)</f>
        <v>126.12</v>
      </c>
      <c r="L1019" s="11">
        <f t="shared" si="1040"/>
        <v>2</v>
      </c>
      <c r="M1019">
        <f>ROUND(INDEX(Manufacturing!P:P,MATCH(EOMONTH($A1019,-1),Manufacturing!A:A,0)),2)</f>
        <v>104.24</v>
      </c>
      <c r="N1019">
        <f t="shared" si="1036"/>
        <v>2</v>
      </c>
      <c r="O1019">
        <f>ROUND(INDEX(Housing!AC:AC,MATCH(EOMONTH($A1019,-1),Housing!B:B,0)),2)</f>
        <v>149.72</v>
      </c>
      <c r="P1019">
        <f t="shared" si="1037"/>
        <v>3</v>
      </c>
      <c r="Q1019">
        <f>ROUND(INDEX(Spending!AJ:AJ,MATCH(EOMONTH($A1019,-1),Spending!B:B,0)),2)</f>
        <v>63.66</v>
      </c>
      <c r="R1019">
        <f t="shared" si="1041"/>
        <v>2</v>
      </c>
      <c r="S1019">
        <f>ROUND(INDEX(Employment!V:V,MATCH(EOMONTH($A1019,-1),Employment!A:A,0)),2)</f>
        <v>182.71</v>
      </c>
      <c r="T1019" s="11">
        <f t="shared" si="1038"/>
        <v>2</v>
      </c>
      <c r="U1019">
        <f t="shared" si="1030"/>
        <v>26</v>
      </c>
      <c r="V1019">
        <f t="shared" si="1022"/>
        <v>81.739999999999995</v>
      </c>
      <c r="W1019" s="13">
        <f t="shared" si="1023"/>
        <v>1.95E-2</v>
      </c>
      <c r="X1019" s="13">
        <f t="shared" si="1024"/>
        <v>3.1E-2</v>
      </c>
      <c r="Y1019">
        <f t="shared" si="1016"/>
        <v>66.12</v>
      </c>
      <c r="Z1019" s="13">
        <f t="shared" si="1011"/>
        <v>2.3699999999999999E-2</v>
      </c>
      <c r="AA1019" s="13">
        <f t="shared" si="1043"/>
        <v>8.7999999999999988E-3</v>
      </c>
      <c r="AB1019" s="6">
        <f t="shared" si="1017"/>
        <v>62.239999999999995</v>
      </c>
      <c r="AC1019">
        <f t="shared" si="1009"/>
        <v>31</v>
      </c>
      <c r="AD1019" s="11">
        <f t="shared" si="1010"/>
        <v>-1</v>
      </c>
      <c r="AE1019">
        <f t="shared" si="1044"/>
        <v>27</v>
      </c>
      <c r="AF1019">
        <f>IF(AND(AE1019&lt;15,OR(AC1019&gt;=30,AA1019&gt;0.15,X1019&gt;=0.15)),2,VLOOKUP(AE1019,Table!P:Q,2,FALSE))</f>
        <v>4</v>
      </c>
      <c r="AG1019" s="22">
        <f>IF((AB1019*0.98)-(D1019*0.8)+((AF1019-3)*3)+VLOOKUP(AM1019,Table!$A$11:$B$13,2,FALSE)&lt;0,0,(AB1019*0.98)-(D1019*0.8)+((AF1019-3)*3)+VLOOKUP(AM1019,Table!$A$11:$B$13,2,FALSE))</f>
        <v>48.18719999999999</v>
      </c>
      <c r="AH1019" s="22">
        <f t="shared" si="1039"/>
        <v>46</v>
      </c>
      <c r="AI1019" s="18">
        <f t="shared" si="1032"/>
        <v>4.38</v>
      </c>
      <c r="AJ1019" s="18">
        <f t="shared" si="1033"/>
        <v>4.57</v>
      </c>
      <c r="AK1019" t="str">
        <f t="shared" si="1018"/>
        <v/>
      </c>
      <c r="AL1019">
        <f t="shared" si="1029"/>
        <v>25.75</v>
      </c>
      <c r="AM1019" s="11" t="str">
        <f t="shared" si="1019"/>
        <v>Stocks</v>
      </c>
      <c r="AN1019" t="str">
        <f t="shared" si="1025"/>
        <v>Buy</v>
      </c>
      <c r="AO1019" s="13">
        <f t="shared" si="1026"/>
        <v>-6.9999999999999999E-4</v>
      </c>
      <c r="AP1019" s="13">
        <f t="shared" si="1027"/>
        <v>8.9999999999999998E-4</v>
      </c>
      <c r="AQ1019" s="13">
        <f t="shared" si="1028"/>
        <v>2.0000000000000001E-4</v>
      </c>
      <c r="AR1019" s="13">
        <f t="shared" si="1020"/>
        <v>-6.9999999999999999E-4</v>
      </c>
      <c r="AS1019" s="6">
        <f t="shared" si="1012"/>
        <v>308.48664493023392</v>
      </c>
      <c r="AT1019" s="6">
        <f t="shared" si="1013"/>
        <v>136.32349521305989</v>
      </c>
      <c r="AU1019" s="6">
        <f t="shared" si="1014"/>
        <v>269.672954880112</v>
      </c>
      <c r="AV1019" s="6">
        <f t="shared" si="1015"/>
        <v>308.48664493023392</v>
      </c>
      <c r="AW1019" s="58">
        <f t="shared" si="1021"/>
        <v>1999</v>
      </c>
      <c r="AX1019" s="58">
        <f>COUNTIF(AW$3:AW1019,AW1019)</f>
        <v>45</v>
      </c>
    </row>
    <row r="1020" spans="1:50" x14ac:dyDescent="0.25">
      <c r="A1020" s="5">
        <v>36205</v>
      </c>
      <c r="B1020">
        <v>1230.1300000000001</v>
      </c>
      <c r="C1020">
        <v>4.4000000000000004</v>
      </c>
      <c r="D1020" s="6">
        <v>29.67</v>
      </c>
      <c r="E1020" s="18">
        <f t="shared" si="1034"/>
        <v>29.29</v>
      </c>
      <c r="F1020">
        <f t="shared" si="1035"/>
        <v>-2</v>
      </c>
      <c r="G1020" s="18">
        <f>ROUND(INDEX(Valuation!U:U,MATCH(A1020,Valuation!A:A,0)),2)</f>
        <v>0</v>
      </c>
      <c r="H1020">
        <f t="shared" si="1042"/>
        <v>-3</v>
      </c>
      <c r="I1020" s="18">
        <f>INDEX(WeeklyIndicators!Y:Y,MATCH(A1020,WeeklyIndicators!A:A,0))</f>
        <v>109.45</v>
      </c>
      <c r="J1020">
        <f t="shared" si="1031"/>
        <v>-1</v>
      </c>
      <c r="K1020">
        <f>ROUND(INDEX(Economic!AF:AF,MATCH(EOMONTH($A1020,-1),Economic!A:A,0)),2)</f>
        <v>126.12</v>
      </c>
      <c r="L1020" s="11">
        <f t="shared" si="1040"/>
        <v>2</v>
      </c>
      <c r="M1020">
        <f>ROUND(INDEX(Manufacturing!P:P,MATCH(EOMONTH($A1020,-1),Manufacturing!A:A,0)),2)</f>
        <v>104.24</v>
      </c>
      <c r="N1020">
        <f t="shared" si="1036"/>
        <v>2</v>
      </c>
      <c r="O1020">
        <f>ROUND(INDEX(Housing!AC:AC,MATCH(EOMONTH($A1020,-1),Housing!B:B,0)),2)</f>
        <v>149.72</v>
      </c>
      <c r="P1020">
        <f t="shared" si="1037"/>
        <v>3</v>
      </c>
      <c r="Q1020">
        <f>ROUND(INDEX(Spending!AJ:AJ,MATCH(EOMONTH($A1020,-1),Spending!B:B,0)),2)</f>
        <v>63.66</v>
      </c>
      <c r="R1020">
        <f t="shared" si="1041"/>
        <v>2</v>
      </c>
      <c r="S1020">
        <f>ROUND(INDEX(Employment!V:V,MATCH(EOMONTH($A1020,-1),Employment!A:A,0)),2)</f>
        <v>182.71</v>
      </c>
      <c r="T1020" s="11">
        <f t="shared" si="1038"/>
        <v>2</v>
      </c>
      <c r="U1020">
        <f t="shared" si="1030"/>
        <v>25</v>
      </c>
      <c r="V1020">
        <f t="shared" si="1022"/>
        <v>80.489999999999995</v>
      </c>
      <c r="W1020" s="13">
        <f t="shared" si="1023"/>
        <v>1.24E-2</v>
      </c>
      <c r="X1020" s="13">
        <f t="shared" si="1024"/>
        <v>7.6E-3</v>
      </c>
      <c r="Y1020">
        <f t="shared" si="1016"/>
        <v>64.599999999999994</v>
      </c>
      <c r="Z1020" s="13">
        <f t="shared" si="1011"/>
        <v>8.6999999999999994E-3</v>
      </c>
      <c r="AA1020" s="13">
        <f t="shared" si="1043"/>
        <v>-2.7000000000000003E-2</v>
      </c>
      <c r="AB1020" s="6">
        <f t="shared" si="1017"/>
        <v>58.05</v>
      </c>
      <c r="AC1020">
        <f t="shared" si="1009"/>
        <v>29</v>
      </c>
      <c r="AD1020" s="11">
        <f t="shared" si="1010"/>
        <v>-1</v>
      </c>
      <c r="AE1020">
        <f t="shared" si="1044"/>
        <v>26</v>
      </c>
      <c r="AF1020">
        <f>IF(AND(AE1020&lt;15,OR(AC1020&gt;=30,AA1020&gt;0.15,X1020&gt;=0.15)),2,VLOOKUP(AE1020,Table!P:Q,2,FALSE))</f>
        <v>4</v>
      </c>
      <c r="AG1020" s="22">
        <f>IF((AB1020*0.98)-(D1020*0.8)+((AF1020-3)*3)+VLOOKUP(AM1020,Table!$A$11:$B$13,2,FALSE)&lt;0,0,(AB1020*0.98)-(D1020*0.8)+((AF1020-3)*3)+VLOOKUP(AM1020,Table!$A$11:$B$13,2,FALSE))</f>
        <v>44.152999999999992</v>
      </c>
      <c r="AH1020" s="22">
        <f t="shared" si="1039"/>
        <v>42</v>
      </c>
      <c r="AI1020" s="18">
        <f t="shared" si="1032"/>
        <v>4.38</v>
      </c>
      <c r="AJ1020" s="18">
        <f t="shared" si="1033"/>
        <v>4.59</v>
      </c>
      <c r="AK1020" t="str">
        <f t="shared" si="1018"/>
        <v/>
      </c>
      <c r="AL1020">
        <f t="shared" si="1029"/>
        <v>25</v>
      </c>
      <c r="AM1020" s="11" t="str">
        <f t="shared" si="1019"/>
        <v>Stocks</v>
      </c>
      <c r="AN1020" t="str">
        <f t="shared" si="1025"/>
        <v>Buy</v>
      </c>
      <c r="AO1020" s="13">
        <f t="shared" si="1026"/>
        <v>7.4000000000000003E-3</v>
      </c>
      <c r="AP1020" s="13">
        <f t="shared" si="1027"/>
        <v>8.0000000000000004E-4</v>
      </c>
      <c r="AQ1020" s="13">
        <f t="shared" si="1028"/>
        <v>3.5999999999999999E-3</v>
      </c>
      <c r="AR1020" s="13">
        <f t="shared" si="1020"/>
        <v>7.4000000000000003E-3</v>
      </c>
      <c r="AS1020" s="6">
        <f t="shared" si="1012"/>
        <v>306.22061239848512</v>
      </c>
      <c r="AT1020" s="6">
        <f t="shared" si="1013"/>
        <v>136.21452359418456</v>
      </c>
      <c r="AU1020" s="6">
        <f t="shared" si="1014"/>
        <v>268.70561466730965</v>
      </c>
      <c r="AV1020" s="6">
        <f t="shared" si="1015"/>
        <v>306.22061239848512</v>
      </c>
      <c r="AW1020" s="58">
        <f t="shared" si="1021"/>
        <v>1999</v>
      </c>
      <c r="AX1020" s="58">
        <f>COUNTIF(AW$3:AW1020,AW1020)</f>
        <v>46</v>
      </c>
    </row>
    <row r="1021" spans="1:50" x14ac:dyDescent="0.25">
      <c r="A1021" s="5">
        <v>36198</v>
      </c>
      <c r="B1021">
        <v>1239.4000000000001</v>
      </c>
      <c r="C1021">
        <v>4.4000000000000004</v>
      </c>
      <c r="D1021" s="6">
        <v>26.25</v>
      </c>
      <c r="E1021" s="18">
        <f t="shared" si="1034"/>
        <v>29.15</v>
      </c>
      <c r="F1021">
        <f t="shared" si="1035"/>
        <v>-2</v>
      </c>
      <c r="G1021" s="18">
        <f>ROUND(INDEX(Valuation!U:U,MATCH(A1021,Valuation!A:A,0)),2)</f>
        <v>0</v>
      </c>
      <c r="H1021">
        <f t="shared" si="1042"/>
        <v>-3</v>
      </c>
      <c r="I1021" s="18">
        <f>INDEX(WeeklyIndicators!Y:Y,MATCH(A1021,WeeklyIndicators!A:A,0))</f>
        <v>98.93</v>
      </c>
      <c r="J1021">
        <f t="shared" si="1031"/>
        <v>-1</v>
      </c>
      <c r="K1021">
        <f>ROUND(INDEX(Economic!AF:AF,MATCH(EOMONTH($A1021,-1),Economic!A:A,0)),2)</f>
        <v>126.12</v>
      </c>
      <c r="L1021" s="11">
        <f t="shared" si="1040"/>
        <v>2</v>
      </c>
      <c r="M1021">
        <f>ROUND(INDEX(Manufacturing!P:P,MATCH(EOMONTH($A1021,-1),Manufacturing!A:A,0)),2)</f>
        <v>104.24</v>
      </c>
      <c r="N1021">
        <f t="shared" si="1036"/>
        <v>2</v>
      </c>
      <c r="O1021">
        <f>ROUND(INDEX(Housing!AC:AC,MATCH(EOMONTH($A1021,-1),Housing!B:B,0)),2)</f>
        <v>149.72</v>
      </c>
      <c r="P1021">
        <f t="shared" si="1037"/>
        <v>3</v>
      </c>
      <c r="Q1021">
        <f>ROUND(INDEX(Spending!AJ:AJ,MATCH(EOMONTH($A1021,-1),Spending!B:B,0)),2)</f>
        <v>63.66</v>
      </c>
      <c r="R1021">
        <f t="shared" si="1041"/>
        <v>2</v>
      </c>
      <c r="S1021">
        <f>ROUND(INDEX(Employment!V:V,MATCH(EOMONTH($A1021,-1),Employment!A:A,0)),2)</f>
        <v>182.71</v>
      </c>
      <c r="T1021" s="11">
        <f t="shared" si="1038"/>
        <v>2</v>
      </c>
      <c r="U1021">
        <f t="shared" si="1030"/>
        <v>25</v>
      </c>
      <c r="V1021">
        <f t="shared" si="1022"/>
        <v>79.400000000000006</v>
      </c>
      <c r="W1021" s="13">
        <f t="shared" si="1023"/>
        <v>4.8999999999999998E-3</v>
      </c>
      <c r="X1021" s="13">
        <f t="shared" si="1024"/>
        <v>-1.4999999999999996E-3</v>
      </c>
      <c r="Y1021">
        <f t="shared" si="1016"/>
        <v>63.56</v>
      </c>
      <c r="Z1021" s="13">
        <f t="shared" si="1011"/>
        <v>-6.0000000000000001E-3</v>
      </c>
      <c r="AA1021" s="13">
        <f t="shared" si="1043"/>
        <v>-3.5900000000000001E-2</v>
      </c>
      <c r="AB1021" s="6">
        <f t="shared" si="1017"/>
        <v>56.289999999999992</v>
      </c>
      <c r="AC1021">
        <f t="shared" ref="AC1021:AC1084" si="1045">IF(ROUND(AB1021/2,0)&lt;0,0,ROUND(AB1021/2,0))</f>
        <v>28</v>
      </c>
      <c r="AD1021" s="11">
        <f t="shared" si="1010"/>
        <v>-1</v>
      </c>
      <c r="AE1021">
        <f t="shared" si="1044"/>
        <v>26</v>
      </c>
      <c r="AF1021">
        <f>IF(AND(AE1021&lt;15,OR(AC1021&gt;=30,AA1021&gt;0.15,X1021&gt;=0.15)),2,VLOOKUP(AE1021,Table!P:Q,2,FALSE))</f>
        <v>4</v>
      </c>
      <c r="AG1021" s="22">
        <f>IF((AB1021*0.98)-(D1021*0.8)+((AF1021-3)*3)+VLOOKUP(AM1021,Table!$A$11:$B$13,2,FALSE)&lt;0,0,(AB1021*0.98)-(D1021*0.8)+((AF1021-3)*3)+VLOOKUP(AM1021,Table!$A$11:$B$13,2,FALSE))</f>
        <v>45.164199999999994</v>
      </c>
      <c r="AH1021" s="22">
        <f t="shared" si="1039"/>
        <v>40</v>
      </c>
      <c r="AI1021" s="18">
        <f t="shared" si="1032"/>
        <v>4.38</v>
      </c>
      <c r="AJ1021" s="18">
        <f t="shared" si="1033"/>
        <v>4.5999999999999996</v>
      </c>
      <c r="AK1021" t="str">
        <f t="shared" si="1018"/>
        <v/>
      </c>
      <c r="AL1021">
        <f t="shared" si="1029"/>
        <v>24.75</v>
      </c>
      <c r="AM1021" s="11" t="str">
        <f t="shared" si="1019"/>
        <v>Stocks</v>
      </c>
      <c r="AN1021" t="str">
        <f t="shared" si="1025"/>
        <v>Buy</v>
      </c>
      <c r="AO1021" s="13">
        <f t="shared" si="1026"/>
        <v>-7.4999999999999997E-3</v>
      </c>
      <c r="AP1021" s="13">
        <f t="shared" si="1027"/>
        <v>8.0000000000000004E-4</v>
      </c>
      <c r="AQ1021" s="13">
        <f t="shared" si="1028"/>
        <v>-2.5000000000000001E-3</v>
      </c>
      <c r="AR1021" s="13">
        <f t="shared" si="1020"/>
        <v>-7.4999999999999997E-3</v>
      </c>
      <c r="AS1021" s="6">
        <f t="shared" si="1012"/>
        <v>308.53462206396483</v>
      </c>
      <c r="AT1021" s="6">
        <f t="shared" si="1013"/>
        <v>136.10563908291823</v>
      </c>
      <c r="AU1021" s="6">
        <f t="shared" si="1014"/>
        <v>269.37906232311741</v>
      </c>
      <c r="AV1021" s="6">
        <f t="shared" si="1015"/>
        <v>308.53462206396483</v>
      </c>
      <c r="AW1021" s="58">
        <f t="shared" si="1021"/>
        <v>1999</v>
      </c>
      <c r="AX1021" s="58">
        <f>COUNTIF(AW$3:AW1021,AW1021)</f>
        <v>47</v>
      </c>
    </row>
    <row r="1022" spans="1:50" x14ac:dyDescent="0.25">
      <c r="A1022" s="5">
        <v>36191</v>
      </c>
      <c r="B1022">
        <v>1279.6400000000001</v>
      </c>
      <c r="C1022">
        <v>4.3499999999999996</v>
      </c>
      <c r="D1022" s="6">
        <v>31.950001</v>
      </c>
      <c r="E1022" s="18">
        <f t="shared" si="1034"/>
        <v>28.16</v>
      </c>
      <c r="F1022">
        <f t="shared" si="1035"/>
        <v>-2</v>
      </c>
      <c r="G1022" s="18">
        <f>ROUND(INDEX(Valuation!U:U,MATCH(A1022,Valuation!A:A,0)),2)</f>
        <v>0</v>
      </c>
      <c r="H1022">
        <f t="shared" si="1042"/>
        <v>-3</v>
      </c>
      <c r="I1022" s="18">
        <f>INDEX(WeeklyIndicators!Y:Y,MATCH(A1022,WeeklyIndicators!A:A,0))</f>
        <v>95.58</v>
      </c>
      <c r="J1022">
        <f t="shared" si="1031"/>
        <v>-1</v>
      </c>
      <c r="K1022">
        <f>ROUND(INDEX(Economic!AF:AF,MATCH(EOMONTH($A1022,-1),Economic!A:A,0)),2)</f>
        <v>116.25</v>
      </c>
      <c r="L1022" s="11">
        <f t="shared" si="1040"/>
        <v>1</v>
      </c>
      <c r="M1022">
        <f>ROUND(INDEX(Manufacturing!P:P,MATCH(EOMONTH($A1022,-1),Manufacturing!A:A,0)),2)</f>
        <v>99.99</v>
      </c>
      <c r="N1022">
        <f t="shared" si="1036"/>
        <v>1</v>
      </c>
      <c r="O1022">
        <f>ROUND(INDEX(Housing!AC:AC,MATCH(EOMONTH($A1022,-1),Housing!B:B,0)),2)</f>
        <v>148.37</v>
      </c>
      <c r="P1022">
        <f t="shared" si="1037"/>
        <v>3</v>
      </c>
      <c r="Q1022">
        <f>ROUND(INDEX(Spending!AJ:AJ,MATCH(EOMONTH($A1022,-1),Spending!B:B,0)),2)</f>
        <v>63.53</v>
      </c>
      <c r="R1022">
        <f t="shared" si="1041"/>
        <v>2</v>
      </c>
      <c r="S1022">
        <f>ROUND(INDEX(Employment!V:V,MATCH(EOMONTH($A1022,-1),Employment!A:A,0)),2)</f>
        <v>184.51</v>
      </c>
      <c r="T1022" s="11">
        <f t="shared" si="1038"/>
        <v>2</v>
      </c>
      <c r="U1022">
        <f t="shared" si="1030"/>
        <v>23</v>
      </c>
      <c r="V1022">
        <f t="shared" si="1022"/>
        <v>77.11</v>
      </c>
      <c r="W1022" s="13">
        <f t="shared" si="1023"/>
        <v>-5.7999999999999996E-3</v>
      </c>
      <c r="X1022" s="13">
        <f t="shared" si="1024"/>
        <v>-4.3E-3</v>
      </c>
      <c r="Y1022">
        <f t="shared" si="1016"/>
        <v>61.62</v>
      </c>
      <c r="Z1022" s="13">
        <f t="shared" si="1011"/>
        <v>-1.7600000000000001E-2</v>
      </c>
      <c r="AA1022" s="13">
        <f t="shared" si="1043"/>
        <v>-3.6299999999999999E-2</v>
      </c>
      <c r="AB1022" s="6">
        <f t="shared" si="1017"/>
        <v>54.22</v>
      </c>
      <c r="AC1022">
        <f t="shared" si="1045"/>
        <v>27</v>
      </c>
      <c r="AD1022" s="11">
        <f t="shared" ref="AD1022:AD1085" si="1046">IF(AC1022&gt;47,2,IF(AND(AC1022&gt;41,AC1022&lt;=47),1,IF(AC1022&lt;15,-2,IF(AND(AC1022&lt;32,AC1022&gt;=15),-1,0))))</f>
        <v>-1</v>
      </c>
      <c r="AE1022">
        <f t="shared" si="1044"/>
        <v>24</v>
      </c>
      <c r="AF1022">
        <f>IF(AND(AE1022&lt;15,OR(AC1022&gt;=30,AA1022&gt;0.15,X1022&gt;=0.15)),2,VLOOKUP(AE1022,Table!P:Q,2,FALSE))</f>
        <v>3</v>
      </c>
      <c r="AG1022" s="22">
        <f>IF((AB1022*0.98)-(D1022*0.8)+((AF1022-3)*3)+VLOOKUP(AM1022,Table!$A$11:$B$13,2,FALSE)&lt;0,0,(AB1022*0.98)-(D1022*0.8)+((AF1022-3)*3)+VLOOKUP(AM1022,Table!$A$11:$B$13,2,FALSE))</f>
        <v>35.575599199999999</v>
      </c>
      <c r="AH1022" s="22">
        <f t="shared" si="1039"/>
        <v>40</v>
      </c>
      <c r="AI1022" s="18">
        <f t="shared" si="1032"/>
        <v>4.38</v>
      </c>
      <c r="AJ1022" s="18">
        <f t="shared" si="1033"/>
        <v>4.62</v>
      </c>
      <c r="AK1022" t="str">
        <f t="shared" si="1018"/>
        <v>Falling Rates</v>
      </c>
      <c r="AL1022">
        <f t="shared" si="1029"/>
        <v>24.5</v>
      </c>
      <c r="AM1022" s="11" t="str">
        <f t="shared" si="1019"/>
        <v>Stocks</v>
      </c>
      <c r="AN1022" t="str">
        <f t="shared" si="1025"/>
        <v>Buy</v>
      </c>
      <c r="AO1022" s="13">
        <f t="shared" si="1026"/>
        <v>-3.1399999999999997E-2</v>
      </c>
      <c r="AP1022" s="13">
        <f t="shared" si="1027"/>
        <v>8.0000000000000004E-4</v>
      </c>
      <c r="AQ1022" s="13">
        <f t="shared" si="1028"/>
        <v>-1.21E-2</v>
      </c>
      <c r="AR1022" s="13">
        <f t="shared" si="1020"/>
        <v>-3.1399999999999997E-2</v>
      </c>
      <c r="AS1022" s="6">
        <f t="shared" si="1012"/>
        <v>318.53667361549128</v>
      </c>
      <c r="AT1022" s="6">
        <f t="shared" si="1013"/>
        <v>135.99684160963054</v>
      </c>
      <c r="AU1022" s="6">
        <f t="shared" si="1014"/>
        <v>272.6784718322881</v>
      </c>
      <c r="AV1022" s="6">
        <f t="shared" si="1015"/>
        <v>318.53667361549128</v>
      </c>
      <c r="AW1022" s="58">
        <f t="shared" si="1021"/>
        <v>1999</v>
      </c>
      <c r="AX1022" s="58">
        <f>COUNTIF(AW$3:AW1022,AW1022)</f>
        <v>48</v>
      </c>
    </row>
    <row r="1023" spans="1:50" x14ac:dyDescent="0.25">
      <c r="A1023" s="5">
        <v>36184</v>
      </c>
      <c r="B1023">
        <v>1225.19</v>
      </c>
      <c r="C1023">
        <v>4.26</v>
      </c>
      <c r="D1023" s="6">
        <v>29.24</v>
      </c>
      <c r="E1023" s="18">
        <f t="shared" si="1034"/>
        <v>25.65</v>
      </c>
      <c r="F1023">
        <f t="shared" si="1035"/>
        <v>-2</v>
      </c>
      <c r="G1023" s="18">
        <f>ROUND(INDEX(Valuation!U:U,MATCH(A1023,Valuation!A:A,0)),2)</f>
        <v>0</v>
      </c>
      <c r="H1023">
        <f t="shared" si="1042"/>
        <v>-3</v>
      </c>
      <c r="I1023" s="18">
        <f>INDEX(WeeklyIndicators!Y:Y,MATCH(A1023,WeeklyIndicators!A:A,0))</f>
        <v>100.1</v>
      </c>
      <c r="J1023">
        <f t="shared" si="1031"/>
        <v>-1</v>
      </c>
      <c r="K1023">
        <f>ROUND(INDEX(Economic!AF:AF,MATCH(EOMONTH($A1023,-1),Economic!A:A,0)),2)</f>
        <v>116.25</v>
      </c>
      <c r="L1023" s="11">
        <f t="shared" si="1040"/>
        <v>1</v>
      </c>
      <c r="M1023">
        <f>ROUND(INDEX(Manufacturing!P:P,MATCH(EOMONTH($A1023,-1),Manufacturing!A:A,0)),2)</f>
        <v>99.99</v>
      </c>
      <c r="N1023">
        <f t="shared" si="1036"/>
        <v>1</v>
      </c>
      <c r="O1023">
        <f>ROUND(INDEX(Housing!AC:AC,MATCH(EOMONTH($A1023,-1),Housing!B:B,0)),2)</f>
        <v>148.37</v>
      </c>
      <c r="P1023">
        <f t="shared" si="1037"/>
        <v>3</v>
      </c>
      <c r="Q1023">
        <f>ROUND(INDEX(Spending!AJ:AJ,MATCH(EOMONTH($A1023,-1),Spending!B:B,0)),2)</f>
        <v>63.53</v>
      </c>
      <c r="R1023">
        <f t="shared" si="1041"/>
        <v>2</v>
      </c>
      <c r="S1023">
        <f>ROUND(INDEX(Employment!V:V,MATCH(EOMONTH($A1023,-1),Employment!A:A,0)),2)</f>
        <v>184.51</v>
      </c>
      <c r="T1023" s="11">
        <f t="shared" si="1038"/>
        <v>2</v>
      </c>
      <c r="U1023">
        <f t="shared" si="1030"/>
        <v>23</v>
      </c>
      <c r="V1023">
        <f t="shared" si="1022"/>
        <v>77.58</v>
      </c>
      <c r="W1023" s="13">
        <f t="shared" si="1023"/>
        <v>-3.8999999999999998E-3</v>
      </c>
      <c r="X1023" s="13">
        <f t="shared" si="1024"/>
        <v>2.8999999999999998E-3</v>
      </c>
      <c r="Y1023">
        <f t="shared" si="1016"/>
        <v>62.97</v>
      </c>
      <c r="Z1023" s="13">
        <f t="shared" si="1011"/>
        <v>-1.21E-2</v>
      </c>
      <c r="AA1023" s="13">
        <f t="shared" si="1043"/>
        <v>-2.9400000000000003E-2</v>
      </c>
      <c r="AB1023" s="6">
        <f t="shared" si="1017"/>
        <v>56.120000000000005</v>
      </c>
      <c r="AC1023">
        <f t="shared" si="1045"/>
        <v>28</v>
      </c>
      <c r="AD1023" s="11">
        <f t="shared" si="1046"/>
        <v>-1</v>
      </c>
      <c r="AE1023">
        <f t="shared" si="1044"/>
        <v>24</v>
      </c>
      <c r="AF1023">
        <f>IF(AND(AE1023&lt;15,OR(AC1023&gt;=30,AA1023&gt;0.15,X1023&gt;=0.15)),2,VLOOKUP(AE1023,Table!P:Q,2,FALSE))</f>
        <v>3</v>
      </c>
      <c r="AG1023" s="22">
        <f>IF((AB1023*0.98)-(D1023*0.8)+((AF1023-3)*3)+VLOOKUP(AM1023,Table!$A$11:$B$13,2,FALSE)&lt;0,0,(AB1023*0.98)-(D1023*0.8)+((AF1023-3)*3)+VLOOKUP(AM1023,Table!$A$11:$B$13,2,FALSE))</f>
        <v>39.60560000000001</v>
      </c>
      <c r="AH1023" s="22">
        <f t="shared" si="1039"/>
        <v>44</v>
      </c>
      <c r="AI1023" s="18">
        <f t="shared" si="1032"/>
        <v>4.37</v>
      </c>
      <c r="AJ1023" s="18">
        <f t="shared" si="1033"/>
        <v>4.63</v>
      </c>
      <c r="AK1023" t="str">
        <f t="shared" si="1018"/>
        <v>Falling Rates</v>
      </c>
      <c r="AL1023">
        <f t="shared" si="1029"/>
        <v>24.75</v>
      </c>
      <c r="AM1023" s="11" t="str">
        <f t="shared" si="1019"/>
        <v>Stocks</v>
      </c>
      <c r="AN1023" t="str">
        <f t="shared" si="1025"/>
        <v>Buy</v>
      </c>
      <c r="AO1023" s="13">
        <f t="shared" si="1026"/>
        <v>4.4400000000000002E-2</v>
      </c>
      <c r="AP1023" s="13">
        <f t="shared" si="1027"/>
        <v>8.0000000000000004E-4</v>
      </c>
      <c r="AQ1023" s="13">
        <f t="shared" si="1028"/>
        <v>0.02</v>
      </c>
      <c r="AR1023" s="13">
        <f t="shared" si="1020"/>
        <v>4.4400000000000002E-2</v>
      </c>
      <c r="AS1023" s="6">
        <f t="shared" si="1012"/>
        <v>304.9949000531322</v>
      </c>
      <c r="AT1023" s="6">
        <f t="shared" si="1013"/>
        <v>135.88813110474675</v>
      </c>
      <c r="AU1023" s="6">
        <f t="shared" si="1014"/>
        <v>267.33183512969418</v>
      </c>
      <c r="AV1023" s="6">
        <f t="shared" si="1015"/>
        <v>304.9949000531322</v>
      </c>
      <c r="AW1023" s="58">
        <f t="shared" si="1021"/>
        <v>1999</v>
      </c>
      <c r="AX1023" s="58">
        <f>COUNTIF(AW$3:AW1023,AW1023)</f>
        <v>49</v>
      </c>
    </row>
    <row r="1024" spans="1:50" x14ac:dyDescent="0.25">
      <c r="A1024" s="5">
        <v>36177</v>
      </c>
      <c r="B1024">
        <v>1243.26</v>
      </c>
      <c r="C1024">
        <v>4.3499999999999996</v>
      </c>
      <c r="D1024" s="6">
        <v>23.280000999999999</v>
      </c>
      <c r="E1024" s="18">
        <f t="shared" si="1034"/>
        <v>23.06</v>
      </c>
      <c r="F1024">
        <f t="shared" si="1035"/>
        <v>-1</v>
      </c>
      <c r="G1024" s="18">
        <f>ROUND(INDEX(Valuation!U:U,MATCH(A1024,Valuation!A:A,0)),2)</f>
        <v>1.17</v>
      </c>
      <c r="H1024">
        <f t="shared" si="1042"/>
        <v>-3</v>
      </c>
      <c r="I1024" s="18">
        <f>INDEX(WeeklyIndicators!Y:Y,MATCH(A1024,WeeklyIndicators!A:A,0))</f>
        <v>106.72</v>
      </c>
      <c r="J1024">
        <f t="shared" si="1031"/>
        <v>-1</v>
      </c>
      <c r="K1024">
        <f>ROUND(INDEX(Economic!AF:AF,MATCH(EOMONTH($A1024,-1),Economic!A:A,0)),2)</f>
        <v>116.25</v>
      </c>
      <c r="L1024" s="11">
        <f t="shared" si="1040"/>
        <v>1</v>
      </c>
      <c r="M1024">
        <f>ROUND(INDEX(Manufacturing!P:P,MATCH(EOMONTH($A1024,-1),Manufacturing!A:A,0)),2)</f>
        <v>99.99</v>
      </c>
      <c r="N1024">
        <f t="shared" si="1036"/>
        <v>1</v>
      </c>
      <c r="O1024">
        <f>ROUND(INDEX(Housing!AC:AC,MATCH(EOMONTH($A1024,-1),Housing!B:B,0)),2)</f>
        <v>148.37</v>
      </c>
      <c r="P1024">
        <f t="shared" si="1037"/>
        <v>3</v>
      </c>
      <c r="Q1024">
        <f>ROUND(INDEX(Spending!AJ:AJ,MATCH(EOMONTH($A1024,-1),Spending!B:B,0)),2)</f>
        <v>63.53</v>
      </c>
      <c r="R1024">
        <f t="shared" si="1041"/>
        <v>2</v>
      </c>
      <c r="S1024">
        <f>ROUND(INDEX(Employment!V:V,MATCH(EOMONTH($A1024,-1),Employment!A:A,0)),2)</f>
        <v>184.51</v>
      </c>
      <c r="T1024" s="11">
        <f t="shared" si="1038"/>
        <v>2</v>
      </c>
      <c r="U1024">
        <f t="shared" si="1030"/>
        <v>24</v>
      </c>
      <c r="V1024">
        <f t="shared" si="1022"/>
        <v>78.27</v>
      </c>
      <c r="W1024" s="13">
        <f t="shared" si="1023"/>
        <v>3.3E-3</v>
      </c>
      <c r="X1024" s="13">
        <f t="shared" si="1024"/>
        <v>5.1000000000000004E-3</v>
      </c>
      <c r="Y1024">
        <f t="shared" si="1016"/>
        <v>64.69</v>
      </c>
      <c r="Z1024" s="13">
        <f t="shared" ref="Z1024:Z1087" si="1047">ROUND((AVERAGE(Y1024:Y1026)-AVERAGE(Y1025:Y1027))/AVERAGE(Y1025:Y1027),4)</f>
        <v>-2.0000000000000001E-4</v>
      </c>
      <c r="AA1024" s="13">
        <f t="shared" si="1043"/>
        <v>-2.9399999999999999E-2</v>
      </c>
      <c r="AB1024" s="6">
        <f t="shared" si="1017"/>
        <v>57.996999999999993</v>
      </c>
      <c r="AC1024">
        <f t="shared" si="1045"/>
        <v>29</v>
      </c>
      <c r="AD1024" s="11">
        <f t="shared" si="1046"/>
        <v>-1</v>
      </c>
      <c r="AE1024">
        <f t="shared" si="1044"/>
        <v>25</v>
      </c>
      <c r="AF1024">
        <f>IF(AND(AE1024&lt;15,OR(AC1024&gt;=30,AA1024&gt;0.15,X1024&gt;=0.15)),2,VLOOKUP(AE1024,Table!P:Q,2,FALSE))</f>
        <v>3</v>
      </c>
      <c r="AG1024" s="22">
        <f>IF((AB1024*0.98)-(D1024*0.8)+((AF1024-3)*3)+VLOOKUP(AM1024,Table!$A$11:$B$13,2,FALSE)&lt;0,0,(AB1024*0.98)-(D1024*0.8)+((AF1024-3)*3)+VLOOKUP(AM1024,Table!$A$11:$B$13,2,FALSE))</f>
        <v>46.213059199999989</v>
      </c>
      <c r="AH1024" s="22">
        <f t="shared" si="1039"/>
        <v>48</v>
      </c>
      <c r="AI1024" s="18">
        <f t="shared" si="1032"/>
        <v>4.33</v>
      </c>
      <c r="AJ1024" s="18">
        <f t="shared" si="1033"/>
        <v>4.6500000000000004</v>
      </c>
      <c r="AK1024" t="str">
        <f t="shared" si="1018"/>
        <v/>
      </c>
      <c r="AL1024">
        <f t="shared" si="1029"/>
        <v>25</v>
      </c>
      <c r="AM1024" s="11" t="str">
        <f t="shared" si="1019"/>
        <v>Stocks</v>
      </c>
      <c r="AN1024" t="str">
        <f t="shared" si="1025"/>
        <v>Buy</v>
      </c>
      <c r="AO1024" s="13">
        <f t="shared" si="1026"/>
        <v>-1.4500000000000001E-2</v>
      </c>
      <c r="AP1024" s="13">
        <f t="shared" si="1027"/>
        <v>8.0000000000000004E-4</v>
      </c>
      <c r="AQ1024" s="13">
        <f t="shared" si="1028"/>
        <v>-6.4999999999999997E-3</v>
      </c>
      <c r="AR1024" s="13">
        <f t="shared" si="1020"/>
        <v>-1.4500000000000001E-2</v>
      </c>
      <c r="AS1024" s="6">
        <f t="shared" si="1012"/>
        <v>309.48239477740458</v>
      </c>
      <c r="AT1024" s="6">
        <f t="shared" si="1013"/>
        <v>135.77950749874776</v>
      </c>
      <c r="AU1024" s="6">
        <f t="shared" si="1014"/>
        <v>269.08086072440278</v>
      </c>
      <c r="AV1024" s="6">
        <f t="shared" si="1015"/>
        <v>309.48239477740458</v>
      </c>
      <c r="AW1024" s="58">
        <f t="shared" si="1021"/>
        <v>1999</v>
      </c>
      <c r="AX1024" s="58">
        <f>COUNTIF(AW$3:AW1024,AW1024)</f>
        <v>50</v>
      </c>
    </row>
    <row r="1025" spans="1:50" x14ac:dyDescent="0.25">
      <c r="A1025" s="5">
        <v>36170</v>
      </c>
      <c r="B1025">
        <v>1275.0899999999999</v>
      </c>
      <c r="C1025">
        <v>4.3600000000000003</v>
      </c>
      <c r="D1025" s="6">
        <v>24.42</v>
      </c>
      <c r="E1025" s="18">
        <f t="shared" si="1034"/>
        <v>23.65</v>
      </c>
      <c r="F1025">
        <f t="shared" si="1035"/>
        <v>-1</v>
      </c>
      <c r="G1025" s="18">
        <f>ROUND(INDEX(Valuation!U:U,MATCH(A1025,Valuation!A:A,0)),2)</f>
        <v>4.0199999999999996</v>
      </c>
      <c r="H1025">
        <f t="shared" si="1042"/>
        <v>-3</v>
      </c>
      <c r="I1025" s="18">
        <f>INDEX(WeeklyIndicators!Y:Y,MATCH(A1025,WeeklyIndicators!A:A,0))</f>
        <v>108.79</v>
      </c>
      <c r="J1025">
        <f t="shared" si="1031"/>
        <v>-1</v>
      </c>
      <c r="K1025">
        <f>ROUND(INDEX(Economic!AF:AF,MATCH(EOMONTH($A1025,-1),Economic!A:A,0)),2)</f>
        <v>116.25</v>
      </c>
      <c r="L1025" s="11">
        <f t="shared" si="1040"/>
        <v>1</v>
      </c>
      <c r="M1025">
        <f>ROUND(INDEX(Manufacturing!P:P,MATCH(EOMONTH($A1025,-1),Manufacturing!A:A,0)),2)</f>
        <v>99.99</v>
      </c>
      <c r="N1025">
        <f t="shared" si="1036"/>
        <v>1</v>
      </c>
      <c r="O1025">
        <f>ROUND(INDEX(Housing!AC:AC,MATCH(EOMONTH($A1025,-1),Housing!B:B,0)),2)</f>
        <v>148.37</v>
      </c>
      <c r="P1025">
        <f t="shared" si="1037"/>
        <v>3</v>
      </c>
      <c r="Q1025">
        <f>ROUND(INDEX(Spending!AJ:AJ,MATCH(EOMONTH($A1025,-1),Spending!B:B,0)),2)</f>
        <v>63.53</v>
      </c>
      <c r="R1025">
        <f t="shared" si="1041"/>
        <v>2</v>
      </c>
      <c r="S1025">
        <f>ROUND(INDEX(Employment!V:V,MATCH(EOMONTH($A1025,-1),Employment!A:A,0)),2)</f>
        <v>184.51</v>
      </c>
      <c r="T1025" s="11">
        <f t="shared" si="1038"/>
        <v>2</v>
      </c>
      <c r="U1025">
        <f t="shared" si="1030"/>
        <v>24</v>
      </c>
      <c r="V1025">
        <f t="shared" si="1022"/>
        <v>78.48</v>
      </c>
      <c r="W1025" s="13">
        <f t="shared" si="1023"/>
        <v>2.0999999999999999E-3</v>
      </c>
      <c r="X1025" s="13">
        <f t="shared" si="1024"/>
        <v>1.18E-2</v>
      </c>
      <c r="Y1025">
        <f t="shared" si="1016"/>
        <v>65.02</v>
      </c>
      <c r="Z1025" s="13">
        <f t="shared" si="1047"/>
        <v>-6.4000000000000003E-3</v>
      </c>
      <c r="AA1025" s="13">
        <f t="shared" si="1043"/>
        <v>-2.3699999999999999E-2</v>
      </c>
      <c r="AB1025" s="6">
        <f t="shared" si="1017"/>
        <v>59.072000000000003</v>
      </c>
      <c r="AC1025">
        <f t="shared" si="1045"/>
        <v>30</v>
      </c>
      <c r="AD1025" s="11">
        <f t="shared" si="1046"/>
        <v>-1</v>
      </c>
      <c r="AE1025">
        <f t="shared" si="1044"/>
        <v>25</v>
      </c>
      <c r="AF1025">
        <f>IF(AND(AE1025&lt;15,OR(AC1025&gt;=30,AA1025&gt;0.15,X1025&gt;=0.15)),2,VLOOKUP(AE1025,Table!P:Q,2,FALSE))</f>
        <v>3</v>
      </c>
      <c r="AG1025" s="22">
        <f>IF((AB1025*0.98)-(D1025*0.8)+((AF1025-3)*3)+VLOOKUP(AM1025,Table!$A$11:$B$13,2,FALSE)&lt;0,0,(AB1025*0.98)-(D1025*0.8)+((AF1025-3)*3)+VLOOKUP(AM1025,Table!$A$11:$B$13,2,FALSE))</f>
        <v>46.354559999999999</v>
      </c>
      <c r="AH1025" s="22">
        <f t="shared" si="1039"/>
        <v>49</v>
      </c>
      <c r="AI1025" s="18">
        <f t="shared" si="1032"/>
        <v>4.29</v>
      </c>
      <c r="AJ1025" s="18">
        <f t="shared" si="1033"/>
        <v>4.66</v>
      </c>
      <c r="AK1025" t="str">
        <f t="shared" si="1018"/>
        <v/>
      </c>
      <c r="AL1025">
        <f t="shared" si="1029"/>
        <v>25</v>
      </c>
      <c r="AM1025" s="11" t="str">
        <f t="shared" si="1019"/>
        <v>Stocks</v>
      </c>
      <c r="AN1025" t="str">
        <f t="shared" si="1025"/>
        <v>Buy</v>
      </c>
      <c r="AO1025" s="13">
        <f t="shared" si="1026"/>
        <v>-2.5000000000000001E-2</v>
      </c>
      <c r="AP1025" s="13">
        <f t="shared" si="1027"/>
        <v>8.0000000000000004E-4</v>
      </c>
      <c r="AQ1025" s="13">
        <f t="shared" si="1028"/>
        <v>-1.18E-2</v>
      </c>
      <c r="AR1025" s="13">
        <f t="shared" si="1020"/>
        <v>-2.5000000000000001E-2</v>
      </c>
      <c r="AS1025" s="6">
        <f t="shared" si="1012"/>
        <v>317.41784079733804</v>
      </c>
      <c r="AT1025" s="6">
        <f t="shared" si="1013"/>
        <v>135.67097072217004</v>
      </c>
      <c r="AU1025" s="6">
        <f t="shared" si="1014"/>
        <v>272.29392908763691</v>
      </c>
      <c r="AV1025" s="6">
        <f t="shared" si="1015"/>
        <v>317.41784079733804</v>
      </c>
      <c r="AW1025" s="58">
        <f t="shared" si="1021"/>
        <v>1999</v>
      </c>
      <c r="AX1025" s="58">
        <f>COUNTIF(AW$3:AW1025,AW1025)</f>
        <v>51</v>
      </c>
    </row>
    <row r="1026" spans="1:50" x14ac:dyDescent="0.25">
      <c r="A1026" s="5">
        <v>36163</v>
      </c>
      <c r="B1026">
        <v>1229.23</v>
      </c>
      <c r="C1026">
        <v>4.4400000000000004</v>
      </c>
      <c r="D1026" s="6">
        <v>21.48</v>
      </c>
      <c r="E1026" s="18">
        <f t="shared" si="1034"/>
        <v>24.75</v>
      </c>
      <c r="F1026">
        <f t="shared" si="1035"/>
        <v>-1</v>
      </c>
      <c r="G1026" s="18">
        <f>ROUND(INDEX(Valuation!U:U,MATCH(A1026,Valuation!A:A,0)),2)</f>
        <v>10.25</v>
      </c>
      <c r="H1026">
        <f t="shared" si="1042"/>
        <v>-3</v>
      </c>
      <c r="I1026" s="18">
        <f>INDEX(WeeklyIndicators!Y:Y,MATCH(A1026,WeeklyIndicators!A:A,0))</f>
        <v>108.84</v>
      </c>
      <c r="J1026">
        <f t="shared" si="1031"/>
        <v>-1</v>
      </c>
      <c r="K1026">
        <f>ROUND(INDEX(Economic!AF:AF,MATCH(EOMONTH($A1026,-1),Economic!A:A,0)),2)</f>
        <v>116.25</v>
      </c>
      <c r="L1026" s="11">
        <f t="shared" si="1040"/>
        <v>1</v>
      </c>
      <c r="M1026">
        <f>ROUND(INDEX(Manufacturing!P:P,MATCH(EOMONTH($A1026,-1),Manufacturing!A:A,0)),2)</f>
        <v>99.99</v>
      </c>
      <c r="N1026">
        <f t="shared" si="1036"/>
        <v>1</v>
      </c>
      <c r="O1026">
        <f>ROUND(INDEX(Housing!AC:AC,MATCH(EOMONTH($A1026,-1),Housing!B:B,0)),2)</f>
        <v>148.37</v>
      </c>
      <c r="P1026">
        <f t="shared" si="1037"/>
        <v>3</v>
      </c>
      <c r="Q1026">
        <f>ROUND(INDEX(Spending!AJ:AJ,MATCH(EOMONTH($A1026,-1),Spending!B:B,0)),2)</f>
        <v>63.53</v>
      </c>
      <c r="R1026">
        <f t="shared" si="1041"/>
        <v>2</v>
      </c>
      <c r="S1026">
        <f>ROUND(INDEX(Employment!V:V,MATCH(EOMONTH($A1026,-1),Employment!A:A,0)),2)</f>
        <v>184.51</v>
      </c>
      <c r="T1026" s="11">
        <f t="shared" si="1038"/>
        <v>2</v>
      </c>
      <c r="U1026">
        <f t="shared" si="1030"/>
        <v>24</v>
      </c>
      <c r="V1026">
        <f t="shared" si="1022"/>
        <v>78.489999999999995</v>
      </c>
      <c r="W1026" s="13">
        <f t="shared" si="1023"/>
        <v>1.4E-3</v>
      </c>
      <c r="X1026" s="13">
        <f t="shared" si="1024"/>
        <v>2.0999999999999998E-2</v>
      </c>
      <c r="Y1026">
        <f t="shared" si="1016"/>
        <v>65.33</v>
      </c>
      <c r="Z1026" s="13">
        <f t="shared" si="1047"/>
        <v>-1.0699999999999999E-2</v>
      </c>
      <c r="AA1026" s="13">
        <f t="shared" si="1043"/>
        <v>-5.0000000000000027E-3</v>
      </c>
      <c r="AB1026" s="6">
        <f t="shared" si="1017"/>
        <v>61.344999999999992</v>
      </c>
      <c r="AC1026">
        <f t="shared" si="1045"/>
        <v>31</v>
      </c>
      <c r="AD1026" s="11">
        <f t="shared" si="1046"/>
        <v>-1</v>
      </c>
      <c r="AE1026">
        <f t="shared" si="1044"/>
        <v>25</v>
      </c>
      <c r="AF1026">
        <f>IF(AND(AE1026&lt;15,OR(AC1026&gt;=30,AA1026&gt;0.15,X1026&gt;=0.15)),2,VLOOKUP(AE1026,Table!P:Q,2,FALSE))</f>
        <v>3</v>
      </c>
      <c r="AG1026" s="22">
        <f>IF((AB1026*0.98)-(D1026*0.8)+((AF1026-3)*3)+VLOOKUP(AM1026,Table!$A$11:$B$13,2,FALSE)&lt;0,0,(AB1026*0.98)-(D1026*0.8)+((AF1026-3)*3)+VLOOKUP(AM1026,Table!$A$11:$B$13,2,FALSE))</f>
        <v>50.934099999999987</v>
      </c>
      <c r="AH1026" s="22">
        <f t="shared" si="1039"/>
        <v>51</v>
      </c>
      <c r="AI1026" s="18">
        <f t="shared" si="1032"/>
        <v>4.26</v>
      </c>
      <c r="AJ1026" s="18">
        <f t="shared" si="1033"/>
        <v>4.68</v>
      </c>
      <c r="AK1026" t="str">
        <f t="shared" si="1018"/>
        <v/>
      </c>
      <c r="AL1026">
        <f t="shared" si="1029"/>
        <v>25.5</v>
      </c>
      <c r="AM1026" s="11" t="str">
        <f t="shared" si="1019"/>
        <v>Stocks</v>
      </c>
      <c r="AN1026" t="str">
        <f t="shared" si="1025"/>
        <v>Buy</v>
      </c>
      <c r="AO1026" s="13">
        <f t="shared" si="1026"/>
        <v>3.73E-2</v>
      </c>
      <c r="AP1026" s="13">
        <f t="shared" si="1027"/>
        <v>8.9999999999999998E-4</v>
      </c>
      <c r="AQ1026" s="13">
        <f t="shared" si="1028"/>
        <v>1.95E-2</v>
      </c>
      <c r="AR1026" s="13">
        <f t="shared" si="1020"/>
        <v>3.73E-2</v>
      </c>
      <c r="AS1026" s="6">
        <f t="shared" si="1012"/>
        <v>306.00389549536106</v>
      </c>
      <c r="AT1026" s="6">
        <f t="shared" si="1013"/>
        <v>135.54897664319117</v>
      </c>
      <c r="AU1026" s="6">
        <f t="shared" si="1014"/>
        <v>267.08575682946235</v>
      </c>
      <c r="AV1026" s="6">
        <f t="shared" si="1015"/>
        <v>306.00389549536106</v>
      </c>
      <c r="AW1026" s="58">
        <f t="shared" si="1021"/>
        <v>1999</v>
      </c>
      <c r="AX1026" s="58">
        <f>COUNTIF(AW$3:AW1026,AW1026)</f>
        <v>52</v>
      </c>
    </row>
    <row r="1027" spans="1:50" x14ac:dyDescent="0.25">
      <c r="A1027" s="5">
        <v>36156</v>
      </c>
      <c r="B1027">
        <v>1226.27</v>
      </c>
      <c r="C1027">
        <v>4.4400000000000004</v>
      </c>
      <c r="D1027" s="6">
        <v>25.040001</v>
      </c>
      <c r="E1027" s="18">
        <f t="shared" si="1034"/>
        <v>26.02</v>
      </c>
      <c r="F1027">
        <f t="shared" si="1035"/>
        <v>-2</v>
      </c>
      <c r="G1027" s="18">
        <f>ROUND(INDEX(Valuation!U:U,MATCH(A1027,Valuation!A:A,0)),2)</f>
        <v>17.75</v>
      </c>
      <c r="H1027">
        <f t="shared" si="1042"/>
        <v>-3</v>
      </c>
      <c r="I1027" s="18">
        <f>INDEX(WeeklyIndicators!Y:Y,MATCH(A1027,WeeklyIndicators!A:A,0))</f>
        <v>110.54</v>
      </c>
      <c r="J1027">
        <f t="shared" si="1031"/>
        <v>-1</v>
      </c>
      <c r="K1027">
        <f>ROUND(INDEX(Economic!AF:AF,MATCH(EOMONTH($A1027,-1),Economic!A:A,0)),2)</f>
        <v>112.34</v>
      </c>
      <c r="L1027" s="11">
        <f t="shared" si="1040"/>
        <v>1</v>
      </c>
      <c r="M1027">
        <f>ROUND(INDEX(Manufacturing!P:P,MATCH(EOMONTH($A1027,-1),Manufacturing!A:A,0)),2)</f>
        <v>98.26</v>
      </c>
      <c r="N1027">
        <f t="shared" si="1036"/>
        <v>1</v>
      </c>
      <c r="O1027">
        <f>ROUND(INDEX(Housing!AC:AC,MATCH(EOMONTH($A1027,-1),Housing!B:B,0)),2)</f>
        <v>146.63999999999999</v>
      </c>
      <c r="P1027">
        <f t="shared" si="1037"/>
        <v>3</v>
      </c>
      <c r="Q1027">
        <f>ROUND(INDEX(Spending!AJ:AJ,MATCH(EOMONTH($A1027,-1),Spending!B:B,0)),2)</f>
        <v>65.010000000000005</v>
      </c>
      <c r="R1027">
        <f t="shared" si="1041"/>
        <v>2</v>
      </c>
      <c r="S1027">
        <f>ROUND(INDEX(Employment!V:V,MATCH(EOMONTH($A1027,-1),Employment!A:A,0)),2)</f>
        <v>179.9</v>
      </c>
      <c r="T1027" s="11">
        <f t="shared" si="1038"/>
        <v>2</v>
      </c>
      <c r="U1027">
        <f t="shared" si="1030"/>
        <v>23</v>
      </c>
      <c r="V1027">
        <f t="shared" si="1022"/>
        <v>77.489999999999995</v>
      </c>
      <c r="W1027" s="13">
        <f t="shared" si="1023"/>
        <v>-1.6999999999999999E-3</v>
      </c>
      <c r="X1027" s="13">
        <f t="shared" si="1024"/>
        <v>3.1300000000000001E-2</v>
      </c>
      <c r="Y1027">
        <f t="shared" si="1016"/>
        <v>64.72</v>
      </c>
      <c r="Z1027" s="13">
        <f t="shared" si="1047"/>
        <v>-1.21E-2</v>
      </c>
      <c r="AA1027" s="13">
        <f t="shared" si="1043"/>
        <v>1.7399999999999999E-2</v>
      </c>
      <c r="AB1027" s="6">
        <f t="shared" si="1017"/>
        <v>63.055</v>
      </c>
      <c r="AC1027">
        <f t="shared" si="1045"/>
        <v>32</v>
      </c>
      <c r="AD1027" s="11">
        <f t="shared" si="1046"/>
        <v>0</v>
      </c>
      <c r="AE1027">
        <f t="shared" si="1044"/>
        <v>25</v>
      </c>
      <c r="AF1027">
        <f>IF(AND(AE1027&lt;15,OR(AC1027&gt;=30,AA1027&gt;0.15,X1027&gt;=0.15)),2,VLOOKUP(AE1027,Table!P:Q,2,FALSE))</f>
        <v>3</v>
      </c>
      <c r="AG1027" s="22">
        <f>IF((AB1027*0.98)-(D1027*0.8)+((AF1027-3)*3)+VLOOKUP(AM1027,Table!$A$11:$B$13,2,FALSE)&lt;0,0,(AB1027*0.98)-(D1027*0.8)+((AF1027-3)*3)+VLOOKUP(AM1027,Table!$A$11:$B$13,2,FALSE))</f>
        <v>49.761899200000002</v>
      </c>
      <c r="AH1027" s="22">
        <f t="shared" si="1039"/>
        <v>53</v>
      </c>
      <c r="AI1027" s="18">
        <f t="shared" si="1032"/>
        <v>4.25</v>
      </c>
      <c r="AJ1027" s="18">
        <f t="shared" si="1033"/>
        <v>4.6900000000000004</v>
      </c>
      <c r="AK1027" t="str">
        <f t="shared" si="1018"/>
        <v/>
      </c>
      <c r="AL1027">
        <f t="shared" si="1029"/>
        <v>26</v>
      </c>
      <c r="AM1027" s="11" t="str">
        <f t="shared" si="1019"/>
        <v>Stocks</v>
      </c>
      <c r="AN1027" t="str">
        <f t="shared" si="1025"/>
        <v>Buy</v>
      </c>
      <c r="AO1027" s="13">
        <f t="shared" si="1026"/>
        <v>2.3999999999999998E-3</v>
      </c>
      <c r="AP1027" s="13">
        <f t="shared" si="1027"/>
        <v>8.9999999999999998E-4</v>
      </c>
      <c r="AQ1027" s="13">
        <f t="shared" si="1028"/>
        <v>1.6999999999999999E-3</v>
      </c>
      <c r="AR1027" s="13">
        <f t="shared" si="1020"/>
        <v>2.3999999999999998E-3</v>
      </c>
      <c r="AS1027" s="6">
        <f t="shared" ref="AS1027:AS1090" si="1048">AS1028*(1+AO1028)</f>
        <v>305.27124450854058</v>
      </c>
      <c r="AT1027" s="6">
        <f t="shared" ref="AT1027:AT1090" si="1049">AT1028*(1+AP1028)</f>
        <v>135.42709226015705</v>
      </c>
      <c r="AU1027" s="6">
        <f t="shared" ref="AU1027:AU1090" si="1050">AU1028*(1+AQ1028)</f>
        <v>266.63248161072414</v>
      </c>
      <c r="AV1027" s="6">
        <f t="shared" ref="AV1027:AV1090" si="1051">AV1028*(1+AR1028)</f>
        <v>305.27124450854058</v>
      </c>
      <c r="AW1027" s="58">
        <f t="shared" si="1021"/>
        <v>1998</v>
      </c>
      <c r="AX1027" s="58">
        <f>COUNTIF(AW$3:AW1027,AW1027)</f>
        <v>1</v>
      </c>
    </row>
    <row r="1028" spans="1:50" x14ac:dyDescent="0.25">
      <c r="A1028" s="5">
        <v>36149</v>
      </c>
      <c r="B1028">
        <v>1188.03</v>
      </c>
      <c r="C1028">
        <v>4.37</v>
      </c>
      <c r="D1028" s="6">
        <v>27.719999000000001</v>
      </c>
      <c r="E1028" s="18">
        <f t="shared" si="1034"/>
        <v>25.04</v>
      </c>
      <c r="F1028">
        <f t="shared" si="1035"/>
        <v>-2</v>
      </c>
      <c r="G1028" s="18">
        <f>ROUND(INDEX(Valuation!U:U,MATCH(A1028,Valuation!A:A,0)),2)</f>
        <v>24.11</v>
      </c>
      <c r="H1028">
        <f t="shared" si="1042"/>
        <v>-3</v>
      </c>
      <c r="I1028" s="18">
        <f>INDEX(WeeklyIndicators!Y:Y,MATCH(A1028,WeeklyIndicators!A:A,0))</f>
        <v>115.33</v>
      </c>
      <c r="J1028">
        <f t="shared" si="1031"/>
        <v>-1</v>
      </c>
      <c r="K1028">
        <f>ROUND(INDEX(Economic!AF:AF,MATCH(EOMONTH($A1028,-1),Economic!A:A,0)),2)</f>
        <v>112.34</v>
      </c>
      <c r="L1028" s="11">
        <f t="shared" si="1040"/>
        <v>1</v>
      </c>
      <c r="M1028">
        <f>ROUND(INDEX(Manufacturing!P:P,MATCH(EOMONTH($A1028,-1),Manufacturing!A:A,0)),2)</f>
        <v>98.26</v>
      </c>
      <c r="N1028">
        <f t="shared" si="1036"/>
        <v>1</v>
      </c>
      <c r="O1028">
        <f>ROUND(INDEX(Housing!AC:AC,MATCH(EOMONTH($A1028,-1),Housing!B:B,0)),2)</f>
        <v>146.63999999999999</v>
      </c>
      <c r="P1028">
        <f t="shared" si="1037"/>
        <v>3</v>
      </c>
      <c r="Q1028">
        <f>ROUND(INDEX(Spending!AJ:AJ,MATCH(EOMONTH($A1028,-1),Spending!B:B,0)),2)</f>
        <v>65.010000000000005</v>
      </c>
      <c r="R1028">
        <f t="shared" si="1041"/>
        <v>2</v>
      </c>
      <c r="S1028">
        <f>ROUND(INDEX(Employment!V:V,MATCH(EOMONTH($A1028,-1),Employment!A:A,0)),2)</f>
        <v>179.9</v>
      </c>
      <c r="T1028" s="11">
        <f t="shared" si="1038"/>
        <v>2</v>
      </c>
      <c r="U1028">
        <f t="shared" si="1030"/>
        <v>23</v>
      </c>
      <c r="V1028">
        <f t="shared" si="1022"/>
        <v>77.989999999999995</v>
      </c>
      <c r="W1028" s="13">
        <f t="shared" si="1023"/>
        <v>0.01</v>
      </c>
      <c r="X1028" s="13">
        <f t="shared" si="1024"/>
        <v>4.02E-2</v>
      </c>
      <c r="Y1028">
        <f t="shared" ref="Y1028:Y1091" si="1052">ROUND(((K1028*0.745)+(M1028*0.745)+(O1028*0.36)+(Q1028*0.45)+(S1028*0.45)+(I1028*0.55)+(G1028*0.59)-(E1028*1.85))/5.3,2)</f>
        <v>66.27</v>
      </c>
      <c r="Z1028" s="13">
        <f t="shared" si="1047"/>
        <v>5.4999999999999997E-3</v>
      </c>
      <c r="AA1028" s="13">
        <f t="shared" si="1043"/>
        <v>4.1599999999999998E-2</v>
      </c>
      <c r="AB1028" s="6">
        <f t="shared" ref="AB1028:AB1091" si="1053">IF(ROUND(Y1028+(X1028*10)+(V1028/30)+(AA1028*67),2)+5+((G1028-125)*0.1)&lt;0,0,ROUND(Y1028+(X1028*10)+(V1028/30)+(AA1028*67),2)+5+((G1028-125)*0.1))</f>
        <v>66.971000000000004</v>
      </c>
      <c r="AC1028">
        <f t="shared" si="1045"/>
        <v>33</v>
      </c>
      <c r="AD1028" s="11">
        <f t="shared" si="1046"/>
        <v>0</v>
      </c>
      <c r="AE1028">
        <f t="shared" si="1044"/>
        <v>25</v>
      </c>
      <c r="AF1028">
        <f>IF(AND(AE1028&lt;15,OR(AC1028&gt;=30,AA1028&gt;0.15,X1028&gt;=0.15)),2,VLOOKUP(AE1028,Table!P:Q,2,FALSE))</f>
        <v>3</v>
      </c>
      <c r="AG1028" s="22">
        <f>IF((AB1028*0.98)-(D1028*0.8)+((AF1028-3)*3)+VLOOKUP(AM1028,Table!$A$11:$B$13,2,FALSE)&lt;0,0,(AB1028*0.98)-(D1028*0.8)+((AF1028-3)*3)+VLOOKUP(AM1028,Table!$A$11:$B$13,2,FALSE))</f>
        <v>51.455580799999993</v>
      </c>
      <c r="AH1028" s="22">
        <f t="shared" si="1039"/>
        <v>58</v>
      </c>
      <c r="AI1028" s="18">
        <f t="shared" si="1032"/>
        <v>4.26</v>
      </c>
      <c r="AJ1028" s="18">
        <f t="shared" si="1033"/>
        <v>4.71</v>
      </c>
      <c r="AK1028" t="str">
        <f t="shared" ref="AK1028:AK1091" si="1054">IF(AND(C1028&gt;AI1028,AI1028&gt;AJ1028,C1028-AJ1028&gt;0.15),"Rising Rates",IF(AND(C1028&lt;AI1028,AI1028&lt;AJ1028,AJ1028-C1028&gt;0.15),"Falling Rates",""))</f>
        <v/>
      </c>
      <c r="AL1028">
        <f t="shared" si="1029"/>
        <v>26</v>
      </c>
      <c r="AM1028" s="11" t="str">
        <f t="shared" ref="AM1028:AM1091" si="1055">IF(OR(AND(AL1028&lt;=18,G1028&lt;=25),AND(AL1028&lt;=14,G1028&lt;200)),"Cash","Stocks")</f>
        <v>Stocks</v>
      </c>
      <c r="AN1028" t="str">
        <f t="shared" si="1025"/>
        <v>Buy</v>
      </c>
      <c r="AO1028" s="13">
        <f t="shared" si="1026"/>
        <v>3.2199999999999999E-2</v>
      </c>
      <c r="AP1028" s="13">
        <f t="shared" si="1027"/>
        <v>8.0000000000000004E-4</v>
      </c>
      <c r="AQ1028" s="13">
        <f t="shared" si="1028"/>
        <v>1.9E-2</v>
      </c>
      <c r="AR1028" s="13">
        <f t="shared" ref="AR1028:AR1091" si="1056">IF(AM1028="Stocks",AO1028,AP1028)</f>
        <v>3.2199999999999999E-2</v>
      </c>
      <c r="AS1028" s="6">
        <f t="shared" si="1048"/>
        <v>295.74815395130844</v>
      </c>
      <c r="AT1028" s="6">
        <f t="shared" si="1049"/>
        <v>135.31883719040474</v>
      </c>
      <c r="AU1028" s="6">
        <f t="shared" si="1050"/>
        <v>261.66092405370381</v>
      </c>
      <c r="AV1028" s="6">
        <f t="shared" si="1051"/>
        <v>295.74815395130844</v>
      </c>
      <c r="AW1028" s="58">
        <f t="shared" ref="AW1028:AW1091" si="1057">YEAR(A1028)</f>
        <v>1998</v>
      </c>
      <c r="AX1028" s="58">
        <f>COUNTIF(AW$3:AW1028,AW1028)</f>
        <v>2</v>
      </c>
    </row>
    <row r="1029" spans="1:50" x14ac:dyDescent="0.25">
      <c r="A1029" s="5">
        <v>36142</v>
      </c>
      <c r="B1029">
        <v>1166.46</v>
      </c>
      <c r="C1029">
        <v>4.3600000000000003</v>
      </c>
      <c r="D1029" s="6">
        <v>25.309999000000001</v>
      </c>
      <c r="E1029" s="18">
        <f t="shared" si="1034"/>
        <v>23.29</v>
      </c>
      <c r="F1029">
        <f t="shared" si="1035"/>
        <v>-1</v>
      </c>
      <c r="G1029" s="18">
        <f>ROUND(INDEX(Valuation!U:U,MATCH(A1029,Valuation!A:A,0)),2)</f>
        <v>27.7</v>
      </c>
      <c r="H1029">
        <f t="shared" si="1042"/>
        <v>-2</v>
      </c>
      <c r="I1029" s="18">
        <f>INDEX(WeeklyIndicators!Y:Y,MATCH(A1029,WeeklyIndicators!A:A,0))</f>
        <v>116.98</v>
      </c>
      <c r="J1029">
        <f t="shared" si="1031"/>
        <v>-1</v>
      </c>
      <c r="K1029">
        <f>ROUND(INDEX(Economic!AF:AF,MATCH(EOMONTH($A1029,-1),Economic!A:A,0)),2)</f>
        <v>112.34</v>
      </c>
      <c r="L1029" s="11">
        <f t="shared" si="1040"/>
        <v>1</v>
      </c>
      <c r="M1029">
        <f>ROUND(INDEX(Manufacturing!P:P,MATCH(EOMONTH($A1029,-1),Manufacturing!A:A,0)),2)</f>
        <v>98.26</v>
      </c>
      <c r="N1029">
        <f t="shared" si="1036"/>
        <v>1</v>
      </c>
      <c r="O1029">
        <f>ROUND(INDEX(Housing!AC:AC,MATCH(EOMONTH($A1029,-1),Housing!B:B,0)),2)</f>
        <v>146.63999999999999</v>
      </c>
      <c r="P1029">
        <f t="shared" si="1037"/>
        <v>3</v>
      </c>
      <c r="Q1029">
        <f>ROUND(INDEX(Spending!AJ:AJ,MATCH(EOMONTH($A1029,-1),Spending!B:B,0)),2)</f>
        <v>65.010000000000005</v>
      </c>
      <c r="R1029">
        <f t="shared" si="1041"/>
        <v>2</v>
      </c>
      <c r="S1029">
        <f>ROUND(INDEX(Employment!V:V,MATCH(EOMONTH($A1029,-1),Employment!A:A,0)),2)</f>
        <v>179.9</v>
      </c>
      <c r="T1029" s="11">
        <f t="shared" si="1038"/>
        <v>2</v>
      </c>
      <c r="U1029">
        <f t="shared" si="1030"/>
        <v>25</v>
      </c>
      <c r="V1029">
        <f t="shared" ref="V1029:V1092" si="1058">ROUND(((K1029*0.745)+(M1029*0.745)+(O1029*0.36)+(Q1029*0.45)+(S1029*0.45)+(I1029*0.55)+(60)-(30))/5.3,2)</f>
        <v>78.16</v>
      </c>
      <c r="W1029" s="13">
        <f t="shared" ref="W1029:W1092" si="1059">ROUND((AVERAGE(V1029:V1031)-AVERAGE(V1030:V1032))/AVERAGE(V1030:V1032),4)</f>
        <v>1.1299999999999999E-2</v>
      </c>
      <c r="X1029" s="13">
        <f t="shared" ref="X1029:X1092" si="1060">SUM(W1029:W1032)</f>
        <v>4.2700000000000002E-2</v>
      </c>
      <c r="Y1029">
        <f t="shared" si="1052"/>
        <v>67.45</v>
      </c>
      <c r="Z1029" s="13">
        <f t="shared" si="1047"/>
        <v>1.23E-2</v>
      </c>
      <c r="AA1029" s="13">
        <f t="shared" si="1043"/>
        <v>6.2200000000000005E-2</v>
      </c>
      <c r="AB1029" s="6">
        <f t="shared" si="1053"/>
        <v>69.92</v>
      </c>
      <c r="AC1029">
        <f t="shared" si="1045"/>
        <v>35</v>
      </c>
      <c r="AD1029" s="11">
        <f t="shared" si="1046"/>
        <v>0</v>
      </c>
      <c r="AE1029">
        <f t="shared" si="1044"/>
        <v>27</v>
      </c>
      <c r="AF1029">
        <f>IF(AND(AE1029&lt;15,OR(AC1029&gt;=30,AA1029&gt;0.15,X1029&gt;=0.15)),2,VLOOKUP(AE1029,Table!P:Q,2,FALSE))</f>
        <v>4</v>
      </c>
      <c r="AG1029" s="22">
        <f>IF((AB1029*0.98)-(D1029*0.8)+((AF1029-3)*3)+VLOOKUP(AM1029,Table!$A$11:$B$13,2,FALSE)&lt;0,0,(AB1029*0.98)-(D1029*0.8)+((AF1029-3)*3)+VLOOKUP(AM1029,Table!$A$11:$B$13,2,FALSE))</f>
        <v>59.273600800000004</v>
      </c>
      <c r="AH1029" s="22">
        <f t="shared" si="1039"/>
        <v>61</v>
      </c>
      <c r="AI1029" s="18">
        <f t="shared" si="1032"/>
        <v>4.28</v>
      </c>
      <c r="AJ1029" s="18">
        <f t="shared" si="1033"/>
        <v>4.7300000000000004</v>
      </c>
      <c r="AK1029" t="str">
        <f t="shared" si="1054"/>
        <v/>
      </c>
      <c r="AL1029">
        <f t="shared" si="1029"/>
        <v>26</v>
      </c>
      <c r="AM1029" s="11" t="str">
        <f t="shared" si="1055"/>
        <v>Stocks</v>
      </c>
      <c r="AN1029" t="str">
        <f t="shared" ref="AN1029:AN1092" si="1061">IF(AND(V1029&gt;AG1029,V1029&lt;65),"Sell","Buy")</f>
        <v>Buy</v>
      </c>
      <c r="AO1029" s="13">
        <f t="shared" ref="AO1029:AO1092" si="1062">ROUND((B1028/B1029)-1,4)</f>
        <v>1.8499999999999999E-2</v>
      </c>
      <c r="AP1029" s="13">
        <f t="shared" ref="AP1029:AP1092" si="1063">ROUND((C1029*0.01)/52,4)</f>
        <v>8.0000000000000004E-4</v>
      </c>
      <c r="AQ1029" s="13">
        <f t="shared" ref="AQ1029:AQ1092" si="1064">ROUND(((AH1029*0.01)*AO1029)+(((100-AH1029)*0.01)*AP1029),4)</f>
        <v>1.1599999999999999E-2</v>
      </c>
      <c r="AR1029" s="13">
        <f t="shared" si="1056"/>
        <v>1.8499999999999999E-2</v>
      </c>
      <c r="AS1029" s="6">
        <f t="shared" si="1048"/>
        <v>290.37619435572748</v>
      </c>
      <c r="AT1029" s="6">
        <f t="shared" si="1049"/>
        <v>135.21066865548036</v>
      </c>
      <c r="AU1029" s="6">
        <f t="shared" si="1050"/>
        <v>258.66046268653992</v>
      </c>
      <c r="AV1029" s="6">
        <f t="shared" si="1051"/>
        <v>290.37619435572748</v>
      </c>
      <c r="AW1029" s="58">
        <f t="shared" si="1057"/>
        <v>1998</v>
      </c>
      <c r="AX1029" s="58">
        <f>COUNTIF(AW$3:AW1029,AW1029)</f>
        <v>3</v>
      </c>
    </row>
    <row r="1030" spans="1:50" x14ac:dyDescent="0.25">
      <c r="A1030" s="5">
        <v>36135</v>
      </c>
      <c r="B1030">
        <v>1176.74</v>
      </c>
      <c r="C1030">
        <v>4.38</v>
      </c>
      <c r="D1030" s="6">
        <v>22.09</v>
      </c>
      <c r="E1030" s="18">
        <f t="shared" si="1034"/>
        <v>24.53</v>
      </c>
      <c r="F1030">
        <f t="shared" si="1035"/>
        <v>-1</v>
      </c>
      <c r="G1030" s="18">
        <f>ROUND(INDEX(Valuation!U:U,MATCH(A1030,Valuation!A:A,0)),2)</f>
        <v>31.27</v>
      </c>
      <c r="H1030">
        <f t="shared" si="1042"/>
        <v>-2</v>
      </c>
      <c r="I1030" s="18">
        <f>INDEX(WeeklyIndicators!Y:Y,MATCH(A1030,WeeklyIndicators!A:A,0))</f>
        <v>114.38</v>
      </c>
      <c r="J1030">
        <f t="shared" si="1031"/>
        <v>-1</v>
      </c>
      <c r="K1030">
        <f>ROUND(INDEX(Economic!AF:AF,MATCH(EOMONTH($A1030,-1),Economic!A:A,0)),2)</f>
        <v>112.34</v>
      </c>
      <c r="L1030" s="11">
        <f t="shared" si="1040"/>
        <v>1</v>
      </c>
      <c r="M1030">
        <f>ROUND(INDEX(Manufacturing!P:P,MATCH(EOMONTH($A1030,-1),Manufacturing!A:A,0)),2)</f>
        <v>98.26</v>
      </c>
      <c r="N1030">
        <f t="shared" si="1036"/>
        <v>1</v>
      </c>
      <c r="O1030">
        <f>ROUND(INDEX(Housing!AC:AC,MATCH(EOMONTH($A1030,-1),Housing!B:B,0)),2)</f>
        <v>146.63999999999999</v>
      </c>
      <c r="P1030">
        <f t="shared" si="1037"/>
        <v>3</v>
      </c>
      <c r="Q1030">
        <f>ROUND(INDEX(Spending!AJ:AJ,MATCH(EOMONTH($A1030,-1),Spending!B:B,0)),2)</f>
        <v>65.010000000000005</v>
      </c>
      <c r="R1030">
        <f t="shared" si="1041"/>
        <v>2</v>
      </c>
      <c r="S1030">
        <f>ROUND(INDEX(Employment!V:V,MATCH(EOMONTH($A1030,-1),Employment!A:A,0)),2)</f>
        <v>179.9</v>
      </c>
      <c r="T1030" s="11">
        <f t="shared" si="1038"/>
        <v>2</v>
      </c>
      <c r="U1030">
        <f t="shared" si="1030"/>
        <v>25</v>
      </c>
      <c r="V1030">
        <f t="shared" si="1058"/>
        <v>77.89</v>
      </c>
      <c r="W1030" s="13">
        <f t="shared" si="1059"/>
        <v>1.17E-2</v>
      </c>
      <c r="X1030" s="13">
        <f t="shared" si="1060"/>
        <v>4.4899999999999995E-2</v>
      </c>
      <c r="Y1030">
        <f t="shared" si="1052"/>
        <v>67.150000000000006</v>
      </c>
      <c r="Z1030" s="13">
        <f t="shared" si="1047"/>
        <v>1.17E-2</v>
      </c>
      <c r="AA1030" s="13">
        <f t="shared" si="1043"/>
        <v>8.299999999999999E-2</v>
      </c>
      <c r="AB1030" s="6">
        <f t="shared" si="1053"/>
        <v>71.387</v>
      </c>
      <c r="AC1030">
        <f t="shared" si="1045"/>
        <v>36</v>
      </c>
      <c r="AD1030" s="11">
        <f t="shared" si="1046"/>
        <v>0</v>
      </c>
      <c r="AE1030">
        <f t="shared" si="1044"/>
        <v>27</v>
      </c>
      <c r="AF1030">
        <f>IF(AND(AE1030&lt;15,OR(AC1030&gt;=30,AA1030&gt;0.15,X1030&gt;=0.15)),2,VLOOKUP(AE1030,Table!P:Q,2,FALSE))</f>
        <v>4</v>
      </c>
      <c r="AG1030" s="22">
        <f>IF((AB1030*0.98)-(D1030*0.8)+((AF1030-3)*3)+VLOOKUP(AM1030,Table!$A$11:$B$13,2,FALSE)&lt;0,0,(AB1030*0.98)-(D1030*0.8)+((AF1030-3)*3)+VLOOKUP(AM1030,Table!$A$11:$B$13,2,FALSE))</f>
        <v>63.287260000000003</v>
      </c>
      <c r="AH1030" s="22">
        <f t="shared" si="1039"/>
        <v>59</v>
      </c>
      <c r="AI1030" s="18">
        <f t="shared" si="1032"/>
        <v>4.3</v>
      </c>
      <c r="AJ1030" s="18">
        <f t="shared" si="1033"/>
        <v>4.74</v>
      </c>
      <c r="AK1030" t="str">
        <f t="shared" si="1054"/>
        <v/>
      </c>
      <c r="AL1030">
        <f t="shared" si="1029"/>
        <v>25.5</v>
      </c>
      <c r="AM1030" s="11" t="str">
        <f t="shared" si="1055"/>
        <v>Stocks</v>
      </c>
      <c r="AN1030" t="str">
        <f t="shared" si="1061"/>
        <v>Buy</v>
      </c>
      <c r="AO1030" s="13">
        <f t="shared" si="1062"/>
        <v>-8.6999999999999994E-3</v>
      </c>
      <c r="AP1030" s="13">
        <f t="shared" si="1063"/>
        <v>8.0000000000000004E-4</v>
      </c>
      <c r="AQ1030" s="13">
        <f t="shared" si="1064"/>
        <v>-4.7999999999999996E-3</v>
      </c>
      <c r="AR1030" s="13">
        <f t="shared" si="1056"/>
        <v>-8.6999999999999994E-3</v>
      </c>
      <c r="AS1030" s="6">
        <f t="shared" si="1048"/>
        <v>292.92463871252647</v>
      </c>
      <c r="AT1030" s="6">
        <f t="shared" si="1049"/>
        <v>135.1025865862114</v>
      </c>
      <c r="AU1030" s="6">
        <f t="shared" si="1050"/>
        <v>259.90802118824348</v>
      </c>
      <c r="AV1030" s="6">
        <f t="shared" si="1051"/>
        <v>292.92463871252647</v>
      </c>
      <c r="AW1030" s="58">
        <f t="shared" si="1057"/>
        <v>1998</v>
      </c>
      <c r="AX1030" s="58">
        <f>COUNTIF(AW$3:AW1030,AW1030)</f>
        <v>4</v>
      </c>
    </row>
    <row r="1031" spans="1:50" x14ac:dyDescent="0.25">
      <c r="A1031" s="5">
        <v>36128</v>
      </c>
      <c r="B1031">
        <v>1192.33</v>
      </c>
      <c r="C1031">
        <v>4.47</v>
      </c>
      <c r="D1031" s="6">
        <v>22.469999000000001</v>
      </c>
      <c r="E1031" s="18">
        <f t="shared" si="1034"/>
        <v>25.73</v>
      </c>
      <c r="F1031">
        <f t="shared" si="1035"/>
        <v>-2</v>
      </c>
      <c r="G1031" s="18">
        <f>ROUND(INDEX(Valuation!U:U,MATCH(A1031,Valuation!A:A,0)),2)</f>
        <v>37.200000000000003</v>
      </c>
      <c r="H1031">
        <f t="shared" si="1042"/>
        <v>-2</v>
      </c>
      <c r="I1031" s="18">
        <f>INDEX(WeeklyIndicators!Y:Y,MATCH(A1031,WeeklyIndicators!A:A,0))</f>
        <v>109.98</v>
      </c>
      <c r="J1031">
        <f t="shared" si="1031"/>
        <v>-1</v>
      </c>
      <c r="K1031">
        <f>ROUND(INDEX(Economic!AF:AF,MATCH(EOMONTH($A1031,-1),Economic!A:A,0)),2)</f>
        <v>111.25</v>
      </c>
      <c r="L1031" s="11">
        <f t="shared" si="1040"/>
        <v>1</v>
      </c>
      <c r="M1031">
        <f>ROUND(INDEX(Manufacturing!P:P,MATCH(EOMONTH($A1031,-1),Manufacturing!A:A,0)),2)</f>
        <v>86.75</v>
      </c>
      <c r="N1031">
        <f t="shared" si="1036"/>
        <v>0</v>
      </c>
      <c r="O1031">
        <f>ROUND(INDEX(Housing!AC:AC,MATCH(EOMONTH($A1031,-1),Housing!B:B,0)),2)</f>
        <v>144.02000000000001</v>
      </c>
      <c r="P1031">
        <f t="shared" si="1037"/>
        <v>3</v>
      </c>
      <c r="Q1031">
        <f>ROUND(INDEX(Spending!AJ:AJ,MATCH(EOMONTH($A1031,-1),Spending!B:B,0)),2)</f>
        <v>66.7</v>
      </c>
      <c r="R1031">
        <f t="shared" si="1041"/>
        <v>2</v>
      </c>
      <c r="S1031">
        <f>ROUND(INDEX(Employment!V:V,MATCH(EOMONTH($A1031,-1),Employment!A:A,0)),2)</f>
        <v>180.51</v>
      </c>
      <c r="T1031" s="11">
        <f t="shared" si="1038"/>
        <v>2</v>
      </c>
      <c r="U1031">
        <f t="shared" si="1030"/>
        <v>23</v>
      </c>
      <c r="V1031">
        <f t="shared" si="1058"/>
        <v>75.680000000000007</v>
      </c>
      <c r="W1031" s="13">
        <f t="shared" si="1059"/>
        <v>7.1999999999999998E-3</v>
      </c>
      <c r="X1031" s="13">
        <f t="shared" si="1060"/>
        <v>3.9300000000000002E-2</v>
      </c>
      <c r="Y1031">
        <f t="shared" si="1052"/>
        <v>65.180000000000007</v>
      </c>
      <c r="Z1031" s="13">
        <f t="shared" si="1047"/>
        <v>1.21E-2</v>
      </c>
      <c r="AA1031" s="13">
        <f t="shared" si="1043"/>
        <v>9.1400000000000009E-2</v>
      </c>
      <c r="AB1031" s="6">
        <f t="shared" si="1053"/>
        <v>70.44</v>
      </c>
      <c r="AC1031">
        <f t="shared" si="1045"/>
        <v>35</v>
      </c>
      <c r="AD1031" s="11">
        <f t="shared" si="1046"/>
        <v>0</v>
      </c>
      <c r="AE1031">
        <f t="shared" si="1044"/>
        <v>25</v>
      </c>
      <c r="AF1031">
        <f>IF(AND(AE1031&lt;15,OR(AC1031&gt;=30,AA1031&gt;0.15,X1031&gt;=0.15)),2,VLOOKUP(AE1031,Table!P:Q,2,FALSE))</f>
        <v>3</v>
      </c>
      <c r="AG1031" s="22">
        <f>IF((AB1031*0.98)-(D1031*0.8)+((AF1031-3)*3)+VLOOKUP(AM1031,Table!$A$11:$B$13,2,FALSE)&lt;0,0,(AB1031*0.98)-(D1031*0.8)+((AF1031-3)*3)+VLOOKUP(AM1031,Table!$A$11:$B$13,2,FALSE))</f>
        <v>59.055200799999994</v>
      </c>
      <c r="AH1031" s="22">
        <f t="shared" si="1039"/>
        <v>55</v>
      </c>
      <c r="AI1031" s="18">
        <f t="shared" si="1032"/>
        <v>4.33</v>
      </c>
      <c r="AJ1031" s="18">
        <f t="shared" si="1033"/>
        <v>4.76</v>
      </c>
      <c r="AK1031" t="str">
        <f t="shared" si="1054"/>
        <v/>
      </c>
      <c r="AL1031">
        <f t="shared" si="1029"/>
        <v>24.5</v>
      </c>
      <c r="AM1031" s="11" t="str">
        <f t="shared" si="1055"/>
        <v>Stocks</v>
      </c>
      <c r="AN1031" t="str">
        <f t="shared" si="1061"/>
        <v>Buy</v>
      </c>
      <c r="AO1031" s="13">
        <f t="shared" si="1062"/>
        <v>-1.3100000000000001E-2</v>
      </c>
      <c r="AP1031" s="13">
        <f t="shared" si="1063"/>
        <v>8.9999999999999998E-4</v>
      </c>
      <c r="AQ1031" s="13">
        <f t="shared" si="1064"/>
        <v>-6.7999999999999996E-3</v>
      </c>
      <c r="AR1031" s="13">
        <f t="shared" si="1056"/>
        <v>-1.3100000000000001E-2</v>
      </c>
      <c r="AS1031" s="6">
        <f t="shared" si="1048"/>
        <v>296.81288753929118</v>
      </c>
      <c r="AT1031" s="6">
        <f t="shared" si="1049"/>
        <v>134.98110359297775</v>
      </c>
      <c r="AU1031" s="6">
        <f t="shared" si="1050"/>
        <v>261.68749616214609</v>
      </c>
      <c r="AV1031" s="6">
        <f t="shared" si="1051"/>
        <v>296.81288753929118</v>
      </c>
      <c r="AW1031" s="58">
        <f t="shared" si="1057"/>
        <v>1998</v>
      </c>
      <c r="AX1031" s="58">
        <f>COUNTIF(AW$3:AW1031,AW1031)</f>
        <v>5</v>
      </c>
    </row>
    <row r="1032" spans="1:50" x14ac:dyDescent="0.25">
      <c r="A1032" s="5">
        <v>36121</v>
      </c>
      <c r="B1032">
        <v>1163.55</v>
      </c>
      <c r="C1032">
        <v>4.3499999999999996</v>
      </c>
      <c r="D1032" s="6">
        <v>29.030000999999999</v>
      </c>
      <c r="E1032" s="18">
        <f t="shared" si="1034"/>
        <v>27.59</v>
      </c>
      <c r="F1032">
        <f t="shared" si="1035"/>
        <v>-2</v>
      </c>
      <c r="G1032" s="18">
        <f>ROUND(INDEX(Valuation!U:U,MATCH(A1032,Valuation!A:A,0)),2)</f>
        <v>42.66</v>
      </c>
      <c r="H1032">
        <f t="shared" si="1042"/>
        <v>-2</v>
      </c>
      <c r="I1032" s="18">
        <f>INDEX(WeeklyIndicators!Y:Y,MATCH(A1032,WeeklyIndicators!A:A,0))</f>
        <v>108.94</v>
      </c>
      <c r="J1032">
        <f t="shared" si="1031"/>
        <v>-1</v>
      </c>
      <c r="K1032">
        <f>ROUND(INDEX(Economic!AF:AF,MATCH(EOMONTH($A1032,-1),Economic!A:A,0)),2)</f>
        <v>111.25</v>
      </c>
      <c r="L1032" s="11">
        <f t="shared" si="1040"/>
        <v>1</v>
      </c>
      <c r="M1032">
        <f>ROUND(INDEX(Manufacturing!P:P,MATCH(EOMONTH($A1032,-1),Manufacturing!A:A,0)),2)</f>
        <v>86.75</v>
      </c>
      <c r="N1032">
        <f t="shared" si="1036"/>
        <v>0</v>
      </c>
      <c r="O1032">
        <f>ROUND(INDEX(Housing!AC:AC,MATCH(EOMONTH($A1032,-1),Housing!B:B,0)),2)</f>
        <v>144.02000000000001</v>
      </c>
      <c r="P1032">
        <f t="shared" si="1037"/>
        <v>3</v>
      </c>
      <c r="Q1032">
        <f>ROUND(INDEX(Spending!AJ:AJ,MATCH(EOMONTH($A1032,-1),Spending!B:B,0)),2)</f>
        <v>66.7</v>
      </c>
      <c r="R1032">
        <f t="shared" si="1041"/>
        <v>2</v>
      </c>
      <c r="S1032">
        <f>ROUND(INDEX(Employment!V:V,MATCH(EOMONTH($A1032,-1),Employment!A:A,0)),2)</f>
        <v>180.51</v>
      </c>
      <c r="T1032" s="11">
        <f t="shared" si="1038"/>
        <v>2</v>
      </c>
      <c r="U1032">
        <f t="shared" si="1030"/>
        <v>23</v>
      </c>
      <c r="V1032">
        <f t="shared" si="1058"/>
        <v>75.569999999999993</v>
      </c>
      <c r="W1032" s="13">
        <f t="shared" si="1059"/>
        <v>1.2500000000000001E-2</v>
      </c>
      <c r="X1032" s="13">
        <f t="shared" si="1060"/>
        <v>2.8300000000000002E-2</v>
      </c>
      <c r="Y1032">
        <f t="shared" si="1052"/>
        <v>65.03</v>
      </c>
      <c r="Z1032" s="13">
        <f t="shared" si="1047"/>
        <v>2.6100000000000002E-2</v>
      </c>
      <c r="AA1032" s="13">
        <f t="shared" si="1043"/>
        <v>7.9100000000000004E-2</v>
      </c>
      <c r="AB1032" s="6">
        <f t="shared" si="1053"/>
        <v>69.896000000000001</v>
      </c>
      <c r="AC1032">
        <f t="shared" si="1045"/>
        <v>35</v>
      </c>
      <c r="AD1032" s="11">
        <f t="shared" si="1046"/>
        <v>0</v>
      </c>
      <c r="AE1032">
        <f t="shared" si="1044"/>
        <v>25</v>
      </c>
      <c r="AF1032">
        <f>IF(AND(AE1032&lt;15,OR(AC1032&gt;=30,AA1032&gt;0.15,X1032&gt;=0.15)),2,VLOOKUP(AE1032,Table!P:Q,2,FALSE))</f>
        <v>3</v>
      </c>
      <c r="AG1032" s="22">
        <f>IF((AB1032*0.98)-(D1032*0.8)+((AF1032-3)*3)+VLOOKUP(AM1032,Table!$A$11:$B$13,2,FALSE)&lt;0,0,(AB1032*0.98)-(D1032*0.8)+((AF1032-3)*3)+VLOOKUP(AM1032,Table!$A$11:$B$13,2,FALSE))</f>
        <v>53.274079200000003</v>
      </c>
      <c r="AH1032" s="22">
        <f t="shared" si="1039"/>
        <v>51</v>
      </c>
      <c r="AI1032" s="18">
        <f t="shared" si="1032"/>
        <v>4.37</v>
      </c>
      <c r="AJ1032" s="18">
        <f t="shared" si="1033"/>
        <v>4.78</v>
      </c>
      <c r="AK1032" t="str">
        <f t="shared" si="1054"/>
        <v>Falling Rates</v>
      </c>
      <c r="AL1032">
        <f t="shared" si="1029"/>
        <v>24</v>
      </c>
      <c r="AM1032" s="11" t="str">
        <f t="shared" si="1055"/>
        <v>Stocks</v>
      </c>
      <c r="AN1032" t="str">
        <f t="shared" si="1061"/>
        <v>Buy</v>
      </c>
      <c r="AO1032" s="13">
        <f t="shared" si="1062"/>
        <v>2.47E-2</v>
      </c>
      <c r="AP1032" s="13">
        <f t="shared" si="1063"/>
        <v>8.0000000000000004E-4</v>
      </c>
      <c r="AQ1032" s="13">
        <f t="shared" si="1064"/>
        <v>1.2999999999999999E-2</v>
      </c>
      <c r="AR1032" s="13">
        <f t="shared" si="1056"/>
        <v>2.47E-2</v>
      </c>
      <c r="AS1032" s="6">
        <f t="shared" si="1048"/>
        <v>289.6583268657082</v>
      </c>
      <c r="AT1032" s="6">
        <f t="shared" si="1049"/>
        <v>134.8732050289546</v>
      </c>
      <c r="AU1032" s="6">
        <f t="shared" si="1050"/>
        <v>258.32921634960132</v>
      </c>
      <c r="AV1032" s="6">
        <f t="shared" si="1051"/>
        <v>289.6583268657082</v>
      </c>
      <c r="AW1032" s="58">
        <f t="shared" si="1057"/>
        <v>1998</v>
      </c>
      <c r="AX1032" s="58">
        <f>COUNTIF(AW$3:AW1032,AW1032)</f>
        <v>6</v>
      </c>
    </row>
    <row r="1033" spans="1:50" x14ac:dyDescent="0.25">
      <c r="A1033" s="5">
        <v>36114</v>
      </c>
      <c r="B1033">
        <v>1125.72</v>
      </c>
      <c r="C1033">
        <v>4.42</v>
      </c>
      <c r="D1033" s="6">
        <v>25.700001</v>
      </c>
      <c r="E1033" s="18">
        <f t="shared" si="1034"/>
        <v>28.67</v>
      </c>
      <c r="F1033">
        <f t="shared" si="1035"/>
        <v>-2</v>
      </c>
      <c r="G1033" s="18">
        <f>ROUND(INDEX(Valuation!U:U,MATCH(A1033,Valuation!A:A,0)),2)</f>
        <v>47.5</v>
      </c>
      <c r="H1033">
        <f t="shared" si="1042"/>
        <v>-2</v>
      </c>
      <c r="I1033" s="18">
        <f>INDEX(WeeklyIndicators!Y:Y,MATCH(A1033,WeeklyIndicators!A:A,0))</f>
        <v>105.82</v>
      </c>
      <c r="J1033">
        <f t="shared" si="1031"/>
        <v>-1</v>
      </c>
      <c r="K1033">
        <f>ROUND(INDEX(Economic!AF:AF,MATCH(EOMONTH($A1033,-1),Economic!A:A,0)),2)</f>
        <v>111.25</v>
      </c>
      <c r="L1033" s="11">
        <f t="shared" si="1040"/>
        <v>1</v>
      </c>
      <c r="M1033">
        <f>ROUND(INDEX(Manufacturing!P:P,MATCH(EOMONTH($A1033,-1),Manufacturing!A:A,0)),2)</f>
        <v>86.75</v>
      </c>
      <c r="N1033">
        <f t="shared" si="1036"/>
        <v>0</v>
      </c>
      <c r="O1033">
        <f>ROUND(INDEX(Housing!AC:AC,MATCH(EOMONTH($A1033,-1),Housing!B:B,0)),2)</f>
        <v>144.02000000000001</v>
      </c>
      <c r="P1033">
        <f t="shared" si="1037"/>
        <v>3</v>
      </c>
      <c r="Q1033">
        <f>ROUND(INDEX(Spending!AJ:AJ,MATCH(EOMONTH($A1033,-1),Spending!B:B,0)),2)</f>
        <v>66.7</v>
      </c>
      <c r="R1033">
        <f t="shared" si="1041"/>
        <v>2</v>
      </c>
      <c r="S1033">
        <f>ROUND(INDEX(Employment!V:V,MATCH(EOMONTH($A1033,-1),Employment!A:A,0)),2)</f>
        <v>180.51</v>
      </c>
      <c r="T1033" s="11">
        <f t="shared" si="1038"/>
        <v>2</v>
      </c>
      <c r="U1033">
        <f t="shared" si="1030"/>
        <v>23</v>
      </c>
      <c r="V1033">
        <f t="shared" si="1058"/>
        <v>75.25</v>
      </c>
      <c r="W1033" s="13">
        <f t="shared" si="1059"/>
        <v>1.35E-2</v>
      </c>
      <c r="X1033" s="13">
        <f t="shared" si="1060"/>
        <v>5.9999999999999984E-3</v>
      </c>
      <c r="Y1033">
        <f t="shared" si="1052"/>
        <v>64.87</v>
      </c>
      <c r="Z1033" s="13">
        <f t="shared" si="1047"/>
        <v>3.3099999999999997E-2</v>
      </c>
      <c r="AA1033" s="13">
        <f t="shared" si="1043"/>
        <v>4.6100000000000002E-2</v>
      </c>
      <c r="AB1033" s="6">
        <f t="shared" si="1053"/>
        <v>67.78</v>
      </c>
      <c r="AC1033">
        <f t="shared" si="1045"/>
        <v>34</v>
      </c>
      <c r="AD1033" s="11">
        <f t="shared" si="1046"/>
        <v>0</v>
      </c>
      <c r="AE1033">
        <f t="shared" si="1044"/>
        <v>25</v>
      </c>
      <c r="AF1033">
        <f>IF(AND(AE1033&lt;15,OR(AC1033&gt;=30,AA1033&gt;0.15,X1033&gt;=0.15)),2,VLOOKUP(AE1033,Table!P:Q,2,FALSE))</f>
        <v>3</v>
      </c>
      <c r="AG1033" s="22">
        <f>IF((AB1033*0.98)-(D1033*0.8)+((AF1033-3)*3)+VLOOKUP(AM1033,Table!$A$11:$B$13,2,FALSE)&lt;0,0,(AB1033*0.98)-(D1033*0.8)+((AF1033-3)*3)+VLOOKUP(AM1033,Table!$A$11:$B$13,2,FALSE))</f>
        <v>53.864399200000008</v>
      </c>
      <c r="AH1033" s="22">
        <f t="shared" si="1039"/>
        <v>47</v>
      </c>
      <c r="AI1033" s="18">
        <f t="shared" si="1032"/>
        <v>4.41</v>
      </c>
      <c r="AJ1033" s="18">
        <f t="shared" si="1033"/>
        <v>4.79</v>
      </c>
      <c r="AK1033" t="str">
        <f t="shared" si="1054"/>
        <v/>
      </c>
      <c r="AL1033">
        <f t="shared" ref="AL1033:AL1096" si="1065">ROUND(AVERAGE(AE1033:AE1036),2)</f>
        <v>23.25</v>
      </c>
      <c r="AM1033" s="11" t="str">
        <f t="shared" si="1055"/>
        <v>Stocks</v>
      </c>
      <c r="AN1033" t="str">
        <f t="shared" si="1061"/>
        <v>Buy</v>
      </c>
      <c r="AO1033" s="13">
        <f t="shared" si="1062"/>
        <v>3.3599999999999998E-2</v>
      </c>
      <c r="AP1033" s="13">
        <f t="shared" si="1063"/>
        <v>8.9999999999999998E-4</v>
      </c>
      <c r="AQ1033" s="13">
        <f t="shared" si="1064"/>
        <v>1.6299999999999999E-2</v>
      </c>
      <c r="AR1033" s="13">
        <f t="shared" si="1056"/>
        <v>3.3599999999999998E-2</v>
      </c>
      <c r="AS1033" s="6">
        <f t="shared" si="1048"/>
        <v>280.24218930505822</v>
      </c>
      <c r="AT1033" s="6">
        <f t="shared" si="1049"/>
        <v>134.75192829349047</v>
      </c>
      <c r="AU1033" s="6">
        <f t="shared" si="1050"/>
        <v>254.18598479740365</v>
      </c>
      <c r="AV1033" s="6">
        <f t="shared" si="1051"/>
        <v>280.24218930505822</v>
      </c>
      <c r="AW1033" s="58">
        <f t="shared" si="1057"/>
        <v>1998</v>
      </c>
      <c r="AX1033" s="58">
        <f>COUNTIF(AW$3:AW1033,AW1033)</f>
        <v>7</v>
      </c>
    </row>
    <row r="1034" spans="1:50" x14ac:dyDescent="0.25">
      <c r="A1034" s="5">
        <v>36107</v>
      </c>
      <c r="B1034">
        <v>1141.01</v>
      </c>
      <c r="C1034">
        <v>4.43</v>
      </c>
      <c r="D1034" s="6">
        <v>28.049999</v>
      </c>
      <c r="E1034" s="18">
        <f t="shared" si="1034"/>
        <v>31.71</v>
      </c>
      <c r="F1034">
        <f t="shared" si="1035"/>
        <v>-2</v>
      </c>
      <c r="G1034" s="18">
        <f>ROUND(INDEX(Valuation!U:U,MATCH(A1034,Valuation!A:A,0)),2)</f>
        <v>49.39</v>
      </c>
      <c r="H1034">
        <f t="shared" si="1042"/>
        <v>-2</v>
      </c>
      <c r="I1034" s="18">
        <f>INDEX(WeeklyIndicators!Y:Y,MATCH(A1034,WeeklyIndicators!A:A,0))</f>
        <v>94.52</v>
      </c>
      <c r="J1034">
        <f t="shared" si="1031"/>
        <v>-2</v>
      </c>
      <c r="K1034">
        <f>ROUND(INDEX(Economic!AF:AF,MATCH(EOMONTH($A1034,-1),Economic!A:A,0)),2)</f>
        <v>111.25</v>
      </c>
      <c r="L1034" s="11">
        <f t="shared" si="1040"/>
        <v>1</v>
      </c>
      <c r="M1034">
        <f>ROUND(INDEX(Manufacturing!P:P,MATCH(EOMONTH($A1034,-1),Manufacturing!A:A,0)),2)</f>
        <v>86.75</v>
      </c>
      <c r="N1034">
        <f t="shared" si="1036"/>
        <v>0</v>
      </c>
      <c r="O1034">
        <f>ROUND(INDEX(Housing!AC:AC,MATCH(EOMONTH($A1034,-1),Housing!B:B,0)),2)</f>
        <v>144.02000000000001</v>
      </c>
      <c r="P1034">
        <f t="shared" si="1037"/>
        <v>3</v>
      </c>
      <c r="Q1034">
        <f>ROUND(INDEX(Spending!AJ:AJ,MATCH(EOMONTH($A1034,-1),Spending!B:B,0)),2)</f>
        <v>66.7</v>
      </c>
      <c r="R1034">
        <f t="shared" si="1041"/>
        <v>2</v>
      </c>
      <c r="S1034">
        <f>ROUND(INDEX(Employment!V:V,MATCH(EOMONTH($A1034,-1),Employment!A:A,0)),2)</f>
        <v>180.51</v>
      </c>
      <c r="T1034" s="11">
        <f t="shared" si="1038"/>
        <v>2</v>
      </c>
      <c r="U1034">
        <f t="shared" ref="U1034:U1097" si="1066">F1034+H1034+J1034+L1034+N1034+P1034+R1034+T1034+20</f>
        <v>22</v>
      </c>
      <c r="V1034">
        <f t="shared" si="1058"/>
        <v>74.069999999999993</v>
      </c>
      <c r="W1034" s="13">
        <f t="shared" si="1059"/>
        <v>6.1000000000000004E-3</v>
      </c>
      <c r="X1034" s="13">
        <f t="shared" si="1060"/>
        <v>-2.2499999999999999E-2</v>
      </c>
      <c r="Y1034">
        <f t="shared" si="1052"/>
        <v>62.84</v>
      </c>
      <c r="Z1034" s="13">
        <f t="shared" si="1047"/>
        <v>2.01E-2</v>
      </c>
      <c r="AA1034" s="13">
        <f t="shared" si="1043"/>
        <v>6.1000000000000013E-3</v>
      </c>
      <c r="AB1034" s="6">
        <f t="shared" si="1053"/>
        <v>62.928999999999995</v>
      </c>
      <c r="AC1034">
        <f t="shared" si="1045"/>
        <v>31</v>
      </c>
      <c r="AD1034" s="11">
        <f t="shared" si="1046"/>
        <v>-1</v>
      </c>
      <c r="AE1034">
        <f t="shared" si="1044"/>
        <v>23</v>
      </c>
      <c r="AF1034">
        <f>IF(AND(AE1034&lt;15,OR(AC1034&gt;=30,AA1034&gt;0.15,X1034&gt;=0.15)),2,VLOOKUP(AE1034,Table!P:Q,2,FALSE))</f>
        <v>3</v>
      </c>
      <c r="AG1034" s="22">
        <f>IF((AB1034*0.98)-(D1034*0.8)+((AF1034-3)*3)+VLOOKUP(AM1034,Table!$A$11:$B$13,2,FALSE)&lt;0,0,(AB1034*0.98)-(D1034*0.8)+((AF1034-3)*3)+VLOOKUP(AM1034,Table!$A$11:$B$13,2,FALSE))</f>
        <v>47.23042079999999</v>
      </c>
      <c r="AH1034" s="22">
        <f t="shared" si="1039"/>
        <v>40</v>
      </c>
      <c r="AI1034" s="18">
        <f t="shared" si="1032"/>
        <v>4.45</v>
      </c>
      <c r="AJ1034" s="18">
        <f t="shared" si="1033"/>
        <v>4.8099999999999996</v>
      </c>
      <c r="AK1034" t="str">
        <f t="shared" si="1054"/>
        <v>Falling Rates</v>
      </c>
      <c r="AL1034">
        <f t="shared" si="1065"/>
        <v>22.5</v>
      </c>
      <c r="AM1034" s="11" t="str">
        <f t="shared" si="1055"/>
        <v>Stocks</v>
      </c>
      <c r="AN1034" t="str">
        <f t="shared" si="1061"/>
        <v>Buy</v>
      </c>
      <c r="AO1034" s="13">
        <f t="shared" si="1062"/>
        <v>-1.34E-2</v>
      </c>
      <c r="AP1034" s="13">
        <f t="shared" si="1063"/>
        <v>8.9999999999999998E-4</v>
      </c>
      <c r="AQ1034" s="13">
        <f t="shared" si="1064"/>
        <v>-4.7999999999999996E-3</v>
      </c>
      <c r="AR1034" s="13">
        <f t="shared" si="1056"/>
        <v>-1.34E-2</v>
      </c>
      <c r="AS1034" s="6">
        <f t="shared" si="1048"/>
        <v>284.04843837934141</v>
      </c>
      <c r="AT1034" s="6">
        <f t="shared" si="1049"/>
        <v>134.63076060894244</v>
      </c>
      <c r="AU1034" s="6">
        <f t="shared" si="1050"/>
        <v>255.41196221604065</v>
      </c>
      <c r="AV1034" s="6">
        <f t="shared" si="1051"/>
        <v>284.04843837934141</v>
      </c>
      <c r="AW1034" s="58">
        <f t="shared" si="1057"/>
        <v>1998</v>
      </c>
      <c r="AX1034" s="58">
        <f>COUNTIF(AW$3:AW1034,AW1034)</f>
        <v>8</v>
      </c>
    </row>
    <row r="1035" spans="1:50" x14ac:dyDescent="0.25">
      <c r="A1035" s="5">
        <v>36100</v>
      </c>
      <c r="B1035">
        <v>1098.67</v>
      </c>
      <c r="C1035">
        <v>4.12</v>
      </c>
      <c r="D1035" s="6">
        <v>32.270000000000003</v>
      </c>
      <c r="E1035" s="18">
        <f t="shared" si="1034"/>
        <v>36.43</v>
      </c>
      <c r="F1035">
        <f t="shared" si="1035"/>
        <v>-3</v>
      </c>
      <c r="G1035" s="18">
        <f>ROUND(INDEX(Valuation!U:U,MATCH(A1035,Valuation!A:A,0)),2)</f>
        <v>51.18</v>
      </c>
      <c r="H1035">
        <f t="shared" si="1042"/>
        <v>-1</v>
      </c>
      <c r="I1035" s="18">
        <f>INDEX(WeeklyIndicators!Y:Y,MATCH(A1035,WeeklyIndicators!A:A,0))</f>
        <v>82.28</v>
      </c>
      <c r="J1035">
        <f t="shared" si="1031"/>
        <v>-2</v>
      </c>
      <c r="K1035">
        <f>ROUND(INDEX(Economic!AF:AF,MATCH(EOMONTH($A1035,-1),Economic!A:A,0)),2)</f>
        <v>111.25</v>
      </c>
      <c r="L1035" s="11">
        <f t="shared" si="1040"/>
        <v>1</v>
      </c>
      <c r="M1035">
        <f>ROUND(INDEX(Manufacturing!P:P,MATCH(EOMONTH($A1035,-1),Manufacturing!A:A,0)),2)</f>
        <v>86.75</v>
      </c>
      <c r="N1035">
        <f t="shared" si="1036"/>
        <v>0</v>
      </c>
      <c r="O1035">
        <f>ROUND(INDEX(Housing!AC:AC,MATCH(EOMONTH($A1035,-1),Housing!B:B,0)),2)</f>
        <v>144.02000000000001</v>
      </c>
      <c r="P1035">
        <f t="shared" si="1037"/>
        <v>3</v>
      </c>
      <c r="Q1035">
        <f>ROUND(INDEX(Spending!AJ:AJ,MATCH(EOMONTH($A1035,-1),Spending!B:B,0)),2)</f>
        <v>66.7</v>
      </c>
      <c r="R1035">
        <f t="shared" si="1041"/>
        <v>2</v>
      </c>
      <c r="S1035">
        <f>ROUND(INDEX(Employment!V:V,MATCH(EOMONTH($A1035,-1),Employment!A:A,0)),2)</f>
        <v>180.51</v>
      </c>
      <c r="T1035" s="11">
        <f t="shared" si="1038"/>
        <v>2</v>
      </c>
      <c r="U1035">
        <f t="shared" si="1066"/>
        <v>22</v>
      </c>
      <c r="V1035">
        <f t="shared" si="1058"/>
        <v>72.8</v>
      </c>
      <c r="W1035" s="13">
        <f t="shared" si="1059"/>
        <v>-3.8E-3</v>
      </c>
      <c r="X1035" s="13">
        <f t="shared" si="1060"/>
        <v>-4.3499999999999997E-2</v>
      </c>
      <c r="Y1035">
        <f t="shared" si="1052"/>
        <v>60.12</v>
      </c>
      <c r="Z1035" s="13">
        <f t="shared" si="1047"/>
        <v>-2.0000000000000001E-4</v>
      </c>
      <c r="AA1035" s="13">
        <f t="shared" si="1043"/>
        <v>-2.1699999999999997E-2</v>
      </c>
      <c r="AB1035" s="6">
        <f t="shared" si="1053"/>
        <v>58.277999999999999</v>
      </c>
      <c r="AC1035">
        <f t="shared" si="1045"/>
        <v>29</v>
      </c>
      <c r="AD1035" s="11">
        <f t="shared" si="1046"/>
        <v>-1</v>
      </c>
      <c r="AE1035">
        <f t="shared" si="1044"/>
        <v>23</v>
      </c>
      <c r="AF1035">
        <f>IF(AND(AE1035&lt;15,OR(AC1035&gt;=30,AA1035&gt;0.15,X1035&gt;=0.15)),2,VLOOKUP(AE1035,Table!P:Q,2,FALSE))</f>
        <v>3</v>
      </c>
      <c r="AG1035" s="22">
        <f>IF((AB1035*0.98)-(D1035*0.8)+((AF1035-3)*3)+VLOOKUP(AM1035,Table!$A$11:$B$13,2,FALSE)&lt;0,0,(AB1035*0.98)-(D1035*0.8)+((AF1035-3)*3)+VLOOKUP(AM1035,Table!$A$11:$B$13,2,FALSE))</f>
        <v>39.296439999999997</v>
      </c>
      <c r="AH1035" s="22">
        <f t="shared" si="1039"/>
        <v>34</v>
      </c>
      <c r="AI1035" s="18">
        <f t="shared" si="1032"/>
        <v>4.4800000000000004</v>
      </c>
      <c r="AJ1035" s="18">
        <f t="shared" si="1033"/>
        <v>4.83</v>
      </c>
      <c r="AK1035" t="str">
        <f t="shared" si="1054"/>
        <v>Falling Rates</v>
      </c>
      <c r="AL1035">
        <f t="shared" si="1065"/>
        <v>22</v>
      </c>
      <c r="AM1035" s="11" t="str">
        <f t="shared" si="1055"/>
        <v>Stocks</v>
      </c>
      <c r="AN1035" t="str">
        <f t="shared" si="1061"/>
        <v>Buy</v>
      </c>
      <c r="AO1035" s="13">
        <f t="shared" si="1062"/>
        <v>3.85E-2</v>
      </c>
      <c r="AP1035" s="13">
        <f t="shared" si="1063"/>
        <v>8.0000000000000004E-4</v>
      </c>
      <c r="AQ1035" s="13">
        <f t="shared" si="1064"/>
        <v>1.3599999999999999E-2</v>
      </c>
      <c r="AR1035" s="13">
        <f t="shared" si="1056"/>
        <v>3.85E-2</v>
      </c>
      <c r="AS1035" s="6">
        <f t="shared" si="1048"/>
        <v>273.51799555064173</v>
      </c>
      <c r="AT1035" s="6">
        <f t="shared" si="1049"/>
        <v>134.52314209526622</v>
      </c>
      <c r="AU1035" s="6">
        <f t="shared" si="1050"/>
        <v>251.98496666933764</v>
      </c>
      <c r="AV1035" s="6">
        <f t="shared" si="1051"/>
        <v>273.51799555064173</v>
      </c>
      <c r="AW1035" s="58">
        <f t="shared" si="1057"/>
        <v>1998</v>
      </c>
      <c r="AX1035" s="58">
        <f>COUNTIF(AW$3:AW1035,AW1035)</f>
        <v>9</v>
      </c>
    </row>
    <row r="1036" spans="1:50" x14ac:dyDescent="0.25">
      <c r="A1036" s="5">
        <v>36093</v>
      </c>
      <c r="B1036">
        <v>1070.67</v>
      </c>
      <c r="C1036">
        <v>3.85</v>
      </c>
      <c r="D1036" s="6">
        <v>34.82</v>
      </c>
      <c r="E1036" s="18">
        <f t="shared" si="1034"/>
        <v>39.159999999999997</v>
      </c>
      <c r="F1036">
        <f t="shared" si="1035"/>
        <v>-3</v>
      </c>
      <c r="G1036" s="18">
        <f>ROUND(INDEX(Valuation!U:U,MATCH(A1036,Valuation!A:A,0)),2)</f>
        <v>52.93</v>
      </c>
      <c r="H1036">
        <f t="shared" si="1042"/>
        <v>-1</v>
      </c>
      <c r="I1036" s="18">
        <f>INDEX(WeeklyIndicators!Y:Y,MATCH(A1036,WeeklyIndicators!A:A,0))</f>
        <v>77.84</v>
      </c>
      <c r="J1036">
        <f t="shared" si="1031"/>
        <v>-2</v>
      </c>
      <c r="K1036">
        <f>ROUND(INDEX(Economic!AF:AF,MATCH(EOMONTH($A1036,-1),Economic!A:A,0)),2)</f>
        <v>116.81</v>
      </c>
      <c r="L1036" s="11">
        <f t="shared" si="1040"/>
        <v>1</v>
      </c>
      <c r="M1036">
        <f>ROUND(INDEX(Manufacturing!P:P,MATCH(EOMONTH($A1036,-1),Manufacturing!A:A,0)),2)</f>
        <v>82.99</v>
      </c>
      <c r="N1036">
        <f t="shared" si="1036"/>
        <v>-1</v>
      </c>
      <c r="O1036">
        <f>ROUND(INDEX(Housing!AC:AC,MATCH(EOMONTH($A1036,-1),Housing!B:B,0)),2)</f>
        <v>143.93</v>
      </c>
      <c r="P1036">
        <f t="shared" si="1037"/>
        <v>3</v>
      </c>
      <c r="Q1036">
        <f>ROUND(INDEX(Spending!AJ:AJ,MATCH(EOMONTH($A1036,-1),Spending!B:B,0)),2)</f>
        <v>67.61</v>
      </c>
      <c r="R1036">
        <f t="shared" si="1041"/>
        <v>2</v>
      </c>
      <c r="S1036">
        <f>ROUND(INDEX(Employment!V:V,MATCH(EOMONTH($A1036,-1),Employment!A:A,0)),2)</f>
        <v>176.22</v>
      </c>
      <c r="T1036" s="11">
        <f t="shared" si="1038"/>
        <v>2</v>
      </c>
      <c r="U1036">
        <f t="shared" si="1066"/>
        <v>21</v>
      </c>
      <c r="V1036">
        <f t="shared" si="1058"/>
        <v>72.3</v>
      </c>
      <c r="W1036" s="13">
        <f t="shared" si="1059"/>
        <v>-9.7999999999999997E-3</v>
      </c>
      <c r="X1036" s="13">
        <f t="shared" si="1060"/>
        <v>-5.3599999999999995E-2</v>
      </c>
      <c r="Y1036">
        <f t="shared" si="1052"/>
        <v>58.86</v>
      </c>
      <c r="Z1036" s="13">
        <f t="shared" si="1047"/>
        <v>-6.8999999999999999E-3</v>
      </c>
      <c r="AA1036" s="13">
        <f t="shared" si="1043"/>
        <v>-3.8699999999999998E-2</v>
      </c>
      <c r="AB1036" s="6">
        <f t="shared" si="1053"/>
        <v>55.933</v>
      </c>
      <c r="AC1036">
        <f t="shared" si="1045"/>
        <v>28</v>
      </c>
      <c r="AD1036" s="11">
        <f t="shared" si="1046"/>
        <v>-1</v>
      </c>
      <c r="AE1036">
        <f t="shared" si="1044"/>
        <v>22</v>
      </c>
      <c r="AF1036">
        <f>IF(AND(AE1036&lt;15,OR(AC1036&gt;=30,AA1036&gt;0.15,X1036&gt;=0.15)),2,VLOOKUP(AE1036,Table!P:Q,2,FALSE))</f>
        <v>3</v>
      </c>
      <c r="AG1036" s="22">
        <f>IF((AB1036*0.98)-(D1036*0.8)+((AF1036-3)*3)+VLOOKUP(AM1036,Table!$A$11:$B$13,2,FALSE)&lt;0,0,(AB1036*0.98)-(D1036*0.8)+((AF1036-3)*3)+VLOOKUP(AM1036,Table!$A$11:$B$13,2,FALSE))</f>
        <v>34.95834</v>
      </c>
      <c r="AH1036" s="22">
        <f t="shared" si="1039"/>
        <v>31</v>
      </c>
      <c r="AI1036" s="18">
        <f t="shared" si="1032"/>
        <v>4.55</v>
      </c>
      <c r="AJ1036" s="18">
        <f t="shared" si="1033"/>
        <v>4.8499999999999996</v>
      </c>
      <c r="AK1036" t="str">
        <f t="shared" si="1054"/>
        <v>Falling Rates</v>
      </c>
      <c r="AL1036">
        <f t="shared" si="1065"/>
        <v>21.75</v>
      </c>
      <c r="AM1036" s="11" t="str">
        <f t="shared" si="1055"/>
        <v>Stocks</v>
      </c>
      <c r="AN1036" t="str">
        <f t="shared" si="1061"/>
        <v>Buy</v>
      </c>
      <c r="AO1036" s="13">
        <f t="shared" si="1062"/>
        <v>2.6200000000000001E-2</v>
      </c>
      <c r="AP1036" s="13">
        <f t="shared" si="1063"/>
        <v>6.9999999999999999E-4</v>
      </c>
      <c r="AQ1036" s="13">
        <f t="shared" si="1064"/>
        <v>8.6E-3</v>
      </c>
      <c r="AR1036" s="13">
        <f t="shared" si="1056"/>
        <v>2.6200000000000001E-2</v>
      </c>
      <c r="AS1036" s="6">
        <f t="shared" si="1048"/>
        <v>266.53478420448425</v>
      </c>
      <c r="AT1036" s="6">
        <f t="shared" si="1049"/>
        <v>134.42904176603002</v>
      </c>
      <c r="AU1036" s="6">
        <f t="shared" si="1050"/>
        <v>249.83637385419161</v>
      </c>
      <c r="AV1036" s="6">
        <f t="shared" si="1051"/>
        <v>266.53478420448425</v>
      </c>
      <c r="AW1036" s="58">
        <f t="shared" si="1057"/>
        <v>1998</v>
      </c>
      <c r="AX1036" s="58">
        <f>COUNTIF(AW$3:AW1036,AW1036)</f>
        <v>10</v>
      </c>
    </row>
    <row r="1037" spans="1:50" x14ac:dyDescent="0.25">
      <c r="A1037" s="5">
        <v>36086</v>
      </c>
      <c r="B1037">
        <v>1056.42</v>
      </c>
      <c r="C1037">
        <v>3.84</v>
      </c>
      <c r="D1037" s="6">
        <v>42.200001</v>
      </c>
      <c r="E1037" s="18">
        <f t="shared" si="1034"/>
        <v>39.07</v>
      </c>
      <c r="F1037">
        <f t="shared" si="1035"/>
        <v>-3</v>
      </c>
      <c r="G1037" s="18">
        <f>ROUND(INDEX(Valuation!U:U,MATCH(A1037,Valuation!A:A,0)),2)</f>
        <v>52.17</v>
      </c>
      <c r="H1037">
        <f t="shared" si="1042"/>
        <v>-1</v>
      </c>
      <c r="I1037" s="18">
        <f>INDEX(WeeklyIndicators!Y:Y,MATCH(A1037,WeeklyIndicators!A:A,0))</f>
        <v>82.08</v>
      </c>
      <c r="J1037">
        <f t="shared" si="1031"/>
        <v>-2</v>
      </c>
      <c r="K1037">
        <f>ROUND(INDEX(Economic!AF:AF,MATCH(EOMONTH($A1037,-1),Economic!A:A,0)),2)</f>
        <v>116.81</v>
      </c>
      <c r="L1037" s="11">
        <f t="shared" si="1040"/>
        <v>1</v>
      </c>
      <c r="M1037">
        <f>ROUND(INDEX(Manufacturing!P:P,MATCH(EOMONTH($A1037,-1),Manufacturing!A:A,0)),2)</f>
        <v>82.99</v>
      </c>
      <c r="N1037">
        <f t="shared" si="1036"/>
        <v>-1</v>
      </c>
      <c r="O1037">
        <f>ROUND(INDEX(Housing!AC:AC,MATCH(EOMONTH($A1037,-1),Housing!B:B,0)),2)</f>
        <v>143.93</v>
      </c>
      <c r="P1037">
        <f t="shared" si="1037"/>
        <v>3</v>
      </c>
      <c r="Q1037">
        <f>ROUND(INDEX(Spending!AJ:AJ,MATCH(EOMONTH($A1037,-1),Spending!B:B,0)),2)</f>
        <v>67.61</v>
      </c>
      <c r="R1037">
        <f t="shared" si="1041"/>
        <v>2</v>
      </c>
      <c r="S1037">
        <f>ROUND(INDEX(Employment!V:V,MATCH(EOMONTH($A1037,-1),Employment!A:A,0)),2)</f>
        <v>176.22</v>
      </c>
      <c r="T1037" s="11">
        <f t="shared" si="1038"/>
        <v>2</v>
      </c>
      <c r="U1037">
        <f t="shared" si="1066"/>
        <v>21</v>
      </c>
      <c r="V1037">
        <f t="shared" si="1058"/>
        <v>72.739999999999995</v>
      </c>
      <c r="W1037" s="13">
        <f t="shared" si="1059"/>
        <v>-1.4999999999999999E-2</v>
      </c>
      <c r="X1037" s="13">
        <f t="shared" si="1060"/>
        <v>-5.1699999999999996E-2</v>
      </c>
      <c r="Y1037">
        <f t="shared" si="1052"/>
        <v>59.25</v>
      </c>
      <c r="Z1037" s="13">
        <f t="shared" si="1047"/>
        <v>-6.8999999999999999E-3</v>
      </c>
      <c r="AA1037" s="13">
        <f t="shared" si="1043"/>
        <v>-5.0500000000000003E-2</v>
      </c>
      <c r="AB1037" s="6">
        <f t="shared" si="1053"/>
        <v>55.487000000000002</v>
      </c>
      <c r="AC1037">
        <f t="shared" si="1045"/>
        <v>28</v>
      </c>
      <c r="AD1037" s="11">
        <f t="shared" si="1046"/>
        <v>-1</v>
      </c>
      <c r="AE1037">
        <f t="shared" si="1044"/>
        <v>22</v>
      </c>
      <c r="AF1037">
        <f>IF(AND(AE1037&lt;15,OR(AC1037&gt;=30,AA1037&gt;0.15,X1037&gt;=0.15)),2,VLOOKUP(AE1037,Table!P:Q,2,FALSE))</f>
        <v>3</v>
      </c>
      <c r="AG1037" s="22">
        <f>IF((AB1037*0.98)-(D1037*0.8)+((AF1037-3)*3)+VLOOKUP(AM1037,Table!$A$11:$B$13,2,FALSE)&lt;0,0,(AB1037*0.98)-(D1037*0.8)+((AF1037-3)*3)+VLOOKUP(AM1037,Table!$A$11:$B$13,2,FALSE))</f>
        <v>28.617259199999999</v>
      </c>
      <c r="AH1037" s="22">
        <f t="shared" si="1039"/>
        <v>30</v>
      </c>
      <c r="AI1037" s="18">
        <f t="shared" si="1032"/>
        <v>4.63</v>
      </c>
      <c r="AJ1037" s="18">
        <f t="shared" si="1033"/>
        <v>4.88</v>
      </c>
      <c r="AK1037" t="str">
        <f t="shared" si="1054"/>
        <v>Falling Rates</v>
      </c>
      <c r="AL1037">
        <f t="shared" si="1065"/>
        <v>21.75</v>
      </c>
      <c r="AM1037" s="11" t="str">
        <f t="shared" si="1055"/>
        <v>Stocks</v>
      </c>
      <c r="AN1037" t="str">
        <f t="shared" si="1061"/>
        <v>Buy</v>
      </c>
      <c r="AO1037" s="13">
        <f t="shared" si="1062"/>
        <v>1.35E-2</v>
      </c>
      <c r="AP1037" s="13">
        <f t="shared" si="1063"/>
        <v>6.9999999999999999E-4</v>
      </c>
      <c r="AQ1037" s="13">
        <f t="shared" si="1064"/>
        <v>4.4999999999999997E-3</v>
      </c>
      <c r="AR1037" s="13">
        <f t="shared" si="1056"/>
        <v>1.35E-2</v>
      </c>
      <c r="AS1037" s="6">
        <f t="shared" si="1048"/>
        <v>262.98449354167167</v>
      </c>
      <c r="AT1037" s="6">
        <f t="shared" si="1049"/>
        <v>134.33500726094738</v>
      </c>
      <c r="AU1037" s="6">
        <f t="shared" si="1050"/>
        <v>248.7171466940683</v>
      </c>
      <c r="AV1037" s="6">
        <f t="shared" si="1051"/>
        <v>262.98449354167167</v>
      </c>
      <c r="AW1037" s="58">
        <f t="shared" si="1057"/>
        <v>1998</v>
      </c>
      <c r="AX1037" s="58">
        <f>COUNTIF(AW$3:AW1037,AW1037)</f>
        <v>11</v>
      </c>
    </row>
    <row r="1038" spans="1:50" x14ac:dyDescent="0.25">
      <c r="A1038" s="5">
        <v>36079</v>
      </c>
      <c r="B1038">
        <v>984.39</v>
      </c>
      <c r="C1038">
        <v>3.96</v>
      </c>
      <c r="D1038" s="6">
        <v>40.470001000000003</v>
      </c>
      <c r="E1038" s="18">
        <f t="shared" si="1034"/>
        <v>37.880000000000003</v>
      </c>
      <c r="F1038">
        <f t="shared" si="1035"/>
        <v>-3</v>
      </c>
      <c r="G1038" s="18">
        <f>ROUND(INDEX(Valuation!U:U,MATCH(A1038,Valuation!A:A,0)),2)</f>
        <v>48.54</v>
      </c>
      <c r="H1038">
        <f t="shared" si="1042"/>
        <v>-2</v>
      </c>
      <c r="I1038" s="18">
        <f>INDEX(WeeklyIndicators!Y:Y,MATCH(A1038,WeeklyIndicators!A:A,0))</f>
        <v>90.6</v>
      </c>
      <c r="J1038">
        <f t="shared" si="1031"/>
        <v>-2</v>
      </c>
      <c r="K1038">
        <f>ROUND(INDEX(Economic!AF:AF,MATCH(EOMONTH($A1038,-1),Economic!A:A,0)),2)</f>
        <v>116.81</v>
      </c>
      <c r="L1038" s="11">
        <f t="shared" si="1040"/>
        <v>1</v>
      </c>
      <c r="M1038">
        <f>ROUND(INDEX(Manufacturing!P:P,MATCH(EOMONTH($A1038,-1),Manufacturing!A:A,0)),2)</f>
        <v>82.99</v>
      </c>
      <c r="N1038">
        <f t="shared" si="1036"/>
        <v>-1</v>
      </c>
      <c r="O1038">
        <f>ROUND(INDEX(Housing!AC:AC,MATCH(EOMONTH($A1038,-1),Housing!B:B,0)),2)</f>
        <v>143.93</v>
      </c>
      <c r="P1038">
        <f t="shared" si="1037"/>
        <v>3</v>
      </c>
      <c r="Q1038">
        <f>ROUND(INDEX(Spending!AJ:AJ,MATCH(EOMONTH($A1038,-1),Spending!B:B,0)),2)</f>
        <v>67.61</v>
      </c>
      <c r="R1038">
        <f t="shared" si="1041"/>
        <v>2</v>
      </c>
      <c r="S1038">
        <f>ROUND(INDEX(Employment!V:V,MATCH(EOMONTH($A1038,-1),Employment!A:A,0)),2)</f>
        <v>176.22</v>
      </c>
      <c r="T1038" s="11">
        <f t="shared" si="1038"/>
        <v>2</v>
      </c>
      <c r="U1038">
        <f t="shared" si="1066"/>
        <v>20</v>
      </c>
      <c r="V1038">
        <f t="shared" si="1058"/>
        <v>73.63</v>
      </c>
      <c r="W1038" s="13">
        <f t="shared" si="1059"/>
        <v>-1.49E-2</v>
      </c>
      <c r="X1038" s="13">
        <f t="shared" si="1060"/>
        <v>-4.6699999999999998E-2</v>
      </c>
      <c r="Y1038">
        <f t="shared" si="1052"/>
        <v>60.15</v>
      </c>
      <c r="Z1038" s="13">
        <f t="shared" si="1047"/>
        <v>-7.7000000000000002E-3</v>
      </c>
      <c r="AA1038" s="13">
        <f t="shared" si="1043"/>
        <v>-6.8099999999999994E-2</v>
      </c>
      <c r="AB1038" s="6">
        <f t="shared" si="1053"/>
        <v>54.923999999999999</v>
      </c>
      <c r="AC1038">
        <f t="shared" si="1045"/>
        <v>27</v>
      </c>
      <c r="AD1038" s="11">
        <f t="shared" si="1046"/>
        <v>-1</v>
      </c>
      <c r="AE1038">
        <f t="shared" si="1044"/>
        <v>21</v>
      </c>
      <c r="AF1038">
        <f>IF(AND(AE1038&lt;15,OR(AC1038&gt;=30,AA1038&gt;0.15,X1038&gt;=0.15)),2,VLOOKUP(AE1038,Table!P:Q,2,FALSE))</f>
        <v>3</v>
      </c>
      <c r="AG1038" s="22">
        <f>IF((AB1038*0.98)-(D1038*0.8)+((AF1038-3)*3)+VLOOKUP(AM1038,Table!$A$11:$B$13,2,FALSE)&lt;0,0,(AB1038*0.98)-(D1038*0.8)+((AF1038-3)*3)+VLOOKUP(AM1038,Table!$A$11:$B$13,2,FALSE))</f>
        <v>29.44951919999999</v>
      </c>
      <c r="AH1038" s="22">
        <f t="shared" si="1039"/>
        <v>31</v>
      </c>
      <c r="AI1038" s="18">
        <f t="shared" si="1032"/>
        <v>4.72</v>
      </c>
      <c r="AJ1038" s="18">
        <f t="shared" si="1033"/>
        <v>4.91</v>
      </c>
      <c r="AK1038" t="str">
        <f t="shared" si="1054"/>
        <v>Falling Rates</v>
      </c>
      <c r="AL1038">
        <f t="shared" si="1065"/>
        <v>21.75</v>
      </c>
      <c r="AM1038" s="11" t="str">
        <f t="shared" si="1055"/>
        <v>Stocks</v>
      </c>
      <c r="AN1038" t="str">
        <f t="shared" si="1061"/>
        <v>Buy</v>
      </c>
      <c r="AO1038" s="13">
        <f t="shared" si="1062"/>
        <v>7.3200000000000001E-2</v>
      </c>
      <c r="AP1038" s="13">
        <f t="shared" si="1063"/>
        <v>8.0000000000000004E-4</v>
      </c>
      <c r="AQ1038" s="13">
        <f t="shared" si="1064"/>
        <v>2.3199999999999998E-2</v>
      </c>
      <c r="AR1038" s="13">
        <f t="shared" si="1056"/>
        <v>7.3200000000000001E-2</v>
      </c>
      <c r="AS1038" s="6">
        <f t="shared" si="1048"/>
        <v>245.04704951702541</v>
      </c>
      <c r="AT1038" s="6">
        <f t="shared" si="1049"/>
        <v>134.22762516081875</v>
      </c>
      <c r="AU1038" s="6">
        <f t="shared" si="1050"/>
        <v>243.07774305518791</v>
      </c>
      <c r="AV1038" s="6">
        <f t="shared" si="1051"/>
        <v>245.04704951702541</v>
      </c>
      <c r="AW1038" s="58">
        <f t="shared" si="1057"/>
        <v>1998</v>
      </c>
      <c r="AX1038" s="58">
        <f>COUNTIF(AW$3:AW1038,AW1038)</f>
        <v>12</v>
      </c>
    </row>
    <row r="1039" spans="1:50" x14ac:dyDescent="0.25">
      <c r="A1039" s="5">
        <v>36072</v>
      </c>
      <c r="B1039">
        <v>1002.6</v>
      </c>
      <c r="C1039">
        <v>4.26</v>
      </c>
      <c r="D1039" s="6">
        <v>34.549999</v>
      </c>
      <c r="E1039" s="18">
        <f t="shared" si="1034"/>
        <v>38.97</v>
      </c>
      <c r="F1039">
        <f t="shared" si="1035"/>
        <v>-3</v>
      </c>
      <c r="G1039" s="18">
        <f>ROUND(INDEX(Valuation!U:U,MATCH(A1039,Valuation!A:A,0)),2)</f>
        <v>43.92</v>
      </c>
      <c r="H1039">
        <f t="shared" si="1042"/>
        <v>-2</v>
      </c>
      <c r="I1039" s="18">
        <f>INDEX(WeeklyIndicators!Y:Y,MATCH(A1039,WeeklyIndicators!A:A,0))</f>
        <v>98.74</v>
      </c>
      <c r="J1039">
        <f t="shared" ref="J1039:J1102" si="1067">IF(I1039&gt;170,3,IF(AND(I1039&gt;152,I1039&lt;=170),2,IF(AND(I1039&gt;135,I1039&lt;=152),1,IF(I1039&lt;60,-3,IF(AND(I1039&lt;95,I1039&gt;=60),-2,IF(AND(I1039&lt;120,I1039&gt;=95),-1,0))))))</f>
        <v>-1</v>
      </c>
      <c r="K1039">
        <f>ROUND(INDEX(Economic!AF:AF,MATCH(EOMONTH($A1039,-1),Economic!A:A,0)),2)</f>
        <v>116.81</v>
      </c>
      <c r="L1039" s="11">
        <f t="shared" si="1040"/>
        <v>1</v>
      </c>
      <c r="M1039">
        <f>ROUND(INDEX(Manufacturing!P:P,MATCH(EOMONTH($A1039,-1),Manufacturing!A:A,0)),2)</f>
        <v>82.99</v>
      </c>
      <c r="N1039">
        <f t="shared" si="1036"/>
        <v>-1</v>
      </c>
      <c r="O1039">
        <f>ROUND(INDEX(Housing!AC:AC,MATCH(EOMONTH($A1039,-1),Housing!B:B,0)),2)</f>
        <v>143.93</v>
      </c>
      <c r="P1039">
        <f t="shared" si="1037"/>
        <v>3</v>
      </c>
      <c r="Q1039">
        <f>ROUND(INDEX(Spending!AJ:AJ,MATCH(EOMONTH($A1039,-1),Spending!B:B,0)),2)</f>
        <v>67.61</v>
      </c>
      <c r="R1039">
        <f t="shared" si="1041"/>
        <v>2</v>
      </c>
      <c r="S1039">
        <f>ROUND(INDEX(Employment!V:V,MATCH(EOMONTH($A1039,-1),Employment!A:A,0)),2)</f>
        <v>176.22</v>
      </c>
      <c r="T1039" s="11">
        <f t="shared" si="1038"/>
        <v>2</v>
      </c>
      <c r="U1039">
        <f t="shared" si="1066"/>
        <v>21</v>
      </c>
      <c r="V1039">
        <f t="shared" si="1058"/>
        <v>74.47</v>
      </c>
      <c r="W1039" s="13">
        <f t="shared" si="1059"/>
        <v>-1.3899999999999999E-2</v>
      </c>
      <c r="X1039" s="13">
        <f t="shared" si="1060"/>
        <v>-3.8400000000000004E-2</v>
      </c>
      <c r="Y1039">
        <f t="shared" si="1052"/>
        <v>60.1</v>
      </c>
      <c r="Z1039" s="13">
        <f t="shared" si="1047"/>
        <v>-1.72E-2</v>
      </c>
      <c r="AA1039" s="13">
        <f t="shared" si="1043"/>
        <v>-7.7399999999999997E-2</v>
      </c>
      <c r="AB1039" s="6">
        <f t="shared" si="1053"/>
        <v>53.902000000000001</v>
      </c>
      <c r="AC1039">
        <f t="shared" si="1045"/>
        <v>27</v>
      </c>
      <c r="AD1039" s="11">
        <f t="shared" si="1046"/>
        <v>-1</v>
      </c>
      <c r="AE1039">
        <f t="shared" si="1044"/>
        <v>22</v>
      </c>
      <c r="AF1039">
        <f>IF(AND(AE1039&lt;15,OR(AC1039&gt;=30,AA1039&gt;0.15,X1039&gt;=0.15)),2,VLOOKUP(AE1039,Table!P:Q,2,FALSE))</f>
        <v>3</v>
      </c>
      <c r="AG1039" s="22">
        <f>IF((AB1039*0.98)-(D1039*0.8)+((AF1039-3)*3)+VLOOKUP(AM1039,Table!$A$11:$B$13,2,FALSE)&lt;0,0,(AB1039*0.98)-(D1039*0.8)+((AF1039-3)*3)+VLOOKUP(AM1039,Table!$A$11:$B$13,2,FALSE))</f>
        <v>33.183960799999994</v>
      </c>
      <c r="AH1039" s="22">
        <f t="shared" si="1039"/>
        <v>31</v>
      </c>
      <c r="AI1039" s="18">
        <f t="shared" ref="AI1039:AI1102" si="1068">ROUND(AVERAGE(C1039:C1051),2)</f>
        <v>4.8</v>
      </c>
      <c r="AJ1039" s="18">
        <f t="shared" ref="AJ1039:AJ1102" si="1069">ROUND(AVERAGE(C1039:C1077),2)</f>
        <v>4.9400000000000004</v>
      </c>
      <c r="AK1039" t="str">
        <f t="shared" si="1054"/>
        <v>Falling Rates</v>
      </c>
      <c r="AL1039">
        <f t="shared" si="1065"/>
        <v>22.25</v>
      </c>
      <c r="AM1039" s="11" t="str">
        <f t="shared" si="1055"/>
        <v>Stocks</v>
      </c>
      <c r="AN1039" t="str">
        <f t="shared" si="1061"/>
        <v>Buy</v>
      </c>
      <c r="AO1039" s="13">
        <f t="shared" si="1062"/>
        <v>-1.8200000000000001E-2</v>
      </c>
      <c r="AP1039" s="13">
        <f t="shared" si="1063"/>
        <v>8.0000000000000004E-4</v>
      </c>
      <c r="AQ1039" s="13">
        <f t="shared" si="1064"/>
        <v>-5.1000000000000004E-3</v>
      </c>
      <c r="AR1039" s="13">
        <f t="shared" si="1056"/>
        <v>-1.8200000000000001E-2</v>
      </c>
      <c r="AS1039" s="6">
        <f t="shared" si="1048"/>
        <v>249.58957987067163</v>
      </c>
      <c r="AT1039" s="6">
        <f t="shared" si="1049"/>
        <v>134.1203288977006</v>
      </c>
      <c r="AU1039" s="6">
        <f t="shared" si="1050"/>
        <v>244.32379440666188</v>
      </c>
      <c r="AV1039" s="6">
        <f t="shared" si="1051"/>
        <v>249.58957987067163</v>
      </c>
      <c r="AW1039" s="58">
        <f t="shared" si="1057"/>
        <v>1998</v>
      </c>
      <c r="AX1039" s="58">
        <f>COUNTIF(AW$3:AW1039,AW1039)</f>
        <v>13</v>
      </c>
    </row>
    <row r="1040" spans="1:50" x14ac:dyDescent="0.25">
      <c r="A1040" s="5">
        <v>36065</v>
      </c>
      <c r="B1040">
        <v>1044.75</v>
      </c>
      <c r="C1040">
        <v>4.53</v>
      </c>
      <c r="D1040" s="6">
        <v>38.630001</v>
      </c>
      <c r="E1040" s="18">
        <f t="shared" si="1034"/>
        <v>41.89</v>
      </c>
      <c r="F1040">
        <f t="shared" si="1035"/>
        <v>-3</v>
      </c>
      <c r="G1040" s="18">
        <f>ROUND(INDEX(Valuation!U:U,MATCH(A1040,Valuation!A:A,0)),2)</f>
        <v>41.91</v>
      </c>
      <c r="H1040">
        <f t="shared" si="1042"/>
        <v>-2</v>
      </c>
      <c r="I1040" s="18">
        <f>INDEX(WeeklyIndicators!Y:Y,MATCH(A1040,WeeklyIndicators!A:A,0))</f>
        <v>106.6</v>
      </c>
      <c r="J1040">
        <f t="shared" si="1067"/>
        <v>-1</v>
      </c>
      <c r="K1040">
        <f>ROUND(INDEX(Economic!AF:AF,MATCH(EOMONTH($A1040,-1),Economic!A:A,0)),2)</f>
        <v>122.62</v>
      </c>
      <c r="L1040" s="11">
        <f t="shared" si="1040"/>
        <v>1</v>
      </c>
      <c r="M1040">
        <f>ROUND(INDEX(Manufacturing!P:P,MATCH(EOMONTH($A1040,-1),Manufacturing!A:A,0)),2)</f>
        <v>83.87</v>
      </c>
      <c r="N1040">
        <f t="shared" si="1036"/>
        <v>-1</v>
      </c>
      <c r="O1040">
        <f>ROUND(INDEX(Housing!AC:AC,MATCH(EOMONTH($A1040,-1),Housing!B:B,0)),2)</f>
        <v>143.12</v>
      </c>
      <c r="P1040">
        <f t="shared" si="1037"/>
        <v>3</v>
      </c>
      <c r="Q1040">
        <f>ROUND(INDEX(Spending!AJ:AJ,MATCH(EOMONTH($A1040,-1),Spending!B:B,0)),2)</f>
        <v>66.680000000000007</v>
      </c>
      <c r="R1040">
        <f t="shared" si="1041"/>
        <v>2</v>
      </c>
      <c r="S1040">
        <f>ROUND(INDEX(Employment!V:V,MATCH(EOMONTH($A1040,-1),Employment!A:A,0)),2)</f>
        <v>176.41</v>
      </c>
      <c r="T1040" s="11">
        <f t="shared" si="1038"/>
        <v>2</v>
      </c>
      <c r="U1040">
        <f t="shared" si="1066"/>
        <v>21</v>
      </c>
      <c r="V1040">
        <f t="shared" si="1058"/>
        <v>76.11</v>
      </c>
      <c r="W1040" s="13">
        <f t="shared" si="1059"/>
        <v>-7.9000000000000008E-3</v>
      </c>
      <c r="X1040" s="13">
        <f t="shared" si="1060"/>
        <v>-2.8799999999999999E-2</v>
      </c>
      <c r="Y1040">
        <f t="shared" si="1052"/>
        <v>60.49</v>
      </c>
      <c r="Z1040" s="13">
        <f t="shared" si="1047"/>
        <v>-1.8700000000000001E-2</v>
      </c>
      <c r="AA1040" s="13">
        <f t="shared" si="1043"/>
        <v>-7.7499999999999999E-2</v>
      </c>
      <c r="AB1040" s="6">
        <f t="shared" si="1053"/>
        <v>54.241</v>
      </c>
      <c r="AC1040">
        <f t="shared" si="1045"/>
        <v>27</v>
      </c>
      <c r="AD1040" s="11">
        <f t="shared" si="1046"/>
        <v>-1</v>
      </c>
      <c r="AE1040">
        <f t="shared" si="1044"/>
        <v>22</v>
      </c>
      <c r="AF1040">
        <f>IF(AND(AE1040&lt;15,OR(AC1040&gt;=30,AA1040&gt;0.15,X1040&gt;=0.15)),2,VLOOKUP(AE1040,Table!P:Q,2,FALSE))</f>
        <v>3</v>
      </c>
      <c r="AG1040" s="22">
        <f>IF((AB1040*0.98)-(D1040*0.8)+((AF1040-3)*3)+VLOOKUP(AM1040,Table!$A$11:$B$13,2,FALSE)&lt;0,0,(AB1040*0.98)-(D1040*0.8)+((AF1040-3)*3)+VLOOKUP(AM1040,Table!$A$11:$B$13,2,FALSE))</f>
        <v>30.252179199999997</v>
      </c>
      <c r="AH1040" s="22">
        <f t="shared" si="1039"/>
        <v>30</v>
      </c>
      <c r="AI1040" s="18">
        <f t="shared" si="1068"/>
        <v>4.8499999999999996</v>
      </c>
      <c r="AJ1040" s="18">
        <f t="shared" si="1069"/>
        <v>4.96</v>
      </c>
      <c r="AK1040" t="str">
        <f t="shared" si="1054"/>
        <v>Falling Rates</v>
      </c>
      <c r="AL1040">
        <f t="shared" si="1065"/>
        <v>22.5</v>
      </c>
      <c r="AM1040" s="11" t="str">
        <f t="shared" si="1055"/>
        <v>Stocks</v>
      </c>
      <c r="AN1040" t="str">
        <f t="shared" si="1061"/>
        <v>Buy</v>
      </c>
      <c r="AO1040" s="13">
        <f t="shared" si="1062"/>
        <v>-4.0300000000000002E-2</v>
      </c>
      <c r="AP1040" s="13">
        <f t="shared" si="1063"/>
        <v>8.9999999999999998E-4</v>
      </c>
      <c r="AQ1040" s="13">
        <f t="shared" si="1064"/>
        <v>-1.15E-2</v>
      </c>
      <c r="AR1040" s="13">
        <f t="shared" si="1056"/>
        <v>-4.0300000000000002E-2</v>
      </c>
      <c r="AS1040" s="6">
        <f t="shared" si="1048"/>
        <v>260.07041770414884</v>
      </c>
      <c r="AT1040" s="6">
        <f t="shared" si="1049"/>
        <v>133.9997291414733</v>
      </c>
      <c r="AU1040" s="6">
        <f t="shared" si="1050"/>
        <v>247.16620577305196</v>
      </c>
      <c r="AV1040" s="6">
        <f t="shared" si="1051"/>
        <v>260.07041770414884</v>
      </c>
      <c r="AW1040" s="58">
        <f t="shared" si="1057"/>
        <v>1998</v>
      </c>
      <c r="AX1040" s="58">
        <f>COUNTIF(AW$3:AW1040,AW1040)</f>
        <v>14</v>
      </c>
    </row>
    <row r="1041" spans="1:50" x14ac:dyDescent="0.25">
      <c r="A1041" s="5">
        <v>36058</v>
      </c>
      <c r="B1041">
        <v>1020.09</v>
      </c>
      <c r="C1041">
        <v>4.62</v>
      </c>
      <c r="D1041" s="6">
        <v>43.740001999999997</v>
      </c>
      <c r="E1041" s="18">
        <f t="shared" ref="E1041:E1104" si="1070">ROUND(AVERAGE(D1041:D1043),2)</f>
        <v>42.22</v>
      </c>
      <c r="F1041">
        <f t="shared" ref="F1041:F1104" si="1071">IF(E1041&lt;11,3,IF(AND(E1041&lt;14,E1041&gt;=11),2,IF(AND(E1041&lt;16,E1041&gt;=14),1,IF(E1041&gt;35,-3,IF(AND(E1041&gt;25,E1041&lt;=35),-2,IF(AND(E1041&gt;18,E1041&lt;=25),-1,0))))))</f>
        <v>-3</v>
      </c>
      <c r="G1041" s="18">
        <f>ROUND(INDEX(Valuation!U:U,MATCH(A1041,Valuation!A:A,0)),2)</f>
        <v>44.23</v>
      </c>
      <c r="H1041">
        <f t="shared" si="1042"/>
        <v>-2</v>
      </c>
      <c r="I1041" s="18">
        <f>INDEX(WeeklyIndicators!Y:Y,MATCH(A1041,WeeklyIndicators!A:A,0))</f>
        <v>115.38</v>
      </c>
      <c r="J1041">
        <f t="shared" si="1067"/>
        <v>-1</v>
      </c>
      <c r="K1041">
        <f>ROUND(INDEX(Economic!AF:AF,MATCH(EOMONTH($A1041,-1),Economic!A:A,0)),2)</f>
        <v>122.62</v>
      </c>
      <c r="L1041" s="11">
        <f t="shared" si="1040"/>
        <v>1</v>
      </c>
      <c r="M1041">
        <f>ROUND(INDEX(Manufacturing!P:P,MATCH(EOMONTH($A1041,-1),Manufacturing!A:A,0)),2)</f>
        <v>83.87</v>
      </c>
      <c r="N1041">
        <f t="shared" si="1036"/>
        <v>-1</v>
      </c>
      <c r="O1041">
        <f>ROUND(INDEX(Housing!AC:AC,MATCH(EOMONTH($A1041,-1),Housing!B:B,0)),2)</f>
        <v>143.12</v>
      </c>
      <c r="P1041">
        <f t="shared" si="1037"/>
        <v>3</v>
      </c>
      <c r="Q1041">
        <f>ROUND(INDEX(Spending!AJ:AJ,MATCH(EOMONTH($A1041,-1),Spending!B:B,0)),2)</f>
        <v>66.680000000000007</v>
      </c>
      <c r="R1041">
        <f t="shared" si="1041"/>
        <v>2</v>
      </c>
      <c r="S1041">
        <f>ROUND(INDEX(Employment!V:V,MATCH(EOMONTH($A1041,-1),Employment!A:A,0)),2)</f>
        <v>176.41</v>
      </c>
      <c r="T1041" s="11">
        <f t="shared" si="1038"/>
        <v>2</v>
      </c>
      <c r="U1041">
        <f t="shared" si="1066"/>
        <v>21</v>
      </c>
      <c r="V1041">
        <f t="shared" si="1058"/>
        <v>77.02</v>
      </c>
      <c r="W1041" s="13">
        <f t="shared" si="1059"/>
        <v>-0.01</v>
      </c>
      <c r="X1041" s="13">
        <f t="shared" si="1060"/>
        <v>-1.6500000000000001E-2</v>
      </c>
      <c r="Y1041">
        <f t="shared" si="1052"/>
        <v>61.55</v>
      </c>
      <c r="Z1041" s="13">
        <f t="shared" si="1047"/>
        <v>-2.4500000000000001E-2</v>
      </c>
      <c r="AA1041" s="13">
        <f t="shared" si="1043"/>
        <v>-6.5300000000000011E-2</v>
      </c>
      <c r="AB1041" s="6">
        <f t="shared" si="1053"/>
        <v>56.503</v>
      </c>
      <c r="AC1041">
        <f t="shared" si="1045"/>
        <v>28</v>
      </c>
      <c r="AD1041" s="11">
        <f t="shared" si="1046"/>
        <v>-1</v>
      </c>
      <c r="AE1041">
        <f t="shared" si="1044"/>
        <v>22</v>
      </c>
      <c r="AF1041">
        <f>IF(AND(AE1041&lt;15,OR(AC1041&gt;=30,AA1041&gt;0.15,X1041&gt;=0.15)),2,VLOOKUP(AE1041,Table!P:Q,2,FALSE))</f>
        <v>3</v>
      </c>
      <c r="AG1041" s="22">
        <f>IF((AB1041*0.98)-(D1041*0.8)+((AF1041-3)*3)+VLOOKUP(AM1041,Table!$A$11:$B$13,2,FALSE)&lt;0,0,(AB1041*0.98)-(D1041*0.8)+((AF1041-3)*3)+VLOOKUP(AM1041,Table!$A$11:$B$13,2,FALSE))</f>
        <v>28.380938399999998</v>
      </c>
      <c r="AH1041" s="22">
        <f t="shared" si="1039"/>
        <v>32</v>
      </c>
      <c r="AI1041" s="18">
        <f t="shared" si="1068"/>
        <v>4.88</v>
      </c>
      <c r="AJ1041" s="18">
        <f t="shared" si="1069"/>
        <v>4.9800000000000004</v>
      </c>
      <c r="AK1041" t="str">
        <f t="shared" si="1054"/>
        <v>Falling Rates</v>
      </c>
      <c r="AL1041">
        <f t="shared" si="1065"/>
        <v>24</v>
      </c>
      <c r="AM1041" s="11" t="str">
        <f t="shared" si="1055"/>
        <v>Stocks</v>
      </c>
      <c r="AN1041" t="str">
        <f t="shared" si="1061"/>
        <v>Buy</v>
      </c>
      <c r="AO1041" s="13">
        <f t="shared" si="1062"/>
        <v>2.4199999999999999E-2</v>
      </c>
      <c r="AP1041" s="13">
        <f t="shared" si="1063"/>
        <v>8.9999999999999998E-4</v>
      </c>
      <c r="AQ1041" s="13">
        <f t="shared" si="1064"/>
        <v>8.3999999999999995E-3</v>
      </c>
      <c r="AR1041" s="13">
        <f t="shared" si="1056"/>
        <v>2.4199999999999999E-2</v>
      </c>
      <c r="AS1041" s="6">
        <f t="shared" si="1048"/>
        <v>253.92542248012973</v>
      </c>
      <c r="AT1041" s="6">
        <f t="shared" si="1049"/>
        <v>133.87923782742862</v>
      </c>
      <c r="AU1041" s="6">
        <f t="shared" si="1050"/>
        <v>245.10730441595791</v>
      </c>
      <c r="AV1041" s="6">
        <f t="shared" si="1051"/>
        <v>253.92542248012973</v>
      </c>
      <c r="AW1041" s="58">
        <f t="shared" si="1057"/>
        <v>1998</v>
      </c>
      <c r="AX1041" s="58">
        <f>COUNTIF(AW$3:AW1041,AW1041)</f>
        <v>15</v>
      </c>
    </row>
    <row r="1042" spans="1:50" x14ac:dyDescent="0.25">
      <c r="A1042" s="5">
        <v>36051</v>
      </c>
      <c r="B1042">
        <v>1009.06</v>
      </c>
      <c r="C1042">
        <v>4.7300000000000004</v>
      </c>
      <c r="D1042" s="6">
        <v>43.310001</v>
      </c>
      <c r="E1042" s="18">
        <f t="shared" si="1070"/>
        <v>38.68</v>
      </c>
      <c r="F1042">
        <f t="shared" si="1071"/>
        <v>-3</v>
      </c>
      <c r="G1042" s="18">
        <f>ROUND(INDEX(Valuation!U:U,MATCH(A1042,Valuation!A:A,0)),2)</f>
        <v>43.01</v>
      </c>
      <c r="H1042">
        <f t="shared" si="1042"/>
        <v>-2</v>
      </c>
      <c r="I1042" s="18">
        <f>INDEX(WeeklyIndicators!Y:Y,MATCH(A1042,WeeklyIndicators!A:A,0))</f>
        <v>121.63</v>
      </c>
      <c r="J1042">
        <f t="shared" si="1067"/>
        <v>0</v>
      </c>
      <c r="K1042">
        <f>ROUND(INDEX(Economic!AF:AF,MATCH(EOMONTH($A1042,-1),Economic!A:A,0)),2)</f>
        <v>122.62</v>
      </c>
      <c r="L1042" s="11">
        <f t="shared" si="1040"/>
        <v>1</v>
      </c>
      <c r="M1042">
        <f>ROUND(INDEX(Manufacturing!P:P,MATCH(EOMONTH($A1042,-1),Manufacturing!A:A,0)),2)</f>
        <v>83.87</v>
      </c>
      <c r="N1042">
        <f t="shared" ref="N1042:N1105" si="1072">IF(M1042&gt;108,3,IF(AND(M1042&gt;100,M1042&lt;=108),2,IF(AND(M1042&gt;90,M1042&lt;=100),1,IF(M1042&lt;63,-3,IF(AND(M1042&lt;74,M1042&gt;=63),-2,IF(AND(M1042&lt;84,M1042&gt;=74),-1,0))))))</f>
        <v>-1</v>
      </c>
      <c r="O1042">
        <f>ROUND(INDEX(Housing!AC:AC,MATCH(EOMONTH($A1042,-1),Housing!B:B,0)),2)</f>
        <v>143.12</v>
      </c>
      <c r="P1042">
        <f t="shared" ref="P1042:P1105" si="1073">IF(O1042&gt;140,3,IF(AND(O1042&gt;128,O1042&lt;=140),2,IF(AND(O1042&gt;115,O1042&lt;=128),1,IF(O1042&lt;50,-3,IF(AND(O1042&lt;75,O1042&gt;=50),-2,IF(AND(O1042&lt;100,O1042&gt;=75),-1,0))))))</f>
        <v>3</v>
      </c>
      <c r="Q1042">
        <f>ROUND(INDEX(Spending!AJ:AJ,MATCH(EOMONTH($A1042,-1),Spending!B:B,0)),2)</f>
        <v>66.680000000000007</v>
      </c>
      <c r="R1042">
        <f t="shared" si="1041"/>
        <v>2</v>
      </c>
      <c r="S1042">
        <f>ROUND(INDEX(Employment!V:V,MATCH(EOMONTH($A1042,-1),Employment!A:A,0)),2)</f>
        <v>176.41</v>
      </c>
      <c r="T1042" s="11">
        <f t="shared" ref="T1042:T1105" si="1074">IF(S1042&gt;190,3,IF(AND(S1042&gt;175,S1042&lt;=190),2,IF(AND(S1042&gt;160,S1042&lt;=175),1,IF(S1042&lt;120,-3,IF(AND(S1042&lt;140,S1042&gt;=120),-2,IF(AND(S1042&lt;150,S1042&gt;=140),-1,0))))))</f>
        <v>2</v>
      </c>
      <c r="U1042">
        <f t="shared" si="1066"/>
        <v>22</v>
      </c>
      <c r="V1042">
        <f t="shared" si="1058"/>
        <v>77.67</v>
      </c>
      <c r="W1042" s="13">
        <f t="shared" si="1059"/>
        <v>-6.6E-3</v>
      </c>
      <c r="X1042" s="13">
        <f t="shared" si="1060"/>
        <v>8.0000000000000036E-4</v>
      </c>
      <c r="Y1042">
        <f t="shared" si="1052"/>
        <v>63.29</v>
      </c>
      <c r="Z1042" s="13">
        <f t="shared" si="1047"/>
        <v>-1.7000000000000001E-2</v>
      </c>
      <c r="AA1042" s="13">
        <f t="shared" si="1043"/>
        <v>-4.2299999999999997E-2</v>
      </c>
      <c r="AB1042" s="6">
        <f t="shared" si="1053"/>
        <v>59.850999999999999</v>
      </c>
      <c r="AC1042">
        <f t="shared" si="1045"/>
        <v>30</v>
      </c>
      <c r="AD1042" s="11">
        <f t="shared" si="1046"/>
        <v>-1</v>
      </c>
      <c r="AE1042">
        <f t="shared" si="1044"/>
        <v>23</v>
      </c>
      <c r="AF1042">
        <f>IF(AND(AE1042&lt;15,OR(AC1042&gt;=30,AA1042&gt;0.15,X1042&gt;=0.15)),2,VLOOKUP(AE1042,Table!P:Q,2,FALSE))</f>
        <v>3</v>
      </c>
      <c r="AG1042" s="22">
        <f>IF((AB1042*0.98)-(D1042*0.8)+((AF1042-3)*3)+VLOOKUP(AM1042,Table!$A$11:$B$13,2,FALSE)&lt;0,0,(AB1042*0.98)-(D1042*0.8)+((AF1042-3)*3)+VLOOKUP(AM1042,Table!$A$11:$B$13,2,FALSE))</f>
        <v>32.005979199999999</v>
      </c>
      <c r="AH1042" s="22">
        <f t="shared" ref="AH1042:AH1105" si="1075">IF(ROUND(AVERAGE(AG1042:AG1044),0)&lt;0,0,IF(ROUND(AVERAGE(AG1042:AG1044),0)&gt;100,100,ROUND(AVERAGE(AG1042:AG1044),0)))</f>
        <v>38</v>
      </c>
      <c r="AI1042" s="18">
        <f t="shared" si="1068"/>
        <v>4.91</v>
      </c>
      <c r="AJ1042" s="18">
        <f t="shared" si="1069"/>
        <v>5</v>
      </c>
      <c r="AK1042" t="str">
        <f t="shared" si="1054"/>
        <v>Falling Rates</v>
      </c>
      <c r="AL1042">
        <f t="shared" si="1065"/>
        <v>25.25</v>
      </c>
      <c r="AM1042" s="11" t="str">
        <f t="shared" si="1055"/>
        <v>Stocks</v>
      </c>
      <c r="AN1042" t="str">
        <f t="shared" si="1061"/>
        <v>Buy</v>
      </c>
      <c r="AO1042" s="13">
        <f t="shared" si="1062"/>
        <v>1.09E-2</v>
      </c>
      <c r="AP1042" s="13">
        <f t="shared" si="1063"/>
        <v>8.9999999999999998E-4</v>
      </c>
      <c r="AQ1042" s="13">
        <f t="shared" si="1064"/>
        <v>4.7000000000000002E-3</v>
      </c>
      <c r="AR1042" s="13">
        <f t="shared" si="1056"/>
        <v>1.09E-2</v>
      </c>
      <c r="AS1042" s="6">
        <f t="shared" si="1048"/>
        <v>251.18747895947152</v>
      </c>
      <c r="AT1042" s="6">
        <f t="shared" si="1049"/>
        <v>133.7588548580564</v>
      </c>
      <c r="AU1042" s="6">
        <f t="shared" si="1050"/>
        <v>243.96068917682683</v>
      </c>
      <c r="AV1042" s="6">
        <f t="shared" si="1051"/>
        <v>251.18747895947152</v>
      </c>
      <c r="AW1042" s="58">
        <f t="shared" si="1057"/>
        <v>1998</v>
      </c>
      <c r="AX1042" s="58">
        <f>COUNTIF(AW$3:AW1042,AW1042)</f>
        <v>16</v>
      </c>
    </row>
    <row r="1043" spans="1:50" x14ac:dyDescent="0.25">
      <c r="A1043" s="5">
        <v>36044</v>
      </c>
      <c r="B1043">
        <v>973.89</v>
      </c>
      <c r="C1043">
        <v>4.76</v>
      </c>
      <c r="D1043" s="6">
        <v>39.599997999999999</v>
      </c>
      <c r="E1043" s="18">
        <f t="shared" si="1070"/>
        <v>35.69</v>
      </c>
      <c r="F1043">
        <f t="shared" si="1071"/>
        <v>-3</v>
      </c>
      <c r="G1043" s="18">
        <f>ROUND(INDEX(Valuation!U:U,MATCH(A1043,Valuation!A:A,0)),2)</f>
        <v>37.840000000000003</v>
      </c>
      <c r="H1043">
        <f t="shared" si="1042"/>
        <v>-2</v>
      </c>
      <c r="I1043" s="18">
        <f>INDEX(WeeklyIndicators!Y:Y,MATCH(A1043,WeeklyIndicators!A:A,0))</f>
        <v>124.21</v>
      </c>
      <c r="J1043">
        <f t="shared" si="1067"/>
        <v>0</v>
      </c>
      <c r="K1043">
        <f>ROUND(INDEX(Economic!AF:AF,MATCH(EOMONTH($A1043,-1),Economic!A:A,0)),2)</f>
        <v>122.62</v>
      </c>
      <c r="L1043" s="11">
        <f t="shared" ref="L1043:L1106" si="1076">IF(K1043&gt;138,3,IF(AND(K1043&gt;125,K1043&lt;=138),2,IF(AND(K1043&gt;111,K1043&lt;=125),1,IF(K1043&lt;50,-3,IF(AND(K1043&lt;80,K1043&gt;=50),-2,IF(AND(K1043&lt;100,K1043&gt;=80),-1,0))))))</f>
        <v>1</v>
      </c>
      <c r="M1043">
        <f>ROUND(INDEX(Manufacturing!P:P,MATCH(EOMONTH($A1043,-1),Manufacturing!A:A,0)),2)</f>
        <v>83.87</v>
      </c>
      <c r="N1043">
        <f t="shared" si="1072"/>
        <v>-1</v>
      </c>
      <c r="O1043">
        <f>ROUND(INDEX(Housing!AC:AC,MATCH(EOMONTH($A1043,-1),Housing!B:B,0)),2)</f>
        <v>143.12</v>
      </c>
      <c r="P1043">
        <f t="shared" si="1073"/>
        <v>3</v>
      </c>
      <c r="Q1043">
        <f>ROUND(INDEX(Spending!AJ:AJ,MATCH(EOMONTH($A1043,-1),Spending!B:B,0)),2)</f>
        <v>66.680000000000007</v>
      </c>
      <c r="R1043">
        <f t="shared" ref="R1043:R1106" si="1077">IF(Q1043&gt;60,2,IF(AND(Q1043&gt;50,Q1043&lt;=60),1,IF(Q1043&lt;30,-2,IF(AND(Q1043&lt;40,Q1043&gt;=30),-1,0))))</f>
        <v>2</v>
      </c>
      <c r="S1043">
        <f>ROUND(INDEX(Employment!V:V,MATCH(EOMONTH($A1043,-1),Employment!A:A,0)),2)</f>
        <v>176.41</v>
      </c>
      <c r="T1043" s="11">
        <f t="shared" si="1074"/>
        <v>2</v>
      </c>
      <c r="U1043">
        <f t="shared" si="1066"/>
        <v>22</v>
      </c>
      <c r="V1043">
        <f t="shared" si="1058"/>
        <v>77.94</v>
      </c>
      <c r="W1043" s="13">
        <f t="shared" si="1059"/>
        <v>-4.3E-3</v>
      </c>
      <c r="X1043" s="13">
        <f t="shared" si="1060"/>
        <v>8.0000000000000002E-3</v>
      </c>
      <c r="Y1043">
        <f t="shared" si="1052"/>
        <v>64.03</v>
      </c>
      <c r="Z1043" s="13">
        <f t="shared" si="1047"/>
        <v>-1.7299999999999999E-2</v>
      </c>
      <c r="AA1043" s="13">
        <f t="shared" si="1043"/>
        <v>-3.0300000000000001E-2</v>
      </c>
      <c r="AB1043" s="6">
        <f t="shared" si="1053"/>
        <v>60.964000000000006</v>
      </c>
      <c r="AC1043">
        <f t="shared" si="1045"/>
        <v>30</v>
      </c>
      <c r="AD1043" s="11">
        <f t="shared" si="1046"/>
        <v>-1</v>
      </c>
      <c r="AE1043">
        <f t="shared" si="1044"/>
        <v>23</v>
      </c>
      <c r="AF1043">
        <f>IF(AND(AE1043&lt;15,OR(AC1043&gt;=30,AA1043&gt;0.15,X1043&gt;=0.15)),2,VLOOKUP(AE1043,Table!P:Q,2,FALSE))</f>
        <v>3</v>
      </c>
      <c r="AG1043" s="22">
        <f>IF((AB1043*0.98)-(D1043*0.8)+((AF1043-3)*3)+VLOOKUP(AM1043,Table!$A$11:$B$13,2,FALSE)&lt;0,0,(AB1043*0.98)-(D1043*0.8)+((AF1043-3)*3)+VLOOKUP(AM1043,Table!$A$11:$B$13,2,FALSE))</f>
        <v>36.064721600000006</v>
      </c>
      <c r="AH1043" s="22">
        <f t="shared" si="1075"/>
        <v>43</v>
      </c>
      <c r="AI1043" s="18">
        <f t="shared" si="1068"/>
        <v>4.9400000000000004</v>
      </c>
      <c r="AJ1043" s="18">
        <f t="shared" si="1069"/>
        <v>5.01</v>
      </c>
      <c r="AK1043" t="str">
        <f t="shared" si="1054"/>
        <v>Falling Rates</v>
      </c>
      <c r="AL1043">
        <f t="shared" si="1065"/>
        <v>26.5</v>
      </c>
      <c r="AM1043" s="11" t="str">
        <f t="shared" si="1055"/>
        <v>Stocks</v>
      </c>
      <c r="AN1043" t="str">
        <f t="shared" si="1061"/>
        <v>Buy</v>
      </c>
      <c r="AO1043" s="13">
        <f t="shared" si="1062"/>
        <v>3.61E-2</v>
      </c>
      <c r="AP1043" s="13">
        <f t="shared" si="1063"/>
        <v>8.9999999999999998E-4</v>
      </c>
      <c r="AQ1043" s="13">
        <f t="shared" si="1064"/>
        <v>1.6E-2</v>
      </c>
      <c r="AR1043" s="13">
        <f t="shared" si="1056"/>
        <v>3.61E-2</v>
      </c>
      <c r="AS1043" s="6">
        <f t="shared" si="1048"/>
        <v>242.43555540919942</v>
      </c>
      <c r="AT1043" s="6">
        <f t="shared" si="1049"/>
        <v>133.63858013593406</v>
      </c>
      <c r="AU1043" s="6">
        <f t="shared" si="1050"/>
        <v>240.11878855986893</v>
      </c>
      <c r="AV1043" s="6">
        <f t="shared" si="1051"/>
        <v>242.43555540919942</v>
      </c>
      <c r="AW1043" s="58">
        <f t="shared" si="1057"/>
        <v>1998</v>
      </c>
      <c r="AX1043" s="58">
        <f>COUNTIF(AW$3:AW1043,AW1043)</f>
        <v>17</v>
      </c>
    </row>
    <row r="1044" spans="1:50" x14ac:dyDescent="0.25">
      <c r="A1044" s="5">
        <v>36037</v>
      </c>
      <c r="B1044">
        <v>1027.1400000000001</v>
      </c>
      <c r="C1044">
        <v>4.8899999999999997</v>
      </c>
      <c r="D1044" s="6">
        <v>33.139999000000003</v>
      </c>
      <c r="E1044" s="18">
        <f t="shared" si="1070"/>
        <v>31.5</v>
      </c>
      <c r="F1044">
        <f t="shared" si="1071"/>
        <v>-2</v>
      </c>
      <c r="G1044" s="18">
        <f>ROUND(INDEX(Valuation!U:U,MATCH(A1044,Valuation!A:A,0)),2)</f>
        <v>32.29</v>
      </c>
      <c r="H1044">
        <f t="shared" si="1042"/>
        <v>-2</v>
      </c>
      <c r="I1044" s="18">
        <f>INDEX(WeeklyIndicators!Y:Y,MATCH(A1044,WeeklyIndicators!A:A,0))</f>
        <v>123.42</v>
      </c>
      <c r="J1044">
        <f t="shared" si="1067"/>
        <v>0</v>
      </c>
      <c r="K1044">
        <f>ROUND(INDEX(Economic!AF:AF,MATCH(EOMONTH($A1044,-1),Economic!A:A,0)),2)</f>
        <v>126.31</v>
      </c>
      <c r="L1044" s="11">
        <f t="shared" si="1076"/>
        <v>2</v>
      </c>
      <c r="M1044">
        <f>ROUND(INDEX(Manufacturing!P:P,MATCH(EOMONTH($A1044,-1),Manufacturing!A:A,0)),2)</f>
        <v>91.25</v>
      </c>
      <c r="N1044">
        <f t="shared" si="1072"/>
        <v>1</v>
      </c>
      <c r="O1044">
        <f>ROUND(INDEX(Housing!AC:AC,MATCH(EOMONTH($A1044,-1),Housing!B:B,0)),2)</f>
        <v>140.25</v>
      </c>
      <c r="P1044">
        <f t="shared" si="1073"/>
        <v>3</v>
      </c>
      <c r="Q1044">
        <f>ROUND(INDEX(Spending!AJ:AJ,MATCH(EOMONTH($A1044,-1),Spending!B:B,0)),2)</f>
        <v>63.84</v>
      </c>
      <c r="R1044">
        <f t="shared" si="1077"/>
        <v>2</v>
      </c>
      <c r="S1044">
        <f>ROUND(INDEX(Employment!V:V,MATCH(EOMONTH($A1044,-1),Employment!A:A,0)),2)</f>
        <v>181.02</v>
      </c>
      <c r="T1044" s="11">
        <f t="shared" si="1074"/>
        <v>2</v>
      </c>
      <c r="U1044">
        <f t="shared" si="1066"/>
        <v>26</v>
      </c>
      <c r="V1044">
        <f t="shared" si="1058"/>
        <v>79.37</v>
      </c>
      <c r="W1044" s="13">
        <f t="shared" si="1059"/>
        <v>4.4000000000000003E-3</v>
      </c>
      <c r="X1044" s="13">
        <f t="shared" si="1060"/>
        <v>8.3000000000000001E-3</v>
      </c>
      <c r="Y1044">
        <f t="shared" si="1052"/>
        <v>66.3</v>
      </c>
      <c r="Z1044" s="13">
        <f t="shared" si="1047"/>
        <v>-6.4999999999999997E-3</v>
      </c>
      <c r="AA1044" s="13">
        <f t="shared" si="1043"/>
        <v>-1.7500000000000002E-2</v>
      </c>
      <c r="AB1044" s="6">
        <f t="shared" si="1053"/>
        <v>63.588999999999999</v>
      </c>
      <c r="AC1044">
        <f t="shared" si="1045"/>
        <v>32</v>
      </c>
      <c r="AD1044" s="11">
        <f t="shared" si="1046"/>
        <v>0</v>
      </c>
      <c r="AE1044">
        <f t="shared" si="1044"/>
        <v>28</v>
      </c>
      <c r="AF1044">
        <f>IF(AND(AE1044&lt;15,OR(AC1044&gt;=30,AA1044&gt;0.15,X1044&gt;=0.15)),2,VLOOKUP(AE1044,Table!P:Q,2,FALSE))</f>
        <v>4</v>
      </c>
      <c r="AG1044" s="22">
        <f>IF((AB1044*0.98)-(D1044*0.8)+((AF1044-3)*3)+VLOOKUP(AM1044,Table!$A$11:$B$13,2,FALSE)&lt;0,0,(AB1044*0.98)-(D1044*0.8)+((AF1044-3)*3)+VLOOKUP(AM1044,Table!$A$11:$B$13,2,FALSE))</f>
        <v>46.805220799999994</v>
      </c>
      <c r="AH1044" s="22">
        <f t="shared" si="1075"/>
        <v>48</v>
      </c>
      <c r="AI1044" s="18">
        <f t="shared" si="1068"/>
        <v>4.95</v>
      </c>
      <c r="AJ1044" s="18">
        <f t="shared" si="1069"/>
        <v>5.01</v>
      </c>
      <c r="AK1044" t="str">
        <f t="shared" si="1054"/>
        <v/>
      </c>
      <c r="AL1044">
        <f t="shared" si="1065"/>
        <v>27.25</v>
      </c>
      <c r="AM1044" s="11" t="str">
        <f t="shared" si="1055"/>
        <v>Stocks</v>
      </c>
      <c r="AN1044" t="str">
        <f t="shared" si="1061"/>
        <v>Buy</v>
      </c>
      <c r="AO1044" s="13">
        <f t="shared" si="1062"/>
        <v>-5.1799999999999999E-2</v>
      </c>
      <c r="AP1044" s="13">
        <f t="shared" si="1063"/>
        <v>8.9999999999999998E-4</v>
      </c>
      <c r="AQ1044" s="13">
        <f t="shared" si="1064"/>
        <v>-2.4400000000000002E-2</v>
      </c>
      <c r="AR1044" s="13">
        <f t="shared" si="1056"/>
        <v>-5.1799999999999999E-2</v>
      </c>
      <c r="AS1044" s="6">
        <f t="shared" si="1048"/>
        <v>255.6797673583626</v>
      </c>
      <c r="AT1044" s="6">
        <f t="shared" si="1049"/>
        <v>133.51841356372671</v>
      </c>
      <c r="AU1044" s="6">
        <f t="shared" si="1050"/>
        <v>246.1242195160608</v>
      </c>
      <c r="AV1044" s="6">
        <f t="shared" si="1051"/>
        <v>255.6797673583626</v>
      </c>
      <c r="AW1044" s="58">
        <f t="shared" si="1057"/>
        <v>1998</v>
      </c>
      <c r="AX1044" s="58">
        <f>COUNTIF(AW$3:AW1044,AW1044)</f>
        <v>18</v>
      </c>
    </row>
    <row r="1045" spans="1:50" x14ac:dyDescent="0.25">
      <c r="A1045" s="5">
        <v>36030</v>
      </c>
      <c r="B1045">
        <v>1081.24</v>
      </c>
      <c r="C1045">
        <v>4.92</v>
      </c>
      <c r="D1045" s="6">
        <v>34.340000000000003</v>
      </c>
      <c r="E1045" s="18">
        <f t="shared" si="1070"/>
        <v>28.72</v>
      </c>
      <c r="F1045">
        <f t="shared" si="1071"/>
        <v>-2</v>
      </c>
      <c r="G1045" s="18">
        <f>ROUND(INDEX(Valuation!U:U,MATCH(A1045,Valuation!A:A,0)),2)</f>
        <v>27.81</v>
      </c>
      <c r="H1045">
        <f t="shared" si="1042"/>
        <v>-2</v>
      </c>
      <c r="I1045" s="18">
        <f>INDEX(WeeklyIndicators!Y:Y,MATCH(A1045,WeeklyIndicators!A:A,0))</f>
        <v>122.1</v>
      </c>
      <c r="J1045">
        <f t="shared" si="1067"/>
        <v>0</v>
      </c>
      <c r="K1045">
        <f>ROUND(INDEX(Economic!AF:AF,MATCH(EOMONTH($A1045,-1),Economic!A:A,0)),2)</f>
        <v>126.31</v>
      </c>
      <c r="L1045" s="11">
        <f t="shared" si="1076"/>
        <v>2</v>
      </c>
      <c r="M1045">
        <f>ROUND(INDEX(Manufacturing!P:P,MATCH(EOMONTH($A1045,-1),Manufacturing!A:A,0)),2)</f>
        <v>91.25</v>
      </c>
      <c r="N1045">
        <f t="shared" si="1072"/>
        <v>1</v>
      </c>
      <c r="O1045">
        <f>ROUND(INDEX(Housing!AC:AC,MATCH(EOMONTH($A1045,-1),Housing!B:B,0)),2)</f>
        <v>140.25</v>
      </c>
      <c r="P1045">
        <f t="shared" si="1073"/>
        <v>3</v>
      </c>
      <c r="Q1045">
        <f>ROUND(INDEX(Spending!AJ:AJ,MATCH(EOMONTH($A1045,-1),Spending!B:B,0)),2)</f>
        <v>63.84</v>
      </c>
      <c r="R1045">
        <f t="shared" si="1077"/>
        <v>2</v>
      </c>
      <c r="S1045">
        <f>ROUND(INDEX(Employment!V:V,MATCH(EOMONTH($A1045,-1),Employment!A:A,0)),2)</f>
        <v>181.02</v>
      </c>
      <c r="T1045" s="11">
        <f t="shared" si="1074"/>
        <v>2</v>
      </c>
      <c r="U1045">
        <f t="shared" si="1066"/>
        <v>26</v>
      </c>
      <c r="V1045">
        <f t="shared" si="1058"/>
        <v>79.23</v>
      </c>
      <c r="W1045" s="13">
        <f t="shared" si="1059"/>
        <v>7.3000000000000001E-3</v>
      </c>
      <c r="X1045" s="13">
        <f t="shared" si="1060"/>
        <v>-7.4999999999999997E-3</v>
      </c>
      <c r="Y1045">
        <f t="shared" si="1052"/>
        <v>66.64</v>
      </c>
      <c r="Z1045" s="13">
        <f t="shared" si="1047"/>
        <v>-1.5E-3</v>
      </c>
      <c r="AA1045" s="13">
        <f t="shared" si="1043"/>
        <v>-2.2699999999999998E-2</v>
      </c>
      <c r="AB1045" s="6">
        <f t="shared" si="1053"/>
        <v>62.970999999999997</v>
      </c>
      <c r="AC1045">
        <f t="shared" si="1045"/>
        <v>31</v>
      </c>
      <c r="AD1045" s="11">
        <f t="shared" si="1046"/>
        <v>-1</v>
      </c>
      <c r="AE1045">
        <f t="shared" si="1044"/>
        <v>27</v>
      </c>
      <c r="AF1045">
        <f>IF(AND(AE1045&lt;15,OR(AC1045&gt;=30,AA1045&gt;0.15,X1045&gt;=0.15)),2,VLOOKUP(AE1045,Table!P:Q,2,FALSE))</f>
        <v>4</v>
      </c>
      <c r="AG1045" s="22">
        <f>IF((AB1045*0.98)-(D1045*0.8)+((AF1045-3)*3)+VLOOKUP(AM1045,Table!$A$11:$B$13,2,FALSE)&lt;0,0,(AB1045*0.98)-(D1045*0.8)+((AF1045-3)*3)+VLOOKUP(AM1045,Table!$A$11:$B$13,2,FALSE))</f>
        <v>45.239579999999989</v>
      </c>
      <c r="AH1045" s="22">
        <f t="shared" si="1075"/>
        <v>50</v>
      </c>
      <c r="AI1045" s="18">
        <f t="shared" si="1068"/>
        <v>4.95</v>
      </c>
      <c r="AJ1045" s="18">
        <f t="shared" si="1069"/>
        <v>5.0199999999999996</v>
      </c>
      <c r="AK1045" t="str">
        <f t="shared" si="1054"/>
        <v/>
      </c>
      <c r="AL1045">
        <f t="shared" si="1065"/>
        <v>26.75</v>
      </c>
      <c r="AM1045" s="11" t="str">
        <f t="shared" si="1055"/>
        <v>Stocks</v>
      </c>
      <c r="AN1045" t="str">
        <f t="shared" si="1061"/>
        <v>Buy</v>
      </c>
      <c r="AO1045" s="13">
        <f t="shared" si="1062"/>
        <v>-0.05</v>
      </c>
      <c r="AP1045" s="13">
        <f t="shared" si="1063"/>
        <v>8.9999999999999998E-4</v>
      </c>
      <c r="AQ1045" s="13">
        <f t="shared" si="1064"/>
        <v>-2.46E-2</v>
      </c>
      <c r="AR1045" s="13">
        <f t="shared" si="1056"/>
        <v>-0.05</v>
      </c>
      <c r="AS1045" s="6">
        <f t="shared" si="1048"/>
        <v>269.13659721932908</v>
      </c>
      <c r="AT1045" s="6">
        <f t="shared" si="1049"/>
        <v>133.39835504418696</v>
      </c>
      <c r="AU1045" s="6">
        <f t="shared" si="1050"/>
        <v>252.33157629286529</v>
      </c>
      <c r="AV1045" s="6">
        <f t="shared" si="1051"/>
        <v>269.13659721932908</v>
      </c>
      <c r="AW1045" s="58">
        <f t="shared" si="1057"/>
        <v>1998</v>
      </c>
      <c r="AX1045" s="58">
        <f>COUNTIF(AW$3:AW1045,AW1045)</f>
        <v>19</v>
      </c>
    </row>
    <row r="1046" spans="1:50" x14ac:dyDescent="0.25">
      <c r="A1046" s="5">
        <v>36023</v>
      </c>
      <c r="B1046">
        <v>1062.75</v>
      </c>
      <c r="C1046">
        <v>4.8899999999999997</v>
      </c>
      <c r="D1046" s="6">
        <v>27.02</v>
      </c>
      <c r="E1046" s="18">
        <f t="shared" si="1070"/>
        <v>24.94</v>
      </c>
      <c r="F1046">
        <f t="shared" si="1071"/>
        <v>-1</v>
      </c>
      <c r="G1046" s="18">
        <f>ROUND(INDEX(Valuation!U:U,MATCH(A1046,Valuation!A:A,0)),2)</f>
        <v>26.07</v>
      </c>
      <c r="H1046">
        <f t="shared" si="1042"/>
        <v>-2</v>
      </c>
      <c r="I1046" s="18">
        <f>INDEX(WeeklyIndicators!Y:Y,MATCH(A1046,WeeklyIndicators!A:A,0))</f>
        <v>119.54</v>
      </c>
      <c r="J1046">
        <f t="shared" si="1067"/>
        <v>-1</v>
      </c>
      <c r="K1046">
        <f>ROUND(INDEX(Economic!AF:AF,MATCH(EOMONTH($A1046,-1),Economic!A:A,0)),2)</f>
        <v>126.31</v>
      </c>
      <c r="L1046" s="11">
        <f t="shared" si="1076"/>
        <v>2</v>
      </c>
      <c r="M1046">
        <f>ROUND(INDEX(Manufacturing!P:P,MATCH(EOMONTH($A1046,-1),Manufacturing!A:A,0)),2)</f>
        <v>91.25</v>
      </c>
      <c r="N1046">
        <f t="shared" si="1072"/>
        <v>1</v>
      </c>
      <c r="O1046">
        <f>ROUND(INDEX(Housing!AC:AC,MATCH(EOMONTH($A1046,-1),Housing!B:B,0)),2)</f>
        <v>140.25</v>
      </c>
      <c r="P1046">
        <f t="shared" si="1073"/>
        <v>3</v>
      </c>
      <c r="Q1046">
        <f>ROUND(INDEX(Spending!AJ:AJ,MATCH(EOMONTH($A1046,-1),Spending!B:B,0)),2)</f>
        <v>63.84</v>
      </c>
      <c r="R1046">
        <f t="shared" si="1077"/>
        <v>2</v>
      </c>
      <c r="S1046">
        <f>ROUND(INDEX(Employment!V:V,MATCH(EOMONTH($A1046,-1),Employment!A:A,0)),2)</f>
        <v>181.02</v>
      </c>
      <c r="T1046" s="11">
        <f t="shared" si="1074"/>
        <v>2</v>
      </c>
      <c r="U1046">
        <f t="shared" si="1066"/>
        <v>26</v>
      </c>
      <c r="V1046">
        <f t="shared" si="1058"/>
        <v>78.959999999999994</v>
      </c>
      <c r="W1046" s="13">
        <f t="shared" si="1059"/>
        <v>5.9999999999999995E-4</v>
      </c>
      <c r="X1046" s="13">
        <f t="shared" si="1060"/>
        <v>-2.35E-2</v>
      </c>
      <c r="Y1046">
        <f t="shared" si="1052"/>
        <v>67.5</v>
      </c>
      <c r="Z1046" s="13">
        <f t="shared" si="1047"/>
        <v>-5.0000000000000001E-3</v>
      </c>
      <c r="AA1046" s="13">
        <f t="shared" si="1043"/>
        <v>-2.76E-2</v>
      </c>
      <c r="AB1046" s="6">
        <f t="shared" si="1053"/>
        <v>63.156999999999996</v>
      </c>
      <c r="AC1046">
        <f t="shared" si="1045"/>
        <v>32</v>
      </c>
      <c r="AD1046" s="11">
        <f t="shared" si="1046"/>
        <v>0</v>
      </c>
      <c r="AE1046">
        <f t="shared" si="1044"/>
        <v>28</v>
      </c>
      <c r="AF1046">
        <f>IF(AND(AE1046&lt;15,OR(AC1046&gt;=30,AA1046&gt;0.15,X1046&gt;=0.15)),2,VLOOKUP(AE1046,Table!P:Q,2,FALSE))</f>
        <v>4</v>
      </c>
      <c r="AG1046" s="22">
        <f>IF((AB1046*0.98)-(D1046*0.8)+((AF1046-3)*3)+VLOOKUP(AM1046,Table!$A$11:$B$13,2,FALSE)&lt;0,0,(AB1046*0.98)-(D1046*0.8)+((AF1046-3)*3)+VLOOKUP(AM1046,Table!$A$11:$B$13,2,FALSE))</f>
        <v>51.277859999999997</v>
      </c>
      <c r="AH1046" s="22">
        <f t="shared" si="1075"/>
        <v>52</v>
      </c>
      <c r="AI1046" s="18">
        <f t="shared" si="1068"/>
        <v>4.97</v>
      </c>
      <c r="AJ1046" s="18">
        <f t="shared" si="1069"/>
        <v>5.03</v>
      </c>
      <c r="AK1046" t="str">
        <f t="shared" si="1054"/>
        <v/>
      </c>
      <c r="AL1046">
        <f t="shared" si="1065"/>
        <v>26.75</v>
      </c>
      <c r="AM1046" s="11" t="str">
        <f t="shared" si="1055"/>
        <v>Stocks</v>
      </c>
      <c r="AN1046" t="str">
        <f t="shared" si="1061"/>
        <v>Buy</v>
      </c>
      <c r="AO1046" s="13">
        <f t="shared" si="1062"/>
        <v>1.7399999999999999E-2</v>
      </c>
      <c r="AP1046" s="13">
        <f t="shared" si="1063"/>
        <v>8.9999999999999998E-4</v>
      </c>
      <c r="AQ1046" s="13">
        <f t="shared" si="1064"/>
        <v>9.4999999999999998E-3</v>
      </c>
      <c r="AR1046" s="13">
        <f t="shared" si="1056"/>
        <v>1.7399999999999999E-2</v>
      </c>
      <c r="AS1046" s="6">
        <f t="shared" si="1048"/>
        <v>264.53371065395032</v>
      </c>
      <c r="AT1046" s="6">
        <f t="shared" si="1049"/>
        <v>133.27840448015482</v>
      </c>
      <c r="AU1046" s="6">
        <f t="shared" si="1050"/>
        <v>249.95698493597354</v>
      </c>
      <c r="AV1046" s="6">
        <f t="shared" si="1051"/>
        <v>264.53371065395032</v>
      </c>
      <c r="AW1046" s="58">
        <f t="shared" si="1057"/>
        <v>1998</v>
      </c>
      <c r="AX1046" s="58">
        <f>COUNTIF(AW$3:AW1046,AW1046)</f>
        <v>20</v>
      </c>
    </row>
    <row r="1047" spans="1:50" x14ac:dyDescent="0.25">
      <c r="A1047" s="5">
        <v>36016</v>
      </c>
      <c r="B1047">
        <v>1089.45</v>
      </c>
      <c r="C1047">
        <v>4.93</v>
      </c>
      <c r="D1047" s="6">
        <v>24.799999</v>
      </c>
      <c r="E1047" s="18">
        <f t="shared" si="1070"/>
        <v>21.35</v>
      </c>
      <c r="F1047">
        <f t="shared" si="1071"/>
        <v>-1</v>
      </c>
      <c r="G1047" s="18">
        <f>ROUND(INDEX(Valuation!U:U,MATCH(A1047,Valuation!A:A,0)),2)</f>
        <v>21.5</v>
      </c>
      <c r="H1047">
        <f t="shared" si="1042"/>
        <v>-3</v>
      </c>
      <c r="I1047" s="18">
        <f>INDEX(WeeklyIndicators!Y:Y,MATCH(A1047,WeeklyIndicators!A:A,0))</f>
        <v>113.5</v>
      </c>
      <c r="J1047">
        <f t="shared" si="1067"/>
        <v>-1</v>
      </c>
      <c r="K1047">
        <f>ROUND(INDEX(Economic!AF:AF,MATCH(EOMONTH($A1047,-1),Economic!A:A,0)),2)</f>
        <v>126.31</v>
      </c>
      <c r="L1047" s="11">
        <f t="shared" si="1076"/>
        <v>2</v>
      </c>
      <c r="M1047">
        <f>ROUND(INDEX(Manufacturing!P:P,MATCH(EOMONTH($A1047,-1),Manufacturing!A:A,0)),2)</f>
        <v>91.25</v>
      </c>
      <c r="N1047">
        <f t="shared" si="1072"/>
        <v>1</v>
      </c>
      <c r="O1047">
        <f>ROUND(INDEX(Housing!AC:AC,MATCH(EOMONTH($A1047,-1),Housing!B:B,0)),2)</f>
        <v>140.25</v>
      </c>
      <c r="P1047">
        <f t="shared" si="1073"/>
        <v>3</v>
      </c>
      <c r="Q1047">
        <f>ROUND(INDEX(Spending!AJ:AJ,MATCH(EOMONTH($A1047,-1),Spending!B:B,0)),2)</f>
        <v>63.84</v>
      </c>
      <c r="R1047">
        <f t="shared" si="1077"/>
        <v>2</v>
      </c>
      <c r="S1047">
        <f>ROUND(INDEX(Employment!V:V,MATCH(EOMONTH($A1047,-1),Employment!A:A,0)),2)</f>
        <v>181.02</v>
      </c>
      <c r="T1047" s="11">
        <f t="shared" si="1074"/>
        <v>2</v>
      </c>
      <c r="U1047">
        <f t="shared" si="1066"/>
        <v>25</v>
      </c>
      <c r="V1047">
        <f t="shared" si="1058"/>
        <v>78.34</v>
      </c>
      <c r="W1047" s="13">
        <f t="shared" si="1059"/>
        <v>-4.0000000000000001E-3</v>
      </c>
      <c r="X1047" s="13">
        <f t="shared" si="1060"/>
        <v>-3.2100000000000004E-2</v>
      </c>
      <c r="Y1047">
        <f t="shared" si="1052"/>
        <v>67.62</v>
      </c>
      <c r="Z1047" s="13">
        <f t="shared" si="1047"/>
        <v>-4.4999999999999997E-3</v>
      </c>
      <c r="AA1047" s="13">
        <f t="shared" si="1043"/>
        <v>-3.1299999999999994E-2</v>
      </c>
      <c r="AB1047" s="6">
        <f t="shared" si="1053"/>
        <v>62.46</v>
      </c>
      <c r="AC1047">
        <f t="shared" si="1045"/>
        <v>31</v>
      </c>
      <c r="AD1047" s="11">
        <f t="shared" si="1046"/>
        <v>-1</v>
      </c>
      <c r="AE1047">
        <f t="shared" si="1044"/>
        <v>26</v>
      </c>
      <c r="AF1047">
        <f>IF(AND(AE1047&lt;15,OR(AC1047&gt;=30,AA1047&gt;0.15,X1047&gt;=0.15)),2,VLOOKUP(AE1047,Table!P:Q,2,FALSE))</f>
        <v>4</v>
      </c>
      <c r="AG1047" s="22">
        <f>IF((AB1047*0.98)-(D1047*0.8)+((AF1047-3)*3)+VLOOKUP(AM1047,Table!$A$11:$B$13,2,FALSE)&lt;0,0,(AB1047*0.98)-(D1047*0.8)+((AF1047-3)*3)+VLOOKUP(AM1047,Table!$A$11:$B$13,2,FALSE))</f>
        <v>52.370800799999998</v>
      </c>
      <c r="AH1047" s="22">
        <f t="shared" si="1075"/>
        <v>55</v>
      </c>
      <c r="AI1047" s="18">
        <f t="shared" si="1068"/>
        <v>4.9800000000000004</v>
      </c>
      <c r="AJ1047" s="18">
        <f t="shared" si="1069"/>
        <v>5.03</v>
      </c>
      <c r="AK1047" t="str">
        <f t="shared" si="1054"/>
        <v/>
      </c>
      <c r="AL1047">
        <f t="shared" si="1065"/>
        <v>26.25</v>
      </c>
      <c r="AM1047" s="11" t="str">
        <f t="shared" si="1055"/>
        <v>Stocks</v>
      </c>
      <c r="AN1047" t="str">
        <f t="shared" si="1061"/>
        <v>Buy</v>
      </c>
      <c r="AO1047" s="13">
        <f t="shared" si="1062"/>
        <v>-2.4500000000000001E-2</v>
      </c>
      <c r="AP1047" s="13">
        <f t="shared" si="1063"/>
        <v>8.9999999999999998E-4</v>
      </c>
      <c r="AQ1047" s="13">
        <f t="shared" si="1064"/>
        <v>-1.3100000000000001E-2</v>
      </c>
      <c r="AR1047" s="13">
        <f t="shared" si="1056"/>
        <v>-2.4500000000000001E-2</v>
      </c>
      <c r="AS1047" s="6">
        <f t="shared" si="1048"/>
        <v>271.17756089589989</v>
      </c>
      <c r="AT1047" s="6">
        <f t="shared" si="1049"/>
        <v>133.15856177455774</v>
      </c>
      <c r="AU1047" s="6">
        <f t="shared" si="1050"/>
        <v>253.27488594181128</v>
      </c>
      <c r="AV1047" s="6">
        <f t="shared" si="1051"/>
        <v>271.17756089589989</v>
      </c>
      <c r="AW1047" s="58">
        <f t="shared" si="1057"/>
        <v>1998</v>
      </c>
      <c r="AX1047" s="58">
        <f>COUNTIF(AW$3:AW1047,AW1047)</f>
        <v>21</v>
      </c>
    </row>
    <row r="1048" spans="1:50" x14ac:dyDescent="0.25">
      <c r="A1048" s="5">
        <v>36009</v>
      </c>
      <c r="B1048">
        <v>1120.67</v>
      </c>
      <c r="C1048">
        <v>4.95</v>
      </c>
      <c r="D1048" s="6">
        <v>23.01</v>
      </c>
      <c r="E1048" s="18">
        <f t="shared" si="1070"/>
        <v>19.05</v>
      </c>
      <c r="F1048">
        <f t="shared" si="1071"/>
        <v>-1</v>
      </c>
      <c r="G1048" s="18">
        <f>ROUND(INDEX(Valuation!U:U,MATCH(A1048,Valuation!A:A,0)),2)</f>
        <v>15.64</v>
      </c>
      <c r="H1048">
        <f t="shared" si="1042"/>
        <v>-3</v>
      </c>
      <c r="I1048" s="18">
        <f>INDEX(WeeklyIndicators!Y:Y,MATCH(A1048,WeeklyIndicators!A:A,0))</f>
        <v>105.57</v>
      </c>
      <c r="J1048">
        <f t="shared" si="1067"/>
        <v>-1</v>
      </c>
      <c r="K1048">
        <f>ROUND(INDEX(Economic!AF:AF,MATCH(EOMONTH($A1048,-1),Economic!A:A,0)),2)</f>
        <v>126.31</v>
      </c>
      <c r="L1048" s="11">
        <f t="shared" si="1076"/>
        <v>2</v>
      </c>
      <c r="M1048">
        <f>ROUND(INDEX(Manufacturing!P:P,MATCH(EOMONTH($A1048,-1),Manufacturing!A:A,0)),2)</f>
        <v>91.25</v>
      </c>
      <c r="N1048">
        <f t="shared" si="1072"/>
        <v>1</v>
      </c>
      <c r="O1048">
        <f>ROUND(INDEX(Housing!AC:AC,MATCH(EOMONTH($A1048,-1),Housing!B:B,0)),2)</f>
        <v>140.25</v>
      </c>
      <c r="P1048">
        <f t="shared" si="1073"/>
        <v>3</v>
      </c>
      <c r="Q1048">
        <f>ROUND(INDEX(Spending!AJ:AJ,MATCH(EOMONTH($A1048,-1),Spending!B:B,0)),2)</f>
        <v>63.84</v>
      </c>
      <c r="R1048">
        <f t="shared" si="1077"/>
        <v>2</v>
      </c>
      <c r="S1048">
        <f>ROUND(INDEX(Employment!V:V,MATCH(EOMONTH($A1048,-1),Employment!A:A,0)),2)</f>
        <v>181.02</v>
      </c>
      <c r="T1048" s="11">
        <f t="shared" si="1074"/>
        <v>2</v>
      </c>
      <c r="U1048">
        <f t="shared" si="1066"/>
        <v>25</v>
      </c>
      <c r="V1048">
        <f t="shared" si="1058"/>
        <v>77.510000000000005</v>
      </c>
      <c r="W1048" s="13">
        <f t="shared" si="1059"/>
        <v>-1.14E-2</v>
      </c>
      <c r="X1048" s="13">
        <f t="shared" si="1060"/>
        <v>-3.2899999999999999E-2</v>
      </c>
      <c r="Y1048">
        <f t="shared" si="1052"/>
        <v>66.94</v>
      </c>
      <c r="Z1048" s="13">
        <f t="shared" si="1047"/>
        <v>-1.17E-2</v>
      </c>
      <c r="AA1048" s="13">
        <f t="shared" si="1043"/>
        <v>-3.39E-2</v>
      </c>
      <c r="AB1048" s="6">
        <f t="shared" si="1053"/>
        <v>60.984000000000002</v>
      </c>
      <c r="AC1048">
        <f t="shared" si="1045"/>
        <v>30</v>
      </c>
      <c r="AD1048" s="11">
        <f t="shared" si="1046"/>
        <v>-1</v>
      </c>
      <c r="AE1048">
        <f t="shared" si="1044"/>
        <v>26</v>
      </c>
      <c r="AF1048">
        <f>IF(AND(AE1048&lt;15,OR(AC1048&gt;=30,AA1048&gt;0.15,X1048&gt;=0.15)),2,VLOOKUP(AE1048,Table!P:Q,2,FALSE))</f>
        <v>4</v>
      </c>
      <c r="AG1048" s="22">
        <f>IF((AB1048*0.98)-(D1048*0.8)+((AF1048-3)*3)+VLOOKUP(AM1048,Table!$A$11:$B$13,2,FALSE)&lt;0,0,(AB1048*0.98)-(D1048*0.8)+((AF1048-3)*3)+VLOOKUP(AM1048,Table!$A$11:$B$13,2,FALSE))</f>
        <v>52.356319999999997</v>
      </c>
      <c r="AH1048" s="22">
        <f t="shared" si="1075"/>
        <v>56</v>
      </c>
      <c r="AI1048" s="18">
        <f t="shared" si="1068"/>
        <v>4.9800000000000004</v>
      </c>
      <c r="AJ1048" s="18">
        <f t="shared" si="1069"/>
        <v>5.04</v>
      </c>
      <c r="AK1048" t="str">
        <f t="shared" si="1054"/>
        <v/>
      </c>
      <c r="AL1048">
        <f t="shared" si="1065"/>
        <v>26.25</v>
      </c>
      <c r="AM1048" s="11" t="str">
        <f t="shared" si="1055"/>
        <v>Stocks</v>
      </c>
      <c r="AN1048" t="str">
        <f t="shared" si="1061"/>
        <v>Buy</v>
      </c>
      <c r="AO1048" s="13">
        <f t="shared" si="1062"/>
        <v>-2.7900000000000001E-2</v>
      </c>
      <c r="AP1048" s="13">
        <f t="shared" si="1063"/>
        <v>1E-3</v>
      </c>
      <c r="AQ1048" s="13">
        <f t="shared" si="1064"/>
        <v>-1.52E-2</v>
      </c>
      <c r="AR1048" s="13">
        <f t="shared" si="1056"/>
        <v>-2.7900000000000001E-2</v>
      </c>
      <c r="AS1048" s="6">
        <f t="shared" si="1048"/>
        <v>278.96056053482141</v>
      </c>
      <c r="AT1048" s="6">
        <f t="shared" si="1049"/>
        <v>133.02553623831943</v>
      </c>
      <c r="AU1048" s="6">
        <f t="shared" si="1050"/>
        <v>257.18408401889855</v>
      </c>
      <c r="AV1048" s="6">
        <f t="shared" si="1051"/>
        <v>278.96056053482141</v>
      </c>
      <c r="AW1048" s="58">
        <f t="shared" si="1057"/>
        <v>1998</v>
      </c>
      <c r="AX1048" s="58">
        <f>COUNTIF(AW$3:AW1048,AW1048)</f>
        <v>22</v>
      </c>
    </row>
    <row r="1049" spans="1:50" x14ac:dyDescent="0.25">
      <c r="A1049" s="5">
        <v>36002</v>
      </c>
      <c r="B1049">
        <v>1140.8</v>
      </c>
      <c r="C1049">
        <v>4.96</v>
      </c>
      <c r="D1049" s="6">
        <v>16.23</v>
      </c>
      <c r="E1049" s="18">
        <f t="shared" si="1070"/>
        <v>17.27</v>
      </c>
      <c r="F1049">
        <f t="shared" si="1071"/>
        <v>0</v>
      </c>
      <c r="G1049" s="18">
        <f>ROUND(INDEX(Valuation!U:U,MATCH(A1049,Valuation!A:A,0)),2)</f>
        <v>12.38</v>
      </c>
      <c r="H1049">
        <f t="shared" si="1042"/>
        <v>-3</v>
      </c>
      <c r="I1049" s="18">
        <f>INDEX(WeeklyIndicators!Y:Y,MATCH(A1049,WeeklyIndicators!A:A,0))</f>
        <v>103.42</v>
      </c>
      <c r="J1049">
        <f t="shared" si="1067"/>
        <v>-1</v>
      </c>
      <c r="K1049">
        <f>ROUND(INDEX(Economic!AF:AF,MATCH(EOMONTH($A1049,-1),Economic!A:A,0)),2)</f>
        <v>128.77000000000001</v>
      </c>
      <c r="L1049" s="11">
        <f t="shared" si="1076"/>
        <v>2</v>
      </c>
      <c r="M1049">
        <f>ROUND(INDEX(Manufacturing!P:P,MATCH(EOMONTH($A1049,-1),Manufacturing!A:A,0)),2)</f>
        <v>96.47</v>
      </c>
      <c r="N1049">
        <f t="shared" si="1072"/>
        <v>1</v>
      </c>
      <c r="O1049">
        <f>ROUND(INDEX(Housing!AC:AC,MATCH(EOMONTH($A1049,-1),Housing!B:B,0)),2)</f>
        <v>138.63</v>
      </c>
      <c r="P1049">
        <f t="shared" si="1073"/>
        <v>2</v>
      </c>
      <c r="Q1049">
        <f>ROUND(INDEX(Spending!AJ:AJ,MATCH(EOMONTH($A1049,-1),Spending!B:B,0)),2)</f>
        <v>60.61</v>
      </c>
      <c r="R1049">
        <f t="shared" si="1077"/>
        <v>2</v>
      </c>
      <c r="S1049">
        <f>ROUND(INDEX(Employment!V:V,MATCH(EOMONTH($A1049,-1),Employment!A:A,0)),2)</f>
        <v>190.83</v>
      </c>
      <c r="T1049" s="11">
        <f t="shared" si="1074"/>
        <v>3</v>
      </c>
      <c r="U1049">
        <f t="shared" si="1066"/>
        <v>26</v>
      </c>
      <c r="V1049">
        <f t="shared" si="1058"/>
        <v>78.819999999999993</v>
      </c>
      <c r="W1049" s="13">
        <f t="shared" si="1059"/>
        <v>-8.6999999999999994E-3</v>
      </c>
      <c r="X1049" s="13">
        <f t="shared" si="1060"/>
        <v>-2.6099999999999998E-2</v>
      </c>
      <c r="Y1049">
        <f t="shared" si="1052"/>
        <v>68.510000000000005</v>
      </c>
      <c r="Z1049" s="13">
        <f t="shared" si="1047"/>
        <v>-6.4000000000000003E-3</v>
      </c>
      <c r="AA1049" s="13">
        <f t="shared" si="1043"/>
        <v>-3.2599999999999997E-2</v>
      </c>
      <c r="AB1049" s="6">
        <f t="shared" si="1053"/>
        <v>62.427999999999997</v>
      </c>
      <c r="AC1049">
        <f t="shared" si="1045"/>
        <v>31</v>
      </c>
      <c r="AD1049" s="11">
        <f t="shared" si="1046"/>
        <v>-1</v>
      </c>
      <c r="AE1049">
        <f t="shared" si="1044"/>
        <v>27</v>
      </c>
      <c r="AF1049">
        <f>IF(AND(AE1049&lt;15,OR(AC1049&gt;=30,AA1049&gt;0.15,X1049&gt;=0.15)),2,VLOOKUP(AE1049,Table!P:Q,2,FALSE))</f>
        <v>4</v>
      </c>
      <c r="AG1049" s="22">
        <f>IF((AB1049*0.98)-(D1049*0.8)+((AF1049-3)*3)+VLOOKUP(AM1049,Table!$A$11:$B$13,2,FALSE)&lt;0,0,(AB1049*0.98)-(D1049*0.8)+((AF1049-3)*3)+VLOOKUP(AM1049,Table!$A$11:$B$13,2,FALSE))</f>
        <v>59.195439999999998</v>
      </c>
      <c r="AH1049" s="22">
        <f t="shared" si="1075"/>
        <v>58</v>
      </c>
      <c r="AI1049" s="18">
        <f t="shared" si="1068"/>
        <v>4.9800000000000004</v>
      </c>
      <c r="AJ1049" s="18">
        <f t="shared" si="1069"/>
        <v>5.04</v>
      </c>
      <c r="AK1049" t="str">
        <f t="shared" si="1054"/>
        <v/>
      </c>
      <c r="AL1049">
        <f t="shared" si="1065"/>
        <v>26.75</v>
      </c>
      <c r="AM1049" s="11" t="str">
        <f t="shared" si="1055"/>
        <v>Stocks</v>
      </c>
      <c r="AN1049" t="str">
        <f t="shared" si="1061"/>
        <v>Buy</v>
      </c>
      <c r="AO1049" s="13">
        <f t="shared" si="1062"/>
        <v>-1.7600000000000001E-2</v>
      </c>
      <c r="AP1049" s="13">
        <f t="shared" si="1063"/>
        <v>1E-3</v>
      </c>
      <c r="AQ1049" s="13">
        <f t="shared" si="1064"/>
        <v>-9.7999999999999997E-3</v>
      </c>
      <c r="AR1049" s="13">
        <f t="shared" si="1056"/>
        <v>-1.7600000000000001E-2</v>
      </c>
      <c r="AS1049" s="6">
        <f t="shared" si="1048"/>
        <v>283.95822530010321</v>
      </c>
      <c r="AT1049" s="6">
        <f t="shared" si="1049"/>
        <v>132.89264359472472</v>
      </c>
      <c r="AU1049" s="6">
        <f t="shared" si="1050"/>
        <v>259.72943245697695</v>
      </c>
      <c r="AV1049" s="6">
        <f t="shared" si="1051"/>
        <v>283.95822530010321</v>
      </c>
      <c r="AW1049" s="58">
        <f t="shared" si="1057"/>
        <v>1998</v>
      </c>
      <c r="AX1049" s="58">
        <f>COUNTIF(AW$3:AW1049,AW1049)</f>
        <v>23</v>
      </c>
    </row>
    <row r="1050" spans="1:50" x14ac:dyDescent="0.25">
      <c r="A1050" s="5">
        <v>35995</v>
      </c>
      <c r="B1050">
        <v>1186.75</v>
      </c>
      <c r="C1050">
        <v>5.01</v>
      </c>
      <c r="D1050" s="6">
        <v>17.920000000000002</v>
      </c>
      <c r="E1050" s="18">
        <f t="shared" si="1070"/>
        <v>18.32</v>
      </c>
      <c r="F1050">
        <f t="shared" si="1071"/>
        <v>-1</v>
      </c>
      <c r="G1050" s="18">
        <f>ROUND(INDEX(Valuation!U:U,MATCH(A1050,Valuation!A:A,0)),2)</f>
        <v>11.83</v>
      </c>
      <c r="H1050">
        <f t="shared" si="1042"/>
        <v>-3</v>
      </c>
      <c r="I1050" s="18">
        <f>INDEX(WeeklyIndicators!Y:Y,MATCH(A1050,WeeklyIndicators!A:A,0))</f>
        <v>107.85</v>
      </c>
      <c r="J1050">
        <f t="shared" si="1067"/>
        <v>-1</v>
      </c>
      <c r="K1050">
        <f>ROUND(INDEX(Economic!AF:AF,MATCH(EOMONTH($A1050,-1),Economic!A:A,0)),2)</f>
        <v>128.77000000000001</v>
      </c>
      <c r="L1050" s="11">
        <f t="shared" si="1076"/>
        <v>2</v>
      </c>
      <c r="M1050">
        <f>ROUND(INDEX(Manufacturing!P:P,MATCH(EOMONTH($A1050,-1),Manufacturing!A:A,0)),2)</f>
        <v>96.47</v>
      </c>
      <c r="N1050">
        <f t="shared" si="1072"/>
        <v>1</v>
      </c>
      <c r="O1050">
        <f>ROUND(INDEX(Housing!AC:AC,MATCH(EOMONTH($A1050,-1),Housing!B:B,0)),2)</f>
        <v>138.63</v>
      </c>
      <c r="P1050">
        <f t="shared" si="1073"/>
        <v>2</v>
      </c>
      <c r="Q1050">
        <f>ROUND(INDEX(Spending!AJ:AJ,MATCH(EOMONTH($A1050,-1),Spending!B:B,0)),2)</f>
        <v>60.61</v>
      </c>
      <c r="R1050">
        <f t="shared" si="1077"/>
        <v>2</v>
      </c>
      <c r="S1050">
        <f>ROUND(INDEX(Employment!V:V,MATCH(EOMONTH($A1050,-1),Employment!A:A,0)),2)</f>
        <v>190.83</v>
      </c>
      <c r="T1050" s="11">
        <f t="shared" si="1074"/>
        <v>3</v>
      </c>
      <c r="U1050">
        <f t="shared" si="1066"/>
        <v>25</v>
      </c>
      <c r="V1050">
        <f t="shared" si="1058"/>
        <v>79.28</v>
      </c>
      <c r="W1050" s="13">
        <f t="shared" si="1059"/>
        <v>-8.0000000000000002E-3</v>
      </c>
      <c r="X1050" s="13">
        <f t="shared" si="1060"/>
        <v>-2.41E-2</v>
      </c>
      <c r="Y1050">
        <f t="shared" si="1052"/>
        <v>68.540000000000006</v>
      </c>
      <c r="Z1050" s="13">
        <f t="shared" si="1047"/>
        <v>-8.6999999999999994E-3</v>
      </c>
      <c r="AA1050" s="13">
        <f t="shared" si="1043"/>
        <v>-3.7400000000000003E-2</v>
      </c>
      <c r="AB1050" s="6">
        <f t="shared" si="1053"/>
        <v>62.122999999999998</v>
      </c>
      <c r="AC1050">
        <f t="shared" si="1045"/>
        <v>31</v>
      </c>
      <c r="AD1050" s="11">
        <f t="shared" si="1046"/>
        <v>-1</v>
      </c>
      <c r="AE1050">
        <f t="shared" si="1044"/>
        <v>26</v>
      </c>
      <c r="AF1050">
        <f>IF(AND(AE1050&lt;15,OR(AC1050&gt;=30,AA1050&gt;0.15,X1050&gt;=0.15)),2,VLOOKUP(AE1050,Table!P:Q,2,FALSE))</f>
        <v>4</v>
      </c>
      <c r="AG1050" s="22">
        <f>IF((AB1050*0.98)-(D1050*0.8)+((AF1050-3)*3)+VLOOKUP(AM1050,Table!$A$11:$B$13,2,FALSE)&lt;0,0,(AB1050*0.98)-(D1050*0.8)+((AF1050-3)*3)+VLOOKUP(AM1050,Table!$A$11:$B$13,2,FALSE))</f>
        <v>57.544539999999998</v>
      </c>
      <c r="AH1050" s="22">
        <f t="shared" si="1075"/>
        <v>58</v>
      </c>
      <c r="AI1050" s="18">
        <f t="shared" si="1068"/>
        <v>4.97</v>
      </c>
      <c r="AJ1050" s="18">
        <f t="shared" si="1069"/>
        <v>5.04</v>
      </c>
      <c r="AK1050" t="str">
        <f t="shared" si="1054"/>
        <v/>
      </c>
      <c r="AL1050">
        <f t="shared" si="1065"/>
        <v>26.75</v>
      </c>
      <c r="AM1050" s="11" t="str">
        <f t="shared" si="1055"/>
        <v>Stocks</v>
      </c>
      <c r="AN1050" t="str">
        <f t="shared" si="1061"/>
        <v>Buy</v>
      </c>
      <c r="AO1050" s="13">
        <f t="shared" si="1062"/>
        <v>-3.8699999999999998E-2</v>
      </c>
      <c r="AP1050" s="13">
        <f t="shared" si="1063"/>
        <v>1E-3</v>
      </c>
      <c r="AQ1050" s="13">
        <f t="shared" si="1064"/>
        <v>-2.1999999999999999E-2</v>
      </c>
      <c r="AR1050" s="13">
        <f t="shared" si="1056"/>
        <v>-3.8699999999999998E-2</v>
      </c>
      <c r="AS1050" s="6">
        <f t="shared" si="1048"/>
        <v>295.38981098523163</v>
      </c>
      <c r="AT1050" s="6">
        <f t="shared" si="1049"/>
        <v>132.75988371101371</v>
      </c>
      <c r="AU1050" s="6">
        <f t="shared" si="1050"/>
        <v>265.57201682717482</v>
      </c>
      <c r="AV1050" s="6">
        <f t="shared" si="1051"/>
        <v>295.38981098523163</v>
      </c>
      <c r="AW1050" s="58">
        <f t="shared" si="1057"/>
        <v>1998</v>
      </c>
      <c r="AX1050" s="58">
        <f>COUNTIF(AW$3:AW1050,AW1050)</f>
        <v>24</v>
      </c>
    </row>
    <row r="1051" spans="1:50" x14ac:dyDescent="0.25">
      <c r="A1051" s="5">
        <v>35988</v>
      </c>
      <c r="B1051">
        <v>1164.33</v>
      </c>
      <c r="C1051">
        <v>4.9400000000000004</v>
      </c>
      <c r="D1051" s="6">
        <v>17.670000000000002</v>
      </c>
      <c r="E1051" s="18">
        <f t="shared" si="1070"/>
        <v>19.649999999999999</v>
      </c>
      <c r="F1051">
        <f t="shared" si="1071"/>
        <v>-1</v>
      </c>
      <c r="G1051" s="18">
        <f>ROUND(INDEX(Valuation!U:U,MATCH(A1051,Valuation!A:A,0)),2)</f>
        <v>14.74</v>
      </c>
      <c r="H1051">
        <f t="shared" si="1042"/>
        <v>-3</v>
      </c>
      <c r="I1051" s="18">
        <f>INDEX(WeeklyIndicators!Y:Y,MATCH(A1051,WeeklyIndicators!A:A,0))</f>
        <v>116.97</v>
      </c>
      <c r="J1051">
        <f t="shared" si="1067"/>
        <v>-1</v>
      </c>
      <c r="K1051">
        <f>ROUND(INDEX(Economic!AF:AF,MATCH(EOMONTH($A1051,-1),Economic!A:A,0)),2)</f>
        <v>128.77000000000001</v>
      </c>
      <c r="L1051" s="11">
        <f t="shared" si="1076"/>
        <v>2</v>
      </c>
      <c r="M1051">
        <f>ROUND(INDEX(Manufacturing!P:P,MATCH(EOMONTH($A1051,-1),Manufacturing!A:A,0)),2)</f>
        <v>96.47</v>
      </c>
      <c r="N1051">
        <f t="shared" si="1072"/>
        <v>1</v>
      </c>
      <c r="O1051">
        <f>ROUND(INDEX(Housing!AC:AC,MATCH(EOMONTH($A1051,-1),Housing!B:B,0)),2)</f>
        <v>138.63</v>
      </c>
      <c r="P1051">
        <f t="shared" si="1073"/>
        <v>2</v>
      </c>
      <c r="Q1051">
        <f>ROUND(INDEX(Spending!AJ:AJ,MATCH(EOMONTH($A1051,-1),Spending!B:B,0)),2)</f>
        <v>60.61</v>
      </c>
      <c r="R1051">
        <f t="shared" si="1077"/>
        <v>2</v>
      </c>
      <c r="S1051">
        <f>ROUND(INDEX(Employment!V:V,MATCH(EOMONTH($A1051,-1),Employment!A:A,0)),2)</f>
        <v>190.83</v>
      </c>
      <c r="T1051" s="11">
        <f t="shared" si="1074"/>
        <v>3</v>
      </c>
      <c r="U1051">
        <f t="shared" si="1066"/>
        <v>25</v>
      </c>
      <c r="V1051">
        <f t="shared" si="1058"/>
        <v>80.22</v>
      </c>
      <c r="W1051" s="13">
        <f t="shared" si="1059"/>
        <v>-4.7999999999999996E-3</v>
      </c>
      <c r="X1051" s="13">
        <f t="shared" si="1060"/>
        <v>-2.5000000000000001E-2</v>
      </c>
      <c r="Y1051">
        <f t="shared" si="1052"/>
        <v>69.349999999999994</v>
      </c>
      <c r="Z1051" s="13">
        <f t="shared" si="1047"/>
        <v>-7.1000000000000004E-3</v>
      </c>
      <c r="AA1051" s="13">
        <f t="shared" si="1043"/>
        <v>-4.2100000000000005E-2</v>
      </c>
      <c r="AB1051" s="6">
        <f t="shared" si="1053"/>
        <v>62.923999999999999</v>
      </c>
      <c r="AC1051">
        <f t="shared" si="1045"/>
        <v>31</v>
      </c>
      <c r="AD1051" s="11">
        <f t="shared" si="1046"/>
        <v>-1</v>
      </c>
      <c r="AE1051">
        <f t="shared" si="1044"/>
        <v>26</v>
      </c>
      <c r="AF1051">
        <f>IF(AND(AE1051&lt;15,OR(AC1051&gt;=30,AA1051&gt;0.15,X1051&gt;=0.15)),2,VLOOKUP(AE1051,Table!P:Q,2,FALSE))</f>
        <v>4</v>
      </c>
      <c r="AG1051" s="22">
        <f>IF((AB1051*0.98)-(D1051*0.8)+((AF1051-3)*3)+VLOOKUP(AM1051,Table!$A$11:$B$13,2,FALSE)&lt;0,0,(AB1051*0.98)-(D1051*0.8)+((AF1051-3)*3)+VLOOKUP(AM1051,Table!$A$11:$B$13,2,FALSE))</f>
        <v>58.529519999999998</v>
      </c>
      <c r="AH1051" s="22">
        <f t="shared" si="1075"/>
        <v>58</v>
      </c>
      <c r="AI1051" s="18">
        <f t="shared" si="1068"/>
        <v>4.97</v>
      </c>
      <c r="AJ1051" s="18">
        <f t="shared" si="1069"/>
        <v>5.04</v>
      </c>
      <c r="AK1051" t="str">
        <f t="shared" si="1054"/>
        <v/>
      </c>
      <c r="AL1051">
        <f t="shared" si="1065"/>
        <v>27</v>
      </c>
      <c r="AM1051" s="11" t="str">
        <f t="shared" si="1055"/>
        <v>Stocks</v>
      </c>
      <c r="AN1051" t="str">
        <f t="shared" si="1061"/>
        <v>Buy</v>
      </c>
      <c r="AO1051" s="13">
        <f t="shared" si="1062"/>
        <v>1.9300000000000001E-2</v>
      </c>
      <c r="AP1051" s="13">
        <f t="shared" si="1063"/>
        <v>1E-3</v>
      </c>
      <c r="AQ1051" s="13">
        <f t="shared" si="1064"/>
        <v>1.1599999999999999E-2</v>
      </c>
      <c r="AR1051" s="13">
        <f t="shared" si="1056"/>
        <v>1.9300000000000001E-2</v>
      </c>
      <c r="AS1051" s="6">
        <f t="shared" si="1048"/>
        <v>289.79673401867126</v>
      </c>
      <c r="AT1051" s="6">
        <f t="shared" si="1049"/>
        <v>132.62725645455916</v>
      </c>
      <c r="AU1051" s="6">
        <f t="shared" si="1050"/>
        <v>262.52670702567696</v>
      </c>
      <c r="AV1051" s="6">
        <f t="shared" si="1051"/>
        <v>289.79673401867126</v>
      </c>
      <c r="AW1051" s="58">
        <f t="shared" si="1057"/>
        <v>1998</v>
      </c>
      <c r="AX1051" s="58">
        <f>COUNTIF(AW$3:AW1051,AW1051)</f>
        <v>25</v>
      </c>
    </row>
    <row r="1052" spans="1:50" x14ac:dyDescent="0.25">
      <c r="A1052" s="5">
        <v>35981</v>
      </c>
      <c r="B1052">
        <v>1146.42</v>
      </c>
      <c r="C1052">
        <v>4.9400000000000004</v>
      </c>
      <c r="D1052" s="6">
        <v>19.360001</v>
      </c>
      <c r="E1052" s="18">
        <f t="shared" si="1070"/>
        <v>21.35</v>
      </c>
      <c r="F1052">
        <f t="shared" si="1071"/>
        <v>-1</v>
      </c>
      <c r="G1052" s="18">
        <f>ROUND(INDEX(Valuation!U:U,MATCH(A1052,Valuation!A:A,0)),2)</f>
        <v>18.170000000000002</v>
      </c>
      <c r="H1052">
        <f t="shared" ref="H1052:H1115" si="1078">IF(G1052&gt;200,3,IF(AND(G1052&gt;160,G1052&lt;=200),2,IF(AND(G1052&gt;120,G1052&lt;=160),1,IF(G1052&lt;25,-3,IF(AND(G1052&lt;50,G1052&gt;=25),-2,IF(AND(G1052&lt;90,G1052&gt;=50),-1,0))))))</f>
        <v>-3</v>
      </c>
      <c r="I1052" s="18">
        <f>INDEX(WeeklyIndicators!Y:Y,MATCH(A1052,WeeklyIndicators!A:A,0))</f>
        <v>123.69</v>
      </c>
      <c r="J1052">
        <f t="shared" si="1067"/>
        <v>0</v>
      </c>
      <c r="K1052">
        <f>ROUND(INDEX(Economic!AF:AF,MATCH(EOMONTH($A1052,-1),Economic!A:A,0)),2)</f>
        <v>128.77000000000001</v>
      </c>
      <c r="L1052" s="11">
        <f t="shared" si="1076"/>
        <v>2</v>
      </c>
      <c r="M1052">
        <f>ROUND(INDEX(Manufacturing!P:P,MATCH(EOMONTH($A1052,-1),Manufacturing!A:A,0)),2)</f>
        <v>96.47</v>
      </c>
      <c r="N1052">
        <f t="shared" si="1072"/>
        <v>1</v>
      </c>
      <c r="O1052">
        <f>ROUND(INDEX(Housing!AC:AC,MATCH(EOMONTH($A1052,-1),Housing!B:B,0)),2)</f>
        <v>138.63</v>
      </c>
      <c r="P1052">
        <f t="shared" si="1073"/>
        <v>2</v>
      </c>
      <c r="Q1052">
        <f>ROUND(INDEX(Spending!AJ:AJ,MATCH(EOMONTH($A1052,-1),Spending!B:B,0)),2)</f>
        <v>60.61</v>
      </c>
      <c r="R1052">
        <f t="shared" si="1077"/>
        <v>2</v>
      </c>
      <c r="S1052">
        <f>ROUND(INDEX(Employment!V:V,MATCH(EOMONTH($A1052,-1),Employment!A:A,0)),2)</f>
        <v>190.83</v>
      </c>
      <c r="T1052" s="11">
        <f t="shared" si="1074"/>
        <v>3</v>
      </c>
      <c r="U1052">
        <f t="shared" si="1066"/>
        <v>26</v>
      </c>
      <c r="V1052">
        <f t="shared" si="1058"/>
        <v>80.92</v>
      </c>
      <c r="W1052" s="13">
        <f t="shared" si="1059"/>
        <v>-4.5999999999999999E-3</v>
      </c>
      <c r="X1052" s="13">
        <f t="shared" si="1060"/>
        <v>-2.5400000000000002E-2</v>
      </c>
      <c r="Y1052">
        <f t="shared" si="1052"/>
        <v>69.83</v>
      </c>
      <c r="Z1052" s="13">
        <f t="shared" si="1047"/>
        <v>-1.04E-2</v>
      </c>
      <c r="AA1052" s="13">
        <f t="shared" si="1043"/>
        <v>-4.1500000000000002E-2</v>
      </c>
      <c r="AB1052" s="6">
        <f t="shared" si="1053"/>
        <v>63.806999999999995</v>
      </c>
      <c r="AC1052">
        <f t="shared" si="1045"/>
        <v>32</v>
      </c>
      <c r="AD1052" s="11">
        <f t="shared" si="1046"/>
        <v>0</v>
      </c>
      <c r="AE1052">
        <f t="shared" si="1044"/>
        <v>28</v>
      </c>
      <c r="AF1052">
        <f>IF(AND(AE1052&lt;15,OR(AC1052&gt;=30,AA1052&gt;0.15,X1052&gt;=0.15)),2,VLOOKUP(AE1052,Table!P:Q,2,FALSE))</f>
        <v>4</v>
      </c>
      <c r="AG1052" s="22">
        <f>IF((AB1052*0.98)-(D1052*0.8)+((AF1052-3)*3)+VLOOKUP(AM1052,Table!$A$11:$B$13,2,FALSE)&lt;0,0,(AB1052*0.98)-(D1052*0.8)+((AF1052-3)*3)+VLOOKUP(AM1052,Table!$A$11:$B$13,2,FALSE))</f>
        <v>58.042859199999995</v>
      </c>
      <c r="AH1052" s="22">
        <f t="shared" si="1075"/>
        <v>58</v>
      </c>
      <c r="AI1052" s="18">
        <f t="shared" si="1068"/>
        <v>4.97</v>
      </c>
      <c r="AJ1052" s="18">
        <f t="shared" si="1069"/>
        <v>5.04</v>
      </c>
      <c r="AK1052" t="str">
        <f t="shared" si="1054"/>
        <v/>
      </c>
      <c r="AL1052">
        <f t="shared" si="1065"/>
        <v>27.25</v>
      </c>
      <c r="AM1052" s="11" t="str">
        <f t="shared" si="1055"/>
        <v>Stocks</v>
      </c>
      <c r="AN1052" t="str">
        <f t="shared" si="1061"/>
        <v>Buy</v>
      </c>
      <c r="AO1052" s="13">
        <f t="shared" si="1062"/>
        <v>1.5599999999999999E-2</v>
      </c>
      <c r="AP1052" s="13">
        <f t="shared" si="1063"/>
        <v>1E-3</v>
      </c>
      <c r="AQ1052" s="13">
        <f t="shared" si="1064"/>
        <v>9.4999999999999998E-3</v>
      </c>
      <c r="AR1052" s="13">
        <f t="shared" si="1056"/>
        <v>1.5599999999999999E-2</v>
      </c>
      <c r="AS1052" s="6">
        <f t="shared" si="1048"/>
        <v>285.34534661153134</v>
      </c>
      <c r="AT1052" s="6">
        <f t="shared" si="1049"/>
        <v>132.49476169286632</v>
      </c>
      <c r="AU1052" s="6">
        <f t="shared" si="1050"/>
        <v>260.05617337858041</v>
      </c>
      <c r="AV1052" s="6">
        <f t="shared" si="1051"/>
        <v>285.34534661153134</v>
      </c>
      <c r="AW1052" s="58">
        <f t="shared" si="1057"/>
        <v>1998</v>
      </c>
      <c r="AX1052" s="58">
        <f>COUNTIF(AW$3:AW1052,AW1052)</f>
        <v>26</v>
      </c>
    </row>
    <row r="1053" spans="1:50" x14ac:dyDescent="0.25">
      <c r="A1053" s="5">
        <v>35974</v>
      </c>
      <c r="B1053">
        <v>1133.2</v>
      </c>
      <c r="C1053">
        <v>4.93</v>
      </c>
      <c r="D1053" s="6">
        <v>21.92</v>
      </c>
      <c r="E1053" s="18">
        <f t="shared" si="1070"/>
        <v>21.49</v>
      </c>
      <c r="F1053">
        <f t="shared" si="1071"/>
        <v>-1</v>
      </c>
      <c r="G1053" s="18">
        <f>ROUND(INDEX(Valuation!U:U,MATCH(A1053,Valuation!A:A,0)),2)</f>
        <v>20.91</v>
      </c>
      <c r="H1053">
        <f t="shared" si="1078"/>
        <v>-3</v>
      </c>
      <c r="I1053" s="18">
        <f>INDEX(WeeklyIndicators!Y:Y,MATCH(A1053,WeeklyIndicators!A:A,0))</f>
        <v>126.02</v>
      </c>
      <c r="J1053">
        <f t="shared" si="1067"/>
        <v>0</v>
      </c>
      <c r="K1053">
        <f>ROUND(INDEX(Economic!AF:AF,MATCH(EOMONTH($A1053,-1),Economic!A:A,0)),2)</f>
        <v>129.47</v>
      </c>
      <c r="L1053" s="11">
        <f t="shared" si="1076"/>
        <v>2</v>
      </c>
      <c r="M1053">
        <f>ROUND(INDEX(Manufacturing!P:P,MATCH(EOMONTH($A1053,-1),Manufacturing!A:A,0)),2)</f>
        <v>100.25</v>
      </c>
      <c r="N1053">
        <f t="shared" si="1072"/>
        <v>2</v>
      </c>
      <c r="O1053">
        <f>ROUND(INDEX(Housing!AC:AC,MATCH(EOMONTH($A1053,-1),Housing!B:B,0)),2)</f>
        <v>137.69</v>
      </c>
      <c r="P1053">
        <f t="shared" si="1073"/>
        <v>2</v>
      </c>
      <c r="Q1053">
        <f>ROUND(INDEX(Spending!AJ:AJ,MATCH(EOMONTH($A1053,-1),Spending!B:B,0)),2)</f>
        <v>57.89</v>
      </c>
      <c r="R1053">
        <f t="shared" si="1077"/>
        <v>1</v>
      </c>
      <c r="S1053">
        <f>ROUND(INDEX(Employment!V:V,MATCH(EOMONTH($A1053,-1),Employment!A:A,0)),2)</f>
        <v>187.38</v>
      </c>
      <c r="T1053" s="11">
        <f t="shared" si="1074"/>
        <v>2</v>
      </c>
      <c r="U1053">
        <f t="shared" si="1066"/>
        <v>25</v>
      </c>
      <c r="V1053">
        <f t="shared" si="1058"/>
        <v>81.209999999999994</v>
      </c>
      <c r="W1053" s="13">
        <f t="shared" si="1059"/>
        <v>-6.7000000000000002E-3</v>
      </c>
      <c r="X1053" s="13">
        <f t="shared" si="1060"/>
        <v>-2.1999999999999999E-2</v>
      </c>
      <c r="Y1053">
        <f t="shared" si="1052"/>
        <v>70.37</v>
      </c>
      <c r="Z1053" s="13">
        <f t="shared" si="1047"/>
        <v>-1.12E-2</v>
      </c>
      <c r="AA1053" s="13">
        <f t="shared" si="1043"/>
        <v>-3.32E-2</v>
      </c>
      <c r="AB1053" s="6">
        <f t="shared" si="1053"/>
        <v>65.220999999999989</v>
      </c>
      <c r="AC1053">
        <f t="shared" si="1045"/>
        <v>33</v>
      </c>
      <c r="AD1053" s="11">
        <f t="shared" si="1046"/>
        <v>0</v>
      </c>
      <c r="AE1053">
        <f t="shared" si="1044"/>
        <v>27</v>
      </c>
      <c r="AF1053">
        <f>IF(AND(AE1053&lt;15,OR(AC1053&gt;=30,AA1053&gt;0.15,X1053&gt;=0.15)),2,VLOOKUP(AE1053,Table!P:Q,2,FALSE))</f>
        <v>4</v>
      </c>
      <c r="AG1053" s="22">
        <f>IF((AB1053*0.98)-(D1053*0.8)+((AF1053-3)*3)+VLOOKUP(AM1053,Table!$A$11:$B$13,2,FALSE)&lt;0,0,(AB1053*0.98)-(D1053*0.8)+((AF1053-3)*3)+VLOOKUP(AM1053,Table!$A$11:$B$13,2,FALSE))</f>
        <v>57.380579999999988</v>
      </c>
      <c r="AH1053" s="22">
        <f t="shared" si="1075"/>
        <v>60</v>
      </c>
      <c r="AI1053" s="18">
        <f t="shared" si="1068"/>
        <v>4.9800000000000004</v>
      </c>
      <c r="AJ1053" s="18">
        <f t="shared" si="1069"/>
        <v>5.04</v>
      </c>
      <c r="AK1053" t="str">
        <f t="shared" si="1054"/>
        <v/>
      </c>
      <c r="AL1053">
        <f t="shared" si="1065"/>
        <v>27.25</v>
      </c>
      <c r="AM1053" s="11" t="str">
        <f t="shared" si="1055"/>
        <v>Stocks</v>
      </c>
      <c r="AN1053" t="str">
        <f t="shared" si="1061"/>
        <v>Buy</v>
      </c>
      <c r="AO1053" s="13">
        <f t="shared" si="1062"/>
        <v>1.17E-2</v>
      </c>
      <c r="AP1053" s="13">
        <f t="shared" si="1063"/>
        <v>8.9999999999999998E-4</v>
      </c>
      <c r="AQ1053" s="13">
        <f t="shared" si="1064"/>
        <v>7.4000000000000003E-3</v>
      </c>
      <c r="AR1053" s="13">
        <f t="shared" si="1056"/>
        <v>1.17E-2</v>
      </c>
      <c r="AS1053" s="6">
        <f t="shared" si="1048"/>
        <v>282.04541525307042</v>
      </c>
      <c r="AT1053" s="6">
        <f t="shared" si="1049"/>
        <v>132.3756236315979</v>
      </c>
      <c r="AU1053" s="6">
        <f t="shared" si="1050"/>
        <v>258.14589376472145</v>
      </c>
      <c r="AV1053" s="6">
        <f t="shared" si="1051"/>
        <v>282.04541525307042</v>
      </c>
      <c r="AW1053" s="58">
        <f t="shared" si="1057"/>
        <v>1998</v>
      </c>
      <c r="AX1053" s="58">
        <f>COUNTIF(AW$3:AW1053,AW1053)</f>
        <v>27</v>
      </c>
    </row>
    <row r="1054" spans="1:50" x14ac:dyDescent="0.25">
      <c r="A1054" s="5">
        <v>35967</v>
      </c>
      <c r="B1054">
        <v>1100.6500000000001</v>
      </c>
      <c r="C1054">
        <v>5.04</v>
      </c>
      <c r="D1054" s="6">
        <v>22.780000999999999</v>
      </c>
      <c r="E1054" s="18">
        <f t="shared" si="1070"/>
        <v>21.29</v>
      </c>
      <c r="F1054">
        <f t="shared" si="1071"/>
        <v>-1</v>
      </c>
      <c r="G1054" s="18">
        <f>ROUND(INDEX(Valuation!U:U,MATCH(A1054,Valuation!A:A,0)),2)</f>
        <v>22.83</v>
      </c>
      <c r="H1054">
        <f t="shared" si="1078"/>
        <v>-3</v>
      </c>
      <c r="I1054" s="18">
        <f>INDEX(WeeklyIndicators!Y:Y,MATCH(A1054,WeeklyIndicators!A:A,0))</f>
        <v>127.8</v>
      </c>
      <c r="J1054">
        <f t="shared" si="1067"/>
        <v>0</v>
      </c>
      <c r="K1054">
        <f>ROUND(INDEX(Economic!AF:AF,MATCH(EOMONTH($A1054,-1),Economic!A:A,0)),2)</f>
        <v>129.47</v>
      </c>
      <c r="L1054" s="11">
        <f t="shared" si="1076"/>
        <v>2</v>
      </c>
      <c r="M1054">
        <f>ROUND(INDEX(Manufacturing!P:P,MATCH(EOMONTH($A1054,-1),Manufacturing!A:A,0)),2)</f>
        <v>100.25</v>
      </c>
      <c r="N1054">
        <f t="shared" si="1072"/>
        <v>2</v>
      </c>
      <c r="O1054">
        <f>ROUND(INDEX(Housing!AC:AC,MATCH(EOMONTH($A1054,-1),Housing!B:B,0)),2)</f>
        <v>137.69</v>
      </c>
      <c r="P1054">
        <f t="shared" si="1073"/>
        <v>2</v>
      </c>
      <c r="Q1054">
        <f>ROUND(INDEX(Spending!AJ:AJ,MATCH(EOMONTH($A1054,-1),Spending!B:B,0)),2)</f>
        <v>57.89</v>
      </c>
      <c r="R1054">
        <f t="shared" si="1077"/>
        <v>1</v>
      </c>
      <c r="S1054">
        <f>ROUND(INDEX(Employment!V:V,MATCH(EOMONTH($A1054,-1),Employment!A:A,0)),2)</f>
        <v>187.38</v>
      </c>
      <c r="T1054" s="11">
        <f t="shared" si="1074"/>
        <v>2</v>
      </c>
      <c r="U1054">
        <f t="shared" si="1066"/>
        <v>25</v>
      </c>
      <c r="V1054">
        <f t="shared" si="1058"/>
        <v>81.39</v>
      </c>
      <c r="W1054" s="13">
        <f t="shared" si="1059"/>
        <v>-8.8999999999999999E-3</v>
      </c>
      <c r="X1054" s="13">
        <f t="shared" si="1060"/>
        <v>-1.29E-2</v>
      </c>
      <c r="Y1054">
        <f t="shared" si="1052"/>
        <v>70.84</v>
      </c>
      <c r="Z1054" s="13">
        <f t="shared" si="1047"/>
        <v>-1.34E-2</v>
      </c>
      <c r="AA1054" s="13">
        <f t="shared" si="1043"/>
        <v>-2.0600000000000004E-2</v>
      </c>
      <c r="AB1054" s="6">
        <f t="shared" si="1053"/>
        <v>66.823000000000008</v>
      </c>
      <c r="AC1054">
        <f t="shared" si="1045"/>
        <v>33</v>
      </c>
      <c r="AD1054" s="11">
        <f t="shared" si="1046"/>
        <v>0</v>
      </c>
      <c r="AE1054">
        <f t="shared" si="1044"/>
        <v>27</v>
      </c>
      <c r="AF1054">
        <f>IF(AND(AE1054&lt;15,OR(AC1054&gt;=30,AA1054&gt;0.15,X1054&gt;=0.15)),2,VLOOKUP(AE1054,Table!P:Q,2,FALSE))</f>
        <v>4</v>
      </c>
      <c r="AG1054" s="22">
        <f>IF((AB1054*0.98)-(D1054*0.8)+((AF1054-3)*3)+VLOOKUP(AM1054,Table!$A$11:$B$13,2,FALSE)&lt;0,0,(AB1054*0.98)-(D1054*0.8)+((AF1054-3)*3)+VLOOKUP(AM1054,Table!$A$11:$B$13,2,FALSE))</f>
        <v>58.262539200000006</v>
      </c>
      <c r="AH1054" s="22">
        <f t="shared" si="1075"/>
        <v>61</v>
      </c>
      <c r="AI1054" s="18">
        <f t="shared" si="1068"/>
        <v>4.99</v>
      </c>
      <c r="AJ1054" s="18">
        <f t="shared" si="1069"/>
        <v>5.04</v>
      </c>
      <c r="AK1054" t="str">
        <f t="shared" si="1054"/>
        <v/>
      </c>
      <c r="AL1054">
        <f t="shared" si="1065"/>
        <v>27.75</v>
      </c>
      <c r="AM1054" s="11" t="str">
        <f t="shared" si="1055"/>
        <v>Stocks</v>
      </c>
      <c r="AN1054" t="str">
        <f t="shared" si="1061"/>
        <v>Buy</v>
      </c>
      <c r="AO1054" s="13">
        <f t="shared" si="1062"/>
        <v>2.9600000000000001E-2</v>
      </c>
      <c r="AP1054" s="13">
        <f t="shared" si="1063"/>
        <v>1E-3</v>
      </c>
      <c r="AQ1054" s="13">
        <f t="shared" si="1064"/>
        <v>1.84E-2</v>
      </c>
      <c r="AR1054" s="13">
        <f t="shared" si="1056"/>
        <v>2.9600000000000001E-2</v>
      </c>
      <c r="AS1054" s="6">
        <f t="shared" si="1048"/>
        <v>273.9368835014281</v>
      </c>
      <c r="AT1054" s="6">
        <f t="shared" si="1049"/>
        <v>132.24338025134657</v>
      </c>
      <c r="AU1054" s="6">
        <f t="shared" si="1050"/>
        <v>253.48182812718133</v>
      </c>
      <c r="AV1054" s="6">
        <f t="shared" si="1051"/>
        <v>273.9368835014281</v>
      </c>
      <c r="AW1054" s="58">
        <f t="shared" si="1057"/>
        <v>1998</v>
      </c>
      <c r="AX1054" s="58">
        <f>COUNTIF(AW$3:AW1054,AW1054)</f>
        <v>28</v>
      </c>
    </row>
    <row r="1055" spans="1:50" x14ac:dyDescent="0.25">
      <c r="A1055" s="5">
        <v>35960</v>
      </c>
      <c r="B1055">
        <v>1098.8399999999999</v>
      </c>
      <c r="C1055">
        <v>5</v>
      </c>
      <c r="D1055" s="6">
        <v>19.780000999999999</v>
      </c>
      <c r="E1055" s="18">
        <f t="shared" si="1070"/>
        <v>20.03</v>
      </c>
      <c r="F1055">
        <f t="shared" si="1071"/>
        <v>-1</v>
      </c>
      <c r="G1055" s="18">
        <f>ROUND(INDEX(Valuation!U:U,MATCH(A1055,Valuation!A:A,0)),2)</f>
        <v>23.82</v>
      </c>
      <c r="H1055">
        <f t="shared" si="1078"/>
        <v>-3</v>
      </c>
      <c r="I1055" s="18">
        <f>INDEX(WeeklyIndicators!Y:Y,MATCH(A1055,WeeklyIndicators!A:A,0))</f>
        <v>134.16</v>
      </c>
      <c r="J1055">
        <f t="shared" si="1067"/>
        <v>0</v>
      </c>
      <c r="K1055">
        <f>ROUND(INDEX(Economic!AF:AF,MATCH(EOMONTH($A1055,-1),Economic!A:A,0)),2)</f>
        <v>129.47</v>
      </c>
      <c r="L1055" s="11">
        <f t="shared" si="1076"/>
        <v>2</v>
      </c>
      <c r="M1055">
        <f>ROUND(INDEX(Manufacturing!P:P,MATCH(EOMONTH($A1055,-1),Manufacturing!A:A,0)),2)</f>
        <v>100.25</v>
      </c>
      <c r="N1055">
        <f t="shared" si="1072"/>
        <v>2</v>
      </c>
      <c r="O1055">
        <f>ROUND(INDEX(Housing!AC:AC,MATCH(EOMONTH($A1055,-1),Housing!B:B,0)),2)</f>
        <v>137.69</v>
      </c>
      <c r="P1055">
        <f t="shared" si="1073"/>
        <v>2</v>
      </c>
      <c r="Q1055">
        <f>ROUND(INDEX(Spending!AJ:AJ,MATCH(EOMONTH($A1055,-1),Spending!B:B,0)),2)</f>
        <v>57.89</v>
      </c>
      <c r="R1055">
        <f t="shared" si="1077"/>
        <v>1</v>
      </c>
      <c r="S1055">
        <f>ROUND(INDEX(Employment!V:V,MATCH(EOMONTH($A1055,-1),Employment!A:A,0)),2)</f>
        <v>187.38</v>
      </c>
      <c r="T1055" s="11">
        <f t="shared" si="1074"/>
        <v>2</v>
      </c>
      <c r="U1055">
        <f t="shared" si="1066"/>
        <v>25</v>
      </c>
      <c r="V1055">
        <f t="shared" si="1058"/>
        <v>82.05</v>
      </c>
      <c r="W1055" s="13">
        <f t="shared" si="1059"/>
        <v>-5.1999999999999998E-3</v>
      </c>
      <c r="X1055" s="13">
        <f t="shared" si="1060"/>
        <v>-2.1000000000000003E-3</v>
      </c>
      <c r="Y1055">
        <f t="shared" si="1052"/>
        <v>72.05</v>
      </c>
      <c r="Z1055" s="13">
        <f t="shared" si="1047"/>
        <v>-6.4999999999999997E-3</v>
      </c>
      <c r="AA1055" s="13">
        <f t="shared" si="1043"/>
        <v>-7.1999999999999998E-3</v>
      </c>
      <c r="AB1055" s="6">
        <f t="shared" si="1053"/>
        <v>69.162000000000006</v>
      </c>
      <c r="AC1055">
        <f t="shared" si="1045"/>
        <v>35</v>
      </c>
      <c r="AD1055" s="11">
        <f t="shared" si="1046"/>
        <v>0</v>
      </c>
      <c r="AE1055">
        <f t="shared" si="1044"/>
        <v>27</v>
      </c>
      <c r="AF1055">
        <f>IF(AND(AE1055&lt;15,OR(AC1055&gt;=30,AA1055&gt;0.15,X1055&gt;=0.15)),2,VLOOKUP(AE1055,Table!P:Q,2,FALSE))</f>
        <v>4</v>
      </c>
      <c r="AG1055" s="22">
        <f>IF((AB1055*0.98)-(D1055*0.8)+((AF1055-3)*3)+VLOOKUP(AM1055,Table!$A$11:$B$13,2,FALSE)&lt;0,0,(AB1055*0.98)-(D1055*0.8)+((AF1055-3)*3)+VLOOKUP(AM1055,Table!$A$11:$B$13,2,FALSE))</f>
        <v>62.954759200000005</v>
      </c>
      <c r="AH1055" s="22">
        <f t="shared" si="1075"/>
        <v>64</v>
      </c>
      <c r="AI1055" s="18">
        <f t="shared" si="1068"/>
        <v>4.9800000000000004</v>
      </c>
      <c r="AJ1055" s="18">
        <f t="shared" si="1069"/>
        <v>5.04</v>
      </c>
      <c r="AK1055" t="str">
        <f t="shared" si="1054"/>
        <v/>
      </c>
      <c r="AL1055">
        <f t="shared" si="1065"/>
        <v>28.25</v>
      </c>
      <c r="AM1055" s="11" t="str">
        <f t="shared" si="1055"/>
        <v>Stocks</v>
      </c>
      <c r="AN1055" t="str">
        <f t="shared" si="1061"/>
        <v>Buy</v>
      </c>
      <c r="AO1055" s="13">
        <f t="shared" si="1062"/>
        <v>1.6000000000000001E-3</v>
      </c>
      <c r="AP1055" s="13">
        <f t="shared" si="1063"/>
        <v>1E-3</v>
      </c>
      <c r="AQ1055" s="13">
        <f t="shared" si="1064"/>
        <v>1.4E-3</v>
      </c>
      <c r="AR1055" s="13">
        <f t="shared" si="1056"/>
        <v>1.6000000000000001E-3</v>
      </c>
      <c r="AS1055" s="6">
        <f t="shared" si="1048"/>
        <v>273.49928464599452</v>
      </c>
      <c r="AT1055" s="6">
        <f t="shared" si="1049"/>
        <v>132.11126898236421</v>
      </c>
      <c r="AU1055" s="6">
        <f t="shared" si="1050"/>
        <v>253.12744969760467</v>
      </c>
      <c r="AV1055" s="6">
        <f t="shared" si="1051"/>
        <v>273.49928464599452</v>
      </c>
      <c r="AW1055" s="58">
        <f t="shared" si="1057"/>
        <v>1998</v>
      </c>
      <c r="AX1055" s="58">
        <f>COUNTIF(AW$3:AW1055,AW1055)</f>
        <v>29</v>
      </c>
    </row>
    <row r="1056" spans="1:50" x14ac:dyDescent="0.25">
      <c r="A1056" s="5">
        <v>35953</v>
      </c>
      <c r="B1056">
        <v>1113.8599999999999</v>
      </c>
      <c r="C1056">
        <v>4.95</v>
      </c>
      <c r="D1056" s="6">
        <v>21.32</v>
      </c>
      <c r="E1056" s="18">
        <f t="shared" si="1070"/>
        <v>20.25</v>
      </c>
      <c r="F1056">
        <f t="shared" si="1071"/>
        <v>-1</v>
      </c>
      <c r="G1056" s="18">
        <f>ROUND(INDEX(Valuation!U:U,MATCH(A1056,Valuation!A:A,0)),2)</f>
        <v>23.68</v>
      </c>
      <c r="H1056">
        <f t="shared" si="1078"/>
        <v>-3</v>
      </c>
      <c r="I1056" s="18">
        <f>INDEX(WeeklyIndicators!Y:Y,MATCH(A1056,WeeklyIndicators!A:A,0))</f>
        <v>142.06</v>
      </c>
      <c r="J1056">
        <f t="shared" si="1067"/>
        <v>1</v>
      </c>
      <c r="K1056">
        <f>ROUND(INDEX(Economic!AF:AF,MATCH(EOMONTH($A1056,-1),Economic!A:A,0)),2)</f>
        <v>129.47</v>
      </c>
      <c r="L1056" s="11">
        <f t="shared" si="1076"/>
        <v>2</v>
      </c>
      <c r="M1056">
        <f>ROUND(INDEX(Manufacturing!P:P,MATCH(EOMONTH($A1056,-1),Manufacturing!A:A,0)),2)</f>
        <v>100.25</v>
      </c>
      <c r="N1056">
        <f t="shared" si="1072"/>
        <v>2</v>
      </c>
      <c r="O1056">
        <f>ROUND(INDEX(Housing!AC:AC,MATCH(EOMONTH($A1056,-1),Housing!B:B,0)),2)</f>
        <v>137.69</v>
      </c>
      <c r="P1056">
        <f t="shared" si="1073"/>
        <v>2</v>
      </c>
      <c r="Q1056">
        <f>ROUND(INDEX(Spending!AJ:AJ,MATCH(EOMONTH($A1056,-1),Spending!B:B,0)),2)</f>
        <v>57.89</v>
      </c>
      <c r="R1056">
        <f t="shared" si="1077"/>
        <v>1</v>
      </c>
      <c r="S1056">
        <f>ROUND(INDEX(Employment!V:V,MATCH(EOMONTH($A1056,-1),Employment!A:A,0)),2)</f>
        <v>187.38</v>
      </c>
      <c r="T1056" s="11">
        <f t="shared" si="1074"/>
        <v>2</v>
      </c>
      <c r="U1056">
        <f t="shared" si="1066"/>
        <v>26</v>
      </c>
      <c r="V1056">
        <f t="shared" si="1058"/>
        <v>82.87</v>
      </c>
      <c r="W1056" s="13">
        <f t="shared" si="1059"/>
        <v>-1.1999999999999999E-3</v>
      </c>
      <c r="X1056" s="13">
        <f t="shared" si="1060"/>
        <v>5.1000000000000004E-3</v>
      </c>
      <c r="Y1056">
        <f t="shared" si="1052"/>
        <v>72.78</v>
      </c>
      <c r="Z1056" s="13">
        <f t="shared" si="1047"/>
        <v>-2.0999999999999999E-3</v>
      </c>
      <c r="AA1056" s="13">
        <f t="shared" si="1043"/>
        <v>-4.0999999999999995E-3</v>
      </c>
      <c r="AB1056" s="6">
        <f t="shared" si="1053"/>
        <v>70.187999999999988</v>
      </c>
      <c r="AC1056">
        <f t="shared" si="1045"/>
        <v>35</v>
      </c>
      <c r="AD1056" s="11">
        <f t="shared" si="1046"/>
        <v>0</v>
      </c>
      <c r="AE1056">
        <f t="shared" si="1044"/>
        <v>28</v>
      </c>
      <c r="AF1056">
        <f>IF(AND(AE1056&lt;15,OR(AC1056&gt;=30,AA1056&gt;0.15,X1056&gt;=0.15)),2,VLOOKUP(AE1056,Table!P:Q,2,FALSE))</f>
        <v>4</v>
      </c>
      <c r="AG1056" s="22">
        <f>IF((AB1056*0.98)-(D1056*0.8)+((AF1056-3)*3)+VLOOKUP(AM1056,Table!$A$11:$B$13,2,FALSE)&lt;0,0,(AB1056*0.98)-(D1056*0.8)+((AF1056-3)*3)+VLOOKUP(AM1056,Table!$A$11:$B$13,2,FALSE))</f>
        <v>62.728239999999985</v>
      </c>
      <c r="AH1056" s="22">
        <f t="shared" si="1075"/>
        <v>64</v>
      </c>
      <c r="AI1056" s="18">
        <f t="shared" si="1068"/>
        <v>4.9800000000000004</v>
      </c>
      <c r="AJ1056" s="18">
        <f t="shared" si="1069"/>
        <v>5.04</v>
      </c>
      <c r="AK1056" t="str">
        <f t="shared" si="1054"/>
        <v/>
      </c>
      <c r="AL1056">
        <f t="shared" si="1065"/>
        <v>28.75</v>
      </c>
      <c r="AM1056" s="11" t="str">
        <f t="shared" si="1055"/>
        <v>Stocks</v>
      </c>
      <c r="AN1056" t="str">
        <f t="shared" si="1061"/>
        <v>Buy</v>
      </c>
      <c r="AO1056" s="13">
        <f t="shared" si="1062"/>
        <v>-1.35E-2</v>
      </c>
      <c r="AP1056" s="13">
        <f t="shared" si="1063"/>
        <v>1E-3</v>
      </c>
      <c r="AQ1056" s="13">
        <f t="shared" si="1064"/>
        <v>-8.3000000000000001E-3</v>
      </c>
      <c r="AR1056" s="13">
        <f t="shared" si="1056"/>
        <v>-1.35E-2</v>
      </c>
      <c r="AS1056" s="6">
        <f t="shared" si="1048"/>
        <v>277.24205235275673</v>
      </c>
      <c r="AT1056" s="6">
        <f t="shared" si="1049"/>
        <v>131.97928969267156</v>
      </c>
      <c r="AU1056" s="6">
        <f t="shared" si="1050"/>
        <v>255.24599142644416</v>
      </c>
      <c r="AV1056" s="6">
        <f t="shared" si="1051"/>
        <v>277.24205235275673</v>
      </c>
      <c r="AW1056" s="58">
        <f t="shared" si="1057"/>
        <v>1998</v>
      </c>
      <c r="AX1056" s="58">
        <f>COUNTIF(AW$3:AW1056,AW1056)</f>
        <v>30</v>
      </c>
    </row>
    <row r="1057" spans="1:50" x14ac:dyDescent="0.25">
      <c r="A1057" s="5">
        <v>35946</v>
      </c>
      <c r="B1057">
        <v>1090.82</v>
      </c>
      <c r="C1057">
        <v>4.95</v>
      </c>
      <c r="D1057" s="6">
        <v>18.989999999999998</v>
      </c>
      <c r="E1057" s="18">
        <f t="shared" si="1070"/>
        <v>20</v>
      </c>
      <c r="F1057">
        <f t="shared" si="1071"/>
        <v>-1</v>
      </c>
      <c r="G1057" s="18">
        <f>ROUND(INDEX(Valuation!U:U,MATCH(A1057,Valuation!A:A,0)),2)</f>
        <v>25.2</v>
      </c>
      <c r="H1057">
        <f t="shared" si="1078"/>
        <v>-2</v>
      </c>
      <c r="I1057" s="18">
        <f>INDEX(WeeklyIndicators!Y:Y,MATCH(A1057,WeeklyIndicators!A:A,0))</f>
        <v>145.46</v>
      </c>
      <c r="J1057">
        <f t="shared" si="1067"/>
        <v>1</v>
      </c>
      <c r="K1057">
        <f>ROUND(INDEX(Economic!AF:AF,MATCH(EOMONTH($A1057,-1),Economic!A:A,0)),2)</f>
        <v>132.49</v>
      </c>
      <c r="L1057" s="11">
        <f t="shared" si="1076"/>
        <v>2</v>
      </c>
      <c r="M1057">
        <f>ROUND(INDEX(Manufacturing!P:P,MATCH(EOMONTH($A1057,-1),Manufacturing!A:A,0)),2)</f>
        <v>105.14</v>
      </c>
      <c r="N1057">
        <f t="shared" si="1072"/>
        <v>2</v>
      </c>
      <c r="O1057">
        <f>ROUND(INDEX(Housing!AC:AC,MATCH(EOMONTH($A1057,-1),Housing!B:B,0)),2)</f>
        <v>136.54</v>
      </c>
      <c r="P1057">
        <f t="shared" si="1073"/>
        <v>2</v>
      </c>
      <c r="Q1057">
        <f>ROUND(INDEX(Spending!AJ:AJ,MATCH(EOMONTH($A1057,-1),Spending!B:B,0)),2)</f>
        <v>58.01</v>
      </c>
      <c r="R1057">
        <f t="shared" si="1077"/>
        <v>1</v>
      </c>
      <c r="S1057">
        <f>ROUND(INDEX(Employment!V:V,MATCH(EOMONTH($A1057,-1),Employment!A:A,0)),2)</f>
        <v>179.67</v>
      </c>
      <c r="T1057" s="11">
        <f t="shared" si="1074"/>
        <v>2</v>
      </c>
      <c r="U1057">
        <f t="shared" si="1066"/>
        <v>27</v>
      </c>
      <c r="V1057">
        <f t="shared" si="1058"/>
        <v>83.61</v>
      </c>
      <c r="W1057" s="13">
        <f t="shared" si="1059"/>
        <v>2.3999999999999998E-3</v>
      </c>
      <c r="X1057" s="13">
        <f t="shared" si="1060"/>
        <v>9.6000000000000009E-3</v>
      </c>
      <c r="Y1057">
        <f t="shared" si="1052"/>
        <v>73.78</v>
      </c>
      <c r="Z1057" s="13">
        <f t="shared" si="1047"/>
        <v>1.4E-3</v>
      </c>
      <c r="AA1057" s="13">
        <f t="shared" si="1043"/>
        <v>-2.5000000000000001E-3</v>
      </c>
      <c r="AB1057" s="6">
        <f t="shared" si="1053"/>
        <v>71.52</v>
      </c>
      <c r="AC1057">
        <f t="shared" si="1045"/>
        <v>36</v>
      </c>
      <c r="AD1057" s="11">
        <f t="shared" si="1046"/>
        <v>0</v>
      </c>
      <c r="AE1057">
        <f t="shared" si="1044"/>
        <v>29</v>
      </c>
      <c r="AF1057">
        <f>IF(AND(AE1057&lt;15,OR(AC1057&gt;=30,AA1057&gt;0.15,X1057&gt;=0.15)),2,VLOOKUP(AE1057,Table!P:Q,2,FALSE))</f>
        <v>4</v>
      </c>
      <c r="AG1057" s="22">
        <f>IF((AB1057*0.98)-(D1057*0.8)+((AF1057-3)*3)+VLOOKUP(AM1057,Table!$A$11:$B$13,2,FALSE)&lt;0,0,(AB1057*0.98)-(D1057*0.8)+((AF1057-3)*3)+VLOOKUP(AM1057,Table!$A$11:$B$13,2,FALSE))</f>
        <v>65.897599999999983</v>
      </c>
      <c r="AH1057" s="22">
        <f t="shared" si="1075"/>
        <v>65</v>
      </c>
      <c r="AI1057" s="18">
        <f t="shared" si="1068"/>
        <v>4.99</v>
      </c>
      <c r="AJ1057" s="18">
        <f t="shared" si="1069"/>
        <v>5.04</v>
      </c>
      <c r="AK1057" t="str">
        <f t="shared" si="1054"/>
        <v/>
      </c>
      <c r="AL1057">
        <f t="shared" si="1065"/>
        <v>29</v>
      </c>
      <c r="AM1057" s="11" t="str">
        <f t="shared" si="1055"/>
        <v>Stocks</v>
      </c>
      <c r="AN1057" t="str">
        <f t="shared" si="1061"/>
        <v>Buy</v>
      </c>
      <c r="AO1057" s="13">
        <f t="shared" si="1062"/>
        <v>2.1100000000000001E-2</v>
      </c>
      <c r="AP1057" s="13">
        <f t="shared" si="1063"/>
        <v>1E-3</v>
      </c>
      <c r="AQ1057" s="13">
        <f t="shared" si="1064"/>
        <v>1.41E-2</v>
      </c>
      <c r="AR1057" s="13">
        <f t="shared" si="1056"/>
        <v>2.1100000000000001E-2</v>
      </c>
      <c r="AS1057" s="6">
        <f t="shared" si="1048"/>
        <v>271.5131254066759</v>
      </c>
      <c r="AT1057" s="6">
        <f t="shared" si="1049"/>
        <v>131.84744225042115</v>
      </c>
      <c r="AU1057" s="6">
        <f t="shared" si="1050"/>
        <v>251.69706284039461</v>
      </c>
      <c r="AV1057" s="6">
        <f t="shared" si="1051"/>
        <v>271.5131254066759</v>
      </c>
      <c r="AW1057" s="58">
        <f t="shared" si="1057"/>
        <v>1998</v>
      </c>
      <c r="AX1057" s="58">
        <f>COUNTIF(AW$3:AW1057,AW1057)</f>
        <v>31</v>
      </c>
    </row>
    <row r="1058" spans="1:50" x14ac:dyDescent="0.25">
      <c r="A1058" s="5">
        <v>35939</v>
      </c>
      <c r="B1058">
        <v>1110.47</v>
      </c>
      <c r="C1058">
        <v>5.08</v>
      </c>
      <c r="D1058" s="6">
        <v>20.440000999999999</v>
      </c>
      <c r="E1058" s="18">
        <f t="shared" si="1070"/>
        <v>20.12</v>
      </c>
      <c r="F1058">
        <f t="shared" si="1071"/>
        <v>-1</v>
      </c>
      <c r="G1058" s="18">
        <f>ROUND(INDEX(Valuation!U:U,MATCH(A1058,Valuation!A:A,0)),2)</f>
        <v>25.45</v>
      </c>
      <c r="H1058">
        <f t="shared" si="1078"/>
        <v>-2</v>
      </c>
      <c r="I1058" s="18">
        <f>INDEX(WeeklyIndicators!Y:Y,MATCH(A1058,WeeklyIndicators!A:A,0))</f>
        <v>142.79</v>
      </c>
      <c r="J1058">
        <f t="shared" si="1067"/>
        <v>1</v>
      </c>
      <c r="K1058">
        <f>ROUND(INDEX(Economic!AF:AF,MATCH(EOMONTH($A1058,-1),Economic!A:A,0)),2)</f>
        <v>132.49</v>
      </c>
      <c r="L1058" s="11">
        <f t="shared" si="1076"/>
        <v>2</v>
      </c>
      <c r="M1058">
        <f>ROUND(INDEX(Manufacturing!P:P,MATCH(EOMONTH($A1058,-1),Manufacturing!A:A,0)),2)</f>
        <v>105.14</v>
      </c>
      <c r="N1058">
        <f t="shared" si="1072"/>
        <v>2</v>
      </c>
      <c r="O1058">
        <f>ROUND(INDEX(Housing!AC:AC,MATCH(EOMONTH($A1058,-1),Housing!B:B,0)),2)</f>
        <v>136.54</v>
      </c>
      <c r="P1058">
        <f t="shared" si="1073"/>
        <v>2</v>
      </c>
      <c r="Q1058">
        <f>ROUND(INDEX(Spending!AJ:AJ,MATCH(EOMONTH($A1058,-1),Spending!B:B,0)),2)</f>
        <v>58.01</v>
      </c>
      <c r="R1058">
        <f t="shared" si="1077"/>
        <v>1</v>
      </c>
      <c r="S1058">
        <f>ROUND(INDEX(Employment!V:V,MATCH(EOMONTH($A1058,-1),Employment!A:A,0)),2)</f>
        <v>179.67</v>
      </c>
      <c r="T1058" s="11">
        <f t="shared" si="1074"/>
        <v>2</v>
      </c>
      <c r="U1058">
        <f t="shared" si="1066"/>
        <v>27</v>
      </c>
      <c r="V1058">
        <f t="shared" si="1058"/>
        <v>83.34</v>
      </c>
      <c r="W1058" s="13">
        <f t="shared" si="1059"/>
        <v>1.9E-3</v>
      </c>
      <c r="X1058" s="13">
        <f t="shared" si="1060"/>
        <v>1.0699999999999999E-2</v>
      </c>
      <c r="Y1058">
        <f t="shared" si="1052"/>
        <v>73.489999999999995</v>
      </c>
      <c r="Z1058" s="13">
        <f t="shared" si="1047"/>
        <v>0</v>
      </c>
      <c r="AA1058" s="13">
        <f t="shared" si="1043"/>
        <v>-7.6E-3</v>
      </c>
      <c r="AB1058" s="6">
        <f t="shared" si="1053"/>
        <v>70.915000000000006</v>
      </c>
      <c r="AC1058">
        <f t="shared" si="1045"/>
        <v>35</v>
      </c>
      <c r="AD1058" s="11">
        <f t="shared" si="1046"/>
        <v>0</v>
      </c>
      <c r="AE1058">
        <f t="shared" si="1044"/>
        <v>29</v>
      </c>
      <c r="AF1058">
        <f>IF(AND(AE1058&lt;15,OR(AC1058&gt;=30,AA1058&gt;0.15,X1058&gt;=0.15)),2,VLOOKUP(AE1058,Table!P:Q,2,FALSE))</f>
        <v>4</v>
      </c>
      <c r="AG1058" s="22">
        <f>IF((AB1058*0.98)-(D1058*0.8)+((AF1058-3)*3)+VLOOKUP(AM1058,Table!$A$11:$B$13,2,FALSE)&lt;0,0,(AB1058*0.98)-(D1058*0.8)+((AF1058-3)*3)+VLOOKUP(AM1058,Table!$A$11:$B$13,2,FALSE))</f>
        <v>64.144699200000005</v>
      </c>
      <c r="AH1058" s="22">
        <f t="shared" si="1075"/>
        <v>64</v>
      </c>
      <c r="AI1058" s="18">
        <f t="shared" si="1068"/>
        <v>5.01</v>
      </c>
      <c r="AJ1058" s="18">
        <f t="shared" si="1069"/>
        <v>5.04</v>
      </c>
      <c r="AK1058" t="str">
        <f t="shared" si="1054"/>
        <v/>
      </c>
      <c r="AL1058">
        <f t="shared" si="1065"/>
        <v>29</v>
      </c>
      <c r="AM1058" s="11" t="str">
        <f t="shared" si="1055"/>
        <v>Stocks</v>
      </c>
      <c r="AN1058" t="str">
        <f t="shared" si="1061"/>
        <v>Buy</v>
      </c>
      <c r="AO1058" s="13">
        <f t="shared" si="1062"/>
        <v>-1.77E-2</v>
      </c>
      <c r="AP1058" s="13">
        <f t="shared" si="1063"/>
        <v>1E-3</v>
      </c>
      <c r="AQ1058" s="13">
        <f t="shared" si="1064"/>
        <v>-1.0999999999999999E-2</v>
      </c>
      <c r="AR1058" s="13">
        <f t="shared" si="1056"/>
        <v>-1.77E-2</v>
      </c>
      <c r="AS1058" s="6">
        <f t="shared" si="1048"/>
        <v>276.4055028063483</v>
      </c>
      <c r="AT1058" s="6">
        <f t="shared" si="1049"/>
        <v>131.71572652389727</v>
      </c>
      <c r="AU1058" s="6">
        <f t="shared" si="1050"/>
        <v>254.49652461111688</v>
      </c>
      <c r="AV1058" s="6">
        <f t="shared" si="1051"/>
        <v>276.4055028063483</v>
      </c>
      <c r="AW1058" s="58">
        <f t="shared" si="1057"/>
        <v>1998</v>
      </c>
      <c r="AX1058" s="58">
        <f>COUNTIF(AW$3:AW1058,AW1058)</f>
        <v>32</v>
      </c>
    </row>
    <row r="1059" spans="1:50" x14ac:dyDescent="0.25">
      <c r="A1059" s="5">
        <v>35932</v>
      </c>
      <c r="B1059">
        <v>1108.73</v>
      </c>
      <c r="C1059">
        <v>5.01</v>
      </c>
      <c r="D1059" s="6">
        <v>20.57</v>
      </c>
      <c r="E1059" s="18">
        <f t="shared" si="1070"/>
        <v>20.63</v>
      </c>
      <c r="F1059">
        <f t="shared" si="1071"/>
        <v>-1</v>
      </c>
      <c r="G1059" s="18">
        <f>ROUND(INDEX(Valuation!U:U,MATCH(A1059,Valuation!A:A,0)),2)</f>
        <v>26.45</v>
      </c>
      <c r="H1059">
        <f t="shared" si="1078"/>
        <v>-2</v>
      </c>
      <c r="I1059" s="18">
        <f>INDEX(WeeklyIndicators!Y:Y,MATCH(A1059,WeeklyIndicators!A:A,0))</f>
        <v>141.06</v>
      </c>
      <c r="J1059">
        <f t="shared" si="1067"/>
        <v>1</v>
      </c>
      <c r="K1059">
        <f>ROUND(INDEX(Economic!AF:AF,MATCH(EOMONTH($A1059,-1),Economic!A:A,0)),2)</f>
        <v>132.49</v>
      </c>
      <c r="L1059" s="11">
        <f t="shared" si="1076"/>
        <v>2</v>
      </c>
      <c r="M1059">
        <f>ROUND(INDEX(Manufacturing!P:P,MATCH(EOMONTH($A1059,-1),Manufacturing!A:A,0)),2)</f>
        <v>105.14</v>
      </c>
      <c r="N1059">
        <f t="shared" si="1072"/>
        <v>2</v>
      </c>
      <c r="O1059">
        <f>ROUND(INDEX(Housing!AC:AC,MATCH(EOMONTH($A1059,-1),Housing!B:B,0)),2)</f>
        <v>136.54</v>
      </c>
      <c r="P1059">
        <f t="shared" si="1073"/>
        <v>2</v>
      </c>
      <c r="Q1059">
        <f>ROUND(INDEX(Spending!AJ:AJ,MATCH(EOMONTH($A1059,-1),Spending!B:B,0)),2)</f>
        <v>58.01</v>
      </c>
      <c r="R1059">
        <f t="shared" si="1077"/>
        <v>1</v>
      </c>
      <c r="S1059">
        <f>ROUND(INDEX(Employment!V:V,MATCH(EOMONTH($A1059,-1),Employment!A:A,0)),2)</f>
        <v>179.67</v>
      </c>
      <c r="T1059" s="11">
        <f t="shared" si="1074"/>
        <v>2</v>
      </c>
      <c r="U1059">
        <f t="shared" si="1066"/>
        <v>27</v>
      </c>
      <c r="V1059">
        <f t="shared" si="1058"/>
        <v>83.16</v>
      </c>
      <c r="W1059" s="13">
        <f t="shared" si="1059"/>
        <v>2E-3</v>
      </c>
      <c r="X1059" s="13">
        <f t="shared" si="1060"/>
        <v>1.2400000000000001E-2</v>
      </c>
      <c r="Y1059">
        <f t="shared" si="1052"/>
        <v>73.239999999999995</v>
      </c>
      <c r="Z1059" s="13">
        <f t="shared" si="1047"/>
        <v>-3.3999999999999998E-3</v>
      </c>
      <c r="AA1059" s="13">
        <f t="shared" si="1043"/>
        <v>-1.15E-2</v>
      </c>
      <c r="AB1059" s="6">
        <f t="shared" si="1053"/>
        <v>70.515000000000001</v>
      </c>
      <c r="AC1059">
        <f t="shared" si="1045"/>
        <v>35</v>
      </c>
      <c r="AD1059" s="11">
        <f t="shared" si="1046"/>
        <v>0</v>
      </c>
      <c r="AE1059">
        <f t="shared" si="1044"/>
        <v>29</v>
      </c>
      <c r="AF1059">
        <f>IF(AND(AE1059&lt;15,OR(AC1059&gt;=30,AA1059&gt;0.15,X1059&gt;=0.15)),2,VLOOKUP(AE1059,Table!P:Q,2,FALSE))</f>
        <v>4</v>
      </c>
      <c r="AG1059" s="22">
        <f>IF((AB1059*0.98)-(D1059*0.8)+((AF1059-3)*3)+VLOOKUP(AM1059,Table!$A$11:$B$13,2,FALSE)&lt;0,0,(AB1059*0.98)-(D1059*0.8)+((AF1059-3)*3)+VLOOKUP(AM1059,Table!$A$11:$B$13,2,FALSE))</f>
        <v>63.648699999999991</v>
      </c>
      <c r="AH1059" s="22">
        <f t="shared" si="1075"/>
        <v>63</v>
      </c>
      <c r="AI1059" s="18">
        <f t="shared" si="1068"/>
        <v>5.01</v>
      </c>
      <c r="AJ1059" s="18">
        <f t="shared" si="1069"/>
        <v>5.04</v>
      </c>
      <c r="AK1059" t="str">
        <f t="shared" si="1054"/>
        <v/>
      </c>
      <c r="AL1059">
        <f t="shared" si="1065"/>
        <v>29</v>
      </c>
      <c r="AM1059" s="11" t="str">
        <f t="shared" si="1055"/>
        <v>Stocks</v>
      </c>
      <c r="AN1059" t="str">
        <f t="shared" si="1061"/>
        <v>Buy</v>
      </c>
      <c r="AO1059" s="13">
        <f t="shared" si="1062"/>
        <v>1.6000000000000001E-3</v>
      </c>
      <c r="AP1059" s="13">
        <f t="shared" si="1063"/>
        <v>1E-3</v>
      </c>
      <c r="AQ1059" s="13">
        <f t="shared" si="1064"/>
        <v>1.4E-3</v>
      </c>
      <c r="AR1059" s="13">
        <f t="shared" si="1056"/>
        <v>1.6000000000000001E-3</v>
      </c>
      <c r="AS1059" s="6">
        <f t="shared" si="1048"/>
        <v>275.96396046959694</v>
      </c>
      <c r="AT1059" s="6">
        <f t="shared" si="1049"/>
        <v>131.58414238151576</v>
      </c>
      <c r="AU1059" s="6">
        <f t="shared" si="1050"/>
        <v>254.14072759248739</v>
      </c>
      <c r="AV1059" s="6">
        <f t="shared" si="1051"/>
        <v>275.96396046959694</v>
      </c>
      <c r="AW1059" s="58">
        <f t="shared" si="1057"/>
        <v>1998</v>
      </c>
      <c r="AX1059" s="58">
        <f>COUNTIF(AW$3:AW1059,AW1059)</f>
        <v>33</v>
      </c>
    </row>
    <row r="1060" spans="1:50" x14ac:dyDescent="0.25">
      <c r="A1060" s="5">
        <v>35925</v>
      </c>
      <c r="B1060">
        <v>1108.1400000000001</v>
      </c>
      <c r="C1060">
        <v>4.97</v>
      </c>
      <c r="D1060" s="6">
        <v>19.34</v>
      </c>
      <c r="E1060" s="18">
        <f t="shared" si="1070"/>
        <v>20.69</v>
      </c>
      <c r="F1060">
        <f t="shared" si="1071"/>
        <v>-1</v>
      </c>
      <c r="G1060" s="18">
        <f>ROUND(INDEX(Valuation!U:U,MATCH(A1060,Valuation!A:A,0)),2)</f>
        <v>29.9</v>
      </c>
      <c r="H1060">
        <f t="shared" si="1078"/>
        <v>-2</v>
      </c>
      <c r="I1060" s="18">
        <f>INDEX(WeeklyIndicators!Y:Y,MATCH(A1060,WeeklyIndicators!A:A,0))</f>
        <v>139.75</v>
      </c>
      <c r="J1060">
        <f t="shared" si="1067"/>
        <v>1</v>
      </c>
      <c r="K1060">
        <f>ROUND(INDEX(Economic!AF:AF,MATCH(EOMONTH($A1060,-1),Economic!A:A,0)),2)</f>
        <v>132.49</v>
      </c>
      <c r="L1060" s="11">
        <f t="shared" si="1076"/>
        <v>2</v>
      </c>
      <c r="M1060">
        <f>ROUND(INDEX(Manufacturing!P:P,MATCH(EOMONTH($A1060,-1),Manufacturing!A:A,0)),2)</f>
        <v>105.14</v>
      </c>
      <c r="N1060">
        <f t="shared" si="1072"/>
        <v>2</v>
      </c>
      <c r="O1060">
        <f>ROUND(INDEX(Housing!AC:AC,MATCH(EOMONTH($A1060,-1),Housing!B:B,0)),2)</f>
        <v>136.54</v>
      </c>
      <c r="P1060">
        <f t="shared" si="1073"/>
        <v>2</v>
      </c>
      <c r="Q1060">
        <f>ROUND(INDEX(Spending!AJ:AJ,MATCH(EOMONTH($A1060,-1),Spending!B:B,0)),2)</f>
        <v>58.01</v>
      </c>
      <c r="R1060">
        <f t="shared" si="1077"/>
        <v>1</v>
      </c>
      <c r="S1060">
        <f>ROUND(INDEX(Employment!V:V,MATCH(EOMONTH($A1060,-1),Employment!A:A,0)),2)</f>
        <v>179.67</v>
      </c>
      <c r="T1060" s="11">
        <f t="shared" si="1074"/>
        <v>2</v>
      </c>
      <c r="U1060">
        <f t="shared" si="1066"/>
        <v>27</v>
      </c>
      <c r="V1060">
        <f t="shared" si="1058"/>
        <v>83.02</v>
      </c>
      <c r="W1060" s="13">
        <f t="shared" si="1059"/>
        <v>3.3E-3</v>
      </c>
      <c r="X1060" s="13">
        <f t="shared" si="1060"/>
        <v>7.5999999999999991E-3</v>
      </c>
      <c r="Y1060">
        <f t="shared" si="1052"/>
        <v>73.47</v>
      </c>
      <c r="Z1060" s="13">
        <f t="shared" si="1047"/>
        <v>-5.0000000000000001E-4</v>
      </c>
      <c r="AA1060" s="13">
        <f t="shared" si="1043"/>
        <v>-2.3300000000000001E-2</v>
      </c>
      <c r="AB1060" s="6">
        <f t="shared" si="1053"/>
        <v>70.239999999999995</v>
      </c>
      <c r="AC1060">
        <f t="shared" si="1045"/>
        <v>35</v>
      </c>
      <c r="AD1060" s="11">
        <f t="shared" si="1046"/>
        <v>0</v>
      </c>
      <c r="AE1060">
        <f t="shared" si="1044"/>
        <v>29</v>
      </c>
      <c r="AF1060">
        <f>IF(AND(AE1060&lt;15,OR(AC1060&gt;=30,AA1060&gt;0.15,X1060&gt;=0.15)),2,VLOOKUP(AE1060,Table!P:Q,2,FALSE))</f>
        <v>4</v>
      </c>
      <c r="AG1060" s="22">
        <f>IF((AB1060*0.98)-(D1060*0.8)+((AF1060-3)*3)+VLOOKUP(AM1060,Table!$A$11:$B$13,2,FALSE)&lt;0,0,(AB1060*0.98)-(D1060*0.8)+((AF1060-3)*3)+VLOOKUP(AM1060,Table!$A$11:$B$13,2,FALSE))</f>
        <v>64.363200000000006</v>
      </c>
      <c r="AH1060" s="22">
        <f t="shared" si="1075"/>
        <v>63</v>
      </c>
      <c r="AI1060" s="18">
        <f t="shared" si="1068"/>
        <v>5.01</v>
      </c>
      <c r="AJ1060" s="18">
        <f t="shared" si="1069"/>
        <v>5.05</v>
      </c>
      <c r="AK1060" t="str">
        <f t="shared" si="1054"/>
        <v/>
      </c>
      <c r="AL1060">
        <f t="shared" si="1065"/>
        <v>29</v>
      </c>
      <c r="AM1060" s="11" t="str">
        <f t="shared" si="1055"/>
        <v>Stocks</v>
      </c>
      <c r="AN1060" t="str">
        <f t="shared" si="1061"/>
        <v>Buy</v>
      </c>
      <c r="AO1060" s="13">
        <f t="shared" si="1062"/>
        <v>5.0000000000000001E-4</v>
      </c>
      <c r="AP1060" s="13">
        <f t="shared" si="1063"/>
        <v>1E-3</v>
      </c>
      <c r="AQ1060" s="13">
        <f t="shared" si="1064"/>
        <v>6.9999999999999999E-4</v>
      </c>
      <c r="AR1060" s="13">
        <f t="shared" si="1056"/>
        <v>5.0000000000000001E-4</v>
      </c>
      <c r="AS1060" s="6">
        <f t="shared" si="1048"/>
        <v>275.826047445874</v>
      </c>
      <c r="AT1060" s="6">
        <f t="shared" si="1049"/>
        <v>131.45268969182396</v>
      </c>
      <c r="AU1060" s="6">
        <f t="shared" si="1050"/>
        <v>253.96295352501991</v>
      </c>
      <c r="AV1060" s="6">
        <f t="shared" si="1051"/>
        <v>275.826047445874</v>
      </c>
      <c r="AW1060" s="58">
        <f t="shared" si="1057"/>
        <v>1998</v>
      </c>
      <c r="AX1060" s="58">
        <f>COUNTIF(AW$3:AW1060,AW1060)</f>
        <v>34</v>
      </c>
    </row>
    <row r="1061" spans="1:50" x14ac:dyDescent="0.25">
      <c r="A1061" s="5">
        <v>35918</v>
      </c>
      <c r="B1061">
        <v>1121</v>
      </c>
      <c r="C1061">
        <v>4.91</v>
      </c>
      <c r="D1061" s="6">
        <v>21.969999000000001</v>
      </c>
      <c r="E1061" s="18">
        <f t="shared" si="1070"/>
        <v>21.41</v>
      </c>
      <c r="F1061">
        <f t="shared" si="1071"/>
        <v>-1</v>
      </c>
      <c r="G1061" s="18">
        <f>ROUND(INDEX(Valuation!U:U,MATCH(A1061,Valuation!A:A,0)),2)</f>
        <v>33.61</v>
      </c>
      <c r="H1061">
        <f t="shared" si="1078"/>
        <v>-2</v>
      </c>
      <c r="I1061" s="18">
        <f>INDEX(WeeklyIndicators!Y:Y,MATCH(A1061,WeeklyIndicators!A:A,0))</f>
        <v>138.29</v>
      </c>
      <c r="J1061">
        <f t="shared" si="1067"/>
        <v>1</v>
      </c>
      <c r="K1061">
        <f>ROUND(INDEX(Economic!AF:AF,MATCH(EOMONTH($A1061,-1),Economic!A:A,0)),2)</f>
        <v>132.49</v>
      </c>
      <c r="L1061" s="11">
        <f t="shared" si="1076"/>
        <v>2</v>
      </c>
      <c r="M1061">
        <f>ROUND(INDEX(Manufacturing!P:P,MATCH(EOMONTH($A1061,-1),Manufacturing!A:A,0)),2)</f>
        <v>105.14</v>
      </c>
      <c r="N1061">
        <f t="shared" si="1072"/>
        <v>2</v>
      </c>
      <c r="O1061">
        <f>ROUND(INDEX(Housing!AC:AC,MATCH(EOMONTH($A1061,-1),Housing!B:B,0)),2)</f>
        <v>136.54</v>
      </c>
      <c r="P1061">
        <f t="shared" si="1073"/>
        <v>2</v>
      </c>
      <c r="Q1061">
        <f>ROUND(INDEX(Spending!AJ:AJ,MATCH(EOMONTH($A1061,-1),Spending!B:B,0)),2)</f>
        <v>58.01</v>
      </c>
      <c r="R1061">
        <f t="shared" si="1077"/>
        <v>1</v>
      </c>
      <c r="S1061">
        <f>ROUND(INDEX(Employment!V:V,MATCH(EOMONTH($A1061,-1),Employment!A:A,0)),2)</f>
        <v>179.67</v>
      </c>
      <c r="T1061" s="11">
        <f t="shared" si="1074"/>
        <v>2</v>
      </c>
      <c r="U1061">
        <f t="shared" si="1066"/>
        <v>27</v>
      </c>
      <c r="V1061">
        <f t="shared" si="1058"/>
        <v>82.87</v>
      </c>
      <c r="W1061" s="13">
        <f t="shared" si="1059"/>
        <v>3.5000000000000001E-3</v>
      </c>
      <c r="X1061" s="13">
        <f t="shared" si="1060"/>
        <v>2.9999999999999992E-4</v>
      </c>
      <c r="Y1061">
        <f t="shared" si="1052"/>
        <v>73.48</v>
      </c>
      <c r="Z1061" s="13">
        <f t="shared" si="1047"/>
        <v>-3.7000000000000002E-3</v>
      </c>
      <c r="AA1061" s="13">
        <f t="shared" si="1043"/>
        <v>-3.73E-2</v>
      </c>
      <c r="AB1061" s="6">
        <f t="shared" si="1053"/>
        <v>69.611000000000004</v>
      </c>
      <c r="AC1061">
        <f t="shared" si="1045"/>
        <v>35</v>
      </c>
      <c r="AD1061" s="11">
        <f t="shared" si="1046"/>
        <v>0</v>
      </c>
      <c r="AE1061">
        <f t="shared" si="1044"/>
        <v>29</v>
      </c>
      <c r="AF1061">
        <f>IF(AND(AE1061&lt;15,OR(AC1061&gt;=30,AA1061&gt;0.15,X1061&gt;=0.15)),2,VLOOKUP(AE1061,Table!P:Q,2,FALSE))</f>
        <v>4</v>
      </c>
      <c r="AG1061" s="22">
        <f>IF((AB1061*0.98)-(D1061*0.8)+((AF1061-3)*3)+VLOOKUP(AM1061,Table!$A$11:$B$13,2,FALSE)&lt;0,0,(AB1061*0.98)-(D1061*0.8)+((AF1061-3)*3)+VLOOKUP(AM1061,Table!$A$11:$B$13,2,FALSE))</f>
        <v>61.642780800000011</v>
      </c>
      <c r="AH1061" s="22">
        <f t="shared" si="1075"/>
        <v>62</v>
      </c>
      <c r="AI1061" s="18">
        <f t="shared" si="1068"/>
        <v>5.0199999999999996</v>
      </c>
      <c r="AJ1061" s="18">
        <f t="shared" si="1069"/>
        <v>5.05</v>
      </c>
      <c r="AK1061" t="str">
        <f t="shared" si="1054"/>
        <v/>
      </c>
      <c r="AL1061">
        <f t="shared" si="1065"/>
        <v>29</v>
      </c>
      <c r="AM1061" s="11" t="str">
        <f t="shared" si="1055"/>
        <v>Stocks</v>
      </c>
      <c r="AN1061" t="str">
        <f t="shared" si="1061"/>
        <v>Buy</v>
      </c>
      <c r="AO1061" s="13">
        <f t="shared" si="1062"/>
        <v>-1.15E-2</v>
      </c>
      <c r="AP1061" s="13">
        <f t="shared" si="1063"/>
        <v>8.9999999999999998E-4</v>
      </c>
      <c r="AQ1061" s="13">
        <f t="shared" si="1064"/>
        <v>-6.7999999999999996E-3</v>
      </c>
      <c r="AR1061" s="13">
        <f t="shared" si="1056"/>
        <v>-1.15E-2</v>
      </c>
      <c r="AS1061" s="6">
        <f t="shared" si="1048"/>
        <v>279.03494936355486</v>
      </c>
      <c r="AT1061" s="6">
        <f t="shared" si="1049"/>
        <v>131.33448865203715</v>
      </c>
      <c r="AU1061" s="6">
        <f t="shared" si="1050"/>
        <v>255.70172525676594</v>
      </c>
      <c r="AV1061" s="6">
        <f t="shared" si="1051"/>
        <v>279.03494936355486</v>
      </c>
      <c r="AW1061" s="58">
        <f t="shared" si="1057"/>
        <v>1998</v>
      </c>
      <c r="AX1061" s="58">
        <f>COUNTIF(AW$3:AW1061,AW1061)</f>
        <v>35</v>
      </c>
    </row>
    <row r="1062" spans="1:50" x14ac:dyDescent="0.25">
      <c r="A1062" s="5">
        <v>35911</v>
      </c>
      <c r="B1062">
        <v>1107.9000000000001</v>
      </c>
      <c r="C1062">
        <v>4.9400000000000004</v>
      </c>
      <c r="D1062" s="6">
        <v>20.76</v>
      </c>
      <c r="E1062" s="18">
        <f t="shared" si="1070"/>
        <v>21.36</v>
      </c>
      <c r="F1062">
        <f t="shared" si="1071"/>
        <v>-1</v>
      </c>
      <c r="G1062" s="18">
        <f>ROUND(INDEX(Valuation!U:U,MATCH(A1062,Valuation!A:A,0)),2)</f>
        <v>39.82</v>
      </c>
      <c r="H1062">
        <f t="shared" si="1078"/>
        <v>-2</v>
      </c>
      <c r="I1062" s="18">
        <f>INDEX(WeeklyIndicators!Y:Y,MATCH(A1062,WeeklyIndicators!A:A,0))</f>
        <v>133.58000000000001</v>
      </c>
      <c r="J1062">
        <f t="shared" si="1067"/>
        <v>0</v>
      </c>
      <c r="K1062">
        <f>ROUND(INDEX(Economic!AF:AF,MATCH(EOMONTH($A1062,-1),Economic!A:A,0)),2)</f>
        <v>132.1</v>
      </c>
      <c r="L1062" s="11">
        <f t="shared" si="1076"/>
        <v>2</v>
      </c>
      <c r="M1062">
        <f>ROUND(INDEX(Manufacturing!P:P,MATCH(EOMONTH($A1062,-1),Manufacturing!A:A,0)),2)</f>
        <v>109.67</v>
      </c>
      <c r="N1062">
        <f t="shared" si="1072"/>
        <v>3</v>
      </c>
      <c r="O1062">
        <f>ROUND(INDEX(Housing!AC:AC,MATCH(EOMONTH($A1062,-1),Housing!B:B,0)),2)</f>
        <v>132.1</v>
      </c>
      <c r="P1062">
        <f t="shared" si="1073"/>
        <v>2</v>
      </c>
      <c r="Q1062">
        <f>ROUND(INDEX(Spending!AJ:AJ,MATCH(EOMONTH($A1062,-1),Spending!B:B,0)),2)</f>
        <v>59.45</v>
      </c>
      <c r="R1062">
        <f t="shared" si="1077"/>
        <v>1</v>
      </c>
      <c r="S1062">
        <f>ROUND(INDEX(Employment!V:V,MATCH(EOMONTH($A1062,-1),Employment!A:A,0)),2)</f>
        <v>178.33</v>
      </c>
      <c r="T1062" s="11">
        <f t="shared" si="1074"/>
        <v>2</v>
      </c>
      <c r="U1062">
        <f t="shared" si="1066"/>
        <v>27</v>
      </c>
      <c r="V1062">
        <f t="shared" si="1058"/>
        <v>82.67</v>
      </c>
      <c r="W1062" s="13">
        <f t="shared" si="1059"/>
        <v>3.5999999999999999E-3</v>
      </c>
      <c r="X1062" s="13">
        <f t="shared" si="1060"/>
        <v>-9.4000000000000004E-3</v>
      </c>
      <c r="Y1062">
        <f t="shared" si="1052"/>
        <v>73.989999999999995</v>
      </c>
      <c r="Z1062" s="13">
        <f t="shared" si="1047"/>
        <v>-3.8999999999999998E-3</v>
      </c>
      <c r="AA1062" s="13">
        <f t="shared" si="1043"/>
        <v>-4.8500000000000001E-2</v>
      </c>
      <c r="AB1062" s="6">
        <f t="shared" si="1053"/>
        <v>69.882000000000005</v>
      </c>
      <c r="AC1062">
        <f t="shared" si="1045"/>
        <v>35</v>
      </c>
      <c r="AD1062" s="11">
        <f t="shared" si="1046"/>
        <v>0</v>
      </c>
      <c r="AE1062">
        <f t="shared" si="1044"/>
        <v>29</v>
      </c>
      <c r="AF1062">
        <f>IF(AND(AE1062&lt;15,OR(AC1062&gt;=30,AA1062&gt;0.15,X1062&gt;=0.15)),2,VLOOKUP(AE1062,Table!P:Q,2,FALSE))</f>
        <v>4</v>
      </c>
      <c r="AG1062" s="22">
        <f>IF((AB1062*0.98)-(D1062*0.8)+((AF1062-3)*3)+VLOOKUP(AM1062,Table!$A$11:$B$13,2,FALSE)&lt;0,0,(AB1062*0.98)-(D1062*0.8)+((AF1062-3)*3)+VLOOKUP(AM1062,Table!$A$11:$B$13,2,FALSE))</f>
        <v>62.876360000000005</v>
      </c>
      <c r="AH1062" s="22">
        <f t="shared" si="1075"/>
        <v>63</v>
      </c>
      <c r="AI1062" s="18">
        <f t="shared" si="1068"/>
        <v>5.03</v>
      </c>
      <c r="AJ1062" s="18">
        <f t="shared" si="1069"/>
        <v>5.0599999999999996</v>
      </c>
      <c r="AK1062" t="str">
        <f t="shared" si="1054"/>
        <v/>
      </c>
      <c r="AL1062">
        <f t="shared" si="1065"/>
        <v>29.25</v>
      </c>
      <c r="AM1062" s="11" t="str">
        <f t="shared" si="1055"/>
        <v>Stocks</v>
      </c>
      <c r="AN1062" t="str">
        <f t="shared" si="1061"/>
        <v>Buy</v>
      </c>
      <c r="AO1062" s="13">
        <f t="shared" si="1062"/>
        <v>1.18E-2</v>
      </c>
      <c r="AP1062" s="13">
        <f t="shared" si="1063"/>
        <v>1E-3</v>
      </c>
      <c r="AQ1062" s="13">
        <f t="shared" si="1064"/>
        <v>7.7999999999999996E-3</v>
      </c>
      <c r="AR1062" s="13">
        <f t="shared" si="1056"/>
        <v>1.18E-2</v>
      </c>
      <c r="AS1062" s="6">
        <f t="shared" si="1048"/>
        <v>275.78073667083896</v>
      </c>
      <c r="AT1062" s="6">
        <f t="shared" si="1049"/>
        <v>131.20328536667049</v>
      </c>
      <c r="AU1062" s="6">
        <f t="shared" si="1050"/>
        <v>253.7226882881186</v>
      </c>
      <c r="AV1062" s="6">
        <f t="shared" si="1051"/>
        <v>275.78073667083896</v>
      </c>
      <c r="AW1062" s="58">
        <f t="shared" si="1057"/>
        <v>1998</v>
      </c>
      <c r="AX1062" s="58">
        <f>COUNTIF(AW$3:AW1062,AW1062)</f>
        <v>36</v>
      </c>
    </row>
    <row r="1063" spans="1:50" x14ac:dyDescent="0.25">
      <c r="A1063" s="5">
        <v>35904</v>
      </c>
      <c r="B1063">
        <v>1122.72</v>
      </c>
      <c r="C1063">
        <v>4.97</v>
      </c>
      <c r="D1063" s="6">
        <v>21.51</v>
      </c>
      <c r="E1063" s="18">
        <f t="shared" si="1070"/>
        <v>22.27</v>
      </c>
      <c r="F1063">
        <f t="shared" si="1071"/>
        <v>-1</v>
      </c>
      <c r="G1063" s="18">
        <f>ROUND(INDEX(Valuation!U:U,MATCH(A1063,Valuation!A:A,0)),2)</f>
        <v>43.23</v>
      </c>
      <c r="H1063">
        <f t="shared" si="1078"/>
        <v>-2</v>
      </c>
      <c r="I1063" s="18">
        <f>INDEX(WeeklyIndicators!Y:Y,MATCH(A1063,WeeklyIndicators!A:A,0))</f>
        <v>129.19999999999999</v>
      </c>
      <c r="J1063">
        <f t="shared" si="1067"/>
        <v>0</v>
      </c>
      <c r="K1063">
        <f>ROUND(INDEX(Economic!AF:AF,MATCH(EOMONTH($A1063,-1),Economic!A:A,0)),2)</f>
        <v>132.1</v>
      </c>
      <c r="L1063" s="11">
        <f t="shared" si="1076"/>
        <v>2</v>
      </c>
      <c r="M1063">
        <f>ROUND(INDEX(Manufacturing!P:P,MATCH(EOMONTH($A1063,-1),Manufacturing!A:A,0)),2)</f>
        <v>109.67</v>
      </c>
      <c r="N1063">
        <f t="shared" si="1072"/>
        <v>3</v>
      </c>
      <c r="O1063">
        <f>ROUND(INDEX(Housing!AC:AC,MATCH(EOMONTH($A1063,-1),Housing!B:B,0)),2)</f>
        <v>132.1</v>
      </c>
      <c r="P1063">
        <f t="shared" si="1073"/>
        <v>2</v>
      </c>
      <c r="Q1063">
        <f>ROUND(INDEX(Spending!AJ:AJ,MATCH(EOMONTH($A1063,-1),Spending!B:B,0)),2)</f>
        <v>59.45</v>
      </c>
      <c r="R1063">
        <f t="shared" si="1077"/>
        <v>1</v>
      </c>
      <c r="S1063">
        <f>ROUND(INDEX(Employment!V:V,MATCH(EOMONTH($A1063,-1),Employment!A:A,0)),2)</f>
        <v>178.33</v>
      </c>
      <c r="T1063" s="11">
        <f t="shared" si="1074"/>
        <v>2</v>
      </c>
      <c r="U1063">
        <f t="shared" si="1066"/>
        <v>27</v>
      </c>
      <c r="V1063">
        <f t="shared" si="1058"/>
        <v>82.21</v>
      </c>
      <c r="W1063" s="13">
        <f t="shared" si="1059"/>
        <v>-2.8E-3</v>
      </c>
      <c r="X1063" s="13">
        <f t="shared" si="1060"/>
        <v>-1.5700000000000002E-2</v>
      </c>
      <c r="Y1063">
        <f t="shared" si="1052"/>
        <v>73.59</v>
      </c>
      <c r="Z1063" s="13">
        <f t="shared" si="1047"/>
        <v>-1.52E-2</v>
      </c>
      <c r="AA1063" s="13">
        <f t="shared" si="1043"/>
        <v>-5.2000000000000005E-2</v>
      </c>
      <c r="AB1063" s="6">
        <f t="shared" si="1053"/>
        <v>69.512999999999991</v>
      </c>
      <c r="AC1063">
        <f t="shared" si="1045"/>
        <v>35</v>
      </c>
      <c r="AD1063" s="11">
        <f t="shared" si="1046"/>
        <v>0</v>
      </c>
      <c r="AE1063">
        <f t="shared" si="1044"/>
        <v>29</v>
      </c>
      <c r="AF1063">
        <f>IF(AND(AE1063&lt;15,OR(AC1063&gt;=30,AA1063&gt;0.15,X1063&gt;=0.15)),2,VLOOKUP(AE1063,Table!P:Q,2,FALSE))</f>
        <v>4</v>
      </c>
      <c r="AG1063" s="22">
        <f>IF((AB1063*0.98)-(D1063*0.8)+((AF1063-3)*3)+VLOOKUP(AM1063,Table!$A$11:$B$13,2,FALSE)&lt;0,0,(AB1063*0.98)-(D1063*0.8)+((AF1063-3)*3)+VLOOKUP(AM1063,Table!$A$11:$B$13,2,FALSE))</f>
        <v>61.914739999999995</v>
      </c>
      <c r="AH1063" s="22">
        <f t="shared" si="1075"/>
        <v>63</v>
      </c>
      <c r="AI1063" s="18">
        <f t="shared" si="1068"/>
        <v>5.04</v>
      </c>
      <c r="AJ1063" s="18">
        <f t="shared" si="1069"/>
        <v>5.0599999999999996</v>
      </c>
      <c r="AK1063" t="str">
        <f t="shared" si="1054"/>
        <v/>
      </c>
      <c r="AL1063">
        <f t="shared" si="1065"/>
        <v>29.5</v>
      </c>
      <c r="AM1063" s="11" t="str">
        <f t="shared" si="1055"/>
        <v>Stocks</v>
      </c>
      <c r="AN1063" t="str">
        <f t="shared" si="1061"/>
        <v>Buy</v>
      </c>
      <c r="AO1063" s="13">
        <f t="shared" si="1062"/>
        <v>-1.32E-2</v>
      </c>
      <c r="AP1063" s="13">
        <f t="shared" si="1063"/>
        <v>1E-3</v>
      </c>
      <c r="AQ1063" s="13">
        <f t="shared" si="1064"/>
        <v>-7.9000000000000008E-3</v>
      </c>
      <c r="AR1063" s="13">
        <f t="shared" si="1056"/>
        <v>-1.32E-2</v>
      </c>
      <c r="AS1063" s="6">
        <f t="shared" si="1048"/>
        <v>279.46973720190408</v>
      </c>
      <c r="AT1063" s="6">
        <f t="shared" si="1049"/>
        <v>131.07221315351697</v>
      </c>
      <c r="AU1063" s="6">
        <f t="shared" si="1050"/>
        <v>255.74305844987259</v>
      </c>
      <c r="AV1063" s="6">
        <f t="shared" si="1051"/>
        <v>279.46973720190408</v>
      </c>
      <c r="AW1063" s="58">
        <f t="shared" si="1057"/>
        <v>1998</v>
      </c>
      <c r="AX1063" s="58">
        <f>COUNTIF(AW$3:AW1063,AW1063)</f>
        <v>37</v>
      </c>
    </row>
    <row r="1064" spans="1:50" x14ac:dyDescent="0.25">
      <c r="A1064" s="5">
        <v>35897</v>
      </c>
      <c r="B1064">
        <v>1110.67</v>
      </c>
      <c r="C1064">
        <v>4.95</v>
      </c>
      <c r="D1064" s="6">
        <v>21.82</v>
      </c>
      <c r="E1064" s="18">
        <f t="shared" si="1070"/>
        <v>21.33</v>
      </c>
      <c r="F1064">
        <f t="shared" si="1071"/>
        <v>-1</v>
      </c>
      <c r="G1064" s="18">
        <f>ROUND(INDEX(Valuation!U:U,MATCH(A1064,Valuation!A:A,0)),2)</f>
        <v>48.49</v>
      </c>
      <c r="H1064">
        <f t="shared" si="1078"/>
        <v>-2</v>
      </c>
      <c r="I1064" s="18">
        <f>INDEX(WeeklyIndicators!Y:Y,MATCH(A1064,WeeklyIndicators!A:A,0))</f>
        <v>127.09</v>
      </c>
      <c r="J1064">
        <f t="shared" si="1067"/>
        <v>0</v>
      </c>
      <c r="K1064">
        <f>ROUND(INDEX(Economic!AF:AF,MATCH(EOMONTH($A1064,-1),Economic!A:A,0)),2)</f>
        <v>132.1</v>
      </c>
      <c r="L1064" s="11">
        <f t="shared" si="1076"/>
        <v>2</v>
      </c>
      <c r="M1064">
        <f>ROUND(INDEX(Manufacturing!P:P,MATCH(EOMONTH($A1064,-1),Manufacturing!A:A,0)),2)</f>
        <v>109.67</v>
      </c>
      <c r="N1064">
        <f t="shared" si="1072"/>
        <v>3</v>
      </c>
      <c r="O1064">
        <f>ROUND(INDEX(Housing!AC:AC,MATCH(EOMONTH($A1064,-1),Housing!B:B,0)),2)</f>
        <v>132.1</v>
      </c>
      <c r="P1064">
        <f t="shared" si="1073"/>
        <v>2</v>
      </c>
      <c r="Q1064">
        <f>ROUND(INDEX(Spending!AJ:AJ,MATCH(EOMONTH($A1064,-1),Spending!B:B,0)),2)</f>
        <v>59.45</v>
      </c>
      <c r="R1064">
        <f t="shared" si="1077"/>
        <v>1</v>
      </c>
      <c r="S1064">
        <f>ROUND(INDEX(Employment!V:V,MATCH(EOMONTH($A1064,-1),Employment!A:A,0)),2)</f>
        <v>178.33</v>
      </c>
      <c r="T1064" s="11">
        <f t="shared" si="1074"/>
        <v>2</v>
      </c>
      <c r="U1064">
        <f t="shared" si="1066"/>
        <v>27</v>
      </c>
      <c r="V1064">
        <f t="shared" si="1058"/>
        <v>82</v>
      </c>
      <c r="W1064" s="13">
        <f t="shared" si="1059"/>
        <v>-4.0000000000000001E-3</v>
      </c>
      <c r="X1064" s="13">
        <f t="shared" si="1060"/>
        <v>-1.4100000000000001E-2</v>
      </c>
      <c r="Y1064">
        <f t="shared" si="1052"/>
        <v>74.290000000000006</v>
      </c>
      <c r="Z1064" s="13">
        <f t="shared" si="1047"/>
        <v>-1.4500000000000001E-2</v>
      </c>
      <c r="AA1064" s="13">
        <f t="shared" si="1043"/>
        <v>-4.07E-2</v>
      </c>
      <c r="AB1064" s="6">
        <f t="shared" si="1053"/>
        <v>71.509</v>
      </c>
      <c r="AC1064">
        <f t="shared" si="1045"/>
        <v>36</v>
      </c>
      <c r="AD1064" s="11">
        <f t="shared" si="1046"/>
        <v>0</v>
      </c>
      <c r="AE1064">
        <f t="shared" si="1044"/>
        <v>29</v>
      </c>
      <c r="AF1064">
        <f>IF(AND(AE1064&lt;15,OR(AC1064&gt;=30,AA1064&gt;0.15,X1064&gt;=0.15)),2,VLOOKUP(AE1064,Table!P:Q,2,FALSE))</f>
        <v>4</v>
      </c>
      <c r="AG1064" s="22">
        <f>IF((AB1064*0.98)-(D1064*0.8)+((AF1064-3)*3)+VLOOKUP(AM1064,Table!$A$11:$B$13,2,FALSE)&lt;0,0,(AB1064*0.98)-(D1064*0.8)+((AF1064-3)*3)+VLOOKUP(AM1064,Table!$A$11:$B$13,2,FALSE))</f>
        <v>63.62281999999999</v>
      </c>
      <c r="AH1064" s="22">
        <f t="shared" si="1075"/>
        <v>66</v>
      </c>
      <c r="AI1064" s="18">
        <f t="shared" si="1068"/>
        <v>5.04</v>
      </c>
      <c r="AJ1064" s="18">
        <f t="shared" si="1069"/>
        <v>5.0599999999999996</v>
      </c>
      <c r="AK1064" t="str">
        <f t="shared" si="1054"/>
        <v/>
      </c>
      <c r="AL1064">
        <f t="shared" si="1065"/>
        <v>29.75</v>
      </c>
      <c r="AM1064" s="11" t="str">
        <f t="shared" si="1055"/>
        <v>Stocks</v>
      </c>
      <c r="AN1064" t="str">
        <f t="shared" si="1061"/>
        <v>Buy</v>
      </c>
      <c r="AO1064" s="13">
        <f t="shared" si="1062"/>
        <v>1.0800000000000001E-2</v>
      </c>
      <c r="AP1064" s="13">
        <f t="shared" si="1063"/>
        <v>1E-3</v>
      </c>
      <c r="AQ1064" s="13">
        <f t="shared" si="1064"/>
        <v>7.4999999999999997E-3</v>
      </c>
      <c r="AR1064" s="13">
        <f t="shared" si="1056"/>
        <v>1.0800000000000001E-2</v>
      </c>
      <c r="AS1064" s="6">
        <f t="shared" si="1048"/>
        <v>276.48371310041955</v>
      </c>
      <c r="AT1064" s="6">
        <f t="shared" si="1049"/>
        <v>130.94127188163534</v>
      </c>
      <c r="AU1064" s="6">
        <f t="shared" si="1050"/>
        <v>253.83926397009685</v>
      </c>
      <c r="AV1064" s="6">
        <f t="shared" si="1051"/>
        <v>276.48371310041955</v>
      </c>
      <c r="AW1064" s="58">
        <f t="shared" si="1057"/>
        <v>1998</v>
      </c>
      <c r="AX1064" s="58">
        <f>COUNTIF(AW$3:AW1064,AW1064)</f>
        <v>38</v>
      </c>
    </row>
    <row r="1065" spans="1:50" x14ac:dyDescent="0.25">
      <c r="A1065" s="5">
        <v>35890</v>
      </c>
      <c r="B1065">
        <v>1122.7</v>
      </c>
      <c r="C1065">
        <v>5</v>
      </c>
      <c r="D1065" s="6">
        <v>23.469999000000001</v>
      </c>
      <c r="E1065" s="18">
        <f t="shared" si="1070"/>
        <v>20.29</v>
      </c>
      <c r="F1065">
        <f t="shared" si="1071"/>
        <v>-1</v>
      </c>
      <c r="G1065" s="18">
        <f>ROUND(INDEX(Valuation!U:U,MATCH(A1065,Valuation!A:A,0)),2)</f>
        <v>52.07</v>
      </c>
      <c r="H1065">
        <f t="shared" si="1078"/>
        <v>-1</v>
      </c>
      <c r="I1065" s="18">
        <f>INDEX(WeeklyIndicators!Y:Y,MATCH(A1065,WeeklyIndicators!A:A,0))</f>
        <v>125.13</v>
      </c>
      <c r="J1065">
        <f t="shared" si="1067"/>
        <v>0</v>
      </c>
      <c r="K1065">
        <f>ROUND(INDEX(Economic!AF:AF,MATCH(EOMONTH($A1065,-1),Economic!A:A,0)),2)</f>
        <v>132.1</v>
      </c>
      <c r="L1065" s="11">
        <f t="shared" si="1076"/>
        <v>2</v>
      </c>
      <c r="M1065">
        <f>ROUND(INDEX(Manufacturing!P:P,MATCH(EOMONTH($A1065,-1),Manufacturing!A:A,0)),2)</f>
        <v>109.67</v>
      </c>
      <c r="N1065">
        <f t="shared" si="1072"/>
        <v>3</v>
      </c>
      <c r="O1065">
        <f>ROUND(INDEX(Housing!AC:AC,MATCH(EOMONTH($A1065,-1),Housing!B:B,0)),2)</f>
        <v>132.1</v>
      </c>
      <c r="P1065">
        <f t="shared" si="1073"/>
        <v>2</v>
      </c>
      <c r="Q1065">
        <f>ROUND(INDEX(Spending!AJ:AJ,MATCH(EOMONTH($A1065,-1),Spending!B:B,0)),2)</f>
        <v>59.45</v>
      </c>
      <c r="R1065">
        <f t="shared" si="1077"/>
        <v>1</v>
      </c>
      <c r="S1065">
        <f>ROUND(INDEX(Employment!V:V,MATCH(EOMONTH($A1065,-1),Employment!A:A,0)),2)</f>
        <v>178.33</v>
      </c>
      <c r="T1065" s="11">
        <f t="shared" si="1074"/>
        <v>2</v>
      </c>
      <c r="U1065">
        <f t="shared" si="1066"/>
        <v>28</v>
      </c>
      <c r="V1065">
        <f t="shared" si="1058"/>
        <v>81.790000000000006</v>
      </c>
      <c r="W1065" s="13">
        <f t="shared" si="1059"/>
        <v>-6.1999999999999998E-3</v>
      </c>
      <c r="X1065" s="13">
        <f t="shared" si="1060"/>
        <v>-1.29E-2</v>
      </c>
      <c r="Y1065">
        <f t="shared" si="1052"/>
        <v>74.849999999999994</v>
      </c>
      <c r="Z1065" s="13">
        <f t="shared" si="1047"/>
        <v>-1.49E-2</v>
      </c>
      <c r="AA1065" s="13">
        <f t="shared" si="1043"/>
        <v>-3.0700000000000002E-2</v>
      </c>
      <c r="AB1065" s="6">
        <f t="shared" si="1053"/>
        <v>73.096999999999994</v>
      </c>
      <c r="AC1065">
        <f t="shared" si="1045"/>
        <v>37</v>
      </c>
      <c r="AD1065" s="11">
        <f t="shared" si="1046"/>
        <v>0</v>
      </c>
      <c r="AE1065">
        <f t="shared" si="1044"/>
        <v>30</v>
      </c>
      <c r="AF1065">
        <f>IF(AND(AE1065&lt;15,OR(AC1065&gt;=30,AA1065&gt;0.15,X1065&gt;=0.15)),2,VLOOKUP(AE1065,Table!P:Q,2,FALSE))</f>
        <v>4</v>
      </c>
      <c r="AG1065" s="22">
        <f>IF((AB1065*0.98)-(D1065*0.8)+((AF1065-3)*3)+VLOOKUP(AM1065,Table!$A$11:$B$13,2,FALSE)&lt;0,0,(AB1065*0.98)-(D1065*0.8)+((AF1065-3)*3)+VLOOKUP(AM1065,Table!$A$11:$B$13,2,FALSE))</f>
        <v>63.859060799999995</v>
      </c>
      <c r="AH1065" s="22">
        <f t="shared" si="1075"/>
        <v>69</v>
      </c>
      <c r="AI1065" s="18">
        <f t="shared" si="1068"/>
        <v>5.04</v>
      </c>
      <c r="AJ1065" s="18">
        <f t="shared" si="1069"/>
        <v>5.0599999999999996</v>
      </c>
      <c r="AK1065" t="str">
        <f t="shared" si="1054"/>
        <v/>
      </c>
      <c r="AL1065">
        <f t="shared" si="1065"/>
        <v>30</v>
      </c>
      <c r="AM1065" s="11" t="str">
        <f t="shared" si="1055"/>
        <v>Stocks</v>
      </c>
      <c r="AN1065" t="str">
        <f t="shared" si="1061"/>
        <v>Buy</v>
      </c>
      <c r="AO1065" s="13">
        <f t="shared" si="1062"/>
        <v>-1.0699999999999999E-2</v>
      </c>
      <c r="AP1065" s="13">
        <f t="shared" si="1063"/>
        <v>1E-3</v>
      </c>
      <c r="AQ1065" s="13">
        <f t="shared" si="1064"/>
        <v>-7.1000000000000004E-3</v>
      </c>
      <c r="AR1065" s="13">
        <f t="shared" si="1056"/>
        <v>-1.0699999999999999E-2</v>
      </c>
      <c r="AS1065" s="6">
        <f t="shared" si="1048"/>
        <v>279.47408581867944</v>
      </c>
      <c r="AT1065" s="6">
        <f t="shared" si="1049"/>
        <v>130.81046142021515</v>
      </c>
      <c r="AU1065" s="6">
        <f t="shared" si="1050"/>
        <v>255.6544102831069</v>
      </c>
      <c r="AV1065" s="6">
        <f t="shared" si="1051"/>
        <v>279.47408581867944</v>
      </c>
      <c r="AW1065" s="58">
        <f t="shared" si="1057"/>
        <v>1998</v>
      </c>
      <c r="AX1065" s="58">
        <f>COUNTIF(AW$3:AW1065,AW1065)</f>
        <v>39</v>
      </c>
    </row>
    <row r="1066" spans="1:50" x14ac:dyDescent="0.25">
      <c r="A1066" s="5">
        <v>35883</v>
      </c>
      <c r="B1066">
        <v>1095.44</v>
      </c>
      <c r="C1066">
        <v>5.05</v>
      </c>
      <c r="D1066" s="6">
        <v>18.690000999999999</v>
      </c>
      <c r="E1066" s="18">
        <f t="shared" si="1070"/>
        <v>18.850000000000001</v>
      </c>
      <c r="F1066">
        <f t="shared" si="1071"/>
        <v>-1</v>
      </c>
      <c r="G1066" s="18">
        <f>ROUND(INDEX(Valuation!U:U,MATCH(A1066,Valuation!A:A,0)),2)</f>
        <v>57.09</v>
      </c>
      <c r="H1066">
        <f t="shared" si="1078"/>
        <v>-1</v>
      </c>
      <c r="I1066" s="18">
        <f>INDEX(WeeklyIndicators!Y:Y,MATCH(A1066,WeeklyIndicators!A:A,0))</f>
        <v>122.26</v>
      </c>
      <c r="J1066">
        <f t="shared" si="1067"/>
        <v>0</v>
      </c>
      <c r="K1066">
        <f>ROUND(INDEX(Economic!AF:AF,MATCH(EOMONTH($A1066,-1),Economic!A:A,0)),2)</f>
        <v>132.41999999999999</v>
      </c>
      <c r="L1066" s="11">
        <f t="shared" si="1076"/>
        <v>2</v>
      </c>
      <c r="M1066">
        <f>ROUND(INDEX(Manufacturing!P:P,MATCH(EOMONTH($A1066,-1),Manufacturing!A:A,0)),2)</f>
        <v>115.67</v>
      </c>
      <c r="N1066">
        <f t="shared" si="1072"/>
        <v>3</v>
      </c>
      <c r="O1066">
        <f>ROUND(INDEX(Housing!AC:AC,MATCH(EOMONTH($A1066,-1),Housing!B:B,0)),2)</f>
        <v>126.81</v>
      </c>
      <c r="P1066">
        <f t="shared" si="1073"/>
        <v>1</v>
      </c>
      <c r="Q1066">
        <f>ROUND(INDEX(Spending!AJ:AJ,MATCH(EOMONTH($A1066,-1),Spending!B:B,0)),2)</f>
        <v>61.75</v>
      </c>
      <c r="R1066">
        <f t="shared" si="1077"/>
        <v>2</v>
      </c>
      <c r="S1066">
        <f>ROUND(INDEX(Employment!V:V,MATCH(EOMONTH($A1066,-1),Employment!A:A,0)),2)</f>
        <v>186.48</v>
      </c>
      <c r="T1066" s="11">
        <f t="shared" si="1074"/>
        <v>2</v>
      </c>
      <c r="U1066">
        <f t="shared" si="1066"/>
        <v>28</v>
      </c>
      <c r="V1066">
        <f t="shared" si="1058"/>
        <v>82.91</v>
      </c>
      <c r="W1066" s="13">
        <f t="shared" si="1059"/>
        <v>-2.7000000000000001E-3</v>
      </c>
      <c r="X1066" s="13">
        <f t="shared" si="1060"/>
        <v>-7.2999999999999992E-3</v>
      </c>
      <c r="Y1066">
        <f t="shared" si="1052"/>
        <v>77.03</v>
      </c>
      <c r="Z1066" s="13">
        <f t="shared" si="1047"/>
        <v>-7.4000000000000003E-3</v>
      </c>
      <c r="AA1066" s="13">
        <f t="shared" si="1043"/>
        <v>-1.6900000000000002E-2</v>
      </c>
      <c r="AB1066" s="6">
        <f t="shared" si="1053"/>
        <v>76.799000000000007</v>
      </c>
      <c r="AC1066">
        <f t="shared" si="1045"/>
        <v>38</v>
      </c>
      <c r="AD1066" s="11">
        <f t="shared" si="1046"/>
        <v>0</v>
      </c>
      <c r="AE1066">
        <f t="shared" si="1044"/>
        <v>30</v>
      </c>
      <c r="AF1066">
        <f>IF(AND(AE1066&lt;15,OR(AC1066&gt;=30,AA1066&gt;0.15,X1066&gt;=0.15)),2,VLOOKUP(AE1066,Table!P:Q,2,FALSE))</f>
        <v>4</v>
      </c>
      <c r="AG1066" s="22">
        <f>IF((AB1066*0.98)-(D1066*0.8)+((AF1066-3)*3)+VLOOKUP(AM1066,Table!$A$11:$B$13,2,FALSE)&lt;0,0,(AB1066*0.98)-(D1066*0.8)+((AF1066-3)*3)+VLOOKUP(AM1066,Table!$A$11:$B$13,2,FALSE))</f>
        <v>71.311019200000004</v>
      </c>
      <c r="AH1066" s="22">
        <f t="shared" si="1075"/>
        <v>72</v>
      </c>
      <c r="AI1066" s="18">
        <f t="shared" si="1068"/>
        <v>5.0599999999999996</v>
      </c>
      <c r="AJ1066" s="18">
        <f t="shared" si="1069"/>
        <v>5.0599999999999996</v>
      </c>
      <c r="AK1066" t="str">
        <f t="shared" si="1054"/>
        <v/>
      </c>
      <c r="AL1066">
        <f t="shared" si="1065"/>
        <v>30</v>
      </c>
      <c r="AM1066" s="11" t="str">
        <f t="shared" si="1055"/>
        <v>Stocks</v>
      </c>
      <c r="AN1066" t="str">
        <f t="shared" si="1061"/>
        <v>Buy</v>
      </c>
      <c r="AO1066" s="13">
        <f t="shared" si="1062"/>
        <v>2.4899999999999999E-2</v>
      </c>
      <c r="AP1066" s="13">
        <f t="shared" si="1063"/>
        <v>1E-3</v>
      </c>
      <c r="AQ1066" s="13">
        <f t="shared" si="1064"/>
        <v>1.8200000000000001E-2</v>
      </c>
      <c r="AR1066" s="13">
        <f t="shared" si="1056"/>
        <v>2.4899999999999999E-2</v>
      </c>
      <c r="AS1066" s="6">
        <f t="shared" si="1048"/>
        <v>272.68424804242312</v>
      </c>
      <c r="AT1066" s="6">
        <f t="shared" si="1049"/>
        <v>130.6797816385766</v>
      </c>
      <c r="AU1066" s="6">
        <f t="shared" si="1050"/>
        <v>251.08466930181388</v>
      </c>
      <c r="AV1066" s="6">
        <f t="shared" si="1051"/>
        <v>272.68424804242312</v>
      </c>
      <c r="AW1066" s="58">
        <f t="shared" si="1057"/>
        <v>1998</v>
      </c>
      <c r="AX1066" s="58">
        <f>COUNTIF(AW$3:AW1066,AW1066)</f>
        <v>40</v>
      </c>
    </row>
    <row r="1067" spans="1:50" x14ac:dyDescent="0.25">
      <c r="A1067" s="5">
        <v>35876</v>
      </c>
      <c r="B1067">
        <v>1099.1600000000001</v>
      </c>
      <c r="C1067">
        <v>5.0199999999999996</v>
      </c>
      <c r="D1067" s="6">
        <v>18.709999</v>
      </c>
      <c r="E1067" s="18">
        <f t="shared" si="1070"/>
        <v>18.8</v>
      </c>
      <c r="F1067">
        <f t="shared" si="1071"/>
        <v>-1</v>
      </c>
      <c r="G1067" s="18">
        <f>ROUND(INDEX(Valuation!U:U,MATCH(A1067,Valuation!A:A,0)),2)</f>
        <v>61.51</v>
      </c>
      <c r="H1067">
        <f t="shared" si="1078"/>
        <v>-1</v>
      </c>
      <c r="I1067" s="18">
        <f>INDEX(WeeklyIndicators!Y:Y,MATCH(A1067,WeeklyIndicators!A:A,0))</f>
        <v>122.99</v>
      </c>
      <c r="J1067">
        <f t="shared" si="1067"/>
        <v>0</v>
      </c>
      <c r="K1067">
        <f>ROUND(INDEX(Economic!AF:AF,MATCH(EOMONTH($A1067,-1),Economic!A:A,0)),2)</f>
        <v>132.41999999999999</v>
      </c>
      <c r="L1067" s="11">
        <f t="shared" si="1076"/>
        <v>2</v>
      </c>
      <c r="M1067">
        <f>ROUND(INDEX(Manufacturing!P:P,MATCH(EOMONTH($A1067,-1),Manufacturing!A:A,0)),2)</f>
        <v>115.67</v>
      </c>
      <c r="N1067">
        <f t="shared" si="1072"/>
        <v>3</v>
      </c>
      <c r="O1067">
        <f>ROUND(INDEX(Housing!AC:AC,MATCH(EOMONTH($A1067,-1),Housing!B:B,0)),2)</f>
        <v>126.81</v>
      </c>
      <c r="P1067">
        <f t="shared" si="1073"/>
        <v>1</v>
      </c>
      <c r="Q1067">
        <f>ROUND(INDEX(Spending!AJ:AJ,MATCH(EOMONTH($A1067,-1),Spending!B:B,0)),2)</f>
        <v>61.75</v>
      </c>
      <c r="R1067">
        <f t="shared" si="1077"/>
        <v>2</v>
      </c>
      <c r="S1067">
        <f>ROUND(INDEX(Employment!V:V,MATCH(EOMONTH($A1067,-1),Employment!A:A,0)),2)</f>
        <v>186.48</v>
      </c>
      <c r="T1067" s="11">
        <f t="shared" si="1074"/>
        <v>2</v>
      </c>
      <c r="U1067">
        <f t="shared" si="1066"/>
        <v>28</v>
      </c>
      <c r="V1067">
        <f t="shared" si="1058"/>
        <v>82.99</v>
      </c>
      <c r="W1067" s="13">
        <f t="shared" si="1059"/>
        <v>-1.1999999999999999E-3</v>
      </c>
      <c r="X1067" s="13">
        <f t="shared" si="1060"/>
        <v>-7.7999999999999996E-3</v>
      </c>
      <c r="Y1067">
        <f t="shared" si="1052"/>
        <v>77.61</v>
      </c>
      <c r="Z1067" s="13">
        <f t="shared" si="1047"/>
        <v>-3.8999999999999998E-3</v>
      </c>
      <c r="AA1067" s="13">
        <f t="shared" si="1043"/>
        <v>-1.32E-2</v>
      </c>
      <c r="AB1067" s="6">
        <f t="shared" si="1053"/>
        <v>78.060999999999993</v>
      </c>
      <c r="AC1067">
        <f t="shared" si="1045"/>
        <v>39</v>
      </c>
      <c r="AD1067" s="11">
        <f t="shared" si="1046"/>
        <v>0</v>
      </c>
      <c r="AE1067">
        <f t="shared" si="1044"/>
        <v>30</v>
      </c>
      <c r="AF1067">
        <f>IF(AND(AE1067&lt;15,OR(AC1067&gt;=30,AA1067&gt;0.15,X1067&gt;=0.15)),2,VLOOKUP(AE1067,Table!P:Q,2,FALSE))</f>
        <v>4</v>
      </c>
      <c r="AG1067" s="22">
        <f>IF((AB1067*0.98)-(D1067*0.8)+((AF1067-3)*3)+VLOOKUP(AM1067,Table!$A$11:$B$13,2,FALSE)&lt;0,0,(AB1067*0.98)-(D1067*0.8)+((AF1067-3)*3)+VLOOKUP(AM1067,Table!$A$11:$B$13,2,FALSE))</f>
        <v>72.531780799999979</v>
      </c>
      <c r="AH1067" s="22">
        <f t="shared" si="1075"/>
        <v>73</v>
      </c>
      <c r="AI1067" s="18">
        <f t="shared" si="1068"/>
        <v>5.08</v>
      </c>
      <c r="AJ1067" s="18">
        <f t="shared" si="1069"/>
        <v>5.0599999999999996</v>
      </c>
      <c r="AK1067" t="str">
        <f t="shared" si="1054"/>
        <v/>
      </c>
      <c r="AL1067">
        <f t="shared" si="1065"/>
        <v>30</v>
      </c>
      <c r="AM1067" s="11" t="str">
        <f t="shared" si="1055"/>
        <v>Stocks</v>
      </c>
      <c r="AN1067" t="str">
        <f t="shared" si="1061"/>
        <v>Buy</v>
      </c>
      <c r="AO1067" s="13">
        <f t="shared" si="1062"/>
        <v>-3.3999999999999998E-3</v>
      </c>
      <c r="AP1067" s="13">
        <f t="shared" si="1063"/>
        <v>1E-3</v>
      </c>
      <c r="AQ1067" s="13">
        <f t="shared" si="1064"/>
        <v>-2.2000000000000001E-3</v>
      </c>
      <c r="AR1067" s="13">
        <f t="shared" si="1056"/>
        <v>-3.3999999999999998E-3</v>
      </c>
      <c r="AS1067" s="6">
        <f t="shared" si="1048"/>
        <v>273.6145374698205</v>
      </c>
      <c r="AT1067" s="6">
        <f t="shared" si="1049"/>
        <v>130.54923240617043</v>
      </c>
      <c r="AU1067" s="6">
        <f t="shared" si="1050"/>
        <v>251.63827350352162</v>
      </c>
      <c r="AV1067" s="6">
        <f t="shared" si="1051"/>
        <v>273.6145374698205</v>
      </c>
      <c r="AW1067" s="58">
        <f t="shared" si="1057"/>
        <v>1998</v>
      </c>
      <c r="AX1067" s="58">
        <f>COUNTIF(AW$3:AW1067,AW1067)</f>
        <v>41</v>
      </c>
    </row>
    <row r="1068" spans="1:50" x14ac:dyDescent="0.25">
      <c r="A1068" s="5">
        <v>35869</v>
      </c>
      <c r="B1068">
        <v>1068.6099999999999</v>
      </c>
      <c r="C1068">
        <v>4.97</v>
      </c>
      <c r="D1068" s="6">
        <v>19.139999</v>
      </c>
      <c r="E1068" s="18">
        <f t="shared" si="1070"/>
        <v>18.899999999999999</v>
      </c>
      <c r="F1068">
        <f t="shared" si="1071"/>
        <v>-1</v>
      </c>
      <c r="G1068" s="18">
        <f>ROUND(INDEX(Valuation!U:U,MATCH(A1068,Valuation!A:A,0)),2)</f>
        <v>64.98</v>
      </c>
      <c r="H1068">
        <f t="shared" si="1078"/>
        <v>-1</v>
      </c>
      <c r="I1068" s="18">
        <f>INDEX(WeeklyIndicators!Y:Y,MATCH(A1068,WeeklyIndicators!A:A,0))</f>
        <v>126.33</v>
      </c>
      <c r="J1068">
        <f t="shared" si="1067"/>
        <v>0</v>
      </c>
      <c r="K1068">
        <f>ROUND(INDEX(Economic!AF:AF,MATCH(EOMONTH($A1068,-1),Economic!A:A,0)),2)</f>
        <v>132.41999999999999</v>
      </c>
      <c r="L1068" s="11">
        <f t="shared" si="1076"/>
        <v>2</v>
      </c>
      <c r="M1068">
        <f>ROUND(INDEX(Manufacturing!P:P,MATCH(EOMONTH($A1068,-1),Manufacturing!A:A,0)),2)</f>
        <v>115.67</v>
      </c>
      <c r="N1068">
        <f t="shared" si="1072"/>
        <v>3</v>
      </c>
      <c r="O1068">
        <f>ROUND(INDEX(Housing!AC:AC,MATCH(EOMONTH($A1068,-1),Housing!B:B,0)),2)</f>
        <v>126.81</v>
      </c>
      <c r="P1068">
        <f t="shared" si="1073"/>
        <v>1</v>
      </c>
      <c r="Q1068">
        <f>ROUND(INDEX(Spending!AJ:AJ,MATCH(EOMONTH($A1068,-1),Spending!B:B,0)),2)</f>
        <v>61.75</v>
      </c>
      <c r="R1068">
        <f t="shared" si="1077"/>
        <v>2</v>
      </c>
      <c r="S1068">
        <f>ROUND(INDEX(Employment!V:V,MATCH(EOMONTH($A1068,-1),Employment!A:A,0)),2)</f>
        <v>186.48</v>
      </c>
      <c r="T1068" s="11">
        <f t="shared" si="1074"/>
        <v>2</v>
      </c>
      <c r="U1068">
        <f t="shared" si="1066"/>
        <v>28</v>
      </c>
      <c r="V1068">
        <f t="shared" si="1058"/>
        <v>83.33</v>
      </c>
      <c r="W1068" s="13">
        <f t="shared" si="1059"/>
        <v>-2.8E-3</v>
      </c>
      <c r="X1068" s="13">
        <f t="shared" si="1060"/>
        <v>-1.01E-2</v>
      </c>
      <c r="Y1068">
        <f t="shared" si="1052"/>
        <v>78.31</v>
      </c>
      <c r="Z1068" s="13">
        <f t="shared" si="1047"/>
        <v>-4.4999999999999997E-3</v>
      </c>
      <c r="AA1068" s="13">
        <f t="shared" si="1043"/>
        <v>-1.03E-2</v>
      </c>
      <c r="AB1068" s="6">
        <f t="shared" si="1053"/>
        <v>79.298000000000002</v>
      </c>
      <c r="AC1068">
        <f t="shared" si="1045"/>
        <v>40</v>
      </c>
      <c r="AD1068" s="11">
        <f t="shared" si="1046"/>
        <v>0</v>
      </c>
      <c r="AE1068">
        <f t="shared" si="1044"/>
        <v>30</v>
      </c>
      <c r="AF1068">
        <f>IF(AND(AE1068&lt;15,OR(AC1068&gt;=30,AA1068&gt;0.15,X1068&gt;=0.15)),2,VLOOKUP(AE1068,Table!P:Q,2,FALSE))</f>
        <v>4</v>
      </c>
      <c r="AG1068" s="22">
        <f>IF((AB1068*0.98)-(D1068*0.8)+((AF1068-3)*3)+VLOOKUP(AM1068,Table!$A$11:$B$13,2,FALSE)&lt;0,0,(AB1068*0.98)-(D1068*0.8)+((AF1068-3)*3)+VLOOKUP(AM1068,Table!$A$11:$B$13,2,FALSE))</f>
        <v>73.400040799999999</v>
      </c>
      <c r="AH1068" s="22">
        <f t="shared" si="1075"/>
        <v>74</v>
      </c>
      <c r="AI1068" s="18">
        <f t="shared" si="1068"/>
        <v>5.09</v>
      </c>
      <c r="AJ1068" s="18">
        <f t="shared" si="1069"/>
        <v>5.0599999999999996</v>
      </c>
      <c r="AK1068" t="str">
        <f t="shared" si="1054"/>
        <v/>
      </c>
      <c r="AL1068">
        <f t="shared" si="1065"/>
        <v>30.25</v>
      </c>
      <c r="AM1068" s="11" t="str">
        <f t="shared" si="1055"/>
        <v>Stocks</v>
      </c>
      <c r="AN1068" t="str">
        <f t="shared" si="1061"/>
        <v>Buy</v>
      </c>
      <c r="AO1068" s="13">
        <f t="shared" si="1062"/>
        <v>2.86E-2</v>
      </c>
      <c r="AP1068" s="13">
        <f t="shared" si="1063"/>
        <v>1E-3</v>
      </c>
      <c r="AQ1068" s="13">
        <f t="shared" si="1064"/>
        <v>2.1399999999999999E-2</v>
      </c>
      <c r="AR1068" s="13">
        <f t="shared" si="1056"/>
        <v>2.86E-2</v>
      </c>
      <c r="AS1068" s="6">
        <f t="shared" si="1048"/>
        <v>266.00674457497621</v>
      </c>
      <c r="AT1068" s="6">
        <f t="shared" si="1049"/>
        <v>130.41881359257786</v>
      </c>
      <c r="AU1068" s="6">
        <f t="shared" si="1050"/>
        <v>246.3660402423356</v>
      </c>
      <c r="AV1068" s="6">
        <f t="shared" si="1051"/>
        <v>266.00674457497621</v>
      </c>
      <c r="AW1068" s="58">
        <f t="shared" si="1057"/>
        <v>1998</v>
      </c>
      <c r="AX1068" s="58">
        <f>COUNTIF(AW$3:AW1068,AW1068)</f>
        <v>42</v>
      </c>
    </row>
    <row r="1069" spans="1:50" x14ac:dyDescent="0.25">
      <c r="A1069" s="5">
        <v>35862</v>
      </c>
      <c r="B1069">
        <v>1055.69</v>
      </c>
      <c r="C1069">
        <v>5.08</v>
      </c>
      <c r="D1069" s="6">
        <v>18.549999</v>
      </c>
      <c r="E1069" s="18">
        <f t="shared" si="1070"/>
        <v>19.13</v>
      </c>
      <c r="F1069">
        <f t="shared" si="1071"/>
        <v>-1</v>
      </c>
      <c r="G1069" s="18">
        <f>ROUND(INDEX(Valuation!U:U,MATCH(A1069,Valuation!A:A,0)),2)</f>
        <v>67.53</v>
      </c>
      <c r="H1069">
        <f t="shared" si="1078"/>
        <v>-1</v>
      </c>
      <c r="I1069" s="18">
        <f>INDEX(WeeklyIndicators!Y:Y,MATCH(A1069,WeeklyIndicators!A:A,0))</f>
        <v>128.77000000000001</v>
      </c>
      <c r="J1069">
        <f t="shared" si="1067"/>
        <v>0</v>
      </c>
      <c r="K1069">
        <f>ROUND(INDEX(Economic!AF:AF,MATCH(EOMONTH($A1069,-1),Economic!A:A,0)),2)</f>
        <v>132.41999999999999</v>
      </c>
      <c r="L1069" s="11">
        <f t="shared" si="1076"/>
        <v>2</v>
      </c>
      <c r="M1069">
        <f>ROUND(INDEX(Manufacturing!P:P,MATCH(EOMONTH($A1069,-1),Manufacturing!A:A,0)),2)</f>
        <v>115.67</v>
      </c>
      <c r="N1069">
        <f t="shared" si="1072"/>
        <v>3</v>
      </c>
      <c r="O1069">
        <f>ROUND(INDEX(Housing!AC:AC,MATCH(EOMONTH($A1069,-1),Housing!B:B,0)),2)</f>
        <v>126.81</v>
      </c>
      <c r="P1069">
        <f t="shared" si="1073"/>
        <v>1</v>
      </c>
      <c r="Q1069">
        <f>ROUND(INDEX(Spending!AJ:AJ,MATCH(EOMONTH($A1069,-1),Spending!B:B,0)),2)</f>
        <v>61.75</v>
      </c>
      <c r="R1069">
        <f t="shared" si="1077"/>
        <v>2</v>
      </c>
      <c r="S1069">
        <f>ROUND(INDEX(Employment!V:V,MATCH(EOMONTH($A1069,-1),Employment!A:A,0)),2)</f>
        <v>186.48</v>
      </c>
      <c r="T1069" s="11">
        <f t="shared" si="1074"/>
        <v>2</v>
      </c>
      <c r="U1069">
        <f t="shared" si="1066"/>
        <v>28</v>
      </c>
      <c r="V1069">
        <f t="shared" si="1058"/>
        <v>83.59</v>
      </c>
      <c r="W1069" s="13">
        <f t="shared" si="1059"/>
        <v>-5.9999999999999995E-4</v>
      </c>
      <c r="X1069" s="13">
        <f t="shared" si="1060"/>
        <v>-1.9E-2</v>
      </c>
      <c r="Y1069">
        <f t="shared" si="1052"/>
        <v>78.77</v>
      </c>
      <c r="Z1069" s="13">
        <f t="shared" si="1047"/>
        <v>-1.1000000000000001E-3</v>
      </c>
      <c r="AA1069" s="13">
        <f t="shared" si="1043"/>
        <v>-1.66E-2</v>
      </c>
      <c r="AB1069" s="6">
        <f t="shared" si="1053"/>
        <v>79.503</v>
      </c>
      <c r="AC1069">
        <f t="shared" si="1045"/>
        <v>40</v>
      </c>
      <c r="AD1069" s="11">
        <f t="shared" si="1046"/>
        <v>0</v>
      </c>
      <c r="AE1069">
        <f t="shared" si="1044"/>
        <v>30</v>
      </c>
      <c r="AF1069">
        <f>IF(AND(AE1069&lt;15,OR(AC1069&gt;=30,AA1069&gt;0.15,X1069&gt;=0.15)),2,VLOOKUP(AE1069,Table!P:Q,2,FALSE))</f>
        <v>4</v>
      </c>
      <c r="AG1069" s="22">
        <f>IF((AB1069*0.98)-(D1069*0.8)+((AF1069-3)*3)+VLOOKUP(AM1069,Table!$A$11:$B$13,2,FALSE)&lt;0,0,(AB1069*0.98)-(D1069*0.8)+((AF1069-3)*3)+VLOOKUP(AM1069,Table!$A$11:$B$13,2,FALSE))</f>
        <v>74.072940799999998</v>
      </c>
      <c r="AH1069" s="22">
        <f t="shared" si="1075"/>
        <v>74</v>
      </c>
      <c r="AI1069" s="18">
        <f t="shared" si="1068"/>
        <v>5.0999999999999996</v>
      </c>
      <c r="AJ1069" s="18">
        <f t="shared" si="1069"/>
        <v>5.0599999999999996</v>
      </c>
      <c r="AK1069" t="str">
        <f t="shared" si="1054"/>
        <v/>
      </c>
      <c r="AL1069">
        <f t="shared" si="1065"/>
        <v>30.25</v>
      </c>
      <c r="AM1069" s="11" t="str">
        <f t="shared" si="1055"/>
        <v>Stocks</v>
      </c>
      <c r="AN1069" t="str">
        <f t="shared" si="1061"/>
        <v>Buy</v>
      </c>
      <c r="AO1069" s="13">
        <f t="shared" si="1062"/>
        <v>1.2200000000000001E-2</v>
      </c>
      <c r="AP1069" s="13">
        <f t="shared" si="1063"/>
        <v>1E-3</v>
      </c>
      <c r="AQ1069" s="13">
        <f t="shared" si="1064"/>
        <v>9.2999999999999992E-3</v>
      </c>
      <c r="AR1069" s="13">
        <f t="shared" si="1056"/>
        <v>1.2200000000000001E-2</v>
      </c>
      <c r="AS1069" s="6">
        <f t="shared" si="1048"/>
        <v>262.80057752912091</v>
      </c>
      <c r="AT1069" s="6">
        <f t="shared" si="1049"/>
        <v>130.28852506751036</v>
      </c>
      <c r="AU1069" s="6">
        <f t="shared" si="1050"/>
        <v>244.09594792661804</v>
      </c>
      <c r="AV1069" s="6">
        <f t="shared" si="1051"/>
        <v>262.80057752912091</v>
      </c>
      <c r="AW1069" s="58">
        <f t="shared" si="1057"/>
        <v>1998</v>
      </c>
      <c r="AX1069" s="58">
        <f>COUNTIF(AW$3:AW1069,AW1069)</f>
        <v>43</v>
      </c>
    </row>
    <row r="1070" spans="1:50" x14ac:dyDescent="0.25">
      <c r="A1070" s="5">
        <v>35855</v>
      </c>
      <c r="B1070">
        <v>1049.3399999999999</v>
      </c>
      <c r="C1070">
        <v>5.16</v>
      </c>
      <c r="D1070" s="6">
        <v>19</v>
      </c>
      <c r="E1070" s="18">
        <f t="shared" si="1070"/>
        <v>19.78</v>
      </c>
      <c r="F1070">
        <f t="shared" si="1071"/>
        <v>-1</v>
      </c>
      <c r="G1070" s="18">
        <f>ROUND(INDEX(Valuation!U:U,MATCH(A1070,Valuation!A:A,0)),2)</f>
        <v>70.14</v>
      </c>
      <c r="H1070">
        <f t="shared" si="1078"/>
        <v>-1</v>
      </c>
      <c r="I1070" s="18">
        <f>INDEX(WeeklyIndicators!Y:Y,MATCH(A1070,WeeklyIndicators!A:A,0))</f>
        <v>125.99</v>
      </c>
      <c r="J1070">
        <f t="shared" si="1067"/>
        <v>0</v>
      </c>
      <c r="K1070">
        <f>ROUND(INDEX(Economic!AF:AF,MATCH(EOMONTH($A1070,-1),Economic!A:A,0)),2)</f>
        <v>132.41999999999999</v>
      </c>
      <c r="L1070" s="11">
        <f t="shared" si="1076"/>
        <v>2</v>
      </c>
      <c r="M1070">
        <f>ROUND(INDEX(Manufacturing!P:P,MATCH(EOMONTH($A1070,-1),Manufacturing!A:A,0)),2)</f>
        <v>115.67</v>
      </c>
      <c r="N1070">
        <f t="shared" si="1072"/>
        <v>3</v>
      </c>
      <c r="O1070">
        <f>ROUND(INDEX(Housing!AC:AC,MATCH(EOMONTH($A1070,-1),Housing!B:B,0)),2)</f>
        <v>126.81</v>
      </c>
      <c r="P1070">
        <f t="shared" si="1073"/>
        <v>1</v>
      </c>
      <c r="Q1070">
        <f>ROUND(INDEX(Spending!AJ:AJ,MATCH(EOMONTH($A1070,-1),Spending!B:B,0)),2)</f>
        <v>61.75</v>
      </c>
      <c r="R1070">
        <f t="shared" si="1077"/>
        <v>2</v>
      </c>
      <c r="S1070">
        <f>ROUND(INDEX(Employment!V:V,MATCH(EOMONTH($A1070,-1),Employment!A:A,0)),2)</f>
        <v>186.48</v>
      </c>
      <c r="T1070" s="11">
        <f t="shared" si="1074"/>
        <v>2</v>
      </c>
      <c r="U1070">
        <f t="shared" si="1066"/>
        <v>28</v>
      </c>
      <c r="V1070">
        <f t="shared" si="1058"/>
        <v>83.3</v>
      </c>
      <c r="W1070" s="13">
        <f t="shared" si="1059"/>
        <v>-3.2000000000000002E-3</v>
      </c>
      <c r="X1070" s="13">
        <f t="shared" si="1060"/>
        <v>-3.0499999999999999E-2</v>
      </c>
      <c r="Y1070">
        <f t="shared" si="1052"/>
        <v>78.540000000000006</v>
      </c>
      <c r="Z1070" s="13">
        <f t="shared" si="1047"/>
        <v>-3.7000000000000002E-3</v>
      </c>
      <c r="AA1070" s="13">
        <f t="shared" si="1043"/>
        <v>-2.3E-2</v>
      </c>
      <c r="AB1070" s="6">
        <f t="shared" si="1053"/>
        <v>78.983999999999995</v>
      </c>
      <c r="AC1070">
        <f t="shared" si="1045"/>
        <v>39</v>
      </c>
      <c r="AD1070" s="11">
        <f t="shared" si="1046"/>
        <v>0</v>
      </c>
      <c r="AE1070">
        <f t="shared" si="1044"/>
        <v>30</v>
      </c>
      <c r="AF1070">
        <f>IF(AND(AE1070&lt;15,OR(AC1070&gt;=30,AA1070&gt;0.15,X1070&gt;=0.15)),2,VLOOKUP(AE1070,Table!P:Q,2,FALSE))</f>
        <v>4</v>
      </c>
      <c r="AG1070" s="22">
        <f>IF((AB1070*0.98)-(D1070*0.8)+((AF1070-3)*3)+VLOOKUP(AM1070,Table!$A$11:$B$13,2,FALSE)&lt;0,0,(AB1070*0.98)-(D1070*0.8)+((AF1070-3)*3)+VLOOKUP(AM1070,Table!$A$11:$B$13,2,FALSE))</f>
        <v>73.204319999999996</v>
      </c>
      <c r="AH1070" s="22">
        <f t="shared" si="1075"/>
        <v>73</v>
      </c>
      <c r="AI1070" s="18">
        <f t="shared" si="1068"/>
        <v>5.0999999999999996</v>
      </c>
      <c r="AJ1070" s="18">
        <f t="shared" si="1069"/>
        <v>5.05</v>
      </c>
      <c r="AK1070" t="str">
        <f t="shared" si="1054"/>
        <v/>
      </c>
      <c r="AL1070">
        <f t="shared" si="1065"/>
        <v>30.5</v>
      </c>
      <c r="AM1070" s="11" t="str">
        <f t="shared" si="1055"/>
        <v>Stocks</v>
      </c>
      <c r="AN1070" t="str">
        <f t="shared" si="1061"/>
        <v>Buy</v>
      </c>
      <c r="AO1070" s="13">
        <f t="shared" si="1062"/>
        <v>6.1000000000000004E-3</v>
      </c>
      <c r="AP1070" s="13">
        <f t="shared" si="1063"/>
        <v>1E-3</v>
      </c>
      <c r="AQ1070" s="13">
        <f t="shared" si="1064"/>
        <v>4.7000000000000002E-3</v>
      </c>
      <c r="AR1070" s="13">
        <f t="shared" si="1056"/>
        <v>6.1000000000000004E-3</v>
      </c>
      <c r="AS1070" s="6">
        <f t="shared" si="1048"/>
        <v>261.2072135266086</v>
      </c>
      <c r="AT1070" s="6">
        <f t="shared" si="1049"/>
        <v>130.15836670080958</v>
      </c>
      <c r="AU1070" s="6">
        <f t="shared" si="1050"/>
        <v>242.95406382663288</v>
      </c>
      <c r="AV1070" s="6">
        <f t="shared" si="1051"/>
        <v>261.2072135266086</v>
      </c>
      <c r="AW1070" s="58">
        <f t="shared" si="1057"/>
        <v>1998</v>
      </c>
      <c r="AX1070" s="58">
        <f>COUNTIF(AW$3:AW1070,AW1070)</f>
        <v>44</v>
      </c>
    </row>
    <row r="1071" spans="1:50" x14ac:dyDescent="0.25">
      <c r="A1071" s="5">
        <v>35848</v>
      </c>
      <c r="B1071">
        <v>1034.21</v>
      </c>
      <c r="C1071">
        <v>5.0599999999999996</v>
      </c>
      <c r="D1071" s="6">
        <v>19.84</v>
      </c>
      <c r="E1071" s="18">
        <f t="shared" si="1070"/>
        <v>20.61</v>
      </c>
      <c r="F1071">
        <f t="shared" si="1071"/>
        <v>-1</v>
      </c>
      <c r="G1071" s="18">
        <f>ROUND(INDEX(Valuation!U:U,MATCH(A1071,Valuation!A:A,0)),2)</f>
        <v>73.53</v>
      </c>
      <c r="H1071">
        <f t="shared" si="1078"/>
        <v>-1</v>
      </c>
      <c r="I1071" s="18">
        <f>INDEX(WeeklyIndicators!Y:Y,MATCH(A1071,WeeklyIndicators!A:A,0))</f>
        <v>121.33</v>
      </c>
      <c r="J1071">
        <f t="shared" si="1067"/>
        <v>0</v>
      </c>
      <c r="K1071">
        <f>ROUND(INDEX(Economic!AF:AF,MATCH(EOMONTH($A1071,-1),Economic!A:A,0)),2)</f>
        <v>135.05000000000001</v>
      </c>
      <c r="L1071" s="11">
        <f t="shared" si="1076"/>
        <v>2</v>
      </c>
      <c r="M1071">
        <f>ROUND(INDEX(Manufacturing!P:P,MATCH(EOMONTH($A1071,-1),Manufacturing!A:A,0)),2)</f>
        <v>118.97</v>
      </c>
      <c r="N1071">
        <f t="shared" si="1072"/>
        <v>3</v>
      </c>
      <c r="O1071">
        <f>ROUND(INDEX(Housing!AC:AC,MATCH(EOMONTH($A1071,-1),Housing!B:B,0)),2)</f>
        <v>122.2</v>
      </c>
      <c r="P1071">
        <f t="shared" si="1073"/>
        <v>1</v>
      </c>
      <c r="Q1071">
        <f>ROUND(INDEX(Spending!AJ:AJ,MATCH(EOMONTH($A1071,-1),Spending!B:B,0)),2)</f>
        <v>64.37</v>
      </c>
      <c r="R1071">
        <f t="shared" si="1077"/>
        <v>2</v>
      </c>
      <c r="S1071">
        <f>ROUND(INDEX(Employment!V:V,MATCH(EOMONTH($A1071,-1),Employment!A:A,0)),2)</f>
        <v>192.21</v>
      </c>
      <c r="T1071" s="11">
        <f t="shared" si="1074"/>
        <v>3</v>
      </c>
      <c r="U1071">
        <f t="shared" si="1066"/>
        <v>29</v>
      </c>
      <c r="V1071">
        <f t="shared" si="1058"/>
        <v>84.04</v>
      </c>
      <c r="W1071" s="13">
        <f t="shared" si="1059"/>
        <v>-3.5000000000000001E-3</v>
      </c>
      <c r="X1071" s="13">
        <f t="shared" si="1060"/>
        <v>-3.5099999999999999E-2</v>
      </c>
      <c r="Y1071">
        <f t="shared" si="1052"/>
        <v>79.37</v>
      </c>
      <c r="Z1071" s="13">
        <f t="shared" si="1047"/>
        <v>-1E-3</v>
      </c>
      <c r="AA1071" s="13">
        <f t="shared" si="1043"/>
        <v>-2.5500000000000002E-2</v>
      </c>
      <c r="AB1071" s="6">
        <f t="shared" si="1053"/>
        <v>79.962999999999994</v>
      </c>
      <c r="AC1071">
        <f t="shared" si="1045"/>
        <v>40</v>
      </c>
      <c r="AD1071" s="11">
        <f t="shared" si="1046"/>
        <v>0</v>
      </c>
      <c r="AE1071">
        <f t="shared" si="1044"/>
        <v>31</v>
      </c>
      <c r="AF1071">
        <f>IF(AND(AE1071&lt;15,OR(AC1071&gt;=30,AA1071&gt;0.15,X1071&gt;=0.15)),2,VLOOKUP(AE1071,Table!P:Q,2,FALSE))</f>
        <v>4</v>
      </c>
      <c r="AG1071" s="22">
        <f>IF((AB1071*0.98)-(D1071*0.8)+((AF1071-3)*3)+VLOOKUP(AM1071,Table!$A$11:$B$13,2,FALSE)&lt;0,0,(AB1071*0.98)-(D1071*0.8)+((AF1071-3)*3)+VLOOKUP(AM1071,Table!$A$11:$B$13,2,FALSE))</f>
        <v>73.491739999999993</v>
      </c>
      <c r="AH1071" s="22">
        <f t="shared" si="1075"/>
        <v>74</v>
      </c>
      <c r="AI1071" s="18">
        <f t="shared" si="1068"/>
        <v>5.0999999999999996</v>
      </c>
      <c r="AJ1071" s="18">
        <f t="shared" si="1069"/>
        <v>5.05</v>
      </c>
      <c r="AK1071" t="str">
        <f t="shared" si="1054"/>
        <v/>
      </c>
      <c r="AL1071">
        <f t="shared" si="1065"/>
        <v>31</v>
      </c>
      <c r="AM1071" s="11" t="str">
        <f t="shared" si="1055"/>
        <v>Stocks</v>
      </c>
      <c r="AN1071" t="str">
        <f t="shared" si="1061"/>
        <v>Buy</v>
      </c>
      <c r="AO1071" s="13">
        <f t="shared" si="1062"/>
        <v>1.46E-2</v>
      </c>
      <c r="AP1071" s="13">
        <f t="shared" si="1063"/>
        <v>1E-3</v>
      </c>
      <c r="AQ1071" s="13">
        <f t="shared" si="1064"/>
        <v>1.11E-2</v>
      </c>
      <c r="AR1071" s="13">
        <f t="shared" si="1056"/>
        <v>1.46E-2</v>
      </c>
      <c r="AS1071" s="6">
        <f t="shared" si="1048"/>
        <v>257.44846592411653</v>
      </c>
      <c r="AT1071" s="6">
        <f t="shared" si="1049"/>
        <v>130.02833836244716</v>
      </c>
      <c r="AU1071" s="6">
        <f t="shared" si="1050"/>
        <v>240.28687946457606</v>
      </c>
      <c r="AV1071" s="6">
        <f t="shared" si="1051"/>
        <v>257.44846592411653</v>
      </c>
      <c r="AW1071" s="58">
        <f t="shared" si="1057"/>
        <v>1998</v>
      </c>
      <c r="AX1071" s="58">
        <f>COUNTIF(AW$3:AW1071,AW1071)</f>
        <v>45</v>
      </c>
    </row>
    <row r="1072" spans="1:50" x14ac:dyDescent="0.25">
      <c r="A1072" s="5">
        <v>35841</v>
      </c>
      <c r="B1072">
        <v>1020.09</v>
      </c>
      <c r="C1072">
        <v>5.07</v>
      </c>
      <c r="D1072" s="6">
        <v>20.51</v>
      </c>
      <c r="E1072" s="18">
        <f t="shared" si="1070"/>
        <v>21.77</v>
      </c>
      <c r="F1072">
        <f t="shared" si="1071"/>
        <v>-1</v>
      </c>
      <c r="G1072" s="18">
        <f>ROUND(INDEX(Valuation!U:U,MATCH(A1072,Valuation!A:A,0)),2)</f>
        <v>76.569999999999993</v>
      </c>
      <c r="H1072">
        <f t="shared" si="1078"/>
        <v>-1</v>
      </c>
      <c r="I1072" s="18">
        <f>INDEX(WeeklyIndicators!Y:Y,MATCH(A1072,WeeklyIndicators!A:A,0))</f>
        <v>118.51</v>
      </c>
      <c r="J1072">
        <f t="shared" si="1067"/>
        <v>-1</v>
      </c>
      <c r="K1072">
        <f>ROUND(INDEX(Economic!AF:AF,MATCH(EOMONTH($A1072,-1),Economic!A:A,0)),2)</f>
        <v>135.05000000000001</v>
      </c>
      <c r="L1072" s="11">
        <f t="shared" si="1076"/>
        <v>2</v>
      </c>
      <c r="M1072">
        <f>ROUND(INDEX(Manufacturing!P:P,MATCH(EOMONTH($A1072,-1),Manufacturing!A:A,0)),2)</f>
        <v>118.97</v>
      </c>
      <c r="N1072">
        <f t="shared" si="1072"/>
        <v>3</v>
      </c>
      <c r="O1072">
        <f>ROUND(INDEX(Housing!AC:AC,MATCH(EOMONTH($A1072,-1),Housing!B:B,0)),2)</f>
        <v>122.2</v>
      </c>
      <c r="P1072">
        <f t="shared" si="1073"/>
        <v>1</v>
      </c>
      <c r="Q1072">
        <f>ROUND(INDEX(Spending!AJ:AJ,MATCH(EOMONTH($A1072,-1),Spending!B:B,0)),2)</f>
        <v>64.37</v>
      </c>
      <c r="R1072">
        <f t="shared" si="1077"/>
        <v>2</v>
      </c>
      <c r="S1072">
        <f>ROUND(INDEX(Employment!V:V,MATCH(EOMONTH($A1072,-1),Employment!A:A,0)),2)</f>
        <v>192.21</v>
      </c>
      <c r="T1072" s="11">
        <f t="shared" si="1074"/>
        <v>3</v>
      </c>
      <c r="U1072">
        <f t="shared" si="1066"/>
        <v>28</v>
      </c>
      <c r="V1072">
        <f t="shared" si="1058"/>
        <v>83.75</v>
      </c>
      <c r="W1072" s="13">
        <f t="shared" si="1059"/>
        <v>-1.17E-2</v>
      </c>
      <c r="X1072" s="13">
        <f t="shared" si="1060"/>
        <v>-2.9900000000000003E-2</v>
      </c>
      <c r="Y1072">
        <f t="shared" si="1052"/>
        <v>79.02</v>
      </c>
      <c r="Z1072" s="13">
        <f t="shared" si="1047"/>
        <v>-1.0800000000000001E-2</v>
      </c>
      <c r="AA1072" s="13">
        <f t="shared" si="1043"/>
        <v>-1.7300000000000003E-2</v>
      </c>
      <c r="AB1072" s="6">
        <f t="shared" si="1053"/>
        <v>80.506999999999991</v>
      </c>
      <c r="AC1072">
        <f t="shared" si="1045"/>
        <v>40</v>
      </c>
      <c r="AD1072" s="11">
        <f t="shared" si="1046"/>
        <v>0</v>
      </c>
      <c r="AE1072">
        <f t="shared" si="1044"/>
        <v>30</v>
      </c>
      <c r="AF1072">
        <f>IF(AND(AE1072&lt;15,OR(AC1072&gt;=30,AA1072&gt;0.15,X1072&gt;=0.15)),2,VLOOKUP(AE1072,Table!P:Q,2,FALSE))</f>
        <v>4</v>
      </c>
      <c r="AG1072" s="22">
        <f>IF((AB1072*0.98)-(D1072*0.8)+((AF1072-3)*3)+VLOOKUP(AM1072,Table!$A$11:$B$13,2,FALSE)&lt;0,0,(AB1072*0.98)-(D1072*0.8)+((AF1072-3)*3)+VLOOKUP(AM1072,Table!$A$11:$B$13,2,FALSE))</f>
        <v>73.488859999999988</v>
      </c>
      <c r="AH1072" s="22">
        <f t="shared" si="1075"/>
        <v>75</v>
      </c>
      <c r="AI1072" s="18">
        <f t="shared" si="1068"/>
        <v>5.1100000000000003</v>
      </c>
      <c r="AJ1072" s="18">
        <f t="shared" si="1069"/>
        <v>5.05</v>
      </c>
      <c r="AK1072" t="str">
        <f t="shared" si="1054"/>
        <v/>
      </c>
      <c r="AL1072">
        <f t="shared" si="1065"/>
        <v>31.75</v>
      </c>
      <c r="AM1072" s="11" t="str">
        <f t="shared" si="1055"/>
        <v>Stocks</v>
      </c>
      <c r="AN1072" t="str">
        <f t="shared" si="1061"/>
        <v>Buy</v>
      </c>
      <c r="AO1072" s="13">
        <f t="shared" si="1062"/>
        <v>1.38E-2</v>
      </c>
      <c r="AP1072" s="13">
        <f t="shared" si="1063"/>
        <v>1E-3</v>
      </c>
      <c r="AQ1072" s="13">
        <f t="shared" si="1064"/>
        <v>1.06E-2</v>
      </c>
      <c r="AR1072" s="13">
        <f t="shared" si="1056"/>
        <v>1.38E-2</v>
      </c>
      <c r="AS1072" s="6">
        <f t="shared" si="1048"/>
        <v>253.94403819699795</v>
      </c>
      <c r="AT1072" s="6">
        <f t="shared" si="1049"/>
        <v>129.89843992252466</v>
      </c>
      <c r="AU1072" s="6">
        <f t="shared" si="1050"/>
        <v>237.76655399225814</v>
      </c>
      <c r="AV1072" s="6">
        <f t="shared" si="1051"/>
        <v>253.94403819699795</v>
      </c>
      <c r="AW1072" s="58">
        <f t="shared" si="1057"/>
        <v>1998</v>
      </c>
      <c r="AX1072" s="58">
        <f>COUNTIF(AW$3:AW1072,AW1072)</f>
        <v>46</v>
      </c>
    </row>
    <row r="1073" spans="1:50" x14ac:dyDescent="0.25">
      <c r="A1073" s="5">
        <v>35834</v>
      </c>
      <c r="B1073">
        <v>1012.46</v>
      </c>
      <c r="C1073">
        <v>5.05</v>
      </c>
      <c r="D1073" s="6">
        <v>21.469999000000001</v>
      </c>
      <c r="E1073" s="18">
        <f t="shared" si="1070"/>
        <v>22.15</v>
      </c>
      <c r="F1073">
        <f t="shared" si="1071"/>
        <v>-1</v>
      </c>
      <c r="G1073" s="18">
        <f>ROUND(INDEX(Valuation!U:U,MATCH(A1073,Valuation!A:A,0)),2)</f>
        <v>78.31</v>
      </c>
      <c r="H1073">
        <f t="shared" si="1078"/>
        <v>-1</v>
      </c>
      <c r="I1073" s="18">
        <f>INDEX(WeeklyIndicators!Y:Y,MATCH(A1073,WeeklyIndicators!A:A,0))</f>
        <v>121.86</v>
      </c>
      <c r="J1073">
        <f t="shared" si="1067"/>
        <v>0</v>
      </c>
      <c r="K1073">
        <f>ROUND(INDEX(Economic!AF:AF,MATCH(EOMONTH($A1073,-1),Economic!A:A,0)),2)</f>
        <v>135.05000000000001</v>
      </c>
      <c r="L1073" s="11">
        <f t="shared" si="1076"/>
        <v>2</v>
      </c>
      <c r="M1073">
        <f>ROUND(INDEX(Manufacturing!P:P,MATCH(EOMONTH($A1073,-1),Manufacturing!A:A,0)),2)</f>
        <v>118.97</v>
      </c>
      <c r="N1073">
        <f t="shared" si="1072"/>
        <v>3</v>
      </c>
      <c r="O1073">
        <f>ROUND(INDEX(Housing!AC:AC,MATCH(EOMONTH($A1073,-1),Housing!B:B,0)),2)</f>
        <v>122.2</v>
      </c>
      <c r="P1073">
        <f t="shared" si="1073"/>
        <v>1</v>
      </c>
      <c r="Q1073">
        <f>ROUND(INDEX(Spending!AJ:AJ,MATCH(EOMONTH($A1073,-1),Spending!B:B,0)),2)</f>
        <v>64.37</v>
      </c>
      <c r="R1073">
        <f t="shared" si="1077"/>
        <v>2</v>
      </c>
      <c r="S1073">
        <f>ROUND(INDEX(Employment!V:V,MATCH(EOMONTH($A1073,-1),Employment!A:A,0)),2)</f>
        <v>192.21</v>
      </c>
      <c r="T1073" s="11">
        <f t="shared" si="1074"/>
        <v>3</v>
      </c>
      <c r="U1073">
        <f t="shared" si="1066"/>
        <v>29</v>
      </c>
      <c r="V1073">
        <f t="shared" si="1058"/>
        <v>84.1</v>
      </c>
      <c r="W1073" s="13">
        <f t="shared" si="1059"/>
        <v>-1.21E-2</v>
      </c>
      <c r="X1073" s="13">
        <f t="shared" si="1060"/>
        <v>-1.2500000000000001E-2</v>
      </c>
      <c r="Y1073">
        <f t="shared" si="1052"/>
        <v>79.42</v>
      </c>
      <c r="Z1073" s="13">
        <f t="shared" si="1047"/>
        <v>-7.4999999999999997E-3</v>
      </c>
      <c r="AA1073" s="13">
        <f t="shared" si="1043"/>
        <v>-2.1000000000000003E-3</v>
      </c>
      <c r="AB1073" s="6">
        <f t="shared" si="1053"/>
        <v>82.290999999999997</v>
      </c>
      <c r="AC1073">
        <f t="shared" si="1045"/>
        <v>41</v>
      </c>
      <c r="AD1073" s="11">
        <f t="shared" si="1046"/>
        <v>0</v>
      </c>
      <c r="AE1073">
        <f t="shared" si="1044"/>
        <v>31</v>
      </c>
      <c r="AF1073">
        <f>IF(AND(AE1073&lt;15,OR(AC1073&gt;=30,AA1073&gt;0.15,X1073&gt;=0.15)),2,VLOOKUP(AE1073,Table!P:Q,2,FALSE))</f>
        <v>4</v>
      </c>
      <c r="AG1073" s="22">
        <f>IF((AB1073*0.98)-(D1073*0.8)+((AF1073-3)*3)+VLOOKUP(AM1073,Table!$A$11:$B$13,2,FALSE)&lt;0,0,(AB1073*0.98)-(D1073*0.8)+((AF1073-3)*3)+VLOOKUP(AM1073,Table!$A$11:$B$13,2,FALSE))</f>
        <v>74.46918079999999</v>
      </c>
      <c r="AH1073" s="22">
        <f t="shared" si="1075"/>
        <v>78</v>
      </c>
      <c r="AI1073" s="18">
        <f t="shared" si="1068"/>
        <v>5.1100000000000003</v>
      </c>
      <c r="AJ1073" s="18">
        <f t="shared" si="1069"/>
        <v>5.05</v>
      </c>
      <c r="AK1073" t="str">
        <f t="shared" si="1054"/>
        <v/>
      </c>
      <c r="AL1073">
        <f t="shared" si="1065"/>
        <v>32.5</v>
      </c>
      <c r="AM1073" s="11" t="str">
        <f t="shared" si="1055"/>
        <v>Stocks</v>
      </c>
      <c r="AN1073" t="str">
        <f t="shared" si="1061"/>
        <v>Buy</v>
      </c>
      <c r="AO1073" s="13">
        <f t="shared" si="1062"/>
        <v>7.4999999999999997E-3</v>
      </c>
      <c r="AP1073" s="13">
        <f t="shared" si="1063"/>
        <v>1E-3</v>
      </c>
      <c r="AQ1073" s="13">
        <f t="shared" si="1064"/>
        <v>6.1000000000000004E-3</v>
      </c>
      <c r="AR1073" s="13">
        <f t="shared" si="1056"/>
        <v>7.4999999999999997E-3</v>
      </c>
      <c r="AS1073" s="6">
        <f t="shared" si="1048"/>
        <v>252.05363592754136</v>
      </c>
      <c r="AT1073" s="6">
        <f t="shared" si="1049"/>
        <v>129.76867125127339</v>
      </c>
      <c r="AU1073" s="6">
        <f t="shared" si="1050"/>
        <v>236.32497166510103</v>
      </c>
      <c r="AV1073" s="6">
        <f t="shared" si="1051"/>
        <v>252.05363592754136</v>
      </c>
      <c r="AW1073" s="58">
        <f t="shared" si="1057"/>
        <v>1998</v>
      </c>
      <c r="AX1073" s="58">
        <f>COUNTIF(AW$3:AW1073,AW1073)</f>
        <v>47</v>
      </c>
    </row>
    <row r="1074" spans="1:50" x14ac:dyDescent="0.25">
      <c r="A1074" s="5">
        <v>35827</v>
      </c>
      <c r="B1074">
        <v>980.28</v>
      </c>
      <c r="C1074">
        <v>5.0599999999999996</v>
      </c>
      <c r="D1074" s="6">
        <v>23.32</v>
      </c>
      <c r="E1074" s="18">
        <f t="shared" si="1070"/>
        <v>24.55</v>
      </c>
      <c r="F1074">
        <f t="shared" si="1071"/>
        <v>-1</v>
      </c>
      <c r="G1074" s="18">
        <f>ROUND(INDEX(Valuation!U:U,MATCH(A1074,Valuation!A:A,0)),2)</f>
        <v>79.89</v>
      </c>
      <c r="H1074">
        <f t="shared" si="1078"/>
        <v>-1</v>
      </c>
      <c r="I1074" s="18">
        <f>INDEX(WeeklyIndicators!Y:Y,MATCH(A1074,WeeklyIndicators!A:A,0))</f>
        <v>129.88999999999999</v>
      </c>
      <c r="J1074">
        <f t="shared" si="1067"/>
        <v>0</v>
      </c>
      <c r="K1074">
        <f>ROUND(INDEX(Economic!AF:AF,MATCH(EOMONTH($A1074,-1),Economic!A:A,0)),2)</f>
        <v>135.05000000000001</v>
      </c>
      <c r="L1074" s="11">
        <f t="shared" si="1076"/>
        <v>2</v>
      </c>
      <c r="M1074">
        <f>ROUND(INDEX(Manufacturing!P:P,MATCH(EOMONTH($A1074,-1),Manufacturing!A:A,0)),2)</f>
        <v>118.97</v>
      </c>
      <c r="N1074">
        <f t="shared" si="1072"/>
        <v>3</v>
      </c>
      <c r="O1074">
        <f>ROUND(INDEX(Housing!AC:AC,MATCH(EOMONTH($A1074,-1),Housing!B:B,0)),2)</f>
        <v>122.2</v>
      </c>
      <c r="P1074">
        <f t="shared" si="1073"/>
        <v>1</v>
      </c>
      <c r="Q1074">
        <f>ROUND(INDEX(Spending!AJ:AJ,MATCH(EOMONTH($A1074,-1),Spending!B:B,0)),2)</f>
        <v>64.37</v>
      </c>
      <c r="R1074">
        <f t="shared" si="1077"/>
        <v>2</v>
      </c>
      <c r="S1074">
        <f>ROUND(INDEX(Employment!V:V,MATCH(EOMONTH($A1074,-1),Employment!A:A,0)),2)</f>
        <v>192.21</v>
      </c>
      <c r="T1074" s="11">
        <f t="shared" si="1074"/>
        <v>3</v>
      </c>
      <c r="U1074">
        <f t="shared" si="1066"/>
        <v>29</v>
      </c>
      <c r="V1074">
        <f t="shared" si="1058"/>
        <v>84.93</v>
      </c>
      <c r="W1074" s="13">
        <f t="shared" si="1059"/>
        <v>-7.7999999999999996E-3</v>
      </c>
      <c r="X1074" s="13">
        <f t="shared" si="1060"/>
        <v>4.2000000000000006E-3</v>
      </c>
      <c r="Y1074">
        <f t="shared" si="1052"/>
        <v>79.599999999999994</v>
      </c>
      <c r="Z1074" s="13">
        <f t="shared" si="1047"/>
        <v>-6.1999999999999998E-3</v>
      </c>
      <c r="AA1074" s="13">
        <f t="shared" si="1043"/>
        <v>9.4000000000000004E-3</v>
      </c>
      <c r="AB1074" s="6">
        <f t="shared" si="1053"/>
        <v>83.588999999999999</v>
      </c>
      <c r="AC1074">
        <f t="shared" si="1045"/>
        <v>42</v>
      </c>
      <c r="AD1074" s="11">
        <f t="shared" si="1046"/>
        <v>1</v>
      </c>
      <c r="AE1074">
        <f t="shared" si="1044"/>
        <v>32</v>
      </c>
      <c r="AF1074">
        <f>IF(AND(AE1074&lt;15,OR(AC1074&gt;=30,AA1074&gt;0.15,X1074&gt;=0.15)),2,VLOOKUP(AE1074,Table!P:Q,2,FALSE))</f>
        <v>5</v>
      </c>
      <c r="AG1074" s="22">
        <f>IF((AB1074*0.98)-(D1074*0.8)+((AF1074-3)*3)+VLOOKUP(AM1074,Table!$A$11:$B$13,2,FALSE)&lt;0,0,(AB1074*0.98)-(D1074*0.8)+((AF1074-3)*3)+VLOOKUP(AM1074,Table!$A$11:$B$13,2,FALSE))</f>
        <v>77.261219999999994</v>
      </c>
      <c r="AH1074" s="22">
        <f t="shared" si="1075"/>
        <v>78</v>
      </c>
      <c r="AI1074" s="18">
        <f t="shared" si="1068"/>
        <v>5.12</v>
      </c>
      <c r="AJ1074" s="18">
        <f t="shared" si="1069"/>
        <v>5.05</v>
      </c>
      <c r="AK1074" t="str">
        <f t="shared" si="1054"/>
        <v/>
      </c>
      <c r="AL1074">
        <f t="shared" si="1065"/>
        <v>33</v>
      </c>
      <c r="AM1074" s="11" t="str">
        <f t="shared" si="1055"/>
        <v>Stocks</v>
      </c>
      <c r="AN1074" t="str">
        <f t="shared" si="1061"/>
        <v>Buy</v>
      </c>
      <c r="AO1074" s="13">
        <f t="shared" si="1062"/>
        <v>3.2800000000000003E-2</v>
      </c>
      <c r="AP1074" s="13">
        <f t="shared" si="1063"/>
        <v>1E-3</v>
      </c>
      <c r="AQ1074" s="13">
        <f t="shared" si="1064"/>
        <v>2.58E-2</v>
      </c>
      <c r="AR1074" s="13">
        <f t="shared" si="1056"/>
        <v>3.2800000000000003E-2</v>
      </c>
      <c r="AS1074" s="6">
        <f t="shared" si="1048"/>
        <v>244.04883416686812</v>
      </c>
      <c r="AT1074" s="6">
        <f t="shared" si="1049"/>
        <v>129.63903221905434</v>
      </c>
      <c r="AU1074" s="6">
        <f t="shared" si="1050"/>
        <v>230.38113829703747</v>
      </c>
      <c r="AV1074" s="6">
        <f t="shared" si="1051"/>
        <v>244.04883416686812</v>
      </c>
      <c r="AW1074" s="58">
        <f t="shared" si="1057"/>
        <v>1998</v>
      </c>
      <c r="AX1074" s="58">
        <f>COUNTIF(AW$3:AW1074,AW1074)</f>
        <v>48</v>
      </c>
    </row>
    <row r="1075" spans="1:50" x14ac:dyDescent="0.25">
      <c r="A1075" s="5">
        <v>35820</v>
      </c>
      <c r="B1075">
        <v>957.59</v>
      </c>
      <c r="C1075">
        <v>5.0199999999999996</v>
      </c>
      <c r="D1075" s="6">
        <v>21.65</v>
      </c>
      <c r="E1075" s="18">
        <f t="shared" si="1070"/>
        <v>24.59</v>
      </c>
      <c r="F1075">
        <f t="shared" si="1071"/>
        <v>-1</v>
      </c>
      <c r="G1075" s="18">
        <f>ROUND(INDEX(Valuation!U:U,MATCH(A1075,Valuation!A:A,0)),2)</f>
        <v>81.84</v>
      </c>
      <c r="H1075">
        <f t="shared" si="1078"/>
        <v>-1</v>
      </c>
      <c r="I1075" s="18">
        <f>INDEX(WeeklyIndicators!Y:Y,MATCH(A1075,WeeklyIndicators!A:A,0))</f>
        <v>139.04</v>
      </c>
      <c r="J1075">
        <f t="shared" si="1067"/>
        <v>1</v>
      </c>
      <c r="K1075">
        <f>ROUND(INDEX(Economic!AF:AF,MATCH(EOMONTH($A1075,-1),Economic!A:A,0)),2)</f>
        <v>139.29</v>
      </c>
      <c r="L1075" s="11">
        <f t="shared" si="1076"/>
        <v>3</v>
      </c>
      <c r="M1075">
        <f>ROUND(INDEX(Manufacturing!P:P,MATCH(EOMONTH($A1075,-1),Manufacturing!A:A,0)),2)</f>
        <v>119.62</v>
      </c>
      <c r="N1075">
        <f t="shared" si="1072"/>
        <v>3</v>
      </c>
      <c r="O1075">
        <f>ROUND(INDEX(Housing!AC:AC,MATCH(EOMONTH($A1075,-1),Housing!B:B,0)),2)</f>
        <v>118.71</v>
      </c>
      <c r="P1075">
        <f t="shared" si="1073"/>
        <v>1</v>
      </c>
      <c r="Q1075">
        <f>ROUND(INDEX(Spending!AJ:AJ,MATCH(EOMONTH($A1075,-1),Spending!B:B,0)),2)</f>
        <v>64.83</v>
      </c>
      <c r="R1075">
        <f t="shared" si="1077"/>
        <v>2</v>
      </c>
      <c r="S1075">
        <f>ROUND(INDEX(Employment!V:V,MATCH(EOMONTH($A1075,-1),Employment!A:A,0)),2)</f>
        <v>196.63</v>
      </c>
      <c r="T1075" s="11">
        <f t="shared" si="1074"/>
        <v>3</v>
      </c>
      <c r="U1075">
        <f t="shared" si="1066"/>
        <v>31</v>
      </c>
      <c r="V1075">
        <f t="shared" si="1058"/>
        <v>86.75</v>
      </c>
      <c r="W1075" s="13">
        <f t="shared" si="1059"/>
        <v>1.6999999999999999E-3</v>
      </c>
      <c r="X1075" s="13">
        <f t="shared" si="1060"/>
        <v>1.35E-2</v>
      </c>
      <c r="Y1075">
        <f t="shared" si="1052"/>
        <v>81.61</v>
      </c>
      <c r="Z1075" s="13">
        <f t="shared" si="1047"/>
        <v>7.1999999999999998E-3</v>
      </c>
      <c r="AA1075" s="13">
        <f t="shared" ref="AA1075:AA1138" si="1079">SUM(Z1075:Z1078)</f>
        <v>1.3299999999999999E-2</v>
      </c>
      <c r="AB1075" s="6">
        <f t="shared" si="1053"/>
        <v>86.213999999999999</v>
      </c>
      <c r="AC1075">
        <f t="shared" si="1045"/>
        <v>43</v>
      </c>
      <c r="AD1075" s="11">
        <f t="shared" si="1046"/>
        <v>1</v>
      </c>
      <c r="AE1075">
        <f t="shared" si="1044"/>
        <v>34</v>
      </c>
      <c r="AF1075">
        <f>IF(AND(AE1075&lt;15,OR(AC1075&gt;=30,AA1075&gt;0.15,X1075&gt;=0.15)),2,VLOOKUP(AE1075,Table!P:Q,2,FALSE))</f>
        <v>5</v>
      </c>
      <c r="AG1075" s="22">
        <f>IF((AB1075*0.98)-(D1075*0.8)+((AF1075-3)*3)+VLOOKUP(AM1075,Table!$A$11:$B$13,2,FALSE)&lt;0,0,(AB1075*0.98)-(D1075*0.8)+((AF1075-3)*3)+VLOOKUP(AM1075,Table!$A$11:$B$13,2,FALSE))</f>
        <v>81.169719999999984</v>
      </c>
      <c r="AH1075" s="22">
        <f t="shared" si="1075"/>
        <v>79</v>
      </c>
      <c r="AI1075" s="18">
        <f t="shared" si="1068"/>
        <v>5.12</v>
      </c>
      <c r="AJ1075" s="18">
        <f t="shared" si="1069"/>
        <v>5.05</v>
      </c>
      <c r="AK1075" t="str">
        <f t="shared" si="1054"/>
        <v/>
      </c>
      <c r="AL1075">
        <f t="shared" si="1065"/>
        <v>33</v>
      </c>
      <c r="AM1075" s="11" t="str">
        <f t="shared" si="1055"/>
        <v>Stocks</v>
      </c>
      <c r="AN1075" t="str">
        <f t="shared" si="1061"/>
        <v>Buy</v>
      </c>
      <c r="AO1075" s="13">
        <f t="shared" si="1062"/>
        <v>2.3699999999999999E-2</v>
      </c>
      <c r="AP1075" s="13">
        <f t="shared" si="1063"/>
        <v>1E-3</v>
      </c>
      <c r="AQ1075" s="13">
        <f t="shared" si="1064"/>
        <v>1.89E-2</v>
      </c>
      <c r="AR1075" s="13">
        <f t="shared" si="1056"/>
        <v>2.3699999999999999E-2</v>
      </c>
      <c r="AS1075" s="6">
        <f t="shared" si="1048"/>
        <v>238.39878300954197</v>
      </c>
      <c r="AT1075" s="6">
        <f t="shared" si="1049"/>
        <v>129.509522696358</v>
      </c>
      <c r="AU1075" s="6">
        <f t="shared" si="1050"/>
        <v>226.10770271571056</v>
      </c>
      <c r="AV1075" s="6">
        <f t="shared" si="1051"/>
        <v>238.39878300954197</v>
      </c>
      <c r="AW1075" s="58">
        <f t="shared" si="1057"/>
        <v>1998</v>
      </c>
      <c r="AX1075" s="58">
        <f>COUNTIF(AW$3:AW1075,AW1075)</f>
        <v>49</v>
      </c>
    </row>
    <row r="1076" spans="1:50" x14ac:dyDescent="0.25">
      <c r="A1076" s="5">
        <v>35813</v>
      </c>
      <c r="B1076">
        <v>961.51</v>
      </c>
      <c r="C1076">
        <v>5</v>
      </c>
      <c r="D1076" s="6">
        <v>28.690000999999999</v>
      </c>
      <c r="E1076" s="18">
        <f t="shared" si="1070"/>
        <v>27.13</v>
      </c>
      <c r="F1076">
        <f t="shared" si="1071"/>
        <v>-2</v>
      </c>
      <c r="G1076" s="18">
        <f>ROUND(INDEX(Valuation!U:U,MATCH(A1076,Valuation!A:A,0)),2)</f>
        <v>82.07</v>
      </c>
      <c r="H1076">
        <f t="shared" si="1078"/>
        <v>-1</v>
      </c>
      <c r="I1076" s="18">
        <f>INDEX(WeeklyIndicators!Y:Y,MATCH(A1076,WeeklyIndicators!A:A,0))</f>
        <v>143.66999999999999</v>
      </c>
      <c r="J1076">
        <f t="shared" si="1067"/>
        <v>1</v>
      </c>
      <c r="K1076">
        <f>ROUND(INDEX(Economic!AF:AF,MATCH(EOMONTH($A1076,-1),Economic!A:A,0)),2)</f>
        <v>139.29</v>
      </c>
      <c r="L1076" s="11">
        <f t="shared" si="1076"/>
        <v>3</v>
      </c>
      <c r="M1076">
        <f>ROUND(INDEX(Manufacturing!P:P,MATCH(EOMONTH($A1076,-1),Manufacturing!A:A,0)),2)</f>
        <v>119.62</v>
      </c>
      <c r="N1076">
        <f t="shared" si="1072"/>
        <v>3</v>
      </c>
      <c r="O1076">
        <f>ROUND(INDEX(Housing!AC:AC,MATCH(EOMONTH($A1076,-1),Housing!B:B,0)),2)</f>
        <v>118.71</v>
      </c>
      <c r="P1076">
        <f t="shared" si="1073"/>
        <v>1</v>
      </c>
      <c r="Q1076">
        <f>ROUND(INDEX(Spending!AJ:AJ,MATCH(EOMONTH($A1076,-1),Spending!B:B,0)),2)</f>
        <v>64.83</v>
      </c>
      <c r="R1076">
        <f t="shared" si="1077"/>
        <v>2</v>
      </c>
      <c r="S1076">
        <f>ROUND(INDEX(Employment!V:V,MATCH(EOMONTH($A1076,-1),Employment!A:A,0)),2)</f>
        <v>196.63</v>
      </c>
      <c r="T1076" s="11">
        <f t="shared" si="1074"/>
        <v>3</v>
      </c>
      <c r="U1076">
        <f t="shared" si="1066"/>
        <v>30</v>
      </c>
      <c r="V1076">
        <f t="shared" si="1058"/>
        <v>87.23</v>
      </c>
      <c r="W1076" s="13">
        <f t="shared" si="1059"/>
        <v>5.7000000000000002E-3</v>
      </c>
      <c r="X1076" s="13">
        <f t="shared" si="1060"/>
        <v>1.21E-2</v>
      </c>
      <c r="Y1076">
        <f t="shared" si="1052"/>
        <v>81.23</v>
      </c>
      <c r="Z1076" s="13">
        <f t="shared" si="1047"/>
        <v>4.4000000000000003E-3</v>
      </c>
      <c r="AA1076" s="13">
        <f t="shared" si="1079"/>
        <v>1.14E-2</v>
      </c>
      <c r="AB1076" s="6">
        <f t="shared" si="1053"/>
        <v>85.72699999999999</v>
      </c>
      <c r="AC1076">
        <f t="shared" si="1045"/>
        <v>43</v>
      </c>
      <c r="AD1076" s="11">
        <f t="shared" si="1046"/>
        <v>1</v>
      </c>
      <c r="AE1076">
        <f t="shared" si="1044"/>
        <v>33</v>
      </c>
      <c r="AF1076">
        <f>IF(AND(AE1076&lt;15,OR(AC1076&gt;=30,AA1076&gt;0.15,X1076&gt;=0.15)),2,VLOOKUP(AE1076,Table!P:Q,2,FALSE))</f>
        <v>5</v>
      </c>
      <c r="AG1076" s="22">
        <f>IF((AB1076*0.98)-(D1076*0.8)+((AF1076-3)*3)+VLOOKUP(AM1076,Table!$A$11:$B$13,2,FALSE)&lt;0,0,(AB1076*0.98)-(D1076*0.8)+((AF1076-3)*3)+VLOOKUP(AM1076,Table!$A$11:$B$13,2,FALSE))</f>
        <v>75.060459199999997</v>
      </c>
      <c r="AH1076" s="22">
        <f t="shared" si="1075"/>
        <v>77</v>
      </c>
      <c r="AI1076" s="18">
        <f t="shared" si="1068"/>
        <v>5.1100000000000003</v>
      </c>
      <c r="AJ1076" s="18">
        <f t="shared" si="1069"/>
        <v>5.0599999999999996</v>
      </c>
      <c r="AK1076" t="str">
        <f t="shared" si="1054"/>
        <v/>
      </c>
      <c r="AL1076">
        <f t="shared" si="1065"/>
        <v>32.25</v>
      </c>
      <c r="AM1076" s="11" t="str">
        <f t="shared" si="1055"/>
        <v>Stocks</v>
      </c>
      <c r="AN1076" t="str">
        <f t="shared" si="1061"/>
        <v>Buy</v>
      </c>
      <c r="AO1076" s="13">
        <f t="shared" si="1062"/>
        <v>-4.1000000000000003E-3</v>
      </c>
      <c r="AP1076" s="13">
        <f t="shared" si="1063"/>
        <v>1E-3</v>
      </c>
      <c r="AQ1076" s="13">
        <f t="shared" si="1064"/>
        <v>-2.8999999999999998E-3</v>
      </c>
      <c r="AR1076" s="13">
        <f t="shared" si="1056"/>
        <v>-4.1000000000000003E-3</v>
      </c>
      <c r="AS1076" s="6">
        <f t="shared" si="1048"/>
        <v>239.38024200174914</v>
      </c>
      <c r="AT1076" s="6">
        <f t="shared" si="1049"/>
        <v>129.38014255380421</v>
      </c>
      <c r="AU1076" s="6">
        <f t="shared" si="1050"/>
        <v>226.7653221499454</v>
      </c>
      <c r="AV1076" s="6">
        <f t="shared" si="1051"/>
        <v>239.38024200174914</v>
      </c>
      <c r="AW1076" s="58">
        <f t="shared" si="1057"/>
        <v>1998</v>
      </c>
      <c r="AX1076" s="58">
        <f>COUNTIF(AW$3:AW1076,AW1076)</f>
        <v>50</v>
      </c>
    </row>
    <row r="1077" spans="1:50" x14ac:dyDescent="0.25">
      <c r="A1077" s="5">
        <v>35806</v>
      </c>
      <c r="B1077">
        <v>927.69</v>
      </c>
      <c r="C1077">
        <v>5.04</v>
      </c>
      <c r="D1077" s="6">
        <v>23.42</v>
      </c>
      <c r="E1077" s="18">
        <f t="shared" si="1070"/>
        <v>27.29</v>
      </c>
      <c r="F1077">
        <f t="shared" si="1071"/>
        <v>-2</v>
      </c>
      <c r="G1077" s="18">
        <f>ROUND(INDEX(Valuation!U:U,MATCH(A1077,Valuation!A:A,0)),2)</f>
        <v>83.86</v>
      </c>
      <c r="H1077">
        <f t="shared" si="1078"/>
        <v>-1</v>
      </c>
      <c r="I1077" s="18">
        <f>INDEX(WeeklyIndicators!Y:Y,MATCH(A1077,WeeklyIndicators!A:A,0))</f>
        <v>141.16999999999999</v>
      </c>
      <c r="J1077">
        <f t="shared" si="1067"/>
        <v>1</v>
      </c>
      <c r="K1077">
        <f>ROUND(INDEX(Economic!AF:AF,MATCH(EOMONTH($A1077,-1),Economic!A:A,0)),2)</f>
        <v>139.29</v>
      </c>
      <c r="L1077" s="11">
        <f t="shared" si="1076"/>
        <v>3</v>
      </c>
      <c r="M1077">
        <f>ROUND(INDEX(Manufacturing!P:P,MATCH(EOMONTH($A1077,-1),Manufacturing!A:A,0)),2)</f>
        <v>119.62</v>
      </c>
      <c r="N1077">
        <f t="shared" si="1072"/>
        <v>3</v>
      </c>
      <c r="O1077">
        <f>ROUND(INDEX(Housing!AC:AC,MATCH(EOMONTH($A1077,-1),Housing!B:B,0)),2)</f>
        <v>118.71</v>
      </c>
      <c r="P1077">
        <f t="shared" si="1073"/>
        <v>1</v>
      </c>
      <c r="Q1077">
        <f>ROUND(INDEX(Spending!AJ:AJ,MATCH(EOMONTH($A1077,-1),Spending!B:B,0)),2)</f>
        <v>64.83</v>
      </c>
      <c r="R1077">
        <f t="shared" si="1077"/>
        <v>2</v>
      </c>
      <c r="S1077">
        <f>ROUND(INDEX(Employment!V:V,MATCH(EOMONTH($A1077,-1),Employment!A:A,0)),2)</f>
        <v>196.63</v>
      </c>
      <c r="T1077" s="11">
        <f t="shared" si="1074"/>
        <v>3</v>
      </c>
      <c r="U1077">
        <f t="shared" si="1066"/>
        <v>30</v>
      </c>
      <c r="V1077">
        <f t="shared" si="1058"/>
        <v>86.97</v>
      </c>
      <c r="W1077" s="13">
        <f t="shared" si="1059"/>
        <v>4.5999999999999999E-3</v>
      </c>
      <c r="X1077" s="13">
        <f t="shared" si="1060"/>
        <v>1.6399999999999998E-2</v>
      </c>
      <c r="Y1077">
        <f t="shared" si="1052"/>
        <v>81.12</v>
      </c>
      <c r="Z1077" s="13">
        <f t="shared" si="1047"/>
        <v>4.0000000000000001E-3</v>
      </c>
      <c r="AA1077" s="13">
        <f t="shared" si="1079"/>
        <v>2.58E-2</v>
      </c>
      <c r="AB1077" s="6">
        <f t="shared" si="1053"/>
        <v>86.795999999999992</v>
      </c>
      <c r="AC1077">
        <f t="shared" si="1045"/>
        <v>43</v>
      </c>
      <c r="AD1077" s="11">
        <f t="shared" si="1046"/>
        <v>1</v>
      </c>
      <c r="AE1077">
        <f t="shared" si="1044"/>
        <v>33</v>
      </c>
      <c r="AF1077">
        <f>IF(AND(AE1077&lt;15,OR(AC1077&gt;=30,AA1077&gt;0.15,X1077&gt;=0.15)),2,VLOOKUP(AE1077,Table!P:Q,2,FALSE))</f>
        <v>5</v>
      </c>
      <c r="AG1077" s="22">
        <f>IF((AB1077*0.98)-(D1077*0.8)+((AF1077-3)*3)+VLOOKUP(AM1077,Table!$A$11:$B$13,2,FALSE)&lt;0,0,(AB1077*0.98)-(D1077*0.8)+((AF1077-3)*3)+VLOOKUP(AM1077,Table!$A$11:$B$13,2,FALSE))</f>
        <v>80.324079999999981</v>
      </c>
      <c r="AH1077" s="22">
        <f t="shared" si="1075"/>
        <v>77</v>
      </c>
      <c r="AI1077" s="18">
        <f t="shared" si="1068"/>
        <v>5.1100000000000003</v>
      </c>
      <c r="AJ1077" s="18">
        <f t="shared" si="1069"/>
        <v>5.0599999999999996</v>
      </c>
      <c r="AK1077" t="str">
        <f t="shared" si="1054"/>
        <v/>
      </c>
      <c r="AL1077">
        <f t="shared" si="1065"/>
        <v>31.75</v>
      </c>
      <c r="AM1077" s="11" t="str">
        <f t="shared" si="1055"/>
        <v>Stocks</v>
      </c>
      <c r="AN1077" t="str">
        <f t="shared" si="1061"/>
        <v>Buy</v>
      </c>
      <c r="AO1077" s="13">
        <f t="shared" si="1062"/>
        <v>3.6499999999999998E-2</v>
      </c>
      <c r="AP1077" s="13">
        <f t="shared" si="1063"/>
        <v>1E-3</v>
      </c>
      <c r="AQ1077" s="13">
        <f t="shared" si="1064"/>
        <v>2.8299999999999999E-2</v>
      </c>
      <c r="AR1077" s="13">
        <f t="shared" si="1056"/>
        <v>3.6499999999999998E-2</v>
      </c>
      <c r="AS1077" s="6">
        <f t="shared" si="1048"/>
        <v>230.95054703497263</v>
      </c>
      <c r="AT1077" s="6">
        <f t="shared" si="1049"/>
        <v>129.25089166214207</v>
      </c>
      <c r="AU1077" s="6">
        <f t="shared" si="1050"/>
        <v>220.52447938339532</v>
      </c>
      <c r="AV1077" s="6">
        <f t="shared" si="1051"/>
        <v>230.95054703497263</v>
      </c>
      <c r="AW1077" s="58">
        <f t="shared" si="1057"/>
        <v>1998</v>
      </c>
      <c r="AX1077" s="58">
        <f>COUNTIF(AW$3:AW1077,AW1077)</f>
        <v>51</v>
      </c>
    </row>
    <row r="1078" spans="1:50" x14ac:dyDescent="0.25">
      <c r="A1078" s="5">
        <v>35799</v>
      </c>
      <c r="B1078">
        <v>975.04</v>
      </c>
      <c r="C1078">
        <v>5.24</v>
      </c>
      <c r="D1078" s="6">
        <v>29.27</v>
      </c>
      <c r="E1078" s="18">
        <f t="shared" si="1070"/>
        <v>28.79</v>
      </c>
      <c r="F1078">
        <f t="shared" si="1071"/>
        <v>-2</v>
      </c>
      <c r="G1078" s="18">
        <f>ROUND(INDEX(Valuation!U:U,MATCH(A1078,Valuation!A:A,0)),2)</f>
        <v>83.24</v>
      </c>
      <c r="H1078">
        <f t="shared" si="1078"/>
        <v>-1</v>
      </c>
      <c r="I1078" s="18">
        <f>INDEX(WeeklyIndicators!Y:Y,MATCH(A1078,WeeklyIndicators!A:A,0))</f>
        <v>134.79</v>
      </c>
      <c r="J1078">
        <f t="shared" si="1067"/>
        <v>0</v>
      </c>
      <c r="K1078">
        <f>ROUND(INDEX(Economic!AF:AF,MATCH(EOMONTH($A1078,-1),Economic!A:A,0)),2)</f>
        <v>139.29</v>
      </c>
      <c r="L1078" s="11">
        <f t="shared" si="1076"/>
        <v>3</v>
      </c>
      <c r="M1078">
        <f>ROUND(INDEX(Manufacturing!P:P,MATCH(EOMONTH($A1078,-1),Manufacturing!A:A,0)),2)</f>
        <v>119.62</v>
      </c>
      <c r="N1078">
        <f t="shared" si="1072"/>
        <v>3</v>
      </c>
      <c r="O1078">
        <f>ROUND(INDEX(Housing!AC:AC,MATCH(EOMONTH($A1078,-1),Housing!B:B,0)),2)</f>
        <v>118.71</v>
      </c>
      <c r="P1078">
        <f t="shared" si="1073"/>
        <v>1</v>
      </c>
      <c r="Q1078">
        <f>ROUND(INDEX(Spending!AJ:AJ,MATCH(EOMONTH($A1078,-1),Spending!B:B,0)),2)</f>
        <v>64.83</v>
      </c>
      <c r="R1078">
        <f t="shared" si="1077"/>
        <v>2</v>
      </c>
      <c r="S1078">
        <f>ROUND(INDEX(Employment!V:V,MATCH(EOMONTH($A1078,-1),Employment!A:A,0)),2)</f>
        <v>196.63</v>
      </c>
      <c r="T1078" s="11">
        <f t="shared" si="1074"/>
        <v>3</v>
      </c>
      <c r="U1078">
        <f t="shared" si="1066"/>
        <v>29</v>
      </c>
      <c r="V1078">
        <f t="shared" si="1058"/>
        <v>86.3</v>
      </c>
      <c r="W1078" s="13">
        <f t="shared" si="1059"/>
        <v>1.5E-3</v>
      </c>
      <c r="X1078" s="13">
        <f t="shared" si="1060"/>
        <v>2.4300000000000002E-2</v>
      </c>
      <c r="Y1078">
        <f t="shared" si="1052"/>
        <v>79.86</v>
      </c>
      <c r="Z1078" s="13">
        <f t="shared" si="1047"/>
        <v>-2.3E-3</v>
      </c>
      <c r="AA1078" s="13">
        <f t="shared" si="1079"/>
        <v>4.7699999999999999E-2</v>
      </c>
      <c r="AB1078" s="6">
        <f t="shared" si="1053"/>
        <v>87.004000000000005</v>
      </c>
      <c r="AC1078">
        <f t="shared" si="1045"/>
        <v>44</v>
      </c>
      <c r="AD1078" s="11">
        <f t="shared" si="1046"/>
        <v>1</v>
      </c>
      <c r="AE1078">
        <f t="shared" si="1044"/>
        <v>32</v>
      </c>
      <c r="AF1078">
        <f>IF(AND(AE1078&lt;15,OR(AC1078&gt;=30,AA1078&gt;0.15,X1078&gt;=0.15)),2,VLOOKUP(AE1078,Table!P:Q,2,FALSE))</f>
        <v>5</v>
      </c>
      <c r="AG1078" s="22">
        <f>IF((AB1078*0.98)-(D1078*0.8)+((AF1078-3)*3)+VLOOKUP(AM1078,Table!$A$11:$B$13,2,FALSE)&lt;0,0,(AB1078*0.98)-(D1078*0.8)+((AF1078-3)*3)+VLOOKUP(AM1078,Table!$A$11:$B$13,2,FALSE))</f>
        <v>75.847920000000002</v>
      </c>
      <c r="AH1078" s="22">
        <f t="shared" si="1075"/>
        <v>75</v>
      </c>
      <c r="AI1078" s="18">
        <f t="shared" si="1068"/>
        <v>5.0999999999999996</v>
      </c>
      <c r="AJ1078" s="18">
        <f t="shared" si="1069"/>
        <v>5.0599999999999996</v>
      </c>
      <c r="AK1078" t="str">
        <f t="shared" si="1054"/>
        <v>Rising Rates</v>
      </c>
      <c r="AL1078">
        <f t="shared" si="1065"/>
        <v>31.25</v>
      </c>
      <c r="AM1078" s="11" t="str">
        <f t="shared" si="1055"/>
        <v>Stocks</v>
      </c>
      <c r="AN1078" t="str">
        <f t="shared" si="1061"/>
        <v>Buy</v>
      </c>
      <c r="AO1078" s="13">
        <f t="shared" si="1062"/>
        <v>-4.8599999999999997E-2</v>
      </c>
      <c r="AP1078" s="13">
        <f t="shared" si="1063"/>
        <v>1E-3</v>
      </c>
      <c r="AQ1078" s="13">
        <f t="shared" si="1064"/>
        <v>-3.6200000000000003E-2</v>
      </c>
      <c r="AR1078" s="13">
        <f t="shared" si="1056"/>
        <v>-4.8599999999999997E-2</v>
      </c>
      <c r="AS1078" s="6">
        <f t="shared" si="1048"/>
        <v>242.7481049348041</v>
      </c>
      <c r="AT1078" s="6">
        <f t="shared" si="1049"/>
        <v>129.12176989224983</v>
      </c>
      <c r="AU1078" s="6">
        <f t="shared" si="1050"/>
        <v>228.80730378024001</v>
      </c>
      <c r="AV1078" s="6">
        <f t="shared" si="1051"/>
        <v>242.7481049348041</v>
      </c>
      <c r="AW1078" s="58">
        <f t="shared" si="1057"/>
        <v>1998</v>
      </c>
      <c r="AX1078" s="58">
        <f>COUNTIF(AW$3:AW1078,AW1078)</f>
        <v>52</v>
      </c>
    </row>
    <row r="1079" spans="1:50" x14ac:dyDescent="0.25">
      <c r="A1079" s="5">
        <v>35792</v>
      </c>
      <c r="B1079">
        <v>936.46</v>
      </c>
      <c r="C1079">
        <v>5.27</v>
      </c>
      <c r="D1079" s="6">
        <v>29.18</v>
      </c>
      <c r="E1079" s="18">
        <f t="shared" si="1070"/>
        <v>26.58</v>
      </c>
      <c r="F1079">
        <f t="shared" si="1071"/>
        <v>-2</v>
      </c>
      <c r="G1079" s="18">
        <f>ROUND(INDEX(Valuation!U:U,MATCH(A1079,Valuation!A:A,0)),2)</f>
        <v>84.04</v>
      </c>
      <c r="H1079">
        <f t="shared" si="1078"/>
        <v>-1</v>
      </c>
      <c r="I1079" s="18">
        <f>INDEX(WeeklyIndicators!Y:Y,MATCH(A1079,WeeklyIndicators!A:A,0))</f>
        <v>131.11000000000001</v>
      </c>
      <c r="J1079">
        <f t="shared" si="1067"/>
        <v>0</v>
      </c>
      <c r="K1079">
        <f>ROUND(INDEX(Economic!AF:AF,MATCH(EOMONTH($A1079,-1),Economic!A:A,0)),2)</f>
        <v>142.59</v>
      </c>
      <c r="L1079" s="11">
        <f t="shared" si="1076"/>
        <v>3</v>
      </c>
      <c r="M1079">
        <f>ROUND(INDEX(Manufacturing!P:P,MATCH(EOMONTH($A1079,-1),Manufacturing!A:A,0)),2)</f>
        <v>116.07</v>
      </c>
      <c r="N1079">
        <f t="shared" si="1072"/>
        <v>3</v>
      </c>
      <c r="O1079">
        <f>ROUND(INDEX(Housing!AC:AC,MATCH(EOMONTH($A1079,-1),Housing!B:B,0)),2)</f>
        <v>114.78</v>
      </c>
      <c r="P1079">
        <f t="shared" si="1073"/>
        <v>0</v>
      </c>
      <c r="Q1079">
        <f>ROUND(INDEX(Spending!AJ:AJ,MATCH(EOMONTH($A1079,-1),Spending!B:B,0)),2)</f>
        <v>62.47</v>
      </c>
      <c r="R1079">
        <f t="shared" si="1077"/>
        <v>2</v>
      </c>
      <c r="S1079">
        <f>ROUND(INDEX(Employment!V:V,MATCH(EOMONTH($A1079,-1),Employment!A:A,0)),2)</f>
        <v>200.59</v>
      </c>
      <c r="T1079" s="11">
        <f t="shared" si="1074"/>
        <v>3</v>
      </c>
      <c r="U1079">
        <f t="shared" si="1066"/>
        <v>28</v>
      </c>
      <c r="V1079">
        <f t="shared" si="1058"/>
        <v>85.76</v>
      </c>
      <c r="W1079" s="13">
        <f t="shared" si="1059"/>
        <v>2.9999999999999997E-4</v>
      </c>
      <c r="X1079" s="13">
        <f t="shared" si="1060"/>
        <v>3.4799999999999998E-2</v>
      </c>
      <c r="Y1079">
        <f t="shared" si="1052"/>
        <v>80.17</v>
      </c>
      <c r="Z1079" s="13">
        <f t="shared" si="1047"/>
        <v>5.3E-3</v>
      </c>
      <c r="AA1079" s="13">
        <f t="shared" si="1079"/>
        <v>6.3299999999999995E-2</v>
      </c>
      <c r="AB1079" s="6">
        <f t="shared" si="1053"/>
        <v>88.524000000000001</v>
      </c>
      <c r="AC1079">
        <f t="shared" si="1045"/>
        <v>44</v>
      </c>
      <c r="AD1079" s="11">
        <f t="shared" si="1046"/>
        <v>1</v>
      </c>
      <c r="AE1079">
        <f t="shared" si="1044"/>
        <v>31</v>
      </c>
      <c r="AF1079">
        <f>IF(AND(AE1079&lt;15,OR(AC1079&gt;=30,AA1079&gt;0.15,X1079&gt;=0.15)),2,VLOOKUP(AE1079,Table!P:Q,2,FALSE))</f>
        <v>4</v>
      </c>
      <c r="AG1079" s="22">
        <f>IF((AB1079*0.98)-(D1079*0.8)+((AF1079-3)*3)+VLOOKUP(AM1079,Table!$A$11:$B$13,2,FALSE)&lt;0,0,(AB1079*0.98)-(D1079*0.8)+((AF1079-3)*3)+VLOOKUP(AM1079,Table!$A$11:$B$13,2,FALSE))</f>
        <v>74.409519999999986</v>
      </c>
      <c r="AH1079" s="22">
        <f t="shared" si="1075"/>
        <v>75</v>
      </c>
      <c r="AI1079" s="18">
        <f t="shared" si="1068"/>
        <v>5.08</v>
      </c>
      <c r="AJ1079" s="18">
        <f t="shared" si="1069"/>
        <v>5.0599999999999996</v>
      </c>
      <c r="AK1079" t="str">
        <f t="shared" si="1054"/>
        <v>Rising Rates</v>
      </c>
      <c r="AL1079">
        <f t="shared" si="1065"/>
        <v>30.75</v>
      </c>
      <c r="AM1079" s="11" t="str">
        <f t="shared" si="1055"/>
        <v>Stocks</v>
      </c>
      <c r="AN1079" t="str">
        <f t="shared" si="1061"/>
        <v>Buy</v>
      </c>
      <c r="AO1079" s="13">
        <f t="shared" si="1062"/>
        <v>4.1200000000000001E-2</v>
      </c>
      <c r="AP1079" s="13">
        <f t="shared" si="1063"/>
        <v>1E-3</v>
      </c>
      <c r="AQ1079" s="13">
        <f t="shared" si="1064"/>
        <v>3.1199999999999999E-2</v>
      </c>
      <c r="AR1079" s="13">
        <f t="shared" si="1056"/>
        <v>4.1200000000000001E-2</v>
      </c>
      <c r="AS1079" s="6">
        <f t="shared" si="1048"/>
        <v>233.14262863504047</v>
      </c>
      <c r="AT1079" s="6">
        <f t="shared" si="1049"/>
        <v>128.99277711513471</v>
      </c>
      <c r="AU1079" s="6">
        <f t="shared" si="1050"/>
        <v>221.88450715694339</v>
      </c>
      <c r="AV1079" s="6">
        <f t="shared" si="1051"/>
        <v>233.14262863504047</v>
      </c>
      <c r="AW1079" s="58">
        <f t="shared" si="1057"/>
        <v>1997</v>
      </c>
      <c r="AX1079" s="58">
        <f>COUNTIF(AW$3:AW1079,AW1079)</f>
        <v>1</v>
      </c>
    </row>
    <row r="1080" spans="1:50" x14ac:dyDescent="0.25">
      <c r="A1080" s="5">
        <v>35785</v>
      </c>
      <c r="B1080">
        <v>946.78</v>
      </c>
      <c r="C1080">
        <v>5.12</v>
      </c>
      <c r="D1080" s="6">
        <v>27.92</v>
      </c>
      <c r="E1080" s="18">
        <f t="shared" si="1070"/>
        <v>26</v>
      </c>
      <c r="F1080">
        <f t="shared" si="1071"/>
        <v>-2</v>
      </c>
      <c r="G1080" s="18">
        <f>ROUND(INDEX(Valuation!U:U,MATCH(A1080,Valuation!A:A,0)),2)</f>
        <v>81.8</v>
      </c>
      <c r="H1080">
        <f t="shared" si="1078"/>
        <v>-1</v>
      </c>
      <c r="I1080" s="18">
        <f>INDEX(WeeklyIndicators!Y:Y,MATCH(A1080,WeeklyIndicators!A:A,0))</f>
        <v>131.32</v>
      </c>
      <c r="J1080">
        <f t="shared" si="1067"/>
        <v>0</v>
      </c>
      <c r="K1080">
        <f>ROUND(INDEX(Economic!AF:AF,MATCH(EOMONTH($A1080,-1),Economic!A:A,0)),2)</f>
        <v>142.59</v>
      </c>
      <c r="L1080" s="11">
        <f t="shared" si="1076"/>
        <v>3</v>
      </c>
      <c r="M1080">
        <f>ROUND(INDEX(Manufacturing!P:P,MATCH(EOMONTH($A1080,-1),Manufacturing!A:A,0)),2)</f>
        <v>116.07</v>
      </c>
      <c r="N1080">
        <f t="shared" si="1072"/>
        <v>3</v>
      </c>
      <c r="O1080">
        <f>ROUND(INDEX(Housing!AC:AC,MATCH(EOMONTH($A1080,-1),Housing!B:B,0)),2)</f>
        <v>114.78</v>
      </c>
      <c r="P1080">
        <f t="shared" si="1073"/>
        <v>0</v>
      </c>
      <c r="Q1080">
        <f>ROUND(INDEX(Spending!AJ:AJ,MATCH(EOMONTH($A1080,-1),Spending!B:B,0)),2)</f>
        <v>62.47</v>
      </c>
      <c r="R1080">
        <f t="shared" si="1077"/>
        <v>2</v>
      </c>
      <c r="S1080">
        <f>ROUND(INDEX(Employment!V:V,MATCH(EOMONTH($A1080,-1),Employment!A:A,0)),2)</f>
        <v>200.59</v>
      </c>
      <c r="T1080" s="11">
        <f t="shared" si="1074"/>
        <v>3</v>
      </c>
      <c r="U1080">
        <f t="shared" si="1066"/>
        <v>28</v>
      </c>
      <c r="V1080">
        <f t="shared" si="1058"/>
        <v>85.78</v>
      </c>
      <c r="W1080" s="13">
        <f t="shared" si="1059"/>
        <v>0.01</v>
      </c>
      <c r="X1080" s="13">
        <f t="shared" si="1060"/>
        <v>3.4300000000000004E-2</v>
      </c>
      <c r="Y1080">
        <f t="shared" si="1052"/>
        <v>80.150000000000006</v>
      </c>
      <c r="Z1080" s="13">
        <f t="shared" si="1047"/>
        <v>1.8800000000000001E-2</v>
      </c>
      <c r="AA1080" s="13">
        <f t="shared" si="1079"/>
        <v>4.8899999999999999E-2</v>
      </c>
      <c r="AB1080" s="6">
        <f t="shared" si="1053"/>
        <v>87.31</v>
      </c>
      <c r="AC1080">
        <f t="shared" si="1045"/>
        <v>44</v>
      </c>
      <c r="AD1080" s="11">
        <f t="shared" si="1046"/>
        <v>1</v>
      </c>
      <c r="AE1080">
        <f t="shared" ref="AE1080:AE1143" si="1080">IF(AND(AA1080&gt;=0.2,AC1080&gt;=20,U1080+AD1080+2&lt;30),U1080+AD1080+2+12,U1080+AD1080+2)</f>
        <v>31</v>
      </c>
      <c r="AF1080">
        <f>IF(AND(AE1080&lt;15,OR(AC1080&gt;=30,AA1080&gt;0.15,X1080&gt;=0.15)),2,VLOOKUP(AE1080,Table!P:Q,2,FALSE))</f>
        <v>4</v>
      </c>
      <c r="AG1080" s="22">
        <f>IF((AB1080*0.98)-(D1080*0.8)+((AF1080-3)*3)+VLOOKUP(AM1080,Table!$A$11:$B$13,2,FALSE)&lt;0,0,(AB1080*0.98)-(D1080*0.8)+((AF1080-3)*3)+VLOOKUP(AM1080,Table!$A$11:$B$13,2,FALSE))</f>
        <v>74.227800000000002</v>
      </c>
      <c r="AH1080" s="22">
        <f t="shared" si="1075"/>
        <v>72</v>
      </c>
      <c r="AI1080" s="18">
        <f t="shared" si="1068"/>
        <v>5.05</v>
      </c>
      <c r="AJ1080" s="18">
        <f t="shared" si="1069"/>
        <v>5.0599999999999996</v>
      </c>
      <c r="AK1080" t="str">
        <f t="shared" si="1054"/>
        <v/>
      </c>
      <c r="AL1080">
        <f t="shared" si="1065"/>
        <v>30</v>
      </c>
      <c r="AM1080" s="11" t="str">
        <f t="shared" si="1055"/>
        <v>Stocks</v>
      </c>
      <c r="AN1080" t="str">
        <f t="shared" si="1061"/>
        <v>Buy</v>
      </c>
      <c r="AO1080" s="13">
        <f t="shared" si="1062"/>
        <v>-1.09E-2</v>
      </c>
      <c r="AP1080" s="13">
        <f t="shared" si="1063"/>
        <v>1E-3</v>
      </c>
      <c r="AQ1080" s="13">
        <f t="shared" si="1064"/>
        <v>-7.6E-3</v>
      </c>
      <c r="AR1080" s="13">
        <f t="shared" si="1056"/>
        <v>-1.09E-2</v>
      </c>
      <c r="AS1080" s="6">
        <f t="shared" si="1048"/>
        <v>235.71188821660144</v>
      </c>
      <c r="AT1080" s="6">
        <f t="shared" si="1049"/>
        <v>128.8639132019328</v>
      </c>
      <c r="AU1080" s="6">
        <f t="shared" si="1050"/>
        <v>223.58374360836697</v>
      </c>
      <c r="AV1080" s="6">
        <f t="shared" si="1051"/>
        <v>235.71188821660144</v>
      </c>
      <c r="AW1080" s="58">
        <f t="shared" si="1057"/>
        <v>1997</v>
      </c>
      <c r="AX1080" s="58">
        <f>COUNTIF(AW$3:AW1080,AW1080)</f>
        <v>2</v>
      </c>
    </row>
    <row r="1081" spans="1:50" x14ac:dyDescent="0.25">
      <c r="A1081" s="5">
        <v>35778</v>
      </c>
      <c r="B1081">
        <v>953.39</v>
      </c>
      <c r="C1081">
        <v>5.0999999999999996</v>
      </c>
      <c r="D1081" s="6">
        <v>22.65</v>
      </c>
      <c r="E1081" s="18">
        <f t="shared" si="1070"/>
        <v>25.58</v>
      </c>
      <c r="F1081">
        <f t="shared" si="1071"/>
        <v>-2</v>
      </c>
      <c r="G1081" s="18">
        <f>ROUND(INDEX(Valuation!U:U,MATCH(A1081,Valuation!A:A,0)),2)</f>
        <v>81.650000000000006</v>
      </c>
      <c r="H1081">
        <f t="shared" si="1078"/>
        <v>-1</v>
      </c>
      <c r="I1081" s="18">
        <f>INDEX(WeeklyIndicators!Y:Y,MATCH(A1081,WeeklyIndicators!A:A,0))</f>
        <v>132.63</v>
      </c>
      <c r="J1081">
        <f t="shared" si="1067"/>
        <v>0</v>
      </c>
      <c r="K1081">
        <f>ROUND(INDEX(Economic!AF:AF,MATCH(EOMONTH($A1081,-1),Economic!A:A,0)),2)</f>
        <v>142.59</v>
      </c>
      <c r="L1081" s="11">
        <f t="shared" si="1076"/>
        <v>3</v>
      </c>
      <c r="M1081">
        <f>ROUND(INDEX(Manufacturing!P:P,MATCH(EOMONTH($A1081,-1),Manufacturing!A:A,0)),2)</f>
        <v>116.07</v>
      </c>
      <c r="N1081">
        <f t="shared" si="1072"/>
        <v>3</v>
      </c>
      <c r="O1081">
        <f>ROUND(INDEX(Housing!AC:AC,MATCH(EOMONTH($A1081,-1),Housing!B:B,0)),2)</f>
        <v>114.78</v>
      </c>
      <c r="P1081">
        <f t="shared" si="1073"/>
        <v>0</v>
      </c>
      <c r="Q1081">
        <f>ROUND(INDEX(Spending!AJ:AJ,MATCH(EOMONTH($A1081,-1),Spending!B:B,0)),2)</f>
        <v>62.47</v>
      </c>
      <c r="R1081">
        <f t="shared" si="1077"/>
        <v>2</v>
      </c>
      <c r="S1081">
        <f>ROUND(INDEX(Employment!V:V,MATCH(EOMONTH($A1081,-1),Employment!A:A,0)),2)</f>
        <v>200.59</v>
      </c>
      <c r="T1081" s="11">
        <f t="shared" si="1074"/>
        <v>3</v>
      </c>
      <c r="U1081">
        <f t="shared" si="1066"/>
        <v>28</v>
      </c>
      <c r="V1081">
        <f t="shared" si="1058"/>
        <v>85.91</v>
      </c>
      <c r="W1081" s="13">
        <f t="shared" si="1059"/>
        <v>1.2500000000000001E-2</v>
      </c>
      <c r="X1081" s="13">
        <f t="shared" si="1060"/>
        <v>1.7400000000000002E-2</v>
      </c>
      <c r="Y1081">
        <f t="shared" si="1052"/>
        <v>80.41</v>
      </c>
      <c r="Z1081" s="13">
        <f t="shared" si="1047"/>
        <v>2.5899999999999999E-2</v>
      </c>
      <c r="AA1081" s="13">
        <f t="shared" si="1079"/>
        <v>4.4999999999999971E-3</v>
      </c>
      <c r="AB1081" s="6">
        <f t="shared" si="1053"/>
        <v>84.415000000000006</v>
      </c>
      <c r="AC1081">
        <f t="shared" si="1045"/>
        <v>42</v>
      </c>
      <c r="AD1081" s="11">
        <f t="shared" si="1046"/>
        <v>1</v>
      </c>
      <c r="AE1081">
        <f t="shared" si="1080"/>
        <v>31</v>
      </c>
      <c r="AF1081">
        <f>IF(AND(AE1081&lt;15,OR(AC1081&gt;=30,AA1081&gt;0.15,X1081&gt;=0.15)),2,VLOOKUP(AE1081,Table!P:Q,2,FALSE))</f>
        <v>4</v>
      </c>
      <c r="AG1081" s="22">
        <f>IF((AB1081*0.98)-(D1081*0.8)+((AF1081-3)*3)+VLOOKUP(AM1081,Table!$A$11:$B$13,2,FALSE)&lt;0,0,(AB1081*0.98)-(D1081*0.8)+((AF1081-3)*3)+VLOOKUP(AM1081,Table!$A$11:$B$13,2,FALSE))</f>
        <v>75.606700000000004</v>
      </c>
      <c r="AH1081" s="22">
        <f t="shared" si="1075"/>
        <v>69</v>
      </c>
      <c r="AI1081" s="18">
        <f t="shared" si="1068"/>
        <v>5.03</v>
      </c>
      <c r="AJ1081" s="18">
        <f t="shared" si="1069"/>
        <v>5.0599999999999996</v>
      </c>
      <c r="AK1081" t="str">
        <f t="shared" si="1054"/>
        <v/>
      </c>
      <c r="AL1081">
        <f t="shared" si="1065"/>
        <v>29</v>
      </c>
      <c r="AM1081" s="11" t="str">
        <f t="shared" si="1055"/>
        <v>Stocks</v>
      </c>
      <c r="AN1081" t="str">
        <f t="shared" si="1061"/>
        <v>Buy</v>
      </c>
      <c r="AO1081" s="13">
        <f t="shared" si="1062"/>
        <v>-6.8999999999999999E-3</v>
      </c>
      <c r="AP1081" s="13">
        <f t="shared" si="1063"/>
        <v>1E-3</v>
      </c>
      <c r="AQ1081" s="13">
        <f t="shared" si="1064"/>
        <v>-4.4999999999999997E-3</v>
      </c>
      <c r="AR1081" s="13">
        <f t="shared" si="1056"/>
        <v>-6.8999999999999999E-3</v>
      </c>
      <c r="AS1081" s="6">
        <f t="shared" si="1048"/>
        <v>237.34960045977388</v>
      </c>
      <c r="AT1081" s="6">
        <f t="shared" si="1049"/>
        <v>128.7351780239089</v>
      </c>
      <c r="AU1081" s="6">
        <f t="shared" si="1050"/>
        <v>224.59441849157906</v>
      </c>
      <c r="AV1081" s="6">
        <f t="shared" si="1051"/>
        <v>237.34960045977388</v>
      </c>
      <c r="AW1081" s="58">
        <f t="shared" si="1057"/>
        <v>1997</v>
      </c>
      <c r="AX1081" s="58">
        <f>COUNTIF(AW$3:AW1081,AW1081)</f>
        <v>3</v>
      </c>
    </row>
    <row r="1082" spans="1:50" x14ac:dyDescent="0.25">
      <c r="A1082" s="5">
        <v>35771</v>
      </c>
      <c r="B1082">
        <v>983.79</v>
      </c>
      <c r="C1082">
        <v>5.13</v>
      </c>
      <c r="D1082" s="6">
        <v>27.43</v>
      </c>
      <c r="E1082" s="18">
        <f t="shared" si="1070"/>
        <v>29.25</v>
      </c>
      <c r="F1082">
        <f t="shared" si="1071"/>
        <v>-2</v>
      </c>
      <c r="G1082" s="18">
        <f>ROUND(INDEX(Valuation!U:U,MATCH(A1082,Valuation!A:A,0)),2)</f>
        <v>81.510000000000005</v>
      </c>
      <c r="H1082">
        <f t="shared" si="1078"/>
        <v>-1</v>
      </c>
      <c r="I1082" s="18">
        <f>INDEX(WeeklyIndicators!Y:Y,MATCH(A1082,WeeklyIndicators!A:A,0))</f>
        <v>130.5</v>
      </c>
      <c r="J1082">
        <f t="shared" si="1067"/>
        <v>0</v>
      </c>
      <c r="K1082">
        <f>ROUND(INDEX(Economic!AF:AF,MATCH(EOMONTH($A1082,-1),Economic!A:A,0)),2)</f>
        <v>142.59</v>
      </c>
      <c r="L1082" s="11">
        <f t="shared" si="1076"/>
        <v>3</v>
      </c>
      <c r="M1082">
        <f>ROUND(INDEX(Manufacturing!P:P,MATCH(EOMONTH($A1082,-1),Manufacturing!A:A,0)),2)</f>
        <v>116.07</v>
      </c>
      <c r="N1082">
        <f t="shared" si="1072"/>
        <v>3</v>
      </c>
      <c r="O1082">
        <f>ROUND(INDEX(Housing!AC:AC,MATCH(EOMONTH($A1082,-1),Housing!B:B,0)),2)</f>
        <v>114.78</v>
      </c>
      <c r="P1082">
        <f t="shared" si="1073"/>
        <v>0</v>
      </c>
      <c r="Q1082">
        <f>ROUND(INDEX(Spending!AJ:AJ,MATCH(EOMONTH($A1082,-1),Spending!B:B,0)),2)</f>
        <v>62.47</v>
      </c>
      <c r="R1082">
        <f t="shared" si="1077"/>
        <v>2</v>
      </c>
      <c r="S1082">
        <f>ROUND(INDEX(Employment!V:V,MATCH(EOMONTH($A1082,-1),Employment!A:A,0)),2)</f>
        <v>200.59</v>
      </c>
      <c r="T1082" s="11">
        <f t="shared" si="1074"/>
        <v>3</v>
      </c>
      <c r="U1082">
        <f t="shared" si="1066"/>
        <v>28</v>
      </c>
      <c r="V1082">
        <f t="shared" si="1058"/>
        <v>85.69</v>
      </c>
      <c r="W1082" s="13">
        <f t="shared" si="1059"/>
        <v>1.2E-2</v>
      </c>
      <c r="X1082" s="13">
        <f t="shared" si="1060"/>
        <v>-3.6000000000000008E-3</v>
      </c>
      <c r="Y1082">
        <f t="shared" si="1052"/>
        <v>78.900000000000006</v>
      </c>
      <c r="Z1082" s="13">
        <f t="shared" si="1047"/>
        <v>1.3299999999999999E-2</v>
      </c>
      <c r="AA1082" s="13">
        <f t="shared" si="1079"/>
        <v>-4.0500000000000001E-2</v>
      </c>
      <c r="AB1082" s="6">
        <f t="shared" si="1053"/>
        <v>79.661000000000001</v>
      </c>
      <c r="AC1082">
        <f t="shared" si="1045"/>
        <v>40</v>
      </c>
      <c r="AD1082" s="11">
        <f t="shared" si="1046"/>
        <v>0</v>
      </c>
      <c r="AE1082">
        <f t="shared" si="1080"/>
        <v>30</v>
      </c>
      <c r="AF1082">
        <f>IF(AND(AE1082&lt;15,OR(AC1082&gt;=30,AA1082&gt;0.15,X1082&gt;=0.15)),2,VLOOKUP(AE1082,Table!P:Q,2,FALSE))</f>
        <v>4</v>
      </c>
      <c r="AG1082" s="22">
        <f>IF((AB1082*0.98)-(D1082*0.8)+((AF1082-3)*3)+VLOOKUP(AM1082,Table!$A$11:$B$13,2,FALSE)&lt;0,0,(AB1082*0.98)-(D1082*0.8)+((AF1082-3)*3)+VLOOKUP(AM1082,Table!$A$11:$B$13,2,FALSE))</f>
        <v>67.123779999999996</v>
      </c>
      <c r="AH1082" s="22">
        <f t="shared" si="1075"/>
        <v>62</v>
      </c>
      <c r="AI1082" s="18">
        <f t="shared" si="1068"/>
        <v>5.03</v>
      </c>
      <c r="AJ1082" s="18">
        <f t="shared" si="1069"/>
        <v>5.0599999999999996</v>
      </c>
      <c r="AK1082" t="str">
        <f t="shared" si="1054"/>
        <v/>
      </c>
      <c r="AL1082">
        <f t="shared" si="1065"/>
        <v>28.25</v>
      </c>
      <c r="AM1082" s="11" t="str">
        <f t="shared" si="1055"/>
        <v>Stocks</v>
      </c>
      <c r="AN1082" t="str">
        <f t="shared" si="1061"/>
        <v>Buy</v>
      </c>
      <c r="AO1082" s="13">
        <f t="shared" si="1062"/>
        <v>-3.09E-2</v>
      </c>
      <c r="AP1082" s="13">
        <f t="shared" si="1063"/>
        <v>1E-3</v>
      </c>
      <c r="AQ1082" s="13">
        <f t="shared" si="1064"/>
        <v>-1.8800000000000001E-2</v>
      </c>
      <c r="AR1082" s="13">
        <f t="shared" si="1056"/>
        <v>-3.09E-2</v>
      </c>
      <c r="AS1082" s="6">
        <f t="shared" si="1048"/>
        <v>244.91755284261055</v>
      </c>
      <c r="AT1082" s="6">
        <f t="shared" si="1049"/>
        <v>128.60657145245645</v>
      </c>
      <c r="AU1082" s="6">
        <f t="shared" si="1050"/>
        <v>228.89769516059832</v>
      </c>
      <c r="AV1082" s="6">
        <f t="shared" si="1051"/>
        <v>244.91755284261055</v>
      </c>
      <c r="AW1082" s="58">
        <f t="shared" si="1057"/>
        <v>1997</v>
      </c>
      <c r="AX1082" s="58">
        <f>COUNTIF(AW$3:AW1082,AW1082)</f>
        <v>4</v>
      </c>
    </row>
    <row r="1083" spans="1:50" x14ac:dyDescent="0.25">
      <c r="A1083" s="5">
        <v>35764</v>
      </c>
      <c r="B1083">
        <v>955.4</v>
      </c>
      <c r="C1083">
        <v>5.13</v>
      </c>
      <c r="D1083" s="6">
        <v>26.65</v>
      </c>
      <c r="E1083" s="18">
        <f t="shared" si="1070"/>
        <v>32.19</v>
      </c>
      <c r="F1083">
        <f t="shared" si="1071"/>
        <v>-2</v>
      </c>
      <c r="G1083" s="18">
        <f>ROUND(INDEX(Valuation!U:U,MATCH(A1083,Valuation!A:A,0)),2)</f>
        <v>84.48</v>
      </c>
      <c r="H1083">
        <f t="shared" si="1078"/>
        <v>-1</v>
      </c>
      <c r="I1083" s="18">
        <f>INDEX(WeeklyIndicators!Y:Y,MATCH(A1083,WeeklyIndicators!A:A,0))</f>
        <v>126.78</v>
      </c>
      <c r="J1083">
        <f t="shared" si="1067"/>
        <v>0</v>
      </c>
      <c r="K1083">
        <f>ROUND(INDEX(Economic!AF:AF,MATCH(EOMONTH($A1083,-1),Economic!A:A,0)),2)</f>
        <v>142.94999999999999</v>
      </c>
      <c r="L1083" s="11">
        <f t="shared" si="1076"/>
        <v>3</v>
      </c>
      <c r="M1083">
        <f>ROUND(INDEX(Manufacturing!P:P,MATCH(EOMONTH($A1083,-1),Manufacturing!A:A,0)),2)</f>
        <v>112.81</v>
      </c>
      <c r="N1083">
        <f t="shared" si="1072"/>
        <v>3</v>
      </c>
      <c r="O1083">
        <f>ROUND(INDEX(Housing!AC:AC,MATCH(EOMONTH($A1083,-1),Housing!B:B,0)),2)</f>
        <v>113.67</v>
      </c>
      <c r="P1083">
        <f t="shared" si="1073"/>
        <v>0</v>
      </c>
      <c r="Q1083">
        <f>ROUND(INDEX(Spending!AJ:AJ,MATCH(EOMONTH($A1083,-1),Spending!B:B,0)),2)</f>
        <v>56.4</v>
      </c>
      <c r="R1083">
        <f t="shared" si="1077"/>
        <v>1</v>
      </c>
      <c r="S1083">
        <f>ROUND(INDEX(Employment!V:V,MATCH(EOMONTH($A1083,-1),Employment!A:A,0)),2)</f>
        <v>187.91</v>
      </c>
      <c r="T1083" s="11">
        <f t="shared" si="1074"/>
        <v>2</v>
      </c>
      <c r="U1083">
        <f t="shared" si="1066"/>
        <v>26</v>
      </c>
      <c r="V1083">
        <f t="shared" si="1058"/>
        <v>83.23</v>
      </c>
      <c r="W1083" s="13">
        <f t="shared" si="1059"/>
        <v>-2.0000000000000001E-4</v>
      </c>
      <c r="X1083" s="13">
        <f t="shared" si="1060"/>
        <v>-2.3199999999999998E-2</v>
      </c>
      <c r="Y1083">
        <f t="shared" si="1052"/>
        <v>75.739999999999995</v>
      </c>
      <c r="Z1083" s="13">
        <f t="shared" si="1047"/>
        <v>-9.1000000000000004E-3</v>
      </c>
      <c r="AA1083" s="13">
        <f t="shared" si="1079"/>
        <v>-6.54E-2</v>
      </c>
      <c r="AB1083" s="6">
        <f t="shared" si="1053"/>
        <v>74.848000000000013</v>
      </c>
      <c r="AC1083">
        <f t="shared" si="1045"/>
        <v>37</v>
      </c>
      <c r="AD1083" s="11">
        <f t="shared" si="1046"/>
        <v>0</v>
      </c>
      <c r="AE1083">
        <f t="shared" si="1080"/>
        <v>28</v>
      </c>
      <c r="AF1083">
        <f>IF(AND(AE1083&lt;15,OR(AC1083&gt;=30,AA1083&gt;0.15,X1083&gt;=0.15)),2,VLOOKUP(AE1083,Table!P:Q,2,FALSE))</f>
        <v>4</v>
      </c>
      <c r="AG1083" s="22">
        <f>IF((AB1083*0.98)-(D1083*0.8)+((AF1083-3)*3)+VLOOKUP(AM1083,Table!$A$11:$B$13,2,FALSE)&lt;0,0,(AB1083*0.98)-(D1083*0.8)+((AF1083-3)*3)+VLOOKUP(AM1083,Table!$A$11:$B$13,2,FALSE))</f>
        <v>63.031040000000012</v>
      </c>
      <c r="AH1083" s="22">
        <f t="shared" si="1075"/>
        <v>60</v>
      </c>
      <c r="AI1083" s="18">
        <f t="shared" si="1068"/>
        <v>5.0199999999999996</v>
      </c>
      <c r="AJ1083" s="18">
        <f t="shared" si="1069"/>
        <v>5.0599999999999996</v>
      </c>
      <c r="AK1083" t="str">
        <f t="shared" si="1054"/>
        <v/>
      </c>
      <c r="AL1083">
        <f t="shared" si="1065"/>
        <v>27.75</v>
      </c>
      <c r="AM1083" s="11" t="str">
        <f t="shared" si="1055"/>
        <v>Stocks</v>
      </c>
      <c r="AN1083" t="str">
        <f t="shared" si="1061"/>
        <v>Buy</v>
      </c>
      <c r="AO1083" s="13">
        <f t="shared" si="1062"/>
        <v>2.9700000000000001E-2</v>
      </c>
      <c r="AP1083" s="13">
        <f t="shared" si="1063"/>
        <v>1E-3</v>
      </c>
      <c r="AQ1083" s="13">
        <f t="shared" si="1064"/>
        <v>1.8200000000000001E-2</v>
      </c>
      <c r="AR1083" s="13">
        <f t="shared" si="1056"/>
        <v>2.9700000000000001E-2</v>
      </c>
      <c r="AS1083" s="6">
        <f t="shared" si="1048"/>
        <v>237.85330954900508</v>
      </c>
      <c r="AT1083" s="6">
        <f t="shared" si="1049"/>
        <v>128.47809335909736</v>
      </c>
      <c r="AU1083" s="6">
        <f t="shared" si="1050"/>
        <v>224.80622192162474</v>
      </c>
      <c r="AV1083" s="6">
        <f t="shared" si="1051"/>
        <v>237.85330954900508</v>
      </c>
      <c r="AW1083" s="58">
        <f t="shared" si="1057"/>
        <v>1997</v>
      </c>
      <c r="AX1083" s="58">
        <f>COUNTIF(AW$3:AW1083,AW1083)</f>
        <v>5</v>
      </c>
    </row>
    <row r="1084" spans="1:50" x14ac:dyDescent="0.25">
      <c r="A1084" s="5">
        <v>35757</v>
      </c>
      <c r="B1084">
        <v>963.09</v>
      </c>
      <c r="C1084">
        <v>5.15</v>
      </c>
      <c r="D1084" s="6">
        <v>33.659999999999997</v>
      </c>
      <c r="E1084" s="18">
        <f t="shared" si="1070"/>
        <v>35.01</v>
      </c>
      <c r="F1084">
        <f t="shared" si="1071"/>
        <v>-3</v>
      </c>
      <c r="G1084" s="18">
        <f>ROUND(INDEX(Valuation!U:U,MATCH(A1084,Valuation!A:A,0)),2)</f>
        <v>86.1</v>
      </c>
      <c r="H1084">
        <f t="shared" si="1078"/>
        <v>-1</v>
      </c>
      <c r="I1084" s="18">
        <f>INDEX(WeeklyIndicators!Y:Y,MATCH(A1084,WeeklyIndicators!A:A,0))</f>
        <v>122.26</v>
      </c>
      <c r="J1084">
        <f t="shared" si="1067"/>
        <v>0</v>
      </c>
      <c r="K1084">
        <f>ROUND(INDEX(Economic!AF:AF,MATCH(EOMONTH($A1084,-1),Economic!A:A,0)),2)</f>
        <v>142.94999999999999</v>
      </c>
      <c r="L1084" s="11">
        <f t="shared" si="1076"/>
        <v>3</v>
      </c>
      <c r="M1084">
        <f>ROUND(INDEX(Manufacturing!P:P,MATCH(EOMONTH($A1084,-1),Manufacturing!A:A,0)),2)</f>
        <v>112.81</v>
      </c>
      <c r="N1084">
        <f t="shared" si="1072"/>
        <v>3</v>
      </c>
      <c r="O1084">
        <f>ROUND(INDEX(Housing!AC:AC,MATCH(EOMONTH($A1084,-1),Housing!B:B,0)),2)</f>
        <v>113.67</v>
      </c>
      <c r="P1084">
        <f t="shared" si="1073"/>
        <v>0</v>
      </c>
      <c r="Q1084">
        <f>ROUND(INDEX(Spending!AJ:AJ,MATCH(EOMONTH($A1084,-1),Spending!B:B,0)),2)</f>
        <v>56.4</v>
      </c>
      <c r="R1084">
        <f t="shared" si="1077"/>
        <v>1</v>
      </c>
      <c r="S1084">
        <f>ROUND(INDEX(Employment!V:V,MATCH(EOMONTH($A1084,-1),Employment!A:A,0)),2)</f>
        <v>187.91</v>
      </c>
      <c r="T1084" s="11">
        <f t="shared" si="1074"/>
        <v>2</v>
      </c>
      <c r="U1084">
        <f t="shared" si="1066"/>
        <v>25</v>
      </c>
      <c r="V1084">
        <f t="shared" si="1058"/>
        <v>82.76</v>
      </c>
      <c r="W1084" s="13">
        <f t="shared" si="1059"/>
        <v>-6.8999999999999999E-3</v>
      </c>
      <c r="X1084" s="13">
        <f t="shared" si="1060"/>
        <v>-2.4199999999999999E-2</v>
      </c>
      <c r="Y1084">
        <f t="shared" si="1052"/>
        <v>74.47</v>
      </c>
      <c r="Z1084" s="13">
        <f t="shared" si="1047"/>
        <v>-2.5600000000000001E-2</v>
      </c>
      <c r="AA1084" s="13">
        <f t="shared" si="1079"/>
        <v>-5.4000000000000006E-2</v>
      </c>
      <c r="AB1084" s="6">
        <f t="shared" si="1053"/>
        <v>74.48</v>
      </c>
      <c r="AC1084">
        <f t="shared" si="1045"/>
        <v>37</v>
      </c>
      <c r="AD1084" s="11">
        <f t="shared" si="1046"/>
        <v>0</v>
      </c>
      <c r="AE1084">
        <f t="shared" si="1080"/>
        <v>27</v>
      </c>
      <c r="AF1084">
        <f>IF(AND(AE1084&lt;15,OR(AC1084&gt;=30,AA1084&gt;0.15,X1084&gt;=0.15)),2,VLOOKUP(AE1084,Table!P:Q,2,FALSE))</f>
        <v>4</v>
      </c>
      <c r="AG1084" s="22">
        <f>IF((AB1084*0.98)-(D1084*0.8)+((AF1084-3)*3)+VLOOKUP(AM1084,Table!$A$11:$B$13,2,FALSE)&lt;0,0,(AB1084*0.98)-(D1084*0.8)+((AF1084-3)*3)+VLOOKUP(AM1084,Table!$A$11:$B$13,2,FALSE))</f>
        <v>57.062400000000011</v>
      </c>
      <c r="AH1084" s="22">
        <f t="shared" si="1075"/>
        <v>60</v>
      </c>
      <c r="AI1084" s="18">
        <f t="shared" si="1068"/>
        <v>5.0199999999999996</v>
      </c>
      <c r="AJ1084" s="18">
        <f t="shared" si="1069"/>
        <v>5.0599999999999996</v>
      </c>
      <c r="AK1084" t="str">
        <f t="shared" si="1054"/>
        <v/>
      </c>
      <c r="AL1084">
        <f t="shared" si="1065"/>
        <v>28.5</v>
      </c>
      <c r="AM1084" s="11" t="str">
        <f t="shared" si="1055"/>
        <v>Stocks</v>
      </c>
      <c r="AN1084" t="str">
        <f t="shared" si="1061"/>
        <v>Buy</v>
      </c>
      <c r="AO1084" s="13">
        <f t="shared" si="1062"/>
        <v>-8.0000000000000002E-3</v>
      </c>
      <c r="AP1084" s="13">
        <f t="shared" si="1063"/>
        <v>1E-3</v>
      </c>
      <c r="AQ1084" s="13">
        <f t="shared" si="1064"/>
        <v>-4.4000000000000003E-3</v>
      </c>
      <c r="AR1084" s="13">
        <f t="shared" si="1056"/>
        <v>-8.0000000000000002E-3</v>
      </c>
      <c r="AS1084" s="6">
        <f t="shared" si="1048"/>
        <v>239.77148140020674</v>
      </c>
      <c r="AT1084" s="6">
        <f t="shared" si="1049"/>
        <v>128.34974361548188</v>
      </c>
      <c r="AU1084" s="6">
        <f t="shared" si="1050"/>
        <v>225.79974078106139</v>
      </c>
      <c r="AV1084" s="6">
        <f t="shared" si="1051"/>
        <v>239.77148140020674</v>
      </c>
      <c r="AW1084" s="58">
        <f t="shared" si="1057"/>
        <v>1997</v>
      </c>
      <c r="AX1084" s="58">
        <f>COUNTIF(AW$3:AW1084,AW1084)</f>
        <v>6</v>
      </c>
    </row>
    <row r="1085" spans="1:50" x14ac:dyDescent="0.25">
      <c r="A1085" s="5">
        <v>35750</v>
      </c>
      <c r="B1085">
        <v>928.35</v>
      </c>
      <c r="C1085">
        <v>5.16</v>
      </c>
      <c r="D1085" s="6">
        <v>36.270000000000003</v>
      </c>
      <c r="E1085" s="18">
        <f t="shared" si="1070"/>
        <v>31.51</v>
      </c>
      <c r="F1085">
        <f t="shared" si="1071"/>
        <v>-2</v>
      </c>
      <c r="G1085" s="18">
        <f>ROUND(INDEX(Valuation!U:U,MATCH(A1085,Valuation!A:A,0)),2)</f>
        <v>88.39</v>
      </c>
      <c r="H1085">
        <f t="shared" si="1078"/>
        <v>-1</v>
      </c>
      <c r="I1085" s="18">
        <f>INDEX(WeeklyIndicators!Y:Y,MATCH(A1085,WeeklyIndicators!A:A,0))</f>
        <v>121.76</v>
      </c>
      <c r="J1085">
        <f t="shared" si="1067"/>
        <v>0</v>
      </c>
      <c r="K1085">
        <f>ROUND(INDEX(Economic!AF:AF,MATCH(EOMONTH($A1085,-1),Economic!A:A,0)),2)</f>
        <v>142.94999999999999</v>
      </c>
      <c r="L1085" s="11">
        <f t="shared" si="1076"/>
        <v>3</v>
      </c>
      <c r="M1085">
        <f>ROUND(INDEX(Manufacturing!P:P,MATCH(EOMONTH($A1085,-1),Manufacturing!A:A,0)),2)</f>
        <v>112.81</v>
      </c>
      <c r="N1085">
        <f t="shared" si="1072"/>
        <v>3</v>
      </c>
      <c r="O1085">
        <f>ROUND(INDEX(Housing!AC:AC,MATCH(EOMONTH($A1085,-1),Housing!B:B,0)),2)</f>
        <v>113.67</v>
      </c>
      <c r="P1085">
        <f t="shared" si="1073"/>
        <v>0</v>
      </c>
      <c r="Q1085">
        <f>ROUND(INDEX(Spending!AJ:AJ,MATCH(EOMONTH($A1085,-1),Spending!B:B,0)),2)</f>
        <v>56.4</v>
      </c>
      <c r="R1085">
        <f t="shared" si="1077"/>
        <v>1</v>
      </c>
      <c r="S1085">
        <f>ROUND(INDEX(Employment!V:V,MATCH(EOMONTH($A1085,-1),Employment!A:A,0)),2)</f>
        <v>187.91</v>
      </c>
      <c r="T1085" s="11">
        <f t="shared" si="1074"/>
        <v>2</v>
      </c>
      <c r="U1085">
        <f t="shared" si="1066"/>
        <v>26</v>
      </c>
      <c r="V1085">
        <f t="shared" si="1058"/>
        <v>82.71</v>
      </c>
      <c r="W1085" s="13">
        <f t="shared" si="1059"/>
        <v>-8.5000000000000006E-3</v>
      </c>
      <c r="X1085" s="13">
        <f t="shared" si="1060"/>
        <v>-1.38E-2</v>
      </c>
      <c r="Y1085">
        <f t="shared" si="1052"/>
        <v>75.89</v>
      </c>
      <c r="Z1085" s="13">
        <f t="shared" si="1047"/>
        <v>-1.9099999999999999E-2</v>
      </c>
      <c r="AA1085" s="13">
        <f t="shared" si="1079"/>
        <v>-2.1599999999999998E-2</v>
      </c>
      <c r="AB1085" s="6">
        <f t="shared" si="1053"/>
        <v>78.399000000000001</v>
      </c>
      <c r="AC1085">
        <f t="shared" ref="AC1085:AC1148" si="1081">IF(ROUND(AB1085/2,0)&lt;0,0,ROUND(AB1085/2,0))</f>
        <v>39</v>
      </c>
      <c r="AD1085" s="11">
        <f t="shared" si="1046"/>
        <v>0</v>
      </c>
      <c r="AE1085">
        <f t="shared" si="1080"/>
        <v>28</v>
      </c>
      <c r="AF1085">
        <f>IF(AND(AE1085&lt;15,OR(AC1085&gt;=30,AA1085&gt;0.15,X1085&gt;=0.15)),2,VLOOKUP(AE1085,Table!P:Q,2,FALSE))</f>
        <v>4</v>
      </c>
      <c r="AG1085" s="22">
        <f>IF((AB1085*0.98)-(D1085*0.8)+((AF1085-3)*3)+VLOOKUP(AM1085,Table!$A$11:$B$13,2,FALSE)&lt;0,0,(AB1085*0.98)-(D1085*0.8)+((AF1085-3)*3)+VLOOKUP(AM1085,Table!$A$11:$B$13,2,FALSE))</f>
        <v>58.81501999999999</v>
      </c>
      <c r="AH1085" s="22">
        <f t="shared" si="1075"/>
        <v>67</v>
      </c>
      <c r="AI1085" s="18">
        <f t="shared" si="1068"/>
        <v>5.0199999999999996</v>
      </c>
      <c r="AJ1085" s="18">
        <f t="shared" si="1069"/>
        <v>5.05</v>
      </c>
      <c r="AK1085" t="str">
        <f t="shared" si="1054"/>
        <v/>
      </c>
      <c r="AL1085">
        <f t="shared" si="1065"/>
        <v>29.5</v>
      </c>
      <c r="AM1085" s="11" t="str">
        <f t="shared" si="1055"/>
        <v>Stocks</v>
      </c>
      <c r="AN1085" t="str">
        <f t="shared" si="1061"/>
        <v>Buy</v>
      </c>
      <c r="AO1085" s="13">
        <f t="shared" si="1062"/>
        <v>3.7400000000000003E-2</v>
      </c>
      <c r="AP1085" s="13">
        <f t="shared" si="1063"/>
        <v>1E-3</v>
      </c>
      <c r="AQ1085" s="13">
        <f t="shared" si="1064"/>
        <v>2.5399999999999999E-2</v>
      </c>
      <c r="AR1085" s="13">
        <f t="shared" si="1056"/>
        <v>3.7400000000000003E-2</v>
      </c>
      <c r="AS1085" s="6">
        <f t="shared" si="1048"/>
        <v>231.12731964546629</v>
      </c>
      <c r="AT1085" s="6">
        <f t="shared" si="1049"/>
        <v>128.2215220933885</v>
      </c>
      <c r="AU1085" s="6">
        <f t="shared" si="1050"/>
        <v>220.20649578804503</v>
      </c>
      <c r="AV1085" s="6">
        <f t="shared" si="1051"/>
        <v>231.12731964546629</v>
      </c>
      <c r="AW1085" s="58">
        <f t="shared" si="1057"/>
        <v>1997</v>
      </c>
      <c r="AX1085" s="58">
        <f>COUNTIF(AW$3:AW1085,AW1085)</f>
        <v>7</v>
      </c>
    </row>
    <row r="1086" spans="1:50" x14ac:dyDescent="0.25">
      <c r="A1086" s="5">
        <v>35743</v>
      </c>
      <c r="B1086">
        <v>927.51</v>
      </c>
      <c r="C1086">
        <v>5.14</v>
      </c>
      <c r="D1086" s="6">
        <v>35.090000000000003</v>
      </c>
      <c r="E1086" s="18">
        <f t="shared" si="1070"/>
        <v>26.65</v>
      </c>
      <c r="F1086">
        <f t="shared" si="1071"/>
        <v>-2</v>
      </c>
      <c r="G1086" s="18">
        <f>ROUND(INDEX(Valuation!U:U,MATCH(A1086,Valuation!A:A,0)),2)</f>
        <v>85.39</v>
      </c>
      <c r="H1086">
        <f t="shared" si="1078"/>
        <v>-1</v>
      </c>
      <c r="I1086" s="18">
        <f>INDEX(WeeklyIndicators!Y:Y,MATCH(A1086,WeeklyIndicators!A:A,0))</f>
        <v>127.16</v>
      </c>
      <c r="J1086">
        <f t="shared" si="1067"/>
        <v>0</v>
      </c>
      <c r="K1086">
        <f>ROUND(INDEX(Economic!AF:AF,MATCH(EOMONTH($A1086,-1),Economic!A:A,0)),2)</f>
        <v>142.94999999999999</v>
      </c>
      <c r="L1086" s="11">
        <f t="shared" si="1076"/>
        <v>3</v>
      </c>
      <c r="M1086">
        <f>ROUND(INDEX(Manufacturing!P:P,MATCH(EOMONTH($A1086,-1),Manufacturing!A:A,0)),2)</f>
        <v>112.81</v>
      </c>
      <c r="N1086">
        <f t="shared" si="1072"/>
        <v>3</v>
      </c>
      <c r="O1086">
        <f>ROUND(INDEX(Housing!AC:AC,MATCH(EOMONTH($A1086,-1),Housing!B:B,0)),2)</f>
        <v>113.67</v>
      </c>
      <c r="P1086">
        <f t="shared" si="1073"/>
        <v>0</v>
      </c>
      <c r="Q1086">
        <f>ROUND(INDEX(Spending!AJ:AJ,MATCH(EOMONTH($A1086,-1),Spending!B:B,0)),2)</f>
        <v>56.4</v>
      </c>
      <c r="R1086">
        <f t="shared" si="1077"/>
        <v>1</v>
      </c>
      <c r="S1086">
        <f>ROUND(INDEX(Employment!V:V,MATCH(EOMONTH($A1086,-1),Employment!A:A,0)),2)</f>
        <v>187.91</v>
      </c>
      <c r="T1086" s="11">
        <f t="shared" si="1074"/>
        <v>2</v>
      </c>
      <c r="U1086">
        <f t="shared" si="1066"/>
        <v>26</v>
      </c>
      <c r="V1086">
        <f t="shared" si="1058"/>
        <v>83.27</v>
      </c>
      <c r="W1086" s="13">
        <f t="shared" si="1059"/>
        <v>-7.6E-3</v>
      </c>
      <c r="X1086" s="13">
        <f t="shared" si="1060"/>
        <v>5.9999999999999984E-3</v>
      </c>
      <c r="Y1086">
        <f t="shared" si="1052"/>
        <v>77.81</v>
      </c>
      <c r="Z1086" s="13">
        <f t="shared" si="1047"/>
        <v>-1.1599999999999999E-2</v>
      </c>
      <c r="AA1086" s="13">
        <f t="shared" si="1079"/>
        <v>1.1700000000000002E-2</v>
      </c>
      <c r="AB1086" s="6">
        <f t="shared" si="1053"/>
        <v>82.469000000000008</v>
      </c>
      <c r="AC1086">
        <f t="shared" si="1081"/>
        <v>41</v>
      </c>
      <c r="AD1086" s="11">
        <f t="shared" ref="AD1086:AD1149" si="1082">IF(AC1086&gt;47,2,IF(AND(AC1086&gt;41,AC1086&lt;=47),1,IF(AC1086&lt;15,-2,IF(AND(AC1086&lt;32,AC1086&gt;=15),-1,0))))</f>
        <v>0</v>
      </c>
      <c r="AE1086">
        <f t="shared" si="1080"/>
        <v>28</v>
      </c>
      <c r="AF1086">
        <f>IF(AND(AE1086&lt;15,OR(AC1086&gt;=30,AA1086&gt;0.15,X1086&gt;=0.15)),2,VLOOKUP(AE1086,Table!P:Q,2,FALSE))</f>
        <v>4</v>
      </c>
      <c r="AG1086" s="22">
        <f>IF((AB1086*0.98)-(D1086*0.8)+((AF1086-3)*3)+VLOOKUP(AM1086,Table!$A$11:$B$13,2,FALSE)&lt;0,0,(AB1086*0.98)-(D1086*0.8)+((AF1086-3)*3)+VLOOKUP(AM1086,Table!$A$11:$B$13,2,FALSE))</f>
        <v>63.747619999999998</v>
      </c>
      <c r="AH1086" s="22">
        <f t="shared" si="1075"/>
        <v>73</v>
      </c>
      <c r="AI1086" s="18">
        <f t="shared" si="1068"/>
        <v>5.0199999999999996</v>
      </c>
      <c r="AJ1086" s="18">
        <f t="shared" si="1069"/>
        <v>5.05</v>
      </c>
      <c r="AK1086" t="str">
        <f t="shared" si="1054"/>
        <v/>
      </c>
      <c r="AL1086">
        <f t="shared" si="1065"/>
        <v>30.5</v>
      </c>
      <c r="AM1086" s="11" t="str">
        <f t="shared" si="1055"/>
        <v>Stocks</v>
      </c>
      <c r="AN1086" t="str">
        <f t="shared" si="1061"/>
        <v>Buy</v>
      </c>
      <c r="AO1086" s="13">
        <f t="shared" si="1062"/>
        <v>8.9999999999999998E-4</v>
      </c>
      <c r="AP1086" s="13">
        <f t="shared" si="1063"/>
        <v>1E-3</v>
      </c>
      <c r="AQ1086" s="13">
        <f t="shared" si="1064"/>
        <v>8.9999999999999998E-4</v>
      </c>
      <c r="AR1086" s="13">
        <f t="shared" si="1056"/>
        <v>8.9999999999999998E-4</v>
      </c>
      <c r="AS1086" s="6">
        <f t="shared" si="1048"/>
        <v>230.919492102574</v>
      </c>
      <c r="AT1086" s="6">
        <f t="shared" si="1049"/>
        <v>128.0934286647238</v>
      </c>
      <c r="AU1086" s="6">
        <f t="shared" si="1050"/>
        <v>220.00848814871122</v>
      </c>
      <c r="AV1086" s="6">
        <f t="shared" si="1051"/>
        <v>230.919492102574</v>
      </c>
      <c r="AW1086" s="58">
        <f t="shared" si="1057"/>
        <v>1997</v>
      </c>
      <c r="AX1086" s="58">
        <f>COUNTIF(AW$3:AW1086,AW1086)</f>
        <v>8</v>
      </c>
    </row>
    <row r="1087" spans="1:50" x14ac:dyDescent="0.25">
      <c r="A1087" s="5">
        <v>35736</v>
      </c>
      <c r="B1087">
        <v>914.62</v>
      </c>
      <c r="C1087">
        <v>5.04</v>
      </c>
      <c r="D1087" s="6">
        <v>23.17</v>
      </c>
      <c r="E1087" s="18">
        <f t="shared" si="1070"/>
        <v>21.54</v>
      </c>
      <c r="F1087">
        <f t="shared" si="1071"/>
        <v>-1</v>
      </c>
      <c r="G1087" s="18">
        <f>ROUND(INDEX(Valuation!U:U,MATCH(A1087,Valuation!A:A,0)),2)</f>
        <v>82.13</v>
      </c>
      <c r="H1087">
        <f t="shared" si="1078"/>
        <v>-1</v>
      </c>
      <c r="I1087" s="18">
        <f>INDEX(WeeklyIndicators!Y:Y,MATCH(A1087,WeeklyIndicators!A:A,0))</f>
        <v>139.01</v>
      </c>
      <c r="J1087">
        <f t="shared" si="1067"/>
        <v>1</v>
      </c>
      <c r="K1087">
        <f>ROUND(INDEX(Economic!AF:AF,MATCH(EOMONTH($A1087,-1),Economic!A:A,0)),2)</f>
        <v>142.94999999999999</v>
      </c>
      <c r="L1087" s="11">
        <f t="shared" si="1076"/>
        <v>3</v>
      </c>
      <c r="M1087">
        <f>ROUND(INDEX(Manufacturing!P:P,MATCH(EOMONTH($A1087,-1),Manufacturing!A:A,0)),2)</f>
        <v>112.81</v>
      </c>
      <c r="N1087">
        <f t="shared" si="1072"/>
        <v>3</v>
      </c>
      <c r="O1087">
        <f>ROUND(INDEX(Housing!AC:AC,MATCH(EOMONTH($A1087,-1),Housing!B:B,0)),2)</f>
        <v>113.67</v>
      </c>
      <c r="P1087">
        <f t="shared" si="1073"/>
        <v>0</v>
      </c>
      <c r="Q1087">
        <f>ROUND(INDEX(Spending!AJ:AJ,MATCH(EOMONTH($A1087,-1),Spending!B:B,0)),2)</f>
        <v>56.4</v>
      </c>
      <c r="R1087">
        <f t="shared" si="1077"/>
        <v>1</v>
      </c>
      <c r="S1087">
        <f>ROUND(INDEX(Employment!V:V,MATCH(EOMONTH($A1087,-1),Employment!A:A,0)),2)</f>
        <v>187.91</v>
      </c>
      <c r="T1087" s="11">
        <f t="shared" si="1074"/>
        <v>2</v>
      </c>
      <c r="U1087">
        <f t="shared" si="1066"/>
        <v>28</v>
      </c>
      <c r="V1087">
        <f t="shared" si="1058"/>
        <v>84.5</v>
      </c>
      <c r="W1087" s="13">
        <f t="shared" si="1059"/>
        <v>-1.1999999999999999E-3</v>
      </c>
      <c r="X1087" s="13">
        <f t="shared" si="1060"/>
        <v>2.6799999999999997E-2</v>
      </c>
      <c r="Y1087">
        <f t="shared" si="1052"/>
        <v>80.47</v>
      </c>
      <c r="Z1087" s="13">
        <f t="shared" si="1047"/>
        <v>2.3E-3</v>
      </c>
      <c r="AA1087" s="13">
        <f t="shared" si="1079"/>
        <v>3.8600000000000002E-2</v>
      </c>
      <c r="AB1087" s="6">
        <f t="shared" si="1053"/>
        <v>86.852999999999994</v>
      </c>
      <c r="AC1087">
        <f t="shared" si="1081"/>
        <v>43</v>
      </c>
      <c r="AD1087" s="11">
        <f t="shared" si="1082"/>
        <v>1</v>
      </c>
      <c r="AE1087">
        <f t="shared" si="1080"/>
        <v>31</v>
      </c>
      <c r="AF1087">
        <f>IF(AND(AE1087&lt;15,OR(AC1087&gt;=30,AA1087&gt;0.15,X1087&gt;=0.15)),2,VLOOKUP(AE1087,Table!P:Q,2,FALSE))</f>
        <v>4</v>
      </c>
      <c r="AG1087" s="22">
        <f>IF((AB1087*0.98)-(D1087*0.8)+((AF1087-3)*3)+VLOOKUP(AM1087,Table!$A$11:$B$13,2,FALSE)&lt;0,0,(AB1087*0.98)-(D1087*0.8)+((AF1087-3)*3)+VLOOKUP(AM1087,Table!$A$11:$B$13,2,FALSE))</f>
        <v>77.579939999999993</v>
      </c>
      <c r="AH1087" s="22">
        <f t="shared" si="1075"/>
        <v>80</v>
      </c>
      <c r="AI1087" s="18">
        <f t="shared" si="1068"/>
        <v>5.0199999999999996</v>
      </c>
      <c r="AJ1087" s="18">
        <f t="shared" si="1069"/>
        <v>5.05</v>
      </c>
      <c r="AK1087" t="str">
        <f t="shared" si="1054"/>
        <v/>
      </c>
      <c r="AL1087">
        <f t="shared" si="1065"/>
        <v>31.25</v>
      </c>
      <c r="AM1087" s="11" t="str">
        <f t="shared" si="1055"/>
        <v>Stocks</v>
      </c>
      <c r="AN1087" t="str">
        <f t="shared" si="1061"/>
        <v>Buy</v>
      </c>
      <c r="AO1087" s="13">
        <f t="shared" si="1062"/>
        <v>1.41E-2</v>
      </c>
      <c r="AP1087" s="13">
        <f t="shared" si="1063"/>
        <v>1E-3</v>
      </c>
      <c r="AQ1087" s="13">
        <f t="shared" si="1064"/>
        <v>1.15E-2</v>
      </c>
      <c r="AR1087" s="13">
        <f t="shared" si="1056"/>
        <v>1.41E-2</v>
      </c>
      <c r="AS1087" s="6">
        <f t="shared" si="1048"/>
        <v>227.70879805006803</v>
      </c>
      <c r="AT1087" s="6">
        <f t="shared" si="1049"/>
        <v>127.96546320152228</v>
      </c>
      <c r="AU1087" s="6">
        <f t="shared" si="1050"/>
        <v>217.50715585636303</v>
      </c>
      <c r="AV1087" s="6">
        <f t="shared" si="1051"/>
        <v>227.70879805006803</v>
      </c>
      <c r="AW1087" s="58">
        <f t="shared" si="1057"/>
        <v>1997</v>
      </c>
      <c r="AX1087" s="58">
        <f>COUNTIF(AW$3:AW1087,AW1087)</f>
        <v>9</v>
      </c>
    </row>
    <row r="1088" spans="1:50" x14ac:dyDescent="0.25">
      <c r="A1088" s="5">
        <v>35729</v>
      </c>
      <c r="B1088">
        <v>941.64</v>
      </c>
      <c r="C1088">
        <v>4.97</v>
      </c>
      <c r="D1088" s="6">
        <v>21.690000999999999</v>
      </c>
      <c r="E1088" s="18">
        <f t="shared" si="1070"/>
        <v>20.99</v>
      </c>
      <c r="F1088">
        <f t="shared" si="1071"/>
        <v>-1</v>
      </c>
      <c r="G1088" s="18">
        <f>ROUND(INDEX(Valuation!U:U,MATCH(A1088,Valuation!A:A,0)),2)</f>
        <v>77.11</v>
      </c>
      <c r="H1088">
        <f t="shared" si="1078"/>
        <v>-1</v>
      </c>
      <c r="I1088" s="18">
        <f>INDEX(WeeklyIndicators!Y:Y,MATCH(A1088,WeeklyIndicators!A:A,0))</f>
        <v>148.72999999999999</v>
      </c>
      <c r="J1088">
        <f t="shared" si="1067"/>
        <v>1</v>
      </c>
      <c r="K1088">
        <f>ROUND(INDEX(Economic!AF:AF,MATCH(EOMONTH($A1088,-1),Economic!A:A,0)),2)</f>
        <v>145.52000000000001</v>
      </c>
      <c r="L1088" s="11">
        <f t="shared" si="1076"/>
        <v>3</v>
      </c>
      <c r="M1088">
        <f>ROUND(INDEX(Manufacturing!P:P,MATCH(EOMONTH($A1088,-1),Manufacturing!A:A,0)),2)</f>
        <v>111.58</v>
      </c>
      <c r="N1088">
        <f t="shared" si="1072"/>
        <v>3</v>
      </c>
      <c r="O1088">
        <f>ROUND(INDEX(Housing!AC:AC,MATCH(EOMONTH($A1088,-1),Housing!B:B,0)),2)</f>
        <v>112.24</v>
      </c>
      <c r="P1088">
        <f t="shared" si="1073"/>
        <v>0</v>
      </c>
      <c r="Q1088">
        <f>ROUND(INDEX(Spending!AJ:AJ,MATCH(EOMONTH($A1088,-1),Spending!B:B,0)),2)</f>
        <v>50.51</v>
      </c>
      <c r="R1088">
        <f t="shared" si="1077"/>
        <v>1</v>
      </c>
      <c r="S1088">
        <f>ROUND(INDEX(Employment!V:V,MATCH(EOMONTH($A1088,-1),Employment!A:A,0)),2)</f>
        <v>185.09</v>
      </c>
      <c r="T1088" s="11">
        <f t="shared" si="1074"/>
        <v>2</v>
      </c>
      <c r="U1088">
        <f t="shared" si="1066"/>
        <v>28</v>
      </c>
      <c r="V1088">
        <f t="shared" si="1058"/>
        <v>84.86</v>
      </c>
      <c r="W1088" s="13">
        <f t="shared" si="1059"/>
        <v>3.5000000000000001E-3</v>
      </c>
      <c r="X1088" s="13">
        <f t="shared" si="1060"/>
        <v>3.8699999999999998E-2</v>
      </c>
      <c r="Y1088">
        <f t="shared" si="1052"/>
        <v>80.459999999999994</v>
      </c>
      <c r="Z1088" s="13">
        <f t="shared" ref="Z1088:Z1151" si="1083">ROUND((AVERAGE(Y1088:Y1090)-AVERAGE(Y1089:Y1091))/AVERAGE(Y1089:Y1091),4)</f>
        <v>6.7999999999999996E-3</v>
      </c>
      <c r="AA1088" s="13">
        <f t="shared" si="1079"/>
        <v>4.6399999999999997E-2</v>
      </c>
      <c r="AB1088" s="6">
        <f t="shared" si="1053"/>
        <v>86.991</v>
      </c>
      <c r="AC1088">
        <f t="shared" si="1081"/>
        <v>43</v>
      </c>
      <c r="AD1088" s="11">
        <f t="shared" si="1082"/>
        <v>1</v>
      </c>
      <c r="AE1088">
        <f t="shared" si="1080"/>
        <v>31</v>
      </c>
      <c r="AF1088">
        <f>IF(AND(AE1088&lt;15,OR(AC1088&gt;=30,AA1088&gt;0.15,X1088&gt;=0.15)),2,VLOOKUP(AE1088,Table!P:Q,2,FALSE))</f>
        <v>4</v>
      </c>
      <c r="AG1088" s="22">
        <f>IF((AB1088*0.98)-(D1088*0.8)+((AF1088-3)*3)+VLOOKUP(AM1088,Table!$A$11:$B$13,2,FALSE)&lt;0,0,(AB1088*0.98)-(D1088*0.8)+((AF1088-3)*3)+VLOOKUP(AM1088,Table!$A$11:$B$13,2,FALSE))</f>
        <v>78.899179200000006</v>
      </c>
      <c r="AH1088" s="22">
        <f t="shared" si="1075"/>
        <v>79</v>
      </c>
      <c r="AI1088" s="18">
        <f t="shared" si="1068"/>
        <v>5.0199999999999996</v>
      </c>
      <c r="AJ1088" s="18">
        <f t="shared" si="1069"/>
        <v>5.05</v>
      </c>
      <c r="AK1088" t="str">
        <f t="shared" si="1054"/>
        <v/>
      </c>
      <c r="AL1088">
        <f t="shared" si="1065"/>
        <v>31</v>
      </c>
      <c r="AM1088" s="11" t="str">
        <f t="shared" si="1055"/>
        <v>Stocks</v>
      </c>
      <c r="AN1088" t="str">
        <f t="shared" si="1061"/>
        <v>Buy</v>
      </c>
      <c r="AO1088" s="13">
        <f t="shared" si="1062"/>
        <v>-2.87E-2</v>
      </c>
      <c r="AP1088" s="13">
        <f t="shared" si="1063"/>
        <v>1E-3</v>
      </c>
      <c r="AQ1088" s="13">
        <f t="shared" si="1064"/>
        <v>-2.2499999999999999E-2</v>
      </c>
      <c r="AR1088" s="13">
        <f t="shared" si="1056"/>
        <v>-2.87E-2</v>
      </c>
      <c r="AS1088" s="6">
        <f t="shared" si="1048"/>
        <v>234.43714408531659</v>
      </c>
      <c r="AT1088" s="6">
        <f t="shared" si="1049"/>
        <v>127.83762557594635</v>
      </c>
      <c r="AU1088" s="6">
        <f t="shared" si="1050"/>
        <v>222.51371443106191</v>
      </c>
      <c r="AV1088" s="6">
        <f t="shared" si="1051"/>
        <v>234.43714408531659</v>
      </c>
      <c r="AW1088" s="58">
        <f t="shared" si="1057"/>
        <v>1997</v>
      </c>
      <c r="AX1088" s="58">
        <f>COUNTIF(AW$3:AW1088,AW1088)</f>
        <v>10</v>
      </c>
    </row>
    <row r="1089" spans="1:50" x14ac:dyDescent="0.25">
      <c r="A1089" s="5">
        <v>35722</v>
      </c>
      <c r="B1089">
        <v>944.16</v>
      </c>
      <c r="C1089">
        <v>4.9400000000000004</v>
      </c>
      <c r="D1089" s="6">
        <v>19.75</v>
      </c>
      <c r="E1089" s="18">
        <f t="shared" si="1070"/>
        <v>21.18</v>
      </c>
      <c r="F1089">
        <f t="shared" si="1071"/>
        <v>-1</v>
      </c>
      <c r="G1089" s="18">
        <f>ROUND(INDEX(Valuation!U:U,MATCH(A1089,Valuation!A:A,0)),2)</f>
        <v>76.040000000000006</v>
      </c>
      <c r="H1089">
        <f t="shared" si="1078"/>
        <v>-1</v>
      </c>
      <c r="I1089" s="18">
        <f>INDEX(WeeklyIndicators!Y:Y,MATCH(A1089,WeeklyIndicators!A:A,0))</f>
        <v>152.07</v>
      </c>
      <c r="J1089">
        <f t="shared" si="1067"/>
        <v>2</v>
      </c>
      <c r="K1089">
        <f>ROUND(INDEX(Economic!AF:AF,MATCH(EOMONTH($A1089,-1),Economic!A:A,0)),2)</f>
        <v>145.52000000000001</v>
      </c>
      <c r="L1089" s="11">
        <f t="shared" si="1076"/>
        <v>3</v>
      </c>
      <c r="M1089">
        <f>ROUND(INDEX(Manufacturing!P:P,MATCH(EOMONTH($A1089,-1),Manufacturing!A:A,0)),2)</f>
        <v>111.58</v>
      </c>
      <c r="N1089">
        <f t="shared" si="1072"/>
        <v>3</v>
      </c>
      <c r="O1089">
        <f>ROUND(INDEX(Housing!AC:AC,MATCH(EOMONTH($A1089,-1),Housing!B:B,0)),2)</f>
        <v>112.24</v>
      </c>
      <c r="P1089">
        <f t="shared" si="1073"/>
        <v>0</v>
      </c>
      <c r="Q1089">
        <f>ROUND(INDEX(Spending!AJ:AJ,MATCH(EOMONTH($A1089,-1),Spending!B:B,0)),2)</f>
        <v>50.51</v>
      </c>
      <c r="R1089">
        <f t="shared" si="1077"/>
        <v>1</v>
      </c>
      <c r="S1089">
        <f>ROUND(INDEX(Employment!V:V,MATCH(EOMONTH($A1089,-1),Employment!A:A,0)),2)</f>
        <v>185.09</v>
      </c>
      <c r="T1089" s="11">
        <f t="shared" si="1074"/>
        <v>2</v>
      </c>
      <c r="U1089">
        <f t="shared" si="1066"/>
        <v>29</v>
      </c>
      <c r="V1089">
        <f t="shared" si="1058"/>
        <v>85.21</v>
      </c>
      <c r="W1089" s="13">
        <f t="shared" si="1059"/>
        <v>1.1299999999999999E-2</v>
      </c>
      <c r="X1089" s="13">
        <f t="shared" si="1060"/>
        <v>3.7700000000000004E-2</v>
      </c>
      <c r="Y1089">
        <f t="shared" si="1052"/>
        <v>80.62</v>
      </c>
      <c r="Z1089" s="13">
        <f t="shared" si="1083"/>
        <v>1.4200000000000001E-2</v>
      </c>
      <c r="AA1089" s="13">
        <f t="shared" si="1079"/>
        <v>4.0599999999999997E-2</v>
      </c>
      <c r="AB1089" s="6">
        <f t="shared" si="1053"/>
        <v>86.664000000000001</v>
      </c>
      <c r="AC1089">
        <f t="shared" si="1081"/>
        <v>43</v>
      </c>
      <c r="AD1089" s="11">
        <f t="shared" si="1082"/>
        <v>1</v>
      </c>
      <c r="AE1089">
        <f t="shared" si="1080"/>
        <v>32</v>
      </c>
      <c r="AF1089">
        <f>IF(AND(AE1089&lt;15,OR(AC1089&gt;=30,AA1089&gt;0.15,X1089&gt;=0.15)),2,VLOOKUP(AE1089,Table!P:Q,2,FALSE))</f>
        <v>5</v>
      </c>
      <c r="AG1089" s="22">
        <f>IF((AB1089*0.98)-(D1089*0.8)+((AF1089-3)*3)+VLOOKUP(AM1089,Table!$A$11:$B$13,2,FALSE)&lt;0,0,(AB1089*0.98)-(D1089*0.8)+((AF1089-3)*3)+VLOOKUP(AM1089,Table!$A$11:$B$13,2,FALSE))</f>
        <v>83.130719999999997</v>
      </c>
      <c r="AH1089" s="22">
        <f t="shared" si="1075"/>
        <v>77</v>
      </c>
      <c r="AI1089" s="18">
        <f t="shared" si="1068"/>
        <v>5.03</v>
      </c>
      <c r="AJ1089" s="18">
        <f t="shared" si="1069"/>
        <v>5.05</v>
      </c>
      <c r="AK1089" t="str">
        <f t="shared" si="1054"/>
        <v/>
      </c>
      <c r="AL1089">
        <f t="shared" si="1065"/>
        <v>30.25</v>
      </c>
      <c r="AM1089" s="11" t="str">
        <f t="shared" si="1055"/>
        <v>Stocks</v>
      </c>
      <c r="AN1089" t="str">
        <f t="shared" si="1061"/>
        <v>Buy</v>
      </c>
      <c r="AO1089" s="13">
        <f t="shared" si="1062"/>
        <v>-2.7000000000000001E-3</v>
      </c>
      <c r="AP1089" s="13">
        <f t="shared" si="1063"/>
        <v>1E-3</v>
      </c>
      <c r="AQ1089" s="13">
        <f t="shared" si="1064"/>
        <v>-1.8E-3</v>
      </c>
      <c r="AR1089" s="13">
        <f t="shared" si="1056"/>
        <v>-2.7000000000000001E-3</v>
      </c>
      <c r="AS1089" s="6">
        <f t="shared" si="1048"/>
        <v>235.07183804804632</v>
      </c>
      <c r="AT1089" s="6">
        <f t="shared" si="1049"/>
        <v>127.70991566028607</v>
      </c>
      <c r="AU1089" s="6">
        <f t="shared" si="1050"/>
        <v>222.91496136151264</v>
      </c>
      <c r="AV1089" s="6">
        <f t="shared" si="1051"/>
        <v>235.07183804804632</v>
      </c>
      <c r="AW1089" s="58">
        <f t="shared" si="1057"/>
        <v>1997</v>
      </c>
      <c r="AX1089" s="58">
        <f>COUNTIF(AW$3:AW1089,AW1089)</f>
        <v>11</v>
      </c>
    </row>
    <row r="1090" spans="1:50" x14ac:dyDescent="0.25">
      <c r="A1090" s="5">
        <v>35715</v>
      </c>
      <c r="B1090">
        <v>966.98</v>
      </c>
      <c r="C1090">
        <v>4.95</v>
      </c>
      <c r="D1090" s="6">
        <v>21.540001</v>
      </c>
      <c r="E1090" s="18">
        <f t="shared" si="1070"/>
        <v>22.18</v>
      </c>
      <c r="F1090">
        <f t="shared" si="1071"/>
        <v>-1</v>
      </c>
      <c r="G1090" s="18">
        <f>ROUND(INDEX(Valuation!U:U,MATCH(A1090,Valuation!A:A,0)),2)</f>
        <v>76.36</v>
      </c>
      <c r="H1090">
        <f t="shared" si="1078"/>
        <v>-1</v>
      </c>
      <c r="I1090" s="18">
        <f>INDEX(WeeklyIndicators!Y:Y,MATCH(A1090,WeeklyIndicators!A:A,0))</f>
        <v>148.24</v>
      </c>
      <c r="J1090">
        <f t="shared" si="1067"/>
        <v>1</v>
      </c>
      <c r="K1090">
        <f>ROUND(INDEX(Economic!AF:AF,MATCH(EOMONTH($A1090,-1),Economic!A:A,0)),2)</f>
        <v>145.52000000000001</v>
      </c>
      <c r="L1090" s="11">
        <f t="shared" si="1076"/>
        <v>3</v>
      </c>
      <c r="M1090">
        <f>ROUND(INDEX(Manufacturing!P:P,MATCH(EOMONTH($A1090,-1),Manufacturing!A:A,0)),2)</f>
        <v>111.58</v>
      </c>
      <c r="N1090">
        <f t="shared" si="1072"/>
        <v>3</v>
      </c>
      <c r="O1090">
        <f>ROUND(INDEX(Housing!AC:AC,MATCH(EOMONTH($A1090,-1),Housing!B:B,0)),2)</f>
        <v>112.24</v>
      </c>
      <c r="P1090">
        <f t="shared" si="1073"/>
        <v>0</v>
      </c>
      <c r="Q1090">
        <f>ROUND(INDEX(Spending!AJ:AJ,MATCH(EOMONTH($A1090,-1),Spending!B:B,0)),2)</f>
        <v>50.51</v>
      </c>
      <c r="R1090">
        <f t="shared" si="1077"/>
        <v>1</v>
      </c>
      <c r="S1090">
        <f>ROUND(INDEX(Employment!V:V,MATCH(EOMONTH($A1090,-1),Employment!A:A,0)),2)</f>
        <v>185.09</v>
      </c>
      <c r="T1090" s="11">
        <f t="shared" si="1074"/>
        <v>2</v>
      </c>
      <c r="U1090">
        <f t="shared" si="1066"/>
        <v>28</v>
      </c>
      <c r="V1090">
        <f t="shared" si="1058"/>
        <v>84.81</v>
      </c>
      <c r="W1090" s="13">
        <f t="shared" si="1059"/>
        <v>1.32E-2</v>
      </c>
      <c r="X1090" s="13">
        <f t="shared" si="1060"/>
        <v>1.7399999999999999E-2</v>
      </c>
      <c r="Y1090">
        <f t="shared" si="1052"/>
        <v>79.91</v>
      </c>
      <c r="Z1090" s="13">
        <f t="shared" si="1083"/>
        <v>1.5299999999999999E-2</v>
      </c>
      <c r="AA1090" s="13">
        <f t="shared" si="1079"/>
        <v>1.2500000000000001E-2</v>
      </c>
      <c r="AB1090" s="6">
        <f t="shared" si="1053"/>
        <v>83.885999999999996</v>
      </c>
      <c r="AC1090">
        <f t="shared" si="1081"/>
        <v>42</v>
      </c>
      <c r="AD1090" s="11">
        <f t="shared" si="1082"/>
        <v>1</v>
      </c>
      <c r="AE1090">
        <f t="shared" si="1080"/>
        <v>31</v>
      </c>
      <c r="AF1090">
        <f>IF(AND(AE1090&lt;15,OR(AC1090&gt;=30,AA1090&gt;0.15,X1090&gt;=0.15)),2,VLOOKUP(AE1090,Table!P:Q,2,FALSE))</f>
        <v>4</v>
      </c>
      <c r="AG1090" s="22">
        <f>IF((AB1090*0.98)-(D1090*0.8)+((AF1090-3)*3)+VLOOKUP(AM1090,Table!$A$11:$B$13,2,FALSE)&lt;0,0,(AB1090*0.98)-(D1090*0.8)+((AF1090-3)*3)+VLOOKUP(AM1090,Table!$A$11:$B$13,2,FALSE))</f>
        <v>75.976279199999993</v>
      </c>
      <c r="AH1090" s="22">
        <f t="shared" si="1075"/>
        <v>72</v>
      </c>
      <c r="AI1090" s="18">
        <f t="shared" si="1068"/>
        <v>5.04</v>
      </c>
      <c r="AJ1090" s="18">
        <f t="shared" si="1069"/>
        <v>5.05</v>
      </c>
      <c r="AK1090" t="str">
        <f t="shared" si="1054"/>
        <v/>
      </c>
      <c r="AL1090">
        <f t="shared" si="1065"/>
        <v>29.25</v>
      </c>
      <c r="AM1090" s="11" t="str">
        <f t="shared" si="1055"/>
        <v>Stocks</v>
      </c>
      <c r="AN1090" t="str">
        <f t="shared" si="1061"/>
        <v>Buy</v>
      </c>
      <c r="AO1090" s="13">
        <f t="shared" si="1062"/>
        <v>-2.3599999999999999E-2</v>
      </c>
      <c r="AP1090" s="13">
        <f t="shared" si="1063"/>
        <v>1E-3</v>
      </c>
      <c r="AQ1090" s="13">
        <f t="shared" si="1064"/>
        <v>-1.67E-2</v>
      </c>
      <c r="AR1090" s="13">
        <f t="shared" si="1056"/>
        <v>-2.3599999999999999E-2</v>
      </c>
      <c r="AS1090" s="6">
        <f t="shared" si="1048"/>
        <v>240.75362356416051</v>
      </c>
      <c r="AT1090" s="6">
        <f t="shared" si="1049"/>
        <v>127.58233332695913</v>
      </c>
      <c r="AU1090" s="6">
        <f t="shared" si="1050"/>
        <v>226.70086582071866</v>
      </c>
      <c r="AV1090" s="6">
        <f t="shared" si="1051"/>
        <v>240.75362356416051</v>
      </c>
      <c r="AW1090" s="58">
        <f t="shared" si="1057"/>
        <v>1997</v>
      </c>
      <c r="AX1090" s="58">
        <f>COUNTIF(AW$3:AW1090,AW1090)</f>
        <v>12</v>
      </c>
    </row>
    <row r="1091" spans="1:50" x14ac:dyDescent="0.25">
      <c r="A1091" s="5">
        <v>35708</v>
      </c>
      <c r="B1091">
        <v>965.03</v>
      </c>
      <c r="C1091">
        <v>4.92</v>
      </c>
      <c r="D1091" s="6">
        <v>22.26</v>
      </c>
      <c r="E1091" s="18">
        <f t="shared" si="1070"/>
        <v>23.39</v>
      </c>
      <c r="F1091">
        <f t="shared" si="1071"/>
        <v>-1</v>
      </c>
      <c r="G1091" s="18">
        <f>ROUND(INDEX(Valuation!U:U,MATCH(A1091,Valuation!A:A,0)),2)</f>
        <v>78.08</v>
      </c>
      <c r="H1091">
        <f t="shared" si="1078"/>
        <v>-1</v>
      </c>
      <c r="I1091" s="18">
        <f>INDEX(WeeklyIndicators!Y:Y,MATCH(A1091,WeeklyIndicators!A:A,0))</f>
        <v>140.12</v>
      </c>
      <c r="J1091">
        <f t="shared" si="1067"/>
        <v>1</v>
      </c>
      <c r="K1091">
        <f>ROUND(INDEX(Economic!AF:AF,MATCH(EOMONTH($A1091,-1),Economic!A:A,0)),2)</f>
        <v>145.52000000000001</v>
      </c>
      <c r="L1091" s="11">
        <f t="shared" si="1076"/>
        <v>3</v>
      </c>
      <c r="M1091">
        <f>ROUND(INDEX(Manufacturing!P:P,MATCH(EOMONTH($A1091,-1),Manufacturing!A:A,0)),2)</f>
        <v>111.58</v>
      </c>
      <c r="N1091">
        <f t="shared" si="1072"/>
        <v>3</v>
      </c>
      <c r="O1091">
        <f>ROUND(INDEX(Housing!AC:AC,MATCH(EOMONTH($A1091,-1),Housing!B:B,0)),2)</f>
        <v>112.24</v>
      </c>
      <c r="P1091">
        <f t="shared" si="1073"/>
        <v>0</v>
      </c>
      <c r="Q1091">
        <f>ROUND(INDEX(Spending!AJ:AJ,MATCH(EOMONTH($A1091,-1),Spending!B:B,0)),2)</f>
        <v>50.51</v>
      </c>
      <c r="R1091">
        <f t="shared" si="1077"/>
        <v>1</v>
      </c>
      <c r="S1091">
        <f>ROUND(INDEX(Employment!V:V,MATCH(EOMONTH($A1091,-1),Employment!A:A,0)),2)</f>
        <v>185.09</v>
      </c>
      <c r="T1091" s="11">
        <f t="shared" si="1074"/>
        <v>2</v>
      </c>
      <c r="U1091">
        <f t="shared" si="1066"/>
        <v>28</v>
      </c>
      <c r="V1091">
        <f t="shared" si="1058"/>
        <v>83.97</v>
      </c>
      <c r="W1091" s="13">
        <f t="shared" si="1059"/>
        <v>1.0699999999999999E-2</v>
      </c>
      <c r="X1091" s="13">
        <f t="shared" si="1060"/>
        <v>-7.7999999999999996E-3</v>
      </c>
      <c r="Y1091">
        <f t="shared" si="1052"/>
        <v>78.84</v>
      </c>
      <c r="Z1091" s="13">
        <f t="shared" si="1083"/>
        <v>1.01E-2</v>
      </c>
      <c r="AA1091" s="13">
        <f t="shared" si="1079"/>
        <v>-1.8800000000000001E-2</v>
      </c>
      <c r="AB1091" s="6">
        <f t="shared" si="1053"/>
        <v>80.608000000000004</v>
      </c>
      <c r="AC1091">
        <f t="shared" si="1081"/>
        <v>40</v>
      </c>
      <c r="AD1091" s="11">
        <f t="shared" si="1082"/>
        <v>0</v>
      </c>
      <c r="AE1091">
        <f t="shared" si="1080"/>
        <v>30</v>
      </c>
      <c r="AF1091">
        <f>IF(AND(AE1091&lt;15,OR(AC1091&gt;=30,AA1091&gt;0.15,X1091&gt;=0.15)),2,VLOOKUP(AE1091,Table!P:Q,2,FALSE))</f>
        <v>4</v>
      </c>
      <c r="AG1091" s="22">
        <f>IF((AB1091*0.98)-(D1091*0.8)+((AF1091-3)*3)+VLOOKUP(AM1091,Table!$A$11:$B$13,2,FALSE)&lt;0,0,(AB1091*0.98)-(D1091*0.8)+((AF1091-3)*3)+VLOOKUP(AM1091,Table!$A$11:$B$13,2,FALSE))</f>
        <v>72.187839999999994</v>
      </c>
      <c r="AH1091" s="22">
        <f t="shared" si="1075"/>
        <v>69</v>
      </c>
      <c r="AI1091" s="18">
        <f t="shared" si="1068"/>
        <v>5.04</v>
      </c>
      <c r="AJ1091" s="18">
        <f t="shared" si="1069"/>
        <v>5.05</v>
      </c>
      <c r="AK1091" t="str">
        <f t="shared" si="1054"/>
        <v/>
      </c>
      <c r="AL1091">
        <f t="shared" si="1065"/>
        <v>28.5</v>
      </c>
      <c r="AM1091" s="11" t="str">
        <f t="shared" si="1055"/>
        <v>Stocks</v>
      </c>
      <c r="AN1091" t="str">
        <f t="shared" si="1061"/>
        <v>Buy</v>
      </c>
      <c r="AO1091" s="13">
        <f t="shared" si="1062"/>
        <v>2E-3</v>
      </c>
      <c r="AP1091" s="13">
        <f t="shared" si="1063"/>
        <v>8.9999999999999998E-4</v>
      </c>
      <c r="AQ1091" s="13">
        <f t="shared" si="1064"/>
        <v>1.6999999999999999E-3</v>
      </c>
      <c r="AR1091" s="13">
        <f t="shared" si="1056"/>
        <v>2E-3</v>
      </c>
      <c r="AS1091" s="6">
        <f t="shared" ref="AS1091:AS1154" si="1084">AS1092*(1+AO1092)</f>
        <v>240.27307740934182</v>
      </c>
      <c r="AT1091" s="6">
        <f t="shared" ref="AT1091:AT1154" si="1085">AT1092*(1+AP1092)</f>
        <v>127.46761247573099</v>
      </c>
      <c r="AU1091" s="6">
        <f t="shared" ref="AU1091:AU1154" si="1086">AU1092*(1+AQ1092)</f>
        <v>226.31612840243452</v>
      </c>
      <c r="AV1091" s="6">
        <f t="shared" ref="AV1091:AV1154" si="1087">AV1092*(1+AR1092)</f>
        <v>240.27307740934182</v>
      </c>
      <c r="AW1091" s="58">
        <f t="shared" si="1057"/>
        <v>1997</v>
      </c>
      <c r="AX1091" s="58">
        <f>COUNTIF(AW$3:AW1091,AW1091)</f>
        <v>13</v>
      </c>
    </row>
    <row r="1092" spans="1:50" x14ac:dyDescent="0.25">
      <c r="A1092" s="5">
        <v>35701</v>
      </c>
      <c r="B1092">
        <v>945.22</v>
      </c>
      <c r="C1092">
        <v>4.8499999999999996</v>
      </c>
      <c r="D1092" s="6">
        <v>22.74</v>
      </c>
      <c r="E1092" s="18">
        <f t="shared" si="1070"/>
        <v>24.07</v>
      </c>
      <c r="F1092">
        <f t="shared" si="1071"/>
        <v>-1</v>
      </c>
      <c r="G1092" s="18">
        <f>ROUND(INDEX(Valuation!U:U,MATCH(A1092,Valuation!A:A,0)),2)</f>
        <v>80.290000000000006</v>
      </c>
      <c r="H1092">
        <f t="shared" si="1078"/>
        <v>-1</v>
      </c>
      <c r="I1092" s="18">
        <f>INDEX(WeeklyIndicators!Y:Y,MATCH(A1092,WeeklyIndicators!A:A,0))</f>
        <v>130.31</v>
      </c>
      <c r="J1092">
        <f t="shared" si="1067"/>
        <v>0</v>
      </c>
      <c r="K1092">
        <f>ROUND(INDEX(Economic!AF:AF,MATCH(EOMONTH($A1092,-1),Economic!A:A,0)),2)</f>
        <v>147.94999999999999</v>
      </c>
      <c r="L1092" s="11">
        <f t="shared" si="1076"/>
        <v>3</v>
      </c>
      <c r="M1092">
        <f>ROUND(INDEX(Manufacturing!P:P,MATCH(EOMONTH($A1092,-1),Manufacturing!A:A,0)),2)</f>
        <v>109.53</v>
      </c>
      <c r="N1092">
        <f t="shared" si="1072"/>
        <v>3</v>
      </c>
      <c r="O1092">
        <f>ROUND(INDEX(Housing!AC:AC,MATCH(EOMONTH($A1092,-1),Housing!B:B,0)),2)</f>
        <v>112.36</v>
      </c>
      <c r="P1092">
        <f t="shared" si="1073"/>
        <v>0</v>
      </c>
      <c r="Q1092">
        <f>ROUND(INDEX(Spending!AJ:AJ,MATCH(EOMONTH($A1092,-1),Spending!B:B,0)),2)</f>
        <v>47.14</v>
      </c>
      <c r="R1092">
        <f t="shared" si="1077"/>
        <v>0</v>
      </c>
      <c r="S1092">
        <f>ROUND(INDEX(Employment!V:V,MATCH(EOMONTH($A1092,-1),Employment!A:A,0)),2)</f>
        <v>181.06</v>
      </c>
      <c r="T1092" s="11">
        <f t="shared" si="1074"/>
        <v>2</v>
      </c>
      <c r="U1092">
        <f t="shared" si="1066"/>
        <v>26</v>
      </c>
      <c r="V1092">
        <f t="shared" si="1058"/>
        <v>82.38</v>
      </c>
      <c r="W1092" s="13">
        <f t="shared" si="1059"/>
        <v>2.5000000000000001E-3</v>
      </c>
      <c r="X1092" s="13">
        <f t="shared" si="1060"/>
        <v>-2.8999999999999998E-2</v>
      </c>
      <c r="Y1092">
        <f t="shared" ref="Y1092:Y1155" si="1088">ROUND(((K1092*0.745)+(M1092*0.745)+(O1092*0.36)+(Q1092*0.45)+(S1092*0.45)+(I1092*0.55)+(G1092*0.59)-(E1092*1.85))/5.3,2)</f>
        <v>77.260000000000005</v>
      </c>
      <c r="Z1092" s="13">
        <f t="shared" si="1083"/>
        <v>1E-3</v>
      </c>
      <c r="AA1092" s="13">
        <f t="shared" si="1079"/>
        <v>-4.4899999999999995E-2</v>
      </c>
      <c r="AB1092" s="6">
        <f t="shared" ref="AB1092:AB1155" si="1089">IF(ROUND(Y1092+(X1092*10)+(V1092/30)+(AA1092*67),2)+5+((G1092-125)*0.1)&lt;0,0,ROUND(Y1092+(X1092*10)+(V1092/30)+(AA1092*67),2)+5+((G1092-125)*0.1))</f>
        <v>77.23899999999999</v>
      </c>
      <c r="AC1092">
        <f t="shared" si="1081"/>
        <v>39</v>
      </c>
      <c r="AD1092" s="11">
        <f t="shared" si="1082"/>
        <v>0</v>
      </c>
      <c r="AE1092">
        <f t="shared" si="1080"/>
        <v>28</v>
      </c>
      <c r="AF1092">
        <f>IF(AND(AE1092&lt;15,OR(AC1092&gt;=30,AA1092&gt;0.15,X1092&gt;=0.15)),2,VLOOKUP(AE1092,Table!P:Q,2,FALSE))</f>
        <v>4</v>
      </c>
      <c r="AG1092" s="22">
        <f>IF((AB1092*0.98)-(D1092*0.8)+((AF1092-3)*3)+VLOOKUP(AM1092,Table!$A$11:$B$13,2,FALSE)&lt;0,0,(AB1092*0.98)-(D1092*0.8)+((AF1092-3)*3)+VLOOKUP(AM1092,Table!$A$11:$B$13,2,FALSE))</f>
        <v>68.502219999999994</v>
      </c>
      <c r="AH1092" s="22">
        <f t="shared" si="1075"/>
        <v>67</v>
      </c>
      <c r="AI1092" s="18">
        <f t="shared" si="1068"/>
        <v>5.05</v>
      </c>
      <c r="AJ1092" s="18">
        <f t="shared" si="1069"/>
        <v>5.05</v>
      </c>
      <c r="AK1092" t="str">
        <f t="shared" ref="AK1092:AK1155" si="1090">IF(AND(C1092&gt;AI1092,AI1092&gt;AJ1092,C1092-AJ1092&gt;0.15),"Rising Rates",IF(AND(C1092&lt;AI1092,AI1092&lt;AJ1092,AJ1092-C1092&gt;0.15),"Falling Rates",""))</f>
        <v/>
      </c>
      <c r="AL1092">
        <f t="shared" si="1065"/>
        <v>28</v>
      </c>
      <c r="AM1092" s="11" t="str">
        <f t="shared" ref="AM1092:AM1155" si="1091">IF(OR(AND(AL1092&lt;=18,G1092&lt;=25),AND(AL1092&lt;=14,G1092&lt;200)),"Cash","Stocks")</f>
        <v>Stocks</v>
      </c>
      <c r="AN1092" t="str">
        <f t="shared" si="1061"/>
        <v>Buy</v>
      </c>
      <c r="AO1092" s="13">
        <f t="shared" si="1062"/>
        <v>2.1000000000000001E-2</v>
      </c>
      <c r="AP1092" s="13">
        <f t="shared" si="1063"/>
        <v>8.9999999999999998E-4</v>
      </c>
      <c r="AQ1092" s="13">
        <f t="shared" si="1064"/>
        <v>1.44E-2</v>
      </c>
      <c r="AR1092" s="13">
        <f t="shared" ref="AR1092:AR1155" si="1092">IF(AM1092="Stocks",AO1092,AP1092)</f>
        <v>2.1000000000000001E-2</v>
      </c>
      <c r="AS1092" s="6">
        <f t="shared" si="1084"/>
        <v>235.3311238093456</v>
      </c>
      <c r="AT1092" s="6">
        <f t="shared" si="1085"/>
        <v>127.35299478042862</v>
      </c>
      <c r="AU1092" s="6">
        <f t="shared" si="1086"/>
        <v>223.10343888252615</v>
      </c>
      <c r="AV1092" s="6">
        <f t="shared" si="1087"/>
        <v>235.3311238093456</v>
      </c>
      <c r="AW1092" s="58">
        <f t="shared" ref="AW1092:AW1155" si="1093">YEAR(A1092)</f>
        <v>1997</v>
      </c>
      <c r="AX1092" s="58">
        <f>COUNTIF(AW$3:AW1092,AW1092)</f>
        <v>14</v>
      </c>
    </row>
    <row r="1093" spans="1:50" x14ac:dyDescent="0.25">
      <c r="A1093" s="5">
        <v>35694</v>
      </c>
      <c r="B1093">
        <v>950.51</v>
      </c>
      <c r="C1093">
        <v>4.97</v>
      </c>
      <c r="D1093" s="6">
        <v>25.17</v>
      </c>
      <c r="E1093" s="18">
        <f t="shared" si="1070"/>
        <v>24.75</v>
      </c>
      <c r="F1093">
        <f t="shared" si="1071"/>
        <v>-1</v>
      </c>
      <c r="G1093" s="18">
        <f>ROUND(INDEX(Valuation!U:U,MATCH(A1093,Valuation!A:A,0)),2)</f>
        <v>81.739999999999995</v>
      </c>
      <c r="H1093">
        <f t="shared" si="1078"/>
        <v>-1</v>
      </c>
      <c r="I1093" s="18">
        <f>INDEX(WeeklyIndicators!Y:Y,MATCH(A1093,WeeklyIndicators!A:A,0))</f>
        <v>122.26</v>
      </c>
      <c r="J1093">
        <f t="shared" si="1067"/>
        <v>0</v>
      </c>
      <c r="K1093">
        <f>ROUND(INDEX(Economic!AF:AF,MATCH(EOMONTH($A1093,-1),Economic!A:A,0)),2)</f>
        <v>147.94999999999999</v>
      </c>
      <c r="L1093" s="11">
        <f t="shared" si="1076"/>
        <v>3</v>
      </c>
      <c r="M1093">
        <f>ROUND(INDEX(Manufacturing!P:P,MATCH(EOMONTH($A1093,-1),Manufacturing!A:A,0)),2)</f>
        <v>109.53</v>
      </c>
      <c r="N1093">
        <f t="shared" si="1072"/>
        <v>3</v>
      </c>
      <c r="O1093">
        <f>ROUND(INDEX(Housing!AC:AC,MATCH(EOMONTH($A1093,-1),Housing!B:B,0)),2)</f>
        <v>112.36</v>
      </c>
      <c r="P1093">
        <f t="shared" si="1073"/>
        <v>0</v>
      </c>
      <c r="Q1093">
        <f>ROUND(INDEX(Spending!AJ:AJ,MATCH(EOMONTH($A1093,-1),Spending!B:B,0)),2)</f>
        <v>47.14</v>
      </c>
      <c r="R1093">
        <f t="shared" si="1077"/>
        <v>0</v>
      </c>
      <c r="S1093">
        <f>ROUND(INDEX(Employment!V:V,MATCH(EOMONTH($A1093,-1),Employment!A:A,0)),2)</f>
        <v>181.06</v>
      </c>
      <c r="T1093" s="11">
        <f t="shared" si="1074"/>
        <v>2</v>
      </c>
      <c r="U1093">
        <f t="shared" si="1066"/>
        <v>26</v>
      </c>
      <c r="V1093">
        <f t="shared" ref="V1093:V1156" si="1094">ROUND(((K1093*0.745)+(M1093*0.745)+(O1093*0.36)+(Q1093*0.45)+(S1093*0.45)+(I1093*0.55)+(60)-(30))/5.3,2)</f>
        <v>81.55</v>
      </c>
      <c r="W1093" s="13">
        <f t="shared" ref="W1093:W1156" si="1095">ROUND((AVERAGE(V1093:V1095)-AVERAGE(V1094:V1096))/AVERAGE(V1094:V1096),4)</f>
        <v>-8.9999999999999993E-3</v>
      </c>
      <c r="X1093" s="13">
        <f t="shared" ref="X1093:X1156" si="1096">SUM(W1093:W1096)</f>
        <v>-3.2800000000000003E-2</v>
      </c>
      <c r="Y1093">
        <f t="shared" si="1088"/>
        <v>76.349999999999994</v>
      </c>
      <c r="Z1093" s="13">
        <f t="shared" si="1083"/>
        <v>-1.3899999999999999E-2</v>
      </c>
      <c r="AA1093" s="13">
        <f t="shared" si="1079"/>
        <v>-4.8999999999999995E-2</v>
      </c>
      <c r="AB1093" s="6">
        <f t="shared" si="1089"/>
        <v>76.133999999999986</v>
      </c>
      <c r="AC1093">
        <f t="shared" si="1081"/>
        <v>38</v>
      </c>
      <c r="AD1093" s="11">
        <f t="shared" si="1082"/>
        <v>0</v>
      </c>
      <c r="AE1093">
        <f t="shared" si="1080"/>
        <v>28</v>
      </c>
      <c r="AF1093">
        <f>IF(AND(AE1093&lt;15,OR(AC1093&gt;=30,AA1093&gt;0.15,X1093&gt;=0.15)),2,VLOOKUP(AE1093,Table!P:Q,2,FALSE))</f>
        <v>4</v>
      </c>
      <c r="AG1093" s="22">
        <f>IF((AB1093*0.98)-(D1093*0.8)+((AF1093-3)*3)+VLOOKUP(AM1093,Table!$A$11:$B$13,2,FALSE)&lt;0,0,(AB1093*0.98)-(D1093*0.8)+((AF1093-3)*3)+VLOOKUP(AM1093,Table!$A$11:$B$13,2,FALSE))</f>
        <v>65.475319999999982</v>
      </c>
      <c r="AH1093" s="22">
        <f t="shared" si="1075"/>
        <v>67</v>
      </c>
      <c r="AI1093" s="18">
        <f t="shared" si="1068"/>
        <v>5.0599999999999996</v>
      </c>
      <c r="AJ1093" s="18">
        <f t="shared" si="1069"/>
        <v>5.0599999999999996</v>
      </c>
      <c r="AK1093" t="str">
        <f t="shared" si="1090"/>
        <v/>
      </c>
      <c r="AL1093">
        <f t="shared" si="1065"/>
        <v>28.5</v>
      </c>
      <c r="AM1093" s="11" t="str">
        <f t="shared" si="1091"/>
        <v>Stocks</v>
      </c>
      <c r="AN1093" t="str">
        <f t="shared" ref="AN1093:AN1156" si="1097">IF(AND(V1093&gt;AG1093,V1093&lt;65),"Sell","Buy")</f>
        <v>Buy</v>
      </c>
      <c r="AO1093" s="13">
        <f t="shared" ref="AO1093:AO1156" si="1098">ROUND((B1092/B1093)-1,4)</f>
        <v>-5.5999999999999999E-3</v>
      </c>
      <c r="AP1093" s="13">
        <f t="shared" ref="AP1093:AP1156" si="1099">ROUND((C1093*0.01)/52,4)</f>
        <v>1E-3</v>
      </c>
      <c r="AQ1093" s="13">
        <f t="shared" ref="AQ1093:AQ1156" si="1100">ROUND(((AH1093*0.01)*AO1093)+(((100-AH1093)*0.01)*AP1093),4)</f>
        <v>-3.3999999999999998E-3</v>
      </c>
      <c r="AR1093" s="13">
        <f t="shared" si="1092"/>
        <v>-5.5999999999999999E-3</v>
      </c>
      <c r="AS1093" s="6">
        <f t="shared" si="1084"/>
        <v>236.65639964737088</v>
      </c>
      <c r="AT1093" s="6">
        <f t="shared" si="1085"/>
        <v>127.22576901141721</v>
      </c>
      <c r="AU1093" s="6">
        <f t="shared" si="1086"/>
        <v>223.8645784492536</v>
      </c>
      <c r="AV1093" s="6">
        <f t="shared" si="1087"/>
        <v>236.65639964737088</v>
      </c>
      <c r="AW1093" s="58">
        <f t="shared" si="1093"/>
        <v>1997</v>
      </c>
      <c r="AX1093" s="58">
        <f>COUNTIF(AW$3:AW1093,AW1093)</f>
        <v>15</v>
      </c>
    </row>
    <row r="1094" spans="1:50" x14ac:dyDescent="0.25">
      <c r="A1094" s="5">
        <v>35687</v>
      </c>
      <c r="B1094">
        <v>923.91</v>
      </c>
      <c r="C1094">
        <v>5</v>
      </c>
      <c r="D1094" s="6">
        <v>24.309999000000001</v>
      </c>
      <c r="E1094" s="18">
        <f t="shared" si="1070"/>
        <v>24.6</v>
      </c>
      <c r="F1094">
        <f t="shared" si="1071"/>
        <v>-1</v>
      </c>
      <c r="G1094" s="18">
        <f>ROUND(INDEX(Valuation!U:U,MATCH(A1094,Valuation!A:A,0)),2)</f>
        <v>84.58</v>
      </c>
      <c r="H1094">
        <f t="shared" si="1078"/>
        <v>-1</v>
      </c>
      <c r="I1094" s="18">
        <f>INDEX(WeeklyIndicators!Y:Y,MATCH(A1094,WeeklyIndicators!A:A,0))</f>
        <v>120.23</v>
      </c>
      <c r="J1094">
        <f t="shared" si="1067"/>
        <v>0</v>
      </c>
      <c r="K1094">
        <f>ROUND(INDEX(Economic!AF:AF,MATCH(EOMONTH($A1094,-1),Economic!A:A,0)),2)</f>
        <v>147.94999999999999</v>
      </c>
      <c r="L1094" s="11">
        <f t="shared" si="1076"/>
        <v>3</v>
      </c>
      <c r="M1094">
        <f>ROUND(INDEX(Manufacturing!P:P,MATCH(EOMONTH($A1094,-1),Manufacturing!A:A,0)),2)</f>
        <v>109.53</v>
      </c>
      <c r="N1094">
        <f t="shared" si="1072"/>
        <v>3</v>
      </c>
      <c r="O1094">
        <f>ROUND(INDEX(Housing!AC:AC,MATCH(EOMONTH($A1094,-1),Housing!B:B,0)),2)</f>
        <v>112.36</v>
      </c>
      <c r="P1094">
        <f t="shared" si="1073"/>
        <v>0</v>
      </c>
      <c r="Q1094">
        <f>ROUND(INDEX(Spending!AJ:AJ,MATCH(EOMONTH($A1094,-1),Spending!B:B,0)),2)</f>
        <v>47.14</v>
      </c>
      <c r="R1094">
        <f t="shared" si="1077"/>
        <v>0</v>
      </c>
      <c r="S1094">
        <f>ROUND(INDEX(Employment!V:V,MATCH(EOMONTH($A1094,-1),Employment!A:A,0)),2)</f>
        <v>181.06</v>
      </c>
      <c r="T1094" s="11">
        <f t="shared" si="1074"/>
        <v>2</v>
      </c>
      <c r="U1094">
        <f t="shared" si="1066"/>
        <v>26</v>
      </c>
      <c r="V1094">
        <f t="shared" si="1094"/>
        <v>81.34</v>
      </c>
      <c r="W1094" s="13">
        <f t="shared" si="1095"/>
        <v>-1.2E-2</v>
      </c>
      <c r="X1094" s="13">
        <f t="shared" si="1096"/>
        <v>-2.1299999999999999E-2</v>
      </c>
      <c r="Y1094">
        <f t="shared" si="1088"/>
        <v>76.510000000000005</v>
      </c>
      <c r="Z1094" s="13">
        <f t="shared" si="1083"/>
        <v>-1.6E-2</v>
      </c>
      <c r="AA1094" s="13">
        <f t="shared" si="1079"/>
        <v>-3.6299999999999999E-2</v>
      </c>
      <c r="AB1094" s="6">
        <f t="shared" si="1089"/>
        <v>77.537999999999997</v>
      </c>
      <c r="AC1094">
        <f t="shared" si="1081"/>
        <v>39</v>
      </c>
      <c r="AD1094" s="11">
        <f t="shared" si="1082"/>
        <v>0</v>
      </c>
      <c r="AE1094">
        <f t="shared" si="1080"/>
        <v>28</v>
      </c>
      <c r="AF1094">
        <f>IF(AND(AE1094&lt;15,OR(AC1094&gt;=30,AA1094&gt;0.15,X1094&gt;=0.15)),2,VLOOKUP(AE1094,Table!P:Q,2,FALSE))</f>
        <v>4</v>
      </c>
      <c r="AG1094" s="22">
        <f>IF((AB1094*0.98)-(D1094*0.8)+((AF1094-3)*3)+VLOOKUP(AM1094,Table!$A$11:$B$13,2,FALSE)&lt;0,0,(AB1094*0.98)-(D1094*0.8)+((AF1094-3)*3)+VLOOKUP(AM1094,Table!$A$11:$B$13,2,FALSE))</f>
        <v>67.539240800000002</v>
      </c>
      <c r="AH1094" s="22">
        <f t="shared" si="1075"/>
        <v>70</v>
      </c>
      <c r="AI1094" s="18">
        <f t="shared" si="1068"/>
        <v>5.0599999999999996</v>
      </c>
      <c r="AJ1094" s="18">
        <f t="shared" si="1069"/>
        <v>5.0599999999999996</v>
      </c>
      <c r="AK1094" t="str">
        <f t="shared" si="1090"/>
        <v/>
      </c>
      <c r="AL1094">
        <f t="shared" si="1065"/>
        <v>29.25</v>
      </c>
      <c r="AM1094" s="11" t="str">
        <f t="shared" si="1091"/>
        <v>Stocks</v>
      </c>
      <c r="AN1094" t="str">
        <f t="shared" si="1097"/>
        <v>Buy</v>
      </c>
      <c r="AO1094" s="13">
        <f t="shared" si="1098"/>
        <v>2.8799999999999999E-2</v>
      </c>
      <c r="AP1094" s="13">
        <f t="shared" si="1099"/>
        <v>1E-3</v>
      </c>
      <c r="AQ1094" s="13">
        <f t="shared" si="1100"/>
        <v>2.0500000000000001E-2</v>
      </c>
      <c r="AR1094" s="13">
        <f t="shared" si="1092"/>
        <v>2.8799999999999999E-2</v>
      </c>
      <c r="AS1094" s="6">
        <f t="shared" si="1084"/>
        <v>230.03149265879753</v>
      </c>
      <c r="AT1094" s="6">
        <f t="shared" si="1085"/>
        <v>127.09867034107616</v>
      </c>
      <c r="AU1094" s="6">
        <f t="shared" si="1086"/>
        <v>219.36754380132641</v>
      </c>
      <c r="AV1094" s="6">
        <f t="shared" si="1087"/>
        <v>230.03149265879753</v>
      </c>
      <c r="AW1094" s="58">
        <f t="shared" si="1093"/>
        <v>1997</v>
      </c>
      <c r="AX1094" s="58">
        <f>COUNTIF(AW$3:AW1094,AW1094)</f>
        <v>16</v>
      </c>
    </row>
    <row r="1095" spans="1:50" x14ac:dyDescent="0.25">
      <c r="A1095" s="5">
        <v>35680</v>
      </c>
      <c r="B1095">
        <v>929.05</v>
      </c>
      <c r="C1095">
        <v>5.03</v>
      </c>
      <c r="D1095" s="6">
        <v>24.76</v>
      </c>
      <c r="E1095" s="18">
        <f t="shared" si="1070"/>
        <v>24.65</v>
      </c>
      <c r="F1095">
        <f t="shared" si="1071"/>
        <v>-1</v>
      </c>
      <c r="G1095" s="18">
        <f>ROUND(INDEX(Valuation!U:U,MATCH(A1095,Valuation!A:A,0)),2)</f>
        <v>85.5</v>
      </c>
      <c r="H1095">
        <f t="shared" si="1078"/>
        <v>-1</v>
      </c>
      <c r="I1095" s="18">
        <f>INDEX(WeeklyIndicators!Y:Y,MATCH(A1095,WeeklyIndicators!A:A,0))</f>
        <v>124.47</v>
      </c>
      <c r="J1095">
        <f t="shared" si="1067"/>
        <v>0</v>
      </c>
      <c r="K1095">
        <f>ROUND(INDEX(Economic!AF:AF,MATCH(EOMONTH($A1095,-1),Economic!A:A,0)),2)</f>
        <v>147.94999999999999</v>
      </c>
      <c r="L1095" s="11">
        <f t="shared" si="1076"/>
        <v>3</v>
      </c>
      <c r="M1095">
        <f>ROUND(INDEX(Manufacturing!P:P,MATCH(EOMONTH($A1095,-1),Manufacturing!A:A,0)),2)</f>
        <v>109.53</v>
      </c>
      <c r="N1095">
        <f t="shared" si="1072"/>
        <v>3</v>
      </c>
      <c r="O1095">
        <f>ROUND(INDEX(Housing!AC:AC,MATCH(EOMONTH($A1095,-1),Housing!B:B,0)),2)</f>
        <v>112.36</v>
      </c>
      <c r="P1095">
        <f t="shared" si="1073"/>
        <v>0</v>
      </c>
      <c r="Q1095">
        <f>ROUND(INDEX(Spending!AJ:AJ,MATCH(EOMONTH($A1095,-1),Spending!B:B,0)),2)</f>
        <v>47.14</v>
      </c>
      <c r="R1095">
        <f t="shared" si="1077"/>
        <v>0</v>
      </c>
      <c r="S1095">
        <f>ROUND(INDEX(Employment!V:V,MATCH(EOMONTH($A1095,-1),Employment!A:A,0)),2)</f>
        <v>181.06</v>
      </c>
      <c r="T1095" s="11">
        <f t="shared" si="1074"/>
        <v>2</v>
      </c>
      <c r="U1095">
        <f t="shared" si="1066"/>
        <v>26</v>
      </c>
      <c r="V1095">
        <f t="shared" si="1094"/>
        <v>81.78</v>
      </c>
      <c r="W1095" s="13">
        <f t="shared" si="1095"/>
        <v>-1.0500000000000001E-2</v>
      </c>
      <c r="X1095" s="13">
        <f t="shared" si="1096"/>
        <v>-4.1000000000000012E-3</v>
      </c>
      <c r="Y1095">
        <f t="shared" si="1088"/>
        <v>77.03</v>
      </c>
      <c r="Z1095" s="13">
        <f t="shared" si="1083"/>
        <v>-1.6E-2</v>
      </c>
      <c r="AA1095" s="13">
        <f t="shared" si="1079"/>
        <v>-2.01E-2</v>
      </c>
      <c r="AB1095" s="6">
        <f t="shared" si="1089"/>
        <v>79.42</v>
      </c>
      <c r="AC1095">
        <f t="shared" si="1081"/>
        <v>40</v>
      </c>
      <c r="AD1095" s="11">
        <f t="shared" si="1082"/>
        <v>0</v>
      </c>
      <c r="AE1095">
        <f t="shared" si="1080"/>
        <v>28</v>
      </c>
      <c r="AF1095">
        <f>IF(AND(AE1095&lt;15,OR(AC1095&gt;=30,AA1095&gt;0.15,X1095&gt;=0.15)),2,VLOOKUP(AE1095,Table!P:Q,2,FALSE))</f>
        <v>4</v>
      </c>
      <c r="AG1095" s="22">
        <f>IF((AB1095*0.98)-(D1095*0.8)+((AF1095-3)*3)+VLOOKUP(AM1095,Table!$A$11:$B$13,2,FALSE)&lt;0,0,(AB1095*0.98)-(D1095*0.8)+((AF1095-3)*3)+VLOOKUP(AM1095,Table!$A$11:$B$13,2,FALSE))</f>
        <v>69.023599999999988</v>
      </c>
      <c r="AH1095" s="22">
        <f t="shared" si="1075"/>
        <v>72</v>
      </c>
      <c r="AI1095" s="18">
        <f t="shared" si="1068"/>
        <v>5.05</v>
      </c>
      <c r="AJ1095" s="18">
        <f t="shared" si="1069"/>
        <v>5.05</v>
      </c>
      <c r="AK1095" t="str">
        <f t="shared" si="1090"/>
        <v/>
      </c>
      <c r="AL1095">
        <f t="shared" si="1065"/>
        <v>30</v>
      </c>
      <c r="AM1095" s="11" t="str">
        <f t="shared" si="1091"/>
        <v>Stocks</v>
      </c>
      <c r="AN1095" t="str">
        <f t="shared" si="1097"/>
        <v>Buy</v>
      </c>
      <c r="AO1095" s="13">
        <f t="shared" si="1098"/>
        <v>-5.4999999999999997E-3</v>
      </c>
      <c r="AP1095" s="13">
        <f t="shared" si="1099"/>
        <v>1E-3</v>
      </c>
      <c r="AQ1095" s="13">
        <f t="shared" si="1100"/>
        <v>-3.7000000000000002E-3</v>
      </c>
      <c r="AR1095" s="13">
        <f t="shared" si="1092"/>
        <v>-5.4999999999999997E-3</v>
      </c>
      <c r="AS1095" s="6">
        <f t="shared" si="1084"/>
        <v>231.30366280422072</v>
      </c>
      <c r="AT1095" s="6">
        <f t="shared" si="1085"/>
        <v>126.97169864243374</v>
      </c>
      <c r="AU1095" s="6">
        <f t="shared" si="1086"/>
        <v>220.18221800795584</v>
      </c>
      <c r="AV1095" s="6">
        <f t="shared" si="1087"/>
        <v>231.30366280422072</v>
      </c>
      <c r="AW1095" s="58">
        <f t="shared" si="1093"/>
        <v>1997</v>
      </c>
      <c r="AX1095" s="58">
        <f>COUNTIF(AW$3:AW1095,AW1095)</f>
        <v>17</v>
      </c>
    </row>
    <row r="1096" spans="1:50" x14ac:dyDescent="0.25">
      <c r="A1096" s="5">
        <v>35673</v>
      </c>
      <c r="B1096">
        <v>899.47</v>
      </c>
      <c r="C1096">
        <v>5.13</v>
      </c>
      <c r="D1096" s="6">
        <v>24.74</v>
      </c>
      <c r="E1096" s="18">
        <f t="shared" si="1070"/>
        <v>23.88</v>
      </c>
      <c r="F1096">
        <f t="shared" si="1071"/>
        <v>-1</v>
      </c>
      <c r="G1096" s="18">
        <f>ROUND(INDEX(Valuation!U:U,MATCH(A1096,Valuation!A:A,0)),2)</f>
        <v>88.12</v>
      </c>
      <c r="H1096">
        <f t="shared" si="1078"/>
        <v>-1</v>
      </c>
      <c r="I1096" s="18">
        <f>INDEX(WeeklyIndicators!Y:Y,MATCH(A1096,WeeklyIndicators!A:A,0))</f>
        <v>131.76</v>
      </c>
      <c r="J1096">
        <f t="shared" si="1067"/>
        <v>0</v>
      </c>
      <c r="K1096">
        <f>ROUND(INDEX(Economic!AF:AF,MATCH(EOMONTH($A1096,-1),Economic!A:A,0)),2)</f>
        <v>148.75</v>
      </c>
      <c r="L1096" s="11">
        <f t="shared" si="1076"/>
        <v>3</v>
      </c>
      <c r="M1096">
        <f>ROUND(INDEX(Manufacturing!P:P,MATCH(EOMONTH($A1096,-1),Manufacturing!A:A,0)),2)</f>
        <v>109.88</v>
      </c>
      <c r="N1096">
        <f t="shared" si="1072"/>
        <v>3</v>
      </c>
      <c r="O1096">
        <f>ROUND(INDEX(Housing!AC:AC,MATCH(EOMONTH($A1096,-1),Housing!B:B,0)),2)</f>
        <v>110.57</v>
      </c>
      <c r="P1096">
        <f t="shared" si="1073"/>
        <v>0</v>
      </c>
      <c r="Q1096">
        <f>ROUND(INDEX(Spending!AJ:AJ,MATCH(EOMONTH($A1096,-1),Spending!B:B,0)),2)</f>
        <v>48.29</v>
      </c>
      <c r="R1096">
        <f t="shared" si="1077"/>
        <v>0</v>
      </c>
      <c r="S1096">
        <f>ROUND(INDEX(Employment!V:V,MATCH(EOMONTH($A1096,-1),Employment!A:A,0)),2)</f>
        <v>193.9</v>
      </c>
      <c r="T1096" s="11">
        <f t="shared" si="1074"/>
        <v>3</v>
      </c>
      <c r="U1096">
        <f t="shared" si="1066"/>
        <v>27</v>
      </c>
      <c r="V1096">
        <f t="shared" si="1094"/>
        <v>83.76</v>
      </c>
      <c r="W1096" s="13">
        <f t="shared" si="1095"/>
        <v>-1.2999999999999999E-3</v>
      </c>
      <c r="X1096" s="13">
        <f t="shared" si="1096"/>
        <v>1.0199999999999999E-2</v>
      </c>
      <c r="Y1096">
        <f t="shared" si="1088"/>
        <v>79.58</v>
      </c>
      <c r="Z1096" s="13">
        <f t="shared" si="1083"/>
        <v>-3.0999999999999999E-3</v>
      </c>
      <c r="AA1096" s="13">
        <f t="shared" si="1079"/>
        <v>-9.1000000000000004E-3</v>
      </c>
      <c r="AB1096" s="6">
        <f t="shared" si="1089"/>
        <v>83.171999999999997</v>
      </c>
      <c r="AC1096">
        <f t="shared" si="1081"/>
        <v>42</v>
      </c>
      <c r="AD1096" s="11">
        <f t="shared" si="1082"/>
        <v>1</v>
      </c>
      <c r="AE1096">
        <f t="shared" si="1080"/>
        <v>30</v>
      </c>
      <c r="AF1096">
        <f>IF(AND(AE1096&lt;15,OR(AC1096&gt;=30,AA1096&gt;0.15,X1096&gt;=0.15)),2,VLOOKUP(AE1096,Table!P:Q,2,FALSE))</f>
        <v>4</v>
      </c>
      <c r="AG1096" s="22">
        <f>IF((AB1096*0.98)-(D1096*0.8)+((AF1096-3)*3)+VLOOKUP(AM1096,Table!$A$11:$B$13,2,FALSE)&lt;0,0,(AB1096*0.98)-(D1096*0.8)+((AF1096-3)*3)+VLOOKUP(AM1096,Table!$A$11:$B$13,2,FALSE))</f>
        <v>72.716559999999987</v>
      </c>
      <c r="AH1096" s="22">
        <f t="shared" si="1075"/>
        <v>74</v>
      </c>
      <c r="AI1096" s="18">
        <f t="shared" si="1068"/>
        <v>5.04</v>
      </c>
      <c r="AJ1096" s="18">
        <f t="shared" si="1069"/>
        <v>5.05</v>
      </c>
      <c r="AK1096" t="str">
        <f t="shared" si="1090"/>
        <v/>
      </c>
      <c r="AL1096">
        <f t="shared" si="1065"/>
        <v>30.25</v>
      </c>
      <c r="AM1096" s="11" t="str">
        <f t="shared" si="1091"/>
        <v>Stocks</v>
      </c>
      <c r="AN1096" t="str">
        <f t="shared" si="1097"/>
        <v>Buy</v>
      </c>
      <c r="AO1096" s="13">
        <f t="shared" si="1098"/>
        <v>3.2899999999999999E-2</v>
      </c>
      <c r="AP1096" s="13">
        <f t="shared" si="1099"/>
        <v>1E-3</v>
      </c>
      <c r="AQ1096" s="13">
        <f t="shared" si="1100"/>
        <v>2.46E-2</v>
      </c>
      <c r="AR1096" s="13">
        <f t="shared" si="1092"/>
        <v>3.2899999999999999E-2</v>
      </c>
      <c r="AS1096" s="6">
        <f t="shared" si="1084"/>
        <v>223.93616304019821</v>
      </c>
      <c r="AT1096" s="6">
        <f t="shared" si="1085"/>
        <v>126.84485378864511</v>
      </c>
      <c r="AU1096" s="6">
        <f t="shared" si="1086"/>
        <v>214.89578177625987</v>
      </c>
      <c r="AV1096" s="6">
        <f t="shared" si="1087"/>
        <v>223.93616304019821</v>
      </c>
      <c r="AW1096" s="58">
        <f t="shared" si="1093"/>
        <v>1997</v>
      </c>
      <c r="AX1096" s="58">
        <f>COUNTIF(AW$3:AW1096,AW1096)</f>
        <v>18</v>
      </c>
    </row>
    <row r="1097" spans="1:50" x14ac:dyDescent="0.25">
      <c r="A1097" s="5">
        <v>35666</v>
      </c>
      <c r="B1097">
        <v>923.54</v>
      </c>
      <c r="C1097">
        <v>5.12</v>
      </c>
      <c r="D1097" s="6">
        <v>24.450001</v>
      </c>
      <c r="E1097" s="18">
        <f t="shared" si="1070"/>
        <v>23.07</v>
      </c>
      <c r="F1097">
        <f t="shared" si="1071"/>
        <v>-1</v>
      </c>
      <c r="G1097" s="18">
        <f>ROUND(INDEX(Valuation!U:U,MATCH(A1097,Valuation!A:A,0)),2)</f>
        <v>87</v>
      </c>
      <c r="H1097">
        <f t="shared" si="1078"/>
        <v>-1</v>
      </c>
      <c r="I1097" s="18">
        <f>INDEX(WeeklyIndicators!Y:Y,MATCH(A1097,WeeklyIndicators!A:A,0))</f>
        <v>137.36000000000001</v>
      </c>
      <c r="J1097">
        <f t="shared" si="1067"/>
        <v>1</v>
      </c>
      <c r="K1097">
        <f>ROUND(INDEX(Economic!AF:AF,MATCH(EOMONTH($A1097,-1),Economic!A:A,0)),2)</f>
        <v>148.75</v>
      </c>
      <c r="L1097" s="11">
        <f t="shared" si="1076"/>
        <v>3</v>
      </c>
      <c r="M1097">
        <f>ROUND(INDEX(Manufacturing!P:P,MATCH(EOMONTH($A1097,-1),Manufacturing!A:A,0)),2)</f>
        <v>109.88</v>
      </c>
      <c r="N1097">
        <f t="shared" si="1072"/>
        <v>3</v>
      </c>
      <c r="O1097">
        <f>ROUND(INDEX(Housing!AC:AC,MATCH(EOMONTH($A1097,-1),Housing!B:B,0)),2)</f>
        <v>110.57</v>
      </c>
      <c r="P1097">
        <f t="shared" si="1073"/>
        <v>0</v>
      </c>
      <c r="Q1097">
        <f>ROUND(INDEX(Spending!AJ:AJ,MATCH(EOMONTH($A1097,-1),Spending!B:B,0)),2)</f>
        <v>48.29</v>
      </c>
      <c r="R1097">
        <f t="shared" si="1077"/>
        <v>0</v>
      </c>
      <c r="S1097">
        <f>ROUND(INDEX(Employment!V:V,MATCH(EOMONTH($A1097,-1),Employment!A:A,0)),2)</f>
        <v>193.9</v>
      </c>
      <c r="T1097" s="11">
        <f t="shared" si="1074"/>
        <v>3</v>
      </c>
      <c r="U1097">
        <f t="shared" si="1066"/>
        <v>28</v>
      </c>
      <c r="V1097">
        <f t="shared" si="1094"/>
        <v>84.34</v>
      </c>
      <c r="W1097" s="13">
        <f t="shared" si="1095"/>
        <v>2.5000000000000001E-3</v>
      </c>
      <c r="X1097" s="13">
        <f t="shared" si="1096"/>
        <v>1.3100000000000001E-2</v>
      </c>
      <c r="Y1097">
        <f t="shared" si="1088"/>
        <v>80.31</v>
      </c>
      <c r="Z1097" s="13">
        <f t="shared" si="1083"/>
        <v>-1.1999999999999999E-3</v>
      </c>
      <c r="AA1097" s="13">
        <f t="shared" si="1079"/>
        <v>-1.2199999999999999E-2</v>
      </c>
      <c r="AB1097" s="6">
        <f t="shared" si="1089"/>
        <v>83.63000000000001</v>
      </c>
      <c r="AC1097">
        <f t="shared" si="1081"/>
        <v>42</v>
      </c>
      <c r="AD1097" s="11">
        <f t="shared" si="1082"/>
        <v>1</v>
      </c>
      <c r="AE1097">
        <f t="shared" si="1080"/>
        <v>31</v>
      </c>
      <c r="AF1097">
        <f>IF(AND(AE1097&lt;15,OR(AC1097&gt;=30,AA1097&gt;0.15,X1097&gt;=0.15)),2,VLOOKUP(AE1097,Table!P:Q,2,FALSE))</f>
        <v>4</v>
      </c>
      <c r="AG1097" s="22">
        <f>IF((AB1097*0.98)-(D1097*0.8)+((AF1097-3)*3)+VLOOKUP(AM1097,Table!$A$11:$B$13,2,FALSE)&lt;0,0,(AB1097*0.98)-(D1097*0.8)+((AF1097-3)*3)+VLOOKUP(AM1097,Table!$A$11:$B$13,2,FALSE))</f>
        <v>73.39739920000001</v>
      </c>
      <c r="AH1097" s="22">
        <f t="shared" si="1075"/>
        <v>74</v>
      </c>
      <c r="AI1097" s="18">
        <f t="shared" si="1068"/>
        <v>5.03</v>
      </c>
      <c r="AJ1097" s="18">
        <f t="shared" si="1069"/>
        <v>5.05</v>
      </c>
      <c r="AK1097" t="str">
        <f t="shared" si="1090"/>
        <v/>
      </c>
      <c r="AL1097">
        <f t="shared" ref="AL1097:AL1160" si="1101">ROUND(AVERAGE(AE1097:AE1100),2)</f>
        <v>30.25</v>
      </c>
      <c r="AM1097" s="11" t="str">
        <f t="shared" si="1091"/>
        <v>Stocks</v>
      </c>
      <c r="AN1097" t="str">
        <f t="shared" si="1097"/>
        <v>Buy</v>
      </c>
      <c r="AO1097" s="13">
        <f t="shared" si="1098"/>
        <v>-2.6100000000000002E-2</v>
      </c>
      <c r="AP1097" s="13">
        <f t="shared" si="1099"/>
        <v>1E-3</v>
      </c>
      <c r="AQ1097" s="13">
        <f t="shared" si="1100"/>
        <v>-1.9099999999999999E-2</v>
      </c>
      <c r="AR1097" s="13">
        <f t="shared" si="1092"/>
        <v>-2.6100000000000002E-2</v>
      </c>
      <c r="AS1097" s="6">
        <f t="shared" si="1084"/>
        <v>229.93753264215854</v>
      </c>
      <c r="AT1097" s="6">
        <f t="shared" si="1085"/>
        <v>126.71813565299213</v>
      </c>
      <c r="AU1097" s="6">
        <f t="shared" si="1086"/>
        <v>219.08021386100506</v>
      </c>
      <c r="AV1097" s="6">
        <f t="shared" si="1087"/>
        <v>229.93753264215854</v>
      </c>
      <c r="AW1097" s="58">
        <f t="shared" si="1093"/>
        <v>1997</v>
      </c>
      <c r="AX1097" s="58">
        <f>COUNTIF(AW$3:AW1097,AW1097)</f>
        <v>19</v>
      </c>
    </row>
    <row r="1098" spans="1:50" x14ac:dyDescent="0.25">
      <c r="A1098" s="5">
        <v>35659</v>
      </c>
      <c r="B1098">
        <v>900.81</v>
      </c>
      <c r="C1098">
        <v>5.17</v>
      </c>
      <c r="D1098" s="6">
        <v>22.459999</v>
      </c>
      <c r="E1098" s="18">
        <f t="shared" si="1070"/>
        <v>21.86</v>
      </c>
      <c r="F1098">
        <f t="shared" si="1071"/>
        <v>-1</v>
      </c>
      <c r="G1098" s="18">
        <f>ROUND(INDEX(Valuation!U:U,MATCH(A1098,Valuation!A:A,0)),2)</f>
        <v>87.38</v>
      </c>
      <c r="H1098">
        <f t="shared" si="1078"/>
        <v>-1</v>
      </c>
      <c r="I1098" s="18">
        <f>INDEX(WeeklyIndicators!Y:Y,MATCH(A1098,WeeklyIndicators!A:A,0))</f>
        <v>138.33000000000001</v>
      </c>
      <c r="J1098">
        <f t="shared" si="1067"/>
        <v>1</v>
      </c>
      <c r="K1098">
        <f>ROUND(INDEX(Economic!AF:AF,MATCH(EOMONTH($A1098,-1),Economic!A:A,0)),2)</f>
        <v>148.75</v>
      </c>
      <c r="L1098" s="11">
        <f t="shared" si="1076"/>
        <v>3</v>
      </c>
      <c r="M1098">
        <f>ROUND(INDEX(Manufacturing!P:P,MATCH(EOMONTH($A1098,-1),Manufacturing!A:A,0)),2)</f>
        <v>109.88</v>
      </c>
      <c r="N1098">
        <f t="shared" si="1072"/>
        <v>3</v>
      </c>
      <c r="O1098">
        <f>ROUND(INDEX(Housing!AC:AC,MATCH(EOMONTH($A1098,-1),Housing!B:B,0)),2)</f>
        <v>110.57</v>
      </c>
      <c r="P1098">
        <f t="shared" si="1073"/>
        <v>0</v>
      </c>
      <c r="Q1098">
        <f>ROUND(INDEX(Spending!AJ:AJ,MATCH(EOMONTH($A1098,-1),Spending!B:B,0)),2)</f>
        <v>48.29</v>
      </c>
      <c r="R1098">
        <f t="shared" si="1077"/>
        <v>0</v>
      </c>
      <c r="S1098">
        <f>ROUND(INDEX(Employment!V:V,MATCH(EOMONTH($A1098,-1),Employment!A:A,0)),2)</f>
        <v>193.9</v>
      </c>
      <c r="T1098" s="11">
        <f t="shared" si="1074"/>
        <v>3</v>
      </c>
      <c r="U1098">
        <f t="shared" ref="U1098:U1161" si="1102">F1098+H1098+J1098+L1098+N1098+P1098+R1098+T1098+20</f>
        <v>28</v>
      </c>
      <c r="V1098">
        <f t="shared" si="1094"/>
        <v>84.44</v>
      </c>
      <c r="W1098" s="13">
        <f t="shared" si="1095"/>
        <v>5.1999999999999998E-3</v>
      </c>
      <c r="X1098" s="13">
        <f t="shared" si="1096"/>
        <v>9.7999999999999997E-3</v>
      </c>
      <c r="Y1098">
        <f t="shared" si="1088"/>
        <v>80.88</v>
      </c>
      <c r="Z1098" s="13">
        <f t="shared" si="1083"/>
        <v>2.0000000000000001E-4</v>
      </c>
      <c r="AA1098" s="13">
        <f t="shared" si="1079"/>
        <v>-1.7000000000000001E-2</v>
      </c>
      <c r="AB1098" s="6">
        <f t="shared" si="1089"/>
        <v>83.888000000000005</v>
      </c>
      <c r="AC1098">
        <f t="shared" si="1081"/>
        <v>42</v>
      </c>
      <c r="AD1098" s="11">
        <f t="shared" si="1082"/>
        <v>1</v>
      </c>
      <c r="AE1098">
        <f t="shared" si="1080"/>
        <v>31</v>
      </c>
      <c r="AF1098">
        <f>IF(AND(AE1098&lt;15,OR(AC1098&gt;=30,AA1098&gt;0.15,X1098&gt;=0.15)),2,VLOOKUP(AE1098,Table!P:Q,2,FALSE))</f>
        <v>4</v>
      </c>
      <c r="AG1098" s="22">
        <f>IF((AB1098*0.98)-(D1098*0.8)+((AF1098-3)*3)+VLOOKUP(AM1098,Table!$A$11:$B$13,2,FALSE)&lt;0,0,(AB1098*0.98)-(D1098*0.8)+((AF1098-3)*3)+VLOOKUP(AM1098,Table!$A$11:$B$13,2,FALSE))</f>
        <v>75.24224079999999</v>
      </c>
      <c r="AH1098" s="22">
        <f t="shared" si="1075"/>
        <v>75</v>
      </c>
      <c r="AI1098" s="18">
        <f t="shared" si="1068"/>
        <v>5.0199999999999996</v>
      </c>
      <c r="AJ1098" s="18">
        <f t="shared" si="1069"/>
        <v>5.04</v>
      </c>
      <c r="AK1098" t="str">
        <f t="shared" si="1090"/>
        <v/>
      </c>
      <c r="AL1098">
        <f t="shared" si="1101"/>
        <v>30.5</v>
      </c>
      <c r="AM1098" s="11" t="str">
        <f t="shared" si="1091"/>
        <v>Stocks</v>
      </c>
      <c r="AN1098" t="str">
        <f t="shared" si="1097"/>
        <v>Buy</v>
      </c>
      <c r="AO1098" s="13">
        <f t="shared" si="1098"/>
        <v>2.52E-2</v>
      </c>
      <c r="AP1098" s="13">
        <f t="shared" si="1099"/>
        <v>1E-3</v>
      </c>
      <c r="AQ1098" s="13">
        <f t="shared" si="1100"/>
        <v>1.9199999999999998E-2</v>
      </c>
      <c r="AR1098" s="13">
        <f t="shared" si="1092"/>
        <v>2.52E-2</v>
      </c>
      <c r="AS1098" s="6">
        <f t="shared" si="1084"/>
        <v>224.28553710706063</v>
      </c>
      <c r="AT1098" s="6">
        <f t="shared" si="1085"/>
        <v>126.59154410888327</v>
      </c>
      <c r="AU1098" s="6">
        <f t="shared" si="1086"/>
        <v>214.95311407084483</v>
      </c>
      <c r="AV1098" s="6">
        <f t="shared" si="1087"/>
        <v>224.28553710706063</v>
      </c>
      <c r="AW1098" s="58">
        <f t="shared" si="1093"/>
        <v>1997</v>
      </c>
      <c r="AX1098" s="58">
        <f>COUNTIF(AW$3:AW1098,AW1098)</f>
        <v>20</v>
      </c>
    </row>
    <row r="1099" spans="1:50" x14ac:dyDescent="0.25">
      <c r="A1099" s="5">
        <v>35652</v>
      </c>
      <c r="B1099">
        <v>933.54</v>
      </c>
      <c r="C1099">
        <v>5.15</v>
      </c>
      <c r="D1099" s="6">
        <v>22.290001</v>
      </c>
      <c r="E1099" s="18">
        <f t="shared" si="1070"/>
        <v>21.8</v>
      </c>
      <c r="F1099">
        <f t="shared" si="1071"/>
        <v>-1</v>
      </c>
      <c r="G1099" s="18">
        <f>ROUND(INDEX(Valuation!U:U,MATCH(A1099,Valuation!A:A,0)),2)</f>
        <v>85.56</v>
      </c>
      <c r="H1099">
        <f t="shared" si="1078"/>
        <v>-1</v>
      </c>
      <c r="I1099" s="18">
        <f>INDEX(WeeklyIndicators!Y:Y,MATCH(A1099,WeeklyIndicators!A:A,0))</f>
        <v>134.87</v>
      </c>
      <c r="J1099">
        <f t="shared" si="1067"/>
        <v>0</v>
      </c>
      <c r="K1099">
        <f>ROUND(INDEX(Economic!AF:AF,MATCH(EOMONTH($A1099,-1),Economic!A:A,0)),2)</f>
        <v>148.75</v>
      </c>
      <c r="L1099" s="11">
        <f t="shared" si="1076"/>
        <v>3</v>
      </c>
      <c r="M1099">
        <f>ROUND(INDEX(Manufacturing!P:P,MATCH(EOMONTH($A1099,-1),Manufacturing!A:A,0)),2)</f>
        <v>109.88</v>
      </c>
      <c r="N1099">
        <f t="shared" si="1072"/>
        <v>3</v>
      </c>
      <c r="O1099">
        <f>ROUND(INDEX(Housing!AC:AC,MATCH(EOMONTH($A1099,-1),Housing!B:B,0)),2)</f>
        <v>110.57</v>
      </c>
      <c r="P1099">
        <f t="shared" si="1073"/>
        <v>0</v>
      </c>
      <c r="Q1099">
        <f>ROUND(INDEX(Spending!AJ:AJ,MATCH(EOMONTH($A1099,-1),Spending!B:B,0)),2)</f>
        <v>48.29</v>
      </c>
      <c r="R1099">
        <f t="shared" si="1077"/>
        <v>0</v>
      </c>
      <c r="S1099">
        <f>ROUND(INDEX(Employment!V:V,MATCH(EOMONTH($A1099,-1),Employment!A:A,0)),2)</f>
        <v>193.9</v>
      </c>
      <c r="T1099" s="11">
        <f t="shared" si="1074"/>
        <v>3</v>
      </c>
      <c r="U1099">
        <f t="shared" si="1102"/>
        <v>27</v>
      </c>
      <c r="V1099">
        <f t="shared" si="1094"/>
        <v>84.08</v>
      </c>
      <c r="W1099" s="13">
        <f t="shared" si="1095"/>
        <v>3.8E-3</v>
      </c>
      <c r="X1099" s="13">
        <f t="shared" si="1096"/>
        <v>5.1000000000000004E-3</v>
      </c>
      <c r="Y1099">
        <f t="shared" si="1088"/>
        <v>80.34</v>
      </c>
      <c r="Z1099" s="13">
        <f t="shared" si="1083"/>
        <v>-5.0000000000000001E-3</v>
      </c>
      <c r="AA1099" s="13">
        <f t="shared" si="1079"/>
        <v>-2.1000000000000001E-2</v>
      </c>
      <c r="AB1099" s="6">
        <f t="shared" si="1089"/>
        <v>82.846000000000004</v>
      </c>
      <c r="AC1099">
        <f t="shared" si="1081"/>
        <v>41</v>
      </c>
      <c r="AD1099" s="11">
        <f t="shared" si="1082"/>
        <v>0</v>
      </c>
      <c r="AE1099">
        <f t="shared" si="1080"/>
        <v>29</v>
      </c>
      <c r="AF1099">
        <f>IF(AND(AE1099&lt;15,OR(AC1099&gt;=30,AA1099&gt;0.15,X1099&gt;=0.15)),2,VLOOKUP(AE1099,Table!P:Q,2,FALSE))</f>
        <v>4</v>
      </c>
      <c r="AG1099" s="22">
        <f>IF((AB1099*0.98)-(D1099*0.8)+((AF1099-3)*3)+VLOOKUP(AM1099,Table!$A$11:$B$13,2,FALSE)&lt;0,0,(AB1099*0.98)-(D1099*0.8)+((AF1099-3)*3)+VLOOKUP(AM1099,Table!$A$11:$B$13,2,FALSE))</f>
        <v>74.357079200000001</v>
      </c>
      <c r="AH1099" s="22">
        <f t="shared" si="1075"/>
        <v>77</v>
      </c>
      <c r="AI1099" s="18">
        <f t="shared" si="1068"/>
        <v>5.0199999999999996</v>
      </c>
      <c r="AJ1099" s="18">
        <f t="shared" si="1069"/>
        <v>5.04</v>
      </c>
      <c r="AK1099" t="str">
        <f t="shared" si="1090"/>
        <v/>
      </c>
      <c r="AL1099">
        <f t="shared" si="1101"/>
        <v>30.75</v>
      </c>
      <c r="AM1099" s="11" t="str">
        <f t="shared" si="1091"/>
        <v>Stocks</v>
      </c>
      <c r="AN1099" t="str">
        <f t="shared" si="1097"/>
        <v>Buy</v>
      </c>
      <c r="AO1099" s="13">
        <f t="shared" si="1098"/>
        <v>-3.5099999999999999E-2</v>
      </c>
      <c r="AP1099" s="13">
        <f t="shared" si="1099"/>
        <v>1E-3</v>
      </c>
      <c r="AQ1099" s="13">
        <f t="shared" si="1100"/>
        <v>-2.6800000000000001E-2</v>
      </c>
      <c r="AR1099" s="13">
        <f t="shared" si="1092"/>
        <v>-3.5099999999999999E-2</v>
      </c>
      <c r="AS1099" s="6">
        <f t="shared" si="1084"/>
        <v>232.44433320246725</v>
      </c>
      <c r="AT1099" s="6">
        <f t="shared" si="1085"/>
        <v>126.46507902985343</v>
      </c>
      <c r="AU1099" s="6">
        <f t="shared" si="1086"/>
        <v>220.8724969901817</v>
      </c>
      <c r="AV1099" s="6">
        <f t="shared" si="1087"/>
        <v>232.44433320246725</v>
      </c>
      <c r="AW1099" s="58">
        <f t="shared" si="1093"/>
        <v>1997</v>
      </c>
      <c r="AX1099" s="58">
        <f>COUNTIF(AW$3:AW1099,AW1099)</f>
        <v>21</v>
      </c>
    </row>
    <row r="1100" spans="1:50" x14ac:dyDescent="0.25">
      <c r="A1100" s="5">
        <v>35645</v>
      </c>
      <c r="B1100">
        <v>947.14</v>
      </c>
      <c r="C1100">
        <v>5.1100000000000003</v>
      </c>
      <c r="D1100" s="6">
        <v>20.82</v>
      </c>
      <c r="E1100" s="18">
        <f t="shared" si="1070"/>
        <v>20.72</v>
      </c>
      <c r="F1100">
        <f t="shared" si="1071"/>
        <v>-1</v>
      </c>
      <c r="G1100" s="18">
        <f>ROUND(INDEX(Valuation!U:U,MATCH(A1100,Valuation!A:A,0)),2)</f>
        <v>88.07</v>
      </c>
      <c r="H1100">
        <f t="shared" si="1078"/>
        <v>-1</v>
      </c>
      <c r="I1100" s="18">
        <f>INDEX(WeeklyIndicators!Y:Y,MATCH(A1100,WeeklyIndicators!A:A,0))</f>
        <v>131.13</v>
      </c>
      <c r="J1100">
        <f t="shared" si="1067"/>
        <v>0</v>
      </c>
      <c r="K1100">
        <f>ROUND(INDEX(Economic!AF:AF,MATCH(EOMONTH($A1100,-1),Economic!A:A,0)),2)</f>
        <v>148.75</v>
      </c>
      <c r="L1100" s="11">
        <f t="shared" si="1076"/>
        <v>3</v>
      </c>
      <c r="M1100">
        <f>ROUND(INDEX(Manufacturing!P:P,MATCH(EOMONTH($A1100,-1),Manufacturing!A:A,0)),2)</f>
        <v>109.88</v>
      </c>
      <c r="N1100">
        <f t="shared" si="1072"/>
        <v>3</v>
      </c>
      <c r="O1100">
        <f>ROUND(INDEX(Housing!AC:AC,MATCH(EOMONTH($A1100,-1),Housing!B:B,0)),2)</f>
        <v>110.57</v>
      </c>
      <c r="P1100">
        <f t="shared" si="1073"/>
        <v>0</v>
      </c>
      <c r="Q1100">
        <f>ROUND(INDEX(Spending!AJ:AJ,MATCH(EOMONTH($A1100,-1),Spending!B:B,0)),2)</f>
        <v>48.29</v>
      </c>
      <c r="R1100">
        <f t="shared" si="1077"/>
        <v>0</v>
      </c>
      <c r="S1100">
        <f>ROUND(INDEX(Employment!V:V,MATCH(EOMONTH($A1100,-1),Employment!A:A,0)),2)</f>
        <v>193.9</v>
      </c>
      <c r="T1100" s="11">
        <f t="shared" si="1074"/>
        <v>3</v>
      </c>
      <c r="U1100">
        <f t="shared" si="1102"/>
        <v>27</v>
      </c>
      <c r="V1100">
        <f t="shared" si="1094"/>
        <v>83.7</v>
      </c>
      <c r="W1100" s="13">
        <f t="shared" si="1095"/>
        <v>1.6000000000000001E-3</v>
      </c>
      <c r="X1100" s="13">
        <f t="shared" si="1096"/>
        <v>3.6999999999999997E-3</v>
      </c>
      <c r="Y1100">
        <f t="shared" si="1088"/>
        <v>80.61</v>
      </c>
      <c r="Z1100" s="13">
        <f t="shared" si="1083"/>
        <v>-6.1999999999999998E-3</v>
      </c>
      <c r="AA1100" s="13">
        <f t="shared" si="1079"/>
        <v>-1.77E-2</v>
      </c>
      <c r="AB1100" s="6">
        <f t="shared" si="1089"/>
        <v>83.557000000000002</v>
      </c>
      <c r="AC1100">
        <f t="shared" si="1081"/>
        <v>42</v>
      </c>
      <c r="AD1100" s="11">
        <f t="shared" si="1082"/>
        <v>1</v>
      </c>
      <c r="AE1100">
        <f t="shared" si="1080"/>
        <v>30</v>
      </c>
      <c r="AF1100">
        <f>IF(AND(AE1100&lt;15,OR(AC1100&gt;=30,AA1100&gt;0.15,X1100&gt;=0.15)),2,VLOOKUP(AE1100,Table!P:Q,2,FALSE))</f>
        <v>4</v>
      </c>
      <c r="AG1100" s="22">
        <f>IF((AB1100*0.98)-(D1100*0.8)+((AF1100-3)*3)+VLOOKUP(AM1100,Table!$A$11:$B$13,2,FALSE)&lt;0,0,(AB1100*0.98)-(D1100*0.8)+((AF1100-3)*3)+VLOOKUP(AM1100,Table!$A$11:$B$13,2,FALSE))</f>
        <v>76.229859999999988</v>
      </c>
      <c r="AH1100" s="22">
        <f t="shared" si="1075"/>
        <v>80</v>
      </c>
      <c r="AI1100" s="18">
        <f t="shared" si="1068"/>
        <v>5.01</v>
      </c>
      <c r="AJ1100" s="18">
        <f t="shared" si="1069"/>
        <v>5.04</v>
      </c>
      <c r="AK1100" t="str">
        <f t="shared" si="1090"/>
        <v/>
      </c>
      <c r="AL1100">
        <f t="shared" si="1101"/>
        <v>31.5</v>
      </c>
      <c r="AM1100" s="11" t="str">
        <f t="shared" si="1091"/>
        <v>Stocks</v>
      </c>
      <c r="AN1100" t="str">
        <f t="shared" si="1097"/>
        <v>Buy</v>
      </c>
      <c r="AO1100" s="13">
        <f t="shared" si="1098"/>
        <v>-1.44E-2</v>
      </c>
      <c r="AP1100" s="13">
        <f t="shared" si="1099"/>
        <v>1E-3</v>
      </c>
      <c r="AQ1100" s="13">
        <f t="shared" si="1100"/>
        <v>-1.1299999999999999E-2</v>
      </c>
      <c r="AR1100" s="13">
        <f t="shared" si="1092"/>
        <v>-1.44E-2</v>
      </c>
      <c r="AS1100" s="6">
        <f t="shared" si="1084"/>
        <v>235.8404354732825</v>
      </c>
      <c r="AT1100" s="6">
        <f t="shared" si="1085"/>
        <v>126.33874028956387</v>
      </c>
      <c r="AU1100" s="6">
        <f t="shared" si="1086"/>
        <v>223.39688175400192</v>
      </c>
      <c r="AV1100" s="6">
        <f t="shared" si="1087"/>
        <v>235.8404354732825</v>
      </c>
      <c r="AW1100" s="58">
        <f t="shared" si="1093"/>
        <v>1997</v>
      </c>
      <c r="AX1100" s="58">
        <f>COUNTIF(AW$3:AW1100,AW1100)</f>
        <v>22</v>
      </c>
    </row>
    <row r="1101" spans="1:50" x14ac:dyDescent="0.25">
      <c r="A1101" s="5">
        <v>35638</v>
      </c>
      <c r="B1101">
        <v>938.79</v>
      </c>
      <c r="C1101">
        <v>5.08</v>
      </c>
      <c r="D1101" s="6">
        <v>22.280000999999999</v>
      </c>
      <c r="E1101" s="18">
        <f t="shared" si="1070"/>
        <v>19.72</v>
      </c>
      <c r="F1101">
        <f t="shared" si="1071"/>
        <v>-1</v>
      </c>
      <c r="G1101" s="18">
        <f>ROUND(INDEX(Valuation!U:U,MATCH(A1101,Valuation!A:A,0)),2)</f>
        <v>91.95</v>
      </c>
      <c r="H1101">
        <f t="shared" si="1078"/>
        <v>0</v>
      </c>
      <c r="I1101" s="18">
        <f>INDEX(WeeklyIndicators!Y:Y,MATCH(A1101,WeeklyIndicators!A:A,0))</f>
        <v>129.34</v>
      </c>
      <c r="J1101">
        <f t="shared" si="1067"/>
        <v>0</v>
      </c>
      <c r="K1101">
        <f>ROUND(INDEX(Economic!AF:AF,MATCH(EOMONTH($A1101,-1),Economic!A:A,0)),2)</f>
        <v>146.74</v>
      </c>
      <c r="L1101" s="11">
        <f t="shared" si="1076"/>
        <v>3</v>
      </c>
      <c r="M1101">
        <f>ROUND(INDEX(Manufacturing!P:P,MATCH(EOMONTH($A1101,-1),Manufacturing!A:A,0)),2)</f>
        <v>109.28</v>
      </c>
      <c r="N1101">
        <f t="shared" si="1072"/>
        <v>3</v>
      </c>
      <c r="O1101">
        <f>ROUND(INDEX(Housing!AC:AC,MATCH(EOMONTH($A1101,-1),Housing!B:B,0)),2)</f>
        <v>109.16</v>
      </c>
      <c r="P1101">
        <f t="shared" si="1073"/>
        <v>0</v>
      </c>
      <c r="Q1101">
        <f>ROUND(INDEX(Spending!AJ:AJ,MATCH(EOMONTH($A1101,-1),Spending!B:B,0)),2)</f>
        <v>52.15</v>
      </c>
      <c r="R1101">
        <f t="shared" si="1077"/>
        <v>1</v>
      </c>
      <c r="S1101">
        <f>ROUND(INDEX(Employment!V:V,MATCH(EOMONTH($A1101,-1),Employment!A:A,0)),2)</f>
        <v>191.12</v>
      </c>
      <c r="T1101" s="11">
        <f t="shared" si="1074"/>
        <v>3</v>
      </c>
      <c r="U1101">
        <f t="shared" si="1102"/>
        <v>29</v>
      </c>
      <c r="V1101">
        <f t="shared" si="1094"/>
        <v>83.14</v>
      </c>
      <c r="W1101" s="13">
        <f t="shared" si="1095"/>
        <v>-8.0000000000000004E-4</v>
      </c>
      <c r="X1101" s="13">
        <f t="shared" si="1096"/>
        <v>6.9999999999999993E-3</v>
      </c>
      <c r="Y1101">
        <f t="shared" si="1088"/>
        <v>80.83</v>
      </c>
      <c r="Z1101" s="13">
        <f t="shared" si="1083"/>
        <v>-6.0000000000000001E-3</v>
      </c>
      <c r="AA1101" s="13">
        <f t="shared" si="1079"/>
        <v>-1.21E-2</v>
      </c>
      <c r="AB1101" s="6">
        <f t="shared" si="1089"/>
        <v>84.555000000000007</v>
      </c>
      <c r="AC1101">
        <f t="shared" si="1081"/>
        <v>42</v>
      </c>
      <c r="AD1101" s="11">
        <f t="shared" si="1082"/>
        <v>1</v>
      </c>
      <c r="AE1101">
        <f t="shared" si="1080"/>
        <v>32</v>
      </c>
      <c r="AF1101">
        <f>IF(AND(AE1101&lt;15,OR(AC1101&gt;=30,AA1101&gt;0.15,X1101&gt;=0.15)),2,VLOOKUP(AE1101,Table!P:Q,2,FALSE))</f>
        <v>5</v>
      </c>
      <c r="AG1101" s="22">
        <f>IF((AB1101*0.98)-(D1101*0.8)+((AF1101-3)*3)+VLOOKUP(AM1101,Table!$A$11:$B$13,2,FALSE)&lt;0,0,(AB1101*0.98)-(D1101*0.8)+((AF1101-3)*3)+VLOOKUP(AM1101,Table!$A$11:$B$13,2,FALSE))</f>
        <v>79.039899200000008</v>
      </c>
      <c r="AH1101" s="22">
        <f t="shared" si="1075"/>
        <v>83</v>
      </c>
      <c r="AI1101" s="18">
        <f t="shared" si="1068"/>
        <v>5.01</v>
      </c>
      <c r="AJ1101" s="18">
        <f t="shared" si="1069"/>
        <v>5.03</v>
      </c>
      <c r="AK1101" t="str">
        <f t="shared" si="1090"/>
        <v/>
      </c>
      <c r="AL1101">
        <f t="shared" si="1101"/>
        <v>32</v>
      </c>
      <c r="AM1101" s="11" t="str">
        <f t="shared" si="1091"/>
        <v>Stocks</v>
      </c>
      <c r="AN1101" t="str">
        <f t="shared" si="1097"/>
        <v>Buy</v>
      </c>
      <c r="AO1101" s="13">
        <f t="shared" si="1098"/>
        <v>8.8999999999999999E-3</v>
      </c>
      <c r="AP1101" s="13">
        <f t="shared" si="1099"/>
        <v>1E-3</v>
      </c>
      <c r="AQ1101" s="13">
        <f t="shared" si="1100"/>
        <v>7.6E-3</v>
      </c>
      <c r="AR1101" s="13">
        <f t="shared" si="1092"/>
        <v>8.8999999999999999E-3</v>
      </c>
      <c r="AS1101" s="6">
        <f t="shared" si="1084"/>
        <v>233.75997172493064</v>
      </c>
      <c r="AT1101" s="6">
        <f t="shared" si="1085"/>
        <v>126.21252776180208</v>
      </c>
      <c r="AU1101" s="6">
        <f t="shared" si="1086"/>
        <v>221.7118715303711</v>
      </c>
      <c r="AV1101" s="6">
        <f t="shared" si="1087"/>
        <v>233.75997172493064</v>
      </c>
      <c r="AW1101" s="58">
        <f t="shared" si="1093"/>
        <v>1997</v>
      </c>
      <c r="AX1101" s="58">
        <f>COUNTIF(AW$3:AW1101,AW1101)</f>
        <v>23</v>
      </c>
    </row>
    <row r="1102" spans="1:50" x14ac:dyDescent="0.25">
      <c r="A1102" s="5">
        <v>35631</v>
      </c>
      <c r="B1102">
        <v>915.3</v>
      </c>
      <c r="C1102">
        <v>5.05</v>
      </c>
      <c r="D1102" s="6">
        <v>19.059999000000001</v>
      </c>
      <c r="E1102" s="18">
        <f t="shared" si="1070"/>
        <v>19.37</v>
      </c>
      <c r="F1102">
        <f t="shared" si="1071"/>
        <v>-1</v>
      </c>
      <c r="G1102" s="18">
        <f>ROUND(INDEX(Valuation!U:U,MATCH(A1102,Valuation!A:A,0)),2)</f>
        <v>97.47</v>
      </c>
      <c r="H1102">
        <f t="shared" si="1078"/>
        <v>0</v>
      </c>
      <c r="I1102" s="18">
        <f>INDEX(WeeklyIndicators!Y:Y,MATCH(A1102,WeeklyIndicators!A:A,0))</f>
        <v>129.19999999999999</v>
      </c>
      <c r="J1102">
        <f t="shared" si="1067"/>
        <v>0</v>
      </c>
      <c r="K1102">
        <f>ROUND(INDEX(Economic!AF:AF,MATCH(EOMONTH($A1102,-1),Economic!A:A,0)),2)</f>
        <v>146.74</v>
      </c>
      <c r="L1102" s="11">
        <f t="shared" si="1076"/>
        <v>3</v>
      </c>
      <c r="M1102">
        <f>ROUND(INDEX(Manufacturing!P:P,MATCH(EOMONTH($A1102,-1),Manufacturing!A:A,0)),2)</f>
        <v>109.28</v>
      </c>
      <c r="N1102">
        <f t="shared" si="1072"/>
        <v>3</v>
      </c>
      <c r="O1102">
        <f>ROUND(INDEX(Housing!AC:AC,MATCH(EOMONTH($A1102,-1),Housing!B:B,0)),2)</f>
        <v>109.16</v>
      </c>
      <c r="P1102">
        <f t="shared" si="1073"/>
        <v>0</v>
      </c>
      <c r="Q1102">
        <f>ROUND(INDEX(Spending!AJ:AJ,MATCH(EOMONTH($A1102,-1),Spending!B:B,0)),2)</f>
        <v>52.15</v>
      </c>
      <c r="R1102">
        <f t="shared" si="1077"/>
        <v>1</v>
      </c>
      <c r="S1102">
        <f>ROUND(INDEX(Employment!V:V,MATCH(EOMONTH($A1102,-1),Employment!A:A,0)),2)</f>
        <v>191.12</v>
      </c>
      <c r="T1102" s="11">
        <f t="shared" si="1074"/>
        <v>3</v>
      </c>
      <c r="U1102">
        <f t="shared" si="1102"/>
        <v>29</v>
      </c>
      <c r="V1102">
        <f t="shared" si="1094"/>
        <v>83.13</v>
      </c>
      <c r="W1102" s="13">
        <f t="shared" si="1095"/>
        <v>5.0000000000000001E-4</v>
      </c>
      <c r="X1102" s="13">
        <f t="shared" si="1096"/>
        <v>1.4499999999999999E-2</v>
      </c>
      <c r="Y1102">
        <f t="shared" si="1088"/>
        <v>81.55</v>
      </c>
      <c r="Z1102" s="13">
        <f t="shared" si="1083"/>
        <v>-3.8E-3</v>
      </c>
      <c r="AA1102" s="13">
        <f t="shared" si="1079"/>
        <v>-2.7999999999999995E-3</v>
      </c>
      <c r="AB1102" s="6">
        <f t="shared" si="1089"/>
        <v>86.527000000000001</v>
      </c>
      <c r="AC1102">
        <f t="shared" si="1081"/>
        <v>43</v>
      </c>
      <c r="AD1102" s="11">
        <f t="shared" si="1082"/>
        <v>1</v>
      </c>
      <c r="AE1102">
        <f t="shared" si="1080"/>
        <v>32</v>
      </c>
      <c r="AF1102">
        <f>IF(AND(AE1102&lt;15,OR(AC1102&gt;=30,AA1102&gt;0.15,X1102&gt;=0.15)),2,VLOOKUP(AE1102,Table!P:Q,2,FALSE))</f>
        <v>5</v>
      </c>
      <c r="AG1102" s="22">
        <f>IF((AB1102*0.98)-(D1102*0.8)+((AF1102-3)*3)+VLOOKUP(AM1102,Table!$A$11:$B$13,2,FALSE)&lt;0,0,(AB1102*0.98)-(D1102*0.8)+((AF1102-3)*3)+VLOOKUP(AM1102,Table!$A$11:$B$13,2,FALSE))</f>
        <v>83.548460799999987</v>
      </c>
      <c r="AH1102" s="22">
        <f t="shared" si="1075"/>
        <v>85</v>
      </c>
      <c r="AI1102" s="18">
        <f t="shared" si="1068"/>
        <v>5.0199999999999996</v>
      </c>
      <c r="AJ1102" s="18">
        <f t="shared" si="1069"/>
        <v>5.03</v>
      </c>
      <c r="AK1102" t="str">
        <f t="shared" si="1090"/>
        <v/>
      </c>
      <c r="AL1102">
        <f t="shared" si="1101"/>
        <v>32</v>
      </c>
      <c r="AM1102" s="11" t="str">
        <f t="shared" si="1091"/>
        <v>Stocks</v>
      </c>
      <c r="AN1102" t="str">
        <f t="shared" si="1097"/>
        <v>Buy</v>
      </c>
      <c r="AO1102" s="13">
        <f t="shared" si="1098"/>
        <v>2.5700000000000001E-2</v>
      </c>
      <c r="AP1102" s="13">
        <f t="shared" si="1099"/>
        <v>1E-3</v>
      </c>
      <c r="AQ1102" s="13">
        <f t="shared" si="1100"/>
        <v>2.1999999999999999E-2</v>
      </c>
      <c r="AR1102" s="13">
        <f t="shared" si="1092"/>
        <v>2.5700000000000001E-2</v>
      </c>
      <c r="AS1102" s="6">
        <f t="shared" si="1084"/>
        <v>227.90286801689638</v>
      </c>
      <c r="AT1102" s="6">
        <f t="shared" si="1085"/>
        <v>126.08644132048161</v>
      </c>
      <c r="AU1102" s="6">
        <f t="shared" si="1086"/>
        <v>216.9392089338269</v>
      </c>
      <c r="AV1102" s="6">
        <f t="shared" si="1087"/>
        <v>227.90286801689638</v>
      </c>
      <c r="AW1102" s="58">
        <f t="shared" si="1093"/>
        <v>1997</v>
      </c>
      <c r="AX1102" s="58">
        <f>COUNTIF(AW$3:AW1102,AW1102)</f>
        <v>24</v>
      </c>
    </row>
    <row r="1103" spans="1:50" x14ac:dyDescent="0.25">
      <c r="A1103" s="5">
        <v>35624</v>
      </c>
      <c r="B1103">
        <v>916.68</v>
      </c>
      <c r="C1103">
        <v>4.99</v>
      </c>
      <c r="D1103" s="6">
        <v>17.82</v>
      </c>
      <c r="E1103" s="18">
        <f t="shared" si="1070"/>
        <v>19.75</v>
      </c>
      <c r="F1103">
        <f t="shared" si="1071"/>
        <v>-1</v>
      </c>
      <c r="G1103" s="18">
        <f>ROUND(INDEX(Valuation!U:U,MATCH(A1103,Valuation!A:A,0)),2)</f>
        <v>102.3</v>
      </c>
      <c r="H1103">
        <f t="shared" si="1078"/>
        <v>0</v>
      </c>
      <c r="I1103" s="18">
        <f>INDEX(WeeklyIndicators!Y:Y,MATCH(A1103,WeeklyIndicators!A:A,0))</f>
        <v>130.75</v>
      </c>
      <c r="J1103">
        <f t="shared" ref="J1103:J1166" si="1103">IF(I1103&gt;170,3,IF(AND(I1103&gt;152,I1103&lt;=170),2,IF(AND(I1103&gt;135,I1103&lt;=152),1,IF(I1103&lt;60,-3,IF(AND(I1103&lt;95,I1103&gt;=60),-2,IF(AND(I1103&lt;120,I1103&gt;=95),-1,0))))))</f>
        <v>0</v>
      </c>
      <c r="K1103">
        <f>ROUND(INDEX(Economic!AF:AF,MATCH(EOMONTH($A1103,-1),Economic!A:A,0)),2)</f>
        <v>146.74</v>
      </c>
      <c r="L1103" s="11">
        <f t="shared" si="1076"/>
        <v>3</v>
      </c>
      <c r="M1103">
        <f>ROUND(INDEX(Manufacturing!P:P,MATCH(EOMONTH($A1103,-1),Manufacturing!A:A,0)),2)</f>
        <v>109.28</v>
      </c>
      <c r="N1103">
        <f t="shared" si="1072"/>
        <v>3</v>
      </c>
      <c r="O1103">
        <f>ROUND(INDEX(Housing!AC:AC,MATCH(EOMONTH($A1103,-1),Housing!B:B,0)),2)</f>
        <v>109.16</v>
      </c>
      <c r="P1103">
        <f t="shared" si="1073"/>
        <v>0</v>
      </c>
      <c r="Q1103">
        <f>ROUND(INDEX(Spending!AJ:AJ,MATCH(EOMONTH($A1103,-1),Spending!B:B,0)),2)</f>
        <v>52.15</v>
      </c>
      <c r="R1103">
        <f t="shared" si="1077"/>
        <v>1</v>
      </c>
      <c r="S1103">
        <f>ROUND(INDEX(Employment!V:V,MATCH(EOMONTH($A1103,-1),Employment!A:A,0)),2)</f>
        <v>191.12</v>
      </c>
      <c r="T1103" s="11">
        <f t="shared" si="1074"/>
        <v>3</v>
      </c>
      <c r="U1103">
        <f t="shared" si="1102"/>
        <v>29</v>
      </c>
      <c r="V1103">
        <f t="shared" si="1094"/>
        <v>83.29</v>
      </c>
      <c r="W1103" s="13">
        <f t="shared" si="1095"/>
        <v>2.3999999999999998E-3</v>
      </c>
      <c r="X1103" s="13">
        <f t="shared" si="1096"/>
        <v>2.3099999999999999E-2</v>
      </c>
      <c r="Y1103">
        <f t="shared" si="1088"/>
        <v>82.12</v>
      </c>
      <c r="Z1103" s="13">
        <f t="shared" si="1083"/>
        <v>-1.6999999999999999E-3</v>
      </c>
      <c r="AA1103" s="13">
        <f t="shared" si="1079"/>
        <v>7.1999999999999998E-3</v>
      </c>
      <c r="AB1103" s="6">
        <f t="shared" si="1089"/>
        <v>88.34</v>
      </c>
      <c r="AC1103">
        <f t="shared" si="1081"/>
        <v>44</v>
      </c>
      <c r="AD1103" s="11">
        <f t="shared" si="1082"/>
        <v>1</v>
      </c>
      <c r="AE1103">
        <f t="shared" si="1080"/>
        <v>32</v>
      </c>
      <c r="AF1103">
        <f>IF(AND(AE1103&lt;15,OR(AC1103&gt;=30,AA1103&gt;0.15,X1103&gt;=0.15)),2,VLOOKUP(AE1103,Table!P:Q,2,FALSE))</f>
        <v>5</v>
      </c>
      <c r="AG1103" s="22">
        <f>IF((AB1103*0.98)-(D1103*0.8)+((AF1103-3)*3)+VLOOKUP(AM1103,Table!$A$11:$B$13,2,FALSE)&lt;0,0,(AB1103*0.98)-(D1103*0.8)+((AF1103-3)*3)+VLOOKUP(AM1103,Table!$A$11:$B$13,2,FALSE))</f>
        <v>86.3172</v>
      </c>
      <c r="AH1103" s="22">
        <f t="shared" si="1075"/>
        <v>86</v>
      </c>
      <c r="AI1103" s="18">
        <f t="shared" ref="AI1103:AI1166" si="1104">ROUND(AVERAGE(C1103:C1115),2)</f>
        <v>5.03</v>
      </c>
      <c r="AJ1103" s="18">
        <f t="shared" ref="AJ1103:AJ1166" si="1105">ROUND(AVERAGE(C1103:C1141),2)</f>
        <v>5.03</v>
      </c>
      <c r="AK1103" t="str">
        <f t="shared" si="1090"/>
        <v/>
      </c>
      <c r="AL1103">
        <f t="shared" si="1101"/>
        <v>32</v>
      </c>
      <c r="AM1103" s="11" t="str">
        <f t="shared" si="1091"/>
        <v>Stocks</v>
      </c>
      <c r="AN1103" t="str">
        <f t="shared" si="1097"/>
        <v>Buy</v>
      </c>
      <c r="AO1103" s="13">
        <f t="shared" si="1098"/>
        <v>-1.5E-3</v>
      </c>
      <c r="AP1103" s="13">
        <f t="shared" si="1099"/>
        <v>1E-3</v>
      </c>
      <c r="AQ1103" s="13">
        <f t="shared" si="1100"/>
        <v>-1.1999999999999999E-3</v>
      </c>
      <c r="AR1103" s="13">
        <f t="shared" si="1092"/>
        <v>-1.5E-3</v>
      </c>
      <c r="AS1103" s="6">
        <f t="shared" si="1084"/>
        <v>228.24523587070243</v>
      </c>
      <c r="AT1103" s="6">
        <f t="shared" si="1085"/>
        <v>125.96048083964199</v>
      </c>
      <c r="AU1103" s="6">
        <f t="shared" si="1086"/>
        <v>217.1998487523297</v>
      </c>
      <c r="AV1103" s="6">
        <f t="shared" si="1087"/>
        <v>228.24523587070243</v>
      </c>
      <c r="AW1103" s="58">
        <f t="shared" si="1093"/>
        <v>1997</v>
      </c>
      <c r="AX1103" s="58">
        <f>COUNTIF(AW$3:AW1103,AW1103)</f>
        <v>25</v>
      </c>
    </row>
    <row r="1104" spans="1:50" x14ac:dyDescent="0.25">
      <c r="A1104" s="5">
        <v>35617</v>
      </c>
      <c r="B1104">
        <v>916.92</v>
      </c>
      <c r="C1104">
        <v>5.04</v>
      </c>
      <c r="D1104" s="6">
        <v>21.219999000000001</v>
      </c>
      <c r="E1104" s="18">
        <f t="shared" si="1070"/>
        <v>20.23</v>
      </c>
      <c r="F1104">
        <f t="shared" si="1071"/>
        <v>-1</v>
      </c>
      <c r="G1104" s="18">
        <f>ROUND(INDEX(Valuation!U:U,MATCH(A1104,Valuation!A:A,0)),2)</f>
        <v>105.06</v>
      </c>
      <c r="H1104">
        <f t="shared" si="1078"/>
        <v>0</v>
      </c>
      <c r="I1104" s="18">
        <f>INDEX(WeeklyIndicators!Y:Y,MATCH(A1104,WeeklyIndicators!A:A,0))</f>
        <v>131.22999999999999</v>
      </c>
      <c r="J1104">
        <f t="shared" si="1103"/>
        <v>0</v>
      </c>
      <c r="K1104">
        <f>ROUND(INDEX(Economic!AF:AF,MATCH(EOMONTH($A1104,-1),Economic!A:A,0)),2)</f>
        <v>146.74</v>
      </c>
      <c r="L1104" s="11">
        <f t="shared" si="1076"/>
        <v>3</v>
      </c>
      <c r="M1104">
        <f>ROUND(INDEX(Manufacturing!P:P,MATCH(EOMONTH($A1104,-1),Manufacturing!A:A,0)),2)</f>
        <v>109.28</v>
      </c>
      <c r="N1104">
        <f t="shared" si="1072"/>
        <v>3</v>
      </c>
      <c r="O1104">
        <f>ROUND(INDEX(Housing!AC:AC,MATCH(EOMONTH($A1104,-1),Housing!B:B,0)),2)</f>
        <v>109.16</v>
      </c>
      <c r="P1104">
        <f t="shared" si="1073"/>
        <v>0</v>
      </c>
      <c r="Q1104">
        <f>ROUND(INDEX(Spending!AJ:AJ,MATCH(EOMONTH($A1104,-1),Spending!B:B,0)),2)</f>
        <v>52.15</v>
      </c>
      <c r="R1104">
        <f t="shared" si="1077"/>
        <v>1</v>
      </c>
      <c r="S1104">
        <f>ROUND(INDEX(Employment!V:V,MATCH(EOMONTH($A1104,-1),Employment!A:A,0)),2)</f>
        <v>191.12</v>
      </c>
      <c r="T1104" s="11">
        <f t="shared" si="1074"/>
        <v>3</v>
      </c>
      <c r="U1104">
        <f t="shared" si="1102"/>
        <v>29</v>
      </c>
      <c r="V1104">
        <f t="shared" si="1094"/>
        <v>83.34</v>
      </c>
      <c r="W1104" s="13">
        <f t="shared" si="1095"/>
        <v>4.8999999999999998E-3</v>
      </c>
      <c r="X1104" s="13">
        <f t="shared" si="1096"/>
        <v>3.6199999999999996E-2</v>
      </c>
      <c r="Y1104">
        <f t="shared" si="1088"/>
        <v>82.31</v>
      </c>
      <c r="Z1104" s="13">
        <f t="shared" si="1083"/>
        <v>-5.9999999999999995E-4</v>
      </c>
      <c r="AA1104" s="13">
        <f t="shared" si="1079"/>
        <v>2.18E-2</v>
      </c>
      <c r="AB1104" s="6">
        <f t="shared" si="1089"/>
        <v>89.915999999999997</v>
      </c>
      <c r="AC1104">
        <f t="shared" si="1081"/>
        <v>45</v>
      </c>
      <c r="AD1104" s="11">
        <f t="shared" si="1082"/>
        <v>1</v>
      </c>
      <c r="AE1104">
        <f t="shared" si="1080"/>
        <v>32</v>
      </c>
      <c r="AF1104">
        <f>IF(AND(AE1104&lt;15,OR(AC1104&gt;=30,AA1104&gt;0.15,X1104&gt;=0.15)),2,VLOOKUP(AE1104,Table!P:Q,2,FALSE))</f>
        <v>5</v>
      </c>
      <c r="AG1104" s="22">
        <f>IF((AB1104*0.98)-(D1104*0.8)+((AF1104-3)*3)+VLOOKUP(AM1104,Table!$A$11:$B$13,2,FALSE)&lt;0,0,(AB1104*0.98)-(D1104*0.8)+((AF1104-3)*3)+VLOOKUP(AM1104,Table!$A$11:$B$13,2,FALSE))</f>
        <v>85.141680799999989</v>
      </c>
      <c r="AH1104" s="22">
        <f t="shared" si="1075"/>
        <v>87</v>
      </c>
      <c r="AI1104" s="18">
        <f t="shared" si="1104"/>
        <v>5.04</v>
      </c>
      <c r="AJ1104" s="18">
        <f t="shared" si="1105"/>
        <v>5.03</v>
      </c>
      <c r="AK1104" t="str">
        <f t="shared" si="1090"/>
        <v/>
      </c>
      <c r="AL1104">
        <f t="shared" si="1101"/>
        <v>32</v>
      </c>
      <c r="AM1104" s="11" t="str">
        <f t="shared" si="1091"/>
        <v>Stocks</v>
      </c>
      <c r="AN1104" t="str">
        <f t="shared" si="1097"/>
        <v>Buy</v>
      </c>
      <c r="AO1104" s="13">
        <f t="shared" si="1098"/>
        <v>-2.9999999999999997E-4</v>
      </c>
      <c r="AP1104" s="13">
        <f t="shared" si="1099"/>
        <v>1E-3</v>
      </c>
      <c r="AQ1104" s="13">
        <f t="shared" si="1100"/>
        <v>-1E-4</v>
      </c>
      <c r="AR1104" s="13">
        <f t="shared" si="1092"/>
        <v>-2.9999999999999997E-4</v>
      </c>
      <c r="AS1104" s="6">
        <f t="shared" si="1084"/>
        <v>228.31372998969934</v>
      </c>
      <c r="AT1104" s="6">
        <f t="shared" si="1085"/>
        <v>125.83464619344855</v>
      </c>
      <c r="AU1104" s="6">
        <f t="shared" si="1086"/>
        <v>217.22157090942065</v>
      </c>
      <c r="AV1104" s="6">
        <f t="shared" si="1087"/>
        <v>228.31372998969934</v>
      </c>
      <c r="AW1104" s="58">
        <f t="shared" si="1093"/>
        <v>1997</v>
      </c>
      <c r="AX1104" s="58">
        <f>COUNTIF(AW$3:AW1104,AW1104)</f>
        <v>26</v>
      </c>
    </row>
    <row r="1105" spans="1:50" x14ac:dyDescent="0.25">
      <c r="A1105" s="5">
        <v>35610</v>
      </c>
      <c r="B1105">
        <v>887.3</v>
      </c>
      <c r="C1105">
        <v>4.99</v>
      </c>
      <c r="D1105" s="6">
        <v>20.200001</v>
      </c>
      <c r="E1105" s="18">
        <f t="shared" ref="E1105:E1168" si="1106">ROUND(AVERAGE(D1105:D1107),2)</f>
        <v>19.47</v>
      </c>
      <c r="F1105">
        <f t="shared" ref="F1105:F1168" si="1107">IF(E1105&lt;11,3,IF(AND(E1105&lt;14,E1105&gt;=11),2,IF(AND(E1105&lt;16,E1105&gt;=14),1,IF(E1105&gt;35,-3,IF(AND(E1105&gt;25,E1105&lt;=35),-2,IF(AND(E1105&gt;18,E1105&lt;=25),-1,0))))))</f>
        <v>-1</v>
      </c>
      <c r="G1105" s="18">
        <f>ROUND(INDEX(Valuation!U:U,MATCH(A1105,Valuation!A:A,0)),2)</f>
        <v>107.37</v>
      </c>
      <c r="H1105">
        <f t="shared" si="1078"/>
        <v>0</v>
      </c>
      <c r="I1105" s="18">
        <f>INDEX(WeeklyIndicators!Y:Y,MATCH(A1105,WeeklyIndicators!A:A,0))</f>
        <v>130.69999999999999</v>
      </c>
      <c r="J1105">
        <f t="shared" si="1103"/>
        <v>0</v>
      </c>
      <c r="K1105">
        <f>ROUND(INDEX(Economic!AF:AF,MATCH(EOMONTH($A1105,-1),Economic!A:A,0)),2)</f>
        <v>142.56</v>
      </c>
      <c r="L1105" s="11">
        <f t="shared" si="1076"/>
        <v>3</v>
      </c>
      <c r="M1105">
        <f>ROUND(INDEX(Manufacturing!P:P,MATCH(EOMONTH($A1105,-1),Manufacturing!A:A,0)),2)</f>
        <v>109.4</v>
      </c>
      <c r="N1105">
        <f t="shared" si="1072"/>
        <v>3</v>
      </c>
      <c r="O1105">
        <f>ROUND(INDEX(Housing!AC:AC,MATCH(EOMONTH($A1105,-1),Housing!B:B,0)),2)</f>
        <v>108.69</v>
      </c>
      <c r="P1105">
        <f t="shared" si="1073"/>
        <v>0</v>
      </c>
      <c r="Q1105">
        <f>ROUND(INDEX(Spending!AJ:AJ,MATCH(EOMONTH($A1105,-1),Spending!B:B,0)),2)</f>
        <v>55.92</v>
      </c>
      <c r="R1105">
        <f t="shared" si="1077"/>
        <v>1</v>
      </c>
      <c r="S1105">
        <f>ROUND(INDEX(Employment!V:V,MATCH(EOMONTH($A1105,-1),Employment!A:A,0)),2)</f>
        <v>191.18</v>
      </c>
      <c r="T1105" s="11">
        <f t="shared" si="1074"/>
        <v>3</v>
      </c>
      <c r="U1105">
        <f t="shared" si="1102"/>
        <v>29</v>
      </c>
      <c r="V1105">
        <f t="shared" si="1094"/>
        <v>83</v>
      </c>
      <c r="W1105" s="13">
        <f t="shared" si="1095"/>
        <v>6.7000000000000002E-3</v>
      </c>
      <c r="X1105" s="13">
        <f t="shared" si="1096"/>
        <v>4.3099999999999999E-2</v>
      </c>
      <c r="Y1105">
        <f t="shared" si="1088"/>
        <v>82.5</v>
      </c>
      <c r="Z1105" s="13">
        <f t="shared" si="1083"/>
        <v>3.3E-3</v>
      </c>
      <c r="AA1105" s="13">
        <f t="shared" si="1079"/>
        <v>3.0100000000000002E-2</v>
      </c>
      <c r="AB1105" s="6">
        <f t="shared" si="1089"/>
        <v>90.946999999999989</v>
      </c>
      <c r="AC1105">
        <f t="shared" si="1081"/>
        <v>45</v>
      </c>
      <c r="AD1105" s="11">
        <f t="shared" si="1082"/>
        <v>1</v>
      </c>
      <c r="AE1105">
        <f t="shared" si="1080"/>
        <v>32</v>
      </c>
      <c r="AF1105">
        <f>IF(AND(AE1105&lt;15,OR(AC1105&gt;=30,AA1105&gt;0.15,X1105&gt;=0.15)),2,VLOOKUP(AE1105,Table!P:Q,2,FALSE))</f>
        <v>5</v>
      </c>
      <c r="AG1105" s="22">
        <f>IF((AB1105*0.98)-(D1105*0.8)+((AF1105-3)*3)+VLOOKUP(AM1105,Table!$A$11:$B$13,2,FALSE)&lt;0,0,(AB1105*0.98)-(D1105*0.8)+((AF1105-3)*3)+VLOOKUP(AM1105,Table!$A$11:$B$13,2,FALSE))</f>
        <v>86.968059199999985</v>
      </c>
      <c r="AH1105" s="22">
        <f t="shared" si="1075"/>
        <v>87</v>
      </c>
      <c r="AI1105" s="18">
        <f t="shared" si="1104"/>
        <v>5.05</v>
      </c>
      <c r="AJ1105" s="18">
        <f t="shared" si="1105"/>
        <v>5.03</v>
      </c>
      <c r="AK1105" t="str">
        <f t="shared" si="1090"/>
        <v/>
      </c>
      <c r="AL1105">
        <f t="shared" si="1101"/>
        <v>31.75</v>
      </c>
      <c r="AM1105" s="11" t="str">
        <f t="shared" si="1091"/>
        <v>Stocks</v>
      </c>
      <c r="AN1105" t="str">
        <f t="shared" si="1097"/>
        <v>Buy</v>
      </c>
      <c r="AO1105" s="13">
        <f t="shared" si="1098"/>
        <v>3.3399999999999999E-2</v>
      </c>
      <c r="AP1105" s="13">
        <f t="shared" si="1099"/>
        <v>1E-3</v>
      </c>
      <c r="AQ1105" s="13">
        <f t="shared" si="1100"/>
        <v>2.92E-2</v>
      </c>
      <c r="AR1105" s="13">
        <f t="shared" si="1092"/>
        <v>3.3399999999999999E-2</v>
      </c>
      <c r="AS1105" s="6">
        <f t="shared" si="1084"/>
        <v>220.93451711795947</v>
      </c>
      <c r="AT1105" s="6">
        <f t="shared" si="1085"/>
        <v>125.70893725619237</v>
      </c>
      <c r="AU1105" s="6">
        <f t="shared" si="1086"/>
        <v>211.05865809310208</v>
      </c>
      <c r="AV1105" s="6">
        <f t="shared" si="1087"/>
        <v>220.93451711795947</v>
      </c>
      <c r="AW1105" s="58">
        <f t="shared" si="1093"/>
        <v>1997</v>
      </c>
      <c r="AX1105" s="58">
        <f>COUNTIF(AW$3:AW1105,AW1105)</f>
        <v>27</v>
      </c>
    </row>
    <row r="1106" spans="1:50" x14ac:dyDescent="0.25">
      <c r="A1106" s="5">
        <v>35603</v>
      </c>
      <c r="B1106">
        <v>898.7</v>
      </c>
      <c r="C1106">
        <v>4.91</v>
      </c>
      <c r="D1106" s="6">
        <v>19.27</v>
      </c>
      <c r="E1106" s="18">
        <f t="shared" si="1106"/>
        <v>19.13</v>
      </c>
      <c r="F1106">
        <f t="shared" si="1107"/>
        <v>-1</v>
      </c>
      <c r="G1106" s="18">
        <f>ROUND(INDEX(Valuation!U:U,MATCH(A1106,Valuation!A:A,0)),2)</f>
        <v>109.29</v>
      </c>
      <c r="H1106">
        <f t="shared" si="1078"/>
        <v>0</v>
      </c>
      <c r="I1106" s="18">
        <f>INDEX(WeeklyIndicators!Y:Y,MATCH(A1106,WeeklyIndicators!A:A,0))</f>
        <v>127.78</v>
      </c>
      <c r="J1106">
        <f t="shared" si="1103"/>
        <v>0</v>
      </c>
      <c r="K1106">
        <f>ROUND(INDEX(Economic!AF:AF,MATCH(EOMONTH($A1106,-1),Economic!A:A,0)),2)</f>
        <v>142.56</v>
      </c>
      <c r="L1106" s="11">
        <f t="shared" si="1076"/>
        <v>3</v>
      </c>
      <c r="M1106">
        <f>ROUND(INDEX(Manufacturing!P:P,MATCH(EOMONTH($A1106,-1),Manufacturing!A:A,0)),2)</f>
        <v>109.4</v>
      </c>
      <c r="N1106">
        <f t="shared" ref="N1106:N1169" si="1108">IF(M1106&gt;108,3,IF(AND(M1106&gt;100,M1106&lt;=108),2,IF(AND(M1106&gt;90,M1106&lt;=100),1,IF(M1106&lt;63,-3,IF(AND(M1106&lt;74,M1106&gt;=63),-2,IF(AND(M1106&lt;84,M1106&gt;=74),-1,0))))))</f>
        <v>3</v>
      </c>
      <c r="O1106">
        <f>ROUND(INDEX(Housing!AC:AC,MATCH(EOMONTH($A1106,-1),Housing!B:B,0)),2)</f>
        <v>108.69</v>
      </c>
      <c r="P1106">
        <f t="shared" ref="P1106:P1169" si="1109">IF(O1106&gt;140,3,IF(AND(O1106&gt;128,O1106&lt;=140),2,IF(AND(O1106&gt;115,O1106&lt;=128),1,IF(O1106&lt;50,-3,IF(AND(O1106&lt;75,O1106&gt;=50),-2,IF(AND(O1106&lt;100,O1106&gt;=75),-1,0))))))</f>
        <v>0</v>
      </c>
      <c r="Q1106">
        <f>ROUND(INDEX(Spending!AJ:AJ,MATCH(EOMONTH($A1106,-1),Spending!B:B,0)),2)</f>
        <v>55.92</v>
      </c>
      <c r="R1106">
        <f t="shared" si="1077"/>
        <v>1</v>
      </c>
      <c r="S1106">
        <f>ROUND(INDEX(Employment!V:V,MATCH(EOMONTH($A1106,-1),Employment!A:A,0)),2)</f>
        <v>191.18</v>
      </c>
      <c r="T1106" s="11">
        <f t="shared" ref="T1106:T1169" si="1110">IF(S1106&gt;190,3,IF(AND(S1106&gt;175,S1106&lt;=190),2,IF(AND(S1106&gt;160,S1106&lt;=175),1,IF(S1106&lt;120,-3,IF(AND(S1106&lt;140,S1106&gt;=120),-2,IF(AND(S1106&lt;150,S1106&gt;=140),-1,0))))))</f>
        <v>3</v>
      </c>
      <c r="U1106">
        <f t="shared" si="1102"/>
        <v>29</v>
      </c>
      <c r="V1106">
        <f t="shared" si="1094"/>
        <v>82.7</v>
      </c>
      <c r="W1106" s="13">
        <f t="shared" si="1095"/>
        <v>9.1000000000000004E-3</v>
      </c>
      <c r="X1106" s="13">
        <f t="shared" si="1096"/>
        <v>4.07E-2</v>
      </c>
      <c r="Y1106">
        <f t="shared" si="1088"/>
        <v>82.53</v>
      </c>
      <c r="Z1106" s="13">
        <f t="shared" si="1083"/>
        <v>6.1999999999999998E-3</v>
      </c>
      <c r="AA1106" s="13">
        <f t="shared" si="1079"/>
        <v>2.5599999999999998E-2</v>
      </c>
      <c r="AB1106" s="6">
        <f t="shared" si="1089"/>
        <v>90.838999999999999</v>
      </c>
      <c r="AC1106">
        <f t="shared" si="1081"/>
        <v>45</v>
      </c>
      <c r="AD1106" s="11">
        <f t="shared" si="1082"/>
        <v>1</v>
      </c>
      <c r="AE1106">
        <f t="shared" si="1080"/>
        <v>32</v>
      </c>
      <c r="AF1106">
        <f>IF(AND(AE1106&lt;15,OR(AC1106&gt;=30,AA1106&gt;0.15,X1106&gt;=0.15)),2,VLOOKUP(AE1106,Table!P:Q,2,FALSE))</f>
        <v>5</v>
      </c>
      <c r="AG1106" s="22">
        <f>IF((AB1106*0.98)-(D1106*0.8)+((AF1106-3)*3)+VLOOKUP(AM1106,Table!$A$11:$B$13,2,FALSE)&lt;0,0,(AB1106*0.98)-(D1106*0.8)+((AF1106-3)*3)+VLOOKUP(AM1106,Table!$A$11:$B$13,2,FALSE))</f>
        <v>87.606219999999993</v>
      </c>
      <c r="AH1106" s="22">
        <f t="shared" ref="AH1106:AH1169" si="1111">IF(ROUND(AVERAGE(AG1106:AG1108),0)&lt;0,0,IF(ROUND(AVERAGE(AG1106:AG1108),0)&gt;100,100,ROUND(AVERAGE(AG1106:AG1108),0)))</f>
        <v>85</v>
      </c>
      <c r="AI1106" s="18">
        <f t="shared" si="1104"/>
        <v>5.07</v>
      </c>
      <c r="AJ1106" s="18">
        <f t="shared" si="1105"/>
        <v>5.03</v>
      </c>
      <c r="AK1106" t="str">
        <f t="shared" si="1090"/>
        <v/>
      </c>
      <c r="AL1106">
        <f t="shared" si="1101"/>
        <v>31.5</v>
      </c>
      <c r="AM1106" s="11" t="str">
        <f t="shared" si="1091"/>
        <v>Stocks</v>
      </c>
      <c r="AN1106" t="str">
        <f t="shared" si="1097"/>
        <v>Buy</v>
      </c>
      <c r="AO1106" s="13">
        <f t="shared" si="1098"/>
        <v>-1.2699999999999999E-2</v>
      </c>
      <c r="AP1106" s="13">
        <f t="shared" si="1099"/>
        <v>8.9999999999999998E-4</v>
      </c>
      <c r="AQ1106" s="13">
        <f t="shared" si="1100"/>
        <v>-1.0699999999999999E-2</v>
      </c>
      <c r="AR1106" s="13">
        <f t="shared" si="1092"/>
        <v>-1.2699999999999999E-2</v>
      </c>
      <c r="AS1106" s="6">
        <f t="shared" si="1084"/>
        <v>223.77647839355765</v>
      </c>
      <c r="AT1106" s="6">
        <f t="shared" si="1085"/>
        <v>125.59590094534158</v>
      </c>
      <c r="AU1106" s="6">
        <f t="shared" si="1086"/>
        <v>213.34141119286576</v>
      </c>
      <c r="AV1106" s="6">
        <f t="shared" si="1087"/>
        <v>223.77647839355765</v>
      </c>
      <c r="AW1106" s="58">
        <f t="shared" si="1093"/>
        <v>1997</v>
      </c>
      <c r="AX1106" s="58">
        <f>COUNTIF(AW$3:AW1106,AW1106)</f>
        <v>28</v>
      </c>
    </row>
    <row r="1107" spans="1:50" x14ac:dyDescent="0.25">
      <c r="A1107" s="5">
        <v>35596</v>
      </c>
      <c r="B1107">
        <v>893.27</v>
      </c>
      <c r="C1107">
        <v>4.88</v>
      </c>
      <c r="D1107" s="6">
        <v>18.940000999999999</v>
      </c>
      <c r="E1107" s="18">
        <f t="shared" si="1106"/>
        <v>18.739999999999998</v>
      </c>
      <c r="F1107">
        <f t="shared" si="1107"/>
        <v>-1</v>
      </c>
      <c r="G1107" s="18">
        <f>ROUND(INDEX(Valuation!U:U,MATCH(A1107,Valuation!A:A,0)),2)</f>
        <v>112.46</v>
      </c>
      <c r="H1107">
        <f t="shared" si="1078"/>
        <v>0</v>
      </c>
      <c r="I1107" s="18">
        <f>INDEX(WeeklyIndicators!Y:Y,MATCH(A1107,WeeklyIndicators!A:A,0))</f>
        <v>122.33</v>
      </c>
      <c r="J1107">
        <f t="shared" si="1103"/>
        <v>0</v>
      </c>
      <c r="K1107">
        <f>ROUND(INDEX(Economic!AF:AF,MATCH(EOMONTH($A1107,-1),Economic!A:A,0)),2)</f>
        <v>142.56</v>
      </c>
      <c r="L1107" s="11">
        <f t="shared" ref="L1107:L1170" si="1112">IF(K1107&gt;138,3,IF(AND(K1107&gt;125,K1107&lt;=138),2,IF(AND(K1107&gt;111,K1107&lt;=125),1,IF(K1107&lt;50,-3,IF(AND(K1107&lt;80,K1107&gt;=50),-2,IF(AND(K1107&lt;100,K1107&gt;=80),-1,0))))))</f>
        <v>3</v>
      </c>
      <c r="M1107">
        <f>ROUND(INDEX(Manufacturing!P:P,MATCH(EOMONTH($A1107,-1),Manufacturing!A:A,0)),2)</f>
        <v>109.4</v>
      </c>
      <c r="N1107">
        <f t="shared" si="1108"/>
        <v>3</v>
      </c>
      <c r="O1107">
        <f>ROUND(INDEX(Housing!AC:AC,MATCH(EOMONTH($A1107,-1),Housing!B:B,0)),2)</f>
        <v>108.69</v>
      </c>
      <c r="P1107">
        <f t="shared" si="1109"/>
        <v>0</v>
      </c>
      <c r="Q1107">
        <f>ROUND(INDEX(Spending!AJ:AJ,MATCH(EOMONTH($A1107,-1),Spending!B:B,0)),2)</f>
        <v>55.92</v>
      </c>
      <c r="R1107">
        <f t="shared" ref="R1107:R1170" si="1113">IF(Q1107&gt;60,2,IF(AND(Q1107&gt;50,Q1107&lt;=60),1,IF(Q1107&lt;30,-2,IF(AND(Q1107&lt;40,Q1107&gt;=30),-1,0))))</f>
        <v>1</v>
      </c>
      <c r="S1107">
        <f>ROUND(INDEX(Employment!V:V,MATCH(EOMONTH($A1107,-1),Employment!A:A,0)),2)</f>
        <v>191.18</v>
      </c>
      <c r="T1107" s="11">
        <f t="shared" si="1110"/>
        <v>3</v>
      </c>
      <c r="U1107">
        <f t="shared" si="1102"/>
        <v>29</v>
      </c>
      <c r="V1107">
        <f t="shared" si="1094"/>
        <v>82.13</v>
      </c>
      <c r="W1107" s="13">
        <f t="shared" si="1095"/>
        <v>1.55E-2</v>
      </c>
      <c r="X1107" s="13">
        <f t="shared" si="1096"/>
        <v>2.2299999999999997E-2</v>
      </c>
      <c r="Y1107">
        <f t="shared" si="1088"/>
        <v>82.45</v>
      </c>
      <c r="Z1107" s="13">
        <f t="shared" si="1083"/>
        <v>1.29E-2</v>
      </c>
      <c r="AA1107" s="13">
        <f t="shared" si="1079"/>
        <v>6.5000000000000006E-3</v>
      </c>
      <c r="AB1107" s="6">
        <f t="shared" si="1089"/>
        <v>89.595999999999989</v>
      </c>
      <c r="AC1107">
        <f t="shared" si="1081"/>
        <v>45</v>
      </c>
      <c r="AD1107" s="11">
        <f t="shared" si="1082"/>
        <v>1</v>
      </c>
      <c r="AE1107">
        <f t="shared" si="1080"/>
        <v>32</v>
      </c>
      <c r="AF1107">
        <f>IF(AND(AE1107&lt;15,OR(AC1107&gt;=30,AA1107&gt;0.15,X1107&gt;=0.15)),2,VLOOKUP(AE1107,Table!P:Q,2,FALSE))</f>
        <v>5</v>
      </c>
      <c r="AG1107" s="22">
        <f>IF((AB1107*0.98)-(D1107*0.8)+((AF1107-3)*3)+VLOOKUP(AM1107,Table!$A$11:$B$13,2,FALSE)&lt;0,0,(AB1107*0.98)-(D1107*0.8)+((AF1107-3)*3)+VLOOKUP(AM1107,Table!$A$11:$B$13,2,FALSE))</f>
        <v>86.652079199999989</v>
      </c>
      <c r="AH1107" s="22">
        <f t="shared" si="1111"/>
        <v>83</v>
      </c>
      <c r="AI1107" s="18">
        <f t="shared" si="1104"/>
        <v>5.09</v>
      </c>
      <c r="AJ1107" s="18">
        <f t="shared" si="1105"/>
        <v>5.03</v>
      </c>
      <c r="AK1107" t="str">
        <f t="shared" si="1090"/>
        <v/>
      </c>
      <c r="AL1107">
        <f t="shared" si="1101"/>
        <v>30.75</v>
      </c>
      <c r="AM1107" s="11" t="str">
        <f t="shared" si="1091"/>
        <v>Stocks</v>
      </c>
      <c r="AN1107" t="str">
        <f t="shared" si="1097"/>
        <v>Buy</v>
      </c>
      <c r="AO1107" s="13">
        <f t="shared" si="1098"/>
        <v>6.1000000000000004E-3</v>
      </c>
      <c r="AP1107" s="13">
        <f t="shared" si="1099"/>
        <v>8.9999999999999998E-4</v>
      </c>
      <c r="AQ1107" s="13">
        <f t="shared" si="1100"/>
        <v>5.1999999999999998E-3</v>
      </c>
      <c r="AR1107" s="13">
        <f t="shared" si="1092"/>
        <v>6.1000000000000004E-3</v>
      </c>
      <c r="AS1107" s="6">
        <f t="shared" si="1084"/>
        <v>222.41971811306794</v>
      </c>
      <c r="AT1107" s="6">
        <f t="shared" si="1085"/>
        <v>125.48296627569347</v>
      </c>
      <c r="AU1107" s="6">
        <f t="shared" si="1086"/>
        <v>212.23777476409245</v>
      </c>
      <c r="AV1107" s="6">
        <f t="shared" si="1087"/>
        <v>222.41971811306794</v>
      </c>
      <c r="AW1107" s="58">
        <f t="shared" si="1093"/>
        <v>1997</v>
      </c>
      <c r="AX1107" s="58">
        <f>COUNTIF(AW$3:AW1107,AW1107)</f>
        <v>29</v>
      </c>
    </row>
    <row r="1108" spans="1:50" x14ac:dyDescent="0.25">
      <c r="A1108" s="5">
        <v>35589</v>
      </c>
      <c r="B1108">
        <v>858.01</v>
      </c>
      <c r="C1108">
        <v>4.91</v>
      </c>
      <c r="D1108" s="6">
        <v>19.190000999999999</v>
      </c>
      <c r="E1108" s="18">
        <f t="shared" si="1106"/>
        <v>19.61</v>
      </c>
      <c r="F1108">
        <f t="shared" si="1107"/>
        <v>-1</v>
      </c>
      <c r="G1108" s="18">
        <f>ROUND(INDEX(Valuation!U:U,MATCH(A1108,Valuation!A:A,0)),2)</f>
        <v>115.44</v>
      </c>
      <c r="H1108">
        <f t="shared" si="1078"/>
        <v>0</v>
      </c>
      <c r="I1108" s="18">
        <f>INDEX(WeeklyIndicators!Y:Y,MATCH(A1108,WeeklyIndicators!A:A,0))</f>
        <v>114.74</v>
      </c>
      <c r="J1108">
        <f t="shared" si="1103"/>
        <v>-1</v>
      </c>
      <c r="K1108">
        <f>ROUND(INDEX(Economic!AF:AF,MATCH(EOMONTH($A1108,-1),Economic!A:A,0)),2)</f>
        <v>142.56</v>
      </c>
      <c r="L1108" s="11">
        <f t="shared" si="1112"/>
        <v>3</v>
      </c>
      <c r="M1108">
        <f>ROUND(INDEX(Manufacturing!P:P,MATCH(EOMONTH($A1108,-1),Manufacturing!A:A,0)),2)</f>
        <v>109.4</v>
      </c>
      <c r="N1108">
        <f t="shared" si="1108"/>
        <v>3</v>
      </c>
      <c r="O1108">
        <f>ROUND(INDEX(Housing!AC:AC,MATCH(EOMONTH($A1108,-1),Housing!B:B,0)),2)</f>
        <v>108.69</v>
      </c>
      <c r="P1108">
        <f t="shared" si="1109"/>
        <v>0</v>
      </c>
      <c r="Q1108">
        <f>ROUND(INDEX(Spending!AJ:AJ,MATCH(EOMONTH($A1108,-1),Spending!B:B,0)),2)</f>
        <v>55.92</v>
      </c>
      <c r="R1108">
        <f t="shared" si="1113"/>
        <v>1</v>
      </c>
      <c r="S1108">
        <f>ROUND(INDEX(Employment!V:V,MATCH(EOMONTH($A1108,-1),Employment!A:A,0)),2)</f>
        <v>191.18</v>
      </c>
      <c r="T1108" s="11">
        <f t="shared" si="1110"/>
        <v>3</v>
      </c>
      <c r="U1108">
        <f t="shared" si="1102"/>
        <v>28</v>
      </c>
      <c r="V1108">
        <f t="shared" si="1094"/>
        <v>81.349999999999994</v>
      </c>
      <c r="W1108" s="13">
        <f t="shared" si="1095"/>
        <v>1.18E-2</v>
      </c>
      <c r="X1108" s="13">
        <f t="shared" si="1096"/>
        <v>-3.9999999999999931E-4</v>
      </c>
      <c r="Y1108">
        <f t="shared" si="1088"/>
        <v>81.69</v>
      </c>
      <c r="Z1108" s="13">
        <f t="shared" si="1083"/>
        <v>7.7000000000000002E-3</v>
      </c>
      <c r="AA1108" s="13">
        <f t="shared" si="1079"/>
        <v>-1.72E-2</v>
      </c>
      <c r="AB1108" s="6">
        <f t="shared" si="1089"/>
        <v>87.293999999999997</v>
      </c>
      <c r="AC1108">
        <f t="shared" si="1081"/>
        <v>44</v>
      </c>
      <c r="AD1108" s="11">
        <f t="shared" si="1082"/>
        <v>1</v>
      </c>
      <c r="AE1108">
        <f t="shared" si="1080"/>
        <v>31</v>
      </c>
      <c r="AF1108">
        <f>IF(AND(AE1108&lt;15,OR(AC1108&gt;=30,AA1108&gt;0.15,X1108&gt;=0.15)),2,VLOOKUP(AE1108,Table!P:Q,2,FALSE))</f>
        <v>4</v>
      </c>
      <c r="AG1108" s="22">
        <f>IF((AB1108*0.98)-(D1108*0.8)+((AF1108-3)*3)+VLOOKUP(AM1108,Table!$A$11:$B$13,2,FALSE)&lt;0,0,(AB1108*0.98)-(D1108*0.8)+((AF1108-3)*3)+VLOOKUP(AM1108,Table!$A$11:$B$13,2,FALSE))</f>
        <v>81.196119199999998</v>
      </c>
      <c r="AH1108" s="22">
        <f t="shared" si="1111"/>
        <v>79</v>
      </c>
      <c r="AI1108" s="18">
        <f t="shared" si="1104"/>
        <v>5.1100000000000003</v>
      </c>
      <c r="AJ1108" s="18">
        <f t="shared" si="1105"/>
        <v>5.04</v>
      </c>
      <c r="AK1108" t="str">
        <f t="shared" si="1090"/>
        <v/>
      </c>
      <c r="AL1108">
        <f t="shared" si="1101"/>
        <v>30</v>
      </c>
      <c r="AM1108" s="11" t="str">
        <f t="shared" si="1091"/>
        <v>Stocks</v>
      </c>
      <c r="AN1108" t="str">
        <f t="shared" si="1097"/>
        <v>Buy</v>
      </c>
      <c r="AO1108" s="13">
        <f t="shared" si="1098"/>
        <v>4.1099999999999998E-2</v>
      </c>
      <c r="AP1108" s="13">
        <f t="shared" si="1099"/>
        <v>8.9999999999999998E-4</v>
      </c>
      <c r="AQ1108" s="13">
        <f t="shared" si="1100"/>
        <v>3.27E-2</v>
      </c>
      <c r="AR1108" s="13">
        <f t="shared" si="1092"/>
        <v>4.1099999999999998E-2</v>
      </c>
      <c r="AS1108" s="6">
        <f t="shared" si="1084"/>
        <v>213.63914908564783</v>
      </c>
      <c r="AT1108" s="6">
        <f t="shared" si="1085"/>
        <v>125.37013315585321</v>
      </c>
      <c r="AU1108" s="6">
        <f t="shared" si="1086"/>
        <v>205.51735718417009</v>
      </c>
      <c r="AV1108" s="6">
        <f t="shared" si="1087"/>
        <v>213.63914908564783</v>
      </c>
      <c r="AW1108" s="58">
        <f t="shared" si="1093"/>
        <v>1997</v>
      </c>
      <c r="AX1108" s="58">
        <f>COUNTIF(AW$3:AW1108,AW1108)</f>
        <v>30</v>
      </c>
    </row>
    <row r="1109" spans="1:50" x14ac:dyDescent="0.25">
      <c r="A1109" s="5">
        <v>35582</v>
      </c>
      <c r="B1109">
        <v>848.28</v>
      </c>
      <c r="C1109">
        <v>4.9400000000000004</v>
      </c>
      <c r="D1109" s="6">
        <v>18.079999999999998</v>
      </c>
      <c r="E1109" s="18">
        <f t="shared" si="1106"/>
        <v>19.920000000000002</v>
      </c>
      <c r="F1109">
        <f t="shared" si="1107"/>
        <v>-1</v>
      </c>
      <c r="G1109" s="18">
        <f>ROUND(INDEX(Valuation!U:U,MATCH(A1109,Valuation!A:A,0)),2)</f>
        <v>118.27</v>
      </c>
      <c r="H1109">
        <f t="shared" si="1078"/>
        <v>0</v>
      </c>
      <c r="I1109" s="18">
        <f>INDEX(WeeklyIndicators!Y:Y,MATCH(A1109,WeeklyIndicators!A:A,0))</f>
        <v>106.28</v>
      </c>
      <c r="J1109">
        <f t="shared" si="1103"/>
        <v>-1</v>
      </c>
      <c r="K1109">
        <f>ROUND(INDEX(Economic!AF:AF,MATCH(EOMONTH($A1109,-1),Economic!A:A,0)),2)</f>
        <v>142.56</v>
      </c>
      <c r="L1109" s="11">
        <f t="shared" si="1112"/>
        <v>3</v>
      </c>
      <c r="M1109">
        <f>ROUND(INDEX(Manufacturing!P:P,MATCH(EOMONTH($A1109,-1),Manufacturing!A:A,0)),2)</f>
        <v>109.4</v>
      </c>
      <c r="N1109">
        <f t="shared" si="1108"/>
        <v>3</v>
      </c>
      <c r="O1109">
        <f>ROUND(INDEX(Housing!AC:AC,MATCH(EOMONTH($A1109,-1),Housing!B:B,0)),2)</f>
        <v>108.69</v>
      </c>
      <c r="P1109">
        <f t="shared" si="1109"/>
        <v>0</v>
      </c>
      <c r="Q1109">
        <f>ROUND(INDEX(Spending!AJ:AJ,MATCH(EOMONTH($A1109,-1),Spending!B:B,0)),2)</f>
        <v>55.92</v>
      </c>
      <c r="R1109">
        <f t="shared" si="1113"/>
        <v>1</v>
      </c>
      <c r="S1109">
        <f>ROUND(INDEX(Employment!V:V,MATCH(EOMONTH($A1109,-1),Employment!A:A,0)),2)</f>
        <v>191.18</v>
      </c>
      <c r="T1109" s="11">
        <f t="shared" si="1110"/>
        <v>3</v>
      </c>
      <c r="U1109">
        <f t="shared" si="1102"/>
        <v>28</v>
      </c>
      <c r="V1109">
        <f t="shared" si="1094"/>
        <v>80.47</v>
      </c>
      <c r="W1109" s="13">
        <f t="shared" si="1095"/>
        <v>4.3E-3</v>
      </c>
      <c r="X1109" s="13">
        <f t="shared" si="1096"/>
        <v>-1.7099999999999997E-2</v>
      </c>
      <c r="Y1109">
        <f t="shared" si="1088"/>
        <v>81.02</v>
      </c>
      <c r="Z1109" s="13">
        <f t="shared" si="1083"/>
        <v>-1.1999999999999999E-3</v>
      </c>
      <c r="AA1109" s="13">
        <f t="shared" si="1079"/>
        <v>-2.98E-2</v>
      </c>
      <c r="AB1109" s="6">
        <f t="shared" si="1089"/>
        <v>85.856999999999999</v>
      </c>
      <c r="AC1109">
        <f t="shared" si="1081"/>
        <v>43</v>
      </c>
      <c r="AD1109" s="11">
        <f t="shared" si="1082"/>
        <v>1</v>
      </c>
      <c r="AE1109">
        <f t="shared" si="1080"/>
        <v>31</v>
      </c>
      <c r="AF1109">
        <f>IF(AND(AE1109&lt;15,OR(AC1109&gt;=30,AA1109&gt;0.15,X1109&gt;=0.15)),2,VLOOKUP(AE1109,Table!P:Q,2,FALSE))</f>
        <v>4</v>
      </c>
      <c r="AG1109" s="22">
        <f>IF((AB1109*0.98)-(D1109*0.8)+((AF1109-3)*3)+VLOOKUP(AM1109,Table!$A$11:$B$13,2,FALSE)&lt;0,0,(AB1109*0.98)-(D1109*0.8)+((AF1109-3)*3)+VLOOKUP(AM1109,Table!$A$11:$B$13,2,FALSE))</f>
        <v>80.67586</v>
      </c>
      <c r="AH1109" s="22">
        <f t="shared" si="1111"/>
        <v>79</v>
      </c>
      <c r="AI1109" s="18">
        <f t="shared" si="1104"/>
        <v>5.12</v>
      </c>
      <c r="AJ1109" s="18">
        <f t="shared" si="1105"/>
        <v>5.05</v>
      </c>
      <c r="AK1109" t="str">
        <f t="shared" si="1090"/>
        <v/>
      </c>
      <c r="AL1109">
        <f t="shared" si="1101"/>
        <v>29.5</v>
      </c>
      <c r="AM1109" s="11" t="str">
        <f t="shared" si="1091"/>
        <v>Stocks</v>
      </c>
      <c r="AN1109" t="str">
        <f t="shared" si="1097"/>
        <v>Buy</v>
      </c>
      <c r="AO1109" s="13">
        <f t="shared" si="1098"/>
        <v>1.15E-2</v>
      </c>
      <c r="AP1109" s="13">
        <f t="shared" si="1099"/>
        <v>1E-3</v>
      </c>
      <c r="AQ1109" s="13">
        <f t="shared" si="1100"/>
        <v>9.2999999999999992E-3</v>
      </c>
      <c r="AR1109" s="13">
        <f t="shared" si="1092"/>
        <v>1.15E-2</v>
      </c>
      <c r="AS1109" s="6">
        <f t="shared" si="1084"/>
        <v>211.21023142426873</v>
      </c>
      <c r="AT1109" s="6">
        <f t="shared" si="1085"/>
        <v>125.24488826758564</v>
      </c>
      <c r="AU1109" s="6">
        <f t="shared" si="1086"/>
        <v>203.62365717246615</v>
      </c>
      <c r="AV1109" s="6">
        <f t="shared" si="1087"/>
        <v>211.21023142426873</v>
      </c>
      <c r="AW1109" s="58">
        <f t="shared" si="1093"/>
        <v>1997</v>
      </c>
      <c r="AX1109" s="58">
        <f>COUNTIF(AW$3:AW1109,AW1109)</f>
        <v>31</v>
      </c>
    </row>
    <row r="1110" spans="1:50" x14ac:dyDescent="0.25">
      <c r="A1110" s="5">
        <v>35575</v>
      </c>
      <c r="B1110">
        <v>847.03</v>
      </c>
      <c r="C1110">
        <v>5.0999999999999996</v>
      </c>
      <c r="D1110" s="6">
        <v>21.57</v>
      </c>
      <c r="E1110" s="18">
        <f t="shared" si="1106"/>
        <v>19.73</v>
      </c>
      <c r="F1110">
        <f t="shared" si="1107"/>
        <v>-1</v>
      </c>
      <c r="G1110" s="18">
        <f>ROUND(INDEX(Valuation!U:U,MATCH(A1110,Valuation!A:A,0)),2)</f>
        <v>120.96</v>
      </c>
      <c r="H1110">
        <f t="shared" si="1078"/>
        <v>1</v>
      </c>
      <c r="I1110" s="18">
        <f>INDEX(WeeklyIndicators!Y:Y,MATCH(A1110,WeeklyIndicators!A:A,0))</f>
        <v>100.66</v>
      </c>
      <c r="J1110">
        <f t="shared" si="1103"/>
        <v>-1</v>
      </c>
      <c r="K1110">
        <f>ROUND(INDEX(Economic!AF:AF,MATCH(EOMONTH($A1110,-1),Economic!A:A,0)),2)</f>
        <v>137.38</v>
      </c>
      <c r="L1110" s="11">
        <f t="shared" si="1112"/>
        <v>2</v>
      </c>
      <c r="M1110">
        <f>ROUND(INDEX(Manufacturing!P:P,MATCH(EOMONTH($A1110,-1),Manufacturing!A:A,0)),2)</f>
        <v>106.76</v>
      </c>
      <c r="N1110">
        <f t="shared" si="1108"/>
        <v>2</v>
      </c>
      <c r="O1110">
        <f>ROUND(INDEX(Housing!AC:AC,MATCH(EOMONTH($A1110,-1),Housing!B:B,0)),2)</f>
        <v>105.83</v>
      </c>
      <c r="P1110">
        <f t="shared" si="1109"/>
        <v>0</v>
      </c>
      <c r="Q1110">
        <f>ROUND(INDEX(Spending!AJ:AJ,MATCH(EOMONTH($A1110,-1),Spending!B:B,0)),2)</f>
        <v>57.51</v>
      </c>
      <c r="R1110">
        <f t="shared" si="1113"/>
        <v>1</v>
      </c>
      <c r="S1110">
        <f>ROUND(INDEX(Employment!V:V,MATCH(EOMONTH($A1110,-1),Employment!A:A,0)),2)</f>
        <v>187.46</v>
      </c>
      <c r="T1110" s="11">
        <f t="shared" si="1110"/>
        <v>2</v>
      </c>
      <c r="U1110">
        <f t="shared" si="1102"/>
        <v>26</v>
      </c>
      <c r="V1110">
        <f t="shared" si="1094"/>
        <v>78.41</v>
      </c>
      <c r="W1110" s="13">
        <f t="shared" si="1095"/>
        <v>-9.2999999999999992E-3</v>
      </c>
      <c r="X1110" s="13">
        <f t="shared" si="1096"/>
        <v>-2.0900000000000002E-2</v>
      </c>
      <c r="Y1110">
        <f t="shared" si="1088"/>
        <v>79.33</v>
      </c>
      <c r="Z1110" s="13">
        <f t="shared" si="1083"/>
        <v>-1.29E-2</v>
      </c>
      <c r="AA1110" s="13">
        <f t="shared" si="1079"/>
        <v>-2.6700000000000002E-2</v>
      </c>
      <c r="AB1110" s="6">
        <f t="shared" si="1089"/>
        <v>84.546000000000006</v>
      </c>
      <c r="AC1110">
        <f t="shared" si="1081"/>
        <v>42</v>
      </c>
      <c r="AD1110" s="11">
        <f t="shared" si="1082"/>
        <v>1</v>
      </c>
      <c r="AE1110">
        <f t="shared" si="1080"/>
        <v>29</v>
      </c>
      <c r="AF1110">
        <f>IF(AND(AE1110&lt;15,OR(AC1110&gt;=30,AA1110&gt;0.15,X1110&gt;=0.15)),2,VLOOKUP(AE1110,Table!P:Q,2,FALSE))</f>
        <v>4</v>
      </c>
      <c r="AG1110" s="22">
        <f>IF((AB1110*0.98)-(D1110*0.8)+((AF1110-3)*3)+VLOOKUP(AM1110,Table!$A$11:$B$13,2,FALSE)&lt;0,0,(AB1110*0.98)-(D1110*0.8)+((AF1110-3)*3)+VLOOKUP(AM1110,Table!$A$11:$B$13,2,FALSE))</f>
        <v>76.599080000000001</v>
      </c>
      <c r="AH1110" s="22">
        <f t="shared" si="1111"/>
        <v>81</v>
      </c>
      <c r="AI1110" s="18">
        <f t="shared" si="1104"/>
        <v>5.13</v>
      </c>
      <c r="AJ1110" s="18">
        <f t="shared" si="1105"/>
        <v>5.05</v>
      </c>
      <c r="AK1110" t="str">
        <f t="shared" si="1090"/>
        <v/>
      </c>
      <c r="AL1110">
        <f t="shared" si="1101"/>
        <v>29.25</v>
      </c>
      <c r="AM1110" s="11" t="str">
        <f t="shared" si="1091"/>
        <v>Stocks</v>
      </c>
      <c r="AN1110" t="str">
        <f t="shared" si="1097"/>
        <v>Buy</v>
      </c>
      <c r="AO1110" s="13">
        <f t="shared" si="1098"/>
        <v>1.5E-3</v>
      </c>
      <c r="AP1110" s="13">
        <f t="shared" si="1099"/>
        <v>1E-3</v>
      </c>
      <c r="AQ1110" s="13">
        <f t="shared" si="1100"/>
        <v>1.4E-3</v>
      </c>
      <c r="AR1110" s="13">
        <f t="shared" si="1092"/>
        <v>1.5E-3</v>
      </c>
      <c r="AS1110" s="6">
        <f t="shared" si="1084"/>
        <v>210.89389058838614</v>
      </c>
      <c r="AT1110" s="6">
        <f t="shared" si="1085"/>
        <v>125.11976849908656</v>
      </c>
      <c r="AU1110" s="6">
        <f t="shared" si="1086"/>
        <v>203.33898259683059</v>
      </c>
      <c r="AV1110" s="6">
        <f t="shared" si="1087"/>
        <v>210.89389058838614</v>
      </c>
      <c r="AW1110" s="58">
        <f t="shared" si="1093"/>
        <v>1997</v>
      </c>
      <c r="AX1110" s="58">
        <f>COUNTIF(AW$3:AW1110,AW1110)</f>
        <v>32</v>
      </c>
    </row>
    <row r="1111" spans="1:50" x14ac:dyDescent="0.25">
      <c r="A1111" s="5">
        <v>35568</v>
      </c>
      <c r="B1111">
        <v>829.75</v>
      </c>
      <c r="C1111">
        <v>5.05</v>
      </c>
      <c r="D1111" s="6">
        <v>20.110001</v>
      </c>
      <c r="E1111" s="18">
        <f t="shared" si="1106"/>
        <v>19.59</v>
      </c>
      <c r="F1111">
        <f t="shared" si="1107"/>
        <v>-1</v>
      </c>
      <c r="G1111" s="18">
        <f>ROUND(INDEX(Valuation!U:U,MATCH(A1111,Valuation!A:A,0)),2)</f>
        <v>123.96</v>
      </c>
      <c r="H1111">
        <f t="shared" si="1078"/>
        <v>1</v>
      </c>
      <c r="I1111" s="18">
        <f>INDEX(WeeklyIndicators!Y:Y,MATCH(A1111,WeeklyIndicators!A:A,0))</f>
        <v>101.94</v>
      </c>
      <c r="J1111">
        <f t="shared" si="1103"/>
        <v>-1</v>
      </c>
      <c r="K1111">
        <f>ROUND(INDEX(Economic!AF:AF,MATCH(EOMONTH($A1111,-1),Economic!A:A,0)),2)</f>
        <v>137.38</v>
      </c>
      <c r="L1111" s="11">
        <f t="shared" si="1112"/>
        <v>2</v>
      </c>
      <c r="M1111">
        <f>ROUND(INDEX(Manufacturing!P:P,MATCH(EOMONTH($A1111,-1),Manufacturing!A:A,0)),2)</f>
        <v>106.76</v>
      </c>
      <c r="N1111">
        <f t="shared" si="1108"/>
        <v>2</v>
      </c>
      <c r="O1111">
        <f>ROUND(INDEX(Housing!AC:AC,MATCH(EOMONTH($A1111,-1),Housing!B:B,0)),2)</f>
        <v>105.83</v>
      </c>
      <c r="P1111">
        <f t="shared" si="1109"/>
        <v>0</v>
      </c>
      <c r="Q1111">
        <f>ROUND(INDEX(Spending!AJ:AJ,MATCH(EOMONTH($A1111,-1),Spending!B:B,0)),2)</f>
        <v>57.51</v>
      </c>
      <c r="R1111">
        <f t="shared" si="1113"/>
        <v>1</v>
      </c>
      <c r="S1111">
        <f>ROUND(INDEX(Employment!V:V,MATCH(EOMONTH($A1111,-1),Employment!A:A,0)),2)</f>
        <v>187.46</v>
      </c>
      <c r="T1111" s="11">
        <f t="shared" si="1110"/>
        <v>2</v>
      </c>
      <c r="U1111">
        <f t="shared" si="1102"/>
        <v>26</v>
      </c>
      <c r="V1111">
        <f t="shared" si="1094"/>
        <v>78.540000000000006</v>
      </c>
      <c r="W1111" s="13">
        <f t="shared" si="1095"/>
        <v>-7.1999999999999998E-3</v>
      </c>
      <c r="X1111" s="13">
        <f t="shared" si="1096"/>
        <v>-1.18E-2</v>
      </c>
      <c r="Y1111">
        <f t="shared" si="1088"/>
        <v>79.849999999999994</v>
      </c>
      <c r="Z1111" s="13">
        <f t="shared" si="1083"/>
        <v>-1.0800000000000001E-2</v>
      </c>
      <c r="AA1111" s="13">
        <f t="shared" si="1079"/>
        <v>-8.3999999999999977E-3</v>
      </c>
      <c r="AB1111" s="6">
        <f t="shared" si="1089"/>
        <v>86.686000000000007</v>
      </c>
      <c r="AC1111">
        <f t="shared" si="1081"/>
        <v>43</v>
      </c>
      <c r="AD1111" s="11">
        <f t="shared" si="1082"/>
        <v>1</v>
      </c>
      <c r="AE1111">
        <f t="shared" si="1080"/>
        <v>29</v>
      </c>
      <c r="AF1111">
        <f>IF(AND(AE1111&lt;15,OR(AC1111&gt;=30,AA1111&gt;0.15,X1111&gt;=0.15)),2,VLOOKUP(AE1111,Table!P:Q,2,FALSE))</f>
        <v>4</v>
      </c>
      <c r="AG1111" s="22">
        <f>IF((AB1111*0.98)-(D1111*0.8)+((AF1111-3)*3)+VLOOKUP(AM1111,Table!$A$11:$B$13,2,FALSE)&lt;0,0,(AB1111*0.98)-(D1111*0.8)+((AF1111-3)*3)+VLOOKUP(AM1111,Table!$A$11:$B$13,2,FALSE))</f>
        <v>79.864279199999999</v>
      </c>
      <c r="AH1111" s="22">
        <f t="shared" si="1111"/>
        <v>83</v>
      </c>
      <c r="AI1111" s="18">
        <f t="shared" si="1104"/>
        <v>5.12</v>
      </c>
      <c r="AJ1111" s="18">
        <f t="shared" si="1105"/>
        <v>5.05</v>
      </c>
      <c r="AK1111" t="str">
        <f t="shared" si="1090"/>
        <v/>
      </c>
      <c r="AL1111">
        <f t="shared" si="1101"/>
        <v>29.5</v>
      </c>
      <c r="AM1111" s="11" t="str">
        <f t="shared" si="1091"/>
        <v>Stocks</v>
      </c>
      <c r="AN1111" t="str">
        <f t="shared" si="1097"/>
        <v>Buy</v>
      </c>
      <c r="AO1111" s="13">
        <f t="shared" si="1098"/>
        <v>2.0799999999999999E-2</v>
      </c>
      <c r="AP1111" s="13">
        <f t="shared" si="1099"/>
        <v>1E-3</v>
      </c>
      <c r="AQ1111" s="13">
        <f t="shared" si="1100"/>
        <v>1.7399999999999999E-2</v>
      </c>
      <c r="AR1111" s="13">
        <f t="shared" si="1092"/>
        <v>2.0799999999999999E-2</v>
      </c>
      <c r="AS1111" s="6">
        <f t="shared" si="1084"/>
        <v>206.5966796516322</v>
      </c>
      <c r="AT1111" s="6">
        <f t="shared" si="1085"/>
        <v>124.99477372536121</v>
      </c>
      <c r="AU1111" s="6">
        <f t="shared" si="1086"/>
        <v>199.86139433539469</v>
      </c>
      <c r="AV1111" s="6">
        <f t="shared" si="1087"/>
        <v>206.5966796516322</v>
      </c>
      <c r="AW1111" s="58">
        <f t="shared" si="1093"/>
        <v>1997</v>
      </c>
      <c r="AX1111" s="58">
        <f>COUNTIF(AW$3:AW1111,AW1111)</f>
        <v>33</v>
      </c>
    </row>
    <row r="1112" spans="1:50" x14ac:dyDescent="0.25">
      <c r="A1112" s="5">
        <v>35561</v>
      </c>
      <c r="B1112">
        <v>824.78</v>
      </c>
      <c r="C1112">
        <v>5.0599999999999996</v>
      </c>
      <c r="D1112" s="6">
        <v>17.510000000000002</v>
      </c>
      <c r="E1112" s="18">
        <f t="shared" si="1106"/>
        <v>19.14</v>
      </c>
      <c r="F1112">
        <f t="shared" si="1107"/>
        <v>-1</v>
      </c>
      <c r="G1112" s="18">
        <f>ROUND(INDEX(Valuation!U:U,MATCH(A1112,Valuation!A:A,0)),2)</f>
        <v>127.47</v>
      </c>
      <c r="H1112">
        <f t="shared" si="1078"/>
        <v>1</v>
      </c>
      <c r="I1112" s="18">
        <f>INDEX(WeeklyIndicators!Y:Y,MATCH(A1112,WeeklyIndicators!A:A,0))</f>
        <v>110.68</v>
      </c>
      <c r="J1112">
        <f t="shared" si="1103"/>
        <v>-1</v>
      </c>
      <c r="K1112">
        <f>ROUND(INDEX(Economic!AF:AF,MATCH(EOMONTH($A1112,-1),Economic!A:A,0)),2)</f>
        <v>137.38</v>
      </c>
      <c r="L1112" s="11">
        <f t="shared" si="1112"/>
        <v>2</v>
      </c>
      <c r="M1112">
        <f>ROUND(INDEX(Manufacturing!P:P,MATCH(EOMONTH($A1112,-1),Manufacturing!A:A,0)),2)</f>
        <v>106.76</v>
      </c>
      <c r="N1112">
        <f t="shared" si="1108"/>
        <v>2</v>
      </c>
      <c r="O1112">
        <f>ROUND(INDEX(Housing!AC:AC,MATCH(EOMONTH($A1112,-1),Housing!B:B,0)),2)</f>
        <v>105.83</v>
      </c>
      <c r="P1112">
        <f t="shared" si="1109"/>
        <v>0</v>
      </c>
      <c r="Q1112">
        <f>ROUND(INDEX(Spending!AJ:AJ,MATCH(EOMONTH($A1112,-1),Spending!B:B,0)),2)</f>
        <v>57.51</v>
      </c>
      <c r="R1112">
        <f t="shared" si="1113"/>
        <v>1</v>
      </c>
      <c r="S1112">
        <f>ROUND(INDEX(Employment!V:V,MATCH(EOMONTH($A1112,-1),Employment!A:A,0)),2)</f>
        <v>187.46</v>
      </c>
      <c r="T1112" s="11">
        <f t="shared" si="1110"/>
        <v>2</v>
      </c>
      <c r="U1112">
        <f t="shared" si="1102"/>
        <v>26</v>
      </c>
      <c r="V1112">
        <f t="shared" si="1094"/>
        <v>79.45</v>
      </c>
      <c r="W1112" s="13">
        <f t="shared" si="1095"/>
        <v>-4.8999999999999998E-3</v>
      </c>
      <c r="X1112" s="13">
        <f t="shared" si="1096"/>
        <v>1.700000000000001E-3</v>
      </c>
      <c r="Y1112">
        <f t="shared" si="1088"/>
        <v>81.3</v>
      </c>
      <c r="Z1112" s="13">
        <f t="shared" si="1083"/>
        <v>-4.8999999999999998E-3</v>
      </c>
      <c r="AA1112" s="13">
        <f t="shared" si="1079"/>
        <v>1.3500000000000002E-2</v>
      </c>
      <c r="AB1112" s="6">
        <f t="shared" si="1089"/>
        <v>90.117000000000004</v>
      </c>
      <c r="AC1112">
        <f t="shared" si="1081"/>
        <v>45</v>
      </c>
      <c r="AD1112" s="11">
        <f t="shared" si="1082"/>
        <v>1</v>
      </c>
      <c r="AE1112">
        <f t="shared" si="1080"/>
        <v>29</v>
      </c>
      <c r="AF1112">
        <f>IF(AND(AE1112&lt;15,OR(AC1112&gt;=30,AA1112&gt;0.15,X1112&gt;=0.15)),2,VLOOKUP(AE1112,Table!P:Q,2,FALSE))</f>
        <v>4</v>
      </c>
      <c r="AG1112" s="22">
        <f>IF((AB1112*0.98)-(D1112*0.8)+((AF1112-3)*3)+VLOOKUP(AM1112,Table!$A$11:$B$13,2,FALSE)&lt;0,0,(AB1112*0.98)-(D1112*0.8)+((AF1112-3)*3)+VLOOKUP(AM1112,Table!$A$11:$B$13,2,FALSE))</f>
        <v>85.306659999999994</v>
      </c>
      <c r="AH1112" s="22">
        <f t="shared" si="1111"/>
        <v>86</v>
      </c>
      <c r="AI1112" s="18">
        <f t="shared" si="1104"/>
        <v>5.1100000000000003</v>
      </c>
      <c r="AJ1112" s="18">
        <f t="shared" si="1105"/>
        <v>5.05</v>
      </c>
      <c r="AK1112" t="str">
        <f t="shared" si="1090"/>
        <v/>
      </c>
      <c r="AL1112">
        <f t="shared" si="1101"/>
        <v>29.75</v>
      </c>
      <c r="AM1112" s="11" t="str">
        <f t="shared" si="1091"/>
        <v>Stocks</v>
      </c>
      <c r="AN1112" t="str">
        <f t="shared" si="1097"/>
        <v>Buy</v>
      </c>
      <c r="AO1112" s="13">
        <f t="shared" si="1098"/>
        <v>6.0000000000000001E-3</v>
      </c>
      <c r="AP1112" s="13">
        <f t="shared" si="1099"/>
        <v>1E-3</v>
      </c>
      <c r="AQ1112" s="13">
        <f t="shared" si="1100"/>
        <v>5.3E-3</v>
      </c>
      <c r="AR1112" s="13">
        <f t="shared" si="1092"/>
        <v>6.0000000000000001E-3</v>
      </c>
      <c r="AS1112" s="6">
        <f t="shared" si="1084"/>
        <v>205.36449269545943</v>
      </c>
      <c r="AT1112" s="6">
        <f t="shared" si="1085"/>
        <v>124.86990382153969</v>
      </c>
      <c r="AU1112" s="6">
        <f t="shared" si="1086"/>
        <v>198.807713454088</v>
      </c>
      <c r="AV1112" s="6">
        <f t="shared" si="1087"/>
        <v>205.36449269545943</v>
      </c>
      <c r="AW1112" s="58">
        <f t="shared" si="1093"/>
        <v>1997</v>
      </c>
      <c r="AX1112" s="58">
        <f>COUNTIF(AW$3:AW1112,AW1112)</f>
        <v>34</v>
      </c>
    </row>
    <row r="1113" spans="1:50" x14ac:dyDescent="0.25">
      <c r="A1113" s="5">
        <v>35554</v>
      </c>
      <c r="B1113">
        <v>812.97</v>
      </c>
      <c r="C1113">
        <v>5.15</v>
      </c>
      <c r="D1113" s="6">
        <v>21.15</v>
      </c>
      <c r="E1113" s="18">
        <f t="shared" si="1106"/>
        <v>19.89</v>
      </c>
      <c r="F1113">
        <f t="shared" si="1107"/>
        <v>-1</v>
      </c>
      <c r="G1113" s="18">
        <f>ROUND(INDEX(Valuation!U:U,MATCH(A1113,Valuation!A:A,0)),2)</f>
        <v>129.85</v>
      </c>
      <c r="H1113">
        <f t="shared" si="1078"/>
        <v>1</v>
      </c>
      <c r="I1113" s="18">
        <f>INDEX(WeeklyIndicators!Y:Y,MATCH(A1113,WeeklyIndicators!A:A,0))</f>
        <v>121.96</v>
      </c>
      <c r="J1113">
        <f t="shared" si="1103"/>
        <v>0</v>
      </c>
      <c r="K1113">
        <f>ROUND(INDEX(Economic!AF:AF,MATCH(EOMONTH($A1113,-1),Economic!A:A,0)),2)</f>
        <v>137.38</v>
      </c>
      <c r="L1113" s="11">
        <f t="shared" si="1112"/>
        <v>2</v>
      </c>
      <c r="M1113">
        <f>ROUND(INDEX(Manufacturing!P:P,MATCH(EOMONTH($A1113,-1),Manufacturing!A:A,0)),2)</f>
        <v>106.76</v>
      </c>
      <c r="N1113">
        <f t="shared" si="1108"/>
        <v>2</v>
      </c>
      <c r="O1113">
        <f>ROUND(INDEX(Housing!AC:AC,MATCH(EOMONTH($A1113,-1),Housing!B:B,0)),2)</f>
        <v>105.83</v>
      </c>
      <c r="P1113">
        <f t="shared" si="1109"/>
        <v>0</v>
      </c>
      <c r="Q1113">
        <f>ROUND(INDEX(Spending!AJ:AJ,MATCH(EOMONTH($A1113,-1),Spending!B:B,0)),2)</f>
        <v>57.51</v>
      </c>
      <c r="R1113">
        <f t="shared" si="1113"/>
        <v>1</v>
      </c>
      <c r="S1113">
        <f>ROUND(INDEX(Employment!V:V,MATCH(EOMONTH($A1113,-1),Employment!A:A,0)),2)</f>
        <v>187.46</v>
      </c>
      <c r="T1113" s="11">
        <f t="shared" si="1110"/>
        <v>2</v>
      </c>
      <c r="U1113">
        <f t="shared" si="1102"/>
        <v>27</v>
      </c>
      <c r="V1113">
        <f t="shared" si="1094"/>
        <v>80.62</v>
      </c>
      <c r="W1113" s="13">
        <f t="shared" si="1095"/>
        <v>5.0000000000000001E-4</v>
      </c>
      <c r="X1113" s="13">
        <f t="shared" si="1096"/>
        <v>9.7000000000000003E-3</v>
      </c>
      <c r="Y1113">
        <f t="shared" si="1088"/>
        <v>82.47</v>
      </c>
      <c r="Z1113" s="13">
        <f t="shared" si="1083"/>
        <v>1.9E-3</v>
      </c>
      <c r="AA1113" s="13">
        <f t="shared" si="1079"/>
        <v>2.5899999999999999E-2</v>
      </c>
      <c r="AB1113" s="6">
        <f t="shared" si="1089"/>
        <v>92.474999999999994</v>
      </c>
      <c r="AC1113">
        <f t="shared" si="1081"/>
        <v>46</v>
      </c>
      <c r="AD1113" s="11">
        <f t="shared" si="1082"/>
        <v>1</v>
      </c>
      <c r="AE1113">
        <f t="shared" si="1080"/>
        <v>30</v>
      </c>
      <c r="AF1113">
        <f>IF(AND(AE1113&lt;15,OR(AC1113&gt;=30,AA1113&gt;0.15,X1113&gt;=0.15)),2,VLOOKUP(AE1113,Table!P:Q,2,FALSE))</f>
        <v>4</v>
      </c>
      <c r="AG1113" s="22">
        <f>IF((AB1113*0.98)-(D1113*0.8)+((AF1113-3)*3)+VLOOKUP(AM1113,Table!$A$11:$B$13,2,FALSE)&lt;0,0,(AB1113*0.98)-(D1113*0.8)+((AF1113-3)*3)+VLOOKUP(AM1113,Table!$A$11:$B$13,2,FALSE))</f>
        <v>84.705499999999986</v>
      </c>
      <c r="AH1113" s="22">
        <f t="shared" si="1111"/>
        <v>85</v>
      </c>
      <c r="AI1113" s="18">
        <f t="shared" si="1104"/>
        <v>5.1100000000000003</v>
      </c>
      <c r="AJ1113" s="18">
        <f t="shared" si="1105"/>
        <v>5.05</v>
      </c>
      <c r="AK1113" t="str">
        <f t="shared" si="1090"/>
        <v/>
      </c>
      <c r="AL1113">
        <f t="shared" si="1101"/>
        <v>30</v>
      </c>
      <c r="AM1113" s="11" t="str">
        <f t="shared" si="1091"/>
        <v>Stocks</v>
      </c>
      <c r="AN1113" t="str">
        <f t="shared" si="1097"/>
        <v>Buy</v>
      </c>
      <c r="AO1113" s="13">
        <f t="shared" si="1098"/>
        <v>1.4500000000000001E-2</v>
      </c>
      <c r="AP1113" s="13">
        <f t="shared" si="1099"/>
        <v>1E-3</v>
      </c>
      <c r="AQ1113" s="13">
        <f t="shared" si="1100"/>
        <v>1.2500000000000001E-2</v>
      </c>
      <c r="AR1113" s="13">
        <f t="shared" si="1092"/>
        <v>1.4500000000000001E-2</v>
      </c>
      <c r="AS1113" s="6">
        <f t="shared" si="1084"/>
        <v>202.4292683050364</v>
      </c>
      <c r="AT1113" s="6">
        <f t="shared" si="1085"/>
        <v>124.74515866287683</v>
      </c>
      <c r="AU1113" s="6">
        <f t="shared" si="1086"/>
        <v>196.35329723860545</v>
      </c>
      <c r="AV1113" s="6">
        <f t="shared" si="1087"/>
        <v>202.4292683050364</v>
      </c>
      <c r="AW1113" s="58">
        <f t="shared" si="1093"/>
        <v>1997</v>
      </c>
      <c r="AX1113" s="58">
        <f>COUNTIF(AW$3:AW1113,AW1113)</f>
        <v>35</v>
      </c>
    </row>
    <row r="1114" spans="1:50" x14ac:dyDescent="0.25">
      <c r="A1114" s="5">
        <v>35547</v>
      </c>
      <c r="B1114">
        <v>765.37</v>
      </c>
      <c r="C1114">
        <v>5.19</v>
      </c>
      <c r="D1114" s="6">
        <v>18.75</v>
      </c>
      <c r="E1114" s="18">
        <f t="shared" si="1106"/>
        <v>19.25</v>
      </c>
      <c r="F1114">
        <f t="shared" si="1107"/>
        <v>-1</v>
      </c>
      <c r="G1114" s="18">
        <f>ROUND(INDEX(Valuation!U:U,MATCH(A1114,Valuation!A:A,0)),2)</f>
        <v>131.35</v>
      </c>
      <c r="H1114">
        <f t="shared" si="1078"/>
        <v>1</v>
      </c>
      <c r="I1114" s="18">
        <f>INDEX(WeeklyIndicators!Y:Y,MATCH(A1114,WeeklyIndicators!A:A,0))</f>
        <v>131.44</v>
      </c>
      <c r="J1114">
        <f t="shared" si="1103"/>
        <v>0</v>
      </c>
      <c r="K1114">
        <f>ROUND(INDEX(Economic!AF:AF,MATCH(EOMONTH($A1114,-1),Economic!A:A,0)),2)</f>
        <v>132.28</v>
      </c>
      <c r="L1114" s="11">
        <f t="shared" si="1112"/>
        <v>2</v>
      </c>
      <c r="M1114">
        <f>ROUND(INDEX(Manufacturing!P:P,MATCH(EOMONTH($A1114,-1),Manufacturing!A:A,0)),2)</f>
        <v>105.31</v>
      </c>
      <c r="N1114">
        <f t="shared" si="1108"/>
        <v>2</v>
      </c>
      <c r="O1114">
        <f>ROUND(INDEX(Housing!AC:AC,MATCH(EOMONTH($A1114,-1),Housing!B:B,0)),2)</f>
        <v>104.08</v>
      </c>
      <c r="P1114">
        <f t="shared" si="1109"/>
        <v>0</v>
      </c>
      <c r="Q1114">
        <f>ROUND(INDEX(Spending!AJ:AJ,MATCH(EOMONTH($A1114,-1),Spending!B:B,0)),2)</f>
        <v>56.87</v>
      </c>
      <c r="R1114">
        <f t="shared" si="1113"/>
        <v>1</v>
      </c>
      <c r="S1114">
        <f>ROUND(INDEX(Employment!V:V,MATCH(EOMONTH($A1114,-1),Employment!A:A,0)),2)</f>
        <v>184.64</v>
      </c>
      <c r="T1114" s="11">
        <f t="shared" si="1110"/>
        <v>2</v>
      </c>
      <c r="U1114">
        <f t="shared" si="1102"/>
        <v>27</v>
      </c>
      <c r="V1114">
        <f t="shared" si="1094"/>
        <v>80.27</v>
      </c>
      <c r="W1114" s="13">
        <f t="shared" si="1095"/>
        <v>-2.0000000000000001E-4</v>
      </c>
      <c r="X1114" s="13">
        <f t="shared" si="1096"/>
        <v>7.4999999999999997E-3</v>
      </c>
      <c r="Y1114">
        <f t="shared" si="1088"/>
        <v>82.51</v>
      </c>
      <c r="Z1114" s="13">
        <f t="shared" si="1083"/>
        <v>5.4000000000000003E-3</v>
      </c>
      <c r="AA1114" s="13">
        <f t="shared" si="1079"/>
        <v>2.47E-2</v>
      </c>
      <c r="AB1114" s="6">
        <f t="shared" si="1089"/>
        <v>92.555000000000007</v>
      </c>
      <c r="AC1114">
        <f t="shared" si="1081"/>
        <v>46</v>
      </c>
      <c r="AD1114" s="11">
        <f t="shared" si="1082"/>
        <v>1</v>
      </c>
      <c r="AE1114">
        <f t="shared" si="1080"/>
        <v>30</v>
      </c>
      <c r="AF1114">
        <f>IF(AND(AE1114&lt;15,OR(AC1114&gt;=30,AA1114&gt;0.15,X1114&gt;=0.15)),2,VLOOKUP(AE1114,Table!P:Q,2,FALSE))</f>
        <v>4</v>
      </c>
      <c r="AG1114" s="22">
        <f>IF((AB1114*0.98)-(D1114*0.8)+((AF1114-3)*3)+VLOOKUP(AM1114,Table!$A$11:$B$13,2,FALSE)&lt;0,0,(AB1114*0.98)-(D1114*0.8)+((AF1114-3)*3)+VLOOKUP(AM1114,Table!$A$11:$B$13,2,FALSE))</f>
        <v>86.703900000000004</v>
      </c>
      <c r="AH1114" s="22">
        <f t="shared" si="1111"/>
        <v>85</v>
      </c>
      <c r="AI1114" s="18">
        <f t="shared" si="1104"/>
        <v>5.0999999999999996</v>
      </c>
      <c r="AJ1114" s="18">
        <f t="shared" si="1105"/>
        <v>5.05</v>
      </c>
      <c r="AK1114" t="str">
        <f t="shared" si="1090"/>
        <v/>
      </c>
      <c r="AL1114">
        <f t="shared" si="1101"/>
        <v>30</v>
      </c>
      <c r="AM1114" s="11" t="str">
        <f t="shared" si="1091"/>
        <v>Stocks</v>
      </c>
      <c r="AN1114" t="str">
        <f t="shared" si="1097"/>
        <v>Buy</v>
      </c>
      <c r="AO1114" s="13">
        <f t="shared" si="1098"/>
        <v>6.2199999999999998E-2</v>
      </c>
      <c r="AP1114" s="13">
        <f t="shared" si="1099"/>
        <v>1E-3</v>
      </c>
      <c r="AQ1114" s="13">
        <f t="shared" si="1100"/>
        <v>5.2999999999999999E-2</v>
      </c>
      <c r="AR1114" s="13">
        <f t="shared" si="1092"/>
        <v>6.2199999999999998E-2</v>
      </c>
      <c r="AS1114" s="6">
        <f t="shared" si="1084"/>
        <v>190.57547383264583</v>
      </c>
      <c r="AT1114" s="6">
        <f t="shared" si="1085"/>
        <v>124.62053812475209</v>
      </c>
      <c r="AU1114" s="6">
        <f t="shared" si="1086"/>
        <v>186.47036774796339</v>
      </c>
      <c r="AV1114" s="6">
        <f t="shared" si="1087"/>
        <v>190.57547383264583</v>
      </c>
      <c r="AW1114" s="58">
        <f t="shared" si="1093"/>
        <v>1997</v>
      </c>
      <c r="AX1114" s="58">
        <f>COUNTIF(AW$3:AW1114,AW1114)</f>
        <v>36</v>
      </c>
    </row>
    <row r="1115" spans="1:50" x14ac:dyDescent="0.25">
      <c r="A1115" s="5">
        <v>35540</v>
      </c>
      <c r="B1115">
        <v>766.34</v>
      </c>
      <c r="C1115">
        <v>5.16</v>
      </c>
      <c r="D1115" s="6">
        <v>19.760000000000002</v>
      </c>
      <c r="E1115" s="18">
        <f t="shared" si="1106"/>
        <v>19.829999999999998</v>
      </c>
      <c r="F1115">
        <f t="shared" si="1107"/>
        <v>-1</v>
      </c>
      <c r="G1115" s="18">
        <f>ROUND(INDEX(Valuation!U:U,MATCH(A1115,Valuation!A:A,0)),2)</f>
        <v>130.05000000000001</v>
      </c>
      <c r="H1115">
        <f t="shared" si="1078"/>
        <v>1</v>
      </c>
      <c r="I1115" s="18">
        <f>INDEX(WeeklyIndicators!Y:Y,MATCH(A1115,WeeklyIndicators!A:A,0))</f>
        <v>134.87</v>
      </c>
      <c r="J1115">
        <f t="shared" si="1103"/>
        <v>0</v>
      </c>
      <c r="K1115">
        <f>ROUND(INDEX(Economic!AF:AF,MATCH(EOMONTH($A1115,-1),Economic!A:A,0)),2)</f>
        <v>132.28</v>
      </c>
      <c r="L1115" s="11">
        <f t="shared" si="1112"/>
        <v>2</v>
      </c>
      <c r="M1115">
        <f>ROUND(INDEX(Manufacturing!P:P,MATCH(EOMONTH($A1115,-1),Manufacturing!A:A,0)),2)</f>
        <v>105.31</v>
      </c>
      <c r="N1115">
        <f t="shared" si="1108"/>
        <v>2</v>
      </c>
      <c r="O1115">
        <f>ROUND(INDEX(Housing!AC:AC,MATCH(EOMONTH($A1115,-1),Housing!B:B,0)),2)</f>
        <v>104.08</v>
      </c>
      <c r="P1115">
        <f t="shared" si="1109"/>
        <v>0</v>
      </c>
      <c r="Q1115">
        <f>ROUND(INDEX(Spending!AJ:AJ,MATCH(EOMONTH($A1115,-1),Spending!B:B,0)),2)</f>
        <v>56.87</v>
      </c>
      <c r="R1115">
        <f t="shared" si="1113"/>
        <v>1</v>
      </c>
      <c r="S1115">
        <f>ROUND(INDEX(Employment!V:V,MATCH(EOMONTH($A1115,-1),Employment!A:A,0)),2)</f>
        <v>184.64</v>
      </c>
      <c r="T1115" s="11">
        <f t="shared" si="1110"/>
        <v>2</v>
      </c>
      <c r="U1115">
        <f t="shared" si="1102"/>
        <v>27</v>
      </c>
      <c r="V1115">
        <f t="shared" si="1094"/>
        <v>80.63</v>
      </c>
      <c r="W1115" s="13">
        <f t="shared" si="1095"/>
        <v>6.3E-3</v>
      </c>
      <c r="X1115" s="13">
        <f t="shared" si="1096"/>
        <v>-2.5999999999999999E-3</v>
      </c>
      <c r="Y1115">
        <f t="shared" si="1088"/>
        <v>82.52</v>
      </c>
      <c r="Z1115" s="13">
        <f t="shared" si="1083"/>
        <v>1.11E-2</v>
      </c>
      <c r="AA1115" s="13">
        <f t="shared" si="1079"/>
        <v>1.0899999999999998E-2</v>
      </c>
      <c r="AB1115" s="6">
        <f t="shared" si="1089"/>
        <v>91.414999999999992</v>
      </c>
      <c r="AC1115">
        <f t="shared" si="1081"/>
        <v>46</v>
      </c>
      <c r="AD1115" s="11">
        <f t="shared" si="1082"/>
        <v>1</v>
      </c>
      <c r="AE1115">
        <f t="shared" si="1080"/>
        <v>30</v>
      </c>
      <c r="AF1115">
        <f>IF(AND(AE1115&lt;15,OR(AC1115&gt;=30,AA1115&gt;0.15,X1115&gt;=0.15)),2,VLOOKUP(AE1115,Table!P:Q,2,FALSE))</f>
        <v>4</v>
      </c>
      <c r="AG1115" s="22">
        <f>IF((AB1115*0.98)-(D1115*0.8)+((AF1115-3)*3)+VLOOKUP(AM1115,Table!$A$11:$B$13,2,FALSE)&lt;0,0,(AB1115*0.98)-(D1115*0.8)+((AF1115-3)*3)+VLOOKUP(AM1115,Table!$A$11:$B$13,2,FALSE))</f>
        <v>84.778699999999986</v>
      </c>
      <c r="AH1115" s="22">
        <f t="shared" si="1111"/>
        <v>82</v>
      </c>
      <c r="AI1115" s="18">
        <f t="shared" si="1104"/>
        <v>5.09</v>
      </c>
      <c r="AJ1115" s="18">
        <f t="shared" si="1105"/>
        <v>5.05</v>
      </c>
      <c r="AK1115" t="str">
        <f t="shared" si="1090"/>
        <v/>
      </c>
      <c r="AL1115">
        <f t="shared" si="1101"/>
        <v>29.5</v>
      </c>
      <c r="AM1115" s="11" t="str">
        <f t="shared" si="1091"/>
        <v>Stocks</v>
      </c>
      <c r="AN1115" t="str">
        <f t="shared" si="1097"/>
        <v>Buy</v>
      </c>
      <c r="AO1115" s="13">
        <f t="shared" si="1098"/>
        <v>-1.2999999999999999E-3</v>
      </c>
      <c r="AP1115" s="13">
        <f t="shared" si="1099"/>
        <v>1E-3</v>
      </c>
      <c r="AQ1115" s="13">
        <f t="shared" si="1100"/>
        <v>-8.9999999999999998E-4</v>
      </c>
      <c r="AR1115" s="13">
        <f t="shared" si="1092"/>
        <v>-1.2999999999999999E-3</v>
      </c>
      <c r="AS1115" s="6">
        <f t="shared" si="1084"/>
        <v>190.82354444041837</v>
      </c>
      <c r="AT1115" s="6">
        <f t="shared" si="1085"/>
        <v>124.49604208266943</v>
      </c>
      <c r="AU1115" s="6">
        <f t="shared" si="1086"/>
        <v>186.63834225599379</v>
      </c>
      <c r="AV1115" s="6">
        <f t="shared" si="1087"/>
        <v>190.82354444041837</v>
      </c>
      <c r="AW1115" s="58">
        <f t="shared" si="1093"/>
        <v>1997</v>
      </c>
      <c r="AX1115" s="58">
        <f>COUNTIF(AW$3:AW1115,AW1115)</f>
        <v>37</v>
      </c>
    </row>
    <row r="1116" spans="1:50" x14ac:dyDescent="0.25">
      <c r="A1116" s="5">
        <v>35533</v>
      </c>
      <c r="B1116">
        <v>737.65</v>
      </c>
      <c r="C1116">
        <v>5.14</v>
      </c>
      <c r="D1116" s="6">
        <v>19.23</v>
      </c>
      <c r="E1116" s="18">
        <f t="shared" si="1106"/>
        <v>19.809999999999999</v>
      </c>
      <c r="F1116">
        <f t="shared" si="1107"/>
        <v>-1</v>
      </c>
      <c r="G1116" s="18">
        <f>ROUND(INDEX(Valuation!U:U,MATCH(A1116,Valuation!A:A,0)),2)</f>
        <v>126.21</v>
      </c>
      <c r="H1116">
        <f t="shared" ref="H1116:H1179" si="1114">IF(G1116&gt;200,3,IF(AND(G1116&gt;160,G1116&lt;=200),2,IF(AND(G1116&gt;120,G1116&lt;=160),1,IF(G1116&lt;25,-3,IF(AND(G1116&lt;50,G1116&gt;=25),-2,IF(AND(G1116&lt;90,G1116&gt;=50),-1,0))))))</f>
        <v>1</v>
      </c>
      <c r="I1116" s="18">
        <f>INDEX(WeeklyIndicators!Y:Y,MATCH(A1116,WeeklyIndicators!A:A,0))</f>
        <v>133.76</v>
      </c>
      <c r="J1116">
        <f t="shared" si="1103"/>
        <v>0</v>
      </c>
      <c r="K1116">
        <f>ROUND(INDEX(Economic!AF:AF,MATCH(EOMONTH($A1116,-1),Economic!A:A,0)),2)</f>
        <v>132.28</v>
      </c>
      <c r="L1116" s="11">
        <f t="shared" si="1112"/>
        <v>2</v>
      </c>
      <c r="M1116">
        <f>ROUND(INDEX(Manufacturing!P:P,MATCH(EOMONTH($A1116,-1),Manufacturing!A:A,0)),2)</f>
        <v>105.31</v>
      </c>
      <c r="N1116">
        <f t="shared" si="1108"/>
        <v>2</v>
      </c>
      <c r="O1116">
        <f>ROUND(INDEX(Housing!AC:AC,MATCH(EOMONTH($A1116,-1),Housing!B:B,0)),2)</f>
        <v>104.08</v>
      </c>
      <c r="P1116">
        <f t="shared" si="1109"/>
        <v>0</v>
      </c>
      <c r="Q1116">
        <f>ROUND(INDEX(Spending!AJ:AJ,MATCH(EOMONTH($A1116,-1),Spending!B:B,0)),2)</f>
        <v>56.87</v>
      </c>
      <c r="R1116">
        <f t="shared" si="1113"/>
        <v>1</v>
      </c>
      <c r="S1116">
        <f>ROUND(INDEX(Employment!V:V,MATCH(EOMONTH($A1116,-1),Employment!A:A,0)),2)</f>
        <v>184.64</v>
      </c>
      <c r="T1116" s="11">
        <f t="shared" si="1110"/>
        <v>2</v>
      </c>
      <c r="U1116">
        <f t="shared" si="1102"/>
        <v>27</v>
      </c>
      <c r="V1116">
        <f t="shared" si="1094"/>
        <v>80.510000000000005</v>
      </c>
      <c r="W1116" s="13">
        <f t="shared" si="1095"/>
        <v>3.0999999999999999E-3</v>
      </c>
      <c r="X1116" s="13">
        <f t="shared" si="1096"/>
        <v>-1.7500000000000002E-2</v>
      </c>
      <c r="Y1116">
        <f t="shared" si="1088"/>
        <v>81.99</v>
      </c>
      <c r="Z1116" s="13">
        <f t="shared" si="1083"/>
        <v>7.4999999999999997E-3</v>
      </c>
      <c r="AA1116" s="13">
        <f t="shared" si="1079"/>
        <v>-9.0000000000000011E-3</v>
      </c>
      <c r="AB1116" s="6">
        <f t="shared" si="1089"/>
        <v>89.021000000000001</v>
      </c>
      <c r="AC1116">
        <f t="shared" si="1081"/>
        <v>45</v>
      </c>
      <c r="AD1116" s="11">
        <f t="shared" si="1082"/>
        <v>1</v>
      </c>
      <c r="AE1116">
        <f t="shared" si="1080"/>
        <v>30</v>
      </c>
      <c r="AF1116">
        <f>IF(AND(AE1116&lt;15,OR(AC1116&gt;=30,AA1116&gt;0.15,X1116&gt;=0.15)),2,VLOOKUP(AE1116,Table!P:Q,2,FALSE))</f>
        <v>4</v>
      </c>
      <c r="AG1116" s="22">
        <f>IF((AB1116*0.98)-(D1116*0.8)+((AF1116-3)*3)+VLOOKUP(AM1116,Table!$A$11:$B$13,2,FALSE)&lt;0,0,(AB1116*0.98)-(D1116*0.8)+((AF1116-3)*3)+VLOOKUP(AM1116,Table!$A$11:$B$13,2,FALSE))</f>
        <v>82.856579999999994</v>
      </c>
      <c r="AH1116" s="22">
        <f t="shared" si="1111"/>
        <v>81</v>
      </c>
      <c r="AI1116" s="18">
        <f t="shared" si="1104"/>
        <v>5.08</v>
      </c>
      <c r="AJ1116" s="18">
        <f t="shared" si="1105"/>
        <v>5.05</v>
      </c>
      <c r="AK1116" t="str">
        <f t="shared" si="1090"/>
        <v/>
      </c>
      <c r="AL1116">
        <f t="shared" si="1101"/>
        <v>29.25</v>
      </c>
      <c r="AM1116" s="11" t="str">
        <f t="shared" si="1091"/>
        <v>Stocks</v>
      </c>
      <c r="AN1116" t="str">
        <f t="shared" si="1097"/>
        <v>Buy</v>
      </c>
      <c r="AO1116" s="13">
        <f t="shared" si="1098"/>
        <v>3.8899999999999997E-2</v>
      </c>
      <c r="AP1116" s="13">
        <f t="shared" si="1099"/>
        <v>1E-3</v>
      </c>
      <c r="AQ1116" s="13">
        <f t="shared" si="1100"/>
        <v>3.1699999999999999E-2</v>
      </c>
      <c r="AR1116" s="13">
        <f t="shared" si="1092"/>
        <v>3.8899999999999997E-2</v>
      </c>
      <c r="AS1116" s="6">
        <f t="shared" si="1084"/>
        <v>183.67845263299489</v>
      </c>
      <c r="AT1116" s="6">
        <f t="shared" si="1085"/>
        <v>124.37167041225719</v>
      </c>
      <c r="AU1116" s="6">
        <f t="shared" si="1086"/>
        <v>180.90369512066857</v>
      </c>
      <c r="AV1116" s="6">
        <f t="shared" si="1087"/>
        <v>183.67845263299489</v>
      </c>
      <c r="AW1116" s="58">
        <f t="shared" si="1093"/>
        <v>1997</v>
      </c>
      <c r="AX1116" s="58">
        <f>COUNTIF(AW$3:AW1116,AW1116)</f>
        <v>38</v>
      </c>
    </row>
    <row r="1117" spans="1:50" x14ac:dyDescent="0.25">
      <c r="A1117" s="5">
        <v>35526</v>
      </c>
      <c r="B1117">
        <v>757.9</v>
      </c>
      <c r="C1117">
        <v>5.17</v>
      </c>
      <c r="D1117" s="6">
        <v>20.5</v>
      </c>
      <c r="E1117" s="18">
        <f t="shared" si="1106"/>
        <v>20</v>
      </c>
      <c r="F1117">
        <f t="shared" si="1107"/>
        <v>-1</v>
      </c>
      <c r="G1117" s="18">
        <f>ROUND(INDEX(Valuation!U:U,MATCH(A1117,Valuation!A:A,0)),2)</f>
        <v>121.34</v>
      </c>
      <c r="H1117">
        <f t="shared" si="1114"/>
        <v>1</v>
      </c>
      <c r="I1117" s="18">
        <f>INDEX(WeeklyIndicators!Y:Y,MATCH(A1117,WeeklyIndicators!A:A,0))</f>
        <v>131.88999999999999</v>
      </c>
      <c r="J1117">
        <f t="shared" si="1103"/>
        <v>0</v>
      </c>
      <c r="K1117">
        <f>ROUND(INDEX(Economic!AF:AF,MATCH(EOMONTH($A1117,-1),Economic!A:A,0)),2)</f>
        <v>132.28</v>
      </c>
      <c r="L1117" s="11">
        <f t="shared" si="1112"/>
        <v>2</v>
      </c>
      <c r="M1117">
        <f>ROUND(INDEX(Manufacturing!P:P,MATCH(EOMONTH($A1117,-1),Manufacturing!A:A,0)),2)</f>
        <v>105.31</v>
      </c>
      <c r="N1117">
        <f t="shared" si="1108"/>
        <v>2</v>
      </c>
      <c r="O1117">
        <f>ROUND(INDEX(Housing!AC:AC,MATCH(EOMONTH($A1117,-1),Housing!B:B,0)),2)</f>
        <v>104.08</v>
      </c>
      <c r="P1117">
        <f t="shared" si="1109"/>
        <v>0</v>
      </c>
      <c r="Q1117">
        <f>ROUND(INDEX(Spending!AJ:AJ,MATCH(EOMONTH($A1117,-1),Spending!B:B,0)),2)</f>
        <v>56.87</v>
      </c>
      <c r="R1117">
        <f t="shared" si="1113"/>
        <v>1</v>
      </c>
      <c r="S1117">
        <f>ROUND(INDEX(Employment!V:V,MATCH(EOMONTH($A1117,-1),Employment!A:A,0)),2)</f>
        <v>184.64</v>
      </c>
      <c r="T1117" s="11">
        <f t="shared" si="1110"/>
        <v>2</v>
      </c>
      <c r="U1117">
        <f t="shared" si="1102"/>
        <v>27</v>
      </c>
      <c r="V1117">
        <f t="shared" si="1094"/>
        <v>80.319999999999993</v>
      </c>
      <c r="W1117" s="13">
        <f t="shared" si="1095"/>
        <v>-1.6999999999999999E-3</v>
      </c>
      <c r="X1117" s="13">
        <f t="shared" si="1096"/>
        <v>-2.1999999999999999E-2</v>
      </c>
      <c r="Y1117">
        <f t="shared" si="1088"/>
        <v>81.19</v>
      </c>
      <c r="Z1117" s="13">
        <f t="shared" si="1083"/>
        <v>6.9999999999999999E-4</v>
      </c>
      <c r="AA1117" s="13">
        <f t="shared" si="1079"/>
        <v>-1.9300000000000001E-2</v>
      </c>
      <c r="AB1117" s="6">
        <f t="shared" si="1089"/>
        <v>86.983999999999995</v>
      </c>
      <c r="AC1117">
        <f t="shared" si="1081"/>
        <v>43</v>
      </c>
      <c r="AD1117" s="11">
        <f t="shared" si="1082"/>
        <v>1</v>
      </c>
      <c r="AE1117">
        <f t="shared" si="1080"/>
        <v>30</v>
      </c>
      <c r="AF1117">
        <f>IF(AND(AE1117&lt;15,OR(AC1117&gt;=30,AA1117&gt;0.15,X1117&gt;=0.15)),2,VLOOKUP(AE1117,Table!P:Q,2,FALSE))</f>
        <v>4</v>
      </c>
      <c r="AG1117" s="22">
        <f>IF((AB1117*0.98)-(D1117*0.8)+((AF1117-3)*3)+VLOOKUP(AM1117,Table!$A$11:$B$13,2,FALSE)&lt;0,0,(AB1117*0.98)-(D1117*0.8)+((AF1117-3)*3)+VLOOKUP(AM1117,Table!$A$11:$B$13,2,FALSE))</f>
        <v>79.844319999999982</v>
      </c>
      <c r="AH1117" s="22">
        <f t="shared" si="1111"/>
        <v>80</v>
      </c>
      <c r="AI1117" s="18">
        <f t="shared" si="1104"/>
        <v>5.07</v>
      </c>
      <c r="AJ1117" s="18">
        <f t="shared" si="1105"/>
        <v>5.05</v>
      </c>
      <c r="AK1117" t="str">
        <f t="shared" si="1090"/>
        <v/>
      </c>
      <c r="AL1117">
        <f t="shared" si="1101"/>
        <v>29</v>
      </c>
      <c r="AM1117" s="11" t="str">
        <f t="shared" si="1091"/>
        <v>Stocks</v>
      </c>
      <c r="AN1117" t="str">
        <f t="shared" si="1097"/>
        <v>Buy</v>
      </c>
      <c r="AO1117" s="13">
        <f t="shared" si="1098"/>
        <v>-2.6700000000000002E-2</v>
      </c>
      <c r="AP1117" s="13">
        <f t="shared" si="1099"/>
        <v>1E-3</v>
      </c>
      <c r="AQ1117" s="13">
        <f t="shared" si="1100"/>
        <v>-2.12E-2</v>
      </c>
      <c r="AR1117" s="13">
        <f t="shared" si="1092"/>
        <v>-2.6700000000000002E-2</v>
      </c>
      <c r="AS1117" s="6">
        <f t="shared" si="1084"/>
        <v>188.7172019243757</v>
      </c>
      <c r="AT1117" s="6">
        <f t="shared" si="1085"/>
        <v>124.24742298926793</v>
      </c>
      <c r="AU1117" s="6">
        <f t="shared" si="1086"/>
        <v>184.82191982087105</v>
      </c>
      <c r="AV1117" s="6">
        <f t="shared" si="1087"/>
        <v>188.7172019243757</v>
      </c>
      <c r="AW1117" s="58">
        <f t="shared" si="1093"/>
        <v>1997</v>
      </c>
      <c r="AX1117" s="58">
        <f>COUNTIF(AW$3:AW1117,AW1117)</f>
        <v>39</v>
      </c>
    </row>
    <row r="1118" spans="1:50" x14ac:dyDescent="0.25">
      <c r="A1118" s="5">
        <v>35519</v>
      </c>
      <c r="B1118">
        <v>773.88</v>
      </c>
      <c r="C1118">
        <v>5.25</v>
      </c>
      <c r="D1118" s="6">
        <v>19.690000999999999</v>
      </c>
      <c r="E1118" s="18">
        <f t="shared" si="1106"/>
        <v>19.61</v>
      </c>
      <c r="F1118">
        <f t="shared" si="1107"/>
        <v>-1</v>
      </c>
      <c r="G1118" s="18">
        <f>ROUND(INDEX(Valuation!U:U,MATCH(A1118,Valuation!A:A,0)),2)</f>
        <v>118.61</v>
      </c>
      <c r="H1118">
        <f t="shared" si="1114"/>
        <v>0</v>
      </c>
      <c r="I1118" s="18">
        <f>INDEX(WeeklyIndicators!Y:Y,MATCH(A1118,WeeklyIndicators!A:A,0))</f>
        <v>130.91999999999999</v>
      </c>
      <c r="J1118">
        <f t="shared" si="1103"/>
        <v>0</v>
      </c>
      <c r="K1118">
        <f>ROUND(INDEX(Economic!AF:AF,MATCH(EOMONTH($A1118,-1),Economic!A:A,0)),2)</f>
        <v>130.74</v>
      </c>
      <c r="L1118" s="11">
        <f t="shared" si="1112"/>
        <v>2</v>
      </c>
      <c r="M1118">
        <f>ROUND(INDEX(Manufacturing!P:P,MATCH(EOMONTH($A1118,-1),Manufacturing!A:A,0)),2)</f>
        <v>105.94</v>
      </c>
      <c r="N1118">
        <f t="shared" si="1108"/>
        <v>2</v>
      </c>
      <c r="O1118">
        <f>ROUND(INDEX(Housing!AC:AC,MATCH(EOMONTH($A1118,-1),Housing!B:B,0)),2)</f>
        <v>104.33</v>
      </c>
      <c r="P1118">
        <f t="shared" si="1109"/>
        <v>0</v>
      </c>
      <c r="Q1118">
        <f>ROUND(INDEX(Spending!AJ:AJ,MATCH(EOMONTH($A1118,-1),Spending!B:B,0)),2)</f>
        <v>55.39</v>
      </c>
      <c r="R1118">
        <f t="shared" si="1113"/>
        <v>1</v>
      </c>
      <c r="S1118">
        <f>ROUND(INDEX(Employment!V:V,MATCH(EOMONTH($A1118,-1),Employment!A:A,0)),2)</f>
        <v>174.61</v>
      </c>
      <c r="T1118" s="11">
        <f t="shared" si="1110"/>
        <v>1</v>
      </c>
      <c r="U1118">
        <f t="shared" si="1102"/>
        <v>25</v>
      </c>
      <c r="V1118">
        <f t="shared" si="1094"/>
        <v>79.13</v>
      </c>
      <c r="W1118" s="13">
        <f t="shared" si="1095"/>
        <v>-1.03E-2</v>
      </c>
      <c r="X1118" s="13">
        <f t="shared" si="1096"/>
        <v>-1.4799999999999999E-2</v>
      </c>
      <c r="Y1118">
        <f t="shared" si="1088"/>
        <v>79.83</v>
      </c>
      <c r="Z1118" s="13">
        <f t="shared" si="1083"/>
        <v>-8.3999999999999995E-3</v>
      </c>
      <c r="AA1118" s="13">
        <f t="shared" si="1079"/>
        <v>-1.6799999999999999E-2</v>
      </c>
      <c r="AB1118" s="6">
        <f t="shared" si="1089"/>
        <v>85.551000000000002</v>
      </c>
      <c r="AC1118">
        <f t="shared" si="1081"/>
        <v>43</v>
      </c>
      <c r="AD1118" s="11">
        <f t="shared" si="1082"/>
        <v>1</v>
      </c>
      <c r="AE1118">
        <f t="shared" si="1080"/>
        <v>28</v>
      </c>
      <c r="AF1118">
        <f>IF(AND(AE1118&lt;15,OR(AC1118&gt;=30,AA1118&gt;0.15,X1118&gt;=0.15)),2,VLOOKUP(AE1118,Table!P:Q,2,FALSE))</f>
        <v>4</v>
      </c>
      <c r="AG1118" s="22">
        <f>IF((AB1118*0.98)-(D1118*0.8)+((AF1118-3)*3)+VLOOKUP(AM1118,Table!$A$11:$B$13,2,FALSE)&lt;0,0,(AB1118*0.98)-(D1118*0.8)+((AF1118-3)*3)+VLOOKUP(AM1118,Table!$A$11:$B$13,2,FALSE))</f>
        <v>79.087979199999992</v>
      </c>
      <c r="AH1118" s="22">
        <f t="shared" si="1111"/>
        <v>81</v>
      </c>
      <c r="AI1118" s="18">
        <f t="shared" si="1104"/>
        <v>5.0599999999999996</v>
      </c>
      <c r="AJ1118" s="18">
        <f t="shared" si="1105"/>
        <v>5.04</v>
      </c>
      <c r="AK1118" t="str">
        <f t="shared" si="1090"/>
        <v>Rising Rates</v>
      </c>
      <c r="AL1118">
        <f t="shared" si="1101"/>
        <v>29</v>
      </c>
      <c r="AM1118" s="11" t="str">
        <f t="shared" si="1091"/>
        <v>Stocks</v>
      </c>
      <c r="AN1118" t="str">
        <f t="shared" si="1097"/>
        <v>Buy</v>
      </c>
      <c r="AO1118" s="13">
        <f t="shared" si="1098"/>
        <v>-2.06E-2</v>
      </c>
      <c r="AP1118" s="13">
        <f t="shared" si="1099"/>
        <v>1E-3</v>
      </c>
      <c r="AQ1118" s="13">
        <f t="shared" si="1100"/>
        <v>-1.6500000000000001E-2</v>
      </c>
      <c r="AR1118" s="13">
        <f t="shared" si="1092"/>
        <v>-2.06E-2</v>
      </c>
      <c r="AS1118" s="6">
        <f t="shared" si="1084"/>
        <v>192.6865447461463</v>
      </c>
      <c r="AT1118" s="6">
        <f t="shared" si="1085"/>
        <v>124.12329968957837</v>
      </c>
      <c r="AU1118" s="6">
        <f t="shared" si="1086"/>
        <v>187.92264343759129</v>
      </c>
      <c r="AV1118" s="6">
        <f t="shared" si="1087"/>
        <v>192.6865447461463</v>
      </c>
      <c r="AW1118" s="58">
        <f t="shared" si="1093"/>
        <v>1997</v>
      </c>
      <c r="AX1118" s="58">
        <f>COUNTIF(AW$3:AW1118,AW1118)</f>
        <v>40</v>
      </c>
    </row>
    <row r="1119" spans="1:50" x14ac:dyDescent="0.25">
      <c r="A1119" s="5">
        <v>35512</v>
      </c>
      <c r="B1119">
        <v>784.1</v>
      </c>
      <c r="C1119">
        <v>5.17</v>
      </c>
      <c r="D1119" s="6">
        <v>19.809999000000001</v>
      </c>
      <c r="E1119" s="18">
        <f t="shared" si="1106"/>
        <v>20.079999999999998</v>
      </c>
      <c r="F1119">
        <f t="shared" si="1107"/>
        <v>-1</v>
      </c>
      <c r="G1119" s="18">
        <f>ROUND(INDEX(Valuation!U:U,MATCH(A1119,Valuation!A:A,0)),2)</f>
        <v>117.58</v>
      </c>
      <c r="H1119">
        <f t="shared" si="1114"/>
        <v>0</v>
      </c>
      <c r="I1119" s="18">
        <f>INDEX(WeeklyIndicators!Y:Y,MATCH(A1119,WeeklyIndicators!A:A,0))</f>
        <v>137.09</v>
      </c>
      <c r="J1119">
        <f t="shared" si="1103"/>
        <v>1</v>
      </c>
      <c r="K1119">
        <f>ROUND(INDEX(Economic!AF:AF,MATCH(EOMONTH($A1119,-1),Economic!A:A,0)),2)</f>
        <v>130.74</v>
      </c>
      <c r="L1119" s="11">
        <f t="shared" si="1112"/>
        <v>2</v>
      </c>
      <c r="M1119">
        <f>ROUND(INDEX(Manufacturing!P:P,MATCH(EOMONTH($A1119,-1),Manufacturing!A:A,0)),2)</f>
        <v>105.94</v>
      </c>
      <c r="N1119">
        <f t="shared" si="1108"/>
        <v>2</v>
      </c>
      <c r="O1119">
        <f>ROUND(INDEX(Housing!AC:AC,MATCH(EOMONTH($A1119,-1),Housing!B:B,0)),2)</f>
        <v>104.33</v>
      </c>
      <c r="P1119">
        <f t="shared" si="1109"/>
        <v>0</v>
      </c>
      <c r="Q1119">
        <f>ROUND(INDEX(Spending!AJ:AJ,MATCH(EOMONTH($A1119,-1),Spending!B:B,0)),2)</f>
        <v>55.39</v>
      </c>
      <c r="R1119">
        <f t="shared" si="1113"/>
        <v>1</v>
      </c>
      <c r="S1119">
        <f>ROUND(INDEX(Employment!V:V,MATCH(EOMONTH($A1119,-1),Employment!A:A,0)),2)</f>
        <v>174.61</v>
      </c>
      <c r="T1119" s="11">
        <f t="shared" si="1110"/>
        <v>1</v>
      </c>
      <c r="U1119">
        <f t="shared" si="1102"/>
        <v>26</v>
      </c>
      <c r="V1119">
        <f t="shared" si="1094"/>
        <v>79.77</v>
      </c>
      <c r="W1119" s="13">
        <f t="shared" si="1095"/>
        <v>-8.6E-3</v>
      </c>
      <c r="X1119" s="13">
        <f t="shared" si="1096"/>
        <v>6.3E-3</v>
      </c>
      <c r="Y1119">
        <f t="shared" si="1088"/>
        <v>80.19</v>
      </c>
      <c r="Z1119" s="13">
        <f t="shared" si="1083"/>
        <v>-8.8000000000000005E-3</v>
      </c>
      <c r="AA1119" s="13">
        <f t="shared" si="1079"/>
        <v>1.9999999999999879E-4</v>
      </c>
      <c r="AB1119" s="6">
        <f t="shared" si="1089"/>
        <v>87.188000000000002</v>
      </c>
      <c r="AC1119">
        <f t="shared" si="1081"/>
        <v>44</v>
      </c>
      <c r="AD1119" s="11">
        <f t="shared" si="1082"/>
        <v>1</v>
      </c>
      <c r="AE1119">
        <f t="shared" si="1080"/>
        <v>29</v>
      </c>
      <c r="AF1119">
        <f>IF(AND(AE1119&lt;15,OR(AC1119&gt;=30,AA1119&gt;0.15,X1119&gt;=0.15)),2,VLOOKUP(AE1119,Table!P:Q,2,FALSE))</f>
        <v>4</v>
      </c>
      <c r="AG1119" s="22">
        <f>IF((AB1119*0.98)-(D1119*0.8)+((AF1119-3)*3)+VLOOKUP(AM1119,Table!$A$11:$B$13,2,FALSE)&lt;0,0,(AB1119*0.98)-(D1119*0.8)+((AF1119-3)*3)+VLOOKUP(AM1119,Table!$A$11:$B$13,2,FALSE))</f>
        <v>80.596240800000004</v>
      </c>
      <c r="AH1119" s="22">
        <f t="shared" si="1111"/>
        <v>83</v>
      </c>
      <c r="AI1119" s="18">
        <f t="shared" si="1104"/>
        <v>5.04</v>
      </c>
      <c r="AJ1119" s="18">
        <f t="shared" si="1105"/>
        <v>5.04</v>
      </c>
      <c r="AK1119" t="str">
        <f t="shared" si="1090"/>
        <v/>
      </c>
      <c r="AL1119">
        <f t="shared" si="1101"/>
        <v>29.5</v>
      </c>
      <c r="AM1119" s="11" t="str">
        <f t="shared" si="1091"/>
        <v>Stocks</v>
      </c>
      <c r="AN1119" t="str">
        <f t="shared" si="1097"/>
        <v>Buy</v>
      </c>
      <c r="AO1119" s="13">
        <f t="shared" si="1098"/>
        <v>-1.2999999999999999E-2</v>
      </c>
      <c r="AP1119" s="13">
        <f t="shared" si="1099"/>
        <v>1E-3</v>
      </c>
      <c r="AQ1119" s="13">
        <f t="shared" si="1100"/>
        <v>-1.06E-2</v>
      </c>
      <c r="AR1119" s="13">
        <f t="shared" si="1092"/>
        <v>-1.2999999999999999E-2</v>
      </c>
      <c r="AS1119" s="6">
        <f t="shared" si="1084"/>
        <v>195.22446276205298</v>
      </c>
      <c r="AT1119" s="6">
        <f t="shared" si="1085"/>
        <v>123.9993003891892</v>
      </c>
      <c r="AU1119" s="6">
        <f t="shared" si="1086"/>
        <v>189.93596466301929</v>
      </c>
      <c r="AV1119" s="6">
        <f t="shared" si="1087"/>
        <v>195.22446276205298</v>
      </c>
      <c r="AW1119" s="58">
        <f t="shared" si="1093"/>
        <v>1997</v>
      </c>
      <c r="AX1119" s="58">
        <f>COUNTIF(AW$3:AW1119,AW1119)</f>
        <v>41</v>
      </c>
    </row>
    <row r="1120" spans="1:50" x14ac:dyDescent="0.25">
      <c r="A1120" s="5">
        <v>35505</v>
      </c>
      <c r="B1120">
        <v>793.17</v>
      </c>
      <c r="C1120">
        <v>5.08</v>
      </c>
      <c r="D1120" s="6">
        <v>19.32</v>
      </c>
      <c r="E1120" s="18">
        <f t="shared" si="1106"/>
        <v>20.32</v>
      </c>
      <c r="F1120">
        <f t="shared" si="1107"/>
        <v>-1</v>
      </c>
      <c r="G1120" s="18">
        <f>ROUND(INDEX(Valuation!U:U,MATCH(A1120,Valuation!A:A,0)),2)</f>
        <v>117.37</v>
      </c>
      <c r="H1120">
        <f t="shared" si="1114"/>
        <v>0</v>
      </c>
      <c r="I1120" s="18">
        <f>INDEX(WeeklyIndicators!Y:Y,MATCH(A1120,WeeklyIndicators!A:A,0))</f>
        <v>146.26</v>
      </c>
      <c r="J1120">
        <f t="shared" si="1103"/>
        <v>1</v>
      </c>
      <c r="K1120">
        <f>ROUND(INDEX(Economic!AF:AF,MATCH(EOMONTH($A1120,-1),Economic!A:A,0)),2)</f>
        <v>130.74</v>
      </c>
      <c r="L1120" s="11">
        <f t="shared" si="1112"/>
        <v>2</v>
      </c>
      <c r="M1120">
        <f>ROUND(INDEX(Manufacturing!P:P,MATCH(EOMONTH($A1120,-1),Manufacturing!A:A,0)),2)</f>
        <v>105.94</v>
      </c>
      <c r="N1120">
        <f t="shared" si="1108"/>
        <v>2</v>
      </c>
      <c r="O1120">
        <f>ROUND(INDEX(Housing!AC:AC,MATCH(EOMONTH($A1120,-1),Housing!B:B,0)),2)</f>
        <v>104.33</v>
      </c>
      <c r="P1120">
        <f t="shared" si="1109"/>
        <v>0</v>
      </c>
      <c r="Q1120">
        <f>ROUND(INDEX(Spending!AJ:AJ,MATCH(EOMONTH($A1120,-1),Spending!B:B,0)),2)</f>
        <v>55.39</v>
      </c>
      <c r="R1120">
        <f t="shared" si="1113"/>
        <v>1</v>
      </c>
      <c r="S1120">
        <f>ROUND(INDEX(Employment!V:V,MATCH(EOMONTH($A1120,-1),Employment!A:A,0)),2)</f>
        <v>174.61</v>
      </c>
      <c r="T1120" s="11">
        <f t="shared" si="1110"/>
        <v>1</v>
      </c>
      <c r="U1120">
        <f t="shared" si="1102"/>
        <v>26</v>
      </c>
      <c r="V1120">
        <f t="shared" si="1094"/>
        <v>80.72</v>
      </c>
      <c r="W1120" s="13">
        <f t="shared" si="1095"/>
        <v>-1.4E-3</v>
      </c>
      <c r="X1120" s="13">
        <f t="shared" si="1096"/>
        <v>2.7099999999999999E-2</v>
      </c>
      <c r="Y1120">
        <f t="shared" si="1088"/>
        <v>81.03</v>
      </c>
      <c r="Z1120" s="13">
        <f t="shared" si="1083"/>
        <v>-2.8E-3</v>
      </c>
      <c r="AA1120" s="13">
        <f t="shared" si="1079"/>
        <v>1.89E-2</v>
      </c>
      <c r="AB1120" s="6">
        <f t="shared" si="1089"/>
        <v>89.497</v>
      </c>
      <c r="AC1120">
        <f t="shared" si="1081"/>
        <v>45</v>
      </c>
      <c r="AD1120" s="11">
        <f t="shared" si="1082"/>
        <v>1</v>
      </c>
      <c r="AE1120">
        <f t="shared" si="1080"/>
        <v>29</v>
      </c>
      <c r="AF1120">
        <f>IF(AND(AE1120&lt;15,OR(AC1120&gt;=30,AA1120&gt;0.15,X1120&gt;=0.15)),2,VLOOKUP(AE1120,Table!P:Q,2,FALSE))</f>
        <v>4</v>
      </c>
      <c r="AG1120" s="22">
        <f>IF((AB1120*0.98)-(D1120*0.8)+((AF1120-3)*3)+VLOOKUP(AM1120,Table!$A$11:$B$13,2,FALSE)&lt;0,0,(AB1120*0.98)-(D1120*0.8)+((AF1120-3)*3)+VLOOKUP(AM1120,Table!$A$11:$B$13,2,FALSE))</f>
        <v>83.251059999999995</v>
      </c>
      <c r="AH1120" s="22">
        <f t="shared" si="1111"/>
        <v>84</v>
      </c>
      <c r="AI1120" s="18">
        <f t="shared" si="1104"/>
        <v>5.0199999999999996</v>
      </c>
      <c r="AJ1120" s="18">
        <f t="shared" si="1105"/>
        <v>5.04</v>
      </c>
      <c r="AK1120" t="str">
        <f t="shared" si="1090"/>
        <v/>
      </c>
      <c r="AL1120">
        <f t="shared" si="1101"/>
        <v>29.75</v>
      </c>
      <c r="AM1120" s="11" t="str">
        <f t="shared" si="1091"/>
        <v>Stocks</v>
      </c>
      <c r="AN1120" t="str">
        <f t="shared" si="1097"/>
        <v>Buy</v>
      </c>
      <c r="AO1120" s="13">
        <f t="shared" si="1098"/>
        <v>-1.14E-2</v>
      </c>
      <c r="AP1120" s="13">
        <f t="shared" si="1099"/>
        <v>1E-3</v>
      </c>
      <c r="AQ1120" s="13">
        <f t="shared" si="1100"/>
        <v>-9.4000000000000004E-3</v>
      </c>
      <c r="AR1120" s="13">
        <f t="shared" si="1092"/>
        <v>-1.14E-2</v>
      </c>
      <c r="AS1120" s="6">
        <f t="shared" si="1084"/>
        <v>197.47568557763805</v>
      </c>
      <c r="AT1120" s="6">
        <f t="shared" si="1085"/>
        <v>123.87542496422499</v>
      </c>
      <c r="AU1120" s="6">
        <f t="shared" si="1086"/>
        <v>191.73830472745738</v>
      </c>
      <c r="AV1120" s="6">
        <f t="shared" si="1087"/>
        <v>197.47568557763805</v>
      </c>
      <c r="AW1120" s="58">
        <f t="shared" si="1093"/>
        <v>1997</v>
      </c>
      <c r="AX1120" s="58">
        <f>COUNTIF(AW$3:AW1120,AW1120)</f>
        <v>42</v>
      </c>
    </row>
    <row r="1121" spans="1:50" x14ac:dyDescent="0.25">
      <c r="A1121" s="5">
        <v>35498</v>
      </c>
      <c r="B1121">
        <v>804.97</v>
      </c>
      <c r="C1121">
        <v>5.09</v>
      </c>
      <c r="D1121" s="6">
        <v>21.1</v>
      </c>
      <c r="E1121" s="18">
        <f t="shared" si="1106"/>
        <v>20.28</v>
      </c>
      <c r="F1121">
        <f t="shared" si="1107"/>
        <v>-1</v>
      </c>
      <c r="G1121" s="18">
        <f>ROUND(INDEX(Valuation!U:U,MATCH(A1121,Valuation!A:A,0)),2)</f>
        <v>116.69</v>
      </c>
      <c r="H1121">
        <f t="shared" si="1114"/>
        <v>0</v>
      </c>
      <c r="I1121" s="18">
        <f>INDEX(WeeklyIndicators!Y:Y,MATCH(A1121,WeeklyIndicators!A:A,0))</f>
        <v>154.96</v>
      </c>
      <c r="J1121">
        <f t="shared" si="1103"/>
        <v>2</v>
      </c>
      <c r="K1121">
        <f>ROUND(INDEX(Economic!AF:AF,MATCH(EOMONTH($A1121,-1),Economic!A:A,0)),2)</f>
        <v>130.74</v>
      </c>
      <c r="L1121" s="11">
        <f t="shared" si="1112"/>
        <v>2</v>
      </c>
      <c r="M1121">
        <f>ROUND(INDEX(Manufacturing!P:P,MATCH(EOMONTH($A1121,-1),Manufacturing!A:A,0)),2)</f>
        <v>105.94</v>
      </c>
      <c r="N1121">
        <f t="shared" si="1108"/>
        <v>2</v>
      </c>
      <c r="O1121">
        <f>ROUND(INDEX(Housing!AC:AC,MATCH(EOMONTH($A1121,-1),Housing!B:B,0)),2)</f>
        <v>104.33</v>
      </c>
      <c r="P1121">
        <f t="shared" si="1109"/>
        <v>0</v>
      </c>
      <c r="Q1121">
        <f>ROUND(INDEX(Spending!AJ:AJ,MATCH(EOMONTH($A1121,-1),Spending!B:B,0)),2)</f>
        <v>55.39</v>
      </c>
      <c r="R1121">
        <f t="shared" si="1113"/>
        <v>1</v>
      </c>
      <c r="S1121">
        <f>ROUND(INDEX(Employment!V:V,MATCH(EOMONTH($A1121,-1),Employment!A:A,0)),2)</f>
        <v>174.61</v>
      </c>
      <c r="T1121" s="11">
        <f t="shared" si="1110"/>
        <v>1</v>
      </c>
      <c r="U1121">
        <f t="shared" si="1102"/>
        <v>27</v>
      </c>
      <c r="V1121">
        <f t="shared" si="1094"/>
        <v>81.63</v>
      </c>
      <c r="W1121" s="13">
        <f t="shared" si="1095"/>
        <v>5.4999999999999997E-3</v>
      </c>
      <c r="X1121" s="13">
        <f t="shared" si="1096"/>
        <v>4.4200000000000003E-2</v>
      </c>
      <c r="Y1121">
        <f t="shared" si="1088"/>
        <v>81.88</v>
      </c>
      <c r="Z1121" s="13">
        <f t="shared" si="1083"/>
        <v>3.2000000000000002E-3</v>
      </c>
      <c r="AA1121" s="13">
        <f t="shared" si="1079"/>
        <v>3.44E-2</v>
      </c>
      <c r="AB1121" s="6">
        <f t="shared" si="1089"/>
        <v>91.518999999999991</v>
      </c>
      <c r="AC1121">
        <f t="shared" si="1081"/>
        <v>46</v>
      </c>
      <c r="AD1121" s="11">
        <f t="shared" si="1082"/>
        <v>1</v>
      </c>
      <c r="AE1121">
        <f t="shared" si="1080"/>
        <v>30</v>
      </c>
      <c r="AF1121">
        <f>IF(AND(AE1121&lt;15,OR(AC1121&gt;=30,AA1121&gt;0.15,X1121&gt;=0.15)),2,VLOOKUP(AE1121,Table!P:Q,2,FALSE))</f>
        <v>4</v>
      </c>
      <c r="AG1121" s="22">
        <f>IF((AB1121*0.98)-(D1121*0.8)+((AF1121-3)*3)+VLOOKUP(AM1121,Table!$A$11:$B$13,2,FALSE)&lt;0,0,(AB1121*0.98)-(D1121*0.8)+((AF1121-3)*3)+VLOOKUP(AM1121,Table!$A$11:$B$13,2,FALSE))</f>
        <v>83.808619999999991</v>
      </c>
      <c r="AH1121" s="22">
        <f t="shared" si="1111"/>
        <v>85</v>
      </c>
      <c r="AI1121" s="18">
        <f t="shared" si="1104"/>
        <v>5</v>
      </c>
      <c r="AJ1121" s="18">
        <f t="shared" si="1105"/>
        <v>5.04</v>
      </c>
      <c r="AK1121" t="str">
        <f t="shared" si="1090"/>
        <v/>
      </c>
      <c r="AL1121">
        <f t="shared" si="1101"/>
        <v>29.75</v>
      </c>
      <c r="AM1121" s="11" t="str">
        <f t="shared" si="1091"/>
        <v>Stocks</v>
      </c>
      <c r="AN1121" t="str">
        <f t="shared" si="1097"/>
        <v>Buy</v>
      </c>
      <c r="AO1121" s="13">
        <f t="shared" si="1098"/>
        <v>-1.47E-2</v>
      </c>
      <c r="AP1121" s="13">
        <f t="shared" si="1099"/>
        <v>1E-3</v>
      </c>
      <c r="AQ1121" s="13">
        <f t="shared" si="1100"/>
        <v>-1.23E-2</v>
      </c>
      <c r="AR1121" s="13">
        <f t="shared" si="1092"/>
        <v>-1.47E-2</v>
      </c>
      <c r="AS1121" s="6">
        <f t="shared" si="1084"/>
        <v>200.42188732126058</v>
      </c>
      <c r="AT1121" s="6">
        <f t="shared" si="1085"/>
        <v>123.75167329093406</v>
      </c>
      <c r="AU1121" s="6">
        <f t="shared" si="1086"/>
        <v>194.12605520649728</v>
      </c>
      <c r="AV1121" s="6">
        <f t="shared" si="1087"/>
        <v>200.42188732126058</v>
      </c>
      <c r="AW1121" s="58">
        <f t="shared" si="1093"/>
        <v>1997</v>
      </c>
      <c r="AX1121" s="58">
        <f>COUNTIF(AW$3:AW1121,AW1121)</f>
        <v>43</v>
      </c>
    </row>
    <row r="1122" spans="1:50" x14ac:dyDescent="0.25">
      <c r="A1122" s="5">
        <v>35491</v>
      </c>
      <c r="B1122">
        <v>790.82</v>
      </c>
      <c r="C1122">
        <v>5.05</v>
      </c>
      <c r="D1122" s="6">
        <v>20.549999</v>
      </c>
      <c r="E1122" s="18">
        <f t="shared" si="1106"/>
        <v>19.54</v>
      </c>
      <c r="F1122">
        <f t="shared" si="1107"/>
        <v>-1</v>
      </c>
      <c r="G1122" s="18">
        <f>ROUND(INDEX(Valuation!U:U,MATCH(A1122,Valuation!A:A,0)),2)</f>
        <v>116.53</v>
      </c>
      <c r="H1122">
        <f t="shared" si="1114"/>
        <v>0</v>
      </c>
      <c r="I1122" s="18">
        <f>INDEX(WeeklyIndicators!Y:Y,MATCH(A1122,WeeklyIndicators!A:A,0))</f>
        <v>157.35</v>
      </c>
      <c r="J1122">
        <f t="shared" si="1103"/>
        <v>2</v>
      </c>
      <c r="K1122">
        <f>ROUND(INDEX(Economic!AF:AF,MATCH(EOMONTH($A1122,-1),Economic!A:A,0)),2)</f>
        <v>130.74</v>
      </c>
      <c r="L1122" s="11">
        <f t="shared" si="1112"/>
        <v>2</v>
      </c>
      <c r="M1122">
        <f>ROUND(INDEX(Manufacturing!P:P,MATCH(EOMONTH($A1122,-1),Manufacturing!A:A,0)),2)</f>
        <v>105.94</v>
      </c>
      <c r="N1122">
        <f t="shared" si="1108"/>
        <v>2</v>
      </c>
      <c r="O1122">
        <f>ROUND(INDEX(Housing!AC:AC,MATCH(EOMONTH($A1122,-1),Housing!B:B,0)),2)</f>
        <v>104.33</v>
      </c>
      <c r="P1122">
        <f t="shared" si="1109"/>
        <v>0</v>
      </c>
      <c r="Q1122">
        <f>ROUND(INDEX(Spending!AJ:AJ,MATCH(EOMONTH($A1122,-1),Spending!B:B,0)),2)</f>
        <v>55.39</v>
      </c>
      <c r="R1122">
        <f t="shared" si="1113"/>
        <v>1</v>
      </c>
      <c r="S1122">
        <f>ROUND(INDEX(Employment!V:V,MATCH(EOMONTH($A1122,-1),Employment!A:A,0)),2)</f>
        <v>174.61</v>
      </c>
      <c r="T1122" s="11">
        <f t="shared" si="1110"/>
        <v>1</v>
      </c>
      <c r="U1122">
        <f t="shared" si="1102"/>
        <v>27</v>
      </c>
      <c r="V1122">
        <f t="shared" si="1094"/>
        <v>81.87</v>
      </c>
      <c r="W1122" s="13">
        <f t="shared" si="1095"/>
        <v>1.0800000000000001E-2</v>
      </c>
      <c r="X1122" s="13">
        <f t="shared" si="1096"/>
        <v>5.28E-2</v>
      </c>
      <c r="Y1122">
        <f t="shared" si="1088"/>
        <v>82.36</v>
      </c>
      <c r="Z1122" s="13">
        <f t="shared" si="1083"/>
        <v>8.6E-3</v>
      </c>
      <c r="AA1122" s="13">
        <f t="shared" si="1079"/>
        <v>4.2300000000000004E-2</v>
      </c>
      <c r="AB1122" s="6">
        <f t="shared" si="1089"/>
        <v>92.603000000000009</v>
      </c>
      <c r="AC1122">
        <f t="shared" si="1081"/>
        <v>46</v>
      </c>
      <c r="AD1122" s="11">
        <f t="shared" si="1082"/>
        <v>1</v>
      </c>
      <c r="AE1122">
        <f t="shared" si="1080"/>
        <v>30</v>
      </c>
      <c r="AF1122">
        <f>IF(AND(AE1122&lt;15,OR(AC1122&gt;=30,AA1122&gt;0.15,X1122&gt;=0.15)),2,VLOOKUP(AE1122,Table!P:Q,2,FALSE))</f>
        <v>4</v>
      </c>
      <c r="AG1122" s="22">
        <f>IF((AB1122*0.98)-(D1122*0.8)+((AF1122-3)*3)+VLOOKUP(AM1122,Table!$A$11:$B$13,2,FALSE)&lt;0,0,(AB1122*0.98)-(D1122*0.8)+((AF1122-3)*3)+VLOOKUP(AM1122,Table!$A$11:$B$13,2,FALSE))</f>
        <v>85.310940799999997</v>
      </c>
      <c r="AH1122" s="22">
        <f t="shared" si="1111"/>
        <v>85</v>
      </c>
      <c r="AI1122" s="18">
        <f t="shared" si="1104"/>
        <v>4.9800000000000004</v>
      </c>
      <c r="AJ1122" s="18">
        <f t="shared" si="1105"/>
        <v>5.04</v>
      </c>
      <c r="AK1122" t="str">
        <f t="shared" si="1090"/>
        <v/>
      </c>
      <c r="AL1122">
        <f t="shared" si="1101"/>
        <v>29.5</v>
      </c>
      <c r="AM1122" s="11" t="str">
        <f t="shared" si="1091"/>
        <v>Stocks</v>
      </c>
      <c r="AN1122" t="str">
        <f t="shared" si="1097"/>
        <v>Buy</v>
      </c>
      <c r="AO1122" s="13">
        <f t="shared" si="1098"/>
        <v>1.7899999999999999E-2</v>
      </c>
      <c r="AP1122" s="13">
        <f t="shared" si="1099"/>
        <v>1E-3</v>
      </c>
      <c r="AQ1122" s="13">
        <f t="shared" si="1100"/>
        <v>1.54E-2</v>
      </c>
      <c r="AR1122" s="13">
        <f t="shared" si="1092"/>
        <v>1.7899999999999999E-2</v>
      </c>
      <c r="AS1122" s="6">
        <f t="shared" si="1084"/>
        <v>196.89742344165495</v>
      </c>
      <c r="AT1122" s="6">
        <f t="shared" si="1085"/>
        <v>123.62804524568838</v>
      </c>
      <c r="AU1122" s="6">
        <f t="shared" si="1086"/>
        <v>191.1818546449648</v>
      </c>
      <c r="AV1122" s="6">
        <f t="shared" si="1087"/>
        <v>196.89742344165495</v>
      </c>
      <c r="AW1122" s="58">
        <f t="shared" si="1093"/>
        <v>1997</v>
      </c>
      <c r="AX1122" s="58">
        <f>COUNTIF(AW$3:AW1122,AW1122)</f>
        <v>44</v>
      </c>
    </row>
    <row r="1123" spans="1:50" x14ac:dyDescent="0.25">
      <c r="A1123" s="5">
        <v>35484</v>
      </c>
      <c r="B1123">
        <v>801.77</v>
      </c>
      <c r="C1123">
        <v>4.97</v>
      </c>
      <c r="D1123" s="6">
        <v>19.18</v>
      </c>
      <c r="E1123" s="18">
        <f t="shared" si="1106"/>
        <v>19.18</v>
      </c>
      <c r="F1123">
        <f t="shared" si="1107"/>
        <v>-1</v>
      </c>
      <c r="G1123" s="18">
        <f>ROUND(INDEX(Valuation!U:U,MATCH(A1123,Valuation!A:A,0)),2)</f>
        <v>117</v>
      </c>
      <c r="H1123">
        <f t="shared" si="1114"/>
        <v>0</v>
      </c>
      <c r="I1123" s="18">
        <f>INDEX(WeeklyIndicators!Y:Y,MATCH(A1123,WeeklyIndicators!A:A,0))</f>
        <v>153.37</v>
      </c>
      <c r="J1123">
        <f t="shared" si="1103"/>
        <v>2</v>
      </c>
      <c r="K1123">
        <f>ROUND(INDEX(Economic!AF:AF,MATCH(EOMONTH($A1123,-1),Economic!A:A,0)),2)</f>
        <v>131.66</v>
      </c>
      <c r="L1123" s="11">
        <f t="shared" si="1112"/>
        <v>2</v>
      </c>
      <c r="M1123">
        <f>ROUND(INDEX(Manufacturing!P:P,MATCH(EOMONTH($A1123,-1),Manufacturing!A:A,0)),2)</f>
        <v>103.86</v>
      </c>
      <c r="N1123">
        <f t="shared" si="1108"/>
        <v>2</v>
      </c>
      <c r="O1123">
        <f>ROUND(INDEX(Housing!AC:AC,MATCH(EOMONTH($A1123,-1),Housing!B:B,0)),2)</f>
        <v>104.58</v>
      </c>
      <c r="P1123">
        <f t="shared" si="1109"/>
        <v>0</v>
      </c>
      <c r="Q1123">
        <f>ROUND(INDEX(Spending!AJ:AJ,MATCH(EOMONTH($A1123,-1),Spending!B:B,0)),2)</f>
        <v>53.14</v>
      </c>
      <c r="R1123">
        <f t="shared" si="1113"/>
        <v>1</v>
      </c>
      <c r="S1123">
        <f>ROUND(INDEX(Employment!V:V,MATCH(EOMONTH($A1123,-1),Employment!A:A,0)),2)</f>
        <v>173.89</v>
      </c>
      <c r="T1123" s="11">
        <f t="shared" si="1110"/>
        <v>1</v>
      </c>
      <c r="U1123">
        <f t="shared" si="1102"/>
        <v>27</v>
      </c>
      <c r="V1123">
        <f t="shared" si="1094"/>
        <v>81.06</v>
      </c>
      <c r="W1123" s="13">
        <f t="shared" si="1095"/>
        <v>1.2200000000000001E-2</v>
      </c>
      <c r="X1123" s="13">
        <f t="shared" si="1096"/>
        <v>5.2600000000000001E-2</v>
      </c>
      <c r="Y1123">
        <f t="shared" si="1088"/>
        <v>81.73</v>
      </c>
      <c r="Z1123" s="13">
        <f t="shared" si="1083"/>
        <v>9.9000000000000008E-3</v>
      </c>
      <c r="AA1123" s="13">
        <f t="shared" si="1079"/>
        <v>4.1099999999999998E-2</v>
      </c>
      <c r="AB1123" s="6">
        <f t="shared" si="1089"/>
        <v>91.91</v>
      </c>
      <c r="AC1123">
        <f t="shared" si="1081"/>
        <v>46</v>
      </c>
      <c r="AD1123" s="11">
        <f t="shared" si="1082"/>
        <v>1</v>
      </c>
      <c r="AE1123">
        <f t="shared" si="1080"/>
        <v>30</v>
      </c>
      <c r="AF1123">
        <f>IF(AND(AE1123&lt;15,OR(AC1123&gt;=30,AA1123&gt;0.15,X1123&gt;=0.15)),2,VLOOKUP(AE1123,Table!P:Q,2,FALSE))</f>
        <v>4</v>
      </c>
      <c r="AG1123" s="22">
        <f>IF((AB1123*0.98)-(D1123*0.8)+((AF1123-3)*3)+VLOOKUP(AM1123,Table!$A$11:$B$13,2,FALSE)&lt;0,0,(AB1123*0.98)-(D1123*0.8)+((AF1123-3)*3)+VLOOKUP(AM1123,Table!$A$11:$B$13,2,FALSE))</f>
        <v>85.727800000000002</v>
      </c>
      <c r="AH1123" s="22">
        <f t="shared" si="1111"/>
        <v>84</v>
      </c>
      <c r="AI1123" s="18">
        <f t="shared" si="1104"/>
        <v>4.9800000000000004</v>
      </c>
      <c r="AJ1123" s="18">
        <f t="shared" si="1105"/>
        <v>5.04</v>
      </c>
      <c r="AK1123" t="str">
        <f t="shared" si="1090"/>
        <v/>
      </c>
      <c r="AL1123">
        <f t="shared" si="1101"/>
        <v>29.25</v>
      </c>
      <c r="AM1123" s="11" t="str">
        <f t="shared" si="1091"/>
        <v>Stocks</v>
      </c>
      <c r="AN1123" t="str">
        <f t="shared" si="1097"/>
        <v>Buy</v>
      </c>
      <c r="AO1123" s="13">
        <f t="shared" si="1098"/>
        <v>-1.37E-2</v>
      </c>
      <c r="AP1123" s="13">
        <f t="shared" si="1099"/>
        <v>1E-3</v>
      </c>
      <c r="AQ1123" s="13">
        <f t="shared" si="1100"/>
        <v>-1.1299999999999999E-2</v>
      </c>
      <c r="AR1123" s="13">
        <f t="shared" si="1092"/>
        <v>-1.37E-2</v>
      </c>
      <c r="AS1123" s="6">
        <f t="shared" si="1084"/>
        <v>199.63238714554899</v>
      </c>
      <c r="AT1123" s="6">
        <f t="shared" si="1085"/>
        <v>123.50454070498341</v>
      </c>
      <c r="AU1123" s="6">
        <f t="shared" si="1086"/>
        <v>193.36690062199332</v>
      </c>
      <c r="AV1123" s="6">
        <f t="shared" si="1087"/>
        <v>199.63238714554899</v>
      </c>
      <c r="AW1123" s="58">
        <f t="shared" si="1093"/>
        <v>1997</v>
      </c>
      <c r="AX1123" s="58">
        <f>COUNTIF(AW$3:AW1123,AW1123)</f>
        <v>45</v>
      </c>
    </row>
    <row r="1124" spans="1:50" x14ac:dyDescent="0.25">
      <c r="A1124" s="5">
        <v>35477</v>
      </c>
      <c r="B1124">
        <v>808.48</v>
      </c>
      <c r="C1124">
        <v>5</v>
      </c>
      <c r="D1124" s="6">
        <v>18.899999999999999</v>
      </c>
      <c r="E1124" s="18">
        <f t="shared" si="1106"/>
        <v>19.23</v>
      </c>
      <c r="F1124">
        <f t="shared" si="1107"/>
        <v>-1</v>
      </c>
      <c r="G1124" s="18">
        <f>ROUND(INDEX(Valuation!U:U,MATCH(A1124,Valuation!A:A,0)),2)</f>
        <v>118.33</v>
      </c>
      <c r="H1124">
        <f t="shared" si="1114"/>
        <v>0</v>
      </c>
      <c r="I1124" s="18">
        <f>INDEX(WeeklyIndicators!Y:Y,MATCH(A1124,WeeklyIndicators!A:A,0))</f>
        <v>146.01</v>
      </c>
      <c r="J1124">
        <f t="shared" si="1103"/>
        <v>1</v>
      </c>
      <c r="K1124">
        <f>ROUND(INDEX(Economic!AF:AF,MATCH(EOMONTH($A1124,-1),Economic!A:A,0)),2)</f>
        <v>131.66</v>
      </c>
      <c r="L1124" s="11">
        <f t="shared" si="1112"/>
        <v>2</v>
      </c>
      <c r="M1124">
        <f>ROUND(INDEX(Manufacturing!P:P,MATCH(EOMONTH($A1124,-1),Manufacturing!A:A,0)),2)</f>
        <v>103.86</v>
      </c>
      <c r="N1124">
        <f t="shared" si="1108"/>
        <v>2</v>
      </c>
      <c r="O1124">
        <f>ROUND(INDEX(Housing!AC:AC,MATCH(EOMONTH($A1124,-1),Housing!B:B,0)),2)</f>
        <v>104.58</v>
      </c>
      <c r="P1124">
        <f t="shared" si="1109"/>
        <v>0</v>
      </c>
      <c r="Q1124">
        <f>ROUND(INDEX(Spending!AJ:AJ,MATCH(EOMONTH($A1124,-1),Spending!B:B,0)),2)</f>
        <v>53.14</v>
      </c>
      <c r="R1124">
        <f t="shared" si="1113"/>
        <v>1</v>
      </c>
      <c r="S1124">
        <f>ROUND(INDEX(Employment!V:V,MATCH(EOMONTH($A1124,-1),Employment!A:A,0)),2)</f>
        <v>173.89</v>
      </c>
      <c r="T1124" s="11">
        <f t="shared" si="1110"/>
        <v>1</v>
      </c>
      <c r="U1124">
        <f t="shared" si="1102"/>
        <v>26</v>
      </c>
      <c r="V1124">
        <f t="shared" si="1094"/>
        <v>80.3</v>
      </c>
      <c r="W1124" s="13">
        <f t="shared" si="1095"/>
        <v>1.5699999999999999E-2</v>
      </c>
      <c r="X1124" s="13">
        <f t="shared" si="1096"/>
        <v>4.3699999999999996E-2</v>
      </c>
      <c r="Y1124">
        <f t="shared" si="1088"/>
        <v>81.099999999999994</v>
      </c>
      <c r="Z1124" s="13">
        <f t="shared" si="1083"/>
        <v>1.2699999999999999E-2</v>
      </c>
      <c r="AA1124" s="13">
        <f t="shared" si="1079"/>
        <v>3.3600000000000005E-2</v>
      </c>
      <c r="AB1124" s="6">
        <f t="shared" si="1089"/>
        <v>90.792999999999992</v>
      </c>
      <c r="AC1124">
        <f t="shared" si="1081"/>
        <v>45</v>
      </c>
      <c r="AD1124" s="11">
        <f t="shared" si="1082"/>
        <v>1</v>
      </c>
      <c r="AE1124">
        <f t="shared" si="1080"/>
        <v>29</v>
      </c>
      <c r="AF1124">
        <f>IF(AND(AE1124&lt;15,OR(AC1124&gt;=30,AA1124&gt;0.15,X1124&gt;=0.15)),2,VLOOKUP(AE1124,Table!P:Q,2,FALSE))</f>
        <v>4</v>
      </c>
      <c r="AG1124" s="22">
        <f>IF((AB1124*0.98)-(D1124*0.8)+((AF1124-3)*3)+VLOOKUP(AM1124,Table!$A$11:$B$13,2,FALSE)&lt;0,0,(AB1124*0.98)-(D1124*0.8)+((AF1124-3)*3)+VLOOKUP(AM1124,Table!$A$11:$B$13,2,FALSE))</f>
        <v>84.857139999999987</v>
      </c>
      <c r="AH1124" s="22">
        <f t="shared" si="1111"/>
        <v>83</v>
      </c>
      <c r="AI1124" s="18">
        <f t="shared" si="1104"/>
        <v>4.99</v>
      </c>
      <c r="AJ1124" s="18">
        <f t="shared" si="1105"/>
        <v>5.04</v>
      </c>
      <c r="AK1124" t="str">
        <f t="shared" si="1090"/>
        <v/>
      </c>
      <c r="AL1124">
        <f t="shared" si="1101"/>
        <v>28.75</v>
      </c>
      <c r="AM1124" s="11" t="str">
        <f t="shared" si="1091"/>
        <v>Stocks</v>
      </c>
      <c r="AN1124" t="str">
        <f t="shared" si="1097"/>
        <v>Buy</v>
      </c>
      <c r="AO1124" s="13">
        <f t="shared" si="1098"/>
        <v>-8.3000000000000001E-3</v>
      </c>
      <c r="AP1124" s="13">
        <f t="shared" si="1099"/>
        <v>1E-3</v>
      </c>
      <c r="AQ1124" s="13">
        <f t="shared" si="1100"/>
        <v>-6.7000000000000002E-3</v>
      </c>
      <c r="AR1124" s="13">
        <f t="shared" si="1092"/>
        <v>-8.3000000000000001E-3</v>
      </c>
      <c r="AS1124" s="6">
        <f t="shared" si="1084"/>
        <v>201.30320373656247</v>
      </c>
      <c r="AT1124" s="6">
        <f t="shared" si="1085"/>
        <v>123.38115954543798</v>
      </c>
      <c r="AU1124" s="6">
        <f t="shared" si="1086"/>
        <v>194.67119764622302</v>
      </c>
      <c r="AV1124" s="6">
        <f t="shared" si="1087"/>
        <v>201.30320373656247</v>
      </c>
      <c r="AW1124" s="58">
        <f t="shared" si="1093"/>
        <v>1997</v>
      </c>
      <c r="AX1124" s="58">
        <f>COUNTIF(AW$3:AW1124,AW1124)</f>
        <v>46</v>
      </c>
    </row>
    <row r="1125" spans="1:50" x14ac:dyDescent="0.25">
      <c r="A1125" s="5">
        <v>35470</v>
      </c>
      <c r="B1125">
        <v>789.56</v>
      </c>
      <c r="C1125">
        <v>4.99</v>
      </c>
      <c r="D1125" s="6">
        <v>19.469999000000001</v>
      </c>
      <c r="E1125" s="18">
        <f t="shared" si="1106"/>
        <v>19.14</v>
      </c>
      <c r="F1125">
        <f t="shared" si="1107"/>
        <v>-1</v>
      </c>
      <c r="G1125" s="18">
        <f>ROUND(INDEX(Valuation!U:U,MATCH(A1125,Valuation!A:A,0)),2)</f>
        <v>119.94</v>
      </c>
      <c r="H1125">
        <f t="shared" si="1114"/>
        <v>0</v>
      </c>
      <c r="I1125" s="18">
        <f>INDEX(WeeklyIndicators!Y:Y,MATCH(A1125,WeeklyIndicators!A:A,0))</f>
        <v>136.09</v>
      </c>
      <c r="J1125">
        <f t="shared" si="1103"/>
        <v>1</v>
      </c>
      <c r="K1125">
        <f>ROUND(INDEX(Economic!AF:AF,MATCH(EOMONTH($A1125,-1),Economic!A:A,0)),2)</f>
        <v>131.66</v>
      </c>
      <c r="L1125" s="11">
        <f t="shared" si="1112"/>
        <v>2</v>
      </c>
      <c r="M1125">
        <f>ROUND(INDEX(Manufacturing!P:P,MATCH(EOMONTH($A1125,-1),Manufacturing!A:A,0)),2)</f>
        <v>103.86</v>
      </c>
      <c r="N1125">
        <f t="shared" si="1108"/>
        <v>2</v>
      </c>
      <c r="O1125">
        <f>ROUND(INDEX(Housing!AC:AC,MATCH(EOMONTH($A1125,-1),Housing!B:B,0)),2)</f>
        <v>104.58</v>
      </c>
      <c r="P1125">
        <f t="shared" si="1109"/>
        <v>0</v>
      </c>
      <c r="Q1125">
        <f>ROUND(INDEX(Spending!AJ:AJ,MATCH(EOMONTH($A1125,-1),Spending!B:B,0)),2)</f>
        <v>53.14</v>
      </c>
      <c r="R1125">
        <f t="shared" si="1113"/>
        <v>1</v>
      </c>
      <c r="S1125">
        <f>ROUND(INDEX(Employment!V:V,MATCH(EOMONTH($A1125,-1),Employment!A:A,0)),2)</f>
        <v>173.89</v>
      </c>
      <c r="T1125" s="11">
        <f t="shared" si="1110"/>
        <v>1</v>
      </c>
      <c r="U1125">
        <f t="shared" si="1102"/>
        <v>26</v>
      </c>
      <c r="V1125">
        <f t="shared" si="1094"/>
        <v>79.27</v>
      </c>
      <c r="W1125" s="13">
        <f t="shared" si="1095"/>
        <v>1.41E-2</v>
      </c>
      <c r="X1125" s="13">
        <f t="shared" si="1096"/>
        <v>2.63E-2</v>
      </c>
      <c r="Y1125">
        <f t="shared" si="1088"/>
        <v>80.28</v>
      </c>
      <c r="Z1125" s="13">
        <f t="shared" si="1083"/>
        <v>1.11E-2</v>
      </c>
      <c r="AA1125" s="13">
        <f t="shared" si="1079"/>
        <v>1.89E-2</v>
      </c>
      <c r="AB1125" s="6">
        <f t="shared" si="1089"/>
        <v>88.944000000000003</v>
      </c>
      <c r="AC1125">
        <f t="shared" si="1081"/>
        <v>44</v>
      </c>
      <c r="AD1125" s="11">
        <f t="shared" si="1082"/>
        <v>1</v>
      </c>
      <c r="AE1125">
        <f t="shared" si="1080"/>
        <v>29</v>
      </c>
      <c r="AF1125">
        <f>IF(AND(AE1125&lt;15,OR(AC1125&gt;=30,AA1125&gt;0.15,X1125&gt;=0.15)),2,VLOOKUP(AE1125,Table!P:Q,2,FALSE))</f>
        <v>4</v>
      </c>
      <c r="AG1125" s="22">
        <f>IF((AB1125*0.98)-(D1125*0.8)+((AF1125-3)*3)+VLOOKUP(AM1125,Table!$A$11:$B$13,2,FALSE)&lt;0,0,(AB1125*0.98)-(D1125*0.8)+((AF1125-3)*3)+VLOOKUP(AM1125,Table!$A$11:$B$13,2,FALSE))</f>
        <v>82.589120800000003</v>
      </c>
      <c r="AH1125" s="22">
        <f t="shared" si="1111"/>
        <v>80</v>
      </c>
      <c r="AI1125" s="18">
        <f t="shared" si="1104"/>
        <v>4.99</v>
      </c>
      <c r="AJ1125" s="18">
        <f t="shared" si="1105"/>
        <v>5.04</v>
      </c>
      <c r="AK1125" t="str">
        <f t="shared" si="1090"/>
        <v/>
      </c>
      <c r="AL1125">
        <f t="shared" si="1101"/>
        <v>28.25</v>
      </c>
      <c r="AM1125" s="11" t="str">
        <f t="shared" si="1091"/>
        <v>Stocks</v>
      </c>
      <c r="AN1125" t="str">
        <f t="shared" si="1097"/>
        <v>Buy</v>
      </c>
      <c r="AO1125" s="13">
        <f t="shared" si="1098"/>
        <v>2.4E-2</v>
      </c>
      <c r="AP1125" s="13">
        <f t="shared" si="1099"/>
        <v>1E-3</v>
      </c>
      <c r="AQ1125" s="13">
        <f t="shared" si="1100"/>
        <v>1.9400000000000001E-2</v>
      </c>
      <c r="AR1125" s="13">
        <f t="shared" si="1092"/>
        <v>2.4E-2</v>
      </c>
      <c r="AS1125" s="6">
        <f t="shared" si="1084"/>
        <v>196.58515989898677</v>
      </c>
      <c r="AT1125" s="6">
        <f t="shared" si="1085"/>
        <v>123.2579016437942</v>
      </c>
      <c r="AU1125" s="6">
        <f t="shared" si="1086"/>
        <v>190.96644854446046</v>
      </c>
      <c r="AV1125" s="6">
        <f t="shared" si="1087"/>
        <v>196.58515989898677</v>
      </c>
      <c r="AW1125" s="58">
        <f t="shared" si="1093"/>
        <v>1997</v>
      </c>
      <c r="AX1125" s="58">
        <f>COUNTIF(AW$3:AW1125,AW1125)</f>
        <v>47</v>
      </c>
    </row>
    <row r="1126" spans="1:50" x14ac:dyDescent="0.25">
      <c r="A1126" s="5">
        <v>35463</v>
      </c>
      <c r="B1126">
        <v>786.16</v>
      </c>
      <c r="C1126">
        <v>5.04</v>
      </c>
      <c r="D1126" s="6">
        <v>19.329999999999998</v>
      </c>
      <c r="E1126" s="18">
        <f t="shared" si="1106"/>
        <v>19.2</v>
      </c>
      <c r="F1126">
        <f t="shared" si="1107"/>
        <v>-1</v>
      </c>
      <c r="G1126" s="18">
        <f>ROUND(INDEX(Valuation!U:U,MATCH(A1126,Valuation!A:A,0)),2)</f>
        <v>121.82</v>
      </c>
      <c r="H1126">
        <f t="shared" si="1114"/>
        <v>1</v>
      </c>
      <c r="I1126" s="18">
        <f>INDEX(WeeklyIndicators!Y:Y,MATCH(A1126,WeeklyIndicators!A:A,0))</f>
        <v>125.27</v>
      </c>
      <c r="J1126">
        <f t="shared" si="1103"/>
        <v>0</v>
      </c>
      <c r="K1126">
        <f>ROUND(INDEX(Economic!AF:AF,MATCH(EOMONTH($A1126,-1),Economic!A:A,0)),2)</f>
        <v>131.66</v>
      </c>
      <c r="L1126" s="11">
        <f t="shared" si="1112"/>
        <v>2</v>
      </c>
      <c r="M1126">
        <f>ROUND(INDEX(Manufacturing!P:P,MATCH(EOMONTH($A1126,-1),Manufacturing!A:A,0)),2)</f>
        <v>103.86</v>
      </c>
      <c r="N1126">
        <f t="shared" si="1108"/>
        <v>2</v>
      </c>
      <c r="O1126">
        <f>ROUND(INDEX(Housing!AC:AC,MATCH(EOMONTH($A1126,-1),Housing!B:B,0)),2)</f>
        <v>104.58</v>
      </c>
      <c r="P1126">
        <f t="shared" si="1109"/>
        <v>0</v>
      </c>
      <c r="Q1126">
        <f>ROUND(INDEX(Spending!AJ:AJ,MATCH(EOMONTH($A1126,-1),Spending!B:B,0)),2)</f>
        <v>53.14</v>
      </c>
      <c r="R1126">
        <f t="shared" si="1113"/>
        <v>1</v>
      </c>
      <c r="S1126">
        <f>ROUND(INDEX(Employment!V:V,MATCH(EOMONTH($A1126,-1),Employment!A:A,0)),2)</f>
        <v>173.89</v>
      </c>
      <c r="T1126" s="11">
        <f t="shared" si="1110"/>
        <v>1</v>
      </c>
      <c r="U1126">
        <f t="shared" si="1102"/>
        <v>26</v>
      </c>
      <c r="V1126">
        <f t="shared" si="1094"/>
        <v>78.150000000000006</v>
      </c>
      <c r="W1126" s="13">
        <f t="shared" si="1095"/>
        <v>1.06E-2</v>
      </c>
      <c r="X1126" s="13">
        <f t="shared" si="1096"/>
        <v>4.6999999999999993E-3</v>
      </c>
      <c r="Y1126">
        <f t="shared" si="1088"/>
        <v>79.34</v>
      </c>
      <c r="Z1126" s="13">
        <f t="shared" si="1083"/>
        <v>7.4000000000000003E-3</v>
      </c>
      <c r="AA1126" s="13">
        <f t="shared" si="1079"/>
        <v>-2.9999999999999992E-4</v>
      </c>
      <c r="AB1126" s="6">
        <f t="shared" si="1089"/>
        <v>86.652000000000001</v>
      </c>
      <c r="AC1126">
        <f t="shared" si="1081"/>
        <v>43</v>
      </c>
      <c r="AD1126" s="11">
        <f t="shared" si="1082"/>
        <v>1</v>
      </c>
      <c r="AE1126">
        <f t="shared" si="1080"/>
        <v>29</v>
      </c>
      <c r="AF1126">
        <f>IF(AND(AE1126&lt;15,OR(AC1126&gt;=30,AA1126&gt;0.15,X1126&gt;=0.15)),2,VLOOKUP(AE1126,Table!P:Q,2,FALSE))</f>
        <v>4</v>
      </c>
      <c r="AG1126" s="22">
        <f>IF((AB1126*0.98)-(D1126*0.8)+((AF1126-3)*3)+VLOOKUP(AM1126,Table!$A$11:$B$13,2,FALSE)&lt;0,0,(AB1126*0.98)-(D1126*0.8)+((AF1126-3)*3)+VLOOKUP(AM1126,Table!$A$11:$B$13,2,FALSE))</f>
        <v>80.45496</v>
      </c>
      <c r="AH1126" s="22">
        <f t="shared" si="1111"/>
        <v>78</v>
      </c>
      <c r="AI1126" s="18">
        <f t="shared" si="1104"/>
        <v>4.99</v>
      </c>
      <c r="AJ1126" s="18">
        <f t="shared" si="1105"/>
        <v>5.04</v>
      </c>
      <c r="AK1126" t="str">
        <f t="shared" si="1090"/>
        <v/>
      </c>
      <c r="AL1126">
        <f t="shared" si="1101"/>
        <v>27.75</v>
      </c>
      <c r="AM1126" s="11" t="str">
        <f t="shared" si="1091"/>
        <v>Stocks</v>
      </c>
      <c r="AN1126" t="str">
        <f t="shared" si="1097"/>
        <v>Buy</v>
      </c>
      <c r="AO1126" s="13">
        <f t="shared" si="1098"/>
        <v>4.3E-3</v>
      </c>
      <c r="AP1126" s="13">
        <f t="shared" si="1099"/>
        <v>1E-3</v>
      </c>
      <c r="AQ1126" s="13">
        <f t="shared" si="1100"/>
        <v>3.5999999999999999E-3</v>
      </c>
      <c r="AR1126" s="13">
        <f t="shared" si="1092"/>
        <v>4.3E-3</v>
      </c>
      <c r="AS1126" s="6">
        <f t="shared" si="1084"/>
        <v>195.74346300805215</v>
      </c>
      <c r="AT1126" s="6">
        <f t="shared" si="1085"/>
        <v>123.1347668769173</v>
      </c>
      <c r="AU1126" s="6">
        <f t="shared" si="1086"/>
        <v>190.28143537710289</v>
      </c>
      <c r="AV1126" s="6">
        <f t="shared" si="1087"/>
        <v>195.74346300805215</v>
      </c>
      <c r="AW1126" s="58">
        <f t="shared" si="1093"/>
        <v>1997</v>
      </c>
      <c r="AX1126" s="58">
        <f>COUNTIF(AW$3:AW1126,AW1126)</f>
        <v>48</v>
      </c>
    </row>
    <row r="1127" spans="1:50" x14ac:dyDescent="0.25">
      <c r="A1127" s="5">
        <v>35456</v>
      </c>
      <c r="B1127">
        <v>770.52</v>
      </c>
      <c r="C1127">
        <v>5.04</v>
      </c>
      <c r="D1127" s="6">
        <v>18.629999000000002</v>
      </c>
      <c r="E1127" s="18">
        <f t="shared" si="1106"/>
        <v>19.13</v>
      </c>
      <c r="F1127">
        <f t="shared" si="1107"/>
        <v>-1</v>
      </c>
      <c r="G1127" s="18">
        <f>ROUND(INDEX(Valuation!U:U,MATCH(A1127,Valuation!A:A,0)),2)</f>
        <v>123.81</v>
      </c>
      <c r="H1127">
        <f t="shared" si="1114"/>
        <v>1</v>
      </c>
      <c r="I1127" s="18">
        <f>INDEX(WeeklyIndicators!Y:Y,MATCH(A1127,WeeklyIndicators!A:A,0))</f>
        <v>114.9</v>
      </c>
      <c r="J1127">
        <f t="shared" si="1103"/>
        <v>-1</v>
      </c>
      <c r="K1127">
        <f>ROUND(INDEX(Economic!AF:AF,MATCH(EOMONTH($A1127,-1),Economic!A:A,0)),2)</f>
        <v>131.32</v>
      </c>
      <c r="L1127" s="11">
        <f t="shared" si="1112"/>
        <v>2</v>
      </c>
      <c r="M1127">
        <f>ROUND(INDEX(Manufacturing!P:P,MATCH(EOMONTH($A1127,-1),Manufacturing!A:A,0)),2)</f>
        <v>102.54</v>
      </c>
      <c r="N1127">
        <f t="shared" si="1108"/>
        <v>2</v>
      </c>
      <c r="O1127">
        <f>ROUND(INDEX(Housing!AC:AC,MATCH(EOMONTH($A1127,-1),Housing!B:B,0)),2)</f>
        <v>103.44</v>
      </c>
      <c r="P1127">
        <f t="shared" si="1109"/>
        <v>0</v>
      </c>
      <c r="Q1127">
        <f>ROUND(INDEX(Spending!AJ:AJ,MATCH(EOMONTH($A1127,-1),Spending!B:B,0)),2)</f>
        <v>51.08</v>
      </c>
      <c r="R1127">
        <f t="shared" si="1113"/>
        <v>1</v>
      </c>
      <c r="S1127">
        <f>ROUND(INDEX(Employment!V:V,MATCH(EOMONTH($A1127,-1),Employment!A:A,0)),2)</f>
        <v>174.45</v>
      </c>
      <c r="T1127" s="11">
        <f t="shared" si="1110"/>
        <v>1</v>
      </c>
      <c r="U1127">
        <f t="shared" si="1102"/>
        <v>25</v>
      </c>
      <c r="V1127">
        <f t="shared" si="1094"/>
        <v>76.63</v>
      </c>
      <c r="W1127" s="13">
        <f t="shared" si="1095"/>
        <v>3.3E-3</v>
      </c>
      <c r="X1127" s="13">
        <f t="shared" si="1096"/>
        <v>-1.6500000000000001E-2</v>
      </c>
      <c r="Y1127">
        <f t="shared" si="1088"/>
        <v>78.08</v>
      </c>
      <c r="Z1127" s="13">
        <f t="shared" si="1083"/>
        <v>2.3999999999999998E-3</v>
      </c>
      <c r="AA1127" s="13">
        <f t="shared" si="1079"/>
        <v>-2.35E-2</v>
      </c>
      <c r="AB1127" s="6">
        <f t="shared" si="1089"/>
        <v>83.771000000000001</v>
      </c>
      <c r="AC1127">
        <f t="shared" si="1081"/>
        <v>42</v>
      </c>
      <c r="AD1127" s="11">
        <f t="shared" si="1082"/>
        <v>1</v>
      </c>
      <c r="AE1127">
        <f t="shared" si="1080"/>
        <v>28</v>
      </c>
      <c r="AF1127">
        <f>IF(AND(AE1127&lt;15,OR(AC1127&gt;=30,AA1127&gt;0.15,X1127&gt;=0.15)),2,VLOOKUP(AE1127,Table!P:Q,2,FALSE))</f>
        <v>4</v>
      </c>
      <c r="AG1127" s="22">
        <f>IF((AB1127*0.98)-(D1127*0.8)+((AF1127-3)*3)+VLOOKUP(AM1127,Table!$A$11:$B$13,2,FALSE)&lt;0,0,(AB1127*0.98)-(D1127*0.8)+((AF1127-3)*3)+VLOOKUP(AM1127,Table!$A$11:$B$13,2,FALSE))</f>
        <v>78.191580799999997</v>
      </c>
      <c r="AH1127" s="22">
        <f t="shared" si="1111"/>
        <v>76</v>
      </c>
      <c r="AI1127" s="18">
        <f t="shared" si="1104"/>
        <v>4.99</v>
      </c>
      <c r="AJ1127" s="18">
        <f t="shared" si="1105"/>
        <v>5.04</v>
      </c>
      <c r="AK1127" t="str">
        <f t="shared" si="1090"/>
        <v/>
      </c>
      <c r="AL1127">
        <f t="shared" si="1101"/>
        <v>27.25</v>
      </c>
      <c r="AM1127" s="11" t="str">
        <f t="shared" si="1091"/>
        <v>Stocks</v>
      </c>
      <c r="AN1127" t="str">
        <f t="shared" si="1097"/>
        <v>Buy</v>
      </c>
      <c r="AO1127" s="13">
        <f t="shared" si="1098"/>
        <v>2.0299999999999999E-2</v>
      </c>
      <c r="AP1127" s="13">
        <f t="shared" si="1099"/>
        <v>1E-3</v>
      </c>
      <c r="AQ1127" s="13">
        <f t="shared" si="1100"/>
        <v>1.5699999999999999E-2</v>
      </c>
      <c r="AR1127" s="13">
        <f t="shared" si="1092"/>
        <v>2.0299999999999999E-2</v>
      </c>
      <c r="AS1127" s="6">
        <f t="shared" si="1084"/>
        <v>191.84892973444295</v>
      </c>
      <c r="AT1127" s="6">
        <f t="shared" si="1085"/>
        <v>123.01175512179552</v>
      </c>
      <c r="AU1127" s="6">
        <f t="shared" si="1086"/>
        <v>187.34019432618183</v>
      </c>
      <c r="AV1127" s="6">
        <f t="shared" si="1087"/>
        <v>191.84892973444295</v>
      </c>
      <c r="AW1127" s="58">
        <f t="shared" si="1093"/>
        <v>1997</v>
      </c>
      <c r="AX1127" s="58">
        <f>COUNTIF(AW$3:AW1127,AW1127)</f>
        <v>49</v>
      </c>
    </row>
    <row r="1128" spans="1:50" x14ac:dyDescent="0.25">
      <c r="A1128" s="5">
        <v>35449</v>
      </c>
      <c r="B1128">
        <v>776.17</v>
      </c>
      <c r="C1128">
        <v>5.03</v>
      </c>
      <c r="D1128" s="6">
        <v>19.629999000000002</v>
      </c>
      <c r="E1128" s="18">
        <f t="shared" si="1106"/>
        <v>19.3</v>
      </c>
      <c r="F1128">
        <f t="shared" si="1107"/>
        <v>-1</v>
      </c>
      <c r="G1128" s="18">
        <f>ROUND(INDEX(Valuation!U:U,MATCH(A1128,Valuation!A:A,0)),2)</f>
        <v>126.23</v>
      </c>
      <c r="H1128">
        <f t="shared" si="1114"/>
        <v>1</v>
      </c>
      <c r="I1128" s="18">
        <f>INDEX(WeeklyIndicators!Y:Y,MATCH(A1128,WeeklyIndicators!A:A,0))</f>
        <v>109.04</v>
      </c>
      <c r="J1128">
        <f t="shared" si="1103"/>
        <v>-1</v>
      </c>
      <c r="K1128">
        <f>ROUND(INDEX(Economic!AF:AF,MATCH(EOMONTH($A1128,-1),Economic!A:A,0)),2)</f>
        <v>131.32</v>
      </c>
      <c r="L1128" s="11">
        <f t="shared" si="1112"/>
        <v>2</v>
      </c>
      <c r="M1128">
        <f>ROUND(INDEX(Manufacturing!P:P,MATCH(EOMONTH($A1128,-1),Manufacturing!A:A,0)),2)</f>
        <v>102.54</v>
      </c>
      <c r="N1128">
        <f t="shared" si="1108"/>
        <v>2</v>
      </c>
      <c r="O1128">
        <f>ROUND(INDEX(Housing!AC:AC,MATCH(EOMONTH($A1128,-1),Housing!B:B,0)),2)</f>
        <v>103.44</v>
      </c>
      <c r="P1128">
        <f t="shared" si="1109"/>
        <v>0</v>
      </c>
      <c r="Q1128">
        <f>ROUND(INDEX(Spending!AJ:AJ,MATCH(EOMONTH($A1128,-1),Spending!B:B,0)),2)</f>
        <v>51.08</v>
      </c>
      <c r="R1128">
        <f t="shared" si="1113"/>
        <v>1</v>
      </c>
      <c r="S1128">
        <f>ROUND(INDEX(Employment!V:V,MATCH(EOMONTH($A1128,-1),Employment!A:A,0)),2)</f>
        <v>174.45</v>
      </c>
      <c r="T1128" s="11">
        <f t="shared" si="1110"/>
        <v>1</v>
      </c>
      <c r="U1128">
        <f t="shared" si="1102"/>
        <v>25</v>
      </c>
      <c r="V1128">
        <f t="shared" si="1094"/>
        <v>76.02</v>
      </c>
      <c r="W1128" s="13">
        <f t="shared" si="1095"/>
        <v>-1.6999999999999999E-3</v>
      </c>
      <c r="X1128" s="13">
        <f t="shared" si="1096"/>
        <v>-3.0199999999999998E-2</v>
      </c>
      <c r="Y1128">
        <f t="shared" si="1088"/>
        <v>77.680000000000007</v>
      </c>
      <c r="Z1128" s="13">
        <f t="shared" si="1083"/>
        <v>-2E-3</v>
      </c>
      <c r="AA1128" s="13">
        <f t="shared" si="1079"/>
        <v>-4.4399999999999995E-2</v>
      </c>
      <c r="AB1128" s="6">
        <f t="shared" si="1089"/>
        <v>82.063000000000002</v>
      </c>
      <c r="AC1128">
        <f t="shared" si="1081"/>
        <v>41</v>
      </c>
      <c r="AD1128" s="11">
        <f t="shared" si="1082"/>
        <v>0</v>
      </c>
      <c r="AE1128">
        <f t="shared" si="1080"/>
        <v>27</v>
      </c>
      <c r="AF1128">
        <f>IF(AND(AE1128&lt;15,OR(AC1128&gt;=30,AA1128&gt;0.15,X1128&gt;=0.15)),2,VLOOKUP(AE1128,Table!P:Q,2,FALSE))</f>
        <v>4</v>
      </c>
      <c r="AG1128" s="22">
        <f>IF((AB1128*0.98)-(D1128*0.8)+((AF1128-3)*3)+VLOOKUP(AM1128,Table!$A$11:$B$13,2,FALSE)&lt;0,0,(AB1128*0.98)-(D1128*0.8)+((AF1128-3)*3)+VLOOKUP(AM1128,Table!$A$11:$B$13,2,FALSE))</f>
        <v>75.717740800000001</v>
      </c>
      <c r="AH1128" s="22">
        <f t="shared" si="1111"/>
        <v>75</v>
      </c>
      <c r="AI1128" s="18">
        <f t="shared" si="1104"/>
        <v>4.99</v>
      </c>
      <c r="AJ1128" s="18">
        <f t="shared" si="1105"/>
        <v>5.04</v>
      </c>
      <c r="AK1128" t="str">
        <f t="shared" si="1090"/>
        <v/>
      </c>
      <c r="AL1128">
        <f t="shared" si="1101"/>
        <v>27</v>
      </c>
      <c r="AM1128" s="11" t="str">
        <f t="shared" si="1091"/>
        <v>Stocks</v>
      </c>
      <c r="AN1128" t="str">
        <f t="shared" si="1097"/>
        <v>Buy</v>
      </c>
      <c r="AO1128" s="13">
        <f t="shared" si="1098"/>
        <v>-7.3000000000000001E-3</v>
      </c>
      <c r="AP1128" s="13">
        <f t="shared" si="1099"/>
        <v>1E-3</v>
      </c>
      <c r="AQ1128" s="13">
        <f t="shared" si="1100"/>
        <v>-5.1999999999999998E-3</v>
      </c>
      <c r="AR1128" s="13">
        <f t="shared" si="1092"/>
        <v>-7.3000000000000001E-3</v>
      </c>
      <c r="AS1128" s="6">
        <f t="shared" si="1084"/>
        <v>193.25972573228864</v>
      </c>
      <c r="AT1128" s="6">
        <f t="shared" si="1085"/>
        <v>122.88886625553999</v>
      </c>
      <c r="AU1128" s="6">
        <f t="shared" si="1086"/>
        <v>188.31945549475455</v>
      </c>
      <c r="AV1128" s="6">
        <f t="shared" si="1087"/>
        <v>193.25972573228864</v>
      </c>
      <c r="AW1128" s="58">
        <f t="shared" si="1093"/>
        <v>1997</v>
      </c>
      <c r="AX1128" s="58">
        <f>COUNTIF(AW$3:AW1128,AW1128)</f>
        <v>50</v>
      </c>
    </row>
    <row r="1129" spans="1:50" x14ac:dyDescent="0.25">
      <c r="A1129" s="5">
        <v>35442</v>
      </c>
      <c r="B1129">
        <v>759.5</v>
      </c>
      <c r="C1129">
        <v>5.03</v>
      </c>
      <c r="D1129" s="6">
        <v>19.129999000000002</v>
      </c>
      <c r="E1129" s="18">
        <f t="shared" si="1106"/>
        <v>19.04</v>
      </c>
      <c r="F1129">
        <f t="shared" si="1107"/>
        <v>-1</v>
      </c>
      <c r="G1129" s="18">
        <f>ROUND(INDEX(Valuation!U:U,MATCH(A1129,Valuation!A:A,0)),2)</f>
        <v>127.51</v>
      </c>
      <c r="H1129">
        <f t="shared" si="1114"/>
        <v>1</v>
      </c>
      <c r="I1129" s="18">
        <f>INDEX(WeeklyIndicators!Y:Y,MATCH(A1129,WeeklyIndicators!A:A,0))</f>
        <v>106.2</v>
      </c>
      <c r="J1129">
        <f t="shared" si="1103"/>
        <v>-1</v>
      </c>
      <c r="K1129">
        <f>ROUND(INDEX(Economic!AF:AF,MATCH(EOMONTH($A1129,-1),Economic!A:A,0)),2)</f>
        <v>131.32</v>
      </c>
      <c r="L1129" s="11">
        <f t="shared" si="1112"/>
        <v>2</v>
      </c>
      <c r="M1129">
        <f>ROUND(INDEX(Manufacturing!P:P,MATCH(EOMONTH($A1129,-1),Manufacturing!A:A,0)),2)</f>
        <v>102.54</v>
      </c>
      <c r="N1129">
        <f t="shared" si="1108"/>
        <v>2</v>
      </c>
      <c r="O1129">
        <f>ROUND(INDEX(Housing!AC:AC,MATCH(EOMONTH($A1129,-1),Housing!B:B,0)),2)</f>
        <v>103.44</v>
      </c>
      <c r="P1129">
        <f t="shared" si="1109"/>
        <v>0</v>
      </c>
      <c r="Q1129">
        <f>ROUND(INDEX(Spending!AJ:AJ,MATCH(EOMONTH($A1129,-1),Spending!B:B,0)),2)</f>
        <v>51.08</v>
      </c>
      <c r="R1129">
        <f t="shared" si="1113"/>
        <v>1</v>
      </c>
      <c r="S1129">
        <f>ROUND(INDEX(Employment!V:V,MATCH(EOMONTH($A1129,-1),Employment!A:A,0)),2)</f>
        <v>174.45</v>
      </c>
      <c r="T1129" s="11">
        <f t="shared" si="1110"/>
        <v>1</v>
      </c>
      <c r="U1129">
        <f t="shared" si="1102"/>
        <v>25</v>
      </c>
      <c r="V1129">
        <f t="shared" si="1094"/>
        <v>75.73</v>
      </c>
      <c r="W1129" s="13">
        <f t="shared" si="1095"/>
        <v>-7.4999999999999997E-3</v>
      </c>
      <c r="X1129" s="13">
        <f t="shared" si="1096"/>
        <v>-3.5099999999999999E-2</v>
      </c>
      <c r="Y1129">
        <f t="shared" si="1088"/>
        <v>77.62</v>
      </c>
      <c r="Z1129" s="13">
        <f t="shared" si="1083"/>
        <v>-8.0999999999999996E-3</v>
      </c>
      <c r="AA1129" s="13">
        <f t="shared" si="1079"/>
        <v>-5.7800000000000004E-2</v>
      </c>
      <c r="AB1129" s="6">
        <f t="shared" si="1089"/>
        <v>81.171000000000006</v>
      </c>
      <c r="AC1129">
        <f t="shared" si="1081"/>
        <v>41</v>
      </c>
      <c r="AD1129" s="11">
        <f t="shared" si="1082"/>
        <v>0</v>
      </c>
      <c r="AE1129">
        <f t="shared" si="1080"/>
        <v>27</v>
      </c>
      <c r="AF1129">
        <f>IF(AND(AE1129&lt;15,OR(AC1129&gt;=30,AA1129&gt;0.15,X1129&gt;=0.15)),2,VLOOKUP(AE1129,Table!P:Q,2,FALSE))</f>
        <v>4</v>
      </c>
      <c r="AG1129" s="22">
        <f>IF((AB1129*0.98)-(D1129*0.8)+((AF1129-3)*3)+VLOOKUP(AM1129,Table!$A$11:$B$13,2,FALSE)&lt;0,0,(AB1129*0.98)-(D1129*0.8)+((AF1129-3)*3)+VLOOKUP(AM1129,Table!$A$11:$B$13,2,FALSE))</f>
        <v>75.243580800000004</v>
      </c>
      <c r="AH1129" s="22">
        <f t="shared" si="1111"/>
        <v>76</v>
      </c>
      <c r="AI1129" s="18">
        <f t="shared" si="1104"/>
        <v>4.99</v>
      </c>
      <c r="AJ1129" s="18">
        <f t="shared" si="1105"/>
        <v>5.03</v>
      </c>
      <c r="AK1129" t="str">
        <f t="shared" si="1090"/>
        <v/>
      </c>
      <c r="AL1129">
        <f t="shared" si="1101"/>
        <v>27.5</v>
      </c>
      <c r="AM1129" s="11" t="str">
        <f t="shared" si="1091"/>
        <v>Stocks</v>
      </c>
      <c r="AN1129" t="str">
        <f t="shared" si="1097"/>
        <v>Buy</v>
      </c>
      <c r="AO1129" s="13">
        <f t="shared" si="1098"/>
        <v>2.1899999999999999E-2</v>
      </c>
      <c r="AP1129" s="13">
        <f t="shared" si="1099"/>
        <v>1E-3</v>
      </c>
      <c r="AQ1129" s="13">
        <f t="shared" si="1100"/>
        <v>1.6899999999999998E-2</v>
      </c>
      <c r="AR1129" s="13">
        <f t="shared" si="1092"/>
        <v>2.1899999999999999E-2</v>
      </c>
      <c r="AS1129" s="6">
        <f t="shared" si="1084"/>
        <v>189.11804064222395</v>
      </c>
      <c r="AT1129" s="6">
        <f t="shared" si="1085"/>
        <v>122.76610015538462</v>
      </c>
      <c r="AU1129" s="6">
        <f t="shared" si="1086"/>
        <v>185.18974874103114</v>
      </c>
      <c r="AV1129" s="6">
        <f t="shared" si="1087"/>
        <v>189.11804064222395</v>
      </c>
      <c r="AW1129" s="58">
        <f t="shared" si="1093"/>
        <v>1997</v>
      </c>
      <c r="AX1129" s="58">
        <f>COUNTIF(AW$3:AW1129,AW1129)</f>
        <v>51</v>
      </c>
    </row>
    <row r="1130" spans="1:50" x14ac:dyDescent="0.25">
      <c r="A1130" s="5">
        <v>35435</v>
      </c>
      <c r="B1130">
        <v>748.03</v>
      </c>
      <c r="C1130">
        <v>5.05</v>
      </c>
      <c r="D1130" s="6">
        <v>19.129999000000002</v>
      </c>
      <c r="E1130" s="18">
        <f t="shared" si="1106"/>
        <v>19.690000000000001</v>
      </c>
      <c r="F1130">
        <f t="shared" si="1107"/>
        <v>-1</v>
      </c>
      <c r="G1130" s="18">
        <f>ROUND(INDEX(Valuation!U:U,MATCH(A1130,Valuation!A:A,0)),2)</f>
        <v>127.5</v>
      </c>
      <c r="H1130">
        <f t="shared" si="1114"/>
        <v>1</v>
      </c>
      <c r="I1130" s="18">
        <f>INDEX(WeeklyIndicators!Y:Y,MATCH(A1130,WeeklyIndicators!A:A,0))</f>
        <v>107.57</v>
      </c>
      <c r="J1130">
        <f t="shared" si="1103"/>
        <v>-1</v>
      </c>
      <c r="K1130">
        <f>ROUND(INDEX(Economic!AF:AF,MATCH(EOMONTH($A1130,-1),Economic!A:A,0)),2)</f>
        <v>131.32</v>
      </c>
      <c r="L1130" s="11">
        <f t="shared" si="1112"/>
        <v>2</v>
      </c>
      <c r="M1130">
        <f>ROUND(INDEX(Manufacturing!P:P,MATCH(EOMONTH($A1130,-1),Manufacturing!A:A,0)),2)</f>
        <v>102.54</v>
      </c>
      <c r="N1130">
        <f t="shared" si="1108"/>
        <v>2</v>
      </c>
      <c r="O1130">
        <f>ROUND(INDEX(Housing!AC:AC,MATCH(EOMONTH($A1130,-1),Housing!B:B,0)),2)</f>
        <v>103.44</v>
      </c>
      <c r="P1130">
        <f t="shared" si="1109"/>
        <v>0</v>
      </c>
      <c r="Q1130">
        <f>ROUND(INDEX(Spending!AJ:AJ,MATCH(EOMONTH($A1130,-1),Spending!B:B,0)),2)</f>
        <v>51.08</v>
      </c>
      <c r="R1130">
        <f t="shared" si="1113"/>
        <v>1</v>
      </c>
      <c r="S1130">
        <f>ROUND(INDEX(Employment!V:V,MATCH(EOMONTH($A1130,-1),Employment!A:A,0)),2)</f>
        <v>174.45</v>
      </c>
      <c r="T1130" s="11">
        <f t="shared" si="1110"/>
        <v>1</v>
      </c>
      <c r="U1130">
        <f t="shared" si="1102"/>
        <v>25</v>
      </c>
      <c r="V1130">
        <f t="shared" si="1094"/>
        <v>75.87</v>
      </c>
      <c r="W1130" s="13">
        <f t="shared" si="1095"/>
        <v>-1.06E-2</v>
      </c>
      <c r="X1130" s="13">
        <f t="shared" si="1096"/>
        <v>-3.5000000000000003E-2</v>
      </c>
      <c r="Y1130">
        <f t="shared" si="1088"/>
        <v>77.53</v>
      </c>
      <c r="Z1130" s="13">
        <f t="shared" si="1083"/>
        <v>-1.5800000000000002E-2</v>
      </c>
      <c r="AA1130" s="13">
        <f t="shared" si="1079"/>
        <v>-6.2299999999999994E-2</v>
      </c>
      <c r="AB1130" s="6">
        <f t="shared" si="1089"/>
        <v>80.78</v>
      </c>
      <c r="AC1130">
        <f t="shared" si="1081"/>
        <v>40</v>
      </c>
      <c r="AD1130" s="11">
        <f t="shared" si="1082"/>
        <v>0</v>
      </c>
      <c r="AE1130">
        <f t="shared" si="1080"/>
        <v>27</v>
      </c>
      <c r="AF1130">
        <f>IF(AND(AE1130&lt;15,OR(AC1130&gt;=30,AA1130&gt;0.15,X1130&gt;=0.15)),2,VLOOKUP(AE1130,Table!P:Q,2,FALSE))</f>
        <v>4</v>
      </c>
      <c r="AG1130" s="22">
        <f>IF((AB1130*0.98)-(D1130*0.8)+((AF1130-3)*3)+VLOOKUP(AM1130,Table!$A$11:$B$13,2,FALSE)&lt;0,0,(AB1130*0.98)-(D1130*0.8)+((AF1130-3)*3)+VLOOKUP(AM1130,Table!$A$11:$B$13,2,FALSE))</f>
        <v>74.860400800000008</v>
      </c>
      <c r="AH1130" s="22">
        <f t="shared" si="1111"/>
        <v>76</v>
      </c>
      <c r="AI1130" s="18">
        <f t="shared" si="1104"/>
        <v>4.9800000000000004</v>
      </c>
      <c r="AJ1130" s="18">
        <f t="shared" si="1105"/>
        <v>5.03</v>
      </c>
      <c r="AK1130" t="str">
        <f t="shared" si="1090"/>
        <v/>
      </c>
      <c r="AL1130">
        <f t="shared" si="1101"/>
        <v>28.25</v>
      </c>
      <c r="AM1130" s="11" t="str">
        <f t="shared" si="1091"/>
        <v>Stocks</v>
      </c>
      <c r="AN1130" t="str">
        <f t="shared" si="1097"/>
        <v>Buy</v>
      </c>
      <c r="AO1130" s="13">
        <f t="shared" si="1098"/>
        <v>1.5299999999999999E-2</v>
      </c>
      <c r="AP1130" s="13">
        <f t="shared" si="1099"/>
        <v>1E-3</v>
      </c>
      <c r="AQ1130" s="13">
        <f t="shared" si="1100"/>
        <v>1.1900000000000001E-2</v>
      </c>
      <c r="AR1130" s="13">
        <f t="shared" si="1092"/>
        <v>1.5299999999999999E-2</v>
      </c>
      <c r="AS1130" s="6">
        <f t="shared" si="1084"/>
        <v>186.26813812885248</v>
      </c>
      <c r="AT1130" s="6">
        <f t="shared" si="1085"/>
        <v>122.64345669868595</v>
      </c>
      <c r="AU1130" s="6">
        <f t="shared" si="1086"/>
        <v>183.01190704716981</v>
      </c>
      <c r="AV1130" s="6">
        <f t="shared" si="1087"/>
        <v>186.26813812885248</v>
      </c>
      <c r="AW1130" s="58">
        <f t="shared" si="1093"/>
        <v>1997</v>
      </c>
      <c r="AX1130" s="58">
        <f>COUNTIF(AW$3:AW1130,AW1130)</f>
        <v>52</v>
      </c>
    </row>
    <row r="1131" spans="1:50" x14ac:dyDescent="0.25">
      <c r="A1131" s="5">
        <v>35428</v>
      </c>
      <c r="B1131">
        <v>756.79</v>
      </c>
      <c r="C1131">
        <v>4.97</v>
      </c>
      <c r="D1131" s="6">
        <v>18.850000000000001</v>
      </c>
      <c r="E1131" s="18">
        <f t="shared" si="1106"/>
        <v>19.59</v>
      </c>
      <c r="F1131">
        <f t="shared" si="1107"/>
        <v>-1</v>
      </c>
      <c r="G1131" s="18">
        <f>ROUND(INDEX(Valuation!U:U,MATCH(A1131,Valuation!A:A,0)),2)</f>
        <v>127.87</v>
      </c>
      <c r="H1131">
        <f t="shared" si="1114"/>
        <v>1</v>
      </c>
      <c r="I1131" s="18">
        <f>INDEX(WeeklyIndicators!Y:Y,MATCH(A1131,WeeklyIndicators!A:A,0))</f>
        <v>113.86</v>
      </c>
      <c r="J1131">
        <f t="shared" si="1103"/>
        <v>-1</v>
      </c>
      <c r="K1131">
        <f>ROUND(INDEX(Economic!AF:AF,MATCH(EOMONTH($A1131,-1),Economic!A:A,0)),2)</f>
        <v>130.34</v>
      </c>
      <c r="L1131" s="11">
        <f t="shared" si="1112"/>
        <v>2</v>
      </c>
      <c r="M1131">
        <f>ROUND(INDEX(Manufacturing!P:P,MATCH(EOMONTH($A1131,-1),Manufacturing!A:A,0)),2)</f>
        <v>99.72</v>
      </c>
      <c r="N1131">
        <f t="shared" si="1108"/>
        <v>1</v>
      </c>
      <c r="O1131">
        <f>ROUND(INDEX(Housing!AC:AC,MATCH(EOMONTH($A1131,-1),Housing!B:B,0)),2)</f>
        <v>102.46</v>
      </c>
      <c r="P1131">
        <f t="shared" si="1109"/>
        <v>0</v>
      </c>
      <c r="Q1131">
        <f>ROUND(INDEX(Spending!AJ:AJ,MATCH(EOMONTH($A1131,-1),Spending!B:B,0)),2)</f>
        <v>50.61</v>
      </c>
      <c r="R1131">
        <f t="shared" si="1113"/>
        <v>1</v>
      </c>
      <c r="S1131">
        <f>ROUND(INDEX(Employment!V:V,MATCH(EOMONTH($A1131,-1),Employment!A:A,0)),2)</f>
        <v>180.58</v>
      </c>
      <c r="T1131" s="11">
        <f t="shared" si="1110"/>
        <v>2</v>
      </c>
      <c r="U1131">
        <f t="shared" si="1102"/>
        <v>25</v>
      </c>
      <c r="V1131">
        <f t="shared" si="1094"/>
        <v>76.400000000000006</v>
      </c>
      <c r="W1131" s="13">
        <f t="shared" si="1095"/>
        <v>-1.04E-2</v>
      </c>
      <c r="X1131" s="13">
        <f t="shared" si="1096"/>
        <v>-2.8400000000000002E-2</v>
      </c>
      <c r="Y1131">
        <f t="shared" si="1088"/>
        <v>78.14</v>
      </c>
      <c r="Z1131" s="13">
        <f t="shared" si="1083"/>
        <v>-1.8499999999999999E-2</v>
      </c>
      <c r="AA1131" s="13">
        <f t="shared" si="1079"/>
        <v>-5.2699999999999997E-2</v>
      </c>
      <c r="AB1131" s="6">
        <f t="shared" si="1089"/>
        <v>82.157000000000011</v>
      </c>
      <c r="AC1131">
        <f t="shared" si="1081"/>
        <v>41</v>
      </c>
      <c r="AD1131" s="11">
        <f t="shared" si="1082"/>
        <v>0</v>
      </c>
      <c r="AE1131">
        <f t="shared" si="1080"/>
        <v>27</v>
      </c>
      <c r="AF1131">
        <f>IF(AND(AE1131&lt;15,OR(AC1131&gt;=30,AA1131&gt;0.15,X1131&gt;=0.15)),2,VLOOKUP(AE1131,Table!P:Q,2,FALSE))</f>
        <v>4</v>
      </c>
      <c r="AG1131" s="22">
        <f>IF((AB1131*0.98)-(D1131*0.8)+((AF1131-3)*3)+VLOOKUP(AM1131,Table!$A$11:$B$13,2,FALSE)&lt;0,0,(AB1131*0.98)-(D1131*0.8)+((AF1131-3)*3)+VLOOKUP(AM1131,Table!$A$11:$B$13,2,FALSE))</f>
        <v>76.43386000000001</v>
      </c>
      <c r="AH1131" s="22">
        <f t="shared" si="1111"/>
        <v>79</v>
      </c>
      <c r="AI1131" s="18">
        <f t="shared" si="1104"/>
        <v>4.97</v>
      </c>
      <c r="AJ1131" s="18">
        <f t="shared" si="1105"/>
        <v>5.03</v>
      </c>
      <c r="AK1131" t="str">
        <f t="shared" si="1090"/>
        <v/>
      </c>
      <c r="AL1131">
        <f t="shared" si="1101"/>
        <v>29.5</v>
      </c>
      <c r="AM1131" s="11" t="str">
        <f t="shared" si="1091"/>
        <v>Stocks</v>
      </c>
      <c r="AN1131" t="str">
        <f t="shared" si="1097"/>
        <v>Buy</v>
      </c>
      <c r="AO1131" s="13">
        <f t="shared" si="1098"/>
        <v>-1.1599999999999999E-2</v>
      </c>
      <c r="AP1131" s="13">
        <f t="shared" si="1099"/>
        <v>1E-3</v>
      </c>
      <c r="AQ1131" s="13">
        <f t="shared" si="1100"/>
        <v>-8.9999999999999993E-3</v>
      </c>
      <c r="AR1131" s="13">
        <f t="shared" si="1092"/>
        <v>-1.1599999999999999E-2</v>
      </c>
      <c r="AS1131" s="6">
        <f t="shared" si="1084"/>
        <v>188.45420692923159</v>
      </c>
      <c r="AT1131" s="6">
        <f t="shared" si="1085"/>
        <v>122.52093576292305</v>
      </c>
      <c r="AU1131" s="6">
        <f t="shared" si="1086"/>
        <v>184.67397280239135</v>
      </c>
      <c r="AV1131" s="6">
        <f t="shared" si="1087"/>
        <v>188.45420692923159</v>
      </c>
      <c r="AW1131" s="58">
        <f t="shared" si="1093"/>
        <v>1996</v>
      </c>
      <c r="AX1131" s="58">
        <f>COUNTIF(AW$3:AW1131,AW1131)</f>
        <v>1</v>
      </c>
    </row>
    <row r="1132" spans="1:50" x14ac:dyDescent="0.25">
      <c r="A1132" s="5">
        <v>35421</v>
      </c>
      <c r="B1132">
        <v>748.87</v>
      </c>
      <c r="C1132">
        <v>4.88</v>
      </c>
      <c r="D1132" s="6">
        <v>21.09</v>
      </c>
      <c r="E1132" s="18">
        <f t="shared" si="1106"/>
        <v>19.02</v>
      </c>
      <c r="F1132">
        <f t="shared" si="1107"/>
        <v>-1</v>
      </c>
      <c r="G1132" s="18">
        <f>ROUND(INDEX(Valuation!U:U,MATCH(A1132,Valuation!A:A,0)),2)</f>
        <v>129.05000000000001</v>
      </c>
      <c r="H1132">
        <f t="shared" si="1114"/>
        <v>1</v>
      </c>
      <c r="I1132" s="18">
        <f>INDEX(WeeklyIndicators!Y:Y,MATCH(A1132,WeeklyIndicators!A:A,0))</f>
        <v>124.03</v>
      </c>
      <c r="J1132">
        <f t="shared" si="1103"/>
        <v>0</v>
      </c>
      <c r="K1132">
        <f>ROUND(INDEX(Economic!AF:AF,MATCH(EOMONTH($A1132,-1),Economic!A:A,0)),2)</f>
        <v>130.34</v>
      </c>
      <c r="L1132" s="11">
        <f t="shared" si="1112"/>
        <v>2</v>
      </c>
      <c r="M1132">
        <f>ROUND(INDEX(Manufacturing!P:P,MATCH(EOMONTH($A1132,-1),Manufacturing!A:A,0)),2)</f>
        <v>99.72</v>
      </c>
      <c r="N1132">
        <f t="shared" si="1108"/>
        <v>1</v>
      </c>
      <c r="O1132">
        <f>ROUND(INDEX(Housing!AC:AC,MATCH(EOMONTH($A1132,-1),Housing!B:B,0)),2)</f>
        <v>102.46</v>
      </c>
      <c r="P1132">
        <f t="shared" si="1109"/>
        <v>0</v>
      </c>
      <c r="Q1132">
        <f>ROUND(INDEX(Spending!AJ:AJ,MATCH(EOMONTH($A1132,-1),Spending!B:B,0)),2)</f>
        <v>50.61</v>
      </c>
      <c r="R1132">
        <f t="shared" si="1113"/>
        <v>1</v>
      </c>
      <c r="S1132">
        <f>ROUND(INDEX(Employment!V:V,MATCH(EOMONTH($A1132,-1),Employment!A:A,0)),2)</f>
        <v>180.58</v>
      </c>
      <c r="T1132" s="11">
        <f t="shared" si="1110"/>
        <v>2</v>
      </c>
      <c r="U1132">
        <f t="shared" si="1102"/>
        <v>26</v>
      </c>
      <c r="V1132">
        <f t="shared" si="1094"/>
        <v>77.459999999999994</v>
      </c>
      <c r="W1132" s="13">
        <f t="shared" si="1095"/>
        <v>-6.6E-3</v>
      </c>
      <c r="X1132" s="13">
        <f t="shared" si="1096"/>
        <v>-1.9300000000000001E-2</v>
      </c>
      <c r="Y1132">
        <f t="shared" si="1088"/>
        <v>79.53</v>
      </c>
      <c r="Z1132" s="13">
        <f t="shared" si="1083"/>
        <v>-1.54E-2</v>
      </c>
      <c r="AA1132" s="13">
        <f t="shared" si="1079"/>
        <v>-3.73E-2</v>
      </c>
      <c r="AB1132" s="6">
        <f t="shared" si="1089"/>
        <v>84.825000000000003</v>
      </c>
      <c r="AC1132">
        <f t="shared" si="1081"/>
        <v>42</v>
      </c>
      <c r="AD1132" s="11">
        <f t="shared" si="1082"/>
        <v>1</v>
      </c>
      <c r="AE1132">
        <f t="shared" si="1080"/>
        <v>29</v>
      </c>
      <c r="AF1132">
        <f>IF(AND(AE1132&lt;15,OR(AC1132&gt;=30,AA1132&gt;0.15,X1132&gt;=0.15)),2,VLOOKUP(AE1132,Table!P:Q,2,FALSE))</f>
        <v>4</v>
      </c>
      <c r="AG1132" s="22">
        <f>IF((AB1132*0.98)-(D1132*0.8)+((AF1132-3)*3)+VLOOKUP(AM1132,Table!$A$11:$B$13,2,FALSE)&lt;0,0,(AB1132*0.98)-(D1132*0.8)+((AF1132-3)*3)+VLOOKUP(AM1132,Table!$A$11:$B$13,2,FALSE))</f>
        <v>77.256500000000003</v>
      </c>
      <c r="AH1132" s="22">
        <f t="shared" si="1111"/>
        <v>83</v>
      </c>
      <c r="AI1132" s="18">
        <f t="shared" si="1104"/>
        <v>4.97</v>
      </c>
      <c r="AJ1132" s="18">
        <f t="shared" si="1105"/>
        <v>5.03</v>
      </c>
      <c r="AK1132" t="str">
        <f t="shared" si="1090"/>
        <v/>
      </c>
      <c r="AL1132">
        <f t="shared" si="1101"/>
        <v>30.75</v>
      </c>
      <c r="AM1132" s="11" t="str">
        <f t="shared" si="1091"/>
        <v>Stocks</v>
      </c>
      <c r="AN1132" t="str">
        <f t="shared" si="1097"/>
        <v>Buy</v>
      </c>
      <c r="AO1132" s="13">
        <f t="shared" si="1098"/>
        <v>1.06E-2</v>
      </c>
      <c r="AP1132" s="13">
        <f t="shared" si="1099"/>
        <v>8.9999999999999998E-4</v>
      </c>
      <c r="AQ1132" s="13">
        <f t="shared" si="1100"/>
        <v>8.9999999999999993E-3</v>
      </c>
      <c r="AR1132" s="13">
        <f t="shared" si="1092"/>
        <v>1.06E-2</v>
      </c>
      <c r="AS1132" s="6">
        <f t="shared" si="1084"/>
        <v>186.47754495273264</v>
      </c>
      <c r="AT1132" s="6">
        <f t="shared" si="1085"/>
        <v>122.41076607345694</v>
      </c>
      <c r="AU1132" s="6">
        <f t="shared" si="1086"/>
        <v>183.02673221247906</v>
      </c>
      <c r="AV1132" s="6">
        <f t="shared" si="1087"/>
        <v>186.47754495273264</v>
      </c>
      <c r="AW1132" s="58">
        <f t="shared" si="1093"/>
        <v>1996</v>
      </c>
      <c r="AX1132" s="58">
        <f>COUNTIF(AW$3:AW1132,AW1132)</f>
        <v>2</v>
      </c>
    </row>
    <row r="1133" spans="1:50" x14ac:dyDescent="0.25">
      <c r="A1133" s="5">
        <v>35414</v>
      </c>
      <c r="B1133">
        <v>728.64</v>
      </c>
      <c r="C1133">
        <v>4.83</v>
      </c>
      <c r="D1133" s="6">
        <v>18.82</v>
      </c>
      <c r="E1133" s="18">
        <f t="shared" si="1106"/>
        <v>16.96</v>
      </c>
      <c r="F1133">
        <f t="shared" si="1107"/>
        <v>0</v>
      </c>
      <c r="G1133" s="18">
        <f>ROUND(INDEX(Valuation!U:U,MATCH(A1133,Valuation!A:A,0)),2)</f>
        <v>130.79</v>
      </c>
      <c r="H1133">
        <f t="shared" si="1114"/>
        <v>1</v>
      </c>
      <c r="I1133" s="18">
        <f>INDEX(WeeklyIndicators!Y:Y,MATCH(A1133,WeeklyIndicators!A:A,0))</f>
        <v>132.47</v>
      </c>
      <c r="J1133">
        <f t="shared" si="1103"/>
        <v>0</v>
      </c>
      <c r="K1133">
        <f>ROUND(INDEX(Economic!AF:AF,MATCH(EOMONTH($A1133,-1),Economic!A:A,0)),2)</f>
        <v>130.34</v>
      </c>
      <c r="L1133" s="11">
        <f t="shared" si="1112"/>
        <v>2</v>
      </c>
      <c r="M1133">
        <f>ROUND(INDEX(Manufacturing!P:P,MATCH(EOMONTH($A1133,-1),Manufacturing!A:A,0)),2)</f>
        <v>99.72</v>
      </c>
      <c r="N1133">
        <f t="shared" si="1108"/>
        <v>1</v>
      </c>
      <c r="O1133">
        <f>ROUND(INDEX(Housing!AC:AC,MATCH(EOMONTH($A1133,-1),Housing!B:B,0)),2)</f>
        <v>102.46</v>
      </c>
      <c r="P1133">
        <f t="shared" si="1109"/>
        <v>0</v>
      </c>
      <c r="Q1133">
        <f>ROUND(INDEX(Spending!AJ:AJ,MATCH(EOMONTH($A1133,-1),Spending!B:B,0)),2)</f>
        <v>50.61</v>
      </c>
      <c r="R1133">
        <f t="shared" si="1113"/>
        <v>1</v>
      </c>
      <c r="S1133">
        <f>ROUND(INDEX(Employment!V:V,MATCH(EOMONTH($A1133,-1),Employment!A:A,0)),2)</f>
        <v>180.58</v>
      </c>
      <c r="T1133" s="11">
        <f t="shared" si="1110"/>
        <v>2</v>
      </c>
      <c r="U1133">
        <f t="shared" si="1102"/>
        <v>27</v>
      </c>
      <c r="V1133">
        <f t="shared" si="1094"/>
        <v>78.33</v>
      </c>
      <c r="W1133" s="13">
        <f t="shared" si="1095"/>
        <v>-7.4000000000000003E-3</v>
      </c>
      <c r="X1133" s="13">
        <f t="shared" si="1096"/>
        <v>-7.2999999999999992E-3</v>
      </c>
      <c r="Y1133">
        <f t="shared" si="1088"/>
        <v>81.31</v>
      </c>
      <c r="Z1133" s="13">
        <f t="shared" si="1083"/>
        <v>-1.26E-2</v>
      </c>
      <c r="AA1133" s="13">
        <f t="shared" si="1079"/>
        <v>-2.06E-2</v>
      </c>
      <c r="AB1133" s="6">
        <f t="shared" si="1089"/>
        <v>88.048999999999992</v>
      </c>
      <c r="AC1133">
        <f t="shared" si="1081"/>
        <v>44</v>
      </c>
      <c r="AD1133" s="11">
        <f t="shared" si="1082"/>
        <v>1</v>
      </c>
      <c r="AE1133">
        <f t="shared" si="1080"/>
        <v>30</v>
      </c>
      <c r="AF1133">
        <f>IF(AND(AE1133&lt;15,OR(AC1133&gt;=30,AA1133&gt;0.15,X1133&gt;=0.15)),2,VLOOKUP(AE1133,Table!P:Q,2,FALSE))</f>
        <v>4</v>
      </c>
      <c r="AG1133" s="22">
        <f>IF((AB1133*0.98)-(D1133*0.8)+((AF1133-3)*3)+VLOOKUP(AM1133,Table!$A$11:$B$13,2,FALSE)&lt;0,0,(AB1133*0.98)-(D1133*0.8)+((AF1133-3)*3)+VLOOKUP(AM1133,Table!$A$11:$B$13,2,FALSE))</f>
        <v>82.232019999999991</v>
      </c>
      <c r="AH1133" s="22">
        <f t="shared" si="1111"/>
        <v>88</v>
      </c>
      <c r="AI1133" s="18">
        <f t="shared" si="1104"/>
        <v>4.99</v>
      </c>
      <c r="AJ1133" s="18">
        <f t="shared" si="1105"/>
        <v>5.03</v>
      </c>
      <c r="AK1133" t="str">
        <f t="shared" si="1090"/>
        <v>Falling Rates</v>
      </c>
      <c r="AL1133">
        <f t="shared" si="1101"/>
        <v>31.5</v>
      </c>
      <c r="AM1133" s="11" t="str">
        <f t="shared" si="1091"/>
        <v>Stocks</v>
      </c>
      <c r="AN1133" t="str">
        <f t="shared" si="1097"/>
        <v>Buy</v>
      </c>
      <c r="AO1133" s="13">
        <f t="shared" si="1098"/>
        <v>2.7799999999999998E-2</v>
      </c>
      <c r="AP1133" s="13">
        <f t="shared" si="1099"/>
        <v>8.9999999999999998E-4</v>
      </c>
      <c r="AQ1133" s="13">
        <f t="shared" si="1100"/>
        <v>2.46E-2</v>
      </c>
      <c r="AR1133" s="13">
        <f t="shared" si="1092"/>
        <v>2.7799999999999998E-2</v>
      </c>
      <c r="AS1133" s="6">
        <f t="shared" si="1084"/>
        <v>181.43368841480117</v>
      </c>
      <c r="AT1133" s="6">
        <f t="shared" si="1085"/>
        <v>122.30069544755415</v>
      </c>
      <c r="AU1133" s="6">
        <f t="shared" si="1086"/>
        <v>178.63237576857219</v>
      </c>
      <c r="AV1133" s="6">
        <f t="shared" si="1087"/>
        <v>181.43368841480117</v>
      </c>
      <c r="AW1133" s="58">
        <f t="shared" si="1093"/>
        <v>1996</v>
      </c>
      <c r="AX1133" s="58">
        <f>COUNTIF(AW$3:AW1133,AW1133)</f>
        <v>3</v>
      </c>
    </row>
    <row r="1134" spans="1:50" x14ac:dyDescent="0.25">
      <c r="A1134" s="5">
        <v>35407</v>
      </c>
      <c r="B1134">
        <v>739.6</v>
      </c>
      <c r="C1134">
        <v>4.92</v>
      </c>
      <c r="D1134" s="6">
        <v>17.139999</v>
      </c>
      <c r="E1134" s="18">
        <f t="shared" si="1106"/>
        <v>15.47</v>
      </c>
      <c r="F1134">
        <f t="shared" si="1107"/>
        <v>1</v>
      </c>
      <c r="G1134" s="18">
        <f>ROUND(INDEX(Valuation!U:U,MATCH(A1134,Valuation!A:A,0)),2)</f>
        <v>133.53</v>
      </c>
      <c r="H1134">
        <f t="shared" si="1114"/>
        <v>1</v>
      </c>
      <c r="I1134" s="18">
        <f>INDEX(WeeklyIndicators!Y:Y,MATCH(A1134,WeeklyIndicators!A:A,0))</f>
        <v>137.36000000000001</v>
      </c>
      <c r="J1134">
        <f t="shared" si="1103"/>
        <v>1</v>
      </c>
      <c r="K1134">
        <f>ROUND(INDEX(Economic!AF:AF,MATCH(EOMONTH($A1134,-1),Economic!A:A,0)),2)</f>
        <v>130.34</v>
      </c>
      <c r="L1134" s="11">
        <f t="shared" si="1112"/>
        <v>2</v>
      </c>
      <c r="M1134">
        <f>ROUND(INDEX(Manufacturing!P:P,MATCH(EOMONTH($A1134,-1),Manufacturing!A:A,0)),2)</f>
        <v>99.72</v>
      </c>
      <c r="N1134">
        <f t="shared" si="1108"/>
        <v>1</v>
      </c>
      <c r="O1134">
        <f>ROUND(INDEX(Housing!AC:AC,MATCH(EOMONTH($A1134,-1),Housing!B:B,0)),2)</f>
        <v>102.46</v>
      </c>
      <c r="P1134">
        <f t="shared" si="1109"/>
        <v>0</v>
      </c>
      <c r="Q1134">
        <f>ROUND(INDEX(Spending!AJ:AJ,MATCH(EOMONTH($A1134,-1),Spending!B:B,0)),2)</f>
        <v>50.61</v>
      </c>
      <c r="R1134">
        <f t="shared" si="1113"/>
        <v>1</v>
      </c>
      <c r="S1134">
        <f>ROUND(INDEX(Employment!V:V,MATCH(EOMONTH($A1134,-1),Employment!A:A,0)),2)</f>
        <v>180.58</v>
      </c>
      <c r="T1134" s="11">
        <f t="shared" si="1110"/>
        <v>2</v>
      </c>
      <c r="U1134">
        <f t="shared" si="1102"/>
        <v>29</v>
      </c>
      <c r="V1134">
        <f t="shared" si="1094"/>
        <v>78.84</v>
      </c>
      <c r="W1134" s="13">
        <f t="shared" si="1095"/>
        <v>-4.0000000000000001E-3</v>
      </c>
      <c r="X1134" s="13">
        <f t="shared" si="1096"/>
        <v>1.7000000000000003E-3</v>
      </c>
      <c r="Y1134">
        <f t="shared" si="1088"/>
        <v>82.65</v>
      </c>
      <c r="Z1134" s="13">
        <f t="shared" si="1083"/>
        <v>-6.1999999999999998E-3</v>
      </c>
      <c r="AA1134" s="13">
        <f t="shared" si="1079"/>
        <v>-1.23E-2</v>
      </c>
      <c r="AB1134" s="6">
        <f t="shared" si="1089"/>
        <v>90.322999999999993</v>
      </c>
      <c r="AC1134">
        <f t="shared" si="1081"/>
        <v>45</v>
      </c>
      <c r="AD1134" s="11">
        <f t="shared" si="1082"/>
        <v>1</v>
      </c>
      <c r="AE1134">
        <f t="shared" si="1080"/>
        <v>32</v>
      </c>
      <c r="AF1134">
        <f>IF(AND(AE1134&lt;15,OR(AC1134&gt;=30,AA1134&gt;0.15,X1134&gt;=0.15)),2,VLOOKUP(AE1134,Table!P:Q,2,FALSE))</f>
        <v>5</v>
      </c>
      <c r="AG1134" s="22">
        <f>IF((AB1134*0.98)-(D1134*0.8)+((AF1134-3)*3)+VLOOKUP(AM1134,Table!$A$11:$B$13,2,FALSE)&lt;0,0,(AB1134*0.98)-(D1134*0.8)+((AF1134-3)*3)+VLOOKUP(AM1134,Table!$A$11:$B$13,2,FALSE))</f>
        <v>88.804540799999984</v>
      </c>
      <c r="AH1134" s="22">
        <f t="shared" si="1111"/>
        <v>91</v>
      </c>
      <c r="AI1134" s="18">
        <f t="shared" si="1104"/>
        <v>5.01</v>
      </c>
      <c r="AJ1134" s="18">
        <f t="shared" si="1105"/>
        <v>5.04</v>
      </c>
      <c r="AK1134" t="str">
        <f t="shared" si="1090"/>
        <v/>
      </c>
      <c r="AL1134">
        <f t="shared" si="1101"/>
        <v>32</v>
      </c>
      <c r="AM1134" s="11" t="str">
        <f t="shared" si="1091"/>
        <v>Stocks</v>
      </c>
      <c r="AN1134" t="str">
        <f t="shared" si="1097"/>
        <v>Buy</v>
      </c>
      <c r="AO1134" s="13">
        <f t="shared" si="1098"/>
        <v>-1.4800000000000001E-2</v>
      </c>
      <c r="AP1134" s="13">
        <f t="shared" si="1099"/>
        <v>8.9999999999999998E-4</v>
      </c>
      <c r="AQ1134" s="13">
        <f t="shared" si="1100"/>
        <v>-1.34E-2</v>
      </c>
      <c r="AR1134" s="13">
        <f t="shared" si="1092"/>
        <v>-1.4800000000000001E-2</v>
      </c>
      <c r="AS1134" s="6">
        <f t="shared" si="1084"/>
        <v>184.15924524441857</v>
      </c>
      <c r="AT1134" s="6">
        <f t="shared" si="1085"/>
        <v>122.19072379613763</v>
      </c>
      <c r="AU1134" s="6">
        <f t="shared" si="1086"/>
        <v>181.05856047899067</v>
      </c>
      <c r="AV1134" s="6">
        <f t="shared" si="1087"/>
        <v>184.15924524441857</v>
      </c>
      <c r="AW1134" s="58">
        <f t="shared" si="1093"/>
        <v>1996</v>
      </c>
      <c r="AX1134" s="58">
        <f>COUNTIF(AW$3:AW1134,AW1134)</f>
        <v>4</v>
      </c>
    </row>
    <row r="1135" spans="1:50" x14ac:dyDescent="0.25">
      <c r="A1135" s="5">
        <v>35400</v>
      </c>
      <c r="B1135">
        <v>757.02</v>
      </c>
      <c r="C1135">
        <v>5.0199999999999996</v>
      </c>
      <c r="D1135" s="6">
        <v>14.92</v>
      </c>
      <c r="E1135" s="18">
        <f t="shared" si="1106"/>
        <v>15.02</v>
      </c>
      <c r="F1135">
        <f t="shared" si="1107"/>
        <v>1</v>
      </c>
      <c r="G1135" s="18">
        <f>ROUND(INDEX(Valuation!U:U,MATCH(A1135,Valuation!A:A,0)),2)</f>
        <v>136.82</v>
      </c>
      <c r="H1135">
        <f t="shared" si="1114"/>
        <v>1</v>
      </c>
      <c r="I1135" s="18">
        <f>INDEX(WeeklyIndicators!Y:Y,MATCH(A1135,WeeklyIndicators!A:A,0))</f>
        <v>139.02000000000001</v>
      </c>
      <c r="J1135">
        <f t="shared" si="1103"/>
        <v>1</v>
      </c>
      <c r="K1135">
        <f>ROUND(INDEX(Economic!AF:AF,MATCH(EOMONTH($A1135,-1),Economic!A:A,0)),2)</f>
        <v>130.34</v>
      </c>
      <c r="L1135" s="11">
        <f t="shared" si="1112"/>
        <v>2</v>
      </c>
      <c r="M1135">
        <f>ROUND(INDEX(Manufacturing!P:P,MATCH(EOMONTH($A1135,-1),Manufacturing!A:A,0)),2)</f>
        <v>99.72</v>
      </c>
      <c r="N1135">
        <f t="shared" si="1108"/>
        <v>1</v>
      </c>
      <c r="O1135">
        <f>ROUND(INDEX(Housing!AC:AC,MATCH(EOMONTH($A1135,-1),Housing!B:B,0)),2)</f>
        <v>102.46</v>
      </c>
      <c r="P1135">
        <f t="shared" si="1109"/>
        <v>0</v>
      </c>
      <c r="Q1135">
        <f>ROUND(INDEX(Spending!AJ:AJ,MATCH(EOMONTH($A1135,-1),Spending!B:B,0)),2)</f>
        <v>50.61</v>
      </c>
      <c r="R1135">
        <f t="shared" si="1113"/>
        <v>1</v>
      </c>
      <c r="S1135">
        <f>ROUND(INDEX(Employment!V:V,MATCH(EOMONTH($A1135,-1),Employment!A:A,0)),2)</f>
        <v>180.58</v>
      </c>
      <c r="T1135" s="11">
        <f t="shared" si="1110"/>
        <v>2</v>
      </c>
      <c r="U1135">
        <f t="shared" si="1102"/>
        <v>29</v>
      </c>
      <c r="V1135">
        <f t="shared" si="1094"/>
        <v>79.010000000000005</v>
      </c>
      <c r="W1135" s="13">
        <f t="shared" si="1095"/>
        <v>-1.2999999999999999E-3</v>
      </c>
      <c r="X1135" s="13">
        <f t="shared" si="1096"/>
        <v>5.3E-3</v>
      </c>
      <c r="Y1135">
        <f t="shared" si="1088"/>
        <v>83.34</v>
      </c>
      <c r="Z1135" s="13">
        <f t="shared" si="1083"/>
        <v>-3.0999999999999999E-3</v>
      </c>
      <c r="AA1135" s="13">
        <f t="shared" si="1079"/>
        <v>-1.15E-2</v>
      </c>
      <c r="AB1135" s="6">
        <f t="shared" si="1089"/>
        <v>91.442000000000007</v>
      </c>
      <c r="AC1135">
        <f t="shared" si="1081"/>
        <v>46</v>
      </c>
      <c r="AD1135" s="11">
        <f t="shared" si="1082"/>
        <v>1</v>
      </c>
      <c r="AE1135">
        <f t="shared" si="1080"/>
        <v>32</v>
      </c>
      <c r="AF1135">
        <f>IF(AND(AE1135&lt;15,OR(AC1135&gt;=30,AA1135&gt;0.15,X1135&gt;=0.15)),2,VLOOKUP(AE1135,Table!P:Q,2,FALSE))</f>
        <v>5</v>
      </c>
      <c r="AG1135" s="22">
        <f>IF((AB1135*0.98)-(D1135*0.8)+((AF1135-3)*3)+VLOOKUP(AM1135,Table!$A$11:$B$13,2,FALSE)&lt;0,0,(AB1135*0.98)-(D1135*0.8)+((AF1135-3)*3)+VLOOKUP(AM1135,Table!$A$11:$B$13,2,FALSE))</f>
        <v>91.677160000000015</v>
      </c>
      <c r="AH1135" s="22">
        <f t="shared" si="1111"/>
        <v>92</v>
      </c>
      <c r="AI1135" s="18">
        <f t="shared" si="1104"/>
        <v>5.03</v>
      </c>
      <c r="AJ1135" s="18">
        <f t="shared" si="1105"/>
        <v>5.04</v>
      </c>
      <c r="AK1135" t="str">
        <f t="shared" si="1090"/>
        <v/>
      </c>
      <c r="AL1135">
        <f t="shared" si="1101"/>
        <v>31.75</v>
      </c>
      <c r="AM1135" s="11" t="str">
        <f t="shared" si="1091"/>
        <v>Stocks</v>
      </c>
      <c r="AN1135" t="str">
        <f t="shared" si="1097"/>
        <v>Buy</v>
      </c>
      <c r="AO1135" s="13">
        <f t="shared" si="1098"/>
        <v>-2.3E-2</v>
      </c>
      <c r="AP1135" s="13">
        <f t="shared" si="1099"/>
        <v>1E-3</v>
      </c>
      <c r="AQ1135" s="13">
        <f t="shared" si="1100"/>
        <v>-2.1100000000000001E-2</v>
      </c>
      <c r="AR1135" s="13">
        <f t="shared" si="1092"/>
        <v>-2.3E-2</v>
      </c>
      <c r="AS1135" s="6">
        <f t="shared" si="1084"/>
        <v>188.49462153983478</v>
      </c>
      <c r="AT1135" s="6">
        <f t="shared" si="1085"/>
        <v>122.06865514099665</v>
      </c>
      <c r="AU1135" s="6">
        <f t="shared" si="1086"/>
        <v>184.96124269995983</v>
      </c>
      <c r="AV1135" s="6">
        <f t="shared" si="1087"/>
        <v>188.49462153983478</v>
      </c>
      <c r="AW1135" s="58">
        <f t="shared" si="1093"/>
        <v>1996</v>
      </c>
      <c r="AX1135" s="58">
        <f>COUNTIF(AW$3:AW1135,AW1135)</f>
        <v>5</v>
      </c>
    </row>
    <row r="1136" spans="1:50" x14ac:dyDescent="0.25">
      <c r="A1136" s="5">
        <v>35393</v>
      </c>
      <c r="B1136">
        <v>748.73</v>
      </c>
      <c r="C1136">
        <v>5.03</v>
      </c>
      <c r="D1136" s="6">
        <v>14.36</v>
      </c>
      <c r="E1136" s="18">
        <f t="shared" si="1106"/>
        <v>16.010000000000002</v>
      </c>
      <c r="F1136">
        <f t="shared" si="1107"/>
        <v>0</v>
      </c>
      <c r="G1136" s="18">
        <f>ROUND(INDEX(Valuation!U:U,MATCH(A1136,Valuation!A:A,0)),2)</f>
        <v>140.41</v>
      </c>
      <c r="H1136">
        <f t="shared" si="1114"/>
        <v>1</v>
      </c>
      <c r="I1136" s="18">
        <f>INDEX(WeeklyIndicators!Y:Y,MATCH(A1136,WeeklyIndicators!A:A,0))</f>
        <v>139.56</v>
      </c>
      <c r="J1136">
        <f t="shared" si="1103"/>
        <v>1</v>
      </c>
      <c r="K1136">
        <f>ROUND(INDEX(Economic!AF:AF,MATCH(EOMONTH($A1136,-1),Economic!A:A,0)),2)</f>
        <v>131.5</v>
      </c>
      <c r="L1136" s="11">
        <f t="shared" si="1112"/>
        <v>2</v>
      </c>
      <c r="M1136">
        <f>ROUND(INDEX(Manufacturing!P:P,MATCH(EOMONTH($A1136,-1),Manufacturing!A:A,0)),2)</f>
        <v>104.54</v>
      </c>
      <c r="N1136">
        <f t="shared" si="1108"/>
        <v>2</v>
      </c>
      <c r="O1136">
        <f>ROUND(INDEX(Housing!AC:AC,MATCH(EOMONTH($A1136,-1),Housing!B:B,0)),2)</f>
        <v>101.77</v>
      </c>
      <c r="P1136">
        <f t="shared" si="1109"/>
        <v>0</v>
      </c>
      <c r="Q1136">
        <f>ROUND(INDEX(Spending!AJ:AJ,MATCH(EOMONTH($A1136,-1),Spending!B:B,0)),2)</f>
        <v>52.62</v>
      </c>
      <c r="R1136">
        <f t="shared" si="1113"/>
        <v>1</v>
      </c>
      <c r="S1136">
        <f>ROUND(INDEX(Employment!V:V,MATCH(EOMONTH($A1136,-1),Employment!A:A,0)),2)</f>
        <v>181.06</v>
      </c>
      <c r="T1136" s="11">
        <f t="shared" si="1110"/>
        <v>2</v>
      </c>
      <c r="U1136">
        <f t="shared" si="1102"/>
        <v>29</v>
      </c>
      <c r="V1136">
        <f t="shared" si="1094"/>
        <v>80.08</v>
      </c>
      <c r="W1136" s="13">
        <f t="shared" si="1095"/>
        <v>5.4000000000000003E-3</v>
      </c>
      <c r="X1136" s="13">
        <f t="shared" si="1096"/>
        <v>2.3E-3</v>
      </c>
      <c r="Y1136">
        <f t="shared" si="1088"/>
        <v>84.46</v>
      </c>
      <c r="Z1136" s="13">
        <f t="shared" si="1083"/>
        <v>1.2999999999999999E-3</v>
      </c>
      <c r="AA1136" s="13">
        <f t="shared" si="1079"/>
        <v>-1.6500000000000001E-2</v>
      </c>
      <c r="AB1136" s="6">
        <f t="shared" si="1089"/>
        <v>92.590999999999994</v>
      </c>
      <c r="AC1136">
        <f t="shared" si="1081"/>
        <v>46</v>
      </c>
      <c r="AD1136" s="11">
        <f t="shared" si="1082"/>
        <v>1</v>
      </c>
      <c r="AE1136">
        <f t="shared" si="1080"/>
        <v>32</v>
      </c>
      <c r="AF1136">
        <f>IF(AND(AE1136&lt;15,OR(AC1136&gt;=30,AA1136&gt;0.15,X1136&gt;=0.15)),2,VLOOKUP(AE1136,Table!P:Q,2,FALSE))</f>
        <v>5</v>
      </c>
      <c r="AG1136" s="22">
        <f>IF((AB1136*0.98)-(D1136*0.8)+((AF1136-3)*3)+VLOOKUP(AM1136,Table!$A$11:$B$13,2,FALSE)&lt;0,0,(AB1136*0.98)-(D1136*0.8)+((AF1136-3)*3)+VLOOKUP(AM1136,Table!$A$11:$B$13,2,FALSE))</f>
        <v>93.251179999999991</v>
      </c>
      <c r="AH1136" s="22">
        <f t="shared" si="1111"/>
        <v>91</v>
      </c>
      <c r="AI1136" s="18">
        <f t="shared" si="1104"/>
        <v>5.04</v>
      </c>
      <c r="AJ1136" s="18">
        <f t="shared" si="1105"/>
        <v>5.03</v>
      </c>
      <c r="AK1136" t="str">
        <f t="shared" si="1090"/>
        <v/>
      </c>
      <c r="AL1136">
        <f t="shared" si="1101"/>
        <v>31.75</v>
      </c>
      <c r="AM1136" s="11" t="str">
        <f t="shared" si="1091"/>
        <v>Stocks</v>
      </c>
      <c r="AN1136" t="str">
        <f t="shared" si="1097"/>
        <v>Buy</v>
      </c>
      <c r="AO1136" s="13">
        <f t="shared" si="1098"/>
        <v>1.11E-2</v>
      </c>
      <c r="AP1136" s="13">
        <f t="shared" si="1099"/>
        <v>1E-3</v>
      </c>
      <c r="AQ1136" s="13">
        <f t="shared" si="1100"/>
        <v>1.0200000000000001E-2</v>
      </c>
      <c r="AR1136" s="13">
        <f t="shared" si="1092"/>
        <v>1.11E-2</v>
      </c>
      <c r="AS1136" s="6">
        <f t="shared" si="1084"/>
        <v>186.42530070204211</v>
      </c>
      <c r="AT1136" s="6">
        <f t="shared" si="1085"/>
        <v>121.94670843256411</v>
      </c>
      <c r="AU1136" s="6">
        <f t="shared" si="1086"/>
        <v>183.09368709162524</v>
      </c>
      <c r="AV1136" s="6">
        <f t="shared" si="1087"/>
        <v>186.42530070204211</v>
      </c>
      <c r="AW1136" s="58">
        <f t="shared" si="1093"/>
        <v>1996</v>
      </c>
      <c r="AX1136" s="58">
        <f>COUNTIF(AW$3:AW1136,AW1136)</f>
        <v>6</v>
      </c>
    </row>
    <row r="1137" spans="1:50" x14ac:dyDescent="0.25">
      <c r="A1137" s="5">
        <v>35386</v>
      </c>
      <c r="B1137">
        <v>737.62</v>
      </c>
      <c r="C1137">
        <v>5.03</v>
      </c>
      <c r="D1137" s="6">
        <v>15.78</v>
      </c>
      <c r="E1137" s="18">
        <f t="shared" si="1106"/>
        <v>16.989999999999998</v>
      </c>
      <c r="F1137">
        <f t="shared" si="1107"/>
        <v>0</v>
      </c>
      <c r="G1137" s="18">
        <f>ROUND(INDEX(Valuation!U:U,MATCH(A1137,Valuation!A:A,0)),2)</f>
        <v>143.88</v>
      </c>
      <c r="H1137">
        <f t="shared" si="1114"/>
        <v>1</v>
      </c>
      <c r="I1137" s="18">
        <f>INDEX(WeeklyIndicators!Y:Y,MATCH(A1137,WeeklyIndicators!A:A,0))</f>
        <v>136.86000000000001</v>
      </c>
      <c r="J1137">
        <f t="shared" si="1103"/>
        <v>1</v>
      </c>
      <c r="K1137">
        <f>ROUND(INDEX(Economic!AF:AF,MATCH(EOMONTH($A1137,-1),Economic!A:A,0)),2)</f>
        <v>131.5</v>
      </c>
      <c r="L1137" s="11">
        <f t="shared" si="1112"/>
        <v>2</v>
      </c>
      <c r="M1137">
        <f>ROUND(INDEX(Manufacturing!P:P,MATCH(EOMONTH($A1137,-1),Manufacturing!A:A,0)),2)</f>
        <v>104.54</v>
      </c>
      <c r="N1137">
        <f t="shared" si="1108"/>
        <v>2</v>
      </c>
      <c r="O1137">
        <f>ROUND(INDEX(Housing!AC:AC,MATCH(EOMONTH($A1137,-1),Housing!B:B,0)),2)</f>
        <v>101.77</v>
      </c>
      <c r="P1137">
        <f t="shared" si="1109"/>
        <v>0</v>
      </c>
      <c r="Q1137">
        <f>ROUND(INDEX(Spending!AJ:AJ,MATCH(EOMONTH($A1137,-1),Spending!B:B,0)),2)</f>
        <v>52.62</v>
      </c>
      <c r="R1137">
        <f t="shared" si="1113"/>
        <v>1</v>
      </c>
      <c r="S1137">
        <f>ROUND(INDEX(Employment!V:V,MATCH(EOMONTH($A1137,-1),Employment!A:A,0)),2)</f>
        <v>181.06</v>
      </c>
      <c r="T1137" s="11">
        <f t="shared" si="1110"/>
        <v>2</v>
      </c>
      <c r="U1137">
        <f t="shared" si="1102"/>
        <v>29</v>
      </c>
      <c r="V1137">
        <f t="shared" si="1094"/>
        <v>79.8</v>
      </c>
      <c r="W1137" s="13">
        <f t="shared" si="1095"/>
        <v>1.6000000000000001E-3</v>
      </c>
      <c r="X1137" s="13">
        <f t="shared" si="1096"/>
        <v>-5.4000000000000003E-3</v>
      </c>
      <c r="Y1137">
        <f t="shared" si="1088"/>
        <v>84.22</v>
      </c>
      <c r="Z1137" s="13">
        <f t="shared" si="1083"/>
        <v>-4.3E-3</v>
      </c>
      <c r="AA1137" s="13">
        <f t="shared" si="1079"/>
        <v>-2.24E-2</v>
      </c>
      <c r="AB1137" s="6">
        <f t="shared" si="1089"/>
        <v>92.218000000000004</v>
      </c>
      <c r="AC1137">
        <f t="shared" si="1081"/>
        <v>46</v>
      </c>
      <c r="AD1137" s="11">
        <f t="shared" si="1082"/>
        <v>1</v>
      </c>
      <c r="AE1137">
        <f t="shared" si="1080"/>
        <v>32</v>
      </c>
      <c r="AF1137">
        <f>IF(AND(AE1137&lt;15,OR(AC1137&gt;=30,AA1137&gt;0.15,X1137&gt;=0.15)),2,VLOOKUP(AE1137,Table!P:Q,2,FALSE))</f>
        <v>5</v>
      </c>
      <c r="AG1137" s="22">
        <f>IF((AB1137*0.98)-(D1137*0.8)+((AF1137-3)*3)+VLOOKUP(AM1137,Table!$A$11:$B$13,2,FALSE)&lt;0,0,(AB1137*0.98)-(D1137*0.8)+((AF1137-3)*3)+VLOOKUP(AM1137,Table!$A$11:$B$13,2,FALSE))</f>
        <v>91.749640000000014</v>
      </c>
      <c r="AH1137" s="22">
        <f t="shared" si="1111"/>
        <v>90</v>
      </c>
      <c r="AI1137" s="18">
        <f t="shared" si="1104"/>
        <v>5.04</v>
      </c>
      <c r="AJ1137" s="18">
        <f t="shared" si="1105"/>
        <v>5.03</v>
      </c>
      <c r="AK1137" t="str">
        <f t="shared" si="1090"/>
        <v/>
      </c>
      <c r="AL1137">
        <f t="shared" si="1101"/>
        <v>32</v>
      </c>
      <c r="AM1137" s="11" t="str">
        <f t="shared" si="1091"/>
        <v>Stocks</v>
      </c>
      <c r="AN1137" t="str">
        <f t="shared" si="1097"/>
        <v>Buy</v>
      </c>
      <c r="AO1137" s="13">
        <f t="shared" si="1098"/>
        <v>1.5100000000000001E-2</v>
      </c>
      <c r="AP1137" s="13">
        <f t="shared" si="1099"/>
        <v>1E-3</v>
      </c>
      <c r="AQ1137" s="13">
        <f t="shared" si="1100"/>
        <v>1.37E-2</v>
      </c>
      <c r="AR1137" s="13">
        <f t="shared" si="1092"/>
        <v>1.5100000000000001E-2</v>
      </c>
      <c r="AS1137" s="6">
        <f t="shared" si="1084"/>
        <v>183.65215318888988</v>
      </c>
      <c r="AT1137" s="6">
        <f t="shared" si="1085"/>
        <v>121.82488354901511</v>
      </c>
      <c r="AU1137" s="6">
        <f t="shared" si="1086"/>
        <v>180.61920399686815</v>
      </c>
      <c r="AV1137" s="6">
        <f t="shared" si="1087"/>
        <v>183.65215318888988</v>
      </c>
      <c r="AW1137" s="58">
        <f t="shared" si="1093"/>
        <v>1996</v>
      </c>
      <c r="AX1137" s="58">
        <f>COUNTIF(AW$3:AW1137,AW1137)</f>
        <v>7</v>
      </c>
    </row>
    <row r="1138" spans="1:50" x14ac:dyDescent="0.25">
      <c r="A1138" s="5">
        <v>35379</v>
      </c>
      <c r="B1138">
        <v>730.82</v>
      </c>
      <c r="C1138">
        <v>5.03</v>
      </c>
      <c r="D1138" s="6">
        <v>17.889999</v>
      </c>
      <c r="E1138" s="18">
        <f t="shared" si="1106"/>
        <v>16.75</v>
      </c>
      <c r="F1138">
        <f t="shared" si="1107"/>
        <v>0</v>
      </c>
      <c r="G1138" s="18">
        <f>ROUND(INDEX(Valuation!U:U,MATCH(A1138,Valuation!A:A,0)),2)</f>
        <v>146.53</v>
      </c>
      <c r="H1138">
        <f t="shared" si="1114"/>
        <v>1</v>
      </c>
      <c r="I1138" s="18">
        <f>INDEX(WeeklyIndicators!Y:Y,MATCH(A1138,WeeklyIndicators!A:A,0))</f>
        <v>132.19999999999999</v>
      </c>
      <c r="J1138">
        <f t="shared" si="1103"/>
        <v>0</v>
      </c>
      <c r="K1138">
        <f>ROUND(INDEX(Economic!AF:AF,MATCH(EOMONTH($A1138,-1),Economic!A:A,0)),2)</f>
        <v>131.5</v>
      </c>
      <c r="L1138" s="11">
        <f t="shared" si="1112"/>
        <v>2</v>
      </c>
      <c r="M1138">
        <f>ROUND(INDEX(Manufacturing!P:P,MATCH(EOMONTH($A1138,-1),Manufacturing!A:A,0)),2)</f>
        <v>104.54</v>
      </c>
      <c r="N1138">
        <f t="shared" si="1108"/>
        <v>2</v>
      </c>
      <c r="O1138">
        <f>ROUND(INDEX(Housing!AC:AC,MATCH(EOMONTH($A1138,-1),Housing!B:B,0)),2)</f>
        <v>101.77</v>
      </c>
      <c r="P1138">
        <f t="shared" si="1109"/>
        <v>0</v>
      </c>
      <c r="Q1138">
        <f>ROUND(INDEX(Spending!AJ:AJ,MATCH(EOMONTH($A1138,-1),Spending!B:B,0)),2)</f>
        <v>52.62</v>
      </c>
      <c r="R1138">
        <f t="shared" si="1113"/>
        <v>1</v>
      </c>
      <c r="S1138">
        <f>ROUND(INDEX(Employment!V:V,MATCH(EOMONTH($A1138,-1),Employment!A:A,0)),2)</f>
        <v>181.06</v>
      </c>
      <c r="T1138" s="11">
        <f t="shared" si="1110"/>
        <v>2</v>
      </c>
      <c r="U1138">
        <f t="shared" si="1102"/>
        <v>28</v>
      </c>
      <c r="V1138">
        <f t="shared" si="1094"/>
        <v>79.31</v>
      </c>
      <c r="W1138" s="13">
        <f t="shared" si="1095"/>
        <v>-4.0000000000000002E-4</v>
      </c>
      <c r="X1138" s="13">
        <f t="shared" si="1096"/>
        <v>-1.12E-2</v>
      </c>
      <c r="Y1138">
        <f t="shared" si="1088"/>
        <v>84.12</v>
      </c>
      <c r="Z1138" s="13">
        <f t="shared" si="1083"/>
        <v>-5.4000000000000003E-3</v>
      </c>
      <c r="AA1138" s="13">
        <f t="shared" si="1079"/>
        <v>-2.3E-2</v>
      </c>
      <c r="AB1138" s="6">
        <f t="shared" si="1089"/>
        <v>92.263000000000005</v>
      </c>
      <c r="AC1138">
        <f t="shared" si="1081"/>
        <v>46</v>
      </c>
      <c r="AD1138" s="11">
        <f t="shared" si="1082"/>
        <v>1</v>
      </c>
      <c r="AE1138">
        <f t="shared" si="1080"/>
        <v>31</v>
      </c>
      <c r="AF1138">
        <f>IF(AND(AE1138&lt;15,OR(AC1138&gt;=30,AA1138&gt;0.15,X1138&gt;=0.15)),2,VLOOKUP(AE1138,Table!P:Q,2,FALSE))</f>
        <v>4</v>
      </c>
      <c r="AG1138" s="22">
        <f>IF((AB1138*0.98)-(D1138*0.8)+((AF1138-3)*3)+VLOOKUP(AM1138,Table!$A$11:$B$13,2,FALSE)&lt;0,0,(AB1138*0.98)-(D1138*0.8)+((AF1138-3)*3)+VLOOKUP(AM1138,Table!$A$11:$B$13,2,FALSE))</f>
        <v>87.105740800000007</v>
      </c>
      <c r="AH1138" s="22">
        <f t="shared" si="1111"/>
        <v>91</v>
      </c>
      <c r="AI1138" s="18">
        <f t="shared" si="1104"/>
        <v>5.04</v>
      </c>
      <c r="AJ1138" s="18">
        <f t="shared" si="1105"/>
        <v>5.0199999999999996</v>
      </c>
      <c r="AK1138" t="str">
        <f t="shared" si="1090"/>
        <v/>
      </c>
      <c r="AL1138">
        <f t="shared" si="1101"/>
        <v>32.25</v>
      </c>
      <c r="AM1138" s="11" t="str">
        <f t="shared" si="1091"/>
        <v>Stocks</v>
      </c>
      <c r="AN1138" t="str">
        <f t="shared" si="1097"/>
        <v>Buy</v>
      </c>
      <c r="AO1138" s="13">
        <f t="shared" si="1098"/>
        <v>9.2999999999999992E-3</v>
      </c>
      <c r="AP1138" s="13">
        <f t="shared" si="1099"/>
        <v>1E-3</v>
      </c>
      <c r="AQ1138" s="13">
        <f t="shared" si="1100"/>
        <v>8.6E-3</v>
      </c>
      <c r="AR1138" s="13">
        <f t="shared" si="1092"/>
        <v>9.2999999999999992E-3</v>
      </c>
      <c r="AS1138" s="6">
        <f t="shared" si="1084"/>
        <v>181.95992587822241</v>
      </c>
      <c r="AT1138" s="6">
        <f t="shared" si="1085"/>
        <v>121.70318036864649</v>
      </c>
      <c r="AU1138" s="6">
        <f t="shared" si="1086"/>
        <v>179.07912353447171</v>
      </c>
      <c r="AV1138" s="6">
        <f t="shared" si="1087"/>
        <v>181.95992587822241</v>
      </c>
      <c r="AW1138" s="58">
        <f t="shared" si="1093"/>
        <v>1996</v>
      </c>
      <c r="AX1138" s="58">
        <f>COUNTIF(AW$3:AW1138,AW1138)</f>
        <v>8</v>
      </c>
    </row>
    <row r="1139" spans="1:50" x14ac:dyDescent="0.25">
      <c r="A1139" s="5">
        <v>35372</v>
      </c>
      <c r="B1139">
        <v>703.77</v>
      </c>
      <c r="C1139">
        <v>5.03</v>
      </c>
      <c r="D1139" s="6">
        <v>17.290001</v>
      </c>
      <c r="E1139" s="18">
        <f t="shared" si="1106"/>
        <v>15.81</v>
      </c>
      <c r="F1139">
        <f t="shared" si="1107"/>
        <v>1</v>
      </c>
      <c r="G1139" s="18">
        <f>ROUND(INDEX(Valuation!U:U,MATCH(A1139,Valuation!A:A,0)),2)</f>
        <v>148.44</v>
      </c>
      <c r="H1139">
        <f t="shared" si="1114"/>
        <v>1</v>
      </c>
      <c r="I1139" s="18">
        <f>INDEX(WeeklyIndicators!Y:Y,MATCH(A1139,WeeklyIndicators!A:A,0))</f>
        <v>127.18</v>
      </c>
      <c r="J1139">
        <f t="shared" si="1103"/>
        <v>0</v>
      </c>
      <c r="K1139">
        <f>ROUND(INDEX(Economic!AF:AF,MATCH(EOMONTH($A1139,-1),Economic!A:A,0)),2)</f>
        <v>131.5</v>
      </c>
      <c r="L1139" s="11">
        <f t="shared" si="1112"/>
        <v>2</v>
      </c>
      <c r="M1139">
        <f>ROUND(INDEX(Manufacturing!P:P,MATCH(EOMONTH($A1139,-1),Manufacturing!A:A,0)),2)</f>
        <v>104.54</v>
      </c>
      <c r="N1139">
        <f t="shared" si="1108"/>
        <v>2</v>
      </c>
      <c r="O1139">
        <f>ROUND(INDEX(Housing!AC:AC,MATCH(EOMONTH($A1139,-1),Housing!B:B,0)),2)</f>
        <v>101.77</v>
      </c>
      <c r="P1139">
        <f t="shared" si="1109"/>
        <v>0</v>
      </c>
      <c r="Q1139">
        <f>ROUND(INDEX(Spending!AJ:AJ,MATCH(EOMONTH($A1139,-1),Spending!B:B,0)),2)</f>
        <v>52.62</v>
      </c>
      <c r="R1139">
        <f t="shared" si="1113"/>
        <v>1</v>
      </c>
      <c r="S1139">
        <f>ROUND(INDEX(Employment!V:V,MATCH(EOMONTH($A1139,-1),Employment!A:A,0)),2)</f>
        <v>181.06</v>
      </c>
      <c r="T1139" s="11">
        <f t="shared" si="1110"/>
        <v>2</v>
      </c>
      <c r="U1139">
        <f t="shared" si="1102"/>
        <v>29</v>
      </c>
      <c r="V1139">
        <f t="shared" si="1094"/>
        <v>78.790000000000006</v>
      </c>
      <c r="W1139" s="13">
        <f t="shared" si="1095"/>
        <v>-4.3E-3</v>
      </c>
      <c r="X1139" s="13">
        <f t="shared" si="1096"/>
        <v>-1.0800000000000001E-2</v>
      </c>
      <c r="Y1139">
        <f t="shared" si="1088"/>
        <v>84.14</v>
      </c>
      <c r="Z1139" s="13">
        <f t="shared" si="1083"/>
        <v>-8.0999999999999996E-3</v>
      </c>
      <c r="AA1139" s="13">
        <f t="shared" ref="AA1139:AA1202" si="1115">SUM(Z1139:Z1142)</f>
        <v>-1.6899999999999998E-2</v>
      </c>
      <c r="AB1139" s="6">
        <f t="shared" si="1089"/>
        <v>92.873999999999995</v>
      </c>
      <c r="AC1139">
        <f t="shared" si="1081"/>
        <v>46</v>
      </c>
      <c r="AD1139" s="11">
        <f t="shared" si="1082"/>
        <v>1</v>
      </c>
      <c r="AE1139">
        <f t="shared" si="1080"/>
        <v>32</v>
      </c>
      <c r="AF1139">
        <f>IF(AND(AE1139&lt;15,OR(AC1139&gt;=30,AA1139&gt;0.15,X1139&gt;=0.15)),2,VLOOKUP(AE1139,Table!P:Q,2,FALSE))</f>
        <v>5</v>
      </c>
      <c r="AG1139" s="22">
        <f>IF((AB1139*0.98)-(D1139*0.8)+((AF1139-3)*3)+VLOOKUP(AM1139,Table!$A$11:$B$13,2,FALSE)&lt;0,0,(AB1139*0.98)-(D1139*0.8)+((AF1139-3)*3)+VLOOKUP(AM1139,Table!$A$11:$B$13,2,FALSE))</f>
        <v>91.184519199999997</v>
      </c>
      <c r="AH1139" s="22">
        <f t="shared" si="1111"/>
        <v>94</v>
      </c>
      <c r="AI1139" s="18">
        <f t="shared" si="1104"/>
        <v>5.04</v>
      </c>
      <c r="AJ1139" s="18">
        <f t="shared" si="1105"/>
        <v>5.0199999999999996</v>
      </c>
      <c r="AK1139" t="str">
        <f t="shared" si="1090"/>
        <v/>
      </c>
      <c r="AL1139">
        <f t="shared" si="1101"/>
        <v>32.75</v>
      </c>
      <c r="AM1139" s="11" t="str">
        <f t="shared" si="1091"/>
        <v>Stocks</v>
      </c>
      <c r="AN1139" t="str">
        <f t="shared" si="1097"/>
        <v>Buy</v>
      </c>
      <c r="AO1139" s="13">
        <f t="shared" si="1098"/>
        <v>3.8399999999999997E-2</v>
      </c>
      <c r="AP1139" s="13">
        <f t="shared" si="1099"/>
        <v>1E-3</v>
      </c>
      <c r="AQ1139" s="13">
        <f t="shared" si="1100"/>
        <v>3.6200000000000003E-2</v>
      </c>
      <c r="AR1139" s="13">
        <f t="shared" si="1092"/>
        <v>3.8399999999999997E-2</v>
      </c>
      <c r="AS1139" s="6">
        <f t="shared" si="1084"/>
        <v>175.23105342663945</v>
      </c>
      <c r="AT1139" s="6">
        <f t="shared" si="1085"/>
        <v>121.58159876987662</v>
      </c>
      <c r="AU1139" s="6">
        <f t="shared" si="1086"/>
        <v>172.82293334729945</v>
      </c>
      <c r="AV1139" s="6">
        <f t="shared" si="1087"/>
        <v>175.23105342663945</v>
      </c>
      <c r="AW1139" s="58">
        <f t="shared" si="1093"/>
        <v>1996</v>
      </c>
      <c r="AX1139" s="58">
        <f>COUNTIF(AW$3:AW1139,AW1139)</f>
        <v>9</v>
      </c>
    </row>
    <row r="1140" spans="1:50" x14ac:dyDescent="0.25">
      <c r="A1140" s="5">
        <v>35365</v>
      </c>
      <c r="B1140">
        <v>700.92</v>
      </c>
      <c r="C1140">
        <v>5</v>
      </c>
      <c r="D1140" s="6">
        <v>15.08</v>
      </c>
      <c r="E1140" s="18">
        <f t="shared" si="1106"/>
        <v>14.98</v>
      </c>
      <c r="F1140">
        <f t="shared" si="1107"/>
        <v>1</v>
      </c>
      <c r="G1140" s="18">
        <f>ROUND(INDEX(Valuation!U:U,MATCH(A1140,Valuation!A:A,0)),2)</f>
        <v>150.62</v>
      </c>
      <c r="H1140">
        <f t="shared" si="1114"/>
        <v>1</v>
      </c>
      <c r="I1140" s="18">
        <f>INDEX(WeeklyIndicators!Y:Y,MATCH(A1140,WeeklyIndicators!A:A,0))</f>
        <v>122.85</v>
      </c>
      <c r="J1140">
        <f t="shared" si="1103"/>
        <v>0</v>
      </c>
      <c r="K1140">
        <f>ROUND(INDEX(Economic!AF:AF,MATCH(EOMONTH($A1140,-1),Economic!A:A,0)),2)</f>
        <v>132.86000000000001</v>
      </c>
      <c r="L1140" s="11">
        <f t="shared" si="1112"/>
        <v>2</v>
      </c>
      <c r="M1140">
        <f>ROUND(INDEX(Manufacturing!P:P,MATCH(EOMONTH($A1140,-1),Manufacturing!A:A,0)),2)</f>
        <v>107.35</v>
      </c>
      <c r="N1140">
        <f t="shared" si="1108"/>
        <v>2</v>
      </c>
      <c r="O1140">
        <f>ROUND(INDEX(Housing!AC:AC,MATCH(EOMONTH($A1140,-1),Housing!B:B,0)),2)</f>
        <v>103.17</v>
      </c>
      <c r="P1140">
        <f t="shared" si="1109"/>
        <v>0</v>
      </c>
      <c r="Q1140">
        <f>ROUND(INDEX(Spending!AJ:AJ,MATCH(EOMONTH($A1140,-1),Spending!B:B,0)),2)</f>
        <v>56.89</v>
      </c>
      <c r="R1140">
        <f t="shared" si="1113"/>
        <v>1</v>
      </c>
      <c r="S1140">
        <f>ROUND(INDEX(Employment!V:V,MATCH(EOMONTH($A1140,-1),Employment!A:A,0)),2)</f>
        <v>181.59</v>
      </c>
      <c r="T1140" s="11">
        <f t="shared" si="1110"/>
        <v>2</v>
      </c>
      <c r="U1140">
        <f t="shared" si="1102"/>
        <v>29</v>
      </c>
      <c r="V1140">
        <f t="shared" si="1094"/>
        <v>79.430000000000007</v>
      </c>
      <c r="W1140" s="13">
        <f t="shared" si="1095"/>
        <v>-2.3E-3</v>
      </c>
      <c r="X1140" s="13">
        <f t="shared" si="1096"/>
        <v>-5.1999999999999998E-3</v>
      </c>
      <c r="Y1140">
        <f t="shared" si="1088"/>
        <v>85.31</v>
      </c>
      <c r="Z1140" s="13">
        <f t="shared" si="1083"/>
        <v>-4.5999999999999999E-3</v>
      </c>
      <c r="AA1140" s="13">
        <f t="shared" si="1115"/>
        <v>-6.2000000000000006E-3</v>
      </c>
      <c r="AB1140" s="6">
        <f t="shared" si="1089"/>
        <v>95.051999999999992</v>
      </c>
      <c r="AC1140">
        <f t="shared" si="1081"/>
        <v>48</v>
      </c>
      <c r="AD1140" s="11">
        <f t="shared" si="1082"/>
        <v>2</v>
      </c>
      <c r="AE1140">
        <f t="shared" si="1080"/>
        <v>33</v>
      </c>
      <c r="AF1140">
        <f>IF(AND(AE1140&lt;15,OR(AC1140&gt;=30,AA1140&gt;0.15,X1140&gt;=0.15)),2,VLOOKUP(AE1140,Table!P:Q,2,FALSE))</f>
        <v>5</v>
      </c>
      <c r="AG1140" s="22">
        <f>IF((AB1140*0.98)-(D1140*0.8)+((AF1140-3)*3)+VLOOKUP(AM1140,Table!$A$11:$B$13,2,FALSE)&lt;0,0,(AB1140*0.98)-(D1140*0.8)+((AF1140-3)*3)+VLOOKUP(AM1140,Table!$A$11:$B$13,2,FALSE))</f>
        <v>95.086960000000005</v>
      </c>
      <c r="AH1140" s="22">
        <f t="shared" si="1111"/>
        <v>96</v>
      </c>
      <c r="AI1140" s="18">
        <f t="shared" si="1104"/>
        <v>5.05</v>
      </c>
      <c r="AJ1140" s="18">
        <f t="shared" si="1105"/>
        <v>5.01</v>
      </c>
      <c r="AK1140" t="str">
        <f t="shared" si="1090"/>
        <v/>
      </c>
      <c r="AL1140">
        <f t="shared" si="1101"/>
        <v>33</v>
      </c>
      <c r="AM1140" s="11" t="str">
        <f t="shared" si="1091"/>
        <v>Stocks</v>
      </c>
      <c r="AN1140" t="str">
        <f t="shared" si="1097"/>
        <v>Buy</v>
      </c>
      <c r="AO1140" s="13">
        <f t="shared" si="1098"/>
        <v>4.1000000000000003E-3</v>
      </c>
      <c r="AP1140" s="13">
        <f t="shared" si="1099"/>
        <v>1E-3</v>
      </c>
      <c r="AQ1140" s="13">
        <f t="shared" si="1100"/>
        <v>4.0000000000000001E-3</v>
      </c>
      <c r="AR1140" s="13">
        <f t="shared" si="1092"/>
        <v>4.1000000000000003E-3</v>
      </c>
      <c r="AS1140" s="6">
        <f t="shared" si="1084"/>
        <v>174.51553971381281</v>
      </c>
      <c r="AT1140" s="6">
        <f t="shared" si="1085"/>
        <v>121.46013863124539</v>
      </c>
      <c r="AU1140" s="6">
        <f t="shared" si="1086"/>
        <v>172.13439576424247</v>
      </c>
      <c r="AV1140" s="6">
        <f t="shared" si="1087"/>
        <v>174.51553971381281</v>
      </c>
      <c r="AW1140" s="58">
        <f t="shared" si="1093"/>
        <v>1996</v>
      </c>
      <c r="AX1140" s="58">
        <f>COUNTIF(AW$3:AW1140,AW1140)</f>
        <v>10</v>
      </c>
    </row>
    <row r="1141" spans="1:50" x14ac:dyDescent="0.25">
      <c r="A1141" s="5">
        <v>35358</v>
      </c>
      <c r="B1141">
        <v>710.82</v>
      </c>
      <c r="C1141">
        <v>5</v>
      </c>
      <c r="D1141" s="6">
        <v>15.07</v>
      </c>
      <c r="E1141" s="18">
        <f t="shared" si="1106"/>
        <v>15.32</v>
      </c>
      <c r="F1141">
        <f t="shared" si="1107"/>
        <v>1</v>
      </c>
      <c r="G1141" s="18">
        <f>ROUND(INDEX(Valuation!U:U,MATCH(A1141,Valuation!A:A,0)),2)</f>
        <v>153.59</v>
      </c>
      <c r="H1141">
        <f t="shared" si="1114"/>
        <v>1</v>
      </c>
      <c r="I1141" s="18">
        <f>INDEX(WeeklyIndicators!Y:Y,MATCH(A1141,WeeklyIndicators!A:A,0))</f>
        <v>122.65</v>
      </c>
      <c r="J1141">
        <f t="shared" si="1103"/>
        <v>0</v>
      </c>
      <c r="K1141">
        <f>ROUND(INDEX(Economic!AF:AF,MATCH(EOMONTH($A1141,-1),Economic!A:A,0)),2)</f>
        <v>132.86000000000001</v>
      </c>
      <c r="L1141" s="11">
        <f t="shared" si="1112"/>
        <v>2</v>
      </c>
      <c r="M1141">
        <f>ROUND(INDEX(Manufacturing!P:P,MATCH(EOMONTH($A1141,-1),Manufacturing!A:A,0)),2)</f>
        <v>107.35</v>
      </c>
      <c r="N1141">
        <f t="shared" si="1108"/>
        <v>2</v>
      </c>
      <c r="O1141">
        <f>ROUND(INDEX(Housing!AC:AC,MATCH(EOMONTH($A1141,-1),Housing!B:B,0)),2)</f>
        <v>103.17</v>
      </c>
      <c r="P1141">
        <f t="shared" si="1109"/>
        <v>0</v>
      </c>
      <c r="Q1141">
        <f>ROUND(INDEX(Spending!AJ:AJ,MATCH(EOMONTH($A1141,-1),Spending!B:B,0)),2)</f>
        <v>56.89</v>
      </c>
      <c r="R1141">
        <f t="shared" si="1113"/>
        <v>1</v>
      </c>
      <c r="S1141">
        <f>ROUND(INDEX(Employment!V:V,MATCH(EOMONTH($A1141,-1),Employment!A:A,0)),2)</f>
        <v>181.59</v>
      </c>
      <c r="T1141" s="11">
        <f t="shared" si="1110"/>
        <v>2</v>
      </c>
      <c r="U1141">
        <f t="shared" si="1102"/>
        <v>29</v>
      </c>
      <c r="V1141">
        <f t="shared" si="1094"/>
        <v>79.41</v>
      </c>
      <c r="W1141" s="13">
        <f t="shared" si="1095"/>
        <v>-4.1999999999999997E-3</v>
      </c>
      <c r="X1141" s="13">
        <f t="shared" si="1096"/>
        <v>-2.0999999999999999E-3</v>
      </c>
      <c r="Y1141">
        <f t="shared" si="1088"/>
        <v>85.5</v>
      </c>
      <c r="Z1141" s="13">
        <f t="shared" si="1083"/>
        <v>-4.8999999999999998E-3</v>
      </c>
      <c r="AA1141" s="13">
        <f t="shared" si="1115"/>
        <v>-1E-3</v>
      </c>
      <c r="AB1141" s="6">
        <f t="shared" si="1089"/>
        <v>95.918999999999997</v>
      </c>
      <c r="AC1141">
        <f t="shared" si="1081"/>
        <v>48</v>
      </c>
      <c r="AD1141" s="11">
        <f t="shared" si="1082"/>
        <v>2</v>
      </c>
      <c r="AE1141">
        <f t="shared" si="1080"/>
        <v>33</v>
      </c>
      <c r="AF1141">
        <f>IF(AND(AE1141&lt;15,OR(AC1141&gt;=30,AA1141&gt;0.15,X1141&gt;=0.15)),2,VLOOKUP(AE1141,Table!P:Q,2,FALSE))</f>
        <v>5</v>
      </c>
      <c r="AG1141" s="22">
        <f>IF((AB1141*0.98)-(D1141*0.8)+((AF1141-3)*3)+VLOOKUP(AM1141,Table!$A$11:$B$13,2,FALSE)&lt;0,0,(AB1141*0.98)-(D1141*0.8)+((AF1141-3)*3)+VLOOKUP(AM1141,Table!$A$11:$B$13,2,FALSE))</f>
        <v>95.94462</v>
      </c>
      <c r="AH1141" s="22">
        <f t="shared" si="1111"/>
        <v>97</v>
      </c>
      <c r="AI1141" s="18">
        <f t="shared" si="1104"/>
        <v>5.0599999999999996</v>
      </c>
      <c r="AJ1141" s="18">
        <f t="shared" si="1105"/>
        <v>5.01</v>
      </c>
      <c r="AK1141" t="str">
        <f t="shared" si="1090"/>
        <v/>
      </c>
      <c r="AL1141">
        <f t="shared" si="1101"/>
        <v>33.5</v>
      </c>
      <c r="AM1141" s="11" t="str">
        <f t="shared" si="1091"/>
        <v>Stocks</v>
      </c>
      <c r="AN1141" t="str">
        <f t="shared" si="1097"/>
        <v>Buy</v>
      </c>
      <c r="AO1141" s="13">
        <f t="shared" si="1098"/>
        <v>-1.3899999999999999E-2</v>
      </c>
      <c r="AP1141" s="13">
        <f t="shared" si="1099"/>
        <v>1E-3</v>
      </c>
      <c r="AQ1141" s="13">
        <f t="shared" si="1100"/>
        <v>-1.35E-2</v>
      </c>
      <c r="AR1141" s="13">
        <f t="shared" si="1092"/>
        <v>-1.3899999999999999E-2</v>
      </c>
      <c r="AS1141" s="6">
        <f t="shared" si="1084"/>
        <v>176.97549915202598</v>
      </c>
      <c r="AT1141" s="6">
        <f t="shared" si="1085"/>
        <v>121.33879983141398</v>
      </c>
      <c r="AU1141" s="6">
        <f t="shared" si="1086"/>
        <v>174.49001091154835</v>
      </c>
      <c r="AV1141" s="6">
        <f t="shared" si="1087"/>
        <v>176.97549915202598</v>
      </c>
      <c r="AW1141" s="58">
        <f t="shared" si="1093"/>
        <v>1996</v>
      </c>
      <c r="AX1141" s="58">
        <f>COUNTIF(AW$3:AW1141,AW1141)</f>
        <v>11</v>
      </c>
    </row>
    <row r="1142" spans="1:50" x14ac:dyDescent="0.25">
      <c r="A1142" s="5">
        <v>35351</v>
      </c>
      <c r="B1142">
        <v>700.66</v>
      </c>
      <c r="C1142">
        <v>4.9800000000000004</v>
      </c>
      <c r="D1142" s="6">
        <v>14.8</v>
      </c>
      <c r="E1142" s="18">
        <f t="shared" si="1106"/>
        <v>15.52</v>
      </c>
      <c r="F1142">
        <f t="shared" si="1107"/>
        <v>1</v>
      </c>
      <c r="G1142" s="18">
        <f>ROUND(INDEX(Valuation!U:U,MATCH(A1142,Valuation!A:A,0)),2)</f>
        <v>157.02000000000001</v>
      </c>
      <c r="H1142">
        <f t="shared" si="1114"/>
        <v>1</v>
      </c>
      <c r="I1142" s="18">
        <f>INDEX(WeeklyIndicators!Y:Y,MATCH(A1142,WeeklyIndicators!A:A,0))</f>
        <v>126.5</v>
      </c>
      <c r="J1142">
        <f t="shared" si="1103"/>
        <v>0</v>
      </c>
      <c r="K1142">
        <f>ROUND(INDEX(Economic!AF:AF,MATCH(EOMONTH($A1142,-1),Economic!A:A,0)),2)</f>
        <v>132.86000000000001</v>
      </c>
      <c r="L1142" s="11">
        <f t="shared" si="1112"/>
        <v>2</v>
      </c>
      <c r="M1142">
        <f>ROUND(INDEX(Manufacturing!P:P,MATCH(EOMONTH($A1142,-1),Manufacturing!A:A,0)),2)</f>
        <v>107.35</v>
      </c>
      <c r="N1142">
        <f t="shared" si="1108"/>
        <v>2</v>
      </c>
      <c r="O1142">
        <f>ROUND(INDEX(Housing!AC:AC,MATCH(EOMONTH($A1142,-1),Housing!B:B,0)),2)</f>
        <v>103.17</v>
      </c>
      <c r="P1142">
        <f t="shared" si="1109"/>
        <v>0</v>
      </c>
      <c r="Q1142">
        <f>ROUND(INDEX(Spending!AJ:AJ,MATCH(EOMONTH($A1142,-1),Spending!B:B,0)),2)</f>
        <v>56.89</v>
      </c>
      <c r="R1142">
        <f t="shared" si="1113"/>
        <v>1</v>
      </c>
      <c r="S1142">
        <f>ROUND(INDEX(Employment!V:V,MATCH(EOMONTH($A1142,-1),Employment!A:A,0)),2)</f>
        <v>181.59</v>
      </c>
      <c r="T1142" s="11">
        <f t="shared" si="1110"/>
        <v>2</v>
      </c>
      <c r="U1142">
        <f t="shared" si="1102"/>
        <v>29</v>
      </c>
      <c r="V1142">
        <f t="shared" si="1094"/>
        <v>79.81</v>
      </c>
      <c r="W1142" s="13">
        <f t="shared" si="1095"/>
        <v>0</v>
      </c>
      <c r="X1142" s="13">
        <f t="shared" si="1096"/>
        <v>-2.6000000000000003E-3</v>
      </c>
      <c r="Y1142">
        <f t="shared" si="1088"/>
        <v>86.21</v>
      </c>
      <c r="Z1142" s="13">
        <f t="shared" si="1083"/>
        <v>6.9999999999999999E-4</v>
      </c>
      <c r="AA1142" s="13">
        <f t="shared" si="1115"/>
        <v>-1.2000000000000005E-3</v>
      </c>
      <c r="AB1142" s="6">
        <f t="shared" si="1089"/>
        <v>96.962000000000003</v>
      </c>
      <c r="AC1142">
        <f t="shared" si="1081"/>
        <v>48</v>
      </c>
      <c r="AD1142" s="11">
        <f t="shared" si="1082"/>
        <v>2</v>
      </c>
      <c r="AE1142">
        <f t="shared" si="1080"/>
        <v>33</v>
      </c>
      <c r="AF1142">
        <f>IF(AND(AE1142&lt;15,OR(AC1142&gt;=30,AA1142&gt;0.15,X1142&gt;=0.15)),2,VLOOKUP(AE1142,Table!P:Q,2,FALSE))</f>
        <v>5</v>
      </c>
      <c r="AG1142" s="22">
        <f>IF((AB1142*0.98)-(D1142*0.8)+((AF1142-3)*3)+VLOOKUP(AM1142,Table!$A$11:$B$13,2,FALSE)&lt;0,0,(AB1142*0.98)-(D1142*0.8)+((AF1142-3)*3)+VLOOKUP(AM1142,Table!$A$11:$B$13,2,FALSE))</f>
        <v>97.182760000000002</v>
      </c>
      <c r="AH1142" s="22">
        <f t="shared" si="1111"/>
        <v>97</v>
      </c>
      <c r="AI1142" s="18">
        <f t="shared" si="1104"/>
        <v>5.07</v>
      </c>
      <c r="AJ1142" s="18">
        <f t="shared" si="1105"/>
        <v>5.01</v>
      </c>
      <c r="AK1142" t="str">
        <f t="shared" si="1090"/>
        <v/>
      </c>
      <c r="AL1142">
        <f t="shared" si="1101"/>
        <v>33.5</v>
      </c>
      <c r="AM1142" s="11" t="str">
        <f t="shared" si="1091"/>
        <v>Stocks</v>
      </c>
      <c r="AN1142" t="str">
        <f t="shared" si="1097"/>
        <v>Buy</v>
      </c>
      <c r="AO1142" s="13">
        <f t="shared" si="1098"/>
        <v>1.4500000000000001E-2</v>
      </c>
      <c r="AP1142" s="13">
        <f t="shared" si="1099"/>
        <v>1E-3</v>
      </c>
      <c r="AQ1142" s="13">
        <f t="shared" si="1100"/>
        <v>1.41E-2</v>
      </c>
      <c r="AR1142" s="13">
        <f t="shared" si="1092"/>
        <v>1.4500000000000001E-2</v>
      </c>
      <c r="AS1142" s="6">
        <f t="shared" si="1084"/>
        <v>174.44603169248495</v>
      </c>
      <c r="AT1142" s="6">
        <f t="shared" si="1085"/>
        <v>121.21758224916483</v>
      </c>
      <c r="AU1142" s="6">
        <f t="shared" si="1086"/>
        <v>172.0639097835996</v>
      </c>
      <c r="AV1142" s="6">
        <f t="shared" si="1087"/>
        <v>174.44603169248495</v>
      </c>
      <c r="AW1142" s="58">
        <f t="shared" si="1093"/>
        <v>1996</v>
      </c>
      <c r="AX1142" s="58">
        <f>COUNTIF(AW$3:AW1142,AW1142)</f>
        <v>12</v>
      </c>
    </row>
    <row r="1143" spans="1:50" x14ac:dyDescent="0.25">
      <c r="A1143" s="5">
        <v>35344</v>
      </c>
      <c r="B1143">
        <v>701.46</v>
      </c>
      <c r="C1143">
        <v>4.91</v>
      </c>
      <c r="D1143" s="6">
        <v>16.100000000000001</v>
      </c>
      <c r="E1143" s="18">
        <f t="shared" si="1106"/>
        <v>15.65</v>
      </c>
      <c r="F1143">
        <f t="shared" si="1107"/>
        <v>1</v>
      </c>
      <c r="G1143" s="18">
        <f>ROUND(INDEX(Valuation!U:U,MATCH(A1143,Valuation!A:A,0)),2)</f>
        <v>158.66</v>
      </c>
      <c r="H1143">
        <f t="shared" si="1114"/>
        <v>1</v>
      </c>
      <c r="I1143" s="18">
        <f>INDEX(WeeklyIndicators!Y:Y,MATCH(A1143,WeeklyIndicators!A:A,0))</f>
        <v>128.09</v>
      </c>
      <c r="J1143">
        <f t="shared" si="1103"/>
        <v>0</v>
      </c>
      <c r="K1143">
        <f>ROUND(INDEX(Economic!AF:AF,MATCH(EOMONTH($A1143,-1),Economic!A:A,0)),2)</f>
        <v>132.86000000000001</v>
      </c>
      <c r="L1143" s="11">
        <f t="shared" si="1112"/>
        <v>2</v>
      </c>
      <c r="M1143">
        <f>ROUND(INDEX(Manufacturing!P:P,MATCH(EOMONTH($A1143,-1),Manufacturing!A:A,0)),2)</f>
        <v>107.35</v>
      </c>
      <c r="N1143">
        <f t="shared" si="1108"/>
        <v>2</v>
      </c>
      <c r="O1143">
        <f>ROUND(INDEX(Housing!AC:AC,MATCH(EOMONTH($A1143,-1),Housing!B:B,0)),2)</f>
        <v>103.17</v>
      </c>
      <c r="P1143">
        <f t="shared" si="1109"/>
        <v>0</v>
      </c>
      <c r="Q1143">
        <f>ROUND(INDEX(Spending!AJ:AJ,MATCH(EOMONTH($A1143,-1),Spending!B:B,0)),2)</f>
        <v>56.89</v>
      </c>
      <c r="R1143">
        <f t="shared" si="1113"/>
        <v>1</v>
      </c>
      <c r="S1143">
        <f>ROUND(INDEX(Employment!V:V,MATCH(EOMONTH($A1143,-1),Employment!A:A,0)),2)</f>
        <v>181.59</v>
      </c>
      <c r="T1143" s="11">
        <f t="shared" si="1110"/>
        <v>2</v>
      </c>
      <c r="U1143">
        <f t="shared" si="1102"/>
        <v>29</v>
      </c>
      <c r="V1143">
        <f t="shared" si="1094"/>
        <v>79.97</v>
      </c>
      <c r="W1143" s="13">
        <f t="shared" si="1095"/>
        <v>1.2999999999999999E-3</v>
      </c>
      <c r="X1143" s="13">
        <f t="shared" si="1096"/>
        <v>-5.4999999999999997E-3</v>
      </c>
      <c r="Y1143">
        <f t="shared" si="1088"/>
        <v>86.51</v>
      </c>
      <c r="Z1143" s="13">
        <f t="shared" si="1083"/>
        <v>2.5999999999999999E-3</v>
      </c>
      <c r="AA1143" s="13">
        <f t="shared" si="1115"/>
        <v>-4.1000000000000012E-3</v>
      </c>
      <c r="AB1143" s="6">
        <f t="shared" si="1089"/>
        <v>97.215999999999994</v>
      </c>
      <c r="AC1143">
        <f t="shared" si="1081"/>
        <v>49</v>
      </c>
      <c r="AD1143" s="11">
        <f t="shared" si="1082"/>
        <v>2</v>
      </c>
      <c r="AE1143">
        <f t="shared" si="1080"/>
        <v>33</v>
      </c>
      <c r="AF1143">
        <f>IF(AND(AE1143&lt;15,OR(AC1143&gt;=30,AA1143&gt;0.15,X1143&gt;=0.15)),2,VLOOKUP(AE1143,Table!P:Q,2,FALSE))</f>
        <v>5</v>
      </c>
      <c r="AG1143" s="22">
        <f>IF((AB1143*0.98)-(D1143*0.8)+((AF1143-3)*3)+VLOOKUP(AM1143,Table!$A$11:$B$13,2,FALSE)&lt;0,0,(AB1143*0.98)-(D1143*0.8)+((AF1143-3)*3)+VLOOKUP(AM1143,Table!$A$11:$B$13,2,FALSE))</f>
        <v>96.39167999999998</v>
      </c>
      <c r="AH1143" s="22">
        <f t="shared" si="1111"/>
        <v>97</v>
      </c>
      <c r="AI1143" s="18">
        <f t="shared" si="1104"/>
        <v>5.08</v>
      </c>
      <c r="AJ1143" s="18">
        <f t="shared" si="1105"/>
        <v>5.01</v>
      </c>
      <c r="AK1143" t="str">
        <f t="shared" si="1090"/>
        <v/>
      </c>
      <c r="AL1143">
        <f t="shared" si="1101"/>
        <v>33.5</v>
      </c>
      <c r="AM1143" s="11" t="str">
        <f t="shared" si="1091"/>
        <v>Stocks</v>
      </c>
      <c r="AN1143" t="str">
        <f t="shared" si="1097"/>
        <v>Buy</v>
      </c>
      <c r="AO1143" s="13">
        <f t="shared" si="1098"/>
        <v>-1.1000000000000001E-3</v>
      </c>
      <c r="AP1143" s="13">
        <f t="shared" si="1099"/>
        <v>8.9999999999999998E-4</v>
      </c>
      <c r="AQ1143" s="13">
        <f t="shared" si="1100"/>
        <v>-1E-3</v>
      </c>
      <c r="AR1143" s="13">
        <f t="shared" si="1092"/>
        <v>-1.1000000000000001E-3</v>
      </c>
      <c r="AS1143" s="6">
        <f t="shared" si="1084"/>
        <v>174.63813363948839</v>
      </c>
      <c r="AT1143" s="6">
        <f t="shared" si="1085"/>
        <v>121.10858452309407</v>
      </c>
      <c r="AU1143" s="6">
        <f t="shared" si="1086"/>
        <v>172.23614592952913</v>
      </c>
      <c r="AV1143" s="6">
        <f t="shared" si="1087"/>
        <v>174.63813363948839</v>
      </c>
      <c r="AW1143" s="58">
        <f t="shared" si="1093"/>
        <v>1996</v>
      </c>
      <c r="AX1143" s="58">
        <f>COUNTIF(AW$3:AW1143,AW1143)</f>
        <v>13</v>
      </c>
    </row>
    <row r="1144" spans="1:50" x14ac:dyDescent="0.25">
      <c r="A1144" s="5">
        <v>35337</v>
      </c>
      <c r="B1144">
        <v>686.19</v>
      </c>
      <c r="C1144">
        <v>4.9800000000000004</v>
      </c>
      <c r="D1144" s="6">
        <v>15.65</v>
      </c>
      <c r="E1144" s="18">
        <f t="shared" si="1106"/>
        <v>15.98</v>
      </c>
      <c r="F1144">
        <f t="shared" si="1107"/>
        <v>1</v>
      </c>
      <c r="G1144" s="18">
        <f>ROUND(INDEX(Valuation!U:U,MATCH(A1144,Valuation!A:A,0)),2)</f>
        <v>158.13999999999999</v>
      </c>
      <c r="H1144">
        <f t="shared" si="1114"/>
        <v>1</v>
      </c>
      <c r="I1144" s="18">
        <f>INDEX(WeeklyIndicators!Y:Y,MATCH(A1144,WeeklyIndicators!A:A,0))</f>
        <v>123.67</v>
      </c>
      <c r="J1144">
        <f t="shared" si="1103"/>
        <v>0</v>
      </c>
      <c r="K1144">
        <f>ROUND(INDEX(Economic!AF:AF,MATCH(EOMONTH($A1144,-1),Economic!A:A,0)),2)</f>
        <v>130.35</v>
      </c>
      <c r="L1144" s="11">
        <f t="shared" si="1112"/>
        <v>2</v>
      </c>
      <c r="M1144">
        <f>ROUND(INDEX(Manufacturing!P:P,MATCH(EOMONTH($A1144,-1),Manufacturing!A:A,0)),2)</f>
        <v>112.15</v>
      </c>
      <c r="N1144">
        <f t="shared" si="1108"/>
        <v>3</v>
      </c>
      <c r="O1144">
        <f>ROUND(INDEX(Housing!AC:AC,MATCH(EOMONTH($A1144,-1),Housing!B:B,0)),2)</f>
        <v>101.76</v>
      </c>
      <c r="P1144">
        <f t="shared" si="1109"/>
        <v>0</v>
      </c>
      <c r="Q1144">
        <f>ROUND(INDEX(Spending!AJ:AJ,MATCH(EOMONTH($A1144,-1),Spending!B:B,0)),2)</f>
        <v>61.45</v>
      </c>
      <c r="R1144">
        <f t="shared" si="1113"/>
        <v>2</v>
      </c>
      <c r="S1144">
        <f>ROUND(INDEX(Employment!V:V,MATCH(EOMONTH($A1144,-1),Employment!A:A,0)),2)</f>
        <v>184.94</v>
      </c>
      <c r="T1144" s="11">
        <f t="shared" si="1110"/>
        <v>2</v>
      </c>
      <c r="U1144">
        <f t="shared" si="1102"/>
        <v>31</v>
      </c>
      <c r="V1144">
        <f t="shared" si="1094"/>
        <v>80.41</v>
      </c>
      <c r="W1144" s="13">
        <f t="shared" si="1095"/>
        <v>8.0000000000000004E-4</v>
      </c>
      <c r="X1144" s="13">
        <f t="shared" si="1096"/>
        <v>-7.5000000000000006E-3</v>
      </c>
      <c r="Y1144">
        <f t="shared" si="1088"/>
        <v>86.78</v>
      </c>
      <c r="Z1144" s="13">
        <f t="shared" si="1083"/>
        <v>5.9999999999999995E-4</v>
      </c>
      <c r="AA1144" s="13">
        <f t="shared" si="1115"/>
        <v>-5.4000000000000012E-3</v>
      </c>
      <c r="AB1144" s="6">
        <f t="shared" si="1089"/>
        <v>97.333999999999989</v>
      </c>
      <c r="AC1144">
        <f t="shared" si="1081"/>
        <v>49</v>
      </c>
      <c r="AD1144" s="11">
        <f t="shared" si="1082"/>
        <v>2</v>
      </c>
      <c r="AE1144">
        <f t="shared" ref="AE1144:AE1207" si="1116">IF(AND(AA1144&gt;=0.2,AC1144&gt;=20,U1144+AD1144+2&lt;30),U1144+AD1144+2+12,U1144+AD1144+2)</f>
        <v>35</v>
      </c>
      <c r="AF1144">
        <f>IF(AND(AE1144&lt;15,OR(AC1144&gt;=30,AA1144&gt;0.15,X1144&gt;=0.15)),2,VLOOKUP(AE1144,Table!P:Q,2,FALSE))</f>
        <v>5</v>
      </c>
      <c r="AG1144" s="22">
        <f>IF((AB1144*0.98)-(D1144*0.8)+((AF1144-3)*3)+VLOOKUP(AM1144,Table!$A$11:$B$13,2,FALSE)&lt;0,0,(AB1144*0.98)-(D1144*0.8)+((AF1144-3)*3)+VLOOKUP(AM1144,Table!$A$11:$B$13,2,FALSE))</f>
        <v>96.867319999999992</v>
      </c>
      <c r="AH1144" s="22">
        <f t="shared" si="1111"/>
        <v>97</v>
      </c>
      <c r="AI1144" s="18">
        <f t="shared" si="1104"/>
        <v>5.0999999999999996</v>
      </c>
      <c r="AJ1144" s="18">
        <f t="shared" si="1105"/>
        <v>5.0199999999999996</v>
      </c>
      <c r="AK1144" t="str">
        <f t="shared" si="1090"/>
        <v/>
      </c>
      <c r="AL1144">
        <f t="shared" si="1101"/>
        <v>34</v>
      </c>
      <c r="AM1144" s="11" t="str">
        <f t="shared" si="1091"/>
        <v>Stocks</v>
      </c>
      <c r="AN1144" t="str">
        <f t="shared" si="1097"/>
        <v>Buy</v>
      </c>
      <c r="AO1144" s="13">
        <f t="shared" si="1098"/>
        <v>2.23E-2</v>
      </c>
      <c r="AP1144" s="13">
        <f t="shared" si="1099"/>
        <v>1E-3</v>
      </c>
      <c r="AQ1144" s="13">
        <f t="shared" si="1100"/>
        <v>2.1700000000000001E-2</v>
      </c>
      <c r="AR1144" s="13">
        <f t="shared" si="1092"/>
        <v>2.23E-2</v>
      </c>
      <c r="AS1144" s="6">
        <f t="shared" si="1084"/>
        <v>170.82865464099422</v>
      </c>
      <c r="AT1144" s="6">
        <f t="shared" si="1085"/>
        <v>120.98759692616791</v>
      </c>
      <c r="AU1144" s="6">
        <f t="shared" si="1086"/>
        <v>168.57800325881288</v>
      </c>
      <c r="AV1144" s="6">
        <f t="shared" si="1087"/>
        <v>170.82865464099422</v>
      </c>
      <c r="AW1144" s="58">
        <f t="shared" si="1093"/>
        <v>1996</v>
      </c>
      <c r="AX1144" s="58">
        <f>COUNTIF(AW$3:AW1144,AW1144)</f>
        <v>14</v>
      </c>
    </row>
    <row r="1145" spans="1:50" x14ac:dyDescent="0.25">
      <c r="A1145" s="5">
        <v>35330</v>
      </c>
      <c r="B1145">
        <v>687.03</v>
      </c>
      <c r="C1145">
        <v>5.12</v>
      </c>
      <c r="D1145" s="6">
        <v>15.2</v>
      </c>
      <c r="E1145" s="18">
        <f t="shared" si="1106"/>
        <v>16.440000000000001</v>
      </c>
      <c r="F1145">
        <f t="shared" si="1107"/>
        <v>0</v>
      </c>
      <c r="G1145" s="18">
        <f>ROUND(INDEX(Valuation!U:U,MATCH(A1145,Valuation!A:A,0)),2)</f>
        <v>158.21</v>
      </c>
      <c r="H1145">
        <f t="shared" si="1114"/>
        <v>1</v>
      </c>
      <c r="I1145" s="18">
        <f>INDEX(WeeklyIndicators!Y:Y,MATCH(A1145,WeeklyIndicators!A:A,0))</f>
        <v>117.82</v>
      </c>
      <c r="J1145">
        <f t="shared" si="1103"/>
        <v>-1</v>
      </c>
      <c r="K1145">
        <f>ROUND(INDEX(Economic!AF:AF,MATCH(EOMONTH($A1145,-1),Economic!A:A,0)),2)</f>
        <v>130.35</v>
      </c>
      <c r="L1145" s="11">
        <f t="shared" si="1112"/>
        <v>2</v>
      </c>
      <c r="M1145">
        <f>ROUND(INDEX(Manufacturing!P:P,MATCH(EOMONTH($A1145,-1),Manufacturing!A:A,0)),2)</f>
        <v>112.15</v>
      </c>
      <c r="N1145">
        <f t="shared" si="1108"/>
        <v>3</v>
      </c>
      <c r="O1145">
        <f>ROUND(INDEX(Housing!AC:AC,MATCH(EOMONTH($A1145,-1),Housing!B:B,0)),2)</f>
        <v>101.76</v>
      </c>
      <c r="P1145">
        <f t="shared" si="1109"/>
        <v>0</v>
      </c>
      <c r="Q1145">
        <f>ROUND(INDEX(Spending!AJ:AJ,MATCH(EOMONTH($A1145,-1),Spending!B:B,0)),2)</f>
        <v>61.45</v>
      </c>
      <c r="R1145">
        <f t="shared" si="1113"/>
        <v>2</v>
      </c>
      <c r="S1145">
        <f>ROUND(INDEX(Employment!V:V,MATCH(EOMONTH($A1145,-1),Employment!A:A,0)),2)</f>
        <v>184.94</v>
      </c>
      <c r="T1145" s="11">
        <f t="shared" si="1110"/>
        <v>2</v>
      </c>
      <c r="U1145">
        <f t="shared" si="1102"/>
        <v>29</v>
      </c>
      <c r="V1145">
        <f t="shared" si="1094"/>
        <v>79.81</v>
      </c>
      <c r="W1145" s="13">
        <f t="shared" si="1095"/>
        <v>-4.7000000000000002E-3</v>
      </c>
      <c r="X1145" s="13">
        <f t="shared" si="1096"/>
        <v>-4.5000000000000005E-3</v>
      </c>
      <c r="Y1145">
        <f t="shared" si="1088"/>
        <v>86.02</v>
      </c>
      <c r="Z1145" s="13">
        <f t="shared" si="1083"/>
        <v>-5.1000000000000004E-3</v>
      </c>
      <c r="AA1145" s="13">
        <f t="shared" si="1115"/>
        <v>5.9999999999999897E-4</v>
      </c>
      <c r="AB1145" s="6">
        <f t="shared" si="1089"/>
        <v>97.001000000000005</v>
      </c>
      <c r="AC1145">
        <f t="shared" si="1081"/>
        <v>49</v>
      </c>
      <c r="AD1145" s="11">
        <f t="shared" si="1082"/>
        <v>2</v>
      </c>
      <c r="AE1145">
        <f t="shared" si="1116"/>
        <v>33</v>
      </c>
      <c r="AF1145">
        <f>IF(AND(AE1145&lt;15,OR(AC1145&gt;=30,AA1145&gt;0.15,X1145&gt;=0.15)),2,VLOOKUP(AE1145,Table!P:Q,2,FALSE))</f>
        <v>5</v>
      </c>
      <c r="AG1145" s="22">
        <f>IF((AB1145*0.98)-(D1145*0.8)+((AF1145-3)*3)+VLOOKUP(AM1145,Table!$A$11:$B$13,2,FALSE)&lt;0,0,(AB1145*0.98)-(D1145*0.8)+((AF1145-3)*3)+VLOOKUP(AM1145,Table!$A$11:$B$13,2,FALSE))</f>
        <v>96.900980000000004</v>
      </c>
      <c r="AH1145" s="22">
        <f t="shared" si="1111"/>
        <v>97</v>
      </c>
      <c r="AI1145" s="18">
        <f t="shared" si="1104"/>
        <v>5.1100000000000003</v>
      </c>
      <c r="AJ1145" s="18">
        <f t="shared" si="1105"/>
        <v>5.01</v>
      </c>
      <c r="AK1145" t="str">
        <f t="shared" si="1090"/>
        <v/>
      </c>
      <c r="AL1145">
        <f t="shared" si="1101"/>
        <v>34</v>
      </c>
      <c r="AM1145" s="11" t="str">
        <f t="shared" si="1091"/>
        <v>Stocks</v>
      </c>
      <c r="AN1145" t="str">
        <f t="shared" si="1097"/>
        <v>Buy</v>
      </c>
      <c r="AO1145" s="13">
        <f t="shared" si="1098"/>
        <v>-1.1999999999999999E-3</v>
      </c>
      <c r="AP1145" s="13">
        <f t="shared" si="1099"/>
        <v>1E-3</v>
      </c>
      <c r="AQ1145" s="13">
        <f t="shared" si="1100"/>
        <v>-1.1000000000000001E-3</v>
      </c>
      <c r="AR1145" s="13">
        <f t="shared" si="1092"/>
        <v>-1.1999999999999999E-3</v>
      </c>
      <c r="AS1145" s="6">
        <f t="shared" si="1084"/>
        <v>171.03389531537266</v>
      </c>
      <c r="AT1145" s="6">
        <f t="shared" si="1085"/>
        <v>120.86673019597195</v>
      </c>
      <c r="AU1145" s="6">
        <f t="shared" si="1086"/>
        <v>168.76364326640592</v>
      </c>
      <c r="AV1145" s="6">
        <f t="shared" si="1087"/>
        <v>171.03389531537266</v>
      </c>
      <c r="AW1145" s="58">
        <f t="shared" si="1093"/>
        <v>1996</v>
      </c>
      <c r="AX1145" s="58">
        <f>COUNTIF(AW$3:AW1145,AW1145)</f>
        <v>15</v>
      </c>
    </row>
    <row r="1146" spans="1:50" x14ac:dyDescent="0.25">
      <c r="A1146" s="5">
        <v>35323</v>
      </c>
      <c r="B1146">
        <v>680.54</v>
      </c>
      <c r="C1146">
        <v>5.13</v>
      </c>
      <c r="D1146" s="6">
        <v>17.100000000000001</v>
      </c>
      <c r="E1146" s="18">
        <f t="shared" si="1106"/>
        <v>16.100000000000001</v>
      </c>
      <c r="F1146">
        <f t="shared" si="1107"/>
        <v>0</v>
      </c>
      <c r="G1146" s="18">
        <f>ROUND(INDEX(Valuation!U:U,MATCH(A1146,Valuation!A:A,0)),2)</f>
        <v>157.01</v>
      </c>
      <c r="H1146">
        <f t="shared" si="1114"/>
        <v>1</v>
      </c>
      <c r="I1146" s="18">
        <f>INDEX(WeeklyIndicators!Y:Y,MATCH(A1146,WeeklyIndicators!A:A,0))</f>
        <v>116.3</v>
      </c>
      <c r="J1146">
        <f t="shared" si="1103"/>
        <v>-1</v>
      </c>
      <c r="K1146">
        <f>ROUND(INDEX(Economic!AF:AF,MATCH(EOMONTH($A1146,-1),Economic!A:A,0)),2)</f>
        <v>130.35</v>
      </c>
      <c r="L1146" s="11">
        <f t="shared" si="1112"/>
        <v>2</v>
      </c>
      <c r="M1146">
        <f>ROUND(INDEX(Manufacturing!P:P,MATCH(EOMONTH($A1146,-1),Manufacturing!A:A,0)),2)</f>
        <v>112.15</v>
      </c>
      <c r="N1146">
        <f t="shared" si="1108"/>
        <v>3</v>
      </c>
      <c r="O1146">
        <f>ROUND(INDEX(Housing!AC:AC,MATCH(EOMONTH($A1146,-1),Housing!B:B,0)),2)</f>
        <v>101.76</v>
      </c>
      <c r="P1146">
        <f t="shared" si="1109"/>
        <v>0</v>
      </c>
      <c r="Q1146">
        <f>ROUND(INDEX(Spending!AJ:AJ,MATCH(EOMONTH($A1146,-1),Spending!B:B,0)),2)</f>
        <v>61.45</v>
      </c>
      <c r="R1146">
        <f t="shared" si="1113"/>
        <v>2</v>
      </c>
      <c r="S1146">
        <f>ROUND(INDEX(Employment!V:V,MATCH(EOMONTH($A1146,-1),Employment!A:A,0)),2)</f>
        <v>184.94</v>
      </c>
      <c r="T1146" s="11">
        <f t="shared" si="1110"/>
        <v>2</v>
      </c>
      <c r="U1146">
        <f t="shared" si="1102"/>
        <v>29</v>
      </c>
      <c r="V1146">
        <f t="shared" si="1094"/>
        <v>79.650000000000006</v>
      </c>
      <c r="W1146" s="13">
        <f t="shared" si="1095"/>
        <v>-2.8999999999999998E-3</v>
      </c>
      <c r="X1146" s="13">
        <f t="shared" si="1096"/>
        <v>2.9000000000000002E-3</v>
      </c>
      <c r="Y1146">
        <f t="shared" si="1088"/>
        <v>85.85</v>
      </c>
      <c r="Z1146" s="13">
        <f t="shared" si="1083"/>
        <v>-2.2000000000000001E-3</v>
      </c>
      <c r="AA1146" s="13">
        <f t="shared" si="1115"/>
        <v>1.0700000000000001E-2</v>
      </c>
      <c r="AB1146" s="6">
        <f t="shared" si="1089"/>
        <v>97.450999999999993</v>
      </c>
      <c r="AC1146">
        <f t="shared" si="1081"/>
        <v>49</v>
      </c>
      <c r="AD1146" s="11">
        <f t="shared" si="1082"/>
        <v>2</v>
      </c>
      <c r="AE1146">
        <f t="shared" si="1116"/>
        <v>33</v>
      </c>
      <c r="AF1146">
        <f>IF(AND(AE1146&lt;15,OR(AC1146&gt;=30,AA1146&gt;0.15,X1146&gt;=0.15)),2,VLOOKUP(AE1146,Table!P:Q,2,FALSE))</f>
        <v>5</v>
      </c>
      <c r="AG1146" s="22">
        <f>IF((AB1146*0.98)-(D1146*0.8)+((AF1146-3)*3)+VLOOKUP(AM1146,Table!$A$11:$B$13,2,FALSE)&lt;0,0,(AB1146*0.98)-(D1146*0.8)+((AF1146-3)*3)+VLOOKUP(AM1146,Table!$A$11:$B$13,2,FALSE))</f>
        <v>95.821979999999982</v>
      </c>
      <c r="AH1146" s="22">
        <f t="shared" si="1111"/>
        <v>98</v>
      </c>
      <c r="AI1146" s="18">
        <f t="shared" si="1104"/>
        <v>5.1100000000000003</v>
      </c>
      <c r="AJ1146" s="18">
        <f t="shared" si="1105"/>
        <v>5.01</v>
      </c>
      <c r="AK1146" t="str">
        <f t="shared" si="1090"/>
        <v/>
      </c>
      <c r="AL1146">
        <f t="shared" si="1101"/>
        <v>34.5</v>
      </c>
      <c r="AM1146" s="11" t="str">
        <f t="shared" si="1091"/>
        <v>Stocks</v>
      </c>
      <c r="AN1146" t="str">
        <f t="shared" si="1097"/>
        <v>Buy</v>
      </c>
      <c r="AO1146" s="13">
        <f t="shared" si="1098"/>
        <v>9.4999999999999998E-3</v>
      </c>
      <c r="AP1146" s="13">
        <f t="shared" si="1099"/>
        <v>1E-3</v>
      </c>
      <c r="AQ1146" s="13">
        <f t="shared" si="1100"/>
        <v>9.2999999999999992E-3</v>
      </c>
      <c r="AR1146" s="13">
        <f t="shared" si="1092"/>
        <v>9.4999999999999998E-3</v>
      </c>
      <c r="AS1146" s="6">
        <f t="shared" si="1084"/>
        <v>169.42436385871486</v>
      </c>
      <c r="AT1146" s="6">
        <f t="shared" si="1085"/>
        <v>120.7459842117602</v>
      </c>
      <c r="AU1146" s="6">
        <f t="shared" si="1086"/>
        <v>167.20860325612395</v>
      </c>
      <c r="AV1146" s="6">
        <f t="shared" si="1087"/>
        <v>169.42436385871486</v>
      </c>
      <c r="AW1146" s="58">
        <f t="shared" si="1093"/>
        <v>1996</v>
      </c>
      <c r="AX1146" s="58">
        <f>COUNTIF(AW$3:AW1146,AW1146)</f>
        <v>16</v>
      </c>
    </row>
    <row r="1147" spans="1:50" x14ac:dyDescent="0.25">
      <c r="A1147" s="5">
        <v>35316</v>
      </c>
      <c r="B1147">
        <v>655.68</v>
      </c>
      <c r="C1147">
        <v>5.19</v>
      </c>
      <c r="D1147" s="6">
        <v>17.010000000000002</v>
      </c>
      <c r="E1147" s="18">
        <f t="shared" si="1106"/>
        <v>15.33</v>
      </c>
      <c r="F1147">
        <f t="shared" si="1107"/>
        <v>1</v>
      </c>
      <c r="G1147" s="18">
        <f>ROUND(INDEX(Valuation!U:U,MATCH(A1147,Valuation!A:A,0)),2)</f>
        <v>156.53</v>
      </c>
      <c r="H1147">
        <f t="shared" si="1114"/>
        <v>1</v>
      </c>
      <c r="I1147" s="18">
        <f>INDEX(WeeklyIndicators!Y:Y,MATCH(A1147,WeeklyIndicators!A:A,0))</f>
        <v>121.71</v>
      </c>
      <c r="J1147">
        <f t="shared" si="1103"/>
        <v>0</v>
      </c>
      <c r="K1147">
        <f>ROUND(INDEX(Economic!AF:AF,MATCH(EOMONTH($A1147,-1),Economic!A:A,0)),2)</f>
        <v>130.35</v>
      </c>
      <c r="L1147" s="11">
        <f t="shared" si="1112"/>
        <v>2</v>
      </c>
      <c r="M1147">
        <f>ROUND(INDEX(Manufacturing!P:P,MATCH(EOMONTH($A1147,-1),Manufacturing!A:A,0)),2)</f>
        <v>112.15</v>
      </c>
      <c r="N1147">
        <f t="shared" si="1108"/>
        <v>3</v>
      </c>
      <c r="O1147">
        <f>ROUND(INDEX(Housing!AC:AC,MATCH(EOMONTH($A1147,-1),Housing!B:B,0)),2)</f>
        <v>101.76</v>
      </c>
      <c r="P1147">
        <f t="shared" si="1109"/>
        <v>0</v>
      </c>
      <c r="Q1147">
        <f>ROUND(INDEX(Spending!AJ:AJ,MATCH(EOMONTH($A1147,-1),Spending!B:B,0)),2)</f>
        <v>61.45</v>
      </c>
      <c r="R1147">
        <f t="shared" si="1113"/>
        <v>2</v>
      </c>
      <c r="S1147">
        <f>ROUND(INDEX(Employment!V:V,MATCH(EOMONTH($A1147,-1),Employment!A:A,0)),2)</f>
        <v>184.94</v>
      </c>
      <c r="T1147" s="11">
        <f t="shared" si="1110"/>
        <v>2</v>
      </c>
      <c r="U1147">
        <f t="shared" si="1102"/>
        <v>31</v>
      </c>
      <c r="V1147">
        <f t="shared" si="1094"/>
        <v>80.209999999999994</v>
      </c>
      <c r="W1147" s="13">
        <f t="shared" si="1095"/>
        <v>-6.9999999999999999E-4</v>
      </c>
      <c r="X1147" s="13">
        <f t="shared" si="1096"/>
        <v>1.84E-2</v>
      </c>
      <c r="Y1147">
        <f t="shared" si="1088"/>
        <v>86.62</v>
      </c>
      <c r="Z1147" s="13">
        <f t="shared" si="1083"/>
        <v>1.2999999999999999E-3</v>
      </c>
      <c r="AA1147" s="13">
        <f t="shared" si="1115"/>
        <v>2.69E-2</v>
      </c>
      <c r="AB1147" s="6">
        <f t="shared" si="1089"/>
        <v>99.433000000000007</v>
      </c>
      <c r="AC1147">
        <f t="shared" si="1081"/>
        <v>50</v>
      </c>
      <c r="AD1147" s="11">
        <f t="shared" si="1082"/>
        <v>2</v>
      </c>
      <c r="AE1147">
        <f t="shared" si="1116"/>
        <v>35</v>
      </c>
      <c r="AF1147">
        <f>IF(AND(AE1147&lt;15,OR(AC1147&gt;=30,AA1147&gt;0.15,X1147&gt;=0.15)),2,VLOOKUP(AE1147,Table!P:Q,2,FALSE))</f>
        <v>5</v>
      </c>
      <c r="AG1147" s="22">
        <f>IF((AB1147*0.98)-(D1147*0.8)+((AF1147-3)*3)+VLOOKUP(AM1147,Table!$A$11:$B$13,2,FALSE)&lt;0,0,(AB1147*0.98)-(D1147*0.8)+((AF1147-3)*3)+VLOOKUP(AM1147,Table!$A$11:$B$13,2,FALSE))</f>
        <v>97.836340000000007</v>
      </c>
      <c r="AH1147" s="22">
        <f t="shared" si="1111"/>
        <v>100</v>
      </c>
      <c r="AI1147" s="18">
        <f t="shared" si="1104"/>
        <v>5.1100000000000003</v>
      </c>
      <c r="AJ1147" s="18">
        <f t="shared" si="1105"/>
        <v>5.0199999999999996</v>
      </c>
      <c r="AK1147" t="str">
        <f t="shared" si="1090"/>
        <v>Rising Rates</v>
      </c>
      <c r="AL1147">
        <f t="shared" si="1101"/>
        <v>34.75</v>
      </c>
      <c r="AM1147" s="11" t="str">
        <f t="shared" si="1091"/>
        <v>Stocks</v>
      </c>
      <c r="AN1147" t="str">
        <f t="shared" si="1097"/>
        <v>Buy</v>
      </c>
      <c r="AO1147" s="13">
        <f t="shared" si="1098"/>
        <v>3.7900000000000003E-2</v>
      </c>
      <c r="AP1147" s="13">
        <f t="shared" si="1099"/>
        <v>1E-3</v>
      </c>
      <c r="AQ1147" s="13">
        <f t="shared" si="1100"/>
        <v>3.7900000000000003E-2</v>
      </c>
      <c r="AR1147" s="13">
        <f t="shared" si="1092"/>
        <v>3.7900000000000003E-2</v>
      </c>
      <c r="AS1147" s="6">
        <f t="shared" si="1084"/>
        <v>163.23765667088819</v>
      </c>
      <c r="AT1147" s="6">
        <f t="shared" si="1085"/>
        <v>120.62535885290731</v>
      </c>
      <c r="AU1147" s="6">
        <f t="shared" si="1086"/>
        <v>161.10280687554095</v>
      </c>
      <c r="AV1147" s="6">
        <f t="shared" si="1087"/>
        <v>163.23765667088819</v>
      </c>
      <c r="AW1147" s="58">
        <f t="shared" si="1093"/>
        <v>1996</v>
      </c>
      <c r="AX1147" s="58">
        <f>COUNTIF(AW$3:AW1147,AW1147)</f>
        <v>17</v>
      </c>
    </row>
    <row r="1148" spans="1:50" x14ac:dyDescent="0.25">
      <c r="A1148" s="5">
        <v>35309</v>
      </c>
      <c r="B1148">
        <v>651.99</v>
      </c>
      <c r="C1148">
        <v>5.09</v>
      </c>
      <c r="D1148" s="6">
        <v>14.18</v>
      </c>
      <c r="E1148" s="18">
        <f t="shared" si="1106"/>
        <v>14.92</v>
      </c>
      <c r="F1148">
        <f t="shared" si="1107"/>
        <v>1</v>
      </c>
      <c r="G1148" s="18">
        <f>ROUND(INDEX(Valuation!U:U,MATCH(A1148,Valuation!A:A,0)),2)</f>
        <v>155.04</v>
      </c>
      <c r="H1148">
        <f t="shared" si="1114"/>
        <v>1</v>
      </c>
      <c r="I1148" s="18">
        <f>INDEX(WeeklyIndicators!Y:Y,MATCH(A1148,WeeklyIndicators!A:A,0))</f>
        <v>128.85</v>
      </c>
      <c r="J1148">
        <f t="shared" si="1103"/>
        <v>0</v>
      </c>
      <c r="K1148">
        <f>ROUND(INDEX(Economic!AF:AF,MATCH(EOMONTH($A1148,-1),Economic!A:A,0)),2)</f>
        <v>130.35</v>
      </c>
      <c r="L1148" s="11">
        <f t="shared" si="1112"/>
        <v>2</v>
      </c>
      <c r="M1148">
        <f>ROUND(INDEX(Manufacturing!P:P,MATCH(EOMONTH($A1148,-1),Manufacturing!A:A,0)),2)</f>
        <v>112.15</v>
      </c>
      <c r="N1148">
        <f t="shared" si="1108"/>
        <v>3</v>
      </c>
      <c r="O1148">
        <f>ROUND(INDEX(Housing!AC:AC,MATCH(EOMONTH($A1148,-1),Housing!B:B,0)),2)</f>
        <v>101.76</v>
      </c>
      <c r="P1148">
        <f t="shared" si="1109"/>
        <v>0</v>
      </c>
      <c r="Q1148">
        <f>ROUND(INDEX(Spending!AJ:AJ,MATCH(EOMONTH($A1148,-1),Spending!B:B,0)),2)</f>
        <v>61.45</v>
      </c>
      <c r="R1148">
        <f t="shared" si="1113"/>
        <v>2</v>
      </c>
      <c r="S1148">
        <f>ROUND(INDEX(Employment!V:V,MATCH(EOMONTH($A1148,-1),Employment!A:A,0)),2)</f>
        <v>184.94</v>
      </c>
      <c r="T1148" s="11">
        <f t="shared" si="1110"/>
        <v>2</v>
      </c>
      <c r="U1148">
        <f t="shared" si="1102"/>
        <v>31</v>
      </c>
      <c r="V1148">
        <f t="shared" si="1094"/>
        <v>80.95</v>
      </c>
      <c r="W1148" s="13">
        <f t="shared" si="1095"/>
        <v>3.8E-3</v>
      </c>
      <c r="X1148" s="13">
        <f t="shared" si="1096"/>
        <v>3.0300000000000001E-2</v>
      </c>
      <c r="Y1148">
        <f t="shared" si="1088"/>
        <v>87.34</v>
      </c>
      <c r="Z1148" s="13">
        <f t="shared" si="1083"/>
        <v>6.6E-3</v>
      </c>
      <c r="AA1148" s="13">
        <f t="shared" si="1115"/>
        <v>3.5400000000000001E-2</v>
      </c>
      <c r="AB1148" s="6">
        <f t="shared" si="1089"/>
        <v>100.714</v>
      </c>
      <c r="AC1148">
        <f t="shared" si="1081"/>
        <v>50</v>
      </c>
      <c r="AD1148" s="11">
        <f t="shared" si="1082"/>
        <v>2</v>
      </c>
      <c r="AE1148">
        <f t="shared" si="1116"/>
        <v>35</v>
      </c>
      <c r="AF1148">
        <f>IF(AND(AE1148&lt;15,OR(AC1148&gt;=30,AA1148&gt;0.15,X1148&gt;=0.15)),2,VLOOKUP(AE1148,Table!P:Q,2,FALSE))</f>
        <v>5</v>
      </c>
      <c r="AG1148" s="22">
        <f>IF((AB1148*0.98)-(D1148*0.8)+((AF1148-3)*3)+VLOOKUP(AM1148,Table!$A$11:$B$13,2,FALSE)&lt;0,0,(AB1148*0.98)-(D1148*0.8)+((AF1148-3)*3)+VLOOKUP(AM1148,Table!$A$11:$B$13,2,FALSE))</f>
        <v>101.35571999999999</v>
      </c>
      <c r="AH1148" s="22">
        <f t="shared" si="1111"/>
        <v>100</v>
      </c>
      <c r="AI1148" s="18">
        <f t="shared" si="1104"/>
        <v>5.0999999999999996</v>
      </c>
      <c r="AJ1148" s="18">
        <f t="shared" si="1105"/>
        <v>5.0199999999999996</v>
      </c>
      <c r="AK1148" t="str">
        <f t="shared" si="1090"/>
        <v/>
      </c>
      <c r="AL1148">
        <f t="shared" si="1101"/>
        <v>34.5</v>
      </c>
      <c r="AM1148" s="11" t="str">
        <f t="shared" si="1091"/>
        <v>Stocks</v>
      </c>
      <c r="AN1148" t="str">
        <f t="shared" si="1097"/>
        <v>Buy</v>
      </c>
      <c r="AO1148" s="13">
        <f t="shared" si="1098"/>
        <v>5.7000000000000002E-3</v>
      </c>
      <c r="AP1148" s="13">
        <f t="shared" si="1099"/>
        <v>1E-3</v>
      </c>
      <c r="AQ1148" s="13">
        <f t="shared" si="1100"/>
        <v>5.7000000000000002E-3</v>
      </c>
      <c r="AR1148" s="13">
        <f t="shared" si="1092"/>
        <v>5.7000000000000002E-3</v>
      </c>
      <c r="AS1148" s="6">
        <f t="shared" si="1084"/>
        <v>162.31247556019505</v>
      </c>
      <c r="AT1148" s="6">
        <f t="shared" si="1085"/>
        <v>120.50485399890842</v>
      </c>
      <c r="AU1148" s="6">
        <f t="shared" si="1086"/>
        <v>160.18972544052991</v>
      </c>
      <c r="AV1148" s="6">
        <f t="shared" si="1087"/>
        <v>162.31247556019505</v>
      </c>
      <c r="AW1148" s="58">
        <f t="shared" si="1093"/>
        <v>1996</v>
      </c>
      <c r="AX1148" s="58">
        <f>COUNTIF(AW$3:AW1148,AW1148)</f>
        <v>18</v>
      </c>
    </row>
    <row r="1149" spans="1:50" x14ac:dyDescent="0.25">
      <c r="A1149" s="5">
        <v>35302</v>
      </c>
      <c r="B1149">
        <v>667.03</v>
      </c>
      <c r="C1149">
        <v>5.0199999999999996</v>
      </c>
      <c r="D1149" s="6">
        <v>14.81</v>
      </c>
      <c r="E1149" s="18">
        <f t="shared" si="1106"/>
        <v>15.59</v>
      </c>
      <c r="F1149">
        <f t="shared" si="1107"/>
        <v>1</v>
      </c>
      <c r="G1149" s="18">
        <f>ROUND(INDEX(Valuation!U:U,MATCH(A1149,Valuation!A:A,0)),2)</f>
        <v>154.04</v>
      </c>
      <c r="H1149">
        <f t="shared" si="1114"/>
        <v>1</v>
      </c>
      <c r="I1149" s="18">
        <f>INDEX(WeeklyIndicators!Y:Y,MATCH(A1149,WeeklyIndicators!A:A,0))</f>
        <v>132.35</v>
      </c>
      <c r="J1149">
        <f t="shared" si="1103"/>
        <v>0</v>
      </c>
      <c r="K1149">
        <f>ROUND(INDEX(Economic!AF:AF,MATCH(EOMONTH($A1149,-1),Economic!A:A,0)),2)</f>
        <v>125.04</v>
      </c>
      <c r="L1149" s="11">
        <f t="shared" si="1112"/>
        <v>2</v>
      </c>
      <c r="M1149">
        <f>ROUND(INDEX(Manufacturing!P:P,MATCH(EOMONTH($A1149,-1),Manufacturing!A:A,0)),2)</f>
        <v>108.84</v>
      </c>
      <c r="N1149">
        <f t="shared" si="1108"/>
        <v>3</v>
      </c>
      <c r="O1149">
        <f>ROUND(INDEX(Housing!AC:AC,MATCH(EOMONTH($A1149,-1),Housing!B:B,0)),2)</f>
        <v>103.2</v>
      </c>
      <c r="P1149">
        <f t="shared" si="1109"/>
        <v>0</v>
      </c>
      <c r="Q1149">
        <f>ROUND(INDEX(Spending!AJ:AJ,MATCH(EOMONTH($A1149,-1),Spending!B:B,0)),2)</f>
        <v>63.79</v>
      </c>
      <c r="R1149">
        <f t="shared" si="1113"/>
        <v>2</v>
      </c>
      <c r="S1149">
        <f>ROUND(INDEX(Employment!V:V,MATCH(EOMONTH($A1149,-1),Employment!A:A,0)),2)</f>
        <v>184.54</v>
      </c>
      <c r="T1149" s="11">
        <f t="shared" si="1110"/>
        <v>2</v>
      </c>
      <c r="U1149">
        <f t="shared" si="1102"/>
        <v>31</v>
      </c>
      <c r="V1149">
        <f t="shared" si="1094"/>
        <v>80.36</v>
      </c>
      <c r="W1149" s="13">
        <f t="shared" si="1095"/>
        <v>2.7000000000000001E-3</v>
      </c>
      <c r="X1149" s="13">
        <f t="shared" si="1096"/>
        <v>3.5500000000000004E-2</v>
      </c>
      <c r="Y1149">
        <f t="shared" si="1088"/>
        <v>86.41</v>
      </c>
      <c r="Z1149" s="13">
        <f t="shared" si="1083"/>
        <v>5.0000000000000001E-3</v>
      </c>
      <c r="AA1149" s="13">
        <f t="shared" si="1115"/>
        <v>3.5299999999999998E-2</v>
      </c>
      <c r="AB1149" s="6">
        <f t="shared" si="1089"/>
        <v>99.713999999999999</v>
      </c>
      <c r="AC1149">
        <f t="shared" ref="AC1149:AC1212" si="1117">IF(ROUND(AB1149/2,0)&lt;0,0,ROUND(AB1149/2,0))</f>
        <v>50</v>
      </c>
      <c r="AD1149" s="11">
        <f t="shared" si="1082"/>
        <v>2</v>
      </c>
      <c r="AE1149">
        <f t="shared" si="1116"/>
        <v>35</v>
      </c>
      <c r="AF1149">
        <f>IF(AND(AE1149&lt;15,OR(AC1149&gt;=30,AA1149&gt;0.15,X1149&gt;=0.15)),2,VLOOKUP(AE1149,Table!P:Q,2,FALSE))</f>
        <v>5</v>
      </c>
      <c r="AG1149" s="22">
        <f>IF((AB1149*0.98)-(D1149*0.8)+((AF1149-3)*3)+VLOOKUP(AM1149,Table!$A$11:$B$13,2,FALSE)&lt;0,0,(AB1149*0.98)-(D1149*0.8)+((AF1149-3)*3)+VLOOKUP(AM1149,Table!$A$11:$B$13,2,FALSE))</f>
        <v>99.871719999999996</v>
      </c>
      <c r="AH1149" s="22">
        <f t="shared" si="1111"/>
        <v>98</v>
      </c>
      <c r="AI1149" s="18">
        <f t="shared" si="1104"/>
        <v>5.09</v>
      </c>
      <c r="AJ1149" s="18">
        <f t="shared" si="1105"/>
        <v>5.0199999999999996</v>
      </c>
      <c r="AK1149" t="str">
        <f t="shared" si="1090"/>
        <v/>
      </c>
      <c r="AL1149">
        <f t="shared" si="1101"/>
        <v>34.25</v>
      </c>
      <c r="AM1149" s="11" t="str">
        <f t="shared" si="1091"/>
        <v>Stocks</v>
      </c>
      <c r="AN1149" t="str">
        <f t="shared" si="1097"/>
        <v>Buy</v>
      </c>
      <c r="AO1149" s="13">
        <f t="shared" si="1098"/>
        <v>-2.2499999999999999E-2</v>
      </c>
      <c r="AP1149" s="13">
        <f t="shared" si="1099"/>
        <v>1E-3</v>
      </c>
      <c r="AQ1149" s="13">
        <f t="shared" si="1100"/>
        <v>-2.1999999999999999E-2</v>
      </c>
      <c r="AR1149" s="13">
        <f t="shared" si="1092"/>
        <v>-2.2499999999999999E-2</v>
      </c>
      <c r="AS1149" s="6">
        <f t="shared" si="1084"/>
        <v>166.04856834802561</v>
      </c>
      <c r="AT1149" s="6">
        <f t="shared" si="1085"/>
        <v>120.38446952937905</v>
      </c>
      <c r="AU1149" s="6">
        <f t="shared" si="1086"/>
        <v>163.79317529706535</v>
      </c>
      <c r="AV1149" s="6">
        <f t="shared" si="1087"/>
        <v>166.04856834802561</v>
      </c>
      <c r="AW1149" s="58">
        <f t="shared" si="1093"/>
        <v>1996</v>
      </c>
      <c r="AX1149" s="58">
        <f>COUNTIF(AW$3:AW1149,AW1149)</f>
        <v>19</v>
      </c>
    </row>
    <row r="1150" spans="1:50" x14ac:dyDescent="0.25">
      <c r="A1150" s="5">
        <v>35295</v>
      </c>
      <c r="B1150">
        <v>665.21</v>
      </c>
      <c r="C1150">
        <v>5.03</v>
      </c>
      <c r="D1150" s="6">
        <v>15.77</v>
      </c>
      <c r="E1150" s="18">
        <f t="shared" si="1106"/>
        <v>16.47</v>
      </c>
      <c r="F1150">
        <f t="shared" si="1107"/>
        <v>0</v>
      </c>
      <c r="G1150" s="18">
        <f>ROUND(INDEX(Valuation!U:U,MATCH(A1150,Valuation!A:A,0)),2)</f>
        <v>155.28</v>
      </c>
      <c r="H1150">
        <f t="shared" si="1114"/>
        <v>1</v>
      </c>
      <c r="I1150" s="18">
        <f>INDEX(WeeklyIndicators!Y:Y,MATCH(A1150,WeeklyIndicators!A:A,0))</f>
        <v>132.61000000000001</v>
      </c>
      <c r="J1150">
        <f t="shared" si="1103"/>
        <v>0</v>
      </c>
      <c r="K1150">
        <f>ROUND(INDEX(Economic!AF:AF,MATCH(EOMONTH($A1150,-1),Economic!A:A,0)),2)</f>
        <v>125.04</v>
      </c>
      <c r="L1150" s="11">
        <f t="shared" si="1112"/>
        <v>2</v>
      </c>
      <c r="M1150">
        <f>ROUND(INDEX(Manufacturing!P:P,MATCH(EOMONTH($A1150,-1),Manufacturing!A:A,0)),2)</f>
        <v>108.84</v>
      </c>
      <c r="N1150">
        <f t="shared" si="1108"/>
        <v>3</v>
      </c>
      <c r="O1150">
        <f>ROUND(INDEX(Housing!AC:AC,MATCH(EOMONTH($A1150,-1),Housing!B:B,0)),2)</f>
        <v>103.2</v>
      </c>
      <c r="P1150">
        <f t="shared" si="1109"/>
        <v>0</v>
      </c>
      <c r="Q1150">
        <f>ROUND(INDEX(Spending!AJ:AJ,MATCH(EOMONTH($A1150,-1),Spending!B:B,0)),2)</f>
        <v>63.79</v>
      </c>
      <c r="R1150">
        <f t="shared" si="1113"/>
        <v>2</v>
      </c>
      <c r="S1150">
        <f>ROUND(INDEX(Employment!V:V,MATCH(EOMONTH($A1150,-1),Employment!A:A,0)),2)</f>
        <v>184.54</v>
      </c>
      <c r="T1150" s="11">
        <f t="shared" si="1110"/>
        <v>2</v>
      </c>
      <c r="U1150">
        <f t="shared" si="1102"/>
        <v>30</v>
      </c>
      <c r="V1150">
        <f t="shared" si="1094"/>
        <v>80.39</v>
      </c>
      <c r="W1150" s="13">
        <f t="shared" si="1095"/>
        <v>1.26E-2</v>
      </c>
      <c r="X1150" s="13">
        <f t="shared" si="1096"/>
        <v>3.1300000000000001E-2</v>
      </c>
      <c r="Y1150">
        <f t="shared" si="1088"/>
        <v>86.27</v>
      </c>
      <c r="Z1150" s="13">
        <f t="shared" si="1083"/>
        <v>1.4E-2</v>
      </c>
      <c r="AA1150" s="13">
        <f t="shared" si="1115"/>
        <v>2.75E-2</v>
      </c>
      <c r="AB1150" s="6">
        <f t="shared" si="1089"/>
        <v>99.138000000000005</v>
      </c>
      <c r="AC1150">
        <f t="shared" si="1117"/>
        <v>50</v>
      </c>
      <c r="AD1150" s="11">
        <f t="shared" ref="AD1150:AD1213" si="1118">IF(AC1150&gt;47,2,IF(AND(AC1150&gt;41,AC1150&lt;=47),1,IF(AC1150&lt;15,-2,IF(AND(AC1150&lt;32,AC1150&gt;=15),-1,0))))</f>
        <v>2</v>
      </c>
      <c r="AE1150">
        <f t="shared" si="1116"/>
        <v>34</v>
      </c>
      <c r="AF1150">
        <f>IF(AND(AE1150&lt;15,OR(AC1150&gt;=30,AA1150&gt;0.15,X1150&gt;=0.15)),2,VLOOKUP(AE1150,Table!P:Q,2,FALSE))</f>
        <v>5</v>
      </c>
      <c r="AG1150" s="22">
        <f>IF((AB1150*0.98)-(D1150*0.8)+((AF1150-3)*3)+VLOOKUP(AM1150,Table!$A$11:$B$13,2,FALSE)&lt;0,0,(AB1150*0.98)-(D1150*0.8)+((AF1150-3)*3)+VLOOKUP(AM1150,Table!$A$11:$B$13,2,FALSE))</f>
        <v>98.539240000000007</v>
      </c>
      <c r="AH1150" s="22">
        <f t="shared" si="1111"/>
        <v>97</v>
      </c>
      <c r="AI1150" s="18">
        <f t="shared" si="1104"/>
        <v>5.0999999999999996</v>
      </c>
      <c r="AJ1150" s="18">
        <f t="shared" si="1105"/>
        <v>5.03</v>
      </c>
      <c r="AK1150" t="str">
        <f t="shared" si="1090"/>
        <v/>
      </c>
      <c r="AL1150">
        <f t="shared" si="1101"/>
        <v>33.25</v>
      </c>
      <c r="AM1150" s="11" t="str">
        <f t="shared" si="1091"/>
        <v>Stocks</v>
      </c>
      <c r="AN1150" t="str">
        <f t="shared" si="1097"/>
        <v>Buy</v>
      </c>
      <c r="AO1150" s="13">
        <f t="shared" si="1098"/>
        <v>2.7000000000000001E-3</v>
      </c>
      <c r="AP1150" s="13">
        <f t="shared" si="1099"/>
        <v>1E-3</v>
      </c>
      <c r="AQ1150" s="13">
        <f t="shared" si="1100"/>
        <v>2.5999999999999999E-3</v>
      </c>
      <c r="AR1150" s="13">
        <f t="shared" si="1092"/>
        <v>2.7000000000000001E-3</v>
      </c>
      <c r="AS1150" s="6">
        <f t="shared" si="1084"/>
        <v>165.60144444801597</v>
      </c>
      <c r="AT1150" s="6">
        <f t="shared" si="1085"/>
        <v>120.264205324055</v>
      </c>
      <c r="AU1150" s="6">
        <f t="shared" si="1086"/>
        <v>163.3684174117947</v>
      </c>
      <c r="AV1150" s="6">
        <f t="shared" si="1087"/>
        <v>165.60144444801597</v>
      </c>
      <c r="AW1150" s="58">
        <f t="shared" si="1093"/>
        <v>1996</v>
      </c>
      <c r="AX1150" s="58">
        <f>COUNTIF(AW$3:AW1150,AW1150)</f>
        <v>20</v>
      </c>
    </row>
    <row r="1151" spans="1:50" x14ac:dyDescent="0.25">
      <c r="A1151" s="5">
        <v>35288</v>
      </c>
      <c r="B1151">
        <v>662.1</v>
      </c>
      <c r="C1151">
        <v>5.03</v>
      </c>
      <c r="D1151" s="6">
        <v>16.190000999999999</v>
      </c>
      <c r="E1151" s="18">
        <f t="shared" si="1106"/>
        <v>16.97</v>
      </c>
      <c r="F1151">
        <f t="shared" si="1107"/>
        <v>0</v>
      </c>
      <c r="G1151" s="18">
        <f>ROUND(INDEX(Valuation!U:U,MATCH(A1151,Valuation!A:A,0)),2)</f>
        <v>154.34</v>
      </c>
      <c r="H1151">
        <f t="shared" si="1114"/>
        <v>1</v>
      </c>
      <c r="I1151" s="18">
        <f>INDEX(WeeklyIndicators!Y:Y,MATCH(A1151,WeeklyIndicators!A:A,0))</f>
        <v>129.18</v>
      </c>
      <c r="J1151">
        <f t="shared" si="1103"/>
        <v>0</v>
      </c>
      <c r="K1151">
        <f>ROUND(INDEX(Economic!AF:AF,MATCH(EOMONTH($A1151,-1),Economic!A:A,0)),2)</f>
        <v>125.04</v>
      </c>
      <c r="L1151" s="11">
        <f t="shared" si="1112"/>
        <v>2</v>
      </c>
      <c r="M1151">
        <f>ROUND(INDEX(Manufacturing!P:P,MATCH(EOMONTH($A1151,-1),Manufacturing!A:A,0)),2)</f>
        <v>108.84</v>
      </c>
      <c r="N1151">
        <f t="shared" si="1108"/>
        <v>3</v>
      </c>
      <c r="O1151">
        <f>ROUND(INDEX(Housing!AC:AC,MATCH(EOMONTH($A1151,-1),Housing!B:B,0)),2)</f>
        <v>103.2</v>
      </c>
      <c r="P1151">
        <f t="shared" si="1109"/>
        <v>0</v>
      </c>
      <c r="Q1151">
        <f>ROUND(INDEX(Spending!AJ:AJ,MATCH(EOMONTH($A1151,-1),Spending!B:B,0)),2)</f>
        <v>63.79</v>
      </c>
      <c r="R1151">
        <f t="shared" si="1113"/>
        <v>2</v>
      </c>
      <c r="S1151">
        <f>ROUND(INDEX(Employment!V:V,MATCH(EOMONTH($A1151,-1),Employment!A:A,0)),2)</f>
        <v>184.54</v>
      </c>
      <c r="T1151" s="11">
        <f t="shared" si="1110"/>
        <v>2</v>
      </c>
      <c r="U1151">
        <f t="shared" si="1102"/>
        <v>30</v>
      </c>
      <c r="V1151">
        <f t="shared" si="1094"/>
        <v>80.040000000000006</v>
      </c>
      <c r="W1151" s="13">
        <f t="shared" si="1095"/>
        <v>1.12E-2</v>
      </c>
      <c r="X1151" s="13">
        <f t="shared" si="1096"/>
        <v>2.3799999999999998E-2</v>
      </c>
      <c r="Y1151">
        <f t="shared" si="1088"/>
        <v>85.63</v>
      </c>
      <c r="Z1151" s="13">
        <f t="shared" si="1083"/>
        <v>9.7999999999999997E-3</v>
      </c>
      <c r="AA1151" s="13">
        <f t="shared" si="1115"/>
        <v>1.9799999999999998E-2</v>
      </c>
      <c r="AB1151" s="6">
        <f t="shared" si="1089"/>
        <v>97.793999999999997</v>
      </c>
      <c r="AC1151">
        <f t="shared" si="1117"/>
        <v>49</v>
      </c>
      <c r="AD1151" s="11">
        <f t="shared" si="1118"/>
        <v>2</v>
      </c>
      <c r="AE1151">
        <f t="shared" si="1116"/>
        <v>34</v>
      </c>
      <c r="AF1151">
        <f>IF(AND(AE1151&lt;15,OR(AC1151&gt;=30,AA1151&gt;0.15,X1151&gt;=0.15)),2,VLOOKUP(AE1151,Table!P:Q,2,FALSE))</f>
        <v>5</v>
      </c>
      <c r="AG1151" s="22">
        <f>IF((AB1151*0.98)-(D1151*0.8)+((AF1151-3)*3)+VLOOKUP(AM1151,Table!$A$11:$B$13,2,FALSE)&lt;0,0,(AB1151*0.98)-(D1151*0.8)+((AF1151-3)*3)+VLOOKUP(AM1151,Table!$A$11:$B$13,2,FALSE))</f>
        <v>96.886119199999996</v>
      </c>
      <c r="AH1151" s="22">
        <f t="shared" si="1111"/>
        <v>94</v>
      </c>
      <c r="AI1151" s="18">
        <f t="shared" si="1104"/>
        <v>5.09</v>
      </c>
      <c r="AJ1151" s="18">
        <f t="shared" si="1105"/>
        <v>5.04</v>
      </c>
      <c r="AK1151" t="str">
        <f t="shared" si="1090"/>
        <v/>
      </c>
      <c r="AL1151">
        <f t="shared" si="1101"/>
        <v>32.75</v>
      </c>
      <c r="AM1151" s="11" t="str">
        <f t="shared" si="1091"/>
        <v>Stocks</v>
      </c>
      <c r="AN1151" t="str">
        <f t="shared" si="1097"/>
        <v>Buy</v>
      </c>
      <c r="AO1151" s="13">
        <f t="shared" si="1098"/>
        <v>4.7000000000000002E-3</v>
      </c>
      <c r="AP1151" s="13">
        <f t="shared" si="1099"/>
        <v>1E-3</v>
      </c>
      <c r="AQ1151" s="13">
        <f t="shared" si="1100"/>
        <v>4.4999999999999997E-3</v>
      </c>
      <c r="AR1151" s="13">
        <f t="shared" si="1092"/>
        <v>4.7000000000000002E-3</v>
      </c>
      <c r="AS1151" s="6">
        <f t="shared" si="1084"/>
        <v>164.8267586822096</v>
      </c>
      <c r="AT1151" s="6">
        <f t="shared" si="1085"/>
        <v>120.14406126279222</v>
      </c>
      <c r="AU1151" s="6">
        <f t="shared" si="1086"/>
        <v>162.63655292363833</v>
      </c>
      <c r="AV1151" s="6">
        <f t="shared" si="1087"/>
        <v>164.8267586822096</v>
      </c>
      <c r="AW1151" s="58">
        <f t="shared" si="1093"/>
        <v>1996</v>
      </c>
      <c r="AX1151" s="58">
        <f>COUNTIF(AW$3:AW1151,AW1151)</f>
        <v>21</v>
      </c>
    </row>
    <row r="1152" spans="1:50" x14ac:dyDescent="0.25">
      <c r="A1152" s="5">
        <v>35281</v>
      </c>
      <c r="B1152">
        <v>662.49</v>
      </c>
      <c r="C1152">
        <v>5.15</v>
      </c>
      <c r="D1152" s="6">
        <v>17.450001</v>
      </c>
      <c r="E1152" s="18">
        <f t="shared" si="1106"/>
        <v>17.27</v>
      </c>
      <c r="F1152">
        <f t="shared" si="1107"/>
        <v>0</v>
      </c>
      <c r="G1152" s="18">
        <f>ROUND(INDEX(Valuation!U:U,MATCH(A1152,Valuation!A:A,0)),2)</f>
        <v>153.62</v>
      </c>
      <c r="H1152">
        <f t="shared" si="1114"/>
        <v>1</v>
      </c>
      <c r="I1152" s="18">
        <f>INDEX(WeeklyIndicators!Y:Y,MATCH(A1152,WeeklyIndicators!A:A,0))</f>
        <v>126.07</v>
      </c>
      <c r="J1152">
        <f t="shared" si="1103"/>
        <v>0</v>
      </c>
      <c r="K1152">
        <f>ROUND(INDEX(Economic!AF:AF,MATCH(EOMONTH($A1152,-1),Economic!A:A,0)),2)</f>
        <v>125.04</v>
      </c>
      <c r="L1152" s="11">
        <f t="shared" si="1112"/>
        <v>2</v>
      </c>
      <c r="M1152">
        <f>ROUND(INDEX(Manufacturing!P:P,MATCH(EOMONTH($A1152,-1),Manufacturing!A:A,0)),2)</f>
        <v>108.84</v>
      </c>
      <c r="N1152">
        <f t="shared" si="1108"/>
        <v>3</v>
      </c>
      <c r="O1152">
        <f>ROUND(INDEX(Housing!AC:AC,MATCH(EOMONTH($A1152,-1),Housing!B:B,0)),2)</f>
        <v>103.2</v>
      </c>
      <c r="P1152">
        <f t="shared" si="1109"/>
        <v>0</v>
      </c>
      <c r="Q1152">
        <f>ROUND(INDEX(Spending!AJ:AJ,MATCH(EOMONTH($A1152,-1),Spending!B:B,0)),2)</f>
        <v>63.79</v>
      </c>
      <c r="R1152">
        <f t="shared" si="1113"/>
        <v>2</v>
      </c>
      <c r="S1152">
        <f>ROUND(INDEX(Employment!V:V,MATCH(EOMONTH($A1152,-1),Employment!A:A,0)),2)</f>
        <v>184.54</v>
      </c>
      <c r="T1152" s="11">
        <f t="shared" si="1110"/>
        <v>2</v>
      </c>
      <c r="U1152">
        <f t="shared" si="1102"/>
        <v>30</v>
      </c>
      <c r="V1152">
        <f t="shared" si="1094"/>
        <v>79.709999999999994</v>
      </c>
      <c r="W1152" s="13">
        <f t="shared" si="1095"/>
        <v>8.9999999999999993E-3</v>
      </c>
      <c r="X1152" s="13">
        <f t="shared" si="1096"/>
        <v>1.5599999999999999E-2</v>
      </c>
      <c r="Y1152">
        <f t="shared" si="1088"/>
        <v>85.13</v>
      </c>
      <c r="Z1152" s="13">
        <f t="shared" ref="Z1152:Z1215" si="1119">ROUND((AVERAGE(Y1152:Y1154)-AVERAGE(Y1153:Y1155))/AVERAGE(Y1153:Y1155),4)</f>
        <v>6.4999999999999997E-3</v>
      </c>
      <c r="AA1152" s="13">
        <f t="shared" si="1115"/>
        <v>1.4800000000000001E-2</v>
      </c>
      <c r="AB1152" s="6">
        <f t="shared" si="1089"/>
        <v>96.792000000000002</v>
      </c>
      <c r="AC1152">
        <f t="shared" si="1117"/>
        <v>48</v>
      </c>
      <c r="AD1152" s="11">
        <f t="shared" si="1118"/>
        <v>2</v>
      </c>
      <c r="AE1152">
        <f t="shared" si="1116"/>
        <v>34</v>
      </c>
      <c r="AF1152">
        <f>IF(AND(AE1152&lt;15,OR(AC1152&gt;=30,AA1152&gt;0.15,X1152&gt;=0.15)),2,VLOOKUP(AE1152,Table!P:Q,2,FALSE))</f>
        <v>5</v>
      </c>
      <c r="AG1152" s="22">
        <f>IF((AB1152*0.98)-(D1152*0.8)+((AF1152-3)*3)+VLOOKUP(AM1152,Table!$A$11:$B$13,2,FALSE)&lt;0,0,(AB1152*0.98)-(D1152*0.8)+((AF1152-3)*3)+VLOOKUP(AM1152,Table!$A$11:$B$13,2,FALSE))</f>
        <v>94.8961592</v>
      </c>
      <c r="AH1152" s="22">
        <f t="shared" si="1111"/>
        <v>92</v>
      </c>
      <c r="AI1152" s="18">
        <f t="shared" si="1104"/>
        <v>5.09</v>
      </c>
      <c r="AJ1152" s="18">
        <f t="shared" si="1105"/>
        <v>5.05</v>
      </c>
      <c r="AK1152" t="str">
        <f t="shared" si="1090"/>
        <v/>
      </c>
      <c r="AL1152">
        <f t="shared" si="1101"/>
        <v>32.25</v>
      </c>
      <c r="AM1152" s="11" t="str">
        <f t="shared" si="1091"/>
        <v>Stocks</v>
      </c>
      <c r="AN1152" t="str">
        <f t="shared" si="1097"/>
        <v>Buy</v>
      </c>
      <c r="AO1152" s="13">
        <f t="shared" si="1098"/>
        <v>-5.9999999999999995E-4</v>
      </c>
      <c r="AP1152" s="13">
        <f t="shared" si="1099"/>
        <v>1E-3</v>
      </c>
      <c r="AQ1152" s="13">
        <f t="shared" si="1100"/>
        <v>-5.0000000000000001E-4</v>
      </c>
      <c r="AR1152" s="13">
        <f t="shared" si="1092"/>
        <v>-5.9999999999999995E-4</v>
      </c>
      <c r="AS1152" s="6">
        <f t="shared" si="1084"/>
        <v>164.92571411067601</v>
      </c>
      <c r="AT1152" s="6">
        <f t="shared" si="1085"/>
        <v>120.02403722556667</v>
      </c>
      <c r="AU1152" s="6">
        <f t="shared" si="1086"/>
        <v>162.71791187957811</v>
      </c>
      <c r="AV1152" s="6">
        <f t="shared" si="1087"/>
        <v>164.92571411067601</v>
      </c>
      <c r="AW1152" s="58">
        <f t="shared" si="1093"/>
        <v>1996</v>
      </c>
      <c r="AX1152" s="58">
        <f>COUNTIF(AW$3:AW1152,AW1152)</f>
        <v>22</v>
      </c>
    </row>
    <row r="1153" spans="1:50" x14ac:dyDescent="0.25">
      <c r="A1153" s="5">
        <v>35274</v>
      </c>
      <c r="B1153">
        <v>635.9</v>
      </c>
      <c r="C1153">
        <v>5.16</v>
      </c>
      <c r="D1153" s="6">
        <v>17.260000000000002</v>
      </c>
      <c r="E1153" s="18">
        <f t="shared" si="1106"/>
        <v>16.809999999999999</v>
      </c>
      <c r="F1153">
        <f t="shared" si="1107"/>
        <v>0</v>
      </c>
      <c r="G1153" s="18">
        <f>ROUND(INDEX(Valuation!U:U,MATCH(A1153,Valuation!A:A,0)),2)</f>
        <v>151.32</v>
      </c>
      <c r="H1153">
        <f t="shared" si="1114"/>
        <v>1</v>
      </c>
      <c r="I1153" s="18">
        <f>INDEX(WeeklyIndicators!Y:Y,MATCH(A1153,WeeklyIndicators!A:A,0))</f>
        <v>123.34</v>
      </c>
      <c r="J1153">
        <f t="shared" si="1103"/>
        <v>0</v>
      </c>
      <c r="K1153">
        <f>ROUND(INDEX(Economic!AF:AF,MATCH(EOMONTH($A1153,-1),Economic!A:A,0)),2)</f>
        <v>121.45</v>
      </c>
      <c r="L1153" s="11">
        <f t="shared" si="1112"/>
        <v>1</v>
      </c>
      <c r="M1153">
        <f>ROUND(INDEX(Manufacturing!P:P,MATCH(EOMONTH($A1153,-1),Manufacturing!A:A,0)),2)</f>
        <v>102.03</v>
      </c>
      <c r="N1153">
        <f t="shared" si="1108"/>
        <v>2</v>
      </c>
      <c r="O1153">
        <f>ROUND(INDEX(Housing!AC:AC,MATCH(EOMONTH($A1153,-1),Housing!B:B,0)),2)</f>
        <v>102.71</v>
      </c>
      <c r="P1153">
        <f t="shared" si="1109"/>
        <v>0</v>
      </c>
      <c r="Q1153">
        <f>ROUND(INDEX(Spending!AJ:AJ,MATCH(EOMONTH($A1153,-1),Spending!B:B,0)),2)</f>
        <v>63.46</v>
      </c>
      <c r="R1153">
        <f t="shared" si="1113"/>
        <v>2</v>
      </c>
      <c r="S1153">
        <f>ROUND(INDEX(Employment!V:V,MATCH(EOMONTH($A1153,-1),Employment!A:A,0)),2)</f>
        <v>178.59</v>
      </c>
      <c r="T1153" s="11">
        <f t="shared" si="1110"/>
        <v>2</v>
      </c>
      <c r="U1153">
        <f t="shared" si="1102"/>
        <v>28</v>
      </c>
      <c r="V1153">
        <f t="shared" si="1094"/>
        <v>77.400000000000006</v>
      </c>
      <c r="W1153" s="13">
        <f t="shared" si="1095"/>
        <v>-1.5E-3</v>
      </c>
      <c r="X1153" s="13">
        <f t="shared" si="1096"/>
        <v>5.7000000000000002E-3</v>
      </c>
      <c r="Y1153">
        <f t="shared" si="1088"/>
        <v>82.72</v>
      </c>
      <c r="Z1153" s="13">
        <f t="shared" si="1119"/>
        <v>-2.8E-3</v>
      </c>
      <c r="AA1153" s="13">
        <f t="shared" si="1115"/>
        <v>7.7999999999999996E-3</v>
      </c>
      <c r="AB1153" s="6">
        <f t="shared" si="1089"/>
        <v>93.512</v>
      </c>
      <c r="AC1153">
        <f t="shared" si="1117"/>
        <v>47</v>
      </c>
      <c r="AD1153" s="11">
        <f t="shared" si="1118"/>
        <v>1</v>
      </c>
      <c r="AE1153">
        <f t="shared" si="1116"/>
        <v>31</v>
      </c>
      <c r="AF1153">
        <f>IF(AND(AE1153&lt;15,OR(AC1153&gt;=30,AA1153&gt;0.15,X1153&gt;=0.15)),2,VLOOKUP(AE1153,Table!P:Q,2,FALSE))</f>
        <v>4</v>
      </c>
      <c r="AG1153" s="22">
        <f>IF((AB1153*0.98)-(D1153*0.8)+((AF1153-3)*3)+VLOOKUP(AM1153,Table!$A$11:$B$13,2,FALSE)&lt;0,0,(AB1153*0.98)-(D1153*0.8)+((AF1153-3)*3)+VLOOKUP(AM1153,Table!$A$11:$B$13,2,FALSE))</f>
        <v>88.833759999999998</v>
      </c>
      <c r="AH1153" s="22">
        <f t="shared" si="1111"/>
        <v>91</v>
      </c>
      <c r="AI1153" s="18">
        <f t="shared" si="1104"/>
        <v>5.08</v>
      </c>
      <c r="AJ1153" s="18">
        <f t="shared" si="1105"/>
        <v>5.0599999999999996</v>
      </c>
      <c r="AK1153" t="str">
        <f t="shared" si="1090"/>
        <v/>
      </c>
      <c r="AL1153">
        <f t="shared" si="1101"/>
        <v>31.5</v>
      </c>
      <c r="AM1153" s="11" t="str">
        <f t="shared" si="1091"/>
        <v>Stocks</v>
      </c>
      <c r="AN1153" t="str">
        <f t="shared" si="1097"/>
        <v>Buy</v>
      </c>
      <c r="AO1153" s="13">
        <f t="shared" si="1098"/>
        <v>4.1799999999999997E-2</v>
      </c>
      <c r="AP1153" s="13">
        <f t="shared" si="1099"/>
        <v>1E-3</v>
      </c>
      <c r="AQ1153" s="13">
        <f t="shared" si="1100"/>
        <v>3.8100000000000002E-2</v>
      </c>
      <c r="AR1153" s="13">
        <f t="shared" si="1092"/>
        <v>4.1799999999999997E-2</v>
      </c>
      <c r="AS1153" s="6">
        <f t="shared" si="1084"/>
        <v>158.30842206822422</v>
      </c>
      <c r="AT1153" s="6">
        <f t="shared" si="1085"/>
        <v>119.90413309247421</v>
      </c>
      <c r="AU1153" s="6">
        <f t="shared" si="1086"/>
        <v>156.74589334320211</v>
      </c>
      <c r="AV1153" s="6">
        <f t="shared" si="1087"/>
        <v>158.30842206822422</v>
      </c>
      <c r="AW1153" s="58">
        <f t="shared" si="1093"/>
        <v>1996</v>
      </c>
      <c r="AX1153" s="58">
        <f>COUNTIF(AW$3:AW1153,AW1153)</f>
        <v>23</v>
      </c>
    </row>
    <row r="1154" spans="1:50" x14ac:dyDescent="0.25">
      <c r="A1154" s="5">
        <v>35267</v>
      </c>
      <c r="B1154">
        <v>638.73</v>
      </c>
      <c r="C1154">
        <v>5.13</v>
      </c>
      <c r="D1154" s="6">
        <v>17.09</v>
      </c>
      <c r="E1154" s="18">
        <f t="shared" si="1106"/>
        <v>15.62</v>
      </c>
      <c r="F1154">
        <f t="shared" si="1107"/>
        <v>1</v>
      </c>
      <c r="G1154" s="18">
        <f>ROUND(INDEX(Valuation!U:U,MATCH(A1154,Valuation!A:A,0)),2)</f>
        <v>151.66999999999999</v>
      </c>
      <c r="H1154">
        <f t="shared" si="1114"/>
        <v>1</v>
      </c>
      <c r="I1154" s="18">
        <f>INDEX(WeeklyIndicators!Y:Y,MATCH(A1154,WeeklyIndicators!A:A,0))</f>
        <v>123.4</v>
      </c>
      <c r="J1154">
        <f t="shared" si="1103"/>
        <v>0</v>
      </c>
      <c r="K1154">
        <f>ROUND(INDEX(Economic!AF:AF,MATCH(EOMONTH($A1154,-1),Economic!A:A,0)),2)</f>
        <v>121.45</v>
      </c>
      <c r="L1154" s="11">
        <f t="shared" si="1112"/>
        <v>1</v>
      </c>
      <c r="M1154">
        <f>ROUND(INDEX(Manufacturing!P:P,MATCH(EOMONTH($A1154,-1),Manufacturing!A:A,0)),2)</f>
        <v>102.03</v>
      </c>
      <c r="N1154">
        <f t="shared" si="1108"/>
        <v>2</v>
      </c>
      <c r="O1154">
        <f>ROUND(INDEX(Housing!AC:AC,MATCH(EOMONTH($A1154,-1),Housing!B:B,0)),2)</f>
        <v>102.71</v>
      </c>
      <c r="P1154">
        <f t="shared" si="1109"/>
        <v>0</v>
      </c>
      <c r="Q1154">
        <f>ROUND(INDEX(Spending!AJ:AJ,MATCH(EOMONTH($A1154,-1),Spending!B:B,0)),2)</f>
        <v>63.46</v>
      </c>
      <c r="R1154">
        <f t="shared" si="1113"/>
        <v>2</v>
      </c>
      <c r="S1154">
        <f>ROUND(INDEX(Employment!V:V,MATCH(EOMONTH($A1154,-1),Employment!A:A,0)),2)</f>
        <v>178.59</v>
      </c>
      <c r="T1154" s="11">
        <f t="shared" si="1110"/>
        <v>2</v>
      </c>
      <c r="U1154">
        <f t="shared" si="1102"/>
        <v>29</v>
      </c>
      <c r="V1154">
        <f t="shared" si="1094"/>
        <v>77.41</v>
      </c>
      <c r="W1154" s="13">
        <f t="shared" si="1095"/>
        <v>5.1000000000000004E-3</v>
      </c>
      <c r="X1154" s="13">
        <f t="shared" si="1096"/>
        <v>-4.3999999999999994E-3</v>
      </c>
      <c r="Y1154">
        <f t="shared" si="1088"/>
        <v>83.18</v>
      </c>
      <c r="Z1154" s="13">
        <f t="shared" si="1119"/>
        <v>6.3E-3</v>
      </c>
      <c r="AA1154" s="13">
        <f t="shared" si="1115"/>
        <v>-1.5000000000000013E-3</v>
      </c>
      <c r="AB1154" s="6">
        <f t="shared" si="1089"/>
        <v>93.287000000000006</v>
      </c>
      <c r="AC1154">
        <f t="shared" si="1117"/>
        <v>47</v>
      </c>
      <c r="AD1154" s="11">
        <f t="shared" si="1118"/>
        <v>1</v>
      </c>
      <c r="AE1154">
        <f t="shared" si="1116"/>
        <v>32</v>
      </c>
      <c r="AF1154">
        <f>IF(AND(AE1154&lt;15,OR(AC1154&gt;=30,AA1154&gt;0.15,X1154&gt;=0.15)),2,VLOOKUP(AE1154,Table!P:Q,2,FALSE))</f>
        <v>5</v>
      </c>
      <c r="AG1154" s="22">
        <f>IF((AB1154*0.98)-(D1154*0.8)+((AF1154-3)*3)+VLOOKUP(AM1154,Table!$A$11:$B$13,2,FALSE)&lt;0,0,(AB1154*0.98)-(D1154*0.8)+((AF1154-3)*3)+VLOOKUP(AM1154,Table!$A$11:$B$13,2,FALSE))</f>
        <v>91.749260000000007</v>
      </c>
      <c r="AH1154" s="22">
        <f t="shared" si="1111"/>
        <v>91</v>
      </c>
      <c r="AI1154" s="18">
        <f t="shared" si="1104"/>
        <v>5.0599999999999996</v>
      </c>
      <c r="AJ1154" s="18">
        <f t="shared" si="1105"/>
        <v>5.0599999999999996</v>
      </c>
      <c r="AK1154" t="str">
        <f t="shared" si="1090"/>
        <v/>
      </c>
      <c r="AL1154">
        <f t="shared" si="1101"/>
        <v>30.75</v>
      </c>
      <c r="AM1154" s="11" t="str">
        <f t="shared" si="1091"/>
        <v>Stocks</v>
      </c>
      <c r="AN1154" t="str">
        <f t="shared" si="1097"/>
        <v>Buy</v>
      </c>
      <c r="AO1154" s="13">
        <f t="shared" si="1098"/>
        <v>-4.4000000000000003E-3</v>
      </c>
      <c r="AP1154" s="13">
        <f t="shared" si="1099"/>
        <v>1E-3</v>
      </c>
      <c r="AQ1154" s="13">
        <f t="shared" si="1100"/>
        <v>-3.8999999999999998E-3</v>
      </c>
      <c r="AR1154" s="13">
        <f t="shared" si="1092"/>
        <v>-4.4000000000000003E-3</v>
      </c>
      <c r="AS1154" s="6">
        <f t="shared" si="1084"/>
        <v>159.00805752131802</v>
      </c>
      <c r="AT1154" s="6">
        <f t="shared" si="1085"/>
        <v>119.78434874373049</v>
      </c>
      <c r="AU1154" s="6">
        <f t="shared" si="1086"/>
        <v>157.35959576669222</v>
      </c>
      <c r="AV1154" s="6">
        <f t="shared" si="1087"/>
        <v>159.00805752131802</v>
      </c>
      <c r="AW1154" s="58">
        <f t="shared" si="1093"/>
        <v>1996</v>
      </c>
      <c r="AX1154" s="58">
        <f>COUNTIF(AW$3:AW1154,AW1154)</f>
        <v>24</v>
      </c>
    </row>
    <row r="1155" spans="1:50" x14ac:dyDescent="0.25">
      <c r="A1155" s="5">
        <v>35260</v>
      </c>
      <c r="B1155">
        <v>646.19000000000005</v>
      </c>
      <c r="C1155">
        <v>5.15</v>
      </c>
      <c r="D1155" s="6">
        <v>16.09</v>
      </c>
      <c r="E1155" s="18">
        <f t="shared" si="1106"/>
        <v>15.19</v>
      </c>
      <c r="F1155">
        <f t="shared" si="1107"/>
        <v>1</v>
      </c>
      <c r="G1155" s="18">
        <f>ROUND(INDEX(Valuation!U:U,MATCH(A1155,Valuation!A:A,0)),2)</f>
        <v>151.36000000000001</v>
      </c>
      <c r="H1155">
        <f t="shared" si="1114"/>
        <v>1</v>
      </c>
      <c r="I1155" s="18">
        <f>INDEX(WeeklyIndicators!Y:Y,MATCH(A1155,WeeklyIndicators!A:A,0))</f>
        <v>125.37</v>
      </c>
      <c r="J1155">
        <f t="shared" si="1103"/>
        <v>0</v>
      </c>
      <c r="K1155">
        <f>ROUND(INDEX(Economic!AF:AF,MATCH(EOMONTH($A1155,-1),Economic!A:A,0)),2)</f>
        <v>121.45</v>
      </c>
      <c r="L1155" s="11">
        <f t="shared" si="1112"/>
        <v>1</v>
      </c>
      <c r="M1155">
        <f>ROUND(INDEX(Manufacturing!P:P,MATCH(EOMONTH($A1155,-1),Manufacturing!A:A,0)),2)</f>
        <v>102.03</v>
      </c>
      <c r="N1155">
        <f t="shared" si="1108"/>
        <v>2</v>
      </c>
      <c r="O1155">
        <f>ROUND(INDEX(Housing!AC:AC,MATCH(EOMONTH($A1155,-1),Housing!B:B,0)),2)</f>
        <v>102.71</v>
      </c>
      <c r="P1155">
        <f t="shared" si="1109"/>
        <v>0</v>
      </c>
      <c r="Q1155">
        <f>ROUND(INDEX(Spending!AJ:AJ,MATCH(EOMONTH($A1155,-1),Spending!B:B,0)),2)</f>
        <v>63.46</v>
      </c>
      <c r="R1155">
        <f t="shared" si="1113"/>
        <v>2</v>
      </c>
      <c r="S1155">
        <f>ROUND(INDEX(Employment!V:V,MATCH(EOMONTH($A1155,-1),Employment!A:A,0)),2)</f>
        <v>178.59</v>
      </c>
      <c r="T1155" s="11">
        <f t="shared" si="1110"/>
        <v>2</v>
      </c>
      <c r="U1155">
        <f t="shared" si="1102"/>
        <v>29</v>
      </c>
      <c r="V1155">
        <f t="shared" si="1094"/>
        <v>77.61</v>
      </c>
      <c r="W1155" s="13">
        <f t="shared" si="1095"/>
        <v>3.0000000000000001E-3</v>
      </c>
      <c r="X1155" s="13">
        <f t="shared" si="1096"/>
        <v>-2.0899999999999998E-2</v>
      </c>
      <c r="Y1155">
        <f t="shared" si="1088"/>
        <v>83.5</v>
      </c>
      <c r="Z1155" s="13">
        <f t="shared" si="1119"/>
        <v>4.7999999999999996E-3</v>
      </c>
      <c r="AA1155" s="13">
        <f t="shared" si="1115"/>
        <v>-0.02</v>
      </c>
      <c r="AB1155" s="6">
        <f t="shared" si="1089"/>
        <v>92.176000000000002</v>
      </c>
      <c r="AC1155">
        <f t="shared" si="1117"/>
        <v>46</v>
      </c>
      <c r="AD1155" s="11">
        <f t="shared" si="1118"/>
        <v>1</v>
      </c>
      <c r="AE1155">
        <f t="shared" si="1116"/>
        <v>32</v>
      </c>
      <c r="AF1155">
        <f>IF(AND(AE1155&lt;15,OR(AC1155&gt;=30,AA1155&gt;0.15,X1155&gt;=0.15)),2,VLOOKUP(AE1155,Table!P:Q,2,FALSE))</f>
        <v>5</v>
      </c>
      <c r="AG1155" s="22">
        <f>IF((AB1155*0.98)-(D1155*0.8)+((AF1155-3)*3)+VLOOKUP(AM1155,Table!$A$11:$B$13,2,FALSE)&lt;0,0,(AB1155*0.98)-(D1155*0.8)+((AF1155-3)*3)+VLOOKUP(AM1155,Table!$A$11:$B$13,2,FALSE))</f>
        <v>91.460480000000004</v>
      </c>
      <c r="AH1155" s="22">
        <f t="shared" si="1111"/>
        <v>90</v>
      </c>
      <c r="AI1155" s="18">
        <f t="shared" si="1104"/>
        <v>5.04</v>
      </c>
      <c r="AJ1155" s="18">
        <f t="shared" si="1105"/>
        <v>5.0599999999999996</v>
      </c>
      <c r="AK1155" t="str">
        <f t="shared" si="1090"/>
        <v/>
      </c>
      <c r="AL1155">
        <f t="shared" si="1101"/>
        <v>30</v>
      </c>
      <c r="AM1155" s="11" t="str">
        <f t="shared" si="1091"/>
        <v>Stocks</v>
      </c>
      <c r="AN1155" t="str">
        <f t="shared" si="1097"/>
        <v>Buy</v>
      </c>
      <c r="AO1155" s="13">
        <f t="shared" si="1098"/>
        <v>-1.15E-2</v>
      </c>
      <c r="AP1155" s="13">
        <f t="shared" si="1099"/>
        <v>1E-3</v>
      </c>
      <c r="AQ1155" s="13">
        <f t="shared" si="1100"/>
        <v>-1.03E-2</v>
      </c>
      <c r="AR1155" s="13">
        <f t="shared" si="1092"/>
        <v>-1.15E-2</v>
      </c>
      <c r="AS1155" s="6">
        <f t="shared" ref="AS1155:AS1218" si="1120">AS1156*(1+AO1156)</f>
        <v>160.85792364321497</v>
      </c>
      <c r="AT1155" s="6">
        <f t="shared" ref="AT1155:AT1218" si="1121">AT1156*(1+AP1156)</f>
        <v>119.66468405967083</v>
      </c>
      <c r="AU1155" s="6">
        <f t="shared" ref="AU1155:AU1218" si="1122">AU1156*(1+AQ1156)</f>
        <v>158.99726762321129</v>
      </c>
      <c r="AV1155" s="6">
        <f t="shared" ref="AV1155:AV1218" si="1123">AV1156*(1+AR1156)</f>
        <v>160.85792364321497</v>
      </c>
      <c r="AW1155" s="58">
        <f t="shared" si="1093"/>
        <v>1996</v>
      </c>
      <c r="AX1155" s="58">
        <f>COUNTIF(AW$3:AW1155,AW1155)</f>
        <v>25</v>
      </c>
    </row>
    <row r="1156" spans="1:50" x14ac:dyDescent="0.25">
      <c r="A1156" s="5">
        <v>35253</v>
      </c>
      <c r="B1156">
        <v>657.44</v>
      </c>
      <c r="C1156">
        <v>5.13</v>
      </c>
      <c r="D1156" s="6">
        <v>13.68</v>
      </c>
      <c r="E1156" s="18">
        <f t="shared" si="1106"/>
        <v>16.04</v>
      </c>
      <c r="F1156">
        <f t="shared" si="1107"/>
        <v>0</v>
      </c>
      <c r="G1156" s="18">
        <f>ROUND(INDEX(Valuation!U:U,MATCH(A1156,Valuation!A:A,0)),2)</f>
        <v>152.18</v>
      </c>
      <c r="H1156">
        <f t="shared" si="1114"/>
        <v>1</v>
      </c>
      <c r="I1156" s="18">
        <f>INDEX(WeeklyIndicators!Y:Y,MATCH(A1156,WeeklyIndicators!A:A,0))</f>
        <v>126.57</v>
      </c>
      <c r="J1156">
        <f t="shared" si="1103"/>
        <v>0</v>
      </c>
      <c r="K1156">
        <f>ROUND(INDEX(Economic!AF:AF,MATCH(EOMONTH($A1156,-1),Economic!A:A,0)),2)</f>
        <v>121.45</v>
      </c>
      <c r="L1156" s="11">
        <f t="shared" si="1112"/>
        <v>1</v>
      </c>
      <c r="M1156">
        <f>ROUND(INDEX(Manufacturing!P:P,MATCH(EOMONTH($A1156,-1),Manufacturing!A:A,0)),2)</f>
        <v>102.03</v>
      </c>
      <c r="N1156">
        <f t="shared" si="1108"/>
        <v>2</v>
      </c>
      <c r="O1156">
        <f>ROUND(INDEX(Housing!AC:AC,MATCH(EOMONTH($A1156,-1),Housing!B:B,0)),2)</f>
        <v>102.71</v>
      </c>
      <c r="P1156">
        <f t="shared" si="1109"/>
        <v>0</v>
      </c>
      <c r="Q1156">
        <f>ROUND(INDEX(Spending!AJ:AJ,MATCH(EOMONTH($A1156,-1),Spending!B:B,0)),2)</f>
        <v>63.46</v>
      </c>
      <c r="R1156">
        <f t="shared" si="1113"/>
        <v>2</v>
      </c>
      <c r="S1156">
        <f>ROUND(INDEX(Employment!V:V,MATCH(EOMONTH($A1156,-1),Employment!A:A,0)),2)</f>
        <v>178.59</v>
      </c>
      <c r="T1156" s="11">
        <f t="shared" si="1110"/>
        <v>2</v>
      </c>
      <c r="U1156">
        <f t="shared" si="1102"/>
        <v>28</v>
      </c>
      <c r="V1156">
        <f t="shared" si="1094"/>
        <v>77.739999999999995</v>
      </c>
      <c r="W1156" s="13">
        <f t="shared" si="1095"/>
        <v>-8.9999999999999998E-4</v>
      </c>
      <c r="X1156" s="13">
        <f t="shared" si="1096"/>
        <v>-2.2199999999999998E-2</v>
      </c>
      <c r="Y1156">
        <f t="shared" ref="Y1156:Y1219" si="1124">ROUND(((K1156*0.745)+(M1156*0.745)+(O1156*0.36)+(Q1156*0.45)+(S1156*0.45)+(I1156*0.55)+(G1156*0.59)-(E1156*1.85))/5.3,2)</f>
        <v>83.42</v>
      </c>
      <c r="Z1156" s="13">
        <f t="shared" si="1119"/>
        <v>-5.0000000000000001E-4</v>
      </c>
      <c r="AA1156" s="13">
        <f t="shared" si="1115"/>
        <v>-2.3700000000000002E-2</v>
      </c>
      <c r="AB1156" s="6">
        <f t="shared" ref="AB1156:AB1219" si="1125">IF(ROUND(Y1156+(X1156*10)+(V1156/30)+(AA1156*67),2)+5+((G1156-125)*0.1)&lt;0,0,ROUND(Y1156+(X1156*10)+(V1156/30)+(AA1156*67),2)+5+((G1156-125)*0.1))</f>
        <v>91.918000000000006</v>
      </c>
      <c r="AC1156">
        <f t="shared" si="1117"/>
        <v>46</v>
      </c>
      <c r="AD1156" s="11">
        <f t="shared" si="1118"/>
        <v>1</v>
      </c>
      <c r="AE1156">
        <f t="shared" si="1116"/>
        <v>31</v>
      </c>
      <c r="AF1156">
        <f>IF(AND(AE1156&lt;15,OR(AC1156&gt;=30,AA1156&gt;0.15,X1156&gt;=0.15)),2,VLOOKUP(AE1156,Table!P:Q,2,FALSE))</f>
        <v>4</v>
      </c>
      <c r="AG1156" s="22">
        <f>IF((AB1156*0.98)-(D1156*0.8)+((AF1156-3)*3)+VLOOKUP(AM1156,Table!$A$11:$B$13,2,FALSE)&lt;0,0,(AB1156*0.98)-(D1156*0.8)+((AF1156-3)*3)+VLOOKUP(AM1156,Table!$A$11:$B$13,2,FALSE))</f>
        <v>90.135639999999995</v>
      </c>
      <c r="AH1156" s="22">
        <f t="shared" si="1111"/>
        <v>88</v>
      </c>
      <c r="AI1156" s="18">
        <f t="shared" si="1104"/>
        <v>5.03</v>
      </c>
      <c r="AJ1156" s="18">
        <f t="shared" si="1105"/>
        <v>5.0599999999999996</v>
      </c>
      <c r="AK1156" t="str">
        <f t="shared" ref="AK1156:AK1219" si="1126">IF(AND(C1156&gt;AI1156,AI1156&gt;AJ1156,C1156-AJ1156&gt;0.15),"Rising Rates",IF(AND(C1156&lt;AI1156,AI1156&lt;AJ1156,AJ1156-C1156&gt;0.15),"Falling Rates",""))</f>
        <v/>
      </c>
      <c r="AL1156">
        <f t="shared" si="1101"/>
        <v>29.75</v>
      </c>
      <c r="AM1156" s="11" t="str">
        <f t="shared" ref="AM1156:AM1219" si="1127">IF(OR(AND(AL1156&lt;=18,G1156&lt;=25),AND(AL1156&lt;=14,G1156&lt;200)),"Cash","Stocks")</f>
        <v>Stocks</v>
      </c>
      <c r="AN1156" t="str">
        <f t="shared" si="1097"/>
        <v>Buy</v>
      </c>
      <c r="AO1156" s="13">
        <f t="shared" si="1098"/>
        <v>-1.7100000000000001E-2</v>
      </c>
      <c r="AP1156" s="13">
        <f t="shared" si="1099"/>
        <v>1E-3</v>
      </c>
      <c r="AQ1156" s="13">
        <f t="shared" si="1100"/>
        <v>-1.49E-2</v>
      </c>
      <c r="AR1156" s="13">
        <f t="shared" ref="AR1156:AR1219" si="1128">IF(AM1156="Stocks",AO1156,AP1156)</f>
        <v>-1.7100000000000001E-2</v>
      </c>
      <c r="AS1156" s="6">
        <f t="shared" si="1120"/>
        <v>163.65644891974259</v>
      </c>
      <c r="AT1156" s="6">
        <f t="shared" si="1121"/>
        <v>119.54513892075009</v>
      </c>
      <c r="AU1156" s="6">
        <f t="shared" si="1122"/>
        <v>161.40215980429528</v>
      </c>
      <c r="AV1156" s="6">
        <f t="shared" si="1123"/>
        <v>163.65644891974259</v>
      </c>
      <c r="AW1156" s="58">
        <f t="shared" ref="AW1156:AW1219" si="1129">YEAR(A1156)</f>
        <v>1996</v>
      </c>
      <c r="AX1156" s="58">
        <f>COUNTIF(AW$3:AW1156,AW1156)</f>
        <v>26</v>
      </c>
    </row>
    <row r="1157" spans="1:50" x14ac:dyDescent="0.25">
      <c r="A1157" s="5">
        <v>35246</v>
      </c>
      <c r="B1157">
        <v>670.63</v>
      </c>
      <c r="C1157">
        <v>5.09</v>
      </c>
      <c r="D1157" s="6">
        <v>15.8</v>
      </c>
      <c r="E1157" s="18">
        <f t="shared" si="1106"/>
        <v>16.850000000000001</v>
      </c>
      <c r="F1157">
        <f t="shared" si="1107"/>
        <v>0</v>
      </c>
      <c r="G1157" s="18">
        <f>ROUND(INDEX(Valuation!U:U,MATCH(A1157,Valuation!A:A,0)),2)</f>
        <v>152.05000000000001</v>
      </c>
      <c r="H1157">
        <f t="shared" si="1114"/>
        <v>1</v>
      </c>
      <c r="I1157" s="18">
        <f>INDEX(WeeklyIndicators!Y:Y,MATCH(A1157,WeeklyIndicators!A:A,0))</f>
        <v>129.49</v>
      </c>
      <c r="J1157">
        <f t="shared" si="1103"/>
        <v>0</v>
      </c>
      <c r="K1157">
        <f>ROUND(INDEX(Economic!AF:AF,MATCH(EOMONTH($A1157,-1),Economic!A:A,0)),2)</f>
        <v>121.22</v>
      </c>
      <c r="L1157" s="11">
        <f t="shared" si="1112"/>
        <v>1</v>
      </c>
      <c r="M1157">
        <f>ROUND(INDEX(Manufacturing!P:P,MATCH(EOMONTH($A1157,-1),Manufacturing!A:A,0)),2)</f>
        <v>93.17</v>
      </c>
      <c r="N1157">
        <f t="shared" si="1108"/>
        <v>1</v>
      </c>
      <c r="O1157">
        <f>ROUND(INDEX(Housing!AC:AC,MATCH(EOMONTH($A1157,-1),Housing!B:B,0)),2)</f>
        <v>106.22</v>
      </c>
      <c r="P1157">
        <f t="shared" si="1109"/>
        <v>0</v>
      </c>
      <c r="Q1157">
        <f>ROUND(INDEX(Spending!AJ:AJ,MATCH(EOMONTH($A1157,-1),Spending!B:B,0)),2)</f>
        <v>59.65</v>
      </c>
      <c r="R1157">
        <f t="shared" si="1113"/>
        <v>1</v>
      </c>
      <c r="S1157">
        <f>ROUND(INDEX(Employment!V:V,MATCH(EOMONTH($A1157,-1),Employment!A:A,0)),2)</f>
        <v>173.24</v>
      </c>
      <c r="T1157" s="11">
        <f t="shared" si="1110"/>
        <v>1</v>
      </c>
      <c r="U1157">
        <f t="shared" si="1102"/>
        <v>25</v>
      </c>
      <c r="V1157">
        <f t="shared" ref="V1157:V1220" si="1130">ROUND(((K1157*0.745)+(M1157*0.745)+(O1157*0.36)+(Q1157*0.45)+(S1157*0.45)+(I1157*0.55)+(60)-(30))/5.3,2)</f>
        <v>76.22</v>
      </c>
      <c r="W1157" s="13">
        <f t="shared" ref="W1157:W1220" si="1131">ROUND((AVERAGE(V1157:V1159)-AVERAGE(V1158:V1160))/AVERAGE(V1158:V1160),4)</f>
        <v>-1.1599999999999999E-2</v>
      </c>
      <c r="X1157" s="13">
        <f t="shared" ref="X1157:X1220" si="1132">SUM(W1157:W1160)</f>
        <v>-1.2499999999999999E-2</v>
      </c>
      <c r="Y1157">
        <f t="shared" si="1124"/>
        <v>81.61</v>
      </c>
      <c r="Z1157" s="13">
        <f t="shared" si="1119"/>
        <v>-1.21E-2</v>
      </c>
      <c r="AA1157" s="13">
        <f t="shared" si="1115"/>
        <v>-1.5700000000000002E-2</v>
      </c>
      <c r="AB1157" s="6">
        <f t="shared" si="1125"/>
        <v>90.674999999999997</v>
      </c>
      <c r="AC1157">
        <f t="shared" si="1117"/>
        <v>45</v>
      </c>
      <c r="AD1157" s="11">
        <f t="shared" si="1118"/>
        <v>1</v>
      </c>
      <c r="AE1157">
        <f t="shared" si="1116"/>
        <v>28</v>
      </c>
      <c r="AF1157">
        <f>IF(AND(AE1157&lt;15,OR(AC1157&gt;=30,AA1157&gt;0.15,X1157&gt;=0.15)),2,VLOOKUP(AE1157,Table!P:Q,2,FALSE))</f>
        <v>4</v>
      </c>
      <c r="AG1157" s="22">
        <f>IF((AB1157*0.98)-(D1157*0.8)+((AF1157-3)*3)+VLOOKUP(AM1157,Table!$A$11:$B$13,2,FALSE)&lt;0,0,(AB1157*0.98)-(D1157*0.8)+((AF1157-3)*3)+VLOOKUP(AM1157,Table!$A$11:$B$13,2,FALSE))</f>
        <v>87.221499999999992</v>
      </c>
      <c r="AH1157" s="22">
        <f t="shared" si="1111"/>
        <v>90</v>
      </c>
      <c r="AI1157" s="18">
        <f t="shared" si="1104"/>
        <v>5.0199999999999996</v>
      </c>
      <c r="AJ1157" s="18">
        <f t="shared" si="1105"/>
        <v>5.07</v>
      </c>
      <c r="AK1157" t="str">
        <f t="shared" si="1126"/>
        <v/>
      </c>
      <c r="AL1157">
        <f t="shared" si="1101"/>
        <v>30</v>
      </c>
      <c r="AM1157" s="11" t="str">
        <f t="shared" si="1127"/>
        <v>Stocks</v>
      </c>
      <c r="AN1157" t="str">
        <f t="shared" ref="AN1157:AN1220" si="1133">IF(AND(V1157&gt;AG1157,V1157&lt;65),"Sell","Buy")</f>
        <v>Buy</v>
      </c>
      <c r="AO1157" s="13">
        <f t="shared" ref="AO1157:AO1220" si="1134">ROUND((B1156/B1157)-1,4)</f>
        <v>-1.9699999999999999E-2</v>
      </c>
      <c r="AP1157" s="13">
        <f t="shared" ref="AP1157:AP1220" si="1135">ROUND((C1157*0.01)/52,4)</f>
        <v>1E-3</v>
      </c>
      <c r="AQ1157" s="13">
        <f t="shared" ref="AQ1157:AQ1220" si="1136">ROUND(((AH1157*0.01)*AO1157)+(((100-AH1157)*0.01)*AP1157),4)</f>
        <v>-1.7600000000000001E-2</v>
      </c>
      <c r="AR1157" s="13">
        <f t="shared" si="1128"/>
        <v>-1.9699999999999999E-2</v>
      </c>
      <c r="AS1157" s="6">
        <f t="shared" si="1120"/>
        <v>166.94527075358829</v>
      </c>
      <c r="AT1157" s="6">
        <f t="shared" si="1121"/>
        <v>119.42571320754256</v>
      </c>
      <c r="AU1157" s="6">
        <f t="shared" si="1122"/>
        <v>164.29372944248297</v>
      </c>
      <c r="AV1157" s="6">
        <f t="shared" si="1123"/>
        <v>166.94527075358829</v>
      </c>
      <c r="AW1157" s="58">
        <f t="shared" si="1129"/>
        <v>1996</v>
      </c>
      <c r="AX1157" s="58">
        <f>COUNTIF(AW$3:AW1157,AW1157)</f>
        <v>27</v>
      </c>
    </row>
    <row r="1158" spans="1:50" x14ac:dyDescent="0.25">
      <c r="A1158" s="5">
        <v>35239</v>
      </c>
      <c r="B1158">
        <v>666.84</v>
      </c>
      <c r="C1158">
        <v>5.09</v>
      </c>
      <c r="D1158" s="6">
        <v>18.639999</v>
      </c>
      <c r="E1158" s="18">
        <f t="shared" si="1106"/>
        <v>16.940000000000001</v>
      </c>
      <c r="F1158">
        <f t="shared" si="1107"/>
        <v>0</v>
      </c>
      <c r="G1158" s="18">
        <f>ROUND(INDEX(Valuation!U:U,MATCH(A1158,Valuation!A:A,0)),2)</f>
        <v>152.37</v>
      </c>
      <c r="H1158">
        <f t="shared" si="1114"/>
        <v>1</v>
      </c>
      <c r="I1158" s="18">
        <f>INDEX(WeeklyIndicators!Y:Y,MATCH(A1158,WeeklyIndicators!A:A,0))</f>
        <v>136.19</v>
      </c>
      <c r="J1158">
        <f t="shared" si="1103"/>
        <v>1</v>
      </c>
      <c r="K1158">
        <f>ROUND(INDEX(Economic!AF:AF,MATCH(EOMONTH($A1158,-1),Economic!A:A,0)),2)</f>
        <v>121.22</v>
      </c>
      <c r="L1158" s="11">
        <f t="shared" si="1112"/>
        <v>1</v>
      </c>
      <c r="M1158">
        <f>ROUND(INDEX(Manufacturing!P:P,MATCH(EOMONTH($A1158,-1),Manufacturing!A:A,0)),2)</f>
        <v>93.17</v>
      </c>
      <c r="N1158">
        <f t="shared" si="1108"/>
        <v>1</v>
      </c>
      <c r="O1158">
        <f>ROUND(INDEX(Housing!AC:AC,MATCH(EOMONTH($A1158,-1),Housing!B:B,0)),2)</f>
        <v>106.22</v>
      </c>
      <c r="P1158">
        <f t="shared" si="1109"/>
        <v>0</v>
      </c>
      <c r="Q1158">
        <f>ROUND(INDEX(Spending!AJ:AJ,MATCH(EOMONTH($A1158,-1),Spending!B:B,0)),2)</f>
        <v>59.65</v>
      </c>
      <c r="R1158">
        <f t="shared" si="1113"/>
        <v>1</v>
      </c>
      <c r="S1158">
        <f>ROUND(INDEX(Employment!V:V,MATCH(EOMONTH($A1158,-1),Employment!A:A,0)),2)</f>
        <v>173.24</v>
      </c>
      <c r="T1158" s="11">
        <f t="shared" si="1110"/>
        <v>1</v>
      </c>
      <c r="U1158">
        <f t="shared" si="1102"/>
        <v>26</v>
      </c>
      <c r="V1158">
        <f t="shared" si="1130"/>
        <v>76.92</v>
      </c>
      <c r="W1158" s="13">
        <f t="shared" si="1131"/>
        <v>-1.14E-2</v>
      </c>
      <c r="X1158" s="13">
        <f t="shared" si="1132"/>
        <v>1.8599999999999998E-2</v>
      </c>
      <c r="Y1158">
        <f t="shared" si="1124"/>
        <v>82.31</v>
      </c>
      <c r="Z1158" s="13">
        <f t="shared" si="1119"/>
        <v>-1.2200000000000001E-2</v>
      </c>
      <c r="AA1158" s="13">
        <f t="shared" si="1115"/>
        <v>1.4500000000000001E-2</v>
      </c>
      <c r="AB1158" s="6">
        <f t="shared" si="1125"/>
        <v>93.766999999999996</v>
      </c>
      <c r="AC1158">
        <f t="shared" si="1117"/>
        <v>47</v>
      </c>
      <c r="AD1158" s="11">
        <f t="shared" si="1118"/>
        <v>1</v>
      </c>
      <c r="AE1158">
        <f t="shared" si="1116"/>
        <v>29</v>
      </c>
      <c r="AF1158">
        <f>IF(AND(AE1158&lt;15,OR(AC1158&gt;=30,AA1158&gt;0.15,X1158&gt;=0.15)),2,VLOOKUP(AE1158,Table!P:Q,2,FALSE))</f>
        <v>4</v>
      </c>
      <c r="AG1158" s="22">
        <f>IF((AB1158*0.98)-(D1158*0.8)+((AF1158-3)*3)+VLOOKUP(AM1158,Table!$A$11:$B$13,2,FALSE)&lt;0,0,(AB1158*0.98)-(D1158*0.8)+((AF1158-3)*3)+VLOOKUP(AM1158,Table!$A$11:$B$13,2,FALSE))</f>
        <v>87.979660799999991</v>
      </c>
      <c r="AH1158" s="22">
        <f t="shared" si="1111"/>
        <v>94</v>
      </c>
      <c r="AI1158" s="18">
        <f t="shared" si="1104"/>
        <v>5.01</v>
      </c>
      <c r="AJ1158" s="18">
        <f t="shared" si="1105"/>
        <v>5.07</v>
      </c>
      <c r="AK1158" t="str">
        <f t="shared" si="1126"/>
        <v/>
      </c>
      <c r="AL1158">
        <f t="shared" si="1101"/>
        <v>31</v>
      </c>
      <c r="AM1158" s="11" t="str">
        <f t="shared" si="1127"/>
        <v>Stocks</v>
      </c>
      <c r="AN1158" t="str">
        <f t="shared" si="1133"/>
        <v>Buy</v>
      </c>
      <c r="AO1158" s="13">
        <f t="shared" si="1134"/>
        <v>5.7000000000000002E-3</v>
      </c>
      <c r="AP1158" s="13">
        <f t="shared" si="1135"/>
        <v>1E-3</v>
      </c>
      <c r="AQ1158" s="13">
        <f t="shared" si="1136"/>
        <v>5.4000000000000003E-3</v>
      </c>
      <c r="AR1158" s="13">
        <f t="shared" si="1128"/>
        <v>5.7000000000000002E-3</v>
      </c>
      <c r="AS1158" s="6">
        <f t="shared" si="1120"/>
        <v>165.99907602027272</v>
      </c>
      <c r="AT1158" s="6">
        <f t="shared" si="1121"/>
        <v>119.30640680074183</v>
      </c>
      <c r="AU1158" s="6">
        <f t="shared" si="1122"/>
        <v>163.41130837724583</v>
      </c>
      <c r="AV1158" s="6">
        <f t="shared" si="1123"/>
        <v>165.99907602027272</v>
      </c>
      <c r="AW1158" s="58">
        <f t="shared" si="1129"/>
        <v>1996</v>
      </c>
      <c r="AX1158" s="58">
        <f>COUNTIF(AW$3:AW1158,AW1158)</f>
        <v>28</v>
      </c>
    </row>
    <row r="1159" spans="1:50" x14ac:dyDescent="0.25">
      <c r="A1159" s="5">
        <v>35232</v>
      </c>
      <c r="B1159">
        <v>665.85</v>
      </c>
      <c r="C1159">
        <v>5.1100000000000003</v>
      </c>
      <c r="D1159" s="6">
        <v>16.100000000000001</v>
      </c>
      <c r="E1159" s="18">
        <f t="shared" si="1106"/>
        <v>15.9</v>
      </c>
      <c r="F1159">
        <f t="shared" si="1107"/>
        <v>1</v>
      </c>
      <c r="G1159" s="18">
        <f>ROUND(INDEX(Valuation!U:U,MATCH(A1159,Valuation!A:A,0)),2)</f>
        <v>151.09</v>
      </c>
      <c r="H1159">
        <f t="shared" si="1114"/>
        <v>1</v>
      </c>
      <c r="I1159" s="18">
        <f>INDEX(WeeklyIndicators!Y:Y,MATCH(A1159,WeeklyIndicators!A:A,0))</f>
        <v>146.01</v>
      </c>
      <c r="J1159">
        <f t="shared" si="1103"/>
        <v>1</v>
      </c>
      <c r="K1159">
        <f>ROUND(INDEX(Economic!AF:AF,MATCH(EOMONTH($A1159,-1),Economic!A:A,0)),2)</f>
        <v>121.22</v>
      </c>
      <c r="L1159" s="11">
        <f t="shared" si="1112"/>
        <v>1</v>
      </c>
      <c r="M1159">
        <f>ROUND(INDEX(Manufacturing!P:P,MATCH(EOMONTH($A1159,-1),Manufacturing!A:A,0)),2)</f>
        <v>93.17</v>
      </c>
      <c r="N1159">
        <f t="shared" si="1108"/>
        <v>1</v>
      </c>
      <c r="O1159">
        <f>ROUND(INDEX(Housing!AC:AC,MATCH(EOMONTH($A1159,-1),Housing!B:B,0)),2)</f>
        <v>106.22</v>
      </c>
      <c r="P1159">
        <f t="shared" si="1109"/>
        <v>0</v>
      </c>
      <c r="Q1159">
        <f>ROUND(INDEX(Spending!AJ:AJ,MATCH(EOMONTH($A1159,-1),Spending!B:B,0)),2)</f>
        <v>59.65</v>
      </c>
      <c r="R1159">
        <f t="shared" si="1113"/>
        <v>1</v>
      </c>
      <c r="S1159">
        <f>ROUND(INDEX(Employment!V:V,MATCH(EOMONTH($A1159,-1),Employment!A:A,0)),2)</f>
        <v>173.24</v>
      </c>
      <c r="T1159" s="11">
        <f t="shared" si="1110"/>
        <v>1</v>
      </c>
      <c r="U1159">
        <f t="shared" si="1102"/>
        <v>27</v>
      </c>
      <c r="V1159">
        <f t="shared" si="1130"/>
        <v>77.94</v>
      </c>
      <c r="W1159" s="13">
        <f t="shared" si="1131"/>
        <v>1.6999999999999999E-3</v>
      </c>
      <c r="X1159" s="13">
        <f t="shared" si="1132"/>
        <v>5.1699999999999996E-2</v>
      </c>
      <c r="Y1159">
        <f t="shared" si="1124"/>
        <v>83.55</v>
      </c>
      <c r="Z1159" s="13">
        <f t="shared" si="1119"/>
        <v>1.1000000000000001E-3</v>
      </c>
      <c r="AA1159" s="13">
        <f t="shared" si="1115"/>
        <v>4.7600000000000003E-2</v>
      </c>
      <c r="AB1159" s="6">
        <f t="shared" si="1125"/>
        <v>97.458999999999989</v>
      </c>
      <c r="AC1159">
        <f t="shared" si="1117"/>
        <v>49</v>
      </c>
      <c r="AD1159" s="11">
        <f t="shared" si="1118"/>
        <v>2</v>
      </c>
      <c r="AE1159">
        <f t="shared" si="1116"/>
        <v>31</v>
      </c>
      <c r="AF1159">
        <f>IF(AND(AE1159&lt;15,OR(AC1159&gt;=30,AA1159&gt;0.15,X1159&gt;=0.15)),2,VLOOKUP(AE1159,Table!P:Q,2,FALSE))</f>
        <v>4</v>
      </c>
      <c r="AG1159" s="22">
        <f>IF((AB1159*0.98)-(D1159*0.8)+((AF1159-3)*3)+VLOOKUP(AM1159,Table!$A$11:$B$13,2,FALSE)&lt;0,0,(AB1159*0.98)-(D1159*0.8)+((AF1159-3)*3)+VLOOKUP(AM1159,Table!$A$11:$B$13,2,FALSE))</f>
        <v>93.629819999999995</v>
      </c>
      <c r="AH1159" s="22">
        <f t="shared" si="1111"/>
        <v>99</v>
      </c>
      <c r="AI1159" s="18">
        <f t="shared" si="1104"/>
        <v>5.01</v>
      </c>
      <c r="AJ1159" s="18">
        <f t="shared" si="1105"/>
        <v>5.08</v>
      </c>
      <c r="AK1159" t="str">
        <f t="shared" si="1126"/>
        <v/>
      </c>
      <c r="AL1159">
        <f t="shared" si="1101"/>
        <v>31.5</v>
      </c>
      <c r="AM1159" s="11" t="str">
        <f t="shared" si="1127"/>
        <v>Stocks</v>
      </c>
      <c r="AN1159" t="str">
        <f t="shared" si="1133"/>
        <v>Buy</v>
      </c>
      <c r="AO1159" s="13">
        <f t="shared" si="1134"/>
        <v>1.5E-3</v>
      </c>
      <c r="AP1159" s="13">
        <f t="shared" si="1135"/>
        <v>1E-3</v>
      </c>
      <c r="AQ1159" s="13">
        <f t="shared" si="1136"/>
        <v>1.5E-3</v>
      </c>
      <c r="AR1159" s="13">
        <f t="shared" si="1128"/>
        <v>1.5E-3</v>
      </c>
      <c r="AS1159" s="6">
        <f t="shared" si="1120"/>
        <v>165.75045034475559</v>
      </c>
      <c r="AT1159" s="6">
        <f t="shared" si="1121"/>
        <v>119.18721958116068</v>
      </c>
      <c r="AU1159" s="6">
        <f t="shared" si="1122"/>
        <v>163.16655853943666</v>
      </c>
      <c r="AV1159" s="6">
        <f t="shared" si="1123"/>
        <v>165.75045034475559</v>
      </c>
      <c r="AW1159" s="58">
        <f t="shared" si="1129"/>
        <v>1996</v>
      </c>
      <c r="AX1159" s="58">
        <f>COUNTIF(AW$3:AW1159,AW1159)</f>
        <v>29</v>
      </c>
    </row>
    <row r="1160" spans="1:50" x14ac:dyDescent="0.25">
      <c r="A1160" s="5">
        <v>35225</v>
      </c>
      <c r="B1160">
        <v>673.31</v>
      </c>
      <c r="C1160">
        <v>5.09</v>
      </c>
      <c r="D1160" s="6">
        <v>16.07</v>
      </c>
      <c r="E1160" s="18">
        <f t="shared" si="1106"/>
        <v>15.58</v>
      </c>
      <c r="F1160">
        <f t="shared" si="1107"/>
        <v>1</v>
      </c>
      <c r="G1160" s="18">
        <f>ROUND(INDEX(Valuation!U:U,MATCH(A1160,Valuation!A:A,0)),2)</f>
        <v>150.79</v>
      </c>
      <c r="H1160">
        <f t="shared" si="1114"/>
        <v>1</v>
      </c>
      <c r="I1160" s="18">
        <f>INDEX(WeeklyIndicators!Y:Y,MATCH(A1160,WeeklyIndicators!A:A,0))</f>
        <v>155.68</v>
      </c>
      <c r="J1160">
        <f t="shared" si="1103"/>
        <v>2</v>
      </c>
      <c r="K1160">
        <f>ROUND(INDEX(Economic!AF:AF,MATCH(EOMONTH($A1160,-1),Economic!A:A,0)),2)</f>
        <v>121.22</v>
      </c>
      <c r="L1160" s="11">
        <f t="shared" si="1112"/>
        <v>1</v>
      </c>
      <c r="M1160">
        <f>ROUND(INDEX(Manufacturing!P:P,MATCH(EOMONTH($A1160,-1),Manufacturing!A:A,0)),2)</f>
        <v>93.17</v>
      </c>
      <c r="N1160">
        <f t="shared" si="1108"/>
        <v>1</v>
      </c>
      <c r="O1160">
        <f>ROUND(INDEX(Housing!AC:AC,MATCH(EOMONTH($A1160,-1),Housing!B:B,0)),2)</f>
        <v>106.22</v>
      </c>
      <c r="P1160">
        <f t="shared" si="1109"/>
        <v>0</v>
      </c>
      <c r="Q1160">
        <f>ROUND(INDEX(Spending!AJ:AJ,MATCH(EOMONTH($A1160,-1),Spending!B:B,0)),2)</f>
        <v>59.65</v>
      </c>
      <c r="R1160">
        <f t="shared" si="1113"/>
        <v>1</v>
      </c>
      <c r="S1160">
        <f>ROUND(INDEX(Employment!V:V,MATCH(EOMONTH($A1160,-1),Employment!A:A,0)),2)</f>
        <v>173.24</v>
      </c>
      <c r="T1160" s="11">
        <f t="shared" si="1110"/>
        <v>1</v>
      </c>
      <c r="U1160">
        <f t="shared" si="1102"/>
        <v>28</v>
      </c>
      <c r="V1160">
        <f t="shared" si="1130"/>
        <v>78.94</v>
      </c>
      <c r="W1160" s="13">
        <f t="shared" si="1131"/>
        <v>8.8000000000000005E-3</v>
      </c>
      <c r="X1160" s="13">
        <f t="shared" si="1132"/>
        <v>8.3400000000000002E-2</v>
      </c>
      <c r="Y1160">
        <f t="shared" si="1124"/>
        <v>84.63</v>
      </c>
      <c r="Z1160" s="13">
        <f t="shared" si="1119"/>
        <v>7.4999999999999997E-3</v>
      </c>
      <c r="AA1160" s="13">
        <f t="shared" si="1115"/>
        <v>8.0799999999999997E-2</v>
      </c>
      <c r="AB1160" s="6">
        <f t="shared" si="1125"/>
        <v>101.089</v>
      </c>
      <c r="AC1160">
        <f t="shared" si="1117"/>
        <v>51</v>
      </c>
      <c r="AD1160" s="11">
        <f t="shared" si="1118"/>
        <v>2</v>
      </c>
      <c r="AE1160">
        <f t="shared" si="1116"/>
        <v>32</v>
      </c>
      <c r="AF1160">
        <f>IF(AND(AE1160&lt;15,OR(AC1160&gt;=30,AA1160&gt;0.15,X1160&gt;=0.15)),2,VLOOKUP(AE1160,Table!P:Q,2,FALSE))</f>
        <v>5</v>
      </c>
      <c r="AG1160" s="22">
        <f>IF((AB1160*0.98)-(D1160*0.8)+((AF1160-3)*3)+VLOOKUP(AM1160,Table!$A$11:$B$13,2,FALSE)&lt;0,0,(AB1160*0.98)-(D1160*0.8)+((AF1160-3)*3)+VLOOKUP(AM1160,Table!$A$11:$B$13,2,FALSE))</f>
        <v>100.21122</v>
      </c>
      <c r="AH1160" s="22">
        <f t="shared" si="1111"/>
        <v>100</v>
      </c>
      <c r="AI1160" s="18">
        <f t="shared" si="1104"/>
        <v>5</v>
      </c>
      <c r="AJ1160" s="18">
        <f t="shared" si="1105"/>
        <v>5.08</v>
      </c>
      <c r="AK1160" t="str">
        <f t="shared" si="1126"/>
        <v/>
      </c>
      <c r="AL1160">
        <f t="shared" si="1101"/>
        <v>31.5</v>
      </c>
      <c r="AM1160" s="11" t="str">
        <f t="shared" si="1127"/>
        <v>Stocks</v>
      </c>
      <c r="AN1160" t="str">
        <f t="shared" si="1133"/>
        <v>Buy</v>
      </c>
      <c r="AO1160" s="13">
        <f t="shared" si="1134"/>
        <v>-1.11E-2</v>
      </c>
      <c r="AP1160" s="13">
        <f t="shared" si="1135"/>
        <v>1E-3</v>
      </c>
      <c r="AQ1160" s="13">
        <f t="shared" si="1136"/>
        <v>-1.11E-2</v>
      </c>
      <c r="AR1160" s="13">
        <f t="shared" si="1128"/>
        <v>-1.11E-2</v>
      </c>
      <c r="AS1160" s="6">
        <f t="shared" si="1120"/>
        <v>167.61093168647548</v>
      </c>
      <c r="AT1160" s="6">
        <f t="shared" si="1121"/>
        <v>119.06815142973096</v>
      </c>
      <c r="AU1160" s="6">
        <f t="shared" si="1122"/>
        <v>164.99803674733204</v>
      </c>
      <c r="AV1160" s="6">
        <f t="shared" si="1123"/>
        <v>167.61093168647548</v>
      </c>
      <c r="AW1160" s="58">
        <f t="shared" si="1129"/>
        <v>1996</v>
      </c>
      <c r="AX1160" s="58">
        <f>COUNTIF(AW$3:AW1160,AW1160)</f>
        <v>30</v>
      </c>
    </row>
    <row r="1161" spans="1:50" x14ac:dyDescent="0.25">
      <c r="A1161" s="5">
        <v>35218</v>
      </c>
      <c r="B1161">
        <v>669.12</v>
      </c>
      <c r="C1161">
        <v>5.04</v>
      </c>
      <c r="D1161" s="6">
        <v>15.54</v>
      </c>
      <c r="E1161" s="18">
        <f t="shared" si="1106"/>
        <v>15.43</v>
      </c>
      <c r="F1161">
        <f t="shared" si="1107"/>
        <v>1</v>
      </c>
      <c r="G1161" s="18">
        <f>ROUND(INDEX(Valuation!U:U,MATCH(A1161,Valuation!A:A,0)),2)</f>
        <v>151.16</v>
      </c>
      <c r="H1161">
        <f t="shared" si="1114"/>
        <v>1</v>
      </c>
      <c r="I1161" s="18">
        <f>INDEX(WeeklyIndicators!Y:Y,MATCH(A1161,WeeklyIndicators!A:A,0))</f>
        <v>162.19999999999999</v>
      </c>
      <c r="J1161">
        <f t="shared" si="1103"/>
        <v>2</v>
      </c>
      <c r="K1161">
        <f>ROUND(INDEX(Economic!AF:AF,MATCH(EOMONTH($A1161,-1),Economic!A:A,0)),2)</f>
        <v>121.22</v>
      </c>
      <c r="L1161" s="11">
        <f t="shared" si="1112"/>
        <v>1</v>
      </c>
      <c r="M1161">
        <f>ROUND(INDEX(Manufacturing!P:P,MATCH(EOMONTH($A1161,-1),Manufacturing!A:A,0)),2)</f>
        <v>93.17</v>
      </c>
      <c r="N1161">
        <f t="shared" si="1108"/>
        <v>1</v>
      </c>
      <c r="O1161">
        <f>ROUND(INDEX(Housing!AC:AC,MATCH(EOMONTH($A1161,-1),Housing!B:B,0)),2)</f>
        <v>106.22</v>
      </c>
      <c r="P1161">
        <f t="shared" si="1109"/>
        <v>0</v>
      </c>
      <c r="Q1161">
        <f>ROUND(INDEX(Spending!AJ:AJ,MATCH(EOMONTH($A1161,-1),Spending!B:B,0)),2)</f>
        <v>59.65</v>
      </c>
      <c r="R1161">
        <f t="shared" si="1113"/>
        <v>1</v>
      </c>
      <c r="S1161">
        <f>ROUND(INDEX(Employment!V:V,MATCH(EOMONTH($A1161,-1),Employment!A:A,0)),2)</f>
        <v>173.24</v>
      </c>
      <c r="T1161" s="11">
        <f t="shared" si="1110"/>
        <v>1</v>
      </c>
      <c r="U1161">
        <f t="shared" si="1102"/>
        <v>28</v>
      </c>
      <c r="V1161">
        <f t="shared" si="1130"/>
        <v>79.62</v>
      </c>
      <c r="W1161" s="13">
        <f t="shared" si="1131"/>
        <v>1.95E-2</v>
      </c>
      <c r="X1161" s="13">
        <f t="shared" si="1132"/>
        <v>0.10150000000000001</v>
      </c>
      <c r="Y1161">
        <f t="shared" si="1124"/>
        <v>85.4</v>
      </c>
      <c r="Z1161" s="13">
        <f t="shared" si="1119"/>
        <v>1.8100000000000002E-2</v>
      </c>
      <c r="AA1161" s="13">
        <f t="shared" si="1115"/>
        <v>0.1036</v>
      </c>
      <c r="AB1161" s="6">
        <f t="shared" si="1125"/>
        <v>103.626</v>
      </c>
      <c r="AC1161">
        <f t="shared" si="1117"/>
        <v>52</v>
      </c>
      <c r="AD1161" s="11">
        <f t="shared" si="1118"/>
        <v>2</v>
      </c>
      <c r="AE1161">
        <f t="shared" si="1116"/>
        <v>32</v>
      </c>
      <c r="AF1161">
        <f>IF(AND(AE1161&lt;15,OR(AC1161&gt;=30,AA1161&gt;0.15,X1161&gt;=0.15)),2,VLOOKUP(AE1161,Table!P:Q,2,FALSE))</f>
        <v>5</v>
      </c>
      <c r="AG1161" s="22">
        <f>IF((AB1161*0.98)-(D1161*0.8)+((AF1161-3)*3)+VLOOKUP(AM1161,Table!$A$11:$B$13,2,FALSE)&lt;0,0,(AB1161*0.98)-(D1161*0.8)+((AF1161-3)*3)+VLOOKUP(AM1161,Table!$A$11:$B$13,2,FALSE))</f>
        <v>103.12148000000001</v>
      </c>
      <c r="AH1161" s="22">
        <f t="shared" si="1111"/>
        <v>99</v>
      </c>
      <c r="AI1161" s="18">
        <f t="shared" si="1104"/>
        <v>4.9800000000000004</v>
      </c>
      <c r="AJ1161" s="18">
        <f t="shared" si="1105"/>
        <v>5.09</v>
      </c>
      <c r="AK1161" t="str">
        <f t="shared" si="1126"/>
        <v/>
      </c>
      <c r="AL1161">
        <f t="shared" ref="AL1161:AL1224" si="1137">ROUND(AVERAGE(AE1161:AE1164),2)</f>
        <v>30.75</v>
      </c>
      <c r="AM1161" s="11" t="str">
        <f t="shared" si="1127"/>
        <v>Stocks</v>
      </c>
      <c r="AN1161" t="str">
        <f t="shared" si="1133"/>
        <v>Buy</v>
      </c>
      <c r="AO1161" s="13">
        <f t="shared" si="1134"/>
        <v>6.3E-3</v>
      </c>
      <c r="AP1161" s="13">
        <f t="shared" si="1135"/>
        <v>1E-3</v>
      </c>
      <c r="AQ1161" s="13">
        <f t="shared" si="1136"/>
        <v>6.1999999999999998E-3</v>
      </c>
      <c r="AR1161" s="13">
        <f t="shared" si="1128"/>
        <v>6.3E-3</v>
      </c>
      <c r="AS1161" s="6">
        <f t="shared" si="1120"/>
        <v>166.56159364650253</v>
      </c>
      <c r="AT1161" s="6">
        <f t="shared" si="1121"/>
        <v>118.94920222750348</v>
      </c>
      <c r="AU1161" s="6">
        <f t="shared" si="1122"/>
        <v>163.9813523626834</v>
      </c>
      <c r="AV1161" s="6">
        <f t="shared" si="1123"/>
        <v>166.56159364650253</v>
      </c>
      <c r="AW1161" s="58">
        <f t="shared" si="1129"/>
        <v>1996</v>
      </c>
      <c r="AX1161" s="58">
        <f>COUNTIF(AW$3:AW1161,AW1161)</f>
        <v>31</v>
      </c>
    </row>
    <row r="1162" spans="1:50" x14ac:dyDescent="0.25">
      <c r="A1162" s="5">
        <v>35211</v>
      </c>
      <c r="B1162">
        <v>678.51</v>
      </c>
      <c r="C1162">
        <v>5.04</v>
      </c>
      <c r="D1162" s="6">
        <v>15.13</v>
      </c>
      <c r="E1162" s="18">
        <f t="shared" si="1106"/>
        <v>15.81</v>
      </c>
      <c r="F1162">
        <f t="shared" si="1107"/>
        <v>1</v>
      </c>
      <c r="G1162" s="18">
        <f>ROUND(INDEX(Valuation!U:U,MATCH(A1162,Valuation!A:A,0)),2)</f>
        <v>151.83000000000001</v>
      </c>
      <c r="H1162">
        <f t="shared" si="1114"/>
        <v>1</v>
      </c>
      <c r="I1162" s="18">
        <f>INDEX(WeeklyIndicators!Y:Y,MATCH(A1162,WeeklyIndicators!A:A,0))</f>
        <v>162.97999999999999</v>
      </c>
      <c r="J1162">
        <f t="shared" si="1103"/>
        <v>2</v>
      </c>
      <c r="K1162">
        <f>ROUND(INDEX(Economic!AF:AF,MATCH(EOMONTH($A1162,-1),Economic!A:A,0)),2)</f>
        <v>116.24</v>
      </c>
      <c r="L1162" s="11">
        <f t="shared" si="1112"/>
        <v>1</v>
      </c>
      <c r="M1162">
        <f>ROUND(INDEX(Manufacturing!P:P,MATCH(EOMONTH($A1162,-1),Manufacturing!A:A,0)),2)</f>
        <v>85.08</v>
      </c>
      <c r="N1162">
        <f t="shared" si="1108"/>
        <v>0</v>
      </c>
      <c r="O1162">
        <f>ROUND(INDEX(Housing!AC:AC,MATCH(EOMONTH($A1162,-1),Housing!B:B,0)),2)</f>
        <v>106.93</v>
      </c>
      <c r="P1162">
        <f t="shared" si="1109"/>
        <v>0</v>
      </c>
      <c r="Q1162">
        <f>ROUND(INDEX(Spending!AJ:AJ,MATCH(EOMONTH($A1162,-1),Spending!B:B,0)),2)</f>
        <v>56.42</v>
      </c>
      <c r="R1162">
        <f t="shared" si="1113"/>
        <v>1</v>
      </c>
      <c r="S1162">
        <f>ROUND(INDEX(Employment!V:V,MATCH(EOMONTH($A1162,-1),Employment!A:A,0)),2)</f>
        <v>172.29</v>
      </c>
      <c r="T1162" s="11">
        <f t="shared" si="1110"/>
        <v>1</v>
      </c>
      <c r="U1162">
        <f t="shared" ref="U1162:U1225" si="1138">F1162+H1162+J1162+L1162+N1162+P1162+R1162+T1162+20</f>
        <v>27</v>
      </c>
      <c r="V1162">
        <f t="shared" si="1130"/>
        <v>77.55</v>
      </c>
      <c r="W1162" s="13">
        <f t="shared" si="1131"/>
        <v>2.1700000000000001E-2</v>
      </c>
      <c r="X1162" s="13">
        <f t="shared" si="1132"/>
        <v>9.2999999999999985E-2</v>
      </c>
      <c r="Y1162">
        <f t="shared" si="1124"/>
        <v>83.28</v>
      </c>
      <c r="Z1162" s="13">
        <f t="shared" si="1119"/>
        <v>2.0899999999999998E-2</v>
      </c>
      <c r="AA1162" s="13">
        <f t="shared" si="1115"/>
        <v>9.9199999999999997E-2</v>
      </c>
      <c r="AB1162" s="6">
        <f t="shared" si="1125"/>
        <v>101.123</v>
      </c>
      <c r="AC1162">
        <f t="shared" si="1117"/>
        <v>51</v>
      </c>
      <c r="AD1162" s="11">
        <f t="shared" si="1118"/>
        <v>2</v>
      </c>
      <c r="AE1162">
        <f t="shared" si="1116"/>
        <v>31</v>
      </c>
      <c r="AF1162">
        <f>IF(AND(AE1162&lt;15,OR(AC1162&gt;=30,AA1162&gt;0.15,X1162&gt;=0.15)),2,VLOOKUP(AE1162,Table!P:Q,2,FALSE))</f>
        <v>4</v>
      </c>
      <c r="AG1162" s="22">
        <f>IF((AB1162*0.98)-(D1162*0.8)+((AF1162-3)*3)+VLOOKUP(AM1162,Table!$A$11:$B$13,2,FALSE)&lt;0,0,(AB1162*0.98)-(D1162*0.8)+((AF1162-3)*3)+VLOOKUP(AM1162,Table!$A$11:$B$13,2,FALSE))</f>
        <v>97.99654000000001</v>
      </c>
      <c r="AH1162" s="22">
        <f t="shared" si="1111"/>
        <v>94</v>
      </c>
      <c r="AI1162" s="18">
        <f t="shared" si="1104"/>
        <v>4.97</v>
      </c>
      <c r="AJ1162" s="18">
        <f t="shared" si="1105"/>
        <v>5.09</v>
      </c>
      <c r="AK1162" t="str">
        <f t="shared" si="1126"/>
        <v/>
      </c>
      <c r="AL1162">
        <f t="shared" si="1137"/>
        <v>29.5</v>
      </c>
      <c r="AM1162" s="11" t="str">
        <f t="shared" si="1127"/>
        <v>Stocks</v>
      </c>
      <c r="AN1162" t="str">
        <f t="shared" si="1133"/>
        <v>Buy</v>
      </c>
      <c r="AO1162" s="13">
        <f t="shared" si="1134"/>
        <v>-1.38E-2</v>
      </c>
      <c r="AP1162" s="13">
        <f t="shared" si="1135"/>
        <v>1E-3</v>
      </c>
      <c r="AQ1162" s="13">
        <f t="shared" si="1136"/>
        <v>-1.29E-2</v>
      </c>
      <c r="AR1162" s="13">
        <f t="shared" si="1128"/>
        <v>-1.38E-2</v>
      </c>
      <c r="AS1162" s="6">
        <f t="shared" si="1120"/>
        <v>168.89230748986265</v>
      </c>
      <c r="AT1162" s="6">
        <f t="shared" si="1121"/>
        <v>118.83037185564784</v>
      </c>
      <c r="AU1162" s="6">
        <f t="shared" si="1122"/>
        <v>166.12435656233757</v>
      </c>
      <c r="AV1162" s="6">
        <f t="shared" si="1123"/>
        <v>168.89230748986265</v>
      </c>
      <c r="AW1162" s="58">
        <f t="shared" si="1129"/>
        <v>1996</v>
      </c>
      <c r="AX1162" s="58">
        <f>COUNTIF(AW$3:AW1162,AW1162)</f>
        <v>32</v>
      </c>
    </row>
    <row r="1163" spans="1:50" x14ac:dyDescent="0.25">
      <c r="A1163" s="5">
        <v>35204</v>
      </c>
      <c r="B1163">
        <v>668.91</v>
      </c>
      <c r="C1163">
        <v>5.01</v>
      </c>
      <c r="D1163" s="6">
        <v>15.61</v>
      </c>
      <c r="E1163" s="18">
        <f t="shared" si="1106"/>
        <v>15.69</v>
      </c>
      <c r="F1163">
        <f t="shared" si="1107"/>
        <v>1</v>
      </c>
      <c r="G1163" s="18">
        <f>ROUND(INDEX(Valuation!U:U,MATCH(A1163,Valuation!A:A,0)),2)</f>
        <v>152.72</v>
      </c>
      <c r="H1163">
        <f t="shared" si="1114"/>
        <v>1</v>
      </c>
      <c r="I1163" s="18">
        <f>INDEX(WeeklyIndicators!Y:Y,MATCH(A1163,WeeklyIndicators!A:A,0))</f>
        <v>156.56</v>
      </c>
      <c r="J1163">
        <f t="shared" si="1103"/>
        <v>2</v>
      </c>
      <c r="K1163">
        <f>ROUND(INDEX(Economic!AF:AF,MATCH(EOMONTH($A1163,-1),Economic!A:A,0)),2)</f>
        <v>116.24</v>
      </c>
      <c r="L1163" s="11">
        <f t="shared" si="1112"/>
        <v>1</v>
      </c>
      <c r="M1163">
        <f>ROUND(INDEX(Manufacturing!P:P,MATCH(EOMONTH($A1163,-1),Manufacturing!A:A,0)),2)</f>
        <v>85.08</v>
      </c>
      <c r="N1163">
        <f t="shared" si="1108"/>
        <v>0</v>
      </c>
      <c r="O1163">
        <f>ROUND(INDEX(Housing!AC:AC,MATCH(EOMONTH($A1163,-1),Housing!B:B,0)),2)</f>
        <v>106.93</v>
      </c>
      <c r="P1163">
        <f t="shared" si="1109"/>
        <v>0</v>
      </c>
      <c r="Q1163">
        <f>ROUND(INDEX(Spending!AJ:AJ,MATCH(EOMONTH($A1163,-1),Spending!B:B,0)),2)</f>
        <v>56.42</v>
      </c>
      <c r="R1163">
        <f t="shared" si="1113"/>
        <v>1</v>
      </c>
      <c r="S1163">
        <f>ROUND(INDEX(Employment!V:V,MATCH(EOMONTH($A1163,-1),Employment!A:A,0)),2)</f>
        <v>172.29</v>
      </c>
      <c r="T1163" s="11">
        <f t="shared" si="1110"/>
        <v>1</v>
      </c>
      <c r="U1163">
        <f t="shared" si="1138"/>
        <v>27</v>
      </c>
      <c r="V1163">
        <f t="shared" si="1130"/>
        <v>76.89</v>
      </c>
      <c r="W1163" s="13">
        <f t="shared" si="1131"/>
        <v>3.3399999999999999E-2</v>
      </c>
      <c r="X1163" s="13">
        <f t="shared" si="1132"/>
        <v>6.2600000000000003E-2</v>
      </c>
      <c r="Y1163">
        <f t="shared" si="1124"/>
        <v>82.75</v>
      </c>
      <c r="Z1163" s="13">
        <f t="shared" si="1119"/>
        <v>3.4299999999999997E-2</v>
      </c>
      <c r="AA1163" s="13">
        <f t="shared" si="1115"/>
        <v>7.1299999999999988E-2</v>
      </c>
      <c r="AB1163" s="6">
        <f t="shared" si="1125"/>
        <v>98.492000000000004</v>
      </c>
      <c r="AC1163">
        <f t="shared" si="1117"/>
        <v>49</v>
      </c>
      <c r="AD1163" s="11">
        <f t="shared" si="1118"/>
        <v>2</v>
      </c>
      <c r="AE1163">
        <f t="shared" si="1116"/>
        <v>31</v>
      </c>
      <c r="AF1163">
        <f>IF(AND(AE1163&lt;15,OR(AC1163&gt;=30,AA1163&gt;0.15,X1163&gt;=0.15)),2,VLOOKUP(AE1163,Table!P:Q,2,FALSE))</f>
        <v>4</v>
      </c>
      <c r="AG1163" s="22">
        <f>IF((AB1163*0.98)-(D1163*0.8)+((AF1163-3)*3)+VLOOKUP(AM1163,Table!$A$11:$B$13,2,FALSE)&lt;0,0,(AB1163*0.98)-(D1163*0.8)+((AF1163-3)*3)+VLOOKUP(AM1163,Table!$A$11:$B$13,2,FALSE))</f>
        <v>95.03416</v>
      </c>
      <c r="AH1163" s="22">
        <f t="shared" si="1111"/>
        <v>90</v>
      </c>
      <c r="AI1163" s="18">
        <f t="shared" si="1104"/>
        <v>4.95</v>
      </c>
      <c r="AJ1163" s="18">
        <f t="shared" si="1105"/>
        <v>5.0999999999999996</v>
      </c>
      <c r="AK1163" t="str">
        <f t="shared" si="1126"/>
        <v/>
      </c>
      <c r="AL1163">
        <f t="shared" si="1137"/>
        <v>28</v>
      </c>
      <c r="AM1163" s="11" t="str">
        <f t="shared" si="1127"/>
        <v>Stocks</v>
      </c>
      <c r="AN1163" t="str">
        <f t="shared" si="1133"/>
        <v>Buy</v>
      </c>
      <c r="AO1163" s="13">
        <f t="shared" si="1134"/>
        <v>1.44E-2</v>
      </c>
      <c r="AP1163" s="13">
        <f t="shared" si="1135"/>
        <v>1E-3</v>
      </c>
      <c r="AQ1163" s="13">
        <f t="shared" si="1136"/>
        <v>1.3100000000000001E-2</v>
      </c>
      <c r="AR1163" s="13">
        <f t="shared" si="1128"/>
        <v>1.44E-2</v>
      </c>
      <c r="AS1163" s="6">
        <f t="shared" si="1120"/>
        <v>166.49478262013275</v>
      </c>
      <c r="AT1163" s="6">
        <f t="shared" si="1121"/>
        <v>118.7116601954524</v>
      </c>
      <c r="AU1163" s="6">
        <f t="shared" si="1122"/>
        <v>163.97626745862951</v>
      </c>
      <c r="AV1163" s="6">
        <f t="shared" si="1123"/>
        <v>166.49478262013275</v>
      </c>
      <c r="AW1163" s="58">
        <f t="shared" si="1129"/>
        <v>1996</v>
      </c>
      <c r="AX1163" s="58">
        <f>COUNTIF(AW$3:AW1163,AW1163)</f>
        <v>33</v>
      </c>
    </row>
    <row r="1164" spans="1:50" x14ac:dyDescent="0.25">
      <c r="A1164" s="5">
        <v>35197</v>
      </c>
      <c r="B1164">
        <v>652.09</v>
      </c>
      <c r="C1164">
        <v>5</v>
      </c>
      <c r="D1164" s="6">
        <v>16.700001</v>
      </c>
      <c r="E1164" s="18">
        <f t="shared" si="1106"/>
        <v>15.52</v>
      </c>
      <c r="F1164">
        <f t="shared" si="1107"/>
        <v>1</v>
      </c>
      <c r="G1164" s="18">
        <f>ROUND(INDEX(Valuation!U:U,MATCH(A1164,Valuation!A:A,0)),2)</f>
        <v>151.63999999999999</v>
      </c>
      <c r="H1164">
        <f t="shared" si="1114"/>
        <v>1</v>
      </c>
      <c r="I1164" s="18">
        <f>INDEX(WeeklyIndicators!Y:Y,MATCH(A1164,WeeklyIndicators!A:A,0))</f>
        <v>139.69999999999999</v>
      </c>
      <c r="J1164">
        <f t="shared" si="1103"/>
        <v>1</v>
      </c>
      <c r="K1164">
        <f>ROUND(INDEX(Economic!AF:AF,MATCH(EOMONTH($A1164,-1),Economic!A:A,0)),2)</f>
        <v>116.24</v>
      </c>
      <c r="L1164" s="11">
        <f t="shared" si="1112"/>
        <v>1</v>
      </c>
      <c r="M1164">
        <f>ROUND(INDEX(Manufacturing!P:P,MATCH(EOMONTH($A1164,-1),Manufacturing!A:A,0)),2)</f>
        <v>85.08</v>
      </c>
      <c r="N1164">
        <f t="shared" si="1108"/>
        <v>0</v>
      </c>
      <c r="O1164">
        <f>ROUND(INDEX(Housing!AC:AC,MATCH(EOMONTH($A1164,-1),Housing!B:B,0)),2)</f>
        <v>106.93</v>
      </c>
      <c r="P1164">
        <f t="shared" si="1109"/>
        <v>0</v>
      </c>
      <c r="Q1164">
        <f>ROUND(INDEX(Spending!AJ:AJ,MATCH(EOMONTH($A1164,-1),Spending!B:B,0)),2)</f>
        <v>56.42</v>
      </c>
      <c r="R1164">
        <f t="shared" si="1113"/>
        <v>1</v>
      </c>
      <c r="S1164">
        <f>ROUND(INDEX(Employment!V:V,MATCH(EOMONTH($A1164,-1),Employment!A:A,0)),2)</f>
        <v>172.29</v>
      </c>
      <c r="T1164" s="11">
        <f t="shared" si="1110"/>
        <v>1</v>
      </c>
      <c r="U1164">
        <f t="shared" si="1138"/>
        <v>26</v>
      </c>
      <c r="V1164">
        <f t="shared" si="1130"/>
        <v>75.14</v>
      </c>
      <c r="W1164" s="13">
        <f t="shared" si="1131"/>
        <v>2.69E-2</v>
      </c>
      <c r="X1164" s="13">
        <f t="shared" si="1132"/>
        <v>2.0900000000000002E-2</v>
      </c>
      <c r="Y1164">
        <f t="shared" si="1124"/>
        <v>80.94</v>
      </c>
      <c r="Z1164" s="13">
        <f t="shared" si="1119"/>
        <v>3.0300000000000001E-2</v>
      </c>
      <c r="AA1164" s="13">
        <f t="shared" si="1115"/>
        <v>2.8999999999999998E-2</v>
      </c>
      <c r="AB1164" s="6">
        <f t="shared" si="1125"/>
        <v>93.263999999999996</v>
      </c>
      <c r="AC1164">
        <f t="shared" si="1117"/>
        <v>47</v>
      </c>
      <c r="AD1164" s="11">
        <f t="shared" si="1118"/>
        <v>1</v>
      </c>
      <c r="AE1164">
        <f t="shared" si="1116"/>
        <v>29</v>
      </c>
      <c r="AF1164">
        <f>IF(AND(AE1164&lt;15,OR(AC1164&gt;=30,AA1164&gt;0.15,X1164&gt;=0.15)),2,VLOOKUP(AE1164,Table!P:Q,2,FALSE))</f>
        <v>4</v>
      </c>
      <c r="AG1164" s="22">
        <f>IF((AB1164*0.98)-(D1164*0.8)+((AF1164-3)*3)+VLOOKUP(AM1164,Table!$A$11:$B$13,2,FALSE)&lt;0,0,(AB1164*0.98)-(D1164*0.8)+((AF1164-3)*3)+VLOOKUP(AM1164,Table!$A$11:$B$13,2,FALSE))</f>
        <v>89.038719200000003</v>
      </c>
      <c r="AH1164" s="22">
        <f t="shared" si="1111"/>
        <v>84</v>
      </c>
      <c r="AI1164" s="18">
        <f t="shared" si="1104"/>
        <v>4.93</v>
      </c>
      <c r="AJ1164" s="18">
        <f t="shared" si="1105"/>
        <v>5.12</v>
      </c>
      <c r="AK1164" t="str">
        <f t="shared" si="1126"/>
        <v/>
      </c>
      <c r="AL1164">
        <f t="shared" si="1137"/>
        <v>26.5</v>
      </c>
      <c r="AM1164" s="11" t="str">
        <f t="shared" si="1127"/>
        <v>Stocks</v>
      </c>
      <c r="AN1164" t="str">
        <f t="shared" si="1133"/>
        <v>Buy</v>
      </c>
      <c r="AO1164" s="13">
        <f t="shared" si="1134"/>
        <v>2.58E-2</v>
      </c>
      <c r="AP1164" s="13">
        <f t="shared" si="1135"/>
        <v>1E-3</v>
      </c>
      <c r="AQ1164" s="13">
        <f t="shared" si="1136"/>
        <v>2.18E-2</v>
      </c>
      <c r="AR1164" s="13">
        <f t="shared" si="1128"/>
        <v>2.58E-2</v>
      </c>
      <c r="AS1164" s="6">
        <f t="shared" si="1120"/>
        <v>162.30725543003777</v>
      </c>
      <c r="AT1164" s="6">
        <f t="shared" si="1121"/>
        <v>118.59306712832408</v>
      </c>
      <c r="AU1164" s="6">
        <f t="shared" si="1122"/>
        <v>160.47785032161823</v>
      </c>
      <c r="AV1164" s="6">
        <f t="shared" si="1123"/>
        <v>162.30725543003777</v>
      </c>
      <c r="AW1164" s="58">
        <f t="shared" si="1129"/>
        <v>1996</v>
      </c>
      <c r="AX1164" s="58">
        <f>COUNTIF(AW$3:AW1164,AW1164)</f>
        <v>34</v>
      </c>
    </row>
    <row r="1165" spans="1:50" x14ac:dyDescent="0.25">
      <c r="A1165" s="5">
        <v>35190</v>
      </c>
      <c r="B1165">
        <v>641.63</v>
      </c>
      <c r="C1165">
        <v>5</v>
      </c>
      <c r="D1165" s="6">
        <v>14.75</v>
      </c>
      <c r="E1165" s="18">
        <f t="shared" si="1106"/>
        <v>15.75</v>
      </c>
      <c r="F1165">
        <f t="shared" si="1107"/>
        <v>1</v>
      </c>
      <c r="G1165" s="18">
        <f>ROUND(INDEX(Valuation!U:U,MATCH(A1165,Valuation!A:A,0)),2)</f>
        <v>150.09</v>
      </c>
      <c r="H1165">
        <f t="shared" si="1114"/>
        <v>1</v>
      </c>
      <c r="I1165" s="18">
        <f>INDEX(WeeklyIndicators!Y:Y,MATCH(A1165,WeeklyIndicators!A:A,0))</f>
        <v>116.01</v>
      </c>
      <c r="J1165">
        <f t="shared" si="1103"/>
        <v>-1</v>
      </c>
      <c r="K1165">
        <f>ROUND(INDEX(Economic!AF:AF,MATCH(EOMONTH($A1165,-1),Economic!A:A,0)),2)</f>
        <v>116.24</v>
      </c>
      <c r="L1165" s="11">
        <f t="shared" si="1112"/>
        <v>1</v>
      </c>
      <c r="M1165">
        <f>ROUND(INDEX(Manufacturing!P:P,MATCH(EOMONTH($A1165,-1),Manufacturing!A:A,0)),2)</f>
        <v>85.08</v>
      </c>
      <c r="N1165">
        <f t="shared" si="1108"/>
        <v>0</v>
      </c>
      <c r="O1165">
        <f>ROUND(INDEX(Housing!AC:AC,MATCH(EOMONTH($A1165,-1),Housing!B:B,0)),2)</f>
        <v>106.93</v>
      </c>
      <c r="P1165">
        <f t="shared" si="1109"/>
        <v>0</v>
      </c>
      <c r="Q1165">
        <f>ROUND(INDEX(Spending!AJ:AJ,MATCH(EOMONTH($A1165,-1),Spending!B:B,0)),2)</f>
        <v>56.42</v>
      </c>
      <c r="R1165">
        <f t="shared" si="1113"/>
        <v>1</v>
      </c>
      <c r="S1165">
        <f>ROUND(INDEX(Employment!V:V,MATCH(EOMONTH($A1165,-1),Employment!A:A,0)),2)</f>
        <v>172.29</v>
      </c>
      <c r="T1165" s="11">
        <f t="shared" si="1110"/>
        <v>1</v>
      </c>
      <c r="U1165">
        <f t="shared" si="1138"/>
        <v>24</v>
      </c>
      <c r="V1165">
        <f t="shared" si="1130"/>
        <v>72.680000000000007</v>
      </c>
      <c r="W1165" s="13">
        <f t="shared" si="1131"/>
        <v>1.0999999999999999E-2</v>
      </c>
      <c r="X1165" s="13">
        <f t="shared" si="1132"/>
        <v>-9.8999999999999991E-3</v>
      </c>
      <c r="Y1165">
        <f t="shared" si="1124"/>
        <v>78.23</v>
      </c>
      <c r="Z1165" s="13">
        <f t="shared" si="1119"/>
        <v>1.37E-2</v>
      </c>
      <c r="AA1165" s="13">
        <f t="shared" si="1115"/>
        <v>-4.5000000000000005E-3</v>
      </c>
      <c r="AB1165" s="6">
        <f t="shared" si="1125"/>
        <v>87.759</v>
      </c>
      <c r="AC1165">
        <f t="shared" si="1117"/>
        <v>44</v>
      </c>
      <c r="AD1165" s="11">
        <f t="shared" si="1118"/>
        <v>1</v>
      </c>
      <c r="AE1165">
        <f t="shared" si="1116"/>
        <v>27</v>
      </c>
      <c r="AF1165">
        <f>IF(AND(AE1165&lt;15,OR(AC1165&gt;=30,AA1165&gt;0.15,X1165&gt;=0.15)),2,VLOOKUP(AE1165,Table!P:Q,2,FALSE))</f>
        <v>4</v>
      </c>
      <c r="AG1165" s="22">
        <f>IF((AB1165*0.98)-(D1165*0.8)+((AF1165-3)*3)+VLOOKUP(AM1165,Table!$A$11:$B$13,2,FALSE)&lt;0,0,(AB1165*0.98)-(D1165*0.8)+((AF1165-3)*3)+VLOOKUP(AM1165,Table!$A$11:$B$13,2,FALSE))</f>
        <v>85.203820000000007</v>
      </c>
      <c r="AH1165" s="22">
        <f t="shared" si="1111"/>
        <v>80</v>
      </c>
      <c r="AI1165" s="18">
        <f t="shared" si="1104"/>
        <v>4.92</v>
      </c>
      <c r="AJ1165" s="18">
        <f t="shared" si="1105"/>
        <v>5.13</v>
      </c>
      <c r="AK1165" t="str">
        <f t="shared" si="1126"/>
        <v/>
      </c>
      <c r="AL1165">
        <f t="shared" si="1137"/>
        <v>25.5</v>
      </c>
      <c r="AM1165" s="11" t="str">
        <f t="shared" si="1127"/>
        <v>Stocks</v>
      </c>
      <c r="AN1165" t="str">
        <f t="shared" si="1133"/>
        <v>Buy</v>
      </c>
      <c r="AO1165" s="13">
        <f t="shared" si="1134"/>
        <v>1.6299999999999999E-2</v>
      </c>
      <c r="AP1165" s="13">
        <f t="shared" si="1135"/>
        <v>1E-3</v>
      </c>
      <c r="AQ1165" s="13">
        <f t="shared" si="1136"/>
        <v>1.32E-2</v>
      </c>
      <c r="AR1165" s="13">
        <f t="shared" si="1128"/>
        <v>1.6299999999999999E-2</v>
      </c>
      <c r="AS1165" s="6">
        <f t="shared" si="1120"/>
        <v>159.7040789432626</v>
      </c>
      <c r="AT1165" s="6">
        <f t="shared" si="1121"/>
        <v>118.4745925357883</v>
      </c>
      <c r="AU1165" s="6">
        <f t="shared" si="1122"/>
        <v>158.38714007265912</v>
      </c>
      <c r="AV1165" s="6">
        <f t="shared" si="1123"/>
        <v>159.7040789432626</v>
      </c>
      <c r="AW1165" s="58">
        <f t="shared" si="1129"/>
        <v>1996</v>
      </c>
      <c r="AX1165" s="58">
        <f>COUNTIF(AW$3:AW1165,AW1165)</f>
        <v>35</v>
      </c>
    </row>
    <row r="1166" spans="1:50" x14ac:dyDescent="0.25">
      <c r="A1166" s="5">
        <v>35183</v>
      </c>
      <c r="B1166">
        <v>653.46</v>
      </c>
      <c r="C1166">
        <v>4.96</v>
      </c>
      <c r="D1166" s="6">
        <v>15.12</v>
      </c>
      <c r="E1166" s="18">
        <f t="shared" si="1106"/>
        <v>16.23</v>
      </c>
      <c r="F1166">
        <f t="shared" si="1107"/>
        <v>0</v>
      </c>
      <c r="G1166" s="18">
        <f>ROUND(INDEX(Valuation!U:U,MATCH(A1166,Valuation!A:A,0)),2)</f>
        <v>147.49</v>
      </c>
      <c r="H1166">
        <f t="shared" si="1114"/>
        <v>1</v>
      </c>
      <c r="I1166" s="18">
        <f>INDEX(WeeklyIndicators!Y:Y,MATCH(A1166,WeeklyIndicators!A:A,0))</f>
        <v>99.75</v>
      </c>
      <c r="J1166">
        <f t="shared" si="1103"/>
        <v>-1</v>
      </c>
      <c r="K1166">
        <f>ROUND(INDEX(Economic!AF:AF,MATCH(EOMONTH($A1166,-1),Economic!A:A,0)),2)</f>
        <v>113.06</v>
      </c>
      <c r="L1166" s="11">
        <f t="shared" si="1112"/>
        <v>1</v>
      </c>
      <c r="M1166">
        <f>ROUND(INDEX(Manufacturing!P:P,MATCH(EOMONTH($A1166,-1),Manufacturing!A:A,0)),2)</f>
        <v>82.68</v>
      </c>
      <c r="N1166">
        <f t="shared" si="1108"/>
        <v>-1</v>
      </c>
      <c r="O1166">
        <f>ROUND(INDEX(Housing!AC:AC,MATCH(EOMONTH($A1166,-1),Housing!B:B,0)),2)</f>
        <v>108.04</v>
      </c>
      <c r="P1166">
        <f t="shared" si="1109"/>
        <v>0</v>
      </c>
      <c r="Q1166">
        <f>ROUND(INDEX(Spending!AJ:AJ,MATCH(EOMONTH($A1166,-1),Spending!B:B,0)),2)</f>
        <v>52.52</v>
      </c>
      <c r="R1166">
        <f t="shared" si="1113"/>
        <v>1</v>
      </c>
      <c r="S1166">
        <f>ROUND(INDEX(Employment!V:V,MATCH(EOMONTH($A1166,-1),Employment!A:A,0)),2)</f>
        <v>168.52</v>
      </c>
      <c r="T1166" s="11">
        <f t="shared" si="1110"/>
        <v>1</v>
      </c>
      <c r="U1166">
        <f t="shared" si="1138"/>
        <v>22</v>
      </c>
      <c r="V1166">
        <f t="shared" si="1130"/>
        <v>69.63</v>
      </c>
      <c r="W1166" s="13">
        <f t="shared" si="1131"/>
        <v>-8.6999999999999994E-3</v>
      </c>
      <c r="X1166" s="13">
        <f t="shared" si="1132"/>
        <v>-1.6600000000000004E-2</v>
      </c>
      <c r="Y1166">
        <f t="shared" si="1124"/>
        <v>74.73</v>
      </c>
      <c r="Z1166" s="13">
        <f t="shared" si="1119"/>
        <v>-7.0000000000000001E-3</v>
      </c>
      <c r="AA1166" s="13">
        <f t="shared" si="1115"/>
        <v>-1.38E-2</v>
      </c>
      <c r="AB1166" s="6">
        <f t="shared" si="1125"/>
        <v>83.208999999999989</v>
      </c>
      <c r="AC1166">
        <f t="shared" si="1117"/>
        <v>42</v>
      </c>
      <c r="AD1166" s="11">
        <f t="shared" si="1118"/>
        <v>1</v>
      </c>
      <c r="AE1166">
        <f t="shared" si="1116"/>
        <v>25</v>
      </c>
      <c r="AF1166">
        <f>IF(AND(AE1166&lt;15,OR(AC1166&gt;=30,AA1166&gt;0.15,X1166&gt;=0.15)),2,VLOOKUP(AE1166,Table!P:Q,2,FALSE))</f>
        <v>3</v>
      </c>
      <c r="AG1166" s="22">
        <f>IF((AB1166*0.98)-(D1166*0.8)+((AF1166-3)*3)+VLOOKUP(AM1166,Table!$A$11:$B$13,2,FALSE)&lt;0,0,(AB1166*0.98)-(D1166*0.8)+((AF1166-3)*3)+VLOOKUP(AM1166,Table!$A$11:$B$13,2,FALSE))</f>
        <v>77.448819999999984</v>
      </c>
      <c r="AH1166" s="22">
        <f t="shared" si="1111"/>
        <v>78</v>
      </c>
      <c r="AI1166" s="18">
        <f t="shared" si="1104"/>
        <v>4.91</v>
      </c>
      <c r="AJ1166" s="18">
        <f t="shared" si="1105"/>
        <v>5.14</v>
      </c>
      <c r="AK1166" t="str">
        <f t="shared" si="1126"/>
        <v/>
      </c>
      <c r="AL1166">
        <f t="shared" si="1137"/>
        <v>25</v>
      </c>
      <c r="AM1166" s="11" t="str">
        <f t="shared" si="1127"/>
        <v>Stocks</v>
      </c>
      <c r="AN1166" t="str">
        <f t="shared" si="1133"/>
        <v>Buy</v>
      </c>
      <c r="AO1166" s="13">
        <f t="shared" si="1134"/>
        <v>-1.8100000000000002E-2</v>
      </c>
      <c r="AP1166" s="13">
        <f t="shared" si="1135"/>
        <v>1E-3</v>
      </c>
      <c r="AQ1166" s="13">
        <f t="shared" si="1136"/>
        <v>-1.3899999999999999E-2</v>
      </c>
      <c r="AR1166" s="13">
        <f t="shared" si="1128"/>
        <v>-1.8100000000000002E-2</v>
      </c>
      <c r="AS1166" s="6">
        <f t="shared" si="1120"/>
        <v>162.64800788599919</v>
      </c>
      <c r="AT1166" s="6">
        <f t="shared" si="1121"/>
        <v>118.35623629948883</v>
      </c>
      <c r="AU1166" s="6">
        <f t="shared" si="1122"/>
        <v>160.61975466246741</v>
      </c>
      <c r="AV1166" s="6">
        <f t="shared" si="1123"/>
        <v>162.64800788599919</v>
      </c>
      <c r="AW1166" s="58">
        <f t="shared" si="1129"/>
        <v>1996</v>
      </c>
      <c r="AX1166" s="58">
        <f>COUNTIF(AW$3:AW1166,AW1166)</f>
        <v>36</v>
      </c>
    </row>
    <row r="1167" spans="1:50" x14ac:dyDescent="0.25">
      <c r="A1167" s="5">
        <v>35176</v>
      </c>
      <c r="B1167">
        <v>645.07000000000005</v>
      </c>
      <c r="C1167">
        <v>4.8499999999999996</v>
      </c>
      <c r="D1167" s="6">
        <v>17.379999000000002</v>
      </c>
      <c r="E1167" s="18">
        <f t="shared" si="1106"/>
        <v>17.48</v>
      </c>
      <c r="F1167">
        <f t="shared" si="1107"/>
        <v>0</v>
      </c>
      <c r="G1167" s="18">
        <f>ROUND(INDEX(Valuation!U:U,MATCH(A1167,Valuation!A:A,0)),2)</f>
        <v>147.31</v>
      </c>
      <c r="H1167">
        <f t="shared" si="1114"/>
        <v>1</v>
      </c>
      <c r="I1167" s="18">
        <f>INDEX(WeeklyIndicators!Y:Y,MATCH(A1167,WeeklyIndicators!A:A,0))</f>
        <v>97.87</v>
      </c>
      <c r="J1167">
        <f t="shared" ref="J1167:J1230" si="1139">IF(I1167&gt;170,3,IF(AND(I1167&gt;152,I1167&lt;=170),2,IF(AND(I1167&gt;135,I1167&lt;=152),1,IF(I1167&lt;60,-3,IF(AND(I1167&lt;95,I1167&gt;=60),-2,IF(AND(I1167&lt;120,I1167&gt;=95),-1,0))))))</f>
        <v>-1</v>
      </c>
      <c r="K1167">
        <f>ROUND(INDEX(Economic!AF:AF,MATCH(EOMONTH($A1167,-1),Economic!A:A,0)),2)</f>
        <v>113.06</v>
      </c>
      <c r="L1167" s="11">
        <f t="shared" si="1112"/>
        <v>1</v>
      </c>
      <c r="M1167">
        <f>ROUND(INDEX(Manufacturing!P:P,MATCH(EOMONTH($A1167,-1),Manufacturing!A:A,0)),2)</f>
        <v>82.68</v>
      </c>
      <c r="N1167">
        <f t="shared" si="1108"/>
        <v>-1</v>
      </c>
      <c r="O1167">
        <f>ROUND(INDEX(Housing!AC:AC,MATCH(EOMONTH($A1167,-1),Housing!B:B,0)),2)</f>
        <v>108.04</v>
      </c>
      <c r="P1167">
        <f t="shared" si="1109"/>
        <v>0</v>
      </c>
      <c r="Q1167">
        <f>ROUND(INDEX(Spending!AJ:AJ,MATCH(EOMONTH($A1167,-1),Spending!B:B,0)),2)</f>
        <v>52.52</v>
      </c>
      <c r="R1167">
        <f t="shared" si="1113"/>
        <v>1</v>
      </c>
      <c r="S1167">
        <f>ROUND(INDEX(Employment!V:V,MATCH(EOMONTH($A1167,-1),Employment!A:A,0)),2)</f>
        <v>168.52</v>
      </c>
      <c r="T1167" s="11">
        <f t="shared" si="1110"/>
        <v>1</v>
      </c>
      <c r="U1167">
        <f t="shared" si="1138"/>
        <v>22</v>
      </c>
      <c r="V1167">
        <f t="shared" si="1130"/>
        <v>69.44</v>
      </c>
      <c r="W1167" s="13">
        <f t="shared" si="1131"/>
        <v>-8.3000000000000001E-3</v>
      </c>
      <c r="X1167" s="13">
        <f t="shared" si="1132"/>
        <v>0</v>
      </c>
      <c r="Y1167">
        <f t="shared" si="1124"/>
        <v>74.069999999999993</v>
      </c>
      <c r="Z1167" s="13">
        <f t="shared" si="1119"/>
        <v>-8.0000000000000002E-3</v>
      </c>
      <c r="AA1167" s="13">
        <f t="shared" si="1115"/>
        <v>-1.3999999999999993E-3</v>
      </c>
      <c r="AB1167" s="6">
        <f t="shared" si="1125"/>
        <v>83.521000000000001</v>
      </c>
      <c r="AC1167">
        <f t="shared" si="1117"/>
        <v>42</v>
      </c>
      <c r="AD1167" s="11">
        <f t="shared" si="1118"/>
        <v>1</v>
      </c>
      <c r="AE1167">
        <f t="shared" si="1116"/>
        <v>25</v>
      </c>
      <c r="AF1167">
        <f>IF(AND(AE1167&lt;15,OR(AC1167&gt;=30,AA1167&gt;0.15,X1167&gt;=0.15)),2,VLOOKUP(AE1167,Table!P:Q,2,FALSE))</f>
        <v>3</v>
      </c>
      <c r="AG1167" s="22">
        <f>IF((AB1167*0.98)-(D1167*0.8)+((AF1167-3)*3)+VLOOKUP(AM1167,Table!$A$11:$B$13,2,FALSE)&lt;0,0,(AB1167*0.98)-(D1167*0.8)+((AF1167-3)*3)+VLOOKUP(AM1167,Table!$A$11:$B$13,2,FALSE))</f>
        <v>75.946580799999992</v>
      </c>
      <c r="AH1167" s="22">
        <f t="shared" si="1111"/>
        <v>78</v>
      </c>
      <c r="AI1167" s="18">
        <f t="shared" ref="AI1167:AI1230" si="1140">ROUND(AVERAGE(C1167:C1179),2)</f>
        <v>4.91</v>
      </c>
      <c r="AJ1167" s="18">
        <f t="shared" ref="AJ1167:AJ1230" si="1141">ROUND(AVERAGE(C1167:C1205),2)</f>
        <v>5.15</v>
      </c>
      <c r="AK1167" t="str">
        <f t="shared" si="1126"/>
        <v>Falling Rates</v>
      </c>
      <c r="AL1167">
        <f t="shared" si="1137"/>
        <v>24.75</v>
      </c>
      <c r="AM1167" s="11" t="str">
        <f t="shared" si="1127"/>
        <v>Stocks</v>
      </c>
      <c r="AN1167" t="str">
        <f t="shared" si="1133"/>
        <v>Buy</v>
      </c>
      <c r="AO1167" s="13">
        <f t="shared" si="1134"/>
        <v>1.2999999999999999E-2</v>
      </c>
      <c r="AP1167" s="13">
        <f t="shared" si="1135"/>
        <v>8.9999999999999998E-4</v>
      </c>
      <c r="AQ1167" s="13">
        <f t="shared" si="1136"/>
        <v>1.03E-2</v>
      </c>
      <c r="AR1167" s="13">
        <f t="shared" si="1128"/>
        <v>1.2999999999999999E-2</v>
      </c>
      <c r="AS1167" s="6">
        <f t="shared" si="1120"/>
        <v>160.56071854491532</v>
      </c>
      <c r="AT1167" s="6">
        <f t="shared" si="1121"/>
        <v>118.24981146916659</v>
      </c>
      <c r="AU1167" s="6">
        <f t="shared" si="1122"/>
        <v>158.98223761503257</v>
      </c>
      <c r="AV1167" s="6">
        <f t="shared" si="1123"/>
        <v>160.56071854491532</v>
      </c>
      <c r="AW1167" s="58">
        <f t="shared" si="1129"/>
        <v>1996</v>
      </c>
      <c r="AX1167" s="58">
        <f>COUNTIF(AW$3:AW1167,AW1167)</f>
        <v>37</v>
      </c>
    </row>
    <row r="1168" spans="1:50" x14ac:dyDescent="0.25">
      <c r="A1168" s="5">
        <v>35169</v>
      </c>
      <c r="B1168">
        <v>636.71</v>
      </c>
      <c r="C1168">
        <v>4.97</v>
      </c>
      <c r="D1168" s="6">
        <v>16.18</v>
      </c>
      <c r="E1168" s="18">
        <f t="shared" si="1106"/>
        <v>17.37</v>
      </c>
      <c r="F1168">
        <f t="shared" si="1107"/>
        <v>0</v>
      </c>
      <c r="G1168" s="18">
        <f>ROUND(INDEX(Valuation!U:U,MATCH(A1168,Valuation!A:A,0)),2)</f>
        <v>148.27000000000001</v>
      </c>
      <c r="H1168">
        <f t="shared" si="1114"/>
        <v>1</v>
      </c>
      <c r="I1168" s="18">
        <f>INDEX(WeeklyIndicators!Y:Y,MATCH(A1168,WeeklyIndicators!A:A,0))</f>
        <v>106.99</v>
      </c>
      <c r="J1168">
        <f t="shared" si="1139"/>
        <v>-1</v>
      </c>
      <c r="K1168">
        <f>ROUND(INDEX(Economic!AF:AF,MATCH(EOMONTH($A1168,-1),Economic!A:A,0)),2)</f>
        <v>113.06</v>
      </c>
      <c r="L1168" s="11">
        <f t="shared" si="1112"/>
        <v>1</v>
      </c>
      <c r="M1168">
        <f>ROUND(INDEX(Manufacturing!P:P,MATCH(EOMONTH($A1168,-1),Manufacturing!A:A,0)),2)</f>
        <v>82.68</v>
      </c>
      <c r="N1168">
        <f t="shared" si="1108"/>
        <v>-1</v>
      </c>
      <c r="O1168">
        <f>ROUND(INDEX(Housing!AC:AC,MATCH(EOMONTH($A1168,-1),Housing!B:B,0)),2)</f>
        <v>108.04</v>
      </c>
      <c r="P1168">
        <f t="shared" si="1109"/>
        <v>0</v>
      </c>
      <c r="Q1168">
        <f>ROUND(INDEX(Spending!AJ:AJ,MATCH(EOMONTH($A1168,-1),Spending!B:B,0)),2)</f>
        <v>52.52</v>
      </c>
      <c r="R1168">
        <f t="shared" si="1113"/>
        <v>1</v>
      </c>
      <c r="S1168">
        <f>ROUND(INDEX(Employment!V:V,MATCH(EOMONTH($A1168,-1),Employment!A:A,0)),2)</f>
        <v>168.52</v>
      </c>
      <c r="T1168" s="11">
        <f t="shared" si="1110"/>
        <v>1</v>
      </c>
      <c r="U1168">
        <f t="shared" si="1138"/>
        <v>22</v>
      </c>
      <c r="V1168">
        <f t="shared" si="1130"/>
        <v>70.38</v>
      </c>
      <c r="W1168" s="13">
        <f t="shared" si="1131"/>
        <v>-3.8999999999999998E-3</v>
      </c>
      <c r="X1168" s="13">
        <f t="shared" si="1132"/>
        <v>1.8800000000000004E-2</v>
      </c>
      <c r="Y1168">
        <f t="shared" si="1124"/>
        <v>75.17</v>
      </c>
      <c r="Z1168" s="13">
        <f t="shared" si="1119"/>
        <v>-3.2000000000000002E-3</v>
      </c>
      <c r="AA1168" s="13">
        <f t="shared" si="1115"/>
        <v>1.29E-2</v>
      </c>
      <c r="AB1168" s="6">
        <f t="shared" si="1125"/>
        <v>85.896999999999991</v>
      </c>
      <c r="AC1168">
        <f t="shared" si="1117"/>
        <v>43</v>
      </c>
      <c r="AD1168" s="11">
        <f t="shared" si="1118"/>
        <v>1</v>
      </c>
      <c r="AE1168">
        <f t="shared" si="1116"/>
        <v>25</v>
      </c>
      <c r="AF1168">
        <f>IF(AND(AE1168&lt;15,OR(AC1168&gt;=30,AA1168&gt;0.15,X1168&gt;=0.15)),2,VLOOKUP(AE1168,Table!P:Q,2,FALSE))</f>
        <v>3</v>
      </c>
      <c r="AG1168" s="22">
        <f>IF((AB1168*0.98)-(D1168*0.8)+((AF1168-3)*3)+VLOOKUP(AM1168,Table!$A$11:$B$13,2,FALSE)&lt;0,0,(AB1168*0.98)-(D1168*0.8)+((AF1168-3)*3)+VLOOKUP(AM1168,Table!$A$11:$B$13,2,FALSE))</f>
        <v>79.23505999999999</v>
      </c>
      <c r="AH1168" s="22">
        <f t="shared" si="1111"/>
        <v>79</v>
      </c>
      <c r="AI1168" s="18">
        <f t="shared" si="1140"/>
        <v>4.92</v>
      </c>
      <c r="AJ1168" s="18">
        <f t="shared" si="1141"/>
        <v>5.16</v>
      </c>
      <c r="AK1168" t="str">
        <f t="shared" si="1126"/>
        <v/>
      </c>
      <c r="AL1168">
        <f t="shared" si="1137"/>
        <v>24.75</v>
      </c>
      <c r="AM1168" s="11" t="str">
        <f t="shared" si="1127"/>
        <v>Stocks</v>
      </c>
      <c r="AN1168" t="str">
        <f t="shared" si="1133"/>
        <v>Buy</v>
      </c>
      <c r="AO1168" s="13">
        <f t="shared" si="1134"/>
        <v>1.3100000000000001E-2</v>
      </c>
      <c r="AP1168" s="13">
        <f t="shared" si="1135"/>
        <v>1E-3</v>
      </c>
      <c r="AQ1168" s="13">
        <f t="shared" si="1136"/>
        <v>1.06E-2</v>
      </c>
      <c r="AR1168" s="13">
        <f t="shared" si="1128"/>
        <v>1.3100000000000001E-2</v>
      </c>
      <c r="AS1168" s="6">
        <f t="shared" si="1120"/>
        <v>158.48457066914943</v>
      </c>
      <c r="AT1168" s="6">
        <f t="shared" si="1121"/>
        <v>118.13167978937723</v>
      </c>
      <c r="AU1168" s="6">
        <f t="shared" si="1122"/>
        <v>157.3147017762048</v>
      </c>
      <c r="AV1168" s="6">
        <f t="shared" si="1123"/>
        <v>158.48457066914943</v>
      </c>
      <c r="AW1168" s="58">
        <f t="shared" si="1129"/>
        <v>1996</v>
      </c>
      <c r="AX1168" s="58">
        <f>COUNTIF(AW$3:AW1168,AW1168)</f>
        <v>38</v>
      </c>
    </row>
    <row r="1169" spans="1:50" x14ac:dyDescent="0.25">
      <c r="A1169" s="5">
        <v>35162</v>
      </c>
      <c r="B1169">
        <v>655.86</v>
      </c>
      <c r="C1169">
        <v>5.01</v>
      </c>
      <c r="D1169" s="6">
        <v>18.879999000000002</v>
      </c>
      <c r="E1169" s="18">
        <f t="shared" ref="E1169:E1232" si="1142">ROUND(AVERAGE(D1169:D1171),2)</f>
        <v>17.489999999999998</v>
      </c>
      <c r="F1169">
        <f t="shared" ref="F1169:F1232" si="1143">IF(E1169&lt;11,3,IF(AND(E1169&lt;14,E1169&gt;=11),2,IF(AND(E1169&lt;16,E1169&gt;=14),1,IF(E1169&gt;35,-3,IF(AND(E1169&gt;25,E1169&lt;=35),-2,IF(AND(E1169&gt;18,E1169&lt;=25),-1,0))))))</f>
        <v>0</v>
      </c>
      <c r="G1169" s="18">
        <f>ROUND(INDEX(Valuation!U:U,MATCH(A1169,Valuation!A:A,0)),2)</f>
        <v>149.16</v>
      </c>
      <c r="H1169">
        <f t="shared" si="1114"/>
        <v>1</v>
      </c>
      <c r="I1169" s="18">
        <f>INDEX(WeeklyIndicators!Y:Y,MATCH(A1169,WeeklyIndicators!A:A,0))</f>
        <v>117.47</v>
      </c>
      <c r="J1169">
        <f t="shared" si="1139"/>
        <v>-1</v>
      </c>
      <c r="K1169">
        <f>ROUND(INDEX(Economic!AF:AF,MATCH(EOMONTH($A1169,-1),Economic!A:A,0)),2)</f>
        <v>113.06</v>
      </c>
      <c r="L1169" s="11">
        <f t="shared" si="1112"/>
        <v>1</v>
      </c>
      <c r="M1169">
        <f>ROUND(INDEX(Manufacturing!P:P,MATCH(EOMONTH($A1169,-1),Manufacturing!A:A,0)),2)</f>
        <v>82.68</v>
      </c>
      <c r="N1169">
        <f t="shared" si="1108"/>
        <v>-1</v>
      </c>
      <c r="O1169">
        <f>ROUND(INDEX(Housing!AC:AC,MATCH(EOMONTH($A1169,-1),Housing!B:B,0)),2)</f>
        <v>108.04</v>
      </c>
      <c r="P1169">
        <f t="shared" si="1109"/>
        <v>0</v>
      </c>
      <c r="Q1169">
        <f>ROUND(INDEX(Spending!AJ:AJ,MATCH(EOMONTH($A1169,-1),Spending!B:B,0)),2)</f>
        <v>52.52</v>
      </c>
      <c r="R1169">
        <f t="shared" si="1113"/>
        <v>1</v>
      </c>
      <c r="S1169">
        <f>ROUND(INDEX(Employment!V:V,MATCH(EOMONTH($A1169,-1),Employment!A:A,0)),2)</f>
        <v>168.52</v>
      </c>
      <c r="T1169" s="11">
        <f t="shared" si="1110"/>
        <v>1</v>
      </c>
      <c r="U1169">
        <f t="shared" si="1138"/>
        <v>22</v>
      </c>
      <c r="V1169">
        <f t="shared" si="1130"/>
        <v>71.47</v>
      </c>
      <c r="W1169" s="13">
        <f t="shared" si="1131"/>
        <v>4.3E-3</v>
      </c>
      <c r="X1169" s="13">
        <f t="shared" si="1132"/>
        <v>2.5900000000000003E-2</v>
      </c>
      <c r="Y1169">
        <f t="shared" si="1124"/>
        <v>76.31</v>
      </c>
      <c r="Z1169" s="13">
        <f t="shared" si="1119"/>
        <v>4.4000000000000003E-3</v>
      </c>
      <c r="AA1169" s="13">
        <f t="shared" si="1115"/>
        <v>1.4E-2</v>
      </c>
      <c r="AB1169" s="6">
        <f t="shared" si="1125"/>
        <v>87.305999999999997</v>
      </c>
      <c r="AC1169">
        <f t="shared" si="1117"/>
        <v>44</v>
      </c>
      <c r="AD1169" s="11">
        <f t="shared" si="1118"/>
        <v>1</v>
      </c>
      <c r="AE1169">
        <f t="shared" si="1116"/>
        <v>25</v>
      </c>
      <c r="AF1169">
        <f>IF(AND(AE1169&lt;15,OR(AC1169&gt;=30,AA1169&gt;0.15,X1169&gt;=0.15)),2,VLOOKUP(AE1169,Table!P:Q,2,FALSE))</f>
        <v>3</v>
      </c>
      <c r="AG1169" s="22">
        <f>IF((AB1169*0.98)-(D1169*0.8)+((AF1169-3)*3)+VLOOKUP(AM1169,Table!$A$11:$B$13,2,FALSE)&lt;0,0,(AB1169*0.98)-(D1169*0.8)+((AF1169-3)*3)+VLOOKUP(AM1169,Table!$A$11:$B$13,2,FALSE))</f>
        <v>78.455880799999989</v>
      </c>
      <c r="AH1169" s="22">
        <f t="shared" si="1111"/>
        <v>78</v>
      </c>
      <c r="AI1169" s="18">
        <f t="shared" si="1140"/>
        <v>4.93</v>
      </c>
      <c r="AJ1169" s="18">
        <f t="shared" si="1141"/>
        <v>5.17</v>
      </c>
      <c r="AK1169" t="str">
        <f t="shared" si="1126"/>
        <v/>
      </c>
      <c r="AL1169">
        <f t="shared" si="1137"/>
        <v>24.25</v>
      </c>
      <c r="AM1169" s="11" t="str">
        <f t="shared" si="1127"/>
        <v>Stocks</v>
      </c>
      <c r="AN1169" t="str">
        <f t="shared" si="1133"/>
        <v>Buy</v>
      </c>
      <c r="AO1169" s="13">
        <f t="shared" si="1134"/>
        <v>-2.92E-2</v>
      </c>
      <c r="AP1169" s="13">
        <f t="shared" si="1135"/>
        <v>1E-3</v>
      </c>
      <c r="AQ1169" s="13">
        <f t="shared" si="1136"/>
        <v>-2.2599999999999999E-2</v>
      </c>
      <c r="AR1169" s="13">
        <f t="shared" si="1128"/>
        <v>-2.92E-2</v>
      </c>
      <c r="AS1169" s="6">
        <f t="shared" si="1120"/>
        <v>163.25151490435664</v>
      </c>
      <c r="AT1169" s="6">
        <f t="shared" si="1121"/>
        <v>118.01366612325398</v>
      </c>
      <c r="AU1169" s="6">
        <f t="shared" si="1122"/>
        <v>160.95222199325229</v>
      </c>
      <c r="AV1169" s="6">
        <f t="shared" si="1123"/>
        <v>163.25151490435664</v>
      </c>
      <c r="AW1169" s="58">
        <f t="shared" si="1129"/>
        <v>1996</v>
      </c>
      <c r="AX1169" s="58">
        <f>COUNTIF(AW$3:AW1169,AW1169)</f>
        <v>39</v>
      </c>
    </row>
    <row r="1170" spans="1:50" x14ac:dyDescent="0.25">
      <c r="A1170" s="5">
        <v>35155</v>
      </c>
      <c r="B1170">
        <v>645.5</v>
      </c>
      <c r="C1170">
        <v>5</v>
      </c>
      <c r="D1170" s="6">
        <v>17.049999</v>
      </c>
      <c r="E1170" s="18">
        <f t="shared" si="1142"/>
        <v>18.100000000000001</v>
      </c>
      <c r="F1170">
        <f t="shared" si="1143"/>
        <v>-1</v>
      </c>
      <c r="G1170" s="18">
        <f>ROUND(INDEX(Valuation!U:U,MATCH(A1170,Valuation!A:A,0)),2)</f>
        <v>149.80000000000001</v>
      </c>
      <c r="H1170">
        <f t="shared" si="1114"/>
        <v>1</v>
      </c>
      <c r="I1170" s="18">
        <f>INDEX(WeeklyIndicators!Y:Y,MATCH(A1170,WeeklyIndicators!A:A,0))</f>
        <v>125.09</v>
      </c>
      <c r="J1170">
        <f t="shared" si="1139"/>
        <v>0</v>
      </c>
      <c r="K1170">
        <f>ROUND(INDEX(Economic!AF:AF,MATCH(EOMONTH($A1170,-1),Economic!A:A,0)),2)</f>
        <v>111.31</v>
      </c>
      <c r="L1170" s="11">
        <f t="shared" si="1112"/>
        <v>1</v>
      </c>
      <c r="M1170">
        <f>ROUND(INDEX(Manufacturing!P:P,MATCH(EOMONTH($A1170,-1),Manufacturing!A:A,0)),2)</f>
        <v>82.38</v>
      </c>
      <c r="N1170">
        <f t="shared" ref="N1170:N1233" si="1144">IF(M1170&gt;108,3,IF(AND(M1170&gt;100,M1170&lt;=108),2,IF(AND(M1170&gt;90,M1170&lt;=100),1,IF(M1170&lt;63,-3,IF(AND(M1170&lt;74,M1170&gt;=63),-2,IF(AND(M1170&lt;84,M1170&gt;=74),-1,0))))))</f>
        <v>-1</v>
      </c>
      <c r="O1170">
        <f>ROUND(INDEX(Housing!AC:AC,MATCH(EOMONTH($A1170,-1),Housing!B:B,0)),2)</f>
        <v>107.42</v>
      </c>
      <c r="P1170">
        <f t="shared" ref="P1170:P1233" si="1145">IF(O1170&gt;140,3,IF(AND(O1170&gt;128,O1170&lt;=140),2,IF(AND(O1170&gt;115,O1170&lt;=128),1,IF(O1170&lt;50,-3,IF(AND(O1170&lt;75,O1170&gt;=50),-2,IF(AND(O1170&lt;100,O1170&gt;=75),-1,0))))))</f>
        <v>0</v>
      </c>
      <c r="Q1170">
        <f>ROUND(INDEX(Spending!AJ:AJ,MATCH(EOMONTH($A1170,-1),Spending!B:B,0)),2)</f>
        <v>48.97</v>
      </c>
      <c r="R1170">
        <f t="shared" si="1113"/>
        <v>0</v>
      </c>
      <c r="S1170">
        <f>ROUND(INDEX(Employment!V:V,MATCH(EOMONTH($A1170,-1),Employment!A:A,0)),2)</f>
        <v>163.47999999999999</v>
      </c>
      <c r="T1170" s="11">
        <f t="shared" ref="T1170:T1233" si="1146">IF(S1170&gt;190,3,IF(AND(S1170&gt;175,S1170&lt;=190),2,IF(AND(S1170&gt;160,S1170&lt;=175),1,IF(S1170&lt;120,-3,IF(AND(S1170&lt;140,S1170&gt;=120),-2,IF(AND(S1170&lt;150,S1170&gt;=140),-1,0))))))</f>
        <v>1</v>
      </c>
      <c r="U1170">
        <f t="shared" si="1138"/>
        <v>21</v>
      </c>
      <c r="V1170">
        <f t="shared" si="1130"/>
        <v>71.2</v>
      </c>
      <c r="W1170" s="13">
        <f t="shared" si="1131"/>
        <v>7.9000000000000008E-3</v>
      </c>
      <c r="X1170" s="13">
        <f t="shared" si="1132"/>
        <v>1.5100000000000002E-2</v>
      </c>
      <c r="Y1170">
        <f t="shared" si="1124"/>
        <v>75.900000000000006</v>
      </c>
      <c r="Z1170" s="13">
        <f t="shared" si="1119"/>
        <v>5.4000000000000003E-3</v>
      </c>
      <c r="AA1170" s="13">
        <f t="shared" si="1115"/>
        <v>-3.599999999999999E-3</v>
      </c>
      <c r="AB1170" s="6">
        <f t="shared" si="1125"/>
        <v>85.660000000000011</v>
      </c>
      <c r="AC1170">
        <f t="shared" si="1117"/>
        <v>43</v>
      </c>
      <c r="AD1170" s="11">
        <f t="shared" si="1118"/>
        <v>1</v>
      </c>
      <c r="AE1170">
        <f t="shared" si="1116"/>
        <v>24</v>
      </c>
      <c r="AF1170">
        <f>IF(AND(AE1170&lt;15,OR(AC1170&gt;=30,AA1170&gt;0.15,X1170&gt;=0.15)),2,VLOOKUP(AE1170,Table!P:Q,2,FALSE))</f>
        <v>3</v>
      </c>
      <c r="AG1170" s="22">
        <f>IF((AB1170*0.98)-(D1170*0.8)+((AF1170-3)*3)+VLOOKUP(AM1170,Table!$A$11:$B$13,2,FALSE)&lt;0,0,(AB1170*0.98)-(D1170*0.8)+((AF1170-3)*3)+VLOOKUP(AM1170,Table!$A$11:$B$13,2,FALSE))</f>
        <v>78.306800800000005</v>
      </c>
      <c r="AH1170" s="22">
        <f t="shared" ref="AH1170:AH1233" si="1147">IF(ROUND(AVERAGE(AG1170:AG1172),0)&lt;0,0,IF(ROUND(AVERAGE(AG1170:AG1172),0)&gt;100,100,ROUND(AVERAGE(AG1170:AG1172),0)))</f>
        <v>75</v>
      </c>
      <c r="AI1170" s="18">
        <f t="shared" si="1140"/>
        <v>4.93</v>
      </c>
      <c r="AJ1170" s="18">
        <f t="shared" si="1141"/>
        <v>5.19</v>
      </c>
      <c r="AK1170" t="str">
        <f t="shared" si="1126"/>
        <v/>
      </c>
      <c r="AL1170">
        <f t="shared" si="1137"/>
        <v>24</v>
      </c>
      <c r="AM1170" s="11" t="str">
        <f t="shared" si="1127"/>
        <v>Stocks</v>
      </c>
      <c r="AN1170" t="str">
        <f t="shared" si="1133"/>
        <v>Buy</v>
      </c>
      <c r="AO1170" s="13">
        <f t="shared" si="1134"/>
        <v>1.6E-2</v>
      </c>
      <c r="AP1170" s="13">
        <f t="shared" si="1135"/>
        <v>1E-3</v>
      </c>
      <c r="AQ1170" s="13">
        <f t="shared" si="1136"/>
        <v>1.23E-2</v>
      </c>
      <c r="AR1170" s="13">
        <f t="shared" si="1128"/>
        <v>1.6E-2</v>
      </c>
      <c r="AS1170" s="6">
        <f t="shared" si="1120"/>
        <v>160.68062490586283</v>
      </c>
      <c r="AT1170" s="6">
        <f t="shared" si="1121"/>
        <v>117.8957703529011</v>
      </c>
      <c r="AU1170" s="6">
        <f t="shared" si="1122"/>
        <v>158.99656425294111</v>
      </c>
      <c r="AV1170" s="6">
        <f t="shared" si="1123"/>
        <v>160.68062490586283</v>
      </c>
      <c r="AW1170" s="58">
        <f t="shared" si="1129"/>
        <v>1996</v>
      </c>
      <c r="AX1170" s="58">
        <f>COUNTIF(AW$3:AW1170,AW1170)</f>
        <v>40</v>
      </c>
    </row>
    <row r="1171" spans="1:50" x14ac:dyDescent="0.25">
      <c r="A1171" s="5">
        <v>35148</v>
      </c>
      <c r="B1171">
        <v>650.62</v>
      </c>
      <c r="C1171">
        <v>5</v>
      </c>
      <c r="D1171" s="6">
        <v>16.540001</v>
      </c>
      <c r="E1171" s="18">
        <f t="shared" si="1142"/>
        <v>17.989999999999998</v>
      </c>
      <c r="F1171">
        <f t="shared" si="1143"/>
        <v>0</v>
      </c>
      <c r="G1171" s="18">
        <f>ROUND(INDEX(Valuation!U:U,MATCH(A1171,Valuation!A:A,0)),2)</f>
        <v>149.26</v>
      </c>
      <c r="H1171">
        <f t="shared" si="1114"/>
        <v>1</v>
      </c>
      <c r="I1171" s="18">
        <f>INDEX(WeeklyIndicators!Y:Y,MATCH(A1171,WeeklyIndicators!A:A,0))</f>
        <v>125.29</v>
      </c>
      <c r="J1171">
        <f t="shared" si="1139"/>
        <v>0</v>
      </c>
      <c r="K1171">
        <f>ROUND(INDEX(Economic!AF:AF,MATCH(EOMONTH($A1171,-1),Economic!A:A,0)),2)</f>
        <v>111.31</v>
      </c>
      <c r="L1171" s="11">
        <f t="shared" ref="L1171:L1234" si="1148">IF(K1171&gt;138,3,IF(AND(K1171&gt;125,K1171&lt;=138),2,IF(AND(K1171&gt;111,K1171&lt;=125),1,IF(K1171&lt;50,-3,IF(AND(K1171&lt;80,K1171&gt;=50),-2,IF(AND(K1171&lt;100,K1171&gt;=80),-1,0))))))</f>
        <v>1</v>
      </c>
      <c r="M1171">
        <f>ROUND(INDEX(Manufacturing!P:P,MATCH(EOMONTH($A1171,-1),Manufacturing!A:A,0)),2)</f>
        <v>82.38</v>
      </c>
      <c r="N1171">
        <f t="shared" si="1144"/>
        <v>-1</v>
      </c>
      <c r="O1171">
        <f>ROUND(INDEX(Housing!AC:AC,MATCH(EOMONTH($A1171,-1),Housing!B:B,0)),2)</f>
        <v>107.42</v>
      </c>
      <c r="P1171">
        <f t="shared" si="1145"/>
        <v>0</v>
      </c>
      <c r="Q1171">
        <f>ROUND(INDEX(Spending!AJ:AJ,MATCH(EOMONTH($A1171,-1),Spending!B:B,0)),2)</f>
        <v>48.97</v>
      </c>
      <c r="R1171">
        <f t="shared" ref="R1171:R1234" si="1149">IF(Q1171&gt;60,2,IF(AND(Q1171&gt;50,Q1171&lt;=60),1,IF(Q1171&lt;30,-2,IF(AND(Q1171&lt;40,Q1171&gt;=30),-1,0))))</f>
        <v>0</v>
      </c>
      <c r="S1171">
        <f>ROUND(INDEX(Employment!V:V,MATCH(EOMONTH($A1171,-1),Employment!A:A,0)),2)</f>
        <v>163.47999999999999</v>
      </c>
      <c r="T1171" s="11">
        <f t="shared" si="1146"/>
        <v>1</v>
      </c>
      <c r="U1171">
        <f t="shared" si="1138"/>
        <v>22</v>
      </c>
      <c r="V1171">
        <f t="shared" si="1130"/>
        <v>71.22</v>
      </c>
      <c r="W1171" s="13">
        <f t="shared" si="1131"/>
        <v>1.0500000000000001E-2</v>
      </c>
      <c r="X1171" s="13">
        <f t="shared" si="1132"/>
        <v>-6.0999999999999987E-3</v>
      </c>
      <c r="Y1171">
        <f t="shared" si="1124"/>
        <v>75.900000000000006</v>
      </c>
      <c r="Z1171" s="13">
        <f t="shared" si="1119"/>
        <v>6.3E-3</v>
      </c>
      <c r="AA1171" s="13">
        <f t="shared" si="1115"/>
        <v>-3.0300000000000001E-2</v>
      </c>
      <c r="AB1171" s="6">
        <f t="shared" si="1125"/>
        <v>83.606000000000009</v>
      </c>
      <c r="AC1171">
        <f t="shared" si="1117"/>
        <v>42</v>
      </c>
      <c r="AD1171" s="11">
        <f t="shared" si="1118"/>
        <v>1</v>
      </c>
      <c r="AE1171">
        <f t="shared" si="1116"/>
        <v>25</v>
      </c>
      <c r="AF1171">
        <f>IF(AND(AE1171&lt;15,OR(AC1171&gt;=30,AA1171&gt;0.15,X1171&gt;=0.15)),2,VLOOKUP(AE1171,Table!P:Q,2,FALSE))</f>
        <v>3</v>
      </c>
      <c r="AG1171" s="22">
        <f>IF((AB1171*0.98)-(D1171*0.8)+((AF1171-3)*3)+VLOOKUP(AM1171,Table!$A$11:$B$13,2,FALSE)&lt;0,0,(AB1171*0.98)-(D1171*0.8)+((AF1171-3)*3)+VLOOKUP(AM1171,Table!$A$11:$B$13,2,FALSE))</f>
        <v>76.701879200000008</v>
      </c>
      <c r="AH1171" s="22">
        <f t="shared" si="1147"/>
        <v>73</v>
      </c>
      <c r="AI1171" s="18">
        <f t="shared" si="1140"/>
        <v>4.92</v>
      </c>
      <c r="AJ1171" s="18">
        <f t="shared" si="1141"/>
        <v>5.2</v>
      </c>
      <c r="AK1171" t="str">
        <f t="shared" si="1126"/>
        <v/>
      </c>
      <c r="AL1171">
        <f t="shared" si="1137"/>
        <v>24</v>
      </c>
      <c r="AM1171" s="11" t="str">
        <f t="shared" si="1127"/>
        <v>Stocks</v>
      </c>
      <c r="AN1171" t="str">
        <f t="shared" si="1133"/>
        <v>Buy</v>
      </c>
      <c r="AO1171" s="13">
        <f t="shared" si="1134"/>
        <v>-7.9000000000000008E-3</v>
      </c>
      <c r="AP1171" s="13">
        <f t="shared" si="1135"/>
        <v>1E-3</v>
      </c>
      <c r="AQ1171" s="13">
        <f t="shared" si="1136"/>
        <v>-5.4999999999999997E-3</v>
      </c>
      <c r="AR1171" s="13">
        <f t="shared" si="1128"/>
        <v>-7.9000000000000008E-3</v>
      </c>
      <c r="AS1171" s="6">
        <f t="shared" si="1120"/>
        <v>161.96010977307009</v>
      </c>
      <c r="AT1171" s="6">
        <f t="shared" si="1121"/>
        <v>117.77799236054057</v>
      </c>
      <c r="AU1171" s="6">
        <f t="shared" si="1122"/>
        <v>159.87588160175073</v>
      </c>
      <c r="AV1171" s="6">
        <f t="shared" si="1123"/>
        <v>161.96010977307009</v>
      </c>
      <c r="AW1171" s="58">
        <f t="shared" si="1129"/>
        <v>1996</v>
      </c>
      <c r="AX1171" s="58">
        <f>COUNTIF(AW$3:AW1171,AW1171)</f>
        <v>41</v>
      </c>
    </row>
    <row r="1172" spans="1:50" x14ac:dyDescent="0.25">
      <c r="A1172" s="5">
        <v>35141</v>
      </c>
      <c r="B1172">
        <v>641.42999999999995</v>
      </c>
      <c r="C1172">
        <v>4.97</v>
      </c>
      <c r="D1172" s="6">
        <v>20.700001</v>
      </c>
      <c r="E1172" s="18">
        <f t="shared" si="1142"/>
        <v>17.399999999999999</v>
      </c>
      <c r="F1172">
        <f t="shared" si="1143"/>
        <v>0</v>
      </c>
      <c r="G1172" s="18">
        <f>ROUND(INDEX(Valuation!U:U,MATCH(A1172,Valuation!A:A,0)),2)</f>
        <v>148.1</v>
      </c>
      <c r="H1172">
        <f t="shared" si="1114"/>
        <v>1</v>
      </c>
      <c r="I1172" s="18">
        <f>INDEX(WeeklyIndicators!Y:Y,MATCH(A1172,WeeklyIndicators!A:A,0))</f>
        <v>118.78</v>
      </c>
      <c r="J1172">
        <f t="shared" si="1139"/>
        <v>-1</v>
      </c>
      <c r="K1172">
        <f>ROUND(INDEX(Economic!AF:AF,MATCH(EOMONTH($A1172,-1),Economic!A:A,0)),2)</f>
        <v>111.31</v>
      </c>
      <c r="L1172" s="11">
        <f t="shared" si="1148"/>
        <v>1</v>
      </c>
      <c r="M1172">
        <f>ROUND(INDEX(Manufacturing!P:P,MATCH(EOMONTH($A1172,-1),Manufacturing!A:A,0)),2)</f>
        <v>82.38</v>
      </c>
      <c r="N1172">
        <f t="shared" si="1144"/>
        <v>-1</v>
      </c>
      <c r="O1172">
        <f>ROUND(INDEX(Housing!AC:AC,MATCH(EOMONTH($A1172,-1),Housing!B:B,0)),2)</f>
        <v>107.42</v>
      </c>
      <c r="P1172">
        <f t="shared" si="1145"/>
        <v>0</v>
      </c>
      <c r="Q1172">
        <f>ROUND(INDEX(Spending!AJ:AJ,MATCH(EOMONTH($A1172,-1),Spending!B:B,0)),2)</f>
        <v>48.97</v>
      </c>
      <c r="R1172">
        <f t="shared" si="1149"/>
        <v>0</v>
      </c>
      <c r="S1172">
        <f>ROUND(INDEX(Employment!V:V,MATCH(EOMONTH($A1172,-1),Employment!A:A,0)),2)</f>
        <v>163.47999999999999</v>
      </c>
      <c r="T1172" s="11">
        <f t="shared" si="1146"/>
        <v>1</v>
      </c>
      <c r="U1172">
        <f t="shared" si="1138"/>
        <v>21</v>
      </c>
      <c r="V1172">
        <f t="shared" si="1130"/>
        <v>70.55</v>
      </c>
      <c r="W1172" s="13">
        <f t="shared" si="1131"/>
        <v>3.2000000000000002E-3</v>
      </c>
      <c r="X1172" s="13">
        <f t="shared" si="1132"/>
        <v>-2.7299999999999998E-2</v>
      </c>
      <c r="Y1172">
        <f t="shared" si="1124"/>
        <v>75.3</v>
      </c>
      <c r="Z1172" s="13">
        <f t="shared" si="1119"/>
        <v>-2.0999999999999999E-3</v>
      </c>
      <c r="AA1172" s="13">
        <f t="shared" si="1115"/>
        <v>-5.6000000000000001E-2</v>
      </c>
      <c r="AB1172" s="6">
        <f t="shared" si="1125"/>
        <v>80.94</v>
      </c>
      <c r="AC1172">
        <f t="shared" si="1117"/>
        <v>40</v>
      </c>
      <c r="AD1172" s="11">
        <f t="shared" si="1118"/>
        <v>0</v>
      </c>
      <c r="AE1172">
        <f t="shared" si="1116"/>
        <v>23</v>
      </c>
      <c r="AF1172">
        <f>IF(AND(AE1172&lt;15,OR(AC1172&gt;=30,AA1172&gt;0.15,X1172&gt;=0.15)),2,VLOOKUP(AE1172,Table!P:Q,2,FALSE))</f>
        <v>3</v>
      </c>
      <c r="AG1172" s="22">
        <f>IF((AB1172*0.98)-(D1172*0.8)+((AF1172-3)*3)+VLOOKUP(AM1172,Table!$A$11:$B$13,2,FALSE)&lt;0,0,(AB1172*0.98)-(D1172*0.8)+((AF1172-3)*3)+VLOOKUP(AM1172,Table!$A$11:$B$13,2,FALSE))</f>
        <v>70.761199199999993</v>
      </c>
      <c r="AH1172" s="22">
        <f t="shared" si="1147"/>
        <v>72</v>
      </c>
      <c r="AI1172" s="18">
        <f t="shared" si="1140"/>
        <v>4.92</v>
      </c>
      <c r="AJ1172" s="18">
        <f t="shared" si="1141"/>
        <v>5.21</v>
      </c>
      <c r="AK1172" t="str">
        <f t="shared" si="1126"/>
        <v/>
      </c>
      <c r="AL1172">
        <f t="shared" si="1137"/>
        <v>23.75</v>
      </c>
      <c r="AM1172" s="11" t="str">
        <f t="shared" si="1127"/>
        <v>Stocks</v>
      </c>
      <c r="AN1172" t="str">
        <f t="shared" si="1133"/>
        <v>Buy</v>
      </c>
      <c r="AO1172" s="13">
        <f t="shared" si="1134"/>
        <v>1.43E-2</v>
      </c>
      <c r="AP1172" s="13">
        <f t="shared" si="1135"/>
        <v>1E-3</v>
      </c>
      <c r="AQ1172" s="13">
        <f t="shared" si="1136"/>
        <v>1.06E-2</v>
      </c>
      <c r="AR1172" s="13">
        <f t="shared" si="1128"/>
        <v>1.43E-2</v>
      </c>
      <c r="AS1172" s="6">
        <f t="shared" si="1120"/>
        <v>159.67673249834377</v>
      </c>
      <c r="AT1172" s="6">
        <f t="shared" si="1121"/>
        <v>117.66033202851207</v>
      </c>
      <c r="AU1172" s="6">
        <f t="shared" si="1122"/>
        <v>158.19897249332155</v>
      </c>
      <c r="AV1172" s="6">
        <f t="shared" si="1123"/>
        <v>159.67673249834377</v>
      </c>
      <c r="AW1172" s="58">
        <f t="shared" si="1129"/>
        <v>1996</v>
      </c>
      <c r="AX1172" s="58">
        <f>COUNTIF(AW$3:AW1172,AW1172)</f>
        <v>42</v>
      </c>
    </row>
    <row r="1173" spans="1:50" x14ac:dyDescent="0.25">
      <c r="A1173" s="5">
        <v>35134</v>
      </c>
      <c r="B1173">
        <v>633.5</v>
      </c>
      <c r="C1173">
        <v>4.8899999999999997</v>
      </c>
      <c r="D1173" s="6">
        <v>16.719999000000001</v>
      </c>
      <c r="E1173" s="18">
        <f t="shared" si="1142"/>
        <v>15.62</v>
      </c>
      <c r="F1173">
        <f t="shared" si="1143"/>
        <v>1</v>
      </c>
      <c r="G1173" s="18">
        <f>ROUND(INDEX(Valuation!U:U,MATCH(A1173,Valuation!A:A,0)),2)</f>
        <v>146.25</v>
      </c>
      <c r="H1173">
        <f t="shared" si="1114"/>
        <v>1</v>
      </c>
      <c r="I1173" s="18">
        <f>INDEX(WeeklyIndicators!Y:Y,MATCH(A1173,WeeklyIndicators!A:A,0))</f>
        <v>108.93</v>
      </c>
      <c r="J1173">
        <f t="shared" si="1139"/>
        <v>-1</v>
      </c>
      <c r="K1173">
        <f>ROUND(INDEX(Economic!AF:AF,MATCH(EOMONTH($A1173,-1),Economic!A:A,0)),2)</f>
        <v>111.31</v>
      </c>
      <c r="L1173" s="11">
        <f t="shared" si="1148"/>
        <v>1</v>
      </c>
      <c r="M1173">
        <f>ROUND(INDEX(Manufacturing!P:P,MATCH(EOMONTH($A1173,-1),Manufacturing!A:A,0)),2)</f>
        <v>82.38</v>
      </c>
      <c r="N1173">
        <f t="shared" si="1144"/>
        <v>-1</v>
      </c>
      <c r="O1173">
        <f>ROUND(INDEX(Housing!AC:AC,MATCH(EOMONTH($A1173,-1),Housing!B:B,0)),2)</f>
        <v>107.42</v>
      </c>
      <c r="P1173">
        <f t="shared" si="1145"/>
        <v>0</v>
      </c>
      <c r="Q1173">
        <f>ROUND(INDEX(Spending!AJ:AJ,MATCH(EOMONTH($A1173,-1),Spending!B:B,0)),2)</f>
        <v>48.97</v>
      </c>
      <c r="R1173">
        <f t="shared" si="1149"/>
        <v>0</v>
      </c>
      <c r="S1173">
        <f>ROUND(INDEX(Employment!V:V,MATCH(EOMONTH($A1173,-1),Employment!A:A,0)),2)</f>
        <v>163.47999999999999</v>
      </c>
      <c r="T1173" s="11">
        <f t="shared" si="1146"/>
        <v>1</v>
      </c>
      <c r="U1173">
        <f t="shared" si="1138"/>
        <v>22</v>
      </c>
      <c r="V1173">
        <f t="shared" si="1130"/>
        <v>69.53</v>
      </c>
      <c r="W1173" s="13">
        <f t="shared" si="1131"/>
        <v>-6.4999999999999997E-3</v>
      </c>
      <c r="X1173" s="13">
        <f t="shared" si="1132"/>
        <v>-4.0500000000000001E-2</v>
      </c>
      <c r="Y1173">
        <f t="shared" si="1124"/>
        <v>74.69</v>
      </c>
      <c r="Z1173" s="13">
        <f t="shared" si="1119"/>
        <v>-1.32E-2</v>
      </c>
      <c r="AA1173" s="13">
        <f t="shared" si="1115"/>
        <v>-7.0900000000000005E-2</v>
      </c>
      <c r="AB1173" s="6">
        <f t="shared" si="1125"/>
        <v>78.974999999999994</v>
      </c>
      <c r="AC1173">
        <f t="shared" si="1117"/>
        <v>39</v>
      </c>
      <c r="AD1173" s="11">
        <f t="shared" si="1118"/>
        <v>0</v>
      </c>
      <c r="AE1173">
        <f t="shared" si="1116"/>
        <v>24</v>
      </c>
      <c r="AF1173">
        <f>IF(AND(AE1173&lt;15,OR(AC1173&gt;=30,AA1173&gt;0.15,X1173&gt;=0.15)),2,VLOOKUP(AE1173,Table!P:Q,2,FALSE))</f>
        <v>3</v>
      </c>
      <c r="AG1173" s="22">
        <f>IF((AB1173*0.98)-(D1173*0.8)+((AF1173-3)*3)+VLOOKUP(AM1173,Table!$A$11:$B$13,2,FALSE)&lt;0,0,(AB1173*0.98)-(D1173*0.8)+((AF1173-3)*3)+VLOOKUP(AM1173,Table!$A$11:$B$13,2,FALSE))</f>
        <v>72.019500800000003</v>
      </c>
      <c r="AH1173" s="22">
        <f t="shared" si="1147"/>
        <v>74</v>
      </c>
      <c r="AI1173" s="18">
        <f t="shared" si="1140"/>
        <v>4.9400000000000004</v>
      </c>
      <c r="AJ1173" s="18">
        <f t="shared" si="1141"/>
        <v>5.22</v>
      </c>
      <c r="AK1173" t="str">
        <f t="shared" si="1126"/>
        <v>Falling Rates</v>
      </c>
      <c r="AL1173">
        <f t="shared" si="1137"/>
        <v>24.5</v>
      </c>
      <c r="AM1173" s="11" t="str">
        <f t="shared" si="1127"/>
        <v>Stocks</v>
      </c>
      <c r="AN1173" t="str">
        <f t="shared" si="1133"/>
        <v>Buy</v>
      </c>
      <c r="AO1173" s="13">
        <f t="shared" si="1134"/>
        <v>1.2500000000000001E-2</v>
      </c>
      <c r="AP1173" s="13">
        <f t="shared" si="1135"/>
        <v>8.9999999999999998E-4</v>
      </c>
      <c r="AQ1173" s="13">
        <f t="shared" si="1136"/>
        <v>9.4999999999999998E-3</v>
      </c>
      <c r="AR1173" s="13">
        <f t="shared" si="1128"/>
        <v>1.2500000000000001E-2</v>
      </c>
      <c r="AS1173" s="6">
        <f t="shared" si="1120"/>
        <v>157.70541481317903</v>
      </c>
      <c r="AT1173" s="6">
        <f t="shared" si="1121"/>
        <v>117.55453294885811</v>
      </c>
      <c r="AU1173" s="6">
        <f t="shared" si="1122"/>
        <v>156.71022535247303</v>
      </c>
      <c r="AV1173" s="6">
        <f t="shared" si="1123"/>
        <v>157.70541481317903</v>
      </c>
      <c r="AW1173" s="58">
        <f t="shared" si="1129"/>
        <v>1996</v>
      </c>
      <c r="AX1173" s="58">
        <f>COUNTIF(AW$3:AW1173,AW1173)</f>
        <v>43</v>
      </c>
    </row>
    <row r="1174" spans="1:50" x14ac:dyDescent="0.25">
      <c r="A1174" s="5">
        <v>35127</v>
      </c>
      <c r="B1174">
        <v>644.37</v>
      </c>
      <c r="C1174">
        <v>4.87</v>
      </c>
      <c r="D1174" s="6">
        <v>14.78</v>
      </c>
      <c r="E1174" s="18">
        <f t="shared" si="1142"/>
        <v>14.93</v>
      </c>
      <c r="F1174">
        <f t="shared" si="1143"/>
        <v>1</v>
      </c>
      <c r="G1174" s="18">
        <f>ROUND(INDEX(Valuation!U:U,MATCH(A1174,Valuation!A:A,0)),2)</f>
        <v>146.74</v>
      </c>
      <c r="H1174">
        <f t="shared" si="1114"/>
        <v>1</v>
      </c>
      <c r="I1174" s="18">
        <f>INDEX(WeeklyIndicators!Y:Y,MATCH(A1174,WeeklyIndicators!A:A,0))</f>
        <v>104.16</v>
      </c>
      <c r="J1174">
        <f t="shared" si="1139"/>
        <v>-1</v>
      </c>
      <c r="K1174">
        <f>ROUND(INDEX(Economic!AF:AF,MATCH(EOMONTH($A1174,-1),Economic!A:A,0)),2)</f>
        <v>111.31</v>
      </c>
      <c r="L1174" s="11">
        <f t="shared" si="1148"/>
        <v>1</v>
      </c>
      <c r="M1174">
        <f>ROUND(INDEX(Manufacturing!P:P,MATCH(EOMONTH($A1174,-1),Manufacturing!A:A,0)),2)</f>
        <v>82.38</v>
      </c>
      <c r="N1174">
        <f t="shared" si="1144"/>
        <v>-1</v>
      </c>
      <c r="O1174">
        <f>ROUND(INDEX(Housing!AC:AC,MATCH(EOMONTH($A1174,-1),Housing!B:B,0)),2)</f>
        <v>107.42</v>
      </c>
      <c r="P1174">
        <f t="shared" si="1145"/>
        <v>0</v>
      </c>
      <c r="Q1174">
        <f>ROUND(INDEX(Spending!AJ:AJ,MATCH(EOMONTH($A1174,-1),Spending!B:B,0)),2)</f>
        <v>48.97</v>
      </c>
      <c r="R1174">
        <f t="shared" si="1149"/>
        <v>0</v>
      </c>
      <c r="S1174">
        <f>ROUND(INDEX(Employment!V:V,MATCH(EOMONTH($A1174,-1),Employment!A:A,0)),2)</f>
        <v>163.47999999999999</v>
      </c>
      <c r="T1174" s="11">
        <f t="shared" si="1146"/>
        <v>1</v>
      </c>
      <c r="U1174">
        <f t="shared" si="1138"/>
        <v>22</v>
      </c>
      <c r="V1174">
        <f t="shared" si="1130"/>
        <v>69.03</v>
      </c>
      <c r="W1174" s="13">
        <f t="shared" si="1131"/>
        <v>-1.3299999999999999E-2</v>
      </c>
      <c r="X1174" s="13">
        <f t="shared" si="1132"/>
        <v>-3.85E-2</v>
      </c>
      <c r="Y1174">
        <f t="shared" si="1124"/>
        <v>74.489999999999995</v>
      </c>
      <c r="Z1174" s="13">
        <f t="shared" si="1119"/>
        <v>-2.1299999999999999E-2</v>
      </c>
      <c r="AA1174" s="13">
        <f t="shared" si="1115"/>
        <v>-6.8699999999999997E-2</v>
      </c>
      <c r="AB1174" s="6">
        <f t="shared" si="1125"/>
        <v>78.974000000000004</v>
      </c>
      <c r="AC1174">
        <f t="shared" si="1117"/>
        <v>39</v>
      </c>
      <c r="AD1174" s="11">
        <f t="shared" si="1118"/>
        <v>0</v>
      </c>
      <c r="AE1174">
        <f t="shared" si="1116"/>
        <v>24</v>
      </c>
      <c r="AF1174">
        <f>IF(AND(AE1174&lt;15,OR(AC1174&gt;=30,AA1174&gt;0.15,X1174&gt;=0.15)),2,VLOOKUP(AE1174,Table!P:Q,2,FALSE))</f>
        <v>3</v>
      </c>
      <c r="AG1174" s="22">
        <f>IF((AB1174*0.98)-(D1174*0.8)+((AF1174-3)*3)+VLOOKUP(AM1174,Table!$A$11:$B$13,2,FALSE)&lt;0,0,(AB1174*0.98)-(D1174*0.8)+((AF1174-3)*3)+VLOOKUP(AM1174,Table!$A$11:$B$13,2,FALSE))</f>
        <v>73.570520000000002</v>
      </c>
      <c r="AH1174" s="22">
        <f t="shared" si="1147"/>
        <v>77</v>
      </c>
      <c r="AI1174" s="18">
        <f t="shared" si="1140"/>
        <v>4.9800000000000004</v>
      </c>
      <c r="AJ1174" s="18">
        <f t="shared" si="1141"/>
        <v>5.24</v>
      </c>
      <c r="AK1174" t="str">
        <f t="shared" si="1126"/>
        <v>Falling Rates</v>
      </c>
      <c r="AL1174">
        <f t="shared" si="1137"/>
        <v>25.25</v>
      </c>
      <c r="AM1174" s="11" t="str">
        <f t="shared" si="1127"/>
        <v>Stocks</v>
      </c>
      <c r="AN1174" t="str">
        <f t="shared" si="1133"/>
        <v>Buy</v>
      </c>
      <c r="AO1174" s="13">
        <f t="shared" si="1134"/>
        <v>-1.6899999999999998E-2</v>
      </c>
      <c r="AP1174" s="13">
        <f t="shared" si="1135"/>
        <v>8.9999999999999998E-4</v>
      </c>
      <c r="AQ1174" s="13">
        <f t="shared" si="1136"/>
        <v>-1.2800000000000001E-2</v>
      </c>
      <c r="AR1174" s="13">
        <f t="shared" si="1128"/>
        <v>-1.6899999999999998E-2</v>
      </c>
      <c r="AS1174" s="6">
        <f t="shared" si="1120"/>
        <v>160.41645286662501</v>
      </c>
      <c r="AT1174" s="6">
        <f t="shared" si="1121"/>
        <v>117.44882900275564</v>
      </c>
      <c r="AU1174" s="6">
        <f t="shared" si="1122"/>
        <v>158.74212454667042</v>
      </c>
      <c r="AV1174" s="6">
        <f t="shared" si="1123"/>
        <v>160.41645286662501</v>
      </c>
      <c r="AW1174" s="58">
        <f t="shared" si="1129"/>
        <v>1996</v>
      </c>
      <c r="AX1174" s="58">
        <f>COUNTIF(AW$3:AW1174,AW1174)</f>
        <v>44</v>
      </c>
    </row>
    <row r="1175" spans="1:50" x14ac:dyDescent="0.25">
      <c r="A1175" s="5">
        <v>35120</v>
      </c>
      <c r="B1175">
        <v>659.08</v>
      </c>
      <c r="C1175">
        <v>4.82</v>
      </c>
      <c r="D1175" s="6">
        <v>15.37</v>
      </c>
      <c r="E1175" s="18">
        <f t="shared" si="1142"/>
        <v>14.41</v>
      </c>
      <c r="F1175">
        <f t="shared" si="1143"/>
        <v>1</v>
      </c>
      <c r="G1175" s="18">
        <f>ROUND(INDEX(Valuation!U:U,MATCH(A1175,Valuation!A:A,0)),2)</f>
        <v>148.91</v>
      </c>
      <c r="H1175">
        <f t="shared" si="1114"/>
        <v>1</v>
      </c>
      <c r="I1175" s="18">
        <f>INDEX(WeeklyIndicators!Y:Y,MATCH(A1175,WeeklyIndicators!A:A,0))</f>
        <v>108.26</v>
      </c>
      <c r="J1175">
        <f t="shared" si="1139"/>
        <v>-1</v>
      </c>
      <c r="K1175">
        <f>ROUND(INDEX(Economic!AF:AF,MATCH(EOMONTH($A1175,-1),Economic!A:A,0)),2)</f>
        <v>114.73</v>
      </c>
      <c r="L1175" s="11">
        <f t="shared" si="1148"/>
        <v>1</v>
      </c>
      <c r="M1175">
        <f>ROUND(INDEX(Manufacturing!P:P,MATCH(EOMONTH($A1175,-1),Manufacturing!A:A,0)),2)</f>
        <v>86.73</v>
      </c>
      <c r="N1175">
        <f t="shared" si="1144"/>
        <v>0</v>
      </c>
      <c r="O1175">
        <f>ROUND(INDEX(Housing!AC:AC,MATCH(EOMONTH($A1175,-1),Housing!B:B,0)),2)</f>
        <v>105.21</v>
      </c>
      <c r="P1175">
        <f t="shared" si="1145"/>
        <v>0</v>
      </c>
      <c r="Q1175">
        <f>ROUND(INDEX(Spending!AJ:AJ,MATCH(EOMONTH($A1175,-1),Spending!B:B,0)),2)</f>
        <v>49.46</v>
      </c>
      <c r="R1175">
        <f t="shared" si="1149"/>
        <v>0</v>
      </c>
      <c r="S1175">
        <f>ROUND(INDEX(Employment!V:V,MATCH(EOMONTH($A1175,-1),Employment!A:A,0)),2)</f>
        <v>156.9</v>
      </c>
      <c r="T1175" s="11">
        <f t="shared" si="1146"/>
        <v>0</v>
      </c>
      <c r="U1175">
        <f t="shared" si="1138"/>
        <v>22</v>
      </c>
      <c r="V1175">
        <f t="shared" si="1130"/>
        <v>69.88</v>
      </c>
      <c r="W1175" s="13">
        <f t="shared" si="1131"/>
        <v>-1.0699999999999999E-2</v>
      </c>
      <c r="X1175" s="13">
        <f t="shared" si="1132"/>
        <v>-2.7E-2</v>
      </c>
      <c r="Y1175">
        <f t="shared" si="1124"/>
        <v>75.77</v>
      </c>
      <c r="Z1175" s="13">
        <f t="shared" si="1119"/>
        <v>-1.9400000000000001E-2</v>
      </c>
      <c r="AA1175" s="13">
        <f t="shared" si="1115"/>
        <v>-5.5999999999999994E-2</v>
      </c>
      <c r="AB1175" s="6">
        <f t="shared" si="1125"/>
        <v>81.471000000000004</v>
      </c>
      <c r="AC1175">
        <f t="shared" si="1117"/>
        <v>41</v>
      </c>
      <c r="AD1175" s="11">
        <f t="shared" si="1118"/>
        <v>0</v>
      </c>
      <c r="AE1175">
        <f t="shared" si="1116"/>
        <v>24</v>
      </c>
      <c r="AF1175">
        <f>IF(AND(AE1175&lt;15,OR(AC1175&gt;=30,AA1175&gt;0.15,X1175&gt;=0.15)),2,VLOOKUP(AE1175,Table!P:Q,2,FALSE))</f>
        <v>3</v>
      </c>
      <c r="AG1175" s="22">
        <f>IF((AB1175*0.98)-(D1175*0.8)+((AF1175-3)*3)+VLOOKUP(AM1175,Table!$A$11:$B$13,2,FALSE)&lt;0,0,(AB1175*0.98)-(D1175*0.8)+((AF1175-3)*3)+VLOOKUP(AM1175,Table!$A$11:$B$13,2,FALSE))</f>
        <v>75.545580000000001</v>
      </c>
      <c r="AH1175" s="22">
        <f t="shared" si="1147"/>
        <v>82</v>
      </c>
      <c r="AI1175" s="18">
        <f t="shared" si="1140"/>
        <v>5.01</v>
      </c>
      <c r="AJ1175" s="18">
        <f t="shared" si="1141"/>
        <v>5.25</v>
      </c>
      <c r="AK1175" t="str">
        <f t="shared" si="1126"/>
        <v>Falling Rates</v>
      </c>
      <c r="AL1175">
        <f t="shared" si="1137"/>
        <v>26.25</v>
      </c>
      <c r="AM1175" s="11" t="str">
        <f t="shared" si="1127"/>
        <v>Stocks</v>
      </c>
      <c r="AN1175" t="str">
        <f t="shared" si="1133"/>
        <v>Buy</v>
      </c>
      <c r="AO1175" s="13">
        <f t="shared" si="1134"/>
        <v>-2.23E-2</v>
      </c>
      <c r="AP1175" s="13">
        <f t="shared" si="1135"/>
        <v>8.9999999999999998E-4</v>
      </c>
      <c r="AQ1175" s="13">
        <f t="shared" si="1136"/>
        <v>-1.8100000000000002E-2</v>
      </c>
      <c r="AR1175" s="13">
        <f t="shared" si="1128"/>
        <v>-2.23E-2</v>
      </c>
      <c r="AS1175" s="6">
        <f t="shared" si="1120"/>
        <v>164.07533278779277</v>
      </c>
      <c r="AT1175" s="6">
        <f t="shared" si="1121"/>
        <v>117.34322010466146</v>
      </c>
      <c r="AU1175" s="6">
        <f t="shared" si="1122"/>
        <v>161.66832115966028</v>
      </c>
      <c r="AV1175" s="6">
        <f t="shared" si="1123"/>
        <v>164.07533278779277</v>
      </c>
      <c r="AW1175" s="58">
        <f t="shared" si="1129"/>
        <v>1996</v>
      </c>
      <c r="AX1175" s="58">
        <f>COUNTIF(AW$3:AW1175,AW1175)</f>
        <v>45</v>
      </c>
    </row>
    <row r="1176" spans="1:50" x14ac:dyDescent="0.25">
      <c r="A1176" s="5">
        <v>35113</v>
      </c>
      <c r="B1176">
        <v>647.98</v>
      </c>
      <c r="C1176">
        <v>4.79</v>
      </c>
      <c r="D1176" s="6">
        <v>14.63</v>
      </c>
      <c r="E1176" s="18">
        <f t="shared" si="1142"/>
        <v>13.29</v>
      </c>
      <c r="F1176">
        <f t="shared" si="1143"/>
        <v>2</v>
      </c>
      <c r="G1176" s="18">
        <f>ROUND(INDEX(Valuation!U:U,MATCH(A1176,Valuation!A:A,0)),2)</f>
        <v>153.61000000000001</v>
      </c>
      <c r="H1176">
        <f t="shared" si="1114"/>
        <v>1</v>
      </c>
      <c r="I1176" s="18">
        <f>INDEX(WeeklyIndicators!Y:Y,MATCH(A1176,WeeklyIndicators!A:A,0))</f>
        <v>118.05</v>
      </c>
      <c r="J1176">
        <f t="shared" si="1139"/>
        <v>-1</v>
      </c>
      <c r="K1176">
        <f>ROUND(INDEX(Economic!AF:AF,MATCH(EOMONTH($A1176,-1),Economic!A:A,0)),2)</f>
        <v>114.73</v>
      </c>
      <c r="L1176" s="11">
        <f t="shared" si="1148"/>
        <v>1</v>
      </c>
      <c r="M1176">
        <f>ROUND(INDEX(Manufacturing!P:P,MATCH(EOMONTH($A1176,-1),Manufacturing!A:A,0)),2)</f>
        <v>86.73</v>
      </c>
      <c r="N1176">
        <f t="shared" si="1144"/>
        <v>0</v>
      </c>
      <c r="O1176">
        <f>ROUND(INDEX(Housing!AC:AC,MATCH(EOMONTH($A1176,-1),Housing!B:B,0)),2)</f>
        <v>105.21</v>
      </c>
      <c r="P1176">
        <f t="shared" si="1145"/>
        <v>0</v>
      </c>
      <c r="Q1176">
        <f>ROUND(INDEX(Spending!AJ:AJ,MATCH(EOMONTH($A1176,-1),Spending!B:B,0)),2)</f>
        <v>49.46</v>
      </c>
      <c r="R1176">
        <f t="shared" si="1149"/>
        <v>0</v>
      </c>
      <c r="S1176">
        <f>ROUND(INDEX(Employment!V:V,MATCH(EOMONTH($A1176,-1),Employment!A:A,0)),2)</f>
        <v>156.9</v>
      </c>
      <c r="T1176" s="11">
        <f t="shared" si="1146"/>
        <v>0</v>
      </c>
      <c r="U1176">
        <f t="shared" si="1138"/>
        <v>23</v>
      </c>
      <c r="V1176">
        <f t="shared" si="1130"/>
        <v>70.900000000000006</v>
      </c>
      <c r="W1176" s="13">
        <f t="shared" si="1131"/>
        <v>-0.01</v>
      </c>
      <c r="X1176" s="13">
        <f t="shared" si="1132"/>
        <v>-1.3099999999999999E-2</v>
      </c>
      <c r="Y1176">
        <f t="shared" si="1124"/>
        <v>77.7</v>
      </c>
      <c r="Z1176" s="13">
        <f t="shared" si="1119"/>
        <v>-1.7000000000000001E-2</v>
      </c>
      <c r="AA1176" s="13">
        <f t="shared" si="1115"/>
        <v>-4.02E-2</v>
      </c>
      <c r="AB1176" s="6">
        <f t="shared" si="1125"/>
        <v>85.100999999999999</v>
      </c>
      <c r="AC1176">
        <f t="shared" si="1117"/>
        <v>43</v>
      </c>
      <c r="AD1176" s="11">
        <f t="shared" si="1118"/>
        <v>1</v>
      </c>
      <c r="AE1176">
        <f t="shared" si="1116"/>
        <v>26</v>
      </c>
      <c r="AF1176">
        <f>IF(AND(AE1176&lt;15,OR(AC1176&gt;=30,AA1176&gt;0.15,X1176&gt;=0.15)),2,VLOOKUP(AE1176,Table!P:Q,2,FALSE))</f>
        <v>4</v>
      </c>
      <c r="AG1176" s="22">
        <f>IF((AB1176*0.98)-(D1176*0.8)+((AF1176-3)*3)+VLOOKUP(AM1176,Table!$A$11:$B$13,2,FALSE)&lt;0,0,(AB1176*0.98)-(D1176*0.8)+((AF1176-3)*3)+VLOOKUP(AM1176,Table!$A$11:$B$13,2,FALSE))</f>
        <v>82.694979999999987</v>
      </c>
      <c r="AH1176" s="22">
        <f t="shared" si="1147"/>
        <v>86</v>
      </c>
      <c r="AI1176" s="18">
        <f t="shared" si="1140"/>
        <v>5.05</v>
      </c>
      <c r="AJ1176" s="18">
        <f t="shared" si="1141"/>
        <v>5.28</v>
      </c>
      <c r="AK1176" t="str">
        <f t="shared" si="1126"/>
        <v>Falling Rates</v>
      </c>
      <c r="AL1176">
        <f t="shared" si="1137"/>
        <v>27.75</v>
      </c>
      <c r="AM1176" s="11" t="str">
        <f t="shared" si="1127"/>
        <v>Stocks</v>
      </c>
      <c r="AN1176" t="str">
        <f t="shared" si="1133"/>
        <v>Buy</v>
      </c>
      <c r="AO1176" s="13">
        <f t="shared" si="1134"/>
        <v>1.7100000000000001E-2</v>
      </c>
      <c r="AP1176" s="13">
        <f t="shared" si="1135"/>
        <v>8.9999999999999998E-4</v>
      </c>
      <c r="AQ1176" s="13">
        <f t="shared" si="1136"/>
        <v>1.4800000000000001E-2</v>
      </c>
      <c r="AR1176" s="13">
        <f t="shared" si="1128"/>
        <v>1.7100000000000001E-2</v>
      </c>
      <c r="AS1176" s="6">
        <f t="shared" si="1120"/>
        <v>161.31681524706792</v>
      </c>
      <c r="AT1176" s="6">
        <f t="shared" si="1121"/>
        <v>117.23770616910927</v>
      </c>
      <c r="AU1176" s="6">
        <f t="shared" si="1122"/>
        <v>159.31052538397742</v>
      </c>
      <c r="AV1176" s="6">
        <f t="shared" si="1123"/>
        <v>161.31681524706792</v>
      </c>
      <c r="AW1176" s="58">
        <f t="shared" si="1129"/>
        <v>1996</v>
      </c>
      <c r="AX1176" s="58">
        <f>COUNTIF(AW$3:AW1176,AW1176)</f>
        <v>46</v>
      </c>
    </row>
    <row r="1177" spans="1:50" x14ac:dyDescent="0.25">
      <c r="A1177" s="5">
        <v>35106</v>
      </c>
      <c r="B1177">
        <v>656.37</v>
      </c>
      <c r="C1177">
        <v>4.8099999999999996</v>
      </c>
      <c r="D1177" s="6">
        <v>13.23</v>
      </c>
      <c r="E1177" s="18">
        <f t="shared" si="1142"/>
        <v>12.64</v>
      </c>
      <c r="F1177">
        <f t="shared" si="1143"/>
        <v>2</v>
      </c>
      <c r="G1177" s="18">
        <f>ROUND(INDEX(Valuation!U:U,MATCH(A1177,Valuation!A:A,0)),2)</f>
        <v>158.62</v>
      </c>
      <c r="H1177">
        <f t="shared" si="1114"/>
        <v>1</v>
      </c>
      <c r="I1177" s="18">
        <f>INDEX(WeeklyIndicators!Y:Y,MATCH(A1177,WeeklyIndicators!A:A,0))</f>
        <v>127.27</v>
      </c>
      <c r="J1177">
        <f t="shared" si="1139"/>
        <v>0</v>
      </c>
      <c r="K1177">
        <f>ROUND(INDEX(Economic!AF:AF,MATCH(EOMONTH($A1177,-1),Economic!A:A,0)),2)</f>
        <v>114.73</v>
      </c>
      <c r="L1177" s="11">
        <f t="shared" si="1148"/>
        <v>1</v>
      </c>
      <c r="M1177">
        <f>ROUND(INDEX(Manufacturing!P:P,MATCH(EOMONTH($A1177,-1),Manufacturing!A:A,0)),2)</f>
        <v>86.73</v>
      </c>
      <c r="N1177">
        <f t="shared" si="1144"/>
        <v>0</v>
      </c>
      <c r="O1177">
        <f>ROUND(INDEX(Housing!AC:AC,MATCH(EOMONTH($A1177,-1),Housing!B:B,0)),2)</f>
        <v>105.21</v>
      </c>
      <c r="P1177">
        <f t="shared" si="1145"/>
        <v>0</v>
      </c>
      <c r="Q1177">
        <f>ROUND(INDEX(Spending!AJ:AJ,MATCH(EOMONTH($A1177,-1),Spending!B:B,0)),2)</f>
        <v>49.46</v>
      </c>
      <c r="R1177">
        <f t="shared" si="1149"/>
        <v>0</v>
      </c>
      <c r="S1177">
        <f>ROUND(INDEX(Employment!V:V,MATCH(EOMONTH($A1177,-1),Employment!A:A,0)),2)</f>
        <v>156.9</v>
      </c>
      <c r="T1177" s="11">
        <f t="shared" si="1146"/>
        <v>0</v>
      </c>
      <c r="U1177">
        <f t="shared" si="1138"/>
        <v>24</v>
      </c>
      <c r="V1177">
        <f t="shared" si="1130"/>
        <v>71.849999999999994</v>
      </c>
      <c r="W1177" s="13">
        <f t="shared" si="1131"/>
        <v>-4.4999999999999997E-3</v>
      </c>
      <c r="X1177" s="13">
        <f t="shared" si="1132"/>
        <v>-4.8999999999999998E-3</v>
      </c>
      <c r="Y1177">
        <f t="shared" si="1124"/>
        <v>79.44</v>
      </c>
      <c r="Z1177" s="13">
        <f t="shared" si="1119"/>
        <v>-1.0999999999999999E-2</v>
      </c>
      <c r="AA1177" s="13">
        <f t="shared" si="1115"/>
        <v>-3.0199999999999998E-2</v>
      </c>
      <c r="AB1177" s="6">
        <f t="shared" si="1125"/>
        <v>88.122</v>
      </c>
      <c r="AC1177">
        <f t="shared" si="1117"/>
        <v>44</v>
      </c>
      <c r="AD1177" s="11">
        <f t="shared" si="1118"/>
        <v>1</v>
      </c>
      <c r="AE1177">
        <f t="shared" si="1116"/>
        <v>27</v>
      </c>
      <c r="AF1177">
        <f>IF(AND(AE1177&lt;15,OR(AC1177&gt;=30,AA1177&gt;0.15,X1177&gt;=0.15)),2,VLOOKUP(AE1177,Table!P:Q,2,FALSE))</f>
        <v>4</v>
      </c>
      <c r="AG1177" s="22">
        <f>IF((AB1177*0.98)-(D1177*0.8)+((AF1177-3)*3)+VLOOKUP(AM1177,Table!$A$11:$B$13,2,FALSE)&lt;0,0,(AB1177*0.98)-(D1177*0.8)+((AF1177-3)*3)+VLOOKUP(AM1177,Table!$A$11:$B$13,2,FALSE))</f>
        <v>86.775559999999999</v>
      </c>
      <c r="AH1177" s="22">
        <f t="shared" si="1147"/>
        <v>89</v>
      </c>
      <c r="AI1177" s="18">
        <f t="shared" si="1140"/>
        <v>5.0999999999999996</v>
      </c>
      <c r="AJ1177" s="18">
        <f t="shared" si="1141"/>
        <v>5.3</v>
      </c>
      <c r="AK1177" t="str">
        <f t="shared" si="1126"/>
        <v>Falling Rates</v>
      </c>
      <c r="AL1177">
        <f t="shared" si="1137"/>
        <v>28.75</v>
      </c>
      <c r="AM1177" s="11" t="str">
        <f t="shared" si="1127"/>
        <v>Stocks</v>
      </c>
      <c r="AN1177" t="str">
        <f t="shared" si="1133"/>
        <v>Buy</v>
      </c>
      <c r="AO1177" s="13">
        <f t="shared" si="1134"/>
        <v>-1.2800000000000001E-2</v>
      </c>
      <c r="AP1177" s="13">
        <f t="shared" si="1135"/>
        <v>8.9999999999999998E-4</v>
      </c>
      <c r="AQ1177" s="13">
        <f t="shared" si="1136"/>
        <v>-1.1299999999999999E-2</v>
      </c>
      <c r="AR1177" s="13">
        <f t="shared" si="1128"/>
        <v>-1.2800000000000001E-2</v>
      </c>
      <c r="AS1177" s="6">
        <f t="shared" si="1120"/>
        <v>163.4084433215842</v>
      </c>
      <c r="AT1177" s="6">
        <f t="shared" si="1121"/>
        <v>117.13228711070964</v>
      </c>
      <c r="AU1177" s="6">
        <f t="shared" si="1122"/>
        <v>161.13130917768527</v>
      </c>
      <c r="AV1177" s="6">
        <f t="shared" si="1123"/>
        <v>163.4084433215842</v>
      </c>
      <c r="AW1177" s="58">
        <f t="shared" si="1129"/>
        <v>1996</v>
      </c>
      <c r="AX1177" s="58">
        <f>COUNTIF(AW$3:AW1177,AW1177)</f>
        <v>47</v>
      </c>
    </row>
    <row r="1178" spans="1:50" x14ac:dyDescent="0.25">
      <c r="A1178" s="5">
        <v>35099</v>
      </c>
      <c r="B1178">
        <v>635.84</v>
      </c>
      <c r="C1178">
        <v>4.93</v>
      </c>
      <c r="D1178" s="6">
        <v>12</v>
      </c>
      <c r="E1178" s="18">
        <f t="shared" si="1142"/>
        <v>12.98</v>
      </c>
      <c r="F1178">
        <f t="shared" si="1143"/>
        <v>2</v>
      </c>
      <c r="G1178" s="18">
        <f>ROUND(INDEX(Valuation!U:U,MATCH(A1178,Valuation!A:A,0)),2)</f>
        <v>165.29</v>
      </c>
      <c r="H1178">
        <f t="shared" si="1114"/>
        <v>2</v>
      </c>
      <c r="I1178" s="18">
        <f>INDEX(WeeklyIndicators!Y:Y,MATCH(A1178,WeeklyIndicators!A:A,0))</f>
        <v>130.34</v>
      </c>
      <c r="J1178">
        <f t="shared" si="1139"/>
        <v>0</v>
      </c>
      <c r="K1178">
        <f>ROUND(INDEX(Economic!AF:AF,MATCH(EOMONTH($A1178,-1),Economic!A:A,0)),2)</f>
        <v>114.73</v>
      </c>
      <c r="L1178" s="11">
        <f t="shared" si="1148"/>
        <v>1</v>
      </c>
      <c r="M1178">
        <f>ROUND(INDEX(Manufacturing!P:P,MATCH(EOMONTH($A1178,-1),Manufacturing!A:A,0)),2)</f>
        <v>86.73</v>
      </c>
      <c r="N1178">
        <f t="shared" si="1144"/>
        <v>0</v>
      </c>
      <c r="O1178">
        <f>ROUND(INDEX(Housing!AC:AC,MATCH(EOMONTH($A1178,-1),Housing!B:B,0)),2)</f>
        <v>105.21</v>
      </c>
      <c r="P1178">
        <f t="shared" si="1145"/>
        <v>0</v>
      </c>
      <c r="Q1178">
        <f>ROUND(INDEX(Spending!AJ:AJ,MATCH(EOMONTH($A1178,-1),Spending!B:B,0)),2)</f>
        <v>49.46</v>
      </c>
      <c r="R1178">
        <f t="shared" si="1149"/>
        <v>0</v>
      </c>
      <c r="S1178">
        <f>ROUND(INDEX(Employment!V:V,MATCH(EOMONTH($A1178,-1),Employment!A:A,0)),2)</f>
        <v>156.9</v>
      </c>
      <c r="T1178" s="11">
        <f t="shared" si="1146"/>
        <v>0</v>
      </c>
      <c r="U1178">
        <f t="shared" si="1138"/>
        <v>25</v>
      </c>
      <c r="V1178">
        <f t="shared" si="1130"/>
        <v>72.17</v>
      </c>
      <c r="W1178" s="13">
        <f t="shared" si="1131"/>
        <v>-1.8E-3</v>
      </c>
      <c r="X1178" s="13">
        <f t="shared" si="1132"/>
        <v>-2.5999999999999999E-3</v>
      </c>
      <c r="Y1178">
        <f t="shared" si="1124"/>
        <v>80.38</v>
      </c>
      <c r="Z1178" s="13">
        <f t="shared" si="1119"/>
        <v>-8.6E-3</v>
      </c>
      <c r="AA1178" s="13">
        <f t="shared" si="1115"/>
        <v>-2.4599999999999997E-2</v>
      </c>
      <c r="AB1178" s="6">
        <f t="shared" si="1125"/>
        <v>90.138999999999996</v>
      </c>
      <c r="AC1178">
        <f t="shared" si="1117"/>
        <v>45</v>
      </c>
      <c r="AD1178" s="11">
        <f t="shared" si="1118"/>
        <v>1</v>
      </c>
      <c r="AE1178">
        <f t="shared" si="1116"/>
        <v>28</v>
      </c>
      <c r="AF1178">
        <f>IF(AND(AE1178&lt;15,OR(AC1178&gt;=30,AA1178&gt;0.15,X1178&gt;=0.15)),2,VLOOKUP(AE1178,Table!P:Q,2,FALSE))</f>
        <v>4</v>
      </c>
      <c r="AG1178" s="22">
        <f>IF((AB1178*0.98)-(D1178*0.8)+((AF1178-3)*3)+VLOOKUP(AM1178,Table!$A$11:$B$13,2,FALSE)&lt;0,0,(AB1178*0.98)-(D1178*0.8)+((AF1178-3)*3)+VLOOKUP(AM1178,Table!$A$11:$B$13,2,FALSE))</f>
        <v>89.736220000000003</v>
      </c>
      <c r="AH1178" s="22">
        <f t="shared" si="1147"/>
        <v>91</v>
      </c>
      <c r="AI1178" s="18">
        <f t="shared" si="1140"/>
        <v>5.14</v>
      </c>
      <c r="AJ1178" s="18">
        <f t="shared" si="1141"/>
        <v>5.32</v>
      </c>
      <c r="AK1178" t="str">
        <f t="shared" si="1126"/>
        <v>Falling Rates</v>
      </c>
      <c r="AL1178">
        <f t="shared" si="1137"/>
        <v>29.75</v>
      </c>
      <c r="AM1178" s="11" t="str">
        <f t="shared" si="1127"/>
        <v>Stocks</v>
      </c>
      <c r="AN1178" t="str">
        <f t="shared" si="1133"/>
        <v>Buy</v>
      </c>
      <c r="AO1178" s="13">
        <f t="shared" si="1134"/>
        <v>3.2300000000000002E-2</v>
      </c>
      <c r="AP1178" s="13">
        <f t="shared" si="1135"/>
        <v>8.9999999999999998E-4</v>
      </c>
      <c r="AQ1178" s="13">
        <f t="shared" si="1136"/>
        <v>2.9499999999999998E-2</v>
      </c>
      <c r="AR1178" s="13">
        <f t="shared" si="1128"/>
        <v>3.2300000000000002E-2</v>
      </c>
      <c r="AS1178" s="6">
        <f t="shared" si="1120"/>
        <v>158.29549871314947</v>
      </c>
      <c r="AT1178" s="6">
        <f t="shared" si="1121"/>
        <v>117.02696284414992</v>
      </c>
      <c r="AU1178" s="6">
        <f t="shared" si="1122"/>
        <v>156.51414198900949</v>
      </c>
      <c r="AV1178" s="6">
        <f t="shared" si="1123"/>
        <v>158.29549871314947</v>
      </c>
      <c r="AW1178" s="58">
        <f t="shared" si="1129"/>
        <v>1996</v>
      </c>
      <c r="AX1178" s="58">
        <f>COUNTIF(AW$3:AW1178,AW1178)</f>
        <v>48</v>
      </c>
    </row>
    <row r="1179" spans="1:50" x14ac:dyDescent="0.25">
      <c r="A1179" s="5">
        <v>35092</v>
      </c>
      <c r="B1179">
        <v>621.62</v>
      </c>
      <c r="C1179">
        <v>4.97</v>
      </c>
      <c r="D1179" s="6">
        <v>12.7</v>
      </c>
      <c r="E1179" s="18">
        <f t="shared" si="1142"/>
        <v>13.5</v>
      </c>
      <c r="F1179">
        <f t="shared" si="1143"/>
        <v>2</v>
      </c>
      <c r="G1179" s="18">
        <f>ROUND(INDEX(Valuation!U:U,MATCH(A1179,Valuation!A:A,0)),2)</f>
        <v>171.61</v>
      </c>
      <c r="H1179">
        <f t="shared" si="1114"/>
        <v>2</v>
      </c>
      <c r="I1179" s="18">
        <f>INDEX(WeeklyIndicators!Y:Y,MATCH(A1179,WeeklyIndicators!A:A,0))</f>
        <v>130.28</v>
      </c>
      <c r="J1179">
        <f t="shared" si="1139"/>
        <v>0</v>
      </c>
      <c r="K1179">
        <f>ROUND(INDEX(Economic!AF:AF,MATCH(EOMONTH($A1179,-1),Economic!A:A,0)),2)</f>
        <v>117.64</v>
      </c>
      <c r="L1179" s="11">
        <f t="shared" si="1148"/>
        <v>1</v>
      </c>
      <c r="M1179">
        <f>ROUND(INDEX(Manufacturing!P:P,MATCH(EOMONTH($A1179,-1),Manufacturing!A:A,0)),2)</f>
        <v>88.06</v>
      </c>
      <c r="N1179">
        <f t="shared" si="1144"/>
        <v>0</v>
      </c>
      <c r="O1179">
        <f>ROUND(INDEX(Housing!AC:AC,MATCH(EOMONTH($A1179,-1),Housing!B:B,0)),2)</f>
        <v>101.29</v>
      </c>
      <c r="P1179">
        <f t="shared" si="1145"/>
        <v>0</v>
      </c>
      <c r="Q1179">
        <f>ROUND(INDEX(Spending!AJ:AJ,MATCH(EOMONTH($A1179,-1),Spending!B:B,0)),2)</f>
        <v>50.85</v>
      </c>
      <c r="R1179">
        <f t="shared" si="1149"/>
        <v>1</v>
      </c>
      <c r="S1179">
        <f>ROUND(INDEX(Employment!V:V,MATCH(EOMONTH($A1179,-1),Employment!A:A,0)),2)</f>
        <v>162.21</v>
      </c>
      <c r="T1179" s="11">
        <f t="shared" si="1146"/>
        <v>1</v>
      </c>
      <c r="U1179">
        <f t="shared" si="1138"/>
        <v>27</v>
      </c>
      <c r="V1179">
        <f t="shared" si="1130"/>
        <v>73.06</v>
      </c>
      <c r="W1179" s="13">
        <f t="shared" si="1131"/>
        <v>3.2000000000000002E-3</v>
      </c>
      <c r="X1179" s="13">
        <f t="shared" si="1132"/>
        <v>-2.1999999999999997E-3</v>
      </c>
      <c r="Y1179">
        <f t="shared" si="1124"/>
        <v>81.8</v>
      </c>
      <c r="Z1179" s="13">
        <f t="shared" si="1119"/>
        <v>-3.5999999999999999E-3</v>
      </c>
      <c r="AA1179" s="13">
        <f t="shared" si="1115"/>
        <v>-1.9300000000000001E-2</v>
      </c>
      <c r="AB1179" s="6">
        <f t="shared" si="1125"/>
        <v>92.581000000000003</v>
      </c>
      <c r="AC1179">
        <f t="shared" si="1117"/>
        <v>46</v>
      </c>
      <c r="AD1179" s="11">
        <f t="shared" si="1118"/>
        <v>1</v>
      </c>
      <c r="AE1179">
        <f t="shared" si="1116"/>
        <v>30</v>
      </c>
      <c r="AF1179">
        <f>IF(AND(AE1179&lt;15,OR(AC1179&gt;=30,AA1179&gt;0.15,X1179&gt;=0.15)),2,VLOOKUP(AE1179,Table!P:Q,2,FALSE))</f>
        <v>4</v>
      </c>
      <c r="AG1179" s="22">
        <f>IF((AB1179*0.98)-(D1179*0.8)+((AF1179-3)*3)+VLOOKUP(AM1179,Table!$A$11:$B$13,2,FALSE)&lt;0,0,(AB1179*0.98)-(D1179*0.8)+((AF1179-3)*3)+VLOOKUP(AM1179,Table!$A$11:$B$13,2,FALSE))</f>
        <v>91.56938000000001</v>
      </c>
      <c r="AH1179" s="22">
        <f t="shared" si="1147"/>
        <v>92</v>
      </c>
      <c r="AI1179" s="18">
        <f t="shared" si="1140"/>
        <v>5.17</v>
      </c>
      <c r="AJ1179" s="18">
        <f t="shared" si="1141"/>
        <v>5.34</v>
      </c>
      <c r="AK1179" t="str">
        <f t="shared" si="1126"/>
        <v>Falling Rates</v>
      </c>
      <c r="AL1179">
        <f t="shared" si="1137"/>
        <v>30.5</v>
      </c>
      <c r="AM1179" s="11" t="str">
        <f t="shared" si="1127"/>
        <v>Stocks</v>
      </c>
      <c r="AN1179" t="str">
        <f t="shared" si="1133"/>
        <v>Buy</v>
      </c>
      <c r="AO1179" s="13">
        <f t="shared" si="1134"/>
        <v>2.29E-2</v>
      </c>
      <c r="AP1179" s="13">
        <f t="shared" si="1135"/>
        <v>1E-3</v>
      </c>
      <c r="AQ1179" s="13">
        <f t="shared" si="1136"/>
        <v>2.1100000000000001E-2</v>
      </c>
      <c r="AR1179" s="13">
        <f t="shared" si="1128"/>
        <v>2.29E-2</v>
      </c>
      <c r="AS1179" s="6">
        <f t="shared" si="1120"/>
        <v>154.75168512381413</v>
      </c>
      <c r="AT1179" s="6">
        <f t="shared" si="1121"/>
        <v>116.91005279135858</v>
      </c>
      <c r="AU1179" s="6">
        <f t="shared" si="1122"/>
        <v>153.27993535305993</v>
      </c>
      <c r="AV1179" s="6">
        <f t="shared" si="1123"/>
        <v>154.75168512381413</v>
      </c>
      <c r="AW1179" s="58">
        <f t="shared" si="1129"/>
        <v>1996</v>
      </c>
      <c r="AX1179" s="58">
        <f>COUNTIF(AW$3:AW1179,AW1179)</f>
        <v>49</v>
      </c>
    </row>
    <row r="1180" spans="1:50" x14ac:dyDescent="0.25">
      <c r="A1180" s="5">
        <v>35085</v>
      </c>
      <c r="B1180">
        <v>611.83000000000004</v>
      </c>
      <c r="C1180">
        <v>4.9800000000000004</v>
      </c>
      <c r="D1180" s="6">
        <v>14.23</v>
      </c>
      <c r="E1180" s="18">
        <f t="shared" si="1142"/>
        <v>13.44</v>
      </c>
      <c r="F1180">
        <f t="shared" si="1143"/>
        <v>2</v>
      </c>
      <c r="G1180" s="18">
        <f>ROUND(INDEX(Valuation!U:U,MATCH(A1180,Valuation!A:A,0)),2)</f>
        <v>176.41</v>
      </c>
      <c r="H1180">
        <f t="shared" ref="H1180:H1243" si="1150">IF(G1180&gt;200,3,IF(AND(G1180&gt;160,G1180&lt;=200),2,IF(AND(G1180&gt;120,G1180&lt;=160),1,IF(G1180&lt;25,-3,IF(AND(G1180&lt;50,G1180&gt;=25),-2,IF(AND(G1180&lt;90,G1180&gt;=50),-1,0))))))</f>
        <v>2</v>
      </c>
      <c r="I1180" s="18">
        <f>INDEX(WeeklyIndicators!Y:Y,MATCH(A1180,WeeklyIndicators!A:A,0))</f>
        <v>128.07</v>
      </c>
      <c r="J1180">
        <f t="shared" si="1139"/>
        <v>0</v>
      </c>
      <c r="K1180">
        <f>ROUND(INDEX(Economic!AF:AF,MATCH(EOMONTH($A1180,-1),Economic!A:A,0)),2)</f>
        <v>117.64</v>
      </c>
      <c r="L1180" s="11">
        <f t="shared" si="1148"/>
        <v>1</v>
      </c>
      <c r="M1180">
        <f>ROUND(INDEX(Manufacturing!P:P,MATCH(EOMONTH($A1180,-1),Manufacturing!A:A,0)),2)</f>
        <v>88.06</v>
      </c>
      <c r="N1180">
        <f t="shared" si="1144"/>
        <v>0</v>
      </c>
      <c r="O1180">
        <f>ROUND(INDEX(Housing!AC:AC,MATCH(EOMONTH($A1180,-1),Housing!B:B,0)),2)</f>
        <v>101.29</v>
      </c>
      <c r="P1180">
        <f t="shared" si="1145"/>
        <v>0</v>
      </c>
      <c r="Q1180">
        <f>ROUND(INDEX(Spending!AJ:AJ,MATCH(EOMONTH($A1180,-1),Spending!B:B,0)),2)</f>
        <v>50.85</v>
      </c>
      <c r="R1180">
        <f t="shared" si="1149"/>
        <v>1</v>
      </c>
      <c r="S1180">
        <f>ROUND(INDEX(Employment!V:V,MATCH(EOMONTH($A1180,-1),Employment!A:A,0)),2)</f>
        <v>162.21</v>
      </c>
      <c r="T1180" s="11">
        <f t="shared" si="1146"/>
        <v>1</v>
      </c>
      <c r="U1180">
        <f t="shared" si="1138"/>
        <v>27</v>
      </c>
      <c r="V1180">
        <f t="shared" si="1130"/>
        <v>72.84</v>
      </c>
      <c r="W1180" s="13">
        <f t="shared" si="1131"/>
        <v>-1.8E-3</v>
      </c>
      <c r="X1180" s="13">
        <f t="shared" si="1132"/>
        <v>-1.9000000000000002E-3</v>
      </c>
      <c r="Y1180">
        <f t="shared" si="1124"/>
        <v>82.12</v>
      </c>
      <c r="Z1180" s="13">
        <f t="shared" si="1119"/>
        <v>-7.0000000000000001E-3</v>
      </c>
      <c r="AA1180" s="13">
        <f t="shared" si="1115"/>
        <v>-1.3400000000000002E-2</v>
      </c>
      <c r="AB1180" s="6">
        <f t="shared" si="1125"/>
        <v>93.771000000000001</v>
      </c>
      <c r="AC1180">
        <f t="shared" si="1117"/>
        <v>47</v>
      </c>
      <c r="AD1180" s="11">
        <f t="shared" si="1118"/>
        <v>1</v>
      </c>
      <c r="AE1180">
        <f t="shared" si="1116"/>
        <v>30</v>
      </c>
      <c r="AF1180">
        <f>IF(AND(AE1180&lt;15,OR(AC1180&gt;=30,AA1180&gt;0.15,X1180&gt;=0.15)),2,VLOOKUP(AE1180,Table!P:Q,2,FALSE))</f>
        <v>4</v>
      </c>
      <c r="AG1180" s="22">
        <f>IF((AB1180*0.98)-(D1180*0.8)+((AF1180-3)*3)+VLOOKUP(AM1180,Table!$A$11:$B$13,2,FALSE)&lt;0,0,(AB1180*0.98)-(D1180*0.8)+((AF1180-3)*3)+VLOOKUP(AM1180,Table!$A$11:$B$13,2,FALSE))</f>
        <v>91.511579999999995</v>
      </c>
      <c r="AH1180" s="22">
        <f t="shared" si="1147"/>
        <v>93</v>
      </c>
      <c r="AI1180" s="18">
        <f t="shared" si="1140"/>
        <v>5.19</v>
      </c>
      <c r="AJ1180" s="18">
        <f t="shared" si="1141"/>
        <v>5.36</v>
      </c>
      <c r="AK1180" t="str">
        <f t="shared" si="1126"/>
        <v>Falling Rates</v>
      </c>
      <c r="AL1180">
        <f t="shared" si="1137"/>
        <v>30.75</v>
      </c>
      <c r="AM1180" s="11" t="str">
        <f t="shared" si="1127"/>
        <v>Stocks</v>
      </c>
      <c r="AN1180" t="str">
        <f t="shared" si="1133"/>
        <v>Buy</v>
      </c>
      <c r="AO1180" s="13">
        <f t="shared" si="1134"/>
        <v>1.6E-2</v>
      </c>
      <c r="AP1180" s="13">
        <f t="shared" si="1135"/>
        <v>1E-3</v>
      </c>
      <c r="AQ1180" s="13">
        <f t="shared" si="1136"/>
        <v>1.4999999999999999E-2</v>
      </c>
      <c r="AR1180" s="13">
        <f t="shared" si="1128"/>
        <v>1.6E-2</v>
      </c>
      <c r="AS1180" s="6">
        <f t="shared" si="1120"/>
        <v>152.31465071241547</v>
      </c>
      <c r="AT1180" s="6">
        <f t="shared" si="1121"/>
        <v>116.79325953182676</v>
      </c>
      <c r="AU1180" s="6">
        <f t="shared" si="1122"/>
        <v>151.01471463355659</v>
      </c>
      <c r="AV1180" s="6">
        <f t="shared" si="1123"/>
        <v>152.31465071241547</v>
      </c>
      <c r="AW1180" s="58">
        <f t="shared" si="1129"/>
        <v>1996</v>
      </c>
      <c r="AX1180" s="58">
        <f>COUNTIF(AW$3:AW1180,AW1180)</f>
        <v>50</v>
      </c>
    </row>
    <row r="1181" spans="1:50" x14ac:dyDescent="0.25">
      <c r="A1181" s="5">
        <v>35078</v>
      </c>
      <c r="B1181">
        <v>601.80999999999995</v>
      </c>
      <c r="C1181">
        <v>5.03</v>
      </c>
      <c r="D1181" s="6">
        <v>13.58</v>
      </c>
      <c r="E1181" s="18">
        <f t="shared" si="1142"/>
        <v>12.54</v>
      </c>
      <c r="F1181">
        <f t="shared" si="1143"/>
        <v>2</v>
      </c>
      <c r="G1181" s="18">
        <f>ROUND(INDEX(Valuation!U:U,MATCH(A1181,Valuation!A:A,0)),2)</f>
        <v>179.24</v>
      </c>
      <c r="H1181">
        <f t="shared" si="1150"/>
        <v>2</v>
      </c>
      <c r="I1181" s="18">
        <f>INDEX(WeeklyIndicators!Y:Y,MATCH(A1181,WeeklyIndicators!A:A,0))</f>
        <v>125.55</v>
      </c>
      <c r="J1181">
        <f t="shared" si="1139"/>
        <v>0</v>
      </c>
      <c r="K1181">
        <f>ROUND(INDEX(Economic!AF:AF,MATCH(EOMONTH($A1181,-1),Economic!A:A,0)),2)</f>
        <v>117.64</v>
      </c>
      <c r="L1181" s="11">
        <f t="shared" si="1148"/>
        <v>1</v>
      </c>
      <c r="M1181">
        <f>ROUND(INDEX(Manufacturing!P:P,MATCH(EOMONTH($A1181,-1),Manufacturing!A:A,0)),2)</f>
        <v>88.06</v>
      </c>
      <c r="N1181">
        <f t="shared" si="1144"/>
        <v>0</v>
      </c>
      <c r="O1181">
        <f>ROUND(INDEX(Housing!AC:AC,MATCH(EOMONTH($A1181,-1),Housing!B:B,0)),2)</f>
        <v>101.29</v>
      </c>
      <c r="P1181">
        <f t="shared" si="1145"/>
        <v>0</v>
      </c>
      <c r="Q1181">
        <f>ROUND(INDEX(Spending!AJ:AJ,MATCH(EOMONTH($A1181,-1),Spending!B:B,0)),2)</f>
        <v>50.85</v>
      </c>
      <c r="R1181">
        <f t="shared" si="1149"/>
        <v>1</v>
      </c>
      <c r="S1181">
        <f>ROUND(INDEX(Employment!V:V,MATCH(EOMONTH($A1181,-1),Employment!A:A,0)),2)</f>
        <v>162.21</v>
      </c>
      <c r="T1181" s="11">
        <f t="shared" si="1146"/>
        <v>1</v>
      </c>
      <c r="U1181">
        <f t="shared" si="1138"/>
        <v>27</v>
      </c>
      <c r="V1181">
        <f t="shared" si="1130"/>
        <v>72.569999999999993</v>
      </c>
      <c r="W1181" s="13">
        <f t="shared" si="1131"/>
        <v>-2.2000000000000001E-3</v>
      </c>
      <c r="X1181" s="13">
        <f t="shared" si="1132"/>
        <v>1.9000000000000002E-3</v>
      </c>
      <c r="Y1181">
        <f t="shared" si="1124"/>
        <v>82.49</v>
      </c>
      <c r="Z1181" s="13">
        <f t="shared" si="1119"/>
        <v>-5.4000000000000003E-3</v>
      </c>
      <c r="AA1181" s="13">
        <f t="shared" si="1115"/>
        <v>-4.7999999999999996E-3</v>
      </c>
      <c r="AB1181" s="6">
        <f t="shared" si="1125"/>
        <v>95.034000000000006</v>
      </c>
      <c r="AC1181">
        <f t="shared" si="1117"/>
        <v>48</v>
      </c>
      <c r="AD1181" s="11">
        <f t="shared" si="1118"/>
        <v>2</v>
      </c>
      <c r="AE1181">
        <f t="shared" si="1116"/>
        <v>31</v>
      </c>
      <c r="AF1181">
        <f>IF(AND(AE1181&lt;15,OR(AC1181&gt;=30,AA1181&gt;0.15,X1181&gt;=0.15)),2,VLOOKUP(AE1181,Table!P:Q,2,FALSE))</f>
        <v>4</v>
      </c>
      <c r="AG1181" s="22">
        <f>IF((AB1181*0.98)-(D1181*0.8)+((AF1181-3)*3)+VLOOKUP(AM1181,Table!$A$11:$B$13,2,FALSE)&lt;0,0,(AB1181*0.98)-(D1181*0.8)+((AF1181-3)*3)+VLOOKUP(AM1181,Table!$A$11:$B$13,2,FALSE))</f>
        <v>93.269319999999993</v>
      </c>
      <c r="AH1181" s="22">
        <f t="shared" si="1147"/>
        <v>95</v>
      </c>
      <c r="AI1181" s="18">
        <f t="shared" si="1140"/>
        <v>5.22</v>
      </c>
      <c r="AJ1181" s="18">
        <f t="shared" si="1141"/>
        <v>5.37</v>
      </c>
      <c r="AK1181" t="str">
        <f t="shared" si="1126"/>
        <v>Falling Rates</v>
      </c>
      <c r="AL1181">
        <f t="shared" si="1137"/>
        <v>31</v>
      </c>
      <c r="AM1181" s="11" t="str">
        <f t="shared" si="1127"/>
        <v>Stocks</v>
      </c>
      <c r="AN1181" t="str">
        <f t="shared" si="1133"/>
        <v>Buy</v>
      </c>
      <c r="AO1181" s="13">
        <f t="shared" si="1134"/>
        <v>1.66E-2</v>
      </c>
      <c r="AP1181" s="13">
        <f t="shared" si="1135"/>
        <v>1E-3</v>
      </c>
      <c r="AQ1181" s="13">
        <f t="shared" si="1136"/>
        <v>1.5800000000000002E-2</v>
      </c>
      <c r="AR1181" s="13">
        <f t="shared" si="1128"/>
        <v>1.66E-2</v>
      </c>
      <c r="AS1181" s="6">
        <f t="shared" si="1120"/>
        <v>149.82751398034179</v>
      </c>
      <c r="AT1181" s="6">
        <f t="shared" si="1121"/>
        <v>116.67658294887789</v>
      </c>
      <c r="AU1181" s="6">
        <f t="shared" si="1122"/>
        <v>148.66579507142802</v>
      </c>
      <c r="AV1181" s="6">
        <f t="shared" si="1123"/>
        <v>149.82751398034179</v>
      </c>
      <c r="AW1181" s="58">
        <f t="shared" si="1129"/>
        <v>1996</v>
      </c>
      <c r="AX1181" s="58">
        <f>COUNTIF(AW$3:AW1181,AW1181)</f>
        <v>51</v>
      </c>
    </row>
    <row r="1182" spans="1:50" x14ac:dyDescent="0.25">
      <c r="A1182" s="5">
        <v>35071</v>
      </c>
      <c r="B1182">
        <v>616.71</v>
      </c>
      <c r="C1182">
        <v>5.0199999999999996</v>
      </c>
      <c r="D1182" s="6">
        <v>12.52</v>
      </c>
      <c r="E1182" s="18">
        <f t="shared" si="1142"/>
        <v>11.82</v>
      </c>
      <c r="F1182">
        <f t="shared" si="1143"/>
        <v>2</v>
      </c>
      <c r="G1182" s="18">
        <f>ROUND(INDEX(Valuation!U:U,MATCH(A1182,Valuation!A:A,0)),2)</f>
        <v>180.66</v>
      </c>
      <c r="H1182">
        <f t="shared" si="1150"/>
        <v>2</v>
      </c>
      <c r="I1182" s="18">
        <f>INDEX(WeeklyIndicators!Y:Y,MATCH(A1182,WeeklyIndicators!A:A,0))</f>
        <v>123.57</v>
      </c>
      <c r="J1182">
        <f t="shared" si="1139"/>
        <v>0</v>
      </c>
      <c r="K1182">
        <f>ROUND(INDEX(Economic!AF:AF,MATCH(EOMONTH($A1182,-1),Economic!A:A,0)),2)</f>
        <v>117.64</v>
      </c>
      <c r="L1182" s="11">
        <f t="shared" si="1148"/>
        <v>1</v>
      </c>
      <c r="M1182">
        <f>ROUND(INDEX(Manufacturing!P:P,MATCH(EOMONTH($A1182,-1),Manufacturing!A:A,0)),2)</f>
        <v>88.06</v>
      </c>
      <c r="N1182">
        <f t="shared" si="1144"/>
        <v>0</v>
      </c>
      <c r="O1182">
        <f>ROUND(INDEX(Housing!AC:AC,MATCH(EOMONTH($A1182,-1),Housing!B:B,0)),2)</f>
        <v>101.29</v>
      </c>
      <c r="P1182">
        <f t="shared" si="1145"/>
        <v>0</v>
      </c>
      <c r="Q1182">
        <f>ROUND(INDEX(Spending!AJ:AJ,MATCH(EOMONTH($A1182,-1),Spending!B:B,0)),2)</f>
        <v>50.85</v>
      </c>
      <c r="R1182">
        <f t="shared" si="1149"/>
        <v>1</v>
      </c>
      <c r="S1182">
        <f>ROUND(INDEX(Employment!V:V,MATCH(EOMONTH($A1182,-1),Employment!A:A,0)),2)</f>
        <v>162.21</v>
      </c>
      <c r="T1182" s="11">
        <f t="shared" si="1146"/>
        <v>1</v>
      </c>
      <c r="U1182">
        <f t="shared" si="1138"/>
        <v>27</v>
      </c>
      <c r="V1182">
        <f t="shared" si="1130"/>
        <v>72.37</v>
      </c>
      <c r="W1182" s="13">
        <f t="shared" si="1131"/>
        <v>-1.4E-3</v>
      </c>
      <c r="X1182" s="13">
        <f t="shared" si="1132"/>
        <v>2.8000000000000004E-3</v>
      </c>
      <c r="Y1182">
        <f t="shared" si="1124"/>
        <v>82.69</v>
      </c>
      <c r="Z1182" s="13">
        <f t="shared" si="1119"/>
        <v>-3.3E-3</v>
      </c>
      <c r="AA1182" s="13">
        <f t="shared" si="1115"/>
        <v>-1.1999999999999999E-3</v>
      </c>
      <c r="AB1182" s="6">
        <f t="shared" si="1125"/>
        <v>95.616</v>
      </c>
      <c r="AC1182">
        <f t="shared" si="1117"/>
        <v>48</v>
      </c>
      <c r="AD1182" s="11">
        <f t="shared" si="1118"/>
        <v>2</v>
      </c>
      <c r="AE1182">
        <f t="shared" si="1116"/>
        <v>31</v>
      </c>
      <c r="AF1182">
        <f>IF(AND(AE1182&lt;15,OR(AC1182&gt;=30,AA1182&gt;0.15,X1182&gt;=0.15)),2,VLOOKUP(AE1182,Table!P:Q,2,FALSE))</f>
        <v>4</v>
      </c>
      <c r="AG1182" s="22">
        <f>IF((AB1182*0.98)-(D1182*0.8)+((AF1182-3)*3)+VLOOKUP(AM1182,Table!$A$11:$B$13,2,FALSE)&lt;0,0,(AB1182*0.98)-(D1182*0.8)+((AF1182-3)*3)+VLOOKUP(AM1182,Table!$A$11:$B$13,2,FALSE))</f>
        <v>94.687679999999986</v>
      </c>
      <c r="AH1182" s="22">
        <f t="shared" si="1147"/>
        <v>96</v>
      </c>
      <c r="AI1182" s="18">
        <f t="shared" si="1140"/>
        <v>5.24</v>
      </c>
      <c r="AJ1182" s="18">
        <f t="shared" si="1141"/>
        <v>5.39</v>
      </c>
      <c r="AK1182" t="str">
        <f t="shared" si="1126"/>
        <v>Falling Rates</v>
      </c>
      <c r="AL1182">
        <f t="shared" si="1137"/>
        <v>30.75</v>
      </c>
      <c r="AM1182" s="11" t="str">
        <f t="shared" si="1127"/>
        <v>Stocks</v>
      </c>
      <c r="AN1182" t="str">
        <f t="shared" si="1133"/>
        <v>Buy</v>
      </c>
      <c r="AO1182" s="13">
        <f t="shared" si="1134"/>
        <v>-2.4199999999999999E-2</v>
      </c>
      <c r="AP1182" s="13">
        <f t="shared" si="1135"/>
        <v>1E-3</v>
      </c>
      <c r="AQ1182" s="13">
        <f t="shared" si="1136"/>
        <v>-2.3199999999999998E-2</v>
      </c>
      <c r="AR1182" s="13">
        <f t="shared" si="1128"/>
        <v>-2.4199999999999999E-2</v>
      </c>
      <c r="AS1182" s="6">
        <f t="shared" si="1120"/>
        <v>153.543260893976</v>
      </c>
      <c r="AT1182" s="6">
        <f t="shared" si="1121"/>
        <v>116.56002292595196</v>
      </c>
      <c r="AU1182" s="6">
        <f t="shared" si="1122"/>
        <v>152.19675990113433</v>
      </c>
      <c r="AV1182" s="6">
        <f t="shared" si="1123"/>
        <v>153.543260893976</v>
      </c>
      <c r="AW1182" s="58">
        <f t="shared" si="1129"/>
        <v>1996</v>
      </c>
      <c r="AX1182" s="58">
        <f>COUNTIF(AW$3:AW1182,AW1182)</f>
        <v>52</v>
      </c>
    </row>
    <row r="1183" spans="1:50" x14ac:dyDescent="0.25">
      <c r="A1183" s="5">
        <v>35064</v>
      </c>
      <c r="B1183">
        <v>615.92999999999995</v>
      </c>
      <c r="C1183">
        <v>4.8899999999999997</v>
      </c>
      <c r="D1183" s="6">
        <v>11.51</v>
      </c>
      <c r="E1183" s="18">
        <f t="shared" si="1142"/>
        <v>11.36</v>
      </c>
      <c r="F1183">
        <f t="shared" si="1143"/>
        <v>2</v>
      </c>
      <c r="G1183" s="18">
        <f>ROUND(INDEX(Valuation!U:U,MATCH(A1183,Valuation!A:A,0)),2)</f>
        <v>181.88</v>
      </c>
      <c r="H1183">
        <f t="shared" si="1150"/>
        <v>2</v>
      </c>
      <c r="I1183" s="18">
        <f>INDEX(WeeklyIndicators!Y:Y,MATCH(A1183,WeeklyIndicators!A:A,0))</f>
        <v>122.07</v>
      </c>
      <c r="J1183">
        <f t="shared" si="1139"/>
        <v>0</v>
      </c>
      <c r="K1183">
        <f>ROUND(INDEX(Economic!AF:AF,MATCH(EOMONTH($A1183,-1),Economic!A:A,0)),2)</f>
        <v>120.48</v>
      </c>
      <c r="L1183" s="11">
        <f t="shared" si="1148"/>
        <v>1</v>
      </c>
      <c r="M1183">
        <f>ROUND(INDEX(Manufacturing!P:P,MATCH(EOMONTH($A1183,-1),Manufacturing!A:A,0)),2)</f>
        <v>90.84</v>
      </c>
      <c r="N1183">
        <f t="shared" si="1144"/>
        <v>1</v>
      </c>
      <c r="O1183">
        <f>ROUND(INDEX(Housing!AC:AC,MATCH(EOMONTH($A1183,-1),Housing!B:B,0)),2)</f>
        <v>96.73</v>
      </c>
      <c r="P1183">
        <f t="shared" si="1145"/>
        <v>-1</v>
      </c>
      <c r="Q1183">
        <f>ROUND(INDEX(Spending!AJ:AJ,MATCH(EOMONTH($A1183,-1),Spending!B:B,0)),2)</f>
        <v>54.16</v>
      </c>
      <c r="R1183">
        <f t="shared" si="1149"/>
        <v>1</v>
      </c>
      <c r="S1183">
        <f>ROUND(INDEX(Employment!V:V,MATCH(EOMONTH($A1183,-1),Employment!A:A,0)),2)</f>
        <v>165.39</v>
      </c>
      <c r="T1183" s="11">
        <f t="shared" si="1146"/>
        <v>1</v>
      </c>
      <c r="U1183">
        <f t="shared" si="1138"/>
        <v>27</v>
      </c>
      <c r="V1183">
        <f t="shared" si="1130"/>
        <v>73.239999999999995</v>
      </c>
      <c r="W1183" s="13">
        <f t="shared" si="1131"/>
        <v>3.5000000000000001E-3</v>
      </c>
      <c r="X1183" s="13">
        <f t="shared" si="1132"/>
        <v>4.9999999999999958E-4</v>
      </c>
      <c r="Y1183">
        <f t="shared" si="1124"/>
        <v>83.87</v>
      </c>
      <c r="Z1183" s="13">
        <f t="shared" si="1119"/>
        <v>2.3E-3</v>
      </c>
      <c r="AA1183" s="13">
        <f t="shared" si="1115"/>
        <v>-1.2999999999999999E-3</v>
      </c>
      <c r="AB1183" s="6">
        <f t="shared" si="1125"/>
        <v>96.918000000000006</v>
      </c>
      <c r="AC1183">
        <f t="shared" si="1117"/>
        <v>48</v>
      </c>
      <c r="AD1183" s="11">
        <f t="shared" si="1118"/>
        <v>2</v>
      </c>
      <c r="AE1183">
        <f t="shared" si="1116"/>
        <v>31</v>
      </c>
      <c r="AF1183">
        <f>IF(AND(AE1183&lt;15,OR(AC1183&gt;=30,AA1183&gt;0.15,X1183&gt;=0.15)),2,VLOOKUP(AE1183,Table!P:Q,2,FALSE))</f>
        <v>4</v>
      </c>
      <c r="AG1183" s="22">
        <f>IF((AB1183*0.98)-(D1183*0.8)+((AF1183-3)*3)+VLOOKUP(AM1183,Table!$A$11:$B$13,2,FALSE)&lt;0,0,(AB1183*0.98)-(D1183*0.8)+((AF1183-3)*3)+VLOOKUP(AM1183,Table!$A$11:$B$13,2,FALSE))</f>
        <v>96.771640000000005</v>
      </c>
      <c r="AH1183" s="22">
        <f t="shared" si="1147"/>
        <v>97</v>
      </c>
      <c r="AI1183" s="18">
        <f t="shared" si="1140"/>
        <v>5.26</v>
      </c>
      <c r="AJ1183" s="18">
        <f t="shared" si="1141"/>
        <v>5.41</v>
      </c>
      <c r="AK1183" t="str">
        <f t="shared" si="1126"/>
        <v>Falling Rates</v>
      </c>
      <c r="AL1183">
        <f t="shared" si="1137"/>
        <v>30.5</v>
      </c>
      <c r="AM1183" s="11" t="str">
        <f t="shared" si="1127"/>
        <v>Stocks</v>
      </c>
      <c r="AN1183" t="str">
        <f t="shared" si="1133"/>
        <v>Buy</v>
      </c>
      <c r="AO1183" s="13">
        <f t="shared" si="1134"/>
        <v>1.2999999999999999E-3</v>
      </c>
      <c r="AP1183" s="13">
        <f t="shared" si="1135"/>
        <v>8.9999999999999998E-4</v>
      </c>
      <c r="AQ1183" s="13">
        <f t="shared" si="1136"/>
        <v>1.2999999999999999E-3</v>
      </c>
      <c r="AR1183" s="13">
        <f t="shared" si="1128"/>
        <v>1.2999999999999999E-3</v>
      </c>
      <c r="AS1183" s="6">
        <f t="shared" si="1120"/>
        <v>153.34391380602816</v>
      </c>
      <c r="AT1183" s="6">
        <f t="shared" si="1121"/>
        <v>116.45521323404132</v>
      </c>
      <c r="AU1183" s="6">
        <f t="shared" si="1122"/>
        <v>151.99916099184492</v>
      </c>
      <c r="AV1183" s="6">
        <f t="shared" si="1123"/>
        <v>153.34391380602816</v>
      </c>
      <c r="AW1183" s="58">
        <f t="shared" si="1129"/>
        <v>1995</v>
      </c>
      <c r="AX1183" s="58">
        <f>COUNTIF(AW$3:AW1183,AW1183)</f>
        <v>1</v>
      </c>
    </row>
    <row r="1184" spans="1:50" x14ac:dyDescent="0.25">
      <c r="A1184" s="5">
        <v>35057</v>
      </c>
      <c r="B1184">
        <v>611.95000000000005</v>
      </c>
      <c r="C1184">
        <v>5.0199999999999996</v>
      </c>
      <c r="D1184" s="6">
        <v>11.44</v>
      </c>
      <c r="E1184" s="18">
        <f t="shared" si="1142"/>
        <v>11.22</v>
      </c>
      <c r="F1184">
        <f t="shared" si="1143"/>
        <v>2</v>
      </c>
      <c r="G1184" s="18">
        <f>ROUND(INDEX(Valuation!U:U,MATCH(A1184,Valuation!A:A,0)),2)</f>
        <v>183.11</v>
      </c>
      <c r="H1184">
        <f t="shared" si="1150"/>
        <v>2</v>
      </c>
      <c r="I1184" s="18">
        <f>INDEX(WeeklyIndicators!Y:Y,MATCH(A1184,WeeklyIndicators!A:A,0))</f>
        <v>120.18</v>
      </c>
      <c r="J1184">
        <f t="shared" si="1139"/>
        <v>0</v>
      </c>
      <c r="K1184">
        <f>ROUND(INDEX(Economic!AF:AF,MATCH(EOMONTH($A1184,-1),Economic!A:A,0)),2)</f>
        <v>120.48</v>
      </c>
      <c r="L1184" s="11">
        <f t="shared" si="1148"/>
        <v>1</v>
      </c>
      <c r="M1184">
        <f>ROUND(INDEX(Manufacturing!P:P,MATCH(EOMONTH($A1184,-1),Manufacturing!A:A,0)),2)</f>
        <v>90.84</v>
      </c>
      <c r="N1184">
        <f t="shared" si="1144"/>
        <v>1</v>
      </c>
      <c r="O1184">
        <f>ROUND(INDEX(Housing!AC:AC,MATCH(EOMONTH($A1184,-1),Housing!B:B,0)),2)</f>
        <v>96.73</v>
      </c>
      <c r="P1184">
        <f t="shared" si="1145"/>
        <v>-1</v>
      </c>
      <c r="Q1184">
        <f>ROUND(INDEX(Spending!AJ:AJ,MATCH(EOMONTH($A1184,-1),Spending!B:B,0)),2)</f>
        <v>54.16</v>
      </c>
      <c r="R1184">
        <f t="shared" si="1149"/>
        <v>1</v>
      </c>
      <c r="S1184">
        <f>ROUND(INDEX(Employment!V:V,MATCH(EOMONTH($A1184,-1),Employment!A:A,0)),2)</f>
        <v>165.39</v>
      </c>
      <c r="T1184" s="11">
        <f t="shared" si="1146"/>
        <v>1</v>
      </c>
      <c r="U1184">
        <f t="shared" si="1138"/>
        <v>27</v>
      </c>
      <c r="V1184">
        <f t="shared" si="1130"/>
        <v>73.05</v>
      </c>
      <c r="W1184" s="13">
        <f t="shared" si="1131"/>
        <v>2E-3</v>
      </c>
      <c r="X1184" s="13">
        <f t="shared" si="1132"/>
        <v>-6.2000000000000006E-3</v>
      </c>
      <c r="Y1184">
        <f t="shared" si="1124"/>
        <v>83.85</v>
      </c>
      <c r="Z1184" s="13">
        <f t="shared" si="1119"/>
        <v>1.6000000000000001E-3</v>
      </c>
      <c r="AA1184" s="13">
        <f t="shared" si="1115"/>
        <v>-6.1999999999999998E-3</v>
      </c>
      <c r="AB1184" s="6">
        <f t="shared" si="1125"/>
        <v>96.621000000000009</v>
      </c>
      <c r="AC1184">
        <f t="shared" si="1117"/>
        <v>48</v>
      </c>
      <c r="AD1184" s="11">
        <f t="shared" si="1118"/>
        <v>2</v>
      </c>
      <c r="AE1184">
        <f t="shared" si="1116"/>
        <v>31</v>
      </c>
      <c r="AF1184">
        <f>IF(AND(AE1184&lt;15,OR(AC1184&gt;=30,AA1184&gt;0.15,X1184&gt;=0.15)),2,VLOOKUP(AE1184,Table!P:Q,2,FALSE))</f>
        <v>4</v>
      </c>
      <c r="AG1184" s="22">
        <f>IF((AB1184*0.98)-(D1184*0.8)+((AF1184-3)*3)+VLOOKUP(AM1184,Table!$A$11:$B$13,2,FALSE)&lt;0,0,(AB1184*0.98)-(D1184*0.8)+((AF1184-3)*3)+VLOOKUP(AM1184,Table!$A$11:$B$13,2,FALSE))</f>
        <v>96.536580000000001</v>
      </c>
      <c r="AH1184" s="22">
        <f t="shared" si="1147"/>
        <v>97</v>
      </c>
      <c r="AI1184" s="18">
        <f t="shared" si="1140"/>
        <v>5.29</v>
      </c>
      <c r="AJ1184" s="18">
        <f t="shared" si="1141"/>
        <v>5.43</v>
      </c>
      <c r="AK1184" t="str">
        <f t="shared" si="1126"/>
        <v>Falling Rates</v>
      </c>
      <c r="AL1184">
        <f t="shared" si="1137"/>
        <v>30.25</v>
      </c>
      <c r="AM1184" s="11" t="str">
        <f t="shared" si="1127"/>
        <v>Stocks</v>
      </c>
      <c r="AN1184" t="str">
        <f t="shared" si="1133"/>
        <v>Buy</v>
      </c>
      <c r="AO1184" s="13">
        <f t="shared" si="1134"/>
        <v>6.4999999999999997E-3</v>
      </c>
      <c r="AP1184" s="13">
        <f t="shared" si="1135"/>
        <v>1E-3</v>
      </c>
      <c r="AQ1184" s="13">
        <f t="shared" si="1136"/>
        <v>6.3E-3</v>
      </c>
      <c r="AR1184" s="13">
        <f t="shared" si="1128"/>
        <v>6.4999999999999997E-3</v>
      </c>
      <c r="AS1184" s="6">
        <f t="shared" si="1120"/>
        <v>152.35361530653569</v>
      </c>
      <c r="AT1184" s="6">
        <f t="shared" si="1121"/>
        <v>116.33887435968165</v>
      </c>
      <c r="AU1184" s="6">
        <f t="shared" si="1122"/>
        <v>151.0475613553065</v>
      </c>
      <c r="AV1184" s="6">
        <f t="shared" si="1123"/>
        <v>152.35361530653569</v>
      </c>
      <c r="AW1184" s="58">
        <f t="shared" si="1129"/>
        <v>1995</v>
      </c>
      <c r="AX1184" s="58">
        <f>COUNTIF(AW$3:AW1184,AW1184)</f>
        <v>2</v>
      </c>
    </row>
    <row r="1185" spans="1:50" x14ac:dyDescent="0.25">
      <c r="A1185" s="5">
        <v>35050</v>
      </c>
      <c r="B1185">
        <v>616.34</v>
      </c>
      <c r="C1185">
        <v>5.26</v>
      </c>
      <c r="D1185" s="6">
        <v>11.12</v>
      </c>
      <c r="E1185" s="18">
        <f t="shared" si="1142"/>
        <v>11.37</v>
      </c>
      <c r="F1185">
        <f t="shared" si="1143"/>
        <v>2</v>
      </c>
      <c r="G1185" s="18">
        <f>ROUND(INDEX(Valuation!U:U,MATCH(A1185,Valuation!A:A,0)),2)</f>
        <v>183.88</v>
      </c>
      <c r="H1185">
        <f t="shared" si="1150"/>
        <v>2</v>
      </c>
      <c r="I1185" s="18">
        <f>INDEX(WeeklyIndicators!Y:Y,MATCH(A1185,WeeklyIndicators!A:A,0))</f>
        <v>116.5</v>
      </c>
      <c r="J1185">
        <f t="shared" si="1139"/>
        <v>-1</v>
      </c>
      <c r="K1185">
        <f>ROUND(INDEX(Economic!AF:AF,MATCH(EOMONTH($A1185,-1),Economic!A:A,0)),2)</f>
        <v>120.48</v>
      </c>
      <c r="L1185" s="11">
        <f t="shared" si="1148"/>
        <v>1</v>
      </c>
      <c r="M1185">
        <f>ROUND(INDEX(Manufacturing!P:P,MATCH(EOMONTH($A1185,-1),Manufacturing!A:A,0)),2)</f>
        <v>90.84</v>
      </c>
      <c r="N1185">
        <f t="shared" si="1144"/>
        <v>1</v>
      </c>
      <c r="O1185">
        <f>ROUND(INDEX(Housing!AC:AC,MATCH(EOMONTH($A1185,-1),Housing!B:B,0)),2)</f>
        <v>96.73</v>
      </c>
      <c r="P1185">
        <f t="shared" si="1145"/>
        <v>-1</v>
      </c>
      <c r="Q1185">
        <f>ROUND(INDEX(Spending!AJ:AJ,MATCH(EOMONTH($A1185,-1),Spending!B:B,0)),2)</f>
        <v>54.16</v>
      </c>
      <c r="R1185">
        <f t="shared" si="1149"/>
        <v>1</v>
      </c>
      <c r="S1185">
        <f>ROUND(INDEX(Employment!V:V,MATCH(EOMONTH($A1185,-1),Employment!A:A,0)),2)</f>
        <v>165.39</v>
      </c>
      <c r="T1185" s="11">
        <f t="shared" si="1146"/>
        <v>1</v>
      </c>
      <c r="U1185">
        <f t="shared" si="1138"/>
        <v>26</v>
      </c>
      <c r="V1185">
        <f t="shared" si="1130"/>
        <v>72.67</v>
      </c>
      <c r="W1185" s="13">
        <f t="shared" si="1131"/>
        <v>-1.2999999999999999E-3</v>
      </c>
      <c r="X1185" s="13">
        <f t="shared" si="1132"/>
        <v>-8.4000000000000012E-3</v>
      </c>
      <c r="Y1185">
        <f t="shared" si="1124"/>
        <v>83.51</v>
      </c>
      <c r="Z1185" s="13">
        <f t="shared" si="1119"/>
        <v>-1.8E-3</v>
      </c>
      <c r="AA1185" s="13">
        <f t="shared" si="1115"/>
        <v>-6.0000000000000001E-3</v>
      </c>
      <c r="AB1185" s="6">
        <f t="shared" si="1125"/>
        <v>96.338000000000008</v>
      </c>
      <c r="AC1185">
        <f t="shared" si="1117"/>
        <v>48</v>
      </c>
      <c r="AD1185" s="11">
        <f t="shared" si="1118"/>
        <v>2</v>
      </c>
      <c r="AE1185">
        <f t="shared" si="1116"/>
        <v>30</v>
      </c>
      <c r="AF1185">
        <f>IF(AND(AE1185&lt;15,OR(AC1185&gt;=30,AA1185&gt;0.15,X1185&gt;=0.15)),2,VLOOKUP(AE1185,Table!P:Q,2,FALSE))</f>
        <v>4</v>
      </c>
      <c r="AG1185" s="22">
        <f>IF((AB1185*0.98)-(D1185*0.8)+((AF1185-3)*3)+VLOOKUP(AM1185,Table!$A$11:$B$13,2,FALSE)&lt;0,0,(AB1185*0.98)-(D1185*0.8)+((AF1185-3)*3)+VLOOKUP(AM1185,Table!$A$11:$B$13,2,FALSE))</f>
        <v>96.515240000000006</v>
      </c>
      <c r="AH1185" s="22">
        <f t="shared" si="1147"/>
        <v>97</v>
      </c>
      <c r="AI1185" s="18">
        <f t="shared" si="1140"/>
        <v>5.3</v>
      </c>
      <c r="AJ1185" s="18">
        <f t="shared" si="1141"/>
        <v>5.45</v>
      </c>
      <c r="AK1185" t="str">
        <f t="shared" si="1126"/>
        <v>Falling Rates</v>
      </c>
      <c r="AL1185">
        <f t="shared" si="1137"/>
        <v>29.75</v>
      </c>
      <c r="AM1185" s="11" t="str">
        <f t="shared" si="1127"/>
        <v>Stocks</v>
      </c>
      <c r="AN1185" t="str">
        <f t="shared" si="1133"/>
        <v>Buy</v>
      </c>
      <c r="AO1185" s="13">
        <f t="shared" si="1134"/>
        <v>-7.1000000000000004E-3</v>
      </c>
      <c r="AP1185" s="13">
        <f t="shared" si="1135"/>
        <v>1E-3</v>
      </c>
      <c r="AQ1185" s="13">
        <f t="shared" si="1136"/>
        <v>-6.8999999999999999E-3</v>
      </c>
      <c r="AR1185" s="13">
        <f t="shared" si="1128"/>
        <v>-7.1000000000000004E-3</v>
      </c>
      <c r="AS1185" s="6">
        <f t="shared" si="1120"/>
        <v>153.44306103991912</v>
      </c>
      <c r="AT1185" s="6">
        <f t="shared" si="1121"/>
        <v>116.2226517079737</v>
      </c>
      <c r="AU1185" s="6">
        <f t="shared" si="1122"/>
        <v>152.09703086829776</v>
      </c>
      <c r="AV1185" s="6">
        <f t="shared" si="1123"/>
        <v>153.44306103991912</v>
      </c>
      <c r="AW1185" s="58">
        <f t="shared" si="1129"/>
        <v>1995</v>
      </c>
      <c r="AX1185" s="58">
        <f>COUNTIF(AW$3:AW1185,AW1185)</f>
        <v>3</v>
      </c>
    </row>
    <row r="1186" spans="1:50" x14ac:dyDescent="0.25">
      <c r="A1186" s="5">
        <v>35043</v>
      </c>
      <c r="B1186">
        <v>617.48</v>
      </c>
      <c r="C1186">
        <v>5.32</v>
      </c>
      <c r="D1186" s="6">
        <v>11.11</v>
      </c>
      <c r="E1186" s="18">
        <f t="shared" si="1142"/>
        <v>11.82</v>
      </c>
      <c r="F1186">
        <f t="shared" si="1143"/>
        <v>2</v>
      </c>
      <c r="G1186" s="18">
        <f>ROUND(INDEX(Valuation!U:U,MATCH(A1186,Valuation!A:A,0)),2)</f>
        <v>185.17</v>
      </c>
      <c r="H1186">
        <f t="shared" si="1150"/>
        <v>2</v>
      </c>
      <c r="I1186" s="18">
        <f>INDEX(WeeklyIndicators!Y:Y,MATCH(A1186,WeeklyIndicators!A:A,0))</f>
        <v>114.59</v>
      </c>
      <c r="J1186">
        <f t="shared" si="1139"/>
        <v>-1</v>
      </c>
      <c r="K1186">
        <f>ROUND(INDEX(Economic!AF:AF,MATCH(EOMONTH($A1186,-1),Economic!A:A,0)),2)</f>
        <v>120.48</v>
      </c>
      <c r="L1186" s="11">
        <f t="shared" si="1148"/>
        <v>1</v>
      </c>
      <c r="M1186">
        <f>ROUND(INDEX(Manufacturing!P:P,MATCH(EOMONTH($A1186,-1),Manufacturing!A:A,0)),2)</f>
        <v>90.84</v>
      </c>
      <c r="N1186">
        <f t="shared" si="1144"/>
        <v>1</v>
      </c>
      <c r="O1186">
        <f>ROUND(INDEX(Housing!AC:AC,MATCH(EOMONTH($A1186,-1),Housing!B:B,0)),2)</f>
        <v>96.73</v>
      </c>
      <c r="P1186">
        <f t="shared" si="1145"/>
        <v>-1</v>
      </c>
      <c r="Q1186">
        <f>ROUND(INDEX(Spending!AJ:AJ,MATCH(EOMONTH($A1186,-1),Spending!B:B,0)),2)</f>
        <v>54.16</v>
      </c>
      <c r="R1186">
        <f t="shared" si="1149"/>
        <v>1</v>
      </c>
      <c r="S1186">
        <f>ROUND(INDEX(Employment!V:V,MATCH(EOMONTH($A1186,-1),Employment!A:A,0)),2)</f>
        <v>165.39</v>
      </c>
      <c r="T1186" s="11">
        <f t="shared" si="1146"/>
        <v>1</v>
      </c>
      <c r="U1186">
        <f t="shared" si="1138"/>
        <v>26</v>
      </c>
      <c r="V1186">
        <f t="shared" si="1130"/>
        <v>72.47</v>
      </c>
      <c r="W1186" s="13">
        <f t="shared" si="1131"/>
        <v>-3.7000000000000002E-3</v>
      </c>
      <c r="X1186" s="13">
        <f t="shared" si="1132"/>
        <v>9.0000000000000063E-4</v>
      </c>
      <c r="Y1186">
        <f t="shared" si="1124"/>
        <v>83.29</v>
      </c>
      <c r="Z1186" s="13">
        <f t="shared" si="1119"/>
        <v>-3.3999999999999998E-3</v>
      </c>
      <c r="AA1186" s="13">
        <f t="shared" si="1115"/>
        <v>4.0999999999999995E-3</v>
      </c>
      <c r="AB1186" s="6">
        <f t="shared" si="1125"/>
        <v>97.006999999999991</v>
      </c>
      <c r="AC1186">
        <f t="shared" si="1117"/>
        <v>49</v>
      </c>
      <c r="AD1186" s="11">
        <f t="shared" si="1118"/>
        <v>2</v>
      </c>
      <c r="AE1186">
        <f t="shared" si="1116"/>
        <v>30</v>
      </c>
      <c r="AF1186">
        <f>IF(AND(AE1186&lt;15,OR(AC1186&gt;=30,AA1186&gt;0.15,X1186&gt;=0.15)),2,VLOOKUP(AE1186,Table!P:Q,2,FALSE))</f>
        <v>4</v>
      </c>
      <c r="AG1186" s="22">
        <f>IF((AB1186*0.98)-(D1186*0.8)+((AF1186-3)*3)+VLOOKUP(AM1186,Table!$A$11:$B$13,2,FALSE)&lt;0,0,(AB1186*0.98)-(D1186*0.8)+((AF1186-3)*3)+VLOOKUP(AM1186,Table!$A$11:$B$13,2,FALSE))</f>
        <v>97.178859999999986</v>
      </c>
      <c r="AH1186" s="22">
        <f t="shared" si="1147"/>
        <v>98</v>
      </c>
      <c r="AI1186" s="18">
        <f t="shared" si="1140"/>
        <v>5.31</v>
      </c>
      <c r="AJ1186" s="18">
        <f t="shared" si="1141"/>
        <v>5.46</v>
      </c>
      <c r="AK1186" t="str">
        <f t="shared" si="1126"/>
        <v/>
      </c>
      <c r="AL1186">
        <f t="shared" si="1137"/>
        <v>29.75</v>
      </c>
      <c r="AM1186" s="11" t="str">
        <f t="shared" si="1127"/>
        <v>Stocks</v>
      </c>
      <c r="AN1186" t="str">
        <f t="shared" si="1133"/>
        <v>Buy</v>
      </c>
      <c r="AO1186" s="13">
        <f t="shared" si="1134"/>
        <v>-1.8E-3</v>
      </c>
      <c r="AP1186" s="13">
        <f t="shared" si="1135"/>
        <v>1E-3</v>
      </c>
      <c r="AQ1186" s="13">
        <f t="shared" si="1136"/>
        <v>-1.6999999999999999E-3</v>
      </c>
      <c r="AR1186" s="13">
        <f t="shared" si="1128"/>
        <v>-1.8E-3</v>
      </c>
      <c r="AS1186" s="6">
        <f t="shared" si="1120"/>
        <v>153.71975660180237</v>
      </c>
      <c r="AT1186" s="6">
        <f t="shared" si="1121"/>
        <v>116.1065451628109</v>
      </c>
      <c r="AU1186" s="6">
        <f t="shared" si="1122"/>
        <v>152.35603612971829</v>
      </c>
      <c r="AV1186" s="6">
        <f t="shared" si="1123"/>
        <v>153.71975660180237</v>
      </c>
      <c r="AW1186" s="58">
        <f t="shared" si="1129"/>
        <v>1995</v>
      </c>
      <c r="AX1186" s="58">
        <f>COUNTIF(AW$3:AW1186,AW1186)</f>
        <v>4</v>
      </c>
    </row>
    <row r="1187" spans="1:50" x14ac:dyDescent="0.25">
      <c r="A1187" s="5">
        <v>35036</v>
      </c>
      <c r="B1187">
        <v>606.98</v>
      </c>
      <c r="C1187">
        <v>5.33</v>
      </c>
      <c r="D1187" s="6">
        <v>11.87</v>
      </c>
      <c r="E1187" s="18">
        <f t="shared" si="1142"/>
        <v>12.44</v>
      </c>
      <c r="F1187">
        <f t="shared" si="1143"/>
        <v>2</v>
      </c>
      <c r="G1187" s="18">
        <f>ROUND(INDEX(Valuation!U:U,MATCH(A1187,Valuation!A:A,0)),2)</f>
        <v>186.97</v>
      </c>
      <c r="H1187">
        <f t="shared" si="1150"/>
        <v>2</v>
      </c>
      <c r="I1187" s="18">
        <f>INDEX(WeeklyIndicators!Y:Y,MATCH(A1187,WeeklyIndicators!A:A,0))</f>
        <v>116.1</v>
      </c>
      <c r="J1187">
        <f t="shared" si="1139"/>
        <v>-1</v>
      </c>
      <c r="K1187">
        <f>ROUND(INDEX(Economic!AF:AF,MATCH(EOMONTH($A1187,-1),Economic!A:A,0)),2)</f>
        <v>120.48</v>
      </c>
      <c r="L1187" s="11">
        <f t="shared" si="1148"/>
        <v>1</v>
      </c>
      <c r="M1187">
        <f>ROUND(INDEX(Manufacturing!P:P,MATCH(EOMONTH($A1187,-1),Manufacturing!A:A,0)),2)</f>
        <v>90.84</v>
      </c>
      <c r="N1187">
        <f t="shared" si="1144"/>
        <v>1</v>
      </c>
      <c r="O1187">
        <f>ROUND(INDEX(Housing!AC:AC,MATCH(EOMONTH($A1187,-1),Housing!B:B,0)),2)</f>
        <v>96.73</v>
      </c>
      <c r="P1187">
        <f t="shared" si="1145"/>
        <v>-1</v>
      </c>
      <c r="Q1187">
        <f>ROUND(INDEX(Spending!AJ:AJ,MATCH(EOMONTH($A1187,-1),Spending!B:B,0)),2)</f>
        <v>54.16</v>
      </c>
      <c r="R1187">
        <f t="shared" si="1149"/>
        <v>1</v>
      </c>
      <c r="S1187">
        <f>ROUND(INDEX(Employment!V:V,MATCH(EOMONTH($A1187,-1),Employment!A:A,0)),2)</f>
        <v>165.39</v>
      </c>
      <c r="T1187" s="11">
        <f t="shared" si="1146"/>
        <v>1</v>
      </c>
      <c r="U1187">
        <f t="shared" si="1138"/>
        <v>26</v>
      </c>
      <c r="V1187">
        <f t="shared" si="1130"/>
        <v>72.62</v>
      </c>
      <c r="W1187" s="13">
        <f t="shared" si="1131"/>
        <v>-3.2000000000000002E-3</v>
      </c>
      <c r="X1187" s="13">
        <f t="shared" si="1132"/>
        <v>1.5599999999999999E-2</v>
      </c>
      <c r="Y1187">
        <f t="shared" si="1124"/>
        <v>83.44</v>
      </c>
      <c r="Z1187" s="13">
        <f t="shared" si="1119"/>
        <v>-2.5999999999999999E-3</v>
      </c>
      <c r="AA1187" s="13">
        <f t="shared" si="1115"/>
        <v>1.7000000000000001E-2</v>
      </c>
      <c r="AB1187" s="6">
        <f t="shared" si="1125"/>
        <v>98.356999999999999</v>
      </c>
      <c r="AC1187">
        <f t="shared" si="1117"/>
        <v>49</v>
      </c>
      <c r="AD1187" s="11">
        <f t="shared" si="1118"/>
        <v>2</v>
      </c>
      <c r="AE1187">
        <f t="shared" si="1116"/>
        <v>30</v>
      </c>
      <c r="AF1187">
        <f>IF(AND(AE1187&lt;15,OR(AC1187&gt;=30,AA1187&gt;0.15,X1187&gt;=0.15)),2,VLOOKUP(AE1187,Table!P:Q,2,FALSE))</f>
        <v>4</v>
      </c>
      <c r="AG1187" s="22">
        <f>IF((AB1187*0.98)-(D1187*0.8)+((AF1187-3)*3)+VLOOKUP(AM1187,Table!$A$11:$B$13,2,FALSE)&lt;0,0,(AB1187*0.98)-(D1187*0.8)+((AF1187-3)*3)+VLOOKUP(AM1187,Table!$A$11:$B$13,2,FALSE))</f>
        <v>97.893860000000004</v>
      </c>
      <c r="AH1187" s="22">
        <f t="shared" si="1147"/>
        <v>98</v>
      </c>
      <c r="AI1187" s="18">
        <f t="shared" si="1140"/>
        <v>5.31</v>
      </c>
      <c r="AJ1187" s="18">
        <f t="shared" si="1141"/>
        <v>5.47</v>
      </c>
      <c r="AK1187" t="str">
        <f t="shared" si="1126"/>
        <v/>
      </c>
      <c r="AL1187">
        <f t="shared" si="1137"/>
        <v>29.75</v>
      </c>
      <c r="AM1187" s="11" t="str">
        <f t="shared" si="1127"/>
        <v>Stocks</v>
      </c>
      <c r="AN1187" t="str">
        <f t="shared" si="1133"/>
        <v>Buy</v>
      </c>
      <c r="AO1187" s="13">
        <f t="shared" si="1134"/>
        <v>1.7299999999999999E-2</v>
      </c>
      <c r="AP1187" s="13">
        <f t="shared" si="1135"/>
        <v>1E-3</v>
      </c>
      <c r="AQ1187" s="13">
        <f t="shared" si="1136"/>
        <v>1.7000000000000001E-2</v>
      </c>
      <c r="AR1187" s="13">
        <f t="shared" si="1128"/>
        <v>1.7299999999999999E-2</v>
      </c>
      <c r="AS1187" s="6">
        <f t="shared" si="1120"/>
        <v>151.10562921635935</v>
      </c>
      <c r="AT1187" s="6">
        <f t="shared" si="1121"/>
        <v>115.99055460820271</v>
      </c>
      <c r="AU1187" s="6">
        <f t="shared" si="1122"/>
        <v>149.80927839696983</v>
      </c>
      <c r="AV1187" s="6">
        <f t="shared" si="1123"/>
        <v>151.10562921635935</v>
      </c>
      <c r="AW1187" s="58">
        <f t="shared" si="1129"/>
        <v>1995</v>
      </c>
      <c r="AX1187" s="58">
        <f>COUNTIF(AW$3:AW1187,AW1187)</f>
        <v>5</v>
      </c>
    </row>
    <row r="1188" spans="1:50" x14ac:dyDescent="0.25">
      <c r="A1188" s="5">
        <v>35029</v>
      </c>
      <c r="B1188">
        <v>599.97</v>
      </c>
      <c r="C1188">
        <v>5.35</v>
      </c>
      <c r="D1188" s="6">
        <v>12.49</v>
      </c>
      <c r="E1188" s="18">
        <f t="shared" si="1142"/>
        <v>12.57</v>
      </c>
      <c r="F1188">
        <f t="shared" si="1143"/>
        <v>2</v>
      </c>
      <c r="G1188" s="18">
        <f>ROUND(INDEX(Valuation!U:U,MATCH(A1188,Valuation!A:A,0)),2)</f>
        <v>189.2</v>
      </c>
      <c r="H1188">
        <f t="shared" si="1150"/>
        <v>2</v>
      </c>
      <c r="I1188" s="18">
        <f>INDEX(WeeklyIndicators!Y:Y,MATCH(A1188,WeeklyIndicators!A:A,0))</f>
        <v>119.52</v>
      </c>
      <c r="J1188">
        <f t="shared" si="1139"/>
        <v>-1</v>
      </c>
      <c r="K1188">
        <f>ROUND(INDEX(Economic!AF:AF,MATCH(EOMONTH($A1188,-1),Economic!A:A,0)),2)</f>
        <v>123.08</v>
      </c>
      <c r="L1188" s="11">
        <f t="shared" si="1148"/>
        <v>1</v>
      </c>
      <c r="M1188">
        <f>ROUND(INDEX(Manufacturing!P:P,MATCH(EOMONTH($A1188,-1),Manufacturing!A:A,0)),2)</f>
        <v>87.03</v>
      </c>
      <c r="N1188">
        <f t="shared" si="1144"/>
        <v>0</v>
      </c>
      <c r="O1188">
        <f>ROUND(INDEX(Housing!AC:AC,MATCH(EOMONTH($A1188,-1),Housing!B:B,0)),2)</f>
        <v>93.16</v>
      </c>
      <c r="P1188">
        <f t="shared" si="1145"/>
        <v>-1</v>
      </c>
      <c r="Q1188">
        <f>ROUND(INDEX(Spending!AJ:AJ,MATCH(EOMONTH($A1188,-1),Spending!B:B,0)),2)</f>
        <v>57.82</v>
      </c>
      <c r="R1188">
        <f t="shared" si="1149"/>
        <v>1</v>
      </c>
      <c r="S1188">
        <f>ROUND(INDEX(Employment!V:V,MATCH(EOMONTH($A1188,-1),Employment!A:A,0)),2)</f>
        <v>166.29</v>
      </c>
      <c r="T1188" s="11">
        <f t="shared" si="1146"/>
        <v>1</v>
      </c>
      <c r="U1188">
        <f t="shared" si="1138"/>
        <v>25</v>
      </c>
      <c r="V1188">
        <f t="shared" si="1130"/>
        <v>72.95</v>
      </c>
      <c r="W1188" s="13">
        <f t="shared" si="1131"/>
        <v>-2.0000000000000001E-4</v>
      </c>
      <c r="X1188" s="13">
        <f t="shared" si="1132"/>
        <v>2.8799999999999999E-2</v>
      </c>
      <c r="Y1188">
        <f t="shared" si="1124"/>
        <v>83.97</v>
      </c>
      <c r="Z1188" s="13">
        <f t="shared" si="1119"/>
        <v>1.8E-3</v>
      </c>
      <c r="AA1188" s="13">
        <f t="shared" si="1115"/>
        <v>2.5999999999999999E-2</v>
      </c>
      <c r="AB1188" s="6">
        <f t="shared" si="1125"/>
        <v>99.850000000000009</v>
      </c>
      <c r="AC1188">
        <f t="shared" si="1117"/>
        <v>50</v>
      </c>
      <c r="AD1188" s="11">
        <f t="shared" si="1118"/>
        <v>2</v>
      </c>
      <c r="AE1188">
        <f t="shared" si="1116"/>
        <v>29</v>
      </c>
      <c r="AF1188">
        <f>IF(AND(AE1188&lt;15,OR(AC1188&gt;=30,AA1188&gt;0.15,X1188&gt;=0.15)),2,VLOOKUP(AE1188,Table!P:Q,2,FALSE))</f>
        <v>4</v>
      </c>
      <c r="AG1188" s="22">
        <f>IF((AB1188*0.98)-(D1188*0.8)+((AF1188-3)*3)+VLOOKUP(AM1188,Table!$A$11:$B$13,2,FALSE)&lt;0,0,(AB1188*0.98)-(D1188*0.8)+((AF1188-3)*3)+VLOOKUP(AM1188,Table!$A$11:$B$13,2,FALSE))</f>
        <v>98.861000000000004</v>
      </c>
      <c r="AH1188" s="22">
        <f t="shared" si="1147"/>
        <v>98</v>
      </c>
      <c r="AI1188" s="18">
        <f t="shared" si="1140"/>
        <v>5.3</v>
      </c>
      <c r="AJ1188" s="18">
        <f t="shared" si="1141"/>
        <v>5.48</v>
      </c>
      <c r="AK1188" t="str">
        <f t="shared" si="1126"/>
        <v/>
      </c>
      <c r="AL1188">
        <f t="shared" si="1137"/>
        <v>29.75</v>
      </c>
      <c r="AM1188" s="11" t="str">
        <f t="shared" si="1127"/>
        <v>Stocks</v>
      </c>
      <c r="AN1188" t="str">
        <f t="shared" si="1133"/>
        <v>Buy</v>
      </c>
      <c r="AO1188" s="13">
        <f t="shared" si="1134"/>
        <v>1.17E-2</v>
      </c>
      <c r="AP1188" s="13">
        <f t="shared" si="1135"/>
        <v>1E-3</v>
      </c>
      <c r="AQ1188" s="13">
        <f t="shared" si="1136"/>
        <v>1.15E-2</v>
      </c>
      <c r="AR1188" s="13">
        <f t="shared" si="1128"/>
        <v>1.17E-2</v>
      </c>
      <c r="AS1188" s="6">
        <f t="shared" si="1120"/>
        <v>149.3581389901743</v>
      </c>
      <c r="AT1188" s="6">
        <f t="shared" si="1121"/>
        <v>115.87467992827445</v>
      </c>
      <c r="AU1188" s="6">
        <f t="shared" si="1122"/>
        <v>148.10605872167062</v>
      </c>
      <c r="AV1188" s="6">
        <f t="shared" si="1123"/>
        <v>149.3581389901743</v>
      </c>
      <c r="AW1188" s="58">
        <f t="shared" si="1129"/>
        <v>1995</v>
      </c>
      <c r="AX1188" s="58">
        <f>COUNTIF(AW$3:AW1188,AW1188)</f>
        <v>6</v>
      </c>
    </row>
    <row r="1189" spans="1:50" x14ac:dyDescent="0.25">
      <c r="A1189" s="5">
        <v>35022</v>
      </c>
      <c r="B1189">
        <v>600.07000000000005</v>
      </c>
      <c r="C1189">
        <v>5.38</v>
      </c>
      <c r="D1189" s="6">
        <v>12.97</v>
      </c>
      <c r="E1189" s="18">
        <f t="shared" si="1142"/>
        <v>13.29</v>
      </c>
      <c r="F1189">
        <f t="shared" si="1143"/>
        <v>2</v>
      </c>
      <c r="G1189" s="18">
        <f>ROUND(INDEX(Valuation!U:U,MATCH(A1189,Valuation!A:A,0)),2)</f>
        <v>190.28</v>
      </c>
      <c r="H1189">
        <f t="shared" si="1150"/>
        <v>2</v>
      </c>
      <c r="I1189" s="18">
        <f>INDEX(WeeklyIndicators!Y:Y,MATCH(A1189,WeeklyIndicators!A:A,0))</f>
        <v>122.55</v>
      </c>
      <c r="J1189">
        <f t="shared" si="1139"/>
        <v>0</v>
      </c>
      <c r="K1189">
        <f>ROUND(INDEX(Economic!AF:AF,MATCH(EOMONTH($A1189,-1),Economic!A:A,0)),2)</f>
        <v>123.08</v>
      </c>
      <c r="L1189" s="11">
        <f t="shared" si="1148"/>
        <v>1</v>
      </c>
      <c r="M1189">
        <f>ROUND(INDEX(Manufacturing!P:P,MATCH(EOMONTH($A1189,-1),Manufacturing!A:A,0)),2)</f>
        <v>87.03</v>
      </c>
      <c r="N1189">
        <f t="shared" si="1144"/>
        <v>0</v>
      </c>
      <c r="O1189">
        <f>ROUND(INDEX(Housing!AC:AC,MATCH(EOMONTH($A1189,-1),Housing!B:B,0)),2)</f>
        <v>93.16</v>
      </c>
      <c r="P1189">
        <f t="shared" si="1145"/>
        <v>-1</v>
      </c>
      <c r="Q1189">
        <f>ROUND(INDEX(Spending!AJ:AJ,MATCH(EOMONTH($A1189,-1),Spending!B:B,0)),2)</f>
        <v>57.82</v>
      </c>
      <c r="R1189">
        <f t="shared" si="1149"/>
        <v>1</v>
      </c>
      <c r="S1189">
        <f>ROUND(INDEX(Employment!V:V,MATCH(EOMONTH($A1189,-1),Employment!A:A,0)),2)</f>
        <v>166.29</v>
      </c>
      <c r="T1189" s="11">
        <f t="shared" si="1146"/>
        <v>1</v>
      </c>
      <c r="U1189">
        <f t="shared" si="1138"/>
        <v>26</v>
      </c>
      <c r="V1189">
        <f t="shared" si="1130"/>
        <v>73.27</v>
      </c>
      <c r="W1189" s="13">
        <f t="shared" si="1131"/>
        <v>8.0000000000000002E-3</v>
      </c>
      <c r="X1189" s="13">
        <f t="shared" si="1132"/>
        <v>2.9799999999999997E-2</v>
      </c>
      <c r="Y1189">
        <f t="shared" si="1124"/>
        <v>84.15</v>
      </c>
      <c r="Z1189" s="13">
        <f t="shared" si="1119"/>
        <v>8.3000000000000001E-3</v>
      </c>
      <c r="AA1189" s="13">
        <f t="shared" si="1115"/>
        <v>2.0899999999999998E-2</v>
      </c>
      <c r="AB1189" s="6">
        <f t="shared" si="1125"/>
        <v>99.818000000000012</v>
      </c>
      <c r="AC1189">
        <f t="shared" si="1117"/>
        <v>50</v>
      </c>
      <c r="AD1189" s="11">
        <f t="shared" si="1118"/>
        <v>2</v>
      </c>
      <c r="AE1189">
        <f t="shared" si="1116"/>
        <v>30</v>
      </c>
      <c r="AF1189">
        <f>IF(AND(AE1189&lt;15,OR(AC1189&gt;=30,AA1189&gt;0.15,X1189&gt;=0.15)),2,VLOOKUP(AE1189,Table!P:Q,2,FALSE))</f>
        <v>4</v>
      </c>
      <c r="AG1189" s="22">
        <f>IF((AB1189*0.98)-(D1189*0.8)+((AF1189-3)*3)+VLOOKUP(AM1189,Table!$A$11:$B$13,2,FALSE)&lt;0,0,(AB1189*0.98)-(D1189*0.8)+((AF1189-3)*3)+VLOOKUP(AM1189,Table!$A$11:$B$13,2,FALSE))</f>
        <v>98.445640000000012</v>
      </c>
      <c r="AH1189" s="22">
        <f t="shared" si="1147"/>
        <v>97</v>
      </c>
      <c r="AI1189" s="18">
        <f t="shared" si="1140"/>
        <v>5.31</v>
      </c>
      <c r="AJ1189" s="18">
        <f t="shared" si="1141"/>
        <v>5.49</v>
      </c>
      <c r="AK1189" t="str">
        <f t="shared" si="1126"/>
        <v/>
      </c>
      <c r="AL1189">
        <f t="shared" si="1137"/>
        <v>29.75</v>
      </c>
      <c r="AM1189" s="11" t="str">
        <f t="shared" si="1127"/>
        <v>Stocks</v>
      </c>
      <c r="AN1189" t="str">
        <f t="shared" si="1133"/>
        <v>Buy</v>
      </c>
      <c r="AO1189" s="13">
        <f t="shared" si="1134"/>
        <v>-2.0000000000000001E-4</v>
      </c>
      <c r="AP1189" s="13">
        <f t="shared" si="1135"/>
        <v>1E-3</v>
      </c>
      <c r="AQ1189" s="13">
        <f t="shared" si="1136"/>
        <v>-2.0000000000000001E-4</v>
      </c>
      <c r="AR1189" s="13">
        <f t="shared" si="1128"/>
        <v>-2.0000000000000001E-4</v>
      </c>
      <c r="AS1189" s="6">
        <f t="shared" si="1120"/>
        <v>149.38801659349298</v>
      </c>
      <c r="AT1189" s="6">
        <f t="shared" si="1121"/>
        <v>115.75892100726719</v>
      </c>
      <c r="AU1189" s="6">
        <f t="shared" si="1122"/>
        <v>148.13568585884238</v>
      </c>
      <c r="AV1189" s="6">
        <f t="shared" si="1123"/>
        <v>149.38801659349298</v>
      </c>
      <c r="AW1189" s="58">
        <f t="shared" si="1129"/>
        <v>1995</v>
      </c>
      <c r="AX1189" s="58">
        <f>COUNTIF(AW$3:AW1189,AW1189)</f>
        <v>7</v>
      </c>
    </row>
    <row r="1190" spans="1:50" x14ac:dyDescent="0.25">
      <c r="A1190" s="5">
        <v>35015</v>
      </c>
      <c r="B1190">
        <v>592.72</v>
      </c>
      <c r="C1190">
        <v>5.38</v>
      </c>
      <c r="D1190" s="6">
        <v>12.26</v>
      </c>
      <c r="E1190" s="18">
        <f t="shared" si="1142"/>
        <v>13.45</v>
      </c>
      <c r="F1190">
        <f t="shared" si="1143"/>
        <v>2</v>
      </c>
      <c r="G1190" s="18">
        <f>ROUND(INDEX(Valuation!U:U,MATCH(A1190,Valuation!A:A,0)),2)</f>
        <v>189.74</v>
      </c>
      <c r="H1190">
        <f t="shared" si="1150"/>
        <v>2</v>
      </c>
      <c r="I1190" s="18">
        <f>INDEX(WeeklyIndicators!Y:Y,MATCH(A1190,WeeklyIndicators!A:A,0))</f>
        <v>123.16</v>
      </c>
      <c r="J1190">
        <f t="shared" si="1139"/>
        <v>0</v>
      </c>
      <c r="K1190">
        <f>ROUND(INDEX(Economic!AF:AF,MATCH(EOMONTH($A1190,-1),Economic!A:A,0)),2)</f>
        <v>123.08</v>
      </c>
      <c r="L1190" s="11">
        <f t="shared" si="1148"/>
        <v>1</v>
      </c>
      <c r="M1190">
        <f>ROUND(INDEX(Manufacturing!P:P,MATCH(EOMONTH($A1190,-1),Manufacturing!A:A,0)),2)</f>
        <v>87.03</v>
      </c>
      <c r="N1190">
        <f t="shared" si="1144"/>
        <v>0</v>
      </c>
      <c r="O1190">
        <f>ROUND(INDEX(Housing!AC:AC,MATCH(EOMONTH($A1190,-1),Housing!B:B,0)),2)</f>
        <v>93.16</v>
      </c>
      <c r="P1190">
        <f t="shared" si="1145"/>
        <v>-1</v>
      </c>
      <c r="Q1190">
        <f>ROUND(INDEX(Spending!AJ:AJ,MATCH(EOMONTH($A1190,-1),Spending!B:B,0)),2)</f>
        <v>57.82</v>
      </c>
      <c r="R1190">
        <f t="shared" si="1149"/>
        <v>1</v>
      </c>
      <c r="S1190">
        <f>ROUND(INDEX(Employment!V:V,MATCH(EOMONTH($A1190,-1),Employment!A:A,0)),2)</f>
        <v>166.29</v>
      </c>
      <c r="T1190" s="11">
        <f t="shared" si="1146"/>
        <v>1</v>
      </c>
      <c r="U1190">
        <f t="shared" si="1138"/>
        <v>26</v>
      </c>
      <c r="V1190">
        <f t="shared" si="1130"/>
        <v>73.33</v>
      </c>
      <c r="W1190" s="13">
        <f t="shared" si="1131"/>
        <v>1.0999999999999999E-2</v>
      </c>
      <c r="X1190" s="13">
        <f t="shared" si="1132"/>
        <v>1.6999999999999998E-2</v>
      </c>
      <c r="Y1190">
        <f t="shared" si="1124"/>
        <v>84.1</v>
      </c>
      <c r="Z1190" s="13">
        <f t="shared" si="1119"/>
        <v>9.4999999999999998E-3</v>
      </c>
      <c r="AA1190" s="13">
        <f t="shared" si="1115"/>
        <v>3.7999999999999996E-3</v>
      </c>
      <c r="AB1190" s="6">
        <f t="shared" si="1125"/>
        <v>98.444000000000003</v>
      </c>
      <c r="AC1190">
        <f t="shared" si="1117"/>
        <v>49</v>
      </c>
      <c r="AD1190" s="11">
        <f t="shared" si="1118"/>
        <v>2</v>
      </c>
      <c r="AE1190">
        <f t="shared" si="1116"/>
        <v>30</v>
      </c>
      <c r="AF1190">
        <f>IF(AND(AE1190&lt;15,OR(AC1190&gt;=30,AA1190&gt;0.15,X1190&gt;=0.15)),2,VLOOKUP(AE1190,Table!P:Q,2,FALSE))</f>
        <v>4</v>
      </c>
      <c r="AG1190" s="22">
        <f>IF((AB1190*0.98)-(D1190*0.8)+((AF1190-3)*3)+VLOOKUP(AM1190,Table!$A$11:$B$13,2,FALSE)&lt;0,0,(AB1190*0.98)-(D1190*0.8)+((AF1190-3)*3)+VLOOKUP(AM1190,Table!$A$11:$B$13,2,FALSE))</f>
        <v>97.667120000000011</v>
      </c>
      <c r="AH1190" s="22">
        <f t="shared" si="1147"/>
        <v>95</v>
      </c>
      <c r="AI1190" s="18">
        <f t="shared" si="1140"/>
        <v>5.31</v>
      </c>
      <c r="AJ1190" s="18">
        <f t="shared" si="1141"/>
        <v>5.5</v>
      </c>
      <c r="AK1190" t="str">
        <f t="shared" si="1126"/>
        <v/>
      </c>
      <c r="AL1190">
        <f t="shared" si="1137"/>
        <v>29.5</v>
      </c>
      <c r="AM1190" s="11" t="str">
        <f t="shared" si="1127"/>
        <v>Stocks</v>
      </c>
      <c r="AN1190" t="str">
        <f t="shared" si="1133"/>
        <v>Buy</v>
      </c>
      <c r="AO1190" s="13">
        <f t="shared" si="1134"/>
        <v>1.24E-2</v>
      </c>
      <c r="AP1190" s="13">
        <f t="shared" si="1135"/>
        <v>1E-3</v>
      </c>
      <c r="AQ1190" s="13">
        <f t="shared" si="1136"/>
        <v>1.18E-2</v>
      </c>
      <c r="AR1190" s="13">
        <f t="shared" si="1128"/>
        <v>1.24E-2</v>
      </c>
      <c r="AS1190" s="6">
        <f t="shared" si="1120"/>
        <v>147.55829375098082</v>
      </c>
      <c r="AT1190" s="6">
        <f t="shared" si="1121"/>
        <v>115.64327772953767</v>
      </c>
      <c r="AU1190" s="6">
        <f t="shared" si="1122"/>
        <v>146.40807062546193</v>
      </c>
      <c r="AV1190" s="6">
        <f t="shared" si="1123"/>
        <v>147.55829375098082</v>
      </c>
      <c r="AW1190" s="58">
        <f t="shared" si="1129"/>
        <v>1995</v>
      </c>
      <c r="AX1190" s="58">
        <f>COUNTIF(AW$3:AW1190,AW1190)</f>
        <v>8</v>
      </c>
    </row>
    <row r="1191" spans="1:50" x14ac:dyDescent="0.25">
      <c r="A1191" s="5">
        <v>35008</v>
      </c>
      <c r="B1191">
        <v>590.57000000000005</v>
      </c>
      <c r="C1191">
        <v>5.31</v>
      </c>
      <c r="D1191" s="6">
        <v>14.63</v>
      </c>
      <c r="E1191" s="18">
        <f t="shared" si="1142"/>
        <v>13.92</v>
      </c>
      <c r="F1191">
        <f t="shared" si="1143"/>
        <v>2</v>
      </c>
      <c r="G1191" s="18">
        <f>ROUND(INDEX(Valuation!U:U,MATCH(A1191,Valuation!A:A,0)),2)</f>
        <v>188.94</v>
      </c>
      <c r="H1191">
        <f t="shared" si="1150"/>
        <v>2</v>
      </c>
      <c r="I1191" s="18">
        <f>INDEX(WeeklyIndicators!Y:Y,MATCH(A1191,WeeklyIndicators!A:A,0))</f>
        <v>120</v>
      </c>
      <c r="J1191">
        <f t="shared" si="1139"/>
        <v>0</v>
      </c>
      <c r="K1191">
        <f>ROUND(INDEX(Economic!AF:AF,MATCH(EOMONTH($A1191,-1),Economic!A:A,0)),2)</f>
        <v>123.08</v>
      </c>
      <c r="L1191" s="11">
        <f t="shared" si="1148"/>
        <v>1</v>
      </c>
      <c r="M1191">
        <f>ROUND(INDEX(Manufacturing!P:P,MATCH(EOMONTH($A1191,-1),Manufacturing!A:A,0)),2)</f>
        <v>87.03</v>
      </c>
      <c r="N1191">
        <f t="shared" si="1144"/>
        <v>0</v>
      </c>
      <c r="O1191">
        <f>ROUND(INDEX(Housing!AC:AC,MATCH(EOMONTH($A1191,-1),Housing!B:B,0)),2)</f>
        <v>93.16</v>
      </c>
      <c r="P1191">
        <f t="shared" si="1145"/>
        <v>-1</v>
      </c>
      <c r="Q1191">
        <f>ROUND(INDEX(Spending!AJ:AJ,MATCH(EOMONTH($A1191,-1),Spending!B:B,0)),2)</f>
        <v>57.82</v>
      </c>
      <c r="R1191">
        <f t="shared" si="1149"/>
        <v>1</v>
      </c>
      <c r="S1191">
        <f>ROUND(INDEX(Employment!V:V,MATCH(EOMONTH($A1191,-1),Employment!A:A,0)),2)</f>
        <v>166.29</v>
      </c>
      <c r="T1191" s="11">
        <f t="shared" si="1146"/>
        <v>1</v>
      </c>
      <c r="U1191">
        <f t="shared" si="1138"/>
        <v>26</v>
      </c>
      <c r="V1191">
        <f t="shared" si="1130"/>
        <v>73</v>
      </c>
      <c r="W1191" s="13">
        <f t="shared" si="1131"/>
        <v>0.01</v>
      </c>
      <c r="X1191" s="13">
        <f t="shared" si="1132"/>
        <v>1.1300000000000001E-2</v>
      </c>
      <c r="Y1191">
        <f t="shared" si="1124"/>
        <v>83.52</v>
      </c>
      <c r="Z1191" s="13">
        <f t="shared" si="1119"/>
        <v>6.4000000000000003E-3</v>
      </c>
      <c r="AA1191" s="13">
        <f t="shared" si="1115"/>
        <v>-5.8999999999999999E-3</v>
      </c>
      <c r="AB1191" s="6">
        <f t="shared" si="1125"/>
        <v>97.064000000000007</v>
      </c>
      <c r="AC1191">
        <f t="shared" si="1117"/>
        <v>49</v>
      </c>
      <c r="AD1191" s="11">
        <f t="shared" si="1118"/>
        <v>2</v>
      </c>
      <c r="AE1191">
        <f t="shared" si="1116"/>
        <v>30</v>
      </c>
      <c r="AF1191">
        <f>IF(AND(AE1191&lt;15,OR(AC1191&gt;=30,AA1191&gt;0.15,X1191&gt;=0.15)),2,VLOOKUP(AE1191,Table!P:Q,2,FALSE))</f>
        <v>4</v>
      </c>
      <c r="AG1191" s="22">
        <f>IF((AB1191*0.98)-(D1191*0.8)+((AF1191-3)*3)+VLOOKUP(AM1191,Table!$A$11:$B$13,2,FALSE)&lt;0,0,(AB1191*0.98)-(D1191*0.8)+((AF1191-3)*3)+VLOOKUP(AM1191,Table!$A$11:$B$13,2,FALSE))</f>
        <v>94.418720000000008</v>
      </c>
      <c r="AH1191" s="22">
        <f t="shared" si="1147"/>
        <v>94</v>
      </c>
      <c r="AI1191" s="18">
        <f t="shared" si="1140"/>
        <v>5.32</v>
      </c>
      <c r="AJ1191" s="18">
        <f t="shared" si="1141"/>
        <v>5.51</v>
      </c>
      <c r="AK1191" t="str">
        <f t="shared" si="1126"/>
        <v>Falling Rates</v>
      </c>
      <c r="AL1191">
        <f t="shared" si="1137"/>
        <v>29.25</v>
      </c>
      <c r="AM1191" s="11" t="str">
        <f t="shared" si="1127"/>
        <v>Stocks</v>
      </c>
      <c r="AN1191" t="str">
        <f t="shared" si="1133"/>
        <v>Buy</v>
      </c>
      <c r="AO1191" s="13">
        <f t="shared" si="1134"/>
        <v>3.5999999999999999E-3</v>
      </c>
      <c r="AP1191" s="13">
        <f t="shared" si="1135"/>
        <v>1E-3</v>
      </c>
      <c r="AQ1191" s="13">
        <f t="shared" si="1136"/>
        <v>3.3999999999999998E-3</v>
      </c>
      <c r="AR1191" s="13">
        <f t="shared" si="1128"/>
        <v>3.5999999999999999E-3</v>
      </c>
      <c r="AS1191" s="6">
        <f t="shared" si="1120"/>
        <v>147.02898938917977</v>
      </c>
      <c r="AT1191" s="6">
        <f t="shared" si="1121"/>
        <v>115.52774997955812</v>
      </c>
      <c r="AU1191" s="6">
        <f t="shared" si="1122"/>
        <v>145.9119699277077</v>
      </c>
      <c r="AV1191" s="6">
        <f t="shared" si="1123"/>
        <v>147.02898938917977</v>
      </c>
      <c r="AW1191" s="58">
        <f t="shared" si="1129"/>
        <v>1995</v>
      </c>
      <c r="AX1191" s="58">
        <f>COUNTIF(AW$3:AW1191,AW1191)</f>
        <v>9</v>
      </c>
    </row>
    <row r="1192" spans="1:50" x14ac:dyDescent="0.25">
      <c r="A1192" s="5">
        <v>35001</v>
      </c>
      <c r="B1192">
        <v>579.70000000000005</v>
      </c>
      <c r="C1192">
        <v>5.24</v>
      </c>
      <c r="D1192" s="6">
        <v>13.46</v>
      </c>
      <c r="E1192" s="18">
        <f t="shared" si="1142"/>
        <v>13.7</v>
      </c>
      <c r="F1192">
        <f t="shared" si="1143"/>
        <v>2</v>
      </c>
      <c r="G1192" s="18">
        <f>ROUND(INDEX(Valuation!U:U,MATCH(A1192,Valuation!A:A,0)),2)</f>
        <v>188.65</v>
      </c>
      <c r="H1192">
        <f t="shared" si="1150"/>
        <v>2</v>
      </c>
      <c r="I1192" s="18">
        <f>INDEX(WeeklyIndicators!Y:Y,MATCH(A1192,WeeklyIndicators!A:A,0))</f>
        <v>115.35</v>
      </c>
      <c r="J1192">
        <f t="shared" si="1139"/>
        <v>-1</v>
      </c>
      <c r="K1192">
        <f>ROUND(INDEX(Economic!AF:AF,MATCH(EOMONTH($A1192,-1),Economic!A:A,0)),2)</f>
        <v>122.26</v>
      </c>
      <c r="L1192" s="11">
        <f t="shared" si="1148"/>
        <v>1</v>
      </c>
      <c r="M1192">
        <f>ROUND(INDEX(Manufacturing!P:P,MATCH(EOMONTH($A1192,-1),Manufacturing!A:A,0)),2)</f>
        <v>87.01</v>
      </c>
      <c r="N1192">
        <f t="shared" si="1144"/>
        <v>0</v>
      </c>
      <c r="O1192">
        <f>ROUND(INDEX(Housing!AC:AC,MATCH(EOMONTH($A1192,-1),Housing!B:B,0)),2)</f>
        <v>87.87</v>
      </c>
      <c r="P1192">
        <f t="shared" si="1145"/>
        <v>-1</v>
      </c>
      <c r="Q1192">
        <f>ROUND(INDEX(Spending!AJ:AJ,MATCH(EOMONTH($A1192,-1),Spending!B:B,0)),2)</f>
        <v>57.86</v>
      </c>
      <c r="R1192">
        <f t="shared" si="1149"/>
        <v>1</v>
      </c>
      <c r="S1192">
        <f>ROUND(INDEX(Employment!V:V,MATCH(EOMONTH($A1192,-1),Employment!A:A,0)),2)</f>
        <v>160.12</v>
      </c>
      <c r="T1192" s="11">
        <f t="shared" si="1146"/>
        <v>1</v>
      </c>
      <c r="U1192">
        <f t="shared" si="1138"/>
        <v>25</v>
      </c>
      <c r="V1192">
        <f t="shared" si="1130"/>
        <v>71.52</v>
      </c>
      <c r="W1192" s="13">
        <f t="shared" si="1131"/>
        <v>8.0000000000000004E-4</v>
      </c>
      <c r="X1192" s="13">
        <f t="shared" si="1132"/>
        <v>7.9000000000000008E-3</v>
      </c>
      <c r="Y1192">
        <f t="shared" si="1124"/>
        <v>82.08</v>
      </c>
      <c r="Z1192" s="13">
        <f t="shared" si="1119"/>
        <v>-3.3E-3</v>
      </c>
      <c r="AA1192" s="13">
        <f t="shared" si="1115"/>
        <v>-9.7999999999999997E-3</v>
      </c>
      <c r="AB1192" s="6">
        <f t="shared" si="1125"/>
        <v>95.254999999999995</v>
      </c>
      <c r="AC1192">
        <f t="shared" si="1117"/>
        <v>48</v>
      </c>
      <c r="AD1192" s="11">
        <f t="shared" si="1118"/>
        <v>2</v>
      </c>
      <c r="AE1192">
        <f t="shared" si="1116"/>
        <v>29</v>
      </c>
      <c r="AF1192">
        <f>IF(AND(AE1192&lt;15,OR(AC1192&gt;=30,AA1192&gt;0.15,X1192&gt;=0.15)),2,VLOOKUP(AE1192,Table!P:Q,2,FALSE))</f>
        <v>4</v>
      </c>
      <c r="AG1192" s="22">
        <f>IF((AB1192*0.98)-(D1192*0.8)+((AF1192-3)*3)+VLOOKUP(AM1192,Table!$A$11:$B$13,2,FALSE)&lt;0,0,(AB1192*0.98)-(D1192*0.8)+((AF1192-3)*3)+VLOOKUP(AM1192,Table!$A$11:$B$13,2,FALSE))</f>
        <v>93.58189999999999</v>
      </c>
      <c r="AH1192" s="22">
        <f t="shared" si="1147"/>
        <v>94</v>
      </c>
      <c r="AI1192" s="18">
        <f t="shared" si="1140"/>
        <v>5.32</v>
      </c>
      <c r="AJ1192" s="18">
        <f t="shared" si="1141"/>
        <v>5.52</v>
      </c>
      <c r="AK1192" t="str">
        <f t="shared" si="1126"/>
        <v>Falling Rates</v>
      </c>
      <c r="AL1192">
        <f t="shared" si="1137"/>
        <v>29</v>
      </c>
      <c r="AM1192" s="11" t="str">
        <f t="shared" si="1127"/>
        <v>Stocks</v>
      </c>
      <c r="AN1192" t="str">
        <f t="shared" si="1133"/>
        <v>Buy</v>
      </c>
      <c r="AO1192" s="13">
        <f t="shared" si="1134"/>
        <v>1.8800000000000001E-2</v>
      </c>
      <c r="AP1192" s="13">
        <f t="shared" si="1135"/>
        <v>1E-3</v>
      </c>
      <c r="AQ1192" s="13">
        <f t="shared" si="1136"/>
        <v>1.77E-2</v>
      </c>
      <c r="AR1192" s="13">
        <f t="shared" si="1128"/>
        <v>1.8800000000000001E-2</v>
      </c>
      <c r="AS1192" s="6">
        <f t="shared" si="1120"/>
        <v>144.31585138317607</v>
      </c>
      <c r="AT1192" s="6">
        <f t="shared" si="1121"/>
        <v>115.41233764191622</v>
      </c>
      <c r="AU1192" s="6">
        <f t="shared" si="1122"/>
        <v>143.37424577744687</v>
      </c>
      <c r="AV1192" s="6">
        <f t="shared" si="1123"/>
        <v>144.31585138317607</v>
      </c>
      <c r="AW1192" s="58">
        <f t="shared" si="1129"/>
        <v>1995</v>
      </c>
      <c r="AX1192" s="58">
        <f>COUNTIF(AW$3:AW1192,AW1192)</f>
        <v>10</v>
      </c>
    </row>
    <row r="1193" spans="1:50" x14ac:dyDescent="0.25">
      <c r="A1193" s="5">
        <v>34994</v>
      </c>
      <c r="B1193">
        <v>587.46</v>
      </c>
      <c r="C1193">
        <v>5.27</v>
      </c>
      <c r="D1193" s="6">
        <v>13.67</v>
      </c>
      <c r="E1193" s="18">
        <f t="shared" si="1142"/>
        <v>13.46</v>
      </c>
      <c r="F1193">
        <f t="shared" si="1143"/>
        <v>2</v>
      </c>
      <c r="G1193" s="18">
        <f>ROUND(INDEX(Valuation!U:U,MATCH(A1193,Valuation!A:A,0)),2)</f>
        <v>189.81</v>
      </c>
      <c r="H1193">
        <f t="shared" si="1150"/>
        <v>2</v>
      </c>
      <c r="I1193" s="18">
        <f>INDEX(WeeklyIndicators!Y:Y,MATCH(A1193,WeeklyIndicators!A:A,0))</f>
        <v>110.06</v>
      </c>
      <c r="J1193">
        <f t="shared" si="1139"/>
        <v>-1</v>
      </c>
      <c r="K1193">
        <f>ROUND(INDEX(Economic!AF:AF,MATCH(EOMONTH($A1193,-1),Economic!A:A,0)),2)</f>
        <v>122.26</v>
      </c>
      <c r="L1193" s="11">
        <f t="shared" si="1148"/>
        <v>1</v>
      </c>
      <c r="M1193">
        <f>ROUND(INDEX(Manufacturing!P:P,MATCH(EOMONTH($A1193,-1),Manufacturing!A:A,0)),2)</f>
        <v>87.01</v>
      </c>
      <c r="N1193">
        <f t="shared" si="1144"/>
        <v>0</v>
      </c>
      <c r="O1193">
        <f>ROUND(INDEX(Housing!AC:AC,MATCH(EOMONTH($A1193,-1),Housing!B:B,0)),2)</f>
        <v>87.87</v>
      </c>
      <c r="P1193">
        <f t="shared" si="1145"/>
        <v>-1</v>
      </c>
      <c r="Q1193">
        <f>ROUND(INDEX(Spending!AJ:AJ,MATCH(EOMONTH($A1193,-1),Spending!B:B,0)),2)</f>
        <v>57.86</v>
      </c>
      <c r="R1193">
        <f t="shared" si="1149"/>
        <v>1</v>
      </c>
      <c r="S1193">
        <f>ROUND(INDEX(Employment!V:V,MATCH(EOMONTH($A1193,-1),Employment!A:A,0)),2)</f>
        <v>160.12</v>
      </c>
      <c r="T1193" s="11">
        <f t="shared" si="1146"/>
        <v>1</v>
      </c>
      <c r="U1193">
        <f t="shared" si="1138"/>
        <v>25</v>
      </c>
      <c r="V1193">
        <f t="shared" si="1130"/>
        <v>70.97</v>
      </c>
      <c r="W1193" s="13">
        <f t="shared" si="1131"/>
        <v>-4.7999999999999996E-3</v>
      </c>
      <c r="X1193" s="13">
        <f t="shared" si="1132"/>
        <v>1.6899999999999998E-2</v>
      </c>
      <c r="Y1193">
        <f t="shared" si="1124"/>
        <v>81.75</v>
      </c>
      <c r="Z1193" s="13">
        <f t="shared" si="1119"/>
        <v>-8.8000000000000005E-3</v>
      </c>
      <c r="AA1193" s="13">
        <f t="shared" si="1115"/>
        <v>4.9999999999999958E-4</v>
      </c>
      <c r="AB1193" s="6">
        <f t="shared" si="1125"/>
        <v>95.800999999999988</v>
      </c>
      <c r="AC1193">
        <f t="shared" si="1117"/>
        <v>48</v>
      </c>
      <c r="AD1193" s="11">
        <f t="shared" si="1118"/>
        <v>2</v>
      </c>
      <c r="AE1193">
        <f t="shared" si="1116"/>
        <v>29</v>
      </c>
      <c r="AF1193">
        <f>IF(AND(AE1193&lt;15,OR(AC1193&gt;=30,AA1193&gt;0.15,X1193&gt;=0.15)),2,VLOOKUP(AE1193,Table!P:Q,2,FALSE))</f>
        <v>4</v>
      </c>
      <c r="AG1193" s="22">
        <f>IF((AB1193*0.98)-(D1193*0.8)+((AF1193-3)*3)+VLOOKUP(AM1193,Table!$A$11:$B$13,2,FALSE)&lt;0,0,(AB1193*0.98)-(D1193*0.8)+((AF1193-3)*3)+VLOOKUP(AM1193,Table!$A$11:$B$13,2,FALSE))</f>
        <v>93.948979999999978</v>
      </c>
      <c r="AH1193" s="22">
        <f t="shared" si="1147"/>
        <v>95</v>
      </c>
      <c r="AI1193" s="18">
        <f t="shared" si="1140"/>
        <v>5.34</v>
      </c>
      <c r="AJ1193" s="18">
        <f t="shared" si="1141"/>
        <v>5.54</v>
      </c>
      <c r="AK1193" t="str">
        <f t="shared" si="1126"/>
        <v>Falling Rates</v>
      </c>
      <c r="AL1193">
        <f t="shared" si="1137"/>
        <v>29</v>
      </c>
      <c r="AM1193" s="11" t="str">
        <f t="shared" si="1127"/>
        <v>Stocks</v>
      </c>
      <c r="AN1193" t="str">
        <f t="shared" si="1133"/>
        <v>Buy</v>
      </c>
      <c r="AO1193" s="13">
        <f t="shared" si="1134"/>
        <v>-1.32E-2</v>
      </c>
      <c r="AP1193" s="13">
        <f t="shared" si="1135"/>
        <v>1E-3</v>
      </c>
      <c r="AQ1193" s="13">
        <f t="shared" si="1136"/>
        <v>-1.2500000000000001E-2</v>
      </c>
      <c r="AR1193" s="13">
        <f t="shared" si="1128"/>
        <v>-1.32E-2</v>
      </c>
      <c r="AS1193" s="6">
        <f t="shared" si="1120"/>
        <v>146.24630257719505</v>
      </c>
      <c r="AT1193" s="6">
        <f t="shared" si="1121"/>
        <v>115.29704060131492</v>
      </c>
      <c r="AU1193" s="6">
        <f t="shared" si="1122"/>
        <v>145.18910964804746</v>
      </c>
      <c r="AV1193" s="6">
        <f t="shared" si="1123"/>
        <v>146.24630257719505</v>
      </c>
      <c r="AW1193" s="58">
        <f t="shared" si="1129"/>
        <v>1995</v>
      </c>
      <c r="AX1193" s="58">
        <f>COUNTIF(AW$3:AW1193,AW1193)</f>
        <v>11</v>
      </c>
    </row>
    <row r="1194" spans="1:50" x14ac:dyDescent="0.25">
      <c r="A1194" s="5">
        <v>34987</v>
      </c>
      <c r="B1194">
        <v>584.5</v>
      </c>
      <c r="C1194">
        <v>5.3</v>
      </c>
      <c r="D1194" s="6">
        <v>13.98</v>
      </c>
      <c r="E1194" s="18">
        <f t="shared" si="1142"/>
        <v>13.06</v>
      </c>
      <c r="F1194">
        <f t="shared" si="1143"/>
        <v>2</v>
      </c>
      <c r="G1194" s="18">
        <f>ROUND(INDEX(Valuation!U:U,MATCH(A1194,Valuation!A:A,0)),2)</f>
        <v>191.38</v>
      </c>
      <c r="H1194">
        <f t="shared" si="1150"/>
        <v>2</v>
      </c>
      <c r="I1194" s="18">
        <f>INDEX(WeeklyIndicators!Y:Y,MATCH(A1194,WeeklyIndicators!A:A,0))</f>
        <v>108.96</v>
      </c>
      <c r="J1194">
        <f t="shared" si="1139"/>
        <v>-1</v>
      </c>
      <c r="K1194">
        <f>ROUND(INDEX(Economic!AF:AF,MATCH(EOMONTH($A1194,-1),Economic!A:A,0)),2)</f>
        <v>122.26</v>
      </c>
      <c r="L1194" s="11">
        <f t="shared" si="1148"/>
        <v>1</v>
      </c>
      <c r="M1194">
        <f>ROUND(INDEX(Manufacturing!P:P,MATCH(EOMONTH($A1194,-1),Manufacturing!A:A,0)),2)</f>
        <v>87.01</v>
      </c>
      <c r="N1194">
        <f t="shared" si="1144"/>
        <v>0</v>
      </c>
      <c r="O1194">
        <f>ROUND(INDEX(Housing!AC:AC,MATCH(EOMONTH($A1194,-1),Housing!B:B,0)),2)</f>
        <v>87.87</v>
      </c>
      <c r="P1194">
        <f t="shared" si="1145"/>
        <v>-1</v>
      </c>
      <c r="Q1194">
        <f>ROUND(INDEX(Spending!AJ:AJ,MATCH(EOMONTH($A1194,-1),Spending!B:B,0)),2)</f>
        <v>57.86</v>
      </c>
      <c r="R1194">
        <f t="shared" si="1149"/>
        <v>1</v>
      </c>
      <c r="S1194">
        <f>ROUND(INDEX(Employment!V:V,MATCH(EOMONTH($A1194,-1),Employment!A:A,0)),2)</f>
        <v>160.12</v>
      </c>
      <c r="T1194" s="11">
        <f t="shared" si="1146"/>
        <v>1</v>
      </c>
      <c r="U1194">
        <f t="shared" si="1138"/>
        <v>25</v>
      </c>
      <c r="V1194">
        <f t="shared" si="1130"/>
        <v>70.86</v>
      </c>
      <c r="W1194" s="13">
        <f t="shared" si="1131"/>
        <v>5.3E-3</v>
      </c>
      <c r="X1194" s="13">
        <f t="shared" si="1132"/>
        <v>2.1100000000000001E-2</v>
      </c>
      <c r="Y1194">
        <f t="shared" si="1124"/>
        <v>81.95</v>
      </c>
      <c r="Z1194" s="13">
        <f t="shared" si="1119"/>
        <v>-2.0000000000000001E-4</v>
      </c>
      <c r="AA1194" s="13">
        <f t="shared" si="1115"/>
        <v>8.4999999999999989E-3</v>
      </c>
      <c r="AB1194" s="6">
        <f t="shared" si="1125"/>
        <v>96.728000000000009</v>
      </c>
      <c r="AC1194">
        <f t="shared" si="1117"/>
        <v>48</v>
      </c>
      <c r="AD1194" s="11">
        <f t="shared" si="1118"/>
        <v>2</v>
      </c>
      <c r="AE1194">
        <f t="shared" si="1116"/>
        <v>29</v>
      </c>
      <c r="AF1194">
        <f>IF(AND(AE1194&lt;15,OR(AC1194&gt;=30,AA1194&gt;0.15,X1194&gt;=0.15)),2,VLOOKUP(AE1194,Table!P:Q,2,FALSE))</f>
        <v>4</v>
      </c>
      <c r="AG1194" s="22">
        <f>IF((AB1194*0.98)-(D1194*0.8)+((AF1194-3)*3)+VLOOKUP(AM1194,Table!$A$11:$B$13,2,FALSE)&lt;0,0,(AB1194*0.98)-(D1194*0.8)+((AF1194-3)*3)+VLOOKUP(AM1194,Table!$A$11:$B$13,2,FALSE))</f>
        <v>94.609440000000006</v>
      </c>
      <c r="AH1194" s="22">
        <f t="shared" si="1147"/>
        <v>97</v>
      </c>
      <c r="AI1194" s="18">
        <f t="shared" si="1140"/>
        <v>5.35</v>
      </c>
      <c r="AJ1194" s="18">
        <f t="shared" si="1141"/>
        <v>5.55</v>
      </c>
      <c r="AK1194" t="str">
        <f t="shared" si="1126"/>
        <v>Falling Rates</v>
      </c>
      <c r="AL1194">
        <f t="shared" si="1137"/>
        <v>28.75</v>
      </c>
      <c r="AM1194" s="11" t="str">
        <f t="shared" si="1127"/>
        <v>Stocks</v>
      </c>
      <c r="AN1194" t="str">
        <f t="shared" si="1133"/>
        <v>Buy</v>
      </c>
      <c r="AO1194" s="13">
        <f t="shared" si="1134"/>
        <v>5.1000000000000004E-3</v>
      </c>
      <c r="AP1194" s="13">
        <f t="shared" si="1135"/>
        <v>1E-3</v>
      </c>
      <c r="AQ1194" s="13">
        <f t="shared" si="1136"/>
        <v>5.0000000000000001E-3</v>
      </c>
      <c r="AR1194" s="13">
        <f t="shared" si="1128"/>
        <v>5.1000000000000004E-3</v>
      </c>
      <c r="AS1194" s="6">
        <f t="shared" si="1120"/>
        <v>145.50423099909963</v>
      </c>
      <c r="AT1194" s="6">
        <f t="shared" si="1121"/>
        <v>115.18185874257236</v>
      </c>
      <c r="AU1194" s="6">
        <f t="shared" si="1122"/>
        <v>144.46677576920146</v>
      </c>
      <c r="AV1194" s="6">
        <f t="shared" si="1123"/>
        <v>145.50423099909963</v>
      </c>
      <c r="AW1194" s="58">
        <f t="shared" si="1129"/>
        <v>1995</v>
      </c>
      <c r="AX1194" s="58">
        <f>COUNTIF(AW$3:AW1194,AW1194)</f>
        <v>12</v>
      </c>
    </row>
    <row r="1195" spans="1:50" x14ac:dyDescent="0.25">
      <c r="A1195" s="5">
        <v>34980</v>
      </c>
      <c r="B1195">
        <v>582.49</v>
      </c>
      <c r="C1195">
        <v>5.3</v>
      </c>
      <c r="D1195" s="6">
        <v>12.74</v>
      </c>
      <c r="E1195" s="18">
        <f t="shared" si="1142"/>
        <v>12.26</v>
      </c>
      <c r="F1195">
        <f t="shared" si="1143"/>
        <v>2</v>
      </c>
      <c r="G1195" s="18">
        <f>ROUND(INDEX(Valuation!U:U,MATCH(A1195,Valuation!A:A,0)),2)</f>
        <v>193.04</v>
      </c>
      <c r="H1195">
        <f t="shared" si="1150"/>
        <v>2</v>
      </c>
      <c r="I1195" s="18">
        <f>INDEX(WeeklyIndicators!Y:Y,MATCH(A1195,WeeklyIndicators!A:A,0))</f>
        <v>113.64</v>
      </c>
      <c r="J1195">
        <f t="shared" si="1139"/>
        <v>-1</v>
      </c>
      <c r="K1195">
        <f>ROUND(INDEX(Economic!AF:AF,MATCH(EOMONTH($A1195,-1),Economic!A:A,0)),2)</f>
        <v>122.26</v>
      </c>
      <c r="L1195" s="11">
        <f t="shared" si="1148"/>
        <v>1</v>
      </c>
      <c r="M1195">
        <f>ROUND(INDEX(Manufacturing!P:P,MATCH(EOMONTH($A1195,-1),Manufacturing!A:A,0)),2)</f>
        <v>87.01</v>
      </c>
      <c r="N1195">
        <f t="shared" si="1144"/>
        <v>0</v>
      </c>
      <c r="O1195">
        <f>ROUND(INDEX(Housing!AC:AC,MATCH(EOMONTH($A1195,-1),Housing!B:B,0)),2)</f>
        <v>87.87</v>
      </c>
      <c r="P1195">
        <f t="shared" si="1145"/>
        <v>-1</v>
      </c>
      <c r="Q1195">
        <f>ROUND(INDEX(Spending!AJ:AJ,MATCH(EOMONTH($A1195,-1),Spending!B:B,0)),2)</f>
        <v>57.86</v>
      </c>
      <c r="R1195">
        <f t="shared" si="1149"/>
        <v>1</v>
      </c>
      <c r="S1195">
        <f>ROUND(INDEX(Employment!V:V,MATCH(EOMONTH($A1195,-1),Employment!A:A,0)),2)</f>
        <v>160.12</v>
      </c>
      <c r="T1195" s="11">
        <f t="shared" si="1146"/>
        <v>1</v>
      </c>
      <c r="U1195">
        <f t="shared" si="1138"/>
        <v>25</v>
      </c>
      <c r="V1195">
        <f t="shared" si="1130"/>
        <v>71.349999999999994</v>
      </c>
      <c r="W1195" s="13">
        <f t="shared" si="1131"/>
        <v>6.6E-3</v>
      </c>
      <c r="X1195" s="13">
        <f t="shared" si="1132"/>
        <v>2.9099999999999997E-2</v>
      </c>
      <c r="Y1195">
        <f t="shared" si="1124"/>
        <v>82.9</v>
      </c>
      <c r="Z1195" s="13">
        <f t="shared" si="1119"/>
        <v>2.5000000000000001E-3</v>
      </c>
      <c r="AA1195" s="13">
        <f t="shared" si="1115"/>
        <v>1.9699999999999999E-2</v>
      </c>
      <c r="AB1195" s="6">
        <f t="shared" si="1125"/>
        <v>98.694000000000003</v>
      </c>
      <c r="AC1195">
        <f t="shared" si="1117"/>
        <v>49</v>
      </c>
      <c r="AD1195" s="11">
        <f t="shared" si="1118"/>
        <v>2</v>
      </c>
      <c r="AE1195">
        <f t="shared" si="1116"/>
        <v>29</v>
      </c>
      <c r="AF1195">
        <f>IF(AND(AE1195&lt;15,OR(AC1195&gt;=30,AA1195&gt;0.15,X1195&gt;=0.15)),2,VLOOKUP(AE1195,Table!P:Q,2,FALSE))</f>
        <v>4</v>
      </c>
      <c r="AG1195" s="22">
        <f>IF((AB1195*0.98)-(D1195*0.8)+((AF1195-3)*3)+VLOOKUP(AM1195,Table!$A$11:$B$13,2,FALSE)&lt;0,0,(AB1195*0.98)-(D1195*0.8)+((AF1195-3)*3)+VLOOKUP(AM1195,Table!$A$11:$B$13,2,FALSE))</f>
        <v>97.528120000000001</v>
      </c>
      <c r="AH1195" s="22">
        <f t="shared" si="1147"/>
        <v>99</v>
      </c>
      <c r="AI1195" s="18">
        <f t="shared" si="1140"/>
        <v>5.36</v>
      </c>
      <c r="AJ1195" s="18">
        <f t="shared" si="1141"/>
        <v>5.56</v>
      </c>
      <c r="AK1195" t="str">
        <f t="shared" si="1126"/>
        <v>Falling Rates</v>
      </c>
      <c r="AL1195">
        <f t="shared" si="1137"/>
        <v>28.5</v>
      </c>
      <c r="AM1195" s="11" t="str">
        <f t="shared" si="1127"/>
        <v>Stocks</v>
      </c>
      <c r="AN1195" t="str">
        <f t="shared" si="1133"/>
        <v>Buy</v>
      </c>
      <c r="AO1195" s="13">
        <f t="shared" si="1134"/>
        <v>3.5000000000000001E-3</v>
      </c>
      <c r="AP1195" s="13">
        <f t="shared" si="1135"/>
        <v>1E-3</v>
      </c>
      <c r="AQ1195" s="13">
        <f t="shared" si="1136"/>
        <v>3.5000000000000001E-3</v>
      </c>
      <c r="AR1195" s="13">
        <f t="shared" si="1128"/>
        <v>3.5000000000000001E-3</v>
      </c>
      <c r="AS1195" s="6">
        <f t="shared" si="1120"/>
        <v>144.99674240069717</v>
      </c>
      <c r="AT1195" s="6">
        <f t="shared" si="1121"/>
        <v>115.06679195062175</v>
      </c>
      <c r="AU1195" s="6">
        <f t="shared" si="1122"/>
        <v>143.96290559960283</v>
      </c>
      <c r="AV1195" s="6">
        <f t="shared" si="1123"/>
        <v>144.99674240069717</v>
      </c>
      <c r="AW1195" s="58">
        <f t="shared" si="1129"/>
        <v>1995</v>
      </c>
      <c r="AX1195" s="58">
        <f>COUNTIF(AW$3:AW1195,AW1195)</f>
        <v>13</v>
      </c>
    </row>
    <row r="1196" spans="1:50" x14ac:dyDescent="0.25">
      <c r="A1196" s="5">
        <v>34973</v>
      </c>
      <c r="B1196">
        <v>584.41</v>
      </c>
      <c r="C1196">
        <v>5.26</v>
      </c>
      <c r="D1196" s="6">
        <v>12.46</v>
      </c>
      <c r="E1196" s="18">
        <f t="shared" si="1142"/>
        <v>11.73</v>
      </c>
      <c r="F1196">
        <f t="shared" si="1143"/>
        <v>2</v>
      </c>
      <c r="G1196" s="18">
        <f>ROUND(INDEX(Valuation!U:U,MATCH(A1196,Valuation!A:A,0)),2)</f>
        <v>194.96</v>
      </c>
      <c r="H1196">
        <f t="shared" si="1150"/>
        <v>2</v>
      </c>
      <c r="I1196" s="18">
        <f>INDEX(WeeklyIndicators!Y:Y,MATCH(A1196,WeeklyIndicators!A:A,0))</f>
        <v>119.85</v>
      </c>
      <c r="J1196">
        <f t="shared" si="1139"/>
        <v>-1</v>
      </c>
      <c r="K1196">
        <f>ROUND(INDEX(Economic!AF:AF,MATCH(EOMONTH($A1196,-1),Economic!A:A,0)),2)</f>
        <v>122.26</v>
      </c>
      <c r="L1196" s="11">
        <f t="shared" si="1148"/>
        <v>1</v>
      </c>
      <c r="M1196">
        <f>ROUND(INDEX(Manufacturing!P:P,MATCH(EOMONTH($A1196,-1),Manufacturing!A:A,0)),2)</f>
        <v>87.01</v>
      </c>
      <c r="N1196">
        <f t="shared" si="1144"/>
        <v>0</v>
      </c>
      <c r="O1196">
        <f>ROUND(INDEX(Housing!AC:AC,MATCH(EOMONTH($A1196,-1),Housing!B:B,0)),2)</f>
        <v>87.87</v>
      </c>
      <c r="P1196">
        <f t="shared" si="1145"/>
        <v>-1</v>
      </c>
      <c r="Q1196">
        <f>ROUND(INDEX(Spending!AJ:AJ,MATCH(EOMONTH($A1196,-1),Spending!B:B,0)),2)</f>
        <v>57.86</v>
      </c>
      <c r="R1196">
        <f t="shared" si="1149"/>
        <v>1</v>
      </c>
      <c r="S1196">
        <f>ROUND(INDEX(Employment!V:V,MATCH(EOMONTH($A1196,-1),Employment!A:A,0)),2)</f>
        <v>160.12</v>
      </c>
      <c r="T1196" s="11">
        <f t="shared" si="1146"/>
        <v>1</v>
      </c>
      <c r="U1196">
        <f t="shared" si="1138"/>
        <v>25</v>
      </c>
      <c r="V1196">
        <f t="shared" si="1130"/>
        <v>71.989999999999995</v>
      </c>
      <c r="W1196" s="13">
        <f t="shared" si="1131"/>
        <v>9.7999999999999997E-3</v>
      </c>
      <c r="X1196" s="13">
        <f t="shared" si="1132"/>
        <v>3.8199999999999998E-2</v>
      </c>
      <c r="Y1196">
        <f t="shared" si="1124"/>
        <v>83.94</v>
      </c>
      <c r="Z1196" s="13">
        <f t="shared" si="1119"/>
        <v>7.0000000000000001E-3</v>
      </c>
      <c r="AA1196" s="13">
        <f t="shared" si="1115"/>
        <v>3.0300000000000001E-2</v>
      </c>
      <c r="AB1196" s="6">
        <f t="shared" si="1125"/>
        <v>100.746</v>
      </c>
      <c r="AC1196">
        <f t="shared" si="1117"/>
        <v>50</v>
      </c>
      <c r="AD1196" s="11">
        <f t="shared" si="1118"/>
        <v>2</v>
      </c>
      <c r="AE1196">
        <f t="shared" si="1116"/>
        <v>29</v>
      </c>
      <c r="AF1196">
        <f>IF(AND(AE1196&lt;15,OR(AC1196&gt;=30,AA1196&gt;0.15,X1196&gt;=0.15)),2,VLOOKUP(AE1196,Table!P:Q,2,FALSE))</f>
        <v>4</v>
      </c>
      <c r="AG1196" s="22">
        <f>IF((AB1196*0.98)-(D1196*0.8)+((AF1196-3)*3)+VLOOKUP(AM1196,Table!$A$11:$B$13,2,FALSE)&lt;0,0,(AB1196*0.98)-(D1196*0.8)+((AF1196-3)*3)+VLOOKUP(AM1196,Table!$A$11:$B$13,2,FALSE))</f>
        <v>99.763079999999988</v>
      </c>
      <c r="AH1196" s="22">
        <f t="shared" si="1147"/>
        <v>100</v>
      </c>
      <c r="AI1196" s="18">
        <f t="shared" si="1140"/>
        <v>5.37</v>
      </c>
      <c r="AJ1196" s="18">
        <f t="shared" si="1141"/>
        <v>5.57</v>
      </c>
      <c r="AK1196" t="str">
        <f t="shared" si="1126"/>
        <v>Falling Rates</v>
      </c>
      <c r="AL1196">
        <f t="shared" si="1137"/>
        <v>28.25</v>
      </c>
      <c r="AM1196" s="11" t="str">
        <f t="shared" si="1127"/>
        <v>Stocks</v>
      </c>
      <c r="AN1196" t="str">
        <f t="shared" si="1133"/>
        <v>Buy</v>
      </c>
      <c r="AO1196" s="13">
        <f t="shared" si="1134"/>
        <v>-3.3E-3</v>
      </c>
      <c r="AP1196" s="13">
        <f t="shared" si="1135"/>
        <v>1E-3</v>
      </c>
      <c r="AQ1196" s="13">
        <f t="shared" si="1136"/>
        <v>-3.3E-3</v>
      </c>
      <c r="AR1196" s="13">
        <f t="shared" si="1128"/>
        <v>-3.3E-3</v>
      </c>
      <c r="AS1196" s="6">
        <f t="shared" si="1120"/>
        <v>145.47681589314453</v>
      </c>
      <c r="AT1196" s="6">
        <f t="shared" si="1121"/>
        <v>114.95184011051126</v>
      </c>
      <c r="AU1196" s="6">
        <f t="shared" si="1122"/>
        <v>144.43955613484783</v>
      </c>
      <c r="AV1196" s="6">
        <f t="shared" si="1123"/>
        <v>145.47681589314453</v>
      </c>
      <c r="AW1196" s="58">
        <f t="shared" si="1129"/>
        <v>1995</v>
      </c>
      <c r="AX1196" s="58">
        <f>COUNTIF(AW$3:AW1196,AW1196)</f>
        <v>14</v>
      </c>
    </row>
    <row r="1197" spans="1:50" x14ac:dyDescent="0.25">
      <c r="A1197" s="5">
        <v>34966</v>
      </c>
      <c r="B1197">
        <v>581.73</v>
      </c>
      <c r="C1197">
        <v>5.22</v>
      </c>
      <c r="D1197" s="6">
        <v>11.58</v>
      </c>
      <c r="E1197" s="18">
        <f t="shared" si="1142"/>
        <v>11.34</v>
      </c>
      <c r="F1197">
        <f t="shared" si="1143"/>
        <v>2</v>
      </c>
      <c r="G1197" s="18">
        <f>ROUND(INDEX(Valuation!U:U,MATCH(A1197,Valuation!A:A,0)),2)</f>
        <v>196.43</v>
      </c>
      <c r="H1197">
        <f t="shared" si="1150"/>
        <v>2</v>
      </c>
      <c r="I1197" s="18">
        <f>INDEX(WeeklyIndicators!Y:Y,MATCH(A1197,WeeklyIndicators!A:A,0))</f>
        <v>123.52</v>
      </c>
      <c r="J1197">
        <f t="shared" si="1139"/>
        <v>0</v>
      </c>
      <c r="K1197">
        <f>ROUND(INDEX(Economic!AF:AF,MATCH(EOMONTH($A1197,-1),Economic!A:A,0)),2)</f>
        <v>119.01</v>
      </c>
      <c r="L1197" s="11">
        <f t="shared" si="1148"/>
        <v>1</v>
      </c>
      <c r="M1197">
        <f>ROUND(INDEX(Manufacturing!P:P,MATCH(EOMONTH($A1197,-1),Manufacturing!A:A,0)),2)</f>
        <v>79.81</v>
      </c>
      <c r="N1197">
        <f t="shared" si="1144"/>
        <v>-1</v>
      </c>
      <c r="O1197">
        <f>ROUND(INDEX(Housing!AC:AC,MATCH(EOMONTH($A1197,-1),Housing!B:B,0)),2)</f>
        <v>80.08</v>
      </c>
      <c r="P1197">
        <f t="shared" si="1145"/>
        <v>-1</v>
      </c>
      <c r="Q1197">
        <f>ROUND(INDEX(Spending!AJ:AJ,MATCH(EOMONTH($A1197,-1),Spending!B:B,0)),2)</f>
        <v>53.49</v>
      </c>
      <c r="R1197">
        <f t="shared" si="1149"/>
        <v>1</v>
      </c>
      <c r="S1197">
        <f>ROUND(INDEX(Employment!V:V,MATCH(EOMONTH($A1197,-1),Employment!A:A,0)),2)</f>
        <v>157</v>
      </c>
      <c r="T1197" s="11">
        <f t="shared" si="1146"/>
        <v>0</v>
      </c>
      <c r="U1197">
        <f t="shared" si="1138"/>
        <v>24</v>
      </c>
      <c r="V1197">
        <f t="shared" si="1130"/>
        <v>69.739999999999995</v>
      </c>
      <c r="W1197" s="13">
        <f t="shared" si="1131"/>
        <v>-5.9999999999999995E-4</v>
      </c>
      <c r="X1197" s="13">
        <f t="shared" si="1132"/>
        <v>4.4499999999999998E-2</v>
      </c>
      <c r="Y1197">
        <f t="shared" si="1124"/>
        <v>81.99</v>
      </c>
      <c r="Z1197" s="13">
        <f t="shared" si="1119"/>
        <v>-8.0000000000000004E-4</v>
      </c>
      <c r="AA1197" s="13">
        <f t="shared" si="1115"/>
        <v>3.73E-2</v>
      </c>
      <c r="AB1197" s="6">
        <f t="shared" si="1125"/>
        <v>99.403000000000006</v>
      </c>
      <c r="AC1197">
        <f t="shared" si="1117"/>
        <v>50</v>
      </c>
      <c r="AD1197" s="11">
        <f t="shared" si="1118"/>
        <v>2</v>
      </c>
      <c r="AE1197">
        <f t="shared" si="1116"/>
        <v>28</v>
      </c>
      <c r="AF1197">
        <f>IF(AND(AE1197&lt;15,OR(AC1197&gt;=30,AA1197&gt;0.15,X1197&gt;=0.15)),2,VLOOKUP(AE1197,Table!P:Q,2,FALSE))</f>
        <v>4</v>
      </c>
      <c r="AG1197" s="22">
        <f>IF((AB1197*0.98)-(D1197*0.8)+((AF1197-3)*3)+VLOOKUP(AM1197,Table!$A$11:$B$13,2,FALSE)&lt;0,0,(AB1197*0.98)-(D1197*0.8)+((AF1197-3)*3)+VLOOKUP(AM1197,Table!$A$11:$B$13,2,FALSE))</f>
        <v>99.150940000000006</v>
      </c>
      <c r="AH1197" s="22">
        <f t="shared" si="1147"/>
        <v>99</v>
      </c>
      <c r="AI1197" s="18">
        <f t="shared" si="1140"/>
        <v>5.38</v>
      </c>
      <c r="AJ1197" s="18">
        <f t="shared" si="1141"/>
        <v>5.57</v>
      </c>
      <c r="AK1197" t="str">
        <f t="shared" si="1126"/>
        <v>Falling Rates</v>
      </c>
      <c r="AL1197">
        <f t="shared" si="1137"/>
        <v>28.25</v>
      </c>
      <c r="AM1197" s="11" t="str">
        <f t="shared" si="1127"/>
        <v>Stocks</v>
      </c>
      <c r="AN1197" t="str">
        <f t="shared" si="1133"/>
        <v>Buy</v>
      </c>
      <c r="AO1197" s="13">
        <f t="shared" si="1134"/>
        <v>4.5999999999999999E-3</v>
      </c>
      <c r="AP1197" s="13">
        <f t="shared" si="1135"/>
        <v>1E-3</v>
      </c>
      <c r="AQ1197" s="13">
        <f t="shared" si="1136"/>
        <v>4.5999999999999999E-3</v>
      </c>
      <c r="AR1197" s="13">
        <f t="shared" si="1128"/>
        <v>4.5999999999999999E-3</v>
      </c>
      <c r="AS1197" s="6">
        <f t="shared" si="1120"/>
        <v>144.81068673416738</v>
      </c>
      <c r="AT1197" s="6">
        <f t="shared" si="1121"/>
        <v>114.83700310740386</v>
      </c>
      <c r="AU1197" s="6">
        <f t="shared" si="1122"/>
        <v>143.77817652284276</v>
      </c>
      <c r="AV1197" s="6">
        <f t="shared" si="1123"/>
        <v>144.81068673416738</v>
      </c>
      <c r="AW1197" s="58">
        <f t="shared" si="1129"/>
        <v>1995</v>
      </c>
      <c r="AX1197" s="58">
        <f>COUNTIF(AW$3:AW1197,AW1197)</f>
        <v>15</v>
      </c>
    </row>
    <row r="1198" spans="1:50" x14ac:dyDescent="0.25">
      <c r="A1198" s="5">
        <v>34959</v>
      </c>
      <c r="B1198">
        <v>583.35</v>
      </c>
      <c r="C1198">
        <v>5.31</v>
      </c>
      <c r="D1198" s="6">
        <v>11.16</v>
      </c>
      <c r="E1198" s="18">
        <f t="shared" si="1142"/>
        <v>11.59</v>
      </c>
      <c r="F1198">
        <f t="shared" si="1143"/>
        <v>2</v>
      </c>
      <c r="G1198" s="18">
        <f>ROUND(INDEX(Valuation!U:U,MATCH(A1198,Valuation!A:A,0)),2)</f>
        <v>197.75</v>
      </c>
      <c r="H1198">
        <f t="shared" si="1150"/>
        <v>2</v>
      </c>
      <c r="I1198" s="18">
        <f>INDEX(WeeklyIndicators!Y:Y,MATCH(A1198,WeeklyIndicators!A:A,0))</f>
        <v>125.69</v>
      </c>
      <c r="J1198">
        <f t="shared" si="1139"/>
        <v>0</v>
      </c>
      <c r="K1198">
        <f>ROUND(INDEX(Economic!AF:AF,MATCH(EOMONTH($A1198,-1),Economic!A:A,0)),2)</f>
        <v>119.01</v>
      </c>
      <c r="L1198" s="11">
        <f t="shared" si="1148"/>
        <v>1</v>
      </c>
      <c r="M1198">
        <f>ROUND(INDEX(Manufacturing!P:P,MATCH(EOMONTH($A1198,-1),Manufacturing!A:A,0)),2)</f>
        <v>79.81</v>
      </c>
      <c r="N1198">
        <f t="shared" si="1144"/>
        <v>-1</v>
      </c>
      <c r="O1198">
        <f>ROUND(INDEX(Housing!AC:AC,MATCH(EOMONTH($A1198,-1),Housing!B:B,0)),2)</f>
        <v>80.08</v>
      </c>
      <c r="P1198">
        <f t="shared" si="1145"/>
        <v>-1</v>
      </c>
      <c r="Q1198">
        <f>ROUND(INDEX(Spending!AJ:AJ,MATCH(EOMONTH($A1198,-1),Spending!B:B,0)),2)</f>
        <v>53.49</v>
      </c>
      <c r="R1198">
        <f t="shared" si="1149"/>
        <v>1</v>
      </c>
      <c r="S1198">
        <f>ROUND(INDEX(Employment!V:V,MATCH(EOMONTH($A1198,-1),Employment!A:A,0)),2)</f>
        <v>157</v>
      </c>
      <c r="T1198" s="11">
        <f t="shared" si="1146"/>
        <v>0</v>
      </c>
      <c r="U1198">
        <f t="shared" si="1138"/>
        <v>24</v>
      </c>
      <c r="V1198">
        <f t="shared" si="1130"/>
        <v>69.959999999999994</v>
      </c>
      <c r="W1198" s="13">
        <f t="shared" si="1131"/>
        <v>1.3299999999999999E-2</v>
      </c>
      <c r="X1198" s="13">
        <f t="shared" si="1132"/>
        <v>4.6900000000000004E-2</v>
      </c>
      <c r="Y1198">
        <f t="shared" si="1124"/>
        <v>82.27</v>
      </c>
      <c r="Z1198" s="13">
        <f t="shared" si="1119"/>
        <v>1.0999999999999999E-2</v>
      </c>
      <c r="AA1198" s="13">
        <f t="shared" si="1115"/>
        <v>3.9400000000000004E-2</v>
      </c>
      <c r="AB1198" s="6">
        <f t="shared" si="1125"/>
        <v>99.984999999999999</v>
      </c>
      <c r="AC1198">
        <f t="shared" si="1117"/>
        <v>50</v>
      </c>
      <c r="AD1198" s="11">
        <f t="shared" si="1118"/>
        <v>2</v>
      </c>
      <c r="AE1198">
        <f t="shared" si="1116"/>
        <v>28</v>
      </c>
      <c r="AF1198">
        <f>IF(AND(AE1198&lt;15,OR(AC1198&gt;=30,AA1198&gt;0.15,X1198&gt;=0.15)),2,VLOOKUP(AE1198,Table!P:Q,2,FALSE))</f>
        <v>4</v>
      </c>
      <c r="AG1198" s="22">
        <f>IF((AB1198*0.98)-(D1198*0.8)+((AF1198-3)*3)+VLOOKUP(AM1198,Table!$A$11:$B$13,2,FALSE)&lt;0,0,(AB1198*0.98)-(D1198*0.8)+((AF1198-3)*3)+VLOOKUP(AM1198,Table!$A$11:$B$13,2,FALSE))</f>
        <v>100.0573</v>
      </c>
      <c r="AH1198" s="22">
        <f t="shared" si="1147"/>
        <v>99</v>
      </c>
      <c r="AI1198" s="18">
        <f t="shared" si="1140"/>
        <v>5.4</v>
      </c>
      <c r="AJ1198" s="18">
        <f t="shared" si="1141"/>
        <v>5.58</v>
      </c>
      <c r="AK1198" t="str">
        <f t="shared" si="1126"/>
        <v>Falling Rates</v>
      </c>
      <c r="AL1198">
        <f t="shared" si="1137"/>
        <v>27.75</v>
      </c>
      <c r="AM1198" s="11" t="str">
        <f t="shared" si="1127"/>
        <v>Stocks</v>
      </c>
      <c r="AN1198" t="str">
        <f t="shared" si="1133"/>
        <v>Buy</v>
      </c>
      <c r="AO1198" s="13">
        <f t="shared" si="1134"/>
        <v>-2.8E-3</v>
      </c>
      <c r="AP1198" s="13">
        <f t="shared" si="1135"/>
        <v>1E-3</v>
      </c>
      <c r="AQ1198" s="13">
        <f t="shared" si="1136"/>
        <v>-2.8E-3</v>
      </c>
      <c r="AR1198" s="13">
        <f t="shared" si="1128"/>
        <v>-2.8E-3</v>
      </c>
      <c r="AS1198" s="6">
        <f t="shared" si="1120"/>
        <v>145.21729516061711</v>
      </c>
      <c r="AT1198" s="6">
        <f t="shared" si="1121"/>
        <v>114.72228082657729</v>
      </c>
      <c r="AU1198" s="6">
        <f t="shared" si="1122"/>
        <v>144.1818858030914</v>
      </c>
      <c r="AV1198" s="6">
        <f t="shared" si="1123"/>
        <v>145.21729516061711</v>
      </c>
      <c r="AW1198" s="58">
        <f t="shared" si="1129"/>
        <v>1995</v>
      </c>
      <c r="AX1198" s="58">
        <f>COUNTIF(AW$3:AW1198,AW1198)</f>
        <v>16</v>
      </c>
    </row>
    <row r="1199" spans="1:50" x14ac:dyDescent="0.25">
      <c r="A1199" s="5">
        <v>34952</v>
      </c>
      <c r="B1199">
        <v>572.67999999999995</v>
      </c>
      <c r="C1199">
        <v>5.33</v>
      </c>
      <c r="D1199" s="6">
        <v>11.29</v>
      </c>
      <c r="E1199" s="18">
        <f t="shared" si="1142"/>
        <v>11.88</v>
      </c>
      <c r="F1199">
        <f t="shared" si="1143"/>
        <v>2</v>
      </c>
      <c r="G1199" s="18">
        <f>ROUND(INDEX(Valuation!U:U,MATCH(A1199,Valuation!A:A,0)),2)</f>
        <v>198.46</v>
      </c>
      <c r="H1199">
        <f t="shared" si="1150"/>
        <v>2</v>
      </c>
      <c r="I1199" s="18">
        <f>INDEX(WeeklyIndicators!Y:Y,MATCH(A1199,WeeklyIndicators!A:A,0))</f>
        <v>125.46</v>
      </c>
      <c r="J1199">
        <f t="shared" si="1139"/>
        <v>0</v>
      </c>
      <c r="K1199">
        <f>ROUND(INDEX(Economic!AF:AF,MATCH(EOMONTH($A1199,-1),Economic!A:A,0)),2)</f>
        <v>119.01</v>
      </c>
      <c r="L1199" s="11">
        <f t="shared" si="1148"/>
        <v>1</v>
      </c>
      <c r="M1199">
        <f>ROUND(INDEX(Manufacturing!P:P,MATCH(EOMONTH($A1199,-1),Manufacturing!A:A,0)),2)</f>
        <v>79.81</v>
      </c>
      <c r="N1199">
        <f t="shared" si="1144"/>
        <v>-1</v>
      </c>
      <c r="O1199">
        <f>ROUND(INDEX(Housing!AC:AC,MATCH(EOMONTH($A1199,-1),Housing!B:B,0)),2)</f>
        <v>80.08</v>
      </c>
      <c r="P1199">
        <f t="shared" si="1145"/>
        <v>-1</v>
      </c>
      <c r="Q1199">
        <f>ROUND(INDEX(Spending!AJ:AJ,MATCH(EOMONTH($A1199,-1),Spending!B:B,0)),2)</f>
        <v>53.49</v>
      </c>
      <c r="R1199">
        <f t="shared" si="1149"/>
        <v>1</v>
      </c>
      <c r="S1199">
        <f>ROUND(INDEX(Employment!V:V,MATCH(EOMONTH($A1199,-1),Employment!A:A,0)),2)</f>
        <v>157</v>
      </c>
      <c r="T1199" s="11">
        <f t="shared" si="1146"/>
        <v>0</v>
      </c>
      <c r="U1199">
        <f t="shared" si="1138"/>
        <v>24</v>
      </c>
      <c r="V1199">
        <f t="shared" si="1130"/>
        <v>69.94</v>
      </c>
      <c r="W1199" s="13">
        <f t="shared" si="1131"/>
        <v>1.5699999999999999E-2</v>
      </c>
      <c r="X1199" s="13">
        <f t="shared" si="1132"/>
        <v>3.2399999999999998E-2</v>
      </c>
      <c r="Y1199">
        <f t="shared" si="1124"/>
        <v>82.22</v>
      </c>
      <c r="Z1199" s="13">
        <f t="shared" si="1119"/>
        <v>1.3100000000000001E-2</v>
      </c>
      <c r="AA1199" s="13">
        <f t="shared" si="1115"/>
        <v>2.5499999999999998E-2</v>
      </c>
      <c r="AB1199" s="6">
        <f t="shared" si="1125"/>
        <v>98.926000000000002</v>
      </c>
      <c r="AC1199">
        <f t="shared" si="1117"/>
        <v>49</v>
      </c>
      <c r="AD1199" s="11">
        <f t="shared" si="1118"/>
        <v>2</v>
      </c>
      <c r="AE1199">
        <f t="shared" si="1116"/>
        <v>28</v>
      </c>
      <c r="AF1199">
        <f>IF(AND(AE1199&lt;15,OR(AC1199&gt;=30,AA1199&gt;0.15,X1199&gt;=0.15)),2,VLOOKUP(AE1199,Table!P:Q,2,FALSE))</f>
        <v>4</v>
      </c>
      <c r="AG1199" s="22">
        <f>IF((AB1199*0.98)-(D1199*0.8)+((AF1199-3)*3)+VLOOKUP(AM1199,Table!$A$11:$B$13,2,FALSE)&lt;0,0,(AB1199*0.98)-(D1199*0.8)+((AF1199-3)*3)+VLOOKUP(AM1199,Table!$A$11:$B$13,2,FALSE))</f>
        <v>98.915480000000002</v>
      </c>
      <c r="AH1199" s="22">
        <f t="shared" si="1147"/>
        <v>97</v>
      </c>
      <c r="AI1199" s="18">
        <f t="shared" si="1140"/>
        <v>5.41</v>
      </c>
      <c r="AJ1199" s="18">
        <f t="shared" si="1141"/>
        <v>5.59</v>
      </c>
      <c r="AK1199" t="str">
        <f t="shared" si="1126"/>
        <v>Falling Rates</v>
      </c>
      <c r="AL1199">
        <f t="shared" si="1137"/>
        <v>27</v>
      </c>
      <c r="AM1199" s="11" t="str">
        <f t="shared" si="1127"/>
        <v>Stocks</v>
      </c>
      <c r="AN1199" t="str">
        <f t="shared" si="1133"/>
        <v>Buy</v>
      </c>
      <c r="AO1199" s="13">
        <f t="shared" si="1134"/>
        <v>1.8599999999999998E-2</v>
      </c>
      <c r="AP1199" s="13">
        <f t="shared" si="1135"/>
        <v>1E-3</v>
      </c>
      <c r="AQ1199" s="13">
        <f t="shared" si="1136"/>
        <v>1.8100000000000002E-2</v>
      </c>
      <c r="AR1199" s="13">
        <f t="shared" si="1128"/>
        <v>1.8599999999999998E-2</v>
      </c>
      <c r="AS1199" s="6">
        <f t="shared" si="1120"/>
        <v>142.56557545711479</v>
      </c>
      <c r="AT1199" s="6">
        <f t="shared" si="1121"/>
        <v>114.60767315342387</v>
      </c>
      <c r="AU1199" s="6">
        <f t="shared" si="1122"/>
        <v>141.61858933610785</v>
      </c>
      <c r="AV1199" s="6">
        <f t="shared" si="1123"/>
        <v>142.56557545711479</v>
      </c>
      <c r="AW1199" s="58">
        <f t="shared" si="1129"/>
        <v>1995</v>
      </c>
      <c r="AX1199" s="58">
        <f>COUNTIF(AW$3:AW1199,AW1199)</f>
        <v>17</v>
      </c>
    </row>
    <row r="1200" spans="1:50" x14ac:dyDescent="0.25">
      <c r="A1200" s="5">
        <v>34945</v>
      </c>
      <c r="B1200">
        <v>563.84</v>
      </c>
      <c r="C1200">
        <v>5.31</v>
      </c>
      <c r="D1200" s="6">
        <v>12.33</v>
      </c>
      <c r="E1200" s="18">
        <f t="shared" si="1142"/>
        <v>12.42</v>
      </c>
      <c r="F1200">
        <f t="shared" si="1143"/>
        <v>2</v>
      </c>
      <c r="G1200" s="18">
        <f>ROUND(INDEX(Valuation!U:U,MATCH(A1200,Valuation!A:A,0)),2)</f>
        <v>200.51</v>
      </c>
      <c r="H1200">
        <f t="shared" si="1150"/>
        <v>3</v>
      </c>
      <c r="I1200" s="18">
        <f>INDEX(WeeklyIndicators!Y:Y,MATCH(A1200,WeeklyIndicators!A:A,0))</f>
        <v>124.74</v>
      </c>
      <c r="J1200">
        <f t="shared" si="1139"/>
        <v>0</v>
      </c>
      <c r="K1200">
        <f>ROUND(INDEX(Economic!AF:AF,MATCH(EOMONTH($A1200,-1),Economic!A:A,0)),2)</f>
        <v>119.01</v>
      </c>
      <c r="L1200" s="11">
        <f t="shared" si="1148"/>
        <v>1</v>
      </c>
      <c r="M1200">
        <f>ROUND(INDEX(Manufacturing!P:P,MATCH(EOMONTH($A1200,-1),Manufacturing!A:A,0)),2)</f>
        <v>79.81</v>
      </c>
      <c r="N1200">
        <f t="shared" si="1144"/>
        <v>-1</v>
      </c>
      <c r="O1200">
        <f>ROUND(INDEX(Housing!AC:AC,MATCH(EOMONTH($A1200,-1),Housing!B:B,0)),2)</f>
        <v>80.08</v>
      </c>
      <c r="P1200">
        <f t="shared" si="1145"/>
        <v>-1</v>
      </c>
      <c r="Q1200">
        <f>ROUND(INDEX(Spending!AJ:AJ,MATCH(EOMONTH($A1200,-1),Spending!B:B,0)),2)</f>
        <v>53.49</v>
      </c>
      <c r="R1200">
        <f t="shared" si="1149"/>
        <v>1</v>
      </c>
      <c r="S1200">
        <f>ROUND(INDEX(Employment!V:V,MATCH(EOMONTH($A1200,-1),Employment!A:A,0)),2)</f>
        <v>157</v>
      </c>
      <c r="T1200" s="11">
        <f t="shared" si="1146"/>
        <v>0</v>
      </c>
      <c r="U1200">
        <f t="shared" si="1138"/>
        <v>25</v>
      </c>
      <c r="V1200">
        <f t="shared" si="1130"/>
        <v>69.86</v>
      </c>
      <c r="W1200" s="13">
        <f t="shared" si="1131"/>
        <v>1.61E-2</v>
      </c>
      <c r="X1200" s="13">
        <f t="shared" si="1132"/>
        <v>1.7000000000000001E-2</v>
      </c>
      <c r="Y1200">
        <f t="shared" si="1124"/>
        <v>82.19</v>
      </c>
      <c r="Z1200" s="13">
        <f t="shared" si="1119"/>
        <v>1.4E-2</v>
      </c>
      <c r="AA1200" s="13">
        <f t="shared" si="1115"/>
        <v>8.8000000000000023E-3</v>
      </c>
      <c r="AB1200" s="6">
        <f t="shared" si="1125"/>
        <v>97.831000000000003</v>
      </c>
      <c r="AC1200">
        <f t="shared" si="1117"/>
        <v>49</v>
      </c>
      <c r="AD1200" s="11">
        <f t="shared" si="1118"/>
        <v>2</v>
      </c>
      <c r="AE1200">
        <f t="shared" si="1116"/>
        <v>29</v>
      </c>
      <c r="AF1200">
        <f>IF(AND(AE1200&lt;15,OR(AC1200&gt;=30,AA1200&gt;0.15,X1200&gt;=0.15)),2,VLOOKUP(AE1200,Table!P:Q,2,FALSE))</f>
        <v>4</v>
      </c>
      <c r="AG1200" s="22">
        <f>IF((AB1200*0.98)-(D1200*0.8)+((AF1200-3)*3)+VLOOKUP(AM1200,Table!$A$11:$B$13,2,FALSE)&lt;0,0,(AB1200*0.98)-(D1200*0.8)+((AF1200-3)*3)+VLOOKUP(AM1200,Table!$A$11:$B$13,2,FALSE))</f>
        <v>97.010379999999998</v>
      </c>
      <c r="AH1200" s="22">
        <f t="shared" si="1147"/>
        <v>93</v>
      </c>
      <c r="AI1200" s="18">
        <f t="shared" si="1140"/>
        <v>5.43</v>
      </c>
      <c r="AJ1200" s="18">
        <f t="shared" si="1141"/>
        <v>5.6</v>
      </c>
      <c r="AK1200" t="str">
        <f t="shared" si="1126"/>
        <v>Falling Rates</v>
      </c>
      <c r="AL1200">
        <f t="shared" si="1137"/>
        <v>26.25</v>
      </c>
      <c r="AM1200" s="11" t="str">
        <f t="shared" si="1127"/>
        <v>Stocks</v>
      </c>
      <c r="AN1200" t="str">
        <f t="shared" si="1133"/>
        <v>Buy</v>
      </c>
      <c r="AO1200" s="13">
        <f t="shared" si="1134"/>
        <v>1.5699999999999999E-2</v>
      </c>
      <c r="AP1200" s="13">
        <f t="shared" si="1135"/>
        <v>1E-3</v>
      </c>
      <c r="AQ1200" s="13">
        <f t="shared" si="1136"/>
        <v>1.47E-2</v>
      </c>
      <c r="AR1200" s="13">
        <f t="shared" si="1128"/>
        <v>1.5699999999999999E-2</v>
      </c>
      <c r="AS1200" s="6">
        <f t="shared" si="1120"/>
        <v>140.36189372562251</v>
      </c>
      <c r="AT1200" s="6">
        <f t="shared" si="1121"/>
        <v>114.49317997345044</v>
      </c>
      <c r="AU1200" s="6">
        <f t="shared" si="1122"/>
        <v>139.56695509619379</v>
      </c>
      <c r="AV1200" s="6">
        <f t="shared" si="1123"/>
        <v>140.36189372562251</v>
      </c>
      <c r="AW1200" s="58">
        <f t="shared" si="1129"/>
        <v>1995</v>
      </c>
      <c r="AX1200" s="58">
        <f>COUNTIF(AW$3:AW1200,AW1200)</f>
        <v>18</v>
      </c>
    </row>
    <row r="1201" spans="1:50" x14ac:dyDescent="0.25">
      <c r="A1201" s="5">
        <v>34938</v>
      </c>
      <c r="B1201">
        <v>560.1</v>
      </c>
      <c r="C1201">
        <v>5.41</v>
      </c>
      <c r="D1201" s="6">
        <v>12.03</v>
      </c>
      <c r="E1201" s="18">
        <f t="shared" si="1142"/>
        <v>12.71</v>
      </c>
      <c r="F1201">
        <f t="shared" si="1143"/>
        <v>2</v>
      </c>
      <c r="G1201" s="18">
        <f>ROUND(INDEX(Valuation!U:U,MATCH(A1201,Valuation!A:A,0)),2)</f>
        <v>201.8</v>
      </c>
      <c r="H1201">
        <f t="shared" si="1150"/>
        <v>3</v>
      </c>
      <c r="I1201" s="18">
        <f>INDEX(WeeklyIndicators!Y:Y,MATCH(A1201,WeeklyIndicators!A:A,0))</f>
        <v>120.6</v>
      </c>
      <c r="J1201">
        <f t="shared" si="1139"/>
        <v>0</v>
      </c>
      <c r="K1201">
        <f>ROUND(INDEX(Economic!AF:AF,MATCH(EOMONTH($A1201,-1),Economic!A:A,0)),2)</f>
        <v>115.71</v>
      </c>
      <c r="L1201" s="11">
        <f t="shared" si="1148"/>
        <v>1</v>
      </c>
      <c r="M1201">
        <f>ROUND(INDEX(Manufacturing!P:P,MATCH(EOMONTH($A1201,-1),Manufacturing!A:A,0)),2)</f>
        <v>77.599999999999994</v>
      </c>
      <c r="N1201">
        <f t="shared" si="1144"/>
        <v>-1</v>
      </c>
      <c r="O1201">
        <f>ROUND(INDEX(Housing!AC:AC,MATCH(EOMONTH($A1201,-1),Housing!B:B,0)),2)</f>
        <v>73.14</v>
      </c>
      <c r="P1201">
        <f t="shared" si="1145"/>
        <v>-2</v>
      </c>
      <c r="Q1201">
        <f>ROUND(INDEX(Spending!AJ:AJ,MATCH(EOMONTH($A1201,-1),Spending!B:B,0)),2)</f>
        <v>50.3</v>
      </c>
      <c r="R1201">
        <f t="shared" si="1149"/>
        <v>1</v>
      </c>
      <c r="S1201">
        <f>ROUND(INDEX(Employment!V:V,MATCH(EOMONTH($A1201,-1),Employment!A:A,0)),2)</f>
        <v>148.63999999999999</v>
      </c>
      <c r="T1201" s="11">
        <f t="shared" si="1146"/>
        <v>-1</v>
      </c>
      <c r="U1201">
        <f t="shared" si="1138"/>
        <v>23</v>
      </c>
      <c r="V1201">
        <f t="shared" si="1130"/>
        <v>67.209999999999994</v>
      </c>
      <c r="W1201" s="13">
        <f t="shared" si="1131"/>
        <v>1.8E-3</v>
      </c>
      <c r="X1201" s="13">
        <f t="shared" si="1132"/>
        <v>5.5999999999999999E-3</v>
      </c>
      <c r="Y1201">
        <f t="shared" si="1124"/>
        <v>79.58</v>
      </c>
      <c r="Z1201" s="13">
        <f t="shared" si="1119"/>
        <v>1.2999999999999999E-3</v>
      </c>
      <c r="AA1201" s="13">
        <f t="shared" si="1115"/>
        <v>-6.0999999999999995E-3</v>
      </c>
      <c r="AB1201" s="6">
        <f t="shared" si="1125"/>
        <v>94.15</v>
      </c>
      <c r="AC1201">
        <f t="shared" si="1117"/>
        <v>47</v>
      </c>
      <c r="AD1201" s="11">
        <f t="shared" si="1118"/>
        <v>1</v>
      </c>
      <c r="AE1201">
        <f t="shared" si="1116"/>
        <v>26</v>
      </c>
      <c r="AF1201">
        <f>IF(AND(AE1201&lt;15,OR(AC1201&gt;=30,AA1201&gt;0.15,X1201&gt;=0.15)),2,VLOOKUP(AE1201,Table!P:Q,2,FALSE))</f>
        <v>4</v>
      </c>
      <c r="AG1201" s="22">
        <f>IF((AB1201*0.98)-(D1201*0.8)+((AF1201-3)*3)+VLOOKUP(AM1201,Table!$A$11:$B$13,2,FALSE)&lt;0,0,(AB1201*0.98)-(D1201*0.8)+((AF1201-3)*3)+VLOOKUP(AM1201,Table!$A$11:$B$13,2,FALSE))</f>
        <v>93.643000000000015</v>
      </c>
      <c r="AH1201" s="22">
        <f t="shared" si="1147"/>
        <v>91</v>
      </c>
      <c r="AI1201" s="18">
        <f t="shared" si="1140"/>
        <v>5.45</v>
      </c>
      <c r="AJ1201" s="18">
        <f t="shared" si="1141"/>
        <v>5.6</v>
      </c>
      <c r="AK1201" t="str">
        <f t="shared" si="1126"/>
        <v>Falling Rates</v>
      </c>
      <c r="AL1201">
        <f t="shared" si="1137"/>
        <v>25.25</v>
      </c>
      <c r="AM1201" s="11" t="str">
        <f t="shared" si="1127"/>
        <v>Stocks</v>
      </c>
      <c r="AN1201" t="str">
        <f t="shared" si="1133"/>
        <v>Buy</v>
      </c>
      <c r="AO1201" s="13">
        <f t="shared" si="1134"/>
        <v>6.7000000000000002E-3</v>
      </c>
      <c r="AP1201" s="13">
        <f t="shared" si="1135"/>
        <v>1E-3</v>
      </c>
      <c r="AQ1201" s="13">
        <f t="shared" si="1136"/>
        <v>6.1999999999999998E-3</v>
      </c>
      <c r="AR1201" s="13">
        <f t="shared" si="1128"/>
        <v>6.7000000000000002E-3</v>
      </c>
      <c r="AS1201" s="6">
        <f t="shared" si="1120"/>
        <v>139.42772794836844</v>
      </c>
      <c r="AT1201" s="6">
        <f t="shared" si="1121"/>
        <v>114.37880117227817</v>
      </c>
      <c r="AU1201" s="6">
        <f t="shared" si="1122"/>
        <v>138.70697187059611</v>
      </c>
      <c r="AV1201" s="6">
        <f t="shared" si="1123"/>
        <v>139.42772794836844</v>
      </c>
      <c r="AW1201" s="58">
        <f t="shared" si="1129"/>
        <v>1995</v>
      </c>
      <c r="AX1201" s="58">
        <f>COUNTIF(AW$3:AW1201,AW1201)</f>
        <v>19</v>
      </c>
    </row>
    <row r="1202" spans="1:50" x14ac:dyDescent="0.25">
      <c r="A1202" s="5">
        <v>34931</v>
      </c>
      <c r="B1202">
        <v>559.21</v>
      </c>
      <c r="C1202">
        <v>5.44</v>
      </c>
      <c r="D1202" s="6">
        <v>12.9</v>
      </c>
      <c r="E1202" s="18">
        <f t="shared" si="1142"/>
        <v>13.1</v>
      </c>
      <c r="F1202">
        <f t="shared" si="1143"/>
        <v>2</v>
      </c>
      <c r="G1202" s="18">
        <f>ROUND(INDEX(Valuation!U:U,MATCH(A1202,Valuation!A:A,0)),2)</f>
        <v>202.53</v>
      </c>
      <c r="H1202">
        <f t="shared" si="1150"/>
        <v>3</v>
      </c>
      <c r="I1202" s="18">
        <f>INDEX(WeeklyIndicators!Y:Y,MATCH(A1202,WeeklyIndicators!A:A,0))</f>
        <v>116.23</v>
      </c>
      <c r="J1202">
        <f t="shared" si="1139"/>
        <v>-1</v>
      </c>
      <c r="K1202">
        <f>ROUND(INDEX(Economic!AF:AF,MATCH(EOMONTH($A1202,-1),Economic!A:A,0)),2)</f>
        <v>115.71</v>
      </c>
      <c r="L1202" s="11">
        <f t="shared" si="1148"/>
        <v>1</v>
      </c>
      <c r="M1202">
        <f>ROUND(INDEX(Manufacturing!P:P,MATCH(EOMONTH($A1202,-1),Manufacturing!A:A,0)),2)</f>
        <v>77.599999999999994</v>
      </c>
      <c r="N1202">
        <f t="shared" si="1144"/>
        <v>-1</v>
      </c>
      <c r="O1202">
        <f>ROUND(INDEX(Housing!AC:AC,MATCH(EOMONTH($A1202,-1),Housing!B:B,0)),2)</f>
        <v>73.14</v>
      </c>
      <c r="P1202">
        <f t="shared" si="1145"/>
        <v>-2</v>
      </c>
      <c r="Q1202">
        <f>ROUND(INDEX(Spending!AJ:AJ,MATCH(EOMONTH($A1202,-1),Spending!B:B,0)),2)</f>
        <v>50.3</v>
      </c>
      <c r="R1202">
        <f t="shared" si="1149"/>
        <v>1</v>
      </c>
      <c r="S1202">
        <f>ROUND(INDEX(Employment!V:V,MATCH(EOMONTH($A1202,-1),Employment!A:A,0)),2)</f>
        <v>148.63999999999999</v>
      </c>
      <c r="T1202" s="11">
        <f t="shared" si="1146"/>
        <v>-1</v>
      </c>
      <c r="U1202">
        <f t="shared" si="1138"/>
        <v>22</v>
      </c>
      <c r="V1202">
        <f t="shared" si="1130"/>
        <v>66.75</v>
      </c>
      <c r="W1202" s="13">
        <f t="shared" si="1131"/>
        <v>-1.1999999999999999E-3</v>
      </c>
      <c r="X1202" s="13">
        <f t="shared" si="1132"/>
        <v>1.14E-2</v>
      </c>
      <c r="Y1202">
        <f t="shared" si="1124"/>
        <v>79.069999999999993</v>
      </c>
      <c r="Z1202" s="13">
        <f t="shared" si="1119"/>
        <v>-2.8999999999999998E-3</v>
      </c>
      <c r="AA1202" s="13">
        <f t="shared" si="1115"/>
        <v>-6.0999999999999995E-3</v>
      </c>
      <c r="AB1202" s="6">
        <f t="shared" si="1125"/>
        <v>93.753</v>
      </c>
      <c r="AC1202">
        <f t="shared" si="1117"/>
        <v>47</v>
      </c>
      <c r="AD1202" s="11">
        <f t="shared" si="1118"/>
        <v>1</v>
      </c>
      <c r="AE1202">
        <f t="shared" si="1116"/>
        <v>25</v>
      </c>
      <c r="AF1202">
        <f>IF(AND(AE1202&lt;15,OR(AC1202&gt;=30,AA1202&gt;0.15,X1202&gt;=0.15)),2,VLOOKUP(AE1202,Table!P:Q,2,FALSE))</f>
        <v>3</v>
      </c>
      <c r="AG1202" s="22">
        <f>IF((AB1202*0.98)-(D1202*0.8)+((AF1202-3)*3)+VLOOKUP(AM1202,Table!$A$11:$B$13,2,FALSE)&lt;0,0,(AB1202*0.98)-(D1202*0.8)+((AF1202-3)*3)+VLOOKUP(AM1202,Table!$A$11:$B$13,2,FALSE))</f>
        <v>89.557940000000002</v>
      </c>
      <c r="AH1202" s="22">
        <f t="shared" si="1147"/>
        <v>89</v>
      </c>
      <c r="AI1202" s="18">
        <f t="shared" si="1140"/>
        <v>5.47</v>
      </c>
      <c r="AJ1202" s="18">
        <f t="shared" si="1141"/>
        <v>5.6</v>
      </c>
      <c r="AK1202" t="str">
        <f t="shared" si="1126"/>
        <v>Falling Rates</v>
      </c>
      <c r="AL1202">
        <f t="shared" si="1137"/>
        <v>25</v>
      </c>
      <c r="AM1202" s="11" t="str">
        <f t="shared" si="1127"/>
        <v>Stocks</v>
      </c>
      <c r="AN1202" t="str">
        <f t="shared" si="1133"/>
        <v>Buy</v>
      </c>
      <c r="AO1202" s="13">
        <f t="shared" si="1134"/>
        <v>1.6000000000000001E-3</v>
      </c>
      <c r="AP1202" s="13">
        <f t="shared" si="1135"/>
        <v>1E-3</v>
      </c>
      <c r="AQ1202" s="13">
        <f t="shared" si="1136"/>
        <v>1.5E-3</v>
      </c>
      <c r="AR1202" s="13">
        <f t="shared" si="1128"/>
        <v>1.6000000000000001E-3</v>
      </c>
      <c r="AS1202" s="6">
        <f t="shared" si="1120"/>
        <v>139.2049999484509</v>
      </c>
      <c r="AT1202" s="6">
        <f t="shared" si="1121"/>
        <v>114.26453663564254</v>
      </c>
      <c r="AU1202" s="6">
        <f t="shared" si="1122"/>
        <v>138.49922303604203</v>
      </c>
      <c r="AV1202" s="6">
        <f t="shared" si="1123"/>
        <v>139.2049999484509</v>
      </c>
      <c r="AW1202" s="58">
        <f t="shared" si="1129"/>
        <v>1995</v>
      </c>
      <c r="AX1202" s="58">
        <f>COUNTIF(AW$3:AW1202,AW1202)</f>
        <v>20</v>
      </c>
    </row>
    <row r="1203" spans="1:50" x14ac:dyDescent="0.25">
      <c r="A1203" s="5">
        <v>34924</v>
      </c>
      <c r="B1203">
        <v>555.11</v>
      </c>
      <c r="C1203">
        <v>5.4</v>
      </c>
      <c r="D1203" s="6">
        <v>13.21</v>
      </c>
      <c r="E1203" s="18">
        <f t="shared" si="1142"/>
        <v>12.92</v>
      </c>
      <c r="F1203">
        <f t="shared" si="1143"/>
        <v>2</v>
      </c>
      <c r="G1203" s="18">
        <f>ROUND(INDEX(Valuation!U:U,MATCH(A1203,Valuation!A:A,0)),2)</f>
        <v>201.33</v>
      </c>
      <c r="H1203">
        <f t="shared" si="1150"/>
        <v>3</v>
      </c>
      <c r="I1203" s="18">
        <f>INDEX(WeeklyIndicators!Y:Y,MATCH(A1203,WeeklyIndicators!A:A,0))</f>
        <v>115.04</v>
      </c>
      <c r="J1203">
        <f t="shared" si="1139"/>
        <v>-1</v>
      </c>
      <c r="K1203">
        <f>ROUND(INDEX(Economic!AF:AF,MATCH(EOMONTH($A1203,-1),Economic!A:A,0)),2)</f>
        <v>115.71</v>
      </c>
      <c r="L1203" s="11">
        <f t="shared" si="1148"/>
        <v>1</v>
      </c>
      <c r="M1203">
        <f>ROUND(INDEX(Manufacturing!P:P,MATCH(EOMONTH($A1203,-1),Manufacturing!A:A,0)),2)</f>
        <v>77.599999999999994</v>
      </c>
      <c r="N1203">
        <f t="shared" si="1144"/>
        <v>-1</v>
      </c>
      <c r="O1203">
        <f>ROUND(INDEX(Housing!AC:AC,MATCH(EOMONTH($A1203,-1),Housing!B:B,0)),2)</f>
        <v>73.14</v>
      </c>
      <c r="P1203">
        <f t="shared" si="1145"/>
        <v>-2</v>
      </c>
      <c r="Q1203">
        <f>ROUND(INDEX(Spending!AJ:AJ,MATCH(EOMONTH($A1203,-1),Spending!B:B,0)),2)</f>
        <v>50.3</v>
      </c>
      <c r="R1203">
        <f t="shared" si="1149"/>
        <v>1</v>
      </c>
      <c r="S1203">
        <f>ROUND(INDEX(Employment!V:V,MATCH(EOMONTH($A1203,-1),Employment!A:A,0)),2)</f>
        <v>148.63999999999999</v>
      </c>
      <c r="T1203" s="11">
        <f t="shared" si="1146"/>
        <v>-1</v>
      </c>
      <c r="U1203">
        <f t="shared" si="1138"/>
        <v>22</v>
      </c>
      <c r="V1203">
        <f t="shared" si="1130"/>
        <v>66.63</v>
      </c>
      <c r="W1203" s="13">
        <f t="shared" si="1131"/>
        <v>2.9999999999999997E-4</v>
      </c>
      <c r="X1203" s="13">
        <f t="shared" si="1132"/>
        <v>1.7399999999999999E-2</v>
      </c>
      <c r="Y1203">
        <f t="shared" si="1124"/>
        <v>78.87</v>
      </c>
      <c r="Z1203" s="13">
        <f t="shared" si="1119"/>
        <v>-3.5999999999999999E-3</v>
      </c>
      <c r="AA1203" s="13">
        <f t="shared" ref="AA1203:AA1266" si="1151">SUM(Z1203:Z1206)</f>
        <v>-3.7999999999999996E-3</v>
      </c>
      <c r="AB1203" s="6">
        <f t="shared" si="1125"/>
        <v>93.643000000000001</v>
      </c>
      <c r="AC1203">
        <f t="shared" si="1117"/>
        <v>47</v>
      </c>
      <c r="AD1203" s="11">
        <f t="shared" si="1118"/>
        <v>1</v>
      </c>
      <c r="AE1203">
        <f t="shared" si="1116"/>
        <v>25</v>
      </c>
      <c r="AF1203">
        <f>IF(AND(AE1203&lt;15,OR(AC1203&gt;=30,AA1203&gt;0.15,X1203&gt;=0.15)),2,VLOOKUP(AE1203,Table!P:Q,2,FALSE))</f>
        <v>3</v>
      </c>
      <c r="AG1203" s="22">
        <f>IF((AB1203*0.98)-(D1203*0.8)+((AF1203-3)*3)+VLOOKUP(AM1203,Table!$A$11:$B$13,2,FALSE)&lt;0,0,(AB1203*0.98)-(D1203*0.8)+((AF1203-3)*3)+VLOOKUP(AM1203,Table!$A$11:$B$13,2,FALSE))</f>
        <v>89.20214</v>
      </c>
      <c r="AH1203" s="22">
        <f t="shared" si="1147"/>
        <v>89</v>
      </c>
      <c r="AI1203" s="18">
        <f t="shared" si="1140"/>
        <v>5.49</v>
      </c>
      <c r="AJ1203" s="18">
        <f t="shared" si="1141"/>
        <v>5.6</v>
      </c>
      <c r="AK1203" t="str">
        <f t="shared" si="1126"/>
        <v>Falling Rates</v>
      </c>
      <c r="AL1203">
        <f t="shared" si="1137"/>
        <v>25</v>
      </c>
      <c r="AM1203" s="11" t="str">
        <f t="shared" si="1127"/>
        <v>Stocks</v>
      </c>
      <c r="AN1203" t="str">
        <f t="shared" si="1133"/>
        <v>Buy</v>
      </c>
      <c r="AO1203" s="13">
        <f t="shared" si="1134"/>
        <v>7.4000000000000003E-3</v>
      </c>
      <c r="AP1203" s="13">
        <f t="shared" si="1135"/>
        <v>1E-3</v>
      </c>
      <c r="AQ1203" s="13">
        <f t="shared" si="1136"/>
        <v>6.7000000000000002E-3</v>
      </c>
      <c r="AR1203" s="13">
        <f t="shared" si="1128"/>
        <v>7.4000000000000003E-3</v>
      </c>
      <c r="AS1203" s="6">
        <f t="shared" si="1120"/>
        <v>138.18244981978449</v>
      </c>
      <c r="AT1203" s="6">
        <f t="shared" si="1121"/>
        <v>114.15038624939316</v>
      </c>
      <c r="AU1203" s="6">
        <f t="shared" si="1122"/>
        <v>137.57745409361482</v>
      </c>
      <c r="AV1203" s="6">
        <f t="shared" si="1123"/>
        <v>138.18244981978449</v>
      </c>
      <c r="AW1203" s="58">
        <f t="shared" si="1129"/>
        <v>1995</v>
      </c>
      <c r="AX1203" s="58">
        <f>COUNTIF(AW$3:AW1203,AW1203)</f>
        <v>21</v>
      </c>
    </row>
    <row r="1204" spans="1:50" x14ac:dyDescent="0.25">
      <c r="A1204" s="5">
        <v>34917</v>
      </c>
      <c r="B1204">
        <v>558.94000000000005</v>
      </c>
      <c r="C1204">
        <v>5.42</v>
      </c>
      <c r="D1204" s="6">
        <v>13.18</v>
      </c>
      <c r="E1204" s="18">
        <f t="shared" si="1142"/>
        <v>12.54</v>
      </c>
      <c r="F1204">
        <f t="shared" si="1143"/>
        <v>2</v>
      </c>
      <c r="G1204" s="18">
        <f>ROUND(INDEX(Valuation!U:U,MATCH(A1204,Valuation!A:A,0)),2)</f>
        <v>201.91</v>
      </c>
      <c r="H1204">
        <f t="shared" si="1150"/>
        <v>3</v>
      </c>
      <c r="I1204" s="18">
        <f>INDEX(WeeklyIndicators!Y:Y,MATCH(A1204,WeeklyIndicators!A:A,0))</f>
        <v>117.05</v>
      </c>
      <c r="J1204">
        <f t="shared" si="1139"/>
        <v>-1</v>
      </c>
      <c r="K1204">
        <f>ROUND(INDEX(Economic!AF:AF,MATCH(EOMONTH($A1204,-1),Economic!A:A,0)),2)</f>
        <v>115.71</v>
      </c>
      <c r="L1204" s="11">
        <f t="shared" si="1148"/>
        <v>1</v>
      </c>
      <c r="M1204">
        <f>ROUND(INDEX(Manufacturing!P:P,MATCH(EOMONTH($A1204,-1),Manufacturing!A:A,0)),2)</f>
        <v>77.599999999999994</v>
      </c>
      <c r="N1204">
        <f t="shared" si="1144"/>
        <v>-1</v>
      </c>
      <c r="O1204">
        <f>ROUND(INDEX(Housing!AC:AC,MATCH(EOMONTH($A1204,-1),Housing!B:B,0)),2)</f>
        <v>73.14</v>
      </c>
      <c r="P1204">
        <f t="shared" si="1145"/>
        <v>-2</v>
      </c>
      <c r="Q1204">
        <f>ROUND(INDEX(Spending!AJ:AJ,MATCH(EOMONTH($A1204,-1),Spending!B:B,0)),2)</f>
        <v>50.3</v>
      </c>
      <c r="R1204">
        <f t="shared" si="1149"/>
        <v>1</v>
      </c>
      <c r="S1204">
        <f>ROUND(INDEX(Employment!V:V,MATCH(EOMONTH($A1204,-1),Employment!A:A,0)),2)</f>
        <v>148.63999999999999</v>
      </c>
      <c r="T1204" s="11">
        <f t="shared" si="1146"/>
        <v>-1</v>
      </c>
      <c r="U1204">
        <f t="shared" si="1138"/>
        <v>22</v>
      </c>
      <c r="V1204">
        <f t="shared" si="1130"/>
        <v>66.84</v>
      </c>
      <c r="W1204" s="13">
        <f t="shared" si="1131"/>
        <v>4.7000000000000002E-3</v>
      </c>
      <c r="X1204" s="13">
        <f t="shared" si="1132"/>
        <v>4.0000000000000001E-3</v>
      </c>
      <c r="Y1204">
        <f t="shared" si="1124"/>
        <v>79.28</v>
      </c>
      <c r="Z1204" s="13">
        <f t="shared" si="1119"/>
        <v>-8.9999999999999998E-4</v>
      </c>
      <c r="AA1204" s="13">
        <f t="shared" si="1151"/>
        <v>-1.4500000000000001E-2</v>
      </c>
      <c r="AB1204" s="6">
        <f t="shared" si="1125"/>
        <v>93.271000000000001</v>
      </c>
      <c r="AC1204">
        <f t="shared" si="1117"/>
        <v>47</v>
      </c>
      <c r="AD1204" s="11">
        <f t="shared" si="1118"/>
        <v>1</v>
      </c>
      <c r="AE1204">
        <f t="shared" si="1116"/>
        <v>25</v>
      </c>
      <c r="AF1204">
        <f>IF(AND(AE1204&lt;15,OR(AC1204&gt;=30,AA1204&gt;0.15,X1204&gt;=0.15)),2,VLOOKUP(AE1204,Table!P:Q,2,FALSE))</f>
        <v>3</v>
      </c>
      <c r="AG1204" s="22">
        <f>IF((AB1204*0.98)-(D1204*0.8)+((AF1204-3)*3)+VLOOKUP(AM1204,Table!$A$11:$B$13,2,FALSE)&lt;0,0,(AB1204*0.98)-(D1204*0.8)+((AF1204-3)*3)+VLOOKUP(AM1204,Table!$A$11:$B$13,2,FALSE))</f>
        <v>88.861580000000004</v>
      </c>
      <c r="AH1204" s="22">
        <f t="shared" si="1147"/>
        <v>88</v>
      </c>
      <c r="AI1204" s="18">
        <f t="shared" si="1140"/>
        <v>5.51</v>
      </c>
      <c r="AJ1204" s="18">
        <f t="shared" si="1141"/>
        <v>5.59</v>
      </c>
      <c r="AK1204" t="str">
        <f t="shared" si="1126"/>
        <v>Falling Rates</v>
      </c>
      <c r="AL1204">
        <f t="shared" si="1137"/>
        <v>25</v>
      </c>
      <c r="AM1204" s="11" t="str">
        <f t="shared" si="1127"/>
        <v>Stocks</v>
      </c>
      <c r="AN1204" t="str">
        <f t="shared" si="1133"/>
        <v>Buy</v>
      </c>
      <c r="AO1204" s="13">
        <f t="shared" si="1134"/>
        <v>-6.8999999999999999E-3</v>
      </c>
      <c r="AP1204" s="13">
        <f t="shared" si="1135"/>
        <v>1E-3</v>
      </c>
      <c r="AQ1204" s="13">
        <f t="shared" si="1136"/>
        <v>-6.0000000000000001E-3</v>
      </c>
      <c r="AR1204" s="13">
        <f t="shared" si="1128"/>
        <v>-6.8999999999999999E-3</v>
      </c>
      <c r="AS1204" s="6">
        <f t="shared" si="1120"/>
        <v>139.14253329955139</v>
      </c>
      <c r="AT1204" s="6">
        <f t="shared" si="1121"/>
        <v>114.03634989949369</v>
      </c>
      <c r="AU1204" s="6">
        <f t="shared" si="1122"/>
        <v>138.40790150263061</v>
      </c>
      <c r="AV1204" s="6">
        <f t="shared" si="1123"/>
        <v>139.14253329955139</v>
      </c>
      <c r="AW1204" s="58">
        <f t="shared" si="1129"/>
        <v>1995</v>
      </c>
      <c r="AX1204" s="58">
        <f>COUNTIF(AW$3:AW1204,AW1204)</f>
        <v>22</v>
      </c>
    </row>
    <row r="1205" spans="1:50" x14ac:dyDescent="0.25">
      <c r="A1205" s="5">
        <v>34910</v>
      </c>
      <c r="B1205">
        <v>562.92999999999995</v>
      </c>
      <c r="C1205">
        <v>5.44</v>
      </c>
      <c r="D1205" s="6">
        <v>12.37</v>
      </c>
      <c r="E1205" s="18">
        <f t="shared" si="1142"/>
        <v>12.07</v>
      </c>
      <c r="F1205">
        <f t="shared" si="1143"/>
        <v>2</v>
      </c>
      <c r="G1205" s="18">
        <f>ROUND(INDEX(Valuation!U:U,MATCH(A1205,Valuation!A:A,0)),2)</f>
        <v>203.38</v>
      </c>
      <c r="H1205">
        <f t="shared" si="1150"/>
        <v>3</v>
      </c>
      <c r="I1205" s="18">
        <f>INDEX(WeeklyIndicators!Y:Y,MATCH(A1205,WeeklyIndicators!A:A,0))</f>
        <v>118.04</v>
      </c>
      <c r="J1205">
        <f t="shared" si="1139"/>
        <v>-1</v>
      </c>
      <c r="K1205">
        <f>ROUND(INDEX(Economic!AF:AF,MATCH(EOMONTH($A1205,-1),Economic!A:A,0)),2)</f>
        <v>118.04</v>
      </c>
      <c r="L1205" s="11">
        <f t="shared" si="1148"/>
        <v>1</v>
      </c>
      <c r="M1205">
        <f>ROUND(INDEX(Manufacturing!P:P,MATCH(EOMONTH($A1205,-1),Manufacturing!A:A,0)),2)</f>
        <v>77.89</v>
      </c>
      <c r="N1205">
        <f t="shared" si="1144"/>
        <v>-1</v>
      </c>
      <c r="O1205">
        <f>ROUND(INDEX(Housing!AC:AC,MATCH(EOMONTH($A1205,-1),Housing!B:B,0)),2)</f>
        <v>69.77</v>
      </c>
      <c r="P1205">
        <f t="shared" si="1145"/>
        <v>-2</v>
      </c>
      <c r="Q1205">
        <f>ROUND(INDEX(Spending!AJ:AJ,MATCH(EOMONTH($A1205,-1),Spending!B:B,0)),2)</f>
        <v>47</v>
      </c>
      <c r="R1205">
        <f t="shared" si="1149"/>
        <v>0</v>
      </c>
      <c r="S1205">
        <f>ROUND(INDEX(Employment!V:V,MATCH(EOMONTH($A1205,-1),Employment!A:A,0)),2)</f>
        <v>151.04</v>
      </c>
      <c r="T1205" s="11">
        <f t="shared" si="1146"/>
        <v>0</v>
      </c>
      <c r="U1205">
        <f t="shared" si="1138"/>
        <v>22</v>
      </c>
      <c r="V1205">
        <f t="shared" si="1130"/>
        <v>67</v>
      </c>
      <c r="W1205" s="13">
        <f t="shared" si="1131"/>
        <v>7.6E-3</v>
      </c>
      <c r="X1205" s="13">
        <f t="shared" si="1132"/>
        <v>-1.89E-2</v>
      </c>
      <c r="Y1205">
        <f t="shared" si="1124"/>
        <v>79.77</v>
      </c>
      <c r="Z1205" s="13">
        <f t="shared" si="1119"/>
        <v>1.2999999999999999E-3</v>
      </c>
      <c r="AA1205" s="13">
        <f t="shared" si="1151"/>
        <v>-3.1800000000000002E-2</v>
      </c>
      <c r="AB1205" s="6">
        <f t="shared" si="1125"/>
        <v>92.518000000000001</v>
      </c>
      <c r="AC1205">
        <f t="shared" si="1117"/>
        <v>46</v>
      </c>
      <c r="AD1205" s="11">
        <f t="shared" si="1118"/>
        <v>1</v>
      </c>
      <c r="AE1205">
        <f t="shared" si="1116"/>
        <v>25</v>
      </c>
      <c r="AF1205">
        <f>IF(AND(AE1205&lt;15,OR(AC1205&gt;=30,AA1205&gt;0.15,X1205&gt;=0.15)),2,VLOOKUP(AE1205,Table!P:Q,2,FALSE))</f>
        <v>3</v>
      </c>
      <c r="AG1205" s="22">
        <f>IF((AB1205*0.98)-(D1205*0.8)+((AF1205-3)*3)+VLOOKUP(AM1205,Table!$A$11:$B$13,2,FALSE)&lt;0,0,(AB1205*0.98)-(D1205*0.8)+((AF1205-3)*3)+VLOOKUP(AM1205,Table!$A$11:$B$13,2,FALSE))</f>
        <v>88.771640000000005</v>
      </c>
      <c r="AH1205" s="22">
        <f t="shared" si="1147"/>
        <v>88</v>
      </c>
      <c r="AI1205" s="18">
        <f t="shared" si="1140"/>
        <v>5.52</v>
      </c>
      <c r="AJ1205" s="18">
        <f t="shared" si="1141"/>
        <v>5.59</v>
      </c>
      <c r="AK1205" t="str">
        <f t="shared" si="1126"/>
        <v/>
      </c>
      <c r="AL1205">
        <f t="shared" si="1137"/>
        <v>25</v>
      </c>
      <c r="AM1205" s="11" t="str">
        <f t="shared" si="1127"/>
        <v>Stocks</v>
      </c>
      <c r="AN1205" t="str">
        <f t="shared" si="1133"/>
        <v>Buy</v>
      </c>
      <c r="AO1205" s="13">
        <f t="shared" si="1134"/>
        <v>-7.1000000000000004E-3</v>
      </c>
      <c r="AP1205" s="13">
        <f t="shared" si="1135"/>
        <v>1E-3</v>
      </c>
      <c r="AQ1205" s="13">
        <f t="shared" si="1136"/>
        <v>-6.1000000000000004E-3</v>
      </c>
      <c r="AR1205" s="13">
        <f t="shared" si="1128"/>
        <v>-7.1000000000000004E-3</v>
      </c>
      <c r="AS1205" s="6">
        <f t="shared" si="1120"/>
        <v>140.13750961783805</v>
      </c>
      <c r="AT1205" s="6">
        <f t="shared" si="1121"/>
        <v>113.92242747202168</v>
      </c>
      <c r="AU1205" s="6">
        <f t="shared" si="1122"/>
        <v>139.25737146858901</v>
      </c>
      <c r="AV1205" s="6">
        <f t="shared" si="1123"/>
        <v>140.13750961783805</v>
      </c>
      <c r="AW1205" s="58">
        <f t="shared" si="1129"/>
        <v>1995</v>
      </c>
      <c r="AX1205" s="58">
        <f>COUNTIF(AW$3:AW1205,AW1205)</f>
        <v>23</v>
      </c>
    </row>
    <row r="1206" spans="1:50" x14ac:dyDescent="0.25">
      <c r="A1206" s="5">
        <v>34903</v>
      </c>
      <c r="B1206">
        <v>553.62</v>
      </c>
      <c r="C1206">
        <v>5.43</v>
      </c>
      <c r="D1206" s="6">
        <v>12.08</v>
      </c>
      <c r="E1206" s="18">
        <f t="shared" si="1142"/>
        <v>11.74</v>
      </c>
      <c r="F1206">
        <f t="shared" si="1143"/>
        <v>2</v>
      </c>
      <c r="G1206" s="18">
        <f>ROUND(INDEX(Valuation!U:U,MATCH(A1206,Valuation!A:A,0)),2)</f>
        <v>205.9</v>
      </c>
      <c r="H1206">
        <f t="shared" si="1150"/>
        <v>3</v>
      </c>
      <c r="I1206" s="18">
        <f>INDEX(WeeklyIndicators!Y:Y,MATCH(A1206,WeeklyIndicators!A:A,0))</f>
        <v>113.88</v>
      </c>
      <c r="J1206">
        <f t="shared" si="1139"/>
        <v>-1</v>
      </c>
      <c r="K1206">
        <f>ROUND(INDEX(Economic!AF:AF,MATCH(EOMONTH($A1206,-1),Economic!A:A,0)),2)</f>
        <v>118.04</v>
      </c>
      <c r="L1206" s="11">
        <f t="shared" si="1148"/>
        <v>1</v>
      </c>
      <c r="M1206">
        <f>ROUND(INDEX(Manufacturing!P:P,MATCH(EOMONTH($A1206,-1),Manufacturing!A:A,0)),2)</f>
        <v>77.89</v>
      </c>
      <c r="N1206">
        <f t="shared" si="1144"/>
        <v>-1</v>
      </c>
      <c r="O1206">
        <f>ROUND(INDEX(Housing!AC:AC,MATCH(EOMONTH($A1206,-1),Housing!B:B,0)),2)</f>
        <v>69.77</v>
      </c>
      <c r="P1206">
        <f t="shared" si="1145"/>
        <v>-2</v>
      </c>
      <c r="Q1206">
        <f>ROUND(INDEX(Spending!AJ:AJ,MATCH(EOMONTH($A1206,-1),Spending!B:B,0)),2)</f>
        <v>47</v>
      </c>
      <c r="R1206">
        <f t="shared" si="1149"/>
        <v>0</v>
      </c>
      <c r="S1206">
        <f>ROUND(INDEX(Employment!V:V,MATCH(EOMONTH($A1206,-1),Employment!A:A,0)),2)</f>
        <v>151.04</v>
      </c>
      <c r="T1206" s="11">
        <f t="shared" si="1146"/>
        <v>0</v>
      </c>
      <c r="U1206">
        <f t="shared" si="1138"/>
        <v>22</v>
      </c>
      <c r="V1206">
        <f t="shared" si="1130"/>
        <v>66.569999999999993</v>
      </c>
      <c r="W1206" s="13">
        <f t="shared" si="1131"/>
        <v>4.7999999999999996E-3</v>
      </c>
      <c r="X1206" s="13">
        <f t="shared" si="1132"/>
        <v>-4.5300000000000007E-2</v>
      </c>
      <c r="Y1206">
        <f t="shared" si="1124"/>
        <v>79.739999999999995</v>
      </c>
      <c r="Z1206" s="13">
        <f t="shared" si="1119"/>
        <v>-5.9999999999999995E-4</v>
      </c>
      <c r="AA1206" s="13">
        <f t="shared" si="1151"/>
        <v>-5.1400000000000001E-2</v>
      </c>
      <c r="AB1206" s="6">
        <f t="shared" si="1125"/>
        <v>91.15</v>
      </c>
      <c r="AC1206">
        <f t="shared" si="1117"/>
        <v>46</v>
      </c>
      <c r="AD1206" s="11">
        <f t="shared" si="1118"/>
        <v>1</v>
      </c>
      <c r="AE1206">
        <f t="shared" si="1116"/>
        <v>25</v>
      </c>
      <c r="AF1206">
        <f>IF(AND(AE1206&lt;15,OR(AC1206&gt;=30,AA1206&gt;0.15,X1206&gt;=0.15)),2,VLOOKUP(AE1206,Table!P:Q,2,FALSE))</f>
        <v>3</v>
      </c>
      <c r="AG1206" s="22">
        <f>IF((AB1206*0.98)-(D1206*0.8)+((AF1206-3)*3)+VLOOKUP(AM1206,Table!$A$11:$B$13,2,FALSE)&lt;0,0,(AB1206*0.98)-(D1206*0.8)+((AF1206-3)*3)+VLOOKUP(AM1206,Table!$A$11:$B$13,2,FALSE))</f>
        <v>87.662999999999997</v>
      </c>
      <c r="AH1206" s="22">
        <f t="shared" si="1147"/>
        <v>87</v>
      </c>
      <c r="AI1206" s="18">
        <f t="shared" si="1140"/>
        <v>5.54</v>
      </c>
      <c r="AJ1206" s="18">
        <f t="shared" si="1141"/>
        <v>5.57</v>
      </c>
      <c r="AK1206" t="str">
        <f t="shared" si="1126"/>
        <v/>
      </c>
      <c r="AL1206">
        <f t="shared" si="1137"/>
        <v>25</v>
      </c>
      <c r="AM1206" s="11" t="str">
        <f t="shared" si="1127"/>
        <v>Stocks</v>
      </c>
      <c r="AN1206" t="str">
        <f t="shared" si="1133"/>
        <v>Buy</v>
      </c>
      <c r="AO1206" s="13">
        <f t="shared" si="1134"/>
        <v>1.6799999999999999E-2</v>
      </c>
      <c r="AP1206" s="13">
        <f t="shared" si="1135"/>
        <v>1E-3</v>
      </c>
      <c r="AQ1206" s="13">
        <f t="shared" si="1136"/>
        <v>1.47E-2</v>
      </c>
      <c r="AR1206" s="13">
        <f t="shared" si="1128"/>
        <v>1.6799999999999999E-2</v>
      </c>
      <c r="AS1206" s="6">
        <f t="shared" si="1120"/>
        <v>137.822098365301</v>
      </c>
      <c r="AT1206" s="6">
        <f t="shared" si="1121"/>
        <v>113.80861885316853</v>
      </c>
      <c r="AU1206" s="6">
        <f t="shared" si="1122"/>
        <v>137.23994428756185</v>
      </c>
      <c r="AV1206" s="6">
        <f t="shared" si="1123"/>
        <v>137.822098365301</v>
      </c>
      <c r="AW1206" s="58">
        <f t="shared" si="1129"/>
        <v>1995</v>
      </c>
      <c r="AX1206" s="58">
        <f>COUNTIF(AW$3:AW1206,AW1206)</f>
        <v>24</v>
      </c>
    </row>
    <row r="1207" spans="1:50" x14ac:dyDescent="0.25">
      <c r="A1207" s="5">
        <v>34896</v>
      </c>
      <c r="B1207">
        <v>559.89</v>
      </c>
      <c r="C1207">
        <v>5.39</v>
      </c>
      <c r="D1207" s="6">
        <v>11.77</v>
      </c>
      <c r="E1207" s="18">
        <f t="shared" si="1142"/>
        <v>11.42</v>
      </c>
      <c r="F1207">
        <f t="shared" si="1143"/>
        <v>2</v>
      </c>
      <c r="G1207" s="18">
        <f>ROUND(INDEX(Valuation!U:U,MATCH(A1207,Valuation!A:A,0)),2)</f>
        <v>208.73</v>
      </c>
      <c r="H1207">
        <f t="shared" si="1150"/>
        <v>3</v>
      </c>
      <c r="I1207" s="18">
        <f>INDEX(WeeklyIndicators!Y:Y,MATCH(A1207,WeeklyIndicators!A:A,0))</f>
        <v>107.51</v>
      </c>
      <c r="J1207">
        <f t="shared" si="1139"/>
        <v>-1</v>
      </c>
      <c r="K1207">
        <f>ROUND(INDEX(Economic!AF:AF,MATCH(EOMONTH($A1207,-1),Economic!A:A,0)),2)</f>
        <v>118.04</v>
      </c>
      <c r="L1207" s="11">
        <f t="shared" si="1148"/>
        <v>1</v>
      </c>
      <c r="M1207">
        <f>ROUND(INDEX(Manufacturing!P:P,MATCH(EOMONTH($A1207,-1),Manufacturing!A:A,0)),2)</f>
        <v>77.89</v>
      </c>
      <c r="N1207">
        <f t="shared" si="1144"/>
        <v>-1</v>
      </c>
      <c r="O1207">
        <f>ROUND(INDEX(Housing!AC:AC,MATCH(EOMONTH($A1207,-1),Housing!B:B,0)),2)</f>
        <v>69.77</v>
      </c>
      <c r="P1207">
        <f t="shared" si="1145"/>
        <v>-2</v>
      </c>
      <c r="Q1207">
        <f>ROUND(INDEX(Spending!AJ:AJ,MATCH(EOMONTH($A1207,-1),Spending!B:B,0)),2)</f>
        <v>47</v>
      </c>
      <c r="R1207">
        <f t="shared" si="1149"/>
        <v>0</v>
      </c>
      <c r="S1207">
        <f>ROUND(INDEX(Employment!V:V,MATCH(EOMONTH($A1207,-1),Employment!A:A,0)),2)</f>
        <v>151.04</v>
      </c>
      <c r="T1207" s="11">
        <f t="shared" si="1146"/>
        <v>0</v>
      </c>
      <c r="U1207">
        <f t="shared" si="1138"/>
        <v>22</v>
      </c>
      <c r="V1207">
        <f t="shared" si="1130"/>
        <v>65.91</v>
      </c>
      <c r="W1207" s="13">
        <f t="shared" si="1131"/>
        <v>-1.3100000000000001E-2</v>
      </c>
      <c r="X1207" s="13">
        <f t="shared" si="1132"/>
        <v>-5.5100000000000003E-2</v>
      </c>
      <c r="Y1207">
        <f t="shared" si="1124"/>
        <v>79.5</v>
      </c>
      <c r="Z1207" s="13">
        <f t="shared" si="1119"/>
        <v>-1.43E-2</v>
      </c>
      <c r="AA1207" s="13">
        <f t="shared" si="1151"/>
        <v>-5.7999999999999996E-2</v>
      </c>
      <c r="AB1207" s="6">
        <f t="shared" si="1125"/>
        <v>90.63300000000001</v>
      </c>
      <c r="AC1207">
        <f t="shared" si="1117"/>
        <v>45</v>
      </c>
      <c r="AD1207" s="11">
        <f t="shared" si="1118"/>
        <v>1</v>
      </c>
      <c r="AE1207">
        <f t="shared" si="1116"/>
        <v>25</v>
      </c>
      <c r="AF1207">
        <f>IF(AND(AE1207&lt;15,OR(AC1207&gt;=30,AA1207&gt;0.15,X1207&gt;=0.15)),2,VLOOKUP(AE1207,Table!P:Q,2,FALSE))</f>
        <v>3</v>
      </c>
      <c r="AG1207" s="22">
        <f>IF((AB1207*0.98)-(D1207*0.8)+((AF1207-3)*3)+VLOOKUP(AM1207,Table!$A$11:$B$13,2,FALSE)&lt;0,0,(AB1207*0.98)-(D1207*0.8)+((AF1207-3)*3)+VLOOKUP(AM1207,Table!$A$11:$B$13,2,FALSE))</f>
        <v>87.404340000000005</v>
      </c>
      <c r="AH1207" s="22">
        <f t="shared" si="1147"/>
        <v>88</v>
      </c>
      <c r="AI1207" s="18">
        <f t="shared" si="1140"/>
        <v>5.55</v>
      </c>
      <c r="AJ1207" s="18">
        <f t="shared" si="1141"/>
        <v>5.56</v>
      </c>
      <c r="AK1207" t="str">
        <f t="shared" si="1126"/>
        <v>Falling Rates</v>
      </c>
      <c r="AL1207">
        <f t="shared" si="1137"/>
        <v>25.25</v>
      </c>
      <c r="AM1207" s="11" t="str">
        <f t="shared" si="1127"/>
        <v>Stocks</v>
      </c>
      <c r="AN1207" t="str">
        <f t="shared" si="1133"/>
        <v>Buy</v>
      </c>
      <c r="AO1207" s="13">
        <f t="shared" si="1134"/>
        <v>-1.12E-2</v>
      </c>
      <c r="AP1207" s="13">
        <f t="shared" si="1135"/>
        <v>1E-3</v>
      </c>
      <c r="AQ1207" s="13">
        <f t="shared" si="1136"/>
        <v>-9.7000000000000003E-3</v>
      </c>
      <c r="AR1207" s="13">
        <f t="shared" si="1128"/>
        <v>-1.12E-2</v>
      </c>
      <c r="AS1207" s="6">
        <f t="shared" si="1120"/>
        <v>139.38319009435781</v>
      </c>
      <c r="AT1207" s="6">
        <f t="shared" si="1121"/>
        <v>113.69492392923929</v>
      </c>
      <c r="AU1207" s="6">
        <f t="shared" si="1122"/>
        <v>138.58421113557696</v>
      </c>
      <c r="AV1207" s="6">
        <f t="shared" si="1123"/>
        <v>139.38319009435781</v>
      </c>
      <c r="AW1207" s="58">
        <f t="shared" si="1129"/>
        <v>1995</v>
      </c>
      <c r="AX1207" s="58">
        <f>COUNTIF(AW$3:AW1207,AW1207)</f>
        <v>25</v>
      </c>
    </row>
    <row r="1208" spans="1:50" x14ac:dyDescent="0.25">
      <c r="A1208" s="5">
        <v>34889</v>
      </c>
      <c r="B1208">
        <v>556.37</v>
      </c>
      <c r="C1208">
        <v>5.43</v>
      </c>
      <c r="D1208" s="6">
        <v>11.38</v>
      </c>
      <c r="E1208" s="18">
        <f t="shared" si="1142"/>
        <v>11.08</v>
      </c>
      <c r="F1208">
        <f t="shared" si="1143"/>
        <v>2</v>
      </c>
      <c r="G1208" s="18">
        <f>ROUND(INDEX(Valuation!U:U,MATCH(A1208,Valuation!A:A,0)),2)</f>
        <v>211.11</v>
      </c>
      <c r="H1208">
        <f t="shared" si="1150"/>
        <v>3</v>
      </c>
      <c r="I1208" s="18">
        <f>INDEX(WeeklyIndicators!Y:Y,MATCH(A1208,WeeklyIndicators!A:A,0))</f>
        <v>103.47</v>
      </c>
      <c r="J1208">
        <f t="shared" si="1139"/>
        <v>-1</v>
      </c>
      <c r="K1208">
        <f>ROUND(INDEX(Economic!AF:AF,MATCH(EOMONTH($A1208,-1),Economic!A:A,0)),2)</f>
        <v>118.04</v>
      </c>
      <c r="L1208" s="11">
        <f t="shared" si="1148"/>
        <v>1</v>
      </c>
      <c r="M1208">
        <f>ROUND(INDEX(Manufacturing!P:P,MATCH(EOMONTH($A1208,-1),Manufacturing!A:A,0)),2)</f>
        <v>77.89</v>
      </c>
      <c r="N1208">
        <f t="shared" si="1144"/>
        <v>-1</v>
      </c>
      <c r="O1208">
        <f>ROUND(INDEX(Housing!AC:AC,MATCH(EOMONTH($A1208,-1),Housing!B:B,0)),2)</f>
        <v>69.77</v>
      </c>
      <c r="P1208">
        <f t="shared" si="1145"/>
        <v>-2</v>
      </c>
      <c r="Q1208">
        <f>ROUND(INDEX(Spending!AJ:AJ,MATCH(EOMONTH($A1208,-1),Spending!B:B,0)),2)</f>
        <v>47</v>
      </c>
      <c r="R1208">
        <f t="shared" si="1149"/>
        <v>0</v>
      </c>
      <c r="S1208">
        <f>ROUND(INDEX(Employment!V:V,MATCH(EOMONTH($A1208,-1),Employment!A:A,0)),2)</f>
        <v>151.04</v>
      </c>
      <c r="T1208" s="11">
        <f t="shared" si="1146"/>
        <v>0</v>
      </c>
      <c r="U1208">
        <f t="shared" si="1138"/>
        <v>22</v>
      </c>
      <c r="V1208">
        <f t="shared" si="1130"/>
        <v>65.489999999999995</v>
      </c>
      <c r="W1208" s="13">
        <f t="shared" si="1131"/>
        <v>-1.8200000000000001E-2</v>
      </c>
      <c r="X1208" s="13">
        <f t="shared" si="1132"/>
        <v>-6.6100000000000006E-2</v>
      </c>
      <c r="Y1208">
        <f t="shared" si="1124"/>
        <v>79.47</v>
      </c>
      <c r="Z1208" s="13">
        <f t="shared" si="1119"/>
        <v>-1.8200000000000001E-2</v>
      </c>
      <c r="AA1208" s="13">
        <f t="shared" si="1151"/>
        <v>-6.5799999999999997E-2</v>
      </c>
      <c r="AB1208" s="6">
        <f t="shared" si="1125"/>
        <v>90.191000000000003</v>
      </c>
      <c r="AC1208">
        <f t="shared" si="1117"/>
        <v>45</v>
      </c>
      <c r="AD1208" s="11">
        <f t="shared" si="1118"/>
        <v>1</v>
      </c>
      <c r="AE1208">
        <f t="shared" ref="AE1208:AE1271" si="1152">IF(AND(AA1208&gt;=0.2,AC1208&gt;=20,U1208+AD1208+2&lt;30),U1208+AD1208+2+12,U1208+AD1208+2)</f>
        <v>25</v>
      </c>
      <c r="AF1208">
        <f>IF(AND(AE1208&lt;15,OR(AC1208&gt;=30,AA1208&gt;0.15,X1208&gt;=0.15)),2,VLOOKUP(AE1208,Table!P:Q,2,FALSE))</f>
        <v>3</v>
      </c>
      <c r="AG1208" s="22">
        <f>IF((AB1208*0.98)-(D1208*0.8)+((AF1208-3)*3)+VLOOKUP(AM1208,Table!$A$11:$B$13,2,FALSE)&lt;0,0,(AB1208*0.98)-(D1208*0.8)+((AF1208-3)*3)+VLOOKUP(AM1208,Table!$A$11:$B$13,2,FALSE))</f>
        <v>87.283180000000002</v>
      </c>
      <c r="AH1208" s="22">
        <f t="shared" si="1147"/>
        <v>90</v>
      </c>
      <c r="AI1208" s="18">
        <f t="shared" si="1140"/>
        <v>5.57</v>
      </c>
      <c r="AJ1208" s="18">
        <f t="shared" si="1141"/>
        <v>5.55</v>
      </c>
      <c r="AK1208" t="str">
        <f t="shared" si="1126"/>
        <v/>
      </c>
      <c r="AL1208">
        <f t="shared" si="1137"/>
        <v>25.75</v>
      </c>
      <c r="AM1208" s="11" t="str">
        <f t="shared" si="1127"/>
        <v>Stocks</v>
      </c>
      <c r="AN1208" t="str">
        <f t="shared" si="1133"/>
        <v>Buy</v>
      </c>
      <c r="AO1208" s="13">
        <f t="shared" si="1134"/>
        <v>6.3E-3</v>
      </c>
      <c r="AP1208" s="13">
        <f t="shared" si="1135"/>
        <v>1E-3</v>
      </c>
      <c r="AQ1208" s="13">
        <f t="shared" si="1136"/>
        <v>5.7999999999999996E-3</v>
      </c>
      <c r="AR1208" s="13">
        <f t="shared" si="1128"/>
        <v>6.3E-3</v>
      </c>
      <c r="AS1208" s="6">
        <f t="shared" si="1120"/>
        <v>138.51057348142484</v>
      </c>
      <c r="AT1208" s="6">
        <f t="shared" si="1121"/>
        <v>113.58134258665265</v>
      </c>
      <c r="AU1208" s="6">
        <f t="shared" si="1122"/>
        <v>137.78505780033501</v>
      </c>
      <c r="AV1208" s="6">
        <f t="shared" si="1123"/>
        <v>138.51057348142484</v>
      </c>
      <c r="AW1208" s="58">
        <f t="shared" si="1129"/>
        <v>1995</v>
      </c>
      <c r="AX1208" s="58">
        <f>COUNTIF(AW$3:AW1208,AW1208)</f>
        <v>26</v>
      </c>
    </row>
    <row r="1209" spans="1:50" x14ac:dyDescent="0.25">
      <c r="A1209" s="5">
        <v>34882</v>
      </c>
      <c r="B1209">
        <v>544.75</v>
      </c>
      <c r="C1209">
        <v>5.43</v>
      </c>
      <c r="D1209" s="6">
        <v>11.12</v>
      </c>
      <c r="E1209" s="18">
        <f t="shared" si="1142"/>
        <v>11.54</v>
      </c>
      <c r="F1209">
        <f t="shared" si="1143"/>
        <v>2</v>
      </c>
      <c r="G1209" s="18">
        <f>ROUND(INDEX(Valuation!U:U,MATCH(A1209,Valuation!A:A,0)),2)</f>
        <v>215.21</v>
      </c>
      <c r="H1209">
        <f t="shared" si="1150"/>
        <v>3</v>
      </c>
      <c r="I1209" s="18">
        <f>INDEX(WeeklyIndicators!Y:Y,MATCH(A1209,WeeklyIndicators!A:A,0))</f>
        <v>104.7</v>
      </c>
      <c r="J1209">
        <f t="shared" si="1139"/>
        <v>-1</v>
      </c>
      <c r="K1209">
        <f>ROUND(INDEX(Economic!AF:AF,MATCH(EOMONTH($A1209,-1),Economic!A:A,0)),2)</f>
        <v>118.04</v>
      </c>
      <c r="L1209" s="11">
        <f t="shared" si="1148"/>
        <v>1</v>
      </c>
      <c r="M1209">
        <f>ROUND(INDEX(Manufacturing!P:P,MATCH(EOMONTH($A1209,-1),Manufacturing!A:A,0)),2)</f>
        <v>77.89</v>
      </c>
      <c r="N1209">
        <f t="shared" si="1144"/>
        <v>-1</v>
      </c>
      <c r="O1209">
        <f>ROUND(INDEX(Housing!AC:AC,MATCH(EOMONTH($A1209,-1),Housing!B:B,0)),2)</f>
        <v>69.77</v>
      </c>
      <c r="P1209">
        <f t="shared" si="1145"/>
        <v>-2</v>
      </c>
      <c r="Q1209">
        <f>ROUND(INDEX(Spending!AJ:AJ,MATCH(EOMONTH($A1209,-1),Spending!B:B,0)),2)</f>
        <v>47</v>
      </c>
      <c r="R1209">
        <f t="shared" si="1149"/>
        <v>0</v>
      </c>
      <c r="S1209">
        <f>ROUND(INDEX(Employment!V:V,MATCH(EOMONTH($A1209,-1),Employment!A:A,0)),2)</f>
        <v>151.04</v>
      </c>
      <c r="T1209" s="11">
        <f t="shared" si="1146"/>
        <v>0</v>
      </c>
      <c r="U1209">
        <f t="shared" si="1138"/>
        <v>22</v>
      </c>
      <c r="V1209">
        <f t="shared" si="1130"/>
        <v>65.62</v>
      </c>
      <c r="W1209" s="13">
        <f t="shared" si="1131"/>
        <v>-1.8800000000000001E-2</v>
      </c>
      <c r="X1209" s="13">
        <f t="shared" si="1132"/>
        <v>-7.1099999999999997E-2</v>
      </c>
      <c r="Y1209">
        <f t="shared" si="1124"/>
        <v>79.89</v>
      </c>
      <c r="Z1209" s="13">
        <f t="shared" si="1119"/>
        <v>-1.83E-2</v>
      </c>
      <c r="AA1209" s="13">
        <f t="shared" si="1151"/>
        <v>-6.9099999999999995E-2</v>
      </c>
      <c r="AB1209" s="6">
        <f t="shared" si="1125"/>
        <v>90.760999999999996</v>
      </c>
      <c r="AC1209">
        <f t="shared" si="1117"/>
        <v>45</v>
      </c>
      <c r="AD1209" s="11">
        <f t="shared" si="1118"/>
        <v>1</v>
      </c>
      <c r="AE1209">
        <f t="shared" si="1152"/>
        <v>25</v>
      </c>
      <c r="AF1209">
        <f>IF(AND(AE1209&lt;15,OR(AC1209&gt;=30,AA1209&gt;0.15,X1209&gt;=0.15)),2,VLOOKUP(AE1209,Table!P:Q,2,FALSE))</f>
        <v>3</v>
      </c>
      <c r="AG1209" s="22">
        <f>IF((AB1209*0.98)-(D1209*0.8)+((AF1209-3)*3)+VLOOKUP(AM1209,Table!$A$11:$B$13,2,FALSE)&lt;0,0,(AB1209*0.98)-(D1209*0.8)+((AF1209-3)*3)+VLOOKUP(AM1209,Table!$A$11:$B$13,2,FALSE))</f>
        <v>88.049779999999998</v>
      </c>
      <c r="AH1209" s="22">
        <f t="shared" si="1147"/>
        <v>92</v>
      </c>
      <c r="AI1209" s="18">
        <f t="shared" si="1140"/>
        <v>5.59</v>
      </c>
      <c r="AJ1209" s="18">
        <f t="shared" si="1141"/>
        <v>5.54</v>
      </c>
      <c r="AK1209" t="str">
        <f t="shared" si="1126"/>
        <v/>
      </c>
      <c r="AL1209">
        <f t="shared" si="1137"/>
        <v>26.25</v>
      </c>
      <c r="AM1209" s="11" t="str">
        <f t="shared" si="1127"/>
        <v>Stocks</v>
      </c>
      <c r="AN1209" t="str">
        <f t="shared" si="1133"/>
        <v>Buy</v>
      </c>
      <c r="AO1209" s="13">
        <f t="shared" si="1134"/>
        <v>2.1299999999999999E-2</v>
      </c>
      <c r="AP1209" s="13">
        <f t="shared" si="1135"/>
        <v>1E-3</v>
      </c>
      <c r="AQ1209" s="13">
        <f t="shared" si="1136"/>
        <v>1.9699999999999999E-2</v>
      </c>
      <c r="AR1209" s="13">
        <f t="shared" si="1128"/>
        <v>2.1299999999999999E-2</v>
      </c>
      <c r="AS1209" s="6">
        <f t="shared" si="1120"/>
        <v>135.62182853365792</v>
      </c>
      <c r="AT1209" s="6">
        <f t="shared" si="1121"/>
        <v>113.46787471194072</v>
      </c>
      <c r="AU1209" s="6">
        <f t="shared" si="1122"/>
        <v>135.12313209800431</v>
      </c>
      <c r="AV1209" s="6">
        <f t="shared" si="1123"/>
        <v>135.62182853365792</v>
      </c>
      <c r="AW1209" s="58">
        <f t="shared" si="1129"/>
        <v>1995</v>
      </c>
      <c r="AX1209" s="58">
        <f>COUNTIF(AW$3:AW1209,AW1209)</f>
        <v>27</v>
      </c>
    </row>
    <row r="1210" spans="1:50" x14ac:dyDescent="0.25">
      <c r="A1210" s="5">
        <v>34875</v>
      </c>
      <c r="B1210">
        <v>549.71</v>
      </c>
      <c r="C1210">
        <v>5.42</v>
      </c>
      <c r="D1210" s="6">
        <v>10.75</v>
      </c>
      <c r="E1210" s="18">
        <f t="shared" si="1142"/>
        <v>12.16</v>
      </c>
      <c r="F1210">
        <f t="shared" si="1143"/>
        <v>2</v>
      </c>
      <c r="G1210" s="18">
        <f>ROUND(INDEX(Valuation!U:U,MATCH(A1210,Valuation!A:A,0)),2)</f>
        <v>218.69</v>
      </c>
      <c r="H1210">
        <f t="shared" si="1150"/>
        <v>3</v>
      </c>
      <c r="I1210" s="18">
        <f>INDEX(WeeklyIndicators!Y:Y,MATCH(A1210,WeeklyIndicators!A:A,0))</f>
        <v>109.18</v>
      </c>
      <c r="J1210">
        <f t="shared" si="1139"/>
        <v>-1</v>
      </c>
      <c r="K1210">
        <f>ROUND(INDEX(Economic!AF:AF,MATCH(EOMONTH($A1210,-1),Economic!A:A,0)),2)</f>
        <v>123.93</v>
      </c>
      <c r="L1210" s="11">
        <f t="shared" si="1148"/>
        <v>1</v>
      </c>
      <c r="M1210">
        <f>ROUND(INDEX(Manufacturing!P:P,MATCH(EOMONTH($A1210,-1),Manufacturing!A:A,0)),2)</f>
        <v>85.97</v>
      </c>
      <c r="N1210">
        <f t="shared" si="1144"/>
        <v>0</v>
      </c>
      <c r="O1210">
        <f>ROUND(INDEX(Housing!AC:AC,MATCH(EOMONTH($A1210,-1),Housing!B:B,0)),2)</f>
        <v>69.53</v>
      </c>
      <c r="P1210">
        <f t="shared" si="1145"/>
        <v>-2</v>
      </c>
      <c r="Q1210">
        <f>ROUND(INDEX(Spending!AJ:AJ,MATCH(EOMONTH($A1210,-1),Spending!B:B,0)),2)</f>
        <v>47.12</v>
      </c>
      <c r="R1210">
        <f t="shared" si="1149"/>
        <v>0</v>
      </c>
      <c r="S1210">
        <f>ROUND(INDEX(Employment!V:V,MATCH(EOMONTH($A1210,-1),Employment!A:A,0)),2)</f>
        <v>156.75</v>
      </c>
      <c r="T1210" s="11">
        <f t="shared" si="1146"/>
        <v>0</v>
      </c>
      <c r="U1210">
        <f t="shared" si="1138"/>
        <v>23</v>
      </c>
      <c r="V1210">
        <f t="shared" si="1130"/>
        <v>68.53</v>
      </c>
      <c r="W1210" s="13">
        <f t="shared" si="1131"/>
        <v>-5.0000000000000001E-3</v>
      </c>
      <c r="X1210" s="13">
        <f t="shared" si="1132"/>
        <v>-7.5300000000000006E-2</v>
      </c>
      <c r="Y1210">
        <f t="shared" si="1124"/>
        <v>82.97</v>
      </c>
      <c r="Z1210" s="13">
        <f t="shared" si="1119"/>
        <v>-7.1999999999999998E-3</v>
      </c>
      <c r="AA1210" s="13">
        <f t="shared" si="1151"/>
        <v>-7.1999999999999995E-2</v>
      </c>
      <c r="AB1210" s="6">
        <f t="shared" si="1125"/>
        <v>94.049000000000007</v>
      </c>
      <c r="AC1210">
        <f t="shared" si="1117"/>
        <v>47</v>
      </c>
      <c r="AD1210" s="11">
        <f t="shared" si="1118"/>
        <v>1</v>
      </c>
      <c r="AE1210">
        <f t="shared" si="1152"/>
        <v>26</v>
      </c>
      <c r="AF1210">
        <f>IF(AND(AE1210&lt;15,OR(AC1210&gt;=30,AA1210&gt;0.15,X1210&gt;=0.15)),2,VLOOKUP(AE1210,Table!P:Q,2,FALSE))</f>
        <v>4</v>
      </c>
      <c r="AG1210" s="22">
        <f>IF((AB1210*0.98)-(D1210*0.8)+((AF1210-3)*3)+VLOOKUP(AM1210,Table!$A$11:$B$13,2,FALSE)&lt;0,0,(AB1210*0.98)-(D1210*0.8)+((AF1210-3)*3)+VLOOKUP(AM1210,Table!$A$11:$B$13,2,FALSE))</f>
        <v>94.568020000000004</v>
      </c>
      <c r="AH1210" s="22">
        <f t="shared" si="1147"/>
        <v>95</v>
      </c>
      <c r="AI1210" s="18">
        <f t="shared" si="1140"/>
        <v>5.61</v>
      </c>
      <c r="AJ1210" s="18">
        <f t="shared" si="1141"/>
        <v>5.52</v>
      </c>
      <c r="AK1210" t="str">
        <f t="shared" si="1126"/>
        <v/>
      </c>
      <c r="AL1210">
        <f t="shared" si="1137"/>
        <v>26.75</v>
      </c>
      <c r="AM1210" s="11" t="str">
        <f t="shared" si="1127"/>
        <v>Stocks</v>
      </c>
      <c r="AN1210" t="str">
        <f t="shared" si="1133"/>
        <v>Buy</v>
      </c>
      <c r="AO1210" s="13">
        <f t="shared" si="1134"/>
        <v>-8.9999999999999993E-3</v>
      </c>
      <c r="AP1210" s="13">
        <f t="shared" si="1135"/>
        <v>1E-3</v>
      </c>
      <c r="AQ1210" s="13">
        <f t="shared" si="1136"/>
        <v>-8.5000000000000006E-3</v>
      </c>
      <c r="AR1210" s="13">
        <f t="shared" si="1128"/>
        <v>-8.9999999999999993E-3</v>
      </c>
      <c r="AS1210" s="6">
        <f t="shared" si="1120"/>
        <v>136.85351012478094</v>
      </c>
      <c r="AT1210" s="6">
        <f t="shared" si="1121"/>
        <v>113.35452019174899</v>
      </c>
      <c r="AU1210" s="6">
        <f t="shared" si="1122"/>
        <v>136.28152506102299</v>
      </c>
      <c r="AV1210" s="6">
        <f t="shared" si="1123"/>
        <v>136.85351012478094</v>
      </c>
      <c r="AW1210" s="58">
        <f t="shared" si="1129"/>
        <v>1995</v>
      </c>
      <c r="AX1210" s="58">
        <f>COUNTIF(AW$3:AW1210,AW1210)</f>
        <v>28</v>
      </c>
    </row>
    <row r="1211" spans="1:50" x14ac:dyDescent="0.25">
      <c r="A1211" s="5">
        <v>34868</v>
      </c>
      <c r="B1211">
        <v>539.83000000000004</v>
      </c>
      <c r="C1211">
        <v>5.48</v>
      </c>
      <c r="D1211" s="6">
        <v>12.76</v>
      </c>
      <c r="E1211" s="18">
        <f t="shared" si="1142"/>
        <v>12.65</v>
      </c>
      <c r="F1211">
        <f t="shared" si="1143"/>
        <v>2</v>
      </c>
      <c r="G1211" s="18">
        <f>ROUND(INDEX(Valuation!U:U,MATCH(A1211,Valuation!A:A,0)),2)</f>
        <v>222.94</v>
      </c>
      <c r="H1211">
        <f t="shared" si="1150"/>
        <v>3</v>
      </c>
      <c r="I1211" s="18">
        <f>INDEX(WeeklyIndicators!Y:Y,MATCH(A1211,WeeklyIndicators!A:A,0))</f>
        <v>115.69</v>
      </c>
      <c r="J1211">
        <f t="shared" si="1139"/>
        <v>-1</v>
      </c>
      <c r="K1211">
        <f>ROUND(INDEX(Economic!AF:AF,MATCH(EOMONTH($A1211,-1),Economic!A:A,0)),2)</f>
        <v>123.93</v>
      </c>
      <c r="L1211" s="11">
        <f t="shared" si="1148"/>
        <v>1</v>
      </c>
      <c r="M1211">
        <f>ROUND(INDEX(Manufacturing!P:P,MATCH(EOMONTH($A1211,-1),Manufacturing!A:A,0)),2)</f>
        <v>85.97</v>
      </c>
      <c r="N1211">
        <f t="shared" si="1144"/>
        <v>0</v>
      </c>
      <c r="O1211">
        <f>ROUND(INDEX(Housing!AC:AC,MATCH(EOMONTH($A1211,-1),Housing!B:B,0)),2)</f>
        <v>69.53</v>
      </c>
      <c r="P1211">
        <f t="shared" si="1145"/>
        <v>-2</v>
      </c>
      <c r="Q1211">
        <f>ROUND(INDEX(Spending!AJ:AJ,MATCH(EOMONTH($A1211,-1),Spending!B:B,0)),2)</f>
        <v>47.12</v>
      </c>
      <c r="R1211">
        <f t="shared" si="1149"/>
        <v>0</v>
      </c>
      <c r="S1211">
        <f>ROUND(INDEX(Employment!V:V,MATCH(EOMONTH($A1211,-1),Employment!A:A,0)),2)</f>
        <v>156.75</v>
      </c>
      <c r="T1211" s="11">
        <f t="shared" si="1146"/>
        <v>0</v>
      </c>
      <c r="U1211">
        <f t="shared" si="1138"/>
        <v>23</v>
      </c>
      <c r="V1211">
        <f t="shared" si="1130"/>
        <v>69.2</v>
      </c>
      <c r="W1211" s="13">
        <f t="shared" si="1131"/>
        <v>-2.41E-2</v>
      </c>
      <c r="X1211" s="13">
        <f t="shared" si="1132"/>
        <v>-7.1599999999999997E-2</v>
      </c>
      <c r="Y1211">
        <f t="shared" si="1124"/>
        <v>83.95</v>
      </c>
      <c r="Z1211" s="13">
        <f t="shared" si="1119"/>
        <v>-2.2100000000000002E-2</v>
      </c>
      <c r="AA1211" s="13">
        <f t="shared" si="1151"/>
        <v>-6.8199999999999997E-2</v>
      </c>
      <c r="AB1211" s="6">
        <f t="shared" si="1125"/>
        <v>95.763999999999996</v>
      </c>
      <c r="AC1211">
        <f t="shared" si="1117"/>
        <v>48</v>
      </c>
      <c r="AD1211" s="11">
        <f t="shared" si="1118"/>
        <v>2</v>
      </c>
      <c r="AE1211">
        <f t="shared" si="1152"/>
        <v>27</v>
      </c>
      <c r="AF1211">
        <f>IF(AND(AE1211&lt;15,OR(AC1211&gt;=30,AA1211&gt;0.15,X1211&gt;=0.15)),2,VLOOKUP(AE1211,Table!P:Q,2,FALSE))</f>
        <v>4</v>
      </c>
      <c r="AG1211" s="22">
        <f>IF((AB1211*0.98)-(D1211*0.8)+((AF1211-3)*3)+VLOOKUP(AM1211,Table!$A$11:$B$13,2,FALSE)&lt;0,0,(AB1211*0.98)-(D1211*0.8)+((AF1211-3)*3)+VLOOKUP(AM1211,Table!$A$11:$B$13,2,FALSE))</f>
        <v>94.640720000000002</v>
      </c>
      <c r="AH1211" s="22">
        <f t="shared" si="1147"/>
        <v>96</v>
      </c>
      <c r="AI1211" s="18">
        <f t="shared" si="1140"/>
        <v>5.64</v>
      </c>
      <c r="AJ1211" s="18">
        <f t="shared" si="1141"/>
        <v>5.5</v>
      </c>
      <c r="AK1211" t="str">
        <f t="shared" si="1126"/>
        <v/>
      </c>
      <c r="AL1211">
        <f t="shared" si="1137"/>
        <v>28</v>
      </c>
      <c r="AM1211" s="11" t="str">
        <f t="shared" si="1127"/>
        <v>Stocks</v>
      </c>
      <c r="AN1211" t="str">
        <f t="shared" si="1133"/>
        <v>Buy</v>
      </c>
      <c r="AO1211" s="13">
        <f t="shared" si="1134"/>
        <v>1.83E-2</v>
      </c>
      <c r="AP1211" s="13">
        <f t="shared" si="1135"/>
        <v>1.1000000000000001E-3</v>
      </c>
      <c r="AQ1211" s="13">
        <f t="shared" si="1136"/>
        <v>1.7600000000000001E-2</v>
      </c>
      <c r="AR1211" s="13">
        <f t="shared" si="1128"/>
        <v>1.83E-2</v>
      </c>
      <c r="AS1211" s="6">
        <f t="shared" si="1120"/>
        <v>134.39409812901988</v>
      </c>
      <c r="AT1211" s="6">
        <f t="shared" si="1121"/>
        <v>113.2299672277984</v>
      </c>
      <c r="AU1211" s="6">
        <f t="shared" si="1122"/>
        <v>133.92445465902415</v>
      </c>
      <c r="AV1211" s="6">
        <f t="shared" si="1123"/>
        <v>134.39409812901988</v>
      </c>
      <c r="AW1211" s="58">
        <f t="shared" si="1129"/>
        <v>1995</v>
      </c>
      <c r="AX1211" s="58">
        <f>COUNTIF(AW$3:AW1211,AW1211)</f>
        <v>29</v>
      </c>
    </row>
    <row r="1212" spans="1:50" x14ac:dyDescent="0.25">
      <c r="A1212" s="5">
        <v>34861</v>
      </c>
      <c r="B1212">
        <v>527.94000000000005</v>
      </c>
      <c r="C1212">
        <v>5.56</v>
      </c>
      <c r="D1212" s="6">
        <v>12.98</v>
      </c>
      <c r="E1212" s="18">
        <f t="shared" si="1142"/>
        <v>12.66</v>
      </c>
      <c r="F1212">
        <f t="shared" si="1143"/>
        <v>2</v>
      </c>
      <c r="G1212" s="18">
        <f>ROUND(INDEX(Valuation!U:U,MATCH(A1212,Valuation!A:A,0)),2)</f>
        <v>225</v>
      </c>
      <c r="H1212">
        <f t="shared" si="1150"/>
        <v>3</v>
      </c>
      <c r="I1212" s="18">
        <f>INDEX(WeeklyIndicators!Y:Y,MATCH(A1212,WeeklyIndicators!A:A,0))</f>
        <v>118.79</v>
      </c>
      <c r="J1212">
        <f t="shared" si="1139"/>
        <v>-1</v>
      </c>
      <c r="K1212">
        <f>ROUND(INDEX(Economic!AF:AF,MATCH(EOMONTH($A1212,-1),Economic!A:A,0)),2)</f>
        <v>123.93</v>
      </c>
      <c r="L1212" s="11">
        <f t="shared" si="1148"/>
        <v>1</v>
      </c>
      <c r="M1212">
        <f>ROUND(INDEX(Manufacturing!P:P,MATCH(EOMONTH($A1212,-1),Manufacturing!A:A,0)),2)</f>
        <v>85.97</v>
      </c>
      <c r="N1212">
        <f t="shared" si="1144"/>
        <v>0</v>
      </c>
      <c r="O1212">
        <f>ROUND(INDEX(Housing!AC:AC,MATCH(EOMONTH($A1212,-1),Housing!B:B,0)),2)</f>
        <v>69.53</v>
      </c>
      <c r="P1212">
        <f t="shared" si="1145"/>
        <v>-2</v>
      </c>
      <c r="Q1212">
        <f>ROUND(INDEX(Spending!AJ:AJ,MATCH(EOMONTH($A1212,-1),Spending!B:B,0)),2)</f>
        <v>47.12</v>
      </c>
      <c r="R1212">
        <f t="shared" si="1149"/>
        <v>0</v>
      </c>
      <c r="S1212">
        <f>ROUND(INDEX(Employment!V:V,MATCH(EOMONTH($A1212,-1),Employment!A:A,0)),2)</f>
        <v>156.75</v>
      </c>
      <c r="T1212" s="11">
        <f t="shared" si="1146"/>
        <v>0</v>
      </c>
      <c r="U1212">
        <f t="shared" si="1138"/>
        <v>23</v>
      </c>
      <c r="V1212">
        <f t="shared" si="1130"/>
        <v>69.52</v>
      </c>
      <c r="W1212" s="13">
        <f t="shared" si="1131"/>
        <v>-2.3199999999999998E-2</v>
      </c>
      <c r="X1212" s="13">
        <f t="shared" si="1132"/>
        <v>-6.3600000000000004E-2</v>
      </c>
      <c r="Y1212">
        <f t="shared" si="1124"/>
        <v>84.49</v>
      </c>
      <c r="Z1212" s="13">
        <f t="shared" si="1119"/>
        <v>-2.1499999999999998E-2</v>
      </c>
      <c r="AA1212" s="13">
        <f t="shared" si="1151"/>
        <v>-6.0300000000000006E-2</v>
      </c>
      <c r="AB1212" s="6">
        <f t="shared" si="1125"/>
        <v>97.13</v>
      </c>
      <c r="AC1212">
        <f t="shared" si="1117"/>
        <v>49</v>
      </c>
      <c r="AD1212" s="11">
        <f t="shared" si="1118"/>
        <v>2</v>
      </c>
      <c r="AE1212">
        <f t="shared" si="1152"/>
        <v>27</v>
      </c>
      <c r="AF1212">
        <f>IF(AND(AE1212&lt;15,OR(AC1212&gt;=30,AA1212&gt;0.15,X1212&gt;=0.15)),2,VLOOKUP(AE1212,Table!P:Q,2,FALSE))</f>
        <v>4</v>
      </c>
      <c r="AG1212" s="22">
        <f>IF((AB1212*0.98)-(D1212*0.8)+((AF1212-3)*3)+VLOOKUP(AM1212,Table!$A$11:$B$13,2,FALSE)&lt;0,0,(AB1212*0.98)-(D1212*0.8)+((AF1212-3)*3)+VLOOKUP(AM1212,Table!$A$11:$B$13,2,FALSE))</f>
        <v>95.803399999999996</v>
      </c>
      <c r="AH1212" s="22">
        <f t="shared" si="1147"/>
        <v>99</v>
      </c>
      <c r="AI1212" s="18">
        <f t="shared" si="1140"/>
        <v>5.66</v>
      </c>
      <c r="AJ1212" s="18">
        <f t="shared" si="1141"/>
        <v>5.47</v>
      </c>
      <c r="AK1212" t="str">
        <f t="shared" si="1126"/>
        <v/>
      </c>
      <c r="AL1212">
        <f t="shared" si="1137"/>
        <v>29.25</v>
      </c>
      <c r="AM1212" s="11" t="str">
        <f t="shared" si="1127"/>
        <v>Stocks</v>
      </c>
      <c r="AN1212" t="str">
        <f t="shared" si="1133"/>
        <v>Buy</v>
      </c>
      <c r="AO1212" s="13">
        <f t="shared" si="1134"/>
        <v>2.2499999999999999E-2</v>
      </c>
      <c r="AP1212" s="13">
        <f t="shared" si="1135"/>
        <v>1.1000000000000001E-3</v>
      </c>
      <c r="AQ1212" s="13">
        <f t="shared" si="1136"/>
        <v>2.23E-2</v>
      </c>
      <c r="AR1212" s="13">
        <f t="shared" si="1128"/>
        <v>2.2499999999999999E-2</v>
      </c>
      <c r="AS1212" s="6">
        <f t="shared" si="1120"/>
        <v>131.43677078632751</v>
      </c>
      <c r="AT1212" s="6">
        <f t="shared" si="1121"/>
        <v>113.10555112156466</v>
      </c>
      <c r="AU1212" s="6">
        <f t="shared" si="1122"/>
        <v>131.0030858446876</v>
      </c>
      <c r="AV1212" s="6">
        <f t="shared" si="1123"/>
        <v>131.43677078632751</v>
      </c>
      <c r="AW1212" s="58">
        <f t="shared" si="1129"/>
        <v>1995</v>
      </c>
      <c r="AX1212" s="58">
        <f>COUNTIF(AW$3:AW1212,AW1212)</f>
        <v>30</v>
      </c>
    </row>
    <row r="1213" spans="1:50" x14ac:dyDescent="0.25">
      <c r="A1213" s="5">
        <v>34854</v>
      </c>
      <c r="B1213">
        <v>532.51</v>
      </c>
      <c r="C1213">
        <v>5.55</v>
      </c>
      <c r="D1213" s="6">
        <v>12.2</v>
      </c>
      <c r="E1213" s="18">
        <f t="shared" si="1142"/>
        <v>12.28</v>
      </c>
      <c r="F1213">
        <f t="shared" si="1143"/>
        <v>2</v>
      </c>
      <c r="G1213" s="18">
        <f>ROUND(INDEX(Valuation!U:U,MATCH(A1213,Valuation!A:A,0)),2)</f>
        <v>225.96</v>
      </c>
      <c r="H1213">
        <f t="shared" si="1150"/>
        <v>3</v>
      </c>
      <c r="I1213" s="18">
        <f>INDEX(WeeklyIndicators!Y:Y,MATCH(A1213,WeeklyIndicators!A:A,0))</f>
        <v>119.35</v>
      </c>
      <c r="J1213">
        <f t="shared" si="1139"/>
        <v>-1</v>
      </c>
      <c r="K1213">
        <f>ROUND(INDEX(Economic!AF:AF,MATCH(EOMONTH($A1213,-1),Economic!A:A,0)),2)</f>
        <v>123.93</v>
      </c>
      <c r="L1213" s="11">
        <f t="shared" si="1148"/>
        <v>1</v>
      </c>
      <c r="M1213">
        <f>ROUND(INDEX(Manufacturing!P:P,MATCH(EOMONTH($A1213,-1),Manufacturing!A:A,0)),2)</f>
        <v>85.97</v>
      </c>
      <c r="N1213">
        <f t="shared" si="1144"/>
        <v>0</v>
      </c>
      <c r="O1213">
        <f>ROUND(INDEX(Housing!AC:AC,MATCH(EOMONTH($A1213,-1),Housing!B:B,0)),2)</f>
        <v>69.53</v>
      </c>
      <c r="P1213">
        <f t="shared" si="1145"/>
        <v>-2</v>
      </c>
      <c r="Q1213">
        <f>ROUND(INDEX(Spending!AJ:AJ,MATCH(EOMONTH($A1213,-1),Spending!B:B,0)),2)</f>
        <v>47.12</v>
      </c>
      <c r="R1213">
        <f t="shared" si="1149"/>
        <v>0</v>
      </c>
      <c r="S1213">
        <f>ROUND(INDEX(Employment!V:V,MATCH(EOMONTH($A1213,-1),Employment!A:A,0)),2)</f>
        <v>156.75</v>
      </c>
      <c r="T1213" s="11">
        <f t="shared" si="1146"/>
        <v>0</v>
      </c>
      <c r="U1213">
        <f t="shared" si="1138"/>
        <v>23</v>
      </c>
      <c r="V1213">
        <f t="shared" si="1130"/>
        <v>69.58</v>
      </c>
      <c r="W1213" s="13">
        <f t="shared" si="1131"/>
        <v>-2.3E-2</v>
      </c>
      <c r="X1213" s="13">
        <f t="shared" si="1132"/>
        <v>-5.3599999999999995E-2</v>
      </c>
      <c r="Y1213">
        <f t="shared" si="1124"/>
        <v>84.79</v>
      </c>
      <c r="Z1213" s="13">
        <f t="shared" si="1119"/>
        <v>-2.12E-2</v>
      </c>
      <c r="AA1213" s="13">
        <f t="shared" si="1151"/>
        <v>-4.9799999999999997E-2</v>
      </c>
      <c r="AB1213" s="6">
        <f t="shared" si="1125"/>
        <v>98.335999999999999</v>
      </c>
      <c r="AC1213">
        <f t="shared" ref="AC1213:AC1276" si="1153">IF(ROUND(AB1213/2,0)&lt;0,0,ROUND(AB1213/2,0))</f>
        <v>49</v>
      </c>
      <c r="AD1213" s="11">
        <f t="shared" si="1118"/>
        <v>2</v>
      </c>
      <c r="AE1213">
        <f t="shared" si="1152"/>
        <v>27</v>
      </c>
      <c r="AF1213">
        <f>IF(AND(AE1213&lt;15,OR(AC1213&gt;=30,AA1213&gt;0.15,X1213&gt;=0.15)),2,VLOOKUP(AE1213,Table!P:Q,2,FALSE))</f>
        <v>4</v>
      </c>
      <c r="AG1213" s="22">
        <f>IF((AB1213*0.98)-(D1213*0.8)+((AF1213-3)*3)+VLOOKUP(AM1213,Table!$A$11:$B$13,2,FALSE)&lt;0,0,(AB1213*0.98)-(D1213*0.8)+((AF1213-3)*3)+VLOOKUP(AM1213,Table!$A$11:$B$13,2,FALSE))</f>
        <v>97.609279999999998</v>
      </c>
      <c r="AH1213" s="22">
        <f t="shared" si="1147"/>
        <v>100</v>
      </c>
      <c r="AI1213" s="18">
        <f t="shared" si="1140"/>
        <v>5.67</v>
      </c>
      <c r="AJ1213" s="18">
        <f t="shared" si="1141"/>
        <v>5.45</v>
      </c>
      <c r="AK1213" t="str">
        <f t="shared" si="1126"/>
        <v/>
      </c>
      <c r="AL1213">
        <f t="shared" si="1137"/>
        <v>30.5</v>
      </c>
      <c r="AM1213" s="11" t="str">
        <f t="shared" si="1127"/>
        <v>Stocks</v>
      </c>
      <c r="AN1213" t="str">
        <f t="shared" si="1133"/>
        <v>Buy</v>
      </c>
      <c r="AO1213" s="13">
        <f t="shared" si="1134"/>
        <v>-8.6E-3</v>
      </c>
      <c r="AP1213" s="13">
        <f t="shared" si="1135"/>
        <v>1.1000000000000001E-3</v>
      </c>
      <c r="AQ1213" s="13">
        <f t="shared" si="1136"/>
        <v>-8.6E-3</v>
      </c>
      <c r="AR1213" s="13">
        <f t="shared" si="1128"/>
        <v>-8.6E-3</v>
      </c>
      <c r="AS1213" s="6">
        <f t="shared" si="1120"/>
        <v>132.57693240501061</v>
      </c>
      <c r="AT1213" s="6">
        <f t="shared" si="1121"/>
        <v>112.98127172266972</v>
      </c>
      <c r="AU1213" s="6">
        <f t="shared" si="1122"/>
        <v>132.13948541929352</v>
      </c>
      <c r="AV1213" s="6">
        <f t="shared" si="1123"/>
        <v>132.57693240501061</v>
      </c>
      <c r="AW1213" s="58">
        <f t="shared" si="1129"/>
        <v>1995</v>
      </c>
      <c r="AX1213" s="58">
        <f>COUNTIF(AW$3:AW1213,AW1213)</f>
        <v>31</v>
      </c>
    </row>
    <row r="1214" spans="1:50" x14ac:dyDescent="0.25">
      <c r="A1214" s="5">
        <v>34847</v>
      </c>
      <c r="B1214">
        <v>523.65</v>
      </c>
      <c r="C1214">
        <v>5.69</v>
      </c>
      <c r="D1214" s="6">
        <v>12.81</v>
      </c>
      <c r="E1214" s="18">
        <f t="shared" si="1142"/>
        <v>12.24</v>
      </c>
      <c r="F1214">
        <f t="shared" si="1143"/>
        <v>2</v>
      </c>
      <c r="G1214" s="18">
        <f>ROUND(INDEX(Valuation!U:U,MATCH(A1214,Valuation!A:A,0)),2)</f>
        <v>226.9</v>
      </c>
      <c r="H1214">
        <f t="shared" si="1150"/>
        <v>3</v>
      </c>
      <c r="I1214" s="18">
        <f>INDEX(WeeklyIndicators!Y:Y,MATCH(A1214,WeeklyIndicators!A:A,0))</f>
        <v>119.57</v>
      </c>
      <c r="J1214">
        <f t="shared" si="1139"/>
        <v>-1</v>
      </c>
      <c r="K1214">
        <f>ROUND(INDEX(Economic!AF:AF,MATCH(EOMONTH($A1214,-1),Economic!A:A,0)),2)</f>
        <v>135.44</v>
      </c>
      <c r="L1214" s="11">
        <f t="shared" si="1148"/>
        <v>2</v>
      </c>
      <c r="M1214">
        <f>ROUND(INDEX(Manufacturing!P:P,MATCH(EOMONTH($A1214,-1),Manufacturing!A:A,0)),2)</f>
        <v>96.34</v>
      </c>
      <c r="N1214">
        <f t="shared" si="1144"/>
        <v>1</v>
      </c>
      <c r="O1214">
        <f>ROUND(INDEX(Housing!AC:AC,MATCH(EOMONTH($A1214,-1),Housing!B:B,0)),2)</f>
        <v>69.8</v>
      </c>
      <c r="P1214">
        <f t="shared" si="1145"/>
        <v>-2</v>
      </c>
      <c r="Q1214">
        <f>ROUND(INDEX(Spending!AJ:AJ,MATCH(EOMONTH($A1214,-1),Spending!B:B,0)),2)</f>
        <v>52.26</v>
      </c>
      <c r="R1214">
        <f t="shared" si="1149"/>
        <v>1</v>
      </c>
      <c r="S1214">
        <f>ROUND(INDEX(Employment!V:V,MATCH(EOMONTH($A1214,-1),Employment!A:A,0)),2)</f>
        <v>171.08</v>
      </c>
      <c r="T1214" s="11">
        <f t="shared" si="1146"/>
        <v>1</v>
      </c>
      <c r="U1214">
        <f t="shared" si="1138"/>
        <v>27</v>
      </c>
      <c r="V1214">
        <f t="shared" si="1130"/>
        <v>74.349999999999994</v>
      </c>
      <c r="W1214" s="13">
        <f t="shared" si="1131"/>
        <v>-1.2999999999999999E-3</v>
      </c>
      <c r="X1214" s="13">
        <f t="shared" si="1132"/>
        <v>-4.1700000000000001E-2</v>
      </c>
      <c r="Y1214">
        <f t="shared" si="1124"/>
        <v>89.68</v>
      </c>
      <c r="Z1214" s="13">
        <f t="shared" si="1119"/>
        <v>-3.3999999999999998E-3</v>
      </c>
      <c r="AA1214" s="13">
        <f t="shared" si="1151"/>
        <v>-3.8400000000000004E-2</v>
      </c>
      <c r="AB1214" s="6">
        <f t="shared" si="1125"/>
        <v>104.36</v>
      </c>
      <c r="AC1214">
        <f t="shared" si="1153"/>
        <v>52</v>
      </c>
      <c r="AD1214" s="11">
        <f t="shared" ref="AD1214:AD1277" si="1154">IF(AC1214&gt;47,2,IF(AND(AC1214&gt;41,AC1214&lt;=47),1,IF(AC1214&lt;15,-2,IF(AND(AC1214&lt;32,AC1214&gt;=15),-1,0))))</f>
        <v>2</v>
      </c>
      <c r="AE1214">
        <f t="shared" si="1152"/>
        <v>31</v>
      </c>
      <c r="AF1214">
        <f>IF(AND(AE1214&lt;15,OR(AC1214&gt;=30,AA1214&gt;0.15,X1214&gt;=0.15)),2,VLOOKUP(AE1214,Table!P:Q,2,FALSE))</f>
        <v>4</v>
      </c>
      <c r="AG1214" s="22">
        <f>IF((AB1214*0.98)-(D1214*0.8)+((AF1214-3)*3)+VLOOKUP(AM1214,Table!$A$11:$B$13,2,FALSE)&lt;0,0,(AB1214*0.98)-(D1214*0.8)+((AF1214-3)*3)+VLOOKUP(AM1214,Table!$A$11:$B$13,2,FALSE))</f>
        <v>103.0248</v>
      </c>
      <c r="AH1214" s="22">
        <f t="shared" si="1147"/>
        <v>100</v>
      </c>
      <c r="AI1214" s="18">
        <f t="shared" si="1140"/>
        <v>5.69</v>
      </c>
      <c r="AJ1214" s="18">
        <f t="shared" si="1141"/>
        <v>5.42</v>
      </c>
      <c r="AK1214" t="str">
        <f t="shared" si="1126"/>
        <v/>
      </c>
      <c r="AL1214">
        <f t="shared" si="1137"/>
        <v>31.75</v>
      </c>
      <c r="AM1214" s="11" t="str">
        <f t="shared" si="1127"/>
        <v>Stocks</v>
      </c>
      <c r="AN1214" t="str">
        <f t="shared" si="1133"/>
        <v>Buy</v>
      </c>
      <c r="AO1214" s="13">
        <f t="shared" si="1134"/>
        <v>1.6899999999999998E-2</v>
      </c>
      <c r="AP1214" s="13">
        <f t="shared" si="1135"/>
        <v>1.1000000000000001E-3</v>
      </c>
      <c r="AQ1214" s="13">
        <f t="shared" si="1136"/>
        <v>1.6899999999999998E-2</v>
      </c>
      <c r="AR1214" s="13">
        <f t="shared" si="1128"/>
        <v>1.6899999999999998E-2</v>
      </c>
      <c r="AS1214" s="6">
        <f t="shared" si="1120"/>
        <v>130.37361825647616</v>
      </c>
      <c r="AT1214" s="6">
        <f t="shared" si="1121"/>
        <v>112.85712888090072</v>
      </c>
      <c r="AU1214" s="6">
        <f t="shared" si="1122"/>
        <v>129.94344126196631</v>
      </c>
      <c r="AV1214" s="6">
        <f t="shared" si="1123"/>
        <v>130.37361825647616</v>
      </c>
      <c r="AW1214" s="58">
        <f t="shared" si="1129"/>
        <v>1995</v>
      </c>
      <c r="AX1214" s="58">
        <f>COUNTIF(AW$3:AW1214,AW1214)</f>
        <v>32</v>
      </c>
    </row>
    <row r="1215" spans="1:50" x14ac:dyDescent="0.25">
      <c r="A1215" s="5">
        <v>34840</v>
      </c>
      <c r="B1215">
        <v>519.19000000000005</v>
      </c>
      <c r="C1215">
        <v>5.69</v>
      </c>
      <c r="D1215" s="6">
        <v>11.84</v>
      </c>
      <c r="E1215" s="18">
        <f t="shared" si="1142"/>
        <v>11.88</v>
      </c>
      <c r="F1215">
        <f t="shared" si="1143"/>
        <v>2</v>
      </c>
      <c r="G1215" s="18">
        <f>ROUND(INDEX(Valuation!U:U,MATCH(A1215,Valuation!A:A,0)),2)</f>
        <v>228.27</v>
      </c>
      <c r="H1215">
        <f t="shared" si="1150"/>
        <v>3</v>
      </c>
      <c r="I1215" s="18">
        <f>INDEX(WeeklyIndicators!Y:Y,MATCH(A1215,WeeklyIndicators!A:A,0))</f>
        <v>121.77</v>
      </c>
      <c r="J1215">
        <f t="shared" si="1139"/>
        <v>0</v>
      </c>
      <c r="K1215">
        <f>ROUND(INDEX(Economic!AF:AF,MATCH(EOMONTH($A1215,-1),Economic!A:A,0)),2)</f>
        <v>135.44</v>
      </c>
      <c r="L1215" s="11">
        <f t="shared" si="1148"/>
        <v>2</v>
      </c>
      <c r="M1215">
        <f>ROUND(INDEX(Manufacturing!P:P,MATCH(EOMONTH($A1215,-1),Manufacturing!A:A,0)),2)</f>
        <v>96.34</v>
      </c>
      <c r="N1215">
        <f t="shared" si="1144"/>
        <v>1</v>
      </c>
      <c r="O1215">
        <f>ROUND(INDEX(Housing!AC:AC,MATCH(EOMONTH($A1215,-1),Housing!B:B,0)),2)</f>
        <v>69.8</v>
      </c>
      <c r="P1215">
        <f t="shared" si="1145"/>
        <v>-2</v>
      </c>
      <c r="Q1215">
        <f>ROUND(INDEX(Spending!AJ:AJ,MATCH(EOMONTH($A1215,-1),Spending!B:B,0)),2)</f>
        <v>52.26</v>
      </c>
      <c r="R1215">
        <f t="shared" si="1149"/>
        <v>1</v>
      </c>
      <c r="S1215">
        <f>ROUND(INDEX(Employment!V:V,MATCH(EOMONTH($A1215,-1),Employment!A:A,0)),2)</f>
        <v>171.08</v>
      </c>
      <c r="T1215" s="11">
        <f t="shared" si="1146"/>
        <v>1</v>
      </c>
      <c r="U1215">
        <f t="shared" si="1138"/>
        <v>28</v>
      </c>
      <c r="V1215">
        <f t="shared" si="1130"/>
        <v>74.58</v>
      </c>
      <c r="W1215" s="13">
        <f t="shared" si="1131"/>
        <v>-1.61E-2</v>
      </c>
      <c r="X1215" s="13">
        <f t="shared" si="1132"/>
        <v>-3.39E-2</v>
      </c>
      <c r="Y1215">
        <f t="shared" si="1124"/>
        <v>90.19</v>
      </c>
      <c r="Z1215" s="13">
        <f t="shared" si="1119"/>
        <v>-1.4200000000000001E-2</v>
      </c>
      <c r="AA1215" s="13">
        <f t="shared" si="1151"/>
        <v>-3.2500000000000001E-2</v>
      </c>
      <c r="AB1215" s="6">
        <f t="shared" si="1125"/>
        <v>105.48699999999999</v>
      </c>
      <c r="AC1215">
        <f t="shared" si="1153"/>
        <v>53</v>
      </c>
      <c r="AD1215" s="11">
        <f t="shared" si="1154"/>
        <v>2</v>
      </c>
      <c r="AE1215">
        <f t="shared" si="1152"/>
        <v>32</v>
      </c>
      <c r="AF1215">
        <f>IF(AND(AE1215&lt;15,OR(AC1215&gt;=30,AA1215&gt;0.15,X1215&gt;=0.15)),2,VLOOKUP(AE1215,Table!P:Q,2,FALSE))</f>
        <v>5</v>
      </c>
      <c r="AG1215" s="22">
        <f>IF((AB1215*0.98)-(D1215*0.8)+((AF1215-3)*3)+VLOOKUP(AM1215,Table!$A$11:$B$13,2,FALSE)&lt;0,0,(AB1215*0.98)-(D1215*0.8)+((AF1215-3)*3)+VLOOKUP(AM1215,Table!$A$11:$B$13,2,FALSE))</f>
        <v>107.90526</v>
      </c>
      <c r="AH1215" s="22">
        <f t="shared" si="1147"/>
        <v>100</v>
      </c>
      <c r="AI1215" s="18">
        <f t="shared" si="1140"/>
        <v>5.69</v>
      </c>
      <c r="AJ1215" s="18">
        <f t="shared" si="1141"/>
        <v>5.39</v>
      </c>
      <c r="AK1215" t="str">
        <f t="shared" si="1126"/>
        <v/>
      </c>
      <c r="AL1215">
        <f t="shared" si="1137"/>
        <v>32.5</v>
      </c>
      <c r="AM1215" s="11" t="str">
        <f t="shared" si="1127"/>
        <v>Stocks</v>
      </c>
      <c r="AN1215" t="str">
        <f t="shared" si="1133"/>
        <v>Buy</v>
      </c>
      <c r="AO1215" s="13">
        <f t="shared" si="1134"/>
        <v>8.6E-3</v>
      </c>
      <c r="AP1215" s="13">
        <f t="shared" si="1135"/>
        <v>1.1000000000000001E-3</v>
      </c>
      <c r="AQ1215" s="13">
        <f t="shared" si="1136"/>
        <v>8.6E-3</v>
      </c>
      <c r="AR1215" s="13">
        <f t="shared" si="1128"/>
        <v>8.6E-3</v>
      </c>
      <c r="AS1215" s="6">
        <f t="shared" si="1120"/>
        <v>129.2619653544281</v>
      </c>
      <c r="AT1215" s="6">
        <f t="shared" si="1121"/>
        <v>112.73312244620988</v>
      </c>
      <c r="AU1215" s="6">
        <f t="shared" si="1122"/>
        <v>128.83545633746414</v>
      </c>
      <c r="AV1215" s="6">
        <f t="shared" si="1123"/>
        <v>129.2619653544281</v>
      </c>
      <c r="AW1215" s="58">
        <f t="shared" si="1129"/>
        <v>1995</v>
      </c>
      <c r="AX1215" s="58">
        <f>COUNTIF(AW$3:AW1215,AW1215)</f>
        <v>33</v>
      </c>
    </row>
    <row r="1216" spans="1:50" x14ac:dyDescent="0.25">
      <c r="A1216" s="5">
        <v>34833</v>
      </c>
      <c r="B1216">
        <v>525.54999999999995</v>
      </c>
      <c r="C1216">
        <v>5.64</v>
      </c>
      <c r="D1216" s="6">
        <v>12.06</v>
      </c>
      <c r="E1216" s="18">
        <f t="shared" si="1142"/>
        <v>11.89</v>
      </c>
      <c r="F1216">
        <f t="shared" si="1143"/>
        <v>2</v>
      </c>
      <c r="G1216" s="18">
        <f>ROUND(INDEX(Valuation!U:U,MATCH(A1216,Valuation!A:A,0)),2)</f>
        <v>230.09</v>
      </c>
      <c r="H1216">
        <f t="shared" si="1150"/>
        <v>3</v>
      </c>
      <c r="I1216" s="18">
        <f>INDEX(WeeklyIndicators!Y:Y,MATCH(A1216,WeeklyIndicators!A:A,0))</f>
        <v>123.11</v>
      </c>
      <c r="J1216">
        <f t="shared" si="1139"/>
        <v>0</v>
      </c>
      <c r="K1216">
        <f>ROUND(INDEX(Economic!AF:AF,MATCH(EOMONTH($A1216,-1),Economic!A:A,0)),2)</f>
        <v>135.44</v>
      </c>
      <c r="L1216" s="11">
        <f t="shared" si="1148"/>
        <v>2</v>
      </c>
      <c r="M1216">
        <f>ROUND(INDEX(Manufacturing!P:P,MATCH(EOMONTH($A1216,-1),Manufacturing!A:A,0)),2)</f>
        <v>96.34</v>
      </c>
      <c r="N1216">
        <f t="shared" si="1144"/>
        <v>1</v>
      </c>
      <c r="O1216">
        <f>ROUND(INDEX(Housing!AC:AC,MATCH(EOMONTH($A1216,-1),Housing!B:B,0)),2)</f>
        <v>69.8</v>
      </c>
      <c r="P1216">
        <f t="shared" si="1145"/>
        <v>-2</v>
      </c>
      <c r="Q1216">
        <f>ROUND(INDEX(Spending!AJ:AJ,MATCH(EOMONTH($A1216,-1),Spending!B:B,0)),2)</f>
        <v>52.26</v>
      </c>
      <c r="R1216">
        <f t="shared" si="1149"/>
        <v>1</v>
      </c>
      <c r="S1216">
        <f>ROUND(INDEX(Employment!V:V,MATCH(EOMONTH($A1216,-1),Employment!A:A,0)),2)</f>
        <v>171.08</v>
      </c>
      <c r="T1216" s="11">
        <f t="shared" si="1146"/>
        <v>1</v>
      </c>
      <c r="U1216">
        <f t="shared" si="1138"/>
        <v>28</v>
      </c>
      <c r="V1216">
        <f t="shared" si="1130"/>
        <v>74.72</v>
      </c>
      <c r="W1216" s="13">
        <f t="shared" si="1131"/>
        <v>-1.32E-2</v>
      </c>
      <c r="X1216" s="13">
        <f t="shared" si="1132"/>
        <v>-1.0500000000000002E-2</v>
      </c>
      <c r="Y1216">
        <f t="shared" si="1124"/>
        <v>90.52</v>
      </c>
      <c r="Z1216" s="13">
        <f t="shared" ref="Z1216:Z1279" si="1155">ROUND((AVERAGE(Y1216:Y1218)-AVERAGE(Y1217:Y1219))/AVERAGE(Y1217:Y1219),4)</f>
        <v>-1.0999999999999999E-2</v>
      </c>
      <c r="AA1216" s="13">
        <f t="shared" si="1151"/>
        <v>-1.6799999999999999E-2</v>
      </c>
      <c r="AB1216" s="6">
        <f t="shared" si="1125"/>
        <v>107.289</v>
      </c>
      <c r="AC1216">
        <f t="shared" si="1153"/>
        <v>54</v>
      </c>
      <c r="AD1216" s="11">
        <f t="shared" si="1154"/>
        <v>2</v>
      </c>
      <c r="AE1216">
        <f t="shared" si="1152"/>
        <v>32</v>
      </c>
      <c r="AF1216">
        <f>IF(AND(AE1216&lt;15,OR(AC1216&gt;=30,AA1216&gt;0.15,X1216&gt;=0.15)),2,VLOOKUP(AE1216,Table!P:Q,2,FALSE))</f>
        <v>5</v>
      </c>
      <c r="AG1216" s="22">
        <f>IF((AB1216*0.98)-(D1216*0.8)+((AF1216-3)*3)+VLOOKUP(AM1216,Table!$A$11:$B$13,2,FALSE)&lt;0,0,(AB1216*0.98)-(D1216*0.8)+((AF1216-3)*3)+VLOOKUP(AM1216,Table!$A$11:$B$13,2,FALSE))</f>
        <v>109.49522</v>
      </c>
      <c r="AH1216" s="22">
        <f t="shared" si="1147"/>
        <v>100</v>
      </c>
      <c r="AI1216" s="18">
        <f t="shared" si="1140"/>
        <v>5.69</v>
      </c>
      <c r="AJ1216" s="18">
        <f t="shared" si="1141"/>
        <v>5.37</v>
      </c>
      <c r="AK1216" t="str">
        <f t="shared" si="1126"/>
        <v/>
      </c>
      <c r="AL1216">
        <f t="shared" si="1137"/>
        <v>33</v>
      </c>
      <c r="AM1216" s="11" t="str">
        <f t="shared" si="1127"/>
        <v>Stocks</v>
      </c>
      <c r="AN1216" t="str">
        <f t="shared" si="1133"/>
        <v>Buy</v>
      </c>
      <c r="AO1216" s="13">
        <f t="shared" si="1134"/>
        <v>-1.21E-2</v>
      </c>
      <c r="AP1216" s="13">
        <f t="shared" si="1135"/>
        <v>1.1000000000000001E-3</v>
      </c>
      <c r="AQ1216" s="13">
        <f t="shared" si="1136"/>
        <v>-1.21E-2</v>
      </c>
      <c r="AR1216" s="13">
        <f t="shared" si="1128"/>
        <v>-1.21E-2</v>
      </c>
      <c r="AS1216" s="6">
        <f t="shared" si="1120"/>
        <v>130.84519217980372</v>
      </c>
      <c r="AT1216" s="6">
        <f t="shared" si="1121"/>
        <v>112.60925226871427</v>
      </c>
      <c r="AU1216" s="6">
        <f t="shared" si="1122"/>
        <v>130.41345919370801</v>
      </c>
      <c r="AV1216" s="6">
        <f t="shared" si="1123"/>
        <v>130.84519217980372</v>
      </c>
      <c r="AW1216" s="58">
        <f t="shared" si="1129"/>
        <v>1995</v>
      </c>
      <c r="AX1216" s="58">
        <f>COUNTIF(AW$3:AW1216,AW1216)</f>
        <v>34</v>
      </c>
    </row>
    <row r="1217" spans="1:50" x14ac:dyDescent="0.25">
      <c r="A1217" s="5">
        <v>34826</v>
      </c>
      <c r="B1217">
        <v>520.12</v>
      </c>
      <c r="C1217">
        <v>5.65</v>
      </c>
      <c r="D1217" s="6">
        <v>11.75</v>
      </c>
      <c r="E1217" s="18">
        <f t="shared" si="1142"/>
        <v>11.7</v>
      </c>
      <c r="F1217">
        <f t="shared" si="1143"/>
        <v>2</v>
      </c>
      <c r="G1217" s="18">
        <f>ROUND(INDEX(Valuation!U:U,MATCH(A1217,Valuation!A:A,0)),2)</f>
        <v>230.96</v>
      </c>
      <c r="H1217">
        <f t="shared" si="1150"/>
        <v>3</v>
      </c>
      <c r="I1217" s="18">
        <f>INDEX(WeeklyIndicators!Y:Y,MATCH(A1217,WeeklyIndicators!A:A,0))</f>
        <v>122.39</v>
      </c>
      <c r="J1217">
        <f t="shared" si="1139"/>
        <v>0</v>
      </c>
      <c r="K1217">
        <f>ROUND(INDEX(Economic!AF:AF,MATCH(EOMONTH($A1217,-1),Economic!A:A,0)),2)</f>
        <v>135.44</v>
      </c>
      <c r="L1217" s="11">
        <f t="shared" si="1148"/>
        <v>2</v>
      </c>
      <c r="M1217">
        <f>ROUND(INDEX(Manufacturing!P:P,MATCH(EOMONTH($A1217,-1),Manufacturing!A:A,0)),2)</f>
        <v>96.34</v>
      </c>
      <c r="N1217">
        <f t="shared" si="1144"/>
        <v>1</v>
      </c>
      <c r="O1217">
        <f>ROUND(INDEX(Housing!AC:AC,MATCH(EOMONTH($A1217,-1),Housing!B:B,0)),2)</f>
        <v>69.8</v>
      </c>
      <c r="P1217">
        <f t="shared" si="1145"/>
        <v>-2</v>
      </c>
      <c r="Q1217">
        <f>ROUND(INDEX(Spending!AJ:AJ,MATCH(EOMONTH($A1217,-1),Spending!B:B,0)),2)</f>
        <v>52.26</v>
      </c>
      <c r="R1217">
        <f t="shared" si="1149"/>
        <v>1</v>
      </c>
      <c r="S1217">
        <f>ROUND(INDEX(Employment!V:V,MATCH(EOMONTH($A1217,-1),Employment!A:A,0)),2)</f>
        <v>171.08</v>
      </c>
      <c r="T1217" s="11">
        <f t="shared" si="1146"/>
        <v>1</v>
      </c>
      <c r="U1217">
        <f t="shared" si="1138"/>
        <v>28</v>
      </c>
      <c r="V1217">
        <f t="shared" si="1130"/>
        <v>74.650000000000006</v>
      </c>
      <c r="W1217" s="13">
        <f t="shared" si="1131"/>
        <v>-1.11E-2</v>
      </c>
      <c r="X1217" s="13">
        <f t="shared" si="1132"/>
        <v>-1.1000000000000007E-3</v>
      </c>
      <c r="Y1217">
        <f t="shared" si="1124"/>
        <v>90.61</v>
      </c>
      <c r="Z1217" s="13">
        <f t="shared" si="1155"/>
        <v>-9.7999999999999997E-3</v>
      </c>
      <c r="AA1217" s="13">
        <f t="shared" si="1151"/>
        <v>-1.2799999999999999E-2</v>
      </c>
      <c r="AB1217" s="6">
        <f t="shared" si="1125"/>
        <v>107.82600000000001</v>
      </c>
      <c r="AC1217">
        <f t="shared" si="1153"/>
        <v>54</v>
      </c>
      <c r="AD1217" s="11">
        <f t="shared" si="1154"/>
        <v>2</v>
      </c>
      <c r="AE1217">
        <f t="shared" si="1152"/>
        <v>32</v>
      </c>
      <c r="AF1217">
        <f>IF(AND(AE1217&lt;15,OR(AC1217&gt;=30,AA1217&gt;0.15,X1217&gt;=0.15)),2,VLOOKUP(AE1217,Table!P:Q,2,FALSE))</f>
        <v>5</v>
      </c>
      <c r="AG1217" s="22">
        <f>IF((AB1217*0.98)-(D1217*0.8)+((AF1217-3)*3)+VLOOKUP(AM1217,Table!$A$11:$B$13,2,FALSE)&lt;0,0,(AB1217*0.98)-(D1217*0.8)+((AF1217-3)*3)+VLOOKUP(AM1217,Table!$A$11:$B$13,2,FALSE))</f>
        <v>110.26948</v>
      </c>
      <c r="AH1217" s="22">
        <f t="shared" si="1147"/>
        <v>100</v>
      </c>
      <c r="AI1217" s="18">
        <f t="shared" si="1140"/>
        <v>5.71</v>
      </c>
      <c r="AJ1217" s="18">
        <f t="shared" si="1141"/>
        <v>5.33</v>
      </c>
      <c r="AK1217" t="str">
        <f t="shared" si="1126"/>
        <v/>
      </c>
      <c r="AL1217">
        <f t="shared" si="1137"/>
        <v>33.5</v>
      </c>
      <c r="AM1217" s="11" t="str">
        <f t="shared" si="1127"/>
        <v>Stocks</v>
      </c>
      <c r="AN1217" t="str">
        <f t="shared" si="1133"/>
        <v>Buy</v>
      </c>
      <c r="AO1217" s="13">
        <f t="shared" si="1134"/>
        <v>1.04E-2</v>
      </c>
      <c r="AP1217" s="13">
        <f t="shared" si="1135"/>
        <v>1.1000000000000001E-3</v>
      </c>
      <c r="AQ1217" s="13">
        <f t="shared" si="1136"/>
        <v>1.04E-2</v>
      </c>
      <c r="AR1217" s="13">
        <f t="shared" si="1128"/>
        <v>1.04E-2</v>
      </c>
      <c r="AS1217" s="6">
        <f t="shared" si="1120"/>
        <v>129.49840872902189</v>
      </c>
      <c r="AT1217" s="6">
        <f t="shared" si="1121"/>
        <v>112.4855181986957</v>
      </c>
      <c r="AU1217" s="6">
        <f t="shared" si="1122"/>
        <v>129.07111955038403</v>
      </c>
      <c r="AV1217" s="6">
        <f t="shared" si="1123"/>
        <v>129.49840872902189</v>
      </c>
      <c r="AW1217" s="58">
        <f t="shared" si="1129"/>
        <v>1995</v>
      </c>
      <c r="AX1217" s="58">
        <f>COUNTIF(AW$3:AW1217,AW1217)</f>
        <v>35</v>
      </c>
    </row>
    <row r="1218" spans="1:50" x14ac:dyDescent="0.25">
      <c r="A1218" s="5">
        <v>34819</v>
      </c>
      <c r="B1218">
        <v>514.71</v>
      </c>
      <c r="C1218">
        <v>5.67</v>
      </c>
      <c r="D1218" s="6">
        <v>11.86</v>
      </c>
      <c r="E1218" s="18">
        <f t="shared" si="1142"/>
        <v>12.06</v>
      </c>
      <c r="F1218">
        <f t="shared" si="1143"/>
        <v>2</v>
      </c>
      <c r="G1218" s="18">
        <f>ROUND(INDEX(Valuation!U:U,MATCH(A1218,Valuation!A:A,0)),2)</f>
        <v>231.06</v>
      </c>
      <c r="H1218">
        <f t="shared" si="1150"/>
        <v>3</v>
      </c>
      <c r="I1218" s="18">
        <f>INDEX(WeeklyIndicators!Y:Y,MATCH(A1218,WeeklyIndicators!A:A,0))</f>
        <v>118.42</v>
      </c>
      <c r="J1218">
        <f t="shared" si="1139"/>
        <v>-1</v>
      </c>
      <c r="K1218">
        <f>ROUND(INDEX(Economic!AF:AF,MATCH(EOMONTH($A1218,-1),Economic!A:A,0)),2)</f>
        <v>144.96</v>
      </c>
      <c r="L1218" s="11">
        <f t="shared" si="1148"/>
        <v>3</v>
      </c>
      <c r="M1218">
        <f>ROUND(INDEX(Manufacturing!P:P,MATCH(EOMONTH($A1218,-1),Manufacturing!A:A,0)),2)</f>
        <v>105.1</v>
      </c>
      <c r="N1218">
        <f t="shared" si="1144"/>
        <v>2</v>
      </c>
      <c r="O1218">
        <f>ROUND(INDEX(Housing!AC:AC,MATCH(EOMONTH($A1218,-1),Housing!B:B,0)),2)</f>
        <v>72.599999999999994</v>
      </c>
      <c r="P1218">
        <f t="shared" si="1145"/>
        <v>-2</v>
      </c>
      <c r="Q1218">
        <f>ROUND(INDEX(Spending!AJ:AJ,MATCH(EOMONTH($A1218,-1),Spending!B:B,0)),2)</f>
        <v>56.27</v>
      </c>
      <c r="R1218">
        <f t="shared" si="1149"/>
        <v>1</v>
      </c>
      <c r="S1218">
        <f>ROUND(INDEX(Employment!V:V,MATCH(EOMONTH($A1218,-1),Employment!A:A,0)),2)</f>
        <v>181.78</v>
      </c>
      <c r="T1218" s="11">
        <f t="shared" si="1146"/>
        <v>2</v>
      </c>
      <c r="U1218">
        <f t="shared" si="1138"/>
        <v>30</v>
      </c>
      <c r="V1218">
        <f t="shared" si="1130"/>
        <v>78.239999999999995</v>
      </c>
      <c r="W1218" s="13">
        <f t="shared" si="1131"/>
        <v>6.4999999999999997E-3</v>
      </c>
      <c r="X1218" s="13">
        <f t="shared" si="1132"/>
        <v>9.9999999999999395E-5</v>
      </c>
      <c r="Y1218">
        <f t="shared" si="1124"/>
        <v>94.09</v>
      </c>
      <c r="Z1218" s="13">
        <f t="shared" si="1155"/>
        <v>2.5000000000000001E-3</v>
      </c>
      <c r="AA1218" s="13">
        <f t="shared" si="1151"/>
        <v>-1.37E-2</v>
      </c>
      <c r="AB1218" s="6">
        <f t="shared" si="1125"/>
        <v>111.386</v>
      </c>
      <c r="AC1218">
        <f t="shared" si="1153"/>
        <v>56</v>
      </c>
      <c r="AD1218" s="11">
        <f t="shared" si="1154"/>
        <v>2</v>
      </c>
      <c r="AE1218">
        <f t="shared" si="1152"/>
        <v>34</v>
      </c>
      <c r="AF1218">
        <f>IF(AND(AE1218&lt;15,OR(AC1218&gt;=30,AA1218&gt;0.15,X1218&gt;=0.15)),2,VLOOKUP(AE1218,Table!P:Q,2,FALSE))</f>
        <v>5</v>
      </c>
      <c r="AG1218" s="22">
        <f>IF((AB1218*0.98)-(D1218*0.8)+((AF1218-3)*3)+VLOOKUP(AM1218,Table!$A$11:$B$13,2,FALSE)&lt;0,0,(AB1218*0.98)-(D1218*0.8)+((AF1218-3)*3)+VLOOKUP(AM1218,Table!$A$11:$B$13,2,FALSE))</f>
        <v>113.67027999999999</v>
      </c>
      <c r="AH1218" s="22">
        <f t="shared" si="1147"/>
        <v>100</v>
      </c>
      <c r="AI1218" s="18">
        <f t="shared" si="1140"/>
        <v>5.72</v>
      </c>
      <c r="AJ1218" s="18">
        <f t="shared" si="1141"/>
        <v>5.3</v>
      </c>
      <c r="AK1218" t="str">
        <f t="shared" si="1126"/>
        <v/>
      </c>
      <c r="AL1218">
        <f t="shared" si="1137"/>
        <v>34</v>
      </c>
      <c r="AM1218" s="11" t="str">
        <f t="shared" si="1127"/>
        <v>Stocks</v>
      </c>
      <c r="AN1218" t="str">
        <f t="shared" si="1133"/>
        <v>Buy</v>
      </c>
      <c r="AO1218" s="13">
        <f t="shared" si="1134"/>
        <v>1.0500000000000001E-2</v>
      </c>
      <c r="AP1218" s="13">
        <f t="shared" si="1135"/>
        <v>1.1000000000000001E-3</v>
      </c>
      <c r="AQ1218" s="13">
        <f t="shared" si="1136"/>
        <v>1.0500000000000001E-2</v>
      </c>
      <c r="AR1218" s="13">
        <f t="shared" si="1128"/>
        <v>1.0500000000000001E-2</v>
      </c>
      <c r="AS1218" s="6">
        <f t="shared" si="1120"/>
        <v>128.15280428403949</v>
      </c>
      <c r="AT1218" s="6">
        <f t="shared" si="1121"/>
        <v>112.36192008660043</v>
      </c>
      <c r="AU1218" s="6">
        <f t="shared" si="1122"/>
        <v>127.72995502264625</v>
      </c>
      <c r="AV1218" s="6">
        <f t="shared" si="1123"/>
        <v>128.15280428403949</v>
      </c>
      <c r="AW1218" s="58">
        <f t="shared" si="1129"/>
        <v>1995</v>
      </c>
      <c r="AX1218" s="58">
        <f>COUNTIF(AW$3:AW1218,AW1218)</f>
        <v>36</v>
      </c>
    </row>
    <row r="1219" spans="1:50" x14ac:dyDescent="0.25">
      <c r="A1219" s="5">
        <v>34812</v>
      </c>
      <c r="B1219">
        <v>508.49</v>
      </c>
      <c r="C1219">
        <v>5.61</v>
      </c>
      <c r="D1219" s="6">
        <v>11.48</v>
      </c>
      <c r="E1219" s="18">
        <f t="shared" si="1142"/>
        <v>12.57</v>
      </c>
      <c r="F1219">
        <f t="shared" si="1143"/>
        <v>2</v>
      </c>
      <c r="G1219" s="18">
        <f>ROUND(INDEX(Valuation!U:U,MATCH(A1219,Valuation!A:A,0)),2)</f>
        <v>232.24</v>
      </c>
      <c r="H1219">
        <f t="shared" si="1150"/>
        <v>3</v>
      </c>
      <c r="I1219" s="18">
        <f>INDEX(WeeklyIndicators!Y:Y,MATCH(A1219,WeeklyIndicators!A:A,0))</f>
        <v>113.83</v>
      </c>
      <c r="J1219">
        <f t="shared" si="1139"/>
        <v>-1</v>
      </c>
      <c r="K1219">
        <f>ROUND(INDEX(Economic!AF:AF,MATCH(EOMONTH($A1219,-1),Economic!A:A,0)),2)</f>
        <v>144.96</v>
      </c>
      <c r="L1219" s="11">
        <f t="shared" si="1148"/>
        <v>3</v>
      </c>
      <c r="M1219">
        <f>ROUND(INDEX(Manufacturing!P:P,MATCH(EOMONTH($A1219,-1),Manufacturing!A:A,0)),2)</f>
        <v>105.1</v>
      </c>
      <c r="N1219">
        <f t="shared" si="1144"/>
        <v>2</v>
      </c>
      <c r="O1219">
        <f>ROUND(INDEX(Housing!AC:AC,MATCH(EOMONTH($A1219,-1),Housing!B:B,0)),2)</f>
        <v>72.599999999999994</v>
      </c>
      <c r="P1219">
        <f t="shared" si="1145"/>
        <v>-2</v>
      </c>
      <c r="Q1219">
        <f>ROUND(INDEX(Spending!AJ:AJ,MATCH(EOMONTH($A1219,-1),Spending!B:B,0)),2)</f>
        <v>56.27</v>
      </c>
      <c r="R1219">
        <f t="shared" si="1149"/>
        <v>1</v>
      </c>
      <c r="S1219">
        <f>ROUND(INDEX(Employment!V:V,MATCH(EOMONTH($A1219,-1),Employment!A:A,0)),2)</f>
        <v>181.78</v>
      </c>
      <c r="T1219" s="11">
        <f t="shared" si="1146"/>
        <v>2</v>
      </c>
      <c r="U1219">
        <f t="shared" si="1138"/>
        <v>30</v>
      </c>
      <c r="V1219">
        <f t="shared" si="1130"/>
        <v>77.77</v>
      </c>
      <c r="W1219" s="13">
        <f t="shared" si="1131"/>
        <v>7.3000000000000001E-3</v>
      </c>
      <c r="X1219" s="13">
        <f t="shared" si="1132"/>
        <v>-2.64E-2</v>
      </c>
      <c r="Y1219">
        <f t="shared" si="1124"/>
        <v>93.57</v>
      </c>
      <c r="Z1219" s="13">
        <f t="shared" si="1155"/>
        <v>1.5E-3</v>
      </c>
      <c r="AA1219" s="13">
        <f t="shared" si="1151"/>
        <v>-3.44E-2</v>
      </c>
      <c r="AB1219" s="6">
        <f t="shared" si="1125"/>
        <v>109.31400000000001</v>
      </c>
      <c r="AC1219">
        <f t="shared" si="1153"/>
        <v>55</v>
      </c>
      <c r="AD1219" s="11">
        <f t="shared" si="1154"/>
        <v>2</v>
      </c>
      <c r="AE1219">
        <f t="shared" si="1152"/>
        <v>34</v>
      </c>
      <c r="AF1219">
        <f>IF(AND(AE1219&lt;15,OR(AC1219&gt;=30,AA1219&gt;0.15,X1219&gt;=0.15)),2,VLOOKUP(AE1219,Table!P:Q,2,FALSE))</f>
        <v>5</v>
      </c>
      <c r="AG1219" s="22">
        <f>IF((AB1219*0.98)-(D1219*0.8)+((AF1219-3)*3)+VLOOKUP(AM1219,Table!$A$11:$B$13,2,FALSE)&lt;0,0,(AB1219*0.98)-(D1219*0.8)+((AF1219-3)*3)+VLOOKUP(AM1219,Table!$A$11:$B$13,2,FALSE))</f>
        <v>111.94372000000001</v>
      </c>
      <c r="AH1219" s="22">
        <f t="shared" si="1147"/>
        <v>100</v>
      </c>
      <c r="AI1219" s="18">
        <f t="shared" si="1140"/>
        <v>5.73</v>
      </c>
      <c r="AJ1219" s="18">
        <f t="shared" si="1141"/>
        <v>5.27</v>
      </c>
      <c r="AK1219" t="str">
        <f t="shared" si="1126"/>
        <v/>
      </c>
      <c r="AL1219">
        <f t="shared" si="1137"/>
        <v>34</v>
      </c>
      <c r="AM1219" s="11" t="str">
        <f t="shared" si="1127"/>
        <v>Stocks</v>
      </c>
      <c r="AN1219" t="str">
        <f t="shared" si="1133"/>
        <v>Buy</v>
      </c>
      <c r="AO1219" s="13">
        <f t="shared" si="1134"/>
        <v>1.2200000000000001E-2</v>
      </c>
      <c r="AP1219" s="13">
        <f t="shared" si="1135"/>
        <v>1.1000000000000001E-3</v>
      </c>
      <c r="AQ1219" s="13">
        <f t="shared" si="1136"/>
        <v>1.2200000000000001E-2</v>
      </c>
      <c r="AR1219" s="13">
        <f t="shared" si="1128"/>
        <v>1.2200000000000001E-2</v>
      </c>
      <c r="AS1219" s="6">
        <f t="shared" ref="AS1219:AS1282" si="1156">AS1220*(1+AO1220)</f>
        <v>126.60818443394537</v>
      </c>
      <c r="AT1219" s="6">
        <f t="shared" ref="AT1219:AT1282" si="1157">AT1220*(1+AP1220)</f>
        <v>112.23845778303908</v>
      </c>
      <c r="AU1219" s="6">
        <f t="shared" ref="AU1219:AU1282" si="1158">AU1220*(1+AQ1220)</f>
        <v>126.19043175523242</v>
      </c>
      <c r="AV1219" s="6">
        <f t="shared" ref="AV1219:AV1282" si="1159">AV1220*(1+AR1220)</f>
        <v>126.60818443394537</v>
      </c>
      <c r="AW1219" s="58">
        <f t="shared" si="1129"/>
        <v>1995</v>
      </c>
      <c r="AX1219" s="58">
        <f>COUNTIF(AW$3:AW1219,AW1219)</f>
        <v>37</v>
      </c>
    </row>
    <row r="1220" spans="1:50" x14ac:dyDescent="0.25">
      <c r="A1220" s="5">
        <v>34805</v>
      </c>
      <c r="B1220">
        <v>509.23</v>
      </c>
      <c r="C1220">
        <v>5.63</v>
      </c>
      <c r="D1220" s="6">
        <v>12.85</v>
      </c>
      <c r="E1220" s="18">
        <f t="shared" si="1142"/>
        <v>12.47</v>
      </c>
      <c r="F1220">
        <f t="shared" si="1143"/>
        <v>2</v>
      </c>
      <c r="G1220" s="18">
        <f>ROUND(INDEX(Valuation!U:U,MATCH(A1220,Valuation!A:A,0)),2)</f>
        <v>234.76</v>
      </c>
      <c r="H1220">
        <f t="shared" si="1150"/>
        <v>3</v>
      </c>
      <c r="I1220" s="18">
        <f>INDEX(WeeklyIndicators!Y:Y,MATCH(A1220,WeeklyIndicators!A:A,0))</f>
        <v>108.79</v>
      </c>
      <c r="J1220">
        <f t="shared" si="1139"/>
        <v>-1</v>
      </c>
      <c r="K1220">
        <f>ROUND(INDEX(Economic!AF:AF,MATCH(EOMONTH($A1220,-1),Economic!A:A,0)),2)</f>
        <v>144.96</v>
      </c>
      <c r="L1220" s="11">
        <f t="shared" si="1148"/>
        <v>3</v>
      </c>
      <c r="M1220">
        <f>ROUND(INDEX(Manufacturing!P:P,MATCH(EOMONTH($A1220,-1),Manufacturing!A:A,0)),2)</f>
        <v>105.1</v>
      </c>
      <c r="N1220">
        <f t="shared" si="1144"/>
        <v>2</v>
      </c>
      <c r="O1220">
        <f>ROUND(INDEX(Housing!AC:AC,MATCH(EOMONTH($A1220,-1),Housing!B:B,0)),2)</f>
        <v>72.599999999999994</v>
      </c>
      <c r="P1220">
        <f t="shared" si="1145"/>
        <v>-2</v>
      </c>
      <c r="Q1220">
        <f>ROUND(INDEX(Spending!AJ:AJ,MATCH(EOMONTH($A1220,-1),Spending!B:B,0)),2)</f>
        <v>56.27</v>
      </c>
      <c r="R1220">
        <f t="shared" si="1149"/>
        <v>1</v>
      </c>
      <c r="S1220">
        <f>ROUND(INDEX(Employment!V:V,MATCH(EOMONTH($A1220,-1),Employment!A:A,0)),2)</f>
        <v>181.78</v>
      </c>
      <c r="T1220" s="11">
        <f t="shared" si="1146"/>
        <v>2</v>
      </c>
      <c r="U1220">
        <f t="shared" si="1138"/>
        <v>30</v>
      </c>
      <c r="V1220">
        <f t="shared" si="1130"/>
        <v>77.239999999999995</v>
      </c>
      <c r="W1220" s="13">
        <f t="shared" si="1131"/>
        <v>-3.8E-3</v>
      </c>
      <c r="X1220" s="13">
        <f t="shared" si="1132"/>
        <v>-5.1799999999999999E-2</v>
      </c>
      <c r="Y1220">
        <f t="shared" ref="Y1220:Y1283" si="1160">ROUND(((K1220*0.745)+(M1220*0.745)+(O1220*0.36)+(Q1220*0.45)+(S1220*0.45)+(I1220*0.55)+(G1220*0.59)-(E1220*1.85))/5.3,2)</f>
        <v>93.36</v>
      </c>
      <c r="Z1220" s="13">
        <f t="shared" si="1155"/>
        <v>-7.0000000000000001E-3</v>
      </c>
      <c r="AA1220" s="13">
        <f t="shared" si="1151"/>
        <v>-5.2600000000000001E-2</v>
      </c>
      <c r="AB1220" s="6">
        <f t="shared" ref="AB1220:AB1283" si="1161">IF(ROUND(Y1220+(X1220*10)+(V1220/30)+(AA1220*67),2)+5+((G1220-125)*0.1)&lt;0,0,ROUND(Y1220+(X1220*10)+(V1220/30)+(AA1220*67),2)+5+((G1220-125)*0.1))</f>
        <v>107.866</v>
      </c>
      <c r="AC1220">
        <f t="shared" si="1153"/>
        <v>54</v>
      </c>
      <c r="AD1220" s="11">
        <f t="shared" si="1154"/>
        <v>2</v>
      </c>
      <c r="AE1220">
        <f t="shared" si="1152"/>
        <v>34</v>
      </c>
      <c r="AF1220">
        <f>IF(AND(AE1220&lt;15,OR(AC1220&gt;=30,AA1220&gt;0.15,X1220&gt;=0.15)),2,VLOOKUP(AE1220,Table!P:Q,2,FALSE))</f>
        <v>5</v>
      </c>
      <c r="AG1220" s="22">
        <f>IF((AB1220*0.98)-(D1220*0.8)+((AF1220-3)*3)+VLOOKUP(AM1220,Table!$A$11:$B$13,2,FALSE)&lt;0,0,(AB1220*0.98)-(D1220*0.8)+((AF1220-3)*3)+VLOOKUP(AM1220,Table!$A$11:$B$13,2,FALSE))</f>
        <v>109.42868</v>
      </c>
      <c r="AH1220" s="22">
        <f t="shared" si="1147"/>
        <v>100</v>
      </c>
      <c r="AI1220" s="18">
        <f t="shared" si="1140"/>
        <v>5.73</v>
      </c>
      <c r="AJ1220" s="18">
        <f t="shared" si="1141"/>
        <v>5.23</v>
      </c>
      <c r="AK1220" t="str">
        <f t="shared" ref="AK1220:AK1283" si="1162">IF(AND(C1220&gt;AI1220,AI1220&gt;AJ1220,C1220-AJ1220&gt;0.15),"Rising Rates",IF(AND(C1220&lt;AI1220,AI1220&lt;AJ1220,AJ1220-C1220&gt;0.15),"Falling Rates",""))</f>
        <v/>
      </c>
      <c r="AL1220">
        <f t="shared" si="1137"/>
        <v>34.5</v>
      </c>
      <c r="AM1220" s="11" t="str">
        <f t="shared" ref="AM1220:AM1283" si="1163">IF(OR(AND(AL1220&lt;=18,G1220&lt;=25),AND(AL1220&lt;=14,G1220&lt;200)),"Cash","Stocks")</f>
        <v>Stocks</v>
      </c>
      <c r="AN1220" t="str">
        <f t="shared" si="1133"/>
        <v>Buy</v>
      </c>
      <c r="AO1220" s="13">
        <f t="shared" si="1134"/>
        <v>-1.5E-3</v>
      </c>
      <c r="AP1220" s="13">
        <f t="shared" si="1135"/>
        <v>1.1000000000000001E-3</v>
      </c>
      <c r="AQ1220" s="13">
        <f t="shared" si="1136"/>
        <v>-1.5E-3</v>
      </c>
      <c r="AR1220" s="13">
        <f t="shared" ref="AR1220:AR1283" si="1164">IF(AM1220="Stocks",AO1220,AP1220)</f>
        <v>-1.5E-3</v>
      </c>
      <c r="AS1220" s="6">
        <f t="shared" si="1156"/>
        <v>126.79838200695579</v>
      </c>
      <c r="AT1220" s="6">
        <f t="shared" si="1157"/>
        <v>112.11513113878641</v>
      </c>
      <c r="AU1220" s="6">
        <f t="shared" si="1158"/>
        <v>126.38000175786922</v>
      </c>
      <c r="AV1220" s="6">
        <f t="shared" si="1159"/>
        <v>126.79838200695579</v>
      </c>
      <c r="AW1220" s="58">
        <f t="shared" ref="AW1220:AW1283" si="1165">YEAR(A1220)</f>
        <v>1995</v>
      </c>
      <c r="AX1220" s="58">
        <f>COUNTIF(AW$3:AW1220,AW1220)</f>
        <v>38</v>
      </c>
    </row>
    <row r="1221" spans="1:50" x14ac:dyDescent="0.25">
      <c r="A1221" s="5">
        <v>34798</v>
      </c>
      <c r="B1221">
        <v>506.42</v>
      </c>
      <c r="C1221">
        <v>5.7</v>
      </c>
      <c r="D1221" s="6">
        <v>13.37</v>
      </c>
      <c r="E1221" s="18">
        <f t="shared" si="1142"/>
        <v>12.12</v>
      </c>
      <c r="F1221">
        <f t="shared" si="1143"/>
        <v>2</v>
      </c>
      <c r="G1221" s="18">
        <f>ROUND(INDEX(Valuation!U:U,MATCH(A1221,Valuation!A:A,0)),2)</f>
        <v>238.56</v>
      </c>
      <c r="H1221">
        <f t="shared" si="1150"/>
        <v>3</v>
      </c>
      <c r="I1221" s="18">
        <f>INDEX(WeeklyIndicators!Y:Y,MATCH(A1221,WeeklyIndicators!A:A,0))</f>
        <v>103.9</v>
      </c>
      <c r="J1221">
        <f t="shared" si="1139"/>
        <v>-1</v>
      </c>
      <c r="K1221">
        <f>ROUND(INDEX(Economic!AF:AF,MATCH(EOMONTH($A1221,-1),Economic!A:A,0)),2)</f>
        <v>144.96</v>
      </c>
      <c r="L1221" s="11">
        <f t="shared" si="1148"/>
        <v>3</v>
      </c>
      <c r="M1221">
        <f>ROUND(INDEX(Manufacturing!P:P,MATCH(EOMONTH($A1221,-1),Manufacturing!A:A,0)),2)</f>
        <v>105.1</v>
      </c>
      <c r="N1221">
        <f t="shared" si="1144"/>
        <v>2</v>
      </c>
      <c r="O1221">
        <f>ROUND(INDEX(Housing!AC:AC,MATCH(EOMONTH($A1221,-1),Housing!B:B,0)),2)</f>
        <v>72.599999999999994</v>
      </c>
      <c r="P1221">
        <f t="shared" si="1145"/>
        <v>-2</v>
      </c>
      <c r="Q1221">
        <f>ROUND(INDEX(Spending!AJ:AJ,MATCH(EOMONTH($A1221,-1),Spending!B:B,0)),2)</f>
        <v>56.27</v>
      </c>
      <c r="R1221">
        <f t="shared" si="1149"/>
        <v>1</v>
      </c>
      <c r="S1221">
        <f>ROUND(INDEX(Employment!V:V,MATCH(EOMONTH($A1221,-1),Employment!A:A,0)),2)</f>
        <v>181.78</v>
      </c>
      <c r="T1221" s="11">
        <f t="shared" si="1146"/>
        <v>2</v>
      </c>
      <c r="U1221">
        <f t="shared" si="1138"/>
        <v>30</v>
      </c>
      <c r="V1221">
        <f t="shared" ref="V1221:V1284" si="1166">ROUND(((K1221*0.745)+(M1221*0.745)+(O1221*0.36)+(Q1221*0.45)+(S1221*0.45)+(I1221*0.55)+(60)-(30))/5.3,2)</f>
        <v>76.739999999999995</v>
      </c>
      <c r="W1221" s="13">
        <f t="shared" ref="W1221:W1284" si="1167">ROUND((AVERAGE(V1221:V1223)-AVERAGE(V1222:V1224))/AVERAGE(V1222:V1224),4)</f>
        <v>-9.9000000000000008E-3</v>
      </c>
      <c r="X1221" s="13">
        <f t="shared" ref="X1221:X1284" si="1168">SUM(W1221:W1224)</f>
        <v>-7.0000000000000007E-2</v>
      </c>
      <c r="Y1221">
        <f t="shared" si="1160"/>
        <v>93.4</v>
      </c>
      <c r="Z1221" s="13">
        <f t="shared" si="1155"/>
        <v>-1.0699999999999999E-2</v>
      </c>
      <c r="AA1221" s="13">
        <f t="shared" si="1151"/>
        <v>-6.5000000000000002E-2</v>
      </c>
      <c r="AB1221" s="6">
        <f t="shared" si="1161"/>
        <v>107.256</v>
      </c>
      <c r="AC1221">
        <f t="shared" si="1153"/>
        <v>54</v>
      </c>
      <c r="AD1221" s="11">
        <f t="shared" si="1154"/>
        <v>2</v>
      </c>
      <c r="AE1221">
        <f t="shared" si="1152"/>
        <v>34</v>
      </c>
      <c r="AF1221">
        <f>IF(AND(AE1221&lt;15,OR(AC1221&gt;=30,AA1221&gt;0.15,X1221&gt;=0.15)),2,VLOOKUP(AE1221,Table!P:Q,2,FALSE))</f>
        <v>5</v>
      </c>
      <c r="AG1221" s="22">
        <f>IF((AB1221*0.98)-(D1221*0.8)+((AF1221-3)*3)+VLOOKUP(AM1221,Table!$A$11:$B$13,2,FALSE)&lt;0,0,(AB1221*0.98)-(D1221*0.8)+((AF1221-3)*3)+VLOOKUP(AM1221,Table!$A$11:$B$13,2,FALSE))</f>
        <v>108.41488</v>
      </c>
      <c r="AH1221" s="22">
        <f t="shared" si="1147"/>
        <v>100</v>
      </c>
      <c r="AI1221" s="18">
        <f t="shared" si="1140"/>
        <v>5.74</v>
      </c>
      <c r="AJ1221" s="18">
        <f t="shared" si="1141"/>
        <v>5.2</v>
      </c>
      <c r="AK1221" t="str">
        <f t="shared" si="1162"/>
        <v/>
      </c>
      <c r="AL1221">
        <f t="shared" si="1137"/>
        <v>35</v>
      </c>
      <c r="AM1221" s="11" t="str">
        <f t="shared" si="1163"/>
        <v>Stocks</v>
      </c>
      <c r="AN1221" t="str">
        <f t="shared" ref="AN1221:AN1284" si="1169">IF(AND(V1221&gt;AG1221,V1221&lt;65),"Sell","Buy")</f>
        <v>Buy</v>
      </c>
      <c r="AO1221" s="13">
        <f t="shared" ref="AO1221:AO1284" si="1170">ROUND((B1220/B1221)-1,4)</f>
        <v>5.4999999999999997E-3</v>
      </c>
      <c r="AP1221" s="13">
        <f t="shared" ref="AP1221:AP1284" si="1171">ROUND((C1221*0.01)/52,4)</f>
        <v>1.1000000000000001E-3</v>
      </c>
      <c r="AQ1221" s="13">
        <f t="shared" ref="AQ1221:AQ1284" si="1172">ROUND(((AH1221*0.01)*AO1221)+(((100-AH1221)*0.01)*AP1221),4)</f>
        <v>5.4999999999999997E-3</v>
      </c>
      <c r="AR1221" s="13">
        <f t="shared" si="1164"/>
        <v>5.4999999999999997E-3</v>
      </c>
      <c r="AS1221" s="6">
        <f t="shared" si="1156"/>
        <v>126.10480557628621</v>
      </c>
      <c r="AT1221" s="6">
        <f t="shared" si="1157"/>
        <v>111.99194000478114</v>
      </c>
      <c r="AU1221" s="6">
        <f t="shared" si="1158"/>
        <v>125.68871383179435</v>
      </c>
      <c r="AV1221" s="6">
        <f t="shared" si="1159"/>
        <v>126.10480557628621</v>
      </c>
      <c r="AW1221" s="58">
        <f t="shared" si="1165"/>
        <v>1995</v>
      </c>
      <c r="AX1221" s="58">
        <f>COUNTIF(AW$3:AW1221,AW1221)</f>
        <v>39</v>
      </c>
    </row>
    <row r="1222" spans="1:50" x14ac:dyDescent="0.25">
      <c r="A1222" s="5">
        <v>34791</v>
      </c>
      <c r="B1222">
        <v>500.71</v>
      </c>
      <c r="C1222">
        <v>5.69</v>
      </c>
      <c r="D1222" s="6">
        <v>11.19</v>
      </c>
      <c r="E1222" s="18">
        <f t="shared" si="1142"/>
        <v>11.79</v>
      </c>
      <c r="F1222">
        <f t="shared" si="1143"/>
        <v>2</v>
      </c>
      <c r="G1222" s="18">
        <f>ROUND(INDEX(Valuation!U:U,MATCH(A1222,Valuation!A:A,0)),2)</f>
        <v>241.09</v>
      </c>
      <c r="H1222">
        <f t="shared" si="1150"/>
        <v>3</v>
      </c>
      <c r="I1222" s="18">
        <f>INDEX(WeeklyIndicators!Y:Y,MATCH(A1222,WeeklyIndicators!A:A,0))</f>
        <v>97.79</v>
      </c>
      <c r="J1222">
        <f t="shared" si="1139"/>
        <v>-1</v>
      </c>
      <c r="K1222">
        <f>ROUND(INDEX(Economic!AF:AF,MATCH(EOMONTH($A1222,-1),Economic!A:A,0)),2)</f>
        <v>144.96</v>
      </c>
      <c r="L1222" s="11">
        <f t="shared" si="1148"/>
        <v>3</v>
      </c>
      <c r="M1222">
        <f>ROUND(INDEX(Manufacturing!P:P,MATCH(EOMONTH($A1222,-1),Manufacturing!A:A,0)),2)</f>
        <v>105.1</v>
      </c>
      <c r="N1222">
        <f t="shared" si="1144"/>
        <v>2</v>
      </c>
      <c r="O1222">
        <f>ROUND(INDEX(Housing!AC:AC,MATCH(EOMONTH($A1222,-1),Housing!B:B,0)),2)</f>
        <v>72.599999999999994</v>
      </c>
      <c r="P1222">
        <f t="shared" si="1145"/>
        <v>-2</v>
      </c>
      <c r="Q1222">
        <f>ROUND(INDEX(Spending!AJ:AJ,MATCH(EOMONTH($A1222,-1),Spending!B:B,0)),2)</f>
        <v>56.27</v>
      </c>
      <c r="R1222">
        <f t="shared" si="1149"/>
        <v>1</v>
      </c>
      <c r="S1222">
        <f>ROUND(INDEX(Employment!V:V,MATCH(EOMONTH($A1222,-1),Employment!A:A,0)),2)</f>
        <v>181.78</v>
      </c>
      <c r="T1222" s="11">
        <f t="shared" si="1146"/>
        <v>2</v>
      </c>
      <c r="U1222">
        <f t="shared" si="1138"/>
        <v>30</v>
      </c>
      <c r="V1222">
        <f t="shared" si="1166"/>
        <v>76.099999999999994</v>
      </c>
      <c r="W1222" s="13">
        <f t="shared" si="1167"/>
        <v>-0.02</v>
      </c>
      <c r="X1222" s="13">
        <f t="shared" si="1168"/>
        <v>-7.4700000000000003E-2</v>
      </c>
      <c r="Y1222">
        <f t="shared" si="1160"/>
        <v>93.16</v>
      </c>
      <c r="Z1222" s="13">
        <f t="shared" si="1155"/>
        <v>-1.8200000000000001E-2</v>
      </c>
      <c r="AA1222" s="13">
        <f t="shared" si="1151"/>
        <v>-6.7699999999999996E-2</v>
      </c>
      <c r="AB1222" s="6">
        <f t="shared" si="1161"/>
        <v>107.01900000000001</v>
      </c>
      <c r="AC1222">
        <f t="shared" si="1153"/>
        <v>54</v>
      </c>
      <c r="AD1222" s="11">
        <f t="shared" si="1154"/>
        <v>2</v>
      </c>
      <c r="AE1222">
        <f t="shared" si="1152"/>
        <v>34</v>
      </c>
      <c r="AF1222">
        <f>IF(AND(AE1222&lt;15,OR(AC1222&gt;=30,AA1222&gt;0.15,X1222&gt;=0.15)),2,VLOOKUP(AE1222,Table!P:Q,2,FALSE))</f>
        <v>5</v>
      </c>
      <c r="AG1222" s="22">
        <f>IF((AB1222*0.98)-(D1222*0.8)+((AF1222-3)*3)+VLOOKUP(AM1222,Table!$A$11:$B$13,2,FALSE)&lt;0,0,(AB1222*0.98)-(D1222*0.8)+((AF1222-3)*3)+VLOOKUP(AM1222,Table!$A$11:$B$13,2,FALSE))</f>
        <v>109.92662</v>
      </c>
      <c r="AH1222" s="22">
        <f t="shared" si="1147"/>
        <v>100</v>
      </c>
      <c r="AI1222" s="18">
        <f t="shared" si="1140"/>
        <v>5.73</v>
      </c>
      <c r="AJ1222" s="18">
        <f t="shared" si="1141"/>
        <v>5.17</v>
      </c>
      <c r="AK1222" t="str">
        <f t="shared" si="1162"/>
        <v/>
      </c>
      <c r="AL1222">
        <f t="shared" si="1137"/>
        <v>35.75</v>
      </c>
      <c r="AM1222" s="11" t="str">
        <f t="shared" si="1163"/>
        <v>Stocks</v>
      </c>
      <c r="AN1222" t="str">
        <f t="shared" si="1169"/>
        <v>Buy</v>
      </c>
      <c r="AO1222" s="13">
        <f t="shared" si="1170"/>
        <v>1.14E-2</v>
      </c>
      <c r="AP1222" s="13">
        <f t="shared" si="1171"/>
        <v>1.1000000000000001E-3</v>
      </c>
      <c r="AQ1222" s="13">
        <f t="shared" si="1172"/>
        <v>1.14E-2</v>
      </c>
      <c r="AR1222" s="13">
        <f t="shared" si="1164"/>
        <v>1.14E-2</v>
      </c>
      <c r="AS1222" s="6">
        <f t="shared" si="1156"/>
        <v>124.68341464928436</v>
      </c>
      <c r="AT1222" s="6">
        <f t="shared" si="1157"/>
        <v>111.86888423212579</v>
      </c>
      <c r="AU1222" s="6">
        <f t="shared" si="1158"/>
        <v>124.2720128849064</v>
      </c>
      <c r="AV1222" s="6">
        <f t="shared" si="1159"/>
        <v>124.68341464928436</v>
      </c>
      <c r="AW1222" s="58">
        <f t="shared" si="1165"/>
        <v>1995</v>
      </c>
      <c r="AX1222" s="58">
        <f>COUNTIF(AW$3:AW1222,AW1222)</f>
        <v>40</v>
      </c>
    </row>
    <row r="1223" spans="1:50" x14ac:dyDescent="0.25">
      <c r="A1223" s="5">
        <v>34784</v>
      </c>
      <c r="B1223">
        <v>500.97</v>
      </c>
      <c r="C1223">
        <v>5.72</v>
      </c>
      <c r="D1223" s="6">
        <v>11.8</v>
      </c>
      <c r="E1223" s="18">
        <f t="shared" si="1142"/>
        <v>11.88</v>
      </c>
      <c r="F1223">
        <f t="shared" si="1143"/>
        <v>2</v>
      </c>
      <c r="G1223" s="18">
        <f>ROUND(INDEX(Valuation!U:U,MATCH(A1223,Valuation!A:A,0)),2)</f>
        <v>242.69</v>
      </c>
      <c r="H1223">
        <f t="shared" si="1150"/>
        <v>3</v>
      </c>
      <c r="I1223" s="18">
        <f>INDEX(WeeklyIndicators!Y:Y,MATCH(A1223,WeeklyIndicators!A:A,0))</f>
        <v>97.32</v>
      </c>
      <c r="J1223">
        <f t="shared" si="1139"/>
        <v>-1</v>
      </c>
      <c r="K1223">
        <f>ROUND(INDEX(Economic!AF:AF,MATCH(EOMONTH($A1223,-1),Economic!A:A,0)),2)</f>
        <v>148.43</v>
      </c>
      <c r="L1223" s="11">
        <f t="shared" si="1148"/>
        <v>3</v>
      </c>
      <c r="M1223">
        <f>ROUND(INDEX(Manufacturing!P:P,MATCH(EOMONTH($A1223,-1),Manufacturing!A:A,0)),2)</f>
        <v>109.06</v>
      </c>
      <c r="N1223">
        <f t="shared" si="1144"/>
        <v>3</v>
      </c>
      <c r="O1223">
        <f>ROUND(INDEX(Housing!AC:AC,MATCH(EOMONTH($A1223,-1),Housing!B:B,0)),2)</f>
        <v>72.989999999999995</v>
      </c>
      <c r="P1223">
        <f t="shared" si="1145"/>
        <v>-2</v>
      </c>
      <c r="Q1223">
        <f>ROUND(INDEX(Spending!AJ:AJ,MATCH(EOMONTH($A1223,-1),Spending!B:B,0)),2)</f>
        <v>62.11</v>
      </c>
      <c r="R1223">
        <f t="shared" si="1149"/>
        <v>2</v>
      </c>
      <c r="S1223">
        <f>ROUND(INDEX(Employment!V:V,MATCH(EOMONTH($A1223,-1),Employment!A:A,0)),2)</f>
        <v>187.59</v>
      </c>
      <c r="T1223" s="11">
        <f t="shared" si="1146"/>
        <v>2</v>
      </c>
      <c r="U1223">
        <f t="shared" si="1138"/>
        <v>32</v>
      </c>
      <c r="V1223">
        <f t="shared" si="1166"/>
        <v>78.11</v>
      </c>
      <c r="W1223" s="13">
        <f t="shared" si="1167"/>
        <v>-1.8100000000000002E-2</v>
      </c>
      <c r="X1223" s="13">
        <f t="shared" si="1168"/>
        <v>-5.9199999999999996E-2</v>
      </c>
      <c r="Y1223">
        <f t="shared" si="1160"/>
        <v>95.32</v>
      </c>
      <c r="Z1223" s="13">
        <f t="shared" si="1155"/>
        <v>-1.67E-2</v>
      </c>
      <c r="AA1223" s="13">
        <f t="shared" si="1151"/>
        <v>-5.3500000000000006E-2</v>
      </c>
      <c r="AB1223" s="6">
        <f t="shared" si="1161"/>
        <v>110.51900000000001</v>
      </c>
      <c r="AC1223">
        <f t="shared" si="1153"/>
        <v>55</v>
      </c>
      <c r="AD1223" s="11">
        <f t="shared" si="1154"/>
        <v>2</v>
      </c>
      <c r="AE1223">
        <f t="shared" si="1152"/>
        <v>36</v>
      </c>
      <c r="AF1223">
        <f>IF(AND(AE1223&lt;15,OR(AC1223&gt;=30,AA1223&gt;0.15,X1223&gt;=0.15)),2,VLOOKUP(AE1223,Table!P:Q,2,FALSE))</f>
        <v>5</v>
      </c>
      <c r="AG1223" s="22">
        <f>IF((AB1223*0.98)-(D1223*0.8)+((AF1223-3)*3)+VLOOKUP(AM1223,Table!$A$11:$B$13,2,FALSE)&lt;0,0,(AB1223*0.98)-(D1223*0.8)+((AF1223-3)*3)+VLOOKUP(AM1223,Table!$A$11:$B$13,2,FALSE))</f>
        <v>112.86862000000001</v>
      </c>
      <c r="AH1223" s="22">
        <f t="shared" si="1147"/>
        <v>100</v>
      </c>
      <c r="AI1223" s="18">
        <f t="shared" si="1140"/>
        <v>5.72</v>
      </c>
      <c r="AJ1223" s="18">
        <f t="shared" si="1141"/>
        <v>5.13</v>
      </c>
      <c r="AK1223" t="str">
        <f t="shared" si="1162"/>
        <v/>
      </c>
      <c r="AL1223">
        <f t="shared" si="1137"/>
        <v>36.75</v>
      </c>
      <c r="AM1223" s="11" t="str">
        <f t="shared" si="1163"/>
        <v>Stocks</v>
      </c>
      <c r="AN1223" t="str">
        <f t="shared" si="1169"/>
        <v>Buy</v>
      </c>
      <c r="AO1223" s="13">
        <f t="shared" si="1170"/>
        <v>-5.0000000000000001E-4</v>
      </c>
      <c r="AP1223" s="13">
        <f t="shared" si="1171"/>
        <v>1.1000000000000001E-3</v>
      </c>
      <c r="AQ1223" s="13">
        <f t="shared" si="1172"/>
        <v>-5.0000000000000001E-4</v>
      </c>
      <c r="AR1223" s="13">
        <f t="shared" si="1164"/>
        <v>-5.0000000000000001E-4</v>
      </c>
      <c r="AS1223" s="6">
        <f t="shared" si="1156"/>
        <v>124.74578754305588</v>
      </c>
      <c r="AT1223" s="6">
        <f t="shared" si="1157"/>
        <v>111.74596367208649</v>
      </c>
      <c r="AU1223" s="6">
        <f t="shared" si="1158"/>
        <v>124.33417997489384</v>
      </c>
      <c r="AV1223" s="6">
        <f t="shared" si="1159"/>
        <v>124.74578754305588</v>
      </c>
      <c r="AW1223" s="58">
        <f t="shared" si="1165"/>
        <v>1995</v>
      </c>
      <c r="AX1223" s="58">
        <f>COUNTIF(AW$3:AW1223,AW1223)</f>
        <v>41</v>
      </c>
    </row>
    <row r="1224" spans="1:50" x14ac:dyDescent="0.25">
      <c r="A1224" s="5">
        <v>34777</v>
      </c>
      <c r="B1224">
        <v>495.52</v>
      </c>
      <c r="C1224">
        <v>5.75</v>
      </c>
      <c r="D1224" s="6">
        <v>12.38</v>
      </c>
      <c r="E1224" s="18">
        <f t="shared" si="1142"/>
        <v>11.56</v>
      </c>
      <c r="F1224">
        <f t="shared" si="1143"/>
        <v>2</v>
      </c>
      <c r="G1224" s="18">
        <f>ROUND(INDEX(Valuation!U:U,MATCH(A1224,Valuation!A:A,0)),2)</f>
        <v>243.56</v>
      </c>
      <c r="H1224">
        <f t="shared" si="1150"/>
        <v>3</v>
      </c>
      <c r="I1224" s="18">
        <f>INDEX(WeeklyIndicators!Y:Y,MATCH(A1224,WeeklyIndicators!A:A,0))</f>
        <v>106.27</v>
      </c>
      <c r="J1224">
        <f t="shared" si="1139"/>
        <v>-1</v>
      </c>
      <c r="K1224">
        <f>ROUND(INDEX(Economic!AF:AF,MATCH(EOMONTH($A1224,-1),Economic!A:A,0)),2)</f>
        <v>148.43</v>
      </c>
      <c r="L1224" s="11">
        <f t="shared" si="1148"/>
        <v>3</v>
      </c>
      <c r="M1224">
        <f>ROUND(INDEX(Manufacturing!P:P,MATCH(EOMONTH($A1224,-1),Manufacturing!A:A,0)),2)</f>
        <v>109.06</v>
      </c>
      <c r="N1224">
        <f t="shared" si="1144"/>
        <v>3</v>
      </c>
      <c r="O1224">
        <f>ROUND(INDEX(Housing!AC:AC,MATCH(EOMONTH($A1224,-1),Housing!B:B,0)),2)</f>
        <v>72.989999999999995</v>
      </c>
      <c r="P1224">
        <f t="shared" si="1145"/>
        <v>-2</v>
      </c>
      <c r="Q1224">
        <f>ROUND(INDEX(Spending!AJ:AJ,MATCH(EOMONTH($A1224,-1),Spending!B:B,0)),2)</f>
        <v>62.11</v>
      </c>
      <c r="R1224">
        <f t="shared" si="1149"/>
        <v>2</v>
      </c>
      <c r="S1224">
        <f>ROUND(INDEX(Employment!V:V,MATCH(EOMONTH($A1224,-1),Employment!A:A,0)),2)</f>
        <v>187.59</v>
      </c>
      <c r="T1224" s="11">
        <f t="shared" si="1146"/>
        <v>2</v>
      </c>
      <c r="U1224">
        <f t="shared" si="1138"/>
        <v>32</v>
      </c>
      <c r="V1224">
        <f t="shared" si="1166"/>
        <v>79.040000000000006</v>
      </c>
      <c r="W1224" s="13">
        <f t="shared" si="1167"/>
        <v>-2.1999999999999999E-2</v>
      </c>
      <c r="X1224" s="13">
        <f t="shared" si="1168"/>
        <v>-3.2099999999999997E-2</v>
      </c>
      <c r="Y1224">
        <f t="shared" si="1160"/>
        <v>96.46</v>
      </c>
      <c r="Z1224" s="13">
        <f t="shared" si="1155"/>
        <v>-1.9400000000000001E-2</v>
      </c>
      <c r="AA1224" s="13">
        <f t="shared" si="1151"/>
        <v>-2.9499999999999998E-2</v>
      </c>
      <c r="AB1224" s="6">
        <f t="shared" si="1161"/>
        <v>113.65600000000001</v>
      </c>
      <c r="AC1224">
        <f t="shared" si="1153"/>
        <v>57</v>
      </c>
      <c r="AD1224" s="11">
        <f t="shared" si="1154"/>
        <v>2</v>
      </c>
      <c r="AE1224">
        <f t="shared" si="1152"/>
        <v>36</v>
      </c>
      <c r="AF1224">
        <f>IF(AND(AE1224&lt;15,OR(AC1224&gt;=30,AA1224&gt;0.15,X1224&gt;=0.15)),2,VLOOKUP(AE1224,Table!P:Q,2,FALSE))</f>
        <v>5</v>
      </c>
      <c r="AG1224" s="22">
        <f>IF((AB1224*0.98)-(D1224*0.8)+((AF1224-3)*3)+VLOOKUP(AM1224,Table!$A$11:$B$13,2,FALSE)&lt;0,0,(AB1224*0.98)-(D1224*0.8)+((AF1224-3)*3)+VLOOKUP(AM1224,Table!$A$11:$B$13,2,FALSE))</f>
        <v>115.47888</v>
      </c>
      <c r="AH1224" s="22">
        <f t="shared" si="1147"/>
        <v>100</v>
      </c>
      <c r="AI1224" s="18">
        <f t="shared" si="1140"/>
        <v>5.7</v>
      </c>
      <c r="AJ1224" s="18">
        <f t="shared" si="1141"/>
        <v>5.09</v>
      </c>
      <c r="AK1224" t="str">
        <f t="shared" si="1162"/>
        <v>Rising Rates</v>
      </c>
      <c r="AL1224">
        <f t="shared" si="1137"/>
        <v>37.5</v>
      </c>
      <c r="AM1224" s="11" t="str">
        <f t="shared" si="1163"/>
        <v>Stocks</v>
      </c>
      <c r="AN1224" t="str">
        <f t="shared" si="1169"/>
        <v>Buy</v>
      </c>
      <c r="AO1224" s="13">
        <f t="shared" si="1170"/>
        <v>1.0999999999999999E-2</v>
      </c>
      <c r="AP1224" s="13">
        <f t="shared" si="1171"/>
        <v>1.1000000000000001E-3</v>
      </c>
      <c r="AQ1224" s="13">
        <f t="shared" si="1172"/>
        <v>1.0999999999999999E-2</v>
      </c>
      <c r="AR1224" s="13">
        <f t="shared" si="1164"/>
        <v>1.0999999999999999E-2</v>
      </c>
      <c r="AS1224" s="6">
        <f t="shared" si="1156"/>
        <v>123.388513890263</v>
      </c>
      <c r="AT1224" s="6">
        <f t="shared" si="1157"/>
        <v>111.62317817609278</v>
      </c>
      <c r="AU1224" s="6">
        <f t="shared" si="1158"/>
        <v>122.98138474272389</v>
      </c>
      <c r="AV1224" s="6">
        <f t="shared" si="1159"/>
        <v>123.388513890263</v>
      </c>
      <c r="AW1224" s="58">
        <f t="shared" si="1165"/>
        <v>1995</v>
      </c>
      <c r="AX1224" s="58">
        <f>COUNTIF(AW$3:AW1224,AW1224)</f>
        <v>42</v>
      </c>
    </row>
    <row r="1225" spans="1:50" x14ac:dyDescent="0.25">
      <c r="A1225" s="5">
        <v>34770</v>
      </c>
      <c r="B1225">
        <v>489.57</v>
      </c>
      <c r="C1225">
        <v>5.76</v>
      </c>
      <c r="D1225" s="6">
        <v>11.45</v>
      </c>
      <c r="E1225" s="18">
        <f t="shared" si="1142"/>
        <v>11.33</v>
      </c>
      <c r="F1225">
        <f t="shared" si="1143"/>
        <v>2</v>
      </c>
      <c r="G1225" s="18">
        <f>ROUND(INDEX(Valuation!U:U,MATCH(A1225,Valuation!A:A,0)),2)</f>
        <v>244.32</v>
      </c>
      <c r="H1225">
        <f t="shared" si="1150"/>
        <v>3</v>
      </c>
      <c r="I1225" s="18">
        <f>INDEX(WeeklyIndicators!Y:Y,MATCH(A1225,WeeklyIndicators!A:A,0))</f>
        <v>123.65</v>
      </c>
      <c r="J1225">
        <f t="shared" si="1139"/>
        <v>0</v>
      </c>
      <c r="K1225">
        <f>ROUND(INDEX(Economic!AF:AF,MATCH(EOMONTH($A1225,-1),Economic!A:A,0)),2)</f>
        <v>148.43</v>
      </c>
      <c r="L1225" s="11">
        <f t="shared" si="1148"/>
        <v>3</v>
      </c>
      <c r="M1225">
        <f>ROUND(INDEX(Manufacturing!P:P,MATCH(EOMONTH($A1225,-1),Manufacturing!A:A,0)),2)</f>
        <v>109.06</v>
      </c>
      <c r="N1225">
        <f t="shared" si="1144"/>
        <v>3</v>
      </c>
      <c r="O1225">
        <f>ROUND(INDEX(Housing!AC:AC,MATCH(EOMONTH($A1225,-1),Housing!B:B,0)),2)</f>
        <v>72.989999999999995</v>
      </c>
      <c r="P1225">
        <f t="shared" si="1145"/>
        <v>-2</v>
      </c>
      <c r="Q1225">
        <f>ROUND(INDEX(Spending!AJ:AJ,MATCH(EOMONTH($A1225,-1),Spending!B:B,0)),2)</f>
        <v>62.11</v>
      </c>
      <c r="R1225">
        <f t="shared" si="1149"/>
        <v>2</v>
      </c>
      <c r="S1225">
        <f>ROUND(INDEX(Employment!V:V,MATCH(EOMONTH($A1225,-1),Employment!A:A,0)),2)</f>
        <v>187.59</v>
      </c>
      <c r="T1225" s="11">
        <f t="shared" si="1146"/>
        <v>2</v>
      </c>
      <c r="U1225">
        <f t="shared" si="1138"/>
        <v>33</v>
      </c>
      <c r="V1225">
        <f t="shared" si="1166"/>
        <v>80.849999999999994</v>
      </c>
      <c r="W1225" s="13">
        <f t="shared" si="1167"/>
        <v>-1.46E-2</v>
      </c>
      <c r="X1225" s="13">
        <f t="shared" si="1168"/>
        <v>7.899999999999999E-3</v>
      </c>
      <c r="Y1225">
        <f t="shared" si="1160"/>
        <v>98.43</v>
      </c>
      <c r="Z1225" s="13">
        <f t="shared" si="1155"/>
        <v>-1.34E-2</v>
      </c>
      <c r="AA1225" s="13">
        <f t="shared" si="1151"/>
        <v>6.4000000000000029E-3</v>
      </c>
      <c r="AB1225" s="6">
        <f t="shared" si="1161"/>
        <v>118.562</v>
      </c>
      <c r="AC1225">
        <f t="shared" si="1153"/>
        <v>59</v>
      </c>
      <c r="AD1225" s="11">
        <f t="shared" si="1154"/>
        <v>2</v>
      </c>
      <c r="AE1225">
        <f t="shared" si="1152"/>
        <v>37</v>
      </c>
      <c r="AF1225">
        <f>IF(AND(AE1225&lt;15,OR(AC1225&gt;=30,AA1225&gt;0.15,X1225&gt;=0.15)),2,VLOOKUP(AE1225,Table!P:Q,2,FALSE))</f>
        <v>6</v>
      </c>
      <c r="AG1225" s="22">
        <f>IF((AB1225*0.98)-(D1225*0.8)+((AF1225-3)*3)+VLOOKUP(AM1225,Table!$A$11:$B$13,2,FALSE)&lt;0,0,(AB1225*0.98)-(D1225*0.8)+((AF1225-3)*3)+VLOOKUP(AM1225,Table!$A$11:$B$13,2,FALSE))</f>
        <v>124.03076</v>
      </c>
      <c r="AH1225" s="22">
        <f t="shared" si="1147"/>
        <v>100</v>
      </c>
      <c r="AI1225" s="18">
        <f t="shared" si="1140"/>
        <v>5.7</v>
      </c>
      <c r="AJ1225" s="18">
        <f t="shared" si="1141"/>
        <v>5.04</v>
      </c>
      <c r="AK1225" t="str">
        <f t="shared" si="1162"/>
        <v>Rising Rates</v>
      </c>
      <c r="AL1225">
        <f t="shared" ref="AL1225:AL1288" si="1173">ROUND(AVERAGE(AE1225:AE1228),2)</f>
        <v>38.25</v>
      </c>
      <c r="AM1225" s="11" t="str">
        <f t="shared" si="1163"/>
        <v>Stocks</v>
      </c>
      <c r="AN1225" t="str">
        <f t="shared" si="1169"/>
        <v>Buy</v>
      </c>
      <c r="AO1225" s="13">
        <f t="shared" si="1170"/>
        <v>1.2200000000000001E-2</v>
      </c>
      <c r="AP1225" s="13">
        <f t="shared" si="1171"/>
        <v>1.1000000000000001E-3</v>
      </c>
      <c r="AQ1225" s="13">
        <f t="shared" si="1172"/>
        <v>1.2200000000000001E-2</v>
      </c>
      <c r="AR1225" s="13">
        <f t="shared" si="1164"/>
        <v>1.2200000000000001E-2</v>
      </c>
      <c r="AS1225" s="6">
        <f t="shared" si="1156"/>
        <v>121.90131781294507</v>
      </c>
      <c r="AT1225" s="6">
        <f t="shared" si="1157"/>
        <v>111.50052759573745</v>
      </c>
      <c r="AU1225" s="6">
        <f t="shared" si="1158"/>
        <v>121.49909577427771</v>
      </c>
      <c r="AV1225" s="6">
        <f t="shared" si="1159"/>
        <v>121.90131781294507</v>
      </c>
      <c r="AW1225" s="58">
        <f t="shared" si="1165"/>
        <v>1995</v>
      </c>
      <c r="AX1225" s="58">
        <f>COUNTIF(AW$3:AW1225,AW1225)</f>
        <v>43</v>
      </c>
    </row>
    <row r="1226" spans="1:50" x14ac:dyDescent="0.25">
      <c r="A1226" s="5">
        <v>34763</v>
      </c>
      <c r="B1226">
        <v>485.42</v>
      </c>
      <c r="C1226">
        <v>5.74</v>
      </c>
      <c r="D1226" s="6">
        <v>10.84</v>
      </c>
      <c r="E1226" s="18">
        <f t="shared" si="1142"/>
        <v>11.28</v>
      </c>
      <c r="F1226">
        <f t="shared" si="1143"/>
        <v>2</v>
      </c>
      <c r="G1226" s="18">
        <f>ROUND(INDEX(Valuation!U:U,MATCH(A1226,Valuation!A:A,0)),2)</f>
        <v>245.79</v>
      </c>
      <c r="H1226">
        <f t="shared" si="1150"/>
        <v>3</v>
      </c>
      <c r="I1226" s="18">
        <f>INDEX(WeeklyIndicators!Y:Y,MATCH(A1226,WeeklyIndicators!A:A,0))</f>
        <v>139.47999999999999</v>
      </c>
      <c r="J1226">
        <f t="shared" si="1139"/>
        <v>1</v>
      </c>
      <c r="K1226">
        <f>ROUND(INDEX(Economic!AF:AF,MATCH(EOMONTH($A1226,-1),Economic!A:A,0)),2)</f>
        <v>148.43</v>
      </c>
      <c r="L1226" s="11">
        <f t="shared" si="1148"/>
        <v>3</v>
      </c>
      <c r="M1226">
        <f>ROUND(INDEX(Manufacturing!P:P,MATCH(EOMONTH($A1226,-1),Manufacturing!A:A,0)),2)</f>
        <v>109.06</v>
      </c>
      <c r="N1226">
        <f t="shared" si="1144"/>
        <v>3</v>
      </c>
      <c r="O1226">
        <f>ROUND(INDEX(Housing!AC:AC,MATCH(EOMONTH($A1226,-1),Housing!B:B,0)),2)</f>
        <v>72.989999999999995</v>
      </c>
      <c r="P1226">
        <f t="shared" si="1145"/>
        <v>-2</v>
      </c>
      <c r="Q1226">
        <f>ROUND(INDEX(Spending!AJ:AJ,MATCH(EOMONTH($A1226,-1),Spending!B:B,0)),2)</f>
        <v>62.11</v>
      </c>
      <c r="R1226">
        <f t="shared" si="1149"/>
        <v>2</v>
      </c>
      <c r="S1226">
        <f>ROUND(INDEX(Employment!V:V,MATCH(EOMONTH($A1226,-1),Employment!A:A,0)),2)</f>
        <v>187.59</v>
      </c>
      <c r="T1226" s="11">
        <f t="shared" si="1146"/>
        <v>2</v>
      </c>
      <c r="U1226">
        <f t="shared" ref="U1226:U1289" si="1174">F1226+H1226+J1226+L1226+N1226+P1226+R1226+T1226+20</f>
        <v>34</v>
      </c>
      <c r="V1226">
        <f t="shared" si="1166"/>
        <v>82.49</v>
      </c>
      <c r="W1226" s="13">
        <f t="shared" si="1167"/>
        <v>-4.4999999999999997E-3</v>
      </c>
      <c r="X1226" s="13">
        <f t="shared" si="1168"/>
        <v>4.0499999999999994E-2</v>
      </c>
      <c r="Y1226">
        <f t="shared" si="1160"/>
        <v>100.25</v>
      </c>
      <c r="Z1226" s="13">
        <f t="shared" si="1155"/>
        <v>-4.0000000000000001E-3</v>
      </c>
      <c r="AA1226" s="13">
        <f t="shared" si="1151"/>
        <v>3.6699999999999997E-2</v>
      </c>
      <c r="AB1226" s="6">
        <f t="shared" si="1161"/>
        <v>122.93899999999999</v>
      </c>
      <c r="AC1226">
        <f t="shared" si="1153"/>
        <v>61</v>
      </c>
      <c r="AD1226" s="11">
        <f t="shared" si="1154"/>
        <v>2</v>
      </c>
      <c r="AE1226">
        <f t="shared" si="1152"/>
        <v>38</v>
      </c>
      <c r="AF1226">
        <f>IF(AND(AE1226&lt;15,OR(AC1226&gt;=30,AA1226&gt;0.15,X1226&gt;=0.15)),2,VLOOKUP(AE1226,Table!P:Q,2,FALSE))</f>
        <v>6</v>
      </c>
      <c r="AG1226" s="22">
        <f>IF((AB1226*0.98)-(D1226*0.8)+((AF1226-3)*3)+VLOOKUP(AM1226,Table!$A$11:$B$13,2,FALSE)&lt;0,0,(AB1226*0.98)-(D1226*0.8)+((AF1226-3)*3)+VLOOKUP(AM1226,Table!$A$11:$B$13,2,FALSE))</f>
        <v>128.80822000000001</v>
      </c>
      <c r="AH1226" s="22">
        <f t="shared" si="1147"/>
        <v>100</v>
      </c>
      <c r="AI1226" s="18">
        <f t="shared" si="1140"/>
        <v>5.69</v>
      </c>
      <c r="AJ1226" s="18">
        <f t="shared" si="1141"/>
        <v>5</v>
      </c>
      <c r="AK1226" t="str">
        <f t="shared" si="1162"/>
        <v>Rising Rates</v>
      </c>
      <c r="AL1226">
        <f t="shared" si="1173"/>
        <v>38.75</v>
      </c>
      <c r="AM1226" s="11" t="str">
        <f t="shared" si="1163"/>
        <v>Stocks</v>
      </c>
      <c r="AN1226" t="str">
        <f t="shared" si="1169"/>
        <v>Buy</v>
      </c>
      <c r="AO1226" s="13">
        <f t="shared" si="1170"/>
        <v>8.5000000000000006E-3</v>
      </c>
      <c r="AP1226" s="13">
        <f t="shared" si="1171"/>
        <v>1.1000000000000001E-3</v>
      </c>
      <c r="AQ1226" s="13">
        <f t="shared" si="1172"/>
        <v>8.5000000000000006E-3</v>
      </c>
      <c r="AR1226" s="13">
        <f t="shared" si="1164"/>
        <v>8.5000000000000006E-3</v>
      </c>
      <c r="AS1226" s="6">
        <f t="shared" si="1156"/>
        <v>120.87388975006948</v>
      </c>
      <c r="AT1226" s="6">
        <f t="shared" si="1157"/>
        <v>111.37801178277638</v>
      </c>
      <c r="AU1226" s="6">
        <f t="shared" si="1158"/>
        <v>120.47505778312119</v>
      </c>
      <c r="AV1226" s="6">
        <f t="shared" si="1159"/>
        <v>120.87388975006948</v>
      </c>
      <c r="AW1226" s="58">
        <f t="shared" si="1165"/>
        <v>1995</v>
      </c>
      <c r="AX1226" s="58">
        <f>COUNTIF(AW$3:AW1226,AW1226)</f>
        <v>44</v>
      </c>
    </row>
    <row r="1227" spans="1:50" x14ac:dyDescent="0.25">
      <c r="A1227" s="5">
        <v>34756</v>
      </c>
      <c r="B1227">
        <v>488.11</v>
      </c>
      <c r="C1227">
        <v>5.72</v>
      </c>
      <c r="D1227" s="6">
        <v>11.71</v>
      </c>
      <c r="E1227" s="18">
        <f t="shared" si="1142"/>
        <v>11.32</v>
      </c>
      <c r="F1227">
        <f t="shared" si="1143"/>
        <v>2</v>
      </c>
      <c r="G1227" s="18">
        <f>ROUND(INDEX(Valuation!U:U,MATCH(A1227,Valuation!A:A,0)),2)</f>
        <v>246.34</v>
      </c>
      <c r="H1227">
        <f t="shared" si="1150"/>
        <v>3</v>
      </c>
      <c r="I1227" s="18">
        <f>INDEX(WeeklyIndicators!Y:Y,MATCH(A1227,WeeklyIndicators!A:A,0))</f>
        <v>149.88</v>
      </c>
      <c r="J1227">
        <f t="shared" si="1139"/>
        <v>1</v>
      </c>
      <c r="K1227">
        <f>ROUND(INDEX(Economic!AF:AF,MATCH(EOMONTH($A1227,-1),Economic!A:A,0)),2)</f>
        <v>143.51</v>
      </c>
      <c r="L1227" s="11">
        <f t="shared" si="1148"/>
        <v>3</v>
      </c>
      <c r="M1227">
        <f>ROUND(INDEX(Manufacturing!P:P,MATCH(EOMONTH($A1227,-1),Manufacturing!A:A,0)),2)</f>
        <v>113.95</v>
      </c>
      <c r="N1227">
        <f t="shared" si="1144"/>
        <v>3</v>
      </c>
      <c r="O1227">
        <f>ROUND(INDEX(Housing!AC:AC,MATCH(EOMONTH($A1227,-1),Housing!B:B,0)),2)</f>
        <v>73.61</v>
      </c>
      <c r="P1227">
        <f t="shared" si="1145"/>
        <v>-2</v>
      </c>
      <c r="Q1227">
        <f>ROUND(INDEX(Spending!AJ:AJ,MATCH(EOMONTH($A1227,-1),Spending!B:B,0)),2)</f>
        <v>64.040000000000006</v>
      </c>
      <c r="R1227">
        <f t="shared" si="1149"/>
        <v>2</v>
      </c>
      <c r="S1227">
        <f>ROUND(INDEX(Employment!V:V,MATCH(EOMONTH($A1227,-1),Employment!A:A,0)),2)</f>
        <v>196.07</v>
      </c>
      <c r="T1227" s="11">
        <f t="shared" si="1146"/>
        <v>3</v>
      </c>
      <c r="U1227">
        <f t="shared" si="1174"/>
        <v>35</v>
      </c>
      <c r="V1227">
        <f t="shared" si="1166"/>
        <v>84.49</v>
      </c>
      <c r="W1227" s="13">
        <f t="shared" si="1167"/>
        <v>8.9999999999999993E-3</v>
      </c>
      <c r="X1227" s="13">
        <f t="shared" si="1168"/>
        <v>5.8700000000000002E-2</v>
      </c>
      <c r="Y1227">
        <f t="shared" si="1160"/>
        <v>102.3</v>
      </c>
      <c r="Z1227" s="13">
        <f t="shared" si="1155"/>
        <v>7.3000000000000001E-3</v>
      </c>
      <c r="AA1227" s="13">
        <f t="shared" si="1151"/>
        <v>5.5199999999999999E-2</v>
      </c>
      <c r="AB1227" s="6">
        <f t="shared" si="1161"/>
        <v>126.53400000000001</v>
      </c>
      <c r="AC1227">
        <f t="shared" si="1153"/>
        <v>63</v>
      </c>
      <c r="AD1227" s="11">
        <f t="shared" si="1154"/>
        <v>2</v>
      </c>
      <c r="AE1227">
        <f t="shared" si="1152"/>
        <v>39</v>
      </c>
      <c r="AF1227">
        <f>IF(AND(AE1227&lt;15,OR(AC1227&gt;=30,AA1227&gt;0.15,X1227&gt;=0.15)),2,VLOOKUP(AE1227,Table!P:Q,2,FALSE))</f>
        <v>6</v>
      </c>
      <c r="AG1227" s="22">
        <f>IF((AB1227*0.98)-(D1227*0.8)+((AF1227-3)*3)+VLOOKUP(AM1227,Table!$A$11:$B$13,2,FALSE)&lt;0,0,(AB1227*0.98)-(D1227*0.8)+((AF1227-3)*3)+VLOOKUP(AM1227,Table!$A$11:$B$13,2,FALSE))</f>
        <v>131.63532000000001</v>
      </c>
      <c r="AH1227" s="22">
        <f t="shared" si="1147"/>
        <v>100</v>
      </c>
      <c r="AI1227" s="18">
        <f t="shared" si="1140"/>
        <v>5.68</v>
      </c>
      <c r="AJ1227" s="18">
        <f t="shared" si="1141"/>
        <v>4.96</v>
      </c>
      <c r="AK1227" t="str">
        <f t="shared" si="1162"/>
        <v>Rising Rates</v>
      </c>
      <c r="AL1227">
        <f t="shared" si="1173"/>
        <v>38.75</v>
      </c>
      <c r="AM1227" s="11" t="str">
        <f t="shared" si="1163"/>
        <v>Stocks</v>
      </c>
      <c r="AN1227" t="str">
        <f t="shared" si="1169"/>
        <v>Buy</v>
      </c>
      <c r="AO1227" s="13">
        <f t="shared" si="1170"/>
        <v>-5.4999999999999997E-3</v>
      </c>
      <c r="AP1227" s="13">
        <f t="shared" si="1171"/>
        <v>1.1000000000000001E-3</v>
      </c>
      <c r="AQ1227" s="13">
        <f t="shared" si="1172"/>
        <v>-5.4999999999999997E-3</v>
      </c>
      <c r="AR1227" s="13">
        <f t="shared" si="1164"/>
        <v>-5.4999999999999997E-3</v>
      </c>
      <c r="AS1227" s="6">
        <f t="shared" si="1156"/>
        <v>121.54237280047207</v>
      </c>
      <c r="AT1227" s="6">
        <f t="shared" si="1157"/>
        <v>111.25563058912833</v>
      </c>
      <c r="AU1227" s="6">
        <f t="shared" si="1158"/>
        <v>121.14133512631592</v>
      </c>
      <c r="AV1227" s="6">
        <f t="shared" si="1159"/>
        <v>121.54237280047207</v>
      </c>
      <c r="AW1227" s="58">
        <f t="shared" si="1165"/>
        <v>1995</v>
      </c>
      <c r="AX1227" s="58">
        <f>COUNTIF(AW$3:AW1227,AW1227)</f>
        <v>45</v>
      </c>
    </row>
    <row r="1228" spans="1:50" x14ac:dyDescent="0.25">
      <c r="A1228" s="5">
        <v>34749</v>
      </c>
      <c r="B1228">
        <v>481.97</v>
      </c>
      <c r="C1228">
        <v>5.75</v>
      </c>
      <c r="D1228" s="6">
        <v>11.28</v>
      </c>
      <c r="E1228" s="18">
        <f t="shared" si="1142"/>
        <v>11.17</v>
      </c>
      <c r="F1228">
        <f t="shared" si="1143"/>
        <v>2</v>
      </c>
      <c r="G1228" s="18">
        <f>ROUND(INDEX(Valuation!U:U,MATCH(A1228,Valuation!A:A,0)),2)</f>
        <v>247.5</v>
      </c>
      <c r="H1228">
        <f t="shared" si="1150"/>
        <v>3</v>
      </c>
      <c r="I1228" s="18">
        <f>INDEX(WeeklyIndicators!Y:Y,MATCH(A1228,WeeklyIndicators!A:A,0))</f>
        <v>150.22999999999999</v>
      </c>
      <c r="J1228">
        <f t="shared" si="1139"/>
        <v>1</v>
      </c>
      <c r="K1228">
        <f>ROUND(INDEX(Economic!AF:AF,MATCH(EOMONTH($A1228,-1),Economic!A:A,0)),2)</f>
        <v>143.51</v>
      </c>
      <c r="L1228" s="11">
        <f t="shared" si="1148"/>
        <v>3</v>
      </c>
      <c r="M1228">
        <f>ROUND(INDEX(Manufacturing!P:P,MATCH(EOMONTH($A1228,-1),Manufacturing!A:A,0)),2)</f>
        <v>113.95</v>
      </c>
      <c r="N1228">
        <f t="shared" si="1144"/>
        <v>3</v>
      </c>
      <c r="O1228">
        <f>ROUND(INDEX(Housing!AC:AC,MATCH(EOMONTH($A1228,-1),Housing!B:B,0)),2)</f>
        <v>73.61</v>
      </c>
      <c r="P1228">
        <f t="shared" si="1145"/>
        <v>-2</v>
      </c>
      <c r="Q1228">
        <f>ROUND(INDEX(Spending!AJ:AJ,MATCH(EOMONTH($A1228,-1),Spending!B:B,0)),2)</f>
        <v>64.040000000000006</v>
      </c>
      <c r="R1228">
        <f t="shared" si="1149"/>
        <v>2</v>
      </c>
      <c r="S1228">
        <f>ROUND(INDEX(Employment!V:V,MATCH(EOMONTH($A1228,-1),Employment!A:A,0)),2)</f>
        <v>196.07</v>
      </c>
      <c r="T1228" s="11">
        <f t="shared" si="1146"/>
        <v>3</v>
      </c>
      <c r="U1228">
        <f t="shared" si="1174"/>
        <v>35</v>
      </c>
      <c r="V1228">
        <f t="shared" si="1166"/>
        <v>84.53</v>
      </c>
      <c r="W1228" s="13">
        <f t="shared" si="1167"/>
        <v>1.7999999999999999E-2</v>
      </c>
      <c r="X1228" s="13">
        <f t="shared" si="1168"/>
        <v>5.3599999999999995E-2</v>
      </c>
      <c r="Y1228">
        <f t="shared" si="1160"/>
        <v>102.52</v>
      </c>
      <c r="Z1228" s="13">
        <f t="shared" si="1155"/>
        <v>1.6500000000000001E-2</v>
      </c>
      <c r="AA1228" s="13">
        <f t="shared" si="1151"/>
        <v>5.3099999999999994E-2</v>
      </c>
      <c r="AB1228" s="6">
        <f t="shared" si="1161"/>
        <v>126.68</v>
      </c>
      <c r="AC1228">
        <f t="shared" si="1153"/>
        <v>63</v>
      </c>
      <c r="AD1228" s="11">
        <f t="shared" si="1154"/>
        <v>2</v>
      </c>
      <c r="AE1228">
        <f t="shared" si="1152"/>
        <v>39</v>
      </c>
      <c r="AF1228">
        <f>IF(AND(AE1228&lt;15,OR(AC1228&gt;=30,AA1228&gt;0.15,X1228&gt;=0.15)),2,VLOOKUP(AE1228,Table!P:Q,2,FALSE))</f>
        <v>6</v>
      </c>
      <c r="AG1228" s="22">
        <f>IF((AB1228*0.98)-(D1228*0.8)+((AF1228-3)*3)+VLOOKUP(AM1228,Table!$A$11:$B$13,2,FALSE)&lt;0,0,(AB1228*0.98)-(D1228*0.8)+((AF1228-3)*3)+VLOOKUP(AM1228,Table!$A$11:$B$13,2,FALSE))</f>
        <v>132.1224</v>
      </c>
      <c r="AH1228" s="22">
        <f t="shared" si="1147"/>
        <v>100</v>
      </c>
      <c r="AI1228" s="18">
        <f t="shared" si="1140"/>
        <v>5.64</v>
      </c>
      <c r="AJ1228" s="18">
        <f t="shared" si="1141"/>
        <v>4.92</v>
      </c>
      <c r="AK1228" t="str">
        <f t="shared" si="1162"/>
        <v>Rising Rates</v>
      </c>
      <c r="AL1228">
        <f t="shared" si="1173"/>
        <v>38</v>
      </c>
      <c r="AM1228" s="11" t="str">
        <f t="shared" si="1163"/>
        <v>Stocks</v>
      </c>
      <c r="AN1228" t="str">
        <f t="shared" si="1169"/>
        <v>Buy</v>
      </c>
      <c r="AO1228" s="13">
        <f t="shared" si="1170"/>
        <v>1.2699999999999999E-2</v>
      </c>
      <c r="AP1228" s="13">
        <f t="shared" si="1171"/>
        <v>1.1000000000000001E-3</v>
      </c>
      <c r="AQ1228" s="13">
        <f t="shared" si="1172"/>
        <v>1.2699999999999999E-2</v>
      </c>
      <c r="AR1228" s="13">
        <f t="shared" si="1164"/>
        <v>1.2699999999999999E-2</v>
      </c>
      <c r="AS1228" s="6">
        <f t="shared" si="1156"/>
        <v>120.0181423920925</v>
      </c>
      <c r="AT1228" s="6">
        <f t="shared" si="1157"/>
        <v>111.13338386687475</v>
      </c>
      <c r="AU1228" s="6">
        <f t="shared" si="1158"/>
        <v>119.62213402420848</v>
      </c>
      <c r="AV1228" s="6">
        <f t="shared" si="1159"/>
        <v>120.0181423920925</v>
      </c>
      <c r="AW1228" s="58">
        <f t="shared" si="1165"/>
        <v>1995</v>
      </c>
      <c r="AX1228" s="58">
        <f>COUNTIF(AW$3:AW1228,AW1228)</f>
        <v>46</v>
      </c>
    </row>
    <row r="1229" spans="1:50" x14ac:dyDescent="0.25">
      <c r="A1229" s="5">
        <v>34742</v>
      </c>
      <c r="B1229">
        <v>481.46</v>
      </c>
      <c r="C1229">
        <v>5.79</v>
      </c>
      <c r="D1229" s="6">
        <v>10.98</v>
      </c>
      <c r="E1229" s="18">
        <f t="shared" si="1142"/>
        <v>11.46</v>
      </c>
      <c r="F1229">
        <f t="shared" si="1143"/>
        <v>2</v>
      </c>
      <c r="G1229" s="18">
        <f>ROUND(INDEX(Valuation!U:U,MATCH(A1229,Valuation!A:A,0)),2)</f>
        <v>247.07</v>
      </c>
      <c r="H1229">
        <f t="shared" si="1150"/>
        <v>3</v>
      </c>
      <c r="I1229" s="18">
        <f>INDEX(WeeklyIndicators!Y:Y,MATCH(A1229,WeeklyIndicators!A:A,0))</f>
        <v>141.58000000000001</v>
      </c>
      <c r="J1229">
        <f t="shared" si="1139"/>
        <v>1</v>
      </c>
      <c r="K1229">
        <f>ROUND(INDEX(Economic!AF:AF,MATCH(EOMONTH($A1229,-1),Economic!A:A,0)),2)</f>
        <v>143.51</v>
      </c>
      <c r="L1229" s="11">
        <f t="shared" si="1148"/>
        <v>3</v>
      </c>
      <c r="M1229">
        <f>ROUND(INDEX(Manufacturing!P:P,MATCH(EOMONTH($A1229,-1),Manufacturing!A:A,0)),2)</f>
        <v>113.95</v>
      </c>
      <c r="N1229">
        <f t="shared" si="1144"/>
        <v>3</v>
      </c>
      <c r="O1229">
        <f>ROUND(INDEX(Housing!AC:AC,MATCH(EOMONTH($A1229,-1),Housing!B:B,0)),2)</f>
        <v>73.61</v>
      </c>
      <c r="P1229">
        <f t="shared" si="1145"/>
        <v>-2</v>
      </c>
      <c r="Q1229">
        <f>ROUND(INDEX(Spending!AJ:AJ,MATCH(EOMONTH($A1229,-1),Spending!B:B,0)),2)</f>
        <v>64.040000000000006</v>
      </c>
      <c r="R1229">
        <f t="shared" si="1149"/>
        <v>2</v>
      </c>
      <c r="S1229">
        <f>ROUND(INDEX(Employment!V:V,MATCH(EOMONTH($A1229,-1),Employment!A:A,0)),2)</f>
        <v>196.07</v>
      </c>
      <c r="T1229" s="11">
        <f t="shared" si="1146"/>
        <v>3</v>
      </c>
      <c r="U1229">
        <f t="shared" si="1174"/>
        <v>35</v>
      </c>
      <c r="V1229">
        <f t="shared" si="1166"/>
        <v>83.63</v>
      </c>
      <c r="W1229" s="13">
        <f t="shared" si="1167"/>
        <v>1.7999999999999999E-2</v>
      </c>
      <c r="X1229" s="13">
        <f t="shared" si="1168"/>
        <v>3.5299999999999998E-2</v>
      </c>
      <c r="Y1229">
        <f t="shared" si="1160"/>
        <v>101.47</v>
      </c>
      <c r="Z1229" s="13">
        <f t="shared" si="1155"/>
        <v>1.6899999999999998E-2</v>
      </c>
      <c r="AA1229" s="13">
        <f t="shared" si="1151"/>
        <v>3.9499999999999993E-2</v>
      </c>
      <c r="AB1229" s="6">
        <f t="shared" si="1161"/>
        <v>124.46700000000001</v>
      </c>
      <c r="AC1229">
        <f t="shared" si="1153"/>
        <v>62</v>
      </c>
      <c r="AD1229" s="11">
        <f t="shared" si="1154"/>
        <v>2</v>
      </c>
      <c r="AE1229">
        <f t="shared" si="1152"/>
        <v>39</v>
      </c>
      <c r="AF1229">
        <f>IF(AND(AE1229&lt;15,OR(AC1229&gt;=30,AA1229&gt;0.15,X1229&gt;=0.15)),2,VLOOKUP(AE1229,Table!P:Q,2,FALSE))</f>
        <v>6</v>
      </c>
      <c r="AG1229" s="22">
        <f>IF((AB1229*0.98)-(D1229*0.8)+((AF1229-3)*3)+VLOOKUP(AM1229,Table!$A$11:$B$13,2,FALSE)&lt;0,0,(AB1229*0.98)-(D1229*0.8)+((AF1229-3)*3)+VLOOKUP(AM1229,Table!$A$11:$B$13,2,FALSE))</f>
        <v>130.19366000000002</v>
      </c>
      <c r="AH1229" s="22">
        <f t="shared" si="1147"/>
        <v>100</v>
      </c>
      <c r="AI1229" s="18">
        <f t="shared" si="1140"/>
        <v>5.61</v>
      </c>
      <c r="AJ1229" s="18">
        <f t="shared" si="1141"/>
        <v>4.88</v>
      </c>
      <c r="AK1229" t="str">
        <f t="shared" si="1162"/>
        <v>Rising Rates</v>
      </c>
      <c r="AL1229">
        <f t="shared" si="1173"/>
        <v>37.25</v>
      </c>
      <c r="AM1229" s="11" t="str">
        <f t="shared" si="1163"/>
        <v>Stocks</v>
      </c>
      <c r="AN1229" t="str">
        <f t="shared" si="1169"/>
        <v>Buy</v>
      </c>
      <c r="AO1229" s="13">
        <f t="shared" si="1170"/>
        <v>1.1000000000000001E-3</v>
      </c>
      <c r="AP1229" s="13">
        <f t="shared" si="1171"/>
        <v>1.1000000000000001E-3</v>
      </c>
      <c r="AQ1229" s="13">
        <f t="shared" si="1172"/>
        <v>1.1000000000000001E-3</v>
      </c>
      <c r="AR1229" s="13">
        <f t="shared" si="1164"/>
        <v>1.1000000000000001E-3</v>
      </c>
      <c r="AS1229" s="6">
        <f t="shared" si="1156"/>
        <v>119.88626749784486</v>
      </c>
      <c r="AT1229" s="6">
        <f t="shared" si="1157"/>
        <v>111.01127146825965</v>
      </c>
      <c r="AU1229" s="6">
        <f t="shared" si="1158"/>
        <v>119.49069426052189</v>
      </c>
      <c r="AV1229" s="6">
        <f t="shared" si="1159"/>
        <v>119.88626749784486</v>
      </c>
      <c r="AW1229" s="58">
        <f t="shared" si="1165"/>
        <v>1995</v>
      </c>
      <c r="AX1229" s="58">
        <f>COUNTIF(AW$3:AW1229,AW1229)</f>
        <v>47</v>
      </c>
    </row>
    <row r="1230" spans="1:50" x14ac:dyDescent="0.25">
      <c r="A1230" s="5">
        <v>34735</v>
      </c>
      <c r="B1230">
        <v>478.65</v>
      </c>
      <c r="C1230">
        <v>5.82</v>
      </c>
      <c r="D1230" s="6">
        <v>11.25</v>
      </c>
      <c r="E1230" s="18">
        <f t="shared" si="1142"/>
        <v>11.5</v>
      </c>
      <c r="F1230">
        <f t="shared" si="1143"/>
        <v>2</v>
      </c>
      <c r="G1230" s="18">
        <f>ROUND(INDEX(Valuation!U:U,MATCH(A1230,Valuation!A:A,0)),2)</f>
        <v>247.16</v>
      </c>
      <c r="H1230">
        <f t="shared" si="1150"/>
        <v>3</v>
      </c>
      <c r="I1230" s="18">
        <f>INDEX(WeeklyIndicators!Y:Y,MATCH(A1230,WeeklyIndicators!A:A,0))</f>
        <v>128.1</v>
      </c>
      <c r="J1230">
        <f t="shared" si="1139"/>
        <v>0</v>
      </c>
      <c r="K1230">
        <f>ROUND(INDEX(Economic!AF:AF,MATCH(EOMONTH($A1230,-1),Economic!A:A,0)),2)</f>
        <v>143.51</v>
      </c>
      <c r="L1230" s="11">
        <f t="shared" si="1148"/>
        <v>3</v>
      </c>
      <c r="M1230">
        <f>ROUND(INDEX(Manufacturing!P:P,MATCH(EOMONTH($A1230,-1),Manufacturing!A:A,0)),2)</f>
        <v>113.95</v>
      </c>
      <c r="N1230">
        <f t="shared" si="1144"/>
        <v>3</v>
      </c>
      <c r="O1230">
        <f>ROUND(INDEX(Housing!AC:AC,MATCH(EOMONTH($A1230,-1),Housing!B:B,0)),2)</f>
        <v>73.61</v>
      </c>
      <c r="P1230">
        <f t="shared" si="1145"/>
        <v>-2</v>
      </c>
      <c r="Q1230">
        <f>ROUND(INDEX(Spending!AJ:AJ,MATCH(EOMONTH($A1230,-1),Spending!B:B,0)),2)</f>
        <v>64.040000000000006</v>
      </c>
      <c r="R1230">
        <f t="shared" si="1149"/>
        <v>2</v>
      </c>
      <c r="S1230">
        <f>ROUND(INDEX(Employment!V:V,MATCH(EOMONTH($A1230,-1),Employment!A:A,0)),2)</f>
        <v>196.07</v>
      </c>
      <c r="T1230" s="11">
        <f t="shared" si="1146"/>
        <v>3</v>
      </c>
      <c r="U1230">
        <f t="shared" si="1174"/>
        <v>34</v>
      </c>
      <c r="V1230">
        <f t="shared" si="1166"/>
        <v>82.23</v>
      </c>
      <c r="W1230" s="13">
        <f t="shared" si="1167"/>
        <v>1.37E-2</v>
      </c>
      <c r="X1230" s="13">
        <f t="shared" si="1168"/>
        <v>1.5299999999999999E-2</v>
      </c>
      <c r="Y1230">
        <f t="shared" si="1160"/>
        <v>100.07</v>
      </c>
      <c r="Z1230" s="13">
        <f t="shared" si="1155"/>
        <v>1.4500000000000001E-2</v>
      </c>
      <c r="AA1230" s="13">
        <f t="shared" si="1151"/>
        <v>2.4800000000000003E-2</v>
      </c>
      <c r="AB1230" s="6">
        <f t="shared" si="1161"/>
        <v>121.846</v>
      </c>
      <c r="AC1230">
        <f t="shared" si="1153"/>
        <v>61</v>
      </c>
      <c r="AD1230" s="11">
        <f t="shared" si="1154"/>
        <v>2</v>
      </c>
      <c r="AE1230">
        <f t="shared" si="1152"/>
        <v>38</v>
      </c>
      <c r="AF1230">
        <f>IF(AND(AE1230&lt;15,OR(AC1230&gt;=30,AA1230&gt;0.15,X1230&gt;=0.15)),2,VLOOKUP(AE1230,Table!P:Q,2,FALSE))</f>
        <v>6</v>
      </c>
      <c r="AG1230" s="22">
        <f>IF((AB1230*0.98)-(D1230*0.8)+((AF1230-3)*3)+VLOOKUP(AM1230,Table!$A$11:$B$13,2,FALSE)&lt;0,0,(AB1230*0.98)-(D1230*0.8)+((AF1230-3)*3)+VLOOKUP(AM1230,Table!$A$11:$B$13,2,FALSE))</f>
        <v>127.40908</v>
      </c>
      <c r="AH1230" s="22">
        <f t="shared" si="1147"/>
        <v>100</v>
      </c>
      <c r="AI1230" s="18">
        <f t="shared" si="1140"/>
        <v>5.57</v>
      </c>
      <c r="AJ1230" s="18">
        <f t="shared" si="1141"/>
        <v>4.84</v>
      </c>
      <c r="AK1230" t="str">
        <f t="shared" si="1162"/>
        <v>Rising Rates</v>
      </c>
      <c r="AL1230">
        <f t="shared" si="1173"/>
        <v>36.5</v>
      </c>
      <c r="AM1230" s="11" t="str">
        <f t="shared" si="1163"/>
        <v>Stocks</v>
      </c>
      <c r="AN1230" t="str">
        <f t="shared" si="1169"/>
        <v>Buy</v>
      </c>
      <c r="AO1230" s="13">
        <f t="shared" si="1170"/>
        <v>5.8999999999999999E-3</v>
      </c>
      <c r="AP1230" s="13">
        <f t="shared" si="1171"/>
        <v>1.1000000000000001E-3</v>
      </c>
      <c r="AQ1230" s="13">
        <f t="shared" si="1172"/>
        <v>5.8999999999999999E-3</v>
      </c>
      <c r="AR1230" s="13">
        <f t="shared" si="1164"/>
        <v>5.8999999999999999E-3</v>
      </c>
      <c r="AS1230" s="6">
        <f t="shared" si="1156"/>
        <v>119.18308728287589</v>
      </c>
      <c r="AT1230" s="6">
        <f t="shared" si="1157"/>
        <v>110.88929324568939</v>
      </c>
      <c r="AU1230" s="6">
        <f t="shared" si="1158"/>
        <v>118.78983423851466</v>
      </c>
      <c r="AV1230" s="6">
        <f t="shared" si="1159"/>
        <v>119.18308728287589</v>
      </c>
      <c r="AW1230" s="58">
        <f t="shared" si="1165"/>
        <v>1995</v>
      </c>
      <c r="AX1230" s="58">
        <f>COUNTIF(AW$3:AW1230,AW1230)</f>
        <v>48</v>
      </c>
    </row>
    <row r="1231" spans="1:50" x14ac:dyDescent="0.25">
      <c r="A1231" s="5">
        <v>34728</v>
      </c>
      <c r="B1231">
        <v>470.39</v>
      </c>
      <c r="C1231">
        <v>5.77</v>
      </c>
      <c r="D1231" s="6">
        <v>12.15</v>
      </c>
      <c r="E1231" s="18">
        <f t="shared" si="1142"/>
        <v>12.13</v>
      </c>
      <c r="F1231">
        <f t="shared" si="1143"/>
        <v>2</v>
      </c>
      <c r="G1231" s="18">
        <f>ROUND(INDEX(Valuation!U:U,MATCH(A1231,Valuation!A:A,0)),2)</f>
        <v>245.82</v>
      </c>
      <c r="H1231">
        <f t="shared" si="1150"/>
        <v>3</v>
      </c>
      <c r="I1231" s="18">
        <f>INDEX(WeeklyIndicators!Y:Y,MATCH(A1231,WeeklyIndicators!A:A,0))</f>
        <v>116.16</v>
      </c>
      <c r="J1231">
        <f t="shared" ref="J1231:J1294" si="1175">IF(I1231&gt;170,3,IF(AND(I1231&gt;152,I1231&lt;=170),2,IF(AND(I1231&gt;135,I1231&lt;=152),1,IF(I1231&lt;60,-3,IF(AND(I1231&lt;95,I1231&gt;=60),-2,IF(AND(I1231&lt;120,I1231&gt;=95),-1,0))))))</f>
        <v>-1</v>
      </c>
      <c r="K1231">
        <f>ROUND(INDEX(Economic!AF:AF,MATCH(EOMONTH($A1231,-1),Economic!A:A,0)),2)</f>
        <v>136.88999999999999</v>
      </c>
      <c r="L1231" s="11">
        <f t="shared" si="1148"/>
        <v>2</v>
      </c>
      <c r="M1231">
        <f>ROUND(INDEX(Manufacturing!P:P,MATCH(EOMONTH($A1231,-1),Manufacturing!A:A,0)),2)</f>
        <v>114.63</v>
      </c>
      <c r="N1231">
        <f t="shared" si="1144"/>
        <v>3</v>
      </c>
      <c r="O1231">
        <f>ROUND(INDEX(Housing!AC:AC,MATCH(EOMONTH($A1231,-1),Housing!B:B,0)),2)</f>
        <v>73.400000000000006</v>
      </c>
      <c r="P1231">
        <f t="shared" si="1145"/>
        <v>-2</v>
      </c>
      <c r="Q1231">
        <f>ROUND(INDEX(Spending!AJ:AJ,MATCH(EOMONTH($A1231,-1),Spending!B:B,0)),2)</f>
        <v>64.55</v>
      </c>
      <c r="R1231">
        <f t="shared" si="1149"/>
        <v>2</v>
      </c>
      <c r="S1231">
        <f>ROUND(INDEX(Employment!V:V,MATCH(EOMONTH($A1231,-1),Employment!A:A,0)),2)</f>
        <v>195.12</v>
      </c>
      <c r="T1231" s="11">
        <f t="shared" si="1146"/>
        <v>3</v>
      </c>
      <c r="U1231">
        <f t="shared" si="1174"/>
        <v>32</v>
      </c>
      <c r="V1231">
        <f t="shared" si="1166"/>
        <v>80.099999999999994</v>
      </c>
      <c r="W1231" s="13">
        <f t="shared" si="1167"/>
        <v>3.8999999999999998E-3</v>
      </c>
      <c r="X1231" s="13">
        <f t="shared" si="1168"/>
        <v>-5.0000000000000001E-4</v>
      </c>
      <c r="Y1231">
        <f t="shared" si="1160"/>
        <v>97.57</v>
      </c>
      <c r="Z1231" s="13">
        <f t="shared" si="1155"/>
        <v>5.1999999999999998E-3</v>
      </c>
      <c r="AA1231" s="13">
        <f t="shared" si="1151"/>
        <v>1.4499999999999999E-2</v>
      </c>
      <c r="AB1231" s="6">
        <f t="shared" si="1161"/>
        <v>118.292</v>
      </c>
      <c r="AC1231">
        <f t="shared" si="1153"/>
        <v>59</v>
      </c>
      <c r="AD1231" s="11">
        <f t="shared" si="1154"/>
        <v>2</v>
      </c>
      <c r="AE1231">
        <f t="shared" si="1152"/>
        <v>36</v>
      </c>
      <c r="AF1231">
        <f>IF(AND(AE1231&lt;15,OR(AC1231&gt;=30,AA1231&gt;0.15,X1231&gt;=0.15)),2,VLOOKUP(AE1231,Table!P:Q,2,FALSE))</f>
        <v>5</v>
      </c>
      <c r="AG1231" s="22">
        <f>IF((AB1231*0.98)-(D1231*0.8)+((AF1231-3)*3)+VLOOKUP(AM1231,Table!$A$11:$B$13,2,FALSE)&lt;0,0,(AB1231*0.98)-(D1231*0.8)+((AF1231-3)*3)+VLOOKUP(AM1231,Table!$A$11:$B$13,2,FALSE))</f>
        <v>120.20616</v>
      </c>
      <c r="AH1231" s="22">
        <f t="shared" si="1147"/>
        <v>100</v>
      </c>
      <c r="AI1231" s="18">
        <f t="shared" ref="AI1231:AI1294" si="1176">ROUND(AVERAGE(C1231:C1243),2)</f>
        <v>5.51</v>
      </c>
      <c r="AJ1231" s="18">
        <f t="shared" ref="AJ1231:AJ1294" si="1177">ROUND(AVERAGE(C1231:C1269),2)</f>
        <v>4.79</v>
      </c>
      <c r="AK1231" t="str">
        <f t="shared" si="1162"/>
        <v>Rising Rates</v>
      </c>
      <c r="AL1231">
        <f t="shared" si="1173"/>
        <v>36</v>
      </c>
      <c r="AM1231" s="11" t="str">
        <f t="shared" si="1163"/>
        <v>Stocks</v>
      </c>
      <c r="AN1231" t="str">
        <f t="shared" si="1169"/>
        <v>Buy</v>
      </c>
      <c r="AO1231" s="13">
        <f t="shared" si="1170"/>
        <v>1.7600000000000001E-2</v>
      </c>
      <c r="AP1231" s="13">
        <f t="shared" si="1171"/>
        <v>1.1000000000000001E-3</v>
      </c>
      <c r="AQ1231" s="13">
        <f t="shared" si="1172"/>
        <v>1.7600000000000001E-2</v>
      </c>
      <c r="AR1231" s="13">
        <f t="shared" si="1164"/>
        <v>1.7600000000000001E-2</v>
      </c>
      <c r="AS1231" s="6">
        <f t="shared" si="1156"/>
        <v>117.12174457829784</v>
      </c>
      <c r="AT1231" s="6">
        <f t="shared" si="1157"/>
        <v>110.76744905173247</v>
      </c>
      <c r="AU1231" s="6">
        <f t="shared" si="1158"/>
        <v>116.73529308030135</v>
      </c>
      <c r="AV1231" s="6">
        <f t="shared" si="1159"/>
        <v>117.12174457829784</v>
      </c>
      <c r="AW1231" s="58">
        <f t="shared" si="1165"/>
        <v>1995</v>
      </c>
      <c r="AX1231" s="58">
        <f>COUNTIF(AW$3:AW1231,AW1231)</f>
        <v>49</v>
      </c>
    </row>
    <row r="1232" spans="1:50" x14ac:dyDescent="0.25">
      <c r="A1232" s="5">
        <v>34721</v>
      </c>
      <c r="B1232">
        <v>464.78</v>
      </c>
      <c r="C1232">
        <v>5.7</v>
      </c>
      <c r="D1232" s="6">
        <v>11.1</v>
      </c>
      <c r="E1232" s="18">
        <f t="shared" si="1142"/>
        <v>12.48</v>
      </c>
      <c r="F1232">
        <f t="shared" si="1143"/>
        <v>2</v>
      </c>
      <c r="G1232" s="18">
        <f>ROUND(INDEX(Valuation!U:U,MATCH(A1232,Valuation!A:A,0)),2)</f>
        <v>244.71</v>
      </c>
      <c r="H1232">
        <f t="shared" si="1150"/>
        <v>3</v>
      </c>
      <c r="I1232" s="18">
        <f>INDEX(WeeklyIndicators!Y:Y,MATCH(A1232,WeeklyIndicators!A:A,0))</f>
        <v>108.14</v>
      </c>
      <c r="J1232">
        <f t="shared" si="1175"/>
        <v>-1</v>
      </c>
      <c r="K1232">
        <f>ROUND(INDEX(Economic!AF:AF,MATCH(EOMONTH($A1232,-1),Economic!A:A,0)),2)</f>
        <v>136.88999999999999</v>
      </c>
      <c r="L1232" s="11">
        <f t="shared" si="1148"/>
        <v>2</v>
      </c>
      <c r="M1232">
        <f>ROUND(INDEX(Manufacturing!P:P,MATCH(EOMONTH($A1232,-1),Manufacturing!A:A,0)),2)</f>
        <v>114.63</v>
      </c>
      <c r="N1232">
        <f t="shared" si="1144"/>
        <v>3</v>
      </c>
      <c r="O1232">
        <f>ROUND(INDEX(Housing!AC:AC,MATCH(EOMONTH($A1232,-1),Housing!B:B,0)),2)</f>
        <v>73.400000000000006</v>
      </c>
      <c r="P1232">
        <f t="shared" si="1145"/>
        <v>-2</v>
      </c>
      <c r="Q1232">
        <f>ROUND(INDEX(Spending!AJ:AJ,MATCH(EOMONTH($A1232,-1),Spending!B:B,0)),2)</f>
        <v>64.55</v>
      </c>
      <c r="R1232">
        <f t="shared" si="1149"/>
        <v>2</v>
      </c>
      <c r="S1232">
        <f>ROUND(INDEX(Employment!V:V,MATCH(EOMONTH($A1232,-1),Employment!A:A,0)),2)</f>
        <v>195.12</v>
      </c>
      <c r="T1232" s="11">
        <f t="shared" si="1146"/>
        <v>3</v>
      </c>
      <c r="U1232">
        <f t="shared" si="1174"/>
        <v>32</v>
      </c>
      <c r="V1232">
        <f t="shared" si="1166"/>
        <v>79.27</v>
      </c>
      <c r="W1232" s="13">
        <f t="shared" si="1167"/>
        <v>-2.9999999999999997E-4</v>
      </c>
      <c r="X1232" s="13">
        <f t="shared" si="1168"/>
        <v>-7.4999999999999997E-3</v>
      </c>
      <c r="Y1232">
        <f t="shared" si="1160"/>
        <v>96.5</v>
      </c>
      <c r="Z1232" s="13">
        <f t="shared" si="1155"/>
        <v>2.8999999999999998E-3</v>
      </c>
      <c r="AA1232" s="13">
        <f t="shared" si="1151"/>
        <v>1.0499999999999999E-2</v>
      </c>
      <c r="AB1232" s="6">
        <f t="shared" si="1161"/>
        <v>116.741</v>
      </c>
      <c r="AC1232">
        <f t="shared" si="1153"/>
        <v>58</v>
      </c>
      <c r="AD1232" s="11">
        <f t="shared" si="1154"/>
        <v>2</v>
      </c>
      <c r="AE1232">
        <f t="shared" si="1152"/>
        <v>36</v>
      </c>
      <c r="AF1232">
        <f>IF(AND(AE1232&lt;15,OR(AC1232&gt;=30,AA1232&gt;0.15,X1232&gt;=0.15)),2,VLOOKUP(AE1232,Table!P:Q,2,FALSE))</f>
        <v>5</v>
      </c>
      <c r="AG1232" s="22">
        <f>IF((AB1232*0.98)-(D1232*0.8)+((AF1232-3)*3)+VLOOKUP(AM1232,Table!$A$11:$B$13,2,FALSE)&lt;0,0,(AB1232*0.98)-(D1232*0.8)+((AF1232-3)*3)+VLOOKUP(AM1232,Table!$A$11:$B$13,2,FALSE))</f>
        <v>119.52618</v>
      </c>
      <c r="AH1232" s="22">
        <f t="shared" si="1147"/>
        <v>100</v>
      </c>
      <c r="AI1232" s="18">
        <f t="shared" si="1176"/>
        <v>5.45</v>
      </c>
      <c r="AJ1232" s="18">
        <f t="shared" si="1177"/>
        <v>4.74</v>
      </c>
      <c r="AK1232" t="str">
        <f t="shared" si="1162"/>
        <v>Rising Rates</v>
      </c>
      <c r="AL1232">
        <f t="shared" si="1173"/>
        <v>36</v>
      </c>
      <c r="AM1232" s="11" t="str">
        <f t="shared" si="1163"/>
        <v>Stocks</v>
      </c>
      <c r="AN1232" t="str">
        <f t="shared" si="1169"/>
        <v>Buy</v>
      </c>
      <c r="AO1232" s="13">
        <f t="shared" si="1170"/>
        <v>1.21E-2</v>
      </c>
      <c r="AP1232" s="13">
        <f t="shared" si="1171"/>
        <v>1.1000000000000001E-3</v>
      </c>
      <c r="AQ1232" s="13">
        <f t="shared" si="1172"/>
        <v>1.21E-2</v>
      </c>
      <c r="AR1232" s="13">
        <f t="shared" si="1164"/>
        <v>1.21E-2</v>
      </c>
      <c r="AS1232" s="6">
        <f t="shared" si="1156"/>
        <v>115.72151425580262</v>
      </c>
      <c r="AT1232" s="6">
        <f t="shared" si="1157"/>
        <v>110.64573873911942</v>
      </c>
      <c r="AU1232" s="6">
        <f t="shared" si="1158"/>
        <v>115.33968291700558</v>
      </c>
      <c r="AV1232" s="6">
        <f t="shared" si="1159"/>
        <v>115.72151425580262</v>
      </c>
      <c r="AW1232" s="58">
        <f t="shared" si="1165"/>
        <v>1995</v>
      </c>
      <c r="AX1232" s="58">
        <f>COUNTIF(AW$3:AW1232,AW1232)</f>
        <v>50</v>
      </c>
    </row>
    <row r="1233" spans="1:50" x14ac:dyDescent="0.25">
      <c r="A1233" s="5">
        <v>34714</v>
      </c>
      <c r="B1233">
        <v>465.97</v>
      </c>
      <c r="C1233">
        <v>5.66</v>
      </c>
      <c r="D1233" s="6">
        <v>13.13</v>
      </c>
      <c r="E1233" s="18">
        <f t="shared" ref="E1233:E1296" si="1178">ROUND(AVERAGE(D1233:D1235),2)</f>
        <v>12.72</v>
      </c>
      <c r="F1233">
        <f t="shared" ref="F1233:F1296" si="1179">IF(E1233&lt;11,3,IF(AND(E1233&lt;14,E1233&gt;=11),2,IF(AND(E1233&lt;16,E1233&gt;=14),1,IF(E1233&gt;35,-3,IF(AND(E1233&gt;25,E1233&lt;=35),-2,IF(AND(E1233&gt;18,E1233&lt;=25),-1,0))))))</f>
        <v>2</v>
      </c>
      <c r="G1233" s="18">
        <f>ROUND(INDEX(Valuation!U:U,MATCH(A1233,Valuation!A:A,0)),2)</f>
        <v>242.63</v>
      </c>
      <c r="H1233">
        <f t="shared" si="1150"/>
        <v>3</v>
      </c>
      <c r="I1233" s="18">
        <f>INDEX(WeeklyIndicators!Y:Y,MATCH(A1233,WeeklyIndicators!A:A,0))</f>
        <v>105.17</v>
      </c>
      <c r="J1233">
        <f t="shared" si="1175"/>
        <v>-1</v>
      </c>
      <c r="K1233">
        <f>ROUND(INDEX(Economic!AF:AF,MATCH(EOMONTH($A1233,-1),Economic!A:A,0)),2)</f>
        <v>136.88999999999999</v>
      </c>
      <c r="L1233" s="11">
        <f t="shared" si="1148"/>
        <v>2</v>
      </c>
      <c r="M1233">
        <f>ROUND(INDEX(Manufacturing!P:P,MATCH(EOMONTH($A1233,-1),Manufacturing!A:A,0)),2)</f>
        <v>114.63</v>
      </c>
      <c r="N1233">
        <f t="shared" si="1144"/>
        <v>3</v>
      </c>
      <c r="O1233">
        <f>ROUND(INDEX(Housing!AC:AC,MATCH(EOMONTH($A1233,-1),Housing!B:B,0)),2)</f>
        <v>73.400000000000006</v>
      </c>
      <c r="P1233">
        <f t="shared" si="1145"/>
        <v>-2</v>
      </c>
      <c r="Q1233">
        <f>ROUND(INDEX(Spending!AJ:AJ,MATCH(EOMONTH($A1233,-1),Spending!B:B,0)),2)</f>
        <v>64.55</v>
      </c>
      <c r="R1233">
        <f t="shared" si="1149"/>
        <v>2</v>
      </c>
      <c r="S1233">
        <f>ROUND(INDEX(Employment!V:V,MATCH(EOMONTH($A1233,-1),Employment!A:A,0)),2)</f>
        <v>195.12</v>
      </c>
      <c r="T1233" s="11">
        <f t="shared" si="1146"/>
        <v>3</v>
      </c>
      <c r="U1233">
        <f t="shared" si="1174"/>
        <v>32</v>
      </c>
      <c r="V1233">
        <f t="shared" si="1166"/>
        <v>78.959999999999994</v>
      </c>
      <c r="W1233" s="13">
        <f t="shared" si="1167"/>
        <v>-2E-3</v>
      </c>
      <c r="X1233" s="13">
        <f t="shared" si="1168"/>
        <v>-1.18E-2</v>
      </c>
      <c r="Y1233">
        <f t="shared" si="1160"/>
        <v>95.87</v>
      </c>
      <c r="Z1233" s="13">
        <f t="shared" si="1155"/>
        <v>2.2000000000000001E-3</v>
      </c>
      <c r="AA1233" s="13">
        <f t="shared" si="1151"/>
        <v>5.7999999999999996E-3</v>
      </c>
      <c r="AB1233" s="6">
        <f t="shared" si="1161"/>
        <v>115.533</v>
      </c>
      <c r="AC1233">
        <f t="shared" si="1153"/>
        <v>58</v>
      </c>
      <c r="AD1233" s="11">
        <f t="shared" si="1154"/>
        <v>2</v>
      </c>
      <c r="AE1233">
        <f t="shared" si="1152"/>
        <v>36</v>
      </c>
      <c r="AF1233">
        <f>IF(AND(AE1233&lt;15,OR(AC1233&gt;=30,AA1233&gt;0.15,X1233&gt;=0.15)),2,VLOOKUP(AE1233,Table!P:Q,2,FALSE))</f>
        <v>5</v>
      </c>
      <c r="AG1233" s="22">
        <f>IF((AB1233*0.98)-(D1233*0.8)+((AF1233-3)*3)+VLOOKUP(AM1233,Table!$A$11:$B$13,2,FALSE)&lt;0,0,(AB1233*0.98)-(D1233*0.8)+((AF1233-3)*3)+VLOOKUP(AM1233,Table!$A$11:$B$13,2,FALSE))</f>
        <v>116.71834</v>
      </c>
      <c r="AH1233" s="22">
        <f t="shared" si="1147"/>
        <v>100</v>
      </c>
      <c r="AI1233" s="18">
        <f t="shared" si="1176"/>
        <v>5.4</v>
      </c>
      <c r="AJ1233" s="18">
        <f t="shared" si="1177"/>
        <v>4.6900000000000004</v>
      </c>
      <c r="AK1233" t="str">
        <f t="shared" si="1162"/>
        <v>Rising Rates</v>
      </c>
      <c r="AL1233">
        <f t="shared" si="1173"/>
        <v>35.75</v>
      </c>
      <c r="AM1233" s="11" t="str">
        <f t="shared" si="1163"/>
        <v>Stocks</v>
      </c>
      <c r="AN1233" t="str">
        <f t="shared" si="1169"/>
        <v>Buy</v>
      </c>
      <c r="AO1233" s="13">
        <f t="shared" si="1170"/>
        <v>-2.5999999999999999E-3</v>
      </c>
      <c r="AP1233" s="13">
        <f t="shared" si="1171"/>
        <v>1.1000000000000001E-3</v>
      </c>
      <c r="AQ1233" s="13">
        <f t="shared" si="1172"/>
        <v>-2.5999999999999999E-3</v>
      </c>
      <c r="AR1233" s="13">
        <f t="shared" si="1164"/>
        <v>-2.5999999999999999E-3</v>
      </c>
      <c r="AS1233" s="6">
        <f t="shared" si="1156"/>
        <v>116.02317450952739</v>
      </c>
      <c r="AT1233" s="6">
        <f t="shared" si="1157"/>
        <v>110.52416216074259</v>
      </c>
      <c r="AU1233" s="6">
        <f t="shared" si="1158"/>
        <v>115.64034782134107</v>
      </c>
      <c r="AV1233" s="6">
        <f t="shared" si="1159"/>
        <v>116.02317450952739</v>
      </c>
      <c r="AW1233" s="58">
        <f t="shared" si="1165"/>
        <v>1995</v>
      </c>
      <c r="AX1233" s="58">
        <f>COUNTIF(AW$3:AW1233,AW1233)</f>
        <v>51</v>
      </c>
    </row>
    <row r="1234" spans="1:50" x14ac:dyDescent="0.25">
      <c r="A1234" s="5">
        <v>34707</v>
      </c>
      <c r="B1234">
        <v>460.68</v>
      </c>
      <c r="C1234">
        <v>5.67</v>
      </c>
      <c r="D1234" s="6">
        <v>13.2</v>
      </c>
      <c r="E1234" s="18">
        <f t="shared" si="1178"/>
        <v>12.6</v>
      </c>
      <c r="F1234">
        <f t="shared" si="1179"/>
        <v>2</v>
      </c>
      <c r="G1234" s="18">
        <f>ROUND(INDEX(Valuation!U:U,MATCH(A1234,Valuation!A:A,0)),2)</f>
        <v>242.05</v>
      </c>
      <c r="H1234">
        <f t="shared" si="1150"/>
        <v>3</v>
      </c>
      <c r="I1234" s="18">
        <f>INDEX(WeeklyIndicators!Y:Y,MATCH(A1234,WeeklyIndicators!A:A,0))</f>
        <v>107.23</v>
      </c>
      <c r="J1234">
        <f t="shared" si="1175"/>
        <v>-1</v>
      </c>
      <c r="K1234">
        <f>ROUND(INDEX(Economic!AF:AF,MATCH(EOMONTH($A1234,-1),Economic!A:A,0)),2)</f>
        <v>136.88999999999999</v>
      </c>
      <c r="L1234" s="11">
        <f t="shared" si="1148"/>
        <v>2</v>
      </c>
      <c r="M1234">
        <f>ROUND(INDEX(Manufacturing!P:P,MATCH(EOMONTH($A1234,-1),Manufacturing!A:A,0)),2)</f>
        <v>114.63</v>
      </c>
      <c r="N1234">
        <f t="shared" ref="N1234:N1297" si="1180">IF(M1234&gt;108,3,IF(AND(M1234&gt;100,M1234&lt;=108),2,IF(AND(M1234&gt;90,M1234&lt;=100),1,IF(M1234&lt;63,-3,IF(AND(M1234&lt;74,M1234&gt;=63),-2,IF(AND(M1234&lt;84,M1234&gt;=74),-1,0))))))</f>
        <v>3</v>
      </c>
      <c r="O1234">
        <f>ROUND(INDEX(Housing!AC:AC,MATCH(EOMONTH($A1234,-1),Housing!B:B,0)),2)</f>
        <v>73.400000000000006</v>
      </c>
      <c r="P1234">
        <f t="shared" ref="P1234:P1297" si="1181">IF(O1234&gt;140,3,IF(AND(O1234&gt;128,O1234&lt;=140),2,IF(AND(O1234&gt;115,O1234&lt;=128),1,IF(O1234&lt;50,-3,IF(AND(O1234&lt;75,O1234&gt;=50),-2,IF(AND(O1234&lt;100,O1234&gt;=75),-1,0))))))</f>
        <v>-2</v>
      </c>
      <c r="Q1234">
        <f>ROUND(INDEX(Spending!AJ:AJ,MATCH(EOMONTH($A1234,-1),Spending!B:B,0)),2)</f>
        <v>64.55</v>
      </c>
      <c r="R1234">
        <f t="shared" si="1149"/>
        <v>2</v>
      </c>
      <c r="S1234">
        <f>ROUND(INDEX(Employment!V:V,MATCH(EOMONTH($A1234,-1),Employment!A:A,0)),2)</f>
        <v>195.12</v>
      </c>
      <c r="T1234" s="11">
        <f t="shared" ref="T1234:T1297" si="1182">IF(S1234&gt;190,3,IF(AND(S1234&gt;175,S1234&lt;=190),2,IF(AND(S1234&gt;160,S1234&lt;=175),1,IF(S1234&lt;120,-3,IF(AND(S1234&lt;140,S1234&gt;=120),-2,IF(AND(S1234&lt;150,S1234&gt;=140),-1,0))))))</f>
        <v>3</v>
      </c>
      <c r="U1234">
        <f t="shared" si="1174"/>
        <v>32</v>
      </c>
      <c r="V1234">
        <f t="shared" si="1166"/>
        <v>79.180000000000007</v>
      </c>
      <c r="W1234" s="13">
        <f t="shared" si="1167"/>
        <v>-2.0999999999999999E-3</v>
      </c>
      <c r="X1234" s="13">
        <f t="shared" si="1168"/>
        <v>-1.1899999999999999E-2</v>
      </c>
      <c r="Y1234">
        <f t="shared" si="1160"/>
        <v>96.06</v>
      </c>
      <c r="Z1234" s="13">
        <f t="shared" si="1155"/>
        <v>4.1999999999999997E-3</v>
      </c>
      <c r="AA1234" s="13">
        <f t="shared" si="1151"/>
        <v>1.6999999999999995E-3</v>
      </c>
      <c r="AB1234" s="6">
        <f t="shared" si="1161"/>
        <v>115.395</v>
      </c>
      <c r="AC1234">
        <f t="shared" si="1153"/>
        <v>58</v>
      </c>
      <c r="AD1234" s="11">
        <f t="shared" si="1154"/>
        <v>2</v>
      </c>
      <c r="AE1234">
        <f t="shared" si="1152"/>
        <v>36</v>
      </c>
      <c r="AF1234">
        <f>IF(AND(AE1234&lt;15,OR(AC1234&gt;=30,AA1234&gt;0.15,X1234&gt;=0.15)),2,VLOOKUP(AE1234,Table!P:Q,2,FALSE))</f>
        <v>5</v>
      </c>
      <c r="AG1234" s="22">
        <f>IF((AB1234*0.98)-(D1234*0.8)+((AF1234-3)*3)+VLOOKUP(AM1234,Table!$A$11:$B$13,2,FALSE)&lt;0,0,(AB1234*0.98)-(D1234*0.8)+((AF1234-3)*3)+VLOOKUP(AM1234,Table!$A$11:$B$13,2,FALSE))</f>
        <v>116.52709999999999</v>
      </c>
      <c r="AH1234" s="22">
        <f t="shared" ref="AH1234:AH1297" si="1183">IF(ROUND(AVERAGE(AG1234:AG1236),0)&lt;0,0,IF(ROUND(AVERAGE(AG1234:AG1236),0)&gt;100,100,ROUND(AVERAGE(AG1234:AG1236),0)))</f>
        <v>100</v>
      </c>
      <c r="AI1234" s="18">
        <f t="shared" si="1176"/>
        <v>5.34</v>
      </c>
      <c r="AJ1234" s="18">
        <f t="shared" si="1177"/>
        <v>4.6399999999999997</v>
      </c>
      <c r="AK1234" t="str">
        <f t="shared" si="1162"/>
        <v>Rising Rates</v>
      </c>
      <c r="AL1234">
        <f t="shared" si="1173"/>
        <v>35.25</v>
      </c>
      <c r="AM1234" s="11" t="str">
        <f t="shared" si="1163"/>
        <v>Stocks</v>
      </c>
      <c r="AN1234" t="str">
        <f t="shared" si="1169"/>
        <v>Buy</v>
      </c>
      <c r="AO1234" s="13">
        <f t="shared" si="1170"/>
        <v>1.15E-2</v>
      </c>
      <c r="AP1234" s="13">
        <f t="shared" si="1171"/>
        <v>1.1000000000000001E-3</v>
      </c>
      <c r="AQ1234" s="13">
        <f t="shared" si="1172"/>
        <v>1.15E-2</v>
      </c>
      <c r="AR1234" s="13">
        <f t="shared" si="1164"/>
        <v>1.15E-2</v>
      </c>
      <c r="AS1234" s="6">
        <f t="shared" si="1156"/>
        <v>114.70407761693266</v>
      </c>
      <c r="AT1234" s="6">
        <f t="shared" si="1157"/>
        <v>110.40271916965595</v>
      </c>
      <c r="AU1234" s="6">
        <f t="shared" si="1158"/>
        <v>114.32560338244296</v>
      </c>
      <c r="AV1234" s="6">
        <f t="shared" si="1159"/>
        <v>114.70407761693266</v>
      </c>
      <c r="AW1234" s="58">
        <f t="shared" si="1165"/>
        <v>1995</v>
      </c>
      <c r="AX1234" s="58">
        <f>COUNTIF(AW$3:AW1234,AW1234)</f>
        <v>52</v>
      </c>
    </row>
    <row r="1235" spans="1:50" x14ac:dyDescent="0.25">
      <c r="A1235" s="5">
        <v>34700</v>
      </c>
      <c r="B1235">
        <v>459.27</v>
      </c>
      <c r="C1235">
        <v>5.52</v>
      </c>
      <c r="D1235" s="6">
        <v>11.82</v>
      </c>
      <c r="E1235" s="18">
        <f t="shared" si="1178"/>
        <v>13.55</v>
      </c>
      <c r="F1235">
        <f t="shared" si="1179"/>
        <v>2</v>
      </c>
      <c r="G1235" s="18">
        <f>ROUND(INDEX(Valuation!U:U,MATCH(A1235,Valuation!A:A,0)),2)</f>
        <v>240.22</v>
      </c>
      <c r="H1235">
        <f t="shared" si="1150"/>
        <v>3</v>
      </c>
      <c r="I1235" s="18">
        <f>INDEX(WeeklyIndicators!Y:Y,MATCH(A1235,WeeklyIndicators!A:A,0))</f>
        <v>108.74</v>
      </c>
      <c r="J1235">
        <f t="shared" si="1175"/>
        <v>-1</v>
      </c>
      <c r="K1235">
        <f>ROUND(INDEX(Economic!AF:AF,MATCH(EOMONTH($A1235,-1),Economic!A:A,0)),2)</f>
        <v>136.88999999999999</v>
      </c>
      <c r="L1235" s="11">
        <f t="shared" ref="L1235:L1298" si="1184">IF(K1235&gt;138,3,IF(AND(K1235&gt;125,K1235&lt;=138),2,IF(AND(K1235&gt;111,K1235&lt;=125),1,IF(K1235&lt;50,-3,IF(AND(K1235&lt;80,K1235&gt;=50),-2,IF(AND(K1235&lt;100,K1235&gt;=80),-1,0))))))</f>
        <v>2</v>
      </c>
      <c r="M1235">
        <f>ROUND(INDEX(Manufacturing!P:P,MATCH(EOMONTH($A1235,-1),Manufacturing!A:A,0)),2)</f>
        <v>114.63</v>
      </c>
      <c r="N1235">
        <f t="shared" si="1180"/>
        <v>3</v>
      </c>
      <c r="O1235">
        <f>ROUND(INDEX(Housing!AC:AC,MATCH(EOMONTH($A1235,-1),Housing!B:B,0)),2)</f>
        <v>73.400000000000006</v>
      </c>
      <c r="P1235">
        <f t="shared" si="1181"/>
        <v>-2</v>
      </c>
      <c r="Q1235">
        <f>ROUND(INDEX(Spending!AJ:AJ,MATCH(EOMONTH($A1235,-1),Spending!B:B,0)),2)</f>
        <v>64.55</v>
      </c>
      <c r="R1235">
        <f t="shared" ref="R1235:R1298" si="1185">IF(Q1235&gt;60,2,IF(AND(Q1235&gt;50,Q1235&lt;=60),1,IF(Q1235&lt;30,-2,IF(AND(Q1235&lt;40,Q1235&gt;=30),-1,0))))</f>
        <v>2</v>
      </c>
      <c r="S1235">
        <f>ROUND(INDEX(Employment!V:V,MATCH(EOMONTH($A1235,-1),Employment!A:A,0)),2)</f>
        <v>195.12</v>
      </c>
      <c r="T1235" s="11">
        <f t="shared" si="1182"/>
        <v>3</v>
      </c>
      <c r="U1235">
        <f t="shared" si="1174"/>
        <v>32</v>
      </c>
      <c r="V1235">
        <f t="shared" si="1166"/>
        <v>79.33</v>
      </c>
      <c r="W1235" s="13">
        <f t="shared" si="1167"/>
        <v>-3.0999999999999999E-3</v>
      </c>
      <c r="X1235" s="13">
        <f t="shared" si="1168"/>
        <v>-0.01</v>
      </c>
      <c r="Y1235">
        <f t="shared" si="1160"/>
        <v>95.68</v>
      </c>
      <c r="Z1235" s="13">
        <f t="shared" si="1155"/>
        <v>1.1999999999999999E-3</v>
      </c>
      <c r="AA1235" s="13">
        <f t="shared" si="1151"/>
        <v>-3.3E-3</v>
      </c>
      <c r="AB1235" s="6">
        <f t="shared" si="1161"/>
        <v>114.52200000000001</v>
      </c>
      <c r="AC1235">
        <f t="shared" si="1153"/>
        <v>57</v>
      </c>
      <c r="AD1235" s="11">
        <f t="shared" si="1154"/>
        <v>2</v>
      </c>
      <c r="AE1235">
        <f t="shared" si="1152"/>
        <v>36</v>
      </c>
      <c r="AF1235">
        <f>IF(AND(AE1235&lt;15,OR(AC1235&gt;=30,AA1235&gt;0.15,X1235&gt;=0.15)),2,VLOOKUP(AE1235,Table!P:Q,2,FALSE))</f>
        <v>5</v>
      </c>
      <c r="AG1235" s="22">
        <f>IF((AB1235*0.98)-(D1235*0.8)+((AF1235-3)*3)+VLOOKUP(AM1235,Table!$A$11:$B$13,2,FALSE)&lt;0,0,(AB1235*0.98)-(D1235*0.8)+((AF1235-3)*3)+VLOOKUP(AM1235,Table!$A$11:$B$13,2,FALSE))</f>
        <v>116.77556</v>
      </c>
      <c r="AH1235" s="22">
        <f t="shared" si="1183"/>
        <v>100</v>
      </c>
      <c r="AI1235" s="18">
        <f t="shared" si="1176"/>
        <v>5.28</v>
      </c>
      <c r="AJ1235" s="18">
        <f t="shared" si="1177"/>
        <v>4.59</v>
      </c>
      <c r="AK1235" t="str">
        <f t="shared" si="1162"/>
        <v>Rising Rates</v>
      </c>
      <c r="AL1235">
        <f t="shared" si="1173"/>
        <v>34.75</v>
      </c>
      <c r="AM1235" s="11" t="str">
        <f t="shared" si="1163"/>
        <v>Stocks</v>
      </c>
      <c r="AN1235" t="str">
        <f t="shared" si="1169"/>
        <v>Buy</v>
      </c>
      <c r="AO1235" s="13">
        <f t="shared" si="1170"/>
        <v>3.0999999999999999E-3</v>
      </c>
      <c r="AP1235" s="13">
        <f t="shared" si="1171"/>
        <v>1.1000000000000001E-3</v>
      </c>
      <c r="AQ1235" s="13">
        <f t="shared" si="1172"/>
        <v>3.0999999999999999E-3</v>
      </c>
      <c r="AR1235" s="13">
        <f t="shared" si="1164"/>
        <v>3.0999999999999999E-3</v>
      </c>
      <c r="AS1235" s="6">
        <f t="shared" si="1156"/>
        <v>114.34959387591731</v>
      </c>
      <c r="AT1235" s="6">
        <f t="shared" si="1157"/>
        <v>110.28140961907496</v>
      </c>
      <c r="AU1235" s="6">
        <f t="shared" si="1158"/>
        <v>113.97228928565741</v>
      </c>
      <c r="AV1235" s="6">
        <f t="shared" si="1159"/>
        <v>114.34959387591731</v>
      </c>
      <c r="AW1235" s="58">
        <f t="shared" si="1165"/>
        <v>1995</v>
      </c>
      <c r="AX1235" s="58">
        <f>COUNTIF(AW$3:AW1235,AW1235)</f>
        <v>53</v>
      </c>
    </row>
    <row r="1236" spans="1:50" x14ac:dyDescent="0.25">
      <c r="A1236" s="5">
        <v>34693</v>
      </c>
      <c r="B1236">
        <v>459.83</v>
      </c>
      <c r="C1236">
        <v>5.49</v>
      </c>
      <c r="D1236" s="6">
        <v>12.79</v>
      </c>
      <c r="E1236" s="18">
        <f t="shared" si="1178"/>
        <v>15.13</v>
      </c>
      <c r="F1236">
        <f t="shared" si="1179"/>
        <v>1</v>
      </c>
      <c r="G1236" s="18">
        <f>ROUND(INDEX(Valuation!U:U,MATCH(A1236,Valuation!A:A,0)),2)</f>
        <v>240.22</v>
      </c>
      <c r="H1236">
        <f t="shared" si="1150"/>
        <v>3</v>
      </c>
      <c r="I1236" s="18">
        <f>INDEX(WeeklyIndicators!Y:Y,MATCH(A1236,WeeklyIndicators!A:A,0))</f>
        <v>109.05</v>
      </c>
      <c r="J1236">
        <f t="shared" si="1175"/>
        <v>-1</v>
      </c>
      <c r="K1236">
        <f>ROUND(INDEX(Economic!AF:AF,MATCH(EOMONTH($A1236,-1),Economic!A:A,0)),2)</f>
        <v>133.4</v>
      </c>
      <c r="L1236" s="11">
        <f t="shared" si="1184"/>
        <v>2</v>
      </c>
      <c r="M1236">
        <f>ROUND(INDEX(Manufacturing!P:P,MATCH(EOMONTH($A1236,-1),Manufacturing!A:A,0)),2)</f>
        <v>116.65</v>
      </c>
      <c r="N1236">
        <f t="shared" si="1180"/>
        <v>3</v>
      </c>
      <c r="O1236">
        <f>ROUND(INDEX(Housing!AC:AC,MATCH(EOMONTH($A1236,-1),Housing!B:B,0)),2)</f>
        <v>74.73</v>
      </c>
      <c r="P1236">
        <f t="shared" si="1181"/>
        <v>-2</v>
      </c>
      <c r="Q1236">
        <f>ROUND(INDEX(Spending!AJ:AJ,MATCH(EOMONTH($A1236,-1),Spending!B:B,0)),2)</f>
        <v>62.99</v>
      </c>
      <c r="R1236">
        <f t="shared" si="1185"/>
        <v>2</v>
      </c>
      <c r="S1236">
        <f>ROUND(INDEX(Employment!V:V,MATCH(EOMONTH($A1236,-1),Employment!A:A,0)),2)</f>
        <v>198.79</v>
      </c>
      <c r="T1236" s="11">
        <f t="shared" si="1182"/>
        <v>3</v>
      </c>
      <c r="U1236">
        <f t="shared" si="1174"/>
        <v>31</v>
      </c>
      <c r="V1236">
        <f t="shared" si="1166"/>
        <v>79.430000000000007</v>
      </c>
      <c r="W1236" s="13">
        <f t="shared" si="1167"/>
        <v>-4.5999999999999999E-3</v>
      </c>
      <c r="X1236" s="13">
        <f t="shared" si="1168"/>
        <v>-5.3999999999999986E-3</v>
      </c>
      <c r="Y1236">
        <f t="shared" si="1160"/>
        <v>95.23</v>
      </c>
      <c r="Z1236" s="13">
        <f t="shared" si="1155"/>
        <v>-1.8E-3</v>
      </c>
      <c r="AA1236" s="13">
        <f t="shared" si="1151"/>
        <v>-4.5000000000000005E-3</v>
      </c>
      <c r="AB1236" s="6">
        <f t="shared" si="1161"/>
        <v>114.042</v>
      </c>
      <c r="AC1236">
        <f t="shared" si="1153"/>
        <v>57</v>
      </c>
      <c r="AD1236" s="11">
        <f t="shared" si="1154"/>
        <v>2</v>
      </c>
      <c r="AE1236">
        <f t="shared" si="1152"/>
        <v>35</v>
      </c>
      <c r="AF1236">
        <f>IF(AND(AE1236&lt;15,OR(AC1236&gt;=30,AA1236&gt;0.15,X1236&gt;=0.15)),2,VLOOKUP(AE1236,Table!P:Q,2,FALSE))</f>
        <v>5</v>
      </c>
      <c r="AG1236" s="22">
        <f>IF((AB1236*0.98)-(D1236*0.8)+((AF1236-3)*3)+VLOOKUP(AM1236,Table!$A$11:$B$13,2,FALSE)&lt;0,0,(AB1236*0.98)-(D1236*0.8)+((AF1236-3)*3)+VLOOKUP(AM1236,Table!$A$11:$B$13,2,FALSE))</f>
        <v>115.52916</v>
      </c>
      <c r="AH1236" s="22">
        <f t="shared" si="1183"/>
        <v>100</v>
      </c>
      <c r="AI1236" s="18">
        <f t="shared" si="1176"/>
        <v>5.21</v>
      </c>
      <c r="AJ1236" s="18">
        <f t="shared" si="1177"/>
        <v>4.54</v>
      </c>
      <c r="AK1236" t="str">
        <f t="shared" si="1162"/>
        <v>Rising Rates</v>
      </c>
      <c r="AL1236">
        <f t="shared" si="1173"/>
        <v>34.25</v>
      </c>
      <c r="AM1236" s="11" t="str">
        <f t="shared" si="1163"/>
        <v>Stocks</v>
      </c>
      <c r="AN1236" t="str">
        <f t="shared" si="1169"/>
        <v>Buy</v>
      </c>
      <c r="AO1236" s="13">
        <f t="shared" si="1170"/>
        <v>-1.1999999999999999E-3</v>
      </c>
      <c r="AP1236" s="13">
        <f t="shared" si="1171"/>
        <v>1.1000000000000001E-3</v>
      </c>
      <c r="AQ1236" s="13">
        <f t="shared" si="1172"/>
        <v>-1.1999999999999999E-3</v>
      </c>
      <c r="AR1236" s="13">
        <f t="shared" si="1164"/>
        <v>-1.1999999999999999E-3</v>
      </c>
      <c r="AS1236" s="6">
        <f t="shared" si="1156"/>
        <v>114.48697824981708</v>
      </c>
      <c r="AT1236" s="6">
        <f t="shared" si="1157"/>
        <v>110.16023336237635</v>
      </c>
      <c r="AU1236" s="6">
        <f t="shared" si="1158"/>
        <v>114.10922035007751</v>
      </c>
      <c r="AV1236" s="6">
        <f t="shared" si="1159"/>
        <v>114.48697824981708</v>
      </c>
      <c r="AW1236" s="58">
        <f t="shared" si="1165"/>
        <v>1994</v>
      </c>
      <c r="AX1236" s="58">
        <f>COUNTIF(AW$3:AW1236,AW1236)</f>
        <v>1</v>
      </c>
    </row>
    <row r="1237" spans="1:50" x14ac:dyDescent="0.25">
      <c r="A1237" s="5">
        <v>34686</v>
      </c>
      <c r="B1237">
        <v>458.8</v>
      </c>
      <c r="C1237">
        <v>5.66</v>
      </c>
      <c r="D1237" s="6">
        <v>16.040001</v>
      </c>
      <c r="E1237" s="18">
        <f t="shared" si="1178"/>
        <v>16.68</v>
      </c>
      <c r="F1237">
        <f t="shared" si="1179"/>
        <v>0</v>
      </c>
      <c r="G1237" s="18">
        <f>ROUND(INDEX(Valuation!U:U,MATCH(A1237,Valuation!A:A,0)),2)</f>
        <v>239.49</v>
      </c>
      <c r="H1237">
        <f t="shared" si="1150"/>
        <v>3</v>
      </c>
      <c r="I1237" s="18">
        <f>INDEX(WeeklyIndicators!Y:Y,MATCH(A1237,WeeklyIndicators!A:A,0))</f>
        <v>111.42</v>
      </c>
      <c r="J1237">
        <f t="shared" si="1175"/>
        <v>-1</v>
      </c>
      <c r="K1237">
        <f>ROUND(INDEX(Economic!AF:AF,MATCH(EOMONTH($A1237,-1),Economic!A:A,0)),2)</f>
        <v>133.4</v>
      </c>
      <c r="L1237" s="11">
        <f t="shared" si="1184"/>
        <v>2</v>
      </c>
      <c r="M1237">
        <f>ROUND(INDEX(Manufacturing!P:P,MATCH(EOMONTH($A1237,-1),Manufacturing!A:A,0)),2)</f>
        <v>116.65</v>
      </c>
      <c r="N1237">
        <f t="shared" si="1180"/>
        <v>3</v>
      </c>
      <c r="O1237">
        <f>ROUND(INDEX(Housing!AC:AC,MATCH(EOMONTH($A1237,-1),Housing!B:B,0)),2)</f>
        <v>74.73</v>
      </c>
      <c r="P1237">
        <f t="shared" si="1181"/>
        <v>-2</v>
      </c>
      <c r="Q1237">
        <f>ROUND(INDEX(Spending!AJ:AJ,MATCH(EOMONTH($A1237,-1),Spending!B:B,0)),2)</f>
        <v>62.99</v>
      </c>
      <c r="R1237">
        <f t="shared" si="1185"/>
        <v>2</v>
      </c>
      <c r="S1237">
        <f>ROUND(INDEX(Employment!V:V,MATCH(EOMONTH($A1237,-1),Employment!A:A,0)),2)</f>
        <v>198.79</v>
      </c>
      <c r="T1237" s="11">
        <f t="shared" si="1182"/>
        <v>3</v>
      </c>
      <c r="U1237">
        <f t="shared" si="1174"/>
        <v>30</v>
      </c>
      <c r="V1237">
        <f t="shared" si="1166"/>
        <v>79.67</v>
      </c>
      <c r="W1237" s="13">
        <f t="shared" si="1167"/>
        <v>-2.0999999999999999E-3</v>
      </c>
      <c r="X1237" s="13">
        <f t="shared" si="1168"/>
        <v>-7.9999999999999993E-4</v>
      </c>
      <c r="Y1237">
        <f t="shared" si="1160"/>
        <v>94.85</v>
      </c>
      <c r="Z1237" s="13">
        <f t="shared" si="1155"/>
        <v>-1.9E-3</v>
      </c>
      <c r="AA1237" s="13">
        <f t="shared" si="1151"/>
        <v>-5.9000000000000007E-3</v>
      </c>
      <c r="AB1237" s="6">
        <f t="shared" si="1161"/>
        <v>113.54899999999999</v>
      </c>
      <c r="AC1237">
        <f t="shared" si="1153"/>
        <v>57</v>
      </c>
      <c r="AD1237" s="11">
        <f t="shared" si="1154"/>
        <v>2</v>
      </c>
      <c r="AE1237">
        <f t="shared" si="1152"/>
        <v>34</v>
      </c>
      <c r="AF1237">
        <f>IF(AND(AE1237&lt;15,OR(AC1237&gt;=30,AA1237&gt;0.15,X1237&gt;=0.15)),2,VLOOKUP(AE1237,Table!P:Q,2,FALSE))</f>
        <v>5</v>
      </c>
      <c r="AG1237" s="22">
        <f>IF((AB1237*0.98)-(D1237*0.8)+((AF1237-3)*3)+VLOOKUP(AM1237,Table!$A$11:$B$13,2,FALSE)&lt;0,0,(AB1237*0.98)-(D1237*0.8)+((AF1237-3)*3)+VLOOKUP(AM1237,Table!$A$11:$B$13,2,FALSE))</f>
        <v>112.44601919999998</v>
      </c>
      <c r="AH1237" s="22">
        <f t="shared" si="1183"/>
        <v>100</v>
      </c>
      <c r="AI1237" s="18">
        <f t="shared" si="1176"/>
        <v>5.15</v>
      </c>
      <c r="AJ1237" s="18">
        <f t="shared" si="1177"/>
        <v>4.4800000000000004</v>
      </c>
      <c r="AK1237" t="str">
        <f t="shared" si="1162"/>
        <v>Rising Rates</v>
      </c>
      <c r="AL1237">
        <f t="shared" si="1173"/>
        <v>34.5</v>
      </c>
      <c r="AM1237" s="11" t="str">
        <f t="shared" si="1163"/>
        <v>Stocks</v>
      </c>
      <c r="AN1237" t="str">
        <f t="shared" si="1169"/>
        <v>Buy</v>
      </c>
      <c r="AO1237" s="13">
        <f t="shared" si="1170"/>
        <v>2.2000000000000001E-3</v>
      </c>
      <c r="AP1237" s="13">
        <f t="shared" si="1171"/>
        <v>1.1000000000000001E-3</v>
      </c>
      <c r="AQ1237" s="13">
        <f t="shared" si="1172"/>
        <v>2.2000000000000001E-3</v>
      </c>
      <c r="AR1237" s="13">
        <f t="shared" si="1164"/>
        <v>2.2000000000000001E-3</v>
      </c>
      <c r="AS1237" s="6">
        <f t="shared" si="1156"/>
        <v>114.23565979826091</v>
      </c>
      <c r="AT1237" s="6">
        <f t="shared" si="1157"/>
        <v>110.03919025309793</v>
      </c>
      <c r="AU1237" s="6">
        <f t="shared" si="1158"/>
        <v>113.85873114156607</v>
      </c>
      <c r="AV1237" s="6">
        <f t="shared" si="1159"/>
        <v>114.23565979826091</v>
      </c>
      <c r="AW1237" s="58">
        <f t="shared" si="1165"/>
        <v>1994</v>
      </c>
      <c r="AX1237" s="58">
        <f>COUNTIF(AW$3:AW1237,AW1237)</f>
        <v>2</v>
      </c>
    </row>
    <row r="1238" spans="1:50" x14ac:dyDescent="0.25">
      <c r="A1238" s="5">
        <v>34679</v>
      </c>
      <c r="B1238">
        <v>446.96</v>
      </c>
      <c r="C1238">
        <v>5.7</v>
      </c>
      <c r="D1238" s="6">
        <v>16.549999</v>
      </c>
      <c r="E1238" s="18">
        <f t="shared" si="1178"/>
        <v>16.66</v>
      </c>
      <c r="F1238">
        <f t="shared" si="1179"/>
        <v>0</v>
      </c>
      <c r="G1238" s="18">
        <f>ROUND(INDEX(Valuation!U:U,MATCH(A1238,Valuation!A:A,0)),2)</f>
        <v>240.16</v>
      </c>
      <c r="H1238">
        <f t="shared" si="1150"/>
        <v>3</v>
      </c>
      <c r="I1238" s="18">
        <f>INDEX(WeeklyIndicators!Y:Y,MATCH(A1238,WeeklyIndicators!A:A,0))</f>
        <v>115.33</v>
      </c>
      <c r="J1238">
        <f t="shared" si="1175"/>
        <v>-1</v>
      </c>
      <c r="K1238">
        <f>ROUND(INDEX(Economic!AF:AF,MATCH(EOMONTH($A1238,-1),Economic!A:A,0)),2)</f>
        <v>133.4</v>
      </c>
      <c r="L1238" s="11">
        <f t="shared" si="1184"/>
        <v>2</v>
      </c>
      <c r="M1238">
        <f>ROUND(INDEX(Manufacturing!P:P,MATCH(EOMONTH($A1238,-1),Manufacturing!A:A,0)),2)</f>
        <v>116.65</v>
      </c>
      <c r="N1238">
        <f t="shared" si="1180"/>
        <v>3</v>
      </c>
      <c r="O1238">
        <f>ROUND(INDEX(Housing!AC:AC,MATCH(EOMONTH($A1238,-1),Housing!B:B,0)),2)</f>
        <v>74.73</v>
      </c>
      <c r="P1238">
        <f t="shared" si="1181"/>
        <v>-2</v>
      </c>
      <c r="Q1238">
        <f>ROUND(INDEX(Spending!AJ:AJ,MATCH(EOMONTH($A1238,-1),Spending!B:B,0)),2)</f>
        <v>62.99</v>
      </c>
      <c r="R1238">
        <f t="shared" si="1185"/>
        <v>2</v>
      </c>
      <c r="S1238">
        <f>ROUND(INDEX(Employment!V:V,MATCH(EOMONTH($A1238,-1),Employment!A:A,0)),2)</f>
        <v>198.79</v>
      </c>
      <c r="T1238" s="11">
        <f t="shared" si="1182"/>
        <v>3</v>
      </c>
      <c r="U1238">
        <f t="shared" si="1174"/>
        <v>30</v>
      </c>
      <c r="V1238">
        <f t="shared" si="1166"/>
        <v>80.08</v>
      </c>
      <c r="W1238" s="13">
        <f t="shared" si="1167"/>
        <v>-2.0000000000000001E-4</v>
      </c>
      <c r="X1238" s="13">
        <f t="shared" si="1168"/>
        <v>-1.7000000000000001E-3</v>
      </c>
      <c r="Y1238">
        <f t="shared" si="1160"/>
        <v>95.34</v>
      </c>
      <c r="Z1238" s="13">
        <f t="shared" si="1155"/>
        <v>-8.0000000000000004E-4</v>
      </c>
      <c r="AA1238" s="13">
        <f t="shared" si="1151"/>
        <v>-9.0000000000000011E-3</v>
      </c>
      <c r="AB1238" s="6">
        <f t="shared" si="1161"/>
        <v>113.90600000000001</v>
      </c>
      <c r="AC1238">
        <f t="shared" si="1153"/>
        <v>57</v>
      </c>
      <c r="AD1238" s="11">
        <f t="shared" si="1154"/>
        <v>2</v>
      </c>
      <c r="AE1238">
        <f t="shared" si="1152"/>
        <v>34</v>
      </c>
      <c r="AF1238">
        <f>IF(AND(AE1238&lt;15,OR(AC1238&gt;=30,AA1238&gt;0.15,X1238&gt;=0.15)),2,VLOOKUP(AE1238,Table!P:Q,2,FALSE))</f>
        <v>5</v>
      </c>
      <c r="AG1238" s="22">
        <f>IF((AB1238*0.98)-(D1238*0.8)+((AF1238-3)*3)+VLOOKUP(AM1238,Table!$A$11:$B$13,2,FALSE)&lt;0,0,(AB1238*0.98)-(D1238*0.8)+((AF1238-3)*3)+VLOOKUP(AM1238,Table!$A$11:$B$13,2,FALSE))</f>
        <v>112.3878808</v>
      </c>
      <c r="AH1238" s="22">
        <f t="shared" si="1183"/>
        <v>100</v>
      </c>
      <c r="AI1238" s="18">
        <f t="shared" si="1176"/>
        <v>5.07</v>
      </c>
      <c r="AJ1238" s="18">
        <f t="shared" si="1177"/>
        <v>4.43</v>
      </c>
      <c r="AK1238" t="str">
        <f t="shared" si="1162"/>
        <v>Rising Rates</v>
      </c>
      <c r="AL1238">
        <f t="shared" si="1173"/>
        <v>35.25</v>
      </c>
      <c r="AM1238" s="11" t="str">
        <f t="shared" si="1163"/>
        <v>Stocks</v>
      </c>
      <c r="AN1238" t="str">
        <f t="shared" si="1169"/>
        <v>Buy</v>
      </c>
      <c r="AO1238" s="13">
        <f t="shared" si="1170"/>
        <v>2.6499999999999999E-2</v>
      </c>
      <c r="AP1238" s="13">
        <f t="shared" si="1171"/>
        <v>1.1000000000000001E-3</v>
      </c>
      <c r="AQ1238" s="13">
        <f t="shared" si="1172"/>
        <v>2.6499999999999999E-2</v>
      </c>
      <c r="AR1238" s="13">
        <f t="shared" si="1164"/>
        <v>2.6499999999999999E-2</v>
      </c>
      <c r="AS1238" s="6">
        <f t="shared" si="1156"/>
        <v>111.28656580444317</v>
      </c>
      <c r="AT1238" s="6">
        <f t="shared" si="1157"/>
        <v>109.91828014493848</v>
      </c>
      <c r="AU1238" s="6">
        <f t="shared" si="1158"/>
        <v>110.91936789241701</v>
      </c>
      <c r="AV1238" s="6">
        <f t="shared" si="1159"/>
        <v>111.28656580444317</v>
      </c>
      <c r="AW1238" s="58">
        <f t="shared" si="1165"/>
        <v>1994</v>
      </c>
      <c r="AX1238" s="58">
        <f>COUNTIF(AW$3:AW1238,AW1238)</f>
        <v>3</v>
      </c>
    </row>
    <row r="1239" spans="1:50" x14ac:dyDescent="0.25">
      <c r="A1239" s="5">
        <v>34672</v>
      </c>
      <c r="B1239">
        <v>453.3</v>
      </c>
      <c r="C1239">
        <v>5.53</v>
      </c>
      <c r="D1239" s="6">
        <v>17.440000999999999</v>
      </c>
      <c r="E1239" s="18">
        <f t="shared" si="1178"/>
        <v>16.649999999999999</v>
      </c>
      <c r="F1239">
        <f t="shared" si="1179"/>
        <v>0</v>
      </c>
      <c r="G1239" s="18">
        <f>ROUND(INDEX(Valuation!U:U,MATCH(A1239,Valuation!A:A,0)),2)</f>
        <v>239.58</v>
      </c>
      <c r="H1239">
        <f t="shared" si="1150"/>
        <v>3</v>
      </c>
      <c r="I1239" s="18">
        <f>INDEX(WeeklyIndicators!Y:Y,MATCH(A1239,WeeklyIndicators!A:A,0))</f>
        <v>119.79</v>
      </c>
      <c r="J1239">
        <f t="shared" si="1175"/>
        <v>-1</v>
      </c>
      <c r="K1239">
        <f>ROUND(INDEX(Economic!AF:AF,MATCH(EOMONTH($A1239,-1),Economic!A:A,0)),2)</f>
        <v>133.4</v>
      </c>
      <c r="L1239" s="11">
        <f t="shared" si="1184"/>
        <v>2</v>
      </c>
      <c r="M1239">
        <f>ROUND(INDEX(Manufacturing!P:P,MATCH(EOMONTH($A1239,-1),Manufacturing!A:A,0)),2)</f>
        <v>116.65</v>
      </c>
      <c r="N1239">
        <f t="shared" si="1180"/>
        <v>3</v>
      </c>
      <c r="O1239">
        <f>ROUND(INDEX(Housing!AC:AC,MATCH(EOMONTH($A1239,-1),Housing!B:B,0)),2)</f>
        <v>74.73</v>
      </c>
      <c r="P1239">
        <f t="shared" si="1181"/>
        <v>-2</v>
      </c>
      <c r="Q1239">
        <f>ROUND(INDEX(Spending!AJ:AJ,MATCH(EOMONTH($A1239,-1),Spending!B:B,0)),2)</f>
        <v>62.99</v>
      </c>
      <c r="R1239">
        <f t="shared" si="1185"/>
        <v>2</v>
      </c>
      <c r="S1239">
        <f>ROUND(INDEX(Employment!V:V,MATCH(EOMONTH($A1239,-1),Employment!A:A,0)),2)</f>
        <v>198.79</v>
      </c>
      <c r="T1239" s="11">
        <f t="shared" si="1182"/>
        <v>3</v>
      </c>
      <c r="U1239">
        <f t="shared" si="1174"/>
        <v>30</v>
      </c>
      <c r="V1239">
        <f t="shared" si="1166"/>
        <v>80.540000000000006</v>
      </c>
      <c r="W1239" s="13">
        <f t="shared" si="1167"/>
        <v>1.5E-3</v>
      </c>
      <c r="X1239" s="13">
        <f t="shared" si="1168"/>
        <v>-3.8E-3</v>
      </c>
      <c r="Y1239">
        <f t="shared" si="1160"/>
        <v>95.74</v>
      </c>
      <c r="Z1239" s="13">
        <f t="shared" si="1155"/>
        <v>0</v>
      </c>
      <c r="AA1239" s="13">
        <f t="shared" si="1151"/>
        <v>-1.37E-2</v>
      </c>
      <c r="AB1239" s="6">
        <f t="shared" si="1161"/>
        <v>113.928</v>
      </c>
      <c r="AC1239">
        <f t="shared" si="1153"/>
        <v>57</v>
      </c>
      <c r="AD1239" s="11">
        <f t="shared" si="1154"/>
        <v>2</v>
      </c>
      <c r="AE1239">
        <f t="shared" si="1152"/>
        <v>34</v>
      </c>
      <c r="AF1239">
        <f>IF(AND(AE1239&lt;15,OR(AC1239&gt;=30,AA1239&gt;0.15,X1239&gt;=0.15)),2,VLOOKUP(AE1239,Table!P:Q,2,FALSE))</f>
        <v>5</v>
      </c>
      <c r="AG1239" s="22">
        <f>IF((AB1239*0.98)-(D1239*0.8)+((AF1239-3)*3)+VLOOKUP(AM1239,Table!$A$11:$B$13,2,FALSE)&lt;0,0,(AB1239*0.98)-(D1239*0.8)+((AF1239-3)*3)+VLOOKUP(AM1239,Table!$A$11:$B$13,2,FALSE))</f>
        <v>111.69743919999999</v>
      </c>
      <c r="AH1239" s="22">
        <f t="shared" si="1183"/>
        <v>100</v>
      </c>
      <c r="AI1239" s="18">
        <f t="shared" si="1176"/>
        <v>4.9800000000000004</v>
      </c>
      <c r="AJ1239" s="18">
        <f t="shared" si="1177"/>
        <v>4.37</v>
      </c>
      <c r="AK1239" t="str">
        <f t="shared" si="1162"/>
        <v>Rising Rates</v>
      </c>
      <c r="AL1239">
        <f t="shared" si="1173"/>
        <v>36</v>
      </c>
      <c r="AM1239" s="11" t="str">
        <f t="shared" si="1163"/>
        <v>Stocks</v>
      </c>
      <c r="AN1239" t="str">
        <f t="shared" si="1169"/>
        <v>Buy</v>
      </c>
      <c r="AO1239" s="13">
        <f t="shared" si="1170"/>
        <v>-1.4E-2</v>
      </c>
      <c r="AP1239" s="13">
        <f t="shared" si="1171"/>
        <v>1.1000000000000001E-3</v>
      </c>
      <c r="AQ1239" s="13">
        <f t="shared" si="1172"/>
        <v>-1.4E-2</v>
      </c>
      <c r="AR1239" s="13">
        <f t="shared" si="1164"/>
        <v>-1.4E-2</v>
      </c>
      <c r="AS1239" s="6">
        <f t="shared" si="1156"/>
        <v>112.86669959882674</v>
      </c>
      <c r="AT1239" s="6">
        <f t="shared" si="1157"/>
        <v>109.79750289175753</v>
      </c>
      <c r="AU1239" s="6">
        <f t="shared" si="1158"/>
        <v>112.49428792334383</v>
      </c>
      <c r="AV1239" s="6">
        <f t="shared" si="1159"/>
        <v>112.86669959882674</v>
      </c>
      <c r="AW1239" s="58">
        <f t="shared" si="1165"/>
        <v>1994</v>
      </c>
      <c r="AX1239" s="58">
        <f>COUNTIF(AW$3:AW1239,AW1239)</f>
        <v>4</v>
      </c>
    </row>
    <row r="1240" spans="1:50" x14ac:dyDescent="0.25">
      <c r="A1240" s="5">
        <v>34665</v>
      </c>
      <c r="B1240">
        <v>452.29</v>
      </c>
      <c r="C1240">
        <v>5.31</v>
      </c>
      <c r="D1240" s="6">
        <v>16</v>
      </c>
      <c r="E1240" s="18">
        <f t="shared" si="1178"/>
        <v>16.420000000000002</v>
      </c>
      <c r="F1240">
        <f t="shared" si="1179"/>
        <v>0</v>
      </c>
      <c r="G1240" s="18">
        <f>ROUND(INDEX(Valuation!U:U,MATCH(A1240,Valuation!A:A,0)),2)</f>
        <v>239.01</v>
      </c>
      <c r="H1240">
        <f t="shared" si="1150"/>
        <v>3</v>
      </c>
      <c r="I1240" s="18">
        <f>INDEX(WeeklyIndicators!Y:Y,MATCH(A1240,WeeklyIndicators!A:A,0))</f>
        <v>122.67</v>
      </c>
      <c r="J1240">
        <f t="shared" si="1175"/>
        <v>0</v>
      </c>
      <c r="K1240">
        <f>ROUND(INDEX(Economic!AF:AF,MATCH(EOMONTH($A1240,-1),Economic!A:A,0)),2)</f>
        <v>131.63999999999999</v>
      </c>
      <c r="L1240" s="11">
        <f t="shared" si="1184"/>
        <v>2</v>
      </c>
      <c r="M1240">
        <f>ROUND(INDEX(Manufacturing!P:P,MATCH(EOMONTH($A1240,-1),Manufacturing!A:A,0)),2)</f>
        <v>113.76</v>
      </c>
      <c r="N1240">
        <f t="shared" si="1180"/>
        <v>3</v>
      </c>
      <c r="O1240">
        <f>ROUND(INDEX(Housing!AC:AC,MATCH(EOMONTH($A1240,-1),Housing!B:B,0)),2)</f>
        <v>79.13</v>
      </c>
      <c r="P1240">
        <f t="shared" si="1181"/>
        <v>-1</v>
      </c>
      <c r="Q1240">
        <f>ROUND(INDEX(Spending!AJ:AJ,MATCH(EOMONTH($A1240,-1),Spending!B:B,0)),2)</f>
        <v>61.06</v>
      </c>
      <c r="R1240">
        <f t="shared" si="1185"/>
        <v>2</v>
      </c>
      <c r="S1240">
        <f>ROUND(INDEX(Employment!V:V,MATCH(EOMONTH($A1240,-1),Employment!A:A,0)),2)</f>
        <v>197.05</v>
      </c>
      <c r="T1240" s="11">
        <f t="shared" si="1182"/>
        <v>3</v>
      </c>
      <c r="U1240">
        <f t="shared" si="1174"/>
        <v>32</v>
      </c>
      <c r="V1240">
        <f t="shared" si="1166"/>
        <v>80.180000000000007</v>
      </c>
      <c r="W1240" s="13">
        <f t="shared" si="1167"/>
        <v>0</v>
      </c>
      <c r="X1240" s="13">
        <f t="shared" si="1168"/>
        <v>-6.4999999999999997E-3</v>
      </c>
      <c r="Y1240">
        <f t="shared" si="1160"/>
        <v>95.39</v>
      </c>
      <c r="Z1240" s="13">
        <f t="shared" si="1155"/>
        <v>-3.2000000000000002E-3</v>
      </c>
      <c r="AA1240" s="13">
        <f t="shared" si="1151"/>
        <v>-1.6199999999999999E-2</v>
      </c>
      <c r="AB1240" s="6">
        <f t="shared" si="1161"/>
        <v>113.31099999999999</v>
      </c>
      <c r="AC1240">
        <f t="shared" si="1153"/>
        <v>57</v>
      </c>
      <c r="AD1240" s="11">
        <f t="shared" si="1154"/>
        <v>2</v>
      </c>
      <c r="AE1240">
        <f t="shared" si="1152"/>
        <v>36</v>
      </c>
      <c r="AF1240">
        <f>IF(AND(AE1240&lt;15,OR(AC1240&gt;=30,AA1240&gt;0.15,X1240&gt;=0.15)),2,VLOOKUP(AE1240,Table!P:Q,2,FALSE))</f>
        <v>5</v>
      </c>
      <c r="AG1240" s="22">
        <f>IF((AB1240*0.98)-(D1240*0.8)+((AF1240-3)*3)+VLOOKUP(AM1240,Table!$A$11:$B$13,2,FALSE)&lt;0,0,(AB1240*0.98)-(D1240*0.8)+((AF1240-3)*3)+VLOOKUP(AM1240,Table!$A$11:$B$13,2,FALSE))</f>
        <v>112.24477999999999</v>
      </c>
      <c r="AH1240" s="22">
        <f t="shared" si="1183"/>
        <v>100</v>
      </c>
      <c r="AI1240" s="18">
        <f t="shared" si="1176"/>
        <v>4.91</v>
      </c>
      <c r="AJ1240" s="18">
        <f t="shared" si="1177"/>
        <v>4.32</v>
      </c>
      <c r="AK1240" t="str">
        <f t="shared" si="1162"/>
        <v>Rising Rates</v>
      </c>
      <c r="AL1240">
        <f t="shared" si="1173"/>
        <v>36.75</v>
      </c>
      <c r="AM1240" s="11" t="str">
        <f t="shared" si="1163"/>
        <v>Stocks</v>
      </c>
      <c r="AN1240" t="str">
        <f t="shared" si="1169"/>
        <v>Buy</v>
      </c>
      <c r="AO1240" s="13">
        <f t="shared" si="1170"/>
        <v>2.2000000000000001E-3</v>
      </c>
      <c r="AP1240" s="13">
        <f t="shared" si="1171"/>
        <v>1E-3</v>
      </c>
      <c r="AQ1240" s="13">
        <f t="shared" si="1172"/>
        <v>2.2000000000000001E-3</v>
      </c>
      <c r="AR1240" s="13">
        <f t="shared" si="1164"/>
        <v>2.2000000000000001E-3</v>
      </c>
      <c r="AS1240" s="6">
        <f t="shared" si="1156"/>
        <v>112.61893793536893</v>
      </c>
      <c r="AT1240" s="6">
        <f t="shared" si="1157"/>
        <v>109.68781507668086</v>
      </c>
      <c r="AU1240" s="6">
        <f t="shared" si="1158"/>
        <v>112.24734376705631</v>
      </c>
      <c r="AV1240" s="6">
        <f t="shared" si="1159"/>
        <v>112.61893793536893</v>
      </c>
      <c r="AW1240" s="58">
        <f t="shared" si="1165"/>
        <v>1994</v>
      </c>
      <c r="AX1240" s="58">
        <f>COUNTIF(AW$3:AW1240,AW1240)</f>
        <v>5</v>
      </c>
    </row>
    <row r="1241" spans="1:50" x14ac:dyDescent="0.25">
      <c r="A1241" s="5">
        <v>34658</v>
      </c>
      <c r="B1241">
        <v>461.47</v>
      </c>
      <c r="C1241">
        <v>5.34</v>
      </c>
      <c r="D1241" s="6">
        <v>16.5</v>
      </c>
      <c r="E1241" s="18">
        <f t="shared" si="1178"/>
        <v>15.94</v>
      </c>
      <c r="F1241">
        <f t="shared" si="1179"/>
        <v>1</v>
      </c>
      <c r="G1241" s="18">
        <f>ROUND(INDEX(Valuation!U:U,MATCH(A1241,Valuation!A:A,0)),2)</f>
        <v>239.65</v>
      </c>
      <c r="H1241">
        <f t="shared" si="1150"/>
        <v>3</v>
      </c>
      <c r="I1241" s="18">
        <f>INDEX(WeeklyIndicators!Y:Y,MATCH(A1241,WeeklyIndicators!A:A,0))</f>
        <v>122.2</v>
      </c>
      <c r="J1241">
        <f t="shared" si="1175"/>
        <v>0</v>
      </c>
      <c r="K1241">
        <f>ROUND(INDEX(Economic!AF:AF,MATCH(EOMONTH($A1241,-1),Economic!A:A,0)),2)</f>
        <v>131.63999999999999</v>
      </c>
      <c r="L1241" s="11">
        <f t="shared" si="1184"/>
        <v>2</v>
      </c>
      <c r="M1241">
        <f>ROUND(INDEX(Manufacturing!P:P,MATCH(EOMONTH($A1241,-1),Manufacturing!A:A,0)),2)</f>
        <v>113.76</v>
      </c>
      <c r="N1241">
        <f t="shared" si="1180"/>
        <v>3</v>
      </c>
      <c r="O1241">
        <f>ROUND(INDEX(Housing!AC:AC,MATCH(EOMONTH($A1241,-1),Housing!B:B,0)),2)</f>
        <v>79.13</v>
      </c>
      <c r="P1241">
        <f t="shared" si="1181"/>
        <v>-1</v>
      </c>
      <c r="Q1241">
        <f>ROUND(INDEX(Spending!AJ:AJ,MATCH(EOMONTH($A1241,-1),Spending!B:B,0)),2)</f>
        <v>61.06</v>
      </c>
      <c r="R1241">
        <f t="shared" si="1185"/>
        <v>2</v>
      </c>
      <c r="S1241">
        <f>ROUND(INDEX(Employment!V:V,MATCH(EOMONTH($A1241,-1),Employment!A:A,0)),2)</f>
        <v>197.05</v>
      </c>
      <c r="T1241" s="11">
        <f t="shared" si="1182"/>
        <v>3</v>
      </c>
      <c r="U1241">
        <f t="shared" si="1174"/>
        <v>33</v>
      </c>
      <c r="V1241">
        <f t="shared" si="1166"/>
        <v>80.13</v>
      </c>
      <c r="W1241" s="13">
        <f t="shared" si="1167"/>
        <v>-3.0000000000000001E-3</v>
      </c>
      <c r="X1241" s="13">
        <f t="shared" si="1168"/>
        <v>-2.5999999999999999E-3</v>
      </c>
      <c r="Y1241">
        <f t="shared" si="1160"/>
        <v>95.58</v>
      </c>
      <c r="Z1241" s="13">
        <f t="shared" si="1155"/>
        <v>-5.0000000000000001E-3</v>
      </c>
      <c r="AA1241" s="13">
        <f t="shared" si="1151"/>
        <v>-1.2E-2</v>
      </c>
      <c r="AB1241" s="6">
        <f t="shared" si="1161"/>
        <v>113.88500000000001</v>
      </c>
      <c r="AC1241">
        <f t="shared" si="1153"/>
        <v>57</v>
      </c>
      <c r="AD1241" s="11">
        <f t="shared" si="1154"/>
        <v>2</v>
      </c>
      <c r="AE1241">
        <f t="shared" si="1152"/>
        <v>37</v>
      </c>
      <c r="AF1241">
        <f>IF(AND(AE1241&lt;15,OR(AC1241&gt;=30,AA1241&gt;0.15,X1241&gt;=0.15)),2,VLOOKUP(AE1241,Table!P:Q,2,FALSE))</f>
        <v>6</v>
      </c>
      <c r="AG1241" s="22">
        <f>IF((AB1241*0.98)-(D1241*0.8)+((AF1241-3)*3)+VLOOKUP(AM1241,Table!$A$11:$B$13,2,FALSE)&lt;0,0,(AB1241*0.98)-(D1241*0.8)+((AF1241-3)*3)+VLOOKUP(AM1241,Table!$A$11:$B$13,2,FALSE))</f>
        <v>115.40730000000001</v>
      </c>
      <c r="AH1241" s="22">
        <f t="shared" si="1183"/>
        <v>100</v>
      </c>
      <c r="AI1241" s="18">
        <f t="shared" si="1176"/>
        <v>4.8499999999999996</v>
      </c>
      <c r="AJ1241" s="18">
        <f t="shared" si="1177"/>
        <v>4.2699999999999996</v>
      </c>
      <c r="AK1241" t="str">
        <f t="shared" si="1162"/>
        <v>Rising Rates</v>
      </c>
      <c r="AL1241">
        <f t="shared" si="1173"/>
        <v>37</v>
      </c>
      <c r="AM1241" s="11" t="str">
        <f t="shared" si="1163"/>
        <v>Stocks</v>
      </c>
      <c r="AN1241" t="str">
        <f t="shared" si="1169"/>
        <v>Buy</v>
      </c>
      <c r="AO1241" s="13">
        <f t="shared" si="1170"/>
        <v>-1.9900000000000001E-2</v>
      </c>
      <c r="AP1241" s="13">
        <f t="shared" si="1171"/>
        <v>1E-3</v>
      </c>
      <c r="AQ1241" s="13">
        <f t="shared" si="1172"/>
        <v>-1.9900000000000001E-2</v>
      </c>
      <c r="AR1241" s="13">
        <f t="shared" si="1164"/>
        <v>-1.9900000000000001E-2</v>
      </c>
      <c r="AS1241" s="6">
        <f t="shared" si="1156"/>
        <v>114.90555855052438</v>
      </c>
      <c r="AT1241" s="6">
        <f t="shared" si="1157"/>
        <v>109.57823683984104</v>
      </c>
      <c r="AU1241" s="6">
        <f t="shared" si="1158"/>
        <v>114.52641951541302</v>
      </c>
      <c r="AV1241" s="6">
        <f t="shared" si="1159"/>
        <v>114.90555855052438</v>
      </c>
      <c r="AW1241" s="58">
        <f t="shared" si="1165"/>
        <v>1994</v>
      </c>
      <c r="AX1241" s="58">
        <f>COUNTIF(AW$3:AW1241,AW1241)</f>
        <v>6</v>
      </c>
    </row>
    <row r="1242" spans="1:50" x14ac:dyDescent="0.25">
      <c r="A1242" s="5">
        <v>34651</v>
      </c>
      <c r="B1242">
        <v>462.35</v>
      </c>
      <c r="C1242">
        <v>5.22</v>
      </c>
      <c r="D1242" s="6">
        <v>16.75</v>
      </c>
      <c r="E1242" s="18">
        <f t="shared" si="1178"/>
        <v>15.74</v>
      </c>
      <c r="F1242">
        <f t="shared" si="1179"/>
        <v>1</v>
      </c>
      <c r="G1242" s="18">
        <f>ROUND(INDEX(Valuation!U:U,MATCH(A1242,Valuation!A:A,0)),2)</f>
        <v>240.08</v>
      </c>
      <c r="H1242">
        <f t="shared" si="1150"/>
        <v>3</v>
      </c>
      <c r="I1242" s="18">
        <f>INDEX(WeeklyIndicators!Y:Y,MATCH(A1242,WeeklyIndicators!A:A,0))</f>
        <v>122.64</v>
      </c>
      <c r="J1242">
        <f t="shared" si="1175"/>
        <v>0</v>
      </c>
      <c r="K1242">
        <f>ROUND(INDEX(Economic!AF:AF,MATCH(EOMONTH($A1242,-1),Economic!A:A,0)),2)</f>
        <v>131.63999999999999</v>
      </c>
      <c r="L1242" s="11">
        <f t="shared" si="1184"/>
        <v>2</v>
      </c>
      <c r="M1242">
        <f>ROUND(INDEX(Manufacturing!P:P,MATCH(EOMONTH($A1242,-1),Manufacturing!A:A,0)),2)</f>
        <v>113.76</v>
      </c>
      <c r="N1242">
        <f t="shared" si="1180"/>
        <v>3</v>
      </c>
      <c r="O1242">
        <f>ROUND(INDEX(Housing!AC:AC,MATCH(EOMONTH($A1242,-1),Housing!B:B,0)),2)</f>
        <v>79.13</v>
      </c>
      <c r="P1242">
        <f t="shared" si="1181"/>
        <v>-1</v>
      </c>
      <c r="Q1242">
        <f>ROUND(INDEX(Spending!AJ:AJ,MATCH(EOMONTH($A1242,-1),Spending!B:B,0)),2)</f>
        <v>61.06</v>
      </c>
      <c r="R1242">
        <f t="shared" si="1185"/>
        <v>2</v>
      </c>
      <c r="S1242">
        <f>ROUND(INDEX(Employment!V:V,MATCH(EOMONTH($A1242,-1),Employment!A:A,0)),2)</f>
        <v>197.05</v>
      </c>
      <c r="T1242" s="11">
        <f t="shared" si="1182"/>
        <v>3</v>
      </c>
      <c r="U1242">
        <f t="shared" si="1174"/>
        <v>33</v>
      </c>
      <c r="V1242">
        <f t="shared" si="1166"/>
        <v>80.17</v>
      </c>
      <c r="W1242" s="13">
        <f t="shared" si="1167"/>
        <v>-2.3E-3</v>
      </c>
      <c r="X1242" s="13">
        <f t="shared" si="1168"/>
        <v>6.1000000000000004E-3</v>
      </c>
      <c r="Y1242">
        <f t="shared" si="1160"/>
        <v>95.74</v>
      </c>
      <c r="Z1242" s="13">
        <f t="shared" si="1155"/>
        <v>-5.4999999999999997E-3</v>
      </c>
      <c r="AA1242" s="13">
        <f t="shared" si="1151"/>
        <v>-3.7000000000000002E-3</v>
      </c>
      <c r="AB1242" s="6">
        <f t="shared" si="1161"/>
        <v>114.738</v>
      </c>
      <c r="AC1242">
        <f t="shared" si="1153"/>
        <v>57</v>
      </c>
      <c r="AD1242" s="11">
        <f t="shared" si="1154"/>
        <v>2</v>
      </c>
      <c r="AE1242">
        <f t="shared" si="1152"/>
        <v>37</v>
      </c>
      <c r="AF1242">
        <f>IF(AND(AE1242&lt;15,OR(AC1242&gt;=30,AA1242&gt;0.15,X1242&gt;=0.15)),2,VLOOKUP(AE1242,Table!P:Q,2,FALSE))</f>
        <v>6</v>
      </c>
      <c r="AG1242" s="22">
        <f>IF((AB1242*0.98)-(D1242*0.8)+((AF1242-3)*3)+VLOOKUP(AM1242,Table!$A$11:$B$13,2,FALSE)&lt;0,0,(AB1242*0.98)-(D1242*0.8)+((AF1242-3)*3)+VLOOKUP(AM1242,Table!$A$11:$B$13,2,FALSE))</f>
        <v>116.04324</v>
      </c>
      <c r="AH1242" s="22">
        <f t="shared" si="1183"/>
        <v>100</v>
      </c>
      <c r="AI1242" s="18">
        <f t="shared" si="1176"/>
        <v>4.79</v>
      </c>
      <c r="AJ1242" s="18">
        <f t="shared" si="1177"/>
        <v>4.22</v>
      </c>
      <c r="AK1242" t="str">
        <f t="shared" si="1162"/>
        <v>Rising Rates</v>
      </c>
      <c r="AL1242">
        <f t="shared" si="1173"/>
        <v>37</v>
      </c>
      <c r="AM1242" s="11" t="str">
        <f t="shared" si="1163"/>
        <v>Stocks</v>
      </c>
      <c r="AN1242" t="str">
        <f t="shared" si="1169"/>
        <v>Buy</v>
      </c>
      <c r="AO1242" s="13">
        <f t="shared" si="1170"/>
        <v>-1.9E-3</v>
      </c>
      <c r="AP1242" s="13">
        <f t="shared" si="1171"/>
        <v>1E-3</v>
      </c>
      <c r="AQ1242" s="13">
        <f t="shared" si="1172"/>
        <v>-1.9E-3</v>
      </c>
      <c r="AR1242" s="13">
        <f t="shared" si="1164"/>
        <v>-1.9E-3</v>
      </c>
      <c r="AS1242" s="6">
        <f t="shared" si="1156"/>
        <v>115.12429471047427</v>
      </c>
      <c r="AT1242" s="6">
        <f t="shared" si="1157"/>
        <v>109.46876807176928</v>
      </c>
      <c r="AU1242" s="6">
        <f t="shared" si="1158"/>
        <v>114.74443393989884</v>
      </c>
      <c r="AV1242" s="6">
        <f t="shared" si="1159"/>
        <v>115.12429471047427</v>
      </c>
      <c r="AW1242" s="58">
        <f t="shared" si="1165"/>
        <v>1994</v>
      </c>
      <c r="AX1242" s="58">
        <f>COUNTIF(AW$3:AW1242,AW1242)</f>
        <v>7</v>
      </c>
    </row>
    <row r="1243" spans="1:50" x14ac:dyDescent="0.25">
      <c r="A1243" s="5">
        <v>34644</v>
      </c>
      <c r="B1243">
        <v>462.28</v>
      </c>
      <c r="C1243">
        <v>5.0999999999999996</v>
      </c>
      <c r="D1243" s="6">
        <v>14.56</v>
      </c>
      <c r="E1243" s="18">
        <f t="shared" si="1178"/>
        <v>14.6</v>
      </c>
      <c r="F1243">
        <f t="shared" si="1179"/>
        <v>1</v>
      </c>
      <c r="G1243" s="18">
        <f>ROUND(INDEX(Valuation!U:U,MATCH(A1243,Valuation!A:A,0)),2)</f>
        <v>241.47</v>
      </c>
      <c r="H1243">
        <f t="shared" si="1150"/>
        <v>3</v>
      </c>
      <c r="I1243" s="18">
        <f>INDEX(WeeklyIndicators!Y:Y,MATCH(A1243,WeeklyIndicators!A:A,0))</f>
        <v>122.77</v>
      </c>
      <c r="J1243">
        <f t="shared" si="1175"/>
        <v>0</v>
      </c>
      <c r="K1243">
        <f>ROUND(INDEX(Economic!AF:AF,MATCH(EOMONTH($A1243,-1),Economic!A:A,0)),2)</f>
        <v>131.63999999999999</v>
      </c>
      <c r="L1243" s="11">
        <f t="shared" si="1184"/>
        <v>2</v>
      </c>
      <c r="M1243">
        <f>ROUND(INDEX(Manufacturing!P:P,MATCH(EOMONTH($A1243,-1),Manufacturing!A:A,0)),2)</f>
        <v>113.76</v>
      </c>
      <c r="N1243">
        <f t="shared" si="1180"/>
        <v>3</v>
      </c>
      <c r="O1243">
        <f>ROUND(INDEX(Housing!AC:AC,MATCH(EOMONTH($A1243,-1),Housing!B:B,0)),2)</f>
        <v>79.13</v>
      </c>
      <c r="P1243">
        <f t="shared" si="1181"/>
        <v>-1</v>
      </c>
      <c r="Q1243">
        <f>ROUND(INDEX(Spending!AJ:AJ,MATCH(EOMONTH($A1243,-1),Spending!B:B,0)),2)</f>
        <v>61.06</v>
      </c>
      <c r="R1243">
        <f t="shared" si="1185"/>
        <v>2</v>
      </c>
      <c r="S1243">
        <f>ROUND(INDEX(Employment!V:V,MATCH(EOMONTH($A1243,-1),Employment!A:A,0)),2)</f>
        <v>197.05</v>
      </c>
      <c r="T1243" s="11">
        <f t="shared" si="1182"/>
        <v>3</v>
      </c>
      <c r="U1243">
        <f t="shared" si="1174"/>
        <v>33</v>
      </c>
      <c r="V1243">
        <f t="shared" si="1166"/>
        <v>80.19</v>
      </c>
      <c r="W1243" s="13">
        <f t="shared" si="1167"/>
        <v>-1.1999999999999999E-3</v>
      </c>
      <c r="X1243" s="13">
        <f t="shared" si="1168"/>
        <v>1.0400000000000001E-2</v>
      </c>
      <c r="Y1243">
        <f t="shared" si="1160"/>
        <v>96.31</v>
      </c>
      <c r="Z1243" s="13">
        <f t="shared" si="1155"/>
        <v>-2.5000000000000001E-3</v>
      </c>
      <c r="AA1243" s="13">
        <f t="shared" si="1151"/>
        <v>0</v>
      </c>
      <c r="AB1243" s="6">
        <f t="shared" si="1161"/>
        <v>115.73700000000001</v>
      </c>
      <c r="AC1243">
        <f t="shared" si="1153"/>
        <v>58</v>
      </c>
      <c r="AD1243" s="11">
        <f t="shared" si="1154"/>
        <v>2</v>
      </c>
      <c r="AE1243">
        <f t="shared" si="1152"/>
        <v>37</v>
      </c>
      <c r="AF1243">
        <f>IF(AND(AE1243&lt;15,OR(AC1243&gt;=30,AA1243&gt;0.15,X1243&gt;=0.15)),2,VLOOKUP(AE1243,Table!P:Q,2,FALSE))</f>
        <v>6</v>
      </c>
      <c r="AG1243" s="22">
        <f>IF((AB1243*0.98)-(D1243*0.8)+((AF1243-3)*3)+VLOOKUP(AM1243,Table!$A$11:$B$13,2,FALSE)&lt;0,0,(AB1243*0.98)-(D1243*0.8)+((AF1243-3)*3)+VLOOKUP(AM1243,Table!$A$11:$B$13,2,FALSE))</f>
        <v>118.77426000000001</v>
      </c>
      <c r="AH1243" s="22">
        <f t="shared" si="1183"/>
        <v>100</v>
      </c>
      <c r="AI1243" s="18">
        <f t="shared" si="1176"/>
        <v>4.7300000000000004</v>
      </c>
      <c r="AJ1243" s="18">
        <f t="shared" si="1177"/>
        <v>4.17</v>
      </c>
      <c r="AK1243" t="str">
        <f t="shared" si="1162"/>
        <v>Rising Rates</v>
      </c>
      <c r="AL1243">
        <f t="shared" si="1173"/>
        <v>36.75</v>
      </c>
      <c r="AM1243" s="11" t="str">
        <f t="shared" si="1163"/>
        <v>Stocks</v>
      </c>
      <c r="AN1243" t="str">
        <f t="shared" si="1169"/>
        <v>Buy</v>
      </c>
      <c r="AO1243" s="13">
        <f t="shared" si="1170"/>
        <v>2.0000000000000001E-4</v>
      </c>
      <c r="AP1243" s="13">
        <f t="shared" si="1171"/>
        <v>1E-3</v>
      </c>
      <c r="AQ1243" s="13">
        <f t="shared" si="1172"/>
        <v>2.0000000000000001E-4</v>
      </c>
      <c r="AR1243" s="13">
        <f t="shared" si="1164"/>
        <v>2.0000000000000001E-4</v>
      </c>
      <c r="AS1243" s="6">
        <f t="shared" si="1156"/>
        <v>115.10127445558317</v>
      </c>
      <c r="AT1243" s="6">
        <f t="shared" si="1157"/>
        <v>109.35940866310618</v>
      </c>
      <c r="AU1243" s="6">
        <f t="shared" si="1158"/>
        <v>114.72148964197045</v>
      </c>
      <c r="AV1243" s="6">
        <f t="shared" si="1159"/>
        <v>115.10127445558317</v>
      </c>
      <c r="AW1243" s="58">
        <f t="shared" si="1165"/>
        <v>1994</v>
      </c>
      <c r="AX1243" s="58">
        <f>COUNTIF(AW$3:AW1243,AW1243)</f>
        <v>8</v>
      </c>
    </row>
    <row r="1244" spans="1:50" x14ac:dyDescent="0.25">
      <c r="A1244" s="5">
        <v>34637</v>
      </c>
      <c r="B1244">
        <v>473.77</v>
      </c>
      <c r="C1244">
        <v>5.01</v>
      </c>
      <c r="D1244" s="6">
        <v>15.91</v>
      </c>
      <c r="E1244" s="18">
        <f t="shared" si="1178"/>
        <v>14.72</v>
      </c>
      <c r="F1244">
        <f t="shared" si="1179"/>
        <v>1</v>
      </c>
      <c r="G1244" s="18">
        <f>ROUND(INDEX(Valuation!U:U,MATCH(A1244,Valuation!A:A,0)),2)</f>
        <v>242.33</v>
      </c>
      <c r="H1244">
        <f t="shared" ref="H1244:H1307" si="1186">IF(G1244&gt;200,3,IF(AND(G1244&gt;160,G1244&lt;=200),2,IF(AND(G1244&gt;120,G1244&lt;=160),1,IF(G1244&lt;25,-3,IF(AND(G1244&lt;50,G1244&gt;=25),-2,IF(AND(G1244&lt;90,G1244&gt;=50),-1,0))))))</f>
        <v>3</v>
      </c>
      <c r="I1244" s="18">
        <f>INDEX(WeeklyIndicators!Y:Y,MATCH(A1244,WeeklyIndicators!A:A,0))</f>
        <v>122.92</v>
      </c>
      <c r="J1244">
        <f t="shared" si="1175"/>
        <v>0</v>
      </c>
      <c r="K1244">
        <f>ROUND(INDEX(Economic!AF:AF,MATCH(EOMONTH($A1244,-1),Economic!A:A,0)),2)</f>
        <v>130.38</v>
      </c>
      <c r="L1244" s="11">
        <f t="shared" si="1184"/>
        <v>2</v>
      </c>
      <c r="M1244">
        <f>ROUND(INDEX(Manufacturing!P:P,MATCH(EOMONTH($A1244,-1),Manufacturing!A:A,0)),2)</f>
        <v>113.74</v>
      </c>
      <c r="N1244">
        <f t="shared" si="1180"/>
        <v>3</v>
      </c>
      <c r="O1244">
        <f>ROUND(INDEX(Housing!AC:AC,MATCH(EOMONTH($A1244,-1),Housing!B:B,0)),2)</f>
        <v>83.49</v>
      </c>
      <c r="P1244">
        <f t="shared" si="1181"/>
        <v>-1</v>
      </c>
      <c r="Q1244">
        <f>ROUND(INDEX(Spending!AJ:AJ,MATCH(EOMONTH($A1244,-1),Spending!B:B,0)),2)</f>
        <v>60.03</v>
      </c>
      <c r="R1244">
        <f t="shared" si="1185"/>
        <v>2</v>
      </c>
      <c r="S1244">
        <f>ROUND(INDEX(Employment!V:V,MATCH(EOMONTH($A1244,-1),Employment!A:A,0)),2)</f>
        <v>204.41</v>
      </c>
      <c r="T1244" s="11">
        <f t="shared" si="1182"/>
        <v>3</v>
      </c>
      <c r="U1244">
        <f t="shared" si="1174"/>
        <v>33</v>
      </c>
      <c r="V1244">
        <f t="shared" si="1166"/>
        <v>80.849999999999994</v>
      </c>
      <c r="W1244" s="13">
        <f t="shared" si="1167"/>
        <v>3.8999999999999998E-3</v>
      </c>
      <c r="X1244" s="13">
        <f t="shared" si="1168"/>
        <v>7.8000000000000014E-3</v>
      </c>
      <c r="Y1244">
        <f t="shared" si="1160"/>
        <v>97.03</v>
      </c>
      <c r="Z1244" s="13">
        <f t="shared" si="1155"/>
        <v>1E-3</v>
      </c>
      <c r="AA1244" s="13">
        <f t="shared" si="1151"/>
        <v>-4.0999999999999995E-3</v>
      </c>
      <c r="AB1244" s="6">
        <f t="shared" si="1161"/>
        <v>116.26300000000001</v>
      </c>
      <c r="AC1244">
        <f t="shared" si="1153"/>
        <v>58</v>
      </c>
      <c r="AD1244" s="11">
        <f t="shared" si="1154"/>
        <v>2</v>
      </c>
      <c r="AE1244">
        <f t="shared" si="1152"/>
        <v>37</v>
      </c>
      <c r="AF1244">
        <f>IF(AND(AE1244&lt;15,OR(AC1244&gt;=30,AA1244&gt;0.15,X1244&gt;=0.15)),2,VLOOKUP(AE1244,Table!P:Q,2,FALSE))</f>
        <v>6</v>
      </c>
      <c r="AG1244" s="22">
        <f>IF((AB1244*0.98)-(D1244*0.8)+((AF1244-3)*3)+VLOOKUP(AM1244,Table!$A$11:$B$13,2,FALSE)&lt;0,0,(AB1244*0.98)-(D1244*0.8)+((AF1244-3)*3)+VLOOKUP(AM1244,Table!$A$11:$B$13,2,FALSE))</f>
        <v>118.20974000000001</v>
      </c>
      <c r="AH1244" s="22">
        <f t="shared" si="1183"/>
        <v>100</v>
      </c>
      <c r="AI1244" s="18">
        <f t="shared" si="1176"/>
        <v>4.67</v>
      </c>
      <c r="AJ1244" s="18">
        <f t="shared" si="1177"/>
        <v>4.12</v>
      </c>
      <c r="AK1244" t="str">
        <f t="shared" si="1162"/>
        <v>Rising Rates</v>
      </c>
      <c r="AL1244">
        <f t="shared" si="1173"/>
        <v>36.75</v>
      </c>
      <c r="AM1244" s="11" t="str">
        <f t="shared" si="1163"/>
        <v>Stocks</v>
      </c>
      <c r="AN1244" t="str">
        <f t="shared" si="1169"/>
        <v>Buy</v>
      </c>
      <c r="AO1244" s="13">
        <f t="shared" si="1170"/>
        <v>-2.4299999999999999E-2</v>
      </c>
      <c r="AP1244" s="13">
        <f t="shared" si="1171"/>
        <v>1E-3</v>
      </c>
      <c r="AQ1244" s="13">
        <f t="shared" si="1172"/>
        <v>-2.4299999999999999E-2</v>
      </c>
      <c r="AR1244" s="13">
        <f t="shared" si="1164"/>
        <v>-2.4299999999999999E-2</v>
      </c>
      <c r="AS1244" s="6">
        <f t="shared" si="1156"/>
        <v>117.96789428675122</v>
      </c>
      <c r="AT1244" s="6">
        <f t="shared" si="1157"/>
        <v>109.25015850460159</v>
      </c>
      <c r="AU1244" s="6">
        <f t="shared" si="1158"/>
        <v>117.57865085781536</v>
      </c>
      <c r="AV1244" s="6">
        <f t="shared" si="1159"/>
        <v>117.96789428675122</v>
      </c>
      <c r="AW1244" s="58">
        <f t="shared" si="1165"/>
        <v>1994</v>
      </c>
      <c r="AX1244" s="58">
        <f>COUNTIF(AW$3:AW1244,AW1244)</f>
        <v>9</v>
      </c>
    </row>
    <row r="1245" spans="1:50" x14ac:dyDescent="0.25">
      <c r="A1245" s="5">
        <v>34630</v>
      </c>
      <c r="B1245">
        <v>464.89</v>
      </c>
      <c r="C1245">
        <v>4.9400000000000004</v>
      </c>
      <c r="D1245" s="6">
        <v>13.32</v>
      </c>
      <c r="E1245" s="18">
        <f t="shared" si="1178"/>
        <v>14.17</v>
      </c>
      <c r="F1245">
        <f t="shared" si="1179"/>
        <v>1</v>
      </c>
      <c r="G1245" s="18">
        <f>ROUND(INDEX(Valuation!U:U,MATCH(A1245,Valuation!A:A,0)),2)</f>
        <v>244.53</v>
      </c>
      <c r="H1245">
        <f t="shared" si="1186"/>
        <v>3</v>
      </c>
      <c r="I1245" s="18">
        <f>INDEX(WeeklyIndicators!Y:Y,MATCH(A1245,WeeklyIndicators!A:A,0))</f>
        <v>121.59</v>
      </c>
      <c r="J1245">
        <f t="shared" si="1175"/>
        <v>0</v>
      </c>
      <c r="K1245">
        <f>ROUND(INDEX(Economic!AF:AF,MATCH(EOMONTH($A1245,-1),Economic!A:A,0)),2)</f>
        <v>130.38</v>
      </c>
      <c r="L1245" s="11">
        <f t="shared" si="1184"/>
        <v>2</v>
      </c>
      <c r="M1245">
        <f>ROUND(INDEX(Manufacturing!P:P,MATCH(EOMONTH($A1245,-1),Manufacturing!A:A,0)),2)</f>
        <v>113.74</v>
      </c>
      <c r="N1245">
        <f t="shared" si="1180"/>
        <v>3</v>
      </c>
      <c r="O1245">
        <f>ROUND(INDEX(Housing!AC:AC,MATCH(EOMONTH($A1245,-1),Housing!B:B,0)),2)</f>
        <v>83.49</v>
      </c>
      <c r="P1245">
        <f t="shared" si="1181"/>
        <v>-1</v>
      </c>
      <c r="Q1245">
        <f>ROUND(INDEX(Spending!AJ:AJ,MATCH(EOMONTH($A1245,-1),Spending!B:B,0)),2)</f>
        <v>60.03</v>
      </c>
      <c r="R1245">
        <f t="shared" si="1185"/>
        <v>2</v>
      </c>
      <c r="S1245">
        <f>ROUND(INDEX(Employment!V:V,MATCH(EOMONTH($A1245,-1),Employment!A:A,0)),2)</f>
        <v>204.41</v>
      </c>
      <c r="T1245" s="11">
        <f t="shared" si="1182"/>
        <v>3</v>
      </c>
      <c r="U1245">
        <f t="shared" si="1174"/>
        <v>33</v>
      </c>
      <c r="V1245">
        <f t="shared" si="1166"/>
        <v>80.72</v>
      </c>
      <c r="W1245" s="13">
        <f t="shared" si="1167"/>
        <v>5.7000000000000002E-3</v>
      </c>
      <c r="X1245" s="13">
        <f t="shared" si="1168"/>
        <v>-7.6999999999999985E-3</v>
      </c>
      <c r="Y1245">
        <f t="shared" si="1160"/>
        <v>97.33</v>
      </c>
      <c r="Z1245" s="13">
        <f t="shared" si="1155"/>
        <v>3.3E-3</v>
      </c>
      <c r="AA1245" s="13">
        <f t="shared" si="1151"/>
        <v>-1.7899999999999999E-2</v>
      </c>
      <c r="AB1245" s="6">
        <f t="shared" si="1161"/>
        <v>115.693</v>
      </c>
      <c r="AC1245">
        <f t="shared" si="1153"/>
        <v>58</v>
      </c>
      <c r="AD1245" s="11">
        <f t="shared" si="1154"/>
        <v>2</v>
      </c>
      <c r="AE1245">
        <f t="shared" si="1152"/>
        <v>37</v>
      </c>
      <c r="AF1245">
        <f>IF(AND(AE1245&lt;15,OR(AC1245&gt;=30,AA1245&gt;0.15,X1245&gt;=0.15)),2,VLOOKUP(AE1245,Table!P:Q,2,FALSE))</f>
        <v>6</v>
      </c>
      <c r="AG1245" s="22">
        <f>IF((AB1245*0.98)-(D1245*0.8)+((AF1245-3)*3)+VLOOKUP(AM1245,Table!$A$11:$B$13,2,FALSE)&lt;0,0,(AB1245*0.98)-(D1245*0.8)+((AF1245-3)*3)+VLOOKUP(AM1245,Table!$A$11:$B$13,2,FALSE))</f>
        <v>119.72313999999999</v>
      </c>
      <c r="AH1245" s="22">
        <f t="shared" si="1183"/>
        <v>100</v>
      </c>
      <c r="AI1245" s="18">
        <f t="shared" si="1176"/>
        <v>4.62</v>
      </c>
      <c r="AJ1245" s="18">
        <f t="shared" si="1177"/>
        <v>4.0599999999999996</v>
      </c>
      <c r="AK1245" t="str">
        <f t="shared" si="1162"/>
        <v>Rising Rates</v>
      </c>
      <c r="AL1245">
        <f t="shared" si="1173"/>
        <v>36.75</v>
      </c>
      <c r="AM1245" s="11" t="str">
        <f t="shared" si="1163"/>
        <v>Stocks</v>
      </c>
      <c r="AN1245" t="str">
        <f t="shared" si="1169"/>
        <v>Buy</v>
      </c>
      <c r="AO1245" s="13">
        <f t="shared" si="1170"/>
        <v>1.9099999999999999E-2</v>
      </c>
      <c r="AP1245" s="13">
        <f t="shared" si="1171"/>
        <v>1E-3</v>
      </c>
      <c r="AQ1245" s="13">
        <f t="shared" si="1172"/>
        <v>1.9099999999999999E-2</v>
      </c>
      <c r="AR1245" s="13">
        <f t="shared" si="1164"/>
        <v>1.9099999999999999E-2</v>
      </c>
      <c r="AS1245" s="6">
        <f t="shared" si="1156"/>
        <v>115.7569367939861</v>
      </c>
      <c r="AT1245" s="6">
        <f t="shared" si="1157"/>
        <v>109.14101748711448</v>
      </c>
      <c r="AU1245" s="6">
        <f t="shared" si="1158"/>
        <v>115.37498857601352</v>
      </c>
      <c r="AV1245" s="6">
        <f t="shared" si="1159"/>
        <v>115.7569367939861</v>
      </c>
      <c r="AW1245" s="58">
        <f t="shared" si="1165"/>
        <v>1994</v>
      </c>
      <c r="AX1245" s="58">
        <f>COUNTIF(AW$3:AW1245,AW1245)</f>
        <v>10</v>
      </c>
    </row>
    <row r="1246" spans="1:50" x14ac:dyDescent="0.25">
      <c r="A1246" s="5">
        <v>34623</v>
      </c>
      <c r="B1246">
        <v>469.1</v>
      </c>
      <c r="C1246">
        <v>4.91</v>
      </c>
      <c r="D1246" s="6">
        <v>14.92</v>
      </c>
      <c r="E1246" s="18">
        <f t="shared" si="1178"/>
        <v>14.58</v>
      </c>
      <c r="F1246">
        <f t="shared" si="1179"/>
        <v>1</v>
      </c>
      <c r="G1246" s="18">
        <f>ROUND(INDEX(Valuation!U:U,MATCH(A1246,Valuation!A:A,0)),2)</f>
        <v>245.25</v>
      </c>
      <c r="H1246">
        <f t="shared" si="1186"/>
        <v>3</v>
      </c>
      <c r="I1246" s="18">
        <f>INDEX(WeeklyIndicators!Y:Y,MATCH(A1246,WeeklyIndicators!A:A,0))</f>
        <v>119.27</v>
      </c>
      <c r="J1246">
        <f t="shared" si="1175"/>
        <v>-1</v>
      </c>
      <c r="K1246">
        <f>ROUND(INDEX(Economic!AF:AF,MATCH(EOMONTH($A1246,-1),Economic!A:A,0)),2)</f>
        <v>130.38</v>
      </c>
      <c r="L1246" s="11">
        <f t="shared" si="1184"/>
        <v>2</v>
      </c>
      <c r="M1246">
        <f>ROUND(INDEX(Manufacturing!P:P,MATCH(EOMONTH($A1246,-1),Manufacturing!A:A,0)),2)</f>
        <v>113.74</v>
      </c>
      <c r="N1246">
        <f t="shared" si="1180"/>
        <v>3</v>
      </c>
      <c r="O1246">
        <f>ROUND(INDEX(Housing!AC:AC,MATCH(EOMONTH($A1246,-1),Housing!B:B,0)),2)</f>
        <v>83.49</v>
      </c>
      <c r="P1246">
        <f t="shared" si="1181"/>
        <v>-1</v>
      </c>
      <c r="Q1246">
        <f>ROUND(INDEX(Spending!AJ:AJ,MATCH(EOMONTH($A1246,-1),Spending!B:B,0)),2)</f>
        <v>60.03</v>
      </c>
      <c r="R1246">
        <f t="shared" si="1185"/>
        <v>2</v>
      </c>
      <c r="S1246">
        <f>ROUND(INDEX(Employment!V:V,MATCH(EOMONTH($A1246,-1),Employment!A:A,0)),2)</f>
        <v>204.41</v>
      </c>
      <c r="T1246" s="11">
        <f t="shared" si="1182"/>
        <v>3</v>
      </c>
      <c r="U1246">
        <f t="shared" si="1174"/>
        <v>32</v>
      </c>
      <c r="V1246">
        <f t="shared" si="1166"/>
        <v>80.48</v>
      </c>
      <c r="W1246" s="13">
        <f t="shared" si="1167"/>
        <v>2E-3</v>
      </c>
      <c r="X1246" s="13">
        <f t="shared" si="1168"/>
        <v>-2.6499999999999999E-2</v>
      </c>
      <c r="Y1246">
        <f t="shared" si="1160"/>
        <v>97.03</v>
      </c>
      <c r="Z1246" s="13">
        <f t="shared" si="1155"/>
        <v>-1.8E-3</v>
      </c>
      <c r="AA1246" s="13">
        <f t="shared" si="1151"/>
        <v>-3.3700000000000001E-2</v>
      </c>
      <c r="AB1246" s="6">
        <f t="shared" si="1161"/>
        <v>114.215</v>
      </c>
      <c r="AC1246">
        <f t="shared" si="1153"/>
        <v>57</v>
      </c>
      <c r="AD1246" s="11">
        <f t="shared" si="1154"/>
        <v>2</v>
      </c>
      <c r="AE1246">
        <f t="shared" si="1152"/>
        <v>36</v>
      </c>
      <c r="AF1246">
        <f>IF(AND(AE1246&lt;15,OR(AC1246&gt;=30,AA1246&gt;0.15,X1246&gt;=0.15)),2,VLOOKUP(AE1246,Table!P:Q,2,FALSE))</f>
        <v>5</v>
      </c>
      <c r="AG1246" s="22">
        <f>IF((AB1246*0.98)-(D1246*0.8)+((AF1246-3)*3)+VLOOKUP(AM1246,Table!$A$11:$B$13,2,FALSE)&lt;0,0,(AB1246*0.98)-(D1246*0.8)+((AF1246-3)*3)+VLOOKUP(AM1246,Table!$A$11:$B$13,2,FALSE))</f>
        <v>113.99469999999999</v>
      </c>
      <c r="AH1246" s="22">
        <f t="shared" si="1183"/>
        <v>100</v>
      </c>
      <c r="AI1246" s="18">
        <f t="shared" si="1176"/>
        <v>4.57</v>
      </c>
      <c r="AJ1246" s="18">
        <f t="shared" si="1177"/>
        <v>4.01</v>
      </c>
      <c r="AK1246" t="str">
        <f t="shared" si="1162"/>
        <v>Rising Rates</v>
      </c>
      <c r="AL1246">
        <f t="shared" si="1173"/>
        <v>36.75</v>
      </c>
      <c r="AM1246" s="11" t="str">
        <f t="shared" si="1163"/>
        <v>Stocks</v>
      </c>
      <c r="AN1246" t="str">
        <f t="shared" si="1169"/>
        <v>Buy</v>
      </c>
      <c r="AO1246" s="13">
        <f t="shared" si="1170"/>
        <v>-8.9999999999999993E-3</v>
      </c>
      <c r="AP1246" s="13">
        <f t="shared" si="1171"/>
        <v>8.9999999999999998E-4</v>
      </c>
      <c r="AQ1246" s="13">
        <f t="shared" si="1172"/>
        <v>-8.9999999999999993E-3</v>
      </c>
      <c r="AR1246" s="13">
        <f t="shared" si="1164"/>
        <v>-8.9999999999999993E-3</v>
      </c>
      <c r="AS1246" s="6">
        <f t="shared" si="1156"/>
        <v>116.80821069019788</v>
      </c>
      <c r="AT1246" s="6">
        <f t="shared" si="1157"/>
        <v>109.04287889610799</v>
      </c>
      <c r="AU1246" s="6">
        <f t="shared" si="1158"/>
        <v>116.42279371948892</v>
      </c>
      <c r="AV1246" s="6">
        <f t="shared" si="1159"/>
        <v>116.80821069019788</v>
      </c>
      <c r="AW1246" s="58">
        <f t="shared" si="1165"/>
        <v>1994</v>
      </c>
      <c r="AX1246" s="58">
        <f>COUNTIF(AW$3:AW1246,AW1246)</f>
        <v>11</v>
      </c>
    </row>
    <row r="1247" spans="1:50" x14ac:dyDescent="0.25">
      <c r="A1247" s="5">
        <v>34616</v>
      </c>
      <c r="B1247">
        <v>455.1</v>
      </c>
      <c r="C1247">
        <v>4.9000000000000004</v>
      </c>
      <c r="D1247" s="6">
        <v>14.28</v>
      </c>
      <c r="E1247" s="18">
        <f t="shared" si="1178"/>
        <v>13.87</v>
      </c>
      <c r="F1247">
        <f t="shared" si="1179"/>
        <v>2</v>
      </c>
      <c r="G1247" s="18">
        <f>ROUND(INDEX(Valuation!U:U,MATCH(A1247,Valuation!A:A,0)),2)</f>
        <v>245.53</v>
      </c>
      <c r="H1247">
        <f t="shared" si="1186"/>
        <v>3</v>
      </c>
      <c r="I1247" s="18">
        <f>INDEX(WeeklyIndicators!Y:Y,MATCH(A1247,WeeklyIndicators!A:A,0))</f>
        <v>113.75</v>
      </c>
      <c r="J1247">
        <f t="shared" si="1175"/>
        <v>-1</v>
      </c>
      <c r="K1247">
        <f>ROUND(INDEX(Economic!AF:AF,MATCH(EOMONTH($A1247,-1),Economic!A:A,0)),2)</f>
        <v>130.38</v>
      </c>
      <c r="L1247" s="11">
        <f t="shared" si="1184"/>
        <v>2</v>
      </c>
      <c r="M1247">
        <f>ROUND(INDEX(Manufacturing!P:P,MATCH(EOMONTH($A1247,-1),Manufacturing!A:A,0)),2)</f>
        <v>113.74</v>
      </c>
      <c r="N1247">
        <f t="shared" si="1180"/>
        <v>3</v>
      </c>
      <c r="O1247">
        <f>ROUND(INDEX(Housing!AC:AC,MATCH(EOMONTH($A1247,-1),Housing!B:B,0)),2)</f>
        <v>83.49</v>
      </c>
      <c r="P1247">
        <f t="shared" si="1181"/>
        <v>-1</v>
      </c>
      <c r="Q1247">
        <f>ROUND(INDEX(Spending!AJ:AJ,MATCH(EOMONTH($A1247,-1),Spending!B:B,0)),2)</f>
        <v>60.03</v>
      </c>
      <c r="R1247">
        <f t="shared" si="1185"/>
        <v>2</v>
      </c>
      <c r="S1247">
        <f>ROUND(INDEX(Employment!V:V,MATCH(EOMONTH($A1247,-1),Employment!A:A,0)),2)</f>
        <v>204.41</v>
      </c>
      <c r="T1247" s="11">
        <f t="shared" si="1182"/>
        <v>3</v>
      </c>
      <c r="U1247">
        <f t="shared" si="1174"/>
        <v>33</v>
      </c>
      <c r="V1247">
        <f t="shared" si="1166"/>
        <v>79.900000000000006</v>
      </c>
      <c r="W1247" s="13">
        <f t="shared" si="1167"/>
        <v>-3.8E-3</v>
      </c>
      <c r="X1247" s="13">
        <f t="shared" si="1168"/>
        <v>-4.5799999999999993E-2</v>
      </c>
      <c r="Y1247">
        <f t="shared" si="1160"/>
        <v>96.73</v>
      </c>
      <c r="Z1247" s="13">
        <f t="shared" si="1155"/>
        <v>-6.6E-3</v>
      </c>
      <c r="AA1247" s="13">
        <f t="shared" si="1151"/>
        <v>-4.7E-2</v>
      </c>
      <c r="AB1247" s="6">
        <f t="shared" si="1161"/>
        <v>112.843</v>
      </c>
      <c r="AC1247">
        <f t="shared" si="1153"/>
        <v>56</v>
      </c>
      <c r="AD1247" s="11">
        <f t="shared" si="1154"/>
        <v>2</v>
      </c>
      <c r="AE1247">
        <f t="shared" si="1152"/>
        <v>37</v>
      </c>
      <c r="AF1247">
        <f>IF(AND(AE1247&lt;15,OR(AC1247&gt;=30,AA1247&gt;0.15,X1247&gt;=0.15)),2,VLOOKUP(AE1247,Table!P:Q,2,FALSE))</f>
        <v>6</v>
      </c>
      <c r="AG1247" s="22">
        <f>IF((AB1247*0.98)-(D1247*0.8)+((AF1247-3)*3)+VLOOKUP(AM1247,Table!$A$11:$B$13,2,FALSE)&lt;0,0,(AB1247*0.98)-(D1247*0.8)+((AF1247-3)*3)+VLOOKUP(AM1247,Table!$A$11:$B$13,2,FALSE))</f>
        <v>116.16213999999999</v>
      </c>
      <c r="AH1247" s="22">
        <f t="shared" si="1183"/>
        <v>100</v>
      </c>
      <c r="AI1247" s="18">
        <f t="shared" si="1176"/>
        <v>4.53</v>
      </c>
      <c r="AJ1247" s="18">
        <f t="shared" si="1177"/>
        <v>3.96</v>
      </c>
      <c r="AK1247" t="str">
        <f t="shared" si="1162"/>
        <v>Rising Rates</v>
      </c>
      <c r="AL1247">
        <f t="shared" si="1173"/>
        <v>37</v>
      </c>
      <c r="AM1247" s="11" t="str">
        <f t="shared" si="1163"/>
        <v>Stocks</v>
      </c>
      <c r="AN1247" t="str">
        <f t="shared" si="1169"/>
        <v>Buy</v>
      </c>
      <c r="AO1247" s="13">
        <f t="shared" si="1170"/>
        <v>3.0800000000000001E-2</v>
      </c>
      <c r="AP1247" s="13">
        <f t="shared" si="1171"/>
        <v>8.9999999999999998E-4</v>
      </c>
      <c r="AQ1247" s="13">
        <f t="shared" si="1172"/>
        <v>3.0800000000000001E-2</v>
      </c>
      <c r="AR1247" s="13">
        <f t="shared" si="1164"/>
        <v>3.0800000000000001E-2</v>
      </c>
      <c r="AS1247" s="6">
        <f t="shared" si="1156"/>
        <v>113.31801580345159</v>
      </c>
      <c r="AT1247" s="6">
        <f t="shared" si="1157"/>
        <v>108.94482855041264</v>
      </c>
      <c r="AU1247" s="6">
        <f t="shared" si="1158"/>
        <v>112.94411497816155</v>
      </c>
      <c r="AV1247" s="6">
        <f t="shared" si="1159"/>
        <v>113.31801580345159</v>
      </c>
      <c r="AW1247" s="58">
        <f t="shared" si="1165"/>
        <v>1994</v>
      </c>
      <c r="AX1247" s="58">
        <f>COUNTIF(AW$3:AW1247,AW1247)</f>
        <v>12</v>
      </c>
    </row>
    <row r="1248" spans="1:50" x14ac:dyDescent="0.25">
      <c r="A1248" s="5">
        <v>34609</v>
      </c>
      <c r="B1248">
        <v>462.71</v>
      </c>
      <c r="C1248">
        <v>4.66</v>
      </c>
      <c r="D1248" s="6">
        <v>14.53</v>
      </c>
      <c r="E1248" s="18">
        <f t="shared" si="1178"/>
        <v>13.48</v>
      </c>
      <c r="F1248">
        <f t="shared" si="1179"/>
        <v>2</v>
      </c>
      <c r="G1248" s="18">
        <f>ROUND(INDEX(Valuation!U:U,MATCH(A1248,Valuation!A:A,0)),2)</f>
        <v>245.85</v>
      </c>
      <c r="H1248">
        <f t="shared" si="1186"/>
        <v>3</v>
      </c>
      <c r="I1248" s="18">
        <f>INDEX(WeeklyIndicators!Y:Y,MATCH(A1248,WeeklyIndicators!A:A,0))</f>
        <v>108.52</v>
      </c>
      <c r="J1248">
        <f t="shared" si="1175"/>
        <v>-1</v>
      </c>
      <c r="K1248">
        <f>ROUND(INDEX(Economic!AF:AF,MATCH(EOMONTH($A1248,-1),Economic!A:A,0)),2)</f>
        <v>130.38</v>
      </c>
      <c r="L1248" s="11">
        <f t="shared" si="1184"/>
        <v>2</v>
      </c>
      <c r="M1248">
        <f>ROUND(INDEX(Manufacturing!P:P,MATCH(EOMONTH($A1248,-1),Manufacturing!A:A,0)),2)</f>
        <v>113.74</v>
      </c>
      <c r="N1248">
        <f t="shared" si="1180"/>
        <v>3</v>
      </c>
      <c r="O1248">
        <f>ROUND(INDEX(Housing!AC:AC,MATCH(EOMONTH($A1248,-1),Housing!B:B,0)),2)</f>
        <v>83.49</v>
      </c>
      <c r="P1248">
        <f t="shared" si="1181"/>
        <v>-1</v>
      </c>
      <c r="Q1248">
        <f>ROUND(INDEX(Spending!AJ:AJ,MATCH(EOMONTH($A1248,-1),Spending!B:B,0)),2)</f>
        <v>60.03</v>
      </c>
      <c r="R1248">
        <f t="shared" si="1185"/>
        <v>2</v>
      </c>
      <c r="S1248">
        <f>ROUND(INDEX(Employment!V:V,MATCH(EOMONTH($A1248,-1),Employment!A:A,0)),2)</f>
        <v>204.41</v>
      </c>
      <c r="T1248" s="11">
        <f t="shared" si="1182"/>
        <v>3</v>
      </c>
      <c r="U1248">
        <f t="shared" si="1174"/>
        <v>33</v>
      </c>
      <c r="V1248">
        <f t="shared" si="1166"/>
        <v>79.36</v>
      </c>
      <c r="W1248" s="13">
        <f t="shared" si="1167"/>
        <v>-1.1599999999999999E-2</v>
      </c>
      <c r="X1248" s="13">
        <f t="shared" si="1168"/>
        <v>-5.1899999999999995E-2</v>
      </c>
      <c r="Y1248">
        <f t="shared" si="1160"/>
        <v>96.36</v>
      </c>
      <c r="Z1248" s="13">
        <f t="shared" si="1155"/>
        <v>-1.2800000000000001E-2</v>
      </c>
      <c r="AA1248" s="13">
        <f t="shared" si="1151"/>
        <v>-5.0100000000000006E-2</v>
      </c>
      <c r="AB1248" s="6">
        <f t="shared" si="1161"/>
        <v>112.215</v>
      </c>
      <c r="AC1248">
        <f t="shared" si="1153"/>
        <v>56</v>
      </c>
      <c r="AD1248" s="11">
        <f t="shared" si="1154"/>
        <v>2</v>
      </c>
      <c r="AE1248">
        <f t="shared" si="1152"/>
        <v>37</v>
      </c>
      <c r="AF1248">
        <f>IF(AND(AE1248&lt;15,OR(AC1248&gt;=30,AA1248&gt;0.15,X1248&gt;=0.15)),2,VLOOKUP(AE1248,Table!P:Q,2,FALSE))</f>
        <v>6</v>
      </c>
      <c r="AG1248" s="22">
        <f>IF((AB1248*0.98)-(D1248*0.8)+((AF1248-3)*3)+VLOOKUP(AM1248,Table!$A$11:$B$13,2,FALSE)&lt;0,0,(AB1248*0.98)-(D1248*0.8)+((AF1248-3)*3)+VLOOKUP(AM1248,Table!$A$11:$B$13,2,FALSE))</f>
        <v>115.34670000000001</v>
      </c>
      <c r="AH1248" s="22">
        <f t="shared" si="1183"/>
        <v>100</v>
      </c>
      <c r="AI1248" s="18">
        <f t="shared" si="1176"/>
        <v>4.4800000000000004</v>
      </c>
      <c r="AJ1248" s="18">
        <f t="shared" si="1177"/>
        <v>3.91</v>
      </c>
      <c r="AK1248" t="str">
        <f t="shared" si="1162"/>
        <v>Rising Rates</v>
      </c>
      <c r="AL1248">
        <f t="shared" si="1173"/>
        <v>37.25</v>
      </c>
      <c r="AM1248" s="11" t="str">
        <f t="shared" si="1163"/>
        <v>Stocks</v>
      </c>
      <c r="AN1248" t="str">
        <f t="shared" si="1169"/>
        <v>Buy</v>
      </c>
      <c r="AO1248" s="13">
        <f t="shared" si="1170"/>
        <v>-1.6400000000000001E-2</v>
      </c>
      <c r="AP1248" s="13">
        <f t="shared" si="1171"/>
        <v>8.9999999999999998E-4</v>
      </c>
      <c r="AQ1248" s="13">
        <f t="shared" si="1172"/>
        <v>-1.6400000000000001E-2</v>
      </c>
      <c r="AR1248" s="13">
        <f t="shared" si="1164"/>
        <v>-1.6400000000000001E-2</v>
      </c>
      <c r="AS1248" s="6">
        <f t="shared" si="1156"/>
        <v>115.20741744962544</v>
      </c>
      <c r="AT1248" s="6">
        <f t="shared" si="1157"/>
        <v>108.84686637067904</v>
      </c>
      <c r="AU1248" s="6">
        <f t="shared" si="1158"/>
        <v>114.82728240968031</v>
      </c>
      <c r="AV1248" s="6">
        <f t="shared" si="1159"/>
        <v>115.20741744962544</v>
      </c>
      <c r="AW1248" s="58">
        <f t="shared" si="1165"/>
        <v>1994</v>
      </c>
      <c r="AX1248" s="58">
        <f>COUNTIF(AW$3:AW1248,AW1248)</f>
        <v>13</v>
      </c>
    </row>
    <row r="1249" spans="1:50" x14ac:dyDescent="0.25">
      <c r="A1249" s="5">
        <v>34602</v>
      </c>
      <c r="B1249">
        <v>459.67</v>
      </c>
      <c r="C1249">
        <v>4.71</v>
      </c>
      <c r="D1249" s="6">
        <v>12.8</v>
      </c>
      <c r="E1249" s="18">
        <f t="shared" si="1178"/>
        <v>12.44</v>
      </c>
      <c r="F1249">
        <f t="shared" si="1179"/>
        <v>2</v>
      </c>
      <c r="G1249" s="18">
        <f>ROUND(INDEX(Valuation!U:U,MATCH(A1249,Valuation!A:A,0)),2)</f>
        <v>247.46</v>
      </c>
      <c r="H1249">
        <f t="shared" si="1186"/>
        <v>3</v>
      </c>
      <c r="I1249" s="18">
        <f>INDEX(WeeklyIndicators!Y:Y,MATCH(A1249,WeeklyIndicators!A:A,0))</f>
        <v>107.03</v>
      </c>
      <c r="J1249">
        <f t="shared" si="1175"/>
        <v>-1</v>
      </c>
      <c r="K1249">
        <f>ROUND(INDEX(Economic!AF:AF,MATCH(EOMONTH($A1249,-1),Economic!A:A,0)),2)</f>
        <v>133.94999999999999</v>
      </c>
      <c r="L1249" s="11">
        <f t="shared" si="1184"/>
        <v>2</v>
      </c>
      <c r="M1249">
        <f>ROUND(INDEX(Manufacturing!P:P,MATCH(EOMONTH($A1249,-1),Manufacturing!A:A,0)),2)</f>
        <v>114.18</v>
      </c>
      <c r="N1249">
        <f t="shared" si="1180"/>
        <v>3</v>
      </c>
      <c r="O1249">
        <f>ROUND(INDEX(Housing!AC:AC,MATCH(EOMONTH($A1249,-1),Housing!B:B,0)),2)</f>
        <v>86.97</v>
      </c>
      <c r="P1249">
        <f t="shared" si="1181"/>
        <v>-1</v>
      </c>
      <c r="Q1249">
        <f>ROUND(INDEX(Spending!AJ:AJ,MATCH(EOMONTH($A1249,-1),Spending!B:B,0)),2)</f>
        <v>60.18</v>
      </c>
      <c r="R1249">
        <f t="shared" si="1185"/>
        <v>2</v>
      </c>
      <c r="S1249">
        <f>ROUND(INDEX(Employment!V:V,MATCH(EOMONTH($A1249,-1),Employment!A:A,0)),2)</f>
        <v>204.36</v>
      </c>
      <c r="T1249" s="11">
        <f t="shared" si="1182"/>
        <v>3</v>
      </c>
      <c r="U1249">
        <f t="shared" si="1174"/>
        <v>33</v>
      </c>
      <c r="V1249">
        <f t="shared" si="1166"/>
        <v>80.010000000000005</v>
      </c>
      <c r="W1249" s="13">
        <f t="shared" si="1167"/>
        <v>-1.3100000000000001E-2</v>
      </c>
      <c r="X1249" s="13">
        <f t="shared" si="1168"/>
        <v>-4.3099999999999999E-2</v>
      </c>
      <c r="Y1249">
        <f t="shared" si="1160"/>
        <v>97.56</v>
      </c>
      <c r="Z1249" s="13">
        <f t="shared" si="1155"/>
        <v>-1.2500000000000001E-2</v>
      </c>
      <c r="AA1249" s="13">
        <f t="shared" si="1151"/>
        <v>-4.1200000000000001E-2</v>
      </c>
      <c r="AB1249" s="6">
        <f t="shared" si="1161"/>
        <v>114.286</v>
      </c>
      <c r="AC1249">
        <f t="shared" si="1153"/>
        <v>57</v>
      </c>
      <c r="AD1249" s="11">
        <f t="shared" si="1154"/>
        <v>2</v>
      </c>
      <c r="AE1249">
        <f t="shared" si="1152"/>
        <v>37</v>
      </c>
      <c r="AF1249">
        <f>IF(AND(AE1249&lt;15,OR(AC1249&gt;=30,AA1249&gt;0.15,X1249&gt;=0.15)),2,VLOOKUP(AE1249,Table!P:Q,2,FALSE))</f>
        <v>6</v>
      </c>
      <c r="AG1249" s="22">
        <f>IF((AB1249*0.98)-(D1249*0.8)+((AF1249-3)*3)+VLOOKUP(AM1249,Table!$A$11:$B$13,2,FALSE)&lt;0,0,(AB1249*0.98)-(D1249*0.8)+((AF1249-3)*3)+VLOOKUP(AM1249,Table!$A$11:$B$13,2,FALSE))</f>
        <v>118.76027999999999</v>
      </c>
      <c r="AH1249" s="22">
        <f t="shared" si="1183"/>
        <v>100</v>
      </c>
      <c r="AI1249" s="18">
        <f t="shared" si="1176"/>
        <v>4.4400000000000004</v>
      </c>
      <c r="AJ1249" s="18">
        <f t="shared" si="1177"/>
        <v>3.87</v>
      </c>
      <c r="AK1249" t="str">
        <f t="shared" si="1162"/>
        <v>Rising Rates</v>
      </c>
      <c r="AL1249">
        <f t="shared" si="1173"/>
        <v>37.75</v>
      </c>
      <c r="AM1249" s="11" t="str">
        <f t="shared" si="1163"/>
        <v>Stocks</v>
      </c>
      <c r="AN1249" t="str">
        <f t="shared" si="1169"/>
        <v>Buy</v>
      </c>
      <c r="AO1249" s="13">
        <f t="shared" si="1170"/>
        <v>6.6E-3</v>
      </c>
      <c r="AP1249" s="13">
        <f t="shared" si="1171"/>
        <v>8.9999999999999998E-4</v>
      </c>
      <c r="AQ1249" s="13">
        <f t="shared" si="1172"/>
        <v>6.6E-3</v>
      </c>
      <c r="AR1249" s="13">
        <f t="shared" si="1164"/>
        <v>6.6E-3</v>
      </c>
      <c r="AS1249" s="6">
        <f t="shared" si="1156"/>
        <v>114.45203402506004</v>
      </c>
      <c r="AT1249" s="6">
        <f t="shared" si="1157"/>
        <v>108.74899227762918</v>
      </c>
      <c r="AU1249" s="6">
        <f t="shared" si="1158"/>
        <v>114.07439142626696</v>
      </c>
      <c r="AV1249" s="6">
        <f t="shared" si="1159"/>
        <v>114.45203402506004</v>
      </c>
      <c r="AW1249" s="58">
        <f t="shared" si="1165"/>
        <v>1994</v>
      </c>
      <c r="AX1249" s="58">
        <f>COUNTIF(AW$3:AW1249,AW1249)</f>
        <v>14</v>
      </c>
    </row>
    <row r="1250" spans="1:50" x14ac:dyDescent="0.25">
      <c r="A1250" s="5">
        <v>34595</v>
      </c>
      <c r="B1250">
        <v>471.19</v>
      </c>
      <c r="C1250">
        <v>4.59</v>
      </c>
      <c r="D1250" s="6">
        <v>13.12</v>
      </c>
      <c r="E1250" s="18">
        <f t="shared" si="1178"/>
        <v>12.24</v>
      </c>
      <c r="F1250">
        <f t="shared" si="1179"/>
        <v>2</v>
      </c>
      <c r="G1250" s="18">
        <f>ROUND(INDEX(Valuation!U:U,MATCH(A1250,Valuation!A:A,0)),2)</f>
        <v>249.59</v>
      </c>
      <c r="H1250">
        <f t="shared" si="1186"/>
        <v>3</v>
      </c>
      <c r="I1250" s="18">
        <f>INDEX(WeeklyIndicators!Y:Y,MATCH(A1250,WeeklyIndicators!A:A,0))</f>
        <v>114.81</v>
      </c>
      <c r="J1250">
        <f t="shared" si="1175"/>
        <v>-1</v>
      </c>
      <c r="K1250">
        <f>ROUND(INDEX(Economic!AF:AF,MATCH(EOMONTH($A1250,-1),Economic!A:A,0)),2)</f>
        <v>133.94999999999999</v>
      </c>
      <c r="L1250" s="11">
        <f t="shared" si="1184"/>
        <v>2</v>
      </c>
      <c r="M1250">
        <f>ROUND(INDEX(Manufacturing!P:P,MATCH(EOMONTH($A1250,-1),Manufacturing!A:A,0)),2)</f>
        <v>114.18</v>
      </c>
      <c r="N1250">
        <f t="shared" si="1180"/>
        <v>3</v>
      </c>
      <c r="O1250">
        <f>ROUND(INDEX(Housing!AC:AC,MATCH(EOMONTH($A1250,-1),Housing!B:B,0)),2)</f>
        <v>86.97</v>
      </c>
      <c r="P1250">
        <f t="shared" si="1181"/>
        <v>-1</v>
      </c>
      <c r="Q1250">
        <f>ROUND(INDEX(Spending!AJ:AJ,MATCH(EOMONTH($A1250,-1),Spending!B:B,0)),2)</f>
        <v>60.18</v>
      </c>
      <c r="R1250">
        <f t="shared" si="1185"/>
        <v>2</v>
      </c>
      <c r="S1250">
        <f>ROUND(INDEX(Employment!V:V,MATCH(EOMONTH($A1250,-1),Employment!A:A,0)),2)</f>
        <v>204.36</v>
      </c>
      <c r="T1250" s="11">
        <f t="shared" si="1182"/>
        <v>3</v>
      </c>
      <c r="U1250">
        <f t="shared" si="1174"/>
        <v>33</v>
      </c>
      <c r="V1250">
        <f t="shared" si="1166"/>
        <v>80.819999999999993</v>
      </c>
      <c r="W1250" s="13">
        <f t="shared" si="1167"/>
        <v>-1.7299999999999999E-2</v>
      </c>
      <c r="X1250" s="13">
        <f t="shared" si="1168"/>
        <v>-2.23E-2</v>
      </c>
      <c r="Y1250">
        <f t="shared" si="1160"/>
        <v>98.67</v>
      </c>
      <c r="Z1250" s="13">
        <f t="shared" si="1155"/>
        <v>-1.5100000000000001E-2</v>
      </c>
      <c r="AA1250" s="13">
        <f t="shared" si="1151"/>
        <v>-2.4900000000000002E-2</v>
      </c>
      <c r="AB1250" s="6">
        <f t="shared" si="1161"/>
        <v>116.929</v>
      </c>
      <c r="AC1250">
        <f t="shared" si="1153"/>
        <v>58</v>
      </c>
      <c r="AD1250" s="11">
        <f t="shared" si="1154"/>
        <v>2</v>
      </c>
      <c r="AE1250">
        <f t="shared" si="1152"/>
        <v>37</v>
      </c>
      <c r="AF1250">
        <f>IF(AND(AE1250&lt;15,OR(AC1250&gt;=30,AA1250&gt;0.15,X1250&gt;=0.15)),2,VLOOKUP(AE1250,Table!P:Q,2,FALSE))</f>
        <v>6</v>
      </c>
      <c r="AG1250" s="22">
        <f>IF((AB1250*0.98)-(D1250*0.8)+((AF1250-3)*3)+VLOOKUP(AM1250,Table!$A$11:$B$13,2,FALSE)&lt;0,0,(AB1250*0.98)-(D1250*0.8)+((AF1250-3)*3)+VLOOKUP(AM1250,Table!$A$11:$B$13,2,FALSE))</f>
        <v>121.09442</v>
      </c>
      <c r="AH1250" s="22">
        <f t="shared" si="1183"/>
        <v>100</v>
      </c>
      <c r="AI1250" s="18">
        <f t="shared" si="1176"/>
        <v>4.4000000000000004</v>
      </c>
      <c r="AJ1250" s="18">
        <f t="shared" si="1177"/>
        <v>3.83</v>
      </c>
      <c r="AK1250" t="str">
        <f t="shared" si="1162"/>
        <v>Rising Rates</v>
      </c>
      <c r="AL1250">
        <f t="shared" si="1173"/>
        <v>38.5</v>
      </c>
      <c r="AM1250" s="11" t="str">
        <f t="shared" si="1163"/>
        <v>Stocks</v>
      </c>
      <c r="AN1250" t="str">
        <f t="shared" si="1169"/>
        <v>Buy</v>
      </c>
      <c r="AO1250" s="13">
        <f t="shared" si="1170"/>
        <v>-2.4400000000000002E-2</v>
      </c>
      <c r="AP1250" s="13">
        <f t="shared" si="1171"/>
        <v>8.9999999999999998E-4</v>
      </c>
      <c r="AQ1250" s="13">
        <f t="shared" si="1172"/>
        <v>-2.4400000000000002E-2</v>
      </c>
      <c r="AR1250" s="13">
        <f t="shared" si="1164"/>
        <v>-2.4400000000000002E-2</v>
      </c>
      <c r="AS1250" s="6">
        <f t="shared" si="1156"/>
        <v>117.31450802076675</v>
      </c>
      <c r="AT1250" s="6">
        <f t="shared" si="1157"/>
        <v>108.65120619205635</v>
      </c>
      <c r="AU1250" s="6">
        <f t="shared" si="1158"/>
        <v>116.92742048612848</v>
      </c>
      <c r="AV1250" s="6">
        <f t="shared" si="1159"/>
        <v>117.31450802076675</v>
      </c>
      <c r="AW1250" s="58">
        <f t="shared" si="1165"/>
        <v>1994</v>
      </c>
      <c r="AX1250" s="58">
        <f>COUNTIF(AW$3:AW1250,AW1250)</f>
        <v>15</v>
      </c>
    </row>
    <row r="1251" spans="1:50" x14ac:dyDescent="0.25">
      <c r="A1251" s="5">
        <v>34588</v>
      </c>
      <c r="B1251">
        <v>468.18</v>
      </c>
      <c r="C1251">
        <v>4.5599999999999996</v>
      </c>
      <c r="D1251" s="6">
        <v>11.4</v>
      </c>
      <c r="E1251" s="18">
        <f t="shared" si="1178"/>
        <v>12.14</v>
      </c>
      <c r="F1251">
        <f t="shared" si="1179"/>
        <v>2</v>
      </c>
      <c r="G1251" s="18">
        <f>ROUND(INDEX(Valuation!U:U,MATCH(A1251,Valuation!A:A,0)),2)</f>
        <v>250.31</v>
      </c>
      <c r="H1251">
        <f t="shared" si="1186"/>
        <v>3</v>
      </c>
      <c r="I1251" s="18">
        <f>INDEX(WeeklyIndicators!Y:Y,MATCH(A1251,WeeklyIndicators!A:A,0))</f>
        <v>127.82</v>
      </c>
      <c r="J1251">
        <f t="shared" si="1175"/>
        <v>0</v>
      </c>
      <c r="K1251">
        <f>ROUND(INDEX(Economic!AF:AF,MATCH(EOMONTH($A1251,-1),Economic!A:A,0)),2)</f>
        <v>133.94999999999999</v>
      </c>
      <c r="L1251" s="11">
        <f t="shared" si="1184"/>
        <v>2</v>
      </c>
      <c r="M1251">
        <f>ROUND(INDEX(Manufacturing!P:P,MATCH(EOMONTH($A1251,-1),Manufacturing!A:A,0)),2)</f>
        <v>114.18</v>
      </c>
      <c r="N1251">
        <f t="shared" si="1180"/>
        <v>3</v>
      </c>
      <c r="O1251">
        <f>ROUND(INDEX(Housing!AC:AC,MATCH(EOMONTH($A1251,-1),Housing!B:B,0)),2)</f>
        <v>86.97</v>
      </c>
      <c r="P1251">
        <f t="shared" si="1181"/>
        <v>-1</v>
      </c>
      <c r="Q1251">
        <f>ROUND(INDEX(Spending!AJ:AJ,MATCH(EOMONTH($A1251,-1),Spending!B:B,0)),2)</f>
        <v>60.18</v>
      </c>
      <c r="R1251">
        <f t="shared" si="1185"/>
        <v>2</v>
      </c>
      <c r="S1251">
        <f>ROUND(INDEX(Employment!V:V,MATCH(EOMONTH($A1251,-1),Employment!A:A,0)),2)</f>
        <v>204.36</v>
      </c>
      <c r="T1251" s="11">
        <f t="shared" si="1182"/>
        <v>3</v>
      </c>
      <c r="U1251">
        <f t="shared" si="1174"/>
        <v>34</v>
      </c>
      <c r="V1251">
        <f t="shared" si="1166"/>
        <v>82.17</v>
      </c>
      <c r="W1251" s="13">
        <f t="shared" si="1167"/>
        <v>-9.9000000000000008E-3</v>
      </c>
      <c r="X1251" s="13">
        <f t="shared" si="1168"/>
        <v>-2.3000000000000008E-3</v>
      </c>
      <c r="Y1251">
        <f t="shared" si="1160"/>
        <v>100.14</v>
      </c>
      <c r="Z1251" s="13">
        <f t="shared" si="1155"/>
        <v>-9.7000000000000003E-3</v>
      </c>
      <c r="AA1251" s="13">
        <f t="shared" si="1151"/>
        <v>-8.9000000000000017E-3</v>
      </c>
      <c r="AB1251" s="6">
        <f t="shared" si="1161"/>
        <v>119.79100000000001</v>
      </c>
      <c r="AC1251">
        <f t="shared" si="1153"/>
        <v>60</v>
      </c>
      <c r="AD1251" s="11">
        <f t="shared" si="1154"/>
        <v>2</v>
      </c>
      <c r="AE1251">
        <f t="shared" si="1152"/>
        <v>38</v>
      </c>
      <c r="AF1251">
        <f>IF(AND(AE1251&lt;15,OR(AC1251&gt;=30,AA1251&gt;0.15,X1251&gt;=0.15)),2,VLOOKUP(AE1251,Table!P:Q,2,FALSE))</f>
        <v>6</v>
      </c>
      <c r="AG1251" s="22">
        <f>IF((AB1251*0.98)-(D1251*0.8)+((AF1251-3)*3)+VLOOKUP(AM1251,Table!$A$11:$B$13,2,FALSE)&lt;0,0,(AB1251*0.98)-(D1251*0.8)+((AF1251-3)*3)+VLOOKUP(AM1251,Table!$A$11:$B$13,2,FALSE))</f>
        <v>125.27518000000001</v>
      </c>
      <c r="AH1251" s="22">
        <f t="shared" si="1183"/>
        <v>100</v>
      </c>
      <c r="AI1251" s="18">
        <f t="shared" si="1176"/>
        <v>4.37</v>
      </c>
      <c r="AJ1251" s="18">
        <f t="shared" si="1177"/>
        <v>3.79</v>
      </c>
      <c r="AK1251" t="str">
        <f t="shared" si="1162"/>
        <v>Rising Rates</v>
      </c>
      <c r="AL1251">
        <f t="shared" si="1173"/>
        <v>39.25</v>
      </c>
      <c r="AM1251" s="11" t="str">
        <f t="shared" si="1163"/>
        <v>Stocks</v>
      </c>
      <c r="AN1251" t="str">
        <f t="shared" si="1169"/>
        <v>Buy</v>
      </c>
      <c r="AO1251" s="13">
        <f t="shared" si="1170"/>
        <v>6.4000000000000003E-3</v>
      </c>
      <c r="AP1251" s="13">
        <f t="shared" si="1171"/>
        <v>8.9999999999999998E-4</v>
      </c>
      <c r="AQ1251" s="13">
        <f t="shared" si="1172"/>
        <v>6.4000000000000003E-3</v>
      </c>
      <c r="AR1251" s="13">
        <f t="shared" si="1164"/>
        <v>6.4000000000000003E-3</v>
      </c>
      <c r="AS1251" s="6">
        <f t="shared" si="1156"/>
        <v>116.56846981395744</v>
      </c>
      <c r="AT1251" s="6">
        <f t="shared" si="1157"/>
        <v>108.55350803482501</v>
      </c>
      <c r="AU1251" s="6">
        <f t="shared" si="1158"/>
        <v>116.1838438852628</v>
      </c>
      <c r="AV1251" s="6">
        <f t="shared" si="1159"/>
        <v>116.56846981395744</v>
      </c>
      <c r="AW1251" s="58">
        <f t="shared" si="1165"/>
        <v>1994</v>
      </c>
      <c r="AX1251" s="58">
        <f>COUNTIF(AW$3:AW1251,AW1251)</f>
        <v>16</v>
      </c>
    </row>
    <row r="1252" spans="1:50" x14ac:dyDescent="0.25">
      <c r="A1252" s="5">
        <v>34581</v>
      </c>
      <c r="B1252">
        <v>470.99</v>
      </c>
      <c r="C1252">
        <v>4.5599999999999996</v>
      </c>
      <c r="D1252" s="6">
        <v>12.19</v>
      </c>
      <c r="E1252" s="18">
        <f t="shared" si="1178"/>
        <v>12.04</v>
      </c>
      <c r="F1252">
        <f t="shared" si="1179"/>
        <v>2</v>
      </c>
      <c r="G1252" s="18">
        <f>ROUND(INDEX(Valuation!U:U,MATCH(A1252,Valuation!A:A,0)),2)</f>
        <v>251.1</v>
      </c>
      <c r="H1252">
        <f t="shared" si="1186"/>
        <v>3</v>
      </c>
      <c r="I1252" s="18">
        <f>INDEX(WeeklyIndicators!Y:Y,MATCH(A1252,WeeklyIndicators!A:A,0))</f>
        <v>138.02000000000001</v>
      </c>
      <c r="J1252">
        <f t="shared" si="1175"/>
        <v>1</v>
      </c>
      <c r="K1252">
        <f>ROUND(INDEX(Economic!AF:AF,MATCH(EOMONTH($A1252,-1),Economic!A:A,0)),2)</f>
        <v>133.94999999999999</v>
      </c>
      <c r="L1252" s="11">
        <f t="shared" si="1184"/>
        <v>2</v>
      </c>
      <c r="M1252">
        <f>ROUND(INDEX(Manufacturing!P:P,MATCH(EOMONTH($A1252,-1),Manufacturing!A:A,0)),2)</f>
        <v>114.18</v>
      </c>
      <c r="N1252">
        <f t="shared" si="1180"/>
        <v>3</v>
      </c>
      <c r="O1252">
        <f>ROUND(INDEX(Housing!AC:AC,MATCH(EOMONTH($A1252,-1),Housing!B:B,0)),2)</f>
        <v>86.97</v>
      </c>
      <c r="P1252">
        <f t="shared" si="1181"/>
        <v>-1</v>
      </c>
      <c r="Q1252">
        <f>ROUND(INDEX(Spending!AJ:AJ,MATCH(EOMONTH($A1252,-1),Spending!B:B,0)),2)</f>
        <v>60.18</v>
      </c>
      <c r="R1252">
        <f t="shared" si="1185"/>
        <v>2</v>
      </c>
      <c r="S1252">
        <f>ROUND(INDEX(Employment!V:V,MATCH(EOMONTH($A1252,-1),Employment!A:A,0)),2)</f>
        <v>204.36</v>
      </c>
      <c r="T1252" s="11">
        <f t="shared" si="1182"/>
        <v>3</v>
      </c>
      <c r="U1252">
        <f t="shared" si="1174"/>
        <v>35</v>
      </c>
      <c r="V1252">
        <f t="shared" si="1166"/>
        <v>83.23</v>
      </c>
      <c r="W1252" s="13">
        <f t="shared" si="1167"/>
        <v>-2.8E-3</v>
      </c>
      <c r="X1252" s="13">
        <f t="shared" si="1168"/>
        <v>7.4000000000000003E-3</v>
      </c>
      <c r="Y1252">
        <f t="shared" si="1160"/>
        <v>101.32</v>
      </c>
      <c r="Z1252" s="13">
        <f t="shared" si="1155"/>
        <v>-3.8999999999999998E-3</v>
      </c>
      <c r="AA1252" s="13">
        <f t="shared" si="1151"/>
        <v>6.0000000000000016E-4</v>
      </c>
      <c r="AB1252" s="6">
        <f t="shared" si="1161"/>
        <v>121.82</v>
      </c>
      <c r="AC1252">
        <f t="shared" si="1153"/>
        <v>61</v>
      </c>
      <c r="AD1252" s="11">
        <f t="shared" si="1154"/>
        <v>2</v>
      </c>
      <c r="AE1252">
        <f t="shared" si="1152"/>
        <v>39</v>
      </c>
      <c r="AF1252">
        <f>IF(AND(AE1252&lt;15,OR(AC1252&gt;=30,AA1252&gt;0.15,X1252&gt;=0.15)),2,VLOOKUP(AE1252,Table!P:Q,2,FALSE))</f>
        <v>6</v>
      </c>
      <c r="AG1252" s="22">
        <f>IF((AB1252*0.98)-(D1252*0.8)+((AF1252-3)*3)+VLOOKUP(AM1252,Table!$A$11:$B$13,2,FALSE)&lt;0,0,(AB1252*0.98)-(D1252*0.8)+((AF1252-3)*3)+VLOOKUP(AM1252,Table!$A$11:$B$13,2,FALSE))</f>
        <v>126.63159999999999</v>
      </c>
      <c r="AH1252" s="22">
        <f t="shared" si="1183"/>
        <v>100</v>
      </c>
      <c r="AI1252" s="18">
        <f t="shared" si="1176"/>
        <v>4.33</v>
      </c>
      <c r="AJ1252" s="18">
        <f t="shared" si="1177"/>
        <v>3.75</v>
      </c>
      <c r="AK1252" t="str">
        <f t="shared" si="1162"/>
        <v>Rising Rates</v>
      </c>
      <c r="AL1252">
        <f t="shared" si="1173"/>
        <v>39.5</v>
      </c>
      <c r="AM1252" s="11" t="str">
        <f t="shared" si="1163"/>
        <v>Stocks</v>
      </c>
      <c r="AN1252" t="str">
        <f t="shared" si="1169"/>
        <v>Buy</v>
      </c>
      <c r="AO1252" s="13">
        <f t="shared" si="1170"/>
        <v>-6.0000000000000001E-3</v>
      </c>
      <c r="AP1252" s="13">
        <f t="shared" si="1171"/>
        <v>8.9999999999999998E-4</v>
      </c>
      <c r="AQ1252" s="13">
        <f t="shared" si="1172"/>
        <v>-6.0000000000000001E-3</v>
      </c>
      <c r="AR1252" s="13">
        <f t="shared" si="1164"/>
        <v>-6.0000000000000001E-3</v>
      </c>
      <c r="AS1252" s="6">
        <f t="shared" si="1156"/>
        <v>117.27210242852861</v>
      </c>
      <c r="AT1252" s="6">
        <f t="shared" si="1157"/>
        <v>108.45589772687084</v>
      </c>
      <c r="AU1252" s="6">
        <f t="shared" si="1158"/>
        <v>116.8851548141477</v>
      </c>
      <c r="AV1252" s="6">
        <f t="shared" si="1159"/>
        <v>117.27210242852861</v>
      </c>
      <c r="AW1252" s="58">
        <f t="shared" si="1165"/>
        <v>1994</v>
      </c>
      <c r="AX1252" s="58">
        <f>COUNTIF(AW$3:AW1252,AW1252)</f>
        <v>17</v>
      </c>
    </row>
    <row r="1253" spans="1:50" x14ac:dyDescent="0.25">
      <c r="A1253" s="5">
        <v>34574</v>
      </c>
      <c r="B1253">
        <v>473.8</v>
      </c>
      <c r="C1253">
        <v>4.55</v>
      </c>
      <c r="D1253" s="6">
        <v>12.83</v>
      </c>
      <c r="E1253" s="18">
        <f t="shared" si="1178"/>
        <v>12.09</v>
      </c>
      <c r="F1253">
        <f t="shared" si="1179"/>
        <v>2</v>
      </c>
      <c r="G1253" s="18">
        <f>ROUND(INDEX(Valuation!U:U,MATCH(A1253,Valuation!A:A,0)),2)</f>
        <v>251.44</v>
      </c>
      <c r="H1253">
        <f t="shared" si="1186"/>
        <v>3</v>
      </c>
      <c r="I1253" s="18">
        <f>INDEX(WeeklyIndicators!Y:Y,MATCH(A1253,WeeklyIndicators!A:A,0))</f>
        <v>141.31</v>
      </c>
      <c r="J1253">
        <f t="shared" si="1175"/>
        <v>1</v>
      </c>
      <c r="K1253">
        <f>ROUND(INDEX(Economic!AF:AF,MATCH(EOMONTH($A1253,-1),Economic!A:A,0)),2)</f>
        <v>139.75</v>
      </c>
      <c r="L1253" s="11">
        <f t="shared" si="1184"/>
        <v>3</v>
      </c>
      <c r="M1253">
        <f>ROUND(INDEX(Manufacturing!P:P,MATCH(EOMONTH($A1253,-1),Manufacturing!A:A,0)),2)</f>
        <v>114.83</v>
      </c>
      <c r="N1253">
        <f t="shared" si="1180"/>
        <v>3</v>
      </c>
      <c r="O1253">
        <f>ROUND(INDEX(Housing!AC:AC,MATCH(EOMONTH($A1253,-1),Housing!B:B,0)),2)</f>
        <v>90.13</v>
      </c>
      <c r="P1253">
        <f t="shared" si="1181"/>
        <v>-1</v>
      </c>
      <c r="Q1253">
        <f>ROUND(INDEX(Spending!AJ:AJ,MATCH(EOMONTH($A1253,-1),Spending!B:B,0)),2)</f>
        <v>61.5</v>
      </c>
      <c r="R1253">
        <f t="shared" si="1185"/>
        <v>2</v>
      </c>
      <c r="S1253">
        <f>ROUND(INDEX(Employment!V:V,MATCH(EOMONTH($A1253,-1),Employment!A:A,0)),2)</f>
        <v>208.53</v>
      </c>
      <c r="T1253" s="11">
        <f t="shared" si="1182"/>
        <v>3</v>
      </c>
      <c r="U1253">
        <f t="shared" si="1174"/>
        <v>36</v>
      </c>
      <c r="V1253">
        <f t="shared" si="1166"/>
        <v>85.16</v>
      </c>
      <c r="W1253" s="13">
        <f t="shared" si="1167"/>
        <v>7.7000000000000002E-3</v>
      </c>
      <c r="X1253" s="13">
        <f t="shared" si="1168"/>
        <v>5.3999999999999994E-3</v>
      </c>
      <c r="Y1253">
        <f t="shared" si="1160"/>
        <v>103.27</v>
      </c>
      <c r="Z1253" s="13">
        <f t="shared" si="1155"/>
        <v>3.8E-3</v>
      </c>
      <c r="AA1253" s="13">
        <f t="shared" si="1151"/>
        <v>2.6000000000000007E-3</v>
      </c>
      <c r="AB1253" s="6">
        <f t="shared" si="1161"/>
        <v>123.98400000000001</v>
      </c>
      <c r="AC1253">
        <f t="shared" si="1153"/>
        <v>62</v>
      </c>
      <c r="AD1253" s="11">
        <f t="shared" si="1154"/>
        <v>2</v>
      </c>
      <c r="AE1253">
        <f t="shared" si="1152"/>
        <v>40</v>
      </c>
      <c r="AF1253">
        <f>IF(AND(AE1253&lt;15,OR(AC1253&gt;=30,AA1253&gt;0.15,X1253&gt;=0.15)),2,VLOOKUP(AE1253,Table!P:Q,2,FALSE))</f>
        <v>6</v>
      </c>
      <c r="AG1253" s="22">
        <f>IF((AB1253*0.98)-(D1253*0.8)+((AF1253-3)*3)+VLOOKUP(AM1253,Table!$A$11:$B$13,2,FALSE)&lt;0,0,(AB1253*0.98)-(D1253*0.8)+((AF1253-3)*3)+VLOOKUP(AM1253,Table!$A$11:$B$13,2,FALSE))</f>
        <v>128.24032</v>
      </c>
      <c r="AH1253" s="22">
        <f t="shared" si="1183"/>
        <v>100</v>
      </c>
      <c r="AI1253" s="18">
        <f t="shared" si="1176"/>
        <v>4.3</v>
      </c>
      <c r="AJ1253" s="18">
        <f t="shared" si="1177"/>
        <v>3.71</v>
      </c>
      <c r="AK1253" t="str">
        <f t="shared" si="1162"/>
        <v>Rising Rates</v>
      </c>
      <c r="AL1253">
        <f t="shared" si="1173"/>
        <v>39.5</v>
      </c>
      <c r="AM1253" s="11" t="str">
        <f t="shared" si="1163"/>
        <v>Stocks</v>
      </c>
      <c r="AN1253" t="str">
        <f t="shared" si="1169"/>
        <v>Buy</v>
      </c>
      <c r="AO1253" s="13">
        <f t="shared" si="1170"/>
        <v>-5.8999999999999999E-3</v>
      </c>
      <c r="AP1253" s="13">
        <f t="shared" si="1171"/>
        <v>8.9999999999999998E-4</v>
      </c>
      <c r="AQ1253" s="13">
        <f t="shared" si="1172"/>
        <v>-5.8999999999999999E-3</v>
      </c>
      <c r="AR1253" s="13">
        <f t="shared" si="1164"/>
        <v>-5.8999999999999999E-3</v>
      </c>
      <c r="AS1253" s="6">
        <f t="shared" si="1156"/>
        <v>117.96811430291582</v>
      </c>
      <c r="AT1253" s="6">
        <f t="shared" si="1157"/>
        <v>108.35837518920057</v>
      </c>
      <c r="AU1253" s="6">
        <f t="shared" si="1158"/>
        <v>117.57887014802102</v>
      </c>
      <c r="AV1253" s="6">
        <f t="shared" si="1159"/>
        <v>117.96811430291582</v>
      </c>
      <c r="AW1253" s="58">
        <f t="shared" si="1165"/>
        <v>1994</v>
      </c>
      <c r="AX1253" s="58">
        <f>COUNTIF(AW$3:AW1253,AW1253)</f>
        <v>18</v>
      </c>
    </row>
    <row r="1254" spans="1:50" x14ac:dyDescent="0.25">
      <c r="A1254" s="5">
        <v>34567</v>
      </c>
      <c r="B1254">
        <v>463.68</v>
      </c>
      <c r="C1254">
        <v>4.5599999999999996</v>
      </c>
      <c r="D1254" s="6">
        <v>11.09</v>
      </c>
      <c r="E1254" s="18">
        <f t="shared" si="1178"/>
        <v>11.52</v>
      </c>
      <c r="F1254">
        <f t="shared" si="1179"/>
        <v>2</v>
      </c>
      <c r="G1254" s="18">
        <f>ROUND(INDEX(Valuation!U:U,MATCH(A1254,Valuation!A:A,0)),2)</f>
        <v>252.51</v>
      </c>
      <c r="H1254">
        <f t="shared" si="1186"/>
        <v>3</v>
      </c>
      <c r="I1254" s="18">
        <f>INDEX(WeeklyIndicators!Y:Y,MATCH(A1254,WeeklyIndicators!A:A,0))</f>
        <v>136.72999999999999</v>
      </c>
      <c r="J1254">
        <f t="shared" si="1175"/>
        <v>1</v>
      </c>
      <c r="K1254">
        <f>ROUND(INDEX(Economic!AF:AF,MATCH(EOMONTH($A1254,-1),Economic!A:A,0)),2)</f>
        <v>139.75</v>
      </c>
      <c r="L1254" s="11">
        <f t="shared" si="1184"/>
        <v>3</v>
      </c>
      <c r="M1254">
        <f>ROUND(INDEX(Manufacturing!P:P,MATCH(EOMONTH($A1254,-1),Manufacturing!A:A,0)),2)</f>
        <v>114.83</v>
      </c>
      <c r="N1254">
        <f t="shared" si="1180"/>
        <v>3</v>
      </c>
      <c r="O1254">
        <f>ROUND(INDEX(Housing!AC:AC,MATCH(EOMONTH($A1254,-1),Housing!B:B,0)),2)</f>
        <v>90.13</v>
      </c>
      <c r="P1254">
        <f t="shared" si="1181"/>
        <v>-1</v>
      </c>
      <c r="Q1254">
        <f>ROUND(INDEX(Spending!AJ:AJ,MATCH(EOMONTH($A1254,-1),Spending!B:B,0)),2)</f>
        <v>61.5</v>
      </c>
      <c r="R1254">
        <f t="shared" si="1185"/>
        <v>2</v>
      </c>
      <c r="S1254">
        <f>ROUND(INDEX(Employment!V:V,MATCH(EOMONTH($A1254,-1),Employment!A:A,0)),2)</f>
        <v>208.53</v>
      </c>
      <c r="T1254" s="11">
        <f t="shared" si="1182"/>
        <v>3</v>
      </c>
      <c r="U1254">
        <f t="shared" si="1174"/>
        <v>36</v>
      </c>
      <c r="V1254">
        <f t="shared" si="1166"/>
        <v>84.68</v>
      </c>
      <c r="W1254" s="13">
        <f t="shared" si="1167"/>
        <v>2.7000000000000001E-3</v>
      </c>
      <c r="X1254" s="13">
        <f t="shared" si="1168"/>
        <v>-5.899999999999999E-3</v>
      </c>
      <c r="Y1254">
        <f t="shared" si="1160"/>
        <v>103.11</v>
      </c>
      <c r="Z1254" s="13">
        <f t="shared" si="1155"/>
        <v>8.9999999999999998E-4</v>
      </c>
      <c r="AA1254" s="13">
        <f t="shared" si="1151"/>
        <v>-2.8999999999999998E-3</v>
      </c>
      <c r="AB1254" s="6">
        <f t="shared" si="1161"/>
        <v>123.43100000000001</v>
      </c>
      <c r="AC1254">
        <f t="shared" si="1153"/>
        <v>62</v>
      </c>
      <c r="AD1254" s="11">
        <f t="shared" si="1154"/>
        <v>2</v>
      </c>
      <c r="AE1254">
        <f t="shared" si="1152"/>
        <v>40</v>
      </c>
      <c r="AF1254">
        <f>IF(AND(AE1254&lt;15,OR(AC1254&gt;=30,AA1254&gt;0.15,X1254&gt;=0.15)),2,VLOOKUP(AE1254,Table!P:Q,2,FALSE))</f>
        <v>6</v>
      </c>
      <c r="AG1254" s="22">
        <f>IF((AB1254*0.98)-(D1254*0.8)+((AF1254-3)*3)+VLOOKUP(AM1254,Table!$A$11:$B$13,2,FALSE)&lt;0,0,(AB1254*0.98)-(D1254*0.8)+((AF1254-3)*3)+VLOOKUP(AM1254,Table!$A$11:$B$13,2,FALSE))</f>
        <v>129.09038000000001</v>
      </c>
      <c r="AH1254" s="22">
        <f t="shared" si="1183"/>
        <v>100</v>
      </c>
      <c r="AI1254" s="18">
        <f t="shared" si="1176"/>
        <v>4.2699999999999996</v>
      </c>
      <c r="AJ1254" s="18">
        <f t="shared" si="1177"/>
        <v>3.68</v>
      </c>
      <c r="AK1254" t="str">
        <f t="shared" si="1162"/>
        <v>Rising Rates</v>
      </c>
      <c r="AL1254">
        <f t="shared" si="1173"/>
        <v>39</v>
      </c>
      <c r="AM1254" s="11" t="str">
        <f t="shared" si="1163"/>
        <v>Stocks</v>
      </c>
      <c r="AN1254" t="str">
        <f t="shared" si="1169"/>
        <v>Buy</v>
      </c>
      <c r="AO1254" s="13">
        <f t="shared" si="1170"/>
        <v>2.18E-2</v>
      </c>
      <c r="AP1254" s="13">
        <f t="shared" si="1171"/>
        <v>8.9999999999999998E-4</v>
      </c>
      <c r="AQ1254" s="13">
        <f t="shared" si="1172"/>
        <v>2.18E-2</v>
      </c>
      <c r="AR1254" s="13">
        <f t="shared" si="1164"/>
        <v>2.18E-2</v>
      </c>
      <c r="AS1254" s="6">
        <f t="shared" si="1156"/>
        <v>115.45127647574459</v>
      </c>
      <c r="AT1254" s="6">
        <f t="shared" si="1157"/>
        <v>108.26094034289198</v>
      </c>
      <c r="AU1254" s="6">
        <f t="shared" si="1158"/>
        <v>115.07033680565769</v>
      </c>
      <c r="AV1254" s="6">
        <f t="shared" si="1159"/>
        <v>115.45127647574459</v>
      </c>
      <c r="AW1254" s="58">
        <f t="shared" si="1165"/>
        <v>1994</v>
      </c>
      <c r="AX1254" s="58">
        <f>COUNTIF(AW$3:AW1254,AW1254)</f>
        <v>19</v>
      </c>
    </row>
    <row r="1255" spans="1:50" x14ac:dyDescent="0.25">
      <c r="A1255" s="5">
        <v>34560</v>
      </c>
      <c r="B1255">
        <v>461.94</v>
      </c>
      <c r="C1255">
        <v>4.4000000000000004</v>
      </c>
      <c r="D1255" s="6">
        <v>12.34</v>
      </c>
      <c r="E1255" s="18">
        <f t="shared" si="1178"/>
        <v>11.56</v>
      </c>
      <c r="F1255">
        <f t="shared" si="1179"/>
        <v>2</v>
      </c>
      <c r="G1255" s="18">
        <f>ROUND(INDEX(Valuation!U:U,MATCH(A1255,Valuation!A:A,0)),2)</f>
        <v>254.2</v>
      </c>
      <c r="H1255">
        <f t="shared" si="1186"/>
        <v>3</v>
      </c>
      <c r="I1255" s="18">
        <f>INDEX(WeeklyIndicators!Y:Y,MATCH(A1255,WeeklyIndicators!A:A,0))</f>
        <v>129.56</v>
      </c>
      <c r="J1255">
        <f t="shared" si="1175"/>
        <v>0</v>
      </c>
      <c r="K1255">
        <f>ROUND(INDEX(Economic!AF:AF,MATCH(EOMONTH($A1255,-1),Economic!A:A,0)),2)</f>
        <v>139.75</v>
      </c>
      <c r="L1255" s="11">
        <f t="shared" si="1184"/>
        <v>3</v>
      </c>
      <c r="M1255">
        <f>ROUND(INDEX(Manufacturing!P:P,MATCH(EOMONTH($A1255,-1),Manufacturing!A:A,0)),2)</f>
        <v>114.83</v>
      </c>
      <c r="N1255">
        <f t="shared" si="1180"/>
        <v>3</v>
      </c>
      <c r="O1255">
        <f>ROUND(INDEX(Housing!AC:AC,MATCH(EOMONTH($A1255,-1),Housing!B:B,0)),2)</f>
        <v>90.13</v>
      </c>
      <c r="P1255">
        <f t="shared" si="1181"/>
        <v>-1</v>
      </c>
      <c r="Q1255">
        <f>ROUND(INDEX(Spending!AJ:AJ,MATCH(EOMONTH($A1255,-1),Spending!B:B,0)),2)</f>
        <v>61.5</v>
      </c>
      <c r="R1255">
        <f t="shared" si="1185"/>
        <v>2</v>
      </c>
      <c r="S1255">
        <f>ROUND(INDEX(Employment!V:V,MATCH(EOMONTH($A1255,-1),Employment!A:A,0)),2)</f>
        <v>208.53</v>
      </c>
      <c r="T1255" s="11">
        <f t="shared" si="1182"/>
        <v>3</v>
      </c>
      <c r="U1255">
        <f t="shared" si="1174"/>
        <v>35</v>
      </c>
      <c r="V1255">
        <f t="shared" si="1166"/>
        <v>83.94</v>
      </c>
      <c r="W1255" s="13">
        <f t="shared" si="1167"/>
        <v>-2.0000000000000001E-4</v>
      </c>
      <c r="X1255" s="13">
        <f t="shared" si="1168"/>
        <v>-1.21E-2</v>
      </c>
      <c r="Y1255">
        <f t="shared" si="1160"/>
        <v>102.54</v>
      </c>
      <c r="Z1255" s="13">
        <f t="shared" si="1155"/>
        <v>-2.0000000000000001E-4</v>
      </c>
      <c r="AA1255" s="13">
        <f t="shared" si="1151"/>
        <v>-6.6E-3</v>
      </c>
      <c r="AB1255" s="6">
        <f t="shared" si="1161"/>
        <v>122.69</v>
      </c>
      <c r="AC1255">
        <f t="shared" si="1153"/>
        <v>61</v>
      </c>
      <c r="AD1255" s="11">
        <f t="shared" si="1154"/>
        <v>2</v>
      </c>
      <c r="AE1255">
        <f t="shared" si="1152"/>
        <v>39</v>
      </c>
      <c r="AF1255">
        <f>IF(AND(AE1255&lt;15,OR(AC1255&gt;=30,AA1255&gt;0.15,X1255&gt;=0.15)),2,VLOOKUP(AE1255,Table!P:Q,2,FALSE))</f>
        <v>6</v>
      </c>
      <c r="AG1255" s="22">
        <f>IF((AB1255*0.98)-(D1255*0.8)+((AF1255-3)*3)+VLOOKUP(AM1255,Table!$A$11:$B$13,2,FALSE)&lt;0,0,(AB1255*0.98)-(D1255*0.8)+((AF1255-3)*3)+VLOOKUP(AM1255,Table!$A$11:$B$13,2,FALSE))</f>
        <v>127.3642</v>
      </c>
      <c r="AH1255" s="22">
        <f t="shared" si="1183"/>
        <v>100</v>
      </c>
      <c r="AI1255" s="18">
        <f t="shared" si="1176"/>
        <v>4.24</v>
      </c>
      <c r="AJ1255" s="18">
        <f t="shared" si="1177"/>
        <v>3.64</v>
      </c>
      <c r="AK1255" t="str">
        <f t="shared" si="1162"/>
        <v>Rising Rates</v>
      </c>
      <c r="AL1255">
        <f t="shared" si="1173"/>
        <v>38.5</v>
      </c>
      <c r="AM1255" s="11" t="str">
        <f t="shared" si="1163"/>
        <v>Stocks</v>
      </c>
      <c r="AN1255" t="str">
        <f t="shared" si="1169"/>
        <v>Buy</v>
      </c>
      <c r="AO1255" s="13">
        <f t="shared" si="1170"/>
        <v>3.8E-3</v>
      </c>
      <c r="AP1255" s="13">
        <f t="shared" si="1171"/>
        <v>8.0000000000000004E-4</v>
      </c>
      <c r="AQ1255" s="13">
        <f t="shared" si="1172"/>
        <v>3.8E-3</v>
      </c>
      <c r="AR1255" s="13">
        <f t="shared" si="1164"/>
        <v>3.8E-3</v>
      </c>
      <c r="AS1255" s="6">
        <f t="shared" si="1156"/>
        <v>115.01422243050865</v>
      </c>
      <c r="AT1255" s="6">
        <f t="shared" si="1157"/>
        <v>108.1744008222342</v>
      </c>
      <c r="AU1255" s="6">
        <f t="shared" si="1158"/>
        <v>114.63472485122304</v>
      </c>
      <c r="AV1255" s="6">
        <f t="shared" si="1159"/>
        <v>115.01422243050865</v>
      </c>
      <c r="AW1255" s="58">
        <f t="shared" si="1165"/>
        <v>1994</v>
      </c>
      <c r="AX1255" s="58">
        <f>COUNTIF(AW$3:AW1255,AW1255)</f>
        <v>20</v>
      </c>
    </row>
    <row r="1256" spans="1:50" x14ac:dyDescent="0.25">
      <c r="A1256" s="5">
        <v>34553</v>
      </c>
      <c r="B1256">
        <v>457.09</v>
      </c>
      <c r="C1256">
        <v>4.34</v>
      </c>
      <c r="D1256" s="6">
        <v>11.13</v>
      </c>
      <c r="E1256" s="18">
        <f t="shared" si="1178"/>
        <v>11.21</v>
      </c>
      <c r="F1256">
        <f t="shared" si="1179"/>
        <v>2</v>
      </c>
      <c r="G1256" s="18">
        <f>ROUND(INDEX(Valuation!U:U,MATCH(A1256,Valuation!A:A,0)),2)</f>
        <v>255.49</v>
      </c>
      <c r="H1256">
        <f t="shared" si="1186"/>
        <v>3</v>
      </c>
      <c r="I1256" s="18">
        <f>INDEX(WeeklyIndicators!Y:Y,MATCH(A1256,WeeklyIndicators!A:A,0))</f>
        <v>122.66</v>
      </c>
      <c r="J1256">
        <f t="shared" si="1175"/>
        <v>0</v>
      </c>
      <c r="K1256">
        <f>ROUND(INDEX(Economic!AF:AF,MATCH(EOMONTH($A1256,-1),Economic!A:A,0)),2)</f>
        <v>139.75</v>
      </c>
      <c r="L1256" s="11">
        <f t="shared" si="1184"/>
        <v>3</v>
      </c>
      <c r="M1256">
        <f>ROUND(INDEX(Manufacturing!P:P,MATCH(EOMONTH($A1256,-1),Manufacturing!A:A,0)),2)</f>
        <v>114.83</v>
      </c>
      <c r="N1256">
        <f t="shared" si="1180"/>
        <v>3</v>
      </c>
      <c r="O1256">
        <f>ROUND(INDEX(Housing!AC:AC,MATCH(EOMONTH($A1256,-1),Housing!B:B,0)),2)</f>
        <v>90.13</v>
      </c>
      <c r="P1256">
        <f t="shared" si="1181"/>
        <v>-1</v>
      </c>
      <c r="Q1256">
        <f>ROUND(INDEX(Spending!AJ:AJ,MATCH(EOMONTH($A1256,-1),Spending!B:B,0)),2)</f>
        <v>61.5</v>
      </c>
      <c r="R1256">
        <f t="shared" si="1185"/>
        <v>2</v>
      </c>
      <c r="S1256">
        <f>ROUND(INDEX(Employment!V:V,MATCH(EOMONTH($A1256,-1),Employment!A:A,0)),2)</f>
        <v>208.53</v>
      </c>
      <c r="T1256" s="11">
        <f t="shared" si="1182"/>
        <v>3</v>
      </c>
      <c r="U1256">
        <f t="shared" si="1174"/>
        <v>35</v>
      </c>
      <c r="V1256">
        <f t="shared" si="1166"/>
        <v>83.22</v>
      </c>
      <c r="W1256" s="13">
        <f t="shared" si="1167"/>
        <v>-4.7999999999999996E-3</v>
      </c>
      <c r="X1256" s="13">
        <f t="shared" si="1168"/>
        <v>-1.2699999999999999E-2</v>
      </c>
      <c r="Y1256">
        <f t="shared" si="1160"/>
        <v>102.09</v>
      </c>
      <c r="Z1256" s="13">
        <f t="shared" si="1155"/>
        <v>-1.9E-3</v>
      </c>
      <c r="AA1256" s="13">
        <f t="shared" si="1151"/>
        <v>-9.3999999999999986E-3</v>
      </c>
      <c r="AB1256" s="6">
        <f t="shared" si="1161"/>
        <v>122.15900000000001</v>
      </c>
      <c r="AC1256">
        <f t="shared" si="1153"/>
        <v>61</v>
      </c>
      <c r="AD1256" s="11">
        <f t="shared" si="1154"/>
        <v>2</v>
      </c>
      <c r="AE1256">
        <f t="shared" si="1152"/>
        <v>39</v>
      </c>
      <c r="AF1256">
        <f>IF(AND(AE1256&lt;15,OR(AC1256&gt;=30,AA1256&gt;0.15,X1256&gt;=0.15)),2,VLOOKUP(AE1256,Table!P:Q,2,FALSE))</f>
        <v>6</v>
      </c>
      <c r="AG1256" s="22">
        <f>IF((AB1256*0.98)-(D1256*0.8)+((AF1256-3)*3)+VLOOKUP(AM1256,Table!$A$11:$B$13,2,FALSE)&lt;0,0,(AB1256*0.98)-(D1256*0.8)+((AF1256-3)*3)+VLOOKUP(AM1256,Table!$A$11:$B$13,2,FALSE))</f>
        <v>127.81182000000001</v>
      </c>
      <c r="AH1256" s="22">
        <f t="shared" si="1183"/>
        <v>100</v>
      </c>
      <c r="AI1256" s="18">
        <f t="shared" si="1176"/>
        <v>4.22</v>
      </c>
      <c r="AJ1256" s="18">
        <f t="shared" si="1177"/>
        <v>3.61</v>
      </c>
      <c r="AK1256" t="str">
        <f t="shared" si="1162"/>
        <v>Rising Rates</v>
      </c>
      <c r="AL1256">
        <f t="shared" si="1173"/>
        <v>38.25</v>
      </c>
      <c r="AM1256" s="11" t="str">
        <f t="shared" si="1163"/>
        <v>Stocks</v>
      </c>
      <c r="AN1256" t="str">
        <f t="shared" si="1169"/>
        <v>Buy</v>
      </c>
      <c r="AO1256" s="13">
        <f t="shared" si="1170"/>
        <v>1.06E-2</v>
      </c>
      <c r="AP1256" s="13">
        <f t="shared" si="1171"/>
        <v>8.0000000000000004E-4</v>
      </c>
      <c r="AQ1256" s="13">
        <f t="shared" si="1172"/>
        <v>1.06E-2</v>
      </c>
      <c r="AR1256" s="13">
        <f t="shared" si="1164"/>
        <v>1.06E-2</v>
      </c>
      <c r="AS1256" s="6">
        <f t="shared" si="1156"/>
        <v>113.80785912379642</v>
      </c>
      <c r="AT1256" s="6">
        <f t="shared" si="1157"/>
        <v>108.08793047785193</v>
      </c>
      <c r="AU1256" s="6">
        <f t="shared" si="1158"/>
        <v>113.4323420257501</v>
      </c>
      <c r="AV1256" s="6">
        <f t="shared" si="1159"/>
        <v>113.80785912379642</v>
      </c>
      <c r="AW1256" s="58">
        <f t="shared" si="1165"/>
        <v>1994</v>
      </c>
      <c r="AX1256" s="58">
        <f>COUNTIF(AW$3:AW1256,AW1256)</f>
        <v>21</v>
      </c>
    </row>
    <row r="1257" spans="1:50" x14ac:dyDescent="0.25">
      <c r="A1257" s="5">
        <v>34546</v>
      </c>
      <c r="B1257">
        <v>458.26</v>
      </c>
      <c r="C1257">
        <v>4.3899999999999997</v>
      </c>
      <c r="D1257" s="6">
        <v>11.22</v>
      </c>
      <c r="E1257" s="18">
        <f t="shared" si="1178"/>
        <v>11.92</v>
      </c>
      <c r="F1257">
        <f t="shared" si="1179"/>
        <v>2</v>
      </c>
      <c r="G1257" s="18">
        <f>ROUND(INDEX(Valuation!U:U,MATCH(A1257,Valuation!A:A,0)),2)</f>
        <v>257.41000000000003</v>
      </c>
      <c r="H1257">
        <f t="shared" si="1186"/>
        <v>3</v>
      </c>
      <c r="I1257" s="18">
        <f>INDEX(WeeklyIndicators!Y:Y,MATCH(A1257,WeeklyIndicators!A:A,0))</f>
        <v>118.45</v>
      </c>
      <c r="J1257">
        <f t="shared" si="1175"/>
        <v>-1</v>
      </c>
      <c r="K1257">
        <f>ROUND(INDEX(Economic!AF:AF,MATCH(EOMONTH($A1257,-1),Economic!A:A,0)),2)</f>
        <v>144.57</v>
      </c>
      <c r="L1257" s="11">
        <f t="shared" si="1184"/>
        <v>3</v>
      </c>
      <c r="M1257">
        <f>ROUND(INDEX(Manufacturing!P:P,MATCH(EOMONTH($A1257,-1),Manufacturing!A:A,0)),2)</f>
        <v>113.51</v>
      </c>
      <c r="N1257">
        <f t="shared" si="1180"/>
        <v>3</v>
      </c>
      <c r="O1257">
        <f>ROUND(INDEX(Housing!AC:AC,MATCH(EOMONTH($A1257,-1),Housing!B:B,0)),2)</f>
        <v>95.21</v>
      </c>
      <c r="P1257">
        <f t="shared" si="1181"/>
        <v>-1</v>
      </c>
      <c r="Q1257">
        <f>ROUND(INDEX(Spending!AJ:AJ,MATCH(EOMONTH($A1257,-1),Spending!B:B,0)),2)</f>
        <v>63.1</v>
      </c>
      <c r="R1257">
        <f t="shared" si="1185"/>
        <v>2</v>
      </c>
      <c r="S1257">
        <f>ROUND(INDEX(Employment!V:V,MATCH(EOMONTH($A1257,-1),Employment!A:A,0)),2)</f>
        <v>211.27</v>
      </c>
      <c r="T1257" s="11">
        <f t="shared" si="1182"/>
        <v>3</v>
      </c>
      <c r="U1257">
        <f t="shared" si="1174"/>
        <v>34</v>
      </c>
      <c r="V1257">
        <f t="shared" si="1166"/>
        <v>83.99</v>
      </c>
      <c r="W1257" s="13">
        <f t="shared" si="1167"/>
        <v>-3.5999999999999999E-3</v>
      </c>
      <c r="X1257" s="13">
        <f t="shared" si="1168"/>
        <v>-3.5000000000000005E-3</v>
      </c>
      <c r="Y1257">
        <f t="shared" si="1160"/>
        <v>102.83</v>
      </c>
      <c r="Z1257" s="13">
        <f t="shared" si="1155"/>
        <v>-1.6999999999999999E-3</v>
      </c>
      <c r="AA1257" s="13">
        <f t="shared" si="1151"/>
        <v>-5.4000000000000003E-3</v>
      </c>
      <c r="AB1257" s="6">
        <f t="shared" si="1161"/>
        <v>123.471</v>
      </c>
      <c r="AC1257">
        <f t="shared" si="1153"/>
        <v>62</v>
      </c>
      <c r="AD1257" s="11">
        <f t="shared" si="1154"/>
        <v>2</v>
      </c>
      <c r="AE1257">
        <f t="shared" si="1152"/>
        <v>38</v>
      </c>
      <c r="AF1257">
        <f>IF(AND(AE1257&lt;15,OR(AC1257&gt;=30,AA1257&gt;0.15,X1257&gt;=0.15)),2,VLOOKUP(AE1257,Table!P:Q,2,FALSE))</f>
        <v>6</v>
      </c>
      <c r="AG1257" s="22">
        <f>IF((AB1257*0.98)-(D1257*0.8)+((AF1257-3)*3)+VLOOKUP(AM1257,Table!$A$11:$B$13,2,FALSE)&lt;0,0,(AB1257*0.98)-(D1257*0.8)+((AF1257-3)*3)+VLOOKUP(AM1257,Table!$A$11:$B$13,2,FALSE))</f>
        <v>129.02557999999999</v>
      </c>
      <c r="AH1257" s="22">
        <f t="shared" si="1183"/>
        <v>100</v>
      </c>
      <c r="AI1257" s="18">
        <f t="shared" si="1176"/>
        <v>4.2</v>
      </c>
      <c r="AJ1257" s="18">
        <f t="shared" si="1177"/>
        <v>3.58</v>
      </c>
      <c r="AK1257" t="str">
        <f t="shared" si="1162"/>
        <v>Rising Rates</v>
      </c>
      <c r="AL1257">
        <f t="shared" si="1173"/>
        <v>38</v>
      </c>
      <c r="AM1257" s="11" t="str">
        <f t="shared" si="1163"/>
        <v>Stocks</v>
      </c>
      <c r="AN1257" t="str">
        <f t="shared" si="1169"/>
        <v>Buy</v>
      </c>
      <c r="AO1257" s="13">
        <f t="shared" si="1170"/>
        <v>-2.5999999999999999E-3</v>
      </c>
      <c r="AP1257" s="13">
        <f t="shared" si="1171"/>
        <v>8.0000000000000004E-4</v>
      </c>
      <c r="AQ1257" s="13">
        <f t="shared" si="1172"/>
        <v>-2.5999999999999999E-3</v>
      </c>
      <c r="AR1257" s="13">
        <f t="shared" si="1164"/>
        <v>-2.5999999999999999E-3</v>
      </c>
      <c r="AS1257" s="6">
        <f t="shared" si="1156"/>
        <v>114.10453090414721</v>
      </c>
      <c r="AT1257" s="6">
        <f t="shared" si="1157"/>
        <v>108.00152925444837</v>
      </c>
      <c r="AU1257" s="6">
        <f t="shared" si="1158"/>
        <v>113.72803491653309</v>
      </c>
      <c r="AV1257" s="6">
        <f t="shared" si="1159"/>
        <v>114.10453090414721</v>
      </c>
      <c r="AW1257" s="58">
        <f t="shared" si="1165"/>
        <v>1994</v>
      </c>
      <c r="AX1257" s="58">
        <f>COUNTIF(AW$3:AW1257,AW1257)</f>
        <v>22</v>
      </c>
    </row>
    <row r="1258" spans="1:50" x14ac:dyDescent="0.25">
      <c r="A1258" s="5">
        <v>34539</v>
      </c>
      <c r="B1258">
        <v>453.11</v>
      </c>
      <c r="C1258">
        <v>4.3</v>
      </c>
      <c r="D1258" s="6">
        <v>11.28</v>
      </c>
      <c r="E1258" s="18">
        <f t="shared" si="1178"/>
        <v>12.97</v>
      </c>
      <c r="F1258">
        <f t="shared" si="1179"/>
        <v>2</v>
      </c>
      <c r="G1258" s="18">
        <f>ROUND(INDEX(Valuation!U:U,MATCH(A1258,Valuation!A:A,0)),2)</f>
        <v>258.64999999999998</v>
      </c>
      <c r="H1258">
        <f t="shared" si="1186"/>
        <v>3</v>
      </c>
      <c r="I1258" s="18">
        <f>INDEX(WeeklyIndicators!Y:Y,MATCH(A1258,WeeklyIndicators!A:A,0))</f>
        <v>118.54</v>
      </c>
      <c r="J1258">
        <f t="shared" si="1175"/>
        <v>-1</v>
      </c>
      <c r="K1258">
        <f>ROUND(INDEX(Economic!AF:AF,MATCH(EOMONTH($A1258,-1),Economic!A:A,0)),2)</f>
        <v>144.57</v>
      </c>
      <c r="L1258" s="11">
        <f t="shared" si="1184"/>
        <v>3</v>
      </c>
      <c r="M1258">
        <f>ROUND(INDEX(Manufacturing!P:P,MATCH(EOMONTH($A1258,-1),Manufacturing!A:A,0)),2)</f>
        <v>113.51</v>
      </c>
      <c r="N1258">
        <f t="shared" si="1180"/>
        <v>3</v>
      </c>
      <c r="O1258">
        <f>ROUND(INDEX(Housing!AC:AC,MATCH(EOMONTH($A1258,-1),Housing!B:B,0)),2)</f>
        <v>95.21</v>
      </c>
      <c r="P1258">
        <f t="shared" si="1181"/>
        <v>-1</v>
      </c>
      <c r="Q1258">
        <f>ROUND(INDEX(Spending!AJ:AJ,MATCH(EOMONTH($A1258,-1),Spending!B:B,0)),2)</f>
        <v>63.1</v>
      </c>
      <c r="R1258">
        <f t="shared" si="1185"/>
        <v>2</v>
      </c>
      <c r="S1258">
        <f>ROUND(INDEX(Employment!V:V,MATCH(EOMONTH($A1258,-1),Employment!A:A,0)),2)</f>
        <v>211.27</v>
      </c>
      <c r="T1258" s="11">
        <f t="shared" si="1182"/>
        <v>3</v>
      </c>
      <c r="U1258">
        <f t="shared" si="1174"/>
        <v>34</v>
      </c>
      <c r="V1258">
        <f t="shared" si="1166"/>
        <v>84</v>
      </c>
      <c r="W1258" s="13">
        <f t="shared" si="1167"/>
        <v>-3.5000000000000001E-3</v>
      </c>
      <c r="X1258" s="13">
        <f t="shared" si="1168"/>
        <v>6.8999999999999999E-3</v>
      </c>
      <c r="Y1258">
        <f t="shared" si="1160"/>
        <v>102.61</v>
      </c>
      <c r="Z1258" s="13">
        <f t="shared" si="1155"/>
        <v>-2.8E-3</v>
      </c>
      <c r="AA1258" s="13">
        <f t="shared" si="1151"/>
        <v>1.0000000000000005E-3</v>
      </c>
      <c r="AB1258" s="6">
        <f t="shared" si="1161"/>
        <v>123.91499999999999</v>
      </c>
      <c r="AC1258">
        <f t="shared" si="1153"/>
        <v>62</v>
      </c>
      <c r="AD1258" s="11">
        <f t="shared" si="1154"/>
        <v>2</v>
      </c>
      <c r="AE1258">
        <f t="shared" si="1152"/>
        <v>38</v>
      </c>
      <c r="AF1258">
        <f>IF(AND(AE1258&lt;15,OR(AC1258&gt;=30,AA1258&gt;0.15,X1258&gt;=0.15)),2,VLOOKUP(AE1258,Table!P:Q,2,FALSE))</f>
        <v>6</v>
      </c>
      <c r="AG1258" s="22">
        <f>IF((AB1258*0.98)-(D1258*0.8)+((AF1258-3)*3)+VLOOKUP(AM1258,Table!$A$11:$B$13,2,FALSE)&lt;0,0,(AB1258*0.98)-(D1258*0.8)+((AF1258-3)*3)+VLOOKUP(AM1258,Table!$A$11:$B$13,2,FALSE))</f>
        <v>129.41269999999997</v>
      </c>
      <c r="AH1258" s="22">
        <f t="shared" si="1183"/>
        <v>100</v>
      </c>
      <c r="AI1258" s="18">
        <f t="shared" si="1176"/>
        <v>4.16</v>
      </c>
      <c r="AJ1258" s="18">
        <f t="shared" si="1177"/>
        <v>3.54</v>
      </c>
      <c r="AK1258" t="str">
        <f t="shared" si="1162"/>
        <v>Rising Rates</v>
      </c>
      <c r="AL1258">
        <f t="shared" si="1173"/>
        <v>38.25</v>
      </c>
      <c r="AM1258" s="11" t="str">
        <f t="shared" si="1163"/>
        <v>Stocks</v>
      </c>
      <c r="AN1258" t="str">
        <f t="shared" si="1169"/>
        <v>Buy</v>
      </c>
      <c r="AO1258" s="13">
        <f t="shared" si="1170"/>
        <v>1.14E-2</v>
      </c>
      <c r="AP1258" s="13">
        <f t="shared" si="1171"/>
        <v>8.0000000000000004E-4</v>
      </c>
      <c r="AQ1258" s="13">
        <f t="shared" si="1172"/>
        <v>1.14E-2</v>
      </c>
      <c r="AR1258" s="13">
        <f t="shared" si="1164"/>
        <v>1.14E-2</v>
      </c>
      <c r="AS1258" s="6">
        <f t="shared" si="1156"/>
        <v>112.81840113125094</v>
      </c>
      <c r="AT1258" s="6">
        <f t="shared" si="1157"/>
        <v>107.91519709677097</v>
      </c>
      <c r="AU1258" s="6">
        <f t="shared" si="1158"/>
        <v>112.44614881998525</v>
      </c>
      <c r="AV1258" s="6">
        <f t="shared" si="1159"/>
        <v>112.81840113125094</v>
      </c>
      <c r="AW1258" s="58">
        <f t="shared" si="1165"/>
        <v>1994</v>
      </c>
      <c r="AX1258" s="58">
        <f>COUNTIF(AW$3:AW1258,AW1258)</f>
        <v>23</v>
      </c>
    </row>
    <row r="1259" spans="1:50" x14ac:dyDescent="0.25">
      <c r="A1259" s="5">
        <v>34532</v>
      </c>
      <c r="B1259">
        <v>454.16</v>
      </c>
      <c r="C1259">
        <v>4.37</v>
      </c>
      <c r="D1259" s="6">
        <v>13.26</v>
      </c>
      <c r="E1259" s="18">
        <f t="shared" si="1178"/>
        <v>14.78</v>
      </c>
      <c r="F1259">
        <f t="shared" si="1179"/>
        <v>1</v>
      </c>
      <c r="G1259" s="18">
        <f>ROUND(INDEX(Valuation!U:U,MATCH(A1259,Valuation!A:A,0)),2)</f>
        <v>261.01</v>
      </c>
      <c r="H1259">
        <f t="shared" si="1186"/>
        <v>3</v>
      </c>
      <c r="I1259" s="18">
        <f>INDEX(WeeklyIndicators!Y:Y,MATCH(A1259,WeeklyIndicators!A:A,0))</f>
        <v>122.81</v>
      </c>
      <c r="J1259">
        <f t="shared" si="1175"/>
        <v>0</v>
      </c>
      <c r="K1259">
        <f>ROUND(INDEX(Economic!AF:AF,MATCH(EOMONTH($A1259,-1),Economic!A:A,0)),2)</f>
        <v>144.57</v>
      </c>
      <c r="L1259" s="11">
        <f t="shared" si="1184"/>
        <v>3</v>
      </c>
      <c r="M1259">
        <f>ROUND(INDEX(Manufacturing!P:P,MATCH(EOMONTH($A1259,-1),Manufacturing!A:A,0)),2)</f>
        <v>113.51</v>
      </c>
      <c r="N1259">
        <f t="shared" si="1180"/>
        <v>3</v>
      </c>
      <c r="O1259">
        <f>ROUND(INDEX(Housing!AC:AC,MATCH(EOMONTH($A1259,-1),Housing!B:B,0)),2)</f>
        <v>95.21</v>
      </c>
      <c r="P1259">
        <f t="shared" si="1181"/>
        <v>-1</v>
      </c>
      <c r="Q1259">
        <f>ROUND(INDEX(Spending!AJ:AJ,MATCH(EOMONTH($A1259,-1),Spending!B:B,0)),2)</f>
        <v>63.1</v>
      </c>
      <c r="R1259">
        <f t="shared" si="1185"/>
        <v>2</v>
      </c>
      <c r="S1259">
        <f>ROUND(INDEX(Employment!V:V,MATCH(EOMONTH($A1259,-1),Employment!A:A,0)),2)</f>
        <v>211.27</v>
      </c>
      <c r="T1259" s="11">
        <f t="shared" si="1182"/>
        <v>3</v>
      </c>
      <c r="U1259">
        <f t="shared" si="1174"/>
        <v>34</v>
      </c>
      <c r="V1259">
        <f t="shared" si="1166"/>
        <v>84.44</v>
      </c>
      <c r="W1259" s="13">
        <f t="shared" si="1167"/>
        <v>-8.0000000000000004E-4</v>
      </c>
      <c r="X1259" s="13">
        <f t="shared" si="1168"/>
        <v>1.8200000000000001E-2</v>
      </c>
      <c r="Y1259">
        <f t="shared" si="1160"/>
        <v>102.68</v>
      </c>
      <c r="Z1259" s="13">
        <f t="shared" si="1155"/>
        <v>-3.0000000000000001E-3</v>
      </c>
      <c r="AA1259" s="13">
        <f t="shared" si="1151"/>
        <v>1.2E-2</v>
      </c>
      <c r="AB1259" s="6">
        <f t="shared" si="1161"/>
        <v>125.081</v>
      </c>
      <c r="AC1259">
        <f t="shared" si="1153"/>
        <v>63</v>
      </c>
      <c r="AD1259" s="11">
        <f t="shared" si="1154"/>
        <v>2</v>
      </c>
      <c r="AE1259">
        <f t="shared" si="1152"/>
        <v>38</v>
      </c>
      <c r="AF1259">
        <f>IF(AND(AE1259&lt;15,OR(AC1259&gt;=30,AA1259&gt;0.15,X1259&gt;=0.15)),2,VLOOKUP(AE1259,Table!P:Q,2,FALSE))</f>
        <v>6</v>
      </c>
      <c r="AG1259" s="22">
        <f>IF((AB1259*0.98)-(D1259*0.8)+((AF1259-3)*3)+VLOOKUP(AM1259,Table!$A$11:$B$13,2,FALSE)&lt;0,0,(AB1259*0.98)-(D1259*0.8)+((AF1259-3)*3)+VLOOKUP(AM1259,Table!$A$11:$B$13,2,FALSE))</f>
        <v>128.97138000000001</v>
      </c>
      <c r="AH1259" s="22">
        <f t="shared" si="1183"/>
        <v>100</v>
      </c>
      <c r="AI1259" s="18">
        <f t="shared" si="1176"/>
        <v>4.12</v>
      </c>
      <c r="AJ1259" s="18">
        <f t="shared" si="1177"/>
        <v>3.51</v>
      </c>
      <c r="AK1259" t="str">
        <f t="shared" si="1162"/>
        <v>Rising Rates</v>
      </c>
      <c r="AL1259">
        <f t="shared" si="1173"/>
        <v>38.25</v>
      </c>
      <c r="AM1259" s="11" t="str">
        <f t="shared" si="1163"/>
        <v>Stocks</v>
      </c>
      <c r="AN1259" t="str">
        <f t="shared" si="1169"/>
        <v>Buy</v>
      </c>
      <c r="AO1259" s="13">
        <f t="shared" si="1170"/>
        <v>-2.3E-3</v>
      </c>
      <c r="AP1259" s="13">
        <f t="shared" si="1171"/>
        <v>8.0000000000000004E-4</v>
      </c>
      <c r="AQ1259" s="13">
        <f t="shared" si="1172"/>
        <v>-2.3E-3</v>
      </c>
      <c r="AR1259" s="13">
        <f t="shared" si="1164"/>
        <v>-2.3E-3</v>
      </c>
      <c r="AS1259" s="6">
        <f t="shared" si="1156"/>
        <v>113.07848163902068</v>
      </c>
      <c r="AT1259" s="6">
        <f t="shared" si="1157"/>
        <v>107.82893394961128</v>
      </c>
      <c r="AU1259" s="6">
        <f t="shared" si="1158"/>
        <v>112.70537117368472</v>
      </c>
      <c r="AV1259" s="6">
        <f t="shared" si="1159"/>
        <v>113.07848163902068</v>
      </c>
      <c r="AW1259" s="58">
        <f t="shared" si="1165"/>
        <v>1994</v>
      </c>
      <c r="AX1259" s="58">
        <f>COUNTIF(AW$3:AW1259,AW1259)</f>
        <v>24</v>
      </c>
    </row>
    <row r="1260" spans="1:50" x14ac:dyDescent="0.25">
      <c r="A1260" s="5">
        <v>34525</v>
      </c>
      <c r="B1260">
        <v>449.55</v>
      </c>
      <c r="C1260">
        <v>4.28</v>
      </c>
      <c r="D1260" s="6">
        <v>14.36</v>
      </c>
      <c r="E1260" s="18">
        <f t="shared" si="1178"/>
        <v>14.46</v>
      </c>
      <c r="F1260">
        <f t="shared" si="1179"/>
        <v>1</v>
      </c>
      <c r="G1260" s="18">
        <f>ROUND(INDEX(Valuation!U:U,MATCH(A1260,Valuation!A:A,0)),2)</f>
        <v>261.92</v>
      </c>
      <c r="H1260">
        <f t="shared" si="1186"/>
        <v>3</v>
      </c>
      <c r="I1260" s="18">
        <f>INDEX(WeeklyIndicators!Y:Y,MATCH(A1260,WeeklyIndicators!A:A,0))</f>
        <v>127.24</v>
      </c>
      <c r="J1260">
        <f t="shared" si="1175"/>
        <v>0</v>
      </c>
      <c r="K1260">
        <f>ROUND(INDEX(Economic!AF:AF,MATCH(EOMONTH($A1260,-1),Economic!A:A,0)),2)</f>
        <v>144.57</v>
      </c>
      <c r="L1260" s="11">
        <f t="shared" si="1184"/>
        <v>3</v>
      </c>
      <c r="M1260">
        <f>ROUND(INDEX(Manufacturing!P:P,MATCH(EOMONTH($A1260,-1),Manufacturing!A:A,0)),2)</f>
        <v>113.51</v>
      </c>
      <c r="N1260">
        <f t="shared" si="1180"/>
        <v>3</v>
      </c>
      <c r="O1260">
        <f>ROUND(INDEX(Housing!AC:AC,MATCH(EOMONTH($A1260,-1),Housing!B:B,0)),2)</f>
        <v>95.21</v>
      </c>
      <c r="P1260">
        <f t="shared" si="1181"/>
        <v>-1</v>
      </c>
      <c r="Q1260">
        <f>ROUND(INDEX(Spending!AJ:AJ,MATCH(EOMONTH($A1260,-1),Spending!B:B,0)),2)</f>
        <v>63.1</v>
      </c>
      <c r="R1260">
        <f t="shared" si="1185"/>
        <v>2</v>
      </c>
      <c r="S1260">
        <f>ROUND(INDEX(Employment!V:V,MATCH(EOMONTH($A1260,-1),Employment!A:A,0)),2)</f>
        <v>211.27</v>
      </c>
      <c r="T1260" s="11">
        <f t="shared" si="1182"/>
        <v>3</v>
      </c>
      <c r="U1260">
        <f t="shared" si="1174"/>
        <v>34</v>
      </c>
      <c r="V1260">
        <f t="shared" si="1166"/>
        <v>84.9</v>
      </c>
      <c r="W1260" s="13">
        <f t="shared" si="1167"/>
        <v>4.4000000000000003E-3</v>
      </c>
      <c r="X1260" s="13">
        <f t="shared" si="1168"/>
        <v>2.1999999999999999E-2</v>
      </c>
      <c r="Y1260">
        <f t="shared" si="1160"/>
        <v>103.35</v>
      </c>
      <c r="Z1260" s="13">
        <f t="shared" si="1155"/>
        <v>2.0999999999999999E-3</v>
      </c>
      <c r="AA1260" s="13">
        <f t="shared" si="1151"/>
        <v>2.1100000000000001E-2</v>
      </c>
      <c r="AB1260" s="6">
        <f t="shared" si="1161"/>
        <v>126.50200000000001</v>
      </c>
      <c r="AC1260">
        <f t="shared" si="1153"/>
        <v>63</v>
      </c>
      <c r="AD1260" s="11">
        <f t="shared" si="1154"/>
        <v>2</v>
      </c>
      <c r="AE1260">
        <f t="shared" si="1152"/>
        <v>38</v>
      </c>
      <c r="AF1260">
        <f>IF(AND(AE1260&lt;15,OR(AC1260&gt;=30,AA1260&gt;0.15,X1260&gt;=0.15)),2,VLOOKUP(AE1260,Table!P:Q,2,FALSE))</f>
        <v>6</v>
      </c>
      <c r="AG1260" s="22">
        <f>IF((AB1260*0.98)-(D1260*0.8)+((AF1260-3)*3)+VLOOKUP(AM1260,Table!$A$11:$B$13,2,FALSE)&lt;0,0,(AB1260*0.98)-(D1260*0.8)+((AF1260-3)*3)+VLOOKUP(AM1260,Table!$A$11:$B$13,2,FALSE))</f>
        <v>129.48396000000002</v>
      </c>
      <c r="AH1260" s="22">
        <f t="shared" si="1183"/>
        <v>100</v>
      </c>
      <c r="AI1260" s="18">
        <f t="shared" si="1176"/>
        <v>4.05</v>
      </c>
      <c r="AJ1260" s="18">
        <f t="shared" si="1177"/>
        <v>3.47</v>
      </c>
      <c r="AK1260" t="str">
        <f t="shared" si="1162"/>
        <v>Rising Rates</v>
      </c>
      <c r="AL1260">
        <f t="shared" si="1173"/>
        <v>38.25</v>
      </c>
      <c r="AM1260" s="11" t="str">
        <f t="shared" si="1163"/>
        <v>Stocks</v>
      </c>
      <c r="AN1260" t="str">
        <f t="shared" si="1169"/>
        <v>Buy</v>
      </c>
      <c r="AO1260" s="13">
        <f t="shared" si="1170"/>
        <v>1.03E-2</v>
      </c>
      <c r="AP1260" s="13">
        <f t="shared" si="1171"/>
        <v>8.0000000000000004E-4</v>
      </c>
      <c r="AQ1260" s="13">
        <f t="shared" si="1172"/>
        <v>1.03E-2</v>
      </c>
      <c r="AR1260" s="13">
        <f t="shared" si="1164"/>
        <v>1.03E-2</v>
      </c>
      <c r="AS1260" s="6">
        <f t="shared" si="1156"/>
        <v>111.92564747007887</v>
      </c>
      <c r="AT1260" s="6">
        <f t="shared" si="1157"/>
        <v>107.74273975780505</v>
      </c>
      <c r="AU1260" s="6">
        <f t="shared" si="1158"/>
        <v>111.55634086279791</v>
      </c>
      <c r="AV1260" s="6">
        <f t="shared" si="1159"/>
        <v>111.92564747007887</v>
      </c>
      <c r="AW1260" s="58">
        <f t="shared" si="1165"/>
        <v>1994</v>
      </c>
      <c r="AX1260" s="58">
        <f>COUNTIF(AW$3:AW1260,AW1260)</f>
        <v>25</v>
      </c>
    </row>
    <row r="1261" spans="1:50" x14ac:dyDescent="0.25">
      <c r="A1261" s="5">
        <v>34518</v>
      </c>
      <c r="B1261">
        <v>446.2</v>
      </c>
      <c r="C1261">
        <v>4.16</v>
      </c>
      <c r="D1261" s="6">
        <v>16.719999000000001</v>
      </c>
      <c r="E1261" s="18">
        <f t="shared" si="1178"/>
        <v>13.91</v>
      </c>
      <c r="F1261">
        <f t="shared" si="1179"/>
        <v>2</v>
      </c>
      <c r="G1261" s="18">
        <f>ROUND(INDEX(Valuation!U:U,MATCH(A1261,Valuation!A:A,0)),2)</f>
        <v>261.45999999999998</v>
      </c>
      <c r="H1261">
        <f t="shared" si="1186"/>
        <v>3</v>
      </c>
      <c r="I1261" s="18">
        <f>INDEX(WeeklyIndicators!Y:Y,MATCH(A1261,WeeklyIndicators!A:A,0))</f>
        <v>126.96</v>
      </c>
      <c r="J1261">
        <f t="shared" si="1175"/>
        <v>0</v>
      </c>
      <c r="K1261">
        <f>ROUND(INDEX(Economic!AF:AF,MATCH(EOMONTH($A1261,-1),Economic!A:A,0)),2)</f>
        <v>144.57</v>
      </c>
      <c r="L1261" s="11">
        <f t="shared" si="1184"/>
        <v>3</v>
      </c>
      <c r="M1261">
        <f>ROUND(INDEX(Manufacturing!P:P,MATCH(EOMONTH($A1261,-1),Manufacturing!A:A,0)),2)</f>
        <v>113.51</v>
      </c>
      <c r="N1261">
        <f t="shared" si="1180"/>
        <v>3</v>
      </c>
      <c r="O1261">
        <f>ROUND(INDEX(Housing!AC:AC,MATCH(EOMONTH($A1261,-1),Housing!B:B,0)),2)</f>
        <v>95.21</v>
      </c>
      <c r="P1261">
        <f t="shared" si="1181"/>
        <v>-1</v>
      </c>
      <c r="Q1261">
        <f>ROUND(INDEX(Spending!AJ:AJ,MATCH(EOMONTH($A1261,-1),Spending!B:B,0)),2)</f>
        <v>63.1</v>
      </c>
      <c r="R1261">
        <f t="shared" si="1185"/>
        <v>2</v>
      </c>
      <c r="S1261">
        <f>ROUND(INDEX(Employment!V:V,MATCH(EOMONTH($A1261,-1),Employment!A:A,0)),2)</f>
        <v>211.27</v>
      </c>
      <c r="T1261" s="11">
        <f t="shared" si="1182"/>
        <v>3</v>
      </c>
      <c r="U1261">
        <f t="shared" si="1174"/>
        <v>35</v>
      </c>
      <c r="V1261">
        <f t="shared" si="1166"/>
        <v>84.88</v>
      </c>
      <c r="W1261" s="13">
        <f t="shared" si="1167"/>
        <v>6.7999999999999996E-3</v>
      </c>
      <c r="X1261" s="13">
        <f t="shared" si="1168"/>
        <v>1.5699999999999999E-2</v>
      </c>
      <c r="Y1261">
        <f t="shared" si="1160"/>
        <v>103.47</v>
      </c>
      <c r="Z1261" s="13">
        <f t="shared" si="1155"/>
        <v>4.7000000000000002E-3</v>
      </c>
      <c r="AA1261" s="13">
        <f t="shared" si="1151"/>
        <v>2.1800000000000003E-2</v>
      </c>
      <c r="AB1261" s="6">
        <f t="shared" si="1161"/>
        <v>126.566</v>
      </c>
      <c r="AC1261">
        <f t="shared" si="1153"/>
        <v>63</v>
      </c>
      <c r="AD1261" s="11">
        <f t="shared" si="1154"/>
        <v>2</v>
      </c>
      <c r="AE1261">
        <f t="shared" si="1152"/>
        <v>39</v>
      </c>
      <c r="AF1261">
        <f>IF(AND(AE1261&lt;15,OR(AC1261&gt;=30,AA1261&gt;0.15,X1261&gt;=0.15)),2,VLOOKUP(AE1261,Table!P:Q,2,FALSE))</f>
        <v>6</v>
      </c>
      <c r="AG1261" s="22">
        <f>IF((AB1261*0.98)-(D1261*0.8)+((AF1261-3)*3)+VLOOKUP(AM1261,Table!$A$11:$B$13,2,FALSE)&lt;0,0,(AB1261*0.98)-(D1261*0.8)+((AF1261-3)*3)+VLOOKUP(AM1261,Table!$A$11:$B$13,2,FALSE))</f>
        <v>127.65868079999998</v>
      </c>
      <c r="AH1261" s="22">
        <f t="shared" si="1183"/>
        <v>100</v>
      </c>
      <c r="AI1261" s="18">
        <f t="shared" si="1176"/>
        <v>4</v>
      </c>
      <c r="AJ1261" s="18">
        <f t="shared" si="1177"/>
        <v>3.44</v>
      </c>
      <c r="AK1261" t="str">
        <f t="shared" si="1162"/>
        <v>Rising Rates</v>
      </c>
      <c r="AL1261">
        <f t="shared" si="1173"/>
        <v>38.25</v>
      </c>
      <c r="AM1261" s="11" t="str">
        <f t="shared" si="1163"/>
        <v>Stocks</v>
      </c>
      <c r="AN1261" t="str">
        <f t="shared" si="1169"/>
        <v>Buy</v>
      </c>
      <c r="AO1261" s="13">
        <f t="shared" si="1170"/>
        <v>7.4999999999999997E-3</v>
      </c>
      <c r="AP1261" s="13">
        <f t="shared" si="1171"/>
        <v>8.0000000000000004E-4</v>
      </c>
      <c r="AQ1261" s="13">
        <f t="shared" si="1172"/>
        <v>7.4999999999999997E-3</v>
      </c>
      <c r="AR1261" s="13">
        <f t="shared" si="1164"/>
        <v>7.4999999999999997E-3</v>
      </c>
      <c r="AS1261" s="6">
        <f t="shared" si="1156"/>
        <v>111.09245406459441</v>
      </c>
      <c r="AT1261" s="6">
        <f t="shared" si="1157"/>
        <v>107.65661446623209</v>
      </c>
      <c r="AU1261" s="6">
        <f t="shared" si="1158"/>
        <v>110.72589663801281</v>
      </c>
      <c r="AV1261" s="6">
        <f t="shared" si="1159"/>
        <v>111.09245406459441</v>
      </c>
      <c r="AW1261" s="58">
        <f t="shared" si="1165"/>
        <v>1994</v>
      </c>
      <c r="AX1261" s="58">
        <f>COUNTIF(AW$3:AW1261,AW1261)</f>
        <v>26</v>
      </c>
    </row>
    <row r="1262" spans="1:50" x14ac:dyDescent="0.25">
      <c r="A1262" s="5">
        <v>34511</v>
      </c>
      <c r="B1262">
        <v>442.8</v>
      </c>
      <c r="C1262">
        <v>4.16</v>
      </c>
      <c r="D1262" s="6">
        <v>12.31</v>
      </c>
      <c r="E1262" s="18">
        <f t="shared" si="1178"/>
        <v>12.4</v>
      </c>
      <c r="F1262">
        <f t="shared" si="1179"/>
        <v>2</v>
      </c>
      <c r="G1262" s="18">
        <f>ROUND(INDEX(Valuation!U:U,MATCH(A1262,Valuation!A:A,0)),2)</f>
        <v>260.08999999999997</v>
      </c>
      <c r="H1262">
        <f t="shared" si="1186"/>
        <v>3</v>
      </c>
      <c r="I1262" s="18">
        <f>INDEX(WeeklyIndicators!Y:Y,MATCH(A1262,WeeklyIndicators!A:A,0))</f>
        <v>119.39</v>
      </c>
      <c r="J1262">
        <f t="shared" si="1175"/>
        <v>-1</v>
      </c>
      <c r="K1262">
        <f>ROUND(INDEX(Economic!AF:AF,MATCH(EOMONTH($A1262,-1),Economic!A:A,0)),2)</f>
        <v>146.54</v>
      </c>
      <c r="L1262" s="11">
        <f t="shared" si="1184"/>
        <v>3</v>
      </c>
      <c r="M1262">
        <f>ROUND(INDEX(Manufacturing!P:P,MATCH(EOMONTH($A1262,-1),Manufacturing!A:A,0)),2)</f>
        <v>111.05</v>
      </c>
      <c r="N1262">
        <f t="shared" si="1180"/>
        <v>3</v>
      </c>
      <c r="O1262">
        <f>ROUND(INDEX(Housing!AC:AC,MATCH(EOMONTH($A1262,-1),Housing!B:B,0)),2)</f>
        <v>96.85</v>
      </c>
      <c r="P1262">
        <f t="shared" si="1181"/>
        <v>-1</v>
      </c>
      <c r="Q1262">
        <f>ROUND(INDEX(Spending!AJ:AJ,MATCH(EOMONTH($A1262,-1),Spending!B:B,0)),2)</f>
        <v>64.06</v>
      </c>
      <c r="R1262">
        <f t="shared" si="1185"/>
        <v>2</v>
      </c>
      <c r="S1262">
        <f>ROUND(INDEX(Employment!V:V,MATCH(EOMONTH($A1262,-1),Employment!A:A,0)),2)</f>
        <v>216.32</v>
      </c>
      <c r="T1262" s="11">
        <f t="shared" si="1182"/>
        <v>3</v>
      </c>
      <c r="U1262">
        <f t="shared" si="1174"/>
        <v>34</v>
      </c>
      <c r="V1262">
        <f t="shared" si="1166"/>
        <v>84.64</v>
      </c>
      <c r="W1262" s="13">
        <f t="shared" si="1167"/>
        <v>7.7999999999999996E-3</v>
      </c>
      <c r="X1262" s="13">
        <f t="shared" si="1168"/>
        <v>1.5999999999999999E-3</v>
      </c>
      <c r="Y1262">
        <f t="shared" si="1160"/>
        <v>103.61</v>
      </c>
      <c r="Z1262" s="13">
        <f t="shared" si="1155"/>
        <v>8.2000000000000007E-3</v>
      </c>
      <c r="AA1262" s="13">
        <f t="shared" si="1151"/>
        <v>1.4E-2</v>
      </c>
      <c r="AB1262" s="6">
        <f t="shared" si="1161"/>
        <v>125.899</v>
      </c>
      <c r="AC1262">
        <f t="shared" si="1153"/>
        <v>63</v>
      </c>
      <c r="AD1262" s="11">
        <f t="shared" si="1154"/>
        <v>2</v>
      </c>
      <c r="AE1262">
        <f t="shared" si="1152"/>
        <v>38</v>
      </c>
      <c r="AF1262">
        <f>IF(AND(AE1262&lt;15,OR(AC1262&gt;=30,AA1262&gt;0.15,X1262&gt;=0.15)),2,VLOOKUP(AE1262,Table!P:Q,2,FALSE))</f>
        <v>6</v>
      </c>
      <c r="AG1262" s="22">
        <f>IF((AB1262*0.98)-(D1262*0.8)+((AF1262-3)*3)+VLOOKUP(AM1262,Table!$A$11:$B$13,2,FALSE)&lt;0,0,(AB1262*0.98)-(D1262*0.8)+((AF1262-3)*3)+VLOOKUP(AM1262,Table!$A$11:$B$13,2,FALSE))</f>
        <v>130.53301999999999</v>
      </c>
      <c r="AH1262" s="22">
        <f t="shared" si="1183"/>
        <v>100</v>
      </c>
      <c r="AI1262" s="18">
        <f t="shared" si="1176"/>
        <v>3.95</v>
      </c>
      <c r="AJ1262" s="18">
        <f t="shared" si="1177"/>
        <v>3.41</v>
      </c>
      <c r="AK1262" t="str">
        <f t="shared" si="1162"/>
        <v>Rising Rates</v>
      </c>
      <c r="AL1262">
        <f t="shared" si="1173"/>
        <v>38</v>
      </c>
      <c r="AM1262" s="11" t="str">
        <f t="shared" si="1163"/>
        <v>Stocks</v>
      </c>
      <c r="AN1262" t="str">
        <f t="shared" si="1169"/>
        <v>Buy</v>
      </c>
      <c r="AO1262" s="13">
        <f t="shared" si="1170"/>
        <v>7.7000000000000002E-3</v>
      </c>
      <c r="AP1262" s="13">
        <f t="shared" si="1171"/>
        <v>8.0000000000000004E-4</v>
      </c>
      <c r="AQ1262" s="13">
        <f t="shared" si="1172"/>
        <v>7.7000000000000002E-3</v>
      </c>
      <c r="AR1262" s="13">
        <f t="shared" si="1164"/>
        <v>7.7000000000000002E-3</v>
      </c>
      <c r="AS1262" s="6">
        <f t="shared" si="1156"/>
        <v>110.24357851006688</v>
      </c>
      <c r="AT1262" s="6">
        <f t="shared" si="1157"/>
        <v>107.57055801981625</v>
      </c>
      <c r="AU1262" s="6">
        <f t="shared" si="1158"/>
        <v>109.87982200854699</v>
      </c>
      <c r="AV1262" s="6">
        <f t="shared" si="1159"/>
        <v>110.24357851006688</v>
      </c>
      <c r="AW1262" s="58">
        <f t="shared" si="1165"/>
        <v>1994</v>
      </c>
      <c r="AX1262" s="58">
        <f>COUNTIF(AW$3:AW1262,AW1262)</f>
        <v>27</v>
      </c>
    </row>
    <row r="1263" spans="1:50" x14ac:dyDescent="0.25">
      <c r="A1263" s="5">
        <v>34504</v>
      </c>
      <c r="B1263">
        <v>458.45</v>
      </c>
      <c r="C1263">
        <v>4.12</v>
      </c>
      <c r="D1263" s="6">
        <v>12.69</v>
      </c>
      <c r="E1263" s="18">
        <f t="shared" si="1178"/>
        <v>12.46</v>
      </c>
      <c r="F1263">
        <f t="shared" si="1179"/>
        <v>2</v>
      </c>
      <c r="G1263" s="18">
        <f>ROUND(INDEX(Valuation!U:U,MATCH(A1263,Valuation!A:A,0)),2)</f>
        <v>260.01</v>
      </c>
      <c r="H1263">
        <f t="shared" si="1186"/>
        <v>3</v>
      </c>
      <c r="I1263" s="18">
        <f>INDEX(WeeklyIndicators!Y:Y,MATCH(A1263,WeeklyIndicators!A:A,0))</f>
        <v>111.06</v>
      </c>
      <c r="J1263">
        <f t="shared" si="1175"/>
        <v>-1</v>
      </c>
      <c r="K1263">
        <f>ROUND(INDEX(Economic!AF:AF,MATCH(EOMONTH($A1263,-1),Economic!A:A,0)),2)</f>
        <v>146.54</v>
      </c>
      <c r="L1263" s="11">
        <f t="shared" si="1184"/>
        <v>3</v>
      </c>
      <c r="M1263">
        <f>ROUND(INDEX(Manufacturing!P:P,MATCH(EOMONTH($A1263,-1),Manufacturing!A:A,0)),2)</f>
        <v>111.05</v>
      </c>
      <c r="N1263">
        <f t="shared" si="1180"/>
        <v>3</v>
      </c>
      <c r="O1263">
        <f>ROUND(INDEX(Housing!AC:AC,MATCH(EOMONTH($A1263,-1),Housing!B:B,0)),2)</f>
        <v>96.85</v>
      </c>
      <c r="P1263">
        <f t="shared" si="1181"/>
        <v>-1</v>
      </c>
      <c r="Q1263">
        <f>ROUND(INDEX(Spending!AJ:AJ,MATCH(EOMONTH($A1263,-1),Spending!B:B,0)),2)</f>
        <v>64.06</v>
      </c>
      <c r="R1263">
        <f t="shared" si="1185"/>
        <v>2</v>
      </c>
      <c r="S1263">
        <f>ROUND(INDEX(Employment!V:V,MATCH(EOMONTH($A1263,-1),Employment!A:A,0)),2)</f>
        <v>216.32</v>
      </c>
      <c r="T1263" s="11">
        <f t="shared" si="1182"/>
        <v>3</v>
      </c>
      <c r="U1263">
        <f t="shared" si="1174"/>
        <v>34</v>
      </c>
      <c r="V1263">
        <f t="shared" si="1166"/>
        <v>83.78</v>
      </c>
      <c r="W1263" s="13">
        <f t="shared" si="1167"/>
        <v>3.0000000000000001E-3</v>
      </c>
      <c r="X1263" s="13">
        <f t="shared" si="1168"/>
        <v>-1.43E-2</v>
      </c>
      <c r="Y1263">
        <f t="shared" si="1160"/>
        <v>102.71</v>
      </c>
      <c r="Z1263" s="13">
        <f t="shared" si="1155"/>
        <v>6.1000000000000004E-3</v>
      </c>
      <c r="AA1263" s="13">
        <f t="shared" si="1151"/>
        <v>7.999999999999995E-4</v>
      </c>
      <c r="AB1263" s="6">
        <f t="shared" si="1161"/>
        <v>123.911</v>
      </c>
      <c r="AC1263">
        <f t="shared" si="1153"/>
        <v>62</v>
      </c>
      <c r="AD1263" s="11">
        <f t="shared" si="1154"/>
        <v>2</v>
      </c>
      <c r="AE1263">
        <f t="shared" si="1152"/>
        <v>38</v>
      </c>
      <c r="AF1263">
        <f>IF(AND(AE1263&lt;15,OR(AC1263&gt;=30,AA1263&gt;0.15,X1263&gt;=0.15)),2,VLOOKUP(AE1263,Table!P:Q,2,FALSE))</f>
        <v>6</v>
      </c>
      <c r="AG1263" s="22">
        <f>IF((AB1263*0.98)-(D1263*0.8)+((AF1263-3)*3)+VLOOKUP(AM1263,Table!$A$11:$B$13,2,FALSE)&lt;0,0,(AB1263*0.98)-(D1263*0.8)+((AF1263-3)*3)+VLOOKUP(AM1263,Table!$A$11:$B$13,2,FALSE))</f>
        <v>128.28077999999999</v>
      </c>
      <c r="AH1263" s="22">
        <f t="shared" si="1183"/>
        <v>100</v>
      </c>
      <c r="AI1263" s="18">
        <f t="shared" si="1176"/>
        <v>3.9</v>
      </c>
      <c r="AJ1263" s="18">
        <f t="shared" si="1177"/>
        <v>3.38</v>
      </c>
      <c r="AK1263" t="str">
        <f t="shared" si="1162"/>
        <v>Rising Rates</v>
      </c>
      <c r="AL1263">
        <f t="shared" si="1173"/>
        <v>37.75</v>
      </c>
      <c r="AM1263" s="11" t="str">
        <f t="shared" si="1163"/>
        <v>Stocks</v>
      </c>
      <c r="AN1263" t="str">
        <f t="shared" si="1169"/>
        <v>Buy</v>
      </c>
      <c r="AO1263" s="13">
        <f t="shared" si="1170"/>
        <v>-3.4099999999999998E-2</v>
      </c>
      <c r="AP1263" s="13">
        <f t="shared" si="1171"/>
        <v>8.0000000000000004E-4</v>
      </c>
      <c r="AQ1263" s="13">
        <f t="shared" si="1172"/>
        <v>-3.4099999999999998E-2</v>
      </c>
      <c r="AR1263" s="13">
        <f t="shared" si="1164"/>
        <v>-3.4099999999999998E-2</v>
      </c>
      <c r="AS1263" s="6">
        <f t="shared" si="1156"/>
        <v>114.13560255726978</v>
      </c>
      <c r="AT1263" s="6">
        <f t="shared" si="1157"/>
        <v>107.48457036352544</v>
      </c>
      <c r="AU1263" s="6">
        <f t="shared" si="1158"/>
        <v>113.7590040465338</v>
      </c>
      <c r="AV1263" s="6">
        <f t="shared" si="1159"/>
        <v>114.13560255726978</v>
      </c>
      <c r="AW1263" s="58">
        <f t="shared" si="1165"/>
        <v>1994</v>
      </c>
      <c r="AX1263" s="58">
        <f>COUNTIF(AW$3:AW1263,AW1263)</f>
        <v>28</v>
      </c>
    </row>
    <row r="1264" spans="1:50" x14ac:dyDescent="0.25">
      <c r="A1264" s="5">
        <v>34497</v>
      </c>
      <c r="B1264">
        <v>458.67</v>
      </c>
      <c r="C1264">
        <v>4.1100000000000003</v>
      </c>
      <c r="D1264" s="6">
        <v>12.19</v>
      </c>
      <c r="E1264" s="18">
        <f t="shared" si="1178"/>
        <v>12.49</v>
      </c>
      <c r="F1264">
        <f t="shared" si="1179"/>
        <v>2</v>
      </c>
      <c r="G1264" s="18">
        <f>ROUND(INDEX(Valuation!U:U,MATCH(A1264,Valuation!A:A,0)),2)</f>
        <v>259.33</v>
      </c>
      <c r="H1264">
        <f t="shared" si="1186"/>
        <v>3</v>
      </c>
      <c r="I1264" s="18">
        <f>INDEX(WeeklyIndicators!Y:Y,MATCH(A1264,WeeklyIndicators!A:A,0))</f>
        <v>105.07</v>
      </c>
      <c r="J1264">
        <f t="shared" si="1175"/>
        <v>-1</v>
      </c>
      <c r="K1264">
        <f>ROUND(INDEX(Economic!AF:AF,MATCH(EOMONTH($A1264,-1),Economic!A:A,0)),2)</f>
        <v>146.54</v>
      </c>
      <c r="L1264" s="11">
        <f t="shared" si="1184"/>
        <v>3</v>
      </c>
      <c r="M1264">
        <f>ROUND(INDEX(Manufacturing!P:P,MATCH(EOMONTH($A1264,-1),Manufacturing!A:A,0)),2)</f>
        <v>111.05</v>
      </c>
      <c r="N1264">
        <f t="shared" si="1180"/>
        <v>3</v>
      </c>
      <c r="O1264">
        <f>ROUND(INDEX(Housing!AC:AC,MATCH(EOMONTH($A1264,-1),Housing!B:B,0)),2)</f>
        <v>96.85</v>
      </c>
      <c r="P1264">
        <f t="shared" si="1181"/>
        <v>-1</v>
      </c>
      <c r="Q1264">
        <f>ROUND(INDEX(Spending!AJ:AJ,MATCH(EOMONTH($A1264,-1),Spending!B:B,0)),2)</f>
        <v>64.06</v>
      </c>
      <c r="R1264">
        <f t="shared" si="1185"/>
        <v>2</v>
      </c>
      <c r="S1264">
        <f>ROUND(INDEX(Employment!V:V,MATCH(EOMONTH($A1264,-1),Employment!A:A,0)),2)</f>
        <v>216.32</v>
      </c>
      <c r="T1264" s="11">
        <f t="shared" si="1182"/>
        <v>3</v>
      </c>
      <c r="U1264">
        <f t="shared" si="1174"/>
        <v>34</v>
      </c>
      <c r="V1264">
        <f t="shared" si="1166"/>
        <v>83.16</v>
      </c>
      <c r="W1264" s="13">
        <f t="shared" si="1167"/>
        <v>-1.9E-3</v>
      </c>
      <c r="X1264" s="13">
        <f t="shared" si="1168"/>
        <v>-2.3899999999999998E-2</v>
      </c>
      <c r="Y1264">
        <f t="shared" si="1160"/>
        <v>102.01</v>
      </c>
      <c r="Z1264" s="13">
        <f t="shared" si="1155"/>
        <v>2.8E-3</v>
      </c>
      <c r="AA1264" s="13">
        <f t="shared" si="1151"/>
        <v>-8.5000000000000006E-3</v>
      </c>
      <c r="AB1264" s="6">
        <f t="shared" si="1161"/>
        <v>122.40299999999999</v>
      </c>
      <c r="AC1264">
        <f t="shared" si="1153"/>
        <v>61</v>
      </c>
      <c r="AD1264" s="11">
        <f t="shared" si="1154"/>
        <v>2</v>
      </c>
      <c r="AE1264">
        <f t="shared" si="1152"/>
        <v>38</v>
      </c>
      <c r="AF1264">
        <f>IF(AND(AE1264&lt;15,OR(AC1264&gt;=30,AA1264&gt;0.15,X1264&gt;=0.15)),2,VLOOKUP(AE1264,Table!P:Q,2,FALSE))</f>
        <v>6</v>
      </c>
      <c r="AG1264" s="22">
        <f>IF((AB1264*0.98)-(D1264*0.8)+((AF1264-3)*3)+VLOOKUP(AM1264,Table!$A$11:$B$13,2,FALSE)&lt;0,0,(AB1264*0.98)-(D1264*0.8)+((AF1264-3)*3)+VLOOKUP(AM1264,Table!$A$11:$B$13,2,FALSE))</f>
        <v>127.20294</v>
      </c>
      <c r="AH1264" s="22">
        <f t="shared" si="1183"/>
        <v>100</v>
      </c>
      <c r="AI1264" s="18">
        <f t="shared" si="1176"/>
        <v>3.85</v>
      </c>
      <c r="AJ1264" s="18">
        <f t="shared" si="1177"/>
        <v>3.35</v>
      </c>
      <c r="AK1264" t="str">
        <f t="shared" si="1162"/>
        <v>Rising Rates</v>
      </c>
      <c r="AL1264">
        <f t="shared" si="1173"/>
        <v>37.5</v>
      </c>
      <c r="AM1264" s="11" t="str">
        <f t="shared" si="1163"/>
        <v>Stocks</v>
      </c>
      <c r="AN1264" t="str">
        <f t="shared" si="1169"/>
        <v>Buy</v>
      </c>
      <c r="AO1264" s="13">
        <f t="shared" si="1170"/>
        <v>-5.0000000000000001E-4</v>
      </c>
      <c r="AP1264" s="13">
        <f t="shared" si="1171"/>
        <v>8.0000000000000004E-4</v>
      </c>
      <c r="AQ1264" s="13">
        <f t="shared" si="1172"/>
        <v>-5.0000000000000001E-4</v>
      </c>
      <c r="AR1264" s="13">
        <f t="shared" si="1164"/>
        <v>-5.0000000000000001E-4</v>
      </c>
      <c r="AS1264" s="6">
        <f t="shared" si="1156"/>
        <v>114.19269890672314</v>
      </c>
      <c r="AT1264" s="6">
        <f t="shared" si="1157"/>
        <v>107.39865144237154</v>
      </c>
      <c r="AU1264" s="6">
        <f t="shared" si="1158"/>
        <v>113.81591200253507</v>
      </c>
      <c r="AV1264" s="6">
        <f t="shared" si="1159"/>
        <v>114.19269890672314</v>
      </c>
      <c r="AW1264" s="58">
        <f t="shared" si="1165"/>
        <v>1994</v>
      </c>
      <c r="AX1264" s="58">
        <f>COUNTIF(AW$3:AW1264,AW1264)</f>
        <v>29</v>
      </c>
    </row>
    <row r="1265" spans="1:50" x14ac:dyDescent="0.25">
      <c r="A1265" s="5">
        <v>34490</v>
      </c>
      <c r="B1265">
        <v>460.13</v>
      </c>
      <c r="C1265">
        <v>4.1500000000000004</v>
      </c>
      <c r="D1265" s="6">
        <v>12.49</v>
      </c>
      <c r="E1265" s="18">
        <f t="shared" si="1178"/>
        <v>13.27</v>
      </c>
      <c r="F1265">
        <f t="shared" si="1179"/>
        <v>2</v>
      </c>
      <c r="G1265" s="18">
        <f>ROUND(INDEX(Valuation!U:U,MATCH(A1265,Valuation!A:A,0)),2)</f>
        <v>257.70999999999998</v>
      </c>
      <c r="H1265">
        <f t="shared" si="1186"/>
        <v>3</v>
      </c>
      <c r="I1265" s="18">
        <f>INDEX(WeeklyIndicators!Y:Y,MATCH(A1265,WeeklyIndicators!A:A,0))</f>
        <v>100.61</v>
      </c>
      <c r="J1265">
        <f t="shared" si="1175"/>
        <v>-1</v>
      </c>
      <c r="K1265">
        <f>ROUND(INDEX(Economic!AF:AF,MATCH(EOMONTH($A1265,-1),Economic!A:A,0)),2)</f>
        <v>146.54</v>
      </c>
      <c r="L1265" s="11">
        <f t="shared" si="1184"/>
        <v>3</v>
      </c>
      <c r="M1265">
        <f>ROUND(INDEX(Manufacturing!P:P,MATCH(EOMONTH($A1265,-1),Manufacturing!A:A,0)),2)</f>
        <v>111.05</v>
      </c>
      <c r="N1265">
        <f t="shared" si="1180"/>
        <v>3</v>
      </c>
      <c r="O1265">
        <f>ROUND(INDEX(Housing!AC:AC,MATCH(EOMONTH($A1265,-1),Housing!B:B,0)),2)</f>
        <v>96.85</v>
      </c>
      <c r="P1265">
        <f t="shared" si="1181"/>
        <v>-1</v>
      </c>
      <c r="Q1265">
        <f>ROUND(INDEX(Spending!AJ:AJ,MATCH(EOMONTH($A1265,-1),Spending!B:B,0)),2)</f>
        <v>64.06</v>
      </c>
      <c r="R1265">
        <f t="shared" si="1185"/>
        <v>2</v>
      </c>
      <c r="S1265">
        <f>ROUND(INDEX(Employment!V:V,MATCH(EOMONTH($A1265,-1),Employment!A:A,0)),2)</f>
        <v>216.32</v>
      </c>
      <c r="T1265" s="11">
        <f t="shared" si="1182"/>
        <v>3</v>
      </c>
      <c r="U1265">
        <f t="shared" si="1174"/>
        <v>34</v>
      </c>
      <c r="V1265">
        <f t="shared" si="1166"/>
        <v>82.69</v>
      </c>
      <c r="W1265" s="13">
        <f t="shared" si="1167"/>
        <v>-7.3000000000000001E-3</v>
      </c>
      <c r="X1265" s="13">
        <f t="shared" si="1168"/>
        <v>-2.8399999999999998E-2</v>
      </c>
      <c r="Y1265">
        <f t="shared" si="1160"/>
        <v>101.09</v>
      </c>
      <c r="Z1265" s="13">
        <f t="shared" si="1155"/>
        <v>-3.0999999999999999E-3</v>
      </c>
      <c r="AA1265" s="13">
        <f t="shared" si="1151"/>
        <v>-1.1899999999999999E-2</v>
      </c>
      <c r="AB1265" s="6">
        <f t="shared" si="1161"/>
        <v>121.041</v>
      </c>
      <c r="AC1265">
        <f t="shared" si="1153"/>
        <v>61</v>
      </c>
      <c r="AD1265" s="11">
        <f t="shared" si="1154"/>
        <v>2</v>
      </c>
      <c r="AE1265">
        <f t="shared" si="1152"/>
        <v>38</v>
      </c>
      <c r="AF1265">
        <f>IF(AND(AE1265&lt;15,OR(AC1265&gt;=30,AA1265&gt;0.15,X1265&gt;=0.15)),2,VLOOKUP(AE1265,Table!P:Q,2,FALSE))</f>
        <v>6</v>
      </c>
      <c r="AG1265" s="22">
        <f>IF((AB1265*0.98)-(D1265*0.8)+((AF1265-3)*3)+VLOOKUP(AM1265,Table!$A$11:$B$13,2,FALSE)&lt;0,0,(AB1265*0.98)-(D1265*0.8)+((AF1265-3)*3)+VLOOKUP(AM1265,Table!$A$11:$B$13,2,FALSE))</f>
        <v>125.62817999999999</v>
      </c>
      <c r="AH1265" s="22">
        <f t="shared" si="1183"/>
        <v>100</v>
      </c>
      <c r="AI1265" s="18">
        <f t="shared" si="1176"/>
        <v>3.81</v>
      </c>
      <c r="AJ1265" s="18">
        <f t="shared" si="1177"/>
        <v>3.32</v>
      </c>
      <c r="AK1265" t="str">
        <f t="shared" si="1162"/>
        <v>Rising Rates</v>
      </c>
      <c r="AL1265">
        <f t="shared" si="1173"/>
        <v>37.25</v>
      </c>
      <c r="AM1265" s="11" t="str">
        <f t="shared" si="1163"/>
        <v>Stocks</v>
      </c>
      <c r="AN1265" t="str">
        <f t="shared" si="1169"/>
        <v>Buy</v>
      </c>
      <c r="AO1265" s="13">
        <f t="shared" si="1170"/>
        <v>-3.2000000000000002E-3</v>
      </c>
      <c r="AP1265" s="13">
        <f t="shared" si="1171"/>
        <v>8.0000000000000004E-4</v>
      </c>
      <c r="AQ1265" s="13">
        <f t="shared" si="1172"/>
        <v>-3.2000000000000002E-3</v>
      </c>
      <c r="AR1265" s="13">
        <f t="shared" si="1164"/>
        <v>-3.2000000000000002E-3</v>
      </c>
      <c r="AS1265" s="6">
        <f t="shared" si="1156"/>
        <v>114.55928863034022</v>
      </c>
      <c r="AT1265" s="6">
        <f t="shared" si="1157"/>
        <v>107.31280120141042</v>
      </c>
      <c r="AU1265" s="6">
        <f t="shared" si="1158"/>
        <v>114.18129213737467</v>
      </c>
      <c r="AV1265" s="6">
        <f t="shared" si="1159"/>
        <v>114.55928863034022</v>
      </c>
      <c r="AW1265" s="58">
        <f t="shared" si="1165"/>
        <v>1994</v>
      </c>
      <c r="AX1265" s="58">
        <f>COUNTIF(AW$3:AW1265,AW1265)</f>
        <v>30</v>
      </c>
    </row>
    <row r="1266" spans="1:50" x14ac:dyDescent="0.25">
      <c r="A1266" s="5">
        <v>34483</v>
      </c>
      <c r="B1266">
        <v>457.33</v>
      </c>
      <c r="C1266">
        <v>4.18</v>
      </c>
      <c r="D1266" s="6">
        <v>12.79</v>
      </c>
      <c r="E1266" s="18">
        <f t="shared" si="1178"/>
        <v>14.14</v>
      </c>
      <c r="F1266">
        <f t="shared" si="1179"/>
        <v>1</v>
      </c>
      <c r="G1266" s="18">
        <f>ROUND(INDEX(Valuation!U:U,MATCH(A1266,Valuation!A:A,0)),2)</f>
        <v>255.32</v>
      </c>
      <c r="H1266">
        <f t="shared" si="1186"/>
        <v>3</v>
      </c>
      <c r="I1266" s="18">
        <f>INDEX(WeeklyIndicators!Y:Y,MATCH(A1266,WeeklyIndicators!A:A,0))</f>
        <v>101.2</v>
      </c>
      <c r="J1266">
        <f t="shared" si="1175"/>
        <v>-1</v>
      </c>
      <c r="K1266">
        <f>ROUND(INDEX(Economic!AF:AF,MATCH(EOMONTH($A1266,-1),Economic!A:A,0)),2)</f>
        <v>149.97999999999999</v>
      </c>
      <c r="L1266" s="11">
        <f t="shared" si="1184"/>
        <v>3</v>
      </c>
      <c r="M1266">
        <f>ROUND(INDEX(Manufacturing!P:P,MATCH(EOMONTH($A1266,-1),Manufacturing!A:A,0)),2)</f>
        <v>111.93</v>
      </c>
      <c r="N1266">
        <f t="shared" si="1180"/>
        <v>3</v>
      </c>
      <c r="O1266">
        <f>ROUND(INDEX(Housing!AC:AC,MATCH(EOMONTH($A1266,-1),Housing!B:B,0)),2)</f>
        <v>97.3</v>
      </c>
      <c r="P1266">
        <f t="shared" si="1181"/>
        <v>-1</v>
      </c>
      <c r="Q1266">
        <f>ROUND(INDEX(Spending!AJ:AJ,MATCH(EOMONTH($A1266,-1),Spending!B:B,0)),2)</f>
        <v>64.430000000000007</v>
      </c>
      <c r="R1266">
        <f t="shared" si="1185"/>
        <v>2</v>
      </c>
      <c r="S1266">
        <f>ROUND(INDEX(Employment!V:V,MATCH(EOMONTH($A1266,-1),Employment!A:A,0)),2)</f>
        <v>211.74</v>
      </c>
      <c r="T1266" s="11">
        <f t="shared" si="1182"/>
        <v>3</v>
      </c>
      <c r="U1266">
        <f t="shared" si="1174"/>
        <v>33</v>
      </c>
      <c r="V1266">
        <f t="shared" si="1166"/>
        <v>83.04</v>
      </c>
      <c r="W1266" s="13">
        <f t="shared" si="1167"/>
        <v>-8.0999999999999996E-3</v>
      </c>
      <c r="X1266" s="13">
        <f t="shared" si="1168"/>
        <v>-2.8900000000000002E-2</v>
      </c>
      <c r="Y1266">
        <f t="shared" si="1160"/>
        <v>100.86</v>
      </c>
      <c r="Z1266" s="13">
        <f t="shared" si="1155"/>
        <v>-5.0000000000000001E-3</v>
      </c>
      <c r="AA1266" s="13">
        <f t="shared" si="1151"/>
        <v>-1.1800000000000001E-2</v>
      </c>
      <c r="AB1266" s="6">
        <f t="shared" si="1161"/>
        <v>120.58199999999999</v>
      </c>
      <c r="AC1266">
        <f t="shared" si="1153"/>
        <v>60</v>
      </c>
      <c r="AD1266" s="11">
        <f t="shared" si="1154"/>
        <v>2</v>
      </c>
      <c r="AE1266">
        <f t="shared" si="1152"/>
        <v>37</v>
      </c>
      <c r="AF1266">
        <f>IF(AND(AE1266&lt;15,OR(AC1266&gt;=30,AA1266&gt;0.15,X1266&gt;=0.15)),2,VLOOKUP(AE1266,Table!P:Q,2,FALSE))</f>
        <v>6</v>
      </c>
      <c r="AG1266" s="22">
        <f>IF((AB1266*0.98)-(D1266*0.8)+((AF1266-3)*3)+VLOOKUP(AM1266,Table!$A$11:$B$13,2,FALSE)&lt;0,0,(AB1266*0.98)-(D1266*0.8)+((AF1266-3)*3)+VLOOKUP(AM1266,Table!$A$11:$B$13,2,FALSE))</f>
        <v>124.93835999999999</v>
      </c>
      <c r="AH1266" s="22">
        <f t="shared" si="1183"/>
        <v>100</v>
      </c>
      <c r="AI1266" s="18">
        <f t="shared" si="1176"/>
        <v>3.76</v>
      </c>
      <c r="AJ1266" s="18">
        <f t="shared" si="1177"/>
        <v>3.29</v>
      </c>
      <c r="AK1266" t="str">
        <f t="shared" si="1162"/>
        <v>Rising Rates</v>
      </c>
      <c r="AL1266">
        <f t="shared" si="1173"/>
        <v>37.25</v>
      </c>
      <c r="AM1266" s="11" t="str">
        <f t="shared" si="1163"/>
        <v>Stocks</v>
      </c>
      <c r="AN1266" t="str">
        <f t="shared" si="1169"/>
        <v>Buy</v>
      </c>
      <c r="AO1266" s="13">
        <f t="shared" si="1170"/>
        <v>6.1000000000000004E-3</v>
      </c>
      <c r="AP1266" s="13">
        <f t="shared" si="1171"/>
        <v>8.0000000000000004E-4</v>
      </c>
      <c r="AQ1266" s="13">
        <f t="shared" si="1172"/>
        <v>6.1000000000000004E-3</v>
      </c>
      <c r="AR1266" s="13">
        <f t="shared" si="1164"/>
        <v>6.1000000000000004E-3</v>
      </c>
      <c r="AS1266" s="6">
        <f t="shared" si="1156"/>
        <v>113.86471387569846</v>
      </c>
      <c r="AT1266" s="6">
        <f t="shared" si="1157"/>
        <v>107.22701958574184</v>
      </c>
      <c r="AU1266" s="6">
        <f t="shared" si="1158"/>
        <v>113.48900918136832</v>
      </c>
      <c r="AV1266" s="6">
        <f t="shared" si="1159"/>
        <v>113.86471387569846</v>
      </c>
      <c r="AW1266" s="58">
        <f t="shared" si="1165"/>
        <v>1994</v>
      </c>
      <c r="AX1266" s="58">
        <f>COUNTIF(AW$3:AW1266,AW1266)</f>
        <v>31</v>
      </c>
    </row>
    <row r="1267" spans="1:50" x14ac:dyDescent="0.25">
      <c r="A1267" s="5">
        <v>34476</v>
      </c>
      <c r="B1267">
        <v>454.92</v>
      </c>
      <c r="C1267">
        <v>4.16</v>
      </c>
      <c r="D1267" s="6">
        <v>14.54</v>
      </c>
      <c r="E1267" s="18">
        <f t="shared" si="1178"/>
        <v>14.46</v>
      </c>
      <c r="F1267">
        <f t="shared" si="1179"/>
        <v>1</v>
      </c>
      <c r="G1267" s="18">
        <f>ROUND(INDEX(Valuation!U:U,MATCH(A1267,Valuation!A:A,0)),2)</f>
        <v>253.6</v>
      </c>
      <c r="H1267">
        <f t="shared" si="1186"/>
        <v>3</v>
      </c>
      <c r="I1267" s="18">
        <f>INDEX(WeeklyIndicators!Y:Y,MATCH(A1267,WeeklyIndicators!A:A,0))</f>
        <v>107</v>
      </c>
      <c r="J1267">
        <f t="shared" si="1175"/>
        <v>-1</v>
      </c>
      <c r="K1267">
        <f>ROUND(INDEX(Economic!AF:AF,MATCH(EOMONTH($A1267,-1),Economic!A:A,0)),2)</f>
        <v>149.97999999999999</v>
      </c>
      <c r="L1267" s="11">
        <f t="shared" si="1184"/>
        <v>3</v>
      </c>
      <c r="M1267">
        <f>ROUND(INDEX(Manufacturing!P:P,MATCH(EOMONTH($A1267,-1),Manufacturing!A:A,0)),2)</f>
        <v>111.93</v>
      </c>
      <c r="N1267">
        <f t="shared" si="1180"/>
        <v>3</v>
      </c>
      <c r="O1267">
        <f>ROUND(INDEX(Housing!AC:AC,MATCH(EOMONTH($A1267,-1),Housing!B:B,0)),2)</f>
        <v>97.3</v>
      </c>
      <c r="P1267">
        <f t="shared" si="1181"/>
        <v>-1</v>
      </c>
      <c r="Q1267">
        <f>ROUND(INDEX(Spending!AJ:AJ,MATCH(EOMONTH($A1267,-1),Spending!B:B,0)),2)</f>
        <v>64.430000000000007</v>
      </c>
      <c r="R1267">
        <f t="shared" si="1185"/>
        <v>2</v>
      </c>
      <c r="S1267">
        <f>ROUND(INDEX(Employment!V:V,MATCH(EOMONTH($A1267,-1),Employment!A:A,0)),2)</f>
        <v>211.74</v>
      </c>
      <c r="T1267" s="11">
        <f t="shared" si="1182"/>
        <v>3</v>
      </c>
      <c r="U1267">
        <f t="shared" si="1174"/>
        <v>33</v>
      </c>
      <c r="V1267">
        <f t="shared" si="1166"/>
        <v>83.64</v>
      </c>
      <c r="W1267" s="13">
        <f t="shared" si="1167"/>
        <v>-6.6E-3</v>
      </c>
      <c r="X1267" s="13">
        <f t="shared" si="1168"/>
        <v>-3.1600000000000003E-2</v>
      </c>
      <c r="Y1267">
        <f t="shared" si="1160"/>
        <v>101.16</v>
      </c>
      <c r="Z1267" s="13">
        <f t="shared" si="1155"/>
        <v>-3.2000000000000002E-3</v>
      </c>
      <c r="AA1267" s="13">
        <f t="shared" ref="AA1267:AA1330" si="1187">SUM(Z1267:Z1270)</f>
        <v>-1.54E-2</v>
      </c>
      <c r="AB1267" s="6">
        <f t="shared" si="1161"/>
        <v>120.46</v>
      </c>
      <c r="AC1267">
        <f t="shared" si="1153"/>
        <v>60</v>
      </c>
      <c r="AD1267" s="11">
        <f t="shared" si="1154"/>
        <v>2</v>
      </c>
      <c r="AE1267">
        <f t="shared" si="1152"/>
        <v>37</v>
      </c>
      <c r="AF1267">
        <f>IF(AND(AE1267&lt;15,OR(AC1267&gt;=30,AA1267&gt;0.15,X1267&gt;=0.15)),2,VLOOKUP(AE1267,Table!P:Q,2,FALSE))</f>
        <v>6</v>
      </c>
      <c r="AG1267" s="22">
        <f>IF((AB1267*0.98)-(D1267*0.8)+((AF1267-3)*3)+VLOOKUP(AM1267,Table!$A$11:$B$13,2,FALSE)&lt;0,0,(AB1267*0.98)-(D1267*0.8)+((AF1267-3)*3)+VLOOKUP(AM1267,Table!$A$11:$B$13,2,FALSE))</f>
        <v>123.41879999999999</v>
      </c>
      <c r="AH1267" s="22">
        <f t="shared" si="1183"/>
        <v>100</v>
      </c>
      <c r="AI1267" s="18">
        <f t="shared" si="1176"/>
        <v>3.69</v>
      </c>
      <c r="AJ1267" s="18">
        <f t="shared" si="1177"/>
        <v>3.26</v>
      </c>
      <c r="AK1267" t="str">
        <f t="shared" si="1162"/>
        <v>Rising Rates</v>
      </c>
      <c r="AL1267">
        <f t="shared" si="1173"/>
        <v>37.5</v>
      </c>
      <c r="AM1267" s="11" t="str">
        <f t="shared" si="1163"/>
        <v>Stocks</v>
      </c>
      <c r="AN1267" t="str">
        <f t="shared" si="1169"/>
        <v>Buy</v>
      </c>
      <c r="AO1267" s="13">
        <f t="shared" si="1170"/>
        <v>5.3E-3</v>
      </c>
      <c r="AP1267" s="13">
        <f t="shared" si="1171"/>
        <v>8.0000000000000004E-4</v>
      </c>
      <c r="AQ1267" s="13">
        <f t="shared" si="1172"/>
        <v>5.3E-3</v>
      </c>
      <c r="AR1267" s="13">
        <f t="shared" si="1164"/>
        <v>5.3E-3</v>
      </c>
      <c r="AS1267" s="6">
        <f t="shared" si="1156"/>
        <v>113.26441248950408</v>
      </c>
      <c r="AT1267" s="6">
        <f t="shared" si="1157"/>
        <v>107.14130654050945</v>
      </c>
      <c r="AU1267" s="6">
        <f t="shared" si="1158"/>
        <v>112.89068853214792</v>
      </c>
      <c r="AV1267" s="6">
        <f t="shared" si="1159"/>
        <v>113.26441248950408</v>
      </c>
      <c r="AW1267" s="58">
        <f t="shared" si="1165"/>
        <v>1994</v>
      </c>
      <c r="AX1267" s="58">
        <f>COUNTIF(AW$3:AW1267,AW1267)</f>
        <v>32</v>
      </c>
    </row>
    <row r="1268" spans="1:50" x14ac:dyDescent="0.25">
      <c r="A1268" s="5">
        <v>34469</v>
      </c>
      <c r="B1268">
        <v>444.14</v>
      </c>
      <c r="C1268">
        <v>4.1900000000000004</v>
      </c>
      <c r="D1268" s="6">
        <v>15.08</v>
      </c>
      <c r="E1268" s="18">
        <f t="shared" si="1178"/>
        <v>14.6</v>
      </c>
      <c r="F1268">
        <f t="shared" si="1179"/>
        <v>1</v>
      </c>
      <c r="G1268" s="18">
        <f>ROUND(INDEX(Valuation!U:U,MATCH(A1268,Valuation!A:A,0)),2)</f>
        <v>253.74</v>
      </c>
      <c r="H1268">
        <f t="shared" si="1186"/>
        <v>3</v>
      </c>
      <c r="I1268" s="18">
        <f>INDEX(WeeklyIndicators!Y:Y,MATCH(A1268,WeeklyIndicators!A:A,0))</f>
        <v>115.6</v>
      </c>
      <c r="J1268">
        <f t="shared" si="1175"/>
        <v>-1</v>
      </c>
      <c r="K1268">
        <f>ROUND(INDEX(Economic!AF:AF,MATCH(EOMONTH($A1268,-1),Economic!A:A,0)),2)</f>
        <v>149.97999999999999</v>
      </c>
      <c r="L1268" s="11">
        <f t="shared" si="1184"/>
        <v>3</v>
      </c>
      <c r="M1268">
        <f>ROUND(INDEX(Manufacturing!P:P,MATCH(EOMONTH($A1268,-1),Manufacturing!A:A,0)),2)</f>
        <v>111.93</v>
      </c>
      <c r="N1268">
        <f t="shared" si="1180"/>
        <v>3</v>
      </c>
      <c r="O1268">
        <f>ROUND(INDEX(Housing!AC:AC,MATCH(EOMONTH($A1268,-1),Housing!B:B,0)),2)</f>
        <v>97.3</v>
      </c>
      <c r="P1268">
        <f t="shared" si="1181"/>
        <v>-1</v>
      </c>
      <c r="Q1268">
        <f>ROUND(INDEX(Spending!AJ:AJ,MATCH(EOMONTH($A1268,-1),Spending!B:B,0)),2)</f>
        <v>64.430000000000007</v>
      </c>
      <c r="R1268">
        <f t="shared" si="1185"/>
        <v>2</v>
      </c>
      <c r="S1268">
        <f>ROUND(INDEX(Employment!V:V,MATCH(EOMONTH($A1268,-1),Employment!A:A,0)),2)</f>
        <v>211.74</v>
      </c>
      <c r="T1268" s="11">
        <f t="shared" si="1182"/>
        <v>3</v>
      </c>
      <c r="U1268">
        <f t="shared" si="1174"/>
        <v>33</v>
      </c>
      <c r="V1268">
        <f t="shared" si="1166"/>
        <v>84.53</v>
      </c>
      <c r="W1268" s="13">
        <f t="shared" si="1167"/>
        <v>-6.4000000000000003E-3</v>
      </c>
      <c r="X1268" s="13">
        <f t="shared" si="1168"/>
        <v>-3.4299999999999997E-2</v>
      </c>
      <c r="Y1268">
        <f t="shared" si="1160"/>
        <v>102.02</v>
      </c>
      <c r="Z1268" s="13">
        <f t="shared" si="1155"/>
        <v>-5.9999999999999995E-4</v>
      </c>
      <c r="AA1268" s="13">
        <f t="shared" si="1187"/>
        <v>-2.3899999999999998E-2</v>
      </c>
      <c r="AB1268" s="6">
        <f t="shared" si="1161"/>
        <v>120.76400000000001</v>
      </c>
      <c r="AC1268">
        <f t="shared" si="1153"/>
        <v>60</v>
      </c>
      <c r="AD1268" s="11">
        <f t="shared" si="1154"/>
        <v>2</v>
      </c>
      <c r="AE1268">
        <f t="shared" si="1152"/>
        <v>37</v>
      </c>
      <c r="AF1268">
        <f>IF(AND(AE1268&lt;15,OR(AC1268&gt;=30,AA1268&gt;0.15,X1268&gt;=0.15)),2,VLOOKUP(AE1268,Table!P:Q,2,FALSE))</f>
        <v>6</v>
      </c>
      <c r="AG1268" s="22">
        <f>IF((AB1268*0.98)-(D1268*0.8)+((AF1268-3)*3)+VLOOKUP(AM1268,Table!$A$11:$B$13,2,FALSE)&lt;0,0,(AB1268*0.98)-(D1268*0.8)+((AF1268-3)*3)+VLOOKUP(AM1268,Table!$A$11:$B$13,2,FALSE))</f>
        <v>123.28472000000002</v>
      </c>
      <c r="AH1268" s="22">
        <f t="shared" si="1183"/>
        <v>100</v>
      </c>
      <c r="AI1268" s="18">
        <f t="shared" si="1176"/>
        <v>3.62</v>
      </c>
      <c r="AJ1268" s="18">
        <f t="shared" si="1177"/>
        <v>3.23</v>
      </c>
      <c r="AK1268" t="str">
        <f t="shared" si="1162"/>
        <v>Rising Rates</v>
      </c>
      <c r="AL1268">
        <f t="shared" si="1173"/>
        <v>37.5</v>
      </c>
      <c r="AM1268" s="11" t="str">
        <f t="shared" si="1163"/>
        <v>Stocks</v>
      </c>
      <c r="AN1268" t="str">
        <f t="shared" si="1169"/>
        <v>Buy</v>
      </c>
      <c r="AO1268" s="13">
        <f t="shared" si="1170"/>
        <v>2.4299999999999999E-2</v>
      </c>
      <c r="AP1268" s="13">
        <f t="shared" si="1171"/>
        <v>8.0000000000000004E-4</v>
      </c>
      <c r="AQ1268" s="13">
        <f t="shared" si="1172"/>
        <v>2.4299999999999999E-2</v>
      </c>
      <c r="AR1268" s="13">
        <f t="shared" si="1164"/>
        <v>2.4299999999999999E-2</v>
      </c>
      <c r="AS1268" s="6">
        <f t="shared" si="1156"/>
        <v>110.57738210436794</v>
      </c>
      <c r="AT1268" s="6">
        <f t="shared" si="1157"/>
        <v>107.05566201090073</v>
      </c>
      <c r="AU1268" s="6">
        <f t="shared" si="1158"/>
        <v>110.21252419422818</v>
      </c>
      <c r="AV1268" s="6">
        <f t="shared" si="1159"/>
        <v>110.57738210436794</v>
      </c>
      <c r="AW1268" s="58">
        <f t="shared" si="1165"/>
        <v>1994</v>
      </c>
      <c r="AX1268" s="58">
        <f>COUNTIF(AW$3:AW1268,AW1268)</f>
        <v>33</v>
      </c>
    </row>
    <row r="1269" spans="1:50" x14ac:dyDescent="0.25">
      <c r="A1269" s="5">
        <v>34462</v>
      </c>
      <c r="B1269">
        <v>447.82</v>
      </c>
      <c r="C1269">
        <v>4.04</v>
      </c>
      <c r="D1269" s="6">
        <v>13.77</v>
      </c>
      <c r="E1269" s="18">
        <f t="shared" si="1178"/>
        <v>14.9</v>
      </c>
      <c r="F1269">
        <f t="shared" si="1179"/>
        <v>1</v>
      </c>
      <c r="G1269" s="18">
        <f>ROUND(INDEX(Valuation!U:U,MATCH(A1269,Valuation!A:A,0)),2)</f>
        <v>252.82</v>
      </c>
      <c r="H1269">
        <f t="shared" si="1186"/>
        <v>3</v>
      </c>
      <c r="I1269" s="18">
        <f>INDEX(WeeklyIndicators!Y:Y,MATCH(A1269,WeeklyIndicators!A:A,0))</f>
        <v>121.09</v>
      </c>
      <c r="J1269">
        <f t="shared" si="1175"/>
        <v>0</v>
      </c>
      <c r="K1269">
        <f>ROUND(INDEX(Economic!AF:AF,MATCH(EOMONTH($A1269,-1),Economic!A:A,0)),2)</f>
        <v>149.97999999999999</v>
      </c>
      <c r="L1269" s="11">
        <f t="shared" si="1184"/>
        <v>3</v>
      </c>
      <c r="M1269">
        <f>ROUND(INDEX(Manufacturing!P:P,MATCH(EOMONTH($A1269,-1),Manufacturing!A:A,0)),2)</f>
        <v>111.93</v>
      </c>
      <c r="N1269">
        <f t="shared" si="1180"/>
        <v>3</v>
      </c>
      <c r="O1269">
        <f>ROUND(INDEX(Housing!AC:AC,MATCH(EOMONTH($A1269,-1),Housing!B:B,0)),2)</f>
        <v>97.3</v>
      </c>
      <c r="P1269">
        <f t="shared" si="1181"/>
        <v>-1</v>
      </c>
      <c r="Q1269">
        <f>ROUND(INDEX(Spending!AJ:AJ,MATCH(EOMONTH($A1269,-1),Spending!B:B,0)),2)</f>
        <v>64.430000000000007</v>
      </c>
      <c r="R1269">
        <f t="shared" si="1185"/>
        <v>2</v>
      </c>
      <c r="S1269">
        <f>ROUND(INDEX(Employment!V:V,MATCH(EOMONTH($A1269,-1),Employment!A:A,0)),2)</f>
        <v>211.74</v>
      </c>
      <c r="T1269" s="11">
        <f t="shared" si="1182"/>
        <v>3</v>
      </c>
      <c r="U1269">
        <f t="shared" si="1174"/>
        <v>34</v>
      </c>
      <c r="V1269">
        <f t="shared" si="1166"/>
        <v>85.1</v>
      </c>
      <c r="W1269" s="13">
        <f t="shared" si="1167"/>
        <v>-7.7999999999999996E-3</v>
      </c>
      <c r="X1269" s="13">
        <f t="shared" si="1168"/>
        <v>-2.4699999999999996E-2</v>
      </c>
      <c r="Y1269">
        <f t="shared" si="1160"/>
        <v>102.38</v>
      </c>
      <c r="Z1269" s="13">
        <f t="shared" si="1155"/>
        <v>-3.0000000000000001E-3</v>
      </c>
      <c r="AA1269" s="13">
        <f t="shared" si="1187"/>
        <v>-2.3300000000000001E-2</v>
      </c>
      <c r="AB1269" s="6">
        <f t="shared" si="1161"/>
        <v>121.19199999999999</v>
      </c>
      <c r="AC1269">
        <f t="shared" si="1153"/>
        <v>61</v>
      </c>
      <c r="AD1269" s="11">
        <f t="shared" si="1154"/>
        <v>2</v>
      </c>
      <c r="AE1269">
        <f t="shared" si="1152"/>
        <v>38</v>
      </c>
      <c r="AF1269">
        <f>IF(AND(AE1269&lt;15,OR(AC1269&gt;=30,AA1269&gt;0.15,X1269&gt;=0.15)),2,VLOOKUP(AE1269,Table!P:Q,2,FALSE))</f>
        <v>6</v>
      </c>
      <c r="AG1269" s="22">
        <f>IF((AB1269*0.98)-(D1269*0.8)+((AF1269-3)*3)+VLOOKUP(AM1269,Table!$A$11:$B$13,2,FALSE)&lt;0,0,(AB1269*0.98)-(D1269*0.8)+((AF1269-3)*3)+VLOOKUP(AM1269,Table!$A$11:$B$13,2,FALSE))</f>
        <v>124.75215999999999</v>
      </c>
      <c r="AH1269" s="22">
        <f t="shared" si="1183"/>
        <v>100</v>
      </c>
      <c r="AI1269" s="18">
        <f t="shared" si="1176"/>
        <v>3.55</v>
      </c>
      <c r="AJ1269" s="18">
        <f t="shared" si="1177"/>
        <v>3.2</v>
      </c>
      <c r="AK1269" t="str">
        <f t="shared" si="1162"/>
        <v>Rising Rates</v>
      </c>
      <c r="AL1269">
        <f t="shared" si="1173"/>
        <v>37.75</v>
      </c>
      <c r="AM1269" s="11" t="str">
        <f t="shared" si="1163"/>
        <v>Stocks</v>
      </c>
      <c r="AN1269" t="str">
        <f t="shared" si="1169"/>
        <v>Buy</v>
      </c>
      <c r="AO1269" s="13">
        <f t="shared" si="1170"/>
        <v>-8.2000000000000007E-3</v>
      </c>
      <c r="AP1269" s="13">
        <f t="shared" si="1171"/>
        <v>8.0000000000000004E-4</v>
      </c>
      <c r="AQ1269" s="13">
        <f t="shared" si="1172"/>
        <v>-8.2000000000000007E-3</v>
      </c>
      <c r="AR1269" s="13">
        <f t="shared" si="1164"/>
        <v>-8.2000000000000007E-3</v>
      </c>
      <c r="AS1269" s="6">
        <f t="shared" si="1156"/>
        <v>111.49161333370432</v>
      </c>
      <c r="AT1269" s="6">
        <f t="shared" si="1157"/>
        <v>106.97008594214702</v>
      </c>
      <c r="AU1269" s="6">
        <f t="shared" si="1158"/>
        <v>111.12373885282132</v>
      </c>
      <c r="AV1269" s="6">
        <f t="shared" si="1159"/>
        <v>111.49161333370432</v>
      </c>
      <c r="AW1269" s="58">
        <f t="shared" si="1165"/>
        <v>1994</v>
      </c>
      <c r="AX1269" s="58">
        <f>COUNTIF(AW$3:AW1269,AW1269)</f>
        <v>34</v>
      </c>
    </row>
    <row r="1270" spans="1:50" x14ac:dyDescent="0.25">
      <c r="A1270" s="5">
        <v>34455</v>
      </c>
      <c r="B1270">
        <v>450.91</v>
      </c>
      <c r="C1270">
        <v>3.85</v>
      </c>
      <c r="D1270" s="6">
        <v>14.94</v>
      </c>
      <c r="E1270" s="18">
        <f t="shared" si="1178"/>
        <v>15.95</v>
      </c>
      <c r="F1270">
        <f t="shared" si="1179"/>
        <v>1</v>
      </c>
      <c r="G1270" s="18">
        <f>ROUND(INDEX(Valuation!U:U,MATCH(A1270,Valuation!A:A,0)),2)</f>
        <v>251.91</v>
      </c>
      <c r="H1270">
        <f t="shared" si="1186"/>
        <v>3</v>
      </c>
      <c r="I1270" s="18">
        <f>INDEX(WeeklyIndicators!Y:Y,MATCH(A1270,WeeklyIndicators!A:A,0))</f>
        <v>123.2</v>
      </c>
      <c r="J1270">
        <f t="shared" si="1175"/>
        <v>0</v>
      </c>
      <c r="K1270">
        <f>ROUND(INDEX(Economic!AF:AF,MATCH(EOMONTH($A1270,-1),Economic!A:A,0)),2)</f>
        <v>149.97999999999999</v>
      </c>
      <c r="L1270" s="11">
        <f t="shared" si="1184"/>
        <v>3</v>
      </c>
      <c r="M1270">
        <f>ROUND(INDEX(Manufacturing!P:P,MATCH(EOMONTH($A1270,-1),Manufacturing!A:A,0)),2)</f>
        <v>111.93</v>
      </c>
      <c r="N1270">
        <f t="shared" si="1180"/>
        <v>3</v>
      </c>
      <c r="O1270">
        <f>ROUND(INDEX(Housing!AC:AC,MATCH(EOMONTH($A1270,-1),Housing!B:B,0)),2)</f>
        <v>97.3</v>
      </c>
      <c r="P1270">
        <f t="shared" si="1181"/>
        <v>-1</v>
      </c>
      <c r="Q1270">
        <f>ROUND(INDEX(Spending!AJ:AJ,MATCH(EOMONTH($A1270,-1),Spending!B:B,0)),2)</f>
        <v>64.430000000000007</v>
      </c>
      <c r="R1270">
        <f t="shared" si="1185"/>
        <v>2</v>
      </c>
      <c r="S1270">
        <f>ROUND(INDEX(Employment!V:V,MATCH(EOMONTH($A1270,-1),Employment!A:A,0)),2)</f>
        <v>211.74</v>
      </c>
      <c r="T1270" s="11">
        <f t="shared" si="1182"/>
        <v>3</v>
      </c>
      <c r="U1270">
        <f t="shared" si="1174"/>
        <v>34</v>
      </c>
      <c r="V1270">
        <f t="shared" si="1166"/>
        <v>85.32</v>
      </c>
      <c r="W1270" s="13">
        <f t="shared" si="1167"/>
        <v>-1.0800000000000001E-2</v>
      </c>
      <c r="X1270" s="13">
        <f t="shared" si="1168"/>
        <v>-1.599999999999999E-3</v>
      </c>
      <c r="Y1270">
        <f t="shared" si="1160"/>
        <v>102.13</v>
      </c>
      <c r="Z1270" s="13">
        <f t="shared" si="1155"/>
        <v>-8.6E-3</v>
      </c>
      <c r="AA1270" s="13">
        <f t="shared" si="1187"/>
        <v>-7.6999999999999985E-3</v>
      </c>
      <c r="AB1270" s="6">
        <f t="shared" si="1161"/>
        <v>122.131</v>
      </c>
      <c r="AC1270">
        <f t="shared" si="1153"/>
        <v>61</v>
      </c>
      <c r="AD1270" s="11">
        <f t="shared" si="1154"/>
        <v>2</v>
      </c>
      <c r="AE1270">
        <f t="shared" si="1152"/>
        <v>38</v>
      </c>
      <c r="AF1270">
        <f>IF(AND(AE1270&lt;15,OR(AC1270&gt;=30,AA1270&gt;0.15,X1270&gt;=0.15)),2,VLOOKUP(AE1270,Table!P:Q,2,FALSE))</f>
        <v>6</v>
      </c>
      <c r="AG1270" s="22">
        <f>IF((AB1270*0.98)-(D1270*0.8)+((AF1270-3)*3)+VLOOKUP(AM1270,Table!$A$11:$B$13,2,FALSE)&lt;0,0,(AB1270*0.98)-(D1270*0.8)+((AF1270-3)*3)+VLOOKUP(AM1270,Table!$A$11:$B$13,2,FALSE))</f>
        <v>124.73638</v>
      </c>
      <c r="AH1270" s="22">
        <f t="shared" si="1183"/>
        <v>100</v>
      </c>
      <c r="AI1270" s="18">
        <f t="shared" si="1176"/>
        <v>3.48</v>
      </c>
      <c r="AJ1270" s="18">
        <f t="shared" si="1177"/>
        <v>3.17</v>
      </c>
      <c r="AK1270" t="str">
        <f t="shared" si="1162"/>
        <v>Rising Rates</v>
      </c>
      <c r="AL1270">
        <f t="shared" si="1173"/>
        <v>38</v>
      </c>
      <c r="AM1270" s="11" t="str">
        <f t="shared" si="1163"/>
        <v>Stocks</v>
      </c>
      <c r="AN1270" t="str">
        <f t="shared" si="1169"/>
        <v>Buy</v>
      </c>
      <c r="AO1270" s="13">
        <f t="shared" si="1170"/>
        <v>-6.8999999999999999E-3</v>
      </c>
      <c r="AP1270" s="13">
        <f t="shared" si="1171"/>
        <v>6.9999999999999999E-4</v>
      </c>
      <c r="AQ1270" s="13">
        <f t="shared" si="1172"/>
        <v>-6.8999999999999999E-3</v>
      </c>
      <c r="AR1270" s="13">
        <f t="shared" si="1164"/>
        <v>-6.8999999999999999E-3</v>
      </c>
      <c r="AS1270" s="6">
        <f t="shared" si="1156"/>
        <v>112.26625046189137</v>
      </c>
      <c r="AT1270" s="6">
        <f t="shared" si="1157"/>
        <v>106.89525926066456</v>
      </c>
      <c r="AU1270" s="6">
        <f t="shared" si="1158"/>
        <v>111.8958200108965</v>
      </c>
      <c r="AV1270" s="6">
        <f t="shared" si="1159"/>
        <v>112.26625046189137</v>
      </c>
      <c r="AW1270" s="58">
        <f t="shared" si="1165"/>
        <v>1994</v>
      </c>
      <c r="AX1270" s="58">
        <f>COUNTIF(AW$3:AW1270,AW1270)</f>
        <v>35</v>
      </c>
    </row>
    <row r="1271" spans="1:50" x14ac:dyDescent="0.25">
      <c r="A1271" s="5">
        <v>34448</v>
      </c>
      <c r="B1271">
        <v>447.63</v>
      </c>
      <c r="C1271">
        <v>3.73</v>
      </c>
      <c r="D1271" s="6">
        <v>15.98</v>
      </c>
      <c r="E1271" s="18">
        <f t="shared" si="1178"/>
        <v>17.78</v>
      </c>
      <c r="F1271">
        <f t="shared" si="1179"/>
        <v>0</v>
      </c>
      <c r="G1271" s="18">
        <f>ROUND(INDEX(Valuation!U:U,MATCH(A1271,Valuation!A:A,0)),2)</f>
        <v>250.58</v>
      </c>
      <c r="H1271">
        <f t="shared" si="1186"/>
        <v>3</v>
      </c>
      <c r="I1271" s="18">
        <f>INDEX(WeeklyIndicators!Y:Y,MATCH(A1271,WeeklyIndicators!A:A,0))</f>
        <v>127.47</v>
      </c>
      <c r="J1271">
        <f t="shared" si="1175"/>
        <v>0</v>
      </c>
      <c r="K1271">
        <f>ROUND(INDEX(Economic!AF:AF,MATCH(EOMONTH($A1271,-1),Economic!A:A,0)),2)</f>
        <v>153.06</v>
      </c>
      <c r="L1271" s="11">
        <f t="shared" si="1184"/>
        <v>3</v>
      </c>
      <c r="M1271">
        <f>ROUND(INDEX(Manufacturing!P:P,MATCH(EOMONTH($A1271,-1),Manufacturing!A:A,0)),2)</f>
        <v>113.1</v>
      </c>
      <c r="N1271">
        <f t="shared" si="1180"/>
        <v>3</v>
      </c>
      <c r="O1271">
        <f>ROUND(INDEX(Housing!AC:AC,MATCH(EOMONTH($A1271,-1),Housing!B:B,0)),2)</f>
        <v>98.45</v>
      </c>
      <c r="P1271">
        <f t="shared" si="1181"/>
        <v>-1</v>
      </c>
      <c r="Q1271">
        <f>ROUND(INDEX(Spending!AJ:AJ,MATCH(EOMONTH($A1271,-1),Spending!B:B,0)),2)</f>
        <v>63.56</v>
      </c>
      <c r="R1271">
        <f t="shared" si="1185"/>
        <v>2</v>
      </c>
      <c r="S1271">
        <f>ROUND(INDEX(Employment!V:V,MATCH(EOMONTH($A1271,-1),Employment!A:A,0)),2)</f>
        <v>209.63</v>
      </c>
      <c r="T1271" s="11">
        <f t="shared" si="1182"/>
        <v>3</v>
      </c>
      <c r="U1271">
        <f t="shared" si="1174"/>
        <v>33</v>
      </c>
      <c r="V1271">
        <f t="shared" si="1166"/>
        <v>86.18</v>
      </c>
      <c r="W1271" s="13">
        <f t="shared" si="1167"/>
        <v>-9.2999999999999992E-3</v>
      </c>
      <c r="X1271" s="13">
        <f t="shared" si="1168"/>
        <v>3.5699999999999996E-2</v>
      </c>
      <c r="Y1271">
        <f t="shared" si="1160"/>
        <v>102.21</v>
      </c>
      <c r="Z1271" s="13">
        <f t="shared" si="1155"/>
        <v>-1.17E-2</v>
      </c>
      <c r="AA1271" s="13">
        <f t="shared" si="1187"/>
        <v>2.5599999999999998E-2</v>
      </c>
      <c r="AB1271" s="6">
        <f t="shared" si="1161"/>
        <v>124.70800000000001</v>
      </c>
      <c r="AC1271">
        <f t="shared" si="1153"/>
        <v>62</v>
      </c>
      <c r="AD1271" s="11">
        <f t="shared" si="1154"/>
        <v>2</v>
      </c>
      <c r="AE1271">
        <f t="shared" si="1152"/>
        <v>37</v>
      </c>
      <c r="AF1271">
        <f>IF(AND(AE1271&lt;15,OR(AC1271&gt;=30,AA1271&gt;0.15,X1271&gt;=0.15)),2,VLOOKUP(AE1271,Table!P:Q,2,FALSE))</f>
        <v>6</v>
      </c>
      <c r="AG1271" s="22">
        <f>IF((AB1271*0.98)-(D1271*0.8)+((AF1271-3)*3)+VLOOKUP(AM1271,Table!$A$11:$B$13,2,FALSE)&lt;0,0,(AB1271*0.98)-(D1271*0.8)+((AF1271-3)*3)+VLOOKUP(AM1271,Table!$A$11:$B$13,2,FALSE))</f>
        <v>126.42984</v>
      </c>
      <c r="AH1271" s="22">
        <f t="shared" si="1183"/>
        <v>100</v>
      </c>
      <c r="AI1271" s="18">
        <f t="shared" si="1176"/>
        <v>3.41</v>
      </c>
      <c r="AJ1271" s="18">
        <f t="shared" si="1177"/>
        <v>3.15</v>
      </c>
      <c r="AK1271" t="str">
        <f t="shared" si="1162"/>
        <v>Rising Rates</v>
      </c>
      <c r="AL1271">
        <f t="shared" si="1173"/>
        <v>38.5</v>
      </c>
      <c r="AM1271" s="11" t="str">
        <f t="shared" si="1163"/>
        <v>Stocks</v>
      </c>
      <c r="AN1271" t="str">
        <f t="shared" si="1169"/>
        <v>Buy</v>
      </c>
      <c r="AO1271" s="13">
        <f t="shared" si="1170"/>
        <v>7.3000000000000001E-3</v>
      </c>
      <c r="AP1271" s="13">
        <f t="shared" si="1171"/>
        <v>6.9999999999999999E-4</v>
      </c>
      <c r="AQ1271" s="13">
        <f t="shared" si="1172"/>
        <v>7.3000000000000001E-3</v>
      </c>
      <c r="AR1271" s="13">
        <f t="shared" si="1164"/>
        <v>7.3000000000000001E-3</v>
      </c>
      <c r="AS1271" s="6">
        <f t="shared" si="1156"/>
        <v>111.45264614503263</v>
      </c>
      <c r="AT1271" s="6">
        <f t="shared" si="1157"/>
        <v>106.82048492121972</v>
      </c>
      <c r="AU1271" s="6">
        <f t="shared" si="1158"/>
        <v>111.08490023915068</v>
      </c>
      <c r="AV1271" s="6">
        <f t="shared" si="1159"/>
        <v>111.45264614503263</v>
      </c>
      <c r="AW1271" s="58">
        <f t="shared" si="1165"/>
        <v>1994</v>
      </c>
      <c r="AX1271" s="58">
        <f>COUNTIF(AW$3:AW1271,AW1271)</f>
        <v>36</v>
      </c>
    </row>
    <row r="1272" spans="1:50" x14ac:dyDescent="0.25">
      <c r="A1272" s="5">
        <v>34441</v>
      </c>
      <c r="B1272">
        <v>446.18</v>
      </c>
      <c r="C1272">
        <v>3.57</v>
      </c>
      <c r="D1272" s="6">
        <v>16.920000000000002</v>
      </c>
      <c r="E1272" s="18">
        <f t="shared" si="1178"/>
        <v>17.010000000000002</v>
      </c>
      <c r="F1272">
        <f t="shared" si="1179"/>
        <v>0</v>
      </c>
      <c r="G1272" s="18">
        <f>ROUND(INDEX(Valuation!U:U,MATCH(A1272,Valuation!A:A,0)),2)</f>
        <v>249.68</v>
      </c>
      <c r="H1272">
        <f t="shared" si="1186"/>
        <v>3</v>
      </c>
      <c r="I1272" s="18">
        <f>INDEX(WeeklyIndicators!Y:Y,MATCH(A1272,WeeklyIndicators!A:A,0))</f>
        <v>136.35</v>
      </c>
      <c r="J1272">
        <f t="shared" si="1175"/>
        <v>1</v>
      </c>
      <c r="K1272">
        <f>ROUND(INDEX(Economic!AF:AF,MATCH(EOMONTH($A1272,-1),Economic!A:A,0)),2)</f>
        <v>153.06</v>
      </c>
      <c r="L1272" s="11">
        <f t="shared" si="1184"/>
        <v>3</v>
      </c>
      <c r="M1272">
        <f>ROUND(INDEX(Manufacturing!P:P,MATCH(EOMONTH($A1272,-1),Manufacturing!A:A,0)),2)</f>
        <v>113.1</v>
      </c>
      <c r="N1272">
        <f t="shared" si="1180"/>
        <v>3</v>
      </c>
      <c r="O1272">
        <f>ROUND(INDEX(Housing!AC:AC,MATCH(EOMONTH($A1272,-1),Housing!B:B,0)),2)</f>
        <v>98.45</v>
      </c>
      <c r="P1272">
        <f t="shared" si="1181"/>
        <v>-1</v>
      </c>
      <c r="Q1272">
        <f>ROUND(INDEX(Spending!AJ:AJ,MATCH(EOMONTH($A1272,-1),Spending!B:B,0)),2)</f>
        <v>63.56</v>
      </c>
      <c r="R1272">
        <f t="shared" si="1185"/>
        <v>2</v>
      </c>
      <c r="S1272">
        <f>ROUND(INDEX(Employment!V:V,MATCH(EOMONTH($A1272,-1),Employment!A:A,0)),2)</f>
        <v>209.63</v>
      </c>
      <c r="T1272" s="11">
        <f t="shared" si="1182"/>
        <v>3</v>
      </c>
      <c r="U1272">
        <f t="shared" si="1174"/>
        <v>34</v>
      </c>
      <c r="V1272">
        <f t="shared" si="1166"/>
        <v>87.11</v>
      </c>
      <c r="W1272" s="13">
        <f t="shared" si="1167"/>
        <v>3.2000000000000002E-3</v>
      </c>
      <c r="X1272" s="13">
        <f t="shared" si="1168"/>
        <v>6.8400000000000002E-2</v>
      </c>
      <c r="Y1272">
        <f t="shared" si="1160"/>
        <v>103.3</v>
      </c>
      <c r="Z1272" s="13">
        <f t="shared" si="1155"/>
        <v>0</v>
      </c>
      <c r="AA1272" s="13">
        <f t="shared" si="1187"/>
        <v>5.8700000000000002E-2</v>
      </c>
      <c r="AB1272" s="6">
        <f t="shared" si="1161"/>
        <v>128.28799999999998</v>
      </c>
      <c r="AC1272">
        <f t="shared" si="1153"/>
        <v>64</v>
      </c>
      <c r="AD1272" s="11">
        <f t="shared" si="1154"/>
        <v>2</v>
      </c>
      <c r="AE1272">
        <f t="shared" ref="AE1272:AE1335" si="1188">IF(AND(AA1272&gt;=0.2,AC1272&gt;=20,U1272+AD1272+2&lt;30),U1272+AD1272+2+12,U1272+AD1272+2)</f>
        <v>38</v>
      </c>
      <c r="AF1272">
        <f>IF(AND(AE1272&lt;15,OR(AC1272&gt;=30,AA1272&gt;0.15,X1272&gt;=0.15)),2,VLOOKUP(AE1272,Table!P:Q,2,FALSE))</f>
        <v>6</v>
      </c>
      <c r="AG1272" s="22">
        <f>IF((AB1272*0.98)-(D1272*0.8)+((AF1272-3)*3)+VLOOKUP(AM1272,Table!$A$11:$B$13,2,FALSE)&lt;0,0,(AB1272*0.98)-(D1272*0.8)+((AF1272-3)*3)+VLOOKUP(AM1272,Table!$A$11:$B$13,2,FALSE))</f>
        <v>129.18624</v>
      </c>
      <c r="AH1272" s="22">
        <f t="shared" si="1183"/>
        <v>100</v>
      </c>
      <c r="AI1272" s="18">
        <f t="shared" si="1176"/>
        <v>3.35</v>
      </c>
      <c r="AJ1272" s="18">
        <f t="shared" si="1177"/>
        <v>3.14</v>
      </c>
      <c r="AK1272" t="str">
        <f t="shared" si="1162"/>
        <v>Rising Rates</v>
      </c>
      <c r="AL1272">
        <f t="shared" si="1173"/>
        <v>39</v>
      </c>
      <c r="AM1272" s="11" t="str">
        <f t="shared" si="1163"/>
        <v>Stocks</v>
      </c>
      <c r="AN1272" t="str">
        <f t="shared" si="1169"/>
        <v>Buy</v>
      </c>
      <c r="AO1272" s="13">
        <f t="shared" si="1170"/>
        <v>3.2000000000000002E-3</v>
      </c>
      <c r="AP1272" s="13">
        <f t="shared" si="1171"/>
        <v>6.9999999999999999E-4</v>
      </c>
      <c r="AQ1272" s="13">
        <f t="shared" si="1172"/>
        <v>3.2000000000000002E-3</v>
      </c>
      <c r="AR1272" s="13">
        <f t="shared" si="1164"/>
        <v>3.2000000000000002E-3</v>
      </c>
      <c r="AS1272" s="6">
        <f t="shared" si="1156"/>
        <v>111.09713531203411</v>
      </c>
      <c r="AT1272" s="6">
        <f t="shared" si="1157"/>
        <v>106.74576288719868</v>
      </c>
      <c r="AU1272" s="6">
        <f t="shared" si="1158"/>
        <v>110.73056243934477</v>
      </c>
      <c r="AV1272" s="6">
        <f t="shared" si="1159"/>
        <v>111.09713531203411</v>
      </c>
      <c r="AW1272" s="58">
        <f t="shared" si="1165"/>
        <v>1994</v>
      </c>
      <c r="AX1272" s="58">
        <f>COUNTIF(AW$3:AW1272,AW1272)</f>
        <v>37</v>
      </c>
    </row>
    <row r="1273" spans="1:50" x14ac:dyDescent="0.25">
      <c r="A1273" s="5">
        <v>34434</v>
      </c>
      <c r="B1273">
        <v>447.1</v>
      </c>
      <c r="C1273">
        <v>3.6</v>
      </c>
      <c r="D1273" s="6">
        <v>20.450001</v>
      </c>
      <c r="E1273" s="18">
        <f t="shared" si="1178"/>
        <v>15.81</v>
      </c>
      <c r="F1273">
        <f t="shared" si="1179"/>
        <v>1</v>
      </c>
      <c r="G1273" s="18">
        <f>ROUND(INDEX(Valuation!U:U,MATCH(A1273,Valuation!A:A,0)),2)</f>
        <v>249.89</v>
      </c>
      <c r="H1273">
        <f t="shared" si="1186"/>
        <v>3</v>
      </c>
      <c r="I1273" s="18">
        <f>INDEX(WeeklyIndicators!Y:Y,MATCH(A1273,WeeklyIndicators!A:A,0))</f>
        <v>146.44999999999999</v>
      </c>
      <c r="J1273">
        <f t="shared" si="1175"/>
        <v>1</v>
      </c>
      <c r="K1273">
        <f>ROUND(INDEX(Economic!AF:AF,MATCH(EOMONTH($A1273,-1),Economic!A:A,0)),2)</f>
        <v>153.06</v>
      </c>
      <c r="L1273" s="11">
        <f t="shared" si="1184"/>
        <v>3</v>
      </c>
      <c r="M1273">
        <f>ROUND(INDEX(Manufacturing!P:P,MATCH(EOMONTH($A1273,-1),Manufacturing!A:A,0)),2)</f>
        <v>113.1</v>
      </c>
      <c r="N1273">
        <f t="shared" si="1180"/>
        <v>3</v>
      </c>
      <c r="O1273">
        <f>ROUND(INDEX(Housing!AC:AC,MATCH(EOMONTH($A1273,-1),Housing!B:B,0)),2)</f>
        <v>98.45</v>
      </c>
      <c r="P1273">
        <f t="shared" si="1181"/>
        <v>-1</v>
      </c>
      <c r="Q1273">
        <f>ROUND(INDEX(Spending!AJ:AJ,MATCH(EOMONTH($A1273,-1),Spending!B:B,0)),2)</f>
        <v>63.56</v>
      </c>
      <c r="R1273">
        <f t="shared" si="1185"/>
        <v>2</v>
      </c>
      <c r="S1273">
        <f>ROUND(INDEX(Employment!V:V,MATCH(EOMONTH($A1273,-1),Employment!A:A,0)),2)</f>
        <v>209.63</v>
      </c>
      <c r="T1273" s="11">
        <f t="shared" si="1182"/>
        <v>3</v>
      </c>
      <c r="U1273">
        <f t="shared" si="1174"/>
        <v>35</v>
      </c>
      <c r="V1273">
        <f t="shared" si="1166"/>
        <v>88.15</v>
      </c>
      <c r="W1273" s="13">
        <f t="shared" si="1167"/>
        <v>1.5299999999999999E-2</v>
      </c>
      <c r="X1273" s="13">
        <f t="shared" si="1168"/>
        <v>9.4099999999999989E-2</v>
      </c>
      <c r="Y1273">
        <f t="shared" si="1160"/>
        <v>104.79</v>
      </c>
      <c r="Z1273" s="13">
        <f t="shared" si="1155"/>
        <v>1.26E-2</v>
      </c>
      <c r="AA1273" s="13">
        <f t="shared" si="1187"/>
        <v>8.4100000000000008E-2</v>
      </c>
      <c r="AB1273" s="6">
        <f t="shared" si="1161"/>
        <v>131.78899999999999</v>
      </c>
      <c r="AC1273">
        <f t="shared" si="1153"/>
        <v>66</v>
      </c>
      <c r="AD1273" s="11">
        <f t="shared" si="1154"/>
        <v>2</v>
      </c>
      <c r="AE1273">
        <f t="shared" si="1188"/>
        <v>39</v>
      </c>
      <c r="AF1273">
        <f>IF(AND(AE1273&lt;15,OR(AC1273&gt;=30,AA1273&gt;0.15,X1273&gt;=0.15)),2,VLOOKUP(AE1273,Table!P:Q,2,FALSE))</f>
        <v>6</v>
      </c>
      <c r="AG1273" s="22">
        <f>IF((AB1273*0.98)-(D1273*0.8)+((AF1273-3)*3)+VLOOKUP(AM1273,Table!$A$11:$B$13,2,FALSE)&lt;0,0,(AB1273*0.98)-(D1273*0.8)+((AF1273-3)*3)+VLOOKUP(AM1273,Table!$A$11:$B$13,2,FALSE))</f>
        <v>129.79321919999998</v>
      </c>
      <c r="AH1273" s="22">
        <f t="shared" si="1183"/>
        <v>100</v>
      </c>
      <c r="AI1273" s="18">
        <f t="shared" si="1176"/>
        <v>3.3</v>
      </c>
      <c r="AJ1273" s="18">
        <f t="shared" si="1177"/>
        <v>3.12</v>
      </c>
      <c r="AK1273" t="str">
        <f t="shared" si="1162"/>
        <v>Rising Rates</v>
      </c>
      <c r="AL1273">
        <f t="shared" si="1173"/>
        <v>39</v>
      </c>
      <c r="AM1273" s="11" t="str">
        <f t="shared" si="1163"/>
        <v>Stocks</v>
      </c>
      <c r="AN1273" t="str">
        <f t="shared" si="1169"/>
        <v>Buy</v>
      </c>
      <c r="AO1273" s="13">
        <f t="shared" si="1170"/>
        <v>-2.0999999999999999E-3</v>
      </c>
      <c r="AP1273" s="13">
        <f t="shared" si="1171"/>
        <v>6.9999999999999999E-4</v>
      </c>
      <c r="AQ1273" s="13">
        <f t="shared" si="1172"/>
        <v>-2.0999999999999999E-3</v>
      </c>
      <c r="AR1273" s="13">
        <f t="shared" si="1164"/>
        <v>-2.0999999999999999E-3</v>
      </c>
      <c r="AS1273" s="6">
        <f t="shared" si="1156"/>
        <v>111.33093026559186</v>
      </c>
      <c r="AT1273" s="6">
        <f t="shared" si="1157"/>
        <v>106.67109312201327</v>
      </c>
      <c r="AU1273" s="6">
        <f t="shared" si="1158"/>
        <v>110.96358596988152</v>
      </c>
      <c r="AV1273" s="6">
        <f t="shared" si="1159"/>
        <v>111.33093026559186</v>
      </c>
      <c r="AW1273" s="58">
        <f t="shared" si="1165"/>
        <v>1994</v>
      </c>
      <c r="AX1273" s="58">
        <f>COUNTIF(AW$3:AW1273,AW1273)</f>
        <v>38</v>
      </c>
    </row>
    <row r="1274" spans="1:50" x14ac:dyDescent="0.25">
      <c r="A1274" s="5">
        <v>34427</v>
      </c>
      <c r="B1274">
        <v>445.77</v>
      </c>
      <c r="C1274">
        <v>3.5</v>
      </c>
      <c r="D1274" s="6">
        <v>13.67</v>
      </c>
      <c r="E1274" s="18">
        <f t="shared" si="1178"/>
        <v>13.95</v>
      </c>
      <c r="F1274">
        <f t="shared" si="1179"/>
        <v>2</v>
      </c>
      <c r="G1274" s="18">
        <f>ROUND(INDEX(Valuation!U:U,MATCH(A1274,Valuation!A:A,0)),2)</f>
        <v>249.63</v>
      </c>
      <c r="H1274">
        <f t="shared" si="1186"/>
        <v>3</v>
      </c>
      <c r="I1274" s="18">
        <f>INDEX(WeeklyIndicators!Y:Y,MATCH(A1274,WeeklyIndicators!A:A,0))</f>
        <v>151.01</v>
      </c>
      <c r="J1274">
        <f t="shared" si="1175"/>
        <v>1</v>
      </c>
      <c r="K1274">
        <f>ROUND(INDEX(Economic!AF:AF,MATCH(EOMONTH($A1274,-1),Economic!A:A,0)),2)</f>
        <v>153.06</v>
      </c>
      <c r="L1274" s="11">
        <f t="shared" si="1184"/>
        <v>3</v>
      </c>
      <c r="M1274">
        <f>ROUND(INDEX(Manufacturing!P:P,MATCH(EOMONTH($A1274,-1),Manufacturing!A:A,0)),2)</f>
        <v>113.1</v>
      </c>
      <c r="N1274">
        <f t="shared" si="1180"/>
        <v>3</v>
      </c>
      <c r="O1274">
        <f>ROUND(INDEX(Housing!AC:AC,MATCH(EOMONTH($A1274,-1),Housing!B:B,0)),2)</f>
        <v>98.45</v>
      </c>
      <c r="P1274">
        <f t="shared" si="1181"/>
        <v>-1</v>
      </c>
      <c r="Q1274">
        <f>ROUND(INDEX(Spending!AJ:AJ,MATCH(EOMONTH($A1274,-1),Spending!B:B,0)),2)</f>
        <v>63.56</v>
      </c>
      <c r="R1274">
        <f t="shared" si="1185"/>
        <v>2</v>
      </c>
      <c r="S1274">
        <f>ROUND(INDEX(Employment!V:V,MATCH(EOMONTH($A1274,-1),Employment!A:A,0)),2)</f>
        <v>209.63</v>
      </c>
      <c r="T1274" s="11">
        <f t="shared" si="1182"/>
        <v>3</v>
      </c>
      <c r="U1274">
        <f t="shared" si="1174"/>
        <v>36</v>
      </c>
      <c r="V1274">
        <f t="shared" si="1166"/>
        <v>88.63</v>
      </c>
      <c r="W1274" s="13">
        <f t="shared" si="1167"/>
        <v>2.6499999999999999E-2</v>
      </c>
      <c r="X1274" s="13">
        <f t="shared" si="1168"/>
        <v>9.4399999999999998E-2</v>
      </c>
      <c r="Y1274">
        <f t="shared" si="1160"/>
        <v>105.89</v>
      </c>
      <c r="Z1274" s="13">
        <f t="shared" si="1155"/>
        <v>2.47E-2</v>
      </c>
      <c r="AA1274" s="13">
        <f t="shared" si="1187"/>
        <v>8.2900000000000001E-2</v>
      </c>
      <c r="AB1274" s="6">
        <f t="shared" si="1161"/>
        <v>132.803</v>
      </c>
      <c r="AC1274">
        <f t="shared" si="1153"/>
        <v>66</v>
      </c>
      <c r="AD1274" s="11">
        <f t="shared" si="1154"/>
        <v>2</v>
      </c>
      <c r="AE1274">
        <f t="shared" si="1188"/>
        <v>40</v>
      </c>
      <c r="AF1274">
        <f>IF(AND(AE1274&lt;15,OR(AC1274&gt;=30,AA1274&gt;0.15,X1274&gt;=0.15)),2,VLOOKUP(AE1274,Table!P:Q,2,FALSE))</f>
        <v>6</v>
      </c>
      <c r="AG1274" s="22">
        <f>IF((AB1274*0.98)-(D1274*0.8)+((AF1274-3)*3)+VLOOKUP(AM1274,Table!$A$11:$B$13,2,FALSE)&lt;0,0,(AB1274*0.98)-(D1274*0.8)+((AF1274-3)*3)+VLOOKUP(AM1274,Table!$A$11:$B$13,2,FALSE))</f>
        <v>136.21093999999999</v>
      </c>
      <c r="AH1274" s="22">
        <f t="shared" si="1183"/>
        <v>100</v>
      </c>
      <c r="AI1274" s="18">
        <f t="shared" si="1176"/>
        <v>3.26</v>
      </c>
      <c r="AJ1274" s="18">
        <f t="shared" si="1177"/>
        <v>3.11</v>
      </c>
      <c r="AK1274" t="str">
        <f t="shared" si="1162"/>
        <v>Rising Rates</v>
      </c>
      <c r="AL1274">
        <f t="shared" si="1173"/>
        <v>38.5</v>
      </c>
      <c r="AM1274" s="11" t="str">
        <f t="shared" si="1163"/>
        <v>Stocks</v>
      </c>
      <c r="AN1274" t="str">
        <f t="shared" si="1169"/>
        <v>Buy</v>
      </c>
      <c r="AO1274" s="13">
        <f t="shared" si="1170"/>
        <v>3.0000000000000001E-3</v>
      </c>
      <c r="AP1274" s="13">
        <f t="shared" si="1171"/>
        <v>6.9999999999999999E-4</v>
      </c>
      <c r="AQ1274" s="13">
        <f t="shared" si="1172"/>
        <v>3.0000000000000001E-3</v>
      </c>
      <c r="AR1274" s="13">
        <f t="shared" si="1164"/>
        <v>3.0000000000000001E-3</v>
      </c>
      <c r="AS1274" s="6">
        <f t="shared" si="1156"/>
        <v>110.9979364562232</v>
      </c>
      <c r="AT1274" s="6">
        <f t="shared" si="1157"/>
        <v>106.59647558910092</v>
      </c>
      <c r="AU1274" s="6">
        <f t="shared" si="1158"/>
        <v>110.63169089718997</v>
      </c>
      <c r="AV1274" s="6">
        <f t="shared" si="1159"/>
        <v>110.9979364562232</v>
      </c>
      <c r="AW1274" s="58">
        <f t="shared" si="1165"/>
        <v>1994</v>
      </c>
      <c r="AX1274" s="58">
        <f>COUNTIF(AW$3:AW1274,AW1274)</f>
        <v>39</v>
      </c>
    </row>
    <row r="1275" spans="1:50" x14ac:dyDescent="0.25">
      <c r="A1275" s="5">
        <v>34420</v>
      </c>
      <c r="B1275">
        <v>460.58</v>
      </c>
      <c r="C1275">
        <v>3.49</v>
      </c>
      <c r="D1275" s="6">
        <v>13.32</v>
      </c>
      <c r="E1275" s="18">
        <f t="shared" si="1178"/>
        <v>14.73</v>
      </c>
      <c r="F1275">
        <f t="shared" si="1179"/>
        <v>1</v>
      </c>
      <c r="G1275" s="18">
        <f>ROUND(INDEX(Valuation!U:U,MATCH(A1275,Valuation!A:A,0)),2)</f>
        <v>249.96</v>
      </c>
      <c r="H1275">
        <f t="shared" si="1186"/>
        <v>3</v>
      </c>
      <c r="I1275" s="18">
        <f>INDEX(WeeklyIndicators!Y:Y,MATCH(A1275,WeeklyIndicators!A:A,0))</f>
        <v>144.02000000000001</v>
      </c>
      <c r="J1275">
        <f t="shared" si="1175"/>
        <v>1</v>
      </c>
      <c r="K1275">
        <f>ROUND(INDEX(Economic!AF:AF,MATCH(EOMONTH($A1275,-1),Economic!A:A,0)),2)</f>
        <v>147.22</v>
      </c>
      <c r="L1275" s="11">
        <f t="shared" si="1184"/>
        <v>3</v>
      </c>
      <c r="M1275">
        <f>ROUND(INDEX(Manufacturing!P:P,MATCH(EOMONTH($A1275,-1),Manufacturing!A:A,0)),2)</f>
        <v>115.04</v>
      </c>
      <c r="N1275">
        <f t="shared" si="1180"/>
        <v>3</v>
      </c>
      <c r="O1275">
        <f>ROUND(INDEX(Housing!AC:AC,MATCH(EOMONTH($A1275,-1),Housing!B:B,0)),2)</f>
        <v>98.57</v>
      </c>
      <c r="P1275">
        <f t="shared" si="1181"/>
        <v>-1</v>
      </c>
      <c r="Q1275">
        <f>ROUND(INDEX(Spending!AJ:AJ,MATCH(EOMONTH($A1275,-1),Spending!B:B,0)),2)</f>
        <v>60.65</v>
      </c>
      <c r="R1275">
        <f t="shared" si="1185"/>
        <v>2</v>
      </c>
      <c r="S1275">
        <f>ROUND(INDEX(Employment!V:V,MATCH(EOMONTH($A1275,-1),Employment!A:A,0)),2)</f>
        <v>199.74</v>
      </c>
      <c r="T1275" s="11">
        <f t="shared" si="1182"/>
        <v>3</v>
      </c>
      <c r="U1275">
        <f t="shared" si="1174"/>
        <v>35</v>
      </c>
      <c r="V1275">
        <f t="shared" si="1166"/>
        <v>86.27</v>
      </c>
      <c r="W1275" s="13">
        <f t="shared" si="1167"/>
        <v>2.3400000000000001E-2</v>
      </c>
      <c r="X1275" s="13">
        <f t="shared" si="1168"/>
        <v>7.2099999999999997E-2</v>
      </c>
      <c r="Y1275">
        <f t="shared" si="1160"/>
        <v>103.3</v>
      </c>
      <c r="Z1275" s="13">
        <f t="shared" si="1155"/>
        <v>2.1399999999999999E-2</v>
      </c>
      <c r="AA1275" s="13">
        <f t="shared" si="1187"/>
        <v>5.8999999999999997E-2</v>
      </c>
      <c r="AB1275" s="6">
        <f t="shared" si="1161"/>
        <v>128.346</v>
      </c>
      <c r="AC1275">
        <f t="shared" si="1153"/>
        <v>64</v>
      </c>
      <c r="AD1275" s="11">
        <f t="shared" si="1154"/>
        <v>2</v>
      </c>
      <c r="AE1275">
        <f t="shared" si="1188"/>
        <v>39</v>
      </c>
      <c r="AF1275">
        <f>IF(AND(AE1275&lt;15,OR(AC1275&gt;=30,AA1275&gt;0.15,X1275&gt;=0.15)),2,VLOOKUP(AE1275,Table!P:Q,2,FALSE))</f>
        <v>6</v>
      </c>
      <c r="AG1275" s="22">
        <f>IF((AB1275*0.98)-(D1275*0.8)+((AF1275-3)*3)+VLOOKUP(AM1275,Table!$A$11:$B$13,2,FALSE)&lt;0,0,(AB1275*0.98)-(D1275*0.8)+((AF1275-3)*3)+VLOOKUP(AM1275,Table!$A$11:$B$13,2,FALSE))</f>
        <v>132.12308000000002</v>
      </c>
      <c r="AH1275" s="22">
        <f t="shared" si="1183"/>
        <v>100</v>
      </c>
      <c r="AI1275" s="18">
        <f t="shared" si="1176"/>
        <v>3.22</v>
      </c>
      <c r="AJ1275" s="18">
        <f t="shared" si="1177"/>
        <v>3.09</v>
      </c>
      <c r="AK1275" t="str">
        <f t="shared" si="1162"/>
        <v>Rising Rates</v>
      </c>
      <c r="AL1275">
        <f t="shared" si="1173"/>
        <v>37.5</v>
      </c>
      <c r="AM1275" s="11" t="str">
        <f t="shared" si="1163"/>
        <v>Stocks</v>
      </c>
      <c r="AN1275" t="str">
        <f t="shared" si="1169"/>
        <v>Buy</v>
      </c>
      <c r="AO1275" s="13">
        <f t="shared" si="1170"/>
        <v>-3.2199999999999999E-2</v>
      </c>
      <c r="AP1275" s="13">
        <f t="shared" si="1171"/>
        <v>6.9999999999999999E-4</v>
      </c>
      <c r="AQ1275" s="13">
        <f t="shared" si="1172"/>
        <v>-3.2199999999999999E-2</v>
      </c>
      <c r="AR1275" s="13">
        <f t="shared" si="1164"/>
        <v>-3.2199999999999999E-2</v>
      </c>
      <c r="AS1275" s="6">
        <f t="shared" si="1156"/>
        <v>114.69098621225791</v>
      </c>
      <c r="AT1275" s="6">
        <f t="shared" si="1157"/>
        <v>106.52191025192458</v>
      </c>
      <c r="AU1275" s="6">
        <f t="shared" si="1158"/>
        <v>114.31255517378588</v>
      </c>
      <c r="AV1275" s="6">
        <f t="shared" si="1159"/>
        <v>114.69098621225791</v>
      </c>
      <c r="AW1275" s="58">
        <f t="shared" si="1165"/>
        <v>1994</v>
      </c>
      <c r="AX1275" s="58">
        <f>COUNTIF(AW$3:AW1275,AW1275)</f>
        <v>40</v>
      </c>
    </row>
    <row r="1276" spans="1:50" x14ac:dyDescent="0.25">
      <c r="A1276" s="5">
        <v>34413</v>
      </c>
      <c r="B1276">
        <v>471.06</v>
      </c>
      <c r="C1276">
        <v>3.52</v>
      </c>
      <c r="D1276" s="6">
        <v>14.87</v>
      </c>
      <c r="E1276" s="18">
        <f t="shared" si="1178"/>
        <v>15.22</v>
      </c>
      <c r="F1276">
        <f t="shared" si="1179"/>
        <v>1</v>
      </c>
      <c r="G1276" s="18">
        <f>ROUND(INDEX(Valuation!U:U,MATCH(A1276,Valuation!A:A,0)),2)</f>
        <v>248.5</v>
      </c>
      <c r="H1276">
        <f t="shared" si="1186"/>
        <v>3</v>
      </c>
      <c r="I1276" s="18">
        <f>INDEX(WeeklyIndicators!Y:Y,MATCH(A1276,WeeklyIndicators!A:A,0))</f>
        <v>123.92</v>
      </c>
      <c r="J1276">
        <f t="shared" si="1175"/>
        <v>0</v>
      </c>
      <c r="K1276">
        <f>ROUND(INDEX(Economic!AF:AF,MATCH(EOMONTH($A1276,-1),Economic!A:A,0)),2)</f>
        <v>147.22</v>
      </c>
      <c r="L1276" s="11">
        <f t="shared" si="1184"/>
        <v>3</v>
      </c>
      <c r="M1276">
        <f>ROUND(INDEX(Manufacturing!P:P,MATCH(EOMONTH($A1276,-1),Manufacturing!A:A,0)),2)</f>
        <v>115.04</v>
      </c>
      <c r="N1276">
        <f t="shared" si="1180"/>
        <v>3</v>
      </c>
      <c r="O1276">
        <f>ROUND(INDEX(Housing!AC:AC,MATCH(EOMONTH($A1276,-1),Housing!B:B,0)),2)</f>
        <v>98.57</v>
      </c>
      <c r="P1276">
        <f t="shared" si="1181"/>
        <v>-1</v>
      </c>
      <c r="Q1276">
        <f>ROUND(INDEX(Spending!AJ:AJ,MATCH(EOMONTH($A1276,-1),Spending!B:B,0)),2)</f>
        <v>60.65</v>
      </c>
      <c r="R1276">
        <f t="shared" si="1185"/>
        <v>2</v>
      </c>
      <c r="S1276">
        <f>ROUND(INDEX(Employment!V:V,MATCH(EOMONTH($A1276,-1),Employment!A:A,0)),2)</f>
        <v>199.74</v>
      </c>
      <c r="T1276" s="11">
        <f t="shared" si="1182"/>
        <v>3</v>
      </c>
      <c r="U1276">
        <f t="shared" si="1174"/>
        <v>34</v>
      </c>
      <c r="V1276">
        <f t="shared" si="1166"/>
        <v>84.19</v>
      </c>
      <c r="W1276" s="13">
        <f t="shared" si="1167"/>
        <v>2.8899999999999999E-2</v>
      </c>
      <c r="X1276" s="13">
        <f t="shared" si="1168"/>
        <v>3.56E-2</v>
      </c>
      <c r="Y1276">
        <f t="shared" si="1160"/>
        <v>100.88</v>
      </c>
      <c r="Z1276" s="13">
        <f t="shared" si="1155"/>
        <v>2.5399999999999999E-2</v>
      </c>
      <c r="AA1276" s="13">
        <f t="shared" si="1187"/>
        <v>2.1900000000000003E-2</v>
      </c>
      <c r="AB1276" s="6">
        <f t="shared" si="1161"/>
        <v>122.86000000000001</v>
      </c>
      <c r="AC1276">
        <f t="shared" si="1153"/>
        <v>61</v>
      </c>
      <c r="AD1276" s="11">
        <f t="shared" si="1154"/>
        <v>2</v>
      </c>
      <c r="AE1276">
        <f t="shared" si="1188"/>
        <v>38</v>
      </c>
      <c r="AF1276">
        <f>IF(AND(AE1276&lt;15,OR(AC1276&gt;=30,AA1276&gt;0.15,X1276&gt;=0.15)),2,VLOOKUP(AE1276,Table!P:Q,2,FALSE))</f>
        <v>6</v>
      </c>
      <c r="AG1276" s="22">
        <f>IF((AB1276*0.98)-(D1276*0.8)+((AF1276-3)*3)+VLOOKUP(AM1276,Table!$A$11:$B$13,2,FALSE)&lt;0,0,(AB1276*0.98)-(D1276*0.8)+((AF1276-3)*3)+VLOOKUP(AM1276,Table!$A$11:$B$13,2,FALSE))</f>
        <v>125.50680000000001</v>
      </c>
      <c r="AH1276" s="22">
        <f t="shared" si="1183"/>
        <v>100</v>
      </c>
      <c r="AI1276" s="18">
        <f t="shared" si="1176"/>
        <v>3.19</v>
      </c>
      <c r="AJ1276" s="18">
        <f t="shared" si="1177"/>
        <v>3.08</v>
      </c>
      <c r="AK1276" t="str">
        <f t="shared" si="1162"/>
        <v>Rising Rates</v>
      </c>
      <c r="AL1276">
        <f t="shared" si="1173"/>
        <v>36.5</v>
      </c>
      <c r="AM1276" s="11" t="str">
        <f t="shared" si="1163"/>
        <v>Stocks</v>
      </c>
      <c r="AN1276" t="str">
        <f t="shared" si="1169"/>
        <v>Buy</v>
      </c>
      <c r="AO1276" s="13">
        <f t="shared" si="1170"/>
        <v>-2.2200000000000001E-2</v>
      </c>
      <c r="AP1276" s="13">
        <f t="shared" si="1171"/>
        <v>6.9999999999999999E-4</v>
      </c>
      <c r="AQ1276" s="13">
        <f t="shared" si="1172"/>
        <v>-2.2200000000000001E-2</v>
      </c>
      <c r="AR1276" s="13">
        <f t="shared" si="1164"/>
        <v>-2.2200000000000001E-2</v>
      </c>
      <c r="AS1276" s="6">
        <f t="shared" si="1156"/>
        <v>117.29493374131511</v>
      </c>
      <c r="AT1276" s="6">
        <f t="shared" si="1157"/>
        <v>106.44739707397281</v>
      </c>
      <c r="AU1276" s="6">
        <f t="shared" si="1158"/>
        <v>116.90791079339935</v>
      </c>
      <c r="AV1276" s="6">
        <f t="shared" si="1159"/>
        <v>117.29493374131511</v>
      </c>
      <c r="AW1276" s="58">
        <f t="shared" si="1165"/>
        <v>1994</v>
      </c>
      <c r="AX1276" s="58">
        <f>COUNTIF(AW$3:AW1276,AW1276)</f>
        <v>41</v>
      </c>
    </row>
    <row r="1277" spans="1:50" x14ac:dyDescent="0.25">
      <c r="A1277" s="5">
        <v>34406</v>
      </c>
      <c r="B1277">
        <v>466.44</v>
      </c>
      <c r="C1277">
        <v>3.52</v>
      </c>
      <c r="D1277" s="6">
        <v>16</v>
      </c>
      <c r="E1277" s="18">
        <f t="shared" si="1178"/>
        <v>15.17</v>
      </c>
      <c r="F1277">
        <f t="shared" si="1179"/>
        <v>1</v>
      </c>
      <c r="G1277" s="18">
        <f>ROUND(INDEX(Valuation!U:U,MATCH(A1277,Valuation!A:A,0)),2)</f>
        <v>246.35</v>
      </c>
      <c r="H1277">
        <f t="shared" si="1186"/>
        <v>3</v>
      </c>
      <c r="I1277" s="18">
        <f>INDEX(WeeklyIndicators!Y:Y,MATCH(A1277,WeeklyIndicators!A:A,0))</f>
        <v>102.27</v>
      </c>
      <c r="J1277">
        <f t="shared" si="1175"/>
        <v>-1</v>
      </c>
      <c r="K1277">
        <f>ROUND(INDEX(Economic!AF:AF,MATCH(EOMONTH($A1277,-1),Economic!A:A,0)),2)</f>
        <v>147.22</v>
      </c>
      <c r="L1277" s="11">
        <f t="shared" si="1184"/>
        <v>3</v>
      </c>
      <c r="M1277">
        <f>ROUND(INDEX(Manufacturing!P:P,MATCH(EOMONTH($A1277,-1),Manufacturing!A:A,0)),2)</f>
        <v>115.04</v>
      </c>
      <c r="N1277">
        <f t="shared" si="1180"/>
        <v>3</v>
      </c>
      <c r="O1277">
        <f>ROUND(INDEX(Housing!AC:AC,MATCH(EOMONTH($A1277,-1),Housing!B:B,0)),2)</f>
        <v>98.57</v>
      </c>
      <c r="P1277">
        <f t="shared" si="1181"/>
        <v>-1</v>
      </c>
      <c r="Q1277">
        <f>ROUND(INDEX(Spending!AJ:AJ,MATCH(EOMONTH($A1277,-1),Spending!B:B,0)),2)</f>
        <v>60.65</v>
      </c>
      <c r="R1277">
        <f t="shared" si="1185"/>
        <v>2</v>
      </c>
      <c r="S1277">
        <f>ROUND(INDEX(Employment!V:V,MATCH(EOMONTH($A1277,-1),Employment!A:A,0)),2)</f>
        <v>199.74</v>
      </c>
      <c r="T1277" s="11">
        <f t="shared" si="1182"/>
        <v>3</v>
      </c>
      <c r="U1277">
        <f t="shared" si="1174"/>
        <v>33</v>
      </c>
      <c r="V1277">
        <f t="shared" si="1166"/>
        <v>81.94</v>
      </c>
      <c r="W1277" s="13">
        <f t="shared" si="1167"/>
        <v>1.5599999999999999E-2</v>
      </c>
      <c r="X1277" s="13">
        <f t="shared" si="1168"/>
        <v>1.4199999999999997E-2</v>
      </c>
      <c r="Y1277">
        <f t="shared" si="1160"/>
        <v>98.41</v>
      </c>
      <c r="Z1277" s="13">
        <f t="shared" si="1155"/>
        <v>1.14E-2</v>
      </c>
      <c r="AA1277" s="13">
        <f t="shared" si="1187"/>
        <v>2.0000000000000226E-4</v>
      </c>
      <c r="AB1277" s="6">
        <f t="shared" si="1161"/>
        <v>118.435</v>
      </c>
      <c r="AC1277">
        <f t="shared" ref="AC1277:AC1340" si="1189">IF(ROUND(AB1277/2,0)&lt;0,0,ROUND(AB1277/2,0))</f>
        <v>59</v>
      </c>
      <c r="AD1277" s="11">
        <f t="shared" si="1154"/>
        <v>2</v>
      </c>
      <c r="AE1277">
        <f t="shared" si="1188"/>
        <v>37</v>
      </c>
      <c r="AF1277">
        <f>IF(AND(AE1277&lt;15,OR(AC1277&gt;=30,AA1277&gt;0.15,X1277&gt;=0.15)),2,VLOOKUP(AE1277,Table!P:Q,2,FALSE))</f>
        <v>6</v>
      </c>
      <c r="AG1277" s="22">
        <f>IF((AB1277*0.98)-(D1277*0.8)+((AF1277-3)*3)+VLOOKUP(AM1277,Table!$A$11:$B$13,2,FALSE)&lt;0,0,(AB1277*0.98)-(D1277*0.8)+((AF1277-3)*3)+VLOOKUP(AM1277,Table!$A$11:$B$13,2,FALSE))</f>
        <v>120.2663</v>
      </c>
      <c r="AH1277" s="22">
        <f t="shared" si="1183"/>
        <v>100</v>
      </c>
      <c r="AI1277" s="18">
        <f t="shared" si="1176"/>
        <v>3.15</v>
      </c>
      <c r="AJ1277" s="18">
        <f t="shared" si="1177"/>
        <v>3.07</v>
      </c>
      <c r="AK1277" t="str">
        <f t="shared" si="1162"/>
        <v>Rising Rates</v>
      </c>
      <c r="AL1277">
        <f t="shared" si="1173"/>
        <v>36.25</v>
      </c>
      <c r="AM1277" s="11" t="str">
        <f t="shared" si="1163"/>
        <v>Stocks</v>
      </c>
      <c r="AN1277" t="str">
        <f t="shared" si="1169"/>
        <v>Buy</v>
      </c>
      <c r="AO1277" s="13">
        <f t="shared" si="1170"/>
        <v>9.9000000000000008E-3</v>
      </c>
      <c r="AP1277" s="13">
        <f t="shared" si="1171"/>
        <v>6.9999999999999999E-4</v>
      </c>
      <c r="AQ1277" s="13">
        <f t="shared" si="1172"/>
        <v>9.9000000000000008E-3</v>
      </c>
      <c r="AR1277" s="13">
        <f t="shared" si="1164"/>
        <v>9.9000000000000008E-3</v>
      </c>
      <c r="AS1277" s="6">
        <f t="shared" si="1156"/>
        <v>116.14509727826032</v>
      </c>
      <c r="AT1277" s="6">
        <f t="shared" si="1157"/>
        <v>106.37293601875969</v>
      </c>
      <c r="AU1277" s="6">
        <f t="shared" si="1158"/>
        <v>115.76186829725651</v>
      </c>
      <c r="AV1277" s="6">
        <f t="shared" si="1159"/>
        <v>116.14509727826032</v>
      </c>
      <c r="AW1277" s="58">
        <f t="shared" si="1165"/>
        <v>1994</v>
      </c>
      <c r="AX1277" s="58">
        <f>COUNTIF(AW$3:AW1277,AW1277)</f>
        <v>42</v>
      </c>
    </row>
    <row r="1278" spans="1:50" x14ac:dyDescent="0.25">
      <c r="A1278" s="5">
        <v>34399</v>
      </c>
      <c r="B1278">
        <v>464.74</v>
      </c>
      <c r="C1278">
        <v>3.47</v>
      </c>
      <c r="D1278" s="6">
        <v>14.8</v>
      </c>
      <c r="E1278" s="18">
        <f t="shared" si="1178"/>
        <v>14.65</v>
      </c>
      <c r="F1278">
        <f t="shared" si="1179"/>
        <v>1</v>
      </c>
      <c r="G1278" s="18">
        <f>ROUND(INDEX(Valuation!U:U,MATCH(A1278,Valuation!A:A,0)),2)</f>
        <v>244.73</v>
      </c>
      <c r="H1278">
        <f t="shared" si="1186"/>
        <v>3</v>
      </c>
      <c r="I1278" s="18">
        <f>INDEX(WeeklyIndicators!Y:Y,MATCH(A1278,WeeklyIndicators!A:A,0))</f>
        <v>88.35</v>
      </c>
      <c r="J1278">
        <f t="shared" si="1175"/>
        <v>-2</v>
      </c>
      <c r="K1278">
        <f>ROUND(INDEX(Economic!AF:AF,MATCH(EOMONTH($A1278,-1),Economic!A:A,0)),2)</f>
        <v>147.22</v>
      </c>
      <c r="L1278" s="11">
        <f t="shared" si="1184"/>
        <v>3</v>
      </c>
      <c r="M1278">
        <f>ROUND(INDEX(Manufacturing!P:P,MATCH(EOMONTH($A1278,-1),Manufacturing!A:A,0)),2)</f>
        <v>115.04</v>
      </c>
      <c r="N1278">
        <f t="shared" si="1180"/>
        <v>3</v>
      </c>
      <c r="O1278">
        <f>ROUND(INDEX(Housing!AC:AC,MATCH(EOMONTH($A1278,-1),Housing!B:B,0)),2)</f>
        <v>98.57</v>
      </c>
      <c r="P1278">
        <f t="shared" si="1181"/>
        <v>-1</v>
      </c>
      <c r="Q1278">
        <f>ROUND(INDEX(Spending!AJ:AJ,MATCH(EOMONTH($A1278,-1),Spending!B:B,0)),2)</f>
        <v>60.65</v>
      </c>
      <c r="R1278">
        <f t="shared" si="1185"/>
        <v>2</v>
      </c>
      <c r="S1278">
        <f>ROUND(INDEX(Employment!V:V,MATCH(EOMONTH($A1278,-1),Employment!A:A,0)),2)</f>
        <v>199.74</v>
      </c>
      <c r="T1278" s="11">
        <f t="shared" si="1182"/>
        <v>3</v>
      </c>
      <c r="U1278">
        <f t="shared" si="1174"/>
        <v>32</v>
      </c>
      <c r="V1278">
        <f t="shared" si="1166"/>
        <v>80.5</v>
      </c>
      <c r="W1278" s="13">
        <f t="shared" si="1167"/>
        <v>4.1999999999999997E-3</v>
      </c>
      <c r="X1278" s="13">
        <f t="shared" si="1168"/>
        <v>1.1599999999999997E-2</v>
      </c>
      <c r="Y1278">
        <f t="shared" si="1160"/>
        <v>96.97</v>
      </c>
      <c r="Z1278" s="13">
        <f t="shared" si="1155"/>
        <v>8.0000000000000004E-4</v>
      </c>
      <c r="AA1278" s="13">
        <f t="shared" si="1187"/>
        <v>-3.199999999999998E-3</v>
      </c>
      <c r="AB1278" s="6">
        <f t="shared" si="1161"/>
        <v>116.523</v>
      </c>
      <c r="AC1278">
        <f t="shared" si="1189"/>
        <v>58</v>
      </c>
      <c r="AD1278" s="11">
        <f t="shared" ref="AD1278:AD1341" si="1190">IF(AC1278&gt;47,2,IF(AND(AC1278&gt;41,AC1278&lt;=47),1,IF(AC1278&lt;15,-2,IF(AND(AC1278&lt;32,AC1278&gt;=15),-1,0))))</f>
        <v>2</v>
      </c>
      <c r="AE1278">
        <f t="shared" si="1188"/>
        <v>36</v>
      </c>
      <c r="AF1278">
        <f>IF(AND(AE1278&lt;15,OR(AC1278&gt;=30,AA1278&gt;0.15,X1278&gt;=0.15)),2,VLOOKUP(AE1278,Table!P:Q,2,FALSE))</f>
        <v>5</v>
      </c>
      <c r="AG1278" s="22">
        <f>IF((AB1278*0.98)-(D1278*0.8)+((AF1278-3)*3)+VLOOKUP(AM1278,Table!$A$11:$B$13,2,FALSE)&lt;0,0,(AB1278*0.98)-(D1278*0.8)+((AF1278-3)*3)+VLOOKUP(AM1278,Table!$A$11:$B$13,2,FALSE))</f>
        <v>116.35253999999999</v>
      </c>
      <c r="AH1278" s="22">
        <f t="shared" si="1183"/>
        <v>100</v>
      </c>
      <c r="AI1278" s="18">
        <f t="shared" si="1176"/>
        <v>3.12</v>
      </c>
      <c r="AJ1278" s="18">
        <f t="shared" si="1177"/>
        <v>3.06</v>
      </c>
      <c r="AK1278" t="str">
        <f t="shared" si="1162"/>
        <v>Rising Rates</v>
      </c>
      <c r="AL1278">
        <f t="shared" si="1173"/>
        <v>36.25</v>
      </c>
      <c r="AM1278" s="11" t="str">
        <f t="shared" si="1163"/>
        <v>Stocks</v>
      </c>
      <c r="AN1278" t="str">
        <f t="shared" si="1169"/>
        <v>Buy</v>
      </c>
      <c r="AO1278" s="13">
        <f t="shared" si="1170"/>
        <v>3.7000000000000002E-3</v>
      </c>
      <c r="AP1278" s="13">
        <f t="shared" si="1171"/>
        <v>6.9999999999999999E-4</v>
      </c>
      <c r="AQ1278" s="13">
        <f t="shared" si="1172"/>
        <v>3.7000000000000002E-3</v>
      </c>
      <c r="AR1278" s="13">
        <f t="shared" si="1164"/>
        <v>3.7000000000000002E-3</v>
      </c>
      <c r="AS1278" s="6">
        <f t="shared" si="1156"/>
        <v>115.71694458330209</v>
      </c>
      <c r="AT1278" s="6">
        <f t="shared" si="1157"/>
        <v>106.29852704982481</v>
      </c>
      <c r="AU1278" s="6">
        <f t="shared" si="1158"/>
        <v>115.33512832246339</v>
      </c>
      <c r="AV1278" s="6">
        <f t="shared" si="1159"/>
        <v>115.71694458330209</v>
      </c>
      <c r="AW1278" s="58">
        <f t="shared" si="1165"/>
        <v>1994</v>
      </c>
      <c r="AX1278" s="58">
        <f>COUNTIF(AW$3:AW1278,AW1278)</f>
        <v>43</v>
      </c>
    </row>
    <row r="1279" spans="1:50" x14ac:dyDescent="0.25">
      <c r="A1279" s="5">
        <v>34392</v>
      </c>
      <c r="B1279">
        <v>466.07</v>
      </c>
      <c r="C1279">
        <v>3.35</v>
      </c>
      <c r="D1279" s="6">
        <v>14.7</v>
      </c>
      <c r="E1279" s="18">
        <f t="shared" si="1178"/>
        <v>14.8</v>
      </c>
      <c r="F1279">
        <f t="shared" si="1179"/>
        <v>1</v>
      </c>
      <c r="G1279" s="18">
        <f>ROUND(INDEX(Valuation!U:U,MATCH(A1279,Valuation!A:A,0)),2)</f>
        <v>243.48</v>
      </c>
      <c r="H1279">
        <f t="shared" si="1186"/>
        <v>3</v>
      </c>
      <c r="I1279" s="18">
        <f>INDEX(WeeklyIndicators!Y:Y,MATCH(A1279,WeeklyIndicators!A:A,0))</f>
        <v>87.91</v>
      </c>
      <c r="J1279">
        <f t="shared" si="1175"/>
        <v>-2</v>
      </c>
      <c r="K1279">
        <f>ROUND(INDEX(Economic!AF:AF,MATCH(EOMONTH($A1279,-1),Economic!A:A,0)),2)</f>
        <v>133.24</v>
      </c>
      <c r="L1279" s="11">
        <f t="shared" si="1184"/>
        <v>2</v>
      </c>
      <c r="M1279">
        <f>ROUND(INDEX(Manufacturing!P:P,MATCH(EOMONTH($A1279,-1),Manufacturing!A:A,0)),2)</f>
        <v>111.04</v>
      </c>
      <c r="N1279">
        <f t="shared" si="1180"/>
        <v>3</v>
      </c>
      <c r="O1279">
        <f>ROUND(INDEX(Housing!AC:AC,MATCH(EOMONTH($A1279,-1),Housing!B:B,0)),2)</f>
        <v>97.23</v>
      </c>
      <c r="P1279">
        <f t="shared" si="1181"/>
        <v>-1</v>
      </c>
      <c r="Q1279">
        <f>ROUND(INDEX(Spending!AJ:AJ,MATCH(EOMONTH($A1279,-1),Spending!B:B,0)),2)</f>
        <v>60.33</v>
      </c>
      <c r="R1279">
        <f t="shared" si="1185"/>
        <v>2</v>
      </c>
      <c r="S1279">
        <f>ROUND(INDEX(Employment!V:V,MATCH(EOMONTH($A1279,-1),Employment!A:A,0)),2)</f>
        <v>193.41</v>
      </c>
      <c r="T1279" s="11">
        <f t="shared" si="1182"/>
        <v>3</v>
      </c>
      <c r="U1279">
        <f t="shared" si="1174"/>
        <v>31</v>
      </c>
      <c r="V1279">
        <f t="shared" si="1166"/>
        <v>77.27</v>
      </c>
      <c r="W1279" s="13">
        <f t="shared" si="1167"/>
        <v>-1.3100000000000001E-2</v>
      </c>
      <c r="X1279" s="13">
        <f t="shared" si="1168"/>
        <v>2.47E-2</v>
      </c>
      <c r="Y1279">
        <f t="shared" si="1160"/>
        <v>93.55</v>
      </c>
      <c r="Z1279" s="13">
        <f t="shared" si="1155"/>
        <v>-1.5699999999999999E-2</v>
      </c>
      <c r="AA1279" s="13">
        <f t="shared" si="1187"/>
        <v>7.4000000000000021E-3</v>
      </c>
      <c r="AB1279" s="6">
        <f t="shared" si="1161"/>
        <v>113.718</v>
      </c>
      <c r="AC1279">
        <f t="shared" si="1189"/>
        <v>57</v>
      </c>
      <c r="AD1279" s="11">
        <f t="shared" si="1190"/>
        <v>2</v>
      </c>
      <c r="AE1279">
        <f t="shared" si="1188"/>
        <v>35</v>
      </c>
      <c r="AF1279">
        <f>IF(AND(AE1279&lt;15,OR(AC1279&gt;=30,AA1279&gt;0.15,X1279&gt;=0.15)),2,VLOOKUP(AE1279,Table!P:Q,2,FALSE))</f>
        <v>5</v>
      </c>
      <c r="AG1279" s="22">
        <f>IF((AB1279*0.98)-(D1279*0.8)+((AF1279-3)*3)+VLOOKUP(AM1279,Table!$A$11:$B$13,2,FALSE)&lt;0,0,(AB1279*0.98)-(D1279*0.8)+((AF1279-3)*3)+VLOOKUP(AM1279,Table!$A$11:$B$13,2,FALSE))</f>
        <v>113.68364</v>
      </c>
      <c r="AH1279" s="22">
        <f t="shared" si="1183"/>
        <v>100</v>
      </c>
      <c r="AI1279" s="18">
        <f t="shared" si="1176"/>
        <v>3.09</v>
      </c>
      <c r="AJ1279" s="18">
        <f t="shared" si="1177"/>
        <v>3.05</v>
      </c>
      <c r="AK1279" t="str">
        <f t="shared" si="1162"/>
        <v>Rising Rates</v>
      </c>
      <c r="AL1279">
        <f t="shared" si="1173"/>
        <v>36.75</v>
      </c>
      <c r="AM1279" s="11" t="str">
        <f t="shared" si="1163"/>
        <v>Stocks</v>
      </c>
      <c r="AN1279" t="str">
        <f t="shared" si="1169"/>
        <v>Buy</v>
      </c>
      <c r="AO1279" s="13">
        <f t="shared" si="1170"/>
        <v>-2.8999999999999998E-3</v>
      </c>
      <c r="AP1279" s="13">
        <f t="shared" si="1171"/>
        <v>5.9999999999999995E-4</v>
      </c>
      <c r="AQ1279" s="13">
        <f t="shared" si="1172"/>
        <v>-2.8999999999999998E-3</v>
      </c>
      <c r="AR1279" s="13">
        <f t="shared" si="1164"/>
        <v>-2.8999999999999998E-3</v>
      </c>
      <c r="AS1279" s="6">
        <f t="shared" si="1156"/>
        <v>116.05349973252642</v>
      </c>
      <c r="AT1279" s="6">
        <f t="shared" si="1157"/>
        <v>106.23478617811794</v>
      </c>
      <c r="AU1279" s="6">
        <f t="shared" si="1158"/>
        <v>115.67057298411733</v>
      </c>
      <c r="AV1279" s="6">
        <f t="shared" si="1159"/>
        <v>116.05349973252642</v>
      </c>
      <c r="AW1279" s="58">
        <f t="shared" si="1165"/>
        <v>1994</v>
      </c>
      <c r="AX1279" s="58">
        <f>COUNTIF(AW$3:AW1279,AW1279)</f>
        <v>44</v>
      </c>
    </row>
    <row r="1280" spans="1:50" x14ac:dyDescent="0.25">
      <c r="A1280" s="5">
        <v>34385</v>
      </c>
      <c r="B1280">
        <v>467.69</v>
      </c>
      <c r="C1280">
        <v>3.27</v>
      </c>
      <c r="D1280" s="6">
        <v>14.46</v>
      </c>
      <c r="E1280" s="18">
        <f t="shared" si="1178"/>
        <v>13.22</v>
      </c>
      <c r="F1280">
        <f t="shared" si="1179"/>
        <v>2</v>
      </c>
      <c r="G1280" s="18">
        <f>ROUND(INDEX(Valuation!U:U,MATCH(A1280,Valuation!A:A,0)),2)</f>
        <v>244.14</v>
      </c>
      <c r="H1280">
        <f t="shared" si="1186"/>
        <v>3</v>
      </c>
      <c r="I1280" s="18">
        <f>INDEX(WeeklyIndicators!Y:Y,MATCH(A1280,WeeklyIndicators!A:A,0))</f>
        <v>97.36</v>
      </c>
      <c r="J1280">
        <f t="shared" si="1175"/>
        <v>-1</v>
      </c>
      <c r="K1280">
        <f>ROUND(INDEX(Economic!AF:AF,MATCH(EOMONTH($A1280,-1),Economic!A:A,0)),2)</f>
        <v>133.24</v>
      </c>
      <c r="L1280" s="11">
        <f t="shared" si="1184"/>
        <v>2</v>
      </c>
      <c r="M1280">
        <f>ROUND(INDEX(Manufacturing!P:P,MATCH(EOMONTH($A1280,-1),Manufacturing!A:A,0)),2)</f>
        <v>111.04</v>
      </c>
      <c r="N1280">
        <f t="shared" si="1180"/>
        <v>3</v>
      </c>
      <c r="O1280">
        <f>ROUND(INDEX(Housing!AC:AC,MATCH(EOMONTH($A1280,-1),Housing!B:B,0)),2)</f>
        <v>97.23</v>
      </c>
      <c r="P1280">
        <f t="shared" si="1181"/>
        <v>-1</v>
      </c>
      <c r="Q1280">
        <f>ROUND(INDEX(Spending!AJ:AJ,MATCH(EOMONTH($A1280,-1),Spending!B:B,0)),2)</f>
        <v>60.33</v>
      </c>
      <c r="R1280">
        <f t="shared" si="1185"/>
        <v>2</v>
      </c>
      <c r="S1280">
        <f>ROUND(INDEX(Employment!V:V,MATCH(EOMONTH($A1280,-1),Employment!A:A,0)),2)</f>
        <v>193.41</v>
      </c>
      <c r="T1280" s="11">
        <f t="shared" si="1182"/>
        <v>3</v>
      </c>
      <c r="U1280">
        <f t="shared" si="1174"/>
        <v>33</v>
      </c>
      <c r="V1280">
        <f t="shared" si="1166"/>
        <v>78.25</v>
      </c>
      <c r="W1280" s="13">
        <f t="shared" si="1167"/>
        <v>7.4999999999999997E-3</v>
      </c>
      <c r="X1280" s="13">
        <f t="shared" si="1168"/>
        <v>3.7499999999999999E-2</v>
      </c>
      <c r="Y1280">
        <f t="shared" si="1160"/>
        <v>95.15</v>
      </c>
      <c r="Z1280" s="13">
        <f t="shared" ref="Z1280:Z1343" si="1191">ROUND((AVERAGE(Y1280:Y1282)-AVERAGE(Y1281:Y1283))/AVERAGE(Y1281:Y1283),4)</f>
        <v>3.7000000000000002E-3</v>
      </c>
      <c r="AA1280" s="13">
        <f t="shared" si="1187"/>
        <v>1.9200000000000002E-2</v>
      </c>
      <c r="AB1280" s="6">
        <f t="shared" si="1161"/>
        <v>116.334</v>
      </c>
      <c r="AC1280">
        <f t="shared" si="1189"/>
        <v>58</v>
      </c>
      <c r="AD1280" s="11">
        <f t="shared" si="1190"/>
        <v>2</v>
      </c>
      <c r="AE1280">
        <f t="shared" si="1188"/>
        <v>37</v>
      </c>
      <c r="AF1280">
        <f>IF(AND(AE1280&lt;15,OR(AC1280&gt;=30,AA1280&gt;0.15,X1280&gt;=0.15)),2,VLOOKUP(AE1280,Table!P:Q,2,FALSE))</f>
        <v>6</v>
      </c>
      <c r="AG1280" s="22">
        <f>IF((AB1280*0.98)-(D1280*0.8)+((AF1280-3)*3)+VLOOKUP(AM1280,Table!$A$11:$B$13,2,FALSE)&lt;0,0,(AB1280*0.98)-(D1280*0.8)+((AF1280-3)*3)+VLOOKUP(AM1280,Table!$A$11:$B$13,2,FALSE))</f>
        <v>119.43932000000001</v>
      </c>
      <c r="AH1280" s="22">
        <f t="shared" si="1183"/>
        <v>100</v>
      </c>
      <c r="AI1280" s="18">
        <f t="shared" si="1176"/>
        <v>3.07</v>
      </c>
      <c r="AJ1280" s="18">
        <f t="shared" si="1177"/>
        <v>3.04</v>
      </c>
      <c r="AK1280" t="str">
        <f t="shared" si="1162"/>
        <v>Rising Rates</v>
      </c>
      <c r="AL1280">
        <f t="shared" si="1173"/>
        <v>36.5</v>
      </c>
      <c r="AM1280" s="11" t="str">
        <f t="shared" si="1163"/>
        <v>Stocks</v>
      </c>
      <c r="AN1280" t="str">
        <f t="shared" si="1169"/>
        <v>Buy</v>
      </c>
      <c r="AO1280" s="13">
        <f t="shared" si="1170"/>
        <v>-3.5000000000000001E-3</v>
      </c>
      <c r="AP1280" s="13">
        <f t="shared" si="1171"/>
        <v>5.9999999999999995E-4</v>
      </c>
      <c r="AQ1280" s="13">
        <f t="shared" si="1172"/>
        <v>-3.5000000000000001E-3</v>
      </c>
      <c r="AR1280" s="13">
        <f t="shared" si="1164"/>
        <v>-3.5000000000000001E-3</v>
      </c>
      <c r="AS1280" s="6">
        <f t="shared" si="1156"/>
        <v>116.46111363023222</v>
      </c>
      <c r="AT1280" s="6">
        <f t="shared" si="1157"/>
        <v>106.17108352800115</v>
      </c>
      <c r="AU1280" s="6">
        <f t="shared" si="1158"/>
        <v>116.07684193087539</v>
      </c>
      <c r="AV1280" s="6">
        <f t="shared" si="1159"/>
        <v>116.46111363023222</v>
      </c>
      <c r="AW1280" s="58">
        <f t="shared" si="1165"/>
        <v>1994</v>
      </c>
      <c r="AX1280" s="58">
        <f>COUNTIF(AW$3:AW1280,AW1280)</f>
        <v>45</v>
      </c>
    </row>
    <row r="1281" spans="1:50" x14ac:dyDescent="0.25">
      <c r="A1281" s="5">
        <v>34378</v>
      </c>
      <c r="B1281">
        <v>470.18</v>
      </c>
      <c r="C1281">
        <v>3.25</v>
      </c>
      <c r="D1281" s="6">
        <v>15.25</v>
      </c>
      <c r="E1281" s="18">
        <f t="shared" si="1178"/>
        <v>12.09</v>
      </c>
      <c r="F1281">
        <f t="shared" si="1179"/>
        <v>2</v>
      </c>
      <c r="G1281" s="18">
        <f>ROUND(INDEX(Valuation!U:U,MATCH(A1281,Valuation!A:A,0)),2)</f>
        <v>243.36</v>
      </c>
      <c r="H1281">
        <f t="shared" si="1186"/>
        <v>3</v>
      </c>
      <c r="I1281" s="18">
        <f>INDEX(WeeklyIndicators!Y:Y,MATCH(A1281,WeeklyIndicators!A:A,0))</f>
        <v>109.55</v>
      </c>
      <c r="J1281">
        <f t="shared" si="1175"/>
        <v>-1</v>
      </c>
      <c r="K1281">
        <f>ROUND(INDEX(Economic!AF:AF,MATCH(EOMONTH($A1281,-1),Economic!A:A,0)),2)</f>
        <v>133.24</v>
      </c>
      <c r="L1281" s="11">
        <f t="shared" si="1184"/>
        <v>2</v>
      </c>
      <c r="M1281">
        <f>ROUND(INDEX(Manufacturing!P:P,MATCH(EOMONTH($A1281,-1),Manufacturing!A:A,0)),2)</f>
        <v>111.04</v>
      </c>
      <c r="N1281">
        <f t="shared" si="1180"/>
        <v>3</v>
      </c>
      <c r="O1281">
        <f>ROUND(INDEX(Housing!AC:AC,MATCH(EOMONTH($A1281,-1),Housing!B:B,0)),2)</f>
        <v>97.23</v>
      </c>
      <c r="P1281">
        <f t="shared" si="1181"/>
        <v>-1</v>
      </c>
      <c r="Q1281">
        <f>ROUND(INDEX(Spending!AJ:AJ,MATCH(EOMONTH($A1281,-1),Spending!B:B,0)),2)</f>
        <v>60.33</v>
      </c>
      <c r="R1281">
        <f t="shared" si="1185"/>
        <v>2</v>
      </c>
      <c r="S1281">
        <f>ROUND(INDEX(Employment!V:V,MATCH(EOMONTH($A1281,-1),Employment!A:A,0)),2)</f>
        <v>193.41</v>
      </c>
      <c r="T1281" s="11">
        <f t="shared" si="1182"/>
        <v>3</v>
      </c>
      <c r="U1281">
        <f t="shared" si="1174"/>
        <v>33</v>
      </c>
      <c r="V1281">
        <f t="shared" si="1166"/>
        <v>79.510000000000005</v>
      </c>
      <c r="W1281" s="13">
        <f t="shared" si="1167"/>
        <v>1.2999999999999999E-2</v>
      </c>
      <c r="X1281" s="13">
        <f t="shared" si="1168"/>
        <v>2.87E-2</v>
      </c>
      <c r="Y1281">
        <f t="shared" si="1160"/>
        <v>96.73</v>
      </c>
      <c r="Z1281" s="13">
        <f t="shared" si="1191"/>
        <v>8.0000000000000002E-3</v>
      </c>
      <c r="AA1281" s="13">
        <f t="shared" si="1187"/>
        <v>1.1900000000000001E-2</v>
      </c>
      <c r="AB1281" s="6">
        <f t="shared" si="1161"/>
        <v>117.29599999999999</v>
      </c>
      <c r="AC1281">
        <f t="shared" si="1189"/>
        <v>59</v>
      </c>
      <c r="AD1281" s="11">
        <f t="shared" si="1190"/>
        <v>2</v>
      </c>
      <c r="AE1281">
        <f t="shared" si="1188"/>
        <v>37</v>
      </c>
      <c r="AF1281">
        <f>IF(AND(AE1281&lt;15,OR(AC1281&gt;=30,AA1281&gt;0.15,X1281&gt;=0.15)),2,VLOOKUP(AE1281,Table!P:Q,2,FALSE))</f>
        <v>6</v>
      </c>
      <c r="AG1281" s="22">
        <f>IF((AB1281*0.98)-(D1281*0.8)+((AF1281-3)*3)+VLOOKUP(AM1281,Table!$A$11:$B$13,2,FALSE)&lt;0,0,(AB1281*0.98)-(D1281*0.8)+((AF1281-3)*3)+VLOOKUP(AM1281,Table!$A$11:$B$13,2,FALSE))</f>
        <v>119.75007999999998</v>
      </c>
      <c r="AH1281" s="22">
        <f t="shared" si="1183"/>
        <v>100</v>
      </c>
      <c r="AI1281" s="18">
        <f t="shared" si="1176"/>
        <v>3.06</v>
      </c>
      <c r="AJ1281" s="18">
        <f t="shared" si="1177"/>
        <v>3.04</v>
      </c>
      <c r="AK1281" t="str">
        <f t="shared" si="1162"/>
        <v>Rising Rates</v>
      </c>
      <c r="AL1281">
        <f t="shared" si="1173"/>
        <v>35.75</v>
      </c>
      <c r="AM1281" s="11" t="str">
        <f t="shared" si="1163"/>
        <v>Stocks</v>
      </c>
      <c r="AN1281" t="str">
        <f t="shared" si="1169"/>
        <v>Buy</v>
      </c>
      <c r="AO1281" s="13">
        <f t="shared" si="1170"/>
        <v>-5.3E-3</v>
      </c>
      <c r="AP1281" s="13">
        <f t="shared" si="1171"/>
        <v>5.9999999999999995E-4</v>
      </c>
      <c r="AQ1281" s="13">
        <f t="shared" si="1172"/>
        <v>-5.3E-3</v>
      </c>
      <c r="AR1281" s="13">
        <f t="shared" si="1164"/>
        <v>-5.3E-3</v>
      </c>
      <c r="AS1281" s="6">
        <f t="shared" si="1156"/>
        <v>117.08164635591858</v>
      </c>
      <c r="AT1281" s="6">
        <f t="shared" si="1157"/>
        <v>106.10741907655522</v>
      </c>
      <c r="AU1281" s="6">
        <f t="shared" si="1158"/>
        <v>116.69532716484909</v>
      </c>
      <c r="AV1281" s="6">
        <f t="shared" si="1159"/>
        <v>117.08164635591858</v>
      </c>
      <c r="AW1281" s="58">
        <f t="shared" si="1165"/>
        <v>1994</v>
      </c>
      <c r="AX1281" s="58">
        <f>COUNTIF(AW$3:AW1281,AW1281)</f>
        <v>46</v>
      </c>
    </row>
    <row r="1282" spans="1:50" x14ac:dyDescent="0.25">
      <c r="A1282" s="5">
        <v>34371</v>
      </c>
      <c r="B1282">
        <v>469.81</v>
      </c>
      <c r="C1282">
        <v>3.08</v>
      </c>
      <c r="D1282" s="6">
        <v>9.94</v>
      </c>
      <c r="E1282" s="18">
        <f t="shared" si="1178"/>
        <v>10.73</v>
      </c>
      <c r="F1282">
        <f t="shared" si="1179"/>
        <v>3</v>
      </c>
      <c r="G1282" s="18">
        <f>ROUND(INDEX(Valuation!U:U,MATCH(A1282,Valuation!A:A,0)),2)</f>
        <v>243.66</v>
      </c>
      <c r="H1282">
        <f t="shared" si="1186"/>
        <v>3</v>
      </c>
      <c r="I1282" s="18">
        <f>INDEX(WeeklyIndicators!Y:Y,MATCH(A1282,WeeklyIndicators!A:A,0))</f>
        <v>117.94</v>
      </c>
      <c r="J1282">
        <f t="shared" si="1175"/>
        <v>-1</v>
      </c>
      <c r="K1282">
        <f>ROUND(INDEX(Economic!AF:AF,MATCH(EOMONTH($A1282,-1),Economic!A:A,0)),2)</f>
        <v>133.24</v>
      </c>
      <c r="L1282" s="11">
        <f t="shared" si="1184"/>
        <v>2</v>
      </c>
      <c r="M1282">
        <f>ROUND(INDEX(Manufacturing!P:P,MATCH(EOMONTH($A1282,-1),Manufacturing!A:A,0)),2)</f>
        <v>111.04</v>
      </c>
      <c r="N1282">
        <f t="shared" si="1180"/>
        <v>3</v>
      </c>
      <c r="O1282">
        <f>ROUND(INDEX(Housing!AC:AC,MATCH(EOMONTH($A1282,-1),Housing!B:B,0)),2)</f>
        <v>97.23</v>
      </c>
      <c r="P1282">
        <f t="shared" si="1181"/>
        <v>-1</v>
      </c>
      <c r="Q1282">
        <f>ROUND(INDEX(Spending!AJ:AJ,MATCH(EOMONTH($A1282,-1),Spending!B:B,0)),2)</f>
        <v>60.33</v>
      </c>
      <c r="R1282">
        <f t="shared" si="1185"/>
        <v>2</v>
      </c>
      <c r="S1282">
        <f>ROUND(INDEX(Employment!V:V,MATCH(EOMONTH($A1282,-1),Employment!A:A,0)),2)</f>
        <v>193.41</v>
      </c>
      <c r="T1282" s="11">
        <f t="shared" si="1182"/>
        <v>3</v>
      </c>
      <c r="U1282">
        <f t="shared" si="1174"/>
        <v>34</v>
      </c>
      <c r="V1282">
        <f t="shared" si="1166"/>
        <v>80.39</v>
      </c>
      <c r="W1282" s="13">
        <f t="shared" si="1167"/>
        <v>1.7299999999999999E-2</v>
      </c>
      <c r="X1282" s="13">
        <f t="shared" si="1168"/>
        <v>2.8299999999999999E-2</v>
      </c>
      <c r="Y1282">
        <f t="shared" si="1160"/>
        <v>98.1</v>
      </c>
      <c r="Z1282" s="13">
        <f t="shared" si="1191"/>
        <v>1.14E-2</v>
      </c>
      <c r="AA1282" s="13">
        <f t="shared" si="1187"/>
        <v>1.3900000000000001E-2</v>
      </c>
      <c r="AB1282" s="6">
        <f t="shared" si="1161"/>
        <v>118.85599999999999</v>
      </c>
      <c r="AC1282">
        <f t="shared" si="1189"/>
        <v>59</v>
      </c>
      <c r="AD1282" s="11">
        <f t="shared" si="1190"/>
        <v>2</v>
      </c>
      <c r="AE1282">
        <f t="shared" si="1188"/>
        <v>38</v>
      </c>
      <c r="AF1282">
        <f>IF(AND(AE1282&lt;15,OR(AC1282&gt;=30,AA1282&gt;0.15,X1282&gt;=0.15)),2,VLOOKUP(AE1282,Table!P:Q,2,FALSE))</f>
        <v>6</v>
      </c>
      <c r="AG1282" s="22">
        <f>IF((AB1282*0.98)-(D1282*0.8)+((AF1282-3)*3)+VLOOKUP(AM1282,Table!$A$11:$B$13,2,FALSE)&lt;0,0,(AB1282*0.98)-(D1282*0.8)+((AF1282-3)*3)+VLOOKUP(AM1282,Table!$A$11:$B$13,2,FALSE))</f>
        <v>125.52687999999999</v>
      </c>
      <c r="AH1282" s="22">
        <f t="shared" si="1183"/>
        <v>100</v>
      </c>
      <c r="AI1282" s="18">
        <f t="shared" si="1176"/>
        <v>3.05</v>
      </c>
      <c r="AJ1282" s="18">
        <f t="shared" si="1177"/>
        <v>3.03</v>
      </c>
      <c r="AK1282" t="str">
        <f t="shared" si="1162"/>
        <v/>
      </c>
      <c r="AL1282">
        <f t="shared" si="1173"/>
        <v>35.25</v>
      </c>
      <c r="AM1282" s="11" t="str">
        <f t="shared" si="1163"/>
        <v>Stocks</v>
      </c>
      <c r="AN1282" t="str">
        <f t="shared" si="1169"/>
        <v>Buy</v>
      </c>
      <c r="AO1282" s="13">
        <f t="shared" si="1170"/>
        <v>8.0000000000000004E-4</v>
      </c>
      <c r="AP1282" s="13">
        <f t="shared" si="1171"/>
        <v>5.9999999999999995E-4</v>
      </c>
      <c r="AQ1282" s="13">
        <f t="shared" si="1172"/>
        <v>8.0000000000000004E-4</v>
      </c>
      <c r="AR1282" s="13">
        <f t="shared" si="1164"/>
        <v>8.0000000000000004E-4</v>
      </c>
      <c r="AS1282" s="6">
        <f t="shared" si="1156"/>
        <v>116.98805591118963</v>
      </c>
      <c r="AT1282" s="6">
        <f t="shared" si="1157"/>
        <v>106.0437928008747</v>
      </c>
      <c r="AU1282" s="6">
        <f t="shared" si="1158"/>
        <v>116.60204552842636</v>
      </c>
      <c r="AV1282" s="6">
        <f t="shared" si="1159"/>
        <v>116.98805591118963</v>
      </c>
      <c r="AW1282" s="58">
        <f t="shared" si="1165"/>
        <v>1994</v>
      </c>
      <c r="AX1282" s="58">
        <f>COUNTIF(AW$3:AW1282,AW1282)</f>
        <v>47</v>
      </c>
    </row>
    <row r="1283" spans="1:50" x14ac:dyDescent="0.25">
      <c r="A1283" s="5">
        <v>34364</v>
      </c>
      <c r="B1283">
        <v>478.7</v>
      </c>
      <c r="C1283">
        <v>2.93</v>
      </c>
      <c r="D1283" s="6">
        <v>11.09</v>
      </c>
      <c r="E1283" s="18">
        <f t="shared" si="1178"/>
        <v>11.07</v>
      </c>
      <c r="F1283">
        <f t="shared" si="1179"/>
        <v>2</v>
      </c>
      <c r="G1283" s="18">
        <f>ROUND(INDEX(Valuation!U:U,MATCH(A1283,Valuation!A:A,0)),2)</f>
        <v>243.84</v>
      </c>
      <c r="H1283">
        <f t="shared" si="1186"/>
        <v>3</v>
      </c>
      <c r="I1283" s="18">
        <f>INDEX(WeeklyIndicators!Y:Y,MATCH(A1283,WeeklyIndicators!A:A,0))</f>
        <v>121.4</v>
      </c>
      <c r="J1283">
        <f t="shared" si="1175"/>
        <v>0</v>
      </c>
      <c r="K1283">
        <f>ROUND(INDEX(Economic!AF:AF,MATCH(EOMONTH($A1283,-1),Economic!A:A,0)),2)</f>
        <v>118.53</v>
      </c>
      <c r="L1283" s="11">
        <f t="shared" si="1184"/>
        <v>1</v>
      </c>
      <c r="M1283">
        <f>ROUND(INDEX(Manufacturing!P:P,MATCH(EOMONTH($A1283,-1),Manufacturing!A:A,0)),2)</f>
        <v>104.9</v>
      </c>
      <c r="N1283">
        <f t="shared" si="1180"/>
        <v>2</v>
      </c>
      <c r="O1283">
        <f>ROUND(INDEX(Housing!AC:AC,MATCH(EOMONTH($A1283,-1),Housing!B:B,0)),2)</f>
        <v>91.24</v>
      </c>
      <c r="P1283">
        <f t="shared" si="1181"/>
        <v>-1</v>
      </c>
      <c r="Q1283">
        <f>ROUND(INDEX(Spending!AJ:AJ,MATCH(EOMONTH($A1283,-1),Spending!B:B,0)),2)</f>
        <v>58.87</v>
      </c>
      <c r="R1283">
        <f t="shared" si="1185"/>
        <v>1</v>
      </c>
      <c r="S1283">
        <f>ROUND(INDEX(Employment!V:V,MATCH(EOMONTH($A1283,-1),Employment!A:A,0)),2)</f>
        <v>183.82</v>
      </c>
      <c r="T1283" s="11">
        <f t="shared" si="1182"/>
        <v>2</v>
      </c>
      <c r="U1283">
        <f t="shared" si="1174"/>
        <v>30</v>
      </c>
      <c r="V1283">
        <f t="shared" si="1166"/>
        <v>76.47</v>
      </c>
      <c r="W1283" s="13">
        <f t="shared" si="1167"/>
        <v>-2.9999999999999997E-4</v>
      </c>
      <c r="X1283" s="13">
        <f t="shared" si="1168"/>
        <v>2.41E-2</v>
      </c>
      <c r="Y1283">
        <f t="shared" si="1160"/>
        <v>94.09</v>
      </c>
      <c r="Z1283" s="13">
        <f t="shared" si="1191"/>
        <v>-3.8999999999999998E-3</v>
      </c>
      <c r="AA1283" s="13">
        <f t="shared" si="1187"/>
        <v>1.43E-2</v>
      </c>
      <c r="AB1283" s="6">
        <f t="shared" si="1161"/>
        <v>114.724</v>
      </c>
      <c r="AC1283">
        <f t="shared" si="1189"/>
        <v>57</v>
      </c>
      <c r="AD1283" s="11">
        <f t="shared" si="1190"/>
        <v>2</v>
      </c>
      <c r="AE1283">
        <f t="shared" si="1188"/>
        <v>34</v>
      </c>
      <c r="AF1283">
        <f>IF(AND(AE1283&lt;15,OR(AC1283&gt;=30,AA1283&gt;0.15,X1283&gt;=0.15)),2,VLOOKUP(AE1283,Table!P:Q,2,FALSE))</f>
        <v>5</v>
      </c>
      <c r="AG1283" s="22">
        <f>IF((AB1283*0.98)-(D1283*0.8)+((AF1283-3)*3)+VLOOKUP(AM1283,Table!$A$11:$B$13,2,FALSE)&lt;0,0,(AB1283*0.98)-(D1283*0.8)+((AF1283-3)*3)+VLOOKUP(AM1283,Table!$A$11:$B$13,2,FALSE))</f>
        <v>117.55752</v>
      </c>
      <c r="AH1283" s="22">
        <f t="shared" si="1183"/>
        <v>100</v>
      </c>
      <c r="AI1283" s="18">
        <f t="shared" si="1176"/>
        <v>3.05</v>
      </c>
      <c r="AJ1283" s="18">
        <f t="shared" si="1177"/>
        <v>3.02</v>
      </c>
      <c r="AK1283" t="str">
        <f t="shared" si="1162"/>
        <v/>
      </c>
      <c r="AL1283">
        <f t="shared" si="1173"/>
        <v>34.5</v>
      </c>
      <c r="AM1283" s="11" t="str">
        <f t="shared" si="1163"/>
        <v>Stocks</v>
      </c>
      <c r="AN1283" t="str">
        <f t="shared" si="1169"/>
        <v>Buy</v>
      </c>
      <c r="AO1283" s="13">
        <f t="shared" si="1170"/>
        <v>-1.8599999999999998E-2</v>
      </c>
      <c r="AP1283" s="13">
        <f t="shared" si="1171"/>
        <v>5.9999999999999995E-4</v>
      </c>
      <c r="AQ1283" s="13">
        <f t="shared" si="1172"/>
        <v>-1.8599999999999998E-2</v>
      </c>
      <c r="AR1283" s="13">
        <f t="shared" si="1164"/>
        <v>-1.8599999999999998E-2</v>
      </c>
      <c r="AS1283" s="6">
        <f t="shared" ref="AS1283:AS1346" si="1192">AS1284*(1+AO1284)</f>
        <v>119.20527400773346</v>
      </c>
      <c r="AT1283" s="6">
        <f t="shared" ref="AT1283:AT1346" si="1193">AT1284*(1+AP1284)</f>
        <v>105.98020467806786</v>
      </c>
      <c r="AU1283" s="6">
        <f t="shared" ref="AU1283:AU1346" si="1194">AU1284*(1+AQ1284)</f>
        <v>118.81194775670099</v>
      </c>
      <c r="AV1283" s="6">
        <f t="shared" ref="AV1283:AV1346" si="1195">AV1284*(1+AR1284)</f>
        <v>119.20527400773346</v>
      </c>
      <c r="AW1283" s="58">
        <f t="shared" si="1165"/>
        <v>1994</v>
      </c>
      <c r="AX1283" s="58">
        <f>COUNTIF(AW$3:AW1283,AW1283)</f>
        <v>48</v>
      </c>
    </row>
    <row r="1284" spans="1:50" x14ac:dyDescent="0.25">
      <c r="A1284" s="5">
        <v>34357</v>
      </c>
      <c r="B1284">
        <v>474.72</v>
      </c>
      <c r="C1284">
        <v>2.96</v>
      </c>
      <c r="D1284" s="6">
        <v>11.15</v>
      </c>
      <c r="E1284" s="18">
        <f t="shared" si="1178"/>
        <v>11.26</v>
      </c>
      <c r="F1284">
        <f t="shared" si="1179"/>
        <v>2</v>
      </c>
      <c r="G1284" s="18">
        <f>ROUND(INDEX(Valuation!U:U,MATCH(A1284,Valuation!A:A,0)),2)</f>
        <v>247.58</v>
      </c>
      <c r="H1284">
        <f t="shared" si="1186"/>
        <v>3</v>
      </c>
      <c r="I1284" s="18">
        <f>INDEX(WeeklyIndicators!Y:Y,MATCH(A1284,WeeklyIndicators!A:A,0))</f>
        <v>121.39</v>
      </c>
      <c r="J1284">
        <f t="shared" si="1175"/>
        <v>0</v>
      </c>
      <c r="K1284">
        <f>ROUND(INDEX(Economic!AF:AF,MATCH(EOMONTH($A1284,-1),Economic!A:A,0)),2)</f>
        <v>118.53</v>
      </c>
      <c r="L1284" s="11">
        <f t="shared" si="1184"/>
        <v>1</v>
      </c>
      <c r="M1284">
        <f>ROUND(INDEX(Manufacturing!P:P,MATCH(EOMONTH($A1284,-1),Manufacturing!A:A,0)),2)</f>
        <v>104.9</v>
      </c>
      <c r="N1284">
        <f t="shared" si="1180"/>
        <v>2</v>
      </c>
      <c r="O1284">
        <f>ROUND(INDEX(Housing!AC:AC,MATCH(EOMONTH($A1284,-1),Housing!B:B,0)),2)</f>
        <v>91.24</v>
      </c>
      <c r="P1284">
        <f t="shared" si="1181"/>
        <v>-1</v>
      </c>
      <c r="Q1284">
        <f>ROUND(INDEX(Spending!AJ:AJ,MATCH(EOMONTH($A1284,-1),Spending!B:B,0)),2)</f>
        <v>58.87</v>
      </c>
      <c r="R1284">
        <f t="shared" si="1185"/>
        <v>1</v>
      </c>
      <c r="S1284">
        <f>ROUND(INDEX(Employment!V:V,MATCH(EOMONTH($A1284,-1),Employment!A:A,0)),2)</f>
        <v>183.82</v>
      </c>
      <c r="T1284" s="11">
        <f t="shared" si="1182"/>
        <v>2</v>
      </c>
      <c r="U1284">
        <f t="shared" si="1174"/>
        <v>30</v>
      </c>
      <c r="V1284">
        <f t="shared" si="1166"/>
        <v>76.47</v>
      </c>
      <c r="W1284" s="13">
        <f t="shared" si="1167"/>
        <v>-1.2999999999999999E-3</v>
      </c>
      <c r="X1284" s="13">
        <f t="shared" si="1168"/>
        <v>3.9900000000000005E-2</v>
      </c>
      <c r="Y1284">
        <f t="shared" ref="Y1284:Y1347" si="1196">ROUND(((K1284*0.745)+(M1284*0.745)+(O1284*0.36)+(Q1284*0.45)+(S1284*0.45)+(I1284*0.55)+(G1284*0.59)-(E1284*1.85))/5.3,2)</f>
        <v>94.44</v>
      </c>
      <c r="Z1284" s="13">
        <f t="shared" si="1191"/>
        <v>-3.5999999999999999E-3</v>
      </c>
      <c r="AA1284" s="13">
        <f t="shared" si="1187"/>
        <v>3.27E-2</v>
      </c>
      <c r="AB1284" s="6">
        <f t="shared" ref="AB1284:AB1347" si="1197">IF(ROUND(Y1284+(X1284*10)+(V1284/30)+(AA1284*67),2)+5+((G1284-125)*0.1)&lt;0,0,ROUND(Y1284+(X1284*10)+(V1284/30)+(AA1284*67),2)+5+((G1284-125)*0.1))</f>
        <v>116.83799999999999</v>
      </c>
      <c r="AC1284">
        <f t="shared" si="1189"/>
        <v>58</v>
      </c>
      <c r="AD1284" s="11">
        <f t="shared" si="1190"/>
        <v>2</v>
      </c>
      <c r="AE1284">
        <f t="shared" si="1188"/>
        <v>34</v>
      </c>
      <c r="AF1284">
        <f>IF(AND(AE1284&lt;15,OR(AC1284&gt;=30,AA1284&gt;0.15,X1284&gt;=0.15)),2,VLOOKUP(AE1284,Table!P:Q,2,FALSE))</f>
        <v>5</v>
      </c>
      <c r="AG1284" s="22">
        <f>IF((AB1284*0.98)-(D1284*0.8)+((AF1284-3)*3)+VLOOKUP(AM1284,Table!$A$11:$B$13,2,FALSE)&lt;0,0,(AB1284*0.98)-(D1284*0.8)+((AF1284-3)*3)+VLOOKUP(AM1284,Table!$A$11:$B$13,2,FALSE))</f>
        <v>119.58123999999999</v>
      </c>
      <c r="AH1284" s="22">
        <f t="shared" si="1183"/>
        <v>100</v>
      </c>
      <c r="AI1284" s="18">
        <f t="shared" si="1176"/>
        <v>3.06</v>
      </c>
      <c r="AJ1284" s="18">
        <f t="shared" si="1177"/>
        <v>3.02</v>
      </c>
      <c r="AK1284" t="str">
        <f t="shared" ref="AK1284:AK1347" si="1198">IF(AND(C1284&gt;AI1284,AI1284&gt;AJ1284,C1284-AJ1284&gt;0.15),"Rising Rates",IF(AND(C1284&lt;AI1284,AI1284&lt;AJ1284,AJ1284-C1284&gt;0.15),"Falling Rates",""))</f>
        <v/>
      </c>
      <c r="AL1284">
        <f t="shared" si="1173"/>
        <v>34.5</v>
      </c>
      <c r="AM1284" s="11" t="str">
        <f t="shared" ref="AM1284:AM1347" si="1199">IF(OR(AND(AL1284&lt;=18,G1284&lt;=25),AND(AL1284&lt;=14,G1284&lt;200)),"Cash","Stocks")</f>
        <v>Stocks</v>
      </c>
      <c r="AN1284" t="str">
        <f t="shared" si="1169"/>
        <v>Buy</v>
      </c>
      <c r="AO1284" s="13">
        <f t="shared" si="1170"/>
        <v>8.3999999999999995E-3</v>
      </c>
      <c r="AP1284" s="13">
        <f t="shared" si="1171"/>
        <v>5.9999999999999995E-4</v>
      </c>
      <c r="AQ1284" s="13">
        <f t="shared" si="1172"/>
        <v>8.3999999999999995E-3</v>
      </c>
      <c r="AR1284" s="13">
        <f t="shared" ref="AR1284:AR1348" si="1200">IF(AM1284="Stocks",AO1284,AP1284)</f>
        <v>8.3999999999999995E-3</v>
      </c>
      <c r="AS1284" s="6">
        <f t="shared" si="1192"/>
        <v>118.21229076530491</v>
      </c>
      <c r="AT1284" s="6">
        <f t="shared" si="1193"/>
        <v>105.91665468525672</v>
      </c>
      <c r="AU1284" s="6">
        <f t="shared" si="1194"/>
        <v>117.82224093286493</v>
      </c>
      <c r="AV1284" s="6">
        <f t="shared" si="1195"/>
        <v>118.21229076530491</v>
      </c>
      <c r="AW1284" s="58">
        <f t="shared" ref="AW1284:AW1347" si="1201">YEAR(A1284)</f>
        <v>1994</v>
      </c>
      <c r="AX1284" s="58">
        <f>COUNTIF(AW$3:AW1284,AW1284)</f>
        <v>49</v>
      </c>
    </row>
    <row r="1285" spans="1:50" x14ac:dyDescent="0.25">
      <c r="A1285" s="5">
        <v>34350</v>
      </c>
      <c r="B1285">
        <v>474.91</v>
      </c>
      <c r="C1285">
        <v>2.97</v>
      </c>
      <c r="D1285" s="6">
        <v>10.96</v>
      </c>
      <c r="E1285" s="18">
        <f t="shared" si="1178"/>
        <v>10.7</v>
      </c>
      <c r="F1285">
        <f t="shared" si="1179"/>
        <v>3</v>
      </c>
      <c r="G1285" s="18">
        <f>ROUND(INDEX(Valuation!U:U,MATCH(A1285,Valuation!A:A,0)),2)</f>
        <v>250.2</v>
      </c>
      <c r="H1285">
        <f t="shared" si="1186"/>
        <v>3</v>
      </c>
      <c r="I1285" s="18">
        <f>INDEX(WeeklyIndicators!Y:Y,MATCH(A1285,WeeklyIndicators!A:A,0))</f>
        <v>120.92</v>
      </c>
      <c r="J1285">
        <f t="shared" si="1175"/>
        <v>0</v>
      </c>
      <c r="K1285">
        <f>ROUND(INDEX(Economic!AF:AF,MATCH(EOMONTH($A1285,-1),Economic!A:A,0)),2)</f>
        <v>118.53</v>
      </c>
      <c r="L1285" s="11">
        <f t="shared" si="1184"/>
        <v>1</v>
      </c>
      <c r="M1285">
        <f>ROUND(INDEX(Manufacturing!P:P,MATCH(EOMONTH($A1285,-1),Manufacturing!A:A,0)),2)</f>
        <v>104.9</v>
      </c>
      <c r="N1285">
        <f t="shared" si="1180"/>
        <v>2</v>
      </c>
      <c r="O1285">
        <f>ROUND(INDEX(Housing!AC:AC,MATCH(EOMONTH($A1285,-1),Housing!B:B,0)),2)</f>
        <v>91.24</v>
      </c>
      <c r="P1285">
        <f t="shared" si="1181"/>
        <v>-1</v>
      </c>
      <c r="Q1285">
        <f>ROUND(INDEX(Spending!AJ:AJ,MATCH(EOMONTH($A1285,-1),Spending!B:B,0)),2)</f>
        <v>58.87</v>
      </c>
      <c r="R1285">
        <f t="shared" si="1185"/>
        <v>1</v>
      </c>
      <c r="S1285">
        <f>ROUND(INDEX(Employment!V:V,MATCH(EOMONTH($A1285,-1),Employment!A:A,0)),2)</f>
        <v>183.82</v>
      </c>
      <c r="T1285" s="11">
        <f t="shared" si="1182"/>
        <v>2</v>
      </c>
      <c r="U1285">
        <f t="shared" si="1174"/>
        <v>31</v>
      </c>
      <c r="V1285">
        <f t="shared" ref="V1285:V1348" si="1202">ROUND(((K1285*0.745)+(M1285*0.745)+(O1285*0.36)+(Q1285*0.45)+(S1285*0.45)+(I1285*0.55)+(60)-(30))/5.3,2)</f>
        <v>76.42</v>
      </c>
      <c r="W1285" s="13">
        <f t="shared" ref="W1285:W1348" si="1203">ROUND((AVERAGE(V1285:V1287)-AVERAGE(V1286:V1288))/AVERAGE(V1286:V1288),4)</f>
        <v>1.26E-2</v>
      </c>
      <c r="X1285" s="13">
        <f t="shared" ref="X1285:X1348" si="1204">SUM(W1285:W1288)</f>
        <v>4.5200000000000004E-2</v>
      </c>
      <c r="Y1285">
        <f t="shared" si="1196"/>
        <v>94.88</v>
      </c>
      <c r="Z1285" s="13">
        <f t="shared" si="1191"/>
        <v>0.01</v>
      </c>
      <c r="AA1285" s="13">
        <f t="shared" si="1187"/>
        <v>4.1000000000000002E-2</v>
      </c>
      <c r="AB1285" s="6">
        <f t="shared" si="1197"/>
        <v>118.14999999999999</v>
      </c>
      <c r="AC1285">
        <f t="shared" si="1189"/>
        <v>59</v>
      </c>
      <c r="AD1285" s="11">
        <f t="shared" si="1190"/>
        <v>2</v>
      </c>
      <c r="AE1285">
        <f t="shared" si="1188"/>
        <v>35</v>
      </c>
      <c r="AF1285">
        <f>IF(AND(AE1285&lt;15,OR(AC1285&gt;=30,AA1285&gt;0.15,X1285&gt;=0.15)),2,VLOOKUP(AE1285,Table!P:Q,2,FALSE))</f>
        <v>5</v>
      </c>
      <c r="AG1285" s="22">
        <f>IF((AB1285*0.98)-(D1285*0.8)+((AF1285-3)*3)+VLOOKUP(AM1285,Table!$A$11:$B$13,2,FALSE)&lt;0,0,(AB1285*0.98)-(D1285*0.8)+((AF1285-3)*3)+VLOOKUP(AM1285,Table!$A$11:$B$13,2,FALSE))</f>
        <v>121.01899999999999</v>
      </c>
      <c r="AH1285" s="22">
        <f t="shared" si="1183"/>
        <v>100</v>
      </c>
      <c r="AI1285" s="18">
        <f t="shared" si="1176"/>
        <v>3.06</v>
      </c>
      <c r="AJ1285" s="18">
        <f t="shared" si="1177"/>
        <v>3.02</v>
      </c>
      <c r="AK1285" t="str">
        <f t="shared" si="1198"/>
        <v/>
      </c>
      <c r="AL1285">
        <f t="shared" si="1173"/>
        <v>34.25</v>
      </c>
      <c r="AM1285" s="11" t="str">
        <f t="shared" si="1199"/>
        <v>Stocks</v>
      </c>
      <c r="AN1285" t="str">
        <f t="shared" ref="AN1285:AN1348" si="1205">IF(AND(V1285&gt;AG1285,V1285&lt;65),"Sell","Buy")</f>
        <v>Buy</v>
      </c>
      <c r="AO1285" s="13">
        <f t="shared" ref="AO1285:AO1348" si="1206">ROUND((B1284/B1285)-1,4)</f>
        <v>-4.0000000000000002E-4</v>
      </c>
      <c r="AP1285" s="13">
        <f t="shared" ref="AP1285:AP1348" si="1207">ROUND((C1285*0.01)/52,4)</f>
        <v>5.9999999999999995E-4</v>
      </c>
      <c r="AQ1285" s="13">
        <f t="shared" ref="AQ1285:AQ1348" si="1208">ROUND(((AH1285*0.01)*AO1285)+(((100-AH1285)*0.01)*AP1285),4)</f>
        <v>-4.0000000000000002E-4</v>
      </c>
      <c r="AR1285" s="13">
        <f t="shared" si="1200"/>
        <v>-4.0000000000000002E-4</v>
      </c>
      <c r="AS1285" s="6">
        <f t="shared" si="1192"/>
        <v>118.25959460314617</v>
      </c>
      <c r="AT1285" s="6">
        <f t="shared" si="1193"/>
        <v>105.85314279957697</v>
      </c>
      <c r="AU1285" s="6">
        <f t="shared" si="1194"/>
        <v>117.86938868834027</v>
      </c>
      <c r="AV1285" s="6">
        <f t="shared" si="1195"/>
        <v>118.25959460314617</v>
      </c>
      <c r="AW1285" s="58">
        <f t="shared" si="1201"/>
        <v>1994</v>
      </c>
      <c r="AX1285" s="58">
        <f>COUNTIF(AW$3:AW1285,AW1285)</f>
        <v>50</v>
      </c>
    </row>
    <row r="1286" spans="1:50" x14ac:dyDescent="0.25">
      <c r="A1286" s="5">
        <v>34343</v>
      </c>
      <c r="B1286">
        <v>469.9</v>
      </c>
      <c r="C1286">
        <v>3.05</v>
      </c>
      <c r="D1286" s="6">
        <v>11.66</v>
      </c>
      <c r="E1286" s="18">
        <f t="shared" si="1178"/>
        <v>10.74</v>
      </c>
      <c r="F1286">
        <f t="shared" si="1179"/>
        <v>3</v>
      </c>
      <c r="G1286" s="18">
        <f>ROUND(INDEX(Valuation!U:U,MATCH(A1286,Valuation!A:A,0)),2)</f>
        <v>252.3</v>
      </c>
      <c r="H1286">
        <f t="shared" si="1186"/>
        <v>3</v>
      </c>
      <c r="I1286" s="18">
        <f>INDEX(WeeklyIndicators!Y:Y,MATCH(A1286,WeeklyIndicators!A:A,0))</f>
        <v>122.07</v>
      </c>
      <c r="J1286">
        <f t="shared" si="1175"/>
        <v>0</v>
      </c>
      <c r="K1286">
        <f>ROUND(INDEX(Economic!AF:AF,MATCH(EOMONTH($A1286,-1),Economic!A:A,0)),2)</f>
        <v>118.53</v>
      </c>
      <c r="L1286" s="11">
        <f t="shared" si="1184"/>
        <v>1</v>
      </c>
      <c r="M1286">
        <f>ROUND(INDEX(Manufacturing!P:P,MATCH(EOMONTH($A1286,-1),Manufacturing!A:A,0)),2)</f>
        <v>104.9</v>
      </c>
      <c r="N1286">
        <f t="shared" si="1180"/>
        <v>2</v>
      </c>
      <c r="O1286">
        <f>ROUND(INDEX(Housing!AC:AC,MATCH(EOMONTH($A1286,-1),Housing!B:B,0)),2)</f>
        <v>91.24</v>
      </c>
      <c r="P1286">
        <f t="shared" si="1181"/>
        <v>-1</v>
      </c>
      <c r="Q1286">
        <f>ROUND(INDEX(Spending!AJ:AJ,MATCH(EOMONTH($A1286,-1),Spending!B:B,0)),2)</f>
        <v>58.87</v>
      </c>
      <c r="R1286">
        <f t="shared" si="1185"/>
        <v>1</v>
      </c>
      <c r="S1286">
        <f>ROUND(INDEX(Employment!V:V,MATCH(EOMONTH($A1286,-1),Employment!A:A,0)),2)</f>
        <v>183.82</v>
      </c>
      <c r="T1286" s="11">
        <f t="shared" si="1182"/>
        <v>2</v>
      </c>
      <c r="U1286">
        <f t="shared" si="1174"/>
        <v>31</v>
      </c>
      <c r="V1286">
        <f t="shared" si="1202"/>
        <v>76.540000000000006</v>
      </c>
      <c r="W1286" s="13">
        <f t="shared" si="1203"/>
        <v>1.3100000000000001E-2</v>
      </c>
      <c r="X1286" s="13">
        <f t="shared" si="1204"/>
        <v>5.33E-2</v>
      </c>
      <c r="Y1286">
        <f t="shared" si="1196"/>
        <v>95.21</v>
      </c>
      <c r="Z1286" s="13">
        <f t="shared" si="1191"/>
        <v>1.18E-2</v>
      </c>
      <c r="AA1286" s="13">
        <f t="shared" si="1187"/>
        <v>4.9100000000000005E-2</v>
      </c>
      <c r="AB1286" s="6">
        <f t="shared" si="1197"/>
        <v>119.31</v>
      </c>
      <c r="AC1286">
        <f t="shared" si="1189"/>
        <v>60</v>
      </c>
      <c r="AD1286" s="11">
        <f t="shared" si="1190"/>
        <v>2</v>
      </c>
      <c r="AE1286">
        <f t="shared" si="1188"/>
        <v>35</v>
      </c>
      <c r="AF1286">
        <f>IF(AND(AE1286&lt;15,OR(AC1286&gt;=30,AA1286&gt;0.15,X1286&gt;=0.15)),2,VLOOKUP(AE1286,Table!P:Q,2,FALSE))</f>
        <v>5</v>
      </c>
      <c r="AG1286" s="22">
        <f>IF((AB1286*0.98)-(D1286*0.8)+((AF1286-3)*3)+VLOOKUP(AM1286,Table!$A$11:$B$13,2,FALSE)&lt;0,0,(AB1286*0.98)-(D1286*0.8)+((AF1286-3)*3)+VLOOKUP(AM1286,Table!$A$11:$B$13,2,FALSE))</f>
        <v>121.5958</v>
      </c>
      <c r="AH1286" s="22">
        <f t="shared" si="1183"/>
        <v>100</v>
      </c>
      <c r="AI1286" s="18">
        <f t="shared" si="1176"/>
        <v>3.07</v>
      </c>
      <c r="AJ1286" s="18">
        <f t="shared" si="1177"/>
        <v>3.01</v>
      </c>
      <c r="AK1286" t="str">
        <f t="shared" si="1198"/>
        <v/>
      </c>
      <c r="AL1286">
        <f t="shared" si="1173"/>
        <v>33.75</v>
      </c>
      <c r="AM1286" s="11" t="str">
        <f t="shared" si="1199"/>
        <v>Stocks</v>
      </c>
      <c r="AN1286" t="str">
        <f t="shared" si="1205"/>
        <v>Buy</v>
      </c>
      <c r="AO1286" s="13">
        <f t="shared" si="1206"/>
        <v>1.0699999999999999E-2</v>
      </c>
      <c r="AP1286" s="13">
        <f t="shared" si="1207"/>
        <v>5.9999999999999995E-4</v>
      </c>
      <c r="AQ1286" s="13">
        <f t="shared" si="1208"/>
        <v>1.0699999999999999E-2</v>
      </c>
      <c r="AR1286" s="13">
        <f t="shared" si="1200"/>
        <v>1.0699999999999999E-2</v>
      </c>
      <c r="AS1286" s="6">
        <f t="shared" si="1192"/>
        <v>117.00761314252119</v>
      </c>
      <c r="AT1286" s="6">
        <f t="shared" si="1193"/>
        <v>105.78966899817807</v>
      </c>
      <c r="AU1286" s="6">
        <f t="shared" si="1194"/>
        <v>116.6215382292869</v>
      </c>
      <c r="AV1286" s="6">
        <f t="shared" si="1195"/>
        <v>117.00761314252119</v>
      </c>
      <c r="AW1286" s="58">
        <f t="shared" si="1201"/>
        <v>1994</v>
      </c>
      <c r="AX1286" s="58">
        <f>COUNTIF(AW$3:AW1286,AW1286)</f>
        <v>51</v>
      </c>
    </row>
    <row r="1287" spans="1:50" x14ac:dyDescent="0.25">
      <c r="A1287" s="5">
        <v>34336</v>
      </c>
      <c r="B1287">
        <v>466.45</v>
      </c>
      <c r="C1287">
        <v>3.02</v>
      </c>
      <c r="D1287" s="6">
        <v>9.48</v>
      </c>
      <c r="E1287" s="18">
        <f t="shared" si="1178"/>
        <v>11.05</v>
      </c>
      <c r="F1287">
        <f t="shared" si="1179"/>
        <v>2</v>
      </c>
      <c r="G1287" s="18">
        <f>ROUND(INDEX(Valuation!U:U,MATCH(A1287,Valuation!A:A,0)),2)</f>
        <v>253.29</v>
      </c>
      <c r="H1287">
        <f t="shared" si="1186"/>
        <v>3</v>
      </c>
      <c r="I1287" s="18">
        <f>INDEX(WeeklyIndicators!Y:Y,MATCH(A1287,WeeklyIndicators!A:A,0))</f>
        <v>124.38</v>
      </c>
      <c r="J1287">
        <f t="shared" si="1175"/>
        <v>0</v>
      </c>
      <c r="K1287">
        <f>ROUND(INDEX(Economic!AF:AF,MATCH(EOMONTH($A1287,-1),Economic!A:A,0)),2)</f>
        <v>118.53</v>
      </c>
      <c r="L1287" s="11">
        <f t="shared" si="1184"/>
        <v>1</v>
      </c>
      <c r="M1287">
        <f>ROUND(INDEX(Manufacturing!P:P,MATCH(EOMONTH($A1287,-1),Manufacturing!A:A,0)),2)</f>
        <v>104.9</v>
      </c>
      <c r="N1287">
        <f t="shared" si="1180"/>
        <v>2</v>
      </c>
      <c r="O1287">
        <f>ROUND(INDEX(Housing!AC:AC,MATCH(EOMONTH($A1287,-1),Housing!B:B,0)),2)</f>
        <v>91.24</v>
      </c>
      <c r="P1287">
        <f t="shared" si="1181"/>
        <v>-1</v>
      </c>
      <c r="Q1287">
        <f>ROUND(INDEX(Spending!AJ:AJ,MATCH(EOMONTH($A1287,-1),Spending!B:B,0)),2)</f>
        <v>58.87</v>
      </c>
      <c r="R1287">
        <f t="shared" si="1185"/>
        <v>1</v>
      </c>
      <c r="S1287">
        <f>ROUND(INDEX(Employment!V:V,MATCH(EOMONTH($A1287,-1),Employment!A:A,0)),2)</f>
        <v>183.82</v>
      </c>
      <c r="T1287" s="11">
        <f t="shared" si="1182"/>
        <v>2</v>
      </c>
      <c r="U1287">
        <f t="shared" si="1174"/>
        <v>30</v>
      </c>
      <c r="V1287">
        <f t="shared" si="1202"/>
        <v>76.78</v>
      </c>
      <c r="W1287" s="13">
        <f t="shared" si="1203"/>
        <v>1.55E-2</v>
      </c>
      <c r="X1287" s="13">
        <f t="shared" si="1204"/>
        <v>6.3500000000000001E-2</v>
      </c>
      <c r="Y1287">
        <f t="shared" si="1196"/>
        <v>95.46</v>
      </c>
      <c r="Z1287" s="13">
        <f t="shared" si="1191"/>
        <v>1.4500000000000001E-2</v>
      </c>
      <c r="AA1287" s="13">
        <f t="shared" si="1187"/>
        <v>5.5500000000000001E-2</v>
      </c>
      <c r="AB1287" s="6">
        <f t="shared" si="1197"/>
        <v>120.19900000000001</v>
      </c>
      <c r="AC1287">
        <f t="shared" si="1189"/>
        <v>60</v>
      </c>
      <c r="AD1287" s="11">
        <f t="shared" si="1190"/>
        <v>2</v>
      </c>
      <c r="AE1287">
        <f t="shared" si="1188"/>
        <v>34</v>
      </c>
      <c r="AF1287">
        <f>IF(AND(AE1287&lt;15,OR(AC1287&gt;=30,AA1287&gt;0.15,X1287&gt;=0.15)),2,VLOOKUP(AE1287,Table!P:Q,2,FALSE))</f>
        <v>5</v>
      </c>
      <c r="AG1287" s="22">
        <f>IF((AB1287*0.98)-(D1287*0.8)+((AF1287-3)*3)+VLOOKUP(AM1287,Table!$A$11:$B$13,2,FALSE)&lt;0,0,(AB1287*0.98)-(D1287*0.8)+((AF1287-3)*3)+VLOOKUP(AM1287,Table!$A$11:$B$13,2,FALSE))</f>
        <v>124.21102</v>
      </c>
      <c r="AH1287" s="22">
        <f t="shared" si="1183"/>
        <v>100</v>
      </c>
      <c r="AI1287" s="18">
        <f t="shared" si="1176"/>
        <v>3.06</v>
      </c>
      <c r="AJ1287" s="18">
        <f t="shared" si="1177"/>
        <v>3.01</v>
      </c>
      <c r="AK1287" t="str">
        <f t="shared" si="1198"/>
        <v/>
      </c>
      <c r="AL1287">
        <f t="shared" si="1173"/>
        <v>33.25</v>
      </c>
      <c r="AM1287" s="11" t="str">
        <f t="shared" si="1199"/>
        <v>Stocks</v>
      </c>
      <c r="AN1287" t="str">
        <f t="shared" si="1205"/>
        <v>Buy</v>
      </c>
      <c r="AO1287" s="13">
        <f t="shared" si="1206"/>
        <v>7.4000000000000003E-3</v>
      </c>
      <c r="AP1287" s="13">
        <f t="shared" si="1207"/>
        <v>5.9999999999999995E-4</v>
      </c>
      <c r="AQ1287" s="13">
        <f t="shared" si="1208"/>
        <v>7.4000000000000003E-3</v>
      </c>
      <c r="AR1287" s="13">
        <f t="shared" si="1200"/>
        <v>7.4000000000000003E-3</v>
      </c>
      <c r="AS1287" s="6">
        <f t="shared" si="1192"/>
        <v>116.14811707615762</v>
      </c>
      <c r="AT1287" s="6">
        <f t="shared" si="1193"/>
        <v>105.72623325822315</v>
      </c>
      <c r="AU1287" s="6">
        <f t="shared" si="1194"/>
        <v>115.76487813111663</v>
      </c>
      <c r="AV1287" s="6">
        <f t="shared" si="1195"/>
        <v>116.14811707615762</v>
      </c>
      <c r="AW1287" s="58">
        <f t="shared" si="1201"/>
        <v>1994</v>
      </c>
      <c r="AX1287" s="58">
        <f>COUNTIF(AW$3:AW1287,AW1287)</f>
        <v>52</v>
      </c>
    </row>
    <row r="1288" spans="1:50" x14ac:dyDescent="0.25">
      <c r="A1288" s="5">
        <v>34329</v>
      </c>
      <c r="B1288">
        <v>467.38</v>
      </c>
      <c r="C1288">
        <v>3.06</v>
      </c>
      <c r="D1288" s="6">
        <v>11.08</v>
      </c>
      <c r="E1288" s="18">
        <f t="shared" si="1178"/>
        <v>12.12</v>
      </c>
      <c r="F1288">
        <f t="shared" si="1179"/>
        <v>2</v>
      </c>
      <c r="G1288" s="18">
        <f>ROUND(INDEX(Valuation!U:U,MATCH(A1288,Valuation!A:A,0)),2)</f>
        <v>254.83</v>
      </c>
      <c r="H1288">
        <f t="shared" si="1186"/>
        <v>3</v>
      </c>
      <c r="I1288" s="18">
        <f>INDEX(WeeklyIndicators!Y:Y,MATCH(A1288,WeeklyIndicators!A:A,0))</f>
        <v>125.59</v>
      </c>
      <c r="J1288">
        <f t="shared" si="1175"/>
        <v>0</v>
      </c>
      <c r="K1288">
        <f>ROUND(INDEX(Economic!AF:AF,MATCH(EOMONTH($A1288,-1),Economic!A:A,0)),2)</f>
        <v>107.16</v>
      </c>
      <c r="L1288" s="11">
        <f t="shared" si="1184"/>
        <v>0</v>
      </c>
      <c r="M1288">
        <f>ROUND(INDEX(Manufacturing!P:P,MATCH(EOMONTH($A1288,-1),Manufacturing!A:A,0)),2)</f>
        <v>95.35</v>
      </c>
      <c r="N1288">
        <f t="shared" si="1180"/>
        <v>1</v>
      </c>
      <c r="O1288">
        <f>ROUND(INDEX(Housing!AC:AC,MATCH(EOMONTH($A1288,-1),Housing!B:B,0)),2)</f>
        <v>91.47</v>
      </c>
      <c r="P1288">
        <f t="shared" si="1181"/>
        <v>-1</v>
      </c>
      <c r="Q1288">
        <f>ROUND(INDEX(Spending!AJ:AJ,MATCH(EOMONTH($A1288,-1),Spending!B:B,0)),2)</f>
        <v>60.17</v>
      </c>
      <c r="R1288">
        <f t="shared" si="1185"/>
        <v>2</v>
      </c>
      <c r="S1288">
        <f>ROUND(INDEX(Employment!V:V,MATCH(EOMONTH($A1288,-1),Employment!A:A,0)),2)</f>
        <v>177.71</v>
      </c>
      <c r="T1288" s="11">
        <f t="shared" si="1182"/>
        <v>2</v>
      </c>
      <c r="U1288">
        <f t="shared" si="1174"/>
        <v>29</v>
      </c>
      <c r="V1288">
        <f t="shared" si="1202"/>
        <v>73.569999999999993</v>
      </c>
      <c r="W1288" s="13">
        <f t="shared" si="1203"/>
        <v>4.0000000000000001E-3</v>
      </c>
      <c r="X1288" s="13">
        <f t="shared" si="1204"/>
        <v>6.9099999999999995E-2</v>
      </c>
      <c r="Y1288">
        <f t="shared" si="1196"/>
        <v>92.05</v>
      </c>
      <c r="Z1288" s="13">
        <f t="shared" si="1191"/>
        <v>4.7000000000000002E-3</v>
      </c>
      <c r="AA1288" s="13">
        <f t="shared" si="1187"/>
        <v>5.6599999999999998E-2</v>
      </c>
      <c r="AB1288" s="6">
        <f t="shared" si="1197"/>
        <v>116.973</v>
      </c>
      <c r="AC1288">
        <f t="shared" si="1189"/>
        <v>58</v>
      </c>
      <c r="AD1288" s="11">
        <f t="shared" si="1190"/>
        <v>2</v>
      </c>
      <c r="AE1288">
        <f t="shared" si="1188"/>
        <v>33</v>
      </c>
      <c r="AF1288">
        <f>IF(AND(AE1288&lt;15,OR(AC1288&gt;=30,AA1288&gt;0.15,X1288&gt;=0.15)),2,VLOOKUP(AE1288,Table!P:Q,2,FALSE))</f>
        <v>5</v>
      </c>
      <c r="AG1288" s="22">
        <f>IF((AB1288*0.98)-(D1288*0.8)+((AF1288-3)*3)+VLOOKUP(AM1288,Table!$A$11:$B$13,2,FALSE)&lt;0,0,(AB1288*0.98)-(D1288*0.8)+((AF1288-3)*3)+VLOOKUP(AM1288,Table!$A$11:$B$13,2,FALSE))</f>
        <v>119.76953999999999</v>
      </c>
      <c r="AH1288" s="22">
        <f t="shared" si="1183"/>
        <v>100</v>
      </c>
      <c r="AI1288" s="18">
        <f t="shared" si="1176"/>
        <v>3.05</v>
      </c>
      <c r="AJ1288" s="18">
        <f t="shared" si="1177"/>
        <v>3.01</v>
      </c>
      <c r="AK1288" t="str">
        <f t="shared" si="1198"/>
        <v/>
      </c>
      <c r="AL1288">
        <f t="shared" si="1173"/>
        <v>32.5</v>
      </c>
      <c r="AM1288" s="11" t="str">
        <f t="shared" si="1199"/>
        <v>Stocks</v>
      </c>
      <c r="AN1288" t="str">
        <f t="shared" si="1205"/>
        <v>Buy</v>
      </c>
      <c r="AO1288" s="13">
        <f t="shared" si="1206"/>
        <v>-2E-3</v>
      </c>
      <c r="AP1288" s="13">
        <f t="shared" si="1207"/>
        <v>5.9999999999999995E-4</v>
      </c>
      <c r="AQ1288" s="13">
        <f t="shared" si="1208"/>
        <v>-2E-3</v>
      </c>
      <c r="AR1288" s="13">
        <f t="shared" si="1200"/>
        <v>-2E-3</v>
      </c>
      <c r="AS1288" s="6">
        <f t="shared" si="1192"/>
        <v>116.38087883382526</v>
      </c>
      <c r="AT1288" s="6">
        <f t="shared" si="1193"/>
        <v>105.66283555688902</v>
      </c>
      <c r="AU1288" s="6">
        <f t="shared" si="1194"/>
        <v>115.99687187486636</v>
      </c>
      <c r="AV1288" s="6">
        <f t="shared" si="1195"/>
        <v>116.38087883382526</v>
      </c>
      <c r="AW1288" s="58">
        <f t="shared" si="1201"/>
        <v>1993</v>
      </c>
      <c r="AX1288" s="58">
        <f>COUNTIF(AW$3:AW1288,AW1288)</f>
        <v>1</v>
      </c>
    </row>
    <row r="1289" spans="1:50" x14ac:dyDescent="0.25">
      <c r="A1289" s="5">
        <v>34322</v>
      </c>
      <c r="B1289">
        <v>466.38</v>
      </c>
      <c r="C1289">
        <v>3.04</v>
      </c>
      <c r="D1289" s="6">
        <v>12.6</v>
      </c>
      <c r="E1289" s="18">
        <f t="shared" si="1178"/>
        <v>13.02</v>
      </c>
      <c r="F1289">
        <f t="shared" si="1179"/>
        <v>2</v>
      </c>
      <c r="G1289" s="18">
        <f>ROUND(INDEX(Valuation!U:U,MATCH(A1289,Valuation!A:A,0)),2)</f>
        <v>256.05</v>
      </c>
      <c r="H1289">
        <f t="shared" si="1186"/>
        <v>3</v>
      </c>
      <c r="I1289" s="18">
        <f>INDEX(WeeklyIndicators!Y:Y,MATCH(A1289,WeeklyIndicators!A:A,0))</f>
        <v>126.02</v>
      </c>
      <c r="J1289">
        <f t="shared" si="1175"/>
        <v>0</v>
      </c>
      <c r="K1289">
        <f>ROUND(INDEX(Economic!AF:AF,MATCH(EOMONTH($A1289,-1),Economic!A:A,0)),2)</f>
        <v>107.16</v>
      </c>
      <c r="L1289" s="11">
        <f t="shared" si="1184"/>
        <v>0</v>
      </c>
      <c r="M1289">
        <f>ROUND(INDEX(Manufacturing!P:P,MATCH(EOMONTH($A1289,-1),Manufacturing!A:A,0)),2)</f>
        <v>95.35</v>
      </c>
      <c r="N1289">
        <f t="shared" si="1180"/>
        <v>1</v>
      </c>
      <c r="O1289">
        <f>ROUND(INDEX(Housing!AC:AC,MATCH(EOMONTH($A1289,-1),Housing!B:B,0)),2)</f>
        <v>91.47</v>
      </c>
      <c r="P1289">
        <f t="shared" si="1181"/>
        <v>-1</v>
      </c>
      <c r="Q1289">
        <f>ROUND(INDEX(Spending!AJ:AJ,MATCH(EOMONTH($A1289,-1),Spending!B:B,0)),2)</f>
        <v>60.17</v>
      </c>
      <c r="R1289">
        <f t="shared" si="1185"/>
        <v>2</v>
      </c>
      <c r="S1289">
        <f>ROUND(INDEX(Employment!V:V,MATCH(EOMONTH($A1289,-1),Employment!A:A,0)),2)</f>
        <v>177.71</v>
      </c>
      <c r="T1289" s="11">
        <f t="shared" si="1182"/>
        <v>2</v>
      </c>
      <c r="U1289">
        <f t="shared" si="1174"/>
        <v>29</v>
      </c>
      <c r="V1289">
        <f t="shared" si="1202"/>
        <v>73.61</v>
      </c>
      <c r="W1289" s="13">
        <f t="shared" si="1203"/>
        <v>2.07E-2</v>
      </c>
      <c r="X1289" s="13">
        <f t="shared" si="1204"/>
        <v>6.6799999999999984E-2</v>
      </c>
      <c r="Y1289">
        <f t="shared" si="1196"/>
        <v>91.91</v>
      </c>
      <c r="Z1289" s="13">
        <f t="shared" si="1191"/>
        <v>1.8100000000000002E-2</v>
      </c>
      <c r="AA1289" s="13">
        <f t="shared" si="1187"/>
        <v>5.0300000000000004E-2</v>
      </c>
      <c r="AB1289" s="6">
        <f t="shared" si="1197"/>
        <v>116.50500000000001</v>
      </c>
      <c r="AC1289">
        <f t="shared" si="1189"/>
        <v>58</v>
      </c>
      <c r="AD1289" s="11">
        <f t="shared" si="1190"/>
        <v>2</v>
      </c>
      <c r="AE1289">
        <f t="shared" si="1188"/>
        <v>33</v>
      </c>
      <c r="AF1289">
        <f>IF(AND(AE1289&lt;15,OR(AC1289&gt;=30,AA1289&gt;0.15,X1289&gt;=0.15)),2,VLOOKUP(AE1289,Table!P:Q,2,FALSE))</f>
        <v>5</v>
      </c>
      <c r="AG1289" s="22">
        <f>IF((AB1289*0.98)-(D1289*0.8)+((AF1289-3)*3)+VLOOKUP(AM1289,Table!$A$11:$B$13,2,FALSE)&lt;0,0,(AB1289*0.98)-(D1289*0.8)+((AF1289-3)*3)+VLOOKUP(AM1289,Table!$A$11:$B$13,2,FALSE))</f>
        <v>118.09490000000001</v>
      </c>
      <c r="AH1289" s="22">
        <f t="shared" si="1183"/>
        <v>100</v>
      </c>
      <c r="AI1289" s="18">
        <f t="shared" si="1176"/>
        <v>3.04</v>
      </c>
      <c r="AJ1289" s="18">
        <f t="shared" si="1177"/>
        <v>3</v>
      </c>
      <c r="AK1289" t="str">
        <f t="shared" si="1198"/>
        <v/>
      </c>
      <c r="AL1289">
        <f t="shared" ref="AL1289:AL1352" si="1209">ROUND(AVERAGE(AE1289:AE1292),2)</f>
        <v>31.5</v>
      </c>
      <c r="AM1289" s="11" t="str">
        <f t="shared" si="1199"/>
        <v>Stocks</v>
      </c>
      <c r="AN1289" t="str">
        <f t="shared" si="1205"/>
        <v>Buy</v>
      </c>
      <c r="AO1289" s="13">
        <f t="shared" si="1206"/>
        <v>2.0999999999999999E-3</v>
      </c>
      <c r="AP1289" s="13">
        <f t="shared" si="1207"/>
        <v>5.9999999999999995E-4</v>
      </c>
      <c r="AQ1289" s="13">
        <f t="shared" si="1208"/>
        <v>2.0999999999999999E-3</v>
      </c>
      <c r="AR1289" s="13">
        <f t="shared" si="1200"/>
        <v>2.0999999999999999E-3</v>
      </c>
      <c r="AS1289" s="6">
        <f t="shared" si="1192"/>
        <v>116.13699115240522</v>
      </c>
      <c r="AT1289" s="6">
        <f t="shared" si="1193"/>
        <v>105.59947587136621</v>
      </c>
      <c r="AU1289" s="6">
        <f t="shared" si="1194"/>
        <v>115.75378891813827</v>
      </c>
      <c r="AV1289" s="6">
        <f t="shared" si="1195"/>
        <v>116.13699115240522</v>
      </c>
      <c r="AW1289" s="58">
        <f t="shared" si="1201"/>
        <v>1993</v>
      </c>
      <c r="AX1289" s="58">
        <f>COUNTIF(AW$3:AW1289,AW1289)</f>
        <v>2</v>
      </c>
    </row>
    <row r="1290" spans="1:50" x14ac:dyDescent="0.25">
      <c r="A1290" s="5">
        <v>34315</v>
      </c>
      <c r="B1290">
        <v>463.93</v>
      </c>
      <c r="C1290">
        <v>3.07</v>
      </c>
      <c r="D1290" s="6">
        <v>12.69</v>
      </c>
      <c r="E1290" s="18">
        <f t="shared" si="1178"/>
        <v>13.83</v>
      </c>
      <c r="F1290">
        <f t="shared" si="1179"/>
        <v>2</v>
      </c>
      <c r="G1290" s="18">
        <f>ROUND(INDEX(Valuation!U:U,MATCH(A1290,Valuation!A:A,0)),2)</f>
        <v>256.93</v>
      </c>
      <c r="H1290">
        <f t="shared" si="1186"/>
        <v>3</v>
      </c>
      <c r="I1290" s="18">
        <f>INDEX(WeeklyIndicators!Y:Y,MATCH(A1290,WeeklyIndicators!A:A,0))</f>
        <v>123.55</v>
      </c>
      <c r="J1290">
        <f t="shared" si="1175"/>
        <v>0</v>
      </c>
      <c r="K1290">
        <f>ROUND(INDEX(Economic!AF:AF,MATCH(EOMONTH($A1290,-1),Economic!A:A,0)),2)</f>
        <v>107.16</v>
      </c>
      <c r="L1290" s="11">
        <f t="shared" si="1184"/>
        <v>0</v>
      </c>
      <c r="M1290">
        <f>ROUND(INDEX(Manufacturing!P:P,MATCH(EOMONTH($A1290,-1),Manufacturing!A:A,0)),2)</f>
        <v>95.35</v>
      </c>
      <c r="N1290">
        <f t="shared" si="1180"/>
        <v>1</v>
      </c>
      <c r="O1290">
        <f>ROUND(INDEX(Housing!AC:AC,MATCH(EOMONTH($A1290,-1),Housing!B:B,0)),2)</f>
        <v>91.47</v>
      </c>
      <c r="P1290">
        <f t="shared" si="1181"/>
        <v>-1</v>
      </c>
      <c r="Q1290">
        <f>ROUND(INDEX(Spending!AJ:AJ,MATCH(EOMONTH($A1290,-1),Spending!B:B,0)),2)</f>
        <v>60.17</v>
      </c>
      <c r="R1290">
        <f t="shared" si="1185"/>
        <v>2</v>
      </c>
      <c r="S1290">
        <f>ROUND(INDEX(Employment!V:V,MATCH(EOMONTH($A1290,-1),Employment!A:A,0)),2)</f>
        <v>177.71</v>
      </c>
      <c r="T1290" s="11">
        <f t="shared" si="1182"/>
        <v>2</v>
      </c>
      <c r="U1290">
        <f t="shared" ref="U1290:U1353" si="1210">F1290+H1290+J1290+L1290+N1290+P1290+R1290+T1290+20</f>
        <v>29</v>
      </c>
      <c r="V1290">
        <f t="shared" si="1202"/>
        <v>73.36</v>
      </c>
      <c r="W1290" s="13">
        <f t="shared" si="1203"/>
        <v>2.3300000000000001E-2</v>
      </c>
      <c r="X1290" s="13">
        <f t="shared" si="1204"/>
        <v>4.87E-2</v>
      </c>
      <c r="Y1290">
        <f t="shared" si="1196"/>
        <v>91.47</v>
      </c>
      <c r="Z1290" s="13">
        <f t="shared" si="1191"/>
        <v>1.8200000000000001E-2</v>
      </c>
      <c r="AA1290" s="13">
        <f t="shared" si="1187"/>
        <v>3.3399999999999999E-2</v>
      </c>
      <c r="AB1290" s="6">
        <f t="shared" si="1197"/>
        <v>114.833</v>
      </c>
      <c r="AC1290">
        <f t="shared" si="1189"/>
        <v>57</v>
      </c>
      <c r="AD1290" s="11">
        <f t="shared" si="1190"/>
        <v>2</v>
      </c>
      <c r="AE1290">
        <f t="shared" si="1188"/>
        <v>33</v>
      </c>
      <c r="AF1290">
        <f>IF(AND(AE1290&lt;15,OR(AC1290&gt;=30,AA1290&gt;0.15,X1290&gt;=0.15)),2,VLOOKUP(AE1290,Table!P:Q,2,FALSE))</f>
        <v>5</v>
      </c>
      <c r="AG1290" s="22">
        <f>IF((AB1290*0.98)-(D1290*0.8)+((AF1290-3)*3)+VLOOKUP(AM1290,Table!$A$11:$B$13,2,FALSE)&lt;0,0,(AB1290*0.98)-(D1290*0.8)+((AF1290-3)*3)+VLOOKUP(AM1290,Table!$A$11:$B$13,2,FALSE))</f>
        <v>116.38433999999999</v>
      </c>
      <c r="AH1290" s="22">
        <f t="shared" si="1183"/>
        <v>100</v>
      </c>
      <c r="AI1290" s="18">
        <f t="shared" si="1176"/>
        <v>3.04</v>
      </c>
      <c r="AJ1290" s="18">
        <f t="shared" si="1177"/>
        <v>3</v>
      </c>
      <c r="AK1290" t="str">
        <f t="shared" si="1198"/>
        <v/>
      </c>
      <c r="AL1290">
        <f t="shared" si="1209"/>
        <v>30.75</v>
      </c>
      <c r="AM1290" s="11" t="str">
        <f t="shared" si="1199"/>
        <v>Stocks</v>
      </c>
      <c r="AN1290" t="str">
        <f t="shared" si="1205"/>
        <v>Buy</v>
      </c>
      <c r="AO1290" s="13">
        <f t="shared" si="1206"/>
        <v>5.3E-3</v>
      </c>
      <c r="AP1290" s="13">
        <f t="shared" si="1207"/>
        <v>5.9999999999999995E-4</v>
      </c>
      <c r="AQ1290" s="13">
        <f t="shared" si="1208"/>
        <v>5.3E-3</v>
      </c>
      <c r="AR1290" s="13">
        <f t="shared" si="1200"/>
        <v>5.3E-3</v>
      </c>
      <c r="AS1290" s="6">
        <f t="shared" si="1192"/>
        <v>115.52471018840664</v>
      </c>
      <c r="AT1290" s="6">
        <f t="shared" si="1193"/>
        <v>105.53615417885891</v>
      </c>
      <c r="AU1290" s="6">
        <f t="shared" si="1194"/>
        <v>115.14352821857979</v>
      </c>
      <c r="AV1290" s="6">
        <f t="shared" si="1195"/>
        <v>115.52471018840664</v>
      </c>
      <c r="AW1290" s="58">
        <f t="shared" si="1201"/>
        <v>1993</v>
      </c>
      <c r="AX1290" s="58">
        <f>COUNTIF(AW$3:AW1290,AW1290)</f>
        <v>3</v>
      </c>
    </row>
    <row r="1291" spans="1:50" x14ac:dyDescent="0.25">
      <c r="A1291" s="5">
        <v>34308</v>
      </c>
      <c r="B1291">
        <v>464.89</v>
      </c>
      <c r="C1291">
        <v>3.12</v>
      </c>
      <c r="D1291" s="6">
        <v>13.77</v>
      </c>
      <c r="E1291" s="18">
        <f t="shared" si="1178"/>
        <v>14.04</v>
      </c>
      <c r="F1291">
        <f t="shared" si="1179"/>
        <v>1</v>
      </c>
      <c r="G1291" s="18">
        <f>ROUND(INDEX(Valuation!U:U,MATCH(A1291,Valuation!A:A,0)),2)</f>
        <v>257.29000000000002</v>
      </c>
      <c r="H1291">
        <f t="shared" si="1186"/>
        <v>3</v>
      </c>
      <c r="I1291" s="18">
        <f>INDEX(WeeklyIndicators!Y:Y,MATCH(A1291,WeeklyIndicators!A:A,0))</f>
        <v>117.07</v>
      </c>
      <c r="J1291">
        <f t="shared" si="1175"/>
        <v>-1</v>
      </c>
      <c r="K1291">
        <f>ROUND(INDEX(Economic!AF:AF,MATCH(EOMONTH($A1291,-1),Economic!A:A,0)),2)</f>
        <v>107.16</v>
      </c>
      <c r="L1291" s="11">
        <f t="shared" si="1184"/>
        <v>0</v>
      </c>
      <c r="M1291">
        <f>ROUND(INDEX(Manufacturing!P:P,MATCH(EOMONTH($A1291,-1),Manufacturing!A:A,0)),2)</f>
        <v>95.35</v>
      </c>
      <c r="N1291">
        <f t="shared" si="1180"/>
        <v>1</v>
      </c>
      <c r="O1291">
        <f>ROUND(INDEX(Housing!AC:AC,MATCH(EOMONTH($A1291,-1),Housing!B:B,0)),2)</f>
        <v>91.47</v>
      </c>
      <c r="P1291">
        <f t="shared" si="1181"/>
        <v>-1</v>
      </c>
      <c r="Q1291">
        <f>ROUND(INDEX(Spending!AJ:AJ,MATCH(EOMONTH($A1291,-1),Spending!B:B,0)),2)</f>
        <v>60.17</v>
      </c>
      <c r="R1291">
        <f t="shared" si="1185"/>
        <v>2</v>
      </c>
      <c r="S1291">
        <f>ROUND(INDEX(Employment!V:V,MATCH(EOMONTH($A1291,-1),Employment!A:A,0)),2)</f>
        <v>177.71</v>
      </c>
      <c r="T1291" s="11">
        <f t="shared" si="1182"/>
        <v>2</v>
      </c>
      <c r="U1291">
        <f t="shared" si="1210"/>
        <v>27</v>
      </c>
      <c r="V1291">
        <f t="shared" si="1202"/>
        <v>72.69</v>
      </c>
      <c r="W1291" s="13">
        <f t="shared" si="1203"/>
        <v>2.1100000000000001E-2</v>
      </c>
      <c r="X1291" s="13">
        <f t="shared" si="1204"/>
        <v>2.2199999999999998E-2</v>
      </c>
      <c r="Y1291">
        <f t="shared" si="1196"/>
        <v>90.77</v>
      </c>
      <c r="Z1291" s="13">
        <f t="shared" si="1191"/>
        <v>1.5599999999999999E-2</v>
      </c>
      <c r="AA1291" s="13">
        <f t="shared" si="1187"/>
        <v>1.3099999999999999E-2</v>
      </c>
      <c r="AB1291" s="6">
        <f t="shared" si="1197"/>
        <v>112.51900000000001</v>
      </c>
      <c r="AC1291">
        <f t="shared" si="1189"/>
        <v>56</v>
      </c>
      <c r="AD1291" s="11">
        <f t="shared" si="1190"/>
        <v>2</v>
      </c>
      <c r="AE1291">
        <f t="shared" si="1188"/>
        <v>31</v>
      </c>
      <c r="AF1291">
        <f>IF(AND(AE1291&lt;15,OR(AC1291&gt;=30,AA1291&gt;0.15,X1291&gt;=0.15)),2,VLOOKUP(AE1291,Table!P:Q,2,FALSE))</f>
        <v>4</v>
      </c>
      <c r="AG1291" s="22">
        <f>IF((AB1291*0.98)-(D1291*0.8)+((AF1291-3)*3)+VLOOKUP(AM1291,Table!$A$11:$B$13,2,FALSE)&lt;0,0,(AB1291*0.98)-(D1291*0.8)+((AF1291-3)*3)+VLOOKUP(AM1291,Table!$A$11:$B$13,2,FALSE))</f>
        <v>110.25261999999999</v>
      </c>
      <c r="AH1291" s="22">
        <f t="shared" si="1183"/>
        <v>100</v>
      </c>
      <c r="AI1291" s="18">
        <f t="shared" si="1176"/>
        <v>3.03</v>
      </c>
      <c r="AJ1291" s="18">
        <f t="shared" si="1177"/>
        <v>3</v>
      </c>
      <c r="AK1291" t="str">
        <f t="shared" si="1198"/>
        <v/>
      </c>
      <c r="AL1291">
        <f t="shared" si="1209"/>
        <v>30</v>
      </c>
      <c r="AM1291" s="11" t="str">
        <f t="shared" si="1199"/>
        <v>Stocks</v>
      </c>
      <c r="AN1291" t="str">
        <f t="shared" si="1205"/>
        <v>Buy</v>
      </c>
      <c r="AO1291" s="13">
        <f t="shared" si="1206"/>
        <v>-2.0999999999999999E-3</v>
      </c>
      <c r="AP1291" s="13">
        <f t="shared" si="1207"/>
        <v>5.9999999999999995E-4</v>
      </c>
      <c r="AQ1291" s="13">
        <f t="shared" si="1208"/>
        <v>-2.0999999999999999E-3</v>
      </c>
      <c r="AR1291" s="13">
        <f t="shared" si="1200"/>
        <v>-2.0999999999999999E-3</v>
      </c>
      <c r="AS1291" s="6">
        <f t="shared" si="1192"/>
        <v>115.76782261590003</v>
      </c>
      <c r="AT1291" s="6">
        <f t="shared" si="1193"/>
        <v>105.47287045658496</v>
      </c>
      <c r="AU1291" s="6">
        <f t="shared" si="1194"/>
        <v>115.38583847938649</v>
      </c>
      <c r="AV1291" s="6">
        <f t="shared" si="1195"/>
        <v>115.76782261590003</v>
      </c>
      <c r="AW1291" s="58">
        <f t="shared" si="1201"/>
        <v>1993</v>
      </c>
      <c r="AX1291" s="58">
        <f>COUNTIF(AW$3:AW1291,AW1291)</f>
        <v>4</v>
      </c>
    </row>
    <row r="1292" spans="1:50" x14ac:dyDescent="0.25">
      <c r="A1292" s="5">
        <v>34301</v>
      </c>
      <c r="B1292">
        <v>463.06</v>
      </c>
      <c r="C1292">
        <v>3.12</v>
      </c>
      <c r="D1292" s="6">
        <v>15.03</v>
      </c>
      <c r="E1292" s="18">
        <f t="shared" si="1178"/>
        <v>14.44</v>
      </c>
      <c r="F1292">
        <f t="shared" si="1179"/>
        <v>1</v>
      </c>
      <c r="G1292" s="18">
        <f>ROUND(INDEX(Valuation!U:U,MATCH(A1292,Valuation!A:A,0)),2)</f>
        <v>256.82</v>
      </c>
      <c r="H1292">
        <f t="shared" si="1186"/>
        <v>3</v>
      </c>
      <c r="I1292" s="18">
        <f>INDEX(WeeklyIndicators!Y:Y,MATCH(A1292,WeeklyIndicators!A:A,0))</f>
        <v>108.23</v>
      </c>
      <c r="J1292">
        <f t="shared" si="1175"/>
        <v>-1</v>
      </c>
      <c r="K1292">
        <f>ROUND(INDEX(Economic!AF:AF,MATCH(EOMONTH($A1292,-1),Economic!A:A,0)),2)</f>
        <v>100.32</v>
      </c>
      <c r="L1292" s="11">
        <f t="shared" si="1184"/>
        <v>0</v>
      </c>
      <c r="M1292">
        <f>ROUND(INDEX(Manufacturing!P:P,MATCH(EOMONTH($A1292,-1),Manufacturing!A:A,0)),2)</f>
        <v>89.22</v>
      </c>
      <c r="N1292">
        <f t="shared" si="1180"/>
        <v>0</v>
      </c>
      <c r="O1292">
        <f>ROUND(INDEX(Housing!AC:AC,MATCH(EOMONTH($A1292,-1),Housing!B:B,0)),2)</f>
        <v>87.53</v>
      </c>
      <c r="P1292">
        <f t="shared" si="1181"/>
        <v>-1</v>
      </c>
      <c r="Q1292">
        <f>ROUND(INDEX(Spending!AJ:AJ,MATCH(EOMONTH($A1292,-1),Spending!B:B,0)),2)</f>
        <v>61.48</v>
      </c>
      <c r="R1292">
        <f t="shared" si="1185"/>
        <v>2</v>
      </c>
      <c r="S1292">
        <f>ROUND(INDEX(Employment!V:V,MATCH(EOMONTH($A1292,-1),Employment!A:A,0)),2)</f>
        <v>170.17</v>
      </c>
      <c r="T1292" s="11">
        <f t="shared" si="1182"/>
        <v>1</v>
      </c>
      <c r="U1292">
        <f t="shared" si="1210"/>
        <v>25</v>
      </c>
      <c r="V1292">
        <f t="shared" si="1202"/>
        <v>69.150000000000006</v>
      </c>
      <c r="W1292" s="13">
        <f t="shared" si="1203"/>
        <v>1.6999999999999999E-3</v>
      </c>
      <c r="X1292" s="13">
        <f t="shared" si="1204"/>
        <v>-4.3999999999999994E-3</v>
      </c>
      <c r="Y1292">
        <f t="shared" si="1196"/>
        <v>87.04</v>
      </c>
      <c r="Z1292" s="13">
        <f t="shared" si="1191"/>
        <v>-1.6000000000000001E-3</v>
      </c>
      <c r="AA1292" s="13">
        <f t="shared" si="1187"/>
        <v>-4.4000000000000003E-3</v>
      </c>
      <c r="AB1292" s="6">
        <f t="shared" si="1197"/>
        <v>107.19200000000001</v>
      </c>
      <c r="AC1292">
        <f t="shared" si="1189"/>
        <v>54</v>
      </c>
      <c r="AD1292" s="11">
        <f t="shared" si="1190"/>
        <v>2</v>
      </c>
      <c r="AE1292">
        <f t="shared" si="1188"/>
        <v>29</v>
      </c>
      <c r="AF1292">
        <f>IF(AND(AE1292&lt;15,OR(AC1292&gt;=30,AA1292&gt;0.15,X1292&gt;=0.15)),2,VLOOKUP(AE1292,Table!P:Q,2,FALSE))</f>
        <v>4</v>
      </c>
      <c r="AG1292" s="22">
        <f>IF((AB1292*0.98)-(D1292*0.8)+((AF1292-3)*3)+VLOOKUP(AM1292,Table!$A$11:$B$13,2,FALSE)&lt;0,0,(AB1292*0.98)-(D1292*0.8)+((AF1292-3)*3)+VLOOKUP(AM1292,Table!$A$11:$B$13,2,FALSE))</f>
        <v>104.02416000000001</v>
      </c>
      <c r="AH1292" s="22">
        <f t="shared" si="1183"/>
        <v>100</v>
      </c>
      <c r="AI1292" s="18">
        <f t="shared" si="1176"/>
        <v>3.02</v>
      </c>
      <c r="AJ1292" s="18">
        <f t="shared" si="1177"/>
        <v>3</v>
      </c>
      <c r="AK1292" t="str">
        <f t="shared" si="1198"/>
        <v/>
      </c>
      <c r="AL1292">
        <f t="shared" si="1209"/>
        <v>29.75</v>
      </c>
      <c r="AM1292" s="11" t="str">
        <f t="shared" si="1199"/>
        <v>Stocks</v>
      </c>
      <c r="AN1292" t="str">
        <f t="shared" si="1205"/>
        <v>Buy</v>
      </c>
      <c r="AO1292" s="13">
        <f t="shared" si="1206"/>
        <v>4.0000000000000001E-3</v>
      </c>
      <c r="AP1292" s="13">
        <f t="shared" si="1207"/>
        <v>5.9999999999999995E-4</v>
      </c>
      <c r="AQ1292" s="13">
        <f t="shared" si="1208"/>
        <v>4.0000000000000001E-3</v>
      </c>
      <c r="AR1292" s="13">
        <f t="shared" si="1200"/>
        <v>4.0000000000000001E-3</v>
      </c>
      <c r="AS1292" s="6">
        <f t="shared" si="1192"/>
        <v>115.30659623097613</v>
      </c>
      <c r="AT1292" s="6">
        <f t="shared" si="1193"/>
        <v>105.4096246817759</v>
      </c>
      <c r="AU1292" s="6">
        <f t="shared" si="1194"/>
        <v>114.92613394361204</v>
      </c>
      <c r="AV1292" s="6">
        <f t="shared" si="1195"/>
        <v>115.30659623097613</v>
      </c>
      <c r="AW1292" s="58">
        <f t="shared" si="1201"/>
        <v>1993</v>
      </c>
      <c r="AX1292" s="58">
        <f>COUNTIF(AW$3:AW1292,AW1292)</f>
        <v>5</v>
      </c>
    </row>
    <row r="1293" spans="1:50" x14ac:dyDescent="0.25">
      <c r="A1293" s="5">
        <v>34294</v>
      </c>
      <c r="B1293">
        <v>462.6</v>
      </c>
      <c r="C1293">
        <v>3.11</v>
      </c>
      <c r="D1293" s="6">
        <v>13.33</v>
      </c>
      <c r="E1293" s="18">
        <f t="shared" si="1178"/>
        <v>13.25</v>
      </c>
      <c r="F1293">
        <f t="shared" si="1179"/>
        <v>2</v>
      </c>
      <c r="G1293" s="18">
        <f>ROUND(INDEX(Valuation!U:U,MATCH(A1293,Valuation!A:A,0)),2)</f>
        <v>255.81</v>
      </c>
      <c r="H1293">
        <f t="shared" si="1186"/>
        <v>3</v>
      </c>
      <c r="I1293" s="18">
        <f>INDEX(WeeklyIndicators!Y:Y,MATCH(A1293,WeeklyIndicators!A:A,0))</f>
        <v>101.72</v>
      </c>
      <c r="J1293">
        <f t="shared" si="1175"/>
        <v>-1</v>
      </c>
      <c r="K1293">
        <f>ROUND(INDEX(Economic!AF:AF,MATCH(EOMONTH($A1293,-1),Economic!A:A,0)),2)</f>
        <v>100.32</v>
      </c>
      <c r="L1293" s="11">
        <f t="shared" si="1184"/>
        <v>0</v>
      </c>
      <c r="M1293">
        <f>ROUND(INDEX(Manufacturing!P:P,MATCH(EOMONTH($A1293,-1),Manufacturing!A:A,0)),2)</f>
        <v>89.22</v>
      </c>
      <c r="N1293">
        <f t="shared" si="1180"/>
        <v>0</v>
      </c>
      <c r="O1293">
        <f>ROUND(INDEX(Housing!AC:AC,MATCH(EOMONTH($A1293,-1),Housing!B:B,0)),2)</f>
        <v>87.53</v>
      </c>
      <c r="P1293">
        <f t="shared" si="1181"/>
        <v>-1</v>
      </c>
      <c r="Q1293">
        <f>ROUND(INDEX(Spending!AJ:AJ,MATCH(EOMONTH($A1293,-1),Spending!B:B,0)),2)</f>
        <v>61.48</v>
      </c>
      <c r="R1293">
        <f t="shared" si="1185"/>
        <v>2</v>
      </c>
      <c r="S1293">
        <f>ROUND(INDEX(Employment!V:V,MATCH(EOMONTH($A1293,-1),Employment!A:A,0)),2)</f>
        <v>170.17</v>
      </c>
      <c r="T1293" s="11">
        <f t="shared" si="1182"/>
        <v>1</v>
      </c>
      <c r="U1293">
        <f t="shared" si="1210"/>
        <v>26</v>
      </c>
      <c r="V1293">
        <f t="shared" si="1202"/>
        <v>68.47</v>
      </c>
      <c r="W1293" s="13">
        <f t="shared" si="1203"/>
        <v>2.5999999999999999E-3</v>
      </c>
      <c r="X1293" s="13">
        <f t="shared" si="1204"/>
        <v>-1.77E-2</v>
      </c>
      <c r="Y1293">
        <f t="shared" si="1196"/>
        <v>86.66</v>
      </c>
      <c r="Z1293" s="13">
        <f t="shared" si="1191"/>
        <v>1.1999999999999999E-3</v>
      </c>
      <c r="AA1293" s="13">
        <f t="shared" si="1187"/>
        <v>-1.06E-2</v>
      </c>
      <c r="AB1293" s="6">
        <f t="shared" si="1197"/>
        <v>106.14100000000001</v>
      </c>
      <c r="AC1293">
        <f t="shared" si="1189"/>
        <v>53</v>
      </c>
      <c r="AD1293" s="11">
        <f t="shared" si="1190"/>
        <v>2</v>
      </c>
      <c r="AE1293">
        <f t="shared" si="1188"/>
        <v>30</v>
      </c>
      <c r="AF1293">
        <f>IF(AND(AE1293&lt;15,OR(AC1293&gt;=30,AA1293&gt;0.15,X1293&gt;=0.15)),2,VLOOKUP(AE1293,Table!P:Q,2,FALSE))</f>
        <v>4</v>
      </c>
      <c r="AG1293" s="22">
        <f>IF((AB1293*0.98)-(D1293*0.8)+((AF1293-3)*3)+VLOOKUP(AM1293,Table!$A$11:$B$13,2,FALSE)&lt;0,0,(AB1293*0.98)-(D1293*0.8)+((AF1293-3)*3)+VLOOKUP(AM1293,Table!$A$11:$B$13,2,FALSE))</f>
        <v>104.35418</v>
      </c>
      <c r="AH1293" s="22">
        <f t="shared" si="1183"/>
        <v>100</v>
      </c>
      <c r="AI1293" s="18">
        <f t="shared" si="1176"/>
        <v>3.01</v>
      </c>
      <c r="AJ1293" s="18">
        <f t="shared" si="1177"/>
        <v>2.99</v>
      </c>
      <c r="AK1293" t="str">
        <f t="shared" si="1198"/>
        <v/>
      </c>
      <c r="AL1293">
        <f t="shared" si="1209"/>
        <v>29.5</v>
      </c>
      <c r="AM1293" s="11" t="str">
        <f t="shared" si="1199"/>
        <v>Stocks</v>
      </c>
      <c r="AN1293" t="str">
        <f t="shared" si="1205"/>
        <v>Buy</v>
      </c>
      <c r="AO1293" s="13">
        <f t="shared" si="1206"/>
        <v>1E-3</v>
      </c>
      <c r="AP1293" s="13">
        <f t="shared" si="1207"/>
        <v>5.9999999999999995E-4</v>
      </c>
      <c r="AQ1293" s="13">
        <f t="shared" si="1208"/>
        <v>1E-3</v>
      </c>
      <c r="AR1293" s="13">
        <f t="shared" si="1200"/>
        <v>1E-3</v>
      </c>
      <c r="AS1293" s="6">
        <f t="shared" si="1192"/>
        <v>115.19140482614999</v>
      </c>
      <c r="AT1293" s="6">
        <f t="shared" si="1193"/>
        <v>105.34641683167689</v>
      </c>
      <c r="AU1293" s="6">
        <f t="shared" si="1194"/>
        <v>114.81132262099106</v>
      </c>
      <c r="AV1293" s="6">
        <f t="shared" si="1195"/>
        <v>115.19140482614999</v>
      </c>
      <c r="AW1293" s="58">
        <f t="shared" si="1201"/>
        <v>1993</v>
      </c>
      <c r="AX1293" s="58">
        <f>COUNTIF(AW$3:AW1293,AW1293)</f>
        <v>6</v>
      </c>
    </row>
    <row r="1294" spans="1:50" x14ac:dyDescent="0.25">
      <c r="A1294" s="5">
        <v>34287</v>
      </c>
      <c r="B1294">
        <v>465.39</v>
      </c>
      <c r="C1294">
        <v>3.1</v>
      </c>
      <c r="D1294" s="6">
        <v>14.97</v>
      </c>
      <c r="E1294" s="18">
        <f t="shared" si="1178"/>
        <v>12.64</v>
      </c>
      <c r="F1294">
        <f t="shared" si="1179"/>
        <v>2</v>
      </c>
      <c r="G1294" s="18">
        <f>ROUND(INDEX(Valuation!U:U,MATCH(A1294,Valuation!A:A,0)),2)</f>
        <v>255.35</v>
      </c>
      <c r="H1294">
        <f t="shared" si="1186"/>
        <v>3</v>
      </c>
      <c r="I1294" s="18">
        <f>INDEX(WeeklyIndicators!Y:Y,MATCH(A1294,WeeklyIndicators!A:A,0))</f>
        <v>100.48</v>
      </c>
      <c r="J1294">
        <f t="shared" si="1175"/>
        <v>-1</v>
      </c>
      <c r="K1294">
        <f>ROUND(INDEX(Economic!AF:AF,MATCH(EOMONTH($A1294,-1),Economic!A:A,0)),2)</f>
        <v>100.32</v>
      </c>
      <c r="L1294" s="11">
        <f t="shared" si="1184"/>
        <v>0</v>
      </c>
      <c r="M1294">
        <f>ROUND(INDEX(Manufacturing!P:P,MATCH(EOMONTH($A1294,-1),Manufacturing!A:A,0)),2)</f>
        <v>89.22</v>
      </c>
      <c r="N1294">
        <f t="shared" si="1180"/>
        <v>0</v>
      </c>
      <c r="O1294">
        <f>ROUND(INDEX(Housing!AC:AC,MATCH(EOMONTH($A1294,-1),Housing!B:B,0)),2)</f>
        <v>87.53</v>
      </c>
      <c r="P1294">
        <f t="shared" si="1181"/>
        <v>-1</v>
      </c>
      <c r="Q1294">
        <f>ROUND(INDEX(Spending!AJ:AJ,MATCH(EOMONTH($A1294,-1),Spending!B:B,0)),2)</f>
        <v>61.48</v>
      </c>
      <c r="R1294">
        <f t="shared" si="1185"/>
        <v>2</v>
      </c>
      <c r="S1294">
        <f>ROUND(INDEX(Employment!V:V,MATCH(EOMONTH($A1294,-1),Employment!A:A,0)),2)</f>
        <v>170.17</v>
      </c>
      <c r="T1294" s="11">
        <f t="shared" si="1182"/>
        <v>1</v>
      </c>
      <c r="U1294">
        <f t="shared" si="1210"/>
        <v>26</v>
      </c>
      <c r="V1294">
        <f t="shared" si="1202"/>
        <v>68.34</v>
      </c>
      <c r="W1294" s="13">
        <f t="shared" si="1203"/>
        <v>-3.2000000000000002E-3</v>
      </c>
      <c r="X1294" s="13">
        <f t="shared" si="1204"/>
        <v>-2.4899999999999999E-2</v>
      </c>
      <c r="Y1294">
        <f t="shared" si="1196"/>
        <v>86.7</v>
      </c>
      <c r="Z1294" s="13">
        <f t="shared" si="1191"/>
        <v>-2.0999999999999999E-3</v>
      </c>
      <c r="AA1294" s="13">
        <f t="shared" si="1187"/>
        <v>-1.6E-2</v>
      </c>
      <c r="AB1294" s="6">
        <f t="shared" si="1197"/>
        <v>105.69499999999999</v>
      </c>
      <c r="AC1294">
        <f t="shared" si="1189"/>
        <v>53</v>
      </c>
      <c r="AD1294" s="11">
        <f t="shared" si="1190"/>
        <v>2</v>
      </c>
      <c r="AE1294">
        <f t="shared" si="1188"/>
        <v>30</v>
      </c>
      <c r="AF1294">
        <f>IF(AND(AE1294&lt;15,OR(AC1294&gt;=30,AA1294&gt;0.15,X1294&gt;=0.15)),2,VLOOKUP(AE1294,Table!P:Q,2,FALSE))</f>
        <v>4</v>
      </c>
      <c r="AG1294" s="22">
        <f>IF((AB1294*0.98)-(D1294*0.8)+((AF1294-3)*3)+VLOOKUP(AM1294,Table!$A$11:$B$13,2,FALSE)&lt;0,0,(AB1294*0.98)-(D1294*0.8)+((AF1294-3)*3)+VLOOKUP(AM1294,Table!$A$11:$B$13,2,FALSE))</f>
        <v>102.60509999999999</v>
      </c>
      <c r="AH1294" s="22">
        <f t="shared" si="1183"/>
        <v>100</v>
      </c>
      <c r="AI1294" s="18">
        <f t="shared" si="1176"/>
        <v>3</v>
      </c>
      <c r="AJ1294" s="18">
        <f t="shared" si="1177"/>
        <v>2.99</v>
      </c>
      <c r="AK1294" t="str">
        <f t="shared" si="1198"/>
        <v/>
      </c>
      <c r="AL1294">
        <f t="shared" si="1209"/>
        <v>29.25</v>
      </c>
      <c r="AM1294" s="11" t="str">
        <f t="shared" si="1199"/>
        <v>Stocks</v>
      </c>
      <c r="AN1294" t="str">
        <f t="shared" si="1205"/>
        <v>Buy</v>
      </c>
      <c r="AO1294" s="13">
        <f t="shared" si="1206"/>
        <v>-6.0000000000000001E-3</v>
      </c>
      <c r="AP1294" s="13">
        <f t="shared" si="1207"/>
        <v>5.9999999999999995E-4</v>
      </c>
      <c r="AQ1294" s="13">
        <f t="shared" si="1208"/>
        <v>-6.0000000000000001E-3</v>
      </c>
      <c r="AR1294" s="13">
        <f t="shared" si="1200"/>
        <v>-6.0000000000000001E-3</v>
      </c>
      <c r="AS1294" s="6">
        <f t="shared" si="1192"/>
        <v>115.88672517721326</v>
      </c>
      <c r="AT1294" s="6">
        <f t="shared" si="1193"/>
        <v>105.28324688354677</v>
      </c>
      <c r="AU1294" s="6">
        <f t="shared" si="1194"/>
        <v>115.50434871327069</v>
      </c>
      <c r="AV1294" s="6">
        <f t="shared" si="1195"/>
        <v>115.88672517721326</v>
      </c>
      <c r="AW1294" s="58">
        <f t="shared" si="1201"/>
        <v>1993</v>
      </c>
      <c r="AX1294" s="58">
        <f>COUNTIF(AW$3:AW1294,AW1294)</f>
        <v>7</v>
      </c>
    </row>
    <row r="1295" spans="1:50" x14ac:dyDescent="0.25">
      <c r="A1295" s="5">
        <v>34280</v>
      </c>
      <c r="B1295">
        <v>459.57</v>
      </c>
      <c r="C1295">
        <v>3.08</v>
      </c>
      <c r="D1295" s="6">
        <v>11.46</v>
      </c>
      <c r="E1295" s="18">
        <f t="shared" si="1178"/>
        <v>11.27</v>
      </c>
      <c r="F1295">
        <f t="shared" si="1179"/>
        <v>2</v>
      </c>
      <c r="G1295" s="18">
        <f>ROUND(INDEX(Valuation!U:U,MATCH(A1295,Valuation!A:A,0)),2)</f>
        <v>253.87</v>
      </c>
      <c r="H1295">
        <f t="shared" si="1186"/>
        <v>3</v>
      </c>
      <c r="I1295" s="18">
        <f>INDEX(WeeklyIndicators!Y:Y,MATCH(A1295,WeeklyIndicators!A:A,0))</f>
        <v>104.94</v>
      </c>
      <c r="J1295">
        <f t="shared" ref="J1295:J1358" si="1211">IF(I1295&gt;170,3,IF(AND(I1295&gt;152,I1295&lt;=170),2,IF(AND(I1295&gt;135,I1295&lt;=152),1,IF(I1295&lt;60,-3,IF(AND(I1295&lt;95,I1295&gt;=60),-2,IF(AND(I1295&lt;120,I1295&gt;=95),-1,0))))))</f>
        <v>-1</v>
      </c>
      <c r="K1295">
        <f>ROUND(INDEX(Economic!AF:AF,MATCH(EOMONTH($A1295,-1),Economic!A:A,0)),2)</f>
        <v>100.32</v>
      </c>
      <c r="L1295" s="11">
        <f t="shared" si="1184"/>
        <v>0</v>
      </c>
      <c r="M1295">
        <f>ROUND(INDEX(Manufacturing!P:P,MATCH(EOMONTH($A1295,-1),Manufacturing!A:A,0)),2)</f>
        <v>89.22</v>
      </c>
      <c r="N1295">
        <f t="shared" si="1180"/>
        <v>0</v>
      </c>
      <c r="O1295">
        <f>ROUND(INDEX(Housing!AC:AC,MATCH(EOMONTH($A1295,-1),Housing!B:B,0)),2)</f>
        <v>87.53</v>
      </c>
      <c r="P1295">
        <f t="shared" si="1181"/>
        <v>-1</v>
      </c>
      <c r="Q1295">
        <f>ROUND(INDEX(Spending!AJ:AJ,MATCH(EOMONTH($A1295,-1),Spending!B:B,0)),2)</f>
        <v>61.48</v>
      </c>
      <c r="R1295">
        <f t="shared" si="1185"/>
        <v>2</v>
      </c>
      <c r="S1295">
        <f>ROUND(INDEX(Employment!V:V,MATCH(EOMONTH($A1295,-1),Employment!A:A,0)),2)</f>
        <v>170.17</v>
      </c>
      <c r="T1295" s="11">
        <f t="shared" si="1182"/>
        <v>1</v>
      </c>
      <c r="U1295">
        <f t="shared" si="1210"/>
        <v>26</v>
      </c>
      <c r="V1295">
        <f t="shared" si="1202"/>
        <v>68.81</v>
      </c>
      <c r="W1295" s="13">
        <f t="shared" si="1203"/>
        <v>-5.4999999999999997E-3</v>
      </c>
      <c r="X1295" s="13">
        <f t="shared" si="1204"/>
        <v>-1.3199999999999996E-2</v>
      </c>
      <c r="Y1295">
        <f t="shared" si="1196"/>
        <v>87.47</v>
      </c>
      <c r="Z1295" s="13">
        <f t="shared" si="1191"/>
        <v>-1.9E-3</v>
      </c>
      <c r="AA1295" s="13">
        <f t="shared" si="1187"/>
        <v>-1.0499999999999999E-2</v>
      </c>
      <c r="AB1295" s="6">
        <f t="shared" si="1197"/>
        <v>106.81700000000001</v>
      </c>
      <c r="AC1295">
        <f t="shared" si="1189"/>
        <v>53</v>
      </c>
      <c r="AD1295" s="11">
        <f t="shared" si="1190"/>
        <v>2</v>
      </c>
      <c r="AE1295">
        <f t="shared" si="1188"/>
        <v>30</v>
      </c>
      <c r="AF1295">
        <f>IF(AND(AE1295&lt;15,OR(AC1295&gt;=30,AA1295&gt;0.15,X1295&gt;=0.15)),2,VLOOKUP(AE1295,Table!P:Q,2,FALSE))</f>
        <v>4</v>
      </c>
      <c r="AG1295" s="22">
        <f>IF((AB1295*0.98)-(D1295*0.8)+((AF1295-3)*3)+VLOOKUP(AM1295,Table!$A$11:$B$13,2,FALSE)&lt;0,0,(AB1295*0.98)-(D1295*0.8)+((AF1295-3)*3)+VLOOKUP(AM1295,Table!$A$11:$B$13,2,FALSE))</f>
        <v>106.51266</v>
      </c>
      <c r="AH1295" s="22">
        <f t="shared" si="1183"/>
        <v>100</v>
      </c>
      <c r="AI1295" s="18">
        <f t="shared" ref="AI1295:AI1358" si="1212">ROUND(AVERAGE(C1295:C1307),2)</f>
        <v>3</v>
      </c>
      <c r="AJ1295" s="18">
        <f t="shared" ref="AJ1295:AJ1358" si="1213">ROUND(AVERAGE(C1295:C1333),2)</f>
        <v>2.98</v>
      </c>
      <c r="AK1295" t="str">
        <f t="shared" si="1198"/>
        <v/>
      </c>
      <c r="AL1295">
        <f t="shared" si="1209"/>
        <v>29</v>
      </c>
      <c r="AM1295" s="11" t="str">
        <f t="shared" si="1199"/>
        <v>Stocks</v>
      </c>
      <c r="AN1295" t="str">
        <f t="shared" si="1205"/>
        <v>Buy</v>
      </c>
      <c r="AO1295" s="13">
        <f t="shared" si="1206"/>
        <v>1.2699999999999999E-2</v>
      </c>
      <c r="AP1295" s="13">
        <f t="shared" si="1207"/>
        <v>5.9999999999999995E-4</v>
      </c>
      <c r="AQ1295" s="13">
        <f t="shared" si="1208"/>
        <v>1.2699999999999999E-2</v>
      </c>
      <c r="AR1295" s="13">
        <f t="shared" si="1200"/>
        <v>1.2699999999999999E-2</v>
      </c>
      <c r="AS1295" s="6">
        <f t="shared" si="1192"/>
        <v>114.43342073389283</v>
      </c>
      <c r="AT1295" s="6">
        <f t="shared" si="1193"/>
        <v>105.22011481465798</v>
      </c>
      <c r="AU1295" s="6">
        <f t="shared" si="1194"/>
        <v>114.05583955097333</v>
      </c>
      <c r="AV1295" s="6">
        <f t="shared" si="1195"/>
        <v>114.43342073389283</v>
      </c>
      <c r="AW1295" s="58">
        <f t="shared" si="1201"/>
        <v>1993</v>
      </c>
      <c r="AX1295" s="58">
        <f>COUNTIF(AW$3:AW1295,AW1295)</f>
        <v>8</v>
      </c>
    </row>
    <row r="1296" spans="1:50" x14ac:dyDescent="0.25">
      <c r="A1296" s="5">
        <v>34273</v>
      </c>
      <c r="B1296">
        <v>467.83</v>
      </c>
      <c r="C1296">
        <v>3.06</v>
      </c>
      <c r="D1296" s="6">
        <v>11.48</v>
      </c>
      <c r="E1296" s="18">
        <f t="shared" si="1178"/>
        <v>11.46</v>
      </c>
      <c r="F1296">
        <f t="shared" si="1179"/>
        <v>2</v>
      </c>
      <c r="G1296" s="18">
        <f>ROUND(INDEX(Valuation!U:U,MATCH(A1296,Valuation!A:A,0)),2)</f>
        <v>252.25</v>
      </c>
      <c r="H1296">
        <f t="shared" si="1186"/>
        <v>3</v>
      </c>
      <c r="I1296" s="18">
        <f>INDEX(WeeklyIndicators!Y:Y,MATCH(A1296,WeeklyIndicators!A:A,0))</f>
        <v>113.29</v>
      </c>
      <c r="J1296">
        <f t="shared" si="1211"/>
        <v>-1</v>
      </c>
      <c r="K1296">
        <f>ROUND(INDEX(Economic!AF:AF,MATCH(EOMONTH($A1296,-1),Economic!A:A,0)),2)</f>
        <v>93.64</v>
      </c>
      <c r="L1296" s="11">
        <f t="shared" si="1184"/>
        <v>-1</v>
      </c>
      <c r="M1296">
        <f>ROUND(INDEX(Manufacturing!P:P,MATCH(EOMONTH($A1296,-1),Manufacturing!A:A,0)),2)</f>
        <v>86.57</v>
      </c>
      <c r="N1296">
        <f t="shared" si="1180"/>
        <v>0</v>
      </c>
      <c r="O1296">
        <f>ROUND(INDEX(Housing!AC:AC,MATCH(EOMONTH($A1296,-1),Housing!B:B,0)),2)</f>
        <v>85.79</v>
      </c>
      <c r="P1296">
        <f t="shared" si="1181"/>
        <v>-1</v>
      </c>
      <c r="Q1296">
        <f>ROUND(INDEX(Spending!AJ:AJ,MATCH(EOMONTH($A1296,-1),Spending!B:B,0)),2)</f>
        <v>59.7</v>
      </c>
      <c r="R1296">
        <f t="shared" si="1185"/>
        <v>1</v>
      </c>
      <c r="S1296">
        <f>ROUND(INDEX(Employment!V:V,MATCH(EOMONTH($A1296,-1),Employment!A:A,0)),2)</f>
        <v>168.33</v>
      </c>
      <c r="T1296" s="11">
        <f t="shared" si="1182"/>
        <v>1</v>
      </c>
      <c r="U1296">
        <f t="shared" si="1210"/>
        <v>24</v>
      </c>
      <c r="V1296">
        <f t="shared" si="1202"/>
        <v>67.94</v>
      </c>
      <c r="W1296" s="13">
        <f t="shared" si="1203"/>
        <v>-1.1599999999999999E-2</v>
      </c>
      <c r="X1296" s="13">
        <f t="shared" si="1204"/>
        <v>6.7000000000000011E-3</v>
      </c>
      <c r="Y1296">
        <f t="shared" si="1196"/>
        <v>86.36</v>
      </c>
      <c r="Z1296" s="13">
        <f t="shared" si="1191"/>
        <v>-7.7999999999999996E-3</v>
      </c>
      <c r="AA1296" s="13">
        <f t="shared" si="1187"/>
        <v>-1E-3</v>
      </c>
      <c r="AB1296" s="6">
        <f t="shared" si="1197"/>
        <v>106.345</v>
      </c>
      <c r="AC1296">
        <f t="shared" si="1189"/>
        <v>53</v>
      </c>
      <c r="AD1296" s="11">
        <f t="shared" si="1190"/>
        <v>2</v>
      </c>
      <c r="AE1296">
        <f t="shared" si="1188"/>
        <v>28</v>
      </c>
      <c r="AF1296">
        <f>IF(AND(AE1296&lt;15,OR(AC1296&gt;=30,AA1296&gt;0.15,X1296&gt;=0.15)),2,VLOOKUP(AE1296,Table!P:Q,2,FALSE))</f>
        <v>4</v>
      </c>
      <c r="AG1296" s="22">
        <f>IF((AB1296*0.98)-(D1296*0.8)+((AF1296-3)*3)+VLOOKUP(AM1296,Table!$A$11:$B$13,2,FALSE)&lt;0,0,(AB1296*0.98)-(D1296*0.8)+((AF1296-3)*3)+VLOOKUP(AM1296,Table!$A$11:$B$13,2,FALSE))</f>
        <v>106.0341</v>
      </c>
      <c r="AH1296" s="22">
        <f t="shared" si="1183"/>
        <v>100</v>
      </c>
      <c r="AI1296" s="18">
        <f t="shared" si="1212"/>
        <v>2.99</v>
      </c>
      <c r="AJ1296" s="18">
        <f t="shared" si="1213"/>
        <v>2.98</v>
      </c>
      <c r="AK1296" t="str">
        <f t="shared" si="1198"/>
        <v/>
      </c>
      <c r="AL1296">
        <f t="shared" si="1209"/>
        <v>29</v>
      </c>
      <c r="AM1296" s="11" t="str">
        <f t="shared" si="1199"/>
        <v>Stocks</v>
      </c>
      <c r="AN1296" t="str">
        <f t="shared" si="1205"/>
        <v>Buy</v>
      </c>
      <c r="AO1296" s="13">
        <f t="shared" si="1206"/>
        <v>-1.77E-2</v>
      </c>
      <c r="AP1296" s="13">
        <f t="shared" si="1207"/>
        <v>5.9999999999999995E-4</v>
      </c>
      <c r="AQ1296" s="13">
        <f t="shared" si="1208"/>
        <v>-1.77E-2</v>
      </c>
      <c r="AR1296" s="13">
        <f t="shared" si="1200"/>
        <v>-1.77E-2</v>
      </c>
      <c r="AS1296" s="6">
        <f t="shared" si="1192"/>
        <v>116.49538912134057</v>
      </c>
      <c r="AT1296" s="6">
        <f t="shared" si="1193"/>
        <v>105.1570206022966</v>
      </c>
      <c r="AU1296" s="6">
        <f t="shared" si="1194"/>
        <v>116.11100432757135</v>
      </c>
      <c r="AV1296" s="6">
        <f t="shared" si="1195"/>
        <v>116.49538912134057</v>
      </c>
      <c r="AW1296" s="58">
        <f t="shared" si="1201"/>
        <v>1993</v>
      </c>
      <c r="AX1296" s="58">
        <f>COUNTIF(AW$3:AW1296,AW1296)</f>
        <v>9</v>
      </c>
    </row>
    <row r="1297" spans="1:50" x14ac:dyDescent="0.25">
      <c r="A1297" s="5">
        <v>34266</v>
      </c>
      <c r="B1297">
        <v>463.27</v>
      </c>
      <c r="C1297">
        <v>3.04</v>
      </c>
      <c r="D1297" s="6">
        <v>10.87</v>
      </c>
      <c r="E1297" s="18">
        <f t="shared" ref="E1297:E1360" si="1214">ROUND(AVERAGE(D1297:D1299),2)</f>
        <v>11.58</v>
      </c>
      <c r="F1297">
        <f t="shared" ref="F1297:F1360" si="1215">IF(E1297&lt;11,3,IF(AND(E1297&lt;14,E1297&gt;=11),2,IF(AND(E1297&lt;16,E1297&gt;=14),1,IF(E1297&gt;35,-3,IF(AND(E1297&gt;25,E1297&lt;=35),-2,IF(AND(E1297&gt;18,E1297&lt;=25),-1,0))))))</f>
        <v>2</v>
      </c>
      <c r="G1297" s="18">
        <f>ROUND(INDEX(Valuation!U:U,MATCH(A1297,Valuation!A:A,0)),2)</f>
        <v>251.16</v>
      </c>
      <c r="H1297">
        <f t="shared" si="1186"/>
        <v>3</v>
      </c>
      <c r="I1297" s="18">
        <f>INDEX(WeeklyIndicators!Y:Y,MATCH(A1297,WeeklyIndicators!A:A,0))</f>
        <v>123.5</v>
      </c>
      <c r="J1297">
        <f t="shared" si="1211"/>
        <v>0</v>
      </c>
      <c r="K1297">
        <f>ROUND(INDEX(Economic!AF:AF,MATCH(EOMONTH($A1297,-1),Economic!A:A,0)),2)</f>
        <v>93.64</v>
      </c>
      <c r="L1297" s="11">
        <f t="shared" si="1184"/>
        <v>-1</v>
      </c>
      <c r="M1297">
        <f>ROUND(INDEX(Manufacturing!P:P,MATCH(EOMONTH($A1297,-1),Manufacturing!A:A,0)),2)</f>
        <v>86.57</v>
      </c>
      <c r="N1297">
        <f t="shared" si="1180"/>
        <v>0</v>
      </c>
      <c r="O1297">
        <f>ROUND(INDEX(Housing!AC:AC,MATCH(EOMONTH($A1297,-1),Housing!B:B,0)),2)</f>
        <v>85.79</v>
      </c>
      <c r="P1297">
        <f t="shared" si="1181"/>
        <v>-1</v>
      </c>
      <c r="Q1297">
        <f>ROUND(INDEX(Spending!AJ:AJ,MATCH(EOMONTH($A1297,-1),Spending!B:B,0)),2)</f>
        <v>59.7</v>
      </c>
      <c r="R1297">
        <f t="shared" si="1185"/>
        <v>1</v>
      </c>
      <c r="S1297">
        <f>ROUND(INDEX(Employment!V:V,MATCH(EOMONTH($A1297,-1),Employment!A:A,0)),2)</f>
        <v>168.33</v>
      </c>
      <c r="T1297" s="11">
        <f t="shared" si="1182"/>
        <v>1</v>
      </c>
      <c r="U1297">
        <f t="shared" si="1210"/>
        <v>25</v>
      </c>
      <c r="V1297">
        <f t="shared" si="1202"/>
        <v>69</v>
      </c>
      <c r="W1297" s="13">
        <f t="shared" si="1203"/>
        <v>-4.5999999999999999E-3</v>
      </c>
      <c r="X1297" s="13">
        <f t="shared" si="1204"/>
        <v>3.1300000000000001E-2</v>
      </c>
      <c r="Y1297">
        <f t="shared" si="1196"/>
        <v>87.25</v>
      </c>
      <c r="Z1297" s="13">
        <f t="shared" si="1191"/>
        <v>-4.1999999999999997E-3</v>
      </c>
      <c r="AA1297" s="13">
        <f t="shared" si="1187"/>
        <v>1.5900000000000001E-2</v>
      </c>
      <c r="AB1297" s="6">
        <f t="shared" si="1197"/>
        <v>108.54600000000001</v>
      </c>
      <c r="AC1297">
        <f t="shared" si="1189"/>
        <v>54</v>
      </c>
      <c r="AD1297" s="11">
        <f t="shared" si="1190"/>
        <v>2</v>
      </c>
      <c r="AE1297">
        <f t="shared" si="1188"/>
        <v>29</v>
      </c>
      <c r="AF1297">
        <f>IF(AND(AE1297&lt;15,OR(AC1297&gt;=30,AA1297&gt;0.15,X1297&gt;=0.15)),2,VLOOKUP(AE1297,Table!P:Q,2,FALSE))</f>
        <v>4</v>
      </c>
      <c r="AG1297" s="22">
        <f>IF((AB1297*0.98)-(D1297*0.8)+((AF1297-3)*3)+VLOOKUP(AM1297,Table!$A$11:$B$13,2,FALSE)&lt;0,0,(AB1297*0.98)-(D1297*0.8)+((AF1297-3)*3)+VLOOKUP(AM1297,Table!$A$11:$B$13,2,FALSE))</f>
        <v>108.67908000000001</v>
      </c>
      <c r="AH1297" s="22">
        <f t="shared" si="1183"/>
        <v>100</v>
      </c>
      <c r="AI1297" s="18">
        <f t="shared" si="1212"/>
        <v>2.99</v>
      </c>
      <c r="AJ1297" s="18">
        <f t="shared" si="1213"/>
        <v>2.98</v>
      </c>
      <c r="AK1297" t="str">
        <f t="shared" si="1198"/>
        <v/>
      </c>
      <c r="AL1297">
        <f t="shared" si="1209"/>
        <v>29.25</v>
      </c>
      <c r="AM1297" s="11" t="str">
        <f t="shared" si="1199"/>
        <v>Stocks</v>
      </c>
      <c r="AN1297" t="str">
        <f t="shared" si="1205"/>
        <v>Buy</v>
      </c>
      <c r="AO1297" s="13">
        <f t="shared" si="1206"/>
        <v>9.7999999999999997E-3</v>
      </c>
      <c r="AP1297" s="13">
        <f t="shared" si="1207"/>
        <v>5.9999999999999995E-4</v>
      </c>
      <c r="AQ1297" s="13">
        <f t="shared" si="1208"/>
        <v>9.7999999999999997E-3</v>
      </c>
      <c r="AR1297" s="13">
        <f t="shared" si="1200"/>
        <v>9.7999999999999997E-3</v>
      </c>
      <c r="AS1297" s="6">
        <f t="shared" si="1192"/>
        <v>115.36481394468267</v>
      </c>
      <c r="AT1297" s="6">
        <f t="shared" si="1193"/>
        <v>105.09396422376234</v>
      </c>
      <c r="AU1297" s="6">
        <f t="shared" si="1194"/>
        <v>114.98415956384567</v>
      </c>
      <c r="AV1297" s="6">
        <f t="shared" si="1195"/>
        <v>115.36481394468267</v>
      </c>
      <c r="AW1297" s="58">
        <f t="shared" si="1201"/>
        <v>1993</v>
      </c>
      <c r="AX1297" s="58">
        <f>COUNTIF(AW$3:AW1297,AW1297)</f>
        <v>10</v>
      </c>
    </row>
    <row r="1298" spans="1:50" x14ac:dyDescent="0.25">
      <c r="A1298" s="5">
        <v>34259</v>
      </c>
      <c r="B1298">
        <v>469.5</v>
      </c>
      <c r="C1298">
        <v>3.02</v>
      </c>
      <c r="D1298" s="6">
        <v>12.04</v>
      </c>
      <c r="E1298" s="18">
        <f t="shared" si="1214"/>
        <v>12.11</v>
      </c>
      <c r="F1298">
        <f t="shared" si="1215"/>
        <v>2</v>
      </c>
      <c r="G1298" s="18">
        <f>ROUND(INDEX(Valuation!U:U,MATCH(A1298,Valuation!A:A,0)),2)</f>
        <v>250.79</v>
      </c>
      <c r="H1298">
        <f t="shared" si="1186"/>
        <v>3</v>
      </c>
      <c r="I1298" s="18">
        <f>INDEX(WeeklyIndicators!Y:Y,MATCH(A1298,WeeklyIndicators!A:A,0))</f>
        <v>132.55000000000001</v>
      </c>
      <c r="J1298">
        <f t="shared" si="1211"/>
        <v>0</v>
      </c>
      <c r="K1298">
        <f>ROUND(INDEX(Economic!AF:AF,MATCH(EOMONTH($A1298,-1),Economic!A:A,0)),2)</f>
        <v>93.64</v>
      </c>
      <c r="L1298" s="11">
        <f t="shared" si="1184"/>
        <v>-1</v>
      </c>
      <c r="M1298">
        <f>ROUND(INDEX(Manufacturing!P:P,MATCH(EOMONTH($A1298,-1),Manufacturing!A:A,0)),2)</f>
        <v>86.57</v>
      </c>
      <c r="N1298">
        <f t="shared" ref="N1298:N1361" si="1216">IF(M1298&gt;108,3,IF(AND(M1298&gt;100,M1298&lt;=108),2,IF(AND(M1298&gt;90,M1298&lt;=100),1,IF(M1298&lt;63,-3,IF(AND(M1298&lt;74,M1298&gt;=63),-2,IF(AND(M1298&lt;84,M1298&gt;=74),-1,0))))))</f>
        <v>0</v>
      </c>
      <c r="O1298">
        <f>ROUND(INDEX(Housing!AC:AC,MATCH(EOMONTH($A1298,-1),Housing!B:B,0)),2)</f>
        <v>85.79</v>
      </c>
      <c r="P1298">
        <f t="shared" ref="P1298:P1361" si="1217">IF(O1298&gt;140,3,IF(AND(O1298&gt;128,O1298&lt;=140),2,IF(AND(O1298&gt;115,O1298&lt;=128),1,IF(O1298&lt;50,-3,IF(AND(O1298&lt;75,O1298&gt;=50),-2,IF(AND(O1298&lt;100,O1298&gt;=75),-1,0))))))</f>
        <v>-1</v>
      </c>
      <c r="Q1298">
        <f>ROUND(INDEX(Spending!AJ:AJ,MATCH(EOMONTH($A1298,-1),Spending!B:B,0)),2)</f>
        <v>59.7</v>
      </c>
      <c r="R1298">
        <f t="shared" si="1185"/>
        <v>1</v>
      </c>
      <c r="S1298">
        <f>ROUND(INDEX(Employment!V:V,MATCH(EOMONTH($A1298,-1),Employment!A:A,0)),2)</f>
        <v>168.33</v>
      </c>
      <c r="T1298" s="11">
        <f t="shared" ref="T1298:T1361" si="1218">IF(S1298&gt;190,3,IF(AND(S1298&gt;175,S1298&lt;=190),2,IF(AND(S1298&gt;160,S1298&lt;=175),1,IF(S1298&lt;120,-3,IF(AND(S1298&lt;140,S1298&gt;=120),-2,IF(AND(S1298&lt;150,S1298&gt;=140),-1,0))))))</f>
        <v>1</v>
      </c>
      <c r="U1298">
        <f t="shared" si="1210"/>
        <v>25</v>
      </c>
      <c r="V1298">
        <f t="shared" si="1202"/>
        <v>69.94</v>
      </c>
      <c r="W1298" s="13">
        <f t="shared" si="1203"/>
        <v>8.5000000000000006E-3</v>
      </c>
      <c r="X1298" s="13">
        <f t="shared" si="1204"/>
        <v>3.7999999999999999E-2</v>
      </c>
      <c r="Y1298">
        <f t="shared" si="1196"/>
        <v>87.97</v>
      </c>
      <c r="Z1298" s="13">
        <f t="shared" si="1191"/>
        <v>3.3999999999999998E-3</v>
      </c>
      <c r="AA1298" s="13">
        <f t="shared" si="1187"/>
        <v>2.4399999999999998E-2</v>
      </c>
      <c r="AB1298" s="6">
        <f t="shared" si="1197"/>
        <v>109.899</v>
      </c>
      <c r="AC1298">
        <f t="shared" si="1189"/>
        <v>55</v>
      </c>
      <c r="AD1298" s="11">
        <f t="shared" si="1190"/>
        <v>2</v>
      </c>
      <c r="AE1298">
        <f t="shared" si="1188"/>
        <v>29</v>
      </c>
      <c r="AF1298">
        <f>IF(AND(AE1298&lt;15,OR(AC1298&gt;=30,AA1298&gt;0.15,X1298&gt;=0.15)),2,VLOOKUP(AE1298,Table!P:Q,2,FALSE))</f>
        <v>4</v>
      </c>
      <c r="AG1298" s="22">
        <f>IF((AB1298*0.98)-(D1298*0.8)+((AF1298-3)*3)+VLOOKUP(AM1298,Table!$A$11:$B$13,2,FALSE)&lt;0,0,(AB1298*0.98)-(D1298*0.8)+((AF1298-3)*3)+VLOOKUP(AM1298,Table!$A$11:$B$13,2,FALSE))</f>
        <v>109.06901999999999</v>
      </c>
      <c r="AH1298" s="22">
        <f t="shared" ref="AH1298:AH1361" si="1219">IF(ROUND(AVERAGE(AG1298:AG1300),0)&lt;0,0,IF(ROUND(AVERAGE(AG1298:AG1300),0)&gt;100,100,ROUND(AVERAGE(AG1298:AG1300),0)))</f>
        <v>100</v>
      </c>
      <c r="AI1298" s="18">
        <f t="shared" si="1212"/>
        <v>3</v>
      </c>
      <c r="AJ1298" s="18">
        <f t="shared" si="1213"/>
        <v>2.97</v>
      </c>
      <c r="AK1298" t="str">
        <f t="shared" si="1198"/>
        <v/>
      </c>
      <c r="AL1298">
        <f t="shared" si="1209"/>
        <v>29.25</v>
      </c>
      <c r="AM1298" s="11" t="str">
        <f t="shared" si="1199"/>
        <v>Stocks</v>
      </c>
      <c r="AN1298" t="str">
        <f t="shared" si="1205"/>
        <v>Buy</v>
      </c>
      <c r="AO1298" s="13">
        <f t="shared" si="1206"/>
        <v>-1.3299999999999999E-2</v>
      </c>
      <c r="AP1298" s="13">
        <f t="shared" si="1207"/>
        <v>5.9999999999999995E-4</v>
      </c>
      <c r="AQ1298" s="13">
        <f t="shared" si="1208"/>
        <v>-1.3299999999999999E-2</v>
      </c>
      <c r="AR1298" s="13">
        <f t="shared" si="1200"/>
        <v>-1.3299999999999999E-2</v>
      </c>
      <c r="AS1298" s="6">
        <f t="shared" si="1192"/>
        <v>116.91984792204588</v>
      </c>
      <c r="AT1298" s="6">
        <f t="shared" si="1193"/>
        <v>105.03094565636853</v>
      </c>
      <c r="AU1298" s="6">
        <f t="shared" si="1194"/>
        <v>116.53406259637748</v>
      </c>
      <c r="AV1298" s="6">
        <f t="shared" si="1195"/>
        <v>116.91984792204588</v>
      </c>
      <c r="AW1298" s="58">
        <f t="shared" si="1201"/>
        <v>1993</v>
      </c>
      <c r="AX1298" s="58">
        <f>COUNTIF(AW$3:AW1298,AW1298)</f>
        <v>11</v>
      </c>
    </row>
    <row r="1299" spans="1:50" x14ac:dyDescent="0.25">
      <c r="A1299" s="5">
        <v>34252</v>
      </c>
      <c r="B1299">
        <v>460.31</v>
      </c>
      <c r="C1299">
        <v>2.97</v>
      </c>
      <c r="D1299" s="6">
        <v>11.83</v>
      </c>
      <c r="E1299" s="18">
        <f t="shared" si="1214"/>
        <v>12.56</v>
      </c>
      <c r="F1299">
        <f t="shared" si="1215"/>
        <v>2</v>
      </c>
      <c r="G1299" s="18">
        <f>ROUND(INDEX(Valuation!U:U,MATCH(A1299,Valuation!A:A,0)),2)</f>
        <v>252.38</v>
      </c>
      <c r="H1299">
        <f t="shared" si="1186"/>
        <v>3</v>
      </c>
      <c r="I1299" s="18">
        <f>INDEX(WeeklyIndicators!Y:Y,MATCH(A1299,WeeklyIndicators!A:A,0))</f>
        <v>136.63999999999999</v>
      </c>
      <c r="J1299">
        <f t="shared" si="1211"/>
        <v>1</v>
      </c>
      <c r="K1299">
        <f>ROUND(INDEX(Economic!AF:AF,MATCH(EOMONTH($A1299,-1),Economic!A:A,0)),2)</f>
        <v>93.64</v>
      </c>
      <c r="L1299" s="11">
        <f t="shared" ref="L1299:L1362" si="1220">IF(K1299&gt;138,3,IF(AND(K1299&gt;125,K1299&lt;=138),2,IF(AND(K1299&gt;111,K1299&lt;=125),1,IF(K1299&lt;50,-3,IF(AND(K1299&lt;80,K1299&gt;=50),-2,IF(AND(K1299&lt;100,K1299&gt;=80),-1,0))))))</f>
        <v>-1</v>
      </c>
      <c r="M1299">
        <f>ROUND(INDEX(Manufacturing!P:P,MATCH(EOMONTH($A1299,-1),Manufacturing!A:A,0)),2)</f>
        <v>86.57</v>
      </c>
      <c r="N1299">
        <f t="shared" si="1216"/>
        <v>0</v>
      </c>
      <c r="O1299">
        <f>ROUND(INDEX(Housing!AC:AC,MATCH(EOMONTH($A1299,-1),Housing!B:B,0)),2)</f>
        <v>85.79</v>
      </c>
      <c r="P1299">
        <f t="shared" si="1217"/>
        <v>-1</v>
      </c>
      <c r="Q1299">
        <f>ROUND(INDEX(Spending!AJ:AJ,MATCH(EOMONTH($A1299,-1),Spending!B:B,0)),2)</f>
        <v>59.7</v>
      </c>
      <c r="R1299">
        <f t="shared" ref="R1299:R1362" si="1221">IF(Q1299&gt;60,2,IF(AND(Q1299&gt;50,Q1299&lt;=60),1,IF(Q1299&lt;30,-2,IF(AND(Q1299&lt;40,Q1299&gt;=30),-1,0))))</f>
        <v>1</v>
      </c>
      <c r="S1299">
        <f>ROUND(INDEX(Employment!V:V,MATCH(EOMONTH($A1299,-1),Employment!A:A,0)),2)</f>
        <v>168.33</v>
      </c>
      <c r="T1299" s="11">
        <f t="shared" si="1218"/>
        <v>1</v>
      </c>
      <c r="U1299">
        <f t="shared" si="1210"/>
        <v>26</v>
      </c>
      <c r="V1299">
        <f t="shared" si="1202"/>
        <v>70.36</v>
      </c>
      <c r="W1299" s="13">
        <f t="shared" si="1203"/>
        <v>1.44E-2</v>
      </c>
      <c r="X1299" s="13">
        <f t="shared" si="1204"/>
        <v>2.0900000000000002E-2</v>
      </c>
      <c r="Y1299">
        <f t="shared" si="1196"/>
        <v>88.41</v>
      </c>
      <c r="Z1299" s="13">
        <f t="shared" si="1191"/>
        <v>7.6E-3</v>
      </c>
      <c r="AA1299" s="13">
        <f t="shared" si="1187"/>
        <v>1.7999999999999999E-2</v>
      </c>
      <c r="AB1299" s="6">
        <f t="shared" si="1197"/>
        <v>109.908</v>
      </c>
      <c r="AC1299">
        <f t="shared" si="1189"/>
        <v>55</v>
      </c>
      <c r="AD1299" s="11">
        <f t="shared" si="1190"/>
        <v>2</v>
      </c>
      <c r="AE1299">
        <f t="shared" si="1188"/>
        <v>30</v>
      </c>
      <c r="AF1299">
        <f>IF(AND(AE1299&lt;15,OR(AC1299&gt;=30,AA1299&gt;0.15,X1299&gt;=0.15)),2,VLOOKUP(AE1299,Table!P:Q,2,FALSE))</f>
        <v>4</v>
      </c>
      <c r="AG1299" s="22">
        <f>IF((AB1299*0.98)-(D1299*0.8)+((AF1299-3)*3)+VLOOKUP(AM1299,Table!$A$11:$B$13,2,FALSE)&lt;0,0,(AB1299*0.98)-(D1299*0.8)+((AF1299-3)*3)+VLOOKUP(AM1299,Table!$A$11:$B$13,2,FALSE))</f>
        <v>109.24584</v>
      </c>
      <c r="AH1299" s="22">
        <f t="shared" si="1219"/>
        <v>100</v>
      </c>
      <c r="AI1299" s="18">
        <f t="shared" si="1212"/>
        <v>3</v>
      </c>
      <c r="AJ1299" s="18">
        <f t="shared" si="1213"/>
        <v>2.97</v>
      </c>
      <c r="AK1299" t="str">
        <f t="shared" si="1198"/>
        <v/>
      </c>
      <c r="AL1299">
        <f t="shared" si="1209"/>
        <v>29</v>
      </c>
      <c r="AM1299" s="11" t="str">
        <f t="shared" si="1199"/>
        <v>Stocks</v>
      </c>
      <c r="AN1299" t="str">
        <f t="shared" si="1205"/>
        <v>Buy</v>
      </c>
      <c r="AO1299" s="13">
        <f t="shared" si="1206"/>
        <v>0.02</v>
      </c>
      <c r="AP1299" s="13">
        <f t="shared" si="1207"/>
        <v>5.9999999999999995E-4</v>
      </c>
      <c r="AQ1299" s="13">
        <f t="shared" si="1208"/>
        <v>0.02</v>
      </c>
      <c r="AR1299" s="13">
        <f t="shared" si="1200"/>
        <v>0.02</v>
      </c>
      <c r="AS1299" s="6">
        <f t="shared" si="1192"/>
        <v>114.6273018843587</v>
      </c>
      <c r="AT1299" s="6">
        <f t="shared" si="1193"/>
        <v>104.96796487744207</v>
      </c>
      <c r="AU1299" s="6">
        <f t="shared" si="1194"/>
        <v>114.24908097684066</v>
      </c>
      <c r="AV1299" s="6">
        <f t="shared" si="1195"/>
        <v>114.6273018843587</v>
      </c>
      <c r="AW1299" s="58">
        <f t="shared" si="1201"/>
        <v>1993</v>
      </c>
      <c r="AX1299" s="58">
        <f>COUNTIF(AW$3:AW1299,AW1299)</f>
        <v>12</v>
      </c>
    </row>
    <row r="1300" spans="1:50" x14ac:dyDescent="0.25">
      <c r="A1300" s="5">
        <v>34245</v>
      </c>
      <c r="B1300">
        <v>461.28</v>
      </c>
      <c r="C1300">
        <v>2.92</v>
      </c>
      <c r="D1300" s="6">
        <v>12.47</v>
      </c>
      <c r="E1300" s="18">
        <f t="shared" si="1214"/>
        <v>12.52</v>
      </c>
      <c r="F1300">
        <f t="shared" si="1215"/>
        <v>2</v>
      </c>
      <c r="G1300" s="18">
        <f>ROUND(INDEX(Valuation!U:U,MATCH(A1300,Valuation!A:A,0)),2)</f>
        <v>255.4</v>
      </c>
      <c r="H1300">
        <f t="shared" si="1186"/>
        <v>3</v>
      </c>
      <c r="I1300" s="18">
        <f>INDEX(WeeklyIndicators!Y:Y,MATCH(A1300,WeeklyIndicators!A:A,0))</f>
        <v>132.9</v>
      </c>
      <c r="J1300">
        <f t="shared" si="1211"/>
        <v>0</v>
      </c>
      <c r="K1300">
        <f>ROUND(INDEX(Economic!AF:AF,MATCH(EOMONTH($A1300,-1),Economic!A:A,0)),2)</f>
        <v>93.64</v>
      </c>
      <c r="L1300" s="11">
        <f t="shared" si="1220"/>
        <v>-1</v>
      </c>
      <c r="M1300">
        <f>ROUND(INDEX(Manufacturing!P:P,MATCH(EOMONTH($A1300,-1),Manufacturing!A:A,0)),2)</f>
        <v>86.57</v>
      </c>
      <c r="N1300">
        <f t="shared" si="1216"/>
        <v>0</v>
      </c>
      <c r="O1300">
        <f>ROUND(INDEX(Housing!AC:AC,MATCH(EOMONTH($A1300,-1),Housing!B:B,0)),2)</f>
        <v>85.79</v>
      </c>
      <c r="P1300">
        <f t="shared" si="1217"/>
        <v>-1</v>
      </c>
      <c r="Q1300">
        <f>ROUND(INDEX(Spending!AJ:AJ,MATCH(EOMONTH($A1300,-1),Spending!B:B,0)),2)</f>
        <v>59.7</v>
      </c>
      <c r="R1300">
        <f t="shared" si="1221"/>
        <v>1</v>
      </c>
      <c r="S1300">
        <f>ROUND(INDEX(Employment!V:V,MATCH(EOMONTH($A1300,-1),Employment!A:A,0)),2)</f>
        <v>168.33</v>
      </c>
      <c r="T1300" s="11">
        <f t="shared" si="1218"/>
        <v>1</v>
      </c>
      <c r="U1300">
        <f t="shared" si="1210"/>
        <v>25</v>
      </c>
      <c r="V1300">
        <f t="shared" si="1202"/>
        <v>69.97</v>
      </c>
      <c r="W1300" s="13">
        <f t="shared" si="1203"/>
        <v>1.2999999999999999E-2</v>
      </c>
      <c r="X1300" s="13">
        <f t="shared" si="1204"/>
        <v>-4.9000000000000016E-3</v>
      </c>
      <c r="Y1300">
        <f t="shared" si="1196"/>
        <v>88.37</v>
      </c>
      <c r="Z1300" s="13">
        <f t="shared" si="1191"/>
        <v>9.1000000000000004E-3</v>
      </c>
      <c r="AA1300" s="13">
        <f t="shared" si="1187"/>
        <v>4.0999999999999995E-3</v>
      </c>
      <c r="AB1300" s="6">
        <f t="shared" si="1197"/>
        <v>108.97000000000001</v>
      </c>
      <c r="AC1300">
        <f t="shared" si="1189"/>
        <v>54</v>
      </c>
      <c r="AD1300" s="11">
        <f t="shared" si="1190"/>
        <v>2</v>
      </c>
      <c r="AE1300">
        <f t="shared" si="1188"/>
        <v>29</v>
      </c>
      <c r="AF1300">
        <f>IF(AND(AE1300&lt;15,OR(AC1300&gt;=30,AA1300&gt;0.15,X1300&gt;=0.15)),2,VLOOKUP(AE1300,Table!P:Q,2,FALSE))</f>
        <v>4</v>
      </c>
      <c r="AG1300" s="22">
        <f>IF((AB1300*0.98)-(D1300*0.8)+((AF1300-3)*3)+VLOOKUP(AM1300,Table!$A$11:$B$13,2,FALSE)&lt;0,0,(AB1300*0.98)-(D1300*0.8)+((AF1300-3)*3)+VLOOKUP(AM1300,Table!$A$11:$B$13,2,FALSE))</f>
        <v>107.81460000000001</v>
      </c>
      <c r="AH1300" s="22">
        <f t="shared" si="1219"/>
        <v>100</v>
      </c>
      <c r="AI1300" s="18">
        <f t="shared" si="1212"/>
        <v>3</v>
      </c>
      <c r="AJ1300" s="18">
        <f t="shared" si="1213"/>
        <v>2.98</v>
      </c>
      <c r="AK1300" t="str">
        <f t="shared" si="1198"/>
        <v/>
      </c>
      <c r="AL1300">
        <f t="shared" si="1209"/>
        <v>28.5</v>
      </c>
      <c r="AM1300" s="11" t="str">
        <f t="shared" si="1199"/>
        <v>Stocks</v>
      </c>
      <c r="AN1300" t="str">
        <f t="shared" si="1205"/>
        <v>Buy</v>
      </c>
      <c r="AO1300" s="13">
        <f t="shared" si="1206"/>
        <v>-2.0999999999999999E-3</v>
      </c>
      <c r="AP1300" s="13">
        <f t="shared" si="1207"/>
        <v>5.9999999999999995E-4</v>
      </c>
      <c r="AQ1300" s="13">
        <f t="shared" si="1208"/>
        <v>-2.0999999999999999E-3</v>
      </c>
      <c r="AR1300" s="13">
        <f t="shared" si="1200"/>
        <v>-2.0999999999999999E-3</v>
      </c>
      <c r="AS1300" s="6">
        <f t="shared" si="1192"/>
        <v>114.86852578851457</v>
      </c>
      <c r="AT1300" s="6">
        <f t="shared" si="1193"/>
        <v>104.90502186432349</v>
      </c>
      <c r="AU1300" s="6">
        <f t="shared" si="1194"/>
        <v>114.48950894562647</v>
      </c>
      <c r="AV1300" s="6">
        <f t="shared" si="1195"/>
        <v>114.86852578851457</v>
      </c>
      <c r="AW1300" s="58">
        <f t="shared" si="1201"/>
        <v>1993</v>
      </c>
      <c r="AX1300" s="58">
        <f>COUNTIF(AW$3:AW1300,AW1300)</f>
        <v>13</v>
      </c>
    </row>
    <row r="1301" spans="1:50" x14ac:dyDescent="0.25">
      <c r="A1301" s="5">
        <v>34238</v>
      </c>
      <c r="B1301">
        <v>457.63</v>
      </c>
      <c r="C1301">
        <v>2.93</v>
      </c>
      <c r="D1301" s="6">
        <v>13.39</v>
      </c>
      <c r="E1301" s="18">
        <f t="shared" si="1214"/>
        <v>12.08</v>
      </c>
      <c r="F1301">
        <f t="shared" si="1215"/>
        <v>2</v>
      </c>
      <c r="G1301" s="18">
        <f>ROUND(INDEX(Valuation!U:U,MATCH(A1301,Valuation!A:A,0)),2)</f>
        <v>258.60000000000002</v>
      </c>
      <c r="H1301">
        <f t="shared" si="1186"/>
        <v>3</v>
      </c>
      <c r="I1301" s="18">
        <f>INDEX(WeeklyIndicators!Y:Y,MATCH(A1301,WeeklyIndicators!A:A,0))</f>
        <v>124.8</v>
      </c>
      <c r="J1301">
        <f t="shared" si="1211"/>
        <v>0</v>
      </c>
      <c r="K1301">
        <f>ROUND(INDEX(Economic!AF:AF,MATCH(EOMONTH($A1301,-1),Economic!A:A,0)),2)</f>
        <v>92.47</v>
      </c>
      <c r="L1301" s="11">
        <f t="shared" si="1220"/>
        <v>-1</v>
      </c>
      <c r="M1301">
        <f>ROUND(INDEX(Manufacturing!P:P,MATCH(EOMONTH($A1301,-1),Manufacturing!A:A,0)),2)</f>
        <v>86.12</v>
      </c>
      <c r="N1301">
        <f t="shared" si="1216"/>
        <v>0</v>
      </c>
      <c r="O1301">
        <f>ROUND(INDEX(Housing!AC:AC,MATCH(EOMONTH($A1301,-1),Housing!B:B,0)),2)</f>
        <v>82.06</v>
      </c>
      <c r="P1301">
        <f t="shared" si="1217"/>
        <v>-1</v>
      </c>
      <c r="Q1301">
        <f>ROUND(INDEX(Spending!AJ:AJ,MATCH(EOMONTH($A1301,-1),Spending!B:B,0)),2)</f>
        <v>57.48</v>
      </c>
      <c r="R1301">
        <f t="shared" si="1221"/>
        <v>1</v>
      </c>
      <c r="S1301">
        <f>ROUND(INDEX(Employment!V:V,MATCH(EOMONTH($A1301,-1),Employment!A:A,0)),2)</f>
        <v>164.94</v>
      </c>
      <c r="T1301" s="11">
        <f t="shared" si="1218"/>
        <v>1</v>
      </c>
      <c r="U1301">
        <f t="shared" si="1210"/>
        <v>25</v>
      </c>
      <c r="V1301">
        <f t="shared" si="1202"/>
        <v>68.17</v>
      </c>
      <c r="W1301" s="13">
        <f t="shared" si="1203"/>
        <v>2.0999999999999999E-3</v>
      </c>
      <c r="X1301" s="13">
        <f t="shared" si="1204"/>
        <v>-2.81E-2</v>
      </c>
      <c r="Y1301">
        <f t="shared" si="1196"/>
        <v>87.08</v>
      </c>
      <c r="Z1301" s="13">
        <f t="shared" si="1191"/>
        <v>4.3E-3</v>
      </c>
      <c r="AA1301" s="13">
        <f t="shared" si="1187"/>
        <v>-1.2199999999999999E-2</v>
      </c>
      <c r="AB1301" s="6">
        <f t="shared" si="1197"/>
        <v>106.61</v>
      </c>
      <c r="AC1301">
        <f t="shared" si="1189"/>
        <v>53</v>
      </c>
      <c r="AD1301" s="11">
        <f t="shared" si="1190"/>
        <v>2</v>
      </c>
      <c r="AE1301">
        <f t="shared" si="1188"/>
        <v>29</v>
      </c>
      <c r="AF1301">
        <f>IF(AND(AE1301&lt;15,OR(AC1301&gt;=30,AA1301&gt;0.15,X1301&gt;=0.15)),2,VLOOKUP(AE1301,Table!P:Q,2,FALSE))</f>
        <v>4</v>
      </c>
      <c r="AG1301" s="22">
        <f>IF((AB1301*0.98)-(D1301*0.8)+((AF1301-3)*3)+VLOOKUP(AM1301,Table!$A$11:$B$13,2,FALSE)&lt;0,0,(AB1301*0.98)-(D1301*0.8)+((AF1301-3)*3)+VLOOKUP(AM1301,Table!$A$11:$B$13,2,FALSE))</f>
        <v>104.7658</v>
      </c>
      <c r="AH1301" s="22">
        <f t="shared" si="1219"/>
        <v>100</v>
      </c>
      <c r="AI1301" s="18">
        <f t="shared" si="1212"/>
        <v>3.01</v>
      </c>
      <c r="AJ1301" s="18">
        <f t="shared" si="1213"/>
        <v>2.98</v>
      </c>
      <c r="AK1301" t="str">
        <f t="shared" si="1198"/>
        <v/>
      </c>
      <c r="AL1301">
        <f t="shared" si="1209"/>
        <v>28.5</v>
      </c>
      <c r="AM1301" s="11" t="str">
        <f t="shared" si="1199"/>
        <v>Stocks</v>
      </c>
      <c r="AN1301" t="str">
        <f t="shared" si="1205"/>
        <v>Buy</v>
      </c>
      <c r="AO1301" s="13">
        <f t="shared" si="1206"/>
        <v>8.0000000000000002E-3</v>
      </c>
      <c r="AP1301" s="13">
        <f t="shared" si="1207"/>
        <v>5.9999999999999995E-4</v>
      </c>
      <c r="AQ1301" s="13">
        <f t="shared" si="1208"/>
        <v>8.0000000000000002E-3</v>
      </c>
      <c r="AR1301" s="13">
        <f t="shared" si="1200"/>
        <v>8.0000000000000002E-3</v>
      </c>
      <c r="AS1301" s="6">
        <f t="shared" si="1192"/>
        <v>113.95687082193906</v>
      </c>
      <c r="AT1301" s="6">
        <f t="shared" si="1193"/>
        <v>104.84211659436687</v>
      </c>
      <c r="AU1301" s="6">
        <f t="shared" si="1194"/>
        <v>113.58086204923261</v>
      </c>
      <c r="AV1301" s="6">
        <f t="shared" si="1195"/>
        <v>113.95687082193906</v>
      </c>
      <c r="AW1301" s="58">
        <f t="shared" si="1201"/>
        <v>1993</v>
      </c>
      <c r="AX1301" s="58">
        <f>COUNTIF(AW$3:AW1301,AW1301)</f>
        <v>14</v>
      </c>
    </row>
    <row r="1302" spans="1:50" x14ac:dyDescent="0.25">
      <c r="A1302" s="5">
        <v>34231</v>
      </c>
      <c r="B1302">
        <v>458.83</v>
      </c>
      <c r="C1302">
        <v>2.96</v>
      </c>
      <c r="D1302" s="6">
        <v>11.7</v>
      </c>
      <c r="E1302" s="18">
        <f t="shared" si="1214"/>
        <v>11.59</v>
      </c>
      <c r="F1302">
        <f t="shared" si="1215"/>
        <v>2</v>
      </c>
      <c r="G1302" s="18">
        <f>ROUND(INDEX(Valuation!U:U,MATCH(A1302,Valuation!A:A,0)),2)</f>
        <v>258.04000000000002</v>
      </c>
      <c r="H1302">
        <f t="shared" si="1186"/>
        <v>3</v>
      </c>
      <c r="I1302" s="18">
        <f>INDEX(WeeklyIndicators!Y:Y,MATCH(A1302,WeeklyIndicators!A:A,0))</f>
        <v>117.4</v>
      </c>
      <c r="J1302">
        <f t="shared" si="1211"/>
        <v>-1</v>
      </c>
      <c r="K1302">
        <f>ROUND(INDEX(Economic!AF:AF,MATCH(EOMONTH($A1302,-1),Economic!A:A,0)),2)</f>
        <v>92.47</v>
      </c>
      <c r="L1302" s="11">
        <f t="shared" si="1220"/>
        <v>-1</v>
      </c>
      <c r="M1302">
        <f>ROUND(INDEX(Manufacturing!P:P,MATCH(EOMONTH($A1302,-1),Manufacturing!A:A,0)),2)</f>
        <v>86.12</v>
      </c>
      <c r="N1302">
        <f t="shared" si="1216"/>
        <v>0</v>
      </c>
      <c r="O1302">
        <f>ROUND(INDEX(Housing!AC:AC,MATCH(EOMONTH($A1302,-1),Housing!B:B,0)),2)</f>
        <v>82.06</v>
      </c>
      <c r="P1302">
        <f t="shared" si="1217"/>
        <v>-1</v>
      </c>
      <c r="Q1302">
        <f>ROUND(INDEX(Spending!AJ:AJ,MATCH(EOMONTH($A1302,-1),Spending!B:B,0)),2)</f>
        <v>57.48</v>
      </c>
      <c r="R1302">
        <f t="shared" si="1221"/>
        <v>1</v>
      </c>
      <c r="S1302">
        <f>ROUND(INDEX(Employment!V:V,MATCH(EOMONTH($A1302,-1),Employment!A:A,0)),2)</f>
        <v>164.94</v>
      </c>
      <c r="T1302" s="11">
        <f t="shared" si="1218"/>
        <v>1</v>
      </c>
      <c r="U1302">
        <f t="shared" si="1210"/>
        <v>24</v>
      </c>
      <c r="V1302">
        <f t="shared" si="1202"/>
        <v>67.41</v>
      </c>
      <c r="W1302" s="13">
        <f t="shared" si="1203"/>
        <v>-8.6E-3</v>
      </c>
      <c r="X1302" s="13">
        <f t="shared" si="1204"/>
        <v>-3.3800000000000004E-2</v>
      </c>
      <c r="Y1302">
        <f t="shared" si="1196"/>
        <v>86.42</v>
      </c>
      <c r="Z1302" s="13">
        <f t="shared" si="1191"/>
        <v>-3.0000000000000001E-3</v>
      </c>
      <c r="AA1302" s="13">
        <f t="shared" si="1187"/>
        <v>-1.8800000000000001E-2</v>
      </c>
      <c r="AB1302" s="6">
        <f t="shared" si="1197"/>
        <v>105.374</v>
      </c>
      <c r="AC1302">
        <f t="shared" si="1189"/>
        <v>53</v>
      </c>
      <c r="AD1302" s="11">
        <f t="shared" si="1190"/>
        <v>2</v>
      </c>
      <c r="AE1302">
        <f t="shared" si="1188"/>
        <v>28</v>
      </c>
      <c r="AF1302">
        <f>IF(AND(AE1302&lt;15,OR(AC1302&gt;=30,AA1302&gt;0.15,X1302&gt;=0.15)),2,VLOOKUP(AE1302,Table!P:Q,2,FALSE))</f>
        <v>4</v>
      </c>
      <c r="AG1302" s="22">
        <f>IF((AB1302*0.98)-(D1302*0.8)+((AF1302-3)*3)+VLOOKUP(AM1302,Table!$A$11:$B$13,2,FALSE)&lt;0,0,(AB1302*0.98)-(D1302*0.8)+((AF1302-3)*3)+VLOOKUP(AM1302,Table!$A$11:$B$13,2,FALSE))</f>
        <v>104.90652</v>
      </c>
      <c r="AH1302" s="22">
        <f t="shared" si="1219"/>
        <v>100</v>
      </c>
      <c r="AI1302" s="18">
        <f t="shared" si="1212"/>
        <v>3.02</v>
      </c>
      <c r="AJ1302" s="18">
        <f t="shared" si="1213"/>
        <v>2.99</v>
      </c>
      <c r="AK1302" t="str">
        <f t="shared" si="1198"/>
        <v/>
      </c>
      <c r="AL1302">
        <f t="shared" si="1209"/>
        <v>28.5</v>
      </c>
      <c r="AM1302" s="11" t="str">
        <f t="shared" si="1199"/>
        <v>Stocks</v>
      </c>
      <c r="AN1302" t="str">
        <f t="shared" si="1205"/>
        <v>Buy</v>
      </c>
      <c r="AO1302" s="13">
        <f t="shared" si="1206"/>
        <v>-2.5999999999999999E-3</v>
      </c>
      <c r="AP1302" s="13">
        <f t="shared" si="1207"/>
        <v>5.9999999999999995E-4</v>
      </c>
      <c r="AQ1302" s="13">
        <f t="shared" si="1208"/>
        <v>-2.5999999999999999E-3</v>
      </c>
      <c r="AR1302" s="13">
        <f t="shared" si="1200"/>
        <v>-2.5999999999999999E-3</v>
      </c>
      <c r="AS1302" s="6">
        <f t="shared" si="1192"/>
        <v>114.25393104264995</v>
      </c>
      <c r="AT1302" s="6">
        <f t="shared" si="1193"/>
        <v>104.77924904493992</v>
      </c>
      <c r="AU1302" s="6">
        <f t="shared" si="1194"/>
        <v>113.8769420986892</v>
      </c>
      <c r="AV1302" s="6">
        <f t="shared" si="1195"/>
        <v>114.25393104264995</v>
      </c>
      <c r="AW1302" s="58">
        <f t="shared" si="1201"/>
        <v>1993</v>
      </c>
      <c r="AX1302" s="58">
        <f>COUNTIF(AW$3:AW1302,AW1302)</f>
        <v>15</v>
      </c>
    </row>
    <row r="1303" spans="1:50" x14ac:dyDescent="0.25">
      <c r="A1303" s="5">
        <v>34224</v>
      </c>
      <c r="B1303">
        <v>461.72</v>
      </c>
      <c r="C1303">
        <v>2.96</v>
      </c>
      <c r="D1303" s="6">
        <v>11.16</v>
      </c>
      <c r="E1303" s="18">
        <f t="shared" si="1214"/>
        <v>11.56</v>
      </c>
      <c r="F1303">
        <f t="shared" si="1215"/>
        <v>2</v>
      </c>
      <c r="G1303" s="18">
        <f>ROUND(INDEX(Valuation!U:U,MATCH(A1303,Valuation!A:A,0)),2)</f>
        <v>254.77</v>
      </c>
      <c r="H1303">
        <f t="shared" si="1186"/>
        <v>3</v>
      </c>
      <c r="I1303" s="18">
        <f>INDEX(WeeklyIndicators!Y:Y,MATCH(A1303,WeeklyIndicators!A:A,0))</f>
        <v>116.73</v>
      </c>
      <c r="J1303">
        <f t="shared" si="1211"/>
        <v>-1</v>
      </c>
      <c r="K1303">
        <f>ROUND(INDEX(Economic!AF:AF,MATCH(EOMONTH($A1303,-1),Economic!A:A,0)),2)</f>
        <v>92.47</v>
      </c>
      <c r="L1303" s="11">
        <f t="shared" si="1220"/>
        <v>-1</v>
      </c>
      <c r="M1303">
        <f>ROUND(INDEX(Manufacturing!P:P,MATCH(EOMONTH($A1303,-1),Manufacturing!A:A,0)),2)</f>
        <v>86.12</v>
      </c>
      <c r="N1303">
        <f t="shared" si="1216"/>
        <v>0</v>
      </c>
      <c r="O1303">
        <f>ROUND(INDEX(Housing!AC:AC,MATCH(EOMONTH($A1303,-1),Housing!B:B,0)),2)</f>
        <v>82.06</v>
      </c>
      <c r="P1303">
        <f t="shared" si="1217"/>
        <v>-1</v>
      </c>
      <c r="Q1303">
        <f>ROUND(INDEX(Spending!AJ:AJ,MATCH(EOMONTH($A1303,-1),Spending!B:B,0)),2)</f>
        <v>57.48</v>
      </c>
      <c r="R1303">
        <f t="shared" si="1221"/>
        <v>1</v>
      </c>
      <c r="S1303">
        <f>ROUND(INDEX(Employment!V:V,MATCH(EOMONTH($A1303,-1),Employment!A:A,0)),2)</f>
        <v>164.94</v>
      </c>
      <c r="T1303" s="11">
        <f t="shared" si="1218"/>
        <v>1</v>
      </c>
      <c r="U1303">
        <f t="shared" si="1210"/>
        <v>24</v>
      </c>
      <c r="V1303">
        <f t="shared" si="1202"/>
        <v>67.34</v>
      </c>
      <c r="W1303" s="13">
        <f t="shared" si="1203"/>
        <v>-1.14E-2</v>
      </c>
      <c r="X1303" s="13">
        <f t="shared" si="1204"/>
        <v>-2.64E-2</v>
      </c>
      <c r="Y1303">
        <f t="shared" si="1196"/>
        <v>86</v>
      </c>
      <c r="Z1303" s="13">
        <f t="shared" si="1191"/>
        <v>-6.3E-3</v>
      </c>
      <c r="AA1303" s="13">
        <f t="shared" si="1187"/>
        <v>-1.6500000000000001E-2</v>
      </c>
      <c r="AB1303" s="6">
        <f t="shared" si="1197"/>
        <v>104.857</v>
      </c>
      <c r="AC1303">
        <f t="shared" si="1189"/>
        <v>52</v>
      </c>
      <c r="AD1303" s="11">
        <f t="shared" si="1190"/>
        <v>2</v>
      </c>
      <c r="AE1303">
        <f t="shared" si="1188"/>
        <v>28</v>
      </c>
      <c r="AF1303">
        <f>IF(AND(AE1303&lt;15,OR(AC1303&gt;=30,AA1303&gt;0.15,X1303&gt;=0.15)),2,VLOOKUP(AE1303,Table!P:Q,2,FALSE))</f>
        <v>4</v>
      </c>
      <c r="AG1303" s="22">
        <f>IF((AB1303*0.98)-(D1303*0.8)+((AF1303-3)*3)+VLOOKUP(AM1303,Table!$A$11:$B$13,2,FALSE)&lt;0,0,(AB1303*0.98)-(D1303*0.8)+((AF1303-3)*3)+VLOOKUP(AM1303,Table!$A$11:$B$13,2,FALSE))</f>
        <v>104.83186000000001</v>
      </c>
      <c r="AH1303" s="22">
        <f t="shared" si="1219"/>
        <v>100</v>
      </c>
      <c r="AI1303" s="18">
        <f t="shared" si="1212"/>
        <v>3.03</v>
      </c>
      <c r="AJ1303" s="18">
        <f t="shared" si="1213"/>
        <v>3</v>
      </c>
      <c r="AK1303" t="str">
        <f t="shared" si="1198"/>
        <v/>
      </c>
      <c r="AL1303">
        <f t="shared" si="1209"/>
        <v>28.75</v>
      </c>
      <c r="AM1303" s="11" t="str">
        <f t="shared" si="1199"/>
        <v>Stocks</v>
      </c>
      <c r="AN1303" t="str">
        <f t="shared" si="1205"/>
        <v>Buy</v>
      </c>
      <c r="AO1303" s="13">
        <f t="shared" si="1206"/>
        <v>-6.3E-3</v>
      </c>
      <c r="AP1303" s="13">
        <f t="shared" si="1207"/>
        <v>5.9999999999999995E-4</v>
      </c>
      <c r="AQ1303" s="13">
        <f t="shared" si="1208"/>
        <v>-6.3E-3</v>
      </c>
      <c r="AR1303" s="13">
        <f t="shared" si="1200"/>
        <v>-6.3E-3</v>
      </c>
      <c r="AS1303" s="6">
        <f t="shared" si="1192"/>
        <v>114.97829429671928</v>
      </c>
      <c r="AT1303" s="6">
        <f t="shared" si="1193"/>
        <v>104.71641919342387</v>
      </c>
      <c r="AU1303" s="6">
        <f t="shared" si="1194"/>
        <v>114.59891526485779</v>
      </c>
      <c r="AV1303" s="6">
        <f t="shared" si="1195"/>
        <v>114.97829429671928</v>
      </c>
      <c r="AW1303" s="58">
        <f t="shared" si="1201"/>
        <v>1993</v>
      </c>
      <c r="AX1303" s="58">
        <f>COUNTIF(AW$3:AW1303,AW1303)</f>
        <v>16</v>
      </c>
    </row>
    <row r="1304" spans="1:50" x14ac:dyDescent="0.25">
      <c r="A1304" s="5">
        <v>34217</v>
      </c>
      <c r="B1304">
        <v>461.34</v>
      </c>
      <c r="C1304">
        <v>2.99</v>
      </c>
      <c r="D1304" s="6">
        <v>11.91</v>
      </c>
      <c r="E1304" s="18">
        <f t="shared" si="1214"/>
        <v>11.91</v>
      </c>
      <c r="F1304">
        <f t="shared" si="1215"/>
        <v>2</v>
      </c>
      <c r="G1304" s="18">
        <f>ROUND(INDEX(Valuation!U:U,MATCH(A1304,Valuation!A:A,0)),2)</f>
        <v>251.86</v>
      </c>
      <c r="H1304">
        <f t="shared" si="1186"/>
        <v>3</v>
      </c>
      <c r="I1304" s="18">
        <f>INDEX(WeeklyIndicators!Y:Y,MATCH(A1304,WeeklyIndicators!A:A,0))</f>
        <v>120.61</v>
      </c>
      <c r="J1304">
        <f t="shared" si="1211"/>
        <v>0</v>
      </c>
      <c r="K1304">
        <f>ROUND(INDEX(Economic!AF:AF,MATCH(EOMONTH($A1304,-1),Economic!A:A,0)),2)</f>
        <v>92.47</v>
      </c>
      <c r="L1304" s="11">
        <f t="shared" si="1220"/>
        <v>-1</v>
      </c>
      <c r="M1304">
        <f>ROUND(INDEX(Manufacturing!P:P,MATCH(EOMONTH($A1304,-1),Manufacturing!A:A,0)),2)</f>
        <v>86.12</v>
      </c>
      <c r="N1304">
        <f t="shared" si="1216"/>
        <v>0</v>
      </c>
      <c r="O1304">
        <f>ROUND(INDEX(Housing!AC:AC,MATCH(EOMONTH($A1304,-1),Housing!B:B,0)),2)</f>
        <v>82.06</v>
      </c>
      <c r="P1304">
        <f t="shared" si="1217"/>
        <v>-1</v>
      </c>
      <c r="Q1304">
        <f>ROUND(INDEX(Spending!AJ:AJ,MATCH(EOMONTH($A1304,-1),Spending!B:B,0)),2)</f>
        <v>57.48</v>
      </c>
      <c r="R1304">
        <f t="shared" si="1221"/>
        <v>1</v>
      </c>
      <c r="S1304">
        <f>ROUND(INDEX(Employment!V:V,MATCH(EOMONTH($A1304,-1),Employment!A:A,0)),2)</f>
        <v>164.94</v>
      </c>
      <c r="T1304" s="11">
        <f t="shared" si="1218"/>
        <v>1</v>
      </c>
      <c r="U1304">
        <f t="shared" si="1210"/>
        <v>25</v>
      </c>
      <c r="V1304">
        <f t="shared" si="1202"/>
        <v>67.739999999999995</v>
      </c>
      <c r="W1304" s="13">
        <f t="shared" si="1203"/>
        <v>-1.0200000000000001E-2</v>
      </c>
      <c r="X1304" s="13">
        <f t="shared" si="1204"/>
        <v>-2.2100000000000002E-2</v>
      </c>
      <c r="Y1304">
        <f t="shared" si="1196"/>
        <v>85.96</v>
      </c>
      <c r="Z1304" s="13">
        <f t="shared" si="1191"/>
        <v>-7.1999999999999998E-3</v>
      </c>
      <c r="AA1304" s="13">
        <f t="shared" si="1187"/>
        <v>-1.49E-2</v>
      </c>
      <c r="AB1304" s="6">
        <f t="shared" si="1197"/>
        <v>104.68600000000001</v>
      </c>
      <c r="AC1304">
        <f t="shared" si="1189"/>
        <v>52</v>
      </c>
      <c r="AD1304" s="11">
        <f t="shared" si="1190"/>
        <v>2</v>
      </c>
      <c r="AE1304">
        <f t="shared" si="1188"/>
        <v>29</v>
      </c>
      <c r="AF1304">
        <f>IF(AND(AE1304&lt;15,OR(AC1304&gt;=30,AA1304&gt;0.15,X1304&gt;=0.15)),2,VLOOKUP(AE1304,Table!P:Q,2,FALSE))</f>
        <v>4</v>
      </c>
      <c r="AG1304" s="22">
        <f>IF((AB1304*0.98)-(D1304*0.8)+((AF1304-3)*3)+VLOOKUP(AM1304,Table!$A$11:$B$13,2,FALSE)&lt;0,0,(AB1304*0.98)-(D1304*0.8)+((AF1304-3)*3)+VLOOKUP(AM1304,Table!$A$11:$B$13,2,FALSE))</f>
        <v>104.06428</v>
      </c>
      <c r="AH1304" s="22">
        <f t="shared" si="1219"/>
        <v>100</v>
      </c>
      <c r="AI1304" s="18">
        <f t="shared" si="1212"/>
        <v>3.04</v>
      </c>
      <c r="AJ1304" s="18">
        <f t="shared" si="1213"/>
        <v>3</v>
      </c>
      <c r="AK1304" t="str">
        <f t="shared" si="1198"/>
        <v/>
      </c>
      <c r="AL1304">
        <f t="shared" si="1209"/>
        <v>29</v>
      </c>
      <c r="AM1304" s="11" t="str">
        <f t="shared" si="1199"/>
        <v>Stocks</v>
      </c>
      <c r="AN1304" t="str">
        <f t="shared" si="1205"/>
        <v>Buy</v>
      </c>
      <c r="AO1304" s="13">
        <f t="shared" si="1206"/>
        <v>8.0000000000000004E-4</v>
      </c>
      <c r="AP1304" s="13">
        <f t="shared" si="1207"/>
        <v>5.9999999999999995E-4</v>
      </c>
      <c r="AQ1304" s="13">
        <f t="shared" si="1208"/>
        <v>8.0000000000000004E-4</v>
      </c>
      <c r="AR1304" s="13">
        <f t="shared" si="1200"/>
        <v>8.0000000000000004E-4</v>
      </c>
      <c r="AS1304" s="6">
        <f t="shared" si="1192"/>
        <v>114.88638518856844</v>
      </c>
      <c r="AT1304" s="6">
        <f t="shared" si="1193"/>
        <v>104.65362701721355</v>
      </c>
      <c r="AU1304" s="6">
        <f t="shared" si="1194"/>
        <v>114.50730941732394</v>
      </c>
      <c r="AV1304" s="6">
        <f t="shared" si="1195"/>
        <v>114.88638518856844</v>
      </c>
      <c r="AW1304" s="58">
        <f t="shared" si="1201"/>
        <v>1993</v>
      </c>
      <c r="AX1304" s="58">
        <f>COUNTIF(AW$3:AW1304,AW1304)</f>
        <v>17</v>
      </c>
    </row>
    <row r="1305" spans="1:50" x14ac:dyDescent="0.25">
      <c r="A1305" s="5">
        <v>34210</v>
      </c>
      <c r="B1305">
        <v>460.54</v>
      </c>
      <c r="C1305">
        <v>3</v>
      </c>
      <c r="D1305" s="6">
        <v>11.62</v>
      </c>
      <c r="E1305" s="18">
        <f t="shared" si="1214"/>
        <v>12.05</v>
      </c>
      <c r="F1305">
        <f t="shared" si="1215"/>
        <v>2</v>
      </c>
      <c r="G1305" s="18">
        <f>ROUND(INDEX(Valuation!U:U,MATCH(A1305,Valuation!A:A,0)),2)</f>
        <v>250.63</v>
      </c>
      <c r="H1305">
        <f t="shared" si="1186"/>
        <v>3</v>
      </c>
      <c r="I1305" s="18">
        <f>INDEX(WeeklyIndicators!Y:Y,MATCH(A1305,WeeklyIndicators!A:A,0))</f>
        <v>126.49</v>
      </c>
      <c r="J1305">
        <f t="shared" si="1211"/>
        <v>0</v>
      </c>
      <c r="K1305">
        <f>ROUND(INDEX(Economic!AF:AF,MATCH(EOMONTH($A1305,-1),Economic!A:A,0)),2)</f>
        <v>96.34</v>
      </c>
      <c r="L1305" s="11">
        <f t="shared" si="1220"/>
        <v>-1</v>
      </c>
      <c r="M1305">
        <f>ROUND(INDEX(Manufacturing!P:P,MATCH(EOMONTH($A1305,-1),Manufacturing!A:A,0)),2)</f>
        <v>88</v>
      </c>
      <c r="N1305">
        <f t="shared" si="1216"/>
        <v>0</v>
      </c>
      <c r="O1305">
        <f>ROUND(INDEX(Housing!AC:AC,MATCH(EOMONTH($A1305,-1),Housing!B:B,0)),2)</f>
        <v>82.41</v>
      </c>
      <c r="P1305">
        <f t="shared" si="1217"/>
        <v>-1</v>
      </c>
      <c r="Q1305">
        <f>ROUND(INDEX(Spending!AJ:AJ,MATCH(EOMONTH($A1305,-1),Spending!B:B,0)),2)</f>
        <v>52.72</v>
      </c>
      <c r="R1305">
        <f t="shared" si="1221"/>
        <v>1</v>
      </c>
      <c r="S1305">
        <f>ROUND(INDEX(Employment!V:V,MATCH(EOMONTH($A1305,-1),Employment!A:A,0)),2)</f>
        <v>169.45</v>
      </c>
      <c r="T1305" s="11">
        <f t="shared" si="1218"/>
        <v>1</v>
      </c>
      <c r="U1305">
        <f t="shared" si="1210"/>
        <v>25</v>
      </c>
      <c r="V1305">
        <f t="shared" si="1202"/>
        <v>69.16</v>
      </c>
      <c r="W1305" s="13">
        <f t="shared" si="1203"/>
        <v>-3.5999999999999999E-3</v>
      </c>
      <c r="X1305" s="13">
        <f t="shared" si="1204"/>
        <v>-1.7899999999999999E-2</v>
      </c>
      <c r="Y1305">
        <f t="shared" si="1196"/>
        <v>87.19</v>
      </c>
      <c r="Z1305" s="13">
        <f t="shared" si="1191"/>
        <v>-2.3E-3</v>
      </c>
      <c r="AA1305" s="13">
        <f t="shared" si="1187"/>
        <v>-1.23E-2</v>
      </c>
      <c r="AB1305" s="6">
        <f t="shared" si="1197"/>
        <v>106.053</v>
      </c>
      <c r="AC1305">
        <f t="shared" si="1189"/>
        <v>53</v>
      </c>
      <c r="AD1305" s="11">
        <f t="shared" si="1190"/>
        <v>2</v>
      </c>
      <c r="AE1305">
        <f t="shared" si="1188"/>
        <v>29</v>
      </c>
      <c r="AF1305">
        <f>IF(AND(AE1305&lt;15,OR(AC1305&gt;=30,AA1305&gt;0.15,X1305&gt;=0.15)),2,VLOOKUP(AE1305,Table!P:Q,2,FALSE))</f>
        <v>4</v>
      </c>
      <c r="AG1305" s="22">
        <f>IF((AB1305*0.98)-(D1305*0.8)+((AF1305-3)*3)+VLOOKUP(AM1305,Table!$A$11:$B$13,2,FALSE)&lt;0,0,(AB1305*0.98)-(D1305*0.8)+((AF1305-3)*3)+VLOOKUP(AM1305,Table!$A$11:$B$13,2,FALSE))</f>
        <v>105.63594000000001</v>
      </c>
      <c r="AH1305" s="22">
        <f t="shared" si="1219"/>
        <v>100</v>
      </c>
      <c r="AI1305" s="18">
        <f t="shared" si="1212"/>
        <v>3.04</v>
      </c>
      <c r="AJ1305" s="18">
        <f t="shared" si="1213"/>
        <v>3.01</v>
      </c>
      <c r="AK1305" t="str">
        <f t="shared" si="1198"/>
        <v/>
      </c>
      <c r="AL1305">
        <f t="shared" si="1209"/>
        <v>29</v>
      </c>
      <c r="AM1305" s="11" t="str">
        <f t="shared" si="1199"/>
        <v>Stocks</v>
      </c>
      <c r="AN1305" t="str">
        <f t="shared" si="1205"/>
        <v>Buy</v>
      </c>
      <c r="AO1305" s="13">
        <f t="shared" si="1206"/>
        <v>1.6999999999999999E-3</v>
      </c>
      <c r="AP1305" s="13">
        <f t="shared" si="1207"/>
        <v>5.9999999999999995E-4</v>
      </c>
      <c r="AQ1305" s="13">
        <f t="shared" si="1208"/>
        <v>1.6999999999999999E-3</v>
      </c>
      <c r="AR1305" s="13">
        <f t="shared" si="1200"/>
        <v>1.6999999999999999E-3</v>
      </c>
      <c r="AS1305" s="6">
        <f t="shared" si="1192"/>
        <v>114.69140979192217</v>
      </c>
      <c r="AT1305" s="6">
        <f t="shared" si="1193"/>
        <v>104.59087249371733</v>
      </c>
      <c r="AU1305" s="6">
        <f t="shared" si="1194"/>
        <v>114.31297735581904</v>
      </c>
      <c r="AV1305" s="6">
        <f t="shared" si="1195"/>
        <v>114.69140979192217</v>
      </c>
      <c r="AW1305" s="58">
        <f t="shared" si="1201"/>
        <v>1993</v>
      </c>
      <c r="AX1305" s="58">
        <f>COUNTIF(AW$3:AW1305,AW1305)</f>
        <v>18</v>
      </c>
    </row>
    <row r="1306" spans="1:50" x14ac:dyDescent="0.25">
      <c r="A1306" s="5">
        <v>34203</v>
      </c>
      <c r="B1306">
        <v>456.16</v>
      </c>
      <c r="C1306">
        <v>3</v>
      </c>
      <c r="D1306" s="6">
        <v>12.19</v>
      </c>
      <c r="E1306" s="18">
        <f t="shared" si="1214"/>
        <v>12.08</v>
      </c>
      <c r="F1306">
        <f t="shared" si="1215"/>
        <v>2</v>
      </c>
      <c r="G1306" s="18">
        <f>ROUND(INDEX(Valuation!U:U,MATCH(A1306,Valuation!A:A,0)),2)</f>
        <v>249.96</v>
      </c>
      <c r="H1306">
        <f t="shared" si="1186"/>
        <v>3</v>
      </c>
      <c r="I1306" s="18">
        <f>INDEX(WeeklyIndicators!Y:Y,MATCH(A1306,WeeklyIndicators!A:A,0))</f>
        <v>131.65</v>
      </c>
      <c r="J1306">
        <f t="shared" si="1211"/>
        <v>0</v>
      </c>
      <c r="K1306">
        <f>ROUND(INDEX(Economic!AF:AF,MATCH(EOMONTH($A1306,-1),Economic!A:A,0)),2)</f>
        <v>96.34</v>
      </c>
      <c r="L1306" s="11">
        <f t="shared" si="1220"/>
        <v>-1</v>
      </c>
      <c r="M1306">
        <f>ROUND(INDEX(Manufacturing!P:P,MATCH(EOMONTH($A1306,-1),Manufacturing!A:A,0)),2)</f>
        <v>88</v>
      </c>
      <c r="N1306">
        <f t="shared" si="1216"/>
        <v>0</v>
      </c>
      <c r="O1306">
        <f>ROUND(INDEX(Housing!AC:AC,MATCH(EOMONTH($A1306,-1),Housing!B:B,0)),2)</f>
        <v>82.41</v>
      </c>
      <c r="P1306">
        <f t="shared" si="1217"/>
        <v>-1</v>
      </c>
      <c r="Q1306">
        <f>ROUND(INDEX(Spending!AJ:AJ,MATCH(EOMONTH($A1306,-1),Spending!B:B,0)),2)</f>
        <v>52.72</v>
      </c>
      <c r="R1306">
        <f t="shared" si="1221"/>
        <v>1</v>
      </c>
      <c r="S1306">
        <f>ROUND(INDEX(Employment!V:V,MATCH(EOMONTH($A1306,-1),Employment!A:A,0)),2)</f>
        <v>169.45</v>
      </c>
      <c r="T1306" s="11">
        <f t="shared" si="1218"/>
        <v>1</v>
      </c>
      <c r="U1306">
        <f t="shared" si="1210"/>
        <v>25</v>
      </c>
      <c r="V1306">
        <f t="shared" si="1202"/>
        <v>69.7</v>
      </c>
      <c r="W1306" s="13">
        <f t="shared" si="1203"/>
        <v>-1.1999999999999999E-3</v>
      </c>
      <c r="X1306" s="13">
        <f t="shared" si="1204"/>
        <v>-1.8499999999999999E-2</v>
      </c>
      <c r="Y1306">
        <f t="shared" si="1196"/>
        <v>87.64</v>
      </c>
      <c r="Z1306" s="13">
        <f t="shared" si="1191"/>
        <v>-6.9999999999999999E-4</v>
      </c>
      <c r="AA1306" s="13">
        <f t="shared" si="1187"/>
        <v>-1.2800000000000001E-2</v>
      </c>
      <c r="AB1306" s="6">
        <f t="shared" si="1197"/>
        <v>106.416</v>
      </c>
      <c r="AC1306">
        <f t="shared" si="1189"/>
        <v>53</v>
      </c>
      <c r="AD1306" s="11">
        <f t="shared" si="1190"/>
        <v>2</v>
      </c>
      <c r="AE1306">
        <f t="shared" si="1188"/>
        <v>29</v>
      </c>
      <c r="AF1306">
        <f>IF(AND(AE1306&lt;15,OR(AC1306&gt;=30,AA1306&gt;0.15,X1306&gt;=0.15)),2,VLOOKUP(AE1306,Table!P:Q,2,FALSE))</f>
        <v>4</v>
      </c>
      <c r="AG1306" s="22">
        <f>IF((AB1306*0.98)-(D1306*0.8)+((AF1306-3)*3)+VLOOKUP(AM1306,Table!$A$11:$B$13,2,FALSE)&lt;0,0,(AB1306*0.98)-(D1306*0.8)+((AF1306-3)*3)+VLOOKUP(AM1306,Table!$A$11:$B$13,2,FALSE))</f>
        <v>105.53568</v>
      </c>
      <c r="AH1306" s="22">
        <f t="shared" si="1219"/>
        <v>100</v>
      </c>
      <c r="AI1306" s="18">
        <f t="shared" si="1212"/>
        <v>3.05</v>
      </c>
      <c r="AJ1306" s="18">
        <f t="shared" si="1213"/>
        <v>3.02</v>
      </c>
      <c r="AK1306" t="str">
        <f t="shared" si="1198"/>
        <v/>
      </c>
      <c r="AL1306">
        <f t="shared" si="1209"/>
        <v>29</v>
      </c>
      <c r="AM1306" s="11" t="str">
        <f t="shared" si="1199"/>
        <v>Stocks</v>
      </c>
      <c r="AN1306" t="str">
        <f t="shared" si="1205"/>
        <v>Buy</v>
      </c>
      <c r="AO1306" s="13">
        <f t="shared" si="1206"/>
        <v>9.5999999999999992E-3</v>
      </c>
      <c r="AP1306" s="13">
        <f t="shared" si="1207"/>
        <v>5.9999999999999995E-4</v>
      </c>
      <c r="AQ1306" s="13">
        <f t="shared" si="1208"/>
        <v>9.5999999999999992E-3</v>
      </c>
      <c r="AR1306" s="13">
        <f t="shared" si="1200"/>
        <v>9.5999999999999992E-3</v>
      </c>
      <c r="AS1306" s="6">
        <f t="shared" si="1192"/>
        <v>113.60084171149184</v>
      </c>
      <c r="AT1306" s="6">
        <f t="shared" si="1193"/>
        <v>104.52815560035712</v>
      </c>
      <c r="AU1306" s="6">
        <f t="shared" si="1194"/>
        <v>113.22600768207116</v>
      </c>
      <c r="AV1306" s="6">
        <f t="shared" si="1195"/>
        <v>113.60084171149184</v>
      </c>
      <c r="AW1306" s="58">
        <f t="shared" si="1201"/>
        <v>1993</v>
      </c>
      <c r="AX1306" s="58">
        <f>COUNTIF(AW$3:AW1306,AW1306)</f>
        <v>19</v>
      </c>
    </row>
    <row r="1307" spans="1:50" x14ac:dyDescent="0.25">
      <c r="A1307" s="5">
        <v>34196</v>
      </c>
      <c r="B1307">
        <v>450.14</v>
      </c>
      <c r="C1307">
        <v>3.02</v>
      </c>
      <c r="D1307" s="6">
        <v>12.33</v>
      </c>
      <c r="E1307" s="18">
        <f t="shared" si="1214"/>
        <v>11.79</v>
      </c>
      <c r="F1307">
        <f t="shared" si="1215"/>
        <v>2</v>
      </c>
      <c r="G1307" s="18">
        <f>ROUND(INDEX(Valuation!U:U,MATCH(A1307,Valuation!A:A,0)),2)</f>
        <v>249.19</v>
      </c>
      <c r="H1307">
        <f t="shared" si="1186"/>
        <v>3</v>
      </c>
      <c r="I1307" s="18">
        <f>INDEX(WeeklyIndicators!Y:Y,MATCH(A1307,WeeklyIndicators!A:A,0))</f>
        <v>133.38</v>
      </c>
      <c r="J1307">
        <f t="shared" si="1211"/>
        <v>0</v>
      </c>
      <c r="K1307">
        <f>ROUND(INDEX(Economic!AF:AF,MATCH(EOMONTH($A1307,-1),Economic!A:A,0)),2)</f>
        <v>96.34</v>
      </c>
      <c r="L1307" s="11">
        <f t="shared" si="1220"/>
        <v>-1</v>
      </c>
      <c r="M1307">
        <f>ROUND(INDEX(Manufacturing!P:P,MATCH(EOMONTH($A1307,-1),Manufacturing!A:A,0)),2)</f>
        <v>88</v>
      </c>
      <c r="N1307">
        <f t="shared" si="1216"/>
        <v>0</v>
      </c>
      <c r="O1307">
        <f>ROUND(INDEX(Housing!AC:AC,MATCH(EOMONTH($A1307,-1),Housing!B:B,0)),2)</f>
        <v>82.41</v>
      </c>
      <c r="P1307">
        <f t="shared" si="1217"/>
        <v>-1</v>
      </c>
      <c r="Q1307">
        <f>ROUND(INDEX(Spending!AJ:AJ,MATCH(EOMONTH($A1307,-1),Spending!B:B,0)),2)</f>
        <v>52.72</v>
      </c>
      <c r="R1307">
        <f t="shared" si="1221"/>
        <v>1</v>
      </c>
      <c r="S1307">
        <f>ROUND(INDEX(Employment!V:V,MATCH(EOMONTH($A1307,-1),Employment!A:A,0)),2)</f>
        <v>169.45</v>
      </c>
      <c r="T1307" s="11">
        <f t="shared" si="1218"/>
        <v>1</v>
      </c>
      <c r="U1307">
        <f t="shared" si="1210"/>
        <v>25</v>
      </c>
      <c r="V1307">
        <f t="shared" si="1202"/>
        <v>69.87</v>
      </c>
      <c r="W1307" s="13">
        <f t="shared" si="1203"/>
        <v>-7.1000000000000004E-3</v>
      </c>
      <c r="X1307" s="13">
        <f t="shared" si="1204"/>
        <v>-1.3999999999999999E-2</v>
      </c>
      <c r="Y1307">
        <f t="shared" si="1196"/>
        <v>87.84</v>
      </c>
      <c r="Z1307" s="13">
        <f t="shared" si="1191"/>
        <v>-4.7000000000000002E-3</v>
      </c>
      <c r="AA1307" s="13">
        <f t="shared" si="1187"/>
        <v>-8.7999999999999988E-3</v>
      </c>
      <c r="AB1307" s="6">
        <f t="shared" si="1197"/>
        <v>106.85899999999999</v>
      </c>
      <c r="AC1307">
        <f t="shared" si="1189"/>
        <v>53</v>
      </c>
      <c r="AD1307" s="11">
        <f t="shared" si="1190"/>
        <v>2</v>
      </c>
      <c r="AE1307">
        <f t="shared" si="1188"/>
        <v>29</v>
      </c>
      <c r="AF1307">
        <f>IF(AND(AE1307&lt;15,OR(AC1307&gt;=30,AA1307&gt;0.15,X1307&gt;=0.15)),2,VLOOKUP(AE1307,Table!P:Q,2,FALSE))</f>
        <v>4</v>
      </c>
      <c r="AG1307" s="22">
        <f>IF((AB1307*0.98)-(D1307*0.8)+((AF1307-3)*3)+VLOOKUP(AM1307,Table!$A$11:$B$13,2,FALSE)&lt;0,0,(AB1307*0.98)-(D1307*0.8)+((AF1307-3)*3)+VLOOKUP(AM1307,Table!$A$11:$B$13,2,FALSE))</f>
        <v>105.85781999999999</v>
      </c>
      <c r="AH1307" s="22">
        <f t="shared" si="1219"/>
        <v>100</v>
      </c>
      <c r="AI1307" s="18">
        <f t="shared" si="1212"/>
        <v>3.05</v>
      </c>
      <c r="AJ1307" s="18">
        <f t="shared" si="1213"/>
        <v>3.02</v>
      </c>
      <c r="AK1307" t="str">
        <f t="shared" si="1198"/>
        <v/>
      </c>
      <c r="AL1307">
        <f t="shared" si="1209"/>
        <v>29.25</v>
      </c>
      <c r="AM1307" s="11" t="str">
        <f t="shared" si="1199"/>
        <v>Stocks</v>
      </c>
      <c r="AN1307" t="str">
        <f t="shared" si="1205"/>
        <v>Buy</v>
      </c>
      <c r="AO1307" s="13">
        <f t="shared" si="1206"/>
        <v>1.34E-2</v>
      </c>
      <c r="AP1307" s="13">
        <f t="shared" si="1207"/>
        <v>5.9999999999999995E-4</v>
      </c>
      <c r="AQ1307" s="13">
        <f t="shared" si="1208"/>
        <v>1.34E-2</v>
      </c>
      <c r="AR1307" s="13">
        <f t="shared" si="1200"/>
        <v>1.34E-2</v>
      </c>
      <c r="AS1307" s="6">
        <f t="shared" si="1192"/>
        <v>112.09871887851966</v>
      </c>
      <c r="AT1307" s="6">
        <f t="shared" si="1193"/>
        <v>104.46547631456839</v>
      </c>
      <c r="AU1307" s="6">
        <f t="shared" si="1194"/>
        <v>111.72884120985904</v>
      </c>
      <c r="AV1307" s="6">
        <f t="shared" si="1195"/>
        <v>112.09871887851966</v>
      </c>
      <c r="AW1307" s="58">
        <f t="shared" si="1201"/>
        <v>1993</v>
      </c>
      <c r="AX1307" s="58">
        <f>COUNTIF(AW$3:AW1307,AW1307)</f>
        <v>20</v>
      </c>
    </row>
    <row r="1308" spans="1:50" x14ac:dyDescent="0.25">
      <c r="A1308" s="5">
        <v>34189</v>
      </c>
      <c r="B1308">
        <v>448.68</v>
      </c>
      <c r="C1308">
        <v>3.06</v>
      </c>
      <c r="D1308" s="6">
        <v>11.73</v>
      </c>
      <c r="E1308" s="18">
        <f t="shared" si="1214"/>
        <v>11.34</v>
      </c>
      <c r="F1308">
        <f t="shared" si="1215"/>
        <v>2</v>
      </c>
      <c r="G1308" s="18">
        <f>ROUND(INDEX(Valuation!U:U,MATCH(A1308,Valuation!A:A,0)),2)</f>
        <v>246.91</v>
      </c>
      <c r="H1308">
        <f t="shared" ref="H1308:H1371" si="1222">IF(G1308&gt;200,3,IF(AND(G1308&gt;160,G1308&lt;=200),2,IF(AND(G1308&gt;120,G1308&lt;=160),1,IF(G1308&lt;25,-3,IF(AND(G1308&lt;50,G1308&gt;=25),-2,IF(AND(G1308&lt;90,G1308&gt;=50),-1,0))))))</f>
        <v>3</v>
      </c>
      <c r="I1308" s="18">
        <f>INDEX(WeeklyIndicators!Y:Y,MATCH(A1308,WeeklyIndicators!A:A,0))</f>
        <v>133.83000000000001</v>
      </c>
      <c r="J1308">
        <f t="shared" si="1211"/>
        <v>0</v>
      </c>
      <c r="K1308">
        <f>ROUND(INDEX(Economic!AF:AF,MATCH(EOMONTH($A1308,-1),Economic!A:A,0)),2)</f>
        <v>96.34</v>
      </c>
      <c r="L1308" s="11">
        <f t="shared" si="1220"/>
        <v>-1</v>
      </c>
      <c r="M1308">
        <f>ROUND(INDEX(Manufacturing!P:P,MATCH(EOMONTH($A1308,-1),Manufacturing!A:A,0)),2)</f>
        <v>88</v>
      </c>
      <c r="N1308">
        <f t="shared" si="1216"/>
        <v>0</v>
      </c>
      <c r="O1308">
        <f>ROUND(INDEX(Housing!AC:AC,MATCH(EOMONTH($A1308,-1),Housing!B:B,0)),2)</f>
        <v>82.41</v>
      </c>
      <c r="P1308">
        <f t="shared" si="1217"/>
        <v>-1</v>
      </c>
      <c r="Q1308">
        <f>ROUND(INDEX(Spending!AJ:AJ,MATCH(EOMONTH($A1308,-1),Spending!B:B,0)),2)</f>
        <v>52.72</v>
      </c>
      <c r="R1308">
        <f t="shared" si="1221"/>
        <v>1</v>
      </c>
      <c r="S1308">
        <f>ROUND(INDEX(Employment!V:V,MATCH(EOMONTH($A1308,-1),Employment!A:A,0)),2)</f>
        <v>169.45</v>
      </c>
      <c r="T1308" s="11">
        <f t="shared" si="1218"/>
        <v>1</v>
      </c>
      <c r="U1308">
        <f t="shared" si="1210"/>
        <v>25</v>
      </c>
      <c r="V1308">
        <f t="shared" si="1202"/>
        <v>69.92</v>
      </c>
      <c r="W1308" s="13">
        <f t="shared" si="1203"/>
        <v>-6.0000000000000001E-3</v>
      </c>
      <c r="X1308" s="13">
        <f t="shared" si="1204"/>
        <v>-1.72E-2</v>
      </c>
      <c r="Y1308">
        <f t="shared" si="1196"/>
        <v>87.79</v>
      </c>
      <c r="Z1308" s="13">
        <f t="shared" si="1191"/>
        <v>-4.5999999999999999E-3</v>
      </c>
      <c r="AA1308" s="13">
        <f t="shared" si="1187"/>
        <v>-1.0500000000000001E-2</v>
      </c>
      <c r="AB1308" s="6">
        <f t="shared" si="1197"/>
        <v>106.441</v>
      </c>
      <c r="AC1308">
        <f t="shared" si="1189"/>
        <v>53</v>
      </c>
      <c r="AD1308" s="11">
        <f t="shared" si="1190"/>
        <v>2</v>
      </c>
      <c r="AE1308">
        <f t="shared" si="1188"/>
        <v>29</v>
      </c>
      <c r="AF1308">
        <f>IF(AND(AE1308&lt;15,OR(AC1308&gt;=30,AA1308&gt;0.15,X1308&gt;=0.15)),2,VLOOKUP(AE1308,Table!P:Q,2,FALSE))</f>
        <v>4</v>
      </c>
      <c r="AG1308" s="22">
        <f>IF((AB1308*0.98)-(D1308*0.8)+((AF1308-3)*3)+VLOOKUP(AM1308,Table!$A$11:$B$13,2,FALSE)&lt;0,0,(AB1308*0.98)-(D1308*0.8)+((AF1308-3)*3)+VLOOKUP(AM1308,Table!$A$11:$B$13,2,FALSE))</f>
        <v>105.92818</v>
      </c>
      <c r="AH1308" s="22">
        <f t="shared" si="1219"/>
        <v>100</v>
      </c>
      <c r="AI1308" s="18">
        <f t="shared" si="1212"/>
        <v>3.04</v>
      </c>
      <c r="AJ1308" s="18">
        <f t="shared" si="1213"/>
        <v>3.02</v>
      </c>
      <c r="AK1308" t="str">
        <f t="shared" si="1198"/>
        <v/>
      </c>
      <c r="AL1308">
        <f t="shared" si="1209"/>
        <v>29.5</v>
      </c>
      <c r="AM1308" s="11" t="str">
        <f t="shared" si="1199"/>
        <v>Stocks</v>
      </c>
      <c r="AN1308" t="str">
        <f t="shared" si="1205"/>
        <v>Buy</v>
      </c>
      <c r="AO1308" s="13">
        <f t="shared" si="1206"/>
        <v>3.3E-3</v>
      </c>
      <c r="AP1308" s="13">
        <f t="shared" si="1207"/>
        <v>5.9999999999999995E-4</v>
      </c>
      <c r="AQ1308" s="13">
        <f t="shared" si="1208"/>
        <v>3.3E-3</v>
      </c>
      <c r="AR1308" s="13">
        <f t="shared" si="1200"/>
        <v>3.3E-3</v>
      </c>
      <c r="AS1308" s="6">
        <f t="shared" si="1192"/>
        <v>111.73000984602776</v>
      </c>
      <c r="AT1308" s="6">
        <f t="shared" si="1193"/>
        <v>104.40283461380012</v>
      </c>
      <c r="AU1308" s="6">
        <f t="shared" si="1194"/>
        <v>111.36134875895448</v>
      </c>
      <c r="AV1308" s="6">
        <f t="shared" si="1195"/>
        <v>111.73000984602776</v>
      </c>
      <c r="AW1308" s="58">
        <f t="shared" si="1201"/>
        <v>1993</v>
      </c>
      <c r="AX1308" s="58">
        <f>COUNTIF(AW$3:AW1308,AW1308)</f>
        <v>21</v>
      </c>
    </row>
    <row r="1309" spans="1:50" x14ac:dyDescent="0.25">
      <c r="A1309" s="5">
        <v>34182</v>
      </c>
      <c r="B1309">
        <v>448.13</v>
      </c>
      <c r="C1309">
        <v>3.06</v>
      </c>
      <c r="D1309" s="6">
        <v>11.32</v>
      </c>
      <c r="E1309" s="18">
        <f t="shared" si="1214"/>
        <v>11.03</v>
      </c>
      <c r="F1309">
        <f t="shared" si="1215"/>
        <v>2</v>
      </c>
      <c r="G1309" s="18">
        <f>ROUND(INDEX(Valuation!U:U,MATCH(A1309,Valuation!A:A,0)),2)</f>
        <v>245.79</v>
      </c>
      <c r="H1309">
        <f t="shared" si="1222"/>
        <v>3</v>
      </c>
      <c r="I1309" s="18">
        <f>INDEX(WeeklyIndicators!Y:Y,MATCH(A1309,WeeklyIndicators!A:A,0))</f>
        <v>134.24</v>
      </c>
      <c r="J1309">
        <f t="shared" si="1211"/>
        <v>0</v>
      </c>
      <c r="K1309">
        <f>ROUND(INDEX(Economic!AF:AF,MATCH(EOMONTH($A1309,-1),Economic!A:A,0)),2)</f>
        <v>96.34</v>
      </c>
      <c r="L1309" s="11">
        <f t="shared" si="1220"/>
        <v>-1</v>
      </c>
      <c r="M1309">
        <f>ROUND(INDEX(Manufacturing!P:P,MATCH(EOMONTH($A1309,-1),Manufacturing!A:A,0)),2)</f>
        <v>88</v>
      </c>
      <c r="N1309">
        <f t="shared" si="1216"/>
        <v>0</v>
      </c>
      <c r="O1309">
        <f>ROUND(INDEX(Housing!AC:AC,MATCH(EOMONTH($A1309,-1),Housing!B:B,0)),2)</f>
        <v>82.41</v>
      </c>
      <c r="P1309">
        <f t="shared" si="1217"/>
        <v>-1</v>
      </c>
      <c r="Q1309">
        <f>ROUND(INDEX(Spending!AJ:AJ,MATCH(EOMONTH($A1309,-1),Spending!B:B,0)),2)</f>
        <v>52.72</v>
      </c>
      <c r="R1309">
        <f t="shared" si="1221"/>
        <v>1</v>
      </c>
      <c r="S1309">
        <f>ROUND(INDEX(Employment!V:V,MATCH(EOMONTH($A1309,-1),Employment!A:A,0)),2)</f>
        <v>169.45</v>
      </c>
      <c r="T1309" s="11">
        <f t="shared" si="1218"/>
        <v>1</v>
      </c>
      <c r="U1309">
        <f t="shared" si="1210"/>
        <v>25</v>
      </c>
      <c r="V1309">
        <f t="shared" si="1202"/>
        <v>69.959999999999994</v>
      </c>
      <c r="W1309" s="13">
        <f t="shared" si="1203"/>
        <v>-4.1999999999999997E-3</v>
      </c>
      <c r="X1309" s="13">
        <f t="shared" si="1204"/>
        <v>-2.35E-2</v>
      </c>
      <c r="Y1309">
        <f t="shared" si="1196"/>
        <v>87.82</v>
      </c>
      <c r="Z1309" s="13">
        <f t="shared" si="1191"/>
        <v>-2.8E-3</v>
      </c>
      <c r="AA1309" s="13">
        <f t="shared" si="1187"/>
        <v>-1.3000000000000001E-2</v>
      </c>
      <c r="AB1309" s="6">
        <f t="shared" si="1197"/>
        <v>106.12899999999999</v>
      </c>
      <c r="AC1309">
        <f t="shared" si="1189"/>
        <v>53</v>
      </c>
      <c r="AD1309" s="11">
        <f t="shared" si="1190"/>
        <v>2</v>
      </c>
      <c r="AE1309">
        <f t="shared" si="1188"/>
        <v>29</v>
      </c>
      <c r="AF1309">
        <f>IF(AND(AE1309&lt;15,OR(AC1309&gt;=30,AA1309&gt;0.15,X1309&gt;=0.15)),2,VLOOKUP(AE1309,Table!P:Q,2,FALSE))</f>
        <v>4</v>
      </c>
      <c r="AG1309" s="22">
        <f>IF((AB1309*0.98)-(D1309*0.8)+((AF1309-3)*3)+VLOOKUP(AM1309,Table!$A$11:$B$13,2,FALSE)&lt;0,0,(AB1309*0.98)-(D1309*0.8)+((AF1309-3)*3)+VLOOKUP(AM1309,Table!$A$11:$B$13,2,FALSE))</f>
        <v>105.95041999999999</v>
      </c>
      <c r="AH1309" s="22">
        <f t="shared" si="1219"/>
        <v>100</v>
      </c>
      <c r="AI1309" s="18">
        <f t="shared" si="1212"/>
        <v>3.02</v>
      </c>
      <c r="AJ1309" s="18">
        <f t="shared" si="1213"/>
        <v>3.02</v>
      </c>
      <c r="AK1309" t="str">
        <f t="shared" si="1198"/>
        <v/>
      </c>
      <c r="AL1309">
        <f t="shared" si="1209"/>
        <v>29.75</v>
      </c>
      <c r="AM1309" s="11" t="str">
        <f t="shared" si="1199"/>
        <v>Stocks</v>
      </c>
      <c r="AN1309" t="str">
        <f t="shared" si="1205"/>
        <v>Buy</v>
      </c>
      <c r="AO1309" s="13">
        <f t="shared" si="1206"/>
        <v>1.1999999999999999E-3</v>
      </c>
      <c r="AP1309" s="13">
        <f t="shared" si="1207"/>
        <v>5.9999999999999995E-4</v>
      </c>
      <c r="AQ1309" s="13">
        <f t="shared" si="1208"/>
        <v>1.1999999999999999E-3</v>
      </c>
      <c r="AR1309" s="13">
        <f t="shared" si="1200"/>
        <v>1.1999999999999999E-3</v>
      </c>
      <c r="AS1309" s="6">
        <f t="shared" si="1192"/>
        <v>111.59609453258864</v>
      </c>
      <c r="AT1309" s="6">
        <f t="shared" si="1193"/>
        <v>104.34023047551482</v>
      </c>
      <c r="AU1309" s="6">
        <f t="shared" si="1194"/>
        <v>111.22787530858416</v>
      </c>
      <c r="AV1309" s="6">
        <f t="shared" si="1195"/>
        <v>111.59609453258864</v>
      </c>
      <c r="AW1309" s="58">
        <f t="shared" si="1201"/>
        <v>1993</v>
      </c>
      <c r="AX1309" s="58">
        <f>COUNTIF(AW$3:AW1309,AW1309)</f>
        <v>22</v>
      </c>
    </row>
    <row r="1310" spans="1:50" x14ac:dyDescent="0.25">
      <c r="A1310" s="5">
        <v>34175</v>
      </c>
      <c r="B1310">
        <v>447.1</v>
      </c>
      <c r="C1310">
        <v>3.07</v>
      </c>
      <c r="D1310" s="6">
        <v>10.96</v>
      </c>
      <c r="E1310" s="18">
        <f t="shared" si="1214"/>
        <v>11.03</v>
      </c>
      <c r="F1310">
        <f t="shared" si="1215"/>
        <v>2</v>
      </c>
      <c r="G1310" s="18">
        <f>ROUND(INDEX(Valuation!U:U,MATCH(A1310,Valuation!A:A,0)),2)</f>
        <v>244.44</v>
      </c>
      <c r="H1310">
        <f t="shared" si="1222"/>
        <v>3</v>
      </c>
      <c r="I1310" s="18">
        <f>INDEX(WeeklyIndicators!Y:Y,MATCH(A1310,WeeklyIndicators!A:A,0))</f>
        <v>133.85</v>
      </c>
      <c r="J1310">
        <f t="shared" si="1211"/>
        <v>0</v>
      </c>
      <c r="K1310">
        <f>ROUND(INDEX(Economic!AF:AF,MATCH(EOMONTH($A1310,-1),Economic!A:A,0)),2)</f>
        <v>108.58</v>
      </c>
      <c r="L1310" s="11">
        <f t="shared" si="1220"/>
        <v>0</v>
      </c>
      <c r="M1310">
        <f>ROUND(INDEX(Manufacturing!P:P,MATCH(EOMONTH($A1310,-1),Manufacturing!A:A,0)),2)</f>
        <v>88.96</v>
      </c>
      <c r="N1310">
        <f t="shared" si="1216"/>
        <v>0</v>
      </c>
      <c r="O1310">
        <f>ROUND(INDEX(Housing!AC:AC,MATCH(EOMONTH($A1310,-1),Housing!B:B,0)),2)</f>
        <v>76.430000000000007</v>
      </c>
      <c r="P1310">
        <f t="shared" si="1217"/>
        <v>-1</v>
      </c>
      <c r="Q1310">
        <f>ROUND(INDEX(Spending!AJ:AJ,MATCH(EOMONTH($A1310,-1),Spending!B:B,0)),2)</f>
        <v>53.31</v>
      </c>
      <c r="R1310">
        <f t="shared" si="1221"/>
        <v>1</v>
      </c>
      <c r="S1310">
        <f>ROUND(INDEX(Employment!V:V,MATCH(EOMONTH($A1310,-1),Employment!A:A,0)),2)</f>
        <v>168.91</v>
      </c>
      <c r="T1310" s="11">
        <f t="shared" si="1218"/>
        <v>1</v>
      </c>
      <c r="U1310">
        <f t="shared" si="1210"/>
        <v>26</v>
      </c>
      <c r="V1310">
        <f t="shared" si="1202"/>
        <v>71.38</v>
      </c>
      <c r="W1310" s="13">
        <f t="shared" si="1203"/>
        <v>3.3E-3</v>
      </c>
      <c r="X1310" s="13">
        <f t="shared" si="1204"/>
        <v>-3.39E-2</v>
      </c>
      <c r="Y1310">
        <f t="shared" si="1196"/>
        <v>89.08</v>
      </c>
      <c r="Z1310" s="13">
        <f t="shared" si="1191"/>
        <v>3.3E-3</v>
      </c>
      <c r="AA1310" s="13">
        <f t="shared" si="1187"/>
        <v>-1.7899999999999999E-2</v>
      </c>
      <c r="AB1310" s="6">
        <f t="shared" si="1197"/>
        <v>106.864</v>
      </c>
      <c r="AC1310">
        <f t="shared" si="1189"/>
        <v>53</v>
      </c>
      <c r="AD1310" s="11">
        <f t="shared" si="1190"/>
        <v>2</v>
      </c>
      <c r="AE1310">
        <f t="shared" si="1188"/>
        <v>30</v>
      </c>
      <c r="AF1310">
        <f>IF(AND(AE1310&lt;15,OR(AC1310&gt;=30,AA1310&gt;0.15,X1310&gt;=0.15)),2,VLOOKUP(AE1310,Table!P:Q,2,FALSE))</f>
        <v>4</v>
      </c>
      <c r="AG1310" s="22">
        <f>IF((AB1310*0.98)-(D1310*0.8)+((AF1310-3)*3)+VLOOKUP(AM1310,Table!$A$11:$B$13,2,FALSE)&lt;0,0,(AB1310*0.98)-(D1310*0.8)+((AF1310-3)*3)+VLOOKUP(AM1310,Table!$A$11:$B$13,2,FALSE))</f>
        <v>106.95872</v>
      </c>
      <c r="AH1310" s="22">
        <f t="shared" si="1219"/>
        <v>100</v>
      </c>
      <c r="AI1310" s="18">
        <f t="shared" si="1212"/>
        <v>3.01</v>
      </c>
      <c r="AJ1310" s="18">
        <f t="shared" si="1213"/>
        <v>3.02</v>
      </c>
      <c r="AK1310" t="str">
        <f t="shared" si="1198"/>
        <v/>
      </c>
      <c r="AL1310">
        <f t="shared" si="1209"/>
        <v>30</v>
      </c>
      <c r="AM1310" s="11" t="str">
        <f t="shared" si="1199"/>
        <v>Stocks</v>
      </c>
      <c r="AN1310" t="str">
        <f t="shared" si="1205"/>
        <v>Buy</v>
      </c>
      <c r="AO1310" s="13">
        <f t="shared" si="1206"/>
        <v>2.3E-3</v>
      </c>
      <c r="AP1310" s="13">
        <f t="shared" si="1207"/>
        <v>5.9999999999999995E-4</v>
      </c>
      <c r="AQ1310" s="13">
        <f t="shared" si="1208"/>
        <v>2.3E-3</v>
      </c>
      <c r="AR1310" s="13">
        <f t="shared" si="1200"/>
        <v>2.3E-3</v>
      </c>
      <c r="AS1310" s="6">
        <f t="shared" si="1192"/>
        <v>111.34001250382983</v>
      </c>
      <c r="AT1310" s="6">
        <f t="shared" si="1193"/>
        <v>104.2776638771885</v>
      </c>
      <c r="AU1310" s="6">
        <f t="shared" si="1194"/>
        <v>110.97263824063072</v>
      </c>
      <c r="AV1310" s="6">
        <f t="shared" si="1195"/>
        <v>111.34001250382983</v>
      </c>
      <c r="AW1310" s="58">
        <f t="shared" si="1201"/>
        <v>1993</v>
      </c>
      <c r="AX1310" s="58">
        <f>COUNTIF(AW$3:AW1310,AW1310)</f>
        <v>23</v>
      </c>
    </row>
    <row r="1311" spans="1:50" x14ac:dyDescent="0.25">
      <c r="A1311" s="5">
        <v>34168</v>
      </c>
      <c r="B1311">
        <v>445.75</v>
      </c>
      <c r="C1311">
        <v>3.02</v>
      </c>
      <c r="D1311" s="6">
        <v>10.8</v>
      </c>
      <c r="E1311" s="18">
        <f t="shared" si="1214"/>
        <v>11.13</v>
      </c>
      <c r="F1311">
        <f t="shared" si="1215"/>
        <v>2</v>
      </c>
      <c r="G1311" s="18">
        <f>ROUND(INDEX(Valuation!U:U,MATCH(A1311,Valuation!A:A,0)),2)</f>
        <v>245.76</v>
      </c>
      <c r="H1311">
        <f t="shared" si="1222"/>
        <v>3</v>
      </c>
      <c r="I1311" s="18">
        <f>INDEX(WeeklyIndicators!Y:Y,MATCH(A1311,WeeklyIndicators!A:A,0))</f>
        <v>132.06</v>
      </c>
      <c r="J1311">
        <f t="shared" si="1211"/>
        <v>0</v>
      </c>
      <c r="K1311">
        <f>ROUND(INDEX(Economic!AF:AF,MATCH(EOMONTH($A1311,-1),Economic!A:A,0)),2)</f>
        <v>108.58</v>
      </c>
      <c r="L1311" s="11">
        <f t="shared" si="1220"/>
        <v>0</v>
      </c>
      <c r="M1311">
        <f>ROUND(INDEX(Manufacturing!P:P,MATCH(EOMONTH($A1311,-1),Manufacturing!A:A,0)),2)</f>
        <v>88.96</v>
      </c>
      <c r="N1311">
        <f t="shared" si="1216"/>
        <v>0</v>
      </c>
      <c r="O1311">
        <f>ROUND(INDEX(Housing!AC:AC,MATCH(EOMONTH($A1311,-1),Housing!B:B,0)),2)</f>
        <v>76.430000000000007</v>
      </c>
      <c r="P1311">
        <f t="shared" si="1217"/>
        <v>-1</v>
      </c>
      <c r="Q1311">
        <f>ROUND(INDEX(Spending!AJ:AJ,MATCH(EOMONTH($A1311,-1),Spending!B:B,0)),2)</f>
        <v>53.31</v>
      </c>
      <c r="R1311">
        <f t="shared" si="1221"/>
        <v>1</v>
      </c>
      <c r="S1311">
        <f>ROUND(INDEX(Employment!V:V,MATCH(EOMONTH($A1311,-1),Employment!A:A,0)),2)</f>
        <v>168.91</v>
      </c>
      <c r="T1311" s="11">
        <f t="shared" si="1218"/>
        <v>1</v>
      </c>
      <c r="U1311">
        <f t="shared" si="1210"/>
        <v>26</v>
      </c>
      <c r="V1311">
        <f t="shared" si="1202"/>
        <v>71.19</v>
      </c>
      <c r="W1311" s="13">
        <f t="shared" si="1203"/>
        <v>-1.03E-2</v>
      </c>
      <c r="X1311" s="13">
        <f t="shared" si="1204"/>
        <v>-4.0900000000000006E-2</v>
      </c>
      <c r="Y1311">
        <f t="shared" si="1196"/>
        <v>89</v>
      </c>
      <c r="Z1311" s="13">
        <f t="shared" si="1191"/>
        <v>-6.4000000000000003E-3</v>
      </c>
      <c r="AA1311" s="13">
        <f t="shared" si="1187"/>
        <v>-1.8300000000000004E-2</v>
      </c>
      <c r="AB1311" s="6">
        <f t="shared" si="1197"/>
        <v>106.816</v>
      </c>
      <c r="AC1311">
        <f t="shared" si="1189"/>
        <v>53</v>
      </c>
      <c r="AD1311" s="11">
        <f t="shared" si="1190"/>
        <v>2</v>
      </c>
      <c r="AE1311">
        <f t="shared" si="1188"/>
        <v>30</v>
      </c>
      <c r="AF1311">
        <f>IF(AND(AE1311&lt;15,OR(AC1311&gt;=30,AA1311&gt;0.15,X1311&gt;=0.15)),2,VLOOKUP(AE1311,Table!P:Q,2,FALSE))</f>
        <v>4</v>
      </c>
      <c r="AG1311" s="22">
        <f>IF((AB1311*0.98)-(D1311*0.8)+((AF1311-3)*3)+VLOOKUP(AM1311,Table!$A$11:$B$13,2,FALSE)&lt;0,0,(AB1311*0.98)-(D1311*0.8)+((AF1311-3)*3)+VLOOKUP(AM1311,Table!$A$11:$B$13,2,FALSE))</f>
        <v>107.03968</v>
      </c>
      <c r="AH1311" s="22">
        <f t="shared" si="1219"/>
        <v>100</v>
      </c>
      <c r="AI1311" s="18">
        <f t="shared" si="1212"/>
        <v>2.99</v>
      </c>
      <c r="AJ1311" s="18">
        <f t="shared" si="1213"/>
        <v>3.02</v>
      </c>
      <c r="AK1311" t="str">
        <f t="shared" si="1198"/>
        <v/>
      </c>
      <c r="AL1311">
        <f t="shared" si="1209"/>
        <v>30.5</v>
      </c>
      <c r="AM1311" s="11" t="str">
        <f t="shared" si="1199"/>
        <v>Stocks</v>
      </c>
      <c r="AN1311" t="str">
        <f t="shared" si="1205"/>
        <v>Buy</v>
      </c>
      <c r="AO1311" s="13">
        <f t="shared" si="1206"/>
        <v>3.0000000000000001E-3</v>
      </c>
      <c r="AP1311" s="13">
        <f t="shared" si="1207"/>
        <v>5.9999999999999995E-4</v>
      </c>
      <c r="AQ1311" s="13">
        <f t="shared" si="1208"/>
        <v>3.0000000000000001E-3</v>
      </c>
      <c r="AR1311" s="13">
        <f t="shared" si="1200"/>
        <v>3.0000000000000001E-3</v>
      </c>
      <c r="AS1311" s="6">
        <f t="shared" si="1192"/>
        <v>111.00699152924211</v>
      </c>
      <c r="AT1311" s="6">
        <f t="shared" si="1193"/>
        <v>104.21513479631072</v>
      </c>
      <c r="AU1311" s="6">
        <f t="shared" si="1194"/>
        <v>110.64071609235367</v>
      </c>
      <c r="AV1311" s="6">
        <f t="shared" si="1195"/>
        <v>111.00699152924211</v>
      </c>
      <c r="AW1311" s="58">
        <f t="shared" si="1201"/>
        <v>1993</v>
      </c>
      <c r="AX1311" s="58">
        <f>COUNTIF(AW$3:AW1311,AW1311)</f>
        <v>24</v>
      </c>
    </row>
    <row r="1312" spans="1:50" x14ac:dyDescent="0.25">
      <c r="A1312" s="5">
        <v>34161</v>
      </c>
      <c r="B1312">
        <v>448.11</v>
      </c>
      <c r="C1312">
        <v>3.02</v>
      </c>
      <c r="D1312" s="6">
        <v>11.33</v>
      </c>
      <c r="E1312" s="18">
        <f t="shared" si="1214"/>
        <v>11.61</v>
      </c>
      <c r="F1312">
        <f t="shared" si="1215"/>
        <v>2</v>
      </c>
      <c r="G1312" s="18">
        <f>ROUND(INDEX(Valuation!U:U,MATCH(A1312,Valuation!A:A,0)),2)</f>
        <v>246.29</v>
      </c>
      <c r="H1312">
        <f t="shared" si="1222"/>
        <v>3</v>
      </c>
      <c r="I1312" s="18">
        <f>INDEX(WeeklyIndicators!Y:Y,MATCH(A1312,WeeklyIndicators!A:A,0))</f>
        <v>128.91</v>
      </c>
      <c r="J1312">
        <f t="shared" si="1211"/>
        <v>0</v>
      </c>
      <c r="K1312">
        <f>ROUND(INDEX(Economic!AF:AF,MATCH(EOMONTH($A1312,-1),Economic!A:A,0)),2)</f>
        <v>108.58</v>
      </c>
      <c r="L1312" s="11">
        <f t="shared" si="1220"/>
        <v>0</v>
      </c>
      <c r="M1312">
        <f>ROUND(INDEX(Manufacturing!P:P,MATCH(EOMONTH($A1312,-1),Manufacturing!A:A,0)),2)</f>
        <v>88.96</v>
      </c>
      <c r="N1312">
        <f t="shared" si="1216"/>
        <v>0</v>
      </c>
      <c r="O1312">
        <f>ROUND(INDEX(Housing!AC:AC,MATCH(EOMONTH($A1312,-1),Housing!B:B,0)),2)</f>
        <v>76.430000000000007</v>
      </c>
      <c r="P1312">
        <f t="shared" si="1217"/>
        <v>-1</v>
      </c>
      <c r="Q1312">
        <f>ROUND(INDEX(Spending!AJ:AJ,MATCH(EOMONTH($A1312,-1),Spending!B:B,0)),2)</f>
        <v>53.31</v>
      </c>
      <c r="R1312">
        <f t="shared" si="1221"/>
        <v>1</v>
      </c>
      <c r="S1312">
        <f>ROUND(INDEX(Employment!V:V,MATCH(EOMONTH($A1312,-1),Employment!A:A,0)),2)</f>
        <v>168.91</v>
      </c>
      <c r="T1312" s="11">
        <f t="shared" si="1218"/>
        <v>1</v>
      </c>
      <c r="U1312">
        <f t="shared" si="1210"/>
        <v>26</v>
      </c>
      <c r="V1312">
        <f t="shared" si="1202"/>
        <v>70.86</v>
      </c>
      <c r="W1312" s="13">
        <f t="shared" si="1203"/>
        <v>-1.23E-2</v>
      </c>
      <c r="X1312" s="13">
        <f t="shared" si="1204"/>
        <v>-4.58E-2</v>
      </c>
      <c r="Y1312">
        <f t="shared" si="1196"/>
        <v>88.57</v>
      </c>
      <c r="Z1312" s="13">
        <f t="shared" si="1191"/>
        <v>-7.1000000000000004E-3</v>
      </c>
      <c r="AA1312" s="13">
        <f t="shared" si="1187"/>
        <v>-1.9400000000000001E-2</v>
      </c>
      <c r="AB1312" s="6">
        <f t="shared" si="1197"/>
        <v>106.29900000000001</v>
      </c>
      <c r="AC1312">
        <f t="shared" si="1189"/>
        <v>53</v>
      </c>
      <c r="AD1312" s="11">
        <f t="shared" si="1190"/>
        <v>2</v>
      </c>
      <c r="AE1312">
        <f t="shared" si="1188"/>
        <v>30</v>
      </c>
      <c r="AF1312">
        <f>IF(AND(AE1312&lt;15,OR(AC1312&gt;=30,AA1312&gt;0.15,X1312&gt;=0.15)),2,VLOOKUP(AE1312,Table!P:Q,2,FALSE))</f>
        <v>4</v>
      </c>
      <c r="AG1312" s="22">
        <f>IF((AB1312*0.98)-(D1312*0.8)+((AF1312-3)*3)+VLOOKUP(AM1312,Table!$A$11:$B$13,2,FALSE)&lt;0,0,(AB1312*0.98)-(D1312*0.8)+((AF1312-3)*3)+VLOOKUP(AM1312,Table!$A$11:$B$13,2,FALSE))</f>
        <v>106.10902000000002</v>
      </c>
      <c r="AH1312" s="22">
        <f t="shared" si="1219"/>
        <v>100</v>
      </c>
      <c r="AI1312" s="18">
        <f t="shared" si="1212"/>
        <v>2.98</v>
      </c>
      <c r="AJ1312" s="18">
        <f t="shared" si="1213"/>
        <v>3.01</v>
      </c>
      <c r="AK1312" t="str">
        <f t="shared" si="1198"/>
        <v/>
      </c>
      <c r="AL1312">
        <f t="shared" si="1209"/>
        <v>31</v>
      </c>
      <c r="AM1312" s="11" t="str">
        <f t="shared" si="1199"/>
        <v>Stocks</v>
      </c>
      <c r="AN1312" t="str">
        <f t="shared" si="1205"/>
        <v>Buy</v>
      </c>
      <c r="AO1312" s="13">
        <f t="shared" si="1206"/>
        <v>-5.3E-3</v>
      </c>
      <c r="AP1312" s="13">
        <f t="shared" si="1207"/>
        <v>5.9999999999999995E-4</v>
      </c>
      <c r="AQ1312" s="13">
        <f t="shared" si="1208"/>
        <v>-5.3E-3</v>
      </c>
      <c r="AR1312" s="13">
        <f t="shared" si="1200"/>
        <v>-5.3E-3</v>
      </c>
      <c r="AS1312" s="6">
        <f t="shared" si="1192"/>
        <v>111.59846338518358</v>
      </c>
      <c r="AT1312" s="6">
        <f t="shared" si="1193"/>
        <v>104.1526432103845</v>
      </c>
      <c r="AU1312" s="6">
        <f t="shared" si="1194"/>
        <v>111.23023634498207</v>
      </c>
      <c r="AV1312" s="6">
        <f t="shared" si="1195"/>
        <v>111.59846338518358</v>
      </c>
      <c r="AW1312" s="58">
        <f t="shared" si="1201"/>
        <v>1993</v>
      </c>
      <c r="AX1312" s="58">
        <f>COUNTIF(AW$3:AW1312,AW1312)</f>
        <v>25</v>
      </c>
    </row>
    <row r="1313" spans="1:50" x14ac:dyDescent="0.25">
      <c r="A1313" s="5">
        <v>34154</v>
      </c>
      <c r="B1313">
        <v>445.84</v>
      </c>
      <c r="C1313">
        <v>3.01</v>
      </c>
      <c r="D1313" s="6">
        <v>11.25</v>
      </c>
      <c r="E1313" s="18">
        <f t="shared" si="1214"/>
        <v>12.07</v>
      </c>
      <c r="F1313">
        <f t="shared" si="1215"/>
        <v>2</v>
      </c>
      <c r="G1313" s="18">
        <f>ROUND(INDEX(Valuation!U:U,MATCH(A1313,Valuation!A:A,0)),2)</f>
        <v>246.19</v>
      </c>
      <c r="H1313">
        <f t="shared" si="1222"/>
        <v>3</v>
      </c>
      <c r="I1313" s="18">
        <f>INDEX(WeeklyIndicators!Y:Y,MATCH(A1313,WeeklyIndicators!A:A,0))</f>
        <v>127.11</v>
      </c>
      <c r="J1313">
        <f t="shared" si="1211"/>
        <v>0</v>
      </c>
      <c r="K1313">
        <f>ROUND(INDEX(Economic!AF:AF,MATCH(EOMONTH($A1313,-1),Economic!A:A,0)),2)</f>
        <v>108.58</v>
      </c>
      <c r="L1313" s="11">
        <f t="shared" si="1220"/>
        <v>0</v>
      </c>
      <c r="M1313">
        <f>ROUND(INDEX(Manufacturing!P:P,MATCH(EOMONTH($A1313,-1),Manufacturing!A:A,0)),2)</f>
        <v>88.96</v>
      </c>
      <c r="N1313">
        <f t="shared" si="1216"/>
        <v>0</v>
      </c>
      <c r="O1313">
        <f>ROUND(INDEX(Housing!AC:AC,MATCH(EOMONTH($A1313,-1),Housing!B:B,0)),2)</f>
        <v>76.430000000000007</v>
      </c>
      <c r="P1313">
        <f t="shared" si="1217"/>
        <v>-1</v>
      </c>
      <c r="Q1313">
        <f>ROUND(INDEX(Spending!AJ:AJ,MATCH(EOMONTH($A1313,-1),Spending!B:B,0)),2)</f>
        <v>53.31</v>
      </c>
      <c r="R1313">
        <f t="shared" si="1221"/>
        <v>1</v>
      </c>
      <c r="S1313">
        <f>ROUND(INDEX(Employment!V:V,MATCH(EOMONTH($A1313,-1),Employment!A:A,0)),2)</f>
        <v>168.91</v>
      </c>
      <c r="T1313" s="11">
        <f t="shared" si="1218"/>
        <v>1</v>
      </c>
      <c r="U1313">
        <f t="shared" si="1210"/>
        <v>26</v>
      </c>
      <c r="V1313">
        <f t="shared" si="1202"/>
        <v>70.680000000000007</v>
      </c>
      <c r="W1313" s="13">
        <f t="shared" si="1203"/>
        <v>-1.46E-2</v>
      </c>
      <c r="X1313" s="13">
        <f t="shared" si="1204"/>
        <v>-4.53E-2</v>
      </c>
      <c r="Y1313">
        <f t="shared" si="1196"/>
        <v>88.21</v>
      </c>
      <c r="Z1313" s="13">
        <f t="shared" si="1191"/>
        <v>-7.7000000000000002E-3</v>
      </c>
      <c r="AA1313" s="13">
        <f t="shared" si="1187"/>
        <v>-0.02</v>
      </c>
      <c r="AB1313" s="6">
        <f t="shared" si="1197"/>
        <v>105.889</v>
      </c>
      <c r="AC1313">
        <f t="shared" si="1189"/>
        <v>53</v>
      </c>
      <c r="AD1313" s="11">
        <f t="shared" si="1190"/>
        <v>2</v>
      </c>
      <c r="AE1313">
        <f t="shared" si="1188"/>
        <v>30</v>
      </c>
      <c r="AF1313">
        <f>IF(AND(AE1313&lt;15,OR(AC1313&gt;=30,AA1313&gt;0.15,X1313&gt;=0.15)),2,VLOOKUP(AE1313,Table!P:Q,2,FALSE))</f>
        <v>4</v>
      </c>
      <c r="AG1313" s="22">
        <f>IF((AB1313*0.98)-(D1313*0.8)+((AF1313-3)*3)+VLOOKUP(AM1313,Table!$A$11:$B$13,2,FALSE)&lt;0,0,(AB1313*0.98)-(D1313*0.8)+((AF1313-3)*3)+VLOOKUP(AM1313,Table!$A$11:$B$13,2,FALSE))</f>
        <v>105.77122</v>
      </c>
      <c r="AH1313" s="22">
        <f t="shared" si="1219"/>
        <v>100</v>
      </c>
      <c r="AI1313" s="18">
        <f t="shared" si="1212"/>
        <v>2.97</v>
      </c>
      <c r="AJ1313" s="18">
        <f t="shared" si="1213"/>
        <v>3.01</v>
      </c>
      <c r="AK1313" t="str">
        <f t="shared" si="1198"/>
        <v/>
      </c>
      <c r="AL1313">
        <f t="shared" si="1209"/>
        <v>31.5</v>
      </c>
      <c r="AM1313" s="11" t="str">
        <f t="shared" si="1199"/>
        <v>Stocks</v>
      </c>
      <c r="AN1313" t="str">
        <f t="shared" si="1205"/>
        <v>Buy</v>
      </c>
      <c r="AO1313" s="13">
        <f t="shared" si="1206"/>
        <v>5.1000000000000004E-3</v>
      </c>
      <c r="AP1313" s="13">
        <f t="shared" si="1207"/>
        <v>5.9999999999999995E-4</v>
      </c>
      <c r="AQ1313" s="13">
        <f t="shared" si="1208"/>
        <v>5.1000000000000004E-3</v>
      </c>
      <c r="AR1313" s="13">
        <f t="shared" si="1200"/>
        <v>5.1000000000000004E-3</v>
      </c>
      <c r="AS1313" s="6">
        <f t="shared" si="1192"/>
        <v>111.03219916941953</v>
      </c>
      <c r="AT1313" s="6">
        <f t="shared" si="1193"/>
        <v>104.09018909692635</v>
      </c>
      <c r="AU1313" s="6">
        <f t="shared" si="1194"/>
        <v>110.66584055813557</v>
      </c>
      <c r="AV1313" s="6">
        <f t="shared" si="1195"/>
        <v>111.03219916941953</v>
      </c>
      <c r="AW1313" s="58">
        <f t="shared" si="1201"/>
        <v>1993</v>
      </c>
      <c r="AX1313" s="58">
        <f>COUNTIF(AW$3:AW1313,AW1313)</f>
        <v>26</v>
      </c>
    </row>
    <row r="1314" spans="1:50" x14ac:dyDescent="0.25">
      <c r="A1314" s="5">
        <v>34147</v>
      </c>
      <c r="B1314">
        <v>447.6</v>
      </c>
      <c r="C1314">
        <v>3.09</v>
      </c>
      <c r="D1314" s="6">
        <v>12.24</v>
      </c>
      <c r="E1314" s="18">
        <f t="shared" si="1214"/>
        <v>12.6</v>
      </c>
      <c r="F1314">
        <f t="shared" si="1215"/>
        <v>2</v>
      </c>
      <c r="G1314" s="18">
        <f>ROUND(INDEX(Valuation!U:U,MATCH(A1314,Valuation!A:A,0)),2)</f>
        <v>245.81</v>
      </c>
      <c r="H1314">
        <f t="shared" si="1222"/>
        <v>3</v>
      </c>
      <c r="I1314" s="18">
        <f>INDEX(WeeklyIndicators!Y:Y,MATCH(A1314,WeeklyIndicators!A:A,0))</f>
        <v>126.78</v>
      </c>
      <c r="J1314">
        <f t="shared" si="1211"/>
        <v>0</v>
      </c>
      <c r="K1314">
        <f>ROUND(INDEX(Economic!AF:AF,MATCH(EOMONTH($A1314,-1),Economic!A:A,0)),2)</f>
        <v>121.1</v>
      </c>
      <c r="L1314" s="11">
        <f t="shared" si="1220"/>
        <v>1</v>
      </c>
      <c r="M1314">
        <f>ROUND(INDEX(Manufacturing!P:P,MATCH(EOMONTH($A1314,-1),Manufacturing!A:A,0)),2)</f>
        <v>96.06</v>
      </c>
      <c r="N1314">
        <f t="shared" si="1216"/>
        <v>1</v>
      </c>
      <c r="O1314">
        <f>ROUND(INDEX(Housing!AC:AC,MATCH(EOMONTH($A1314,-1),Housing!B:B,0)),2)</f>
        <v>76.33</v>
      </c>
      <c r="P1314">
        <f t="shared" si="1217"/>
        <v>-1</v>
      </c>
      <c r="Q1314">
        <f>ROUND(INDEX(Spending!AJ:AJ,MATCH(EOMONTH($A1314,-1),Spending!B:B,0)),2)</f>
        <v>56.36</v>
      </c>
      <c r="R1314">
        <f t="shared" si="1221"/>
        <v>1</v>
      </c>
      <c r="S1314">
        <f>ROUND(INDEX(Employment!V:V,MATCH(EOMONTH($A1314,-1),Employment!A:A,0)),2)</f>
        <v>165.9</v>
      </c>
      <c r="T1314" s="11">
        <f t="shared" si="1218"/>
        <v>1</v>
      </c>
      <c r="U1314">
        <f t="shared" si="1210"/>
        <v>28</v>
      </c>
      <c r="V1314">
        <f t="shared" si="1202"/>
        <v>73.400000000000006</v>
      </c>
      <c r="W1314" s="13">
        <f t="shared" si="1203"/>
        <v>-3.7000000000000002E-3</v>
      </c>
      <c r="X1314" s="13">
        <f t="shared" si="1204"/>
        <v>-3.9300000000000002E-2</v>
      </c>
      <c r="Y1314">
        <f t="shared" si="1196"/>
        <v>90.7</v>
      </c>
      <c r="Z1314" s="13">
        <f t="shared" si="1191"/>
        <v>2.8999999999999998E-3</v>
      </c>
      <c r="AA1314" s="13">
        <f t="shared" si="1187"/>
        <v>-2.12E-2</v>
      </c>
      <c r="AB1314" s="6">
        <f t="shared" si="1197"/>
        <v>108.411</v>
      </c>
      <c r="AC1314">
        <f t="shared" si="1189"/>
        <v>54</v>
      </c>
      <c r="AD1314" s="11">
        <f t="shared" si="1190"/>
        <v>2</v>
      </c>
      <c r="AE1314">
        <f t="shared" si="1188"/>
        <v>32</v>
      </c>
      <c r="AF1314">
        <f>IF(AND(AE1314&lt;15,OR(AC1314&gt;=30,AA1314&gt;0.15,X1314&gt;=0.15)),2,VLOOKUP(AE1314,Table!P:Q,2,FALSE))</f>
        <v>5</v>
      </c>
      <c r="AG1314" s="22">
        <f>IF((AB1314*0.98)-(D1314*0.8)+((AF1314-3)*3)+VLOOKUP(AM1314,Table!$A$11:$B$13,2,FALSE)&lt;0,0,(AB1314*0.98)-(D1314*0.8)+((AF1314-3)*3)+VLOOKUP(AM1314,Table!$A$11:$B$13,2,FALSE))</f>
        <v>110.45077999999999</v>
      </c>
      <c r="AH1314" s="22">
        <f t="shared" si="1219"/>
        <v>100</v>
      </c>
      <c r="AI1314" s="18">
        <f t="shared" si="1212"/>
        <v>2.96</v>
      </c>
      <c r="AJ1314" s="18">
        <f t="shared" si="1213"/>
        <v>3</v>
      </c>
      <c r="AK1314" t="str">
        <f t="shared" si="1198"/>
        <v/>
      </c>
      <c r="AL1314">
        <f t="shared" si="1209"/>
        <v>31.75</v>
      </c>
      <c r="AM1314" s="11" t="str">
        <f t="shared" si="1199"/>
        <v>Stocks</v>
      </c>
      <c r="AN1314" t="str">
        <f t="shared" si="1205"/>
        <v>Buy</v>
      </c>
      <c r="AO1314" s="13">
        <f t="shared" si="1206"/>
        <v>-3.8999999999999998E-3</v>
      </c>
      <c r="AP1314" s="13">
        <f t="shared" si="1207"/>
        <v>5.9999999999999995E-4</v>
      </c>
      <c r="AQ1314" s="13">
        <f t="shared" si="1208"/>
        <v>-3.8999999999999998E-3</v>
      </c>
      <c r="AR1314" s="13">
        <f t="shared" si="1200"/>
        <v>-3.8999999999999998E-3</v>
      </c>
      <c r="AS1314" s="6">
        <f t="shared" si="1192"/>
        <v>111.46692015803588</v>
      </c>
      <c r="AT1314" s="6">
        <f t="shared" si="1193"/>
        <v>104.02777243346628</v>
      </c>
      <c r="AU1314" s="6">
        <f t="shared" si="1194"/>
        <v>111.09912715403631</v>
      </c>
      <c r="AV1314" s="6">
        <f t="shared" si="1195"/>
        <v>111.46692015803588</v>
      </c>
      <c r="AW1314" s="58">
        <f t="shared" si="1201"/>
        <v>1993</v>
      </c>
      <c r="AX1314" s="58">
        <f>COUNTIF(AW$3:AW1314,AW1314)</f>
        <v>27</v>
      </c>
    </row>
    <row r="1315" spans="1:50" x14ac:dyDescent="0.25">
      <c r="A1315" s="5">
        <v>34140</v>
      </c>
      <c r="B1315">
        <v>443.68</v>
      </c>
      <c r="C1315">
        <v>3.05</v>
      </c>
      <c r="D1315" s="6">
        <v>12.71</v>
      </c>
      <c r="E1315" s="18">
        <f t="shared" si="1214"/>
        <v>13.01</v>
      </c>
      <c r="F1315">
        <f t="shared" si="1215"/>
        <v>2</v>
      </c>
      <c r="G1315" s="18">
        <f>ROUND(INDEX(Valuation!U:U,MATCH(A1315,Valuation!A:A,0)),2)</f>
        <v>243.69</v>
      </c>
      <c r="H1315">
        <f t="shared" si="1222"/>
        <v>3</v>
      </c>
      <c r="I1315" s="18">
        <f>INDEX(WeeklyIndicators!Y:Y,MATCH(A1315,WeeklyIndicators!A:A,0))</f>
        <v>128.16</v>
      </c>
      <c r="J1315">
        <f t="shared" si="1211"/>
        <v>0</v>
      </c>
      <c r="K1315">
        <f>ROUND(INDEX(Economic!AF:AF,MATCH(EOMONTH($A1315,-1),Economic!A:A,0)),2)</f>
        <v>121.1</v>
      </c>
      <c r="L1315" s="11">
        <f t="shared" si="1220"/>
        <v>1</v>
      </c>
      <c r="M1315">
        <f>ROUND(INDEX(Manufacturing!P:P,MATCH(EOMONTH($A1315,-1),Manufacturing!A:A,0)),2)</f>
        <v>96.06</v>
      </c>
      <c r="N1315">
        <f t="shared" si="1216"/>
        <v>1</v>
      </c>
      <c r="O1315">
        <f>ROUND(INDEX(Housing!AC:AC,MATCH(EOMONTH($A1315,-1),Housing!B:B,0)),2)</f>
        <v>76.33</v>
      </c>
      <c r="P1315">
        <f t="shared" si="1217"/>
        <v>-1</v>
      </c>
      <c r="Q1315">
        <f>ROUND(INDEX(Spending!AJ:AJ,MATCH(EOMONTH($A1315,-1),Spending!B:B,0)),2)</f>
        <v>56.36</v>
      </c>
      <c r="R1315">
        <f t="shared" si="1221"/>
        <v>1</v>
      </c>
      <c r="S1315">
        <f>ROUND(INDEX(Employment!V:V,MATCH(EOMONTH($A1315,-1),Employment!A:A,0)),2)</f>
        <v>165.9</v>
      </c>
      <c r="T1315" s="11">
        <f t="shared" si="1218"/>
        <v>1</v>
      </c>
      <c r="U1315">
        <f t="shared" si="1210"/>
        <v>28</v>
      </c>
      <c r="V1315">
        <f t="shared" si="1202"/>
        <v>73.540000000000006</v>
      </c>
      <c r="W1315" s="13">
        <f t="shared" si="1203"/>
        <v>-1.52E-2</v>
      </c>
      <c r="X1315" s="13">
        <f t="shared" si="1204"/>
        <v>-3.2500000000000001E-2</v>
      </c>
      <c r="Y1315">
        <f t="shared" si="1196"/>
        <v>90.47</v>
      </c>
      <c r="Z1315" s="13">
        <f t="shared" si="1191"/>
        <v>-7.4999999999999997E-3</v>
      </c>
      <c r="AA1315" s="13">
        <f t="shared" si="1187"/>
        <v>-2.4899999999999999E-2</v>
      </c>
      <c r="AB1315" s="6">
        <f t="shared" si="1197"/>
        <v>107.79900000000001</v>
      </c>
      <c r="AC1315">
        <f t="shared" si="1189"/>
        <v>54</v>
      </c>
      <c r="AD1315" s="11">
        <f t="shared" si="1190"/>
        <v>2</v>
      </c>
      <c r="AE1315">
        <f t="shared" si="1188"/>
        <v>32</v>
      </c>
      <c r="AF1315">
        <f>IF(AND(AE1315&lt;15,OR(AC1315&gt;=30,AA1315&gt;0.15,X1315&gt;=0.15)),2,VLOOKUP(AE1315,Table!P:Q,2,FALSE))</f>
        <v>5</v>
      </c>
      <c r="AG1315" s="22">
        <f>IF((AB1315*0.98)-(D1315*0.8)+((AF1315-3)*3)+VLOOKUP(AM1315,Table!$A$11:$B$13,2,FALSE)&lt;0,0,(AB1315*0.98)-(D1315*0.8)+((AF1315-3)*3)+VLOOKUP(AM1315,Table!$A$11:$B$13,2,FALSE))</f>
        <v>109.47502</v>
      </c>
      <c r="AH1315" s="22">
        <f t="shared" si="1219"/>
        <v>100</v>
      </c>
      <c r="AI1315" s="18">
        <f t="shared" si="1212"/>
        <v>2.95</v>
      </c>
      <c r="AJ1315" s="18">
        <f t="shared" si="1213"/>
        <v>2.99</v>
      </c>
      <c r="AK1315" t="str">
        <f t="shared" si="1198"/>
        <v/>
      </c>
      <c r="AL1315">
        <f t="shared" si="1209"/>
        <v>32.25</v>
      </c>
      <c r="AM1315" s="11" t="str">
        <f t="shared" si="1199"/>
        <v>Stocks</v>
      </c>
      <c r="AN1315" t="str">
        <f t="shared" si="1205"/>
        <v>Buy</v>
      </c>
      <c r="AO1315" s="13">
        <f t="shared" si="1206"/>
        <v>8.8000000000000005E-3</v>
      </c>
      <c r="AP1315" s="13">
        <f t="shared" si="1207"/>
        <v>5.9999999999999995E-4</v>
      </c>
      <c r="AQ1315" s="13">
        <f t="shared" si="1208"/>
        <v>8.8000000000000005E-3</v>
      </c>
      <c r="AR1315" s="13">
        <f t="shared" si="1200"/>
        <v>8.8000000000000005E-3</v>
      </c>
      <c r="AS1315" s="6">
        <f t="shared" si="1192"/>
        <v>110.49456795998799</v>
      </c>
      <c r="AT1315" s="6">
        <f t="shared" si="1193"/>
        <v>103.96539319754775</v>
      </c>
      <c r="AU1315" s="6">
        <f t="shared" si="1194"/>
        <v>110.12998330098763</v>
      </c>
      <c r="AV1315" s="6">
        <f t="shared" si="1195"/>
        <v>110.49456795998799</v>
      </c>
      <c r="AW1315" s="58">
        <f t="shared" si="1201"/>
        <v>1993</v>
      </c>
      <c r="AX1315" s="58">
        <f>COUNTIF(AW$3:AW1315,AW1315)</f>
        <v>28</v>
      </c>
    </row>
    <row r="1316" spans="1:50" x14ac:dyDescent="0.25">
      <c r="A1316" s="5">
        <v>34133</v>
      </c>
      <c r="B1316">
        <v>447.26</v>
      </c>
      <c r="C1316">
        <v>3.1</v>
      </c>
      <c r="D1316" s="6">
        <v>12.86</v>
      </c>
      <c r="E1316" s="18">
        <f t="shared" si="1214"/>
        <v>13.61</v>
      </c>
      <c r="F1316">
        <f t="shared" si="1215"/>
        <v>2</v>
      </c>
      <c r="G1316" s="18">
        <f>ROUND(INDEX(Valuation!U:U,MATCH(A1316,Valuation!A:A,0)),2)</f>
        <v>240.79</v>
      </c>
      <c r="H1316">
        <f t="shared" si="1222"/>
        <v>3</v>
      </c>
      <c r="I1316" s="18">
        <f>INDEX(WeeklyIndicators!Y:Y,MATCH(A1316,WeeklyIndicators!A:A,0))</f>
        <v>131.69999999999999</v>
      </c>
      <c r="J1316">
        <f t="shared" si="1211"/>
        <v>0</v>
      </c>
      <c r="K1316">
        <f>ROUND(INDEX(Economic!AF:AF,MATCH(EOMONTH($A1316,-1),Economic!A:A,0)),2)</f>
        <v>121.1</v>
      </c>
      <c r="L1316" s="11">
        <f t="shared" si="1220"/>
        <v>1</v>
      </c>
      <c r="M1316">
        <f>ROUND(INDEX(Manufacturing!P:P,MATCH(EOMONTH($A1316,-1),Manufacturing!A:A,0)),2)</f>
        <v>96.06</v>
      </c>
      <c r="N1316">
        <f t="shared" si="1216"/>
        <v>1</v>
      </c>
      <c r="O1316">
        <f>ROUND(INDEX(Housing!AC:AC,MATCH(EOMONTH($A1316,-1),Housing!B:B,0)),2)</f>
        <v>76.33</v>
      </c>
      <c r="P1316">
        <f t="shared" si="1217"/>
        <v>-1</v>
      </c>
      <c r="Q1316">
        <f>ROUND(INDEX(Spending!AJ:AJ,MATCH(EOMONTH($A1316,-1),Spending!B:B,0)),2)</f>
        <v>56.36</v>
      </c>
      <c r="R1316">
        <f t="shared" si="1221"/>
        <v>1</v>
      </c>
      <c r="S1316">
        <f>ROUND(INDEX(Employment!V:V,MATCH(EOMONTH($A1316,-1),Employment!A:A,0)),2)</f>
        <v>165.9</v>
      </c>
      <c r="T1316" s="11">
        <f t="shared" si="1218"/>
        <v>1</v>
      </c>
      <c r="U1316">
        <f t="shared" si="1210"/>
        <v>28</v>
      </c>
      <c r="V1316">
        <f t="shared" si="1202"/>
        <v>73.91</v>
      </c>
      <c r="W1316" s="13">
        <f t="shared" si="1203"/>
        <v>-1.18E-2</v>
      </c>
      <c r="X1316" s="13">
        <f t="shared" si="1204"/>
        <v>-1.6900000000000002E-2</v>
      </c>
      <c r="Y1316">
        <f t="shared" si="1196"/>
        <v>90.3</v>
      </c>
      <c r="Z1316" s="13">
        <f t="shared" si="1191"/>
        <v>-7.7000000000000002E-3</v>
      </c>
      <c r="AA1316" s="13">
        <f t="shared" si="1187"/>
        <v>-2.0199999999999999E-2</v>
      </c>
      <c r="AB1316" s="6">
        <f t="shared" si="1197"/>
        <v>107.81899999999999</v>
      </c>
      <c r="AC1316">
        <f t="shared" si="1189"/>
        <v>54</v>
      </c>
      <c r="AD1316" s="11">
        <f t="shared" si="1190"/>
        <v>2</v>
      </c>
      <c r="AE1316">
        <f t="shared" si="1188"/>
        <v>32</v>
      </c>
      <c r="AF1316">
        <f>IF(AND(AE1316&lt;15,OR(AC1316&gt;=30,AA1316&gt;0.15,X1316&gt;=0.15)),2,VLOOKUP(AE1316,Table!P:Q,2,FALSE))</f>
        <v>5</v>
      </c>
      <c r="AG1316" s="22">
        <f>IF((AB1316*0.98)-(D1316*0.8)+((AF1316-3)*3)+VLOOKUP(AM1316,Table!$A$11:$B$13,2,FALSE)&lt;0,0,(AB1316*0.98)-(D1316*0.8)+((AF1316-3)*3)+VLOOKUP(AM1316,Table!$A$11:$B$13,2,FALSE))</f>
        <v>109.37461999999999</v>
      </c>
      <c r="AH1316" s="22">
        <f t="shared" si="1219"/>
        <v>100</v>
      </c>
      <c r="AI1316" s="18">
        <f t="shared" si="1212"/>
        <v>2.94</v>
      </c>
      <c r="AJ1316" s="18">
        <f t="shared" si="1213"/>
        <v>2.99</v>
      </c>
      <c r="AK1316" t="str">
        <f t="shared" si="1198"/>
        <v/>
      </c>
      <c r="AL1316">
        <f t="shared" si="1209"/>
        <v>32.75</v>
      </c>
      <c r="AM1316" s="11" t="str">
        <f t="shared" si="1199"/>
        <v>Stocks</v>
      </c>
      <c r="AN1316" t="str">
        <f t="shared" si="1205"/>
        <v>Buy</v>
      </c>
      <c r="AO1316" s="13">
        <f t="shared" si="1206"/>
        <v>-8.0000000000000002E-3</v>
      </c>
      <c r="AP1316" s="13">
        <f t="shared" si="1207"/>
        <v>5.9999999999999995E-4</v>
      </c>
      <c r="AQ1316" s="13">
        <f t="shared" si="1208"/>
        <v>-8.0000000000000002E-3</v>
      </c>
      <c r="AR1316" s="13">
        <f t="shared" si="1200"/>
        <v>-8.0000000000000002E-3</v>
      </c>
      <c r="AS1316" s="6">
        <f t="shared" si="1192"/>
        <v>111.38565318547177</v>
      </c>
      <c r="AT1316" s="6">
        <f t="shared" si="1193"/>
        <v>103.90305136672772</v>
      </c>
      <c r="AU1316" s="6">
        <f t="shared" si="1194"/>
        <v>111.01812832760849</v>
      </c>
      <c r="AV1316" s="6">
        <f t="shared" si="1195"/>
        <v>111.38565318547177</v>
      </c>
      <c r="AW1316" s="58">
        <f t="shared" si="1201"/>
        <v>1993</v>
      </c>
      <c r="AX1316" s="58">
        <f>COUNTIF(AW$3:AW1316,AW1316)</f>
        <v>29</v>
      </c>
    </row>
    <row r="1317" spans="1:50" x14ac:dyDescent="0.25">
      <c r="A1317" s="5">
        <v>34126</v>
      </c>
      <c r="B1317">
        <v>450.06</v>
      </c>
      <c r="C1317">
        <v>3.06</v>
      </c>
      <c r="D1317" s="6">
        <v>13.47</v>
      </c>
      <c r="E1317" s="18">
        <f t="shared" si="1214"/>
        <v>14.12</v>
      </c>
      <c r="F1317">
        <f t="shared" si="1215"/>
        <v>1</v>
      </c>
      <c r="G1317" s="18">
        <f>ROUND(INDEX(Valuation!U:U,MATCH(A1317,Valuation!A:A,0)),2)</f>
        <v>236.16</v>
      </c>
      <c r="H1317">
        <f t="shared" si="1222"/>
        <v>3</v>
      </c>
      <c r="I1317" s="18">
        <f>INDEX(WeeklyIndicators!Y:Y,MATCH(A1317,WeeklyIndicators!A:A,0))</f>
        <v>134.59</v>
      </c>
      <c r="J1317">
        <f t="shared" si="1211"/>
        <v>0</v>
      </c>
      <c r="K1317">
        <f>ROUND(INDEX(Economic!AF:AF,MATCH(EOMONTH($A1317,-1),Economic!A:A,0)),2)</f>
        <v>121.1</v>
      </c>
      <c r="L1317" s="11">
        <f t="shared" si="1220"/>
        <v>1</v>
      </c>
      <c r="M1317">
        <f>ROUND(INDEX(Manufacturing!P:P,MATCH(EOMONTH($A1317,-1),Manufacturing!A:A,0)),2)</f>
        <v>96.06</v>
      </c>
      <c r="N1317">
        <f t="shared" si="1216"/>
        <v>1</v>
      </c>
      <c r="O1317">
        <f>ROUND(INDEX(Housing!AC:AC,MATCH(EOMONTH($A1317,-1),Housing!B:B,0)),2)</f>
        <v>76.33</v>
      </c>
      <c r="P1317">
        <f t="shared" si="1217"/>
        <v>-1</v>
      </c>
      <c r="Q1317">
        <f>ROUND(INDEX(Spending!AJ:AJ,MATCH(EOMONTH($A1317,-1),Spending!B:B,0)),2)</f>
        <v>56.36</v>
      </c>
      <c r="R1317">
        <f t="shared" si="1221"/>
        <v>1</v>
      </c>
      <c r="S1317">
        <f>ROUND(INDEX(Employment!V:V,MATCH(EOMONTH($A1317,-1),Employment!A:A,0)),2)</f>
        <v>165.9</v>
      </c>
      <c r="T1317" s="11">
        <f t="shared" si="1218"/>
        <v>1</v>
      </c>
      <c r="U1317">
        <f t="shared" si="1210"/>
        <v>27</v>
      </c>
      <c r="V1317">
        <f t="shared" si="1202"/>
        <v>74.209999999999994</v>
      </c>
      <c r="W1317" s="13">
        <f t="shared" si="1203"/>
        <v>-8.6E-3</v>
      </c>
      <c r="X1317" s="13">
        <f t="shared" si="1204"/>
        <v>-1.9599999999999999E-2</v>
      </c>
      <c r="Y1317">
        <f t="shared" si="1196"/>
        <v>89.91</v>
      </c>
      <c r="Z1317" s="13">
        <f t="shared" si="1191"/>
        <v>-8.8999999999999999E-3</v>
      </c>
      <c r="AA1317" s="13">
        <f t="shared" si="1187"/>
        <v>-2.6599999999999999E-2</v>
      </c>
      <c r="AB1317" s="6">
        <f t="shared" si="1197"/>
        <v>106.526</v>
      </c>
      <c r="AC1317">
        <f t="shared" si="1189"/>
        <v>53</v>
      </c>
      <c r="AD1317" s="11">
        <f t="shared" si="1190"/>
        <v>2</v>
      </c>
      <c r="AE1317">
        <f t="shared" si="1188"/>
        <v>31</v>
      </c>
      <c r="AF1317">
        <f>IF(AND(AE1317&lt;15,OR(AC1317&gt;=30,AA1317&gt;0.15,X1317&gt;=0.15)),2,VLOOKUP(AE1317,Table!P:Q,2,FALSE))</f>
        <v>4</v>
      </c>
      <c r="AG1317" s="22">
        <f>IF((AB1317*0.98)-(D1317*0.8)+((AF1317-3)*3)+VLOOKUP(AM1317,Table!$A$11:$B$13,2,FALSE)&lt;0,0,(AB1317*0.98)-(D1317*0.8)+((AF1317-3)*3)+VLOOKUP(AM1317,Table!$A$11:$B$13,2,FALSE))</f>
        <v>104.61948</v>
      </c>
      <c r="AH1317" s="22">
        <f t="shared" si="1219"/>
        <v>100</v>
      </c>
      <c r="AI1317" s="18">
        <f t="shared" si="1212"/>
        <v>2.93</v>
      </c>
      <c r="AJ1317" s="18">
        <f t="shared" si="1213"/>
        <v>2.98</v>
      </c>
      <c r="AK1317" t="str">
        <f t="shared" si="1198"/>
        <v/>
      </c>
      <c r="AL1317">
        <f t="shared" si="1209"/>
        <v>33.25</v>
      </c>
      <c r="AM1317" s="11" t="str">
        <f t="shared" si="1199"/>
        <v>Stocks</v>
      </c>
      <c r="AN1317" t="str">
        <f t="shared" si="1205"/>
        <v>Buy</v>
      </c>
      <c r="AO1317" s="13">
        <f t="shared" si="1206"/>
        <v>-6.1999999999999998E-3</v>
      </c>
      <c r="AP1317" s="13">
        <f t="shared" si="1207"/>
        <v>5.9999999999999995E-4</v>
      </c>
      <c r="AQ1317" s="13">
        <f t="shared" si="1208"/>
        <v>-6.1999999999999998E-3</v>
      </c>
      <c r="AR1317" s="13">
        <f t="shared" si="1200"/>
        <v>-6.1999999999999998E-3</v>
      </c>
      <c r="AS1317" s="6">
        <f t="shared" si="1192"/>
        <v>112.08055261166409</v>
      </c>
      <c r="AT1317" s="6">
        <f t="shared" si="1193"/>
        <v>103.84074691857658</v>
      </c>
      <c r="AU1317" s="6">
        <f t="shared" si="1194"/>
        <v>111.71073488388861</v>
      </c>
      <c r="AV1317" s="6">
        <f t="shared" si="1195"/>
        <v>112.08055261166409</v>
      </c>
      <c r="AW1317" s="58">
        <f t="shared" si="1201"/>
        <v>1993</v>
      </c>
      <c r="AX1317" s="58">
        <f>COUNTIF(AW$3:AW1317,AW1317)</f>
        <v>30</v>
      </c>
    </row>
    <row r="1318" spans="1:50" x14ac:dyDescent="0.25">
      <c r="A1318" s="5">
        <v>34119</v>
      </c>
      <c r="B1318">
        <v>450.19</v>
      </c>
      <c r="C1318">
        <v>3.06</v>
      </c>
      <c r="D1318" s="6">
        <v>14.51</v>
      </c>
      <c r="E1318" s="18">
        <f t="shared" si="1214"/>
        <v>13.97</v>
      </c>
      <c r="F1318">
        <f t="shared" si="1215"/>
        <v>2</v>
      </c>
      <c r="G1318" s="18">
        <f>ROUND(INDEX(Valuation!U:U,MATCH(A1318,Valuation!A:A,0)),2)</f>
        <v>234.24</v>
      </c>
      <c r="H1318">
        <f t="shared" si="1222"/>
        <v>3</v>
      </c>
      <c r="I1318" s="18">
        <f>INDEX(WeeklyIndicators!Y:Y,MATCH(A1318,WeeklyIndicators!A:A,0))</f>
        <v>134.83000000000001</v>
      </c>
      <c r="J1318">
        <f t="shared" si="1211"/>
        <v>0</v>
      </c>
      <c r="K1318">
        <f>ROUND(INDEX(Economic!AF:AF,MATCH(EOMONTH($A1318,-1),Economic!A:A,0)),2)</f>
        <v>129.97999999999999</v>
      </c>
      <c r="L1318" s="11">
        <f t="shared" si="1220"/>
        <v>2</v>
      </c>
      <c r="M1318">
        <f>ROUND(INDEX(Manufacturing!P:P,MATCH(EOMONTH($A1318,-1),Manufacturing!A:A,0)),2)</f>
        <v>103.16</v>
      </c>
      <c r="N1318">
        <f t="shared" si="1216"/>
        <v>2</v>
      </c>
      <c r="O1318">
        <f>ROUND(INDEX(Housing!AC:AC,MATCH(EOMONTH($A1318,-1),Housing!B:B,0)),2)</f>
        <v>74.31</v>
      </c>
      <c r="P1318">
        <f t="shared" si="1217"/>
        <v>-2</v>
      </c>
      <c r="Q1318">
        <f>ROUND(INDEX(Spending!AJ:AJ,MATCH(EOMONTH($A1318,-1),Spending!B:B,0)),2)</f>
        <v>62.19</v>
      </c>
      <c r="R1318">
        <f t="shared" si="1221"/>
        <v>2</v>
      </c>
      <c r="S1318">
        <f>ROUND(INDEX(Employment!V:V,MATCH(EOMONTH($A1318,-1),Employment!A:A,0)),2)</f>
        <v>167.49</v>
      </c>
      <c r="T1318" s="11">
        <f t="shared" si="1218"/>
        <v>1</v>
      </c>
      <c r="U1318">
        <f t="shared" si="1210"/>
        <v>30</v>
      </c>
      <c r="V1318">
        <f t="shared" si="1202"/>
        <v>76.97</v>
      </c>
      <c r="W1318" s="13">
        <f t="shared" si="1203"/>
        <v>3.0999999999999999E-3</v>
      </c>
      <c r="X1318" s="13">
        <f t="shared" si="1204"/>
        <v>-2.35E-2</v>
      </c>
      <c r="Y1318">
        <f t="shared" si="1196"/>
        <v>92.51</v>
      </c>
      <c r="Z1318" s="13">
        <f t="shared" si="1191"/>
        <v>-8.0000000000000004E-4</v>
      </c>
      <c r="AA1318" s="13">
        <f t="shared" si="1187"/>
        <v>-2.9700000000000001E-2</v>
      </c>
      <c r="AB1318" s="6">
        <f t="shared" si="1197"/>
        <v>108.774</v>
      </c>
      <c r="AC1318">
        <f t="shared" si="1189"/>
        <v>54</v>
      </c>
      <c r="AD1318" s="11">
        <f t="shared" si="1190"/>
        <v>2</v>
      </c>
      <c r="AE1318">
        <f t="shared" si="1188"/>
        <v>34</v>
      </c>
      <c r="AF1318">
        <f>IF(AND(AE1318&lt;15,OR(AC1318&gt;=30,AA1318&gt;0.15,X1318&gt;=0.15)),2,VLOOKUP(AE1318,Table!P:Q,2,FALSE))</f>
        <v>5</v>
      </c>
      <c r="AG1318" s="22">
        <f>IF((AB1318*0.98)-(D1318*0.8)+((AF1318-3)*3)+VLOOKUP(AM1318,Table!$A$11:$B$13,2,FALSE)&lt;0,0,(AB1318*0.98)-(D1318*0.8)+((AF1318-3)*3)+VLOOKUP(AM1318,Table!$A$11:$B$13,2,FALSE))</f>
        <v>108.99051999999999</v>
      </c>
      <c r="AH1318" s="22">
        <f t="shared" si="1219"/>
        <v>100</v>
      </c>
      <c r="AI1318" s="18">
        <f t="shared" si="1212"/>
        <v>2.93</v>
      </c>
      <c r="AJ1318" s="18">
        <f t="shared" si="1213"/>
        <v>2.98</v>
      </c>
      <c r="AK1318" t="str">
        <f t="shared" si="1198"/>
        <v/>
      </c>
      <c r="AL1318">
        <f t="shared" si="1209"/>
        <v>34</v>
      </c>
      <c r="AM1318" s="11" t="str">
        <f t="shared" si="1199"/>
        <v>Stocks</v>
      </c>
      <c r="AN1318" t="str">
        <f t="shared" si="1205"/>
        <v>Buy</v>
      </c>
      <c r="AO1318" s="13">
        <f t="shared" si="1206"/>
        <v>-2.9999999999999997E-4</v>
      </c>
      <c r="AP1318" s="13">
        <f t="shared" si="1207"/>
        <v>5.9999999999999995E-4</v>
      </c>
      <c r="AQ1318" s="13">
        <f t="shared" si="1208"/>
        <v>-2.9999999999999997E-4</v>
      </c>
      <c r="AR1318" s="13">
        <f t="shared" si="1200"/>
        <v>-2.9999999999999997E-4</v>
      </c>
      <c r="AS1318" s="6">
        <f t="shared" si="1192"/>
        <v>112.1141868677244</v>
      </c>
      <c r="AT1318" s="6">
        <f t="shared" si="1193"/>
        <v>103.77847983067818</v>
      </c>
      <c r="AU1318" s="6">
        <f t="shared" si="1194"/>
        <v>111.744258161337</v>
      </c>
      <c r="AV1318" s="6">
        <f t="shared" si="1195"/>
        <v>112.1141868677244</v>
      </c>
      <c r="AW1318" s="58">
        <f t="shared" si="1201"/>
        <v>1993</v>
      </c>
      <c r="AX1318" s="58">
        <f>COUNTIF(AW$3:AW1318,AW1318)</f>
        <v>31</v>
      </c>
    </row>
    <row r="1319" spans="1:50" x14ac:dyDescent="0.25">
      <c r="A1319" s="5">
        <v>34112</v>
      </c>
      <c r="B1319">
        <v>445.84</v>
      </c>
      <c r="C1319">
        <v>2.99</v>
      </c>
      <c r="D1319" s="6">
        <v>14.39</v>
      </c>
      <c r="E1319" s="18">
        <f t="shared" si="1214"/>
        <v>13.27</v>
      </c>
      <c r="F1319">
        <f t="shared" si="1215"/>
        <v>2</v>
      </c>
      <c r="G1319" s="18">
        <f>ROUND(INDEX(Valuation!U:U,MATCH(A1319,Valuation!A:A,0)),2)</f>
        <v>234.54</v>
      </c>
      <c r="H1319">
        <f t="shared" si="1222"/>
        <v>3</v>
      </c>
      <c r="I1319" s="18">
        <f>INDEX(WeeklyIndicators!Y:Y,MATCH(A1319,WeeklyIndicators!A:A,0))</f>
        <v>131.22999999999999</v>
      </c>
      <c r="J1319">
        <f t="shared" si="1211"/>
        <v>0</v>
      </c>
      <c r="K1319">
        <f>ROUND(INDEX(Economic!AF:AF,MATCH(EOMONTH($A1319,-1),Economic!A:A,0)),2)</f>
        <v>129.97999999999999</v>
      </c>
      <c r="L1319" s="11">
        <f t="shared" si="1220"/>
        <v>2</v>
      </c>
      <c r="M1319">
        <f>ROUND(INDEX(Manufacturing!P:P,MATCH(EOMONTH($A1319,-1),Manufacturing!A:A,0)),2)</f>
        <v>103.16</v>
      </c>
      <c r="N1319">
        <f t="shared" si="1216"/>
        <v>2</v>
      </c>
      <c r="O1319">
        <f>ROUND(INDEX(Housing!AC:AC,MATCH(EOMONTH($A1319,-1),Housing!B:B,0)),2)</f>
        <v>74.31</v>
      </c>
      <c r="P1319">
        <f t="shared" si="1217"/>
        <v>-2</v>
      </c>
      <c r="Q1319">
        <f>ROUND(INDEX(Spending!AJ:AJ,MATCH(EOMONTH($A1319,-1),Spending!B:B,0)),2)</f>
        <v>62.19</v>
      </c>
      <c r="R1319">
        <f t="shared" si="1221"/>
        <v>2</v>
      </c>
      <c r="S1319">
        <f>ROUND(INDEX(Employment!V:V,MATCH(EOMONTH($A1319,-1),Employment!A:A,0)),2)</f>
        <v>167.49</v>
      </c>
      <c r="T1319" s="11">
        <f t="shared" si="1218"/>
        <v>1</v>
      </c>
      <c r="U1319">
        <f t="shared" si="1210"/>
        <v>30</v>
      </c>
      <c r="V1319">
        <f t="shared" si="1202"/>
        <v>76.599999999999994</v>
      </c>
      <c r="W1319" s="13">
        <f t="shared" si="1203"/>
        <v>4.0000000000000002E-4</v>
      </c>
      <c r="X1319" s="13">
        <f t="shared" si="1204"/>
        <v>-3.6700000000000003E-2</v>
      </c>
      <c r="Y1319">
        <f t="shared" si="1196"/>
        <v>92.42</v>
      </c>
      <c r="Z1319" s="13">
        <f t="shared" si="1191"/>
        <v>-2.8E-3</v>
      </c>
      <c r="AA1319" s="13">
        <f t="shared" si="1187"/>
        <v>-3.8099999999999995E-2</v>
      </c>
      <c r="AB1319" s="6">
        <f t="shared" si="1197"/>
        <v>108.00399999999999</v>
      </c>
      <c r="AC1319">
        <f t="shared" si="1189"/>
        <v>54</v>
      </c>
      <c r="AD1319" s="11">
        <f t="shared" si="1190"/>
        <v>2</v>
      </c>
      <c r="AE1319">
        <f t="shared" si="1188"/>
        <v>34</v>
      </c>
      <c r="AF1319">
        <f>IF(AND(AE1319&lt;15,OR(AC1319&gt;=30,AA1319&gt;0.15,X1319&gt;=0.15)),2,VLOOKUP(AE1319,Table!P:Q,2,FALSE))</f>
        <v>5</v>
      </c>
      <c r="AG1319" s="22">
        <f>IF((AB1319*0.98)-(D1319*0.8)+((AF1319-3)*3)+VLOOKUP(AM1319,Table!$A$11:$B$13,2,FALSE)&lt;0,0,(AB1319*0.98)-(D1319*0.8)+((AF1319-3)*3)+VLOOKUP(AM1319,Table!$A$11:$B$13,2,FALSE))</f>
        <v>108.33191999999998</v>
      </c>
      <c r="AH1319" s="22">
        <f t="shared" si="1219"/>
        <v>100</v>
      </c>
      <c r="AI1319" s="18">
        <f t="shared" si="1212"/>
        <v>2.92</v>
      </c>
      <c r="AJ1319" s="18">
        <f t="shared" si="1213"/>
        <v>2.99</v>
      </c>
      <c r="AK1319" t="str">
        <f t="shared" si="1198"/>
        <v/>
      </c>
      <c r="AL1319">
        <f t="shared" si="1209"/>
        <v>34</v>
      </c>
      <c r="AM1319" s="11" t="str">
        <f t="shared" si="1199"/>
        <v>Stocks</v>
      </c>
      <c r="AN1319" t="str">
        <f t="shared" si="1205"/>
        <v>Buy</v>
      </c>
      <c r="AO1319" s="13">
        <f t="shared" si="1206"/>
        <v>9.7999999999999997E-3</v>
      </c>
      <c r="AP1319" s="13">
        <f t="shared" si="1207"/>
        <v>5.9999999999999995E-4</v>
      </c>
      <c r="AQ1319" s="13">
        <f t="shared" si="1208"/>
        <v>9.7999999999999997E-3</v>
      </c>
      <c r="AR1319" s="13">
        <f t="shared" si="1200"/>
        <v>9.7999999999999997E-3</v>
      </c>
      <c r="AS1319" s="6">
        <f t="shared" si="1192"/>
        <v>111.02613078602138</v>
      </c>
      <c r="AT1319" s="6">
        <f t="shared" si="1193"/>
        <v>103.71625008062981</v>
      </c>
      <c r="AU1319" s="6">
        <f t="shared" si="1194"/>
        <v>110.65979219779857</v>
      </c>
      <c r="AV1319" s="6">
        <f t="shared" si="1195"/>
        <v>111.02613078602138</v>
      </c>
      <c r="AW1319" s="58">
        <f t="shared" si="1201"/>
        <v>1993</v>
      </c>
      <c r="AX1319" s="58">
        <f>COUNTIF(AW$3:AW1319,AW1319)</f>
        <v>32</v>
      </c>
    </row>
    <row r="1320" spans="1:50" x14ac:dyDescent="0.25">
      <c r="A1320" s="5">
        <v>34105</v>
      </c>
      <c r="B1320">
        <v>439.56</v>
      </c>
      <c r="C1320">
        <v>2.91</v>
      </c>
      <c r="D1320" s="6">
        <v>13.01</v>
      </c>
      <c r="E1320" s="18">
        <f t="shared" si="1214"/>
        <v>12.93</v>
      </c>
      <c r="F1320">
        <f t="shared" si="1215"/>
        <v>2</v>
      </c>
      <c r="G1320" s="18">
        <f>ROUND(INDEX(Valuation!U:U,MATCH(A1320,Valuation!A:A,0)),2)</f>
        <v>236.81</v>
      </c>
      <c r="H1320">
        <f t="shared" si="1222"/>
        <v>3</v>
      </c>
      <c r="I1320" s="18">
        <f>INDEX(WeeklyIndicators!Y:Y,MATCH(A1320,WeeklyIndicators!A:A,0))</f>
        <v>127.33</v>
      </c>
      <c r="J1320">
        <f t="shared" si="1211"/>
        <v>0</v>
      </c>
      <c r="K1320">
        <f>ROUND(INDEX(Economic!AF:AF,MATCH(EOMONTH($A1320,-1),Economic!A:A,0)),2)</f>
        <v>129.97999999999999</v>
      </c>
      <c r="L1320" s="11">
        <f t="shared" si="1220"/>
        <v>2</v>
      </c>
      <c r="M1320">
        <f>ROUND(INDEX(Manufacturing!P:P,MATCH(EOMONTH($A1320,-1),Manufacturing!A:A,0)),2)</f>
        <v>103.16</v>
      </c>
      <c r="N1320">
        <f t="shared" si="1216"/>
        <v>2</v>
      </c>
      <c r="O1320">
        <f>ROUND(INDEX(Housing!AC:AC,MATCH(EOMONTH($A1320,-1),Housing!B:B,0)),2)</f>
        <v>74.31</v>
      </c>
      <c r="P1320">
        <f t="shared" si="1217"/>
        <v>-2</v>
      </c>
      <c r="Q1320">
        <f>ROUND(INDEX(Spending!AJ:AJ,MATCH(EOMONTH($A1320,-1),Spending!B:B,0)),2)</f>
        <v>62.19</v>
      </c>
      <c r="R1320">
        <f t="shared" si="1221"/>
        <v>2</v>
      </c>
      <c r="S1320">
        <f>ROUND(INDEX(Employment!V:V,MATCH(EOMONTH($A1320,-1),Employment!A:A,0)),2)</f>
        <v>167.49</v>
      </c>
      <c r="T1320" s="11">
        <f t="shared" si="1218"/>
        <v>1</v>
      </c>
      <c r="U1320">
        <f t="shared" si="1210"/>
        <v>30</v>
      </c>
      <c r="V1320">
        <f t="shared" si="1202"/>
        <v>76.19</v>
      </c>
      <c r="W1320" s="13">
        <f t="shared" si="1203"/>
        <v>-1.4500000000000001E-2</v>
      </c>
      <c r="X1320" s="13">
        <f t="shared" si="1204"/>
        <v>-3.44E-2</v>
      </c>
      <c r="Y1320">
        <f t="shared" si="1196"/>
        <v>92.38</v>
      </c>
      <c r="Z1320" s="13">
        <f t="shared" si="1191"/>
        <v>-1.41E-2</v>
      </c>
      <c r="AA1320" s="13">
        <f t="shared" si="1187"/>
        <v>-3.2500000000000001E-2</v>
      </c>
      <c r="AB1320" s="6">
        <f t="shared" si="1197"/>
        <v>108.581</v>
      </c>
      <c r="AC1320">
        <f t="shared" si="1189"/>
        <v>54</v>
      </c>
      <c r="AD1320" s="11">
        <f t="shared" si="1190"/>
        <v>2</v>
      </c>
      <c r="AE1320">
        <f t="shared" si="1188"/>
        <v>34</v>
      </c>
      <c r="AF1320">
        <f>IF(AND(AE1320&lt;15,OR(AC1320&gt;=30,AA1320&gt;0.15,X1320&gt;=0.15)),2,VLOOKUP(AE1320,Table!P:Q,2,FALSE))</f>
        <v>5</v>
      </c>
      <c r="AG1320" s="22">
        <f>IF((AB1320*0.98)-(D1320*0.8)+((AF1320-3)*3)+VLOOKUP(AM1320,Table!$A$11:$B$13,2,FALSE)&lt;0,0,(AB1320*0.98)-(D1320*0.8)+((AF1320-3)*3)+VLOOKUP(AM1320,Table!$A$11:$B$13,2,FALSE))</f>
        <v>110.00138</v>
      </c>
      <c r="AH1320" s="22">
        <f t="shared" si="1219"/>
        <v>100</v>
      </c>
      <c r="AI1320" s="18">
        <f t="shared" si="1212"/>
        <v>2.91</v>
      </c>
      <c r="AJ1320" s="18">
        <f t="shared" si="1213"/>
        <v>2.99</v>
      </c>
      <c r="AK1320" t="str">
        <f t="shared" si="1198"/>
        <v/>
      </c>
      <c r="AL1320">
        <f t="shared" si="1209"/>
        <v>34.5</v>
      </c>
      <c r="AM1320" s="11" t="str">
        <f t="shared" si="1199"/>
        <v>Stocks</v>
      </c>
      <c r="AN1320" t="str">
        <f t="shared" si="1205"/>
        <v>Buy</v>
      </c>
      <c r="AO1320" s="13">
        <f t="shared" si="1206"/>
        <v>1.43E-2</v>
      </c>
      <c r="AP1320" s="13">
        <f t="shared" si="1207"/>
        <v>5.9999999999999995E-4</v>
      </c>
      <c r="AQ1320" s="13">
        <f t="shared" si="1208"/>
        <v>1.43E-2</v>
      </c>
      <c r="AR1320" s="13">
        <f t="shared" si="1200"/>
        <v>1.43E-2</v>
      </c>
      <c r="AS1320" s="6">
        <f t="shared" si="1192"/>
        <v>109.46084076310893</v>
      </c>
      <c r="AT1320" s="6">
        <f t="shared" si="1193"/>
        <v>103.65405764604219</v>
      </c>
      <c r="AU1320" s="6">
        <f t="shared" si="1194"/>
        <v>109.09966696026676</v>
      </c>
      <c r="AV1320" s="6">
        <f t="shared" si="1195"/>
        <v>109.46084076310893</v>
      </c>
      <c r="AW1320" s="58">
        <f t="shared" si="1201"/>
        <v>1993</v>
      </c>
      <c r="AX1320" s="58">
        <f>COUNTIF(AW$3:AW1320,AW1320)</f>
        <v>33</v>
      </c>
    </row>
    <row r="1321" spans="1:50" x14ac:dyDescent="0.25">
      <c r="A1321" s="5">
        <v>34098</v>
      </c>
      <c r="B1321">
        <v>442.31</v>
      </c>
      <c r="C1321">
        <v>2.87</v>
      </c>
      <c r="D1321" s="6">
        <v>12.42</v>
      </c>
      <c r="E1321" s="18">
        <f t="shared" si="1214"/>
        <v>12.36</v>
      </c>
      <c r="F1321">
        <f t="shared" si="1215"/>
        <v>2</v>
      </c>
      <c r="G1321" s="18">
        <f>ROUND(INDEX(Valuation!U:U,MATCH(A1321,Valuation!A:A,0)),2)</f>
        <v>237.66</v>
      </c>
      <c r="H1321">
        <f t="shared" si="1222"/>
        <v>3</v>
      </c>
      <c r="I1321" s="18">
        <f>INDEX(WeeklyIndicators!Y:Y,MATCH(A1321,WeeklyIndicators!A:A,0))</f>
        <v>127.87</v>
      </c>
      <c r="J1321">
        <f t="shared" si="1211"/>
        <v>0</v>
      </c>
      <c r="K1321">
        <f>ROUND(INDEX(Economic!AF:AF,MATCH(EOMONTH($A1321,-1),Economic!A:A,0)),2)</f>
        <v>129.97999999999999</v>
      </c>
      <c r="L1321" s="11">
        <f t="shared" si="1220"/>
        <v>2</v>
      </c>
      <c r="M1321">
        <f>ROUND(INDEX(Manufacturing!P:P,MATCH(EOMONTH($A1321,-1),Manufacturing!A:A,0)),2)</f>
        <v>103.16</v>
      </c>
      <c r="N1321">
        <f t="shared" si="1216"/>
        <v>2</v>
      </c>
      <c r="O1321">
        <f>ROUND(INDEX(Housing!AC:AC,MATCH(EOMONTH($A1321,-1),Housing!B:B,0)),2)</f>
        <v>74.31</v>
      </c>
      <c r="P1321">
        <f t="shared" si="1217"/>
        <v>-2</v>
      </c>
      <c r="Q1321">
        <f>ROUND(INDEX(Spending!AJ:AJ,MATCH(EOMONTH($A1321,-1),Spending!B:B,0)),2)</f>
        <v>62.19</v>
      </c>
      <c r="R1321">
        <f t="shared" si="1221"/>
        <v>2</v>
      </c>
      <c r="S1321">
        <f>ROUND(INDEX(Employment!V:V,MATCH(EOMONTH($A1321,-1),Employment!A:A,0)),2)</f>
        <v>167.49</v>
      </c>
      <c r="T1321" s="11">
        <f t="shared" si="1218"/>
        <v>1</v>
      </c>
      <c r="U1321">
        <f t="shared" si="1210"/>
        <v>30</v>
      </c>
      <c r="V1321">
        <f t="shared" si="1202"/>
        <v>76.25</v>
      </c>
      <c r="W1321" s="13">
        <f t="shared" si="1203"/>
        <v>-1.2500000000000001E-2</v>
      </c>
      <c r="X1321" s="13">
        <f t="shared" si="1204"/>
        <v>-2.2000000000000002E-2</v>
      </c>
      <c r="Y1321">
        <f t="shared" si="1196"/>
        <v>92.73</v>
      </c>
      <c r="Z1321" s="13">
        <f t="shared" si="1191"/>
        <v>-1.2E-2</v>
      </c>
      <c r="AA1321" s="13">
        <f t="shared" si="1187"/>
        <v>-1.7399999999999999E-2</v>
      </c>
      <c r="AB1321" s="6">
        <f t="shared" si="1197"/>
        <v>110.15600000000001</v>
      </c>
      <c r="AC1321">
        <f t="shared" si="1189"/>
        <v>55</v>
      </c>
      <c r="AD1321" s="11">
        <f t="shared" si="1190"/>
        <v>2</v>
      </c>
      <c r="AE1321">
        <f t="shared" si="1188"/>
        <v>34</v>
      </c>
      <c r="AF1321">
        <f>IF(AND(AE1321&lt;15,OR(AC1321&gt;=30,AA1321&gt;0.15,X1321&gt;=0.15)),2,VLOOKUP(AE1321,Table!P:Q,2,FALSE))</f>
        <v>5</v>
      </c>
      <c r="AG1321" s="22">
        <f>IF((AB1321*0.98)-(D1321*0.8)+((AF1321-3)*3)+VLOOKUP(AM1321,Table!$A$11:$B$13,2,FALSE)&lt;0,0,(AB1321*0.98)-(D1321*0.8)+((AF1321-3)*3)+VLOOKUP(AM1321,Table!$A$11:$B$13,2,FALSE))</f>
        <v>112.01688000000001</v>
      </c>
      <c r="AH1321" s="22">
        <f t="shared" si="1219"/>
        <v>100</v>
      </c>
      <c r="AI1321" s="18">
        <f t="shared" si="1212"/>
        <v>2.91</v>
      </c>
      <c r="AJ1321" s="18">
        <f t="shared" si="1213"/>
        <v>2.99</v>
      </c>
      <c r="AK1321" t="str">
        <f t="shared" si="1198"/>
        <v/>
      </c>
      <c r="AL1321">
        <f t="shared" si="1209"/>
        <v>35</v>
      </c>
      <c r="AM1321" s="11" t="str">
        <f t="shared" si="1199"/>
        <v>Stocks</v>
      </c>
      <c r="AN1321" t="str">
        <f t="shared" si="1205"/>
        <v>Buy</v>
      </c>
      <c r="AO1321" s="13">
        <f t="shared" si="1206"/>
        <v>-6.1999999999999998E-3</v>
      </c>
      <c r="AP1321" s="13">
        <f t="shared" si="1207"/>
        <v>5.9999999999999995E-4</v>
      </c>
      <c r="AQ1321" s="13">
        <f t="shared" si="1208"/>
        <v>-6.1999999999999998E-3</v>
      </c>
      <c r="AR1321" s="13">
        <f t="shared" si="1200"/>
        <v>-6.1999999999999998E-3</v>
      </c>
      <c r="AS1321" s="6">
        <f t="shared" si="1192"/>
        <v>110.14373190089448</v>
      </c>
      <c r="AT1321" s="6">
        <f t="shared" si="1193"/>
        <v>103.59190250453948</v>
      </c>
      <c r="AU1321" s="6">
        <f t="shared" si="1194"/>
        <v>109.78030485033887</v>
      </c>
      <c r="AV1321" s="6">
        <f t="shared" si="1195"/>
        <v>110.14373190089448</v>
      </c>
      <c r="AW1321" s="58">
        <f t="shared" si="1201"/>
        <v>1993</v>
      </c>
      <c r="AX1321" s="58">
        <f>COUNTIF(AW$3:AW1321,AW1321)</f>
        <v>34</v>
      </c>
    </row>
    <row r="1322" spans="1:50" x14ac:dyDescent="0.25">
      <c r="A1322" s="5">
        <v>34091</v>
      </c>
      <c r="B1322">
        <v>440.19</v>
      </c>
      <c r="C1322">
        <v>2.91</v>
      </c>
      <c r="D1322" s="6">
        <v>13.36</v>
      </c>
      <c r="E1322" s="18">
        <f t="shared" si="1214"/>
        <v>12.49</v>
      </c>
      <c r="F1322">
        <f t="shared" si="1215"/>
        <v>2</v>
      </c>
      <c r="G1322" s="18">
        <f>ROUND(INDEX(Valuation!U:U,MATCH(A1322,Valuation!A:A,0)),2)</f>
        <v>239.94</v>
      </c>
      <c r="H1322">
        <f t="shared" si="1222"/>
        <v>3</v>
      </c>
      <c r="I1322" s="18">
        <f>INDEX(WeeklyIndicators!Y:Y,MATCH(A1322,WeeklyIndicators!A:A,0))</f>
        <v>130.37</v>
      </c>
      <c r="J1322">
        <f t="shared" si="1211"/>
        <v>0</v>
      </c>
      <c r="K1322">
        <f>ROUND(INDEX(Economic!AF:AF,MATCH(EOMONTH($A1322,-1),Economic!A:A,0)),2)</f>
        <v>129.97999999999999</v>
      </c>
      <c r="L1322" s="11">
        <f t="shared" si="1220"/>
        <v>2</v>
      </c>
      <c r="M1322">
        <f>ROUND(INDEX(Manufacturing!P:P,MATCH(EOMONTH($A1322,-1),Manufacturing!A:A,0)),2)</f>
        <v>103.16</v>
      </c>
      <c r="N1322">
        <f t="shared" si="1216"/>
        <v>2</v>
      </c>
      <c r="O1322">
        <f>ROUND(INDEX(Housing!AC:AC,MATCH(EOMONTH($A1322,-1),Housing!B:B,0)),2)</f>
        <v>74.31</v>
      </c>
      <c r="P1322">
        <f t="shared" si="1217"/>
        <v>-2</v>
      </c>
      <c r="Q1322">
        <f>ROUND(INDEX(Spending!AJ:AJ,MATCH(EOMONTH($A1322,-1),Spending!B:B,0)),2)</f>
        <v>62.19</v>
      </c>
      <c r="R1322">
        <f t="shared" si="1221"/>
        <v>2</v>
      </c>
      <c r="S1322">
        <f>ROUND(INDEX(Employment!V:V,MATCH(EOMONTH($A1322,-1),Employment!A:A,0)),2)</f>
        <v>167.49</v>
      </c>
      <c r="T1322" s="11">
        <f t="shared" si="1218"/>
        <v>1</v>
      </c>
      <c r="U1322">
        <f t="shared" si="1210"/>
        <v>30</v>
      </c>
      <c r="V1322">
        <f t="shared" si="1202"/>
        <v>76.510000000000005</v>
      </c>
      <c r="W1322" s="13">
        <f t="shared" si="1203"/>
        <v>-1.01E-2</v>
      </c>
      <c r="X1322" s="13">
        <f t="shared" si="1204"/>
        <v>-1.2999999999999999E-2</v>
      </c>
      <c r="Y1322">
        <f t="shared" si="1196"/>
        <v>93.2</v>
      </c>
      <c r="Z1322" s="13">
        <f t="shared" si="1191"/>
        <v>-9.1999999999999998E-3</v>
      </c>
      <c r="AA1322" s="13">
        <f t="shared" si="1187"/>
        <v>-5.5999999999999991E-3</v>
      </c>
      <c r="AB1322" s="6">
        <f t="shared" si="1197"/>
        <v>111.744</v>
      </c>
      <c r="AC1322">
        <f t="shared" si="1189"/>
        <v>56</v>
      </c>
      <c r="AD1322" s="11">
        <f t="shared" si="1190"/>
        <v>2</v>
      </c>
      <c r="AE1322">
        <f t="shared" si="1188"/>
        <v>34</v>
      </c>
      <c r="AF1322">
        <f>IF(AND(AE1322&lt;15,OR(AC1322&gt;=30,AA1322&gt;0.15,X1322&gt;=0.15)),2,VLOOKUP(AE1322,Table!P:Q,2,FALSE))</f>
        <v>5</v>
      </c>
      <c r="AG1322" s="22">
        <f>IF((AB1322*0.98)-(D1322*0.8)+((AF1322-3)*3)+VLOOKUP(AM1322,Table!$A$11:$B$13,2,FALSE)&lt;0,0,(AB1322*0.98)-(D1322*0.8)+((AF1322-3)*3)+VLOOKUP(AM1322,Table!$A$11:$B$13,2,FALSE))</f>
        <v>112.82111999999999</v>
      </c>
      <c r="AH1322" s="22">
        <f t="shared" si="1219"/>
        <v>100</v>
      </c>
      <c r="AI1322" s="18">
        <f t="shared" si="1212"/>
        <v>2.92</v>
      </c>
      <c r="AJ1322" s="18">
        <f t="shared" si="1213"/>
        <v>3</v>
      </c>
      <c r="AK1322" t="str">
        <f t="shared" si="1198"/>
        <v/>
      </c>
      <c r="AL1322">
        <f t="shared" si="1209"/>
        <v>35.5</v>
      </c>
      <c r="AM1322" s="11" t="str">
        <f t="shared" si="1199"/>
        <v>Stocks</v>
      </c>
      <c r="AN1322" t="str">
        <f t="shared" si="1205"/>
        <v>Buy</v>
      </c>
      <c r="AO1322" s="13">
        <f t="shared" si="1206"/>
        <v>4.7999999999999996E-3</v>
      </c>
      <c r="AP1322" s="13">
        <f t="shared" si="1207"/>
        <v>5.9999999999999995E-4</v>
      </c>
      <c r="AQ1322" s="13">
        <f t="shared" si="1208"/>
        <v>4.7999999999999996E-3</v>
      </c>
      <c r="AR1322" s="13">
        <f t="shared" si="1200"/>
        <v>4.7999999999999996E-3</v>
      </c>
      <c r="AS1322" s="6">
        <f t="shared" si="1192"/>
        <v>109.61756757652716</v>
      </c>
      <c r="AT1322" s="6">
        <f t="shared" si="1193"/>
        <v>103.52978463375922</v>
      </c>
      <c r="AU1322" s="6">
        <f t="shared" si="1194"/>
        <v>109.25587664245509</v>
      </c>
      <c r="AV1322" s="6">
        <f t="shared" si="1195"/>
        <v>109.61756757652716</v>
      </c>
      <c r="AW1322" s="58">
        <f t="shared" si="1201"/>
        <v>1993</v>
      </c>
      <c r="AX1322" s="58">
        <f>COUNTIF(AW$3:AW1322,AW1322)</f>
        <v>35</v>
      </c>
    </row>
    <row r="1323" spans="1:50" x14ac:dyDescent="0.25">
      <c r="A1323" s="5">
        <v>34084</v>
      </c>
      <c r="B1323">
        <v>437.03</v>
      </c>
      <c r="C1323">
        <v>2.81</v>
      </c>
      <c r="D1323" s="6">
        <v>11.29</v>
      </c>
      <c r="E1323" s="18">
        <f t="shared" si="1214"/>
        <v>12.87</v>
      </c>
      <c r="F1323">
        <f t="shared" si="1215"/>
        <v>2</v>
      </c>
      <c r="G1323" s="18">
        <f>ROUND(INDEX(Valuation!U:U,MATCH(A1323,Valuation!A:A,0)),2)</f>
        <v>242.15</v>
      </c>
      <c r="H1323">
        <f t="shared" si="1222"/>
        <v>3</v>
      </c>
      <c r="I1323" s="18">
        <f>INDEX(WeeklyIndicators!Y:Y,MATCH(A1323,WeeklyIndicators!A:A,0))</f>
        <v>131.05000000000001</v>
      </c>
      <c r="J1323">
        <f t="shared" si="1211"/>
        <v>0</v>
      </c>
      <c r="K1323">
        <f>ROUND(INDEX(Economic!AF:AF,MATCH(EOMONTH($A1323,-1),Economic!A:A,0)),2)</f>
        <v>135.19</v>
      </c>
      <c r="L1323" s="11">
        <f t="shared" si="1220"/>
        <v>2</v>
      </c>
      <c r="M1323">
        <f>ROUND(INDEX(Manufacturing!P:P,MATCH(EOMONTH($A1323,-1),Manufacturing!A:A,0)),2)</f>
        <v>111.64</v>
      </c>
      <c r="N1323">
        <f t="shared" si="1216"/>
        <v>3</v>
      </c>
      <c r="O1323">
        <f>ROUND(INDEX(Housing!AC:AC,MATCH(EOMONTH($A1323,-1),Housing!B:B,0)),2)</f>
        <v>78.97</v>
      </c>
      <c r="P1323">
        <f t="shared" si="1217"/>
        <v>-1</v>
      </c>
      <c r="Q1323">
        <f>ROUND(INDEX(Spending!AJ:AJ,MATCH(EOMONTH($A1323,-1),Spending!B:B,0)),2)</f>
        <v>66.37</v>
      </c>
      <c r="R1323">
        <f t="shared" si="1221"/>
        <v>2</v>
      </c>
      <c r="S1323">
        <f>ROUND(INDEX(Employment!V:V,MATCH(EOMONTH($A1323,-1),Employment!A:A,0)),2)</f>
        <v>171.95</v>
      </c>
      <c r="T1323" s="11">
        <f t="shared" si="1218"/>
        <v>1</v>
      </c>
      <c r="U1323">
        <f t="shared" si="1210"/>
        <v>32</v>
      </c>
      <c r="V1323">
        <f t="shared" si="1202"/>
        <v>79.55</v>
      </c>
      <c r="W1323" s="13">
        <f t="shared" si="1203"/>
        <v>2.7000000000000001E-3</v>
      </c>
      <c r="X1323" s="13">
        <f t="shared" si="1204"/>
        <v>-6.6E-3</v>
      </c>
      <c r="Y1323">
        <f t="shared" si="1196"/>
        <v>96.36</v>
      </c>
      <c r="Z1323" s="13">
        <f t="shared" si="1191"/>
        <v>2.8E-3</v>
      </c>
      <c r="AA1323" s="13">
        <f t="shared" si="1187"/>
        <v>2.0999999999999999E-3</v>
      </c>
      <c r="AB1323" s="6">
        <f t="shared" si="1197"/>
        <v>115.80500000000001</v>
      </c>
      <c r="AC1323">
        <f t="shared" si="1189"/>
        <v>58</v>
      </c>
      <c r="AD1323" s="11">
        <f t="shared" si="1190"/>
        <v>2</v>
      </c>
      <c r="AE1323">
        <f t="shared" si="1188"/>
        <v>36</v>
      </c>
      <c r="AF1323">
        <f>IF(AND(AE1323&lt;15,OR(AC1323&gt;=30,AA1323&gt;0.15,X1323&gt;=0.15)),2,VLOOKUP(AE1323,Table!P:Q,2,FALSE))</f>
        <v>5</v>
      </c>
      <c r="AG1323" s="22">
        <f>IF((AB1323*0.98)-(D1323*0.8)+((AF1323-3)*3)+VLOOKUP(AM1323,Table!$A$11:$B$13,2,FALSE)&lt;0,0,(AB1323*0.98)-(D1323*0.8)+((AF1323-3)*3)+VLOOKUP(AM1323,Table!$A$11:$B$13,2,FALSE))</f>
        <v>118.4569</v>
      </c>
      <c r="AH1323" s="22">
        <f t="shared" si="1219"/>
        <v>100</v>
      </c>
      <c r="AI1323" s="18">
        <f t="shared" si="1212"/>
        <v>2.92</v>
      </c>
      <c r="AJ1323" s="18">
        <f t="shared" si="1213"/>
        <v>3.01</v>
      </c>
      <c r="AK1323" t="str">
        <f t="shared" si="1198"/>
        <v>Falling Rates</v>
      </c>
      <c r="AL1323">
        <f t="shared" si="1209"/>
        <v>36</v>
      </c>
      <c r="AM1323" s="11" t="str">
        <f t="shared" si="1199"/>
        <v>Stocks</v>
      </c>
      <c r="AN1323" t="str">
        <f t="shared" si="1205"/>
        <v>Buy</v>
      </c>
      <c r="AO1323" s="13">
        <f t="shared" si="1206"/>
        <v>7.1999999999999998E-3</v>
      </c>
      <c r="AP1323" s="13">
        <f t="shared" si="1207"/>
        <v>5.0000000000000001E-4</v>
      </c>
      <c r="AQ1323" s="13">
        <f t="shared" si="1208"/>
        <v>7.1999999999999998E-3</v>
      </c>
      <c r="AR1323" s="13">
        <f t="shared" si="1200"/>
        <v>7.1999999999999998E-3</v>
      </c>
      <c r="AS1323" s="6">
        <f t="shared" si="1192"/>
        <v>108.83396304262028</v>
      </c>
      <c r="AT1323" s="6">
        <f t="shared" si="1193"/>
        <v>103.47804561095374</v>
      </c>
      <c r="AU1323" s="6">
        <f t="shared" si="1194"/>
        <v>108.47485766725087</v>
      </c>
      <c r="AV1323" s="6">
        <f t="shared" si="1195"/>
        <v>108.83396304262028</v>
      </c>
      <c r="AW1323" s="58">
        <f t="shared" si="1201"/>
        <v>1993</v>
      </c>
      <c r="AX1323" s="58">
        <f>COUNTIF(AW$3:AW1323,AW1323)</f>
        <v>36</v>
      </c>
    </row>
    <row r="1324" spans="1:50" x14ac:dyDescent="0.25">
      <c r="A1324" s="5">
        <v>34077</v>
      </c>
      <c r="B1324">
        <v>448.94</v>
      </c>
      <c r="C1324">
        <v>2.85</v>
      </c>
      <c r="D1324" s="6">
        <v>12.83</v>
      </c>
      <c r="E1324" s="18">
        <f t="shared" si="1214"/>
        <v>13.18</v>
      </c>
      <c r="F1324">
        <f t="shared" si="1215"/>
        <v>2</v>
      </c>
      <c r="G1324" s="18">
        <f>ROUND(INDEX(Valuation!U:U,MATCH(A1324,Valuation!A:A,0)),2)</f>
        <v>244.71</v>
      </c>
      <c r="H1324">
        <f t="shared" si="1222"/>
        <v>3</v>
      </c>
      <c r="I1324" s="18">
        <f>INDEX(WeeklyIndicators!Y:Y,MATCH(A1324,WeeklyIndicators!A:A,0))</f>
        <v>127.45</v>
      </c>
      <c r="J1324">
        <f t="shared" si="1211"/>
        <v>0</v>
      </c>
      <c r="K1324">
        <f>ROUND(INDEX(Economic!AF:AF,MATCH(EOMONTH($A1324,-1),Economic!A:A,0)),2)</f>
        <v>135.19</v>
      </c>
      <c r="L1324" s="11">
        <f t="shared" si="1220"/>
        <v>2</v>
      </c>
      <c r="M1324">
        <f>ROUND(INDEX(Manufacturing!P:P,MATCH(EOMONTH($A1324,-1),Manufacturing!A:A,0)),2)</f>
        <v>111.64</v>
      </c>
      <c r="N1324">
        <f t="shared" si="1216"/>
        <v>3</v>
      </c>
      <c r="O1324">
        <f>ROUND(INDEX(Housing!AC:AC,MATCH(EOMONTH($A1324,-1),Housing!B:B,0)),2)</f>
        <v>78.97</v>
      </c>
      <c r="P1324">
        <f t="shared" si="1217"/>
        <v>-1</v>
      </c>
      <c r="Q1324">
        <f>ROUND(INDEX(Spending!AJ:AJ,MATCH(EOMONTH($A1324,-1),Spending!B:B,0)),2)</f>
        <v>66.37</v>
      </c>
      <c r="R1324">
        <f t="shared" si="1221"/>
        <v>2</v>
      </c>
      <c r="S1324">
        <f>ROUND(INDEX(Employment!V:V,MATCH(EOMONTH($A1324,-1),Employment!A:A,0)),2)</f>
        <v>171.95</v>
      </c>
      <c r="T1324" s="11">
        <f t="shared" si="1218"/>
        <v>1</v>
      </c>
      <c r="U1324">
        <f t="shared" si="1210"/>
        <v>32</v>
      </c>
      <c r="V1324">
        <f t="shared" si="1202"/>
        <v>79.180000000000007</v>
      </c>
      <c r="W1324" s="13">
        <f t="shared" si="1203"/>
        <v>-2.0999999999999999E-3</v>
      </c>
      <c r="X1324" s="13">
        <f t="shared" si="1204"/>
        <v>-1.01E-2</v>
      </c>
      <c r="Y1324">
        <f t="shared" si="1196"/>
        <v>96.16</v>
      </c>
      <c r="Z1324" s="13">
        <f t="shared" si="1191"/>
        <v>1E-3</v>
      </c>
      <c r="AA1324" s="13">
        <f t="shared" si="1187"/>
        <v>-2.9000000000000002E-3</v>
      </c>
      <c r="AB1324" s="6">
        <f t="shared" si="1197"/>
        <v>115.471</v>
      </c>
      <c r="AC1324">
        <f t="shared" si="1189"/>
        <v>58</v>
      </c>
      <c r="AD1324" s="11">
        <f t="shared" si="1190"/>
        <v>2</v>
      </c>
      <c r="AE1324">
        <f t="shared" si="1188"/>
        <v>36</v>
      </c>
      <c r="AF1324">
        <f>IF(AND(AE1324&lt;15,OR(AC1324&gt;=30,AA1324&gt;0.15,X1324&gt;=0.15)),2,VLOOKUP(AE1324,Table!P:Q,2,FALSE))</f>
        <v>5</v>
      </c>
      <c r="AG1324" s="22">
        <f>IF((AB1324*0.98)-(D1324*0.8)+((AF1324-3)*3)+VLOOKUP(AM1324,Table!$A$11:$B$13,2,FALSE)&lt;0,0,(AB1324*0.98)-(D1324*0.8)+((AF1324-3)*3)+VLOOKUP(AM1324,Table!$A$11:$B$13,2,FALSE))</f>
        <v>116.89758</v>
      </c>
      <c r="AH1324" s="22">
        <f t="shared" si="1219"/>
        <v>100</v>
      </c>
      <c r="AI1324" s="18">
        <f t="shared" si="1212"/>
        <v>2.93</v>
      </c>
      <c r="AJ1324" s="18">
        <f t="shared" si="1213"/>
        <v>3.02</v>
      </c>
      <c r="AK1324" t="str">
        <f t="shared" si="1198"/>
        <v>Falling Rates</v>
      </c>
      <c r="AL1324">
        <f t="shared" si="1209"/>
        <v>36</v>
      </c>
      <c r="AM1324" s="11" t="str">
        <f t="shared" si="1199"/>
        <v>Stocks</v>
      </c>
      <c r="AN1324" t="str">
        <f t="shared" si="1205"/>
        <v>Buy</v>
      </c>
      <c r="AO1324" s="13">
        <f t="shared" si="1206"/>
        <v>-2.6499999999999999E-2</v>
      </c>
      <c r="AP1324" s="13">
        <f t="shared" si="1207"/>
        <v>5.0000000000000001E-4</v>
      </c>
      <c r="AQ1324" s="13">
        <f t="shared" si="1208"/>
        <v>-2.6499999999999999E-2</v>
      </c>
      <c r="AR1324" s="13">
        <f t="shared" si="1200"/>
        <v>-2.6499999999999999E-2</v>
      </c>
      <c r="AS1324" s="6">
        <f t="shared" si="1192"/>
        <v>111.79657220608144</v>
      </c>
      <c r="AT1324" s="6">
        <f t="shared" si="1193"/>
        <v>103.42633244473139</v>
      </c>
      <c r="AU1324" s="6">
        <f t="shared" si="1194"/>
        <v>111.42769149178312</v>
      </c>
      <c r="AV1324" s="6">
        <f t="shared" si="1195"/>
        <v>111.79657220608144</v>
      </c>
      <c r="AW1324" s="58">
        <f t="shared" si="1201"/>
        <v>1993</v>
      </c>
      <c r="AX1324" s="58">
        <f>COUNTIF(AW$3:AW1324,AW1324)</f>
        <v>37</v>
      </c>
    </row>
    <row r="1325" spans="1:50" x14ac:dyDescent="0.25">
      <c r="A1325" s="5">
        <v>34070</v>
      </c>
      <c r="B1325">
        <v>441.84</v>
      </c>
      <c r="C1325">
        <v>2.91</v>
      </c>
      <c r="D1325" s="6">
        <v>14.5</v>
      </c>
      <c r="E1325" s="18">
        <f t="shared" si="1214"/>
        <v>13.31</v>
      </c>
      <c r="F1325">
        <f t="shared" si="1215"/>
        <v>2</v>
      </c>
      <c r="G1325" s="18">
        <f>ROUND(INDEX(Valuation!U:U,MATCH(A1325,Valuation!A:A,0)),2)</f>
        <v>244.77</v>
      </c>
      <c r="H1325">
        <f t="shared" si="1222"/>
        <v>3</v>
      </c>
      <c r="I1325" s="18">
        <f>INDEX(WeeklyIndicators!Y:Y,MATCH(A1325,WeeklyIndicators!A:A,0))</f>
        <v>124.78</v>
      </c>
      <c r="J1325">
        <f t="shared" si="1211"/>
        <v>0</v>
      </c>
      <c r="K1325">
        <f>ROUND(INDEX(Economic!AF:AF,MATCH(EOMONTH($A1325,-1),Economic!A:A,0)),2)</f>
        <v>135.19</v>
      </c>
      <c r="L1325" s="11">
        <f t="shared" si="1220"/>
        <v>2</v>
      </c>
      <c r="M1325">
        <f>ROUND(INDEX(Manufacturing!P:P,MATCH(EOMONTH($A1325,-1),Manufacturing!A:A,0)),2)</f>
        <v>111.64</v>
      </c>
      <c r="N1325">
        <f t="shared" si="1216"/>
        <v>3</v>
      </c>
      <c r="O1325">
        <f>ROUND(INDEX(Housing!AC:AC,MATCH(EOMONTH($A1325,-1),Housing!B:B,0)),2)</f>
        <v>78.97</v>
      </c>
      <c r="P1325">
        <f t="shared" si="1217"/>
        <v>-1</v>
      </c>
      <c r="Q1325">
        <f>ROUND(INDEX(Spending!AJ:AJ,MATCH(EOMONTH($A1325,-1),Spending!B:B,0)),2)</f>
        <v>66.37</v>
      </c>
      <c r="R1325">
        <f t="shared" si="1221"/>
        <v>2</v>
      </c>
      <c r="S1325">
        <f>ROUND(INDEX(Employment!V:V,MATCH(EOMONTH($A1325,-1),Employment!A:A,0)),2)</f>
        <v>171.95</v>
      </c>
      <c r="T1325" s="11">
        <f t="shared" si="1218"/>
        <v>1</v>
      </c>
      <c r="U1325">
        <f t="shared" si="1210"/>
        <v>32</v>
      </c>
      <c r="V1325">
        <f t="shared" si="1202"/>
        <v>78.900000000000006</v>
      </c>
      <c r="W1325" s="13">
        <f t="shared" si="1203"/>
        <v>-3.5000000000000001E-3</v>
      </c>
      <c r="X1325" s="13">
        <f t="shared" si="1204"/>
        <v>-1.4000000000000002E-3</v>
      </c>
      <c r="Y1325">
        <f t="shared" si="1196"/>
        <v>95.85</v>
      </c>
      <c r="Z1325" s="13">
        <f t="shared" si="1191"/>
        <v>-2.0000000000000001E-4</v>
      </c>
      <c r="AA1325" s="13">
        <f t="shared" si="1187"/>
        <v>-6.0000000000000027E-4</v>
      </c>
      <c r="AB1325" s="6">
        <f t="shared" si="1197"/>
        <v>115.40700000000001</v>
      </c>
      <c r="AC1325">
        <f t="shared" si="1189"/>
        <v>58</v>
      </c>
      <c r="AD1325" s="11">
        <f t="shared" si="1190"/>
        <v>2</v>
      </c>
      <c r="AE1325">
        <f t="shared" si="1188"/>
        <v>36</v>
      </c>
      <c r="AF1325">
        <f>IF(AND(AE1325&lt;15,OR(AC1325&gt;=30,AA1325&gt;0.15,X1325&gt;=0.15)),2,VLOOKUP(AE1325,Table!P:Q,2,FALSE))</f>
        <v>5</v>
      </c>
      <c r="AG1325" s="22">
        <f>IF((AB1325*0.98)-(D1325*0.8)+((AF1325-3)*3)+VLOOKUP(AM1325,Table!$A$11:$B$13,2,FALSE)&lt;0,0,(AB1325*0.98)-(D1325*0.8)+((AF1325-3)*3)+VLOOKUP(AM1325,Table!$A$11:$B$13,2,FALSE))</f>
        <v>115.49886000000001</v>
      </c>
      <c r="AH1325" s="22">
        <f t="shared" si="1219"/>
        <v>100</v>
      </c>
      <c r="AI1325" s="18">
        <f t="shared" si="1212"/>
        <v>2.94</v>
      </c>
      <c r="AJ1325" s="18">
        <f t="shared" si="1213"/>
        <v>3.03</v>
      </c>
      <c r="AK1325" t="str">
        <f t="shared" si="1198"/>
        <v/>
      </c>
      <c r="AL1325">
        <f t="shared" si="1209"/>
        <v>36</v>
      </c>
      <c r="AM1325" s="11" t="str">
        <f t="shared" si="1199"/>
        <v>Stocks</v>
      </c>
      <c r="AN1325" t="str">
        <f t="shared" si="1205"/>
        <v>Buy</v>
      </c>
      <c r="AO1325" s="13">
        <f t="shared" si="1206"/>
        <v>1.61E-2</v>
      </c>
      <c r="AP1325" s="13">
        <f t="shared" si="1207"/>
        <v>5.9999999999999995E-4</v>
      </c>
      <c r="AQ1325" s="13">
        <f t="shared" si="1208"/>
        <v>1.61E-2</v>
      </c>
      <c r="AR1325" s="13">
        <f t="shared" si="1200"/>
        <v>1.61E-2</v>
      </c>
      <c r="AS1325" s="6">
        <f t="shared" si="1192"/>
        <v>110.02516701710603</v>
      </c>
      <c r="AT1325" s="6">
        <f t="shared" si="1193"/>
        <v>103.36431385641754</v>
      </c>
      <c r="AU1325" s="6">
        <f t="shared" si="1194"/>
        <v>109.66213117978853</v>
      </c>
      <c r="AV1325" s="6">
        <f t="shared" si="1195"/>
        <v>110.02516701710603</v>
      </c>
      <c r="AW1325" s="58">
        <f t="shared" si="1201"/>
        <v>1993</v>
      </c>
      <c r="AX1325" s="58">
        <f>COUNTIF(AW$3:AW1325,AW1325)</f>
        <v>38</v>
      </c>
    </row>
    <row r="1326" spans="1:50" x14ac:dyDescent="0.25">
      <c r="A1326" s="5">
        <v>34063</v>
      </c>
      <c r="B1326">
        <v>441.39</v>
      </c>
      <c r="C1326">
        <v>2.91</v>
      </c>
      <c r="D1326" s="6">
        <v>12.21</v>
      </c>
      <c r="E1326" s="18">
        <f t="shared" si="1214"/>
        <v>13.7</v>
      </c>
      <c r="F1326">
        <f t="shared" si="1215"/>
        <v>2</v>
      </c>
      <c r="G1326" s="18">
        <f>ROUND(INDEX(Valuation!U:U,MATCH(A1326,Valuation!A:A,0)),2)</f>
        <v>243.36</v>
      </c>
      <c r="H1326">
        <f t="shared" si="1222"/>
        <v>3</v>
      </c>
      <c r="I1326" s="18">
        <f>INDEX(WeeklyIndicators!Y:Y,MATCH(A1326,WeeklyIndicators!A:A,0))</f>
        <v>124.83</v>
      </c>
      <c r="J1326">
        <f t="shared" si="1211"/>
        <v>0</v>
      </c>
      <c r="K1326">
        <f>ROUND(INDEX(Economic!AF:AF,MATCH(EOMONTH($A1326,-1),Economic!A:A,0)),2)</f>
        <v>135.19</v>
      </c>
      <c r="L1326" s="11">
        <f t="shared" si="1220"/>
        <v>2</v>
      </c>
      <c r="M1326">
        <f>ROUND(INDEX(Manufacturing!P:P,MATCH(EOMONTH($A1326,-1),Manufacturing!A:A,0)),2)</f>
        <v>111.64</v>
      </c>
      <c r="N1326">
        <f t="shared" si="1216"/>
        <v>3</v>
      </c>
      <c r="O1326">
        <f>ROUND(INDEX(Housing!AC:AC,MATCH(EOMONTH($A1326,-1),Housing!B:B,0)),2)</f>
        <v>78.97</v>
      </c>
      <c r="P1326">
        <f t="shared" si="1217"/>
        <v>-1</v>
      </c>
      <c r="Q1326">
        <f>ROUND(INDEX(Spending!AJ:AJ,MATCH(EOMONTH($A1326,-1),Spending!B:B,0)),2)</f>
        <v>66.37</v>
      </c>
      <c r="R1326">
        <f t="shared" si="1221"/>
        <v>2</v>
      </c>
      <c r="S1326">
        <f>ROUND(INDEX(Employment!V:V,MATCH(EOMONTH($A1326,-1),Employment!A:A,0)),2)</f>
        <v>171.95</v>
      </c>
      <c r="T1326" s="11">
        <f t="shared" si="1218"/>
        <v>1</v>
      </c>
      <c r="U1326">
        <f t="shared" si="1210"/>
        <v>32</v>
      </c>
      <c r="V1326">
        <f t="shared" si="1202"/>
        <v>78.91</v>
      </c>
      <c r="W1326" s="13">
        <f t="shared" si="1203"/>
        <v>-3.7000000000000002E-3</v>
      </c>
      <c r="X1326" s="13">
        <f t="shared" si="1204"/>
        <v>9.1000000000000004E-3</v>
      </c>
      <c r="Y1326">
        <f t="shared" si="1196"/>
        <v>95.56</v>
      </c>
      <c r="Z1326" s="13">
        <f t="shared" si="1191"/>
        <v>-1.5E-3</v>
      </c>
      <c r="AA1326" s="13">
        <f t="shared" si="1187"/>
        <v>1.4999999999999998E-3</v>
      </c>
      <c r="AB1326" s="6">
        <f t="shared" si="1197"/>
        <v>115.21599999999999</v>
      </c>
      <c r="AC1326">
        <f t="shared" si="1189"/>
        <v>58</v>
      </c>
      <c r="AD1326" s="11">
        <f t="shared" si="1190"/>
        <v>2</v>
      </c>
      <c r="AE1326">
        <f t="shared" si="1188"/>
        <v>36</v>
      </c>
      <c r="AF1326">
        <f>IF(AND(AE1326&lt;15,OR(AC1326&gt;=30,AA1326&gt;0.15,X1326&gt;=0.15)),2,VLOOKUP(AE1326,Table!P:Q,2,FALSE))</f>
        <v>5</v>
      </c>
      <c r="AG1326" s="22">
        <f>IF((AB1326*0.98)-(D1326*0.8)+((AF1326-3)*3)+VLOOKUP(AM1326,Table!$A$11:$B$13,2,FALSE)&lt;0,0,(AB1326*0.98)-(D1326*0.8)+((AF1326-3)*3)+VLOOKUP(AM1326,Table!$A$11:$B$13,2,FALSE))</f>
        <v>117.14367999999999</v>
      </c>
      <c r="AH1326" s="22">
        <f t="shared" si="1219"/>
        <v>100</v>
      </c>
      <c r="AI1326" s="18">
        <f t="shared" si="1212"/>
        <v>2.96</v>
      </c>
      <c r="AJ1326" s="18">
        <f t="shared" si="1213"/>
        <v>3.03</v>
      </c>
      <c r="AK1326" t="str">
        <f t="shared" si="1198"/>
        <v/>
      </c>
      <c r="AL1326">
        <f t="shared" si="1209"/>
        <v>36</v>
      </c>
      <c r="AM1326" s="11" t="str">
        <f t="shared" si="1199"/>
        <v>Stocks</v>
      </c>
      <c r="AN1326" t="str">
        <f t="shared" si="1205"/>
        <v>Buy</v>
      </c>
      <c r="AO1326" s="13">
        <f t="shared" si="1206"/>
        <v>1E-3</v>
      </c>
      <c r="AP1326" s="13">
        <f t="shared" si="1207"/>
        <v>5.9999999999999995E-4</v>
      </c>
      <c r="AQ1326" s="13">
        <f t="shared" si="1208"/>
        <v>1E-3</v>
      </c>
      <c r="AR1326" s="13">
        <f t="shared" si="1200"/>
        <v>1E-3</v>
      </c>
      <c r="AS1326" s="6">
        <f t="shared" si="1192"/>
        <v>109.9152517653407</v>
      </c>
      <c r="AT1326" s="6">
        <f t="shared" si="1193"/>
        <v>103.30233245694338</v>
      </c>
      <c r="AU1326" s="6">
        <f t="shared" si="1194"/>
        <v>109.55257860118735</v>
      </c>
      <c r="AV1326" s="6">
        <f t="shared" si="1195"/>
        <v>109.9152517653407</v>
      </c>
      <c r="AW1326" s="58">
        <f t="shared" si="1201"/>
        <v>1993</v>
      </c>
      <c r="AX1326" s="58">
        <f>COUNTIF(AW$3:AW1326,AW1326)</f>
        <v>39</v>
      </c>
    </row>
    <row r="1327" spans="1:50" x14ac:dyDescent="0.25">
      <c r="A1327" s="5">
        <v>34056</v>
      </c>
      <c r="B1327">
        <v>447.78</v>
      </c>
      <c r="C1327">
        <v>2.92</v>
      </c>
      <c r="D1327" s="6">
        <v>13.23</v>
      </c>
      <c r="E1327" s="18">
        <f t="shared" si="1214"/>
        <v>14.32</v>
      </c>
      <c r="F1327">
        <f t="shared" si="1215"/>
        <v>1</v>
      </c>
      <c r="G1327" s="18">
        <f>ROUND(INDEX(Valuation!U:U,MATCH(A1327,Valuation!A:A,0)),2)</f>
        <v>241.36</v>
      </c>
      <c r="H1327">
        <f t="shared" si="1222"/>
        <v>3</v>
      </c>
      <c r="I1327" s="18">
        <f>INDEX(WeeklyIndicators!Y:Y,MATCH(A1327,WeeklyIndicators!A:A,0))</f>
        <v>125.35</v>
      </c>
      <c r="J1327">
        <f t="shared" si="1211"/>
        <v>0</v>
      </c>
      <c r="K1327">
        <f>ROUND(INDEX(Economic!AF:AF,MATCH(EOMONTH($A1327,-1),Economic!A:A,0)),2)</f>
        <v>134.19999999999999</v>
      </c>
      <c r="L1327" s="11">
        <f t="shared" si="1220"/>
        <v>2</v>
      </c>
      <c r="M1327">
        <f>ROUND(INDEX(Manufacturing!P:P,MATCH(EOMONTH($A1327,-1),Manufacturing!A:A,0)),2)</f>
        <v>117.08</v>
      </c>
      <c r="N1327">
        <f t="shared" si="1216"/>
        <v>3</v>
      </c>
      <c r="O1327">
        <f>ROUND(INDEX(Housing!AC:AC,MATCH(EOMONTH($A1327,-1),Housing!B:B,0)),2)</f>
        <v>75.94</v>
      </c>
      <c r="P1327">
        <f t="shared" si="1217"/>
        <v>-1</v>
      </c>
      <c r="Q1327">
        <f>ROUND(INDEX(Spending!AJ:AJ,MATCH(EOMONTH($A1327,-1),Spending!B:B,0)),2)</f>
        <v>66</v>
      </c>
      <c r="R1327">
        <f t="shared" si="1221"/>
        <v>2</v>
      </c>
      <c r="S1327">
        <f>ROUND(INDEX(Employment!V:V,MATCH(EOMONTH($A1327,-1),Employment!A:A,0)),2)</f>
        <v>175.65</v>
      </c>
      <c r="T1327" s="11">
        <f t="shared" si="1218"/>
        <v>2</v>
      </c>
      <c r="U1327">
        <f t="shared" si="1210"/>
        <v>32</v>
      </c>
      <c r="V1327">
        <f t="shared" si="1202"/>
        <v>79.67</v>
      </c>
      <c r="W1327" s="13">
        <f t="shared" si="1203"/>
        <v>-8.0000000000000004E-4</v>
      </c>
      <c r="X1327" s="13">
        <f t="shared" si="1204"/>
        <v>1.9900000000000001E-2</v>
      </c>
      <c r="Y1327">
        <f t="shared" si="1196"/>
        <v>95.87</v>
      </c>
      <c r="Z1327" s="13">
        <f t="shared" si="1191"/>
        <v>-2.2000000000000001E-3</v>
      </c>
      <c r="AA1327" s="13">
        <f t="shared" si="1187"/>
        <v>6.3999999999999994E-3</v>
      </c>
      <c r="AB1327" s="6">
        <f t="shared" si="1197"/>
        <v>115.786</v>
      </c>
      <c r="AC1327">
        <f t="shared" si="1189"/>
        <v>58</v>
      </c>
      <c r="AD1327" s="11">
        <f t="shared" si="1190"/>
        <v>2</v>
      </c>
      <c r="AE1327">
        <f t="shared" si="1188"/>
        <v>36</v>
      </c>
      <c r="AF1327">
        <f>IF(AND(AE1327&lt;15,OR(AC1327&gt;=30,AA1327&gt;0.15,X1327&gt;=0.15)),2,VLOOKUP(AE1327,Table!P:Q,2,FALSE))</f>
        <v>5</v>
      </c>
      <c r="AG1327" s="22">
        <f>IF((AB1327*0.98)-(D1327*0.8)+((AF1327-3)*3)+VLOOKUP(AM1327,Table!$A$11:$B$13,2,FALSE)&lt;0,0,(AB1327*0.98)-(D1327*0.8)+((AF1327-3)*3)+VLOOKUP(AM1327,Table!$A$11:$B$13,2,FALSE))</f>
        <v>116.88628</v>
      </c>
      <c r="AH1327" s="22">
        <f t="shared" si="1219"/>
        <v>100</v>
      </c>
      <c r="AI1327" s="18">
        <f t="shared" si="1212"/>
        <v>2.98</v>
      </c>
      <c r="AJ1327" s="18">
        <f t="shared" si="1213"/>
        <v>3.05</v>
      </c>
      <c r="AK1327" t="str">
        <f t="shared" si="1198"/>
        <v/>
      </c>
      <c r="AL1327">
        <f t="shared" si="1209"/>
        <v>36.25</v>
      </c>
      <c r="AM1327" s="11" t="str">
        <f t="shared" si="1199"/>
        <v>Stocks</v>
      </c>
      <c r="AN1327" t="str">
        <f t="shared" si="1205"/>
        <v>Buy</v>
      </c>
      <c r="AO1327" s="13">
        <f t="shared" si="1206"/>
        <v>-1.43E-2</v>
      </c>
      <c r="AP1327" s="13">
        <f t="shared" si="1207"/>
        <v>5.9999999999999995E-4</v>
      </c>
      <c r="AQ1327" s="13">
        <f t="shared" si="1208"/>
        <v>-1.43E-2</v>
      </c>
      <c r="AR1327" s="13">
        <f t="shared" si="1200"/>
        <v>-1.43E-2</v>
      </c>
      <c r="AS1327" s="6">
        <f t="shared" si="1192"/>
        <v>111.5098425132806</v>
      </c>
      <c r="AT1327" s="6">
        <f t="shared" si="1193"/>
        <v>103.24038822400898</v>
      </c>
      <c r="AU1327" s="6">
        <f t="shared" si="1194"/>
        <v>111.14190788392752</v>
      </c>
      <c r="AV1327" s="6">
        <f t="shared" si="1195"/>
        <v>111.5098425132806</v>
      </c>
      <c r="AW1327" s="58">
        <f t="shared" si="1201"/>
        <v>1993</v>
      </c>
      <c r="AX1327" s="58">
        <f>COUNTIF(AW$3:AW1327,AW1327)</f>
        <v>40</v>
      </c>
    </row>
    <row r="1328" spans="1:50" x14ac:dyDescent="0.25">
      <c r="A1328" s="5">
        <v>34049</v>
      </c>
      <c r="B1328">
        <v>450.18</v>
      </c>
      <c r="C1328">
        <v>2.97</v>
      </c>
      <c r="D1328" s="6">
        <v>15.66</v>
      </c>
      <c r="E1328" s="18">
        <f t="shared" si="1214"/>
        <v>14.3</v>
      </c>
      <c r="F1328">
        <f t="shared" si="1215"/>
        <v>1</v>
      </c>
      <c r="G1328" s="18">
        <f>ROUND(INDEX(Valuation!U:U,MATCH(A1328,Valuation!A:A,0)),2)</f>
        <v>240.98</v>
      </c>
      <c r="H1328">
        <f t="shared" si="1222"/>
        <v>3</v>
      </c>
      <c r="I1328" s="18">
        <f>INDEX(WeeklyIndicators!Y:Y,MATCH(A1328,WeeklyIndicators!A:A,0))</f>
        <v>126</v>
      </c>
      <c r="J1328">
        <f t="shared" si="1211"/>
        <v>0</v>
      </c>
      <c r="K1328">
        <f>ROUND(INDEX(Economic!AF:AF,MATCH(EOMONTH($A1328,-1),Economic!A:A,0)),2)</f>
        <v>134.19999999999999</v>
      </c>
      <c r="L1328" s="11">
        <f t="shared" si="1220"/>
        <v>2</v>
      </c>
      <c r="M1328">
        <f>ROUND(INDEX(Manufacturing!P:P,MATCH(EOMONTH($A1328,-1),Manufacturing!A:A,0)),2)</f>
        <v>117.08</v>
      </c>
      <c r="N1328">
        <f t="shared" si="1216"/>
        <v>3</v>
      </c>
      <c r="O1328">
        <f>ROUND(INDEX(Housing!AC:AC,MATCH(EOMONTH($A1328,-1),Housing!B:B,0)),2)</f>
        <v>75.94</v>
      </c>
      <c r="P1328">
        <f t="shared" si="1217"/>
        <v>-1</v>
      </c>
      <c r="Q1328">
        <f>ROUND(INDEX(Spending!AJ:AJ,MATCH(EOMONTH($A1328,-1),Spending!B:B,0)),2)</f>
        <v>66</v>
      </c>
      <c r="R1328">
        <f t="shared" si="1221"/>
        <v>2</v>
      </c>
      <c r="S1328">
        <f>ROUND(INDEX(Employment!V:V,MATCH(EOMONTH($A1328,-1),Employment!A:A,0)),2)</f>
        <v>175.65</v>
      </c>
      <c r="T1328" s="11">
        <f t="shared" si="1218"/>
        <v>2</v>
      </c>
      <c r="U1328">
        <f t="shared" si="1210"/>
        <v>32</v>
      </c>
      <c r="V1328">
        <f t="shared" si="1202"/>
        <v>79.73</v>
      </c>
      <c r="W1328" s="13">
        <f t="shared" si="1203"/>
        <v>6.6E-3</v>
      </c>
      <c r="X1328" s="13">
        <f t="shared" si="1204"/>
        <v>2.0500000000000004E-2</v>
      </c>
      <c r="Y1328">
        <f t="shared" si="1196"/>
        <v>95.91</v>
      </c>
      <c r="Z1328" s="13">
        <f t="shared" si="1191"/>
        <v>3.3E-3</v>
      </c>
      <c r="AA1328" s="13">
        <f t="shared" si="1187"/>
        <v>6.8999999999999999E-3</v>
      </c>
      <c r="AB1328" s="6">
        <f t="shared" si="1197"/>
        <v>115.828</v>
      </c>
      <c r="AC1328">
        <f t="shared" si="1189"/>
        <v>58</v>
      </c>
      <c r="AD1328" s="11">
        <f t="shared" si="1190"/>
        <v>2</v>
      </c>
      <c r="AE1328">
        <f t="shared" si="1188"/>
        <v>36</v>
      </c>
      <c r="AF1328">
        <f>IF(AND(AE1328&lt;15,OR(AC1328&gt;=30,AA1328&gt;0.15,X1328&gt;=0.15)),2,VLOOKUP(AE1328,Table!P:Q,2,FALSE))</f>
        <v>5</v>
      </c>
      <c r="AG1328" s="22">
        <f>IF((AB1328*0.98)-(D1328*0.8)+((AF1328-3)*3)+VLOOKUP(AM1328,Table!$A$11:$B$13,2,FALSE)&lt;0,0,(AB1328*0.98)-(D1328*0.8)+((AF1328-3)*3)+VLOOKUP(AM1328,Table!$A$11:$B$13,2,FALSE))</f>
        <v>114.98344</v>
      </c>
      <c r="AH1328" s="22">
        <f t="shared" si="1219"/>
        <v>100</v>
      </c>
      <c r="AI1328" s="18">
        <f t="shared" si="1212"/>
        <v>3</v>
      </c>
      <c r="AJ1328" s="18">
        <f t="shared" si="1213"/>
        <v>3.07</v>
      </c>
      <c r="AK1328" t="str">
        <f t="shared" si="1198"/>
        <v/>
      </c>
      <c r="AL1328">
        <f t="shared" si="1209"/>
        <v>36.25</v>
      </c>
      <c r="AM1328" s="11" t="str">
        <f t="shared" si="1199"/>
        <v>Stocks</v>
      </c>
      <c r="AN1328" t="str">
        <f t="shared" si="1205"/>
        <v>Buy</v>
      </c>
      <c r="AO1328" s="13">
        <f t="shared" si="1206"/>
        <v>-5.3E-3</v>
      </c>
      <c r="AP1328" s="13">
        <f t="shared" si="1207"/>
        <v>5.9999999999999995E-4</v>
      </c>
      <c r="AQ1328" s="13">
        <f t="shared" si="1208"/>
        <v>-5.3E-3</v>
      </c>
      <c r="AR1328" s="13">
        <f t="shared" si="1200"/>
        <v>-5.3E-3</v>
      </c>
      <c r="AS1328" s="6">
        <f t="shared" si="1192"/>
        <v>112.10399367978346</v>
      </c>
      <c r="AT1328" s="6">
        <f t="shared" si="1193"/>
        <v>103.17848113532779</v>
      </c>
      <c r="AU1328" s="6">
        <f t="shared" si="1194"/>
        <v>111.73409860654219</v>
      </c>
      <c r="AV1328" s="6">
        <f t="shared" si="1195"/>
        <v>112.10399367978346</v>
      </c>
      <c r="AW1328" s="58">
        <f t="shared" si="1201"/>
        <v>1993</v>
      </c>
      <c r="AX1328" s="58">
        <f>COUNTIF(AW$3:AW1328,AW1328)</f>
        <v>41</v>
      </c>
    </row>
    <row r="1329" spans="1:50" x14ac:dyDescent="0.25">
      <c r="A1329" s="5">
        <v>34042</v>
      </c>
      <c r="B1329">
        <v>449.83</v>
      </c>
      <c r="C1329">
        <v>2.98</v>
      </c>
      <c r="D1329" s="6">
        <v>14.08</v>
      </c>
      <c r="E1329" s="18">
        <f t="shared" si="1214"/>
        <v>14.09</v>
      </c>
      <c r="F1329">
        <f t="shared" si="1215"/>
        <v>1</v>
      </c>
      <c r="G1329" s="18">
        <f>ROUND(INDEX(Valuation!U:U,MATCH(A1329,Valuation!A:A,0)),2)</f>
        <v>240.31</v>
      </c>
      <c r="H1329">
        <f t="shared" si="1222"/>
        <v>3</v>
      </c>
      <c r="I1329" s="18">
        <f>INDEX(WeeklyIndicators!Y:Y,MATCH(A1329,WeeklyIndicators!A:A,0))</f>
        <v>126.68</v>
      </c>
      <c r="J1329">
        <f t="shared" si="1211"/>
        <v>0</v>
      </c>
      <c r="K1329">
        <f>ROUND(INDEX(Economic!AF:AF,MATCH(EOMONTH($A1329,-1),Economic!A:A,0)),2)</f>
        <v>134.19999999999999</v>
      </c>
      <c r="L1329" s="11">
        <f t="shared" si="1220"/>
        <v>2</v>
      </c>
      <c r="M1329">
        <f>ROUND(INDEX(Manufacturing!P:P,MATCH(EOMONTH($A1329,-1),Manufacturing!A:A,0)),2)</f>
        <v>117.08</v>
      </c>
      <c r="N1329">
        <f t="shared" si="1216"/>
        <v>3</v>
      </c>
      <c r="O1329">
        <f>ROUND(INDEX(Housing!AC:AC,MATCH(EOMONTH($A1329,-1),Housing!B:B,0)),2)</f>
        <v>75.94</v>
      </c>
      <c r="P1329">
        <f t="shared" si="1217"/>
        <v>-1</v>
      </c>
      <c r="Q1329">
        <f>ROUND(INDEX(Spending!AJ:AJ,MATCH(EOMONTH($A1329,-1),Spending!B:B,0)),2)</f>
        <v>66</v>
      </c>
      <c r="R1329">
        <f t="shared" si="1221"/>
        <v>2</v>
      </c>
      <c r="S1329">
        <f>ROUND(INDEX(Employment!V:V,MATCH(EOMONTH($A1329,-1),Employment!A:A,0)),2)</f>
        <v>175.65</v>
      </c>
      <c r="T1329" s="11">
        <f t="shared" si="1218"/>
        <v>2</v>
      </c>
      <c r="U1329">
        <f t="shared" si="1210"/>
        <v>32</v>
      </c>
      <c r="V1329">
        <f t="shared" si="1202"/>
        <v>79.8</v>
      </c>
      <c r="W1329" s="13">
        <f t="shared" si="1203"/>
        <v>7.0000000000000001E-3</v>
      </c>
      <c r="X1329" s="13">
        <f t="shared" si="1204"/>
        <v>3.2000000000000001E-2</v>
      </c>
      <c r="Y1329">
        <f t="shared" si="1196"/>
        <v>95.98</v>
      </c>
      <c r="Z1329" s="13">
        <f t="shared" si="1191"/>
        <v>1.9E-3</v>
      </c>
      <c r="AA1329" s="13">
        <f t="shared" si="1187"/>
        <v>2.0299999999999999E-2</v>
      </c>
      <c r="AB1329" s="6">
        <f t="shared" si="1197"/>
        <v>116.851</v>
      </c>
      <c r="AC1329">
        <f t="shared" si="1189"/>
        <v>58</v>
      </c>
      <c r="AD1329" s="11">
        <f t="shared" si="1190"/>
        <v>2</v>
      </c>
      <c r="AE1329">
        <f t="shared" si="1188"/>
        <v>36</v>
      </c>
      <c r="AF1329">
        <f>IF(AND(AE1329&lt;15,OR(AC1329&gt;=30,AA1329&gt;0.15,X1329&gt;=0.15)),2,VLOOKUP(AE1329,Table!P:Q,2,FALSE))</f>
        <v>5</v>
      </c>
      <c r="AG1329" s="22">
        <f>IF((AB1329*0.98)-(D1329*0.8)+((AF1329-3)*3)+VLOOKUP(AM1329,Table!$A$11:$B$13,2,FALSE)&lt;0,0,(AB1329*0.98)-(D1329*0.8)+((AF1329-3)*3)+VLOOKUP(AM1329,Table!$A$11:$B$13,2,FALSE))</f>
        <v>117.24998000000001</v>
      </c>
      <c r="AH1329" s="22">
        <f t="shared" si="1219"/>
        <v>100</v>
      </c>
      <c r="AI1329" s="18">
        <f t="shared" si="1212"/>
        <v>3.01</v>
      </c>
      <c r="AJ1329" s="18">
        <f t="shared" si="1213"/>
        <v>3.08</v>
      </c>
      <c r="AK1329" t="str">
        <f t="shared" si="1198"/>
        <v/>
      </c>
      <c r="AL1329">
        <f t="shared" si="1209"/>
        <v>36.25</v>
      </c>
      <c r="AM1329" s="11" t="str">
        <f t="shared" si="1199"/>
        <v>Stocks</v>
      </c>
      <c r="AN1329" t="str">
        <f t="shared" si="1205"/>
        <v>Buy</v>
      </c>
      <c r="AO1329" s="13">
        <f t="shared" si="1206"/>
        <v>8.0000000000000004E-4</v>
      </c>
      <c r="AP1329" s="13">
        <f t="shared" si="1207"/>
        <v>5.9999999999999995E-4</v>
      </c>
      <c r="AQ1329" s="13">
        <f t="shared" si="1208"/>
        <v>8.0000000000000004E-4</v>
      </c>
      <c r="AR1329" s="13">
        <f t="shared" si="1200"/>
        <v>8.0000000000000004E-4</v>
      </c>
      <c r="AS1329" s="6">
        <f t="shared" si="1192"/>
        <v>112.01438217404423</v>
      </c>
      <c r="AT1329" s="6">
        <f t="shared" si="1193"/>
        <v>103.11661116862662</v>
      </c>
      <c r="AU1329" s="6">
        <f t="shared" si="1194"/>
        <v>111.64478278031794</v>
      </c>
      <c r="AV1329" s="6">
        <f t="shared" si="1195"/>
        <v>112.01438217404423</v>
      </c>
      <c r="AW1329" s="58">
        <f t="shared" si="1201"/>
        <v>1993</v>
      </c>
      <c r="AX1329" s="58">
        <f>COUNTIF(AW$3:AW1329,AW1329)</f>
        <v>42</v>
      </c>
    </row>
    <row r="1330" spans="1:50" x14ac:dyDescent="0.25">
      <c r="A1330" s="5">
        <v>34035</v>
      </c>
      <c r="B1330">
        <v>446.11</v>
      </c>
      <c r="C1330">
        <v>2.95</v>
      </c>
      <c r="D1330" s="6">
        <v>13.16</v>
      </c>
      <c r="E1330" s="18">
        <f t="shared" si="1214"/>
        <v>13.52</v>
      </c>
      <c r="F1330">
        <f t="shared" si="1215"/>
        <v>2</v>
      </c>
      <c r="G1330" s="18">
        <f>ROUND(INDEX(Valuation!U:U,MATCH(A1330,Valuation!A:A,0)),2)</f>
        <v>242.67</v>
      </c>
      <c r="H1330">
        <f t="shared" si="1222"/>
        <v>3</v>
      </c>
      <c r="I1330" s="18">
        <f>INDEX(WeeklyIndicators!Y:Y,MATCH(A1330,WeeklyIndicators!A:A,0))</f>
        <v>127.36</v>
      </c>
      <c r="J1330">
        <f t="shared" si="1211"/>
        <v>0</v>
      </c>
      <c r="K1330">
        <f>ROUND(INDEX(Economic!AF:AF,MATCH(EOMONTH($A1330,-1),Economic!A:A,0)),2)</f>
        <v>134.19999999999999</v>
      </c>
      <c r="L1330" s="11">
        <f t="shared" si="1220"/>
        <v>2</v>
      </c>
      <c r="M1330">
        <f>ROUND(INDEX(Manufacturing!P:P,MATCH(EOMONTH($A1330,-1),Manufacturing!A:A,0)),2)</f>
        <v>117.08</v>
      </c>
      <c r="N1330">
        <f t="shared" si="1216"/>
        <v>3</v>
      </c>
      <c r="O1330">
        <f>ROUND(INDEX(Housing!AC:AC,MATCH(EOMONTH($A1330,-1),Housing!B:B,0)),2)</f>
        <v>75.94</v>
      </c>
      <c r="P1330">
        <f t="shared" si="1217"/>
        <v>-1</v>
      </c>
      <c r="Q1330">
        <f>ROUND(INDEX(Spending!AJ:AJ,MATCH(EOMONTH($A1330,-1),Spending!B:B,0)),2)</f>
        <v>66</v>
      </c>
      <c r="R1330">
        <f t="shared" si="1221"/>
        <v>2</v>
      </c>
      <c r="S1330">
        <f>ROUND(INDEX(Employment!V:V,MATCH(EOMONTH($A1330,-1),Employment!A:A,0)),2)</f>
        <v>175.65</v>
      </c>
      <c r="T1330" s="11">
        <f t="shared" si="1218"/>
        <v>2</v>
      </c>
      <c r="U1330">
        <f t="shared" si="1210"/>
        <v>33</v>
      </c>
      <c r="V1330">
        <f t="shared" si="1202"/>
        <v>79.87</v>
      </c>
      <c r="W1330" s="13">
        <f t="shared" si="1203"/>
        <v>7.1000000000000004E-3</v>
      </c>
      <c r="X1330" s="13">
        <f t="shared" si="1204"/>
        <v>4.3700000000000003E-2</v>
      </c>
      <c r="Y1330">
        <f t="shared" si="1196"/>
        <v>96.51</v>
      </c>
      <c r="Z1330" s="13">
        <f t="shared" si="1191"/>
        <v>3.3999999999999998E-3</v>
      </c>
      <c r="AA1330" s="13">
        <f t="shared" si="1187"/>
        <v>3.73E-2</v>
      </c>
      <c r="AB1330" s="6">
        <f t="shared" si="1197"/>
        <v>118.877</v>
      </c>
      <c r="AC1330">
        <f t="shared" si="1189"/>
        <v>59</v>
      </c>
      <c r="AD1330" s="11">
        <f t="shared" si="1190"/>
        <v>2</v>
      </c>
      <c r="AE1330">
        <f t="shared" si="1188"/>
        <v>37</v>
      </c>
      <c r="AF1330">
        <f>IF(AND(AE1330&lt;15,OR(AC1330&gt;=30,AA1330&gt;0.15,X1330&gt;=0.15)),2,VLOOKUP(AE1330,Table!P:Q,2,FALSE))</f>
        <v>6</v>
      </c>
      <c r="AG1330" s="22">
        <f>IF((AB1330*0.98)-(D1330*0.8)+((AF1330-3)*3)+VLOOKUP(AM1330,Table!$A$11:$B$13,2,FALSE)&lt;0,0,(AB1330*0.98)-(D1330*0.8)+((AF1330-3)*3)+VLOOKUP(AM1330,Table!$A$11:$B$13,2,FALSE))</f>
        <v>122.97145999999999</v>
      </c>
      <c r="AH1330" s="22">
        <f t="shared" si="1219"/>
        <v>100</v>
      </c>
      <c r="AI1330" s="18">
        <f t="shared" si="1212"/>
        <v>3.03</v>
      </c>
      <c r="AJ1330" s="18">
        <f t="shared" si="1213"/>
        <v>3.1</v>
      </c>
      <c r="AK1330" t="str">
        <f t="shared" si="1198"/>
        <v/>
      </c>
      <c r="AL1330">
        <f t="shared" si="1209"/>
        <v>36.25</v>
      </c>
      <c r="AM1330" s="11" t="str">
        <f t="shared" si="1199"/>
        <v>Stocks</v>
      </c>
      <c r="AN1330" t="str">
        <f t="shared" si="1205"/>
        <v>Buy</v>
      </c>
      <c r="AO1330" s="13">
        <f t="shared" si="1206"/>
        <v>8.3000000000000001E-3</v>
      </c>
      <c r="AP1330" s="13">
        <f t="shared" si="1207"/>
        <v>5.9999999999999995E-4</v>
      </c>
      <c r="AQ1330" s="13">
        <f t="shared" si="1208"/>
        <v>8.3000000000000001E-3</v>
      </c>
      <c r="AR1330" s="13">
        <f t="shared" si="1200"/>
        <v>8.3000000000000001E-3</v>
      </c>
      <c r="AS1330" s="6">
        <f t="shared" si="1192"/>
        <v>111.09231595164557</v>
      </c>
      <c r="AT1330" s="6">
        <f t="shared" si="1193"/>
        <v>103.05477830164564</v>
      </c>
      <c r="AU1330" s="6">
        <f t="shared" si="1194"/>
        <v>110.72575898077748</v>
      </c>
      <c r="AV1330" s="6">
        <f t="shared" si="1195"/>
        <v>111.09231595164557</v>
      </c>
      <c r="AW1330" s="58">
        <f t="shared" si="1201"/>
        <v>1993</v>
      </c>
      <c r="AX1330" s="58">
        <f>COUNTIF(AW$3:AW1330,AW1330)</f>
        <v>43</v>
      </c>
    </row>
    <row r="1331" spans="1:50" x14ac:dyDescent="0.25">
      <c r="A1331" s="5">
        <v>34028</v>
      </c>
      <c r="B1331">
        <v>443.38</v>
      </c>
      <c r="C1331">
        <v>2.95</v>
      </c>
      <c r="D1331" s="6">
        <v>15.02</v>
      </c>
      <c r="E1331" s="18">
        <f t="shared" si="1214"/>
        <v>13.43</v>
      </c>
      <c r="F1331">
        <f t="shared" si="1215"/>
        <v>2</v>
      </c>
      <c r="G1331" s="18">
        <f>ROUND(INDEX(Valuation!U:U,MATCH(A1331,Valuation!A:A,0)),2)</f>
        <v>243.93</v>
      </c>
      <c r="H1331">
        <f t="shared" si="1222"/>
        <v>3</v>
      </c>
      <c r="I1331" s="18">
        <f>INDEX(WeeklyIndicators!Y:Y,MATCH(A1331,WeeklyIndicators!A:A,0))</f>
        <v>127.86</v>
      </c>
      <c r="J1331">
        <f t="shared" si="1211"/>
        <v>0</v>
      </c>
      <c r="K1331">
        <f>ROUND(INDEX(Economic!AF:AF,MATCH(EOMONTH($A1331,-1),Economic!A:A,0)),2)</f>
        <v>127.21</v>
      </c>
      <c r="L1331" s="11">
        <f t="shared" si="1220"/>
        <v>2</v>
      </c>
      <c r="M1331">
        <f>ROUND(INDEX(Manufacturing!P:P,MATCH(EOMONTH($A1331,-1),Manufacturing!A:A,0)),2)</f>
        <v>116.86</v>
      </c>
      <c r="N1331">
        <f t="shared" si="1216"/>
        <v>3</v>
      </c>
      <c r="O1331">
        <f>ROUND(INDEX(Housing!AC:AC,MATCH(EOMONTH($A1331,-1),Housing!B:B,0)),2)</f>
        <v>76.33</v>
      </c>
      <c r="P1331">
        <f t="shared" si="1217"/>
        <v>-1</v>
      </c>
      <c r="Q1331">
        <f>ROUND(INDEX(Spending!AJ:AJ,MATCH(EOMONTH($A1331,-1),Spending!B:B,0)),2)</f>
        <v>65.849999999999994</v>
      </c>
      <c r="R1331">
        <f t="shared" si="1221"/>
        <v>2</v>
      </c>
      <c r="S1331">
        <f>ROUND(INDEX(Employment!V:V,MATCH(EOMONTH($A1331,-1),Employment!A:A,0)),2)</f>
        <v>166.56</v>
      </c>
      <c r="T1331" s="11">
        <f t="shared" si="1218"/>
        <v>1</v>
      </c>
      <c r="U1331">
        <f t="shared" si="1210"/>
        <v>32</v>
      </c>
      <c r="V1331">
        <f t="shared" si="1202"/>
        <v>78.150000000000006</v>
      </c>
      <c r="W1331" s="13">
        <f t="shared" si="1203"/>
        <v>-2.0000000000000001E-4</v>
      </c>
      <c r="X1331" s="13">
        <f t="shared" si="1204"/>
        <v>5.5400000000000005E-2</v>
      </c>
      <c r="Y1331">
        <f t="shared" si="1196"/>
        <v>94.96</v>
      </c>
      <c r="Z1331" s="13">
        <f t="shared" si="1191"/>
        <v>-1.6999999999999999E-3</v>
      </c>
      <c r="AA1331" s="13">
        <f t="shared" ref="AA1331:AA1375" si="1223">SUM(Z1331:Z1334)</f>
        <v>5.28E-2</v>
      </c>
      <c r="AB1331" s="6">
        <f t="shared" si="1197"/>
        <v>118.553</v>
      </c>
      <c r="AC1331">
        <f t="shared" si="1189"/>
        <v>59</v>
      </c>
      <c r="AD1331" s="11">
        <f t="shared" si="1190"/>
        <v>2</v>
      </c>
      <c r="AE1331">
        <f t="shared" si="1188"/>
        <v>36</v>
      </c>
      <c r="AF1331">
        <f>IF(AND(AE1331&lt;15,OR(AC1331&gt;=30,AA1331&gt;0.15,X1331&gt;=0.15)),2,VLOOKUP(AE1331,Table!P:Q,2,FALSE))</f>
        <v>5</v>
      </c>
      <c r="AG1331" s="22">
        <f>IF((AB1331*0.98)-(D1331*0.8)+((AF1331-3)*3)+VLOOKUP(AM1331,Table!$A$11:$B$13,2,FALSE)&lt;0,0,(AB1331*0.98)-(D1331*0.8)+((AF1331-3)*3)+VLOOKUP(AM1331,Table!$A$11:$B$13,2,FALSE))</f>
        <v>118.16593999999999</v>
      </c>
      <c r="AH1331" s="22">
        <f t="shared" si="1219"/>
        <v>100</v>
      </c>
      <c r="AI1331" s="18">
        <f t="shared" si="1212"/>
        <v>3.06</v>
      </c>
      <c r="AJ1331" s="18">
        <f t="shared" si="1213"/>
        <v>3.12</v>
      </c>
      <c r="AK1331" t="str">
        <f t="shared" si="1198"/>
        <v>Falling Rates</v>
      </c>
      <c r="AL1331">
        <f t="shared" si="1209"/>
        <v>36</v>
      </c>
      <c r="AM1331" s="11" t="str">
        <f t="shared" si="1199"/>
        <v>Stocks</v>
      </c>
      <c r="AN1331" t="str">
        <f t="shared" si="1205"/>
        <v>Buy</v>
      </c>
      <c r="AO1331" s="13">
        <f t="shared" si="1206"/>
        <v>6.1999999999999998E-3</v>
      </c>
      <c r="AP1331" s="13">
        <f t="shared" si="1207"/>
        <v>5.9999999999999995E-4</v>
      </c>
      <c r="AQ1331" s="13">
        <f t="shared" si="1208"/>
        <v>6.1999999999999998E-3</v>
      </c>
      <c r="AR1331" s="13">
        <f t="shared" si="1200"/>
        <v>6.1999999999999998E-3</v>
      </c>
      <c r="AS1331" s="6">
        <f t="shared" si="1192"/>
        <v>110.40778766810334</v>
      </c>
      <c r="AT1331" s="6">
        <f t="shared" si="1193"/>
        <v>102.99298251213837</v>
      </c>
      <c r="AU1331" s="6">
        <f t="shared" si="1194"/>
        <v>110.04348934682716</v>
      </c>
      <c r="AV1331" s="6">
        <f t="shared" si="1195"/>
        <v>110.40778766810334</v>
      </c>
      <c r="AW1331" s="58">
        <f t="shared" si="1201"/>
        <v>1993</v>
      </c>
      <c r="AX1331" s="58">
        <f>COUNTIF(AW$3:AW1331,AW1331)</f>
        <v>44</v>
      </c>
    </row>
    <row r="1332" spans="1:50" x14ac:dyDescent="0.25">
      <c r="A1332" s="5">
        <v>34021</v>
      </c>
      <c r="B1332">
        <v>434.22</v>
      </c>
      <c r="C1332">
        <v>2.92</v>
      </c>
      <c r="D1332" s="6">
        <v>12.38</v>
      </c>
      <c r="E1332" s="18">
        <f t="shared" si="1214"/>
        <v>12.57</v>
      </c>
      <c r="F1332">
        <f t="shared" si="1215"/>
        <v>2</v>
      </c>
      <c r="G1332" s="18">
        <f>ROUND(INDEX(Valuation!U:U,MATCH(A1332,Valuation!A:A,0)),2)</f>
        <v>245.63</v>
      </c>
      <c r="H1332">
        <f t="shared" si="1222"/>
        <v>3</v>
      </c>
      <c r="I1332" s="18">
        <f>INDEX(WeeklyIndicators!Y:Y,MATCH(A1332,WeeklyIndicators!A:A,0))</f>
        <v>127.71</v>
      </c>
      <c r="J1332">
        <f t="shared" si="1211"/>
        <v>0</v>
      </c>
      <c r="K1332">
        <f>ROUND(INDEX(Economic!AF:AF,MATCH(EOMONTH($A1332,-1),Economic!A:A,0)),2)</f>
        <v>127.21</v>
      </c>
      <c r="L1332" s="11">
        <f t="shared" si="1220"/>
        <v>2</v>
      </c>
      <c r="M1332">
        <f>ROUND(INDEX(Manufacturing!P:P,MATCH(EOMONTH($A1332,-1),Manufacturing!A:A,0)),2)</f>
        <v>116.86</v>
      </c>
      <c r="N1332">
        <f t="shared" si="1216"/>
        <v>3</v>
      </c>
      <c r="O1332">
        <f>ROUND(INDEX(Housing!AC:AC,MATCH(EOMONTH($A1332,-1),Housing!B:B,0)),2)</f>
        <v>76.33</v>
      </c>
      <c r="P1332">
        <f t="shared" si="1217"/>
        <v>-1</v>
      </c>
      <c r="Q1332">
        <f>ROUND(INDEX(Spending!AJ:AJ,MATCH(EOMONTH($A1332,-1),Spending!B:B,0)),2)</f>
        <v>65.849999999999994</v>
      </c>
      <c r="R1332">
        <f t="shared" si="1221"/>
        <v>2</v>
      </c>
      <c r="S1332">
        <f>ROUND(INDEX(Employment!V:V,MATCH(EOMONTH($A1332,-1),Employment!A:A,0)),2)</f>
        <v>166.56</v>
      </c>
      <c r="T1332" s="11">
        <f t="shared" si="1218"/>
        <v>1</v>
      </c>
      <c r="U1332">
        <f t="shared" si="1210"/>
        <v>32</v>
      </c>
      <c r="V1332">
        <f t="shared" si="1202"/>
        <v>78.14</v>
      </c>
      <c r="W1332" s="13">
        <f t="shared" si="1203"/>
        <v>1.8100000000000002E-2</v>
      </c>
      <c r="X1332" s="13">
        <f t="shared" si="1204"/>
        <v>5.5599999999999997E-2</v>
      </c>
      <c r="Y1332">
        <f t="shared" si="1196"/>
        <v>95.43</v>
      </c>
      <c r="Z1332" s="13">
        <f t="shared" si="1191"/>
        <v>1.67E-2</v>
      </c>
      <c r="AA1332" s="13">
        <f t="shared" si="1223"/>
        <v>5.4899999999999997E-2</v>
      </c>
      <c r="AB1332" s="6">
        <f t="shared" si="1197"/>
        <v>119.333</v>
      </c>
      <c r="AC1332">
        <f t="shared" si="1189"/>
        <v>60</v>
      </c>
      <c r="AD1332" s="11">
        <f t="shared" si="1190"/>
        <v>2</v>
      </c>
      <c r="AE1332">
        <f t="shared" si="1188"/>
        <v>36</v>
      </c>
      <c r="AF1332">
        <f>IF(AND(AE1332&lt;15,OR(AC1332&gt;=30,AA1332&gt;0.15,X1332&gt;=0.15)),2,VLOOKUP(AE1332,Table!P:Q,2,FALSE))</f>
        <v>5</v>
      </c>
      <c r="AG1332" s="22">
        <f>IF((AB1332*0.98)-(D1332*0.8)+((AF1332-3)*3)+VLOOKUP(AM1332,Table!$A$11:$B$13,2,FALSE)&lt;0,0,(AB1332*0.98)-(D1332*0.8)+((AF1332-3)*3)+VLOOKUP(AM1332,Table!$A$11:$B$13,2,FALSE))</f>
        <v>121.04234</v>
      </c>
      <c r="AH1332" s="22">
        <f t="shared" si="1219"/>
        <v>100</v>
      </c>
      <c r="AI1332" s="18">
        <f t="shared" si="1212"/>
        <v>3.08</v>
      </c>
      <c r="AJ1332" s="18">
        <f t="shared" si="1213"/>
        <v>3.14</v>
      </c>
      <c r="AK1332" t="str">
        <f t="shared" si="1198"/>
        <v>Falling Rates</v>
      </c>
      <c r="AL1332">
        <f t="shared" si="1209"/>
        <v>35.25</v>
      </c>
      <c r="AM1332" s="11" t="str">
        <f t="shared" si="1199"/>
        <v>Stocks</v>
      </c>
      <c r="AN1332" t="str">
        <f t="shared" si="1205"/>
        <v>Buy</v>
      </c>
      <c r="AO1332" s="13">
        <f t="shared" si="1206"/>
        <v>2.1100000000000001E-2</v>
      </c>
      <c r="AP1332" s="13">
        <f t="shared" si="1207"/>
        <v>5.9999999999999995E-4</v>
      </c>
      <c r="AQ1332" s="13">
        <f t="shared" si="1208"/>
        <v>2.1100000000000001E-2</v>
      </c>
      <c r="AR1332" s="13">
        <f t="shared" si="1200"/>
        <v>2.1100000000000001E-2</v>
      </c>
      <c r="AS1332" s="6">
        <f t="shared" si="1192"/>
        <v>108.12632226824341</v>
      </c>
      <c r="AT1332" s="6">
        <f t="shared" si="1193"/>
        <v>102.93122377787165</v>
      </c>
      <c r="AU1332" s="6">
        <f t="shared" si="1194"/>
        <v>107.76955180376767</v>
      </c>
      <c r="AV1332" s="6">
        <f t="shared" si="1195"/>
        <v>108.12632226824341</v>
      </c>
      <c r="AW1332" s="58">
        <f t="shared" si="1201"/>
        <v>1993</v>
      </c>
      <c r="AX1332" s="58">
        <f>COUNTIF(AW$3:AW1332,AW1332)</f>
        <v>45</v>
      </c>
    </row>
    <row r="1333" spans="1:50" x14ac:dyDescent="0.25">
      <c r="A1333" s="5">
        <v>34014</v>
      </c>
      <c r="B1333">
        <v>444.58</v>
      </c>
      <c r="C1333">
        <v>2.93</v>
      </c>
      <c r="D1333" s="6">
        <v>12.9</v>
      </c>
      <c r="E1333" s="18">
        <f t="shared" si="1214"/>
        <v>12.21</v>
      </c>
      <c r="F1333">
        <f t="shared" si="1215"/>
        <v>2</v>
      </c>
      <c r="G1333" s="18">
        <f>ROUND(INDEX(Valuation!U:U,MATCH(A1333,Valuation!A:A,0)),2)</f>
        <v>244.68</v>
      </c>
      <c r="H1333">
        <f t="shared" si="1222"/>
        <v>3</v>
      </c>
      <c r="I1333" s="18">
        <f>INDEX(WeeklyIndicators!Y:Y,MATCH(A1333,WeeklyIndicators!A:A,0))</f>
        <v>128.4</v>
      </c>
      <c r="J1333">
        <f t="shared" si="1211"/>
        <v>0</v>
      </c>
      <c r="K1333">
        <f>ROUND(INDEX(Economic!AF:AF,MATCH(EOMONTH($A1333,-1),Economic!A:A,0)),2)</f>
        <v>127.21</v>
      </c>
      <c r="L1333" s="11">
        <f t="shared" si="1220"/>
        <v>2</v>
      </c>
      <c r="M1333">
        <f>ROUND(INDEX(Manufacturing!P:P,MATCH(EOMONTH($A1333,-1),Manufacturing!A:A,0)),2)</f>
        <v>116.86</v>
      </c>
      <c r="N1333">
        <f t="shared" si="1216"/>
        <v>3</v>
      </c>
      <c r="O1333">
        <f>ROUND(INDEX(Housing!AC:AC,MATCH(EOMONTH($A1333,-1),Housing!B:B,0)),2)</f>
        <v>76.33</v>
      </c>
      <c r="P1333">
        <f t="shared" si="1217"/>
        <v>-1</v>
      </c>
      <c r="Q1333">
        <f>ROUND(INDEX(Spending!AJ:AJ,MATCH(EOMONTH($A1333,-1),Spending!B:B,0)),2)</f>
        <v>65.849999999999994</v>
      </c>
      <c r="R1333">
        <f t="shared" si="1221"/>
        <v>2</v>
      </c>
      <c r="S1333">
        <f>ROUND(INDEX(Employment!V:V,MATCH(EOMONTH($A1333,-1),Employment!A:A,0)),2)</f>
        <v>166.56</v>
      </c>
      <c r="T1333" s="11">
        <f t="shared" si="1218"/>
        <v>1</v>
      </c>
      <c r="U1333">
        <f t="shared" si="1210"/>
        <v>32</v>
      </c>
      <c r="V1333">
        <f t="shared" si="1202"/>
        <v>78.209999999999994</v>
      </c>
      <c r="W1333" s="13">
        <f t="shared" si="1203"/>
        <v>1.8700000000000001E-2</v>
      </c>
      <c r="X1333" s="13">
        <f t="shared" si="1204"/>
        <v>3.7900000000000003E-2</v>
      </c>
      <c r="Y1333">
        <f t="shared" si="1196"/>
        <v>95.53</v>
      </c>
      <c r="Z1333" s="13">
        <f t="shared" si="1191"/>
        <v>1.89E-2</v>
      </c>
      <c r="AA1333" s="13">
        <f t="shared" si="1223"/>
        <v>3.7599999999999995E-2</v>
      </c>
      <c r="AB1333" s="6">
        <f t="shared" si="1197"/>
        <v>118.00800000000001</v>
      </c>
      <c r="AC1333">
        <f t="shared" si="1189"/>
        <v>59</v>
      </c>
      <c r="AD1333" s="11">
        <f t="shared" si="1190"/>
        <v>2</v>
      </c>
      <c r="AE1333">
        <f t="shared" si="1188"/>
        <v>36</v>
      </c>
      <c r="AF1333">
        <f>IF(AND(AE1333&lt;15,OR(AC1333&gt;=30,AA1333&gt;0.15,X1333&gt;=0.15)),2,VLOOKUP(AE1333,Table!P:Q,2,FALSE))</f>
        <v>5</v>
      </c>
      <c r="AG1333" s="22">
        <f>IF((AB1333*0.98)-(D1333*0.8)+((AF1333-3)*3)+VLOOKUP(AM1333,Table!$A$11:$B$13,2,FALSE)&lt;0,0,(AB1333*0.98)-(D1333*0.8)+((AF1333-3)*3)+VLOOKUP(AM1333,Table!$A$11:$B$13,2,FALSE))</f>
        <v>119.32784000000001</v>
      </c>
      <c r="AH1333" s="22">
        <f t="shared" si="1219"/>
        <v>100</v>
      </c>
      <c r="AI1333" s="18">
        <f t="shared" si="1212"/>
        <v>3.1</v>
      </c>
      <c r="AJ1333" s="18">
        <f t="shared" si="1213"/>
        <v>3.16</v>
      </c>
      <c r="AK1333" t="str">
        <f t="shared" si="1198"/>
        <v>Falling Rates</v>
      </c>
      <c r="AL1333">
        <f t="shared" si="1209"/>
        <v>34.5</v>
      </c>
      <c r="AM1333" s="11" t="str">
        <f t="shared" si="1199"/>
        <v>Stocks</v>
      </c>
      <c r="AN1333" t="str">
        <f t="shared" si="1205"/>
        <v>Buy</v>
      </c>
      <c r="AO1333" s="13">
        <f t="shared" si="1206"/>
        <v>-2.3300000000000001E-2</v>
      </c>
      <c r="AP1333" s="13">
        <f t="shared" si="1207"/>
        <v>5.9999999999999995E-4</v>
      </c>
      <c r="AQ1333" s="13">
        <f t="shared" si="1208"/>
        <v>-2.3300000000000001E-2</v>
      </c>
      <c r="AR1333" s="13">
        <f t="shared" si="1200"/>
        <v>-2.3300000000000001E-2</v>
      </c>
      <c r="AS1333" s="6">
        <f t="shared" si="1192"/>
        <v>110.70576663073965</v>
      </c>
      <c r="AT1333" s="6">
        <f t="shared" si="1193"/>
        <v>102.86950207662568</v>
      </c>
      <c r="AU1333" s="6">
        <f t="shared" si="1194"/>
        <v>110.34048510675505</v>
      </c>
      <c r="AV1333" s="6">
        <f t="shared" si="1195"/>
        <v>110.70576663073965</v>
      </c>
      <c r="AW1333" s="58">
        <f t="shared" si="1201"/>
        <v>1993</v>
      </c>
      <c r="AX1333" s="58">
        <f>COUNTIF(AW$3:AW1333,AW1333)</f>
        <v>46</v>
      </c>
    </row>
    <row r="1334" spans="1:50" x14ac:dyDescent="0.25">
      <c r="A1334" s="5">
        <v>34007</v>
      </c>
      <c r="B1334">
        <v>448.93</v>
      </c>
      <c r="C1334">
        <v>2.92</v>
      </c>
      <c r="D1334" s="6">
        <v>12.42</v>
      </c>
      <c r="E1334" s="18">
        <f t="shared" si="1214"/>
        <v>11.76</v>
      </c>
      <c r="F1334">
        <f t="shared" si="1215"/>
        <v>2</v>
      </c>
      <c r="G1334" s="18">
        <f>ROUND(INDEX(Valuation!U:U,MATCH(A1334,Valuation!A:A,0)),2)</f>
        <v>242.67</v>
      </c>
      <c r="H1334">
        <f t="shared" si="1222"/>
        <v>3</v>
      </c>
      <c r="I1334" s="18">
        <f>INDEX(WeeklyIndicators!Y:Y,MATCH(A1334,WeeklyIndicators!A:A,0))</f>
        <v>128.31</v>
      </c>
      <c r="J1334">
        <f t="shared" si="1211"/>
        <v>0</v>
      </c>
      <c r="K1334">
        <f>ROUND(INDEX(Economic!AF:AF,MATCH(EOMONTH($A1334,-1),Economic!A:A,0)),2)</f>
        <v>127.21</v>
      </c>
      <c r="L1334" s="11">
        <f t="shared" si="1220"/>
        <v>2</v>
      </c>
      <c r="M1334">
        <f>ROUND(INDEX(Manufacturing!P:P,MATCH(EOMONTH($A1334,-1),Manufacturing!A:A,0)),2)</f>
        <v>116.86</v>
      </c>
      <c r="N1334">
        <f t="shared" si="1216"/>
        <v>3</v>
      </c>
      <c r="O1334">
        <f>ROUND(INDEX(Housing!AC:AC,MATCH(EOMONTH($A1334,-1),Housing!B:B,0)),2)</f>
        <v>76.33</v>
      </c>
      <c r="P1334">
        <f t="shared" si="1217"/>
        <v>-1</v>
      </c>
      <c r="Q1334">
        <f>ROUND(INDEX(Spending!AJ:AJ,MATCH(EOMONTH($A1334,-1),Spending!B:B,0)),2)</f>
        <v>65.849999999999994</v>
      </c>
      <c r="R1334">
        <f t="shared" si="1221"/>
        <v>2</v>
      </c>
      <c r="S1334">
        <f>ROUND(INDEX(Employment!V:V,MATCH(EOMONTH($A1334,-1),Employment!A:A,0)),2)</f>
        <v>166.56</v>
      </c>
      <c r="T1334" s="11">
        <f t="shared" si="1218"/>
        <v>1</v>
      </c>
      <c r="U1334">
        <f t="shared" si="1210"/>
        <v>32</v>
      </c>
      <c r="V1334">
        <f t="shared" si="1202"/>
        <v>78.2</v>
      </c>
      <c r="W1334" s="13">
        <f t="shared" si="1203"/>
        <v>1.8800000000000001E-2</v>
      </c>
      <c r="X1334" s="13">
        <f t="shared" si="1204"/>
        <v>3.1700000000000006E-2</v>
      </c>
      <c r="Y1334">
        <f t="shared" si="1196"/>
        <v>95.45</v>
      </c>
      <c r="Z1334" s="13">
        <f t="shared" si="1191"/>
        <v>1.89E-2</v>
      </c>
      <c r="AA1334" s="13">
        <f t="shared" si="1223"/>
        <v>2.8700000000000003E-2</v>
      </c>
      <c r="AB1334" s="6">
        <f t="shared" si="1197"/>
        <v>117.06699999999999</v>
      </c>
      <c r="AC1334">
        <f t="shared" si="1189"/>
        <v>59</v>
      </c>
      <c r="AD1334" s="11">
        <f t="shared" si="1190"/>
        <v>2</v>
      </c>
      <c r="AE1334">
        <f t="shared" si="1188"/>
        <v>36</v>
      </c>
      <c r="AF1334">
        <f>IF(AND(AE1334&lt;15,OR(AC1334&gt;=30,AA1334&gt;0.15,X1334&gt;=0.15)),2,VLOOKUP(AE1334,Table!P:Q,2,FALSE))</f>
        <v>5</v>
      </c>
      <c r="AG1334" s="22">
        <f>IF((AB1334*0.98)-(D1334*0.8)+((AF1334-3)*3)+VLOOKUP(AM1334,Table!$A$11:$B$13,2,FALSE)&lt;0,0,(AB1334*0.98)-(D1334*0.8)+((AF1334-3)*3)+VLOOKUP(AM1334,Table!$A$11:$B$13,2,FALSE))</f>
        <v>118.78966</v>
      </c>
      <c r="AH1334" s="22">
        <f t="shared" si="1219"/>
        <v>100</v>
      </c>
      <c r="AI1334" s="18">
        <f t="shared" si="1212"/>
        <v>3.11</v>
      </c>
      <c r="AJ1334" s="18">
        <f t="shared" si="1213"/>
        <v>3.18</v>
      </c>
      <c r="AK1334" t="str">
        <f t="shared" si="1198"/>
        <v>Falling Rates</v>
      </c>
      <c r="AL1334">
        <f t="shared" si="1209"/>
        <v>33.75</v>
      </c>
      <c r="AM1334" s="11" t="str">
        <f t="shared" si="1199"/>
        <v>Stocks</v>
      </c>
      <c r="AN1334" t="str">
        <f t="shared" si="1205"/>
        <v>Buy</v>
      </c>
      <c r="AO1334" s="13">
        <f t="shared" si="1206"/>
        <v>-9.7000000000000003E-3</v>
      </c>
      <c r="AP1334" s="13">
        <f t="shared" si="1207"/>
        <v>5.9999999999999995E-4</v>
      </c>
      <c r="AQ1334" s="13">
        <f t="shared" si="1208"/>
        <v>-9.7000000000000003E-3</v>
      </c>
      <c r="AR1334" s="13">
        <f t="shared" si="1200"/>
        <v>-9.7000000000000003E-3</v>
      </c>
      <c r="AS1334" s="6">
        <f t="shared" si="1192"/>
        <v>111.79013090047425</v>
      </c>
      <c r="AT1334" s="6">
        <f t="shared" si="1193"/>
        <v>102.80781738619397</v>
      </c>
      <c r="AU1334" s="6">
        <f t="shared" si="1194"/>
        <v>111.42127143972034</v>
      </c>
      <c r="AV1334" s="6">
        <f t="shared" si="1195"/>
        <v>111.79013090047425</v>
      </c>
      <c r="AW1334" s="58">
        <f t="shared" si="1201"/>
        <v>1993</v>
      </c>
      <c r="AX1334" s="58">
        <f>COUNTIF(AW$3:AW1334,AW1334)</f>
        <v>47</v>
      </c>
    </row>
    <row r="1335" spans="1:50" x14ac:dyDescent="0.25">
      <c r="A1335" s="5">
        <v>34000</v>
      </c>
      <c r="B1335">
        <v>438.78</v>
      </c>
      <c r="C1335">
        <v>2.92</v>
      </c>
      <c r="D1335" s="6">
        <v>11.3</v>
      </c>
      <c r="E1335" s="18">
        <f t="shared" si="1214"/>
        <v>12.21</v>
      </c>
      <c r="F1335">
        <f t="shared" si="1215"/>
        <v>2</v>
      </c>
      <c r="G1335" s="18">
        <f>ROUND(INDEX(Valuation!U:U,MATCH(A1335,Valuation!A:A,0)),2)</f>
        <v>239.54</v>
      </c>
      <c r="H1335">
        <f t="shared" si="1222"/>
        <v>3</v>
      </c>
      <c r="I1335" s="18">
        <f>INDEX(WeeklyIndicators!Y:Y,MATCH(A1335,WeeklyIndicators!A:A,0))</f>
        <v>128.38</v>
      </c>
      <c r="J1335">
        <f t="shared" si="1211"/>
        <v>0</v>
      </c>
      <c r="K1335">
        <f>ROUND(INDEX(Economic!AF:AF,MATCH(EOMONTH($A1335,-1),Economic!A:A,0)),2)</f>
        <v>111.03</v>
      </c>
      <c r="L1335" s="11">
        <f t="shared" si="1220"/>
        <v>1</v>
      </c>
      <c r="M1335">
        <f>ROUND(INDEX(Manufacturing!P:P,MATCH(EOMONTH($A1335,-1),Manufacturing!A:A,0)),2)</f>
        <v>111.56</v>
      </c>
      <c r="N1335">
        <f t="shared" si="1216"/>
        <v>3</v>
      </c>
      <c r="O1335">
        <f>ROUND(INDEX(Housing!AC:AC,MATCH(EOMONTH($A1335,-1),Housing!B:B,0)),2)</f>
        <v>73.72</v>
      </c>
      <c r="P1335">
        <f t="shared" si="1217"/>
        <v>-2</v>
      </c>
      <c r="Q1335">
        <f>ROUND(INDEX(Spending!AJ:AJ,MATCH(EOMONTH($A1335,-1),Spending!B:B,0)),2)</f>
        <v>62.82</v>
      </c>
      <c r="R1335">
        <f t="shared" si="1221"/>
        <v>2</v>
      </c>
      <c r="S1335">
        <f>ROUND(INDEX(Employment!V:V,MATCH(EOMONTH($A1335,-1),Employment!A:A,0)),2)</f>
        <v>157.44999999999999</v>
      </c>
      <c r="T1335" s="11">
        <f t="shared" si="1218"/>
        <v>0</v>
      </c>
      <c r="U1335">
        <f t="shared" si="1210"/>
        <v>29</v>
      </c>
      <c r="V1335">
        <f t="shared" si="1202"/>
        <v>73.98</v>
      </c>
      <c r="W1335" s="13">
        <f t="shared" si="1203"/>
        <v>0</v>
      </c>
      <c r="X1335" s="13">
        <f t="shared" si="1204"/>
        <v>2.5700000000000001E-2</v>
      </c>
      <c r="Y1335">
        <f t="shared" si="1196"/>
        <v>90.72</v>
      </c>
      <c r="Z1335" s="13">
        <f t="shared" si="1191"/>
        <v>4.0000000000000002E-4</v>
      </c>
      <c r="AA1335" s="13">
        <f t="shared" si="1223"/>
        <v>2.2699999999999998E-2</v>
      </c>
      <c r="AB1335" s="6">
        <f t="shared" si="1197"/>
        <v>111.41399999999999</v>
      </c>
      <c r="AC1335">
        <f t="shared" si="1189"/>
        <v>56</v>
      </c>
      <c r="AD1335" s="11">
        <f t="shared" si="1190"/>
        <v>2</v>
      </c>
      <c r="AE1335">
        <f t="shared" si="1188"/>
        <v>33</v>
      </c>
      <c r="AF1335">
        <f>IF(AND(AE1335&lt;15,OR(AC1335&gt;=30,AA1335&gt;0.15,X1335&gt;=0.15)),2,VLOOKUP(AE1335,Table!P:Q,2,FALSE))</f>
        <v>5</v>
      </c>
      <c r="AG1335" s="22">
        <f>IF((AB1335*0.98)-(D1335*0.8)+((AF1335-3)*3)+VLOOKUP(AM1335,Table!$A$11:$B$13,2,FALSE)&lt;0,0,(AB1335*0.98)-(D1335*0.8)+((AF1335-3)*3)+VLOOKUP(AM1335,Table!$A$11:$B$13,2,FALSE))</f>
        <v>114.14571999999998</v>
      </c>
      <c r="AH1335" s="22">
        <f t="shared" si="1219"/>
        <v>100</v>
      </c>
      <c r="AI1335" s="18">
        <f t="shared" si="1212"/>
        <v>3.12</v>
      </c>
      <c r="AJ1335" s="18">
        <f t="shared" si="1213"/>
        <v>3.19</v>
      </c>
      <c r="AK1335" t="str">
        <f t="shared" si="1198"/>
        <v>Falling Rates</v>
      </c>
      <c r="AL1335">
        <f t="shared" si="1209"/>
        <v>33</v>
      </c>
      <c r="AM1335" s="11" t="str">
        <f t="shared" si="1199"/>
        <v>Stocks</v>
      </c>
      <c r="AN1335" t="str">
        <f t="shared" si="1205"/>
        <v>Buy</v>
      </c>
      <c r="AO1335" s="13">
        <f t="shared" si="1206"/>
        <v>2.3099999999999999E-2</v>
      </c>
      <c r="AP1335" s="13">
        <f t="shared" si="1207"/>
        <v>5.9999999999999995E-4</v>
      </c>
      <c r="AQ1335" s="13">
        <f t="shared" si="1208"/>
        <v>2.3099999999999999E-2</v>
      </c>
      <c r="AR1335" s="13">
        <f t="shared" si="1200"/>
        <v>2.3099999999999999E-2</v>
      </c>
      <c r="AS1335" s="6">
        <f t="shared" si="1192"/>
        <v>109.26608435194434</v>
      </c>
      <c r="AT1335" s="6">
        <f t="shared" si="1193"/>
        <v>102.74616968438335</v>
      </c>
      <c r="AU1335" s="6">
        <f t="shared" si="1194"/>
        <v>108.90555316168542</v>
      </c>
      <c r="AV1335" s="6">
        <f t="shared" si="1195"/>
        <v>109.26608435194434</v>
      </c>
      <c r="AW1335" s="58">
        <f t="shared" si="1201"/>
        <v>1993</v>
      </c>
      <c r="AX1335" s="58">
        <f>COUNTIF(AW$3:AW1335,AW1335)</f>
        <v>48</v>
      </c>
    </row>
    <row r="1336" spans="1:50" x14ac:dyDescent="0.25">
      <c r="A1336" s="5">
        <v>33993</v>
      </c>
      <c r="B1336">
        <v>436.11</v>
      </c>
      <c r="C1336">
        <v>2.99</v>
      </c>
      <c r="D1336" s="6">
        <v>11.57</v>
      </c>
      <c r="E1336" s="18">
        <f t="shared" si="1214"/>
        <v>12.64</v>
      </c>
      <c r="F1336">
        <f t="shared" si="1215"/>
        <v>2</v>
      </c>
      <c r="G1336" s="18">
        <f>ROUND(INDEX(Valuation!U:U,MATCH(A1336,Valuation!A:A,0)),2)</f>
        <v>237.05</v>
      </c>
      <c r="H1336">
        <f t="shared" si="1222"/>
        <v>3</v>
      </c>
      <c r="I1336" s="18">
        <f>INDEX(WeeklyIndicators!Y:Y,MATCH(A1336,WeeklyIndicators!A:A,0))</f>
        <v>128.41999999999999</v>
      </c>
      <c r="J1336">
        <f t="shared" si="1211"/>
        <v>0</v>
      </c>
      <c r="K1336">
        <f>ROUND(INDEX(Economic!AF:AF,MATCH(EOMONTH($A1336,-1),Economic!A:A,0)),2)</f>
        <v>111.03</v>
      </c>
      <c r="L1336" s="11">
        <f t="shared" si="1220"/>
        <v>1</v>
      </c>
      <c r="M1336">
        <f>ROUND(INDEX(Manufacturing!P:P,MATCH(EOMONTH($A1336,-1),Manufacturing!A:A,0)),2)</f>
        <v>111.56</v>
      </c>
      <c r="N1336">
        <f t="shared" si="1216"/>
        <v>3</v>
      </c>
      <c r="O1336">
        <f>ROUND(INDEX(Housing!AC:AC,MATCH(EOMONTH($A1336,-1),Housing!B:B,0)),2)</f>
        <v>73.72</v>
      </c>
      <c r="P1336">
        <f t="shared" si="1217"/>
        <v>-2</v>
      </c>
      <c r="Q1336">
        <f>ROUND(INDEX(Spending!AJ:AJ,MATCH(EOMONTH($A1336,-1),Spending!B:B,0)),2)</f>
        <v>62.82</v>
      </c>
      <c r="R1336">
        <f t="shared" si="1221"/>
        <v>2</v>
      </c>
      <c r="S1336">
        <f>ROUND(INDEX(Employment!V:V,MATCH(EOMONTH($A1336,-1),Employment!A:A,0)),2)</f>
        <v>157.44999999999999</v>
      </c>
      <c r="T1336" s="11">
        <f t="shared" si="1218"/>
        <v>0</v>
      </c>
      <c r="U1336">
        <f t="shared" si="1210"/>
        <v>29</v>
      </c>
      <c r="V1336">
        <f t="shared" si="1202"/>
        <v>73.989999999999995</v>
      </c>
      <c r="W1336" s="13">
        <f t="shared" si="1203"/>
        <v>4.0000000000000002E-4</v>
      </c>
      <c r="X1336" s="13">
        <f t="shared" si="1204"/>
        <v>3.8800000000000001E-2</v>
      </c>
      <c r="Y1336">
        <f t="shared" si="1196"/>
        <v>90.3</v>
      </c>
      <c r="Z1336" s="13">
        <f t="shared" si="1191"/>
        <v>-5.9999999999999995E-4</v>
      </c>
      <c r="AA1336" s="13">
        <f t="shared" si="1223"/>
        <v>3.5900000000000001E-2</v>
      </c>
      <c r="AB1336" s="6">
        <f t="shared" si="1197"/>
        <v>111.765</v>
      </c>
      <c r="AC1336">
        <f t="shared" si="1189"/>
        <v>56</v>
      </c>
      <c r="AD1336" s="11">
        <f t="shared" si="1190"/>
        <v>2</v>
      </c>
      <c r="AE1336">
        <f t="shared" ref="AE1336:AE1378" si="1224">IF(AND(AA1336&gt;=0.2,AC1336&gt;=20,U1336+AD1336+2&lt;30),U1336+AD1336+2+12,U1336+AD1336+2)</f>
        <v>33</v>
      </c>
      <c r="AF1336">
        <f>IF(AND(AE1336&lt;15,OR(AC1336&gt;=30,AA1336&gt;0.15,X1336&gt;=0.15)),2,VLOOKUP(AE1336,Table!P:Q,2,FALSE))</f>
        <v>5</v>
      </c>
      <c r="AG1336" s="22">
        <f>IF((AB1336*0.98)-(D1336*0.8)+((AF1336-3)*3)+VLOOKUP(AM1336,Table!$A$11:$B$13,2,FALSE)&lt;0,0,(AB1336*0.98)-(D1336*0.8)+((AF1336-3)*3)+VLOOKUP(AM1336,Table!$A$11:$B$13,2,FALSE))</f>
        <v>114.27370000000001</v>
      </c>
      <c r="AH1336" s="22">
        <f t="shared" si="1219"/>
        <v>100</v>
      </c>
      <c r="AI1336" s="18">
        <f t="shared" si="1212"/>
        <v>3.12</v>
      </c>
      <c r="AJ1336" s="18">
        <f t="shared" si="1213"/>
        <v>3.21</v>
      </c>
      <c r="AK1336" t="str">
        <f t="shared" si="1198"/>
        <v>Falling Rates</v>
      </c>
      <c r="AL1336">
        <f t="shared" si="1209"/>
        <v>33</v>
      </c>
      <c r="AM1336" s="11" t="str">
        <f t="shared" si="1199"/>
        <v>Stocks</v>
      </c>
      <c r="AN1336" t="str">
        <f t="shared" si="1205"/>
        <v>Buy</v>
      </c>
      <c r="AO1336" s="13">
        <f t="shared" si="1206"/>
        <v>6.1000000000000004E-3</v>
      </c>
      <c r="AP1336" s="13">
        <f t="shared" si="1207"/>
        <v>5.9999999999999995E-4</v>
      </c>
      <c r="AQ1336" s="13">
        <f t="shared" si="1208"/>
        <v>6.1000000000000004E-3</v>
      </c>
      <c r="AR1336" s="13">
        <f t="shared" si="1200"/>
        <v>6.1000000000000004E-3</v>
      </c>
      <c r="AS1336" s="6">
        <f t="shared" si="1192"/>
        <v>108.60360237744194</v>
      </c>
      <c r="AT1336" s="6">
        <f t="shared" si="1193"/>
        <v>102.68455894901395</v>
      </c>
      <c r="AU1336" s="6">
        <f t="shared" si="1194"/>
        <v>108.24525709341559</v>
      </c>
      <c r="AV1336" s="6">
        <f t="shared" si="1195"/>
        <v>108.60360237744194</v>
      </c>
      <c r="AW1336" s="58">
        <f t="shared" si="1201"/>
        <v>1993</v>
      </c>
      <c r="AX1336" s="58">
        <f>COUNTIF(AW$3:AW1336,AW1336)</f>
        <v>49</v>
      </c>
    </row>
    <row r="1337" spans="1:50" x14ac:dyDescent="0.25">
      <c r="A1337" s="5">
        <v>33986</v>
      </c>
      <c r="B1337">
        <v>437.15</v>
      </c>
      <c r="C1337">
        <v>3</v>
      </c>
      <c r="D1337" s="6">
        <v>13.77</v>
      </c>
      <c r="E1337" s="18">
        <f t="shared" si="1214"/>
        <v>12.64</v>
      </c>
      <c r="F1337">
        <f t="shared" si="1215"/>
        <v>2</v>
      </c>
      <c r="G1337" s="18">
        <f>ROUND(INDEX(Valuation!U:U,MATCH(A1337,Valuation!A:A,0)),2)</f>
        <v>236.86</v>
      </c>
      <c r="H1337">
        <f t="shared" si="1222"/>
        <v>3</v>
      </c>
      <c r="I1337" s="18">
        <f>INDEX(WeeklyIndicators!Y:Y,MATCH(A1337,WeeklyIndicators!A:A,0))</f>
        <v>128.84</v>
      </c>
      <c r="J1337">
        <f t="shared" si="1211"/>
        <v>0</v>
      </c>
      <c r="K1337">
        <f>ROUND(INDEX(Economic!AF:AF,MATCH(EOMONTH($A1337,-1),Economic!A:A,0)),2)</f>
        <v>111.03</v>
      </c>
      <c r="L1337" s="11">
        <f t="shared" si="1220"/>
        <v>1</v>
      </c>
      <c r="M1337">
        <f>ROUND(INDEX(Manufacturing!P:P,MATCH(EOMONTH($A1337,-1),Manufacturing!A:A,0)),2)</f>
        <v>111.56</v>
      </c>
      <c r="N1337">
        <f t="shared" si="1216"/>
        <v>3</v>
      </c>
      <c r="O1337">
        <f>ROUND(INDEX(Housing!AC:AC,MATCH(EOMONTH($A1337,-1),Housing!B:B,0)),2)</f>
        <v>73.72</v>
      </c>
      <c r="P1337">
        <f t="shared" si="1217"/>
        <v>-2</v>
      </c>
      <c r="Q1337">
        <f>ROUND(INDEX(Spending!AJ:AJ,MATCH(EOMONTH($A1337,-1),Spending!B:B,0)),2)</f>
        <v>62.82</v>
      </c>
      <c r="R1337">
        <f t="shared" si="1221"/>
        <v>2</v>
      </c>
      <c r="S1337">
        <f>ROUND(INDEX(Employment!V:V,MATCH(EOMONTH($A1337,-1),Employment!A:A,0)),2)</f>
        <v>157.44999999999999</v>
      </c>
      <c r="T1337" s="11">
        <f t="shared" si="1218"/>
        <v>0</v>
      </c>
      <c r="U1337">
        <f t="shared" si="1210"/>
        <v>29</v>
      </c>
      <c r="V1337">
        <f t="shared" si="1202"/>
        <v>74.03</v>
      </c>
      <c r="W1337" s="13">
        <f t="shared" si="1203"/>
        <v>1.2500000000000001E-2</v>
      </c>
      <c r="X1337" s="13">
        <f t="shared" si="1204"/>
        <v>3.9600000000000003E-2</v>
      </c>
      <c r="Y1337">
        <f t="shared" si="1196"/>
        <v>90.32</v>
      </c>
      <c r="Z1337" s="13">
        <f t="shared" si="1191"/>
        <v>0.01</v>
      </c>
      <c r="AA1337" s="13">
        <f t="shared" si="1223"/>
        <v>4.1499999999999995E-2</v>
      </c>
      <c r="AB1337" s="6">
        <f t="shared" si="1197"/>
        <v>112.146</v>
      </c>
      <c r="AC1337">
        <f t="shared" si="1189"/>
        <v>56</v>
      </c>
      <c r="AD1337" s="11">
        <f t="shared" si="1190"/>
        <v>2</v>
      </c>
      <c r="AE1337">
        <f t="shared" si="1224"/>
        <v>33</v>
      </c>
      <c r="AF1337">
        <f>IF(AND(AE1337&lt;15,OR(AC1337&gt;=30,AA1337&gt;0.15,X1337&gt;=0.15)),2,VLOOKUP(AE1337,Table!P:Q,2,FALSE))</f>
        <v>5</v>
      </c>
      <c r="AG1337" s="22">
        <f>IF((AB1337*0.98)-(D1337*0.8)+((AF1337-3)*3)+VLOOKUP(AM1337,Table!$A$11:$B$13,2,FALSE)&lt;0,0,(AB1337*0.98)-(D1337*0.8)+((AF1337-3)*3)+VLOOKUP(AM1337,Table!$A$11:$B$13,2,FALSE))</f>
        <v>112.88708</v>
      </c>
      <c r="AH1337" s="22">
        <f t="shared" si="1219"/>
        <v>100</v>
      </c>
      <c r="AI1337" s="18">
        <f t="shared" si="1212"/>
        <v>3.12</v>
      </c>
      <c r="AJ1337" s="18">
        <f t="shared" si="1213"/>
        <v>3.23</v>
      </c>
      <c r="AK1337" t="str">
        <f t="shared" si="1198"/>
        <v>Falling Rates</v>
      </c>
      <c r="AL1337">
        <f t="shared" si="1209"/>
        <v>32.5</v>
      </c>
      <c r="AM1337" s="11" t="str">
        <f t="shared" si="1199"/>
        <v>Stocks</v>
      </c>
      <c r="AN1337" t="str">
        <f t="shared" si="1205"/>
        <v>Buy</v>
      </c>
      <c r="AO1337" s="13">
        <f t="shared" si="1206"/>
        <v>-2.3999999999999998E-3</v>
      </c>
      <c r="AP1337" s="13">
        <f t="shared" si="1207"/>
        <v>5.9999999999999995E-4</v>
      </c>
      <c r="AQ1337" s="13">
        <f t="shared" si="1208"/>
        <v>-2.3999999999999998E-3</v>
      </c>
      <c r="AR1337" s="13">
        <f t="shared" si="1200"/>
        <v>-2.3999999999999998E-3</v>
      </c>
      <c r="AS1337" s="6">
        <f t="shared" si="1192"/>
        <v>108.86487808484557</v>
      </c>
      <c r="AT1337" s="6">
        <f t="shared" si="1193"/>
        <v>102.6229851579192</v>
      </c>
      <c r="AU1337" s="6">
        <f t="shared" si="1194"/>
        <v>108.50567070310304</v>
      </c>
      <c r="AV1337" s="6">
        <f t="shared" si="1195"/>
        <v>108.86487808484557</v>
      </c>
      <c r="AW1337" s="58">
        <f t="shared" si="1201"/>
        <v>1993</v>
      </c>
      <c r="AX1337" s="58">
        <f>COUNTIF(AW$3:AW1337,AW1337)</f>
        <v>50</v>
      </c>
    </row>
    <row r="1338" spans="1:50" x14ac:dyDescent="0.25">
      <c r="A1338" s="5">
        <v>33979</v>
      </c>
      <c r="B1338">
        <v>429.05</v>
      </c>
      <c r="C1338">
        <v>3.09</v>
      </c>
      <c r="D1338" s="6">
        <v>12.57</v>
      </c>
      <c r="E1338" s="18">
        <f t="shared" si="1214"/>
        <v>11.93</v>
      </c>
      <c r="F1338">
        <f t="shared" si="1215"/>
        <v>2</v>
      </c>
      <c r="G1338" s="18">
        <f>ROUND(INDEX(Valuation!U:U,MATCH(A1338,Valuation!A:A,0)),2)</f>
        <v>237.63</v>
      </c>
      <c r="H1338">
        <f t="shared" si="1222"/>
        <v>3</v>
      </c>
      <c r="I1338" s="18">
        <f>INDEX(WeeklyIndicators!Y:Y,MATCH(A1338,WeeklyIndicators!A:A,0))</f>
        <v>128.47999999999999</v>
      </c>
      <c r="J1338">
        <f t="shared" si="1211"/>
        <v>0</v>
      </c>
      <c r="K1338">
        <f>ROUND(INDEX(Economic!AF:AF,MATCH(EOMONTH($A1338,-1),Economic!A:A,0)),2)</f>
        <v>111.03</v>
      </c>
      <c r="L1338" s="11">
        <f t="shared" si="1220"/>
        <v>1</v>
      </c>
      <c r="M1338">
        <f>ROUND(INDEX(Manufacturing!P:P,MATCH(EOMONTH($A1338,-1),Manufacturing!A:A,0)),2)</f>
        <v>111.56</v>
      </c>
      <c r="N1338">
        <f t="shared" si="1216"/>
        <v>3</v>
      </c>
      <c r="O1338">
        <f>ROUND(INDEX(Housing!AC:AC,MATCH(EOMONTH($A1338,-1),Housing!B:B,0)),2)</f>
        <v>73.72</v>
      </c>
      <c r="P1338">
        <f t="shared" si="1217"/>
        <v>-2</v>
      </c>
      <c r="Q1338">
        <f>ROUND(INDEX(Spending!AJ:AJ,MATCH(EOMONTH($A1338,-1),Spending!B:B,0)),2)</f>
        <v>62.82</v>
      </c>
      <c r="R1338">
        <f t="shared" si="1221"/>
        <v>2</v>
      </c>
      <c r="S1338">
        <f>ROUND(INDEX(Employment!V:V,MATCH(EOMONTH($A1338,-1),Employment!A:A,0)),2)</f>
        <v>157.44999999999999</v>
      </c>
      <c r="T1338" s="11">
        <f t="shared" si="1218"/>
        <v>0</v>
      </c>
      <c r="U1338">
        <f t="shared" si="1210"/>
        <v>29</v>
      </c>
      <c r="V1338">
        <f t="shared" si="1202"/>
        <v>73.989999999999995</v>
      </c>
      <c r="W1338" s="13">
        <f t="shared" si="1203"/>
        <v>1.2800000000000001E-2</v>
      </c>
      <c r="X1338" s="13">
        <f t="shared" si="1204"/>
        <v>2.63E-2</v>
      </c>
      <c r="Y1338">
        <f t="shared" si="1196"/>
        <v>90.62</v>
      </c>
      <c r="Z1338" s="13">
        <f t="shared" si="1191"/>
        <v>1.29E-2</v>
      </c>
      <c r="AA1338" s="13">
        <f t="shared" si="1223"/>
        <v>3.4200000000000001E-2</v>
      </c>
      <c r="AB1338" s="6">
        <f t="shared" si="1197"/>
        <v>111.90300000000001</v>
      </c>
      <c r="AC1338">
        <f t="shared" si="1189"/>
        <v>56</v>
      </c>
      <c r="AD1338" s="11">
        <f t="shared" si="1190"/>
        <v>2</v>
      </c>
      <c r="AE1338">
        <f t="shared" si="1224"/>
        <v>33</v>
      </c>
      <c r="AF1338">
        <f>IF(AND(AE1338&lt;15,OR(AC1338&gt;=30,AA1338&gt;0.15,X1338&gt;=0.15)),2,VLOOKUP(AE1338,Table!P:Q,2,FALSE))</f>
        <v>5</v>
      </c>
      <c r="AG1338" s="22">
        <f>IF((AB1338*0.98)-(D1338*0.8)+((AF1338-3)*3)+VLOOKUP(AM1338,Table!$A$11:$B$13,2,FALSE)&lt;0,0,(AB1338*0.98)-(D1338*0.8)+((AF1338-3)*3)+VLOOKUP(AM1338,Table!$A$11:$B$13,2,FALSE))</f>
        <v>113.60894</v>
      </c>
      <c r="AH1338" s="22">
        <f t="shared" si="1219"/>
        <v>100</v>
      </c>
      <c r="AI1338" s="18">
        <f t="shared" si="1212"/>
        <v>3.11</v>
      </c>
      <c r="AJ1338" s="18">
        <f t="shared" si="1213"/>
        <v>3.25</v>
      </c>
      <c r="AK1338" t="str">
        <f t="shared" si="1198"/>
        <v>Falling Rates</v>
      </c>
      <c r="AL1338">
        <f t="shared" si="1209"/>
        <v>32</v>
      </c>
      <c r="AM1338" s="11" t="str">
        <f t="shared" si="1199"/>
        <v>Stocks</v>
      </c>
      <c r="AN1338" t="str">
        <f t="shared" si="1205"/>
        <v>Buy</v>
      </c>
      <c r="AO1338" s="13">
        <f t="shared" si="1206"/>
        <v>1.89E-2</v>
      </c>
      <c r="AP1338" s="13">
        <f t="shared" si="1207"/>
        <v>5.9999999999999995E-4</v>
      </c>
      <c r="AQ1338" s="13">
        <f t="shared" si="1208"/>
        <v>1.89E-2</v>
      </c>
      <c r="AR1338" s="13">
        <f t="shared" si="1200"/>
        <v>1.89E-2</v>
      </c>
      <c r="AS1338" s="6">
        <f t="shared" si="1192"/>
        <v>106.8454981694431</v>
      </c>
      <c r="AT1338" s="6">
        <f t="shared" si="1193"/>
        <v>102.56144828894584</v>
      </c>
      <c r="AU1338" s="6">
        <f t="shared" si="1194"/>
        <v>106.49295387486804</v>
      </c>
      <c r="AV1338" s="6">
        <f t="shared" si="1195"/>
        <v>106.8454981694431</v>
      </c>
      <c r="AW1338" s="58">
        <f t="shared" si="1201"/>
        <v>1993</v>
      </c>
      <c r="AX1338" s="58">
        <f>COUNTIF(AW$3:AW1338,AW1338)</f>
        <v>51</v>
      </c>
    </row>
    <row r="1339" spans="1:50" x14ac:dyDescent="0.25">
      <c r="A1339" s="5">
        <v>33972</v>
      </c>
      <c r="B1339">
        <v>435.71</v>
      </c>
      <c r="C1339">
        <v>3.15</v>
      </c>
      <c r="D1339" s="6">
        <v>11.57</v>
      </c>
      <c r="E1339" s="18">
        <f t="shared" si="1214"/>
        <v>11.86</v>
      </c>
      <c r="F1339">
        <f t="shared" si="1215"/>
        <v>2</v>
      </c>
      <c r="G1339" s="18">
        <f>ROUND(INDEX(Valuation!U:U,MATCH(A1339,Valuation!A:A,0)),2)</f>
        <v>236.71</v>
      </c>
      <c r="H1339">
        <f t="shared" si="1222"/>
        <v>3</v>
      </c>
      <c r="I1339" s="18">
        <f>INDEX(WeeklyIndicators!Y:Y,MATCH(A1339,WeeklyIndicators!A:A,0))</f>
        <v>127.69</v>
      </c>
      <c r="J1339">
        <f t="shared" si="1211"/>
        <v>0</v>
      </c>
      <c r="K1339">
        <f>ROUND(INDEX(Economic!AF:AF,MATCH(EOMONTH($A1339,-1),Economic!A:A,0)),2)</f>
        <v>111.03</v>
      </c>
      <c r="L1339" s="11">
        <f t="shared" si="1220"/>
        <v>1</v>
      </c>
      <c r="M1339">
        <f>ROUND(INDEX(Manufacturing!P:P,MATCH(EOMONTH($A1339,-1),Manufacturing!A:A,0)),2)</f>
        <v>111.56</v>
      </c>
      <c r="N1339">
        <f t="shared" si="1216"/>
        <v>3</v>
      </c>
      <c r="O1339">
        <f>ROUND(INDEX(Housing!AC:AC,MATCH(EOMONTH($A1339,-1),Housing!B:B,0)),2)</f>
        <v>73.72</v>
      </c>
      <c r="P1339">
        <f t="shared" si="1217"/>
        <v>-2</v>
      </c>
      <c r="Q1339">
        <f>ROUND(INDEX(Spending!AJ:AJ,MATCH(EOMONTH($A1339,-1),Spending!B:B,0)),2)</f>
        <v>62.82</v>
      </c>
      <c r="R1339">
        <f t="shared" si="1221"/>
        <v>2</v>
      </c>
      <c r="S1339">
        <f>ROUND(INDEX(Employment!V:V,MATCH(EOMONTH($A1339,-1),Employment!A:A,0)),2)</f>
        <v>157.44999999999999</v>
      </c>
      <c r="T1339" s="11">
        <f t="shared" si="1218"/>
        <v>0</v>
      </c>
      <c r="U1339">
        <f t="shared" si="1210"/>
        <v>29</v>
      </c>
      <c r="V1339">
        <f t="shared" si="1202"/>
        <v>73.91</v>
      </c>
      <c r="W1339" s="13">
        <f t="shared" si="1203"/>
        <v>1.3100000000000001E-2</v>
      </c>
      <c r="X1339" s="13">
        <f t="shared" si="1204"/>
        <v>1.3299999999999999E-2</v>
      </c>
      <c r="Y1339">
        <f t="shared" si="1196"/>
        <v>90.46</v>
      </c>
      <c r="Z1339" s="13">
        <f t="shared" si="1191"/>
        <v>1.3599999999999999E-2</v>
      </c>
      <c r="AA1339" s="13">
        <f t="shared" si="1223"/>
        <v>2.46E-2</v>
      </c>
      <c r="AB1339" s="6">
        <f t="shared" si="1197"/>
        <v>110.87100000000001</v>
      </c>
      <c r="AC1339">
        <f t="shared" si="1189"/>
        <v>55</v>
      </c>
      <c r="AD1339" s="11">
        <f t="shared" si="1190"/>
        <v>2</v>
      </c>
      <c r="AE1339">
        <f t="shared" si="1224"/>
        <v>33</v>
      </c>
      <c r="AF1339">
        <f>IF(AND(AE1339&lt;15,OR(AC1339&gt;=30,AA1339&gt;0.15,X1339&gt;=0.15)),2,VLOOKUP(AE1339,Table!P:Q,2,FALSE))</f>
        <v>5</v>
      </c>
      <c r="AG1339" s="22">
        <f>IF((AB1339*0.98)-(D1339*0.8)+((AF1339-3)*3)+VLOOKUP(AM1339,Table!$A$11:$B$13,2,FALSE)&lt;0,0,(AB1339*0.98)-(D1339*0.8)+((AF1339-3)*3)+VLOOKUP(AM1339,Table!$A$11:$B$13,2,FALSE))</f>
        <v>113.39758</v>
      </c>
      <c r="AH1339" s="22">
        <f t="shared" si="1219"/>
        <v>100</v>
      </c>
      <c r="AI1339" s="18">
        <f t="shared" si="1212"/>
        <v>3.09</v>
      </c>
      <c r="AJ1339" s="18">
        <f t="shared" si="1213"/>
        <v>3.27</v>
      </c>
      <c r="AK1339" t="str">
        <f t="shared" si="1198"/>
        <v/>
      </c>
      <c r="AL1339">
        <f t="shared" si="1209"/>
        <v>31.5</v>
      </c>
      <c r="AM1339" s="11" t="str">
        <f t="shared" si="1199"/>
        <v>Stocks</v>
      </c>
      <c r="AN1339" t="str">
        <f t="shared" si="1205"/>
        <v>Buy</v>
      </c>
      <c r="AO1339" s="13">
        <f t="shared" si="1206"/>
        <v>-1.5299999999999999E-2</v>
      </c>
      <c r="AP1339" s="13">
        <f t="shared" si="1207"/>
        <v>5.9999999999999995E-4</v>
      </c>
      <c r="AQ1339" s="13">
        <f t="shared" si="1208"/>
        <v>-1.5299999999999999E-2</v>
      </c>
      <c r="AR1339" s="13">
        <f t="shared" si="1200"/>
        <v>-1.5299999999999999E-2</v>
      </c>
      <c r="AS1339" s="6">
        <f t="shared" si="1192"/>
        <v>108.50563437538652</v>
      </c>
      <c r="AT1339" s="6">
        <f t="shared" si="1193"/>
        <v>102.49994831995387</v>
      </c>
      <c r="AU1339" s="6">
        <f t="shared" si="1194"/>
        <v>108.14761234372706</v>
      </c>
      <c r="AV1339" s="6">
        <f t="shared" si="1195"/>
        <v>108.50563437538652</v>
      </c>
      <c r="AW1339" s="58">
        <f t="shared" si="1201"/>
        <v>1993</v>
      </c>
      <c r="AX1339" s="58">
        <f>COUNTIF(AW$3:AW1339,AW1339)</f>
        <v>52</v>
      </c>
    </row>
    <row r="1340" spans="1:50" x14ac:dyDescent="0.25">
      <c r="A1340" s="5">
        <v>33965</v>
      </c>
      <c r="B1340">
        <v>439.77</v>
      </c>
      <c r="C1340">
        <v>3.18</v>
      </c>
      <c r="D1340" s="6">
        <v>11.66</v>
      </c>
      <c r="E1340" s="18">
        <f t="shared" si="1214"/>
        <v>11.94</v>
      </c>
      <c r="F1340">
        <f t="shared" si="1215"/>
        <v>2</v>
      </c>
      <c r="G1340" s="18">
        <f>ROUND(INDEX(Valuation!U:U,MATCH(A1340,Valuation!A:A,0)),2)</f>
        <v>235.07</v>
      </c>
      <c r="H1340">
        <f t="shared" si="1222"/>
        <v>3</v>
      </c>
      <c r="I1340" s="18">
        <f>INDEX(WeeklyIndicators!Y:Y,MATCH(A1340,WeeklyIndicators!A:A,0))</f>
        <v>127.33</v>
      </c>
      <c r="J1340">
        <f t="shared" si="1211"/>
        <v>0</v>
      </c>
      <c r="K1340">
        <f>ROUND(INDEX(Economic!AF:AF,MATCH(EOMONTH($A1340,-1),Economic!A:A,0)),2)</f>
        <v>103.14</v>
      </c>
      <c r="L1340" s="11">
        <f t="shared" si="1220"/>
        <v>0</v>
      </c>
      <c r="M1340">
        <f>ROUND(INDEX(Manufacturing!P:P,MATCH(EOMONTH($A1340,-1),Manufacturing!A:A,0)),2)</f>
        <v>105.67</v>
      </c>
      <c r="N1340">
        <f t="shared" si="1216"/>
        <v>2</v>
      </c>
      <c r="O1340">
        <f>ROUND(INDEX(Housing!AC:AC,MATCH(EOMONTH($A1340,-1),Housing!B:B,0)),2)</f>
        <v>72.489999999999995</v>
      </c>
      <c r="P1340">
        <f t="shared" si="1217"/>
        <v>-2</v>
      </c>
      <c r="Q1340">
        <f>ROUND(INDEX(Spending!AJ:AJ,MATCH(EOMONTH($A1340,-1),Spending!B:B,0)),2)</f>
        <v>63.52</v>
      </c>
      <c r="R1340">
        <f t="shared" si="1221"/>
        <v>2</v>
      </c>
      <c r="S1340">
        <f>ROUND(INDEX(Employment!V:V,MATCH(EOMONTH($A1340,-1),Employment!A:A,0)),2)</f>
        <v>150.13999999999999</v>
      </c>
      <c r="T1340" s="11">
        <f t="shared" si="1218"/>
        <v>0</v>
      </c>
      <c r="U1340">
        <f t="shared" si="1210"/>
        <v>27</v>
      </c>
      <c r="V1340">
        <f t="shared" si="1202"/>
        <v>71.290000000000006</v>
      </c>
      <c r="W1340" s="13">
        <f t="shared" si="1203"/>
        <v>1.1999999999999999E-3</v>
      </c>
      <c r="X1340" s="13">
        <f t="shared" si="1204"/>
        <v>1.2999999999999999E-3</v>
      </c>
      <c r="Y1340">
        <f t="shared" si="1196"/>
        <v>87.63</v>
      </c>
      <c r="Z1340" s="13">
        <f t="shared" si="1191"/>
        <v>5.0000000000000001E-3</v>
      </c>
      <c r="AA1340" s="13">
        <f t="shared" si="1223"/>
        <v>1.3899999999999999E-2</v>
      </c>
      <c r="AB1340" s="6">
        <f t="shared" si="1197"/>
        <v>106.95700000000001</v>
      </c>
      <c r="AC1340">
        <f t="shared" si="1189"/>
        <v>53</v>
      </c>
      <c r="AD1340" s="11">
        <f t="shared" si="1190"/>
        <v>2</v>
      </c>
      <c r="AE1340">
        <f t="shared" si="1224"/>
        <v>31</v>
      </c>
      <c r="AF1340">
        <f>IF(AND(AE1340&lt;15,OR(AC1340&gt;=30,AA1340&gt;0.15,X1340&gt;=0.15)),2,VLOOKUP(AE1340,Table!P:Q,2,FALSE))</f>
        <v>4</v>
      </c>
      <c r="AG1340" s="22">
        <f>IF((AB1340*0.98)-(D1340*0.8)+((AF1340-3)*3)+VLOOKUP(AM1340,Table!$A$11:$B$13,2,FALSE)&lt;0,0,(AB1340*0.98)-(D1340*0.8)+((AF1340-3)*3)+VLOOKUP(AM1340,Table!$A$11:$B$13,2,FALSE))</f>
        <v>106.48986000000001</v>
      </c>
      <c r="AH1340" s="22">
        <f t="shared" si="1219"/>
        <v>100</v>
      </c>
      <c r="AI1340" s="18">
        <f t="shared" si="1212"/>
        <v>3.05</v>
      </c>
      <c r="AJ1340" s="18">
        <f t="shared" si="1213"/>
        <v>3.29</v>
      </c>
      <c r="AK1340" t="str">
        <f t="shared" si="1198"/>
        <v/>
      </c>
      <c r="AL1340">
        <f t="shared" si="1209"/>
        <v>31</v>
      </c>
      <c r="AM1340" s="11" t="str">
        <f t="shared" si="1199"/>
        <v>Stocks</v>
      </c>
      <c r="AN1340" t="str">
        <f t="shared" si="1205"/>
        <v>Buy</v>
      </c>
      <c r="AO1340" s="13">
        <f t="shared" si="1206"/>
        <v>-9.1999999999999998E-3</v>
      </c>
      <c r="AP1340" s="13">
        <f t="shared" si="1207"/>
        <v>5.9999999999999995E-4</v>
      </c>
      <c r="AQ1340" s="13">
        <f t="shared" si="1208"/>
        <v>-9.1999999999999998E-3</v>
      </c>
      <c r="AR1340" s="13">
        <f t="shared" si="1200"/>
        <v>-9.1999999999999998E-3</v>
      </c>
      <c r="AS1340" s="6">
        <f t="shared" si="1192"/>
        <v>109.51315540511357</v>
      </c>
      <c r="AT1340" s="6">
        <f t="shared" si="1193"/>
        <v>102.43848522881659</v>
      </c>
      <c r="AU1340" s="6">
        <f t="shared" si="1194"/>
        <v>109.15180898640196</v>
      </c>
      <c r="AV1340" s="6">
        <f t="shared" si="1195"/>
        <v>109.51315540511357</v>
      </c>
      <c r="AW1340" s="58">
        <f t="shared" si="1201"/>
        <v>1992</v>
      </c>
      <c r="AX1340" s="58">
        <f>COUNTIF(AW$3:AW1340,AW1340)</f>
        <v>1</v>
      </c>
    </row>
    <row r="1341" spans="1:50" x14ac:dyDescent="0.25">
      <c r="A1341" s="5">
        <v>33958</v>
      </c>
      <c r="B1341">
        <v>441.28</v>
      </c>
      <c r="C1341">
        <v>3.21</v>
      </c>
      <c r="D1341" s="6">
        <v>12.34</v>
      </c>
      <c r="E1341" s="18">
        <f t="shared" si="1214"/>
        <v>12.24</v>
      </c>
      <c r="F1341">
        <f t="shared" si="1215"/>
        <v>2</v>
      </c>
      <c r="G1341" s="18">
        <f>ROUND(INDEX(Valuation!U:U,MATCH(A1341,Valuation!A:A,0)),2)</f>
        <v>233.02</v>
      </c>
      <c r="H1341">
        <f t="shared" si="1222"/>
        <v>3</v>
      </c>
      <c r="I1341" s="18">
        <f>INDEX(WeeklyIndicators!Y:Y,MATCH(A1341,WeeklyIndicators!A:A,0))</f>
        <v>126.51</v>
      </c>
      <c r="J1341">
        <f t="shared" si="1211"/>
        <v>0</v>
      </c>
      <c r="K1341">
        <f>ROUND(INDEX(Economic!AF:AF,MATCH(EOMONTH($A1341,-1),Economic!A:A,0)),2)</f>
        <v>103.14</v>
      </c>
      <c r="L1341" s="11">
        <f t="shared" si="1220"/>
        <v>0</v>
      </c>
      <c r="M1341">
        <f>ROUND(INDEX(Manufacturing!P:P,MATCH(EOMONTH($A1341,-1),Manufacturing!A:A,0)),2)</f>
        <v>105.67</v>
      </c>
      <c r="N1341">
        <f t="shared" si="1216"/>
        <v>2</v>
      </c>
      <c r="O1341">
        <f>ROUND(INDEX(Housing!AC:AC,MATCH(EOMONTH($A1341,-1),Housing!B:B,0)),2)</f>
        <v>72.489999999999995</v>
      </c>
      <c r="P1341">
        <f t="shared" si="1217"/>
        <v>-2</v>
      </c>
      <c r="Q1341">
        <f>ROUND(INDEX(Spending!AJ:AJ,MATCH(EOMONTH($A1341,-1),Spending!B:B,0)),2)</f>
        <v>63.52</v>
      </c>
      <c r="R1341">
        <f t="shared" si="1221"/>
        <v>2</v>
      </c>
      <c r="S1341">
        <f>ROUND(INDEX(Employment!V:V,MATCH(EOMONTH($A1341,-1),Employment!A:A,0)),2)</f>
        <v>150.13999999999999</v>
      </c>
      <c r="T1341" s="11">
        <f t="shared" si="1218"/>
        <v>0</v>
      </c>
      <c r="U1341">
        <f t="shared" si="1210"/>
        <v>27</v>
      </c>
      <c r="V1341">
        <f t="shared" si="1202"/>
        <v>71.209999999999994</v>
      </c>
      <c r="W1341" s="13">
        <f t="shared" si="1203"/>
        <v>-8.0000000000000004E-4</v>
      </c>
      <c r="X1341" s="13">
        <f t="shared" si="1204"/>
        <v>4.5000000000000005E-3</v>
      </c>
      <c r="Y1341">
        <f t="shared" si="1196"/>
        <v>87.21</v>
      </c>
      <c r="Z1341" s="13">
        <f t="shared" si="1191"/>
        <v>2.7000000000000001E-3</v>
      </c>
      <c r="AA1341" s="13">
        <f t="shared" si="1223"/>
        <v>1.54E-2</v>
      </c>
      <c r="AB1341" s="6">
        <f t="shared" si="1197"/>
        <v>106.462</v>
      </c>
      <c r="AC1341">
        <f t="shared" ref="AC1341:AC1378" si="1225">IF(ROUND(AB1341/2,0)&lt;0,0,ROUND(AB1341/2,0))</f>
        <v>53</v>
      </c>
      <c r="AD1341" s="11">
        <f t="shared" si="1190"/>
        <v>2</v>
      </c>
      <c r="AE1341">
        <f t="shared" si="1224"/>
        <v>31</v>
      </c>
      <c r="AF1341">
        <f>IF(AND(AE1341&lt;15,OR(AC1341&gt;=30,AA1341&gt;0.15,X1341&gt;=0.15)),2,VLOOKUP(AE1341,Table!P:Q,2,FALSE))</f>
        <v>4</v>
      </c>
      <c r="AG1341" s="22">
        <f>IF((AB1341*0.98)-(D1341*0.8)+((AF1341-3)*3)+VLOOKUP(AM1341,Table!$A$11:$B$13,2,FALSE)&lt;0,0,(AB1341*0.98)-(D1341*0.8)+((AF1341-3)*3)+VLOOKUP(AM1341,Table!$A$11:$B$13,2,FALSE))</f>
        <v>105.46076000000001</v>
      </c>
      <c r="AH1341" s="22">
        <f t="shared" si="1219"/>
        <v>100</v>
      </c>
      <c r="AI1341" s="18">
        <f t="shared" si="1212"/>
        <v>3.03</v>
      </c>
      <c r="AJ1341" s="18">
        <f t="shared" si="1213"/>
        <v>3.29</v>
      </c>
      <c r="AK1341" t="str">
        <f t="shared" si="1198"/>
        <v/>
      </c>
      <c r="AL1341">
        <f t="shared" si="1209"/>
        <v>30.75</v>
      </c>
      <c r="AM1341" s="11" t="str">
        <f t="shared" si="1199"/>
        <v>Stocks</v>
      </c>
      <c r="AN1341" t="str">
        <f t="shared" si="1205"/>
        <v>Buy</v>
      </c>
      <c r="AO1341" s="13">
        <f t="shared" si="1206"/>
        <v>-3.3999999999999998E-3</v>
      </c>
      <c r="AP1341" s="13">
        <f t="shared" si="1207"/>
        <v>5.9999999999999995E-4</v>
      </c>
      <c r="AQ1341" s="13">
        <f t="shared" si="1208"/>
        <v>-3.3999999999999998E-3</v>
      </c>
      <c r="AR1341" s="13">
        <f t="shared" si="1200"/>
        <v>-3.3999999999999998E-3</v>
      </c>
      <c r="AS1341" s="6">
        <f t="shared" si="1192"/>
        <v>109.88677042455706</v>
      </c>
      <c r="AT1341" s="6">
        <f t="shared" si="1193"/>
        <v>102.37705899342055</v>
      </c>
      <c r="AU1341" s="6">
        <f t="shared" si="1194"/>
        <v>109.52419123660641</v>
      </c>
      <c r="AV1341" s="6">
        <f t="shared" si="1195"/>
        <v>109.88677042455706</v>
      </c>
      <c r="AW1341" s="58">
        <f t="shared" si="1201"/>
        <v>1992</v>
      </c>
      <c r="AX1341" s="58">
        <f>COUNTIF(AW$3:AW1341,AW1341)</f>
        <v>2</v>
      </c>
    </row>
    <row r="1342" spans="1:50" x14ac:dyDescent="0.25">
      <c r="A1342" s="5">
        <v>33951</v>
      </c>
      <c r="B1342">
        <v>433.73</v>
      </c>
      <c r="C1342">
        <v>3.24</v>
      </c>
      <c r="D1342" s="6">
        <v>11.81</v>
      </c>
      <c r="E1342" s="18">
        <f t="shared" si="1214"/>
        <v>12.69</v>
      </c>
      <c r="F1342">
        <f t="shared" si="1215"/>
        <v>2</v>
      </c>
      <c r="G1342" s="18">
        <f>ROUND(INDEX(Valuation!U:U,MATCH(A1342,Valuation!A:A,0)),2)</f>
        <v>232.46</v>
      </c>
      <c r="H1342">
        <f t="shared" si="1222"/>
        <v>3</v>
      </c>
      <c r="I1342" s="18">
        <f>INDEX(WeeklyIndicators!Y:Y,MATCH(A1342,WeeklyIndicators!A:A,0))</f>
        <v>125.72</v>
      </c>
      <c r="J1342">
        <f t="shared" si="1211"/>
        <v>0</v>
      </c>
      <c r="K1342">
        <f>ROUND(INDEX(Economic!AF:AF,MATCH(EOMONTH($A1342,-1),Economic!A:A,0)),2)</f>
        <v>103.14</v>
      </c>
      <c r="L1342" s="11">
        <f t="shared" si="1220"/>
        <v>0</v>
      </c>
      <c r="M1342">
        <f>ROUND(INDEX(Manufacturing!P:P,MATCH(EOMONTH($A1342,-1),Manufacturing!A:A,0)),2)</f>
        <v>105.67</v>
      </c>
      <c r="N1342">
        <f t="shared" si="1216"/>
        <v>2</v>
      </c>
      <c r="O1342">
        <f>ROUND(INDEX(Housing!AC:AC,MATCH(EOMONTH($A1342,-1),Housing!B:B,0)),2)</f>
        <v>72.489999999999995</v>
      </c>
      <c r="P1342">
        <f t="shared" si="1217"/>
        <v>-2</v>
      </c>
      <c r="Q1342">
        <f>ROUND(INDEX(Spending!AJ:AJ,MATCH(EOMONTH($A1342,-1),Spending!B:B,0)),2)</f>
        <v>63.52</v>
      </c>
      <c r="R1342">
        <f t="shared" si="1221"/>
        <v>2</v>
      </c>
      <c r="S1342">
        <f>ROUND(INDEX(Employment!V:V,MATCH(EOMONTH($A1342,-1),Employment!A:A,0)),2)</f>
        <v>150.13999999999999</v>
      </c>
      <c r="T1342" s="11">
        <f t="shared" si="1218"/>
        <v>0</v>
      </c>
      <c r="U1342">
        <f t="shared" si="1210"/>
        <v>27</v>
      </c>
      <c r="V1342">
        <f t="shared" si="1202"/>
        <v>71.12</v>
      </c>
      <c r="W1342" s="13">
        <f t="shared" si="1203"/>
        <v>-2.0000000000000001E-4</v>
      </c>
      <c r="X1342" s="13">
        <f t="shared" si="1204"/>
        <v>9.8999999999999991E-3</v>
      </c>
      <c r="Y1342">
        <f t="shared" si="1196"/>
        <v>86.91</v>
      </c>
      <c r="Z1342" s="13">
        <f t="shared" si="1191"/>
        <v>3.3E-3</v>
      </c>
      <c r="AA1342" s="13">
        <f t="shared" si="1223"/>
        <v>2.0400000000000001E-2</v>
      </c>
      <c r="AB1342" s="6">
        <f t="shared" si="1197"/>
        <v>106.49600000000001</v>
      </c>
      <c r="AC1342">
        <f t="shared" si="1225"/>
        <v>53</v>
      </c>
      <c r="AD1342" s="11">
        <f t="shared" ref="AD1342:AD1378" si="1226">IF(AC1342&gt;47,2,IF(AND(AC1342&gt;41,AC1342&lt;=47),1,IF(AC1342&lt;15,-2,IF(AND(AC1342&lt;32,AC1342&gt;=15),-1,0))))</f>
        <v>2</v>
      </c>
      <c r="AE1342">
        <f t="shared" si="1224"/>
        <v>31</v>
      </c>
      <c r="AF1342">
        <f>IF(AND(AE1342&lt;15,OR(AC1342&gt;=30,AA1342&gt;0.15,X1342&gt;=0.15)),2,VLOOKUP(AE1342,Table!P:Q,2,FALSE))</f>
        <v>4</v>
      </c>
      <c r="AG1342" s="22">
        <f>IF((AB1342*0.98)-(D1342*0.8)+((AF1342-3)*3)+VLOOKUP(AM1342,Table!$A$11:$B$13,2,FALSE)&lt;0,0,(AB1342*0.98)-(D1342*0.8)+((AF1342-3)*3)+VLOOKUP(AM1342,Table!$A$11:$B$13,2,FALSE))</f>
        <v>105.91808</v>
      </c>
      <c r="AH1342" s="22">
        <f t="shared" si="1219"/>
        <v>100</v>
      </c>
      <c r="AI1342" s="18">
        <f t="shared" si="1212"/>
        <v>3.01</v>
      </c>
      <c r="AJ1342" s="18">
        <f t="shared" si="1213"/>
        <v>3.29</v>
      </c>
      <c r="AK1342" t="str">
        <f t="shared" si="1198"/>
        <v/>
      </c>
      <c r="AL1342">
        <f t="shared" si="1209"/>
        <v>30.5</v>
      </c>
      <c r="AM1342" s="11" t="str">
        <f t="shared" si="1199"/>
        <v>Stocks</v>
      </c>
      <c r="AN1342" t="str">
        <f t="shared" si="1205"/>
        <v>Buy</v>
      </c>
      <c r="AO1342" s="13">
        <f t="shared" si="1206"/>
        <v>1.7399999999999999E-2</v>
      </c>
      <c r="AP1342" s="13">
        <f t="shared" si="1207"/>
        <v>5.9999999999999995E-4</v>
      </c>
      <c r="AQ1342" s="13">
        <f t="shared" si="1208"/>
        <v>1.7399999999999999E-2</v>
      </c>
      <c r="AR1342" s="13">
        <f t="shared" si="1200"/>
        <v>1.7399999999999999E-2</v>
      </c>
      <c r="AS1342" s="6">
        <f t="shared" si="1192"/>
        <v>108.00744095199238</v>
      </c>
      <c r="AT1342" s="6">
        <f t="shared" si="1193"/>
        <v>102.31566959166555</v>
      </c>
      <c r="AU1342" s="6">
        <f t="shared" si="1194"/>
        <v>107.65106274484609</v>
      </c>
      <c r="AV1342" s="6">
        <f t="shared" si="1195"/>
        <v>108.00744095199238</v>
      </c>
      <c r="AW1342" s="58">
        <f t="shared" si="1201"/>
        <v>1992</v>
      </c>
      <c r="AX1342" s="58">
        <f>COUNTIF(AW$3:AW1342,AW1342)</f>
        <v>3</v>
      </c>
    </row>
    <row r="1343" spans="1:50" x14ac:dyDescent="0.25">
      <c r="A1343" s="5">
        <v>33944</v>
      </c>
      <c r="B1343">
        <v>432.06</v>
      </c>
      <c r="C1343">
        <v>3.3</v>
      </c>
      <c r="D1343" s="6">
        <v>12.58</v>
      </c>
      <c r="E1343" s="18">
        <f t="shared" si="1214"/>
        <v>13.62</v>
      </c>
      <c r="F1343">
        <f t="shared" si="1215"/>
        <v>2</v>
      </c>
      <c r="G1343" s="18">
        <f>ROUND(INDEX(Valuation!U:U,MATCH(A1343,Valuation!A:A,0)),2)</f>
        <v>231.04</v>
      </c>
      <c r="H1343">
        <f t="shared" si="1222"/>
        <v>3</v>
      </c>
      <c r="I1343" s="18">
        <f>INDEX(WeeklyIndicators!Y:Y,MATCH(A1343,WeeklyIndicators!A:A,0))</f>
        <v>124.84</v>
      </c>
      <c r="J1343">
        <f t="shared" si="1211"/>
        <v>0</v>
      </c>
      <c r="K1343">
        <f>ROUND(INDEX(Economic!AF:AF,MATCH(EOMONTH($A1343,-1),Economic!A:A,0)),2)</f>
        <v>103.14</v>
      </c>
      <c r="L1343" s="11">
        <f t="shared" si="1220"/>
        <v>0</v>
      </c>
      <c r="M1343">
        <f>ROUND(INDEX(Manufacturing!P:P,MATCH(EOMONTH($A1343,-1),Manufacturing!A:A,0)),2)</f>
        <v>105.67</v>
      </c>
      <c r="N1343">
        <f t="shared" si="1216"/>
        <v>2</v>
      </c>
      <c r="O1343">
        <f>ROUND(INDEX(Housing!AC:AC,MATCH(EOMONTH($A1343,-1),Housing!B:B,0)),2)</f>
        <v>72.489999999999995</v>
      </c>
      <c r="P1343">
        <f t="shared" si="1217"/>
        <v>-2</v>
      </c>
      <c r="Q1343">
        <f>ROUND(INDEX(Spending!AJ:AJ,MATCH(EOMONTH($A1343,-1),Spending!B:B,0)),2)</f>
        <v>63.52</v>
      </c>
      <c r="R1343">
        <f t="shared" si="1221"/>
        <v>2</v>
      </c>
      <c r="S1343">
        <f>ROUND(INDEX(Employment!V:V,MATCH(EOMONTH($A1343,-1),Employment!A:A,0)),2)</f>
        <v>150.13999999999999</v>
      </c>
      <c r="T1343" s="11">
        <f t="shared" si="1218"/>
        <v>0</v>
      </c>
      <c r="U1343">
        <f t="shared" si="1210"/>
        <v>27</v>
      </c>
      <c r="V1343">
        <f t="shared" si="1202"/>
        <v>71.03</v>
      </c>
      <c r="W1343" s="13">
        <f t="shared" si="1203"/>
        <v>1.1000000000000001E-3</v>
      </c>
      <c r="X1343" s="13">
        <f t="shared" si="1204"/>
        <v>3.8000000000000013E-3</v>
      </c>
      <c r="Y1343">
        <f t="shared" si="1196"/>
        <v>86.34</v>
      </c>
      <c r="Z1343" s="13">
        <f t="shared" si="1191"/>
        <v>2.8999999999999998E-3</v>
      </c>
      <c r="AA1343" s="13">
        <f t="shared" si="1223"/>
        <v>1.5799999999999998E-2</v>
      </c>
      <c r="AB1343" s="6">
        <f t="shared" si="1197"/>
        <v>105.404</v>
      </c>
      <c r="AC1343">
        <f t="shared" si="1225"/>
        <v>53</v>
      </c>
      <c r="AD1343" s="11">
        <f t="shared" si="1226"/>
        <v>2</v>
      </c>
      <c r="AE1343">
        <f t="shared" si="1224"/>
        <v>31</v>
      </c>
      <c r="AF1343">
        <f>IF(AND(AE1343&lt;15,OR(AC1343&gt;=30,AA1343&gt;0.15,X1343&gt;=0.15)),2,VLOOKUP(AE1343,Table!P:Q,2,FALSE))</f>
        <v>4</v>
      </c>
      <c r="AG1343" s="22">
        <f>IF((AB1343*0.98)-(D1343*0.8)+((AF1343-3)*3)+VLOOKUP(AM1343,Table!$A$11:$B$13,2,FALSE)&lt;0,0,(AB1343*0.98)-(D1343*0.8)+((AF1343-3)*3)+VLOOKUP(AM1343,Table!$A$11:$B$13,2,FALSE))</f>
        <v>104.23192</v>
      </c>
      <c r="AH1343" s="22">
        <f t="shared" si="1219"/>
        <v>100</v>
      </c>
      <c r="AI1343" s="18">
        <f t="shared" si="1212"/>
        <v>2.98</v>
      </c>
      <c r="AJ1343" s="18">
        <f t="shared" si="1213"/>
        <v>3.29</v>
      </c>
      <c r="AK1343" t="str">
        <f t="shared" si="1198"/>
        <v/>
      </c>
      <c r="AL1343">
        <f t="shared" si="1209"/>
        <v>30</v>
      </c>
      <c r="AM1343" s="11" t="str">
        <f t="shared" si="1199"/>
        <v>Stocks</v>
      </c>
      <c r="AN1343" t="str">
        <f t="shared" si="1205"/>
        <v>Buy</v>
      </c>
      <c r="AO1343" s="13">
        <f t="shared" si="1206"/>
        <v>3.8999999999999998E-3</v>
      </c>
      <c r="AP1343" s="13">
        <f t="shared" si="1207"/>
        <v>5.9999999999999995E-4</v>
      </c>
      <c r="AQ1343" s="13">
        <f t="shared" si="1208"/>
        <v>3.8999999999999998E-3</v>
      </c>
      <c r="AR1343" s="13">
        <f t="shared" si="1200"/>
        <v>3.8999999999999998E-3</v>
      </c>
      <c r="AS1343" s="6">
        <f t="shared" si="1192"/>
        <v>107.5878483434529</v>
      </c>
      <c r="AT1343" s="6">
        <f t="shared" si="1193"/>
        <v>102.25431700146468</v>
      </c>
      <c r="AU1343" s="6">
        <f t="shared" si="1194"/>
        <v>107.23285461185984</v>
      </c>
      <c r="AV1343" s="6">
        <f t="shared" si="1195"/>
        <v>107.5878483434529</v>
      </c>
      <c r="AW1343" s="58">
        <f t="shared" si="1201"/>
        <v>1992</v>
      </c>
      <c r="AX1343" s="58">
        <f>COUNTIF(AW$3:AW1343,AW1343)</f>
        <v>4</v>
      </c>
    </row>
    <row r="1344" spans="1:50" x14ac:dyDescent="0.25">
      <c r="A1344" s="5">
        <v>33937</v>
      </c>
      <c r="B1344">
        <v>430.16</v>
      </c>
      <c r="C1344">
        <v>3.24</v>
      </c>
      <c r="D1344" s="6">
        <v>13.67</v>
      </c>
      <c r="E1344" s="18">
        <f t="shared" si="1214"/>
        <v>14.32</v>
      </c>
      <c r="F1344">
        <f t="shared" si="1215"/>
        <v>1</v>
      </c>
      <c r="G1344" s="18">
        <f>ROUND(INDEX(Valuation!U:U,MATCH(A1344,Valuation!A:A,0)),2)</f>
        <v>231.61</v>
      </c>
      <c r="H1344">
        <f t="shared" si="1222"/>
        <v>3</v>
      </c>
      <c r="I1344" s="18">
        <f>INDEX(WeeklyIndicators!Y:Y,MATCH(A1344,WeeklyIndicators!A:A,0))</f>
        <v>123.5</v>
      </c>
      <c r="J1344">
        <f t="shared" si="1211"/>
        <v>0</v>
      </c>
      <c r="K1344">
        <f>ROUND(INDEX(Economic!AF:AF,MATCH(EOMONTH($A1344,-1),Economic!A:A,0)),2)</f>
        <v>105.23</v>
      </c>
      <c r="L1344" s="11">
        <f t="shared" si="1220"/>
        <v>0</v>
      </c>
      <c r="M1344">
        <f>ROUND(INDEX(Manufacturing!P:P,MATCH(EOMONTH($A1344,-1),Manufacturing!A:A,0)),2)</f>
        <v>109.22</v>
      </c>
      <c r="N1344">
        <f t="shared" si="1216"/>
        <v>3</v>
      </c>
      <c r="O1344">
        <f>ROUND(INDEX(Housing!AC:AC,MATCH(EOMONTH($A1344,-1),Housing!B:B,0)),2)</f>
        <v>69.42</v>
      </c>
      <c r="P1344">
        <f t="shared" si="1217"/>
        <v>-2</v>
      </c>
      <c r="Q1344">
        <f>ROUND(INDEX(Spending!AJ:AJ,MATCH(EOMONTH($A1344,-1),Spending!B:B,0)),2)</f>
        <v>62.84</v>
      </c>
      <c r="R1344">
        <f t="shared" si="1221"/>
        <v>2</v>
      </c>
      <c r="S1344">
        <f>ROUND(INDEX(Employment!V:V,MATCH(EOMONTH($A1344,-1),Employment!A:A,0)),2)</f>
        <v>149.72</v>
      </c>
      <c r="T1344" s="11">
        <f t="shared" si="1218"/>
        <v>-1</v>
      </c>
      <c r="U1344">
        <f t="shared" si="1210"/>
        <v>26</v>
      </c>
      <c r="V1344">
        <f t="shared" si="1202"/>
        <v>71.38</v>
      </c>
      <c r="W1344" s="13">
        <f t="shared" si="1203"/>
        <v>4.4000000000000003E-3</v>
      </c>
      <c r="X1344" s="13">
        <f t="shared" si="1204"/>
        <v>-5.6999999999999985E-3</v>
      </c>
      <c r="Y1344">
        <f t="shared" si="1196"/>
        <v>86.51</v>
      </c>
      <c r="Z1344" s="13">
        <f t="shared" ref="Z1344:Z1375" si="1227">ROUND((AVERAGE(Y1344:Y1346)-AVERAGE(Y1345:Y1347))/AVERAGE(Y1345:Y1347),4)</f>
        <v>6.4999999999999997E-3</v>
      </c>
      <c r="AA1344" s="13">
        <f t="shared" si="1223"/>
        <v>7.700000000000002E-3</v>
      </c>
      <c r="AB1344" s="6">
        <f t="shared" si="1197"/>
        <v>105.011</v>
      </c>
      <c r="AC1344">
        <f t="shared" si="1225"/>
        <v>53</v>
      </c>
      <c r="AD1344" s="11">
        <f t="shared" si="1226"/>
        <v>2</v>
      </c>
      <c r="AE1344">
        <f t="shared" si="1224"/>
        <v>30</v>
      </c>
      <c r="AF1344">
        <f>IF(AND(AE1344&lt;15,OR(AC1344&gt;=30,AA1344&gt;0.15,X1344&gt;=0.15)),2,VLOOKUP(AE1344,Table!P:Q,2,FALSE))</f>
        <v>4</v>
      </c>
      <c r="AG1344" s="22">
        <f>IF((AB1344*0.98)-(D1344*0.8)+((AF1344-3)*3)+VLOOKUP(AM1344,Table!$A$11:$B$13,2,FALSE)&lt;0,0,(AB1344*0.98)-(D1344*0.8)+((AF1344-3)*3)+VLOOKUP(AM1344,Table!$A$11:$B$13,2,FALSE))</f>
        <v>102.97477999999998</v>
      </c>
      <c r="AH1344" s="22">
        <f t="shared" si="1219"/>
        <v>100</v>
      </c>
      <c r="AI1344" s="18">
        <f t="shared" si="1212"/>
        <v>2.96</v>
      </c>
      <c r="AJ1344" s="18">
        <f t="shared" si="1213"/>
        <v>3.29</v>
      </c>
      <c r="AK1344" t="str">
        <f t="shared" si="1198"/>
        <v/>
      </c>
      <c r="AL1344">
        <f t="shared" si="1209"/>
        <v>29.25</v>
      </c>
      <c r="AM1344" s="11" t="str">
        <f t="shared" si="1199"/>
        <v>Stocks</v>
      </c>
      <c r="AN1344" t="str">
        <f t="shared" si="1205"/>
        <v>Buy</v>
      </c>
      <c r="AO1344" s="13">
        <f t="shared" si="1206"/>
        <v>4.4000000000000003E-3</v>
      </c>
      <c r="AP1344" s="13">
        <f t="shared" si="1207"/>
        <v>5.9999999999999995E-4</v>
      </c>
      <c r="AQ1344" s="13">
        <f t="shared" si="1208"/>
        <v>4.4000000000000003E-3</v>
      </c>
      <c r="AR1344" s="13">
        <f t="shared" si="1200"/>
        <v>4.4000000000000003E-3</v>
      </c>
      <c r="AS1344" s="6">
        <f t="shared" si="1192"/>
        <v>107.11653558687068</v>
      </c>
      <c r="AT1344" s="6">
        <f t="shared" si="1193"/>
        <v>102.19300120074425</v>
      </c>
      <c r="AU1344" s="6">
        <f t="shared" si="1194"/>
        <v>106.76309698512529</v>
      </c>
      <c r="AV1344" s="6">
        <f t="shared" si="1195"/>
        <v>107.11653558687068</v>
      </c>
      <c r="AW1344" s="58">
        <f t="shared" si="1201"/>
        <v>1992</v>
      </c>
      <c r="AX1344" s="58">
        <f>COUNTIF(AW$3:AW1344,AW1344)</f>
        <v>5</v>
      </c>
    </row>
    <row r="1345" spans="1:50" x14ac:dyDescent="0.25">
      <c r="A1345" s="5">
        <v>33930</v>
      </c>
      <c r="B1345">
        <v>426.65</v>
      </c>
      <c r="C1345">
        <v>3.16</v>
      </c>
      <c r="D1345" s="6">
        <v>14.61</v>
      </c>
      <c r="E1345" s="18">
        <f t="shared" si="1214"/>
        <v>15.15</v>
      </c>
      <c r="F1345">
        <f t="shared" si="1215"/>
        <v>1</v>
      </c>
      <c r="G1345" s="18">
        <f>ROUND(INDEX(Valuation!U:U,MATCH(A1345,Valuation!A:A,0)),2)</f>
        <v>232.24</v>
      </c>
      <c r="H1345">
        <f t="shared" si="1222"/>
        <v>3</v>
      </c>
      <c r="I1345" s="18">
        <f>INDEX(WeeklyIndicators!Y:Y,MATCH(A1345,WeeklyIndicators!A:A,0))</f>
        <v>121.31</v>
      </c>
      <c r="J1345">
        <f t="shared" si="1211"/>
        <v>0</v>
      </c>
      <c r="K1345">
        <f>ROUND(INDEX(Economic!AF:AF,MATCH(EOMONTH($A1345,-1),Economic!A:A,0)),2)</f>
        <v>105.23</v>
      </c>
      <c r="L1345" s="11">
        <f t="shared" si="1220"/>
        <v>0</v>
      </c>
      <c r="M1345">
        <f>ROUND(INDEX(Manufacturing!P:P,MATCH(EOMONTH($A1345,-1),Manufacturing!A:A,0)),2)</f>
        <v>109.22</v>
      </c>
      <c r="N1345">
        <f t="shared" si="1216"/>
        <v>3</v>
      </c>
      <c r="O1345">
        <f>ROUND(INDEX(Housing!AC:AC,MATCH(EOMONTH($A1345,-1),Housing!B:B,0)),2)</f>
        <v>69.42</v>
      </c>
      <c r="P1345">
        <f t="shared" si="1217"/>
        <v>-2</v>
      </c>
      <c r="Q1345">
        <f>ROUND(INDEX(Spending!AJ:AJ,MATCH(EOMONTH($A1345,-1),Spending!B:B,0)),2)</f>
        <v>62.84</v>
      </c>
      <c r="R1345">
        <f t="shared" si="1221"/>
        <v>2</v>
      </c>
      <c r="S1345">
        <f>ROUND(INDEX(Employment!V:V,MATCH(EOMONTH($A1345,-1),Employment!A:A,0)),2)</f>
        <v>149.72</v>
      </c>
      <c r="T1345" s="11">
        <f t="shared" si="1218"/>
        <v>-1</v>
      </c>
      <c r="U1345">
        <f t="shared" si="1210"/>
        <v>26</v>
      </c>
      <c r="V1345">
        <f t="shared" si="1202"/>
        <v>71.16</v>
      </c>
      <c r="W1345" s="13">
        <f t="shared" si="1203"/>
        <v>4.5999999999999999E-3</v>
      </c>
      <c r="X1345" s="13">
        <f t="shared" si="1204"/>
        <v>-2.06E-2</v>
      </c>
      <c r="Y1345">
        <f t="shared" si="1196"/>
        <v>86.06</v>
      </c>
      <c r="Z1345" s="13">
        <f t="shared" si="1227"/>
        <v>7.7000000000000002E-3</v>
      </c>
      <c r="AA1345" s="13">
        <f t="shared" si="1223"/>
        <v>-9.7999999999999997E-3</v>
      </c>
      <c r="AB1345" s="6">
        <f t="shared" si="1197"/>
        <v>103.294</v>
      </c>
      <c r="AC1345">
        <f t="shared" si="1225"/>
        <v>52</v>
      </c>
      <c r="AD1345" s="11">
        <f t="shared" si="1226"/>
        <v>2</v>
      </c>
      <c r="AE1345">
        <f t="shared" si="1224"/>
        <v>30</v>
      </c>
      <c r="AF1345">
        <f>IF(AND(AE1345&lt;15,OR(AC1345&gt;=30,AA1345&gt;0.15,X1345&gt;=0.15)),2,VLOOKUP(AE1345,Table!P:Q,2,FALSE))</f>
        <v>4</v>
      </c>
      <c r="AG1345" s="22">
        <f>IF((AB1345*0.98)-(D1345*0.8)+((AF1345-3)*3)+VLOOKUP(AM1345,Table!$A$11:$B$13,2,FALSE)&lt;0,0,(AB1345*0.98)-(D1345*0.8)+((AF1345-3)*3)+VLOOKUP(AM1345,Table!$A$11:$B$13,2,FALSE))</f>
        <v>100.54011999999999</v>
      </c>
      <c r="AH1345" s="22">
        <f t="shared" si="1219"/>
        <v>99</v>
      </c>
      <c r="AI1345" s="18">
        <f t="shared" si="1212"/>
        <v>2.96</v>
      </c>
      <c r="AJ1345" s="18">
        <f t="shared" si="1213"/>
        <v>3.3</v>
      </c>
      <c r="AK1345" t="str">
        <f t="shared" si="1198"/>
        <v/>
      </c>
      <c r="AL1345">
        <f t="shared" si="1209"/>
        <v>28.75</v>
      </c>
      <c r="AM1345" s="11" t="str">
        <f t="shared" si="1199"/>
        <v>Stocks</v>
      </c>
      <c r="AN1345" t="str">
        <f t="shared" si="1205"/>
        <v>Buy</v>
      </c>
      <c r="AO1345" s="13">
        <f t="shared" si="1206"/>
        <v>8.2000000000000007E-3</v>
      </c>
      <c r="AP1345" s="13">
        <f t="shared" si="1207"/>
        <v>5.9999999999999995E-4</v>
      </c>
      <c r="AQ1345" s="13">
        <f t="shared" si="1208"/>
        <v>8.0999999999999996E-3</v>
      </c>
      <c r="AR1345" s="13">
        <f t="shared" si="1200"/>
        <v>8.2000000000000007E-3</v>
      </c>
      <c r="AS1345" s="6">
        <f t="shared" si="1192"/>
        <v>106.24532393063944</v>
      </c>
      <c r="AT1345" s="6">
        <f t="shared" si="1193"/>
        <v>102.13172216744378</v>
      </c>
      <c r="AU1345" s="6">
        <f t="shared" si="1194"/>
        <v>105.90526434393938</v>
      </c>
      <c r="AV1345" s="6">
        <f t="shared" si="1195"/>
        <v>106.24532393063944</v>
      </c>
      <c r="AW1345" s="58">
        <f t="shared" si="1201"/>
        <v>1992</v>
      </c>
      <c r="AX1345" s="58">
        <f>COUNTIF(AW$3:AW1345,AW1345)</f>
        <v>6</v>
      </c>
    </row>
    <row r="1346" spans="1:50" x14ac:dyDescent="0.25">
      <c r="A1346" s="5">
        <v>33923</v>
      </c>
      <c r="B1346">
        <v>422.43</v>
      </c>
      <c r="C1346">
        <v>3.08</v>
      </c>
      <c r="D1346" s="6">
        <v>14.69</v>
      </c>
      <c r="E1346" s="18">
        <f t="shared" si="1214"/>
        <v>15.77</v>
      </c>
      <c r="F1346">
        <f t="shared" si="1215"/>
        <v>1</v>
      </c>
      <c r="G1346" s="18">
        <f>ROUND(INDEX(Valuation!U:U,MATCH(A1346,Valuation!A:A,0)),2)</f>
        <v>233.08</v>
      </c>
      <c r="H1346">
        <f t="shared" si="1222"/>
        <v>3</v>
      </c>
      <c r="I1346" s="18">
        <f>INDEX(WeeklyIndicators!Y:Y,MATCH(A1346,WeeklyIndicators!A:A,0))</f>
        <v>117.88</v>
      </c>
      <c r="J1346">
        <f t="shared" si="1211"/>
        <v>-1</v>
      </c>
      <c r="K1346">
        <f>ROUND(INDEX(Economic!AF:AF,MATCH(EOMONTH($A1346,-1),Economic!A:A,0)),2)</f>
        <v>105.23</v>
      </c>
      <c r="L1346" s="11">
        <f t="shared" si="1220"/>
        <v>0</v>
      </c>
      <c r="M1346">
        <f>ROUND(INDEX(Manufacturing!P:P,MATCH(EOMONTH($A1346,-1),Manufacturing!A:A,0)),2)</f>
        <v>109.22</v>
      </c>
      <c r="N1346">
        <f t="shared" si="1216"/>
        <v>3</v>
      </c>
      <c r="O1346">
        <f>ROUND(INDEX(Housing!AC:AC,MATCH(EOMONTH($A1346,-1),Housing!B:B,0)),2)</f>
        <v>69.42</v>
      </c>
      <c r="P1346">
        <f t="shared" si="1217"/>
        <v>-2</v>
      </c>
      <c r="Q1346">
        <f>ROUND(INDEX(Spending!AJ:AJ,MATCH(EOMONTH($A1346,-1),Spending!B:B,0)),2)</f>
        <v>62.84</v>
      </c>
      <c r="R1346">
        <f t="shared" si="1221"/>
        <v>2</v>
      </c>
      <c r="S1346">
        <f>ROUND(INDEX(Employment!V:V,MATCH(EOMONTH($A1346,-1),Employment!A:A,0)),2)</f>
        <v>149.72</v>
      </c>
      <c r="T1346" s="11">
        <f t="shared" si="1218"/>
        <v>-1</v>
      </c>
      <c r="U1346">
        <f t="shared" si="1210"/>
        <v>25</v>
      </c>
      <c r="V1346">
        <f t="shared" si="1202"/>
        <v>70.8</v>
      </c>
      <c r="W1346" s="13">
        <f t="shared" si="1203"/>
        <v>-6.3E-3</v>
      </c>
      <c r="X1346" s="13">
        <f t="shared" si="1204"/>
        <v>-2.7799999999999998E-2</v>
      </c>
      <c r="Y1346">
        <f t="shared" si="1196"/>
        <v>85.58</v>
      </c>
      <c r="Z1346" s="13">
        <f t="shared" si="1227"/>
        <v>-1.2999999999999999E-3</v>
      </c>
      <c r="AA1346" s="13">
        <f t="shared" si="1223"/>
        <v>-2.4499999999999997E-2</v>
      </c>
      <c r="AB1346" s="6">
        <f t="shared" si="1197"/>
        <v>101.828</v>
      </c>
      <c r="AC1346">
        <f t="shared" si="1225"/>
        <v>51</v>
      </c>
      <c r="AD1346" s="11">
        <f t="shared" si="1226"/>
        <v>2</v>
      </c>
      <c r="AE1346">
        <f t="shared" si="1224"/>
        <v>29</v>
      </c>
      <c r="AF1346">
        <f>IF(AND(AE1346&lt;15,OR(AC1346&gt;=30,AA1346&gt;0.15,X1346&gt;=0.15)),2,VLOOKUP(AE1346,Table!P:Q,2,FALSE))</f>
        <v>4</v>
      </c>
      <c r="AG1346" s="22">
        <f>IF((AB1346*0.98)-(D1346*0.8)+((AF1346-3)*3)+VLOOKUP(AM1346,Table!$A$11:$B$13,2,FALSE)&lt;0,0,(AB1346*0.98)-(D1346*0.8)+((AF1346-3)*3)+VLOOKUP(AM1346,Table!$A$11:$B$13,2,FALSE))</f>
        <v>99.039439999999999</v>
      </c>
      <c r="AH1346" s="22">
        <f t="shared" si="1219"/>
        <v>97</v>
      </c>
      <c r="AI1346" s="18">
        <f t="shared" si="1212"/>
        <v>2.95</v>
      </c>
      <c r="AJ1346" s="18">
        <f t="shared" si="1213"/>
        <v>3.3</v>
      </c>
      <c r="AK1346" t="str">
        <f t="shared" si="1198"/>
        <v/>
      </c>
      <c r="AL1346">
        <f t="shared" si="1209"/>
        <v>28.25</v>
      </c>
      <c r="AM1346" s="11" t="str">
        <f t="shared" si="1199"/>
        <v>Stocks</v>
      </c>
      <c r="AN1346" t="str">
        <f t="shared" si="1205"/>
        <v>Buy</v>
      </c>
      <c r="AO1346" s="13">
        <f t="shared" si="1206"/>
        <v>0.01</v>
      </c>
      <c r="AP1346" s="13">
        <f t="shared" si="1207"/>
        <v>5.9999999999999995E-4</v>
      </c>
      <c r="AQ1346" s="13">
        <f t="shared" si="1208"/>
        <v>9.7000000000000003E-3</v>
      </c>
      <c r="AR1346" s="13">
        <f t="shared" si="1200"/>
        <v>0.01</v>
      </c>
      <c r="AS1346" s="6">
        <f t="shared" si="1192"/>
        <v>105.19339003033608</v>
      </c>
      <c r="AT1346" s="6">
        <f t="shared" si="1193"/>
        <v>102.07047987951609</v>
      </c>
      <c r="AU1346" s="6">
        <f t="shared" si="1194"/>
        <v>104.88785217781458</v>
      </c>
      <c r="AV1346" s="6">
        <f t="shared" si="1195"/>
        <v>105.19339003033608</v>
      </c>
      <c r="AW1346" s="58">
        <f t="shared" si="1201"/>
        <v>1992</v>
      </c>
      <c r="AX1346" s="58">
        <f>COUNTIF(AW$3:AW1346,AW1346)</f>
        <v>7</v>
      </c>
    </row>
    <row r="1347" spans="1:50" x14ac:dyDescent="0.25">
      <c r="A1347" s="5">
        <v>33916</v>
      </c>
      <c r="B1347">
        <v>417.58</v>
      </c>
      <c r="C1347">
        <v>3.03</v>
      </c>
      <c r="D1347" s="6">
        <v>16.149999999999999</v>
      </c>
      <c r="E1347" s="18">
        <f t="shared" si="1214"/>
        <v>16.54</v>
      </c>
      <c r="F1347">
        <f t="shared" si="1215"/>
        <v>0</v>
      </c>
      <c r="G1347" s="18">
        <f>ROUND(INDEX(Valuation!U:U,MATCH(A1347,Valuation!A:A,0)),2)</f>
        <v>232.15</v>
      </c>
      <c r="H1347">
        <f t="shared" si="1222"/>
        <v>3</v>
      </c>
      <c r="I1347" s="18">
        <f>INDEX(WeeklyIndicators!Y:Y,MATCH(A1347,WeeklyIndicators!A:A,0))</f>
        <v>114.4</v>
      </c>
      <c r="J1347">
        <f t="shared" si="1211"/>
        <v>-1</v>
      </c>
      <c r="K1347">
        <f>ROUND(INDEX(Economic!AF:AF,MATCH(EOMONTH($A1347,-1),Economic!A:A,0)),2)</f>
        <v>105.23</v>
      </c>
      <c r="L1347" s="11">
        <f t="shared" si="1220"/>
        <v>0</v>
      </c>
      <c r="M1347">
        <f>ROUND(INDEX(Manufacturing!P:P,MATCH(EOMONTH($A1347,-1),Manufacturing!A:A,0)),2)</f>
        <v>109.22</v>
      </c>
      <c r="N1347">
        <f t="shared" si="1216"/>
        <v>3</v>
      </c>
      <c r="O1347">
        <f>ROUND(INDEX(Housing!AC:AC,MATCH(EOMONTH($A1347,-1),Housing!B:B,0)),2)</f>
        <v>69.42</v>
      </c>
      <c r="P1347">
        <f t="shared" si="1217"/>
        <v>-2</v>
      </c>
      <c r="Q1347">
        <f>ROUND(INDEX(Spending!AJ:AJ,MATCH(EOMONTH($A1347,-1),Spending!B:B,0)),2)</f>
        <v>62.84</v>
      </c>
      <c r="R1347">
        <f t="shared" si="1221"/>
        <v>2</v>
      </c>
      <c r="S1347">
        <f>ROUND(INDEX(Employment!V:V,MATCH(EOMONTH($A1347,-1),Employment!A:A,0)),2)</f>
        <v>149.72</v>
      </c>
      <c r="T1347" s="11">
        <f t="shared" si="1218"/>
        <v>-1</v>
      </c>
      <c r="U1347">
        <f t="shared" si="1210"/>
        <v>24</v>
      </c>
      <c r="V1347">
        <f t="shared" si="1202"/>
        <v>70.44</v>
      </c>
      <c r="W1347" s="13">
        <f t="shared" si="1203"/>
        <v>-8.3999999999999995E-3</v>
      </c>
      <c r="X1347" s="13">
        <f t="shared" si="1204"/>
        <v>-3.4699999999999995E-2</v>
      </c>
      <c r="Y1347">
        <f t="shared" si="1196"/>
        <v>84.85</v>
      </c>
      <c r="Z1347" s="13">
        <f t="shared" si="1227"/>
        <v>-5.1999999999999998E-3</v>
      </c>
      <c r="AA1347" s="13">
        <f t="shared" si="1223"/>
        <v>-3.9300000000000002E-2</v>
      </c>
      <c r="AB1347" s="6">
        <f t="shared" si="1197"/>
        <v>99.935000000000002</v>
      </c>
      <c r="AC1347">
        <f t="shared" si="1225"/>
        <v>50</v>
      </c>
      <c r="AD1347" s="11">
        <f t="shared" si="1226"/>
        <v>2</v>
      </c>
      <c r="AE1347">
        <f t="shared" si="1224"/>
        <v>28</v>
      </c>
      <c r="AF1347">
        <f>IF(AND(AE1347&lt;15,OR(AC1347&gt;=30,AA1347&gt;0.15,X1347&gt;=0.15)),2,VLOOKUP(AE1347,Table!P:Q,2,FALSE))</f>
        <v>4</v>
      </c>
      <c r="AG1347" s="22">
        <f>IF((AB1347*0.98)-(D1347*0.8)+((AF1347-3)*3)+VLOOKUP(AM1347,Table!$A$11:$B$13,2,FALSE)&lt;0,0,(AB1347*0.98)-(D1347*0.8)+((AF1347-3)*3)+VLOOKUP(AM1347,Table!$A$11:$B$13,2,FALSE))</f>
        <v>96.016300000000001</v>
      </c>
      <c r="AH1347" s="22">
        <f t="shared" si="1219"/>
        <v>95</v>
      </c>
      <c r="AI1347" s="18">
        <f t="shared" si="1212"/>
        <v>2.95</v>
      </c>
      <c r="AJ1347" s="18">
        <f t="shared" si="1213"/>
        <v>3.31</v>
      </c>
      <c r="AK1347" t="str">
        <f t="shared" si="1198"/>
        <v/>
      </c>
      <c r="AL1347">
        <f t="shared" si="1209"/>
        <v>28.25</v>
      </c>
      <c r="AM1347" s="11" t="str">
        <f t="shared" si="1199"/>
        <v>Stocks</v>
      </c>
      <c r="AN1347" t="str">
        <f t="shared" si="1205"/>
        <v>Buy</v>
      </c>
      <c r="AO1347" s="13">
        <f t="shared" si="1206"/>
        <v>1.1599999999999999E-2</v>
      </c>
      <c r="AP1347" s="13">
        <f t="shared" si="1207"/>
        <v>5.9999999999999995E-4</v>
      </c>
      <c r="AQ1347" s="13">
        <f t="shared" si="1208"/>
        <v>1.11E-2</v>
      </c>
      <c r="AR1347" s="13">
        <f t="shared" si="1200"/>
        <v>1.1599999999999999E-2</v>
      </c>
      <c r="AS1347" s="6">
        <f t="shared" ref="AS1347:AS1377" si="1228">AS1348*(1+AO1348)</f>
        <v>103.987139215437</v>
      </c>
      <c r="AT1347" s="6">
        <f t="shared" ref="AT1347:AT1377" si="1229">AT1348*(1+AP1348)</f>
        <v>102.00927431492714</v>
      </c>
      <c r="AU1347" s="6">
        <f t="shared" ref="AU1347:AU1377" si="1230">AU1348*(1+AQ1348)</f>
        <v>103.73637837782076</v>
      </c>
      <c r="AV1347" s="6">
        <f t="shared" ref="AV1347:AV1377" si="1231">AV1348*(1+AR1348)</f>
        <v>103.987139215437</v>
      </c>
      <c r="AW1347" s="58">
        <f t="shared" si="1201"/>
        <v>1992</v>
      </c>
      <c r="AX1347" s="58">
        <f>COUNTIF(AW$3:AW1347,AW1347)</f>
        <v>8</v>
      </c>
    </row>
    <row r="1348" spans="1:50" x14ac:dyDescent="0.25">
      <c r="A1348" s="5">
        <v>33909</v>
      </c>
      <c r="B1348">
        <v>418.68</v>
      </c>
      <c r="C1348">
        <v>2.94</v>
      </c>
      <c r="D1348" s="6">
        <v>16.459999</v>
      </c>
      <c r="E1348" s="18">
        <f t="shared" si="1214"/>
        <v>17.989999999999998</v>
      </c>
      <c r="F1348">
        <f t="shared" si="1215"/>
        <v>0</v>
      </c>
      <c r="G1348" s="18">
        <f>ROUND(INDEX(Valuation!U:U,MATCH(A1348,Valuation!A:A,0)),2)</f>
        <v>232.26</v>
      </c>
      <c r="H1348">
        <f t="shared" si="1222"/>
        <v>3</v>
      </c>
      <c r="I1348" s="18">
        <f>INDEX(WeeklyIndicators!Y:Y,MATCH(A1348,WeeklyIndicators!A:A,0))</f>
        <v>111.92</v>
      </c>
      <c r="J1348">
        <f t="shared" si="1211"/>
        <v>-1</v>
      </c>
      <c r="K1348">
        <f>ROUND(INDEX(Economic!AF:AF,MATCH(EOMONTH($A1348,-1),Economic!A:A,0)),2)</f>
        <v>105.23</v>
      </c>
      <c r="L1348" s="11">
        <f t="shared" si="1220"/>
        <v>0</v>
      </c>
      <c r="M1348">
        <f>ROUND(INDEX(Manufacturing!P:P,MATCH(EOMONTH($A1348,-1),Manufacturing!A:A,0)),2)</f>
        <v>109.22</v>
      </c>
      <c r="N1348">
        <f t="shared" si="1216"/>
        <v>3</v>
      </c>
      <c r="O1348">
        <f>ROUND(INDEX(Housing!AC:AC,MATCH(EOMONTH($A1348,-1),Housing!B:B,0)),2)</f>
        <v>69.42</v>
      </c>
      <c r="P1348">
        <f t="shared" si="1217"/>
        <v>-2</v>
      </c>
      <c r="Q1348">
        <f>ROUND(INDEX(Spending!AJ:AJ,MATCH(EOMONTH($A1348,-1),Spending!B:B,0)),2)</f>
        <v>62.84</v>
      </c>
      <c r="R1348">
        <f t="shared" si="1221"/>
        <v>2</v>
      </c>
      <c r="S1348">
        <f>ROUND(INDEX(Employment!V:V,MATCH(EOMONTH($A1348,-1),Employment!A:A,0)),2)</f>
        <v>149.72</v>
      </c>
      <c r="T1348" s="11">
        <f t="shared" si="1218"/>
        <v>-1</v>
      </c>
      <c r="U1348">
        <f t="shared" si="1210"/>
        <v>24</v>
      </c>
      <c r="V1348">
        <f t="shared" si="1202"/>
        <v>70.180000000000007</v>
      </c>
      <c r="W1348" s="13">
        <f t="shared" si="1203"/>
        <v>-1.0500000000000001E-2</v>
      </c>
      <c r="X1348" s="13">
        <f t="shared" si="1204"/>
        <v>-3.8699999999999998E-2</v>
      </c>
      <c r="Y1348">
        <f t="shared" ref="Y1348:Y1378" si="1232">ROUND(((K1348*0.745)+(M1348*0.745)+(O1348*0.36)+(Q1348*0.45)+(S1348*0.45)+(I1348*0.55)+(G1348*0.59)-(E1348*1.85))/5.3,2)</f>
        <v>84.1</v>
      </c>
      <c r="Z1348" s="13">
        <f t="shared" si="1227"/>
        <v>-1.0999999999999999E-2</v>
      </c>
      <c r="AA1348" s="13">
        <f t="shared" si="1223"/>
        <v>-4.7599999999999996E-2</v>
      </c>
      <c r="AB1348" s="6">
        <f t="shared" ref="AB1348:AB1378" si="1233">IF(ROUND(Y1348+(X1348*10)+(V1348/30)+(AA1348*67),2)+5+((G1348-125)*0.1)&lt;0,0,ROUND(Y1348+(X1348*10)+(V1348/30)+(AA1348*67),2)+5+((G1348-125)*0.1))</f>
        <v>98.585999999999999</v>
      </c>
      <c r="AC1348">
        <f t="shared" si="1225"/>
        <v>49</v>
      </c>
      <c r="AD1348" s="11">
        <f t="shared" si="1226"/>
        <v>2</v>
      </c>
      <c r="AE1348">
        <f t="shared" si="1224"/>
        <v>28</v>
      </c>
      <c r="AF1348">
        <f>IF(AND(AE1348&lt;15,OR(AC1348&gt;=30,AA1348&gt;0.15,X1348&gt;=0.15)),2,VLOOKUP(AE1348,Table!P:Q,2,FALSE))</f>
        <v>4</v>
      </c>
      <c r="AG1348" s="22">
        <f>IF((AB1348*0.98)-(D1348*0.8)+((AF1348-3)*3)+VLOOKUP(AM1348,Table!$A$11:$B$13,2,FALSE)&lt;0,0,(AB1348*0.98)-(D1348*0.8)+((AF1348-3)*3)+VLOOKUP(AM1348,Table!$A$11:$B$13,2,FALSE))</f>
        <v>94.446280799999997</v>
      </c>
      <c r="AH1348" s="22">
        <f t="shared" si="1219"/>
        <v>95</v>
      </c>
      <c r="AI1348" s="18">
        <f t="shared" si="1212"/>
        <v>2.96</v>
      </c>
      <c r="AJ1348" s="18">
        <f t="shared" si="1213"/>
        <v>3.32</v>
      </c>
      <c r="AK1348" t="str">
        <f t="shared" ref="AK1348:AK1378" si="1234">IF(AND(C1348&gt;AI1348,AI1348&gt;AJ1348,C1348-AJ1348&gt;0.15),"Rising Rates",IF(AND(C1348&lt;AI1348,AI1348&lt;AJ1348,AJ1348-C1348&gt;0.15),"Falling Rates",""))</f>
        <v>Falling Rates</v>
      </c>
      <c r="AL1348">
        <f t="shared" si="1209"/>
        <v>28.75</v>
      </c>
      <c r="AM1348" s="11" t="str">
        <f t="shared" ref="AM1348:AM1378" si="1235">IF(OR(AND(AL1348&lt;=18,G1348&lt;=25),AND(AL1348&lt;=14,G1348&lt;200)),"Cash","Stocks")</f>
        <v>Stocks</v>
      </c>
      <c r="AN1348" t="str">
        <f t="shared" si="1205"/>
        <v>Buy</v>
      </c>
      <c r="AO1348" s="13">
        <f t="shared" si="1206"/>
        <v>-2.5999999999999999E-3</v>
      </c>
      <c r="AP1348" s="13">
        <f t="shared" si="1207"/>
        <v>5.9999999999999995E-4</v>
      </c>
      <c r="AQ1348" s="13">
        <f t="shared" si="1208"/>
        <v>-2.3999999999999998E-3</v>
      </c>
      <c r="AR1348" s="13">
        <f t="shared" si="1200"/>
        <v>-2.5999999999999999E-3</v>
      </c>
      <c r="AS1348" s="6">
        <f t="shared" si="1228"/>
        <v>104.25821056290054</v>
      </c>
      <c r="AT1348" s="6">
        <f t="shared" si="1229"/>
        <v>101.94810545165615</v>
      </c>
      <c r="AU1348" s="6">
        <f t="shared" si="1230"/>
        <v>103.98594464496868</v>
      </c>
      <c r="AV1348" s="6">
        <f t="shared" si="1231"/>
        <v>104.25821056290054</v>
      </c>
      <c r="AW1348" s="58">
        <f t="shared" ref="AW1348:AW1378" si="1236">YEAR(A1348)</f>
        <v>1992</v>
      </c>
      <c r="AX1348" s="58">
        <f>COUNTIF(AW$3:AW1348,AW1348)</f>
        <v>9</v>
      </c>
    </row>
    <row r="1349" spans="1:50" x14ac:dyDescent="0.25">
      <c r="A1349" s="5">
        <v>33902</v>
      </c>
      <c r="B1349">
        <v>414.1</v>
      </c>
      <c r="C1349">
        <v>2.95</v>
      </c>
      <c r="D1349" s="6">
        <v>17.010000000000002</v>
      </c>
      <c r="E1349" s="18">
        <f t="shared" si="1214"/>
        <v>18.440000000000001</v>
      </c>
      <c r="F1349">
        <f t="shared" si="1215"/>
        <v>-1</v>
      </c>
      <c r="G1349" s="18">
        <f>ROUND(INDEX(Valuation!U:U,MATCH(A1349,Valuation!A:A,0)),2)</f>
        <v>232.29</v>
      </c>
      <c r="H1349">
        <f t="shared" si="1222"/>
        <v>3</v>
      </c>
      <c r="I1349" s="18">
        <f>INDEX(WeeklyIndicators!Y:Y,MATCH(A1349,WeeklyIndicators!A:A,0))</f>
        <v>111.04</v>
      </c>
      <c r="J1349">
        <f t="shared" si="1211"/>
        <v>-1</v>
      </c>
      <c r="K1349">
        <f>ROUND(INDEX(Economic!AF:AF,MATCH(EOMONTH($A1349,-1),Economic!A:A,0)),2)</f>
        <v>116.11</v>
      </c>
      <c r="L1349" s="11">
        <f t="shared" si="1220"/>
        <v>1</v>
      </c>
      <c r="M1349">
        <f>ROUND(INDEX(Manufacturing!P:P,MATCH(EOMONTH($A1349,-1),Manufacturing!A:A,0)),2)</f>
        <v>116.92</v>
      </c>
      <c r="N1349">
        <f t="shared" si="1216"/>
        <v>3</v>
      </c>
      <c r="O1349">
        <f>ROUND(INDEX(Housing!AC:AC,MATCH(EOMONTH($A1349,-1),Housing!B:B,0)),2)</f>
        <v>69.430000000000007</v>
      </c>
      <c r="P1349">
        <f t="shared" si="1217"/>
        <v>-2</v>
      </c>
      <c r="Q1349">
        <f>ROUND(INDEX(Spending!AJ:AJ,MATCH(EOMONTH($A1349,-1),Spending!B:B,0)),2)</f>
        <v>62.14</v>
      </c>
      <c r="R1349">
        <f t="shared" si="1221"/>
        <v>2</v>
      </c>
      <c r="S1349">
        <f>ROUND(INDEX(Employment!V:V,MATCH(EOMONTH($A1349,-1),Employment!A:A,0)),2)</f>
        <v>143.88</v>
      </c>
      <c r="T1349" s="11">
        <f t="shared" si="1218"/>
        <v>-1</v>
      </c>
      <c r="U1349">
        <f t="shared" si="1210"/>
        <v>24</v>
      </c>
      <c r="V1349">
        <f t="shared" ref="V1349:V1378" si="1237">ROUND(((K1349*0.745)+(M1349*0.745)+(O1349*0.36)+(Q1349*0.45)+(S1349*0.45)+(I1349*0.55)+(60)-(30))/5.3,2)</f>
        <v>72.150000000000006</v>
      </c>
      <c r="W1349" s="13">
        <f t="shared" ref="W1349:W1377" si="1238">ROUND((AVERAGE(V1349:V1351)-AVERAGE(V1350:V1352))/AVERAGE(V1350:V1352),4)</f>
        <v>-2.5999999999999999E-3</v>
      </c>
      <c r="X1349" s="13">
        <f t="shared" ref="X1349:X1378" si="1239">SUM(W1349:W1352)</f>
        <v>-3.8800000000000001E-2</v>
      </c>
      <c r="Y1349">
        <f t="shared" si="1232"/>
        <v>85.91</v>
      </c>
      <c r="Z1349" s="13">
        <f t="shared" si="1227"/>
        <v>-7.0000000000000001E-3</v>
      </c>
      <c r="AA1349" s="13">
        <f t="shared" si="1223"/>
        <v>-4.5600000000000002E-2</v>
      </c>
      <c r="AB1349" s="6">
        <f t="shared" si="1233"/>
        <v>100.599</v>
      </c>
      <c r="AC1349">
        <f t="shared" si="1225"/>
        <v>50</v>
      </c>
      <c r="AD1349" s="11">
        <f t="shared" si="1226"/>
        <v>2</v>
      </c>
      <c r="AE1349">
        <f t="shared" si="1224"/>
        <v>28</v>
      </c>
      <c r="AF1349">
        <f>IF(AND(AE1349&lt;15,OR(AC1349&gt;=30,AA1349&gt;0.15,X1349&gt;=0.15)),2,VLOOKUP(AE1349,Table!P:Q,2,FALSE))</f>
        <v>4</v>
      </c>
      <c r="AG1349" s="22">
        <f>IF((AB1349*0.98)-(D1349*0.8)+((AF1349-3)*3)+VLOOKUP(AM1349,Table!$A$11:$B$13,2,FALSE)&lt;0,0,(AB1349*0.98)-(D1349*0.8)+((AF1349-3)*3)+VLOOKUP(AM1349,Table!$A$11:$B$13,2,FALSE))</f>
        <v>95.979019999999991</v>
      </c>
      <c r="AH1349" s="22">
        <f t="shared" si="1219"/>
        <v>96</v>
      </c>
      <c r="AI1349" s="18">
        <f t="shared" si="1212"/>
        <v>2.98</v>
      </c>
      <c r="AJ1349" s="18">
        <f t="shared" si="1213"/>
        <v>3.33</v>
      </c>
      <c r="AK1349" t="str">
        <f t="shared" si="1234"/>
        <v>Falling Rates</v>
      </c>
      <c r="AL1349">
        <f t="shared" si="1209"/>
        <v>29.5</v>
      </c>
      <c r="AM1349" s="11" t="str">
        <f t="shared" si="1235"/>
        <v>Stocks</v>
      </c>
      <c r="AN1349" t="str">
        <f t="shared" ref="AN1349:AN1378" si="1240">IF(AND(V1349&gt;AG1349,V1349&lt;65),"Sell","Buy")</f>
        <v>Buy</v>
      </c>
      <c r="AO1349" s="13">
        <f t="shared" ref="AO1349:AO1378" si="1241">ROUND((B1348/B1349)-1,4)</f>
        <v>1.11E-2</v>
      </c>
      <c r="AP1349" s="13">
        <f t="shared" ref="AP1349:AP1378" si="1242">ROUND((C1349*0.01)/52,4)</f>
        <v>5.9999999999999995E-4</v>
      </c>
      <c r="AQ1349" s="13">
        <f t="shared" ref="AQ1349:AQ1378" si="1243">ROUND(((AH1349*0.01)*AO1349)+(((100-AH1349)*0.01)*AP1349),4)</f>
        <v>1.0699999999999999E-2</v>
      </c>
      <c r="AR1349" s="13">
        <f t="shared" ref="AR1349:AR1378" si="1244">IF(AM1349="Stocks",AO1349,AP1349)</f>
        <v>1.11E-2</v>
      </c>
      <c r="AS1349" s="6">
        <f t="shared" si="1228"/>
        <v>103.11364905835282</v>
      </c>
      <c r="AT1349" s="6">
        <f t="shared" si="1229"/>
        <v>101.88697326769554</v>
      </c>
      <c r="AU1349" s="6">
        <f t="shared" si="1230"/>
        <v>102.88507434942979</v>
      </c>
      <c r="AV1349" s="6">
        <f t="shared" si="1231"/>
        <v>103.11364905835282</v>
      </c>
      <c r="AW1349" s="58">
        <f t="shared" si="1236"/>
        <v>1992</v>
      </c>
      <c r="AX1349" s="58">
        <f>COUNTIF(AW$3:AW1349,AW1349)</f>
        <v>10</v>
      </c>
    </row>
    <row r="1350" spans="1:50" x14ac:dyDescent="0.25">
      <c r="A1350" s="5">
        <v>33895</v>
      </c>
      <c r="B1350">
        <v>411.73</v>
      </c>
      <c r="C1350">
        <v>2.9</v>
      </c>
      <c r="D1350" s="6">
        <v>20.51</v>
      </c>
      <c r="E1350" s="18">
        <f t="shared" si="1214"/>
        <v>17.7</v>
      </c>
      <c r="F1350">
        <f t="shared" si="1215"/>
        <v>0</v>
      </c>
      <c r="G1350" s="18">
        <f>ROUND(INDEX(Valuation!U:U,MATCH(A1350,Valuation!A:A,0)),2)</f>
        <v>231.55</v>
      </c>
      <c r="H1350">
        <f t="shared" si="1222"/>
        <v>3</v>
      </c>
      <c r="I1350" s="18">
        <f>INDEX(WeeklyIndicators!Y:Y,MATCH(A1350,WeeklyIndicators!A:A,0))</f>
        <v>111.9</v>
      </c>
      <c r="J1350">
        <f t="shared" si="1211"/>
        <v>-1</v>
      </c>
      <c r="K1350">
        <f>ROUND(INDEX(Economic!AF:AF,MATCH(EOMONTH($A1350,-1),Economic!A:A,0)),2)</f>
        <v>116.11</v>
      </c>
      <c r="L1350" s="11">
        <f t="shared" si="1220"/>
        <v>1</v>
      </c>
      <c r="M1350">
        <f>ROUND(INDEX(Manufacturing!P:P,MATCH(EOMONTH($A1350,-1),Manufacturing!A:A,0)),2)</f>
        <v>116.92</v>
      </c>
      <c r="N1350">
        <f t="shared" si="1216"/>
        <v>3</v>
      </c>
      <c r="O1350">
        <f>ROUND(INDEX(Housing!AC:AC,MATCH(EOMONTH($A1350,-1),Housing!B:B,0)),2)</f>
        <v>69.430000000000007</v>
      </c>
      <c r="P1350">
        <f t="shared" si="1217"/>
        <v>-2</v>
      </c>
      <c r="Q1350">
        <f>ROUND(INDEX(Spending!AJ:AJ,MATCH(EOMONTH($A1350,-1),Spending!B:B,0)),2)</f>
        <v>62.14</v>
      </c>
      <c r="R1350">
        <f t="shared" si="1221"/>
        <v>2</v>
      </c>
      <c r="S1350">
        <f>ROUND(INDEX(Employment!V:V,MATCH(EOMONTH($A1350,-1),Employment!A:A,0)),2)</f>
        <v>143.88</v>
      </c>
      <c r="T1350" s="11">
        <f t="shared" si="1218"/>
        <v>-1</v>
      </c>
      <c r="U1350">
        <f t="shared" si="1210"/>
        <v>25</v>
      </c>
      <c r="V1350">
        <f t="shared" si="1237"/>
        <v>72.239999999999995</v>
      </c>
      <c r="W1350" s="13">
        <f t="shared" si="1238"/>
        <v>-1.32E-2</v>
      </c>
      <c r="X1350" s="13">
        <f t="shared" si="1239"/>
        <v>-3.5099999999999999E-2</v>
      </c>
      <c r="Y1350">
        <f t="shared" si="1232"/>
        <v>86.17</v>
      </c>
      <c r="Z1350" s="13">
        <f t="shared" si="1227"/>
        <v>-1.61E-2</v>
      </c>
      <c r="AA1350" s="13">
        <f t="shared" si="1223"/>
        <v>-3.6000000000000004E-2</v>
      </c>
      <c r="AB1350" s="6">
        <f t="shared" si="1233"/>
        <v>101.47499999999999</v>
      </c>
      <c r="AC1350">
        <f t="shared" si="1225"/>
        <v>51</v>
      </c>
      <c r="AD1350" s="11">
        <f t="shared" si="1226"/>
        <v>2</v>
      </c>
      <c r="AE1350">
        <f t="shared" si="1224"/>
        <v>29</v>
      </c>
      <c r="AF1350">
        <f>IF(AND(AE1350&lt;15,OR(AC1350&gt;=30,AA1350&gt;0.15,X1350&gt;=0.15)),2,VLOOKUP(AE1350,Table!P:Q,2,FALSE))</f>
        <v>4</v>
      </c>
      <c r="AG1350" s="22">
        <f>IF((AB1350*0.98)-(D1350*0.8)+((AF1350-3)*3)+VLOOKUP(AM1350,Table!$A$11:$B$13,2,FALSE)&lt;0,0,(AB1350*0.98)-(D1350*0.8)+((AF1350-3)*3)+VLOOKUP(AM1350,Table!$A$11:$B$13,2,FALSE))</f>
        <v>94.037499999999994</v>
      </c>
      <c r="AH1350" s="22">
        <f t="shared" si="1219"/>
        <v>98</v>
      </c>
      <c r="AI1350" s="18">
        <f t="shared" si="1212"/>
        <v>3</v>
      </c>
      <c r="AJ1350" s="18">
        <f t="shared" si="1213"/>
        <v>3.34</v>
      </c>
      <c r="AK1350" t="str">
        <f t="shared" si="1234"/>
        <v>Falling Rates</v>
      </c>
      <c r="AL1350">
        <f t="shared" si="1209"/>
        <v>30.5</v>
      </c>
      <c r="AM1350" s="11" t="str">
        <f t="shared" si="1235"/>
        <v>Stocks</v>
      </c>
      <c r="AN1350" t="str">
        <f t="shared" si="1240"/>
        <v>Buy</v>
      </c>
      <c r="AO1350" s="13">
        <f t="shared" si="1241"/>
        <v>5.7999999999999996E-3</v>
      </c>
      <c r="AP1350" s="13">
        <f t="shared" si="1242"/>
        <v>5.9999999999999995E-4</v>
      </c>
      <c r="AQ1350" s="13">
        <f t="shared" si="1243"/>
        <v>5.7000000000000002E-3</v>
      </c>
      <c r="AR1350" s="13">
        <f t="shared" si="1244"/>
        <v>5.7999999999999996E-3</v>
      </c>
      <c r="AS1350" s="6">
        <f t="shared" si="1228"/>
        <v>102.51903863427403</v>
      </c>
      <c r="AT1350" s="6">
        <f t="shared" si="1229"/>
        <v>101.82587774105092</v>
      </c>
      <c r="AU1350" s="6">
        <f t="shared" si="1230"/>
        <v>102.30195321609803</v>
      </c>
      <c r="AV1350" s="6">
        <f t="shared" si="1231"/>
        <v>102.51903863427403</v>
      </c>
      <c r="AW1350" s="58">
        <f t="shared" si="1236"/>
        <v>1992</v>
      </c>
      <c r="AX1350" s="58">
        <f>COUNTIF(AW$3:AW1350,AW1350)</f>
        <v>11</v>
      </c>
    </row>
    <row r="1351" spans="1:50" x14ac:dyDescent="0.25">
      <c r="A1351" s="5">
        <v>33888</v>
      </c>
      <c r="B1351">
        <v>402.66</v>
      </c>
      <c r="C1351">
        <v>2.76</v>
      </c>
      <c r="D1351" s="6">
        <v>17.790001</v>
      </c>
      <c r="E1351" s="18">
        <f t="shared" si="1214"/>
        <v>15.44</v>
      </c>
      <c r="F1351">
        <f t="shared" si="1215"/>
        <v>1</v>
      </c>
      <c r="G1351" s="18">
        <f>ROUND(INDEX(Valuation!U:U,MATCH(A1351,Valuation!A:A,0)),2)</f>
        <v>229.4</v>
      </c>
      <c r="H1351">
        <f t="shared" si="1222"/>
        <v>3</v>
      </c>
      <c r="I1351" s="18">
        <f>INDEX(WeeklyIndicators!Y:Y,MATCH(A1351,WeeklyIndicators!A:A,0))</f>
        <v>113.94</v>
      </c>
      <c r="J1351">
        <f t="shared" si="1211"/>
        <v>-1</v>
      </c>
      <c r="K1351">
        <f>ROUND(INDEX(Economic!AF:AF,MATCH(EOMONTH($A1351,-1),Economic!A:A,0)),2)</f>
        <v>116.11</v>
      </c>
      <c r="L1351" s="11">
        <f t="shared" si="1220"/>
        <v>1</v>
      </c>
      <c r="M1351">
        <f>ROUND(INDEX(Manufacturing!P:P,MATCH(EOMONTH($A1351,-1),Manufacturing!A:A,0)),2)</f>
        <v>116.92</v>
      </c>
      <c r="N1351">
        <f t="shared" si="1216"/>
        <v>3</v>
      </c>
      <c r="O1351">
        <f>ROUND(INDEX(Housing!AC:AC,MATCH(EOMONTH($A1351,-1),Housing!B:B,0)),2)</f>
        <v>69.430000000000007</v>
      </c>
      <c r="P1351">
        <f t="shared" si="1217"/>
        <v>-2</v>
      </c>
      <c r="Q1351">
        <f>ROUND(INDEX(Spending!AJ:AJ,MATCH(EOMONTH($A1351,-1),Spending!B:B,0)),2)</f>
        <v>62.14</v>
      </c>
      <c r="R1351">
        <f t="shared" si="1221"/>
        <v>2</v>
      </c>
      <c r="S1351">
        <f>ROUND(INDEX(Employment!V:V,MATCH(EOMONTH($A1351,-1),Employment!A:A,0)),2)</f>
        <v>143.88</v>
      </c>
      <c r="T1351" s="11">
        <f t="shared" si="1218"/>
        <v>-1</v>
      </c>
      <c r="U1351">
        <f t="shared" si="1210"/>
        <v>26</v>
      </c>
      <c r="V1351">
        <f t="shared" si="1237"/>
        <v>72.45</v>
      </c>
      <c r="W1351" s="13">
        <f t="shared" si="1238"/>
        <v>-1.24E-2</v>
      </c>
      <c r="X1351" s="13">
        <f t="shared" si="1239"/>
        <v>-2.1399999999999999E-2</v>
      </c>
      <c r="Y1351">
        <f t="shared" si="1232"/>
        <v>86.94</v>
      </c>
      <c r="Z1351" s="13">
        <f t="shared" si="1227"/>
        <v>-1.35E-2</v>
      </c>
      <c r="AA1351" s="13">
        <f t="shared" si="1223"/>
        <v>-1.6900000000000002E-2</v>
      </c>
      <c r="AB1351" s="6">
        <f t="shared" si="1233"/>
        <v>103.45</v>
      </c>
      <c r="AC1351">
        <f t="shared" si="1225"/>
        <v>52</v>
      </c>
      <c r="AD1351" s="11">
        <f t="shared" si="1226"/>
        <v>2</v>
      </c>
      <c r="AE1351">
        <f t="shared" si="1224"/>
        <v>30</v>
      </c>
      <c r="AF1351">
        <f>IF(AND(AE1351&lt;15,OR(AC1351&gt;=30,AA1351&gt;0.15,X1351&gt;=0.15)),2,VLOOKUP(AE1351,Table!P:Q,2,FALSE))</f>
        <v>4</v>
      </c>
      <c r="AG1351" s="22">
        <f>IF((AB1351*0.98)-(D1351*0.8)+((AF1351-3)*3)+VLOOKUP(AM1351,Table!$A$11:$B$13,2,FALSE)&lt;0,0,(AB1351*0.98)-(D1351*0.8)+((AF1351-3)*3)+VLOOKUP(AM1351,Table!$A$11:$B$13,2,FALSE))</f>
        <v>98.148999199999992</v>
      </c>
      <c r="AH1351" s="22">
        <f t="shared" si="1219"/>
        <v>100</v>
      </c>
      <c r="AI1351" s="18">
        <f t="shared" si="1212"/>
        <v>3.02</v>
      </c>
      <c r="AJ1351" s="18">
        <f t="shared" si="1213"/>
        <v>3.36</v>
      </c>
      <c r="AK1351" t="str">
        <f t="shared" si="1234"/>
        <v>Falling Rates</v>
      </c>
      <c r="AL1351">
        <f t="shared" si="1209"/>
        <v>31.25</v>
      </c>
      <c r="AM1351" s="11" t="str">
        <f t="shared" si="1235"/>
        <v>Stocks</v>
      </c>
      <c r="AN1351" t="str">
        <f t="shared" si="1240"/>
        <v>Buy</v>
      </c>
      <c r="AO1351" s="13">
        <f t="shared" si="1241"/>
        <v>2.2499999999999999E-2</v>
      </c>
      <c r="AP1351" s="13">
        <f t="shared" si="1242"/>
        <v>5.0000000000000001E-4</v>
      </c>
      <c r="AQ1351" s="13">
        <f t="shared" si="1243"/>
        <v>2.2499999999999999E-2</v>
      </c>
      <c r="AR1351" s="13">
        <f t="shared" si="1244"/>
        <v>2.2499999999999999E-2</v>
      </c>
      <c r="AS1351" s="6">
        <f t="shared" si="1228"/>
        <v>100.26311846872765</v>
      </c>
      <c r="AT1351" s="6">
        <f t="shared" si="1229"/>
        <v>101.77499024592795</v>
      </c>
      <c r="AU1351" s="6">
        <f t="shared" si="1230"/>
        <v>100.05080999129392</v>
      </c>
      <c r="AV1351" s="6">
        <f t="shared" si="1231"/>
        <v>100.26311846872765</v>
      </c>
      <c r="AW1351" s="58">
        <f t="shared" si="1236"/>
        <v>1992</v>
      </c>
      <c r="AX1351" s="58">
        <f>COUNTIF(AW$3:AW1351,AW1351)</f>
        <v>12</v>
      </c>
    </row>
    <row r="1352" spans="1:50" x14ac:dyDescent="0.25">
      <c r="A1352" s="5">
        <v>33881</v>
      </c>
      <c r="B1352">
        <v>410.47</v>
      </c>
      <c r="C1352">
        <v>2.69</v>
      </c>
      <c r="D1352" s="6">
        <v>14.8</v>
      </c>
      <c r="E1352" s="18">
        <f t="shared" si="1214"/>
        <v>13.67</v>
      </c>
      <c r="F1352">
        <f t="shared" si="1215"/>
        <v>2</v>
      </c>
      <c r="G1352" s="18">
        <f>ROUND(INDEX(Valuation!U:U,MATCH(A1352,Valuation!A:A,0)),2)</f>
        <v>228.51</v>
      </c>
      <c r="H1352">
        <f t="shared" si="1222"/>
        <v>3</v>
      </c>
      <c r="I1352" s="18">
        <f>INDEX(WeeklyIndicators!Y:Y,MATCH(A1352,WeeklyIndicators!A:A,0))</f>
        <v>116.56</v>
      </c>
      <c r="J1352">
        <f t="shared" si="1211"/>
        <v>-1</v>
      </c>
      <c r="K1352">
        <f>ROUND(INDEX(Economic!AF:AF,MATCH(EOMONTH($A1352,-1),Economic!A:A,0)),2)</f>
        <v>116.11</v>
      </c>
      <c r="L1352" s="11">
        <f t="shared" si="1220"/>
        <v>1</v>
      </c>
      <c r="M1352">
        <f>ROUND(INDEX(Manufacturing!P:P,MATCH(EOMONTH($A1352,-1),Manufacturing!A:A,0)),2)</f>
        <v>116.92</v>
      </c>
      <c r="N1352">
        <f t="shared" si="1216"/>
        <v>3</v>
      </c>
      <c r="O1352">
        <f>ROUND(INDEX(Housing!AC:AC,MATCH(EOMONTH($A1352,-1),Housing!B:B,0)),2)</f>
        <v>69.430000000000007</v>
      </c>
      <c r="P1352">
        <f t="shared" si="1217"/>
        <v>-2</v>
      </c>
      <c r="Q1352">
        <f>ROUND(INDEX(Spending!AJ:AJ,MATCH(EOMONTH($A1352,-1),Spending!B:B,0)),2)</f>
        <v>62.14</v>
      </c>
      <c r="R1352">
        <f t="shared" si="1221"/>
        <v>2</v>
      </c>
      <c r="S1352">
        <f>ROUND(INDEX(Employment!V:V,MATCH(EOMONTH($A1352,-1),Employment!A:A,0)),2)</f>
        <v>143.88</v>
      </c>
      <c r="T1352" s="11">
        <f t="shared" si="1218"/>
        <v>-1</v>
      </c>
      <c r="U1352">
        <f t="shared" si="1210"/>
        <v>27</v>
      </c>
      <c r="V1352">
        <f t="shared" si="1237"/>
        <v>72.72</v>
      </c>
      <c r="W1352" s="13">
        <f t="shared" si="1238"/>
        <v>-1.06E-2</v>
      </c>
      <c r="X1352" s="13">
        <f t="shared" si="1239"/>
        <v>-8.6E-3</v>
      </c>
      <c r="Y1352">
        <f t="shared" si="1232"/>
        <v>87.73</v>
      </c>
      <c r="Z1352" s="13">
        <f t="shared" si="1227"/>
        <v>-8.9999999999999993E-3</v>
      </c>
      <c r="AA1352" s="13">
        <f t="shared" si="1223"/>
        <v>-2.3999999999999994E-3</v>
      </c>
      <c r="AB1352" s="6">
        <f t="shared" si="1233"/>
        <v>105.261</v>
      </c>
      <c r="AC1352">
        <f t="shared" si="1225"/>
        <v>53</v>
      </c>
      <c r="AD1352" s="11">
        <f t="shared" si="1226"/>
        <v>2</v>
      </c>
      <c r="AE1352">
        <f t="shared" si="1224"/>
        <v>31</v>
      </c>
      <c r="AF1352">
        <f>IF(AND(AE1352&lt;15,OR(AC1352&gt;=30,AA1352&gt;0.15,X1352&gt;=0.15)),2,VLOOKUP(AE1352,Table!P:Q,2,FALSE))</f>
        <v>4</v>
      </c>
      <c r="AG1352" s="22">
        <f>IF((AB1352*0.98)-(D1352*0.8)+((AF1352-3)*3)+VLOOKUP(AM1352,Table!$A$11:$B$13,2,FALSE)&lt;0,0,(AB1352*0.98)-(D1352*0.8)+((AF1352-3)*3)+VLOOKUP(AM1352,Table!$A$11:$B$13,2,FALSE))</f>
        <v>102.31577999999999</v>
      </c>
      <c r="AH1352" s="22">
        <f t="shared" si="1219"/>
        <v>100</v>
      </c>
      <c r="AI1352" s="18">
        <f t="shared" si="1212"/>
        <v>3.06</v>
      </c>
      <c r="AJ1352" s="18">
        <f t="shared" si="1213"/>
        <v>3.38</v>
      </c>
      <c r="AK1352" t="str">
        <f t="shared" si="1234"/>
        <v>Falling Rates</v>
      </c>
      <c r="AL1352">
        <f t="shared" si="1209"/>
        <v>31.75</v>
      </c>
      <c r="AM1352" s="11" t="str">
        <f t="shared" si="1235"/>
        <v>Stocks</v>
      </c>
      <c r="AN1352" t="str">
        <f t="shared" si="1240"/>
        <v>Buy</v>
      </c>
      <c r="AO1352" s="13">
        <f t="shared" si="1241"/>
        <v>-1.9E-2</v>
      </c>
      <c r="AP1352" s="13">
        <f t="shared" si="1242"/>
        <v>5.0000000000000001E-4</v>
      </c>
      <c r="AQ1352" s="13">
        <f t="shared" si="1243"/>
        <v>-1.9E-2</v>
      </c>
      <c r="AR1352" s="13">
        <f t="shared" si="1244"/>
        <v>-1.9E-2</v>
      </c>
      <c r="AS1352" s="6">
        <f t="shared" si="1228"/>
        <v>102.20501372958987</v>
      </c>
      <c r="AT1352" s="6">
        <f t="shared" si="1229"/>
        <v>101.72412818183705</v>
      </c>
      <c r="AU1352" s="6">
        <f t="shared" si="1230"/>
        <v>101.98859326329655</v>
      </c>
      <c r="AV1352" s="6">
        <f t="shared" si="1231"/>
        <v>102.20501372958987</v>
      </c>
      <c r="AW1352" s="58">
        <f t="shared" si="1236"/>
        <v>1992</v>
      </c>
      <c r="AX1352" s="58">
        <f>COUNTIF(AW$3:AW1352,AW1352)</f>
        <v>13</v>
      </c>
    </row>
    <row r="1353" spans="1:50" x14ac:dyDescent="0.25">
      <c r="A1353" s="5">
        <v>33874</v>
      </c>
      <c r="B1353">
        <v>414.35</v>
      </c>
      <c r="C1353">
        <v>2.89</v>
      </c>
      <c r="D1353" s="6">
        <v>13.74</v>
      </c>
      <c r="E1353" s="18">
        <f t="shared" si="1214"/>
        <v>13.06</v>
      </c>
      <c r="F1353">
        <f t="shared" si="1215"/>
        <v>2</v>
      </c>
      <c r="G1353" s="18">
        <f>ROUND(INDEX(Valuation!U:U,MATCH(A1353,Valuation!A:A,0)),2)</f>
        <v>229.14</v>
      </c>
      <c r="H1353">
        <f t="shared" si="1222"/>
        <v>3</v>
      </c>
      <c r="I1353" s="18">
        <f>INDEX(WeeklyIndicators!Y:Y,MATCH(A1353,WeeklyIndicators!A:A,0))</f>
        <v>118.74</v>
      </c>
      <c r="J1353">
        <f t="shared" si="1211"/>
        <v>-1</v>
      </c>
      <c r="K1353">
        <f>ROUND(INDEX(Economic!AF:AF,MATCH(EOMONTH($A1353,-1),Economic!A:A,0)),2)</f>
        <v>125.62</v>
      </c>
      <c r="L1353" s="11">
        <f t="shared" si="1220"/>
        <v>2</v>
      </c>
      <c r="M1353">
        <f>ROUND(INDEX(Manufacturing!P:P,MATCH(EOMONTH($A1353,-1),Manufacturing!A:A,0)),2)</f>
        <v>124.17</v>
      </c>
      <c r="N1353">
        <f t="shared" si="1216"/>
        <v>3</v>
      </c>
      <c r="O1353">
        <f>ROUND(INDEX(Housing!AC:AC,MATCH(EOMONTH($A1353,-1),Housing!B:B,0)),2)</f>
        <v>69.78</v>
      </c>
      <c r="P1353">
        <f t="shared" si="1217"/>
        <v>-2</v>
      </c>
      <c r="Q1353">
        <f>ROUND(INDEX(Spending!AJ:AJ,MATCH(EOMONTH($A1353,-1),Spending!B:B,0)),2)</f>
        <v>60.49</v>
      </c>
      <c r="R1353">
        <f t="shared" si="1221"/>
        <v>2</v>
      </c>
      <c r="S1353">
        <f>ROUND(INDEX(Employment!V:V,MATCH(EOMONTH($A1353,-1),Employment!A:A,0)),2)</f>
        <v>143.36000000000001</v>
      </c>
      <c r="T1353" s="11">
        <f t="shared" si="1218"/>
        <v>-1</v>
      </c>
      <c r="U1353">
        <f t="shared" si="1210"/>
        <v>28</v>
      </c>
      <c r="V1353">
        <f t="shared" si="1237"/>
        <v>75.14</v>
      </c>
      <c r="W1353" s="13">
        <f t="shared" si="1238"/>
        <v>1.1000000000000001E-3</v>
      </c>
      <c r="X1353" s="13">
        <f t="shared" si="1239"/>
        <v>1.1000000000000001E-3</v>
      </c>
      <c r="Y1353">
        <f t="shared" si="1232"/>
        <v>90.43</v>
      </c>
      <c r="Z1353" s="13">
        <f t="shared" si="1227"/>
        <v>2.5999999999999999E-3</v>
      </c>
      <c r="AA1353" s="13">
        <f t="shared" si="1223"/>
        <v>5.1000000000000004E-3</v>
      </c>
      <c r="AB1353" s="6">
        <f t="shared" si="1233"/>
        <v>108.70400000000001</v>
      </c>
      <c r="AC1353">
        <f t="shared" si="1225"/>
        <v>54</v>
      </c>
      <c r="AD1353" s="11">
        <f t="shared" si="1226"/>
        <v>2</v>
      </c>
      <c r="AE1353">
        <f t="shared" si="1224"/>
        <v>32</v>
      </c>
      <c r="AF1353">
        <f>IF(AND(AE1353&lt;15,OR(AC1353&gt;=30,AA1353&gt;0.15,X1353&gt;=0.15)),2,VLOOKUP(AE1353,Table!P:Q,2,FALSE))</f>
        <v>5</v>
      </c>
      <c r="AG1353" s="22">
        <f>IF((AB1353*0.98)-(D1353*0.8)+((AF1353-3)*3)+VLOOKUP(AM1353,Table!$A$11:$B$13,2,FALSE)&lt;0,0,(AB1353*0.98)-(D1353*0.8)+((AF1353-3)*3)+VLOOKUP(AM1353,Table!$A$11:$B$13,2,FALSE))</f>
        <v>109.53792</v>
      </c>
      <c r="AH1353" s="22">
        <f t="shared" si="1219"/>
        <v>100</v>
      </c>
      <c r="AI1353" s="18">
        <f t="shared" si="1212"/>
        <v>3.12</v>
      </c>
      <c r="AJ1353" s="18">
        <f t="shared" si="1213"/>
        <v>3.41</v>
      </c>
      <c r="AK1353" t="str">
        <f t="shared" si="1234"/>
        <v>Falling Rates</v>
      </c>
      <c r="AL1353">
        <f t="shared" ref="AL1353:AL1378" si="1245">ROUND(AVERAGE(AE1353:AE1356),2)</f>
        <v>31.75</v>
      </c>
      <c r="AM1353" s="11" t="str">
        <f t="shared" si="1235"/>
        <v>Stocks</v>
      </c>
      <c r="AN1353" t="str">
        <f t="shared" si="1240"/>
        <v>Buy</v>
      </c>
      <c r="AO1353" s="13">
        <f t="shared" si="1241"/>
        <v>-9.4000000000000004E-3</v>
      </c>
      <c r="AP1353" s="13">
        <f t="shared" si="1242"/>
        <v>5.9999999999999995E-4</v>
      </c>
      <c r="AQ1353" s="13">
        <f t="shared" si="1243"/>
        <v>-9.4000000000000004E-3</v>
      </c>
      <c r="AR1353" s="13">
        <f t="shared" si="1244"/>
        <v>-9.4000000000000004E-3</v>
      </c>
      <c r="AS1353" s="6">
        <f t="shared" si="1228"/>
        <v>103.17485738904691</v>
      </c>
      <c r="AT1353" s="6">
        <f t="shared" si="1229"/>
        <v>101.66313030365485</v>
      </c>
      <c r="AU1353" s="6">
        <f t="shared" si="1230"/>
        <v>102.95638326599692</v>
      </c>
      <c r="AV1353" s="6">
        <f t="shared" si="1231"/>
        <v>103.17485738904691</v>
      </c>
      <c r="AW1353" s="58">
        <f t="shared" si="1236"/>
        <v>1992</v>
      </c>
      <c r="AX1353" s="58">
        <f>COUNTIF(AW$3:AW1353,AW1353)</f>
        <v>14</v>
      </c>
    </row>
    <row r="1354" spans="1:50" x14ac:dyDescent="0.25">
      <c r="A1354" s="5">
        <v>33867</v>
      </c>
      <c r="B1354">
        <v>422.93</v>
      </c>
      <c r="C1354">
        <v>2.89</v>
      </c>
      <c r="D1354" s="6">
        <v>12.47</v>
      </c>
      <c r="E1354" s="18">
        <f t="shared" si="1214"/>
        <v>12.86</v>
      </c>
      <c r="F1354">
        <f t="shared" si="1215"/>
        <v>2</v>
      </c>
      <c r="G1354" s="18">
        <f>ROUND(INDEX(Valuation!U:U,MATCH(A1354,Valuation!A:A,0)),2)</f>
        <v>229.21</v>
      </c>
      <c r="H1354">
        <f t="shared" si="1222"/>
        <v>3</v>
      </c>
      <c r="I1354" s="18">
        <f>INDEX(WeeklyIndicators!Y:Y,MATCH(A1354,WeeklyIndicators!A:A,0))</f>
        <v>119.42</v>
      </c>
      <c r="J1354">
        <f t="shared" si="1211"/>
        <v>-1</v>
      </c>
      <c r="K1354">
        <f>ROUND(INDEX(Economic!AF:AF,MATCH(EOMONTH($A1354,-1),Economic!A:A,0)),2)</f>
        <v>125.62</v>
      </c>
      <c r="L1354" s="11">
        <f t="shared" si="1220"/>
        <v>2</v>
      </c>
      <c r="M1354">
        <f>ROUND(INDEX(Manufacturing!P:P,MATCH(EOMONTH($A1354,-1),Manufacturing!A:A,0)),2)</f>
        <v>124.17</v>
      </c>
      <c r="N1354">
        <f t="shared" si="1216"/>
        <v>3</v>
      </c>
      <c r="O1354">
        <f>ROUND(INDEX(Housing!AC:AC,MATCH(EOMONTH($A1354,-1),Housing!B:B,0)),2)</f>
        <v>69.78</v>
      </c>
      <c r="P1354">
        <f t="shared" si="1217"/>
        <v>-2</v>
      </c>
      <c r="Q1354">
        <f>ROUND(INDEX(Spending!AJ:AJ,MATCH(EOMONTH($A1354,-1),Spending!B:B,0)),2)</f>
        <v>60.49</v>
      </c>
      <c r="R1354">
        <f t="shared" si="1221"/>
        <v>2</v>
      </c>
      <c r="S1354">
        <f>ROUND(INDEX(Employment!V:V,MATCH(EOMONTH($A1354,-1),Employment!A:A,0)),2)</f>
        <v>143.36000000000001</v>
      </c>
      <c r="T1354" s="11">
        <f t="shared" si="1218"/>
        <v>-1</v>
      </c>
      <c r="U1354">
        <f t="shared" ref="U1354:U1378" si="1246">F1354+H1354+J1354+L1354+N1354+P1354+R1354+T1354+20</f>
        <v>28</v>
      </c>
      <c r="V1354">
        <f t="shared" si="1237"/>
        <v>75.209999999999994</v>
      </c>
      <c r="W1354" s="13">
        <f t="shared" si="1238"/>
        <v>5.0000000000000001E-4</v>
      </c>
      <c r="X1354" s="13">
        <f t="shared" si="1239"/>
        <v>-6.9999999999999999E-4</v>
      </c>
      <c r="Y1354">
        <f t="shared" si="1232"/>
        <v>90.58</v>
      </c>
      <c r="Z1354" s="13">
        <f t="shared" si="1227"/>
        <v>3.0000000000000001E-3</v>
      </c>
      <c r="AA1354" s="13">
        <f t="shared" si="1223"/>
        <v>-9.9999999999999829E-5</v>
      </c>
      <c r="AB1354" s="6">
        <f t="shared" si="1233"/>
        <v>108.491</v>
      </c>
      <c r="AC1354">
        <f t="shared" si="1225"/>
        <v>54</v>
      </c>
      <c r="AD1354" s="11">
        <f t="shared" si="1226"/>
        <v>2</v>
      </c>
      <c r="AE1354">
        <f t="shared" si="1224"/>
        <v>32</v>
      </c>
      <c r="AF1354">
        <f>IF(AND(AE1354&lt;15,OR(AC1354&gt;=30,AA1354&gt;0.15,X1354&gt;=0.15)),2,VLOOKUP(AE1354,Table!P:Q,2,FALSE))</f>
        <v>5</v>
      </c>
      <c r="AG1354" s="22">
        <f>IF((AB1354*0.98)-(D1354*0.8)+((AF1354-3)*3)+VLOOKUP(AM1354,Table!$A$11:$B$13,2,FALSE)&lt;0,0,(AB1354*0.98)-(D1354*0.8)+((AF1354-3)*3)+VLOOKUP(AM1354,Table!$A$11:$B$13,2,FALSE))</f>
        <v>110.34518</v>
      </c>
      <c r="AH1354" s="22">
        <f t="shared" si="1219"/>
        <v>100</v>
      </c>
      <c r="AI1354" s="18">
        <f t="shared" si="1212"/>
        <v>3.18</v>
      </c>
      <c r="AJ1354" s="18">
        <f t="shared" si="1213"/>
        <v>3.43</v>
      </c>
      <c r="AK1354" t="str">
        <f t="shared" si="1234"/>
        <v>Falling Rates</v>
      </c>
      <c r="AL1354">
        <f t="shared" si="1245"/>
        <v>31.25</v>
      </c>
      <c r="AM1354" s="11" t="str">
        <f t="shared" si="1235"/>
        <v>Stocks</v>
      </c>
      <c r="AN1354" t="str">
        <f t="shared" si="1240"/>
        <v>Buy</v>
      </c>
      <c r="AO1354" s="13">
        <f t="shared" si="1241"/>
        <v>-2.0299999999999999E-2</v>
      </c>
      <c r="AP1354" s="13">
        <f t="shared" si="1242"/>
        <v>5.9999999999999995E-4</v>
      </c>
      <c r="AQ1354" s="13">
        <f t="shared" si="1243"/>
        <v>-2.0299999999999999E-2</v>
      </c>
      <c r="AR1354" s="13">
        <f t="shared" si="1244"/>
        <v>-2.0299999999999999E-2</v>
      </c>
      <c r="AS1354" s="6">
        <f t="shared" si="1228"/>
        <v>105.31270530677442</v>
      </c>
      <c r="AT1354" s="6">
        <f t="shared" si="1229"/>
        <v>101.6021690022535</v>
      </c>
      <c r="AU1354" s="6">
        <f t="shared" si="1230"/>
        <v>105.0897042625262</v>
      </c>
      <c r="AV1354" s="6">
        <f t="shared" si="1231"/>
        <v>105.31270530677442</v>
      </c>
      <c r="AW1354" s="58">
        <f t="shared" si="1236"/>
        <v>1992</v>
      </c>
      <c r="AX1354" s="58">
        <f>COUNTIF(AW$3:AW1354,AW1354)</f>
        <v>15</v>
      </c>
    </row>
    <row r="1355" spans="1:50" x14ac:dyDescent="0.25">
      <c r="A1355" s="5">
        <v>33860</v>
      </c>
      <c r="B1355">
        <v>419.58</v>
      </c>
      <c r="C1355">
        <v>2.91</v>
      </c>
      <c r="D1355" s="6">
        <v>12.98</v>
      </c>
      <c r="E1355" s="18">
        <f t="shared" si="1214"/>
        <v>13.71</v>
      </c>
      <c r="F1355">
        <f t="shared" si="1215"/>
        <v>2</v>
      </c>
      <c r="G1355" s="18">
        <f>ROUND(INDEX(Valuation!U:U,MATCH(A1355,Valuation!A:A,0)),2)</f>
        <v>228.94</v>
      </c>
      <c r="H1355">
        <f t="shared" si="1222"/>
        <v>3</v>
      </c>
      <c r="I1355" s="18">
        <f>INDEX(WeeklyIndicators!Y:Y,MATCH(A1355,WeeklyIndicators!A:A,0))</f>
        <v>118.48</v>
      </c>
      <c r="J1355">
        <f t="shared" si="1211"/>
        <v>-1</v>
      </c>
      <c r="K1355">
        <f>ROUND(INDEX(Economic!AF:AF,MATCH(EOMONTH($A1355,-1),Economic!A:A,0)),2)</f>
        <v>125.62</v>
      </c>
      <c r="L1355" s="11">
        <f t="shared" si="1220"/>
        <v>2</v>
      </c>
      <c r="M1355">
        <f>ROUND(INDEX(Manufacturing!P:P,MATCH(EOMONTH($A1355,-1),Manufacturing!A:A,0)),2)</f>
        <v>124.17</v>
      </c>
      <c r="N1355">
        <f t="shared" si="1216"/>
        <v>3</v>
      </c>
      <c r="O1355">
        <f>ROUND(INDEX(Housing!AC:AC,MATCH(EOMONTH($A1355,-1),Housing!B:B,0)),2)</f>
        <v>69.78</v>
      </c>
      <c r="P1355">
        <f t="shared" si="1217"/>
        <v>-2</v>
      </c>
      <c r="Q1355">
        <f>ROUND(INDEX(Spending!AJ:AJ,MATCH(EOMONTH($A1355,-1),Spending!B:B,0)),2)</f>
        <v>60.49</v>
      </c>
      <c r="R1355">
        <f t="shared" si="1221"/>
        <v>2</v>
      </c>
      <c r="S1355">
        <f>ROUND(INDEX(Employment!V:V,MATCH(EOMONTH($A1355,-1),Employment!A:A,0)),2)</f>
        <v>143.36000000000001</v>
      </c>
      <c r="T1355" s="11">
        <f t="shared" si="1218"/>
        <v>-1</v>
      </c>
      <c r="U1355">
        <f t="shared" si="1246"/>
        <v>28</v>
      </c>
      <c r="V1355">
        <f t="shared" si="1237"/>
        <v>75.12</v>
      </c>
      <c r="W1355" s="13">
        <f t="shared" si="1238"/>
        <v>4.0000000000000002E-4</v>
      </c>
      <c r="X1355" s="13">
        <f t="shared" si="1239"/>
        <v>-2.8000000000000004E-3</v>
      </c>
      <c r="Y1355">
        <f t="shared" si="1232"/>
        <v>90.16</v>
      </c>
      <c r="Z1355" s="13">
        <f t="shared" si="1227"/>
        <v>1E-3</v>
      </c>
      <c r="AA1355" s="13">
        <f t="shared" si="1223"/>
        <v>-4.7000000000000002E-3</v>
      </c>
      <c r="AB1355" s="6">
        <f t="shared" si="1233"/>
        <v>107.714</v>
      </c>
      <c r="AC1355">
        <f t="shared" si="1225"/>
        <v>54</v>
      </c>
      <c r="AD1355" s="11">
        <f t="shared" si="1226"/>
        <v>2</v>
      </c>
      <c r="AE1355">
        <f t="shared" si="1224"/>
        <v>32</v>
      </c>
      <c r="AF1355">
        <f>IF(AND(AE1355&lt;15,OR(AC1355&gt;=30,AA1355&gt;0.15,X1355&gt;=0.15)),2,VLOOKUP(AE1355,Table!P:Q,2,FALSE))</f>
        <v>5</v>
      </c>
      <c r="AG1355" s="22">
        <f>IF((AB1355*0.98)-(D1355*0.8)+((AF1355-3)*3)+VLOOKUP(AM1355,Table!$A$11:$B$13,2,FALSE)&lt;0,0,(AB1355*0.98)-(D1355*0.8)+((AF1355-3)*3)+VLOOKUP(AM1355,Table!$A$11:$B$13,2,FALSE))</f>
        <v>109.17572</v>
      </c>
      <c r="AH1355" s="22">
        <f t="shared" si="1219"/>
        <v>100</v>
      </c>
      <c r="AI1355" s="18">
        <f t="shared" si="1212"/>
        <v>3.23</v>
      </c>
      <c r="AJ1355" s="18">
        <f t="shared" si="1213"/>
        <v>3.45</v>
      </c>
      <c r="AK1355" t="str">
        <f t="shared" si="1234"/>
        <v>Falling Rates</v>
      </c>
      <c r="AL1355">
        <f t="shared" si="1245"/>
        <v>31</v>
      </c>
      <c r="AM1355" s="11" t="str">
        <f t="shared" si="1235"/>
        <v>Stocks</v>
      </c>
      <c r="AN1355" t="str">
        <f t="shared" si="1240"/>
        <v>Buy</v>
      </c>
      <c r="AO1355" s="13">
        <f t="shared" si="1241"/>
        <v>8.0000000000000002E-3</v>
      </c>
      <c r="AP1355" s="13">
        <f t="shared" si="1242"/>
        <v>5.9999999999999995E-4</v>
      </c>
      <c r="AQ1355" s="13">
        <f t="shared" si="1243"/>
        <v>8.0000000000000002E-3</v>
      </c>
      <c r="AR1355" s="13">
        <f t="shared" si="1244"/>
        <v>8.0000000000000002E-3</v>
      </c>
      <c r="AS1355" s="6">
        <f t="shared" si="1228"/>
        <v>104.47689018529208</v>
      </c>
      <c r="AT1355" s="6">
        <f t="shared" si="1229"/>
        <v>101.54124425570009</v>
      </c>
      <c r="AU1355" s="6">
        <f t="shared" si="1230"/>
        <v>104.25565899060139</v>
      </c>
      <c r="AV1355" s="6">
        <f t="shared" si="1231"/>
        <v>104.47689018529208</v>
      </c>
      <c r="AW1355" s="58">
        <f t="shared" si="1236"/>
        <v>1992</v>
      </c>
      <c r="AX1355" s="58">
        <f>COUNTIF(AW$3:AW1355,AW1355)</f>
        <v>16</v>
      </c>
    </row>
    <row r="1356" spans="1:50" x14ac:dyDescent="0.25">
      <c r="A1356" s="5">
        <v>33853</v>
      </c>
      <c r="B1356">
        <v>417.08</v>
      </c>
      <c r="C1356">
        <v>3.1</v>
      </c>
      <c r="D1356" s="6">
        <v>13.14</v>
      </c>
      <c r="E1356" s="18">
        <f t="shared" si="1214"/>
        <v>14.27</v>
      </c>
      <c r="F1356">
        <f t="shared" si="1215"/>
        <v>1</v>
      </c>
      <c r="G1356" s="18">
        <f>ROUND(INDEX(Valuation!U:U,MATCH(A1356,Valuation!A:A,0)),2)</f>
        <v>228.89</v>
      </c>
      <c r="H1356">
        <f t="shared" si="1222"/>
        <v>3</v>
      </c>
      <c r="I1356" s="18">
        <f>INDEX(WeeklyIndicators!Y:Y,MATCH(A1356,WeeklyIndicators!A:A,0))</f>
        <v>116.42</v>
      </c>
      <c r="J1356">
        <f t="shared" si="1211"/>
        <v>-1</v>
      </c>
      <c r="K1356">
        <f>ROUND(INDEX(Economic!AF:AF,MATCH(EOMONTH($A1356,-1),Economic!A:A,0)),2)</f>
        <v>125.62</v>
      </c>
      <c r="L1356" s="11">
        <f t="shared" si="1220"/>
        <v>2</v>
      </c>
      <c r="M1356">
        <f>ROUND(INDEX(Manufacturing!P:P,MATCH(EOMONTH($A1356,-1),Manufacturing!A:A,0)),2)</f>
        <v>124.17</v>
      </c>
      <c r="N1356">
        <f t="shared" si="1216"/>
        <v>3</v>
      </c>
      <c r="O1356">
        <f>ROUND(INDEX(Housing!AC:AC,MATCH(EOMONTH($A1356,-1),Housing!B:B,0)),2)</f>
        <v>69.78</v>
      </c>
      <c r="P1356">
        <f t="shared" si="1217"/>
        <v>-2</v>
      </c>
      <c r="Q1356">
        <f>ROUND(INDEX(Spending!AJ:AJ,MATCH(EOMONTH($A1356,-1),Spending!B:B,0)),2)</f>
        <v>60.49</v>
      </c>
      <c r="R1356">
        <f t="shared" si="1221"/>
        <v>2</v>
      </c>
      <c r="S1356">
        <f>ROUND(INDEX(Employment!V:V,MATCH(EOMONTH($A1356,-1),Employment!A:A,0)),2)</f>
        <v>143.36000000000001</v>
      </c>
      <c r="T1356" s="11">
        <f t="shared" si="1218"/>
        <v>-1</v>
      </c>
      <c r="U1356">
        <f t="shared" si="1246"/>
        <v>27</v>
      </c>
      <c r="V1356">
        <f t="shared" si="1237"/>
        <v>74.900000000000006</v>
      </c>
      <c r="W1356" s="13">
        <f t="shared" si="1238"/>
        <v>-8.9999999999999998E-4</v>
      </c>
      <c r="X1356" s="13">
        <f t="shared" si="1239"/>
        <v>1.9000000000000006E-3</v>
      </c>
      <c r="Y1356">
        <f t="shared" si="1232"/>
        <v>89.74</v>
      </c>
      <c r="Z1356" s="13">
        <f t="shared" si="1227"/>
        <v>-1.5E-3</v>
      </c>
      <c r="AA1356" s="13">
        <f t="shared" si="1223"/>
        <v>4.0000000000000105E-4</v>
      </c>
      <c r="AB1356" s="6">
        <f t="shared" si="1233"/>
        <v>107.669</v>
      </c>
      <c r="AC1356">
        <f t="shared" si="1225"/>
        <v>54</v>
      </c>
      <c r="AD1356" s="11">
        <f t="shared" si="1226"/>
        <v>2</v>
      </c>
      <c r="AE1356">
        <f t="shared" si="1224"/>
        <v>31</v>
      </c>
      <c r="AF1356">
        <f>IF(AND(AE1356&lt;15,OR(AC1356&gt;=30,AA1356&gt;0.15,X1356&gt;=0.15)),2,VLOOKUP(AE1356,Table!P:Q,2,FALSE))</f>
        <v>4</v>
      </c>
      <c r="AG1356" s="22">
        <f>IF((AB1356*0.98)-(D1356*0.8)+((AF1356-3)*3)+VLOOKUP(AM1356,Table!$A$11:$B$13,2,FALSE)&lt;0,0,(AB1356*0.98)-(D1356*0.8)+((AF1356-3)*3)+VLOOKUP(AM1356,Table!$A$11:$B$13,2,FALSE))</f>
        <v>106.00362</v>
      </c>
      <c r="AH1356" s="22">
        <f t="shared" si="1219"/>
        <v>100</v>
      </c>
      <c r="AI1356" s="18">
        <f t="shared" si="1212"/>
        <v>3.29</v>
      </c>
      <c r="AJ1356" s="18">
        <f t="shared" si="1213"/>
        <v>3.47</v>
      </c>
      <c r="AK1356" t="str">
        <f t="shared" si="1234"/>
        <v>Falling Rates</v>
      </c>
      <c r="AL1356">
        <f t="shared" si="1245"/>
        <v>30.75</v>
      </c>
      <c r="AM1356" s="11" t="str">
        <f t="shared" si="1235"/>
        <v>Stocks</v>
      </c>
      <c r="AN1356" t="str">
        <f t="shared" si="1240"/>
        <v>Buy</v>
      </c>
      <c r="AO1356" s="13">
        <f t="shared" si="1241"/>
        <v>6.0000000000000001E-3</v>
      </c>
      <c r="AP1356" s="13">
        <f t="shared" si="1242"/>
        <v>5.9999999999999995E-4</v>
      </c>
      <c r="AQ1356" s="13">
        <f t="shared" si="1243"/>
        <v>6.0000000000000001E-3</v>
      </c>
      <c r="AR1356" s="13">
        <f t="shared" si="1244"/>
        <v>6.0000000000000001E-3</v>
      </c>
      <c r="AS1356" s="6">
        <f t="shared" si="1228"/>
        <v>103.85376757981319</v>
      </c>
      <c r="AT1356" s="6">
        <f t="shared" si="1229"/>
        <v>101.48035604207486</v>
      </c>
      <c r="AU1356" s="6">
        <f t="shared" si="1230"/>
        <v>103.63385585546858</v>
      </c>
      <c r="AV1356" s="6">
        <f t="shared" si="1231"/>
        <v>103.85376757981319</v>
      </c>
      <c r="AW1356" s="58">
        <f t="shared" si="1236"/>
        <v>1992</v>
      </c>
      <c r="AX1356" s="58">
        <f>COUNTIF(AW$3:AW1356,AW1356)</f>
        <v>17</v>
      </c>
    </row>
    <row r="1357" spans="1:50" x14ac:dyDescent="0.25">
      <c r="A1357" s="5">
        <v>33846</v>
      </c>
      <c r="B1357">
        <v>414.84</v>
      </c>
      <c r="C1357">
        <v>3.16</v>
      </c>
      <c r="D1357" s="6">
        <v>15.01</v>
      </c>
      <c r="E1357" s="18">
        <f t="shared" si="1214"/>
        <v>14.54</v>
      </c>
      <c r="F1357">
        <f t="shared" si="1215"/>
        <v>1</v>
      </c>
      <c r="G1357" s="18">
        <f>ROUND(INDEX(Valuation!U:U,MATCH(A1357,Valuation!A:A,0)),2)</f>
        <v>228.39</v>
      </c>
      <c r="H1357">
        <f t="shared" si="1222"/>
        <v>3</v>
      </c>
      <c r="I1357" s="18">
        <f>INDEX(WeeklyIndicators!Y:Y,MATCH(A1357,WeeklyIndicators!A:A,0))</f>
        <v>114.89</v>
      </c>
      <c r="J1357">
        <f t="shared" si="1211"/>
        <v>-1</v>
      </c>
      <c r="K1357">
        <f>ROUND(INDEX(Economic!AF:AF,MATCH(EOMONTH($A1357,-1),Economic!A:A,0)),2)</f>
        <v>129.38999999999999</v>
      </c>
      <c r="L1357" s="11">
        <f t="shared" si="1220"/>
        <v>2</v>
      </c>
      <c r="M1357">
        <f>ROUND(INDEX(Manufacturing!P:P,MATCH(EOMONTH($A1357,-1),Manufacturing!A:A,0)),2)</f>
        <v>125.12</v>
      </c>
      <c r="N1357">
        <f t="shared" si="1216"/>
        <v>3</v>
      </c>
      <c r="O1357">
        <f>ROUND(INDEX(Housing!AC:AC,MATCH(EOMONTH($A1357,-1),Housing!B:B,0)),2)</f>
        <v>68.709999999999994</v>
      </c>
      <c r="P1357">
        <f t="shared" si="1217"/>
        <v>-2</v>
      </c>
      <c r="Q1357">
        <f>ROUND(INDEX(Spending!AJ:AJ,MATCH(EOMONTH($A1357,-1),Spending!B:B,0)),2)</f>
        <v>59.4</v>
      </c>
      <c r="R1357">
        <f t="shared" si="1221"/>
        <v>1</v>
      </c>
      <c r="S1357">
        <f>ROUND(INDEX(Employment!V:V,MATCH(EOMONTH($A1357,-1),Employment!A:A,0)),2)</f>
        <v>141.54</v>
      </c>
      <c r="T1357" s="11">
        <f t="shared" si="1218"/>
        <v>-1</v>
      </c>
      <c r="U1357">
        <f t="shared" si="1246"/>
        <v>26</v>
      </c>
      <c r="V1357">
        <f t="shared" si="1237"/>
        <v>75.09</v>
      </c>
      <c r="W1357" s="13">
        <f t="shared" si="1238"/>
        <v>-6.9999999999999999E-4</v>
      </c>
      <c r="X1357" s="13">
        <f t="shared" si="1239"/>
        <v>9.1999999999999998E-3</v>
      </c>
      <c r="Y1357">
        <f t="shared" si="1232"/>
        <v>89.78</v>
      </c>
      <c r="Z1357" s="13">
        <f t="shared" si="1227"/>
        <v>-2.5999999999999999E-3</v>
      </c>
      <c r="AA1357" s="13">
        <f t="shared" si="1223"/>
        <v>1.14E-2</v>
      </c>
      <c r="AB1357" s="6">
        <f t="shared" si="1233"/>
        <v>108.479</v>
      </c>
      <c r="AC1357">
        <f t="shared" si="1225"/>
        <v>54</v>
      </c>
      <c r="AD1357" s="11">
        <f t="shared" si="1226"/>
        <v>2</v>
      </c>
      <c r="AE1357">
        <f t="shared" si="1224"/>
        <v>30</v>
      </c>
      <c r="AF1357">
        <f>IF(AND(AE1357&lt;15,OR(AC1357&gt;=30,AA1357&gt;0.15,X1357&gt;=0.15)),2,VLOOKUP(AE1357,Table!P:Q,2,FALSE))</f>
        <v>4</v>
      </c>
      <c r="AG1357" s="22">
        <f>IF((AB1357*0.98)-(D1357*0.8)+((AF1357-3)*3)+VLOOKUP(AM1357,Table!$A$11:$B$13,2,FALSE)&lt;0,0,(AB1357*0.98)-(D1357*0.8)+((AF1357-3)*3)+VLOOKUP(AM1357,Table!$A$11:$B$13,2,FALSE))</f>
        <v>105.30142000000001</v>
      </c>
      <c r="AH1357" s="22">
        <f t="shared" si="1219"/>
        <v>100</v>
      </c>
      <c r="AI1357" s="18">
        <f t="shared" si="1212"/>
        <v>3.34</v>
      </c>
      <c r="AJ1357" s="18">
        <f t="shared" si="1213"/>
        <v>3.49</v>
      </c>
      <c r="AK1357" t="str">
        <f t="shared" si="1234"/>
        <v>Falling Rates</v>
      </c>
      <c r="AL1357">
        <f t="shared" si="1245"/>
        <v>30.75</v>
      </c>
      <c r="AM1357" s="11" t="str">
        <f t="shared" si="1235"/>
        <v>Stocks</v>
      </c>
      <c r="AN1357" t="str">
        <f t="shared" si="1240"/>
        <v>Buy</v>
      </c>
      <c r="AO1357" s="13">
        <f t="shared" si="1241"/>
        <v>5.4000000000000003E-3</v>
      </c>
      <c r="AP1357" s="13">
        <f t="shared" si="1242"/>
        <v>5.9999999999999995E-4</v>
      </c>
      <c r="AQ1357" s="13">
        <f t="shared" si="1243"/>
        <v>5.4000000000000003E-3</v>
      </c>
      <c r="AR1357" s="13">
        <f t="shared" si="1244"/>
        <v>5.4000000000000003E-3</v>
      </c>
      <c r="AS1357" s="6">
        <f t="shared" si="1228"/>
        <v>103.29596934534831</v>
      </c>
      <c r="AT1357" s="6">
        <f t="shared" si="1229"/>
        <v>101.41950433947119</v>
      </c>
      <c r="AU1357" s="6">
        <f t="shared" si="1230"/>
        <v>103.07723876613146</v>
      </c>
      <c r="AV1357" s="6">
        <f t="shared" si="1231"/>
        <v>103.29596934534831</v>
      </c>
      <c r="AW1357" s="58">
        <f t="shared" si="1236"/>
        <v>1992</v>
      </c>
      <c r="AX1357" s="58">
        <f>COUNTIF(AW$3:AW1357,AW1357)</f>
        <v>18</v>
      </c>
    </row>
    <row r="1358" spans="1:50" x14ac:dyDescent="0.25">
      <c r="A1358" s="5">
        <v>33839</v>
      </c>
      <c r="B1358">
        <v>414.85</v>
      </c>
      <c r="C1358">
        <v>3.07</v>
      </c>
      <c r="D1358" s="6">
        <v>14.66</v>
      </c>
      <c r="E1358" s="18">
        <f t="shared" si="1214"/>
        <v>13.92</v>
      </c>
      <c r="F1358">
        <f t="shared" si="1215"/>
        <v>2</v>
      </c>
      <c r="G1358" s="18">
        <f>ROUND(INDEX(Valuation!U:U,MATCH(A1358,Valuation!A:A,0)),2)</f>
        <v>228.11</v>
      </c>
      <c r="H1358">
        <f t="shared" si="1222"/>
        <v>3</v>
      </c>
      <c r="I1358" s="18">
        <f>INDEX(WeeklyIndicators!Y:Y,MATCH(A1358,WeeklyIndicators!A:A,0))</f>
        <v>114.22</v>
      </c>
      <c r="J1358">
        <f t="shared" si="1211"/>
        <v>-1</v>
      </c>
      <c r="K1358">
        <f>ROUND(INDEX(Economic!AF:AF,MATCH(EOMONTH($A1358,-1),Economic!A:A,0)),2)</f>
        <v>129.38999999999999</v>
      </c>
      <c r="L1358" s="11">
        <f t="shared" si="1220"/>
        <v>2</v>
      </c>
      <c r="M1358">
        <f>ROUND(INDEX(Manufacturing!P:P,MATCH(EOMONTH($A1358,-1),Manufacturing!A:A,0)),2)</f>
        <v>125.12</v>
      </c>
      <c r="N1358">
        <f t="shared" si="1216"/>
        <v>3</v>
      </c>
      <c r="O1358">
        <f>ROUND(INDEX(Housing!AC:AC,MATCH(EOMONTH($A1358,-1),Housing!B:B,0)),2)</f>
        <v>68.709999999999994</v>
      </c>
      <c r="P1358">
        <f t="shared" si="1217"/>
        <v>-2</v>
      </c>
      <c r="Q1358">
        <f>ROUND(INDEX(Spending!AJ:AJ,MATCH(EOMONTH($A1358,-1),Spending!B:B,0)),2)</f>
        <v>59.4</v>
      </c>
      <c r="R1358">
        <f t="shared" si="1221"/>
        <v>1</v>
      </c>
      <c r="S1358">
        <f>ROUND(INDEX(Employment!V:V,MATCH(EOMONTH($A1358,-1),Employment!A:A,0)),2)</f>
        <v>141.54</v>
      </c>
      <c r="T1358" s="11">
        <f t="shared" si="1218"/>
        <v>-1</v>
      </c>
      <c r="U1358">
        <f t="shared" si="1246"/>
        <v>27</v>
      </c>
      <c r="V1358">
        <f t="shared" si="1237"/>
        <v>75.02</v>
      </c>
      <c r="W1358" s="13">
        <f t="shared" si="1238"/>
        <v>-1.6000000000000001E-3</v>
      </c>
      <c r="X1358" s="13">
        <f t="shared" si="1239"/>
        <v>1.6800000000000002E-2</v>
      </c>
      <c r="Y1358">
        <f t="shared" si="1232"/>
        <v>89.89</v>
      </c>
      <c r="Z1358" s="13">
        <f t="shared" si="1227"/>
        <v>-1.6000000000000001E-3</v>
      </c>
      <c r="AA1358" s="13">
        <f t="shared" si="1223"/>
        <v>2.41E-2</v>
      </c>
      <c r="AB1358" s="6">
        <f t="shared" si="1233"/>
        <v>109.48100000000001</v>
      </c>
      <c r="AC1358">
        <f t="shared" si="1225"/>
        <v>55</v>
      </c>
      <c r="AD1358" s="11">
        <f t="shared" si="1226"/>
        <v>2</v>
      </c>
      <c r="AE1358">
        <f t="shared" si="1224"/>
        <v>31</v>
      </c>
      <c r="AF1358">
        <f>IF(AND(AE1358&lt;15,OR(AC1358&gt;=30,AA1358&gt;0.15,X1358&gt;=0.15)),2,VLOOKUP(AE1358,Table!P:Q,2,FALSE))</f>
        <v>4</v>
      </c>
      <c r="AG1358" s="22">
        <f>IF((AB1358*0.98)-(D1358*0.8)+((AF1358-3)*3)+VLOOKUP(AM1358,Table!$A$11:$B$13,2,FALSE)&lt;0,0,(AB1358*0.98)-(D1358*0.8)+((AF1358-3)*3)+VLOOKUP(AM1358,Table!$A$11:$B$13,2,FALSE))</f>
        <v>106.56338</v>
      </c>
      <c r="AH1358" s="22">
        <f t="shared" si="1219"/>
        <v>100</v>
      </c>
      <c r="AI1358" s="18">
        <f t="shared" si="1212"/>
        <v>3.38</v>
      </c>
      <c r="AJ1358" s="18">
        <f t="shared" si="1213"/>
        <v>3.5</v>
      </c>
      <c r="AK1358" t="str">
        <f t="shared" si="1234"/>
        <v>Falling Rates</v>
      </c>
      <c r="AL1358">
        <f t="shared" si="1245"/>
        <v>31</v>
      </c>
      <c r="AM1358" s="11" t="str">
        <f t="shared" si="1235"/>
        <v>Stocks</v>
      </c>
      <c r="AN1358" t="str">
        <f t="shared" si="1240"/>
        <v>Buy</v>
      </c>
      <c r="AO1358" s="13">
        <f t="shared" si="1241"/>
        <v>0</v>
      </c>
      <c r="AP1358" s="13">
        <f t="shared" si="1242"/>
        <v>5.9999999999999995E-4</v>
      </c>
      <c r="AQ1358" s="13">
        <f t="shared" si="1243"/>
        <v>0</v>
      </c>
      <c r="AR1358" s="13">
        <f t="shared" si="1244"/>
        <v>0</v>
      </c>
      <c r="AS1358" s="6">
        <f t="shared" si="1228"/>
        <v>103.29596934534831</v>
      </c>
      <c r="AT1358" s="6">
        <f t="shared" si="1229"/>
        <v>101.3586891259956</v>
      </c>
      <c r="AU1358" s="6">
        <f t="shared" si="1230"/>
        <v>103.07723876613146</v>
      </c>
      <c r="AV1358" s="6">
        <f t="shared" si="1231"/>
        <v>103.29596934534831</v>
      </c>
      <c r="AW1358" s="58">
        <f t="shared" si="1236"/>
        <v>1992</v>
      </c>
      <c r="AX1358" s="58">
        <f>COUNTIF(AW$3:AW1358,AW1358)</f>
        <v>19</v>
      </c>
    </row>
    <row r="1359" spans="1:50" x14ac:dyDescent="0.25">
      <c r="A1359" s="5">
        <v>33832</v>
      </c>
      <c r="B1359">
        <v>419.91</v>
      </c>
      <c r="C1359">
        <v>3.11</v>
      </c>
      <c r="D1359" s="6">
        <v>13.94</v>
      </c>
      <c r="E1359" s="18">
        <f t="shared" si="1214"/>
        <v>13.49</v>
      </c>
      <c r="F1359">
        <f t="shared" si="1215"/>
        <v>2</v>
      </c>
      <c r="G1359" s="18">
        <f>ROUND(INDEX(Valuation!U:U,MATCH(A1359,Valuation!A:A,0)),2)</f>
        <v>228.3</v>
      </c>
      <c r="H1359">
        <f t="shared" si="1222"/>
        <v>3</v>
      </c>
      <c r="I1359" s="18">
        <f>INDEX(WeeklyIndicators!Y:Y,MATCH(A1359,WeeklyIndicators!A:A,0))</f>
        <v>115.05</v>
      </c>
      <c r="J1359">
        <f t="shared" ref="J1359:J1378" si="1247">IF(I1359&gt;170,3,IF(AND(I1359&gt;152,I1359&lt;=170),2,IF(AND(I1359&gt;135,I1359&lt;=152),1,IF(I1359&lt;60,-3,IF(AND(I1359&lt;95,I1359&gt;=60),-2,IF(AND(I1359&lt;120,I1359&gt;=95),-1,0))))))</f>
        <v>-1</v>
      </c>
      <c r="K1359">
        <f>ROUND(INDEX(Economic!AF:AF,MATCH(EOMONTH($A1359,-1),Economic!A:A,0)),2)</f>
        <v>129.38999999999999</v>
      </c>
      <c r="L1359" s="11">
        <f t="shared" si="1220"/>
        <v>2</v>
      </c>
      <c r="M1359">
        <f>ROUND(INDEX(Manufacturing!P:P,MATCH(EOMONTH($A1359,-1),Manufacturing!A:A,0)),2)</f>
        <v>125.12</v>
      </c>
      <c r="N1359">
        <f t="shared" si="1216"/>
        <v>3</v>
      </c>
      <c r="O1359">
        <f>ROUND(INDEX(Housing!AC:AC,MATCH(EOMONTH($A1359,-1),Housing!B:B,0)),2)</f>
        <v>68.709999999999994</v>
      </c>
      <c r="P1359">
        <f t="shared" si="1217"/>
        <v>-2</v>
      </c>
      <c r="Q1359">
        <f>ROUND(INDEX(Spending!AJ:AJ,MATCH(EOMONTH($A1359,-1),Spending!B:B,0)),2)</f>
        <v>59.4</v>
      </c>
      <c r="R1359">
        <f t="shared" si="1221"/>
        <v>1</v>
      </c>
      <c r="S1359">
        <f>ROUND(INDEX(Employment!V:V,MATCH(EOMONTH($A1359,-1),Employment!A:A,0)),2)</f>
        <v>141.54</v>
      </c>
      <c r="T1359" s="11">
        <f t="shared" si="1218"/>
        <v>-1</v>
      </c>
      <c r="U1359">
        <f t="shared" si="1246"/>
        <v>27</v>
      </c>
      <c r="V1359">
        <f t="shared" si="1237"/>
        <v>75.099999999999994</v>
      </c>
      <c r="W1359" s="13">
        <f t="shared" si="1238"/>
        <v>5.1000000000000004E-3</v>
      </c>
      <c r="X1359" s="13">
        <f t="shared" si="1239"/>
        <v>1.8599999999999998E-2</v>
      </c>
      <c r="Y1359">
        <f t="shared" si="1232"/>
        <v>90.15</v>
      </c>
      <c r="Z1359" s="13">
        <f t="shared" si="1227"/>
        <v>6.1000000000000004E-3</v>
      </c>
      <c r="AA1359" s="13">
        <f t="shared" si="1223"/>
        <v>3.0100000000000002E-2</v>
      </c>
      <c r="AB1359" s="6">
        <f t="shared" si="1233"/>
        <v>110.19</v>
      </c>
      <c r="AC1359">
        <f t="shared" si="1225"/>
        <v>55</v>
      </c>
      <c r="AD1359" s="11">
        <f t="shared" si="1226"/>
        <v>2</v>
      </c>
      <c r="AE1359">
        <f t="shared" si="1224"/>
        <v>31</v>
      </c>
      <c r="AF1359">
        <f>IF(AND(AE1359&lt;15,OR(AC1359&gt;=30,AA1359&gt;0.15,X1359&gt;=0.15)),2,VLOOKUP(AE1359,Table!P:Q,2,FALSE))</f>
        <v>4</v>
      </c>
      <c r="AG1359" s="22">
        <f>IF((AB1359*0.98)-(D1359*0.8)+((AF1359-3)*3)+VLOOKUP(AM1359,Table!$A$11:$B$13,2,FALSE)&lt;0,0,(AB1359*0.98)-(D1359*0.8)+((AF1359-3)*3)+VLOOKUP(AM1359,Table!$A$11:$B$13,2,FALSE))</f>
        <v>107.8342</v>
      </c>
      <c r="AH1359" s="22">
        <f t="shared" si="1219"/>
        <v>100</v>
      </c>
      <c r="AI1359" s="18">
        <f t="shared" ref="AI1359:AI1378" si="1248">ROUND(AVERAGE(C1359:C1371),2)</f>
        <v>3.42</v>
      </c>
      <c r="AJ1359" s="18">
        <f t="shared" ref="AJ1359:AJ1378" si="1249">ROUND(AVERAGE(C1359:C1397),2)</f>
        <v>3.53</v>
      </c>
      <c r="AK1359" t="str">
        <f t="shared" si="1234"/>
        <v>Falling Rates</v>
      </c>
      <c r="AL1359">
        <f t="shared" si="1245"/>
        <v>31</v>
      </c>
      <c r="AM1359" s="11" t="str">
        <f t="shared" si="1235"/>
        <v>Stocks</v>
      </c>
      <c r="AN1359" t="str">
        <f t="shared" si="1240"/>
        <v>Buy</v>
      </c>
      <c r="AO1359" s="13">
        <f t="shared" si="1241"/>
        <v>-1.21E-2</v>
      </c>
      <c r="AP1359" s="13">
        <f t="shared" si="1242"/>
        <v>5.9999999999999995E-4</v>
      </c>
      <c r="AQ1359" s="13">
        <f t="shared" si="1243"/>
        <v>-1.21E-2</v>
      </c>
      <c r="AR1359" s="13">
        <f t="shared" si="1244"/>
        <v>-1.21E-2</v>
      </c>
      <c r="AS1359" s="6">
        <f t="shared" si="1228"/>
        <v>104.56115937377093</v>
      </c>
      <c r="AT1359" s="6">
        <f t="shared" si="1229"/>
        <v>101.29791037976774</v>
      </c>
      <c r="AU1359" s="6">
        <f t="shared" si="1230"/>
        <v>104.33974973796079</v>
      </c>
      <c r="AV1359" s="6">
        <f t="shared" si="1231"/>
        <v>104.56115937377093</v>
      </c>
      <c r="AW1359" s="58">
        <f t="shared" si="1236"/>
        <v>1992</v>
      </c>
      <c r="AX1359" s="58">
        <f>COUNTIF(AW$3:AW1359,AW1359)</f>
        <v>20</v>
      </c>
    </row>
    <row r="1360" spans="1:50" x14ac:dyDescent="0.25">
      <c r="A1360" s="5">
        <v>33825</v>
      </c>
      <c r="B1360">
        <v>418.88</v>
      </c>
      <c r="C1360">
        <v>3.16</v>
      </c>
      <c r="D1360" s="6">
        <v>13.17</v>
      </c>
      <c r="E1360" s="18">
        <f t="shared" si="1214"/>
        <v>13.05</v>
      </c>
      <c r="F1360">
        <f t="shared" si="1215"/>
        <v>2</v>
      </c>
      <c r="G1360" s="18">
        <f>ROUND(INDEX(Valuation!U:U,MATCH(A1360,Valuation!A:A,0)),2)</f>
        <v>228.66</v>
      </c>
      <c r="H1360">
        <f t="shared" si="1222"/>
        <v>3</v>
      </c>
      <c r="I1360" s="18">
        <f>INDEX(WeeklyIndicators!Y:Y,MATCH(A1360,WeeklyIndicators!A:A,0))</f>
        <v>116.4</v>
      </c>
      <c r="J1360">
        <f t="shared" si="1247"/>
        <v>-1</v>
      </c>
      <c r="K1360">
        <f>ROUND(INDEX(Economic!AF:AF,MATCH(EOMONTH($A1360,-1),Economic!A:A,0)),2)</f>
        <v>129.38999999999999</v>
      </c>
      <c r="L1360" s="11">
        <f t="shared" si="1220"/>
        <v>2</v>
      </c>
      <c r="M1360">
        <f>ROUND(INDEX(Manufacturing!P:P,MATCH(EOMONTH($A1360,-1),Manufacturing!A:A,0)),2)</f>
        <v>125.12</v>
      </c>
      <c r="N1360">
        <f t="shared" si="1216"/>
        <v>3</v>
      </c>
      <c r="O1360">
        <f>ROUND(INDEX(Housing!AC:AC,MATCH(EOMONTH($A1360,-1),Housing!B:B,0)),2)</f>
        <v>68.709999999999994</v>
      </c>
      <c r="P1360">
        <f t="shared" si="1217"/>
        <v>-2</v>
      </c>
      <c r="Q1360">
        <f>ROUND(INDEX(Spending!AJ:AJ,MATCH(EOMONTH($A1360,-1),Spending!B:B,0)),2)</f>
        <v>59.4</v>
      </c>
      <c r="R1360">
        <f t="shared" si="1221"/>
        <v>1</v>
      </c>
      <c r="S1360">
        <f>ROUND(INDEX(Employment!V:V,MATCH(EOMONTH($A1360,-1),Employment!A:A,0)),2)</f>
        <v>141.54</v>
      </c>
      <c r="T1360" s="11">
        <f t="shared" si="1218"/>
        <v>-1</v>
      </c>
      <c r="U1360">
        <f t="shared" si="1246"/>
        <v>27</v>
      </c>
      <c r="V1360">
        <f t="shared" si="1237"/>
        <v>75.239999999999995</v>
      </c>
      <c r="W1360" s="13">
        <f t="shared" si="1238"/>
        <v>6.4000000000000003E-3</v>
      </c>
      <c r="X1360" s="13">
        <f t="shared" si="1239"/>
        <v>2.63E-2</v>
      </c>
      <c r="Y1360">
        <f t="shared" si="1232"/>
        <v>90.48</v>
      </c>
      <c r="Z1360" s="13">
        <f t="shared" si="1227"/>
        <v>9.4999999999999998E-3</v>
      </c>
      <c r="AA1360" s="13">
        <f t="shared" si="1223"/>
        <v>3.8100000000000002E-2</v>
      </c>
      <c r="AB1360" s="6">
        <f t="shared" si="1233"/>
        <v>111.166</v>
      </c>
      <c r="AC1360">
        <f t="shared" si="1225"/>
        <v>56</v>
      </c>
      <c r="AD1360" s="11">
        <f t="shared" si="1226"/>
        <v>2</v>
      </c>
      <c r="AE1360">
        <f t="shared" si="1224"/>
        <v>31</v>
      </c>
      <c r="AF1360">
        <f>IF(AND(AE1360&lt;15,OR(AC1360&gt;=30,AA1360&gt;0.15,X1360&gt;=0.15)),2,VLOOKUP(AE1360,Table!P:Q,2,FALSE))</f>
        <v>4</v>
      </c>
      <c r="AG1360" s="22">
        <f>IF((AB1360*0.98)-(D1360*0.8)+((AF1360-3)*3)+VLOOKUP(AM1360,Table!$A$11:$B$13,2,FALSE)&lt;0,0,(AB1360*0.98)-(D1360*0.8)+((AF1360-3)*3)+VLOOKUP(AM1360,Table!$A$11:$B$13,2,FALSE))</f>
        <v>109.40667999999999</v>
      </c>
      <c r="AH1360" s="22">
        <f t="shared" si="1219"/>
        <v>100</v>
      </c>
      <c r="AI1360" s="18">
        <f t="shared" si="1248"/>
        <v>3.46</v>
      </c>
      <c r="AJ1360" s="18">
        <f t="shared" si="1249"/>
        <v>3.55</v>
      </c>
      <c r="AK1360" t="str">
        <f t="shared" si="1234"/>
        <v>Falling Rates</v>
      </c>
      <c r="AL1360">
        <f t="shared" si="1245"/>
        <v>30.75</v>
      </c>
      <c r="AM1360" s="11" t="str">
        <f t="shared" si="1235"/>
        <v>Stocks</v>
      </c>
      <c r="AN1360" t="str">
        <f t="shared" si="1240"/>
        <v>Buy</v>
      </c>
      <c r="AO1360" s="13">
        <f t="shared" si="1241"/>
        <v>2.5000000000000001E-3</v>
      </c>
      <c r="AP1360" s="13">
        <f t="shared" si="1242"/>
        <v>5.9999999999999995E-4</v>
      </c>
      <c r="AQ1360" s="13">
        <f t="shared" si="1243"/>
        <v>2.5000000000000001E-3</v>
      </c>
      <c r="AR1360" s="13">
        <f t="shared" si="1244"/>
        <v>2.5000000000000001E-3</v>
      </c>
      <c r="AS1360" s="6">
        <f t="shared" si="1228"/>
        <v>104.30040835288872</v>
      </c>
      <c r="AT1360" s="6">
        <f t="shared" si="1229"/>
        <v>101.23716807892039</v>
      </c>
      <c r="AU1360" s="6">
        <f t="shared" si="1230"/>
        <v>104.07955086080877</v>
      </c>
      <c r="AV1360" s="6">
        <f t="shared" si="1231"/>
        <v>104.30040835288872</v>
      </c>
      <c r="AW1360" s="58">
        <f t="shared" si="1236"/>
        <v>1992</v>
      </c>
      <c r="AX1360" s="58">
        <f>COUNTIF(AW$3:AW1360,AW1360)</f>
        <v>21</v>
      </c>
    </row>
    <row r="1361" spans="1:50" x14ac:dyDescent="0.25">
      <c r="A1361" s="5">
        <v>33818</v>
      </c>
      <c r="B1361">
        <v>424.21</v>
      </c>
      <c r="C1361">
        <v>3.18</v>
      </c>
      <c r="D1361" s="6">
        <v>13.37</v>
      </c>
      <c r="E1361" s="18">
        <f t="shared" ref="E1361:E1378" si="1250">ROUND(AVERAGE(D1361:D1363),2)</f>
        <v>13.22</v>
      </c>
      <c r="F1361">
        <f t="shared" ref="F1361:F1378" si="1251">IF(E1361&lt;11,3,IF(AND(E1361&lt;14,E1361&gt;=11),2,IF(AND(E1361&lt;16,E1361&gt;=14),1,IF(E1361&gt;35,-3,IF(AND(E1361&gt;25,E1361&lt;=35),-2,IF(AND(E1361&gt;18,E1361&lt;=25),-1,0))))))</f>
        <v>2</v>
      </c>
      <c r="G1361" s="18">
        <f>ROUND(INDEX(Valuation!U:U,MATCH(A1361,Valuation!A:A,0)),2)</f>
        <v>226.48</v>
      </c>
      <c r="H1361">
        <f t="shared" si="1222"/>
        <v>3</v>
      </c>
      <c r="I1361" s="18">
        <f>INDEX(WeeklyIndicators!Y:Y,MATCH(A1361,WeeklyIndicators!A:A,0))</f>
        <v>117.75</v>
      </c>
      <c r="J1361">
        <f t="shared" si="1247"/>
        <v>-1</v>
      </c>
      <c r="K1361">
        <f>ROUND(INDEX(Economic!AF:AF,MATCH(EOMONTH($A1361,-1),Economic!A:A,0)),2)</f>
        <v>129.38999999999999</v>
      </c>
      <c r="L1361" s="11">
        <f t="shared" si="1220"/>
        <v>2</v>
      </c>
      <c r="M1361">
        <f>ROUND(INDEX(Manufacturing!P:P,MATCH(EOMONTH($A1361,-1),Manufacturing!A:A,0)),2)</f>
        <v>125.12</v>
      </c>
      <c r="N1361">
        <f t="shared" si="1216"/>
        <v>3</v>
      </c>
      <c r="O1361">
        <f>ROUND(INDEX(Housing!AC:AC,MATCH(EOMONTH($A1361,-1),Housing!B:B,0)),2)</f>
        <v>68.709999999999994</v>
      </c>
      <c r="P1361">
        <f t="shared" si="1217"/>
        <v>-2</v>
      </c>
      <c r="Q1361">
        <f>ROUND(INDEX(Spending!AJ:AJ,MATCH(EOMONTH($A1361,-1),Spending!B:B,0)),2)</f>
        <v>59.4</v>
      </c>
      <c r="R1361">
        <f t="shared" si="1221"/>
        <v>1</v>
      </c>
      <c r="S1361">
        <f>ROUND(INDEX(Employment!V:V,MATCH(EOMONTH($A1361,-1),Employment!A:A,0)),2)</f>
        <v>141.54</v>
      </c>
      <c r="T1361" s="11">
        <f t="shared" si="1218"/>
        <v>-1</v>
      </c>
      <c r="U1361">
        <f t="shared" si="1246"/>
        <v>27</v>
      </c>
      <c r="V1361">
        <f t="shared" si="1237"/>
        <v>75.38</v>
      </c>
      <c r="W1361" s="13">
        <f t="shared" si="1238"/>
        <v>6.8999999999999999E-3</v>
      </c>
      <c r="X1361" s="13">
        <f t="shared" si="1239"/>
        <v>3.27E-2</v>
      </c>
      <c r="Y1361">
        <f t="shared" si="1232"/>
        <v>90.32</v>
      </c>
      <c r="Z1361" s="13">
        <f t="shared" si="1227"/>
        <v>1.01E-2</v>
      </c>
      <c r="AA1361" s="13">
        <f t="shared" si="1223"/>
        <v>4.0800000000000003E-2</v>
      </c>
      <c r="AB1361" s="6">
        <f t="shared" si="1233"/>
        <v>111.038</v>
      </c>
      <c r="AC1361">
        <f t="shared" si="1225"/>
        <v>56</v>
      </c>
      <c r="AD1361" s="11">
        <f t="shared" si="1226"/>
        <v>2</v>
      </c>
      <c r="AE1361">
        <f t="shared" si="1224"/>
        <v>31</v>
      </c>
      <c r="AF1361">
        <f>IF(AND(AE1361&lt;15,OR(AC1361&gt;=30,AA1361&gt;0.15,X1361&gt;=0.15)),2,VLOOKUP(AE1361,Table!P:Q,2,FALSE))</f>
        <v>4</v>
      </c>
      <c r="AG1361" s="22">
        <f>IF((AB1361*0.98)-(D1361*0.8)+((AF1361-3)*3)+VLOOKUP(AM1361,Table!$A$11:$B$13,2,FALSE)&lt;0,0,(AB1361*0.98)-(D1361*0.8)+((AF1361-3)*3)+VLOOKUP(AM1361,Table!$A$11:$B$13,2,FALSE))</f>
        <v>109.12124</v>
      </c>
      <c r="AH1361" s="22">
        <f t="shared" si="1219"/>
        <v>100</v>
      </c>
      <c r="AI1361" s="18">
        <f t="shared" si="1248"/>
        <v>3.5</v>
      </c>
      <c r="AJ1361" s="18">
        <f t="shared" si="1249"/>
        <v>3.57</v>
      </c>
      <c r="AK1361" t="str">
        <f t="shared" si="1234"/>
        <v>Falling Rates</v>
      </c>
      <c r="AL1361">
        <f t="shared" si="1245"/>
        <v>30.5</v>
      </c>
      <c r="AM1361" s="11" t="str">
        <f t="shared" si="1235"/>
        <v>Stocks</v>
      </c>
      <c r="AN1361" t="str">
        <f t="shared" si="1240"/>
        <v>Buy</v>
      </c>
      <c r="AO1361" s="13">
        <f t="shared" si="1241"/>
        <v>-1.26E-2</v>
      </c>
      <c r="AP1361" s="13">
        <f t="shared" si="1242"/>
        <v>5.9999999999999995E-4</v>
      </c>
      <c r="AQ1361" s="13">
        <f t="shared" si="1243"/>
        <v>-1.26E-2</v>
      </c>
      <c r="AR1361" s="13">
        <f t="shared" si="1244"/>
        <v>-1.26E-2</v>
      </c>
      <c r="AS1361" s="6">
        <f t="shared" si="1228"/>
        <v>105.63136353340968</v>
      </c>
      <c r="AT1361" s="6">
        <f t="shared" si="1229"/>
        <v>101.17646220159943</v>
      </c>
      <c r="AU1361" s="6">
        <f t="shared" si="1230"/>
        <v>105.40768772615836</v>
      </c>
      <c r="AV1361" s="6">
        <f t="shared" si="1231"/>
        <v>105.63136353340968</v>
      </c>
      <c r="AW1361" s="58">
        <f t="shared" si="1236"/>
        <v>1992</v>
      </c>
      <c r="AX1361" s="58">
        <f>COUNTIF(AW$3:AW1361,AW1361)</f>
        <v>22</v>
      </c>
    </row>
    <row r="1362" spans="1:50" x14ac:dyDescent="0.25">
      <c r="A1362" s="5">
        <v>33811</v>
      </c>
      <c r="B1362">
        <v>411.6</v>
      </c>
      <c r="C1362">
        <v>3.17</v>
      </c>
      <c r="D1362" s="6">
        <v>12.6</v>
      </c>
      <c r="E1362" s="18">
        <f t="shared" si="1250"/>
        <v>13.39</v>
      </c>
      <c r="F1362">
        <f t="shared" si="1251"/>
        <v>2</v>
      </c>
      <c r="G1362" s="18">
        <f>ROUND(INDEX(Valuation!U:U,MATCH(A1362,Valuation!A:A,0)),2)</f>
        <v>223.69</v>
      </c>
      <c r="H1362">
        <f t="shared" si="1222"/>
        <v>3</v>
      </c>
      <c r="I1362" s="18">
        <f>INDEX(WeeklyIndicators!Y:Y,MATCH(A1362,WeeklyIndicators!A:A,0))</f>
        <v>117.5</v>
      </c>
      <c r="J1362">
        <f t="shared" si="1247"/>
        <v>-1</v>
      </c>
      <c r="K1362">
        <f>ROUND(INDEX(Economic!AF:AF,MATCH(EOMONTH($A1362,-1),Economic!A:A,0)),2)</f>
        <v>127.32</v>
      </c>
      <c r="L1362" s="11">
        <f t="shared" si="1220"/>
        <v>2</v>
      </c>
      <c r="M1362">
        <f>ROUND(INDEX(Manufacturing!P:P,MATCH(EOMONTH($A1362,-1),Manufacturing!A:A,0)),2)</f>
        <v>119.64</v>
      </c>
      <c r="N1362">
        <f t="shared" ref="N1362:N1378" si="1252">IF(M1362&gt;108,3,IF(AND(M1362&gt;100,M1362&lt;=108),2,IF(AND(M1362&gt;90,M1362&lt;=100),1,IF(M1362&lt;63,-3,IF(AND(M1362&lt;74,M1362&gt;=63),-2,IF(AND(M1362&lt;84,M1362&gt;=74),-1,0))))))</f>
        <v>3</v>
      </c>
      <c r="O1362">
        <f>ROUND(INDEX(Housing!AC:AC,MATCH(EOMONTH($A1362,-1),Housing!B:B,0)),2)</f>
        <v>69.05</v>
      </c>
      <c r="P1362">
        <f t="shared" ref="P1362:P1378" si="1253">IF(O1362&gt;140,3,IF(AND(O1362&gt;128,O1362&lt;=140),2,IF(AND(O1362&gt;115,O1362&lt;=128),1,IF(O1362&lt;50,-3,IF(AND(O1362&lt;75,O1362&gt;=50),-2,IF(AND(O1362&lt;100,O1362&gt;=75),-1,0))))))</f>
        <v>-2</v>
      </c>
      <c r="Q1362">
        <f>ROUND(INDEX(Spending!AJ:AJ,MATCH(EOMONTH($A1362,-1),Spending!B:B,0)),2)</f>
        <v>53.72</v>
      </c>
      <c r="R1362">
        <f t="shared" si="1221"/>
        <v>1</v>
      </c>
      <c r="S1362">
        <f>ROUND(INDEX(Employment!V:V,MATCH(EOMONTH($A1362,-1),Employment!A:A,0)),2)</f>
        <v>142.82</v>
      </c>
      <c r="T1362" s="11">
        <f t="shared" ref="T1362:T1378" si="1254">IF(S1362&gt;190,3,IF(AND(S1362&gt;175,S1362&lt;=190),2,IF(AND(S1362&gt;160,S1362&lt;=175),1,IF(S1362&lt;120,-3,IF(AND(S1362&lt;140,S1362&gt;=120),-2,IF(AND(S1362&lt;150,S1362&gt;=140),-1,0))))))</f>
        <v>-1</v>
      </c>
      <c r="U1362">
        <f t="shared" si="1246"/>
        <v>27</v>
      </c>
      <c r="V1362">
        <f t="shared" si="1237"/>
        <v>73.95</v>
      </c>
      <c r="W1362" s="13">
        <f t="shared" si="1238"/>
        <v>2.0000000000000001E-4</v>
      </c>
      <c r="X1362" s="13">
        <f t="shared" si="1239"/>
        <v>3.8800000000000001E-2</v>
      </c>
      <c r="Y1362">
        <f t="shared" si="1232"/>
        <v>88.51</v>
      </c>
      <c r="Z1362" s="13">
        <f t="shared" si="1227"/>
        <v>4.4000000000000003E-3</v>
      </c>
      <c r="AA1362" s="13">
        <f t="shared" si="1223"/>
        <v>4.1299999999999996E-2</v>
      </c>
      <c r="AB1362" s="6">
        <f t="shared" si="1233"/>
        <v>108.999</v>
      </c>
      <c r="AC1362">
        <f t="shared" si="1225"/>
        <v>54</v>
      </c>
      <c r="AD1362" s="11">
        <f t="shared" si="1226"/>
        <v>2</v>
      </c>
      <c r="AE1362">
        <f t="shared" si="1224"/>
        <v>31</v>
      </c>
      <c r="AF1362">
        <f>IF(AND(AE1362&lt;15,OR(AC1362&gt;=30,AA1362&gt;0.15,X1362&gt;=0.15)),2,VLOOKUP(AE1362,Table!P:Q,2,FALSE))</f>
        <v>4</v>
      </c>
      <c r="AG1362" s="22">
        <f>IF((AB1362*0.98)-(D1362*0.8)+((AF1362-3)*3)+VLOOKUP(AM1362,Table!$A$11:$B$13,2,FALSE)&lt;0,0,(AB1362*0.98)-(D1362*0.8)+((AF1362-3)*3)+VLOOKUP(AM1362,Table!$A$11:$B$13,2,FALSE))</f>
        <v>107.73902</v>
      </c>
      <c r="AH1362" s="22">
        <f t="shared" ref="AH1362:AH1376" si="1255">IF(ROUND(AVERAGE(AG1362:AG1364),0)&lt;0,0,IF(ROUND(AVERAGE(AG1362:AG1364),0)&gt;100,100,ROUND(AVERAGE(AG1362:AG1364),0)))</f>
        <v>100</v>
      </c>
      <c r="AI1362" s="18">
        <f t="shared" si="1248"/>
        <v>3.53</v>
      </c>
      <c r="AJ1362" s="18">
        <f t="shared" si="1249"/>
        <v>3.59</v>
      </c>
      <c r="AK1362" t="str">
        <f t="shared" si="1234"/>
        <v>Falling Rates</v>
      </c>
      <c r="AL1362">
        <f t="shared" si="1245"/>
        <v>30.25</v>
      </c>
      <c r="AM1362" s="11" t="str">
        <f t="shared" si="1235"/>
        <v>Stocks</v>
      </c>
      <c r="AN1362" t="str">
        <f t="shared" si="1240"/>
        <v>Buy</v>
      </c>
      <c r="AO1362" s="13">
        <f t="shared" si="1241"/>
        <v>3.0599999999999999E-2</v>
      </c>
      <c r="AP1362" s="13">
        <f t="shared" si="1242"/>
        <v>5.9999999999999995E-4</v>
      </c>
      <c r="AQ1362" s="13">
        <f t="shared" si="1243"/>
        <v>3.0599999999999999E-2</v>
      </c>
      <c r="AR1362" s="13">
        <f t="shared" si="1244"/>
        <v>3.0599999999999999E-2</v>
      </c>
      <c r="AS1362" s="6">
        <f t="shared" si="1228"/>
        <v>102.49501604250891</v>
      </c>
      <c r="AT1362" s="6">
        <f t="shared" si="1229"/>
        <v>101.11579272596386</v>
      </c>
      <c r="AU1362" s="6">
        <f t="shared" si="1230"/>
        <v>102.27798149248822</v>
      </c>
      <c r="AV1362" s="6">
        <f t="shared" si="1231"/>
        <v>102.49501604250891</v>
      </c>
      <c r="AW1362" s="58">
        <f t="shared" si="1236"/>
        <v>1992</v>
      </c>
      <c r="AX1362" s="58">
        <f>COUNTIF(AW$3:AW1362,AW1362)</f>
        <v>23</v>
      </c>
    </row>
    <row r="1363" spans="1:50" x14ac:dyDescent="0.25">
      <c r="A1363" s="5">
        <v>33804</v>
      </c>
      <c r="B1363">
        <v>415.62</v>
      </c>
      <c r="C1363">
        <v>3.19</v>
      </c>
      <c r="D1363" s="6">
        <v>13.7</v>
      </c>
      <c r="E1363" s="18">
        <f t="shared" si="1250"/>
        <v>14.08</v>
      </c>
      <c r="F1363">
        <f t="shared" si="1251"/>
        <v>1</v>
      </c>
      <c r="G1363" s="18">
        <f>ROUND(INDEX(Valuation!U:U,MATCH(A1363,Valuation!A:A,0)),2)</f>
        <v>221.97</v>
      </c>
      <c r="H1363">
        <f t="shared" si="1222"/>
        <v>3</v>
      </c>
      <c r="I1363" s="18">
        <f>INDEX(WeeklyIndicators!Y:Y,MATCH(A1363,WeeklyIndicators!A:A,0))</f>
        <v>116.19</v>
      </c>
      <c r="J1363">
        <f t="shared" si="1247"/>
        <v>-1</v>
      </c>
      <c r="K1363">
        <f>ROUND(INDEX(Economic!AF:AF,MATCH(EOMONTH($A1363,-1),Economic!A:A,0)),2)</f>
        <v>127.32</v>
      </c>
      <c r="L1363" s="11">
        <f t="shared" ref="L1363:L1378" si="1256">IF(K1363&gt;138,3,IF(AND(K1363&gt;125,K1363&lt;=138),2,IF(AND(K1363&gt;111,K1363&lt;=125),1,IF(K1363&lt;50,-3,IF(AND(K1363&lt;80,K1363&gt;=50),-2,IF(AND(K1363&lt;100,K1363&gt;=80),-1,0))))))</f>
        <v>2</v>
      </c>
      <c r="M1363">
        <f>ROUND(INDEX(Manufacturing!P:P,MATCH(EOMONTH($A1363,-1),Manufacturing!A:A,0)),2)</f>
        <v>119.64</v>
      </c>
      <c r="N1363">
        <f t="shared" si="1252"/>
        <v>3</v>
      </c>
      <c r="O1363">
        <f>ROUND(INDEX(Housing!AC:AC,MATCH(EOMONTH($A1363,-1),Housing!B:B,0)),2)</f>
        <v>69.05</v>
      </c>
      <c r="P1363">
        <f t="shared" si="1253"/>
        <v>-2</v>
      </c>
      <c r="Q1363">
        <f>ROUND(INDEX(Spending!AJ:AJ,MATCH(EOMONTH($A1363,-1),Spending!B:B,0)),2)</f>
        <v>53.72</v>
      </c>
      <c r="R1363">
        <f t="shared" ref="R1363:R1378" si="1257">IF(Q1363&gt;60,2,IF(AND(Q1363&gt;50,Q1363&lt;=60),1,IF(Q1363&lt;30,-2,IF(AND(Q1363&lt;40,Q1363&gt;=30),-1,0))))</f>
        <v>1</v>
      </c>
      <c r="S1363">
        <f>ROUND(INDEX(Employment!V:V,MATCH(EOMONTH($A1363,-1),Employment!A:A,0)),2)</f>
        <v>142.82</v>
      </c>
      <c r="T1363" s="11">
        <f t="shared" si="1254"/>
        <v>-1</v>
      </c>
      <c r="U1363">
        <f t="shared" si="1246"/>
        <v>26</v>
      </c>
      <c r="V1363">
        <f t="shared" si="1237"/>
        <v>73.81</v>
      </c>
      <c r="W1363" s="13">
        <f t="shared" si="1238"/>
        <v>1.2800000000000001E-2</v>
      </c>
      <c r="X1363" s="13">
        <f t="shared" si="1239"/>
        <v>3.8100000000000002E-2</v>
      </c>
      <c r="Y1363">
        <f t="shared" si="1232"/>
        <v>87.94</v>
      </c>
      <c r="Z1363" s="13">
        <f t="shared" si="1227"/>
        <v>1.41E-2</v>
      </c>
      <c r="AA1363" s="13">
        <f t="shared" si="1223"/>
        <v>3.6000000000000004E-2</v>
      </c>
      <c r="AB1363" s="6">
        <f t="shared" si="1233"/>
        <v>107.887</v>
      </c>
      <c r="AC1363">
        <f t="shared" si="1225"/>
        <v>54</v>
      </c>
      <c r="AD1363" s="11">
        <f t="shared" si="1226"/>
        <v>2</v>
      </c>
      <c r="AE1363">
        <f t="shared" si="1224"/>
        <v>30</v>
      </c>
      <c r="AF1363">
        <f>IF(AND(AE1363&lt;15,OR(AC1363&gt;=30,AA1363&gt;0.15,X1363&gt;=0.15)),2,VLOOKUP(AE1363,Table!P:Q,2,FALSE))</f>
        <v>4</v>
      </c>
      <c r="AG1363" s="22">
        <f>IF((AB1363*0.98)-(D1363*0.8)+((AF1363-3)*3)+VLOOKUP(AM1363,Table!$A$11:$B$13,2,FALSE)&lt;0,0,(AB1363*0.98)-(D1363*0.8)+((AF1363-3)*3)+VLOOKUP(AM1363,Table!$A$11:$B$13,2,FALSE))</f>
        <v>105.76926</v>
      </c>
      <c r="AH1363" s="22">
        <f t="shared" si="1255"/>
        <v>100</v>
      </c>
      <c r="AI1363" s="18">
        <f t="shared" si="1248"/>
        <v>3.57</v>
      </c>
      <c r="AJ1363" s="18">
        <f t="shared" si="1249"/>
        <v>3.62</v>
      </c>
      <c r="AK1363" t="str">
        <f t="shared" si="1234"/>
        <v>Falling Rates</v>
      </c>
      <c r="AL1363">
        <f t="shared" si="1245"/>
        <v>29.25</v>
      </c>
      <c r="AM1363" s="11" t="str">
        <f t="shared" si="1235"/>
        <v>Stocks</v>
      </c>
      <c r="AN1363" t="str">
        <f t="shared" si="1240"/>
        <v>Buy</v>
      </c>
      <c r="AO1363" s="13">
        <f t="shared" si="1241"/>
        <v>-9.7000000000000003E-3</v>
      </c>
      <c r="AP1363" s="13">
        <f t="shared" si="1242"/>
        <v>5.9999999999999995E-4</v>
      </c>
      <c r="AQ1363" s="13">
        <f t="shared" si="1243"/>
        <v>-9.7000000000000003E-3</v>
      </c>
      <c r="AR1363" s="13">
        <f t="shared" si="1244"/>
        <v>-9.7000000000000003E-3</v>
      </c>
      <c r="AS1363" s="6">
        <f t="shared" si="1228"/>
        <v>103.49895591488328</v>
      </c>
      <c r="AT1363" s="6">
        <f t="shared" si="1229"/>
        <v>101.05515963018576</v>
      </c>
      <c r="AU1363" s="6">
        <f t="shared" si="1230"/>
        <v>103.27979550892479</v>
      </c>
      <c r="AV1363" s="6">
        <f t="shared" si="1231"/>
        <v>103.49895591488328</v>
      </c>
      <c r="AW1363" s="58">
        <f t="shared" si="1236"/>
        <v>1992</v>
      </c>
      <c r="AX1363" s="58">
        <f>COUNTIF(AW$3:AW1363,AW1363)</f>
        <v>24</v>
      </c>
    </row>
    <row r="1364" spans="1:50" x14ac:dyDescent="0.25">
      <c r="A1364" s="5">
        <v>33797</v>
      </c>
      <c r="B1364">
        <v>414.62</v>
      </c>
      <c r="C1364">
        <v>3.22</v>
      </c>
      <c r="D1364" s="6">
        <v>13.88</v>
      </c>
      <c r="E1364" s="18">
        <f t="shared" si="1250"/>
        <v>14.95</v>
      </c>
      <c r="F1364">
        <f t="shared" si="1251"/>
        <v>1</v>
      </c>
      <c r="G1364" s="18">
        <f>ROUND(INDEX(Valuation!U:U,MATCH(A1364,Valuation!A:A,0)),2)</f>
        <v>221.52</v>
      </c>
      <c r="H1364">
        <f t="shared" si="1222"/>
        <v>3</v>
      </c>
      <c r="I1364" s="18">
        <f>INDEX(WeeklyIndicators!Y:Y,MATCH(A1364,WeeklyIndicators!A:A,0))</f>
        <v>116.69</v>
      </c>
      <c r="J1364">
        <f t="shared" si="1247"/>
        <v>-1</v>
      </c>
      <c r="K1364">
        <f>ROUND(INDEX(Economic!AF:AF,MATCH(EOMONTH($A1364,-1),Economic!A:A,0)),2)</f>
        <v>127.32</v>
      </c>
      <c r="L1364" s="11">
        <f t="shared" si="1256"/>
        <v>2</v>
      </c>
      <c r="M1364">
        <f>ROUND(INDEX(Manufacturing!P:P,MATCH(EOMONTH($A1364,-1),Manufacturing!A:A,0)),2)</f>
        <v>119.64</v>
      </c>
      <c r="N1364">
        <f t="shared" si="1252"/>
        <v>3</v>
      </c>
      <c r="O1364">
        <f>ROUND(INDEX(Housing!AC:AC,MATCH(EOMONTH($A1364,-1),Housing!B:B,0)),2)</f>
        <v>69.05</v>
      </c>
      <c r="P1364">
        <f t="shared" si="1253"/>
        <v>-2</v>
      </c>
      <c r="Q1364">
        <f>ROUND(INDEX(Spending!AJ:AJ,MATCH(EOMONTH($A1364,-1),Spending!B:B,0)),2)</f>
        <v>53.72</v>
      </c>
      <c r="R1364">
        <f t="shared" si="1257"/>
        <v>1</v>
      </c>
      <c r="S1364">
        <f>ROUND(INDEX(Employment!V:V,MATCH(EOMONTH($A1364,-1),Employment!A:A,0)),2)</f>
        <v>142.82</v>
      </c>
      <c r="T1364" s="11">
        <f t="shared" si="1254"/>
        <v>-1</v>
      </c>
      <c r="U1364">
        <f t="shared" si="1246"/>
        <v>26</v>
      </c>
      <c r="V1364">
        <f t="shared" si="1237"/>
        <v>73.86</v>
      </c>
      <c r="W1364" s="13">
        <f t="shared" si="1238"/>
        <v>1.2800000000000001E-2</v>
      </c>
      <c r="X1364" s="13">
        <f t="shared" si="1239"/>
        <v>3.8199999999999998E-2</v>
      </c>
      <c r="Y1364">
        <f t="shared" si="1232"/>
        <v>87.64</v>
      </c>
      <c r="Z1364" s="13">
        <f t="shared" si="1227"/>
        <v>1.2200000000000001E-2</v>
      </c>
      <c r="AA1364" s="13">
        <f t="shared" si="1223"/>
        <v>3.3500000000000002E-2</v>
      </c>
      <c r="AB1364" s="6">
        <f t="shared" si="1233"/>
        <v>107.38200000000001</v>
      </c>
      <c r="AC1364">
        <f t="shared" si="1225"/>
        <v>54</v>
      </c>
      <c r="AD1364" s="11">
        <f t="shared" si="1226"/>
        <v>2</v>
      </c>
      <c r="AE1364">
        <f t="shared" si="1224"/>
        <v>30</v>
      </c>
      <c r="AF1364">
        <f>IF(AND(AE1364&lt;15,OR(AC1364&gt;=30,AA1364&gt;0.15,X1364&gt;=0.15)),2,VLOOKUP(AE1364,Table!P:Q,2,FALSE))</f>
        <v>4</v>
      </c>
      <c r="AG1364" s="22">
        <f>IF((AB1364*0.98)-(D1364*0.8)+((AF1364-3)*3)+VLOOKUP(AM1364,Table!$A$11:$B$13,2,FALSE)&lt;0,0,(AB1364*0.98)-(D1364*0.8)+((AF1364-3)*3)+VLOOKUP(AM1364,Table!$A$11:$B$13,2,FALSE))</f>
        <v>105.13036000000001</v>
      </c>
      <c r="AH1364" s="22">
        <f t="shared" si="1255"/>
        <v>100</v>
      </c>
      <c r="AI1364" s="18">
        <f t="shared" si="1248"/>
        <v>3.61</v>
      </c>
      <c r="AJ1364" s="18">
        <f t="shared" si="1249"/>
        <v>3.65</v>
      </c>
      <c r="AK1364" t="str">
        <f t="shared" si="1234"/>
        <v>Falling Rates</v>
      </c>
      <c r="AL1364">
        <f t="shared" si="1245"/>
        <v>28.5</v>
      </c>
      <c r="AM1364" s="11" t="str">
        <f t="shared" si="1235"/>
        <v>Stocks</v>
      </c>
      <c r="AN1364" t="str">
        <f t="shared" si="1240"/>
        <v>Buy</v>
      </c>
      <c r="AO1364" s="13">
        <f t="shared" si="1241"/>
        <v>2.3999999999999998E-3</v>
      </c>
      <c r="AP1364" s="13">
        <f t="shared" si="1242"/>
        <v>5.9999999999999995E-4</v>
      </c>
      <c r="AQ1364" s="13">
        <f t="shared" si="1243"/>
        <v>2.3999999999999998E-3</v>
      </c>
      <c r="AR1364" s="13">
        <f t="shared" si="1244"/>
        <v>2.3999999999999998E-3</v>
      </c>
      <c r="AS1364" s="6">
        <f t="shared" si="1228"/>
        <v>103.2511531473297</v>
      </c>
      <c r="AT1364" s="6">
        <f t="shared" si="1229"/>
        <v>100.99456289245029</v>
      </c>
      <c r="AU1364" s="6">
        <f t="shared" si="1230"/>
        <v>103.03251746700398</v>
      </c>
      <c r="AV1364" s="6">
        <f t="shared" si="1231"/>
        <v>103.2511531473297</v>
      </c>
      <c r="AW1364" s="58">
        <f t="shared" si="1236"/>
        <v>1992</v>
      </c>
      <c r="AX1364" s="58">
        <f>COUNTIF(AW$3:AW1364,AW1364)</f>
        <v>25</v>
      </c>
    </row>
    <row r="1365" spans="1:50" x14ac:dyDescent="0.25">
      <c r="A1365" s="5">
        <v>33790</v>
      </c>
      <c r="B1365">
        <v>411.77</v>
      </c>
      <c r="C1365">
        <v>3.48</v>
      </c>
      <c r="D1365" s="6">
        <v>14.67</v>
      </c>
      <c r="E1365" s="18">
        <f t="shared" si="1250"/>
        <v>15.31</v>
      </c>
      <c r="F1365">
        <f t="shared" si="1251"/>
        <v>1</v>
      </c>
      <c r="G1365" s="18">
        <f>ROUND(INDEX(Valuation!U:U,MATCH(A1365,Valuation!A:A,0)),2)</f>
        <v>219.71</v>
      </c>
      <c r="H1365">
        <f t="shared" si="1222"/>
        <v>3</v>
      </c>
      <c r="I1365" s="18">
        <f>INDEX(WeeklyIndicators!Y:Y,MATCH(A1365,WeeklyIndicators!A:A,0))</f>
        <v>117.11</v>
      </c>
      <c r="J1365">
        <f t="shared" si="1247"/>
        <v>-1</v>
      </c>
      <c r="K1365">
        <f>ROUND(INDEX(Economic!AF:AF,MATCH(EOMONTH($A1365,-1),Economic!A:A,0)),2)</f>
        <v>127.32</v>
      </c>
      <c r="L1365" s="11">
        <f t="shared" si="1256"/>
        <v>2</v>
      </c>
      <c r="M1365">
        <f>ROUND(INDEX(Manufacturing!P:P,MATCH(EOMONTH($A1365,-1),Manufacturing!A:A,0)),2)</f>
        <v>119.64</v>
      </c>
      <c r="N1365">
        <f t="shared" si="1252"/>
        <v>3</v>
      </c>
      <c r="O1365">
        <f>ROUND(INDEX(Housing!AC:AC,MATCH(EOMONTH($A1365,-1),Housing!B:B,0)),2)</f>
        <v>69.05</v>
      </c>
      <c r="P1365">
        <f t="shared" si="1253"/>
        <v>-2</v>
      </c>
      <c r="Q1365">
        <f>ROUND(INDEX(Spending!AJ:AJ,MATCH(EOMONTH($A1365,-1),Spending!B:B,0)),2)</f>
        <v>53.72</v>
      </c>
      <c r="R1365">
        <f t="shared" si="1257"/>
        <v>1</v>
      </c>
      <c r="S1365">
        <f>ROUND(INDEX(Employment!V:V,MATCH(EOMONTH($A1365,-1),Employment!A:A,0)),2)</f>
        <v>142.82</v>
      </c>
      <c r="T1365" s="11">
        <f t="shared" si="1254"/>
        <v>-1</v>
      </c>
      <c r="U1365">
        <f t="shared" si="1246"/>
        <v>26</v>
      </c>
      <c r="V1365">
        <f t="shared" si="1237"/>
        <v>73.91</v>
      </c>
      <c r="W1365" s="13">
        <f t="shared" si="1238"/>
        <v>1.2999999999999999E-2</v>
      </c>
      <c r="X1365" s="13">
        <f t="shared" si="1239"/>
        <v>3.8899999999999997E-2</v>
      </c>
      <c r="Y1365">
        <f t="shared" si="1232"/>
        <v>87.36</v>
      </c>
      <c r="Z1365" s="13">
        <f t="shared" si="1227"/>
        <v>1.06E-2</v>
      </c>
      <c r="AA1365" s="13">
        <f t="shared" si="1223"/>
        <v>3.5199999999999995E-2</v>
      </c>
      <c r="AB1365" s="6">
        <f t="shared" si="1233"/>
        <v>107.041</v>
      </c>
      <c r="AC1365">
        <f t="shared" si="1225"/>
        <v>54</v>
      </c>
      <c r="AD1365" s="11">
        <f t="shared" si="1226"/>
        <v>2</v>
      </c>
      <c r="AE1365">
        <f t="shared" si="1224"/>
        <v>30</v>
      </c>
      <c r="AF1365">
        <f>IF(AND(AE1365&lt;15,OR(AC1365&gt;=30,AA1365&gt;0.15,X1365&gt;=0.15)),2,VLOOKUP(AE1365,Table!P:Q,2,FALSE))</f>
        <v>4</v>
      </c>
      <c r="AG1365" s="22">
        <f>IF((AB1365*0.98)-(D1365*0.8)+((AF1365-3)*3)+VLOOKUP(AM1365,Table!$A$11:$B$13,2,FALSE)&lt;0,0,(AB1365*0.98)-(D1365*0.8)+((AF1365-3)*3)+VLOOKUP(AM1365,Table!$A$11:$B$13,2,FALSE))</f>
        <v>104.16417999999999</v>
      </c>
      <c r="AH1365" s="22">
        <f t="shared" si="1255"/>
        <v>100</v>
      </c>
      <c r="AI1365" s="18">
        <f t="shared" si="1248"/>
        <v>3.65</v>
      </c>
      <c r="AJ1365" s="18">
        <f t="shared" si="1249"/>
        <v>3.68</v>
      </c>
      <c r="AK1365" t="str">
        <f t="shared" si="1234"/>
        <v>Falling Rates</v>
      </c>
      <c r="AL1365">
        <f t="shared" si="1245"/>
        <v>27.75</v>
      </c>
      <c r="AM1365" s="11" t="str">
        <f t="shared" si="1235"/>
        <v>Stocks</v>
      </c>
      <c r="AN1365" t="str">
        <f t="shared" si="1240"/>
        <v>Buy</v>
      </c>
      <c r="AO1365" s="13">
        <f t="shared" si="1241"/>
        <v>6.8999999999999999E-3</v>
      </c>
      <c r="AP1365" s="13">
        <f t="shared" si="1242"/>
        <v>6.9999999999999999E-4</v>
      </c>
      <c r="AQ1365" s="13">
        <f t="shared" si="1243"/>
        <v>6.8999999999999999E-3</v>
      </c>
      <c r="AR1365" s="13">
        <f t="shared" si="1244"/>
        <v>6.8999999999999999E-3</v>
      </c>
      <c r="AS1365" s="6">
        <f t="shared" si="1228"/>
        <v>102.54360229151824</v>
      </c>
      <c r="AT1365" s="6">
        <f t="shared" si="1229"/>
        <v>100.9239161511445</v>
      </c>
      <c r="AU1365" s="6">
        <f t="shared" si="1230"/>
        <v>102.32646485947363</v>
      </c>
      <c r="AV1365" s="6">
        <f t="shared" si="1231"/>
        <v>102.54360229151824</v>
      </c>
      <c r="AW1365" s="58">
        <f t="shared" si="1236"/>
        <v>1992</v>
      </c>
      <c r="AX1365" s="58">
        <f>COUNTIF(AW$3:AW1365,AW1365)</f>
        <v>26</v>
      </c>
    </row>
    <row r="1366" spans="1:50" x14ac:dyDescent="0.25">
      <c r="A1366" s="5">
        <v>33783</v>
      </c>
      <c r="B1366">
        <v>403.45</v>
      </c>
      <c r="C1366">
        <v>3.64</v>
      </c>
      <c r="D1366" s="6">
        <v>16.309999000000001</v>
      </c>
      <c r="E1366" s="18">
        <f t="shared" si="1250"/>
        <v>15.3</v>
      </c>
      <c r="F1366">
        <f t="shared" si="1251"/>
        <v>1</v>
      </c>
      <c r="G1366" s="18">
        <f>ROUND(INDEX(Valuation!U:U,MATCH(A1366,Valuation!A:A,0)),2)</f>
        <v>218.1</v>
      </c>
      <c r="H1366">
        <f t="shared" si="1222"/>
        <v>3</v>
      </c>
      <c r="I1366" s="18">
        <f>INDEX(WeeklyIndicators!Y:Y,MATCH(A1366,WeeklyIndicators!A:A,0))</f>
        <v>118.29</v>
      </c>
      <c r="J1366">
        <f t="shared" si="1247"/>
        <v>-1</v>
      </c>
      <c r="K1366">
        <f>ROUND(INDEX(Economic!AF:AF,MATCH(EOMONTH($A1366,-1),Economic!A:A,0)),2)</f>
        <v>118.86</v>
      </c>
      <c r="L1366" s="11">
        <f t="shared" si="1256"/>
        <v>1</v>
      </c>
      <c r="M1366">
        <f>ROUND(INDEX(Manufacturing!P:P,MATCH(EOMONTH($A1366,-1),Manufacturing!A:A,0)),2)</f>
        <v>113.3</v>
      </c>
      <c r="N1366">
        <f t="shared" si="1252"/>
        <v>3</v>
      </c>
      <c r="O1366">
        <f>ROUND(INDEX(Housing!AC:AC,MATCH(EOMONTH($A1366,-1),Housing!B:B,0)),2)</f>
        <v>68.77</v>
      </c>
      <c r="P1366">
        <f t="shared" si="1253"/>
        <v>-2</v>
      </c>
      <c r="Q1366">
        <f>ROUND(INDEX(Spending!AJ:AJ,MATCH(EOMONTH($A1366,-1),Spending!B:B,0)),2)</f>
        <v>47.84</v>
      </c>
      <c r="R1366">
        <f t="shared" si="1257"/>
        <v>0</v>
      </c>
      <c r="S1366">
        <f>ROUND(INDEX(Employment!V:V,MATCH(EOMONTH($A1366,-1),Employment!A:A,0)),2)</f>
        <v>137.94</v>
      </c>
      <c r="T1366" s="11">
        <f t="shared" si="1254"/>
        <v>-2</v>
      </c>
      <c r="U1366">
        <f t="shared" si="1246"/>
        <v>23</v>
      </c>
      <c r="V1366">
        <f t="shared" si="1237"/>
        <v>71.010000000000005</v>
      </c>
      <c r="W1366" s="13">
        <f t="shared" si="1238"/>
        <v>-5.0000000000000001E-4</v>
      </c>
      <c r="X1366" s="13">
        <f t="shared" si="1239"/>
        <v>0.04</v>
      </c>
      <c r="Y1366">
        <f t="shared" si="1232"/>
        <v>84.29</v>
      </c>
      <c r="Z1366" s="13">
        <f t="shared" si="1227"/>
        <v>-8.9999999999999998E-4</v>
      </c>
      <c r="AA1366" s="13">
        <f t="shared" si="1223"/>
        <v>3.9199999999999999E-2</v>
      </c>
      <c r="AB1366" s="6">
        <f t="shared" si="1233"/>
        <v>103.99000000000001</v>
      </c>
      <c r="AC1366">
        <f t="shared" si="1225"/>
        <v>52</v>
      </c>
      <c r="AD1366" s="11">
        <f t="shared" si="1226"/>
        <v>2</v>
      </c>
      <c r="AE1366">
        <f t="shared" si="1224"/>
        <v>27</v>
      </c>
      <c r="AF1366">
        <f>IF(AND(AE1366&lt;15,OR(AC1366&gt;=30,AA1366&gt;0.15,X1366&gt;=0.15)),2,VLOOKUP(AE1366,Table!P:Q,2,FALSE))</f>
        <v>4</v>
      </c>
      <c r="AG1366" s="22">
        <f>IF((AB1366*0.98)-(D1366*0.8)+((AF1366-3)*3)+VLOOKUP(AM1366,Table!$A$11:$B$13,2,FALSE)&lt;0,0,(AB1366*0.98)-(D1366*0.8)+((AF1366-3)*3)+VLOOKUP(AM1366,Table!$A$11:$B$13,2,FALSE))</f>
        <v>99.862200799999997</v>
      </c>
      <c r="AH1366" s="22">
        <f t="shared" si="1255"/>
        <v>100</v>
      </c>
      <c r="AI1366" s="18">
        <f t="shared" si="1248"/>
        <v>3.69</v>
      </c>
      <c r="AJ1366" s="18">
        <f t="shared" si="1249"/>
        <v>3.69</v>
      </c>
      <c r="AK1366" t="str">
        <f t="shared" si="1234"/>
        <v/>
      </c>
      <c r="AL1366">
        <f t="shared" si="1245"/>
        <v>27</v>
      </c>
      <c r="AM1366" s="11" t="str">
        <f t="shared" si="1235"/>
        <v>Stocks</v>
      </c>
      <c r="AN1366" t="str">
        <f t="shared" si="1240"/>
        <v>Buy</v>
      </c>
      <c r="AO1366" s="13">
        <f t="shared" si="1241"/>
        <v>2.06E-2</v>
      </c>
      <c r="AP1366" s="13">
        <f t="shared" si="1242"/>
        <v>6.9999999999999999E-4</v>
      </c>
      <c r="AQ1366" s="13">
        <f t="shared" si="1243"/>
        <v>2.06E-2</v>
      </c>
      <c r="AR1366" s="13">
        <f t="shared" si="1244"/>
        <v>2.06E-2</v>
      </c>
      <c r="AS1366" s="6">
        <f t="shared" si="1228"/>
        <v>100.47384116354914</v>
      </c>
      <c r="AT1366" s="6">
        <f t="shared" si="1229"/>
        <v>100.85331882796493</v>
      </c>
      <c r="AU1366" s="6">
        <f t="shared" si="1230"/>
        <v>100.2610864780263</v>
      </c>
      <c r="AV1366" s="6">
        <f t="shared" si="1231"/>
        <v>100.47384116354914</v>
      </c>
      <c r="AW1366" s="58">
        <f t="shared" si="1236"/>
        <v>1992</v>
      </c>
      <c r="AX1366" s="58">
        <f>COUNTIF(AW$3:AW1366,AW1366)</f>
        <v>27</v>
      </c>
    </row>
    <row r="1367" spans="1:50" x14ac:dyDescent="0.25">
      <c r="A1367" s="5">
        <v>33776</v>
      </c>
      <c r="B1367">
        <v>403.67</v>
      </c>
      <c r="C1367">
        <v>3.63</v>
      </c>
      <c r="D1367" s="6">
        <v>14.95</v>
      </c>
      <c r="E1367" s="18">
        <f t="shared" si="1250"/>
        <v>14.49</v>
      </c>
      <c r="F1367">
        <f t="shared" si="1251"/>
        <v>1</v>
      </c>
      <c r="G1367" s="18">
        <f>ROUND(INDEX(Valuation!U:U,MATCH(A1367,Valuation!A:A,0)),2)</f>
        <v>216.92</v>
      </c>
      <c r="H1367">
        <f t="shared" si="1222"/>
        <v>3</v>
      </c>
      <c r="I1367" s="18">
        <f>INDEX(WeeklyIndicators!Y:Y,MATCH(A1367,WeeklyIndicators!A:A,0))</f>
        <v>119.05</v>
      </c>
      <c r="J1367">
        <f t="shared" si="1247"/>
        <v>-1</v>
      </c>
      <c r="K1367">
        <f>ROUND(INDEX(Economic!AF:AF,MATCH(EOMONTH($A1367,-1),Economic!A:A,0)),2)</f>
        <v>118.86</v>
      </c>
      <c r="L1367" s="11">
        <f t="shared" si="1256"/>
        <v>1</v>
      </c>
      <c r="M1367">
        <f>ROUND(INDEX(Manufacturing!P:P,MATCH(EOMONTH($A1367,-1),Manufacturing!A:A,0)),2)</f>
        <v>113.3</v>
      </c>
      <c r="N1367">
        <f t="shared" si="1252"/>
        <v>3</v>
      </c>
      <c r="O1367">
        <f>ROUND(INDEX(Housing!AC:AC,MATCH(EOMONTH($A1367,-1),Housing!B:B,0)),2)</f>
        <v>68.77</v>
      </c>
      <c r="P1367">
        <f t="shared" si="1253"/>
        <v>-2</v>
      </c>
      <c r="Q1367">
        <f>ROUND(INDEX(Spending!AJ:AJ,MATCH(EOMONTH($A1367,-1),Spending!B:B,0)),2)</f>
        <v>47.84</v>
      </c>
      <c r="R1367">
        <f t="shared" si="1257"/>
        <v>0</v>
      </c>
      <c r="S1367">
        <f>ROUND(INDEX(Employment!V:V,MATCH(EOMONTH($A1367,-1),Employment!A:A,0)),2)</f>
        <v>137.94</v>
      </c>
      <c r="T1367" s="11">
        <f t="shared" si="1254"/>
        <v>-2</v>
      </c>
      <c r="U1367">
        <f t="shared" si="1246"/>
        <v>23</v>
      </c>
      <c r="V1367">
        <f t="shared" si="1237"/>
        <v>71.09</v>
      </c>
      <c r="W1367" s="13">
        <f t="shared" si="1238"/>
        <v>1.29E-2</v>
      </c>
      <c r="X1367" s="13">
        <f t="shared" si="1239"/>
        <v>4.1500000000000002E-2</v>
      </c>
      <c r="Y1367">
        <f t="shared" si="1232"/>
        <v>84.52</v>
      </c>
      <c r="Z1367" s="13">
        <f t="shared" si="1227"/>
        <v>1.1599999999999999E-2</v>
      </c>
      <c r="AA1367" s="13">
        <f t="shared" si="1223"/>
        <v>4.3999999999999997E-2</v>
      </c>
      <c r="AB1367" s="6">
        <f t="shared" si="1233"/>
        <v>104.44199999999999</v>
      </c>
      <c r="AC1367">
        <f t="shared" si="1225"/>
        <v>52</v>
      </c>
      <c r="AD1367" s="11">
        <f t="shared" si="1226"/>
        <v>2</v>
      </c>
      <c r="AE1367">
        <f t="shared" si="1224"/>
        <v>27</v>
      </c>
      <c r="AF1367">
        <f>IF(AND(AE1367&lt;15,OR(AC1367&gt;=30,AA1367&gt;0.15,X1367&gt;=0.15)),2,VLOOKUP(AE1367,Table!P:Q,2,FALSE))</f>
        <v>4</v>
      </c>
      <c r="AG1367" s="22">
        <f>IF((AB1367*0.98)-(D1367*0.8)+((AF1367-3)*3)+VLOOKUP(AM1367,Table!$A$11:$B$13,2,FALSE)&lt;0,0,(AB1367*0.98)-(D1367*0.8)+((AF1367-3)*3)+VLOOKUP(AM1367,Table!$A$11:$B$13,2,FALSE))</f>
        <v>101.39315999999999</v>
      </c>
      <c r="AH1367" s="22">
        <f t="shared" si="1255"/>
        <v>100</v>
      </c>
      <c r="AI1367" s="18">
        <f t="shared" si="1248"/>
        <v>3.7</v>
      </c>
      <c r="AJ1367" s="18">
        <f t="shared" si="1249"/>
        <v>3.7</v>
      </c>
      <c r="AK1367" t="str">
        <f t="shared" si="1234"/>
        <v/>
      </c>
      <c r="AL1367">
        <f t="shared" si="1245"/>
        <v>26.5</v>
      </c>
      <c r="AM1367" s="11" t="str">
        <f t="shared" si="1235"/>
        <v>Stocks</v>
      </c>
      <c r="AN1367" t="str">
        <f t="shared" si="1240"/>
        <v>Buy</v>
      </c>
      <c r="AO1367" s="13">
        <f t="shared" si="1241"/>
        <v>-5.0000000000000001E-4</v>
      </c>
      <c r="AP1367" s="13">
        <f t="shared" si="1242"/>
        <v>6.9999999999999999E-4</v>
      </c>
      <c r="AQ1367" s="13">
        <f t="shared" si="1243"/>
        <v>-5.0000000000000001E-4</v>
      </c>
      <c r="AR1367" s="13">
        <f t="shared" si="1244"/>
        <v>-5.0000000000000001E-4</v>
      </c>
      <c r="AS1367" s="6">
        <f t="shared" si="1228"/>
        <v>100.52410321515671</v>
      </c>
      <c r="AT1367" s="6">
        <f t="shared" si="1229"/>
        <v>100.78277088834309</v>
      </c>
      <c r="AU1367" s="6">
        <f t="shared" si="1230"/>
        <v>100.31124209907583</v>
      </c>
      <c r="AV1367" s="6">
        <f t="shared" si="1231"/>
        <v>100.52410321515671</v>
      </c>
      <c r="AW1367" s="58">
        <f t="shared" si="1236"/>
        <v>1992</v>
      </c>
      <c r="AX1367" s="58">
        <f>COUNTIF(AW$3:AW1367,AW1367)</f>
        <v>28</v>
      </c>
    </row>
    <row r="1368" spans="1:50" x14ac:dyDescent="0.25">
      <c r="A1368" s="5">
        <v>33769</v>
      </c>
      <c r="B1368">
        <v>409.76</v>
      </c>
      <c r="C1368">
        <v>3.67</v>
      </c>
      <c r="D1368" s="6">
        <v>14.65</v>
      </c>
      <c r="E1368" s="18">
        <f t="shared" si="1250"/>
        <v>14.08</v>
      </c>
      <c r="F1368">
        <f t="shared" si="1251"/>
        <v>1</v>
      </c>
      <c r="G1368" s="18">
        <f>ROUND(INDEX(Valuation!U:U,MATCH(A1368,Valuation!A:A,0)),2)</f>
        <v>216.56</v>
      </c>
      <c r="H1368">
        <f t="shared" si="1222"/>
        <v>3</v>
      </c>
      <c r="I1368" s="18">
        <f>INDEX(WeeklyIndicators!Y:Y,MATCH(A1368,WeeklyIndicators!A:A,0))</f>
        <v>119.43</v>
      </c>
      <c r="J1368">
        <f t="shared" si="1247"/>
        <v>-1</v>
      </c>
      <c r="K1368">
        <f>ROUND(INDEX(Economic!AF:AF,MATCH(EOMONTH($A1368,-1),Economic!A:A,0)),2)</f>
        <v>118.86</v>
      </c>
      <c r="L1368" s="11">
        <f t="shared" si="1256"/>
        <v>1</v>
      </c>
      <c r="M1368">
        <f>ROUND(INDEX(Manufacturing!P:P,MATCH(EOMONTH($A1368,-1),Manufacturing!A:A,0)),2)</f>
        <v>113.3</v>
      </c>
      <c r="N1368">
        <f t="shared" si="1252"/>
        <v>3</v>
      </c>
      <c r="O1368">
        <f>ROUND(INDEX(Housing!AC:AC,MATCH(EOMONTH($A1368,-1),Housing!B:B,0)),2)</f>
        <v>68.77</v>
      </c>
      <c r="P1368">
        <f t="shared" si="1253"/>
        <v>-2</v>
      </c>
      <c r="Q1368">
        <f>ROUND(INDEX(Spending!AJ:AJ,MATCH(EOMONTH($A1368,-1),Spending!B:B,0)),2)</f>
        <v>47.84</v>
      </c>
      <c r="R1368">
        <f t="shared" si="1257"/>
        <v>0</v>
      </c>
      <c r="S1368">
        <f>ROUND(INDEX(Employment!V:V,MATCH(EOMONTH($A1368,-1),Employment!A:A,0)),2)</f>
        <v>137.94</v>
      </c>
      <c r="T1368" s="11">
        <f t="shared" si="1254"/>
        <v>-2</v>
      </c>
      <c r="U1368">
        <f t="shared" si="1246"/>
        <v>23</v>
      </c>
      <c r="V1368">
        <f t="shared" si="1237"/>
        <v>71.13</v>
      </c>
      <c r="W1368" s="13">
        <f t="shared" si="1238"/>
        <v>1.35E-2</v>
      </c>
      <c r="X1368" s="13">
        <f t="shared" si="1239"/>
        <v>2.9500000000000002E-2</v>
      </c>
      <c r="Y1368">
        <f t="shared" si="1232"/>
        <v>84.67</v>
      </c>
      <c r="Z1368" s="13">
        <f t="shared" si="1227"/>
        <v>1.3899999999999999E-2</v>
      </c>
      <c r="AA1368" s="13">
        <f t="shared" si="1223"/>
        <v>3.6199999999999996E-2</v>
      </c>
      <c r="AB1368" s="6">
        <f t="shared" si="1233"/>
        <v>103.91600000000001</v>
      </c>
      <c r="AC1368">
        <f t="shared" si="1225"/>
        <v>52</v>
      </c>
      <c r="AD1368" s="11">
        <f t="shared" si="1226"/>
        <v>2</v>
      </c>
      <c r="AE1368">
        <f t="shared" si="1224"/>
        <v>27</v>
      </c>
      <c r="AF1368">
        <f>IF(AND(AE1368&lt;15,OR(AC1368&gt;=30,AA1368&gt;0.15,X1368&gt;=0.15)),2,VLOOKUP(AE1368,Table!P:Q,2,FALSE))</f>
        <v>4</v>
      </c>
      <c r="AG1368" s="22">
        <f>IF((AB1368*0.98)-(D1368*0.8)+((AF1368-3)*3)+VLOOKUP(AM1368,Table!$A$11:$B$13,2,FALSE)&lt;0,0,(AB1368*0.98)-(D1368*0.8)+((AF1368-3)*3)+VLOOKUP(AM1368,Table!$A$11:$B$13,2,FALSE))</f>
        <v>101.11768000000001</v>
      </c>
      <c r="AH1368" s="22">
        <f t="shared" si="1255"/>
        <v>99</v>
      </c>
      <c r="AI1368" s="18">
        <f t="shared" si="1248"/>
        <v>3.7</v>
      </c>
      <c r="AJ1368" s="18">
        <f t="shared" si="1249"/>
        <v>3.7</v>
      </c>
      <c r="AK1368" t="str">
        <f t="shared" si="1234"/>
        <v/>
      </c>
      <c r="AL1368">
        <f t="shared" si="1245"/>
        <v>26</v>
      </c>
      <c r="AM1368" s="11" t="str">
        <f t="shared" si="1235"/>
        <v>Stocks</v>
      </c>
      <c r="AN1368" t="str">
        <f t="shared" si="1240"/>
        <v>Buy</v>
      </c>
      <c r="AO1368" s="13">
        <f t="shared" si="1241"/>
        <v>-1.49E-2</v>
      </c>
      <c r="AP1368" s="13">
        <f t="shared" si="1242"/>
        <v>6.9999999999999999E-4</v>
      </c>
      <c r="AQ1368" s="13">
        <f t="shared" si="1243"/>
        <v>-1.47E-2</v>
      </c>
      <c r="AR1368" s="13">
        <f t="shared" si="1244"/>
        <v>-1.49E-2</v>
      </c>
      <c r="AS1368" s="6">
        <f t="shared" si="1228"/>
        <v>102.04456726744159</v>
      </c>
      <c r="AT1368" s="6">
        <f t="shared" si="1229"/>
        <v>100.71227229773469</v>
      </c>
      <c r="AU1368" s="6">
        <f t="shared" si="1230"/>
        <v>101.80781700910974</v>
      </c>
      <c r="AV1368" s="6">
        <f t="shared" si="1231"/>
        <v>102.04456726744159</v>
      </c>
      <c r="AW1368" s="58">
        <f t="shared" si="1236"/>
        <v>1992</v>
      </c>
      <c r="AX1368" s="58">
        <f>COUNTIF(AW$3:AW1368,AW1368)</f>
        <v>29</v>
      </c>
    </row>
    <row r="1369" spans="1:50" x14ac:dyDescent="0.25">
      <c r="A1369" s="5">
        <v>33762</v>
      </c>
      <c r="B1369">
        <v>413.48</v>
      </c>
      <c r="C1369">
        <v>3.71</v>
      </c>
      <c r="D1369" s="6">
        <v>13.86</v>
      </c>
      <c r="E1369" s="18">
        <f t="shared" si="1250"/>
        <v>14.14</v>
      </c>
      <c r="F1369">
        <f t="shared" si="1251"/>
        <v>1</v>
      </c>
      <c r="G1369" s="18">
        <f>ROUND(INDEX(Valuation!U:U,MATCH(A1369,Valuation!A:A,0)),2)</f>
        <v>215.63</v>
      </c>
      <c r="H1369">
        <f t="shared" si="1222"/>
        <v>3</v>
      </c>
      <c r="I1369" s="18">
        <f>INDEX(WeeklyIndicators!Y:Y,MATCH(A1369,WeeklyIndicators!A:A,0))</f>
        <v>119.33</v>
      </c>
      <c r="J1369">
        <f t="shared" si="1247"/>
        <v>-1</v>
      </c>
      <c r="K1369">
        <f>ROUND(INDEX(Economic!AF:AF,MATCH(EOMONTH($A1369,-1),Economic!A:A,0)),2)</f>
        <v>118.86</v>
      </c>
      <c r="L1369" s="11">
        <f t="shared" si="1256"/>
        <v>1</v>
      </c>
      <c r="M1369">
        <f>ROUND(INDEX(Manufacturing!P:P,MATCH(EOMONTH($A1369,-1),Manufacturing!A:A,0)),2)</f>
        <v>113.3</v>
      </c>
      <c r="N1369">
        <f t="shared" si="1252"/>
        <v>3</v>
      </c>
      <c r="O1369">
        <f>ROUND(INDEX(Housing!AC:AC,MATCH(EOMONTH($A1369,-1),Housing!B:B,0)),2)</f>
        <v>68.77</v>
      </c>
      <c r="P1369">
        <f t="shared" si="1253"/>
        <v>-2</v>
      </c>
      <c r="Q1369">
        <f>ROUND(INDEX(Spending!AJ:AJ,MATCH(EOMONTH($A1369,-1),Spending!B:B,0)),2)</f>
        <v>47.84</v>
      </c>
      <c r="R1369">
        <f t="shared" si="1257"/>
        <v>0</v>
      </c>
      <c r="S1369">
        <f>ROUND(INDEX(Employment!V:V,MATCH(EOMONTH($A1369,-1),Employment!A:A,0)),2)</f>
        <v>137.94</v>
      </c>
      <c r="T1369" s="11">
        <f t="shared" si="1254"/>
        <v>-2</v>
      </c>
      <c r="U1369">
        <f t="shared" si="1246"/>
        <v>23</v>
      </c>
      <c r="V1369">
        <f t="shared" si="1237"/>
        <v>71.12</v>
      </c>
      <c r="W1369" s="13">
        <f t="shared" si="1238"/>
        <v>1.41E-2</v>
      </c>
      <c r="X1369" s="13">
        <f t="shared" si="1239"/>
        <v>2.12E-2</v>
      </c>
      <c r="Y1369">
        <f t="shared" si="1232"/>
        <v>84.53</v>
      </c>
      <c r="Z1369" s="13">
        <f t="shared" si="1227"/>
        <v>1.46E-2</v>
      </c>
      <c r="AA1369" s="13">
        <f t="shared" si="1223"/>
        <v>0.03</v>
      </c>
      <c r="AB1369" s="6">
        <f t="shared" si="1233"/>
        <v>103.18300000000001</v>
      </c>
      <c r="AC1369">
        <f t="shared" si="1225"/>
        <v>52</v>
      </c>
      <c r="AD1369" s="11">
        <f t="shared" si="1226"/>
        <v>2</v>
      </c>
      <c r="AE1369">
        <f t="shared" si="1224"/>
        <v>27</v>
      </c>
      <c r="AF1369">
        <f>IF(AND(AE1369&lt;15,OR(AC1369&gt;=30,AA1369&gt;0.15,X1369&gt;=0.15)),2,VLOOKUP(AE1369,Table!P:Q,2,FALSE))</f>
        <v>4</v>
      </c>
      <c r="AG1369" s="22">
        <f>IF((AB1369*0.98)-(D1369*0.8)+((AF1369-3)*3)+VLOOKUP(AM1369,Table!$A$11:$B$13,2,FALSE)&lt;0,0,(AB1369*0.98)-(D1369*0.8)+((AF1369-3)*3)+VLOOKUP(AM1369,Table!$A$11:$B$13,2,FALSE))</f>
        <v>101.03134</v>
      </c>
      <c r="AH1369" s="22">
        <f t="shared" si="1255"/>
        <v>96</v>
      </c>
      <c r="AI1369" s="18">
        <f t="shared" si="1248"/>
        <v>3.71</v>
      </c>
      <c r="AJ1369" s="18">
        <f t="shared" si="1249"/>
        <v>3.71</v>
      </c>
      <c r="AK1369" t="str">
        <f t="shared" si="1234"/>
        <v/>
      </c>
      <c r="AL1369">
        <f t="shared" si="1245"/>
        <v>25.5</v>
      </c>
      <c r="AM1369" s="11" t="str">
        <f t="shared" si="1235"/>
        <v>Stocks</v>
      </c>
      <c r="AN1369" t="str">
        <f t="shared" si="1240"/>
        <v>Buy</v>
      </c>
      <c r="AO1369" s="13">
        <f t="shared" si="1241"/>
        <v>-8.9999999999999993E-3</v>
      </c>
      <c r="AP1369" s="13">
        <f t="shared" si="1242"/>
        <v>6.9999999999999999E-4</v>
      </c>
      <c r="AQ1369" s="13">
        <f t="shared" si="1243"/>
        <v>-8.6E-3</v>
      </c>
      <c r="AR1369" s="13">
        <f t="shared" si="1244"/>
        <v>-8.9999999999999993E-3</v>
      </c>
      <c r="AS1369" s="6">
        <f t="shared" si="1228"/>
        <v>102.97130904888152</v>
      </c>
      <c r="AT1369" s="6">
        <f t="shared" si="1229"/>
        <v>100.64182302161956</v>
      </c>
      <c r="AU1369" s="6">
        <f t="shared" si="1230"/>
        <v>102.69095925873486</v>
      </c>
      <c r="AV1369" s="6">
        <f t="shared" si="1231"/>
        <v>102.97130904888152</v>
      </c>
      <c r="AW1369" s="58">
        <f t="shared" si="1236"/>
        <v>1992</v>
      </c>
      <c r="AX1369" s="58">
        <f>COUNTIF(AW$3:AW1369,AW1369)</f>
        <v>30</v>
      </c>
    </row>
    <row r="1370" spans="1:50" x14ac:dyDescent="0.25">
      <c r="A1370" s="5">
        <v>33755</v>
      </c>
      <c r="B1370">
        <v>415.35</v>
      </c>
      <c r="C1370">
        <v>3.71</v>
      </c>
      <c r="D1370" s="6">
        <v>13.73</v>
      </c>
      <c r="E1370" s="18">
        <f t="shared" si="1250"/>
        <v>14.73</v>
      </c>
      <c r="F1370">
        <f t="shared" si="1251"/>
        <v>1</v>
      </c>
      <c r="G1370" s="18">
        <f>ROUND(INDEX(Valuation!U:U,MATCH(A1370,Valuation!A:A,0)),2)</f>
        <v>215.91</v>
      </c>
      <c r="H1370">
        <f t="shared" si="1222"/>
        <v>3</v>
      </c>
      <c r="I1370" s="18">
        <f>INDEX(WeeklyIndicators!Y:Y,MATCH(A1370,WeeklyIndicators!A:A,0))</f>
        <v>118.65</v>
      </c>
      <c r="J1370">
        <f t="shared" si="1247"/>
        <v>-1</v>
      </c>
      <c r="K1370">
        <f>ROUND(INDEX(Economic!AF:AF,MATCH(EOMONTH($A1370,-1),Economic!A:A,0)),2)</f>
        <v>113.63</v>
      </c>
      <c r="L1370" s="11">
        <f t="shared" si="1256"/>
        <v>1</v>
      </c>
      <c r="M1370">
        <f>ROUND(INDEX(Manufacturing!P:P,MATCH(EOMONTH($A1370,-1),Manufacturing!A:A,0)),2)</f>
        <v>107.69</v>
      </c>
      <c r="N1370">
        <f t="shared" si="1252"/>
        <v>2</v>
      </c>
      <c r="O1370">
        <f>ROUND(INDEX(Housing!AC:AC,MATCH(EOMONTH($A1370,-1),Housing!B:B,0)),2)</f>
        <v>68.66</v>
      </c>
      <c r="P1370">
        <f t="shared" si="1253"/>
        <v>-2</v>
      </c>
      <c r="Q1370">
        <f>ROUND(INDEX(Spending!AJ:AJ,MATCH(EOMONTH($A1370,-1),Spending!B:B,0)),2)</f>
        <v>37.03</v>
      </c>
      <c r="R1370">
        <f t="shared" si="1257"/>
        <v>-1</v>
      </c>
      <c r="S1370">
        <f>ROUND(INDEX(Employment!V:V,MATCH(EOMONTH($A1370,-1),Employment!A:A,0)),2)</f>
        <v>135.31</v>
      </c>
      <c r="T1370" s="11">
        <f t="shared" si="1254"/>
        <v>-2</v>
      </c>
      <c r="U1370">
        <f t="shared" si="1246"/>
        <v>21</v>
      </c>
      <c r="V1370">
        <f t="shared" si="1237"/>
        <v>68.38</v>
      </c>
      <c r="W1370" s="13">
        <f t="shared" si="1238"/>
        <v>1E-3</v>
      </c>
      <c r="X1370" s="13">
        <f t="shared" si="1239"/>
        <v>1.1699999999999999E-2</v>
      </c>
      <c r="Y1370">
        <f t="shared" si="1232"/>
        <v>81.61</v>
      </c>
      <c r="Z1370" s="13">
        <f t="shared" si="1227"/>
        <v>3.8999999999999998E-3</v>
      </c>
      <c r="AA1370" s="13">
        <f t="shared" si="1223"/>
        <v>2.1700000000000001E-2</v>
      </c>
      <c r="AB1370" s="6">
        <f t="shared" si="1233"/>
        <v>99.550999999999988</v>
      </c>
      <c r="AC1370">
        <f t="shared" si="1225"/>
        <v>50</v>
      </c>
      <c r="AD1370" s="11">
        <f t="shared" si="1226"/>
        <v>2</v>
      </c>
      <c r="AE1370">
        <f t="shared" si="1224"/>
        <v>25</v>
      </c>
      <c r="AF1370">
        <f>IF(AND(AE1370&lt;15,OR(AC1370&gt;=30,AA1370&gt;0.15,X1370&gt;=0.15)),2,VLOOKUP(AE1370,Table!P:Q,2,FALSE))</f>
        <v>3</v>
      </c>
      <c r="AG1370" s="22">
        <f>IF((AB1370*0.98)-(D1370*0.8)+((AF1370-3)*3)+VLOOKUP(AM1370,Table!$A$11:$B$13,2,FALSE)&lt;0,0,(AB1370*0.98)-(D1370*0.8)+((AF1370-3)*3)+VLOOKUP(AM1370,Table!$A$11:$B$13,2,FALSE))</f>
        <v>94.575979999999987</v>
      </c>
      <c r="AH1370" s="22">
        <f t="shared" si="1255"/>
        <v>93</v>
      </c>
      <c r="AI1370" s="18">
        <f t="shared" si="1248"/>
        <v>3.71</v>
      </c>
      <c r="AJ1370" s="18">
        <f t="shared" si="1249"/>
        <v>3.71</v>
      </c>
      <c r="AK1370" t="str">
        <f t="shared" si="1234"/>
        <v/>
      </c>
      <c r="AL1370">
        <f t="shared" si="1245"/>
        <v>25</v>
      </c>
      <c r="AM1370" s="11" t="str">
        <f t="shared" si="1235"/>
        <v>Stocks</v>
      </c>
      <c r="AN1370" t="str">
        <f t="shared" si="1240"/>
        <v>Buy</v>
      </c>
      <c r="AO1370" s="13">
        <f t="shared" si="1241"/>
        <v>-4.4999999999999997E-3</v>
      </c>
      <c r="AP1370" s="13">
        <f t="shared" si="1242"/>
        <v>6.9999999999999999E-4</v>
      </c>
      <c r="AQ1370" s="13">
        <f t="shared" si="1243"/>
        <v>-4.1000000000000003E-3</v>
      </c>
      <c r="AR1370" s="13">
        <f t="shared" si="1244"/>
        <v>-4.4999999999999997E-3</v>
      </c>
      <c r="AS1370" s="6">
        <f t="shared" si="1228"/>
        <v>103.4367745342858</v>
      </c>
      <c r="AT1370" s="6">
        <f t="shared" si="1229"/>
        <v>100.57142302550172</v>
      </c>
      <c r="AU1370" s="6">
        <f t="shared" si="1230"/>
        <v>103.1137255334219</v>
      </c>
      <c r="AV1370" s="6">
        <f t="shared" si="1231"/>
        <v>103.4367745342858</v>
      </c>
      <c r="AW1370" s="58">
        <f t="shared" si="1236"/>
        <v>1992</v>
      </c>
      <c r="AX1370" s="58">
        <f>COUNTIF(AW$3:AW1370,AW1370)</f>
        <v>31</v>
      </c>
    </row>
    <row r="1371" spans="1:50" x14ac:dyDescent="0.25">
      <c r="A1371" s="5">
        <v>33748</v>
      </c>
      <c r="B1371">
        <v>414.02</v>
      </c>
      <c r="C1371">
        <v>3.61</v>
      </c>
      <c r="D1371" s="6">
        <v>14.82</v>
      </c>
      <c r="E1371" s="18">
        <f t="shared" si="1250"/>
        <v>15.69</v>
      </c>
      <c r="F1371">
        <f t="shared" si="1251"/>
        <v>1</v>
      </c>
      <c r="G1371" s="18">
        <f>ROUND(INDEX(Valuation!U:U,MATCH(A1371,Valuation!A:A,0)),2)</f>
        <v>216.07</v>
      </c>
      <c r="H1371">
        <f t="shared" si="1222"/>
        <v>3</v>
      </c>
      <c r="I1371" s="18">
        <f>INDEX(WeeklyIndicators!Y:Y,MATCH(A1371,WeeklyIndicators!A:A,0))</f>
        <v>118.09</v>
      </c>
      <c r="J1371">
        <f t="shared" si="1247"/>
        <v>-1</v>
      </c>
      <c r="K1371">
        <f>ROUND(INDEX(Economic!AF:AF,MATCH(EOMONTH($A1371,-1),Economic!A:A,0)),2)</f>
        <v>113.63</v>
      </c>
      <c r="L1371" s="11">
        <f t="shared" si="1256"/>
        <v>1</v>
      </c>
      <c r="M1371">
        <f>ROUND(INDEX(Manufacturing!P:P,MATCH(EOMONTH($A1371,-1),Manufacturing!A:A,0)),2)</f>
        <v>107.69</v>
      </c>
      <c r="N1371">
        <f t="shared" si="1252"/>
        <v>2</v>
      </c>
      <c r="O1371">
        <f>ROUND(INDEX(Housing!AC:AC,MATCH(EOMONTH($A1371,-1),Housing!B:B,0)),2)</f>
        <v>68.66</v>
      </c>
      <c r="P1371">
        <f t="shared" si="1253"/>
        <v>-2</v>
      </c>
      <c r="Q1371">
        <f>ROUND(INDEX(Spending!AJ:AJ,MATCH(EOMONTH($A1371,-1),Spending!B:B,0)),2)</f>
        <v>37.03</v>
      </c>
      <c r="R1371">
        <f t="shared" si="1257"/>
        <v>-1</v>
      </c>
      <c r="S1371">
        <f>ROUND(INDEX(Employment!V:V,MATCH(EOMONTH($A1371,-1),Employment!A:A,0)),2)</f>
        <v>135.31</v>
      </c>
      <c r="T1371" s="11">
        <f t="shared" si="1254"/>
        <v>-2</v>
      </c>
      <c r="U1371">
        <f t="shared" si="1246"/>
        <v>21</v>
      </c>
      <c r="V1371">
        <f t="shared" si="1237"/>
        <v>68.319999999999993</v>
      </c>
      <c r="W1371" s="13">
        <f t="shared" si="1238"/>
        <v>8.9999999999999998E-4</v>
      </c>
      <c r="X1371" s="13">
        <f t="shared" si="1239"/>
        <v>1.5099999999999999E-2</v>
      </c>
      <c r="Y1371">
        <f t="shared" si="1232"/>
        <v>81.239999999999995</v>
      </c>
      <c r="Z1371" s="13">
        <f t="shared" si="1227"/>
        <v>3.8E-3</v>
      </c>
      <c r="AA1371" s="13">
        <f t="shared" si="1223"/>
        <v>2.2800000000000001E-2</v>
      </c>
      <c r="AB1371" s="6">
        <f t="shared" si="1233"/>
        <v>99.307000000000002</v>
      </c>
      <c r="AC1371">
        <f t="shared" si="1225"/>
        <v>50</v>
      </c>
      <c r="AD1371" s="11">
        <f t="shared" si="1226"/>
        <v>2</v>
      </c>
      <c r="AE1371">
        <f t="shared" si="1224"/>
        <v>25</v>
      </c>
      <c r="AF1371">
        <f>IF(AND(AE1371&lt;15,OR(AC1371&gt;=30,AA1371&gt;0.15,X1371&gt;=0.15)),2,VLOOKUP(AE1371,Table!P:Q,2,FALSE))</f>
        <v>3</v>
      </c>
      <c r="AG1371" s="22">
        <f>IF((AB1371*0.98)-(D1371*0.8)+((AF1371-3)*3)+VLOOKUP(AM1371,Table!$A$11:$B$13,2,FALSE)&lt;0,0,(AB1371*0.98)-(D1371*0.8)+((AF1371-3)*3)+VLOOKUP(AM1371,Table!$A$11:$B$13,2,FALSE))</f>
        <v>93.464859999999987</v>
      </c>
      <c r="AH1371" s="22">
        <f t="shared" si="1255"/>
        <v>92</v>
      </c>
      <c r="AI1371" s="18">
        <f t="shared" si="1248"/>
        <v>3.71</v>
      </c>
      <c r="AJ1371" s="18">
        <f t="shared" si="1249"/>
        <v>3.71</v>
      </c>
      <c r="AK1371" t="str">
        <f t="shared" si="1234"/>
        <v/>
      </c>
      <c r="AL1371">
        <f t="shared" si="1245"/>
        <v>25</v>
      </c>
      <c r="AM1371" s="11" t="str">
        <f t="shared" si="1235"/>
        <v>Stocks</v>
      </c>
      <c r="AN1371" t="str">
        <f t="shared" si="1240"/>
        <v>Buy</v>
      </c>
      <c r="AO1371" s="13">
        <f t="shared" si="1241"/>
        <v>3.2000000000000002E-3</v>
      </c>
      <c r="AP1371" s="13">
        <f t="shared" si="1242"/>
        <v>6.9999999999999999E-4</v>
      </c>
      <c r="AQ1371" s="13">
        <f t="shared" si="1243"/>
        <v>3.0000000000000001E-3</v>
      </c>
      <c r="AR1371" s="13">
        <f t="shared" si="1244"/>
        <v>3.2000000000000002E-3</v>
      </c>
      <c r="AS1371" s="6">
        <f t="shared" si="1228"/>
        <v>103.10683266974262</v>
      </c>
      <c r="AT1371" s="6">
        <f t="shared" si="1229"/>
        <v>100.50107227490929</v>
      </c>
      <c r="AU1371" s="6">
        <f t="shared" si="1230"/>
        <v>102.80530960460808</v>
      </c>
      <c r="AV1371" s="6">
        <f t="shared" si="1231"/>
        <v>103.10683266974262</v>
      </c>
      <c r="AW1371" s="58">
        <f t="shared" si="1236"/>
        <v>1992</v>
      </c>
      <c r="AX1371" s="58">
        <f>COUNTIF(AW$3:AW1371,AW1371)</f>
        <v>32</v>
      </c>
    </row>
    <row r="1372" spans="1:50" x14ac:dyDescent="0.25">
      <c r="A1372" s="5">
        <v>33741</v>
      </c>
      <c r="B1372">
        <v>410.09</v>
      </c>
      <c r="C1372">
        <v>3.6</v>
      </c>
      <c r="D1372" s="6">
        <v>15.65</v>
      </c>
      <c r="E1372" s="18">
        <f t="shared" si="1250"/>
        <v>15.99</v>
      </c>
      <c r="F1372">
        <f t="shared" si="1251"/>
        <v>1</v>
      </c>
      <c r="G1372" s="18">
        <f>ROUND(INDEX(Valuation!U:U,MATCH(A1372,Valuation!A:A,0)),2)</f>
        <v>215.36</v>
      </c>
      <c r="H1372">
        <f t="shared" ref="H1372:H1378" si="1258">IF(G1372&gt;200,3,IF(AND(G1372&gt;160,G1372&lt;=200),2,IF(AND(G1372&gt;120,G1372&lt;=160),1,IF(G1372&lt;25,-3,IF(AND(G1372&lt;50,G1372&gt;=25),-2,IF(AND(G1372&lt;90,G1372&gt;=50),-1,0))))))</f>
        <v>3</v>
      </c>
      <c r="I1372" s="18">
        <f>INDEX(WeeklyIndicators!Y:Y,MATCH(A1372,WeeklyIndicators!A:A,0))</f>
        <v>117.31</v>
      </c>
      <c r="J1372">
        <f t="shared" si="1247"/>
        <v>-1</v>
      </c>
      <c r="K1372">
        <f>ROUND(INDEX(Economic!AF:AF,MATCH(EOMONTH($A1372,-1),Economic!A:A,0)),2)</f>
        <v>113.63</v>
      </c>
      <c r="L1372" s="11">
        <f t="shared" si="1256"/>
        <v>1</v>
      </c>
      <c r="M1372">
        <f>ROUND(INDEX(Manufacturing!P:P,MATCH(EOMONTH($A1372,-1),Manufacturing!A:A,0)),2)</f>
        <v>107.69</v>
      </c>
      <c r="N1372">
        <f t="shared" si="1252"/>
        <v>2</v>
      </c>
      <c r="O1372">
        <f>ROUND(INDEX(Housing!AC:AC,MATCH(EOMONTH($A1372,-1),Housing!B:B,0)),2)</f>
        <v>68.66</v>
      </c>
      <c r="P1372">
        <f t="shared" si="1253"/>
        <v>-2</v>
      </c>
      <c r="Q1372">
        <f>ROUND(INDEX(Spending!AJ:AJ,MATCH(EOMONTH($A1372,-1),Spending!B:B,0)),2)</f>
        <v>37.03</v>
      </c>
      <c r="R1372">
        <f t="shared" si="1257"/>
        <v>-1</v>
      </c>
      <c r="S1372">
        <f>ROUND(INDEX(Employment!V:V,MATCH(EOMONTH($A1372,-1),Employment!A:A,0)),2)</f>
        <v>135.31</v>
      </c>
      <c r="T1372" s="11">
        <f t="shared" si="1254"/>
        <v>-2</v>
      </c>
      <c r="U1372">
        <f t="shared" si="1246"/>
        <v>21</v>
      </c>
      <c r="V1372">
        <f t="shared" si="1237"/>
        <v>68.239999999999995</v>
      </c>
      <c r="W1372" s="13">
        <f t="shared" si="1238"/>
        <v>5.1999999999999998E-3</v>
      </c>
      <c r="X1372" s="13">
        <f t="shared" si="1239"/>
        <v>1.5300000000000001E-2</v>
      </c>
      <c r="Y1372">
        <f t="shared" si="1232"/>
        <v>80.97</v>
      </c>
      <c r="Z1372" s="13">
        <f t="shared" si="1227"/>
        <v>7.7000000000000002E-3</v>
      </c>
      <c r="AA1372" s="13">
        <f t="shared" si="1223"/>
        <v>2.0299999999999999E-2</v>
      </c>
      <c r="AB1372" s="6">
        <f t="shared" si="1233"/>
        <v>98.796000000000006</v>
      </c>
      <c r="AC1372">
        <f t="shared" si="1225"/>
        <v>49</v>
      </c>
      <c r="AD1372" s="11">
        <f t="shared" si="1226"/>
        <v>2</v>
      </c>
      <c r="AE1372">
        <f t="shared" si="1224"/>
        <v>25</v>
      </c>
      <c r="AF1372">
        <f>IF(AND(AE1372&lt;15,OR(AC1372&gt;=30,AA1372&gt;0.15,X1372&gt;=0.15)),2,VLOOKUP(AE1372,Table!P:Q,2,FALSE))</f>
        <v>3</v>
      </c>
      <c r="AG1372" s="22">
        <f>IF((AB1372*0.98)-(D1372*0.8)+((AF1372-3)*3)+VLOOKUP(AM1372,Table!$A$11:$B$13,2,FALSE)&lt;0,0,(AB1372*0.98)-(D1372*0.8)+((AF1372-3)*3)+VLOOKUP(AM1372,Table!$A$11:$B$13,2,FALSE))</f>
        <v>92.300080000000008</v>
      </c>
      <c r="AH1372" s="22">
        <f t="shared" si="1255"/>
        <v>91</v>
      </c>
      <c r="AI1372" s="18">
        <f t="shared" si="1248"/>
        <v>3.72</v>
      </c>
      <c r="AJ1372" s="18">
        <f t="shared" si="1249"/>
        <v>3.72</v>
      </c>
      <c r="AK1372" t="str">
        <f t="shared" si="1234"/>
        <v/>
      </c>
      <c r="AL1372">
        <f t="shared" si="1245"/>
        <v>24.5</v>
      </c>
      <c r="AM1372" s="11" t="str">
        <f t="shared" si="1235"/>
        <v>Stocks</v>
      </c>
      <c r="AN1372" t="str">
        <f t="shared" si="1240"/>
        <v>Buy</v>
      </c>
      <c r="AO1372" s="13">
        <f t="shared" si="1241"/>
        <v>9.5999999999999992E-3</v>
      </c>
      <c r="AP1372" s="13">
        <f t="shared" si="1242"/>
        <v>6.9999999999999999E-4</v>
      </c>
      <c r="AQ1372" s="13">
        <f t="shared" si="1243"/>
        <v>8.8000000000000005E-3</v>
      </c>
      <c r="AR1372" s="13">
        <f t="shared" si="1244"/>
        <v>9.5999999999999992E-3</v>
      </c>
      <c r="AS1372" s="6">
        <f t="shared" si="1228"/>
        <v>102.12641904689244</v>
      </c>
      <c r="AT1372" s="6">
        <f t="shared" si="1229"/>
        <v>100.43077073539452</v>
      </c>
      <c r="AU1372" s="6">
        <f t="shared" si="1230"/>
        <v>101.908514675464</v>
      </c>
      <c r="AV1372" s="6">
        <f t="shared" si="1231"/>
        <v>102.12641904689244</v>
      </c>
      <c r="AW1372" s="58">
        <f t="shared" si="1236"/>
        <v>1992</v>
      </c>
      <c r="AX1372" s="58">
        <f>COUNTIF(AW$3:AW1372,AW1372)</f>
        <v>33</v>
      </c>
    </row>
    <row r="1373" spans="1:50" x14ac:dyDescent="0.25">
      <c r="A1373" s="5">
        <v>33734</v>
      </c>
      <c r="B1373">
        <v>416.05</v>
      </c>
      <c r="C1373">
        <v>3.63</v>
      </c>
      <c r="D1373" s="6">
        <v>16.610001</v>
      </c>
      <c r="E1373" s="18">
        <f t="shared" si="1250"/>
        <v>15.72</v>
      </c>
      <c r="F1373">
        <f t="shared" si="1251"/>
        <v>1</v>
      </c>
      <c r="G1373" s="18">
        <f>ROUND(INDEX(Valuation!U:U,MATCH(A1373,Valuation!A:A,0)),2)</f>
        <v>212.35</v>
      </c>
      <c r="H1373">
        <f t="shared" si="1258"/>
        <v>3</v>
      </c>
      <c r="I1373" s="18">
        <f>INDEX(WeeklyIndicators!Y:Y,MATCH(A1373,WeeklyIndicators!A:A,0))</f>
        <v>116.63</v>
      </c>
      <c r="J1373">
        <f t="shared" si="1247"/>
        <v>-1</v>
      </c>
      <c r="K1373">
        <f>ROUND(INDEX(Economic!AF:AF,MATCH(EOMONTH($A1373,-1),Economic!A:A,0)),2)</f>
        <v>113.63</v>
      </c>
      <c r="L1373" s="11">
        <f t="shared" si="1256"/>
        <v>1</v>
      </c>
      <c r="M1373">
        <f>ROUND(INDEX(Manufacturing!P:P,MATCH(EOMONTH($A1373,-1),Manufacturing!A:A,0)),2)</f>
        <v>107.69</v>
      </c>
      <c r="N1373">
        <f t="shared" si="1252"/>
        <v>2</v>
      </c>
      <c r="O1373">
        <f>ROUND(INDEX(Housing!AC:AC,MATCH(EOMONTH($A1373,-1),Housing!B:B,0)),2)</f>
        <v>68.66</v>
      </c>
      <c r="P1373">
        <f t="shared" si="1253"/>
        <v>-2</v>
      </c>
      <c r="Q1373">
        <f>ROUND(INDEX(Spending!AJ:AJ,MATCH(EOMONTH($A1373,-1),Spending!B:B,0)),2)</f>
        <v>37.03</v>
      </c>
      <c r="R1373">
        <f t="shared" si="1257"/>
        <v>-1</v>
      </c>
      <c r="S1373">
        <f>ROUND(INDEX(Employment!V:V,MATCH(EOMONTH($A1373,-1),Employment!A:A,0)),2)</f>
        <v>135.31</v>
      </c>
      <c r="T1373" s="11">
        <f t="shared" si="1254"/>
        <v>-2</v>
      </c>
      <c r="U1373">
        <f t="shared" si="1246"/>
        <v>21</v>
      </c>
      <c r="V1373">
        <f t="shared" si="1237"/>
        <v>68.17</v>
      </c>
      <c r="W1373" s="13">
        <f t="shared" si="1238"/>
        <v>4.5999999999999999E-3</v>
      </c>
      <c r="X1373" s="13">
        <f t="shared" si="1239"/>
        <v>1.0700000000000001E-2</v>
      </c>
      <c r="Y1373">
        <f t="shared" si="1232"/>
        <v>80.66</v>
      </c>
      <c r="Z1373" s="13">
        <f t="shared" si="1227"/>
        <v>6.3E-3</v>
      </c>
      <c r="AA1373" s="13">
        <f t="shared" si="1223"/>
        <v>1.3299999999999999E-2</v>
      </c>
      <c r="AB1373" s="6">
        <f t="shared" si="1233"/>
        <v>97.665000000000006</v>
      </c>
      <c r="AC1373">
        <f t="shared" si="1225"/>
        <v>49</v>
      </c>
      <c r="AD1373" s="11">
        <f t="shared" si="1226"/>
        <v>2</v>
      </c>
      <c r="AE1373">
        <f t="shared" si="1224"/>
        <v>25</v>
      </c>
      <c r="AF1373">
        <f>IF(AND(AE1373&lt;15,OR(AC1373&gt;=30,AA1373&gt;0.15,X1373&gt;=0.15)),2,VLOOKUP(AE1373,Table!P:Q,2,FALSE))</f>
        <v>3</v>
      </c>
      <c r="AG1373" s="22">
        <f>IF((AB1373*0.98)-(D1373*0.8)+((AF1373-3)*3)+VLOOKUP(AM1373,Table!$A$11:$B$13,2,FALSE)&lt;0,0,(AB1373*0.98)-(D1373*0.8)+((AF1373-3)*3)+VLOOKUP(AM1373,Table!$A$11:$B$13,2,FALSE))</f>
        <v>90.423699200000001</v>
      </c>
      <c r="AH1373" s="22">
        <f t="shared" si="1255"/>
        <v>90</v>
      </c>
      <c r="AI1373" s="18">
        <f t="shared" si="1248"/>
        <v>3.74</v>
      </c>
      <c r="AJ1373" s="18">
        <f t="shared" si="1249"/>
        <v>3.74</v>
      </c>
      <c r="AK1373" t="str">
        <f t="shared" si="1234"/>
        <v/>
      </c>
      <c r="AL1373">
        <f t="shared" si="1245"/>
        <v>24</v>
      </c>
      <c r="AM1373" s="11" t="str">
        <f t="shared" si="1235"/>
        <v>Stocks</v>
      </c>
      <c r="AN1373" t="str">
        <f t="shared" si="1240"/>
        <v>Buy</v>
      </c>
      <c r="AO1373" s="13">
        <f t="shared" si="1241"/>
        <v>-1.43E-2</v>
      </c>
      <c r="AP1373" s="13">
        <f t="shared" si="1242"/>
        <v>6.9999999999999999E-4</v>
      </c>
      <c r="AQ1373" s="13">
        <f t="shared" si="1243"/>
        <v>-1.2800000000000001E-2</v>
      </c>
      <c r="AR1373" s="13">
        <f t="shared" si="1244"/>
        <v>-1.43E-2</v>
      </c>
      <c r="AS1373" s="6">
        <f t="shared" si="1228"/>
        <v>103.60801364197265</v>
      </c>
      <c r="AT1373" s="6">
        <f t="shared" si="1229"/>
        <v>100.36051837253375</v>
      </c>
      <c r="AU1373" s="6">
        <f t="shared" si="1230"/>
        <v>103.22985684305512</v>
      </c>
      <c r="AV1373" s="6">
        <f t="shared" si="1231"/>
        <v>103.60801364197265</v>
      </c>
      <c r="AW1373" s="58">
        <f t="shared" si="1236"/>
        <v>1992</v>
      </c>
      <c r="AX1373" s="58">
        <f>COUNTIF(AW$3:AW1373,AW1373)</f>
        <v>34</v>
      </c>
    </row>
    <row r="1374" spans="1:50" x14ac:dyDescent="0.25">
      <c r="A1374" s="5">
        <v>33727</v>
      </c>
      <c r="B1374">
        <v>412.53</v>
      </c>
      <c r="C1374">
        <v>3.69</v>
      </c>
      <c r="D1374" s="6">
        <v>15.71</v>
      </c>
      <c r="E1374" s="18">
        <f t="shared" si="1250"/>
        <v>15.8</v>
      </c>
      <c r="F1374">
        <f t="shared" si="1251"/>
        <v>1</v>
      </c>
      <c r="G1374" s="18">
        <f>ROUND(INDEX(Valuation!U:U,MATCH(A1374,Valuation!A:A,0)),2)</f>
        <v>209.91</v>
      </c>
      <c r="H1374">
        <f t="shared" si="1258"/>
        <v>3</v>
      </c>
      <c r="I1374" s="18">
        <f>INDEX(WeeklyIndicators!Y:Y,MATCH(A1374,WeeklyIndicators!A:A,0))</f>
        <v>116.3</v>
      </c>
      <c r="J1374">
        <f t="shared" si="1247"/>
        <v>-1</v>
      </c>
      <c r="K1374">
        <f>ROUND(INDEX(Economic!AF:AF,MATCH(EOMONTH($A1374,-1),Economic!A:A,0)),2)</f>
        <v>113.63</v>
      </c>
      <c r="L1374" s="11">
        <f t="shared" si="1256"/>
        <v>1</v>
      </c>
      <c r="M1374">
        <f>ROUND(INDEX(Manufacturing!P:P,MATCH(EOMONTH($A1374,-1),Manufacturing!A:A,0)),2)</f>
        <v>107.69</v>
      </c>
      <c r="N1374">
        <f t="shared" si="1252"/>
        <v>2</v>
      </c>
      <c r="O1374">
        <f>ROUND(INDEX(Housing!AC:AC,MATCH(EOMONTH($A1374,-1),Housing!B:B,0)),2)</f>
        <v>68.66</v>
      </c>
      <c r="P1374">
        <f t="shared" si="1253"/>
        <v>-2</v>
      </c>
      <c r="Q1374">
        <f>ROUND(INDEX(Spending!AJ:AJ,MATCH(EOMONTH($A1374,-1),Spending!B:B,0)),2)</f>
        <v>37.03</v>
      </c>
      <c r="R1374">
        <f t="shared" si="1257"/>
        <v>-1</v>
      </c>
      <c r="S1374">
        <f>ROUND(INDEX(Employment!V:V,MATCH(EOMONTH($A1374,-1),Employment!A:A,0)),2)</f>
        <v>135.31</v>
      </c>
      <c r="T1374" s="11">
        <f t="shared" si="1254"/>
        <v>-2</v>
      </c>
      <c r="U1374">
        <f t="shared" si="1246"/>
        <v>21</v>
      </c>
      <c r="V1374">
        <f t="shared" si="1237"/>
        <v>68.14</v>
      </c>
      <c r="W1374" s="13">
        <f t="shared" si="1238"/>
        <v>4.4000000000000003E-3</v>
      </c>
      <c r="X1374" s="13">
        <f t="shared" si="1239"/>
        <v>8.2000000000000007E-3</v>
      </c>
      <c r="Y1374">
        <f t="shared" si="1232"/>
        <v>80.33</v>
      </c>
      <c r="Z1374" s="13">
        <f t="shared" si="1227"/>
        <v>5.0000000000000001E-3</v>
      </c>
      <c r="AA1374" s="13">
        <f t="shared" si="1223"/>
        <v>9.1000000000000004E-3</v>
      </c>
      <c r="AB1374" s="6">
        <f t="shared" si="1233"/>
        <v>96.781000000000006</v>
      </c>
      <c r="AC1374">
        <f t="shared" si="1225"/>
        <v>48</v>
      </c>
      <c r="AD1374" s="11">
        <f t="shared" si="1226"/>
        <v>2</v>
      </c>
      <c r="AE1374">
        <f t="shared" si="1224"/>
        <v>25</v>
      </c>
      <c r="AF1374">
        <f>IF(AND(AE1374&lt;15,OR(AC1374&gt;=30,AA1374&gt;0.15,X1374&gt;=0.15)),2,VLOOKUP(AE1374,Table!P:Q,2,FALSE))</f>
        <v>3</v>
      </c>
      <c r="AG1374" s="22">
        <f>IF((AB1374*0.98)-(D1374*0.8)+((AF1374-3)*3)+VLOOKUP(AM1374,Table!$A$11:$B$13,2,FALSE)&lt;0,0,(AB1374*0.98)-(D1374*0.8)+((AF1374-3)*3)+VLOOKUP(AM1374,Table!$A$11:$B$13,2,FALSE))</f>
        <v>90.277380000000008</v>
      </c>
      <c r="AH1374" s="22">
        <f t="shared" si="1255"/>
        <v>89</v>
      </c>
      <c r="AI1374" s="18">
        <f t="shared" si="1248"/>
        <v>3.76</v>
      </c>
      <c r="AJ1374" s="18">
        <f t="shared" si="1249"/>
        <v>3.76</v>
      </c>
      <c r="AK1374" t="str">
        <f t="shared" si="1234"/>
        <v/>
      </c>
      <c r="AL1374">
        <f t="shared" si="1245"/>
        <v>23.25</v>
      </c>
      <c r="AM1374" s="11" t="str">
        <f t="shared" si="1235"/>
        <v>Stocks</v>
      </c>
      <c r="AN1374" t="str">
        <f t="shared" si="1240"/>
        <v>Buy</v>
      </c>
      <c r="AO1374" s="13">
        <f t="shared" si="1241"/>
        <v>8.5000000000000006E-3</v>
      </c>
      <c r="AP1374" s="13">
        <f t="shared" si="1242"/>
        <v>6.9999999999999999E-4</v>
      </c>
      <c r="AQ1374" s="13">
        <f t="shared" si="1243"/>
        <v>7.6E-3</v>
      </c>
      <c r="AR1374" s="13">
        <f t="shared" si="1244"/>
        <v>8.5000000000000006E-3</v>
      </c>
      <c r="AS1374" s="6">
        <f t="shared" si="1228"/>
        <v>102.73476811301205</v>
      </c>
      <c r="AT1374" s="6">
        <f t="shared" si="1229"/>
        <v>100.2903151519274</v>
      </c>
      <c r="AU1374" s="6">
        <f t="shared" si="1230"/>
        <v>102.45122751394909</v>
      </c>
      <c r="AV1374" s="6">
        <f t="shared" si="1231"/>
        <v>102.73476811301205</v>
      </c>
      <c r="AW1374" s="58">
        <f t="shared" si="1236"/>
        <v>1992</v>
      </c>
      <c r="AX1374" s="58">
        <f>COUNTIF(AW$3:AW1374,AW1374)</f>
        <v>35</v>
      </c>
    </row>
    <row r="1375" spans="1:50" x14ac:dyDescent="0.25">
      <c r="A1375" s="5">
        <v>33720</v>
      </c>
      <c r="B1375">
        <v>409.02</v>
      </c>
      <c r="C1375">
        <v>3.68</v>
      </c>
      <c r="D1375" s="6">
        <v>14.85</v>
      </c>
      <c r="E1375" s="18">
        <f t="shared" si="1250"/>
        <v>16.14</v>
      </c>
      <c r="F1375">
        <f t="shared" si="1251"/>
        <v>0</v>
      </c>
      <c r="G1375" s="18">
        <f>ROUND(INDEX(Valuation!U:U,MATCH(A1375,Valuation!A:A,0)),2)</f>
        <v>208.64</v>
      </c>
      <c r="H1375">
        <f t="shared" si="1258"/>
        <v>3</v>
      </c>
      <c r="I1375" s="18">
        <f>INDEX(WeeklyIndicators!Y:Y,MATCH(A1375,WeeklyIndicators!A:A,0))</f>
        <v>115.95</v>
      </c>
      <c r="J1375">
        <f t="shared" si="1247"/>
        <v>-1</v>
      </c>
      <c r="K1375">
        <f>ROUND(INDEX(Economic!AF:AF,MATCH(EOMONTH($A1375,-1),Economic!A:A,0)),2)</f>
        <v>107.81</v>
      </c>
      <c r="L1375" s="11">
        <f t="shared" si="1256"/>
        <v>0</v>
      </c>
      <c r="M1375">
        <f>ROUND(INDEX(Manufacturing!P:P,MATCH(EOMONTH($A1375,-1),Manufacturing!A:A,0)),2)</f>
        <v>107.57</v>
      </c>
      <c r="N1375">
        <f t="shared" si="1252"/>
        <v>2</v>
      </c>
      <c r="O1375">
        <f>ROUND(INDEX(Housing!AC:AC,MATCH(EOMONTH($A1375,-1),Housing!B:B,0)),2)</f>
        <v>89.23</v>
      </c>
      <c r="P1375">
        <f t="shared" si="1253"/>
        <v>-1</v>
      </c>
      <c r="Q1375">
        <f>ROUND(INDEX(Spending!AJ:AJ,MATCH(EOMONTH($A1375,-1),Spending!B:B,0)),2)</f>
        <v>29.39</v>
      </c>
      <c r="R1375">
        <f t="shared" si="1257"/>
        <v>-2</v>
      </c>
      <c r="S1375">
        <f>ROUND(INDEX(Employment!V:V,MATCH(EOMONTH($A1375,-1),Employment!A:A,0)),2)</f>
        <v>125.66</v>
      </c>
      <c r="T1375" s="11">
        <f t="shared" si="1254"/>
        <v>-2</v>
      </c>
      <c r="U1375">
        <f t="shared" si="1246"/>
        <v>19</v>
      </c>
      <c r="V1375">
        <f t="shared" si="1237"/>
        <v>67.19</v>
      </c>
      <c r="W1375" s="13">
        <f t="shared" si="1238"/>
        <v>1.1000000000000001E-3</v>
      </c>
      <c r="X1375" s="13">
        <f t="shared" si="1239"/>
        <v>3.8E-3</v>
      </c>
      <c r="Y1375">
        <f t="shared" si="1232"/>
        <v>79.13</v>
      </c>
      <c r="Z1375" s="13">
        <f t="shared" si="1227"/>
        <v>1.2999999999999999E-3</v>
      </c>
      <c r="AA1375" s="13">
        <f t="shared" si="1223"/>
        <v>4.0999999999999995E-3</v>
      </c>
      <c r="AB1375" s="6">
        <f t="shared" si="1233"/>
        <v>95.044000000000011</v>
      </c>
      <c r="AC1375">
        <f t="shared" si="1225"/>
        <v>48</v>
      </c>
      <c r="AD1375" s="11">
        <f t="shared" si="1226"/>
        <v>2</v>
      </c>
      <c r="AE1375">
        <f t="shared" si="1224"/>
        <v>23</v>
      </c>
      <c r="AF1375">
        <f>IF(AND(AE1375&lt;15,OR(AC1375&gt;=30,AA1375&gt;0.15,X1375&gt;=0.15)),2,VLOOKUP(AE1375,Table!P:Q,2,FALSE))</f>
        <v>3</v>
      </c>
      <c r="AG1375" s="22">
        <f>IF((AB1375*0.98)-(D1375*0.8)+((AF1375-3)*3)+VLOOKUP(AM1375,Table!$A$11:$B$13,2,FALSE)&lt;0,0,(AB1375*0.98)-(D1375*0.8)+((AF1375-3)*3)+VLOOKUP(AM1375,Table!$A$11:$B$13,2,FALSE))</f>
        <v>89.263120000000015</v>
      </c>
      <c r="AH1375" s="22">
        <f t="shared" si="1255"/>
        <v>88</v>
      </c>
      <c r="AI1375" s="18">
        <f t="shared" si="1248"/>
        <v>3.78</v>
      </c>
      <c r="AJ1375" s="18">
        <f t="shared" si="1249"/>
        <v>3.78</v>
      </c>
      <c r="AK1375" t="str">
        <f t="shared" si="1234"/>
        <v/>
      </c>
      <c r="AL1375">
        <f t="shared" si="1245"/>
        <v>22.5</v>
      </c>
      <c r="AM1375" s="11" t="str">
        <f t="shared" si="1235"/>
        <v>Stocks</v>
      </c>
      <c r="AN1375" t="str">
        <f t="shared" si="1240"/>
        <v>Buy</v>
      </c>
      <c r="AO1375" s="13">
        <f t="shared" si="1241"/>
        <v>8.6E-3</v>
      </c>
      <c r="AP1375" s="13">
        <f t="shared" si="1242"/>
        <v>6.9999999999999999E-4</v>
      </c>
      <c r="AQ1375" s="13">
        <f t="shared" si="1243"/>
        <v>7.7000000000000002E-3</v>
      </c>
      <c r="AR1375" s="13">
        <f t="shared" si="1244"/>
        <v>8.6E-3</v>
      </c>
      <c r="AS1375" s="6">
        <f t="shared" si="1228"/>
        <v>101.85878258279998</v>
      </c>
      <c r="AT1375" s="6">
        <f t="shared" si="1229"/>
        <v>100.22016103919997</v>
      </c>
      <c r="AU1375" s="6">
        <f t="shared" si="1230"/>
        <v>101.6683809804</v>
      </c>
      <c r="AV1375" s="6">
        <f t="shared" si="1231"/>
        <v>101.85878258279998</v>
      </c>
      <c r="AW1375" s="58">
        <f t="shared" si="1236"/>
        <v>1992</v>
      </c>
      <c r="AX1375" s="58">
        <f>COUNTIF(AW$3:AW1375,AW1375)</f>
        <v>36</v>
      </c>
    </row>
    <row r="1376" spans="1:50" x14ac:dyDescent="0.25">
      <c r="A1376" s="5">
        <v>33713</v>
      </c>
      <c r="B1376">
        <v>416.04</v>
      </c>
      <c r="C1376">
        <v>3.63</v>
      </c>
      <c r="D1376" s="6">
        <v>16.850000000000001</v>
      </c>
      <c r="E1376" s="18">
        <f t="shared" si="1250"/>
        <v>16.53</v>
      </c>
      <c r="F1376">
        <f t="shared" si="1251"/>
        <v>0</v>
      </c>
      <c r="G1376" s="18">
        <f>ROUND(INDEX(Valuation!U:U,MATCH(A1376,Valuation!A:A,0)),2)</f>
        <v>209.72</v>
      </c>
      <c r="H1376">
        <f t="shared" si="1258"/>
        <v>3</v>
      </c>
      <c r="I1376" s="18">
        <f>INDEX(WeeklyIndicators!Y:Y,MATCH(A1376,WeeklyIndicators!A:A,0))</f>
        <v>116.36</v>
      </c>
      <c r="J1376">
        <f t="shared" si="1247"/>
        <v>-1</v>
      </c>
      <c r="K1376">
        <f>ROUND(INDEX(Economic!AF:AF,MATCH(EOMONTH($A1376,-1),Economic!A:A,0)),2)</f>
        <v>107.81</v>
      </c>
      <c r="L1376" s="11">
        <f t="shared" si="1256"/>
        <v>0</v>
      </c>
      <c r="M1376">
        <f>ROUND(INDEX(Manufacturing!P:P,MATCH(EOMONTH($A1376,-1),Manufacturing!A:A,0)),2)</f>
        <v>107.57</v>
      </c>
      <c r="N1376">
        <f t="shared" si="1252"/>
        <v>2</v>
      </c>
      <c r="O1376">
        <f>ROUND(INDEX(Housing!AC:AC,MATCH(EOMONTH($A1376,-1),Housing!B:B,0)),2)</f>
        <v>89.23</v>
      </c>
      <c r="P1376">
        <f t="shared" si="1253"/>
        <v>-1</v>
      </c>
      <c r="Q1376">
        <f>ROUND(INDEX(Spending!AJ:AJ,MATCH(EOMONTH($A1376,-1),Spending!B:B,0)),2)</f>
        <v>29.39</v>
      </c>
      <c r="R1376">
        <f t="shared" si="1257"/>
        <v>-2</v>
      </c>
      <c r="S1376">
        <f>ROUND(INDEX(Employment!V:V,MATCH(EOMONTH($A1376,-1),Employment!A:A,0)),2)</f>
        <v>125.66</v>
      </c>
      <c r="T1376" s="11">
        <f t="shared" si="1254"/>
        <v>-2</v>
      </c>
      <c r="U1376">
        <f t="shared" si="1246"/>
        <v>19</v>
      </c>
      <c r="V1376">
        <f t="shared" si="1237"/>
        <v>67.239999999999995</v>
      </c>
      <c r="W1376" s="13">
        <f t="shared" si="1238"/>
        <v>5.9999999999999995E-4</v>
      </c>
      <c r="X1376" s="13">
        <f t="shared" si="1239"/>
        <v>2.6999999999999997E-3</v>
      </c>
      <c r="Y1376">
        <f t="shared" si="1232"/>
        <v>79.150000000000006</v>
      </c>
      <c r="Z1376" s="13">
        <f>ROUND((AVERAGE(Y1376:Y1378)-AVERAGE(Y1377:Y1378))/AVERAGE(Y1377:Y1378),4)</f>
        <v>6.9999999999999999E-4</v>
      </c>
      <c r="AA1376" s="13">
        <f>SUM(Z1376:Z1378)</f>
        <v>2.8E-3</v>
      </c>
      <c r="AB1376" s="6">
        <f t="shared" si="1233"/>
        <v>95.081999999999994</v>
      </c>
      <c r="AC1376">
        <f t="shared" si="1225"/>
        <v>48</v>
      </c>
      <c r="AD1376" s="11">
        <f t="shared" si="1226"/>
        <v>2</v>
      </c>
      <c r="AE1376">
        <f t="shared" si="1224"/>
        <v>23</v>
      </c>
      <c r="AF1376">
        <f>IF(AND(AE1376&lt;15,OR(AC1376&gt;=30,AA1376&gt;0.15,X1376&gt;=0.15)),2,VLOOKUP(AE1376,Table!P:Q,2,FALSE))</f>
        <v>3</v>
      </c>
      <c r="AG1376" s="22">
        <f>IF((AB1376*0.98)-(D1376*0.8)+((AF1376-3)*3)+VLOOKUP(AM1376,Table!$A$11:$B$13,2,FALSE)&lt;0,0,(AB1376*0.98)-(D1376*0.8)+((AF1376-3)*3)+VLOOKUP(AM1376,Table!$A$11:$B$13,2,FALSE))</f>
        <v>87.700359999999989</v>
      </c>
      <c r="AH1376" s="22">
        <f t="shared" si="1255"/>
        <v>88</v>
      </c>
      <c r="AI1376" s="18">
        <f t="shared" si="1248"/>
        <v>3.81</v>
      </c>
      <c r="AJ1376" s="18">
        <f t="shared" si="1249"/>
        <v>3.81</v>
      </c>
      <c r="AK1376" t="str">
        <f t="shared" si="1234"/>
        <v/>
      </c>
      <c r="AL1376">
        <f t="shared" si="1245"/>
        <v>22.33</v>
      </c>
      <c r="AM1376" s="11" t="str">
        <f t="shared" si="1235"/>
        <v>Stocks</v>
      </c>
      <c r="AN1376" t="str">
        <f t="shared" si="1240"/>
        <v>Buy</v>
      </c>
      <c r="AO1376" s="13">
        <f t="shared" si="1241"/>
        <v>-1.6899999999999998E-2</v>
      </c>
      <c r="AP1376" s="13">
        <f t="shared" si="1242"/>
        <v>6.9999999999999999E-4</v>
      </c>
      <c r="AQ1376" s="13">
        <f t="shared" si="1243"/>
        <v>-1.4800000000000001E-2</v>
      </c>
      <c r="AR1376" s="13">
        <f t="shared" si="1244"/>
        <v>-1.6899999999999998E-2</v>
      </c>
      <c r="AS1376" s="6">
        <f t="shared" si="1228"/>
        <v>103.60978799999998</v>
      </c>
      <c r="AT1376" s="6">
        <f t="shared" si="1229"/>
        <v>100.15005599999998</v>
      </c>
      <c r="AU1376" s="6">
        <f t="shared" si="1230"/>
        <v>103.195677</v>
      </c>
      <c r="AV1376" s="6">
        <f t="shared" si="1231"/>
        <v>103.60978799999998</v>
      </c>
      <c r="AW1376" s="58">
        <f t="shared" si="1236"/>
        <v>1992</v>
      </c>
      <c r="AX1376" s="58">
        <f>COUNTIF(AW$3:AW1376,AW1376)</f>
        <v>37</v>
      </c>
    </row>
    <row r="1377" spans="1:50" x14ac:dyDescent="0.25">
      <c r="A1377" s="5">
        <v>33706</v>
      </c>
      <c r="B1377">
        <v>404.29</v>
      </c>
      <c r="C1377">
        <v>3.8</v>
      </c>
      <c r="D1377" s="6">
        <v>16.719999000000001</v>
      </c>
      <c r="E1377" s="18">
        <f t="shared" si="1250"/>
        <v>16.37</v>
      </c>
      <c r="F1377">
        <f t="shared" si="1251"/>
        <v>0</v>
      </c>
      <c r="G1377" s="18">
        <f>ROUND(INDEX(Valuation!U:U,MATCH(A1377,Valuation!A:A,0)),2)</f>
        <v>208.98</v>
      </c>
      <c r="H1377">
        <f t="shared" si="1258"/>
        <v>3</v>
      </c>
      <c r="I1377" s="18">
        <f>INDEX(WeeklyIndicators!Y:Y,MATCH(A1377,WeeklyIndicators!A:A,0))</f>
        <v>116.49</v>
      </c>
      <c r="J1377">
        <f t="shared" si="1247"/>
        <v>-1</v>
      </c>
      <c r="K1377">
        <f>ROUND(INDEX(Economic!AF:AF,MATCH(EOMONTH($A1377,-1),Economic!A:A,0)),2)</f>
        <v>107.81</v>
      </c>
      <c r="L1377" s="11">
        <f t="shared" si="1256"/>
        <v>0</v>
      </c>
      <c r="M1377">
        <f>ROUND(INDEX(Manufacturing!P:P,MATCH(EOMONTH($A1377,-1),Manufacturing!A:A,0)),2)</f>
        <v>107.57</v>
      </c>
      <c r="N1377">
        <f t="shared" si="1252"/>
        <v>2</v>
      </c>
      <c r="O1377">
        <f>ROUND(INDEX(Housing!AC:AC,MATCH(EOMONTH($A1377,-1),Housing!B:B,0)),2)</f>
        <v>89.23</v>
      </c>
      <c r="P1377">
        <f t="shared" si="1253"/>
        <v>-1</v>
      </c>
      <c r="Q1377">
        <f>ROUND(INDEX(Spending!AJ:AJ,MATCH(EOMONTH($A1377,-1),Spending!B:B,0)),2)</f>
        <v>29.39</v>
      </c>
      <c r="R1377">
        <f t="shared" si="1257"/>
        <v>-2</v>
      </c>
      <c r="S1377">
        <f>ROUND(INDEX(Employment!V:V,MATCH(EOMONTH($A1377,-1),Employment!A:A,0)),2)</f>
        <v>125.66</v>
      </c>
      <c r="T1377" s="11">
        <f t="shared" si="1254"/>
        <v>-2</v>
      </c>
      <c r="U1377">
        <f t="shared" si="1246"/>
        <v>19</v>
      </c>
      <c r="V1377">
        <f t="shared" si="1237"/>
        <v>67.25</v>
      </c>
      <c r="W1377" s="13">
        <f t="shared" si="1238"/>
        <v>2.0999999999999999E-3</v>
      </c>
      <c r="X1377" s="13">
        <f t="shared" si="1239"/>
        <v>2.0999999999999999E-3</v>
      </c>
      <c r="Y1377">
        <f t="shared" si="1232"/>
        <v>79.14</v>
      </c>
      <c r="Z1377" s="13">
        <f>ROUND((AVERAGE(Y1377:Y1378)-AVERAGE(Y1378:Y1378))/AVERAGE(Y1378:Y1378),4)</f>
        <v>2.0999999999999999E-3</v>
      </c>
      <c r="AA1377" s="13">
        <f>SUM(Z1377:Z1378)</f>
        <v>2.0999999999999999E-3</v>
      </c>
      <c r="AB1377" s="6">
        <f t="shared" si="1233"/>
        <v>94.938000000000002</v>
      </c>
      <c r="AC1377">
        <f t="shared" si="1225"/>
        <v>47</v>
      </c>
      <c r="AD1377" s="11">
        <f t="shared" si="1226"/>
        <v>1</v>
      </c>
      <c r="AE1377">
        <f t="shared" si="1224"/>
        <v>22</v>
      </c>
      <c r="AF1377">
        <f>IF(AND(AE1377&lt;15,OR(AC1377&gt;=30,AA1377&gt;0.15,X1377&gt;=0.15)),2,VLOOKUP(AE1377,Table!P:Q,2,FALSE))</f>
        <v>3</v>
      </c>
      <c r="AG1377" s="22">
        <f>IF((AB1377*0.98)-(D1377*0.8)+((AF1377-3)*3)+VLOOKUP(AM1377,Table!$A$11:$B$13,2,FALSE)&lt;0,0,(AB1377*0.98)-(D1377*0.8)+((AF1377-3)*3)+VLOOKUP(AM1377,Table!$A$11:$B$13,2,FALSE))</f>
        <v>87.663240800000011</v>
      </c>
      <c r="AH1377" s="22">
        <f>IF(ROUND(AVERAGE(AG1377:AG1378),0)&lt;0,0,IF(ROUND(AVERAGE(AG1377:AG1378),0)&gt;100,100,ROUND(AVERAGE(AG1377:AG1378),0)))</f>
        <v>88</v>
      </c>
      <c r="AI1377" s="18">
        <f t="shared" si="1248"/>
        <v>3.91</v>
      </c>
      <c r="AJ1377" s="18">
        <f t="shared" si="1249"/>
        <v>3.91</v>
      </c>
      <c r="AK1377" t="str">
        <f t="shared" si="1234"/>
        <v/>
      </c>
      <c r="AL1377">
        <f t="shared" si="1245"/>
        <v>22</v>
      </c>
      <c r="AM1377" s="11" t="str">
        <f t="shared" si="1235"/>
        <v>Stocks</v>
      </c>
      <c r="AN1377" t="str">
        <f t="shared" si="1240"/>
        <v>Buy</v>
      </c>
      <c r="AO1377" s="13">
        <f t="shared" si="1241"/>
        <v>2.9100000000000001E-2</v>
      </c>
      <c r="AP1377" s="13">
        <f t="shared" si="1242"/>
        <v>6.9999999999999999E-4</v>
      </c>
      <c r="AQ1377" s="13">
        <f t="shared" si="1243"/>
        <v>2.5700000000000001E-2</v>
      </c>
      <c r="AR1377" s="13">
        <f t="shared" si="1244"/>
        <v>2.9100000000000001E-2</v>
      </c>
      <c r="AS1377" s="6">
        <f t="shared" si="1228"/>
        <v>100.67999999999999</v>
      </c>
      <c r="AT1377" s="6">
        <f t="shared" si="1229"/>
        <v>100.07999999999998</v>
      </c>
      <c r="AU1377" s="6">
        <f t="shared" si="1230"/>
        <v>100.61</v>
      </c>
      <c r="AV1377" s="6">
        <f t="shared" si="1231"/>
        <v>100.67999999999999</v>
      </c>
      <c r="AW1377" s="58">
        <f t="shared" si="1236"/>
        <v>1992</v>
      </c>
      <c r="AX1377" s="58">
        <f>COUNTIF(AW$3:AW1377,AW1377)</f>
        <v>38</v>
      </c>
    </row>
    <row r="1378" spans="1:50" x14ac:dyDescent="0.25">
      <c r="A1378" s="5">
        <v>33699</v>
      </c>
      <c r="B1378">
        <v>401.55</v>
      </c>
      <c r="C1378">
        <v>4.01</v>
      </c>
      <c r="D1378" s="6">
        <v>16.02</v>
      </c>
      <c r="E1378" s="18">
        <f t="shared" si="1250"/>
        <v>16.02</v>
      </c>
      <c r="F1378">
        <f t="shared" si="1251"/>
        <v>0</v>
      </c>
      <c r="G1378" s="18">
        <f>ROUND(INDEX(Valuation!U:U,MATCH(A1378,Valuation!A:A,0)),2)</f>
        <v>207.45</v>
      </c>
      <c r="H1378">
        <f t="shared" si="1258"/>
        <v>3</v>
      </c>
      <c r="I1378" s="18">
        <f>INDEX(WeeklyIndicators!Y:Y,MATCH(A1378,WeeklyIndicators!A:A,0))</f>
        <v>113.78</v>
      </c>
      <c r="J1378">
        <f t="shared" si="1247"/>
        <v>-1</v>
      </c>
      <c r="K1378">
        <f>ROUND(INDEX(Economic!AF:AF,MATCH(EOMONTH($A1378,-1),Economic!A:A,0)),2)</f>
        <v>107.81</v>
      </c>
      <c r="L1378" s="11">
        <f t="shared" si="1256"/>
        <v>0</v>
      </c>
      <c r="M1378">
        <f>ROUND(INDEX(Manufacturing!P:P,MATCH(EOMONTH($A1378,-1),Manufacturing!A:A,0)),2)</f>
        <v>107.57</v>
      </c>
      <c r="N1378">
        <f t="shared" si="1252"/>
        <v>2</v>
      </c>
      <c r="O1378">
        <f>ROUND(INDEX(Housing!AC:AC,MATCH(EOMONTH($A1378,-1),Housing!B:B,0)),2)</f>
        <v>89.23</v>
      </c>
      <c r="P1378">
        <f t="shared" si="1253"/>
        <v>-1</v>
      </c>
      <c r="Q1378">
        <f>ROUND(INDEX(Spending!AJ:AJ,MATCH(EOMONTH($A1378,-1),Spending!B:B,0)),2)</f>
        <v>29.39</v>
      </c>
      <c r="R1378">
        <f t="shared" si="1257"/>
        <v>-2</v>
      </c>
      <c r="S1378">
        <f>ROUND(INDEX(Employment!V:V,MATCH(EOMONTH($A1378,-1),Employment!A:A,0)),2)</f>
        <v>125.66</v>
      </c>
      <c r="T1378" s="11">
        <f t="shared" si="1254"/>
        <v>-2</v>
      </c>
      <c r="U1378">
        <f t="shared" si="1246"/>
        <v>19</v>
      </c>
      <c r="V1378">
        <f t="shared" si="1237"/>
        <v>66.97</v>
      </c>
      <c r="W1378" s="13">
        <v>0</v>
      </c>
      <c r="X1378" s="13">
        <f t="shared" si="1239"/>
        <v>0</v>
      </c>
      <c r="Y1378">
        <f t="shared" si="1232"/>
        <v>78.81</v>
      </c>
      <c r="Z1378" s="13">
        <v>0</v>
      </c>
      <c r="AA1378" s="13">
        <f>SUM(Z1378:Z1378)</f>
        <v>0</v>
      </c>
      <c r="AB1378" s="6">
        <f t="shared" si="1233"/>
        <v>94.285000000000011</v>
      </c>
      <c r="AC1378">
        <f t="shared" si="1225"/>
        <v>47</v>
      </c>
      <c r="AD1378" s="11">
        <f t="shared" si="1226"/>
        <v>1</v>
      </c>
      <c r="AE1378">
        <f t="shared" si="1224"/>
        <v>22</v>
      </c>
      <c r="AF1378">
        <f>IF(AND(AE1378&lt;15,OR(AC1378&gt;=30,AA1378&gt;0.15,X1378&gt;=0.15)),2,VLOOKUP(AE1378,Table!P:Q,2,FALSE))</f>
        <v>3</v>
      </c>
      <c r="AG1378" s="22">
        <f>IF((AB1378*0.98)-(D1378*0.8)+((AF1378-3)*3)+VLOOKUP(AM1378,Table!$A$11:$B$13,2,FALSE)&lt;0,0,(AB1378*0.98)-(D1378*0.8)+((AF1378-3)*3)+VLOOKUP(AM1378,Table!$A$11:$B$13,2,FALSE))</f>
        <v>87.583300000000008</v>
      </c>
      <c r="AH1378" s="22">
        <f>IF(ROUND(AVERAGE(AG1378:AG1378),0)&lt;0,0,IF(ROUND(AVERAGE(AG1378:AG1378),0)&gt;100,100,ROUND(AVERAGE(AG1378:AG1378),0)))</f>
        <v>88</v>
      </c>
      <c r="AI1378" s="18">
        <f t="shared" si="1248"/>
        <v>4.01</v>
      </c>
      <c r="AJ1378" s="18">
        <f t="shared" si="1249"/>
        <v>4.01</v>
      </c>
      <c r="AK1378" t="str">
        <f t="shared" si="1234"/>
        <v/>
      </c>
      <c r="AL1378">
        <f t="shared" si="1245"/>
        <v>22</v>
      </c>
      <c r="AM1378" s="11" t="str">
        <f t="shared" si="1235"/>
        <v>Stocks</v>
      </c>
      <c r="AN1378" t="str">
        <f t="shared" si="1240"/>
        <v>Buy</v>
      </c>
      <c r="AO1378" s="13">
        <f t="shared" si="1241"/>
        <v>6.7999999999999996E-3</v>
      </c>
      <c r="AP1378" s="13">
        <f t="shared" si="1242"/>
        <v>8.0000000000000004E-4</v>
      </c>
      <c r="AQ1378" s="13">
        <f t="shared" si="1243"/>
        <v>6.1000000000000004E-3</v>
      </c>
      <c r="AR1378" s="13">
        <f t="shared" si="1244"/>
        <v>6.7999999999999996E-3</v>
      </c>
      <c r="AS1378" s="6">
        <v>100</v>
      </c>
      <c r="AT1378" s="6">
        <v>100</v>
      </c>
      <c r="AU1378" s="6">
        <v>100</v>
      </c>
      <c r="AV1378" s="6">
        <v>100</v>
      </c>
      <c r="AW1378" s="58">
        <f t="shared" si="1236"/>
        <v>1992</v>
      </c>
      <c r="AX1378" s="58">
        <f>COUNTIF(AW$3:AW1378,AW1378)</f>
        <v>39</v>
      </c>
    </row>
  </sheetData>
  <autoFilter ref="A2:AN1378" xr:uid="{00000000-0009-0000-0000-000000000000}"/>
  <mergeCells count="10">
    <mergeCell ref="Y1:AD1"/>
    <mergeCell ref="S1:T1"/>
    <mergeCell ref="I1:J1"/>
    <mergeCell ref="G1:H1"/>
    <mergeCell ref="D1:F1"/>
    <mergeCell ref="K1:L1"/>
    <mergeCell ref="M1:N1"/>
    <mergeCell ref="O1:P1"/>
    <mergeCell ref="Q1:R1"/>
    <mergeCell ref="V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45"/>
  <sheetViews>
    <sheetView zoomScaleNormal="100" workbookViewId="0">
      <pane xSplit="1" ySplit="2" topLeftCell="B3" activePane="bottomRight" state="frozen"/>
      <selection activeCell="H16" sqref="H16"/>
      <selection pane="topRight" activeCell="H16" sqref="H16"/>
      <selection pane="bottomLeft" activeCell="H16" sqref="H16"/>
      <selection pane="bottomRight" activeCell="C3" sqref="C3"/>
    </sheetView>
  </sheetViews>
  <sheetFormatPr defaultColWidth="15.140625" defaultRowHeight="15" customHeight="1" x14ac:dyDescent="0.25"/>
  <cols>
    <col min="1" max="2" width="12.5703125" style="11" customWidth="1"/>
    <col min="3" max="3" width="18.5703125" style="11" bestFit="1" customWidth="1"/>
    <col min="4" max="4" width="13.42578125" style="11" customWidth="1"/>
    <col min="5" max="8" width="22" style="11" customWidth="1"/>
    <col min="9" max="18" width="18.5703125" style="11" customWidth="1"/>
    <col min="19" max="19" width="23.7109375" style="11" bestFit="1" customWidth="1"/>
    <col min="20" max="20" width="25" style="11" bestFit="1" customWidth="1"/>
    <col min="21" max="21" width="25" style="11" customWidth="1"/>
    <col min="22" max="16384" width="15.140625" style="11"/>
  </cols>
  <sheetData>
    <row r="1" spans="1:21" ht="18" customHeight="1" thickBot="1" x14ac:dyDescent="0.35">
      <c r="A1" s="1"/>
      <c r="B1" s="27" t="s">
        <v>129</v>
      </c>
      <c r="C1" s="59" t="s">
        <v>1</v>
      </c>
      <c r="D1" s="59"/>
      <c r="E1" s="59" t="s">
        <v>130</v>
      </c>
      <c r="F1" s="59"/>
      <c r="G1" s="59"/>
      <c r="H1" s="59"/>
      <c r="I1" s="60" t="s">
        <v>131</v>
      </c>
      <c r="J1" s="60"/>
      <c r="K1" s="60"/>
      <c r="L1" s="60" t="s">
        <v>132</v>
      </c>
      <c r="M1" s="60"/>
      <c r="N1" s="60"/>
      <c r="O1" s="60" t="s">
        <v>248</v>
      </c>
      <c r="P1" s="60"/>
      <c r="Q1" s="60"/>
      <c r="R1" s="59" t="s">
        <v>133</v>
      </c>
      <c r="S1" s="59"/>
      <c r="T1" s="28" t="s">
        <v>59</v>
      </c>
      <c r="U1" s="28" t="s">
        <v>134</v>
      </c>
    </row>
    <row r="2" spans="1:21" ht="16.5" customHeight="1" thickTop="1" thickBot="1" x14ac:dyDescent="0.3">
      <c r="A2" s="3" t="s">
        <v>0</v>
      </c>
      <c r="B2" s="4" t="s">
        <v>129</v>
      </c>
      <c r="C2" s="4" t="s">
        <v>1</v>
      </c>
      <c r="D2" s="4" t="s">
        <v>135</v>
      </c>
      <c r="E2" s="4" t="s">
        <v>136</v>
      </c>
      <c r="F2" s="4" t="s">
        <v>137</v>
      </c>
      <c r="G2" s="4" t="s">
        <v>138</v>
      </c>
      <c r="H2" s="4" t="s">
        <v>139</v>
      </c>
      <c r="I2" s="4" t="s">
        <v>140</v>
      </c>
      <c r="J2" s="4" t="s">
        <v>141</v>
      </c>
      <c r="K2" s="4" t="s">
        <v>142</v>
      </c>
      <c r="L2" s="4" t="s">
        <v>140</v>
      </c>
      <c r="M2" s="4" t="s">
        <v>145</v>
      </c>
      <c r="N2" s="4" t="s">
        <v>142</v>
      </c>
      <c r="O2" s="4" t="s">
        <v>140</v>
      </c>
      <c r="P2" s="4" t="s">
        <v>233</v>
      </c>
      <c r="Q2" s="4" t="s">
        <v>142</v>
      </c>
      <c r="R2" s="4" t="s">
        <v>143</v>
      </c>
      <c r="S2" s="4" t="s">
        <v>144</v>
      </c>
      <c r="T2" s="4" t="s">
        <v>59</v>
      </c>
      <c r="U2" s="4" t="s">
        <v>134</v>
      </c>
    </row>
    <row r="3" spans="1:21" ht="16.5" customHeight="1" x14ac:dyDescent="0.25">
      <c r="A3" s="37">
        <v>43324</v>
      </c>
      <c r="B3" s="5">
        <f t="shared" ref="B3" si="0">EOMONTH(A3,0)</f>
        <v>43343</v>
      </c>
      <c r="C3" s="18">
        <v>2833.28</v>
      </c>
      <c r="D3" s="29">
        <f t="shared" ref="D3" si="1">ROUND((C3-AVERAGE(C4:C7))/AVERAGE(C4:C7),4)</f>
        <v>6.3E-3</v>
      </c>
      <c r="E3" s="39">
        <f t="shared" ref="E3" si="2">AVERAGE(C3:C15)</f>
        <v>2773.5392307692309</v>
      </c>
      <c r="F3" s="39">
        <f t="shared" ref="F3" si="3">AVERAGE(C3:C41)</f>
        <v>2720.2633333333338</v>
      </c>
      <c r="G3" s="29">
        <f t="shared" ref="G3" si="4">ROUND(($C3-E3)/E3,4)</f>
        <v>2.1499999999999998E-2</v>
      </c>
      <c r="H3" s="29">
        <f t="shared" ref="H3" si="5">ROUND(($C3-F3)/F3,4)</f>
        <v>4.1500000000000002E-2</v>
      </c>
      <c r="I3">
        <f t="shared" ref="I3" si="6">C3</f>
        <v>2833.28</v>
      </c>
      <c r="J3">
        <f>IF(A3&gt;=Quarterly!B$2,Quarterly!C$2,IF(COUNTIFS(Quarterly!B:B,"&gt;="&amp;A3-92,Quarterly!B:B,"&lt;="&amp;A3)&gt;1,SUMIFS(Quarterly!C:C,Quarterly!B:B,"&gt;="&amp;A3-88,Quarterly!B:B,"&lt;="&amp;A3),SUMIFS(Quarterly!C:C,Quarterly!B:B,"&gt;="&amp;A3-92,Quarterly!B:B,"&lt;="&amp;A3)))</f>
        <v>20402</v>
      </c>
      <c r="K3" s="13">
        <f t="shared" ref="K3" si="7">ROUND(I3/J3,4)</f>
        <v>0.1389</v>
      </c>
      <c r="L3">
        <f t="shared" ref="L3" si="8">C3</f>
        <v>2833.28</v>
      </c>
      <c r="M3">
        <f>IF(A3&gt;=Quarterly!B$2,Quarterly!D$2,IF(COUNTIFS(Quarterly!B:B,"&gt;="&amp;A3-92,Quarterly!B:B,"&lt;="&amp;A3)&gt;1,SUMIFS(Quarterly!D:D,Quarterly!B:B,"&gt;="&amp;A3-88,Quarterly!B:B,"&lt;="&amp;A3),SUMIFS(Quarterly!D:D,Quarterly!B:B,"&gt;="&amp;A3-92,Quarterly!B:B,"&lt;="&amp;A3)))</f>
        <v>1898.97</v>
      </c>
      <c r="N3" s="13">
        <f t="shared" ref="N3" si="9">ROUND(L3/M3,4)*0.1</f>
        <v>0.1492</v>
      </c>
      <c r="O3">
        <f>C3</f>
        <v>2833.28</v>
      </c>
      <c r="P3" s="56">
        <f>VLOOKUP(EOMONTH(A3,-1),Economic!A:I,7,FALSE)</f>
        <v>1437942</v>
      </c>
      <c r="Q3" s="13">
        <f>ROUND(O3/P3,6)*100</f>
        <v>0.19700000000000001</v>
      </c>
      <c r="R3" s="18">
        <v>0.28999999999999998</v>
      </c>
      <c r="S3">
        <f>R64</f>
        <v>0.86</v>
      </c>
      <c r="T3" s="30">
        <f>IF((ROUND((S3*40)+(G3*350)-(H3*100)-((N3-0.15)*350)-(((K3*10.5)-1)*270)-(Q3*100),2)+144)*0.8&lt;0,0,ROUND((ROUND((S3*40)+(G3*350)-(H3*100)-((N3-0.15)*350)-(((K3*10.5)-1)*270)-(Q3*100),2)+144)*0.8,2))</f>
        <v>30.86</v>
      </c>
      <c r="U3" s="30">
        <f t="shared" ref="U3" si="10">ROUND(AVERAGE(T3:T5),2)</f>
        <v>32.909999999999997</v>
      </c>
    </row>
    <row r="4" spans="1:21" ht="16.5" customHeight="1" x14ac:dyDescent="0.25">
      <c r="A4" s="5">
        <v>43317</v>
      </c>
      <c r="B4" s="5">
        <f t="shared" ref="B4" si="11">EOMONTH(A4,0)</f>
        <v>43343</v>
      </c>
      <c r="C4" s="18">
        <v>2840.35</v>
      </c>
      <c r="D4" s="29">
        <f t="shared" ref="D4" si="12">ROUND((C4-AVERAGE(C5:C8))/AVERAGE(C5:C8),4)</f>
        <v>1.61E-2</v>
      </c>
      <c r="E4" s="39">
        <f t="shared" ref="E4" si="13">AVERAGE(C4:C16)</f>
        <v>2765.419230769231</v>
      </c>
      <c r="F4" s="39">
        <f t="shared" ref="F4" si="14">AVERAGE(C4:C42)</f>
        <v>2713.8279487179493</v>
      </c>
      <c r="G4" s="29">
        <f t="shared" ref="G4" si="15">ROUND(($C4-E4)/E4,4)</f>
        <v>2.7099999999999999E-2</v>
      </c>
      <c r="H4" s="29">
        <f t="shared" ref="H4" si="16">ROUND(($C4-F4)/F4,4)</f>
        <v>4.6600000000000003E-2</v>
      </c>
      <c r="I4">
        <f t="shared" ref="I4" si="17">C4</f>
        <v>2840.35</v>
      </c>
      <c r="J4">
        <f>IF(A4&gt;=Quarterly!B$2,Quarterly!C$2,IF(COUNTIFS(Quarterly!B:B,"&gt;="&amp;A4-92,Quarterly!B:B,"&lt;="&amp;A4)&gt;1,SUMIFS(Quarterly!C:C,Quarterly!B:B,"&gt;="&amp;A4-88,Quarterly!B:B,"&lt;="&amp;A4),SUMIFS(Quarterly!C:C,Quarterly!B:B,"&gt;="&amp;A4-92,Quarterly!B:B,"&lt;="&amp;A4)))</f>
        <v>20402</v>
      </c>
      <c r="K4" s="13">
        <f t="shared" ref="K4" si="18">ROUND(I4/J4,4)</f>
        <v>0.13919999999999999</v>
      </c>
      <c r="L4">
        <f t="shared" ref="L4" si="19">C4</f>
        <v>2840.35</v>
      </c>
      <c r="M4">
        <f>IF(A4&gt;=Quarterly!B$2,Quarterly!D$2,IF(COUNTIFS(Quarterly!B:B,"&gt;="&amp;A4-92,Quarterly!B:B,"&lt;="&amp;A4)&gt;1,SUMIFS(Quarterly!D:D,Quarterly!B:B,"&gt;="&amp;A4-88,Quarterly!B:B,"&lt;="&amp;A4),SUMIFS(Quarterly!D:D,Quarterly!B:B,"&gt;="&amp;A4-92,Quarterly!B:B,"&lt;="&amp;A4)))</f>
        <v>1898.97</v>
      </c>
      <c r="N4" s="13">
        <f t="shared" ref="N4" si="20">ROUND(L4/M4,4)*0.1</f>
        <v>0.14957000000000001</v>
      </c>
      <c r="O4">
        <f>C4</f>
        <v>2840.35</v>
      </c>
      <c r="P4" s="56">
        <f>VLOOKUP(EOMONTH(A4,-1),Economic!A:I,7,FALSE)</f>
        <v>1437942</v>
      </c>
      <c r="Q4" s="13">
        <f>ROUND(O4/P4,6)*100</f>
        <v>0.19750000000000001</v>
      </c>
      <c r="R4" s="18">
        <v>0.32</v>
      </c>
      <c r="S4">
        <f>R65</f>
        <v>0.87</v>
      </c>
      <c r="T4" s="30">
        <f>IF((ROUND((S4*40)+(G4*350)-(H4*100)-((N4-0.15)*350)-(((K4*10.5)-1)*270)-(Q4*100),2)+144)*0.8&lt;0,0,ROUND((ROUND((S4*40)+(G4*350)-(H4*100)-((N4-0.15)*350)-(((K4*10.5)-1)*270)-(Q4*100),2)+144)*0.8,2))</f>
        <v>31.51</v>
      </c>
      <c r="U4" s="30">
        <f t="shared" ref="U4" si="21">ROUND(AVERAGE(T4:T6),2)</f>
        <v>33.57</v>
      </c>
    </row>
    <row r="5" spans="1:21" ht="16.5" customHeight="1" x14ac:dyDescent="0.25">
      <c r="A5" s="37">
        <v>43310</v>
      </c>
      <c r="B5" s="5">
        <f t="shared" ref="B5:B8" si="22">EOMONTH(A5,0)</f>
        <v>43312</v>
      </c>
      <c r="C5" s="18">
        <v>2818.82</v>
      </c>
      <c r="D5" s="29">
        <f t="shared" ref="D5" si="23">ROUND((C5-AVERAGE(C6:C9))/AVERAGE(C6:C9),4)</f>
        <v>1.7500000000000002E-2</v>
      </c>
      <c r="E5" s="39">
        <f t="shared" ref="E5" si="24">AVERAGE(C5:C17)</f>
        <v>2751.95</v>
      </c>
      <c r="F5" s="39">
        <f t="shared" ref="F5" si="25">AVERAGE(C5:C43)</f>
        <v>2707.3533333333335</v>
      </c>
      <c r="G5" s="29">
        <f t="shared" ref="G5" si="26">ROUND(($C5-E5)/E5,4)</f>
        <v>2.4299999999999999E-2</v>
      </c>
      <c r="H5" s="29">
        <f t="shared" ref="H5" si="27">ROUND(($C5-F5)/F5,4)</f>
        <v>4.1200000000000001E-2</v>
      </c>
      <c r="I5">
        <f t="shared" ref="I5" si="28">C5</f>
        <v>2818.82</v>
      </c>
      <c r="J5">
        <f>IF(A5&gt;=Quarterly!B$2,Quarterly!C$2,IF(COUNTIFS(Quarterly!B:B,"&gt;="&amp;A5-92,Quarterly!B:B,"&lt;="&amp;A5)&gt;1,SUMIFS(Quarterly!C:C,Quarterly!B:B,"&gt;="&amp;A5-88,Quarterly!B:B,"&lt;="&amp;A5),SUMIFS(Quarterly!C:C,Quarterly!B:B,"&gt;="&amp;A5-92,Quarterly!B:B,"&lt;="&amp;A5)))</f>
        <v>20402</v>
      </c>
      <c r="K5" s="13">
        <f t="shared" ref="K5" si="29">ROUND(I5/J5,4)</f>
        <v>0.13819999999999999</v>
      </c>
      <c r="L5">
        <f t="shared" ref="L5" si="30">C5</f>
        <v>2818.82</v>
      </c>
      <c r="M5">
        <f>IF(A5&gt;=Quarterly!B$2,Quarterly!D$2,IF(COUNTIFS(Quarterly!B:B,"&gt;="&amp;A5-92,Quarterly!B:B,"&lt;="&amp;A5)&gt;1,SUMIFS(Quarterly!D:D,Quarterly!B:B,"&gt;="&amp;A5-88,Quarterly!B:B,"&lt;="&amp;A5),SUMIFS(Quarterly!D:D,Quarterly!B:B,"&gt;="&amp;A5-92,Quarterly!B:B,"&lt;="&amp;A5)))</f>
        <v>1898.97</v>
      </c>
      <c r="N5" s="13">
        <f t="shared" ref="N5" si="31">ROUND(L5/M5,4)*0.1</f>
        <v>0.14843999999999999</v>
      </c>
      <c r="O5">
        <f>C5</f>
        <v>2818.82</v>
      </c>
      <c r="P5" s="56">
        <f>VLOOKUP(EOMONTH(A5,-1),Economic!A:I,7,FALSE)</f>
        <v>1431513</v>
      </c>
      <c r="Q5" s="13">
        <f>ROUND(O5/P5,6)*100</f>
        <v>0.19689999999999999</v>
      </c>
      <c r="R5" s="18">
        <v>0.28999999999999998</v>
      </c>
      <c r="S5">
        <f>R66</f>
        <v>0.95</v>
      </c>
      <c r="T5" s="30">
        <f>IF((ROUND((S5*40)+(G5*350)-(H5*100)-((N5-0.15)*350)-(((K5*10.5)-1)*270)-(Q5*100),2)+144)*0.8&lt;0,0,ROUND((ROUND((S5*40)+(G5*350)-(H5*100)-((N5-0.15)*350)-(((K5*10.5)-1)*270)-(Q5*100),2)+144)*0.8,2))</f>
        <v>36.35</v>
      </c>
      <c r="U5" s="30">
        <f t="shared" ref="U5" si="32">ROUND(AVERAGE(T5:T7),2)</f>
        <v>35.26</v>
      </c>
    </row>
    <row r="6" spans="1:21" ht="16.5" customHeight="1" x14ac:dyDescent="0.25">
      <c r="A6" s="5">
        <v>43303</v>
      </c>
      <c r="B6" s="5">
        <f t="shared" si="22"/>
        <v>43312</v>
      </c>
      <c r="C6" s="18">
        <v>2801.83</v>
      </c>
      <c r="D6" s="29">
        <f t="shared" ref="D6" si="33">ROUND((C6-AVERAGE(C7:C10))/AVERAGE(C7:C10),4)</f>
        <v>1.5699999999999999E-2</v>
      </c>
      <c r="E6" s="39">
        <f t="shared" ref="E6" si="34">AVERAGE(C6:C18)</f>
        <v>2740.4953846153849</v>
      </c>
      <c r="F6" s="39">
        <f t="shared" ref="F6" si="35">AVERAGE(C6:C44)</f>
        <v>2701.2571794871801</v>
      </c>
      <c r="G6" s="29">
        <f t="shared" ref="G6" si="36">ROUND(($C6-E6)/E6,4)</f>
        <v>2.24E-2</v>
      </c>
      <c r="H6" s="29">
        <f t="shared" ref="H6" si="37">ROUND(($C6-F6)/F6,4)</f>
        <v>3.7199999999999997E-2</v>
      </c>
      <c r="I6">
        <f t="shared" ref="I6" si="38">C6</f>
        <v>2801.83</v>
      </c>
      <c r="J6">
        <f>IF(A6&gt;=Quarterly!B$2,Quarterly!C$2,IF(COUNTIFS(Quarterly!B:B,"&gt;="&amp;A6-92,Quarterly!B:B,"&lt;="&amp;A6)&gt;1,SUMIFS(Quarterly!C:C,Quarterly!B:B,"&gt;="&amp;A6-88,Quarterly!B:B,"&lt;="&amp;A6),SUMIFS(Quarterly!C:C,Quarterly!B:B,"&gt;="&amp;A6-92,Quarterly!B:B,"&lt;="&amp;A6)))</f>
        <v>20041</v>
      </c>
      <c r="K6" s="13">
        <f t="shared" ref="K6" si="39">ROUND(I6/J6,4)</f>
        <v>0.13980000000000001</v>
      </c>
      <c r="L6">
        <f t="shared" ref="L6" si="40">C6</f>
        <v>2801.83</v>
      </c>
      <c r="M6">
        <f>IF(A6&gt;=Quarterly!B$2,Quarterly!D$2,IF(COUNTIFS(Quarterly!B:B,"&gt;="&amp;A6-92,Quarterly!B:B,"&lt;="&amp;A6)&gt;1,SUMIFS(Quarterly!D:D,Quarterly!B:B,"&gt;="&amp;A6-88,Quarterly!B:B,"&lt;="&amp;A6),SUMIFS(Quarterly!D:D,Quarterly!B:B,"&gt;="&amp;A6-92,Quarterly!B:B,"&lt;="&amp;A6)))</f>
        <v>1898.97</v>
      </c>
      <c r="N6" s="13">
        <f t="shared" ref="N6" si="41">ROUND(L6/M6,4)*0.1</f>
        <v>0.14754</v>
      </c>
      <c r="O6">
        <f t="shared" ref="O6:O69" si="42">C6</f>
        <v>2801.83</v>
      </c>
      <c r="P6" s="56">
        <f>VLOOKUP(EOMONTH(A6,-1),Economic!A:I,7,FALSE)</f>
        <v>1431513</v>
      </c>
      <c r="Q6" s="13">
        <f t="shared" ref="Q6:Q69" si="43">ROUND(O6/P6,6)*100</f>
        <v>0.19569999999999999</v>
      </c>
      <c r="R6" s="18">
        <v>0.24</v>
      </c>
      <c r="S6">
        <f t="shared" ref="S6:S69" si="44">R67</f>
        <v>0.95</v>
      </c>
      <c r="T6" s="30">
        <f t="shared" ref="T6:T69" si="45">IF((ROUND((S6*40)+(G6*350)-(H6*100)-((N6-0.15)*350)-(((K6*10.5)-1)*270)-(Q6*100),2)+144)*0.8&lt;0,0,ROUND((ROUND((S6*40)+(G6*350)-(H6*100)-((N6-0.15)*350)-(((K6*10.5)-1)*270)-(Q6*100),2)+144)*0.8,2))</f>
        <v>32.86</v>
      </c>
      <c r="U6" s="30">
        <f t="shared" ref="U6" si="46">ROUND(AVERAGE(T6:T8),2)</f>
        <v>36.520000000000003</v>
      </c>
    </row>
    <row r="7" spans="1:21" ht="16.5" customHeight="1" x14ac:dyDescent="0.25">
      <c r="A7" s="37">
        <v>43296</v>
      </c>
      <c r="B7" s="5">
        <f t="shared" si="22"/>
        <v>43312</v>
      </c>
      <c r="C7" s="18">
        <v>2801.31</v>
      </c>
      <c r="D7" s="29">
        <f t="shared" ref="D7" si="47">ROUND((C7-AVERAGE(C8:C11))/AVERAGE(C8:C11),4)</f>
        <v>1.7500000000000002E-2</v>
      </c>
      <c r="E7" s="39">
        <f t="shared" ref="E7" si="48">AVERAGE(C7:C19)</f>
        <v>2730.3653846153848</v>
      </c>
      <c r="F7" s="39">
        <f t="shared" ref="F7" si="49">AVERAGE(C7:C45)</f>
        <v>2695.4464102564111</v>
      </c>
      <c r="G7" s="29">
        <f t="shared" ref="G7" si="50">ROUND(($C7-E7)/E7,4)</f>
        <v>2.5999999999999999E-2</v>
      </c>
      <c r="H7" s="29">
        <f t="shared" ref="H7" si="51">ROUND(($C7-F7)/F7,4)</f>
        <v>3.9300000000000002E-2</v>
      </c>
      <c r="I7">
        <f t="shared" ref="I7" si="52">C7</f>
        <v>2801.31</v>
      </c>
      <c r="J7">
        <f>IF(A7&gt;=Quarterly!B$2,Quarterly!C$2,IF(COUNTIFS(Quarterly!B:B,"&gt;="&amp;A7-92,Quarterly!B:B,"&lt;="&amp;A7)&gt;1,SUMIFS(Quarterly!C:C,Quarterly!B:B,"&gt;="&amp;A7-88,Quarterly!B:B,"&lt;="&amp;A7),SUMIFS(Quarterly!C:C,Quarterly!B:B,"&gt;="&amp;A7-92,Quarterly!B:B,"&lt;="&amp;A7)))</f>
        <v>20041</v>
      </c>
      <c r="K7" s="13">
        <f t="shared" ref="K7" si="53">ROUND(I7/J7,4)</f>
        <v>0.13980000000000001</v>
      </c>
      <c r="L7">
        <f t="shared" ref="L7" si="54">C7</f>
        <v>2801.31</v>
      </c>
      <c r="M7">
        <f>IF(A7&gt;=Quarterly!B$2,Quarterly!D$2,IF(COUNTIFS(Quarterly!B:B,"&gt;="&amp;A7-92,Quarterly!B:B,"&lt;="&amp;A7)&gt;1,SUMIFS(Quarterly!D:D,Quarterly!B:B,"&gt;="&amp;A7-88,Quarterly!B:B,"&lt;="&amp;A7),SUMIFS(Quarterly!D:D,Quarterly!B:B,"&gt;="&amp;A7-92,Quarterly!B:B,"&lt;="&amp;A7)))</f>
        <v>1898.97</v>
      </c>
      <c r="N7" s="13">
        <f t="shared" ref="N7" si="55">ROUND(L7/M7,4)*0.1</f>
        <v>0.14752000000000001</v>
      </c>
      <c r="O7">
        <f t="shared" si="42"/>
        <v>2801.31</v>
      </c>
      <c r="P7" s="56">
        <f>VLOOKUP(EOMONTH(A7,-1),Economic!A:I,7,FALSE)</f>
        <v>1431513</v>
      </c>
      <c r="Q7" s="13">
        <f t="shared" si="43"/>
        <v>0.19569999999999999</v>
      </c>
      <c r="R7" s="18">
        <v>0.25</v>
      </c>
      <c r="S7">
        <f t="shared" si="44"/>
        <v>1.04</v>
      </c>
      <c r="T7" s="30">
        <f t="shared" si="45"/>
        <v>36.58</v>
      </c>
      <c r="U7" s="30">
        <f t="shared" ref="U7" si="56">ROUND(AVERAGE(T7:T9),2)</f>
        <v>39.840000000000003</v>
      </c>
    </row>
    <row r="8" spans="1:21" ht="16.5" customHeight="1" x14ac:dyDescent="0.25">
      <c r="A8" s="5">
        <v>43289</v>
      </c>
      <c r="B8" s="5">
        <f t="shared" si="22"/>
        <v>43312</v>
      </c>
      <c r="C8" s="18">
        <v>2759.82</v>
      </c>
      <c r="D8" s="29">
        <f t="shared" ref="D8" si="57">ROUND((C8-AVERAGE(C9:C12))/AVERAGE(C9:C12),4)</f>
        <v>6.9999999999999999E-4</v>
      </c>
      <c r="E8" s="39">
        <f t="shared" ref="E8" si="58">AVERAGE(C8:C20)</f>
        <v>2719.2107692307691</v>
      </c>
      <c r="F8" s="39">
        <f t="shared" ref="F8" si="59">AVERAGE(C8:C46)</f>
        <v>2689.0838461538465</v>
      </c>
      <c r="G8" s="29">
        <f t="shared" ref="G8" si="60">ROUND(($C8-E8)/E8,4)</f>
        <v>1.49E-2</v>
      </c>
      <c r="H8" s="29">
        <f t="shared" ref="H8" si="61">ROUND(($C8-F8)/F8,4)</f>
        <v>2.63E-2</v>
      </c>
      <c r="I8">
        <f t="shared" ref="I8" si="62">C8</f>
        <v>2759.82</v>
      </c>
      <c r="J8">
        <f>IF(A8&gt;=Quarterly!B$2,Quarterly!C$2,IF(COUNTIFS(Quarterly!B:B,"&gt;="&amp;A8-92,Quarterly!B:B,"&lt;="&amp;A8)&gt;1,SUMIFS(Quarterly!C:C,Quarterly!B:B,"&gt;="&amp;A8-88,Quarterly!B:B,"&lt;="&amp;A8),SUMIFS(Quarterly!C:C,Quarterly!B:B,"&gt;="&amp;A8-92,Quarterly!B:B,"&lt;="&amp;A8)))</f>
        <v>20041</v>
      </c>
      <c r="K8" s="13">
        <f t="shared" ref="K8" si="63">ROUND(I8/J8,4)</f>
        <v>0.13769999999999999</v>
      </c>
      <c r="L8">
        <f t="shared" ref="L8" si="64">C8</f>
        <v>2759.82</v>
      </c>
      <c r="M8">
        <f>IF(A8&gt;=Quarterly!B$2,Quarterly!D$2,IF(COUNTIFS(Quarterly!B:B,"&gt;="&amp;A8-92,Quarterly!B:B,"&lt;="&amp;A8)&gt;1,SUMIFS(Quarterly!D:D,Quarterly!B:B,"&gt;="&amp;A8-88,Quarterly!B:B,"&lt;="&amp;A8),SUMIFS(Quarterly!D:D,Quarterly!B:B,"&gt;="&amp;A8-92,Quarterly!B:B,"&lt;="&amp;A8)))</f>
        <v>1898.97</v>
      </c>
      <c r="N8" s="13">
        <f t="shared" ref="N8" si="65">ROUND(L8/M8,4)*0.1</f>
        <v>0.14533000000000001</v>
      </c>
      <c r="O8">
        <f t="shared" si="42"/>
        <v>2759.82</v>
      </c>
      <c r="P8" s="56">
        <f>VLOOKUP(EOMONTH(A8,-1),Economic!A:I,7,FALSE)</f>
        <v>1431513</v>
      </c>
      <c r="Q8" s="13">
        <f t="shared" si="43"/>
        <v>0.1928</v>
      </c>
      <c r="R8" s="18">
        <v>0.28999999999999998</v>
      </c>
      <c r="S8">
        <f t="shared" si="44"/>
        <v>1.04</v>
      </c>
      <c r="T8" s="30">
        <f t="shared" si="45"/>
        <v>40.130000000000003</v>
      </c>
      <c r="U8" s="30">
        <f t="shared" ref="U8" si="66">ROUND(AVERAGE(T8:T10),2)</f>
        <v>41.61</v>
      </c>
    </row>
    <row r="9" spans="1:21" ht="16.5" customHeight="1" x14ac:dyDescent="0.25">
      <c r="A9" s="37">
        <v>43282</v>
      </c>
      <c r="B9" s="5">
        <f t="shared" ref="B9" si="67">EOMONTH(A9,0)</f>
        <v>43312</v>
      </c>
      <c r="C9" s="18">
        <v>2718.37</v>
      </c>
      <c r="D9" s="29">
        <f t="shared" ref="D9" si="68">ROUND((C9-AVERAGE(C10:C13))/AVERAGE(C10:C13),4)</f>
        <v>-1.5800000000000002E-2</v>
      </c>
      <c r="E9" s="39">
        <f t="shared" ref="E9" si="69">AVERAGE(C9:C21)</f>
        <v>2707.2607692307693</v>
      </c>
      <c r="F9" s="39">
        <f t="shared" ref="F9" si="70">AVERAGE(C9:C47)</f>
        <v>2683.6866666666674</v>
      </c>
      <c r="G9" s="29">
        <f t="shared" ref="G9" si="71">ROUND(($C9-E9)/E9,4)</f>
        <v>4.1000000000000003E-3</v>
      </c>
      <c r="H9" s="29">
        <f t="shared" ref="H9" si="72">ROUND(($C9-F9)/F9,4)</f>
        <v>1.29E-2</v>
      </c>
      <c r="I9">
        <f t="shared" ref="I9" si="73">C9</f>
        <v>2718.37</v>
      </c>
      <c r="J9">
        <f>IF(A9&gt;=Quarterly!B$2,Quarterly!C$2,IF(COUNTIFS(Quarterly!B:B,"&gt;="&amp;A9-92,Quarterly!B:B,"&lt;="&amp;A9)&gt;1,SUMIFS(Quarterly!C:C,Quarterly!B:B,"&gt;="&amp;A9-88,Quarterly!B:B,"&lt;="&amp;A9),SUMIFS(Quarterly!C:C,Quarterly!B:B,"&gt;="&amp;A9-92,Quarterly!B:B,"&lt;="&amp;A9)))</f>
        <v>20041</v>
      </c>
      <c r="K9" s="13">
        <f t="shared" ref="K9" si="74">ROUND(I9/J9,4)</f>
        <v>0.1356</v>
      </c>
      <c r="L9">
        <f t="shared" ref="L9" si="75">C9</f>
        <v>2718.37</v>
      </c>
      <c r="M9">
        <f>IF(A9&gt;=Quarterly!B$2,Quarterly!D$2,IF(COUNTIFS(Quarterly!B:B,"&gt;="&amp;A9-92,Quarterly!B:B,"&lt;="&amp;A9)&gt;1,SUMIFS(Quarterly!D:D,Quarterly!B:B,"&gt;="&amp;A9-88,Quarterly!B:B,"&lt;="&amp;A9),SUMIFS(Quarterly!D:D,Quarterly!B:B,"&gt;="&amp;A9-92,Quarterly!B:B,"&lt;="&amp;A9)))</f>
        <v>1898.97</v>
      </c>
      <c r="N9" s="13">
        <f t="shared" ref="N9" si="76">ROUND(L9/M9,4)*0.1</f>
        <v>0.14315</v>
      </c>
      <c r="O9">
        <f t="shared" si="42"/>
        <v>2718.37</v>
      </c>
      <c r="P9" s="56">
        <f>VLOOKUP(EOMONTH(A9,-1),Economic!A:I,7,FALSE)</f>
        <v>1431513</v>
      </c>
      <c r="Q9" s="13">
        <f t="shared" si="43"/>
        <v>0.18990000000000001</v>
      </c>
      <c r="R9" s="18">
        <v>0.32</v>
      </c>
      <c r="S9">
        <f t="shared" si="44"/>
        <v>1.01</v>
      </c>
      <c r="T9" s="30">
        <f t="shared" si="45"/>
        <v>42.82</v>
      </c>
      <c r="U9" s="30">
        <f t="shared" ref="U9" si="77">ROUND(AVERAGE(T9:T11),2)</f>
        <v>42.01</v>
      </c>
    </row>
    <row r="10" spans="1:21" ht="16.5" customHeight="1" x14ac:dyDescent="0.25">
      <c r="A10" s="5">
        <v>43275</v>
      </c>
      <c r="B10" s="5">
        <f t="shared" ref="B10" si="78">EOMONTH(A10,0)</f>
        <v>43281</v>
      </c>
      <c r="C10" s="18">
        <v>2754.88</v>
      </c>
      <c r="D10" s="29">
        <f t="shared" ref="D10" si="79">ROUND((C10-AVERAGE(C11:C14))/AVERAGE(C11:C14),4)</f>
        <v>5.0000000000000001E-4</v>
      </c>
      <c r="E10" s="39">
        <f t="shared" ref="E10" si="80">AVERAGE(C10:C22)</f>
        <v>2701.2992307692307</v>
      </c>
      <c r="F10" s="39">
        <f t="shared" ref="F10" si="81">AVERAGE(C10:C48)</f>
        <v>2678.5838461538465</v>
      </c>
      <c r="G10" s="29">
        <f t="shared" ref="G10" si="82">ROUND(($C10-E10)/E10,4)</f>
        <v>1.9800000000000002E-2</v>
      </c>
      <c r="H10" s="29">
        <f t="shared" ref="H10" si="83">ROUND(($C10-F10)/F10,4)</f>
        <v>2.8500000000000001E-2</v>
      </c>
      <c r="I10">
        <f t="shared" ref="I10" si="84">C10</f>
        <v>2754.88</v>
      </c>
      <c r="J10">
        <f>IF(A10&gt;=Quarterly!B$2,Quarterly!C$2,IF(COUNTIFS(Quarterly!B:B,"&gt;="&amp;A10-92,Quarterly!B:B,"&lt;="&amp;A10)&gt;1,SUMIFS(Quarterly!C:C,Quarterly!B:B,"&gt;="&amp;A10-88,Quarterly!B:B,"&lt;="&amp;A10),SUMIFS(Quarterly!C:C,Quarterly!B:B,"&gt;="&amp;A10-92,Quarterly!B:B,"&lt;="&amp;A10)))</f>
        <v>20041</v>
      </c>
      <c r="K10" s="13">
        <f t="shared" ref="K10" si="85">ROUND(I10/J10,4)</f>
        <v>0.13750000000000001</v>
      </c>
      <c r="L10">
        <f t="shared" ref="L10" si="86">C10</f>
        <v>2754.88</v>
      </c>
      <c r="M10">
        <f>IF(A10&gt;=Quarterly!B$2,Quarterly!D$2,IF(COUNTIFS(Quarterly!B:B,"&gt;="&amp;A10-92,Quarterly!B:B,"&lt;="&amp;A10)&gt;1,SUMIFS(Quarterly!D:D,Quarterly!B:B,"&gt;="&amp;A10-88,Quarterly!B:B,"&lt;="&amp;A10),SUMIFS(Quarterly!D:D,Quarterly!B:B,"&gt;="&amp;A10-92,Quarterly!B:B,"&lt;="&amp;A10)))</f>
        <v>1898.97</v>
      </c>
      <c r="N10" s="13">
        <f t="shared" ref="N10" si="87">ROUND(L10/M10,4)*0.1</f>
        <v>0.14507</v>
      </c>
      <c r="O10">
        <f t="shared" si="42"/>
        <v>2754.88</v>
      </c>
      <c r="P10" s="56">
        <f>VLOOKUP(EOMONTH(A10,-1),Economic!A:I,7,FALSE)</f>
        <v>1431573</v>
      </c>
      <c r="Q10" s="13">
        <f t="shared" si="43"/>
        <v>0.19239999999999999</v>
      </c>
      <c r="R10" s="18">
        <v>0.34</v>
      </c>
      <c r="S10">
        <f t="shared" si="44"/>
        <v>1.04</v>
      </c>
      <c r="T10" s="30">
        <f t="shared" si="45"/>
        <v>41.88</v>
      </c>
      <c r="U10" s="30">
        <f t="shared" ref="U10" si="88">ROUND(AVERAGE(T10:T12),2)</f>
        <v>42.15</v>
      </c>
    </row>
    <row r="11" spans="1:21" ht="16.5" customHeight="1" x14ac:dyDescent="0.25">
      <c r="A11" s="37">
        <v>43268</v>
      </c>
      <c r="B11" s="5">
        <f t="shared" ref="B11" si="89">EOMONTH(A11,0)</f>
        <v>43281</v>
      </c>
      <c r="C11" s="18">
        <v>2779.4</v>
      </c>
      <c r="D11" s="29">
        <f t="shared" ref="D11" si="90">ROUND((C11-AVERAGE(C12:C15))/AVERAGE(C12:C15),4)</f>
        <v>1.55E-2</v>
      </c>
      <c r="E11" s="39">
        <f t="shared" ref="E11" si="91">AVERAGE(C11:C23)</f>
        <v>2688.4823076923076</v>
      </c>
      <c r="F11" s="39">
        <f t="shared" ref="F11" si="92">AVERAGE(C11:C49)</f>
        <v>2672.105384615385</v>
      </c>
      <c r="G11" s="29">
        <f t="shared" ref="G11" si="93">ROUND(($C11-E11)/E11,4)</f>
        <v>3.3799999999999997E-2</v>
      </c>
      <c r="H11" s="29">
        <f t="shared" ref="H11" si="94">ROUND(($C11-F11)/F11,4)</f>
        <v>4.02E-2</v>
      </c>
      <c r="I11">
        <f t="shared" ref="I11" si="95">C11</f>
        <v>2779.4</v>
      </c>
      <c r="J11">
        <f>IF(A11&gt;=Quarterly!B$2,Quarterly!C$2,IF(COUNTIFS(Quarterly!B:B,"&gt;="&amp;A11-92,Quarterly!B:B,"&lt;="&amp;A11)&gt;1,SUMIFS(Quarterly!C:C,Quarterly!B:B,"&gt;="&amp;A11-88,Quarterly!B:B,"&lt;="&amp;A11),SUMIFS(Quarterly!C:C,Quarterly!B:B,"&gt;="&amp;A11-92,Quarterly!B:B,"&lt;="&amp;A11)))</f>
        <v>20041</v>
      </c>
      <c r="K11" s="13">
        <f t="shared" ref="K11" si="96">ROUND(I11/J11,4)</f>
        <v>0.13869999999999999</v>
      </c>
      <c r="L11">
        <f t="shared" ref="L11" si="97">C11</f>
        <v>2779.4</v>
      </c>
      <c r="M11">
        <f>IF(A11&gt;=Quarterly!B$2,Quarterly!D$2,IF(COUNTIFS(Quarterly!B:B,"&gt;="&amp;A11-92,Quarterly!B:B,"&lt;="&amp;A11)&gt;1,SUMIFS(Quarterly!D:D,Quarterly!B:B,"&gt;="&amp;A11-88,Quarterly!B:B,"&lt;="&amp;A11),SUMIFS(Quarterly!D:D,Quarterly!B:B,"&gt;="&amp;A11-92,Quarterly!B:B,"&lt;="&amp;A11)))</f>
        <v>1898.97</v>
      </c>
      <c r="N11" s="13">
        <f t="shared" ref="N11" si="98">ROUND(L11/M11,4)*0.1</f>
        <v>0.14636000000000002</v>
      </c>
      <c r="O11">
        <f t="shared" si="42"/>
        <v>2779.4</v>
      </c>
      <c r="P11" s="56">
        <f>VLOOKUP(EOMONTH(A11,-1),Economic!A:I,7,FALSE)</f>
        <v>1431573</v>
      </c>
      <c r="Q11" s="13">
        <f t="shared" si="43"/>
        <v>0.19419999999999998</v>
      </c>
      <c r="R11" s="18">
        <v>0.35</v>
      </c>
      <c r="S11">
        <f t="shared" si="44"/>
        <v>1.03</v>
      </c>
      <c r="T11" s="30">
        <f t="shared" si="45"/>
        <v>41.32</v>
      </c>
      <c r="U11" s="30">
        <f t="shared" ref="U11" si="99">ROUND(AVERAGE(T11:T13),2)</f>
        <v>43.78</v>
      </c>
    </row>
    <row r="12" spans="1:21" ht="16.5" customHeight="1" x14ac:dyDescent="0.25">
      <c r="A12" s="5">
        <v>43261</v>
      </c>
      <c r="B12" s="5">
        <f t="shared" ref="B12" si="100">EOMONTH(A12,0)</f>
        <v>43281</v>
      </c>
      <c r="C12" s="18">
        <v>2779.03</v>
      </c>
      <c r="D12" s="29">
        <f t="shared" ref="D12" si="101">ROUND((C12-AVERAGE(C13:C16))/AVERAGE(C13:C16),4)</f>
        <v>2.01E-2</v>
      </c>
      <c r="E12" s="39">
        <f t="shared" ref="E12" si="102">AVERAGE(C12:C24)</f>
        <v>2686.3753846153845</v>
      </c>
      <c r="F12" s="39">
        <f t="shared" ref="F12" si="103">AVERAGE(C12:C50)</f>
        <v>2664.9471794871797</v>
      </c>
      <c r="G12" s="29">
        <f t="shared" ref="G12" si="104">ROUND(($C12-E12)/E12,4)</f>
        <v>3.4500000000000003E-2</v>
      </c>
      <c r="H12" s="29">
        <f t="shared" ref="H12" si="105">ROUND(($C12-F12)/F12,4)</f>
        <v>4.2799999999999998E-2</v>
      </c>
      <c r="I12">
        <f t="shared" ref="I12" si="106">C12</f>
        <v>2779.03</v>
      </c>
      <c r="J12">
        <f>IF(A12&gt;=Quarterly!B$2,Quarterly!C$2,IF(COUNTIFS(Quarterly!B:B,"&gt;="&amp;A12-92,Quarterly!B:B,"&lt;="&amp;A12)&gt;1,SUMIFS(Quarterly!C:C,Quarterly!B:B,"&gt;="&amp;A12-88,Quarterly!B:B,"&lt;="&amp;A12),SUMIFS(Quarterly!C:C,Quarterly!B:B,"&gt;="&amp;A12-92,Quarterly!B:B,"&lt;="&amp;A12)))</f>
        <v>20041</v>
      </c>
      <c r="K12" s="13">
        <f t="shared" ref="K12" si="107">ROUND(I12/J12,4)</f>
        <v>0.13869999999999999</v>
      </c>
      <c r="L12">
        <f t="shared" ref="L12" si="108">C12</f>
        <v>2779.03</v>
      </c>
      <c r="M12">
        <f>IF(A12&gt;=Quarterly!B$2,Quarterly!D$2,IF(COUNTIFS(Quarterly!B:B,"&gt;="&amp;A12-92,Quarterly!B:B,"&lt;="&amp;A12)&gt;1,SUMIFS(Quarterly!D:D,Quarterly!B:B,"&gt;="&amp;A12-88,Quarterly!B:B,"&lt;="&amp;A12),SUMIFS(Quarterly!D:D,Quarterly!B:B,"&gt;="&amp;A12-92,Quarterly!B:B,"&lt;="&amp;A12)))</f>
        <v>1898.97</v>
      </c>
      <c r="N12" s="13">
        <f t="shared" ref="N12" si="109">ROUND(L12/M12,4)*0.1</f>
        <v>0.14634</v>
      </c>
      <c r="O12">
        <f t="shared" si="42"/>
        <v>2779.03</v>
      </c>
      <c r="P12" s="56">
        <f>VLOOKUP(EOMONTH(A12,-1),Economic!A:I,7,FALSE)</f>
        <v>1431573</v>
      </c>
      <c r="Q12" s="13">
        <f t="shared" si="43"/>
        <v>0.19409999999999999</v>
      </c>
      <c r="R12" s="18">
        <v>0.43</v>
      </c>
      <c r="S12">
        <f t="shared" si="44"/>
        <v>1.0900000000000001</v>
      </c>
      <c r="T12" s="30">
        <f t="shared" si="45"/>
        <v>43.24</v>
      </c>
      <c r="U12" s="30">
        <f t="shared" ref="U12" si="110">ROUND(AVERAGE(T12:T14),2)</f>
        <v>46.05</v>
      </c>
    </row>
    <row r="13" spans="1:21" ht="16.5" customHeight="1" x14ac:dyDescent="0.25">
      <c r="A13" s="37">
        <v>43254</v>
      </c>
      <c r="B13" s="5">
        <f t="shared" ref="B13" si="111">EOMONTH(A13,0)</f>
        <v>43281</v>
      </c>
      <c r="C13" s="18">
        <v>2734.62</v>
      </c>
      <c r="D13" s="29">
        <f t="shared" ref="D13" si="112">ROUND((C13-AVERAGE(C14:C17))/AVERAGE(C14:C17),4)</f>
        <v>1.03E-2</v>
      </c>
      <c r="E13" s="39">
        <f t="shared" ref="E13" si="113">AVERAGE(C13:C25)</f>
        <v>2686.9553846153844</v>
      </c>
      <c r="F13" s="39">
        <f t="shared" ref="F13" si="114">AVERAGE(C13:C51)</f>
        <v>2656.8035897435902</v>
      </c>
      <c r="G13" s="29">
        <f t="shared" ref="G13" si="115">ROUND(($C13-E13)/E13,4)</f>
        <v>1.77E-2</v>
      </c>
      <c r="H13" s="29">
        <f t="shared" ref="H13" si="116">ROUND(($C13-F13)/F13,4)</f>
        <v>2.93E-2</v>
      </c>
      <c r="I13">
        <f t="shared" ref="I13" si="117">C13</f>
        <v>2734.62</v>
      </c>
      <c r="J13">
        <f>IF(A13&gt;=Quarterly!B$2,Quarterly!C$2,IF(COUNTIFS(Quarterly!B:B,"&gt;="&amp;A13-92,Quarterly!B:B,"&lt;="&amp;A13)&gt;1,SUMIFS(Quarterly!C:C,Quarterly!B:B,"&gt;="&amp;A13-88,Quarterly!B:B,"&lt;="&amp;A13),SUMIFS(Quarterly!C:C,Quarterly!B:B,"&gt;="&amp;A13-92,Quarterly!B:B,"&lt;="&amp;A13)))</f>
        <v>20041</v>
      </c>
      <c r="K13" s="13">
        <f t="shared" ref="K13" si="118">ROUND(I13/J13,4)</f>
        <v>0.13650000000000001</v>
      </c>
      <c r="L13">
        <f t="shared" ref="L13" si="119">C13</f>
        <v>2734.62</v>
      </c>
      <c r="M13">
        <f>IF(A13&gt;=Quarterly!B$2,Quarterly!D$2,IF(COUNTIFS(Quarterly!B:B,"&gt;="&amp;A13-92,Quarterly!B:B,"&lt;="&amp;A13)&gt;1,SUMIFS(Quarterly!D:D,Quarterly!B:B,"&gt;="&amp;A13-88,Quarterly!B:B,"&lt;="&amp;A13),SUMIFS(Quarterly!D:D,Quarterly!B:B,"&gt;="&amp;A13-92,Quarterly!B:B,"&lt;="&amp;A13)))</f>
        <v>1898.97</v>
      </c>
      <c r="N13" s="13">
        <f t="shared" ref="N13" si="120">ROUND(L13/M13,4)*0.1</f>
        <v>0.14401</v>
      </c>
      <c r="O13">
        <f t="shared" si="42"/>
        <v>2734.62</v>
      </c>
      <c r="P13" s="56">
        <f>VLOOKUP(EOMONTH(A13,-1),Economic!A:I,7,FALSE)</f>
        <v>1431573</v>
      </c>
      <c r="Q13" s="13">
        <f t="shared" si="43"/>
        <v>0.191</v>
      </c>
      <c r="R13" s="18">
        <v>0.43</v>
      </c>
      <c r="S13">
        <f t="shared" si="44"/>
        <v>1.1299999999999999</v>
      </c>
      <c r="T13" s="30">
        <f t="shared" si="45"/>
        <v>46.78</v>
      </c>
      <c r="U13" s="30">
        <f t="shared" ref="U13" si="121">ROUND(AVERAGE(T13:T15),2)</f>
        <v>48</v>
      </c>
    </row>
    <row r="14" spans="1:21" ht="16.5" customHeight="1" x14ac:dyDescent="0.25">
      <c r="A14" s="5">
        <v>43247</v>
      </c>
      <c r="B14" s="5">
        <f t="shared" ref="B14:B81" si="122">EOMONTH(A14,0)</f>
        <v>43251</v>
      </c>
      <c r="C14" s="18">
        <v>2721.33</v>
      </c>
      <c r="D14" s="29">
        <f t="shared" ref="D14" si="123">ROUND((C14-AVERAGE(C15:C18))/AVERAGE(C15:C18),4)</f>
        <v>1.0200000000000001E-2</v>
      </c>
      <c r="E14" s="39">
        <f t="shared" ref="E14" si="124">AVERAGE(C14:C26)</f>
        <v>2683.6192307692309</v>
      </c>
      <c r="F14" s="39">
        <f t="shared" ref="F14" si="125">AVERAGE(C14:C52)</f>
        <v>2650.1864102564109</v>
      </c>
      <c r="G14" s="29">
        <f t="shared" ref="G14" si="126">ROUND(($C14-E14)/E14,4)</f>
        <v>1.41E-2</v>
      </c>
      <c r="H14" s="29">
        <f t="shared" ref="H14" si="127">ROUND(($C14-F14)/F14,4)</f>
        <v>2.6800000000000001E-2</v>
      </c>
      <c r="I14">
        <f t="shared" ref="I14" si="128">C14</f>
        <v>2721.33</v>
      </c>
      <c r="J14">
        <f>IF(A14&gt;=Quarterly!B$2,Quarterly!C$2,IF(COUNTIFS(Quarterly!B:B,"&gt;="&amp;A14-92,Quarterly!B:B,"&lt;="&amp;A14)&gt;1,SUMIFS(Quarterly!C:C,Quarterly!B:B,"&gt;="&amp;A14-88,Quarterly!B:B,"&lt;="&amp;A14),SUMIFS(Quarterly!C:C,Quarterly!B:B,"&gt;="&amp;A14-92,Quarterly!B:B,"&lt;="&amp;A14)))</f>
        <v>20041</v>
      </c>
      <c r="K14" s="13">
        <f t="shared" ref="K14" si="129">ROUND(I14/J14,4)</f>
        <v>0.1358</v>
      </c>
      <c r="L14">
        <f t="shared" ref="L14" si="130">C14</f>
        <v>2721.33</v>
      </c>
      <c r="M14">
        <f>IF(A14&gt;=Quarterly!B$2,Quarterly!D$2,IF(COUNTIFS(Quarterly!B:B,"&gt;="&amp;A14-92,Quarterly!B:B,"&lt;="&amp;A14)&gt;1,SUMIFS(Quarterly!D:D,Quarterly!B:B,"&gt;="&amp;A14-88,Quarterly!B:B,"&lt;="&amp;A14),SUMIFS(Quarterly!D:D,Quarterly!B:B,"&gt;="&amp;A14-92,Quarterly!B:B,"&lt;="&amp;A14)))</f>
        <v>1898.97</v>
      </c>
      <c r="N14" s="13">
        <f t="shared" ref="N14" si="131">ROUND(L14/M14,4)*0.1</f>
        <v>0.14331000000000002</v>
      </c>
      <c r="O14">
        <f t="shared" si="42"/>
        <v>2721.33</v>
      </c>
      <c r="P14" s="56">
        <f>VLOOKUP(EOMONTH(A14,-1),Economic!A:I,7,FALSE)</f>
        <v>1428626</v>
      </c>
      <c r="Q14" s="13">
        <f t="shared" si="43"/>
        <v>0.1905</v>
      </c>
      <c r="R14" s="18">
        <v>0.48</v>
      </c>
      <c r="S14">
        <f t="shared" si="44"/>
        <v>1.1399999999999999</v>
      </c>
      <c r="T14" s="30">
        <f t="shared" si="45"/>
        <v>48.12</v>
      </c>
      <c r="U14" s="30">
        <f t="shared" ref="U14" si="132">ROUND(AVERAGE(T14:T16),2)</f>
        <v>48.91</v>
      </c>
    </row>
    <row r="15" spans="1:21" ht="16.5" customHeight="1" x14ac:dyDescent="0.25">
      <c r="A15" s="37">
        <v>43240</v>
      </c>
      <c r="B15" s="5">
        <f t="shared" si="122"/>
        <v>43251</v>
      </c>
      <c r="C15" s="18">
        <v>2712.97</v>
      </c>
      <c r="D15" s="29">
        <f t="shared" ref="D15" si="133">ROUND((C15-AVERAGE(C16:C19))/AVERAGE(C16:C19),4)</f>
        <v>1.11E-2</v>
      </c>
      <c r="E15" s="39">
        <f t="shared" ref="E15" si="134">AVERAGE(C15:C27)</f>
        <v>2685.6169230769233</v>
      </c>
      <c r="F15" s="39">
        <f t="shared" ref="F15" si="135">AVERAGE(C15:C53)</f>
        <v>2643.0510256410262</v>
      </c>
      <c r="G15" s="29">
        <f t="shared" ref="G15" si="136">ROUND(($C15-E15)/E15,4)</f>
        <v>1.0200000000000001E-2</v>
      </c>
      <c r="H15" s="29">
        <f t="shared" ref="H15" si="137">ROUND(($C15-F15)/F15,4)</f>
        <v>2.6499999999999999E-2</v>
      </c>
      <c r="I15">
        <f t="shared" ref="I15" si="138">C15</f>
        <v>2712.97</v>
      </c>
      <c r="J15">
        <f>IF(A15&gt;=Quarterly!B$2,Quarterly!C$2,IF(COUNTIFS(Quarterly!B:B,"&gt;="&amp;A15-92,Quarterly!B:B,"&lt;="&amp;A15)&gt;1,SUMIFS(Quarterly!C:C,Quarterly!B:B,"&gt;="&amp;A15-88,Quarterly!B:B,"&lt;="&amp;A15),SUMIFS(Quarterly!C:C,Quarterly!B:B,"&gt;="&amp;A15-92,Quarterly!B:B,"&lt;="&amp;A15)))</f>
        <v>20041</v>
      </c>
      <c r="K15" s="13">
        <f t="shared" ref="K15" si="139">ROUND(I15/J15,4)</f>
        <v>0.13539999999999999</v>
      </c>
      <c r="L15">
        <f t="shared" ref="L15" si="140">C15</f>
        <v>2712.97</v>
      </c>
      <c r="M15">
        <f>IF(A15&gt;=Quarterly!B$2,Quarterly!D$2,IF(COUNTIFS(Quarterly!B:B,"&gt;="&amp;A15-92,Quarterly!B:B,"&lt;="&amp;A15)&gt;1,SUMIFS(Quarterly!D:D,Quarterly!B:B,"&gt;="&amp;A15-88,Quarterly!B:B,"&lt;="&amp;A15),SUMIFS(Quarterly!D:D,Quarterly!B:B,"&gt;="&amp;A15-92,Quarterly!B:B,"&lt;="&amp;A15)))</f>
        <v>1898.97</v>
      </c>
      <c r="N15" s="13">
        <f t="shared" ref="N15" si="141">ROUND(L15/M15,4)*0.1</f>
        <v>0.14287000000000002</v>
      </c>
      <c r="O15">
        <f t="shared" si="42"/>
        <v>2712.97</v>
      </c>
      <c r="P15" s="56">
        <f>VLOOKUP(EOMONTH(A15,-1),Economic!A:I,7,FALSE)</f>
        <v>1428626</v>
      </c>
      <c r="Q15" s="13">
        <f t="shared" si="43"/>
        <v>0.18990000000000001</v>
      </c>
      <c r="R15" s="40">
        <v>0.54</v>
      </c>
      <c r="S15">
        <f t="shared" si="44"/>
        <v>1.17</v>
      </c>
      <c r="T15" s="30">
        <f t="shared" si="45"/>
        <v>49.1</v>
      </c>
      <c r="U15" s="30">
        <f t="shared" ref="U15" si="142">ROUND(AVERAGE(T15:T17),2)</f>
        <v>50.29</v>
      </c>
    </row>
    <row r="16" spans="1:21" ht="16.5" customHeight="1" x14ac:dyDescent="0.25">
      <c r="A16" s="5">
        <v>43233</v>
      </c>
      <c r="B16" s="5">
        <f t="shared" si="122"/>
        <v>43251</v>
      </c>
      <c r="C16" s="18">
        <v>2727.72</v>
      </c>
      <c r="D16" s="29">
        <f t="shared" ref="D16" si="143">ROUND((C16-AVERAGE(C17:C20))/AVERAGE(C17:C20),4)</f>
        <v>2.3400000000000001E-2</v>
      </c>
      <c r="E16" s="39">
        <f t="shared" ref="E16" si="144">AVERAGE(C16:C28)</f>
        <v>2687.0976923076919</v>
      </c>
      <c r="F16" s="39">
        <f t="shared" ref="F16" si="145">AVERAGE(C16:C54)</f>
        <v>2635.6812820512828</v>
      </c>
      <c r="G16" s="29">
        <f t="shared" ref="G16" si="146">ROUND(($C16-E16)/E16,4)</f>
        <v>1.5100000000000001E-2</v>
      </c>
      <c r="H16" s="29">
        <f t="shared" ref="H16" si="147">ROUND(($C16-F16)/F16,4)</f>
        <v>3.49E-2</v>
      </c>
      <c r="I16">
        <f t="shared" ref="I16" si="148">C16</f>
        <v>2727.72</v>
      </c>
      <c r="J16">
        <f>IF(A16&gt;=Quarterly!B$2,Quarterly!C$2,IF(COUNTIFS(Quarterly!B:B,"&gt;="&amp;A16-92,Quarterly!B:B,"&lt;="&amp;A16)&gt;1,SUMIFS(Quarterly!C:C,Quarterly!B:B,"&gt;="&amp;A16-88,Quarterly!B:B,"&lt;="&amp;A16),SUMIFS(Quarterly!C:C,Quarterly!B:B,"&gt;="&amp;A16-92,Quarterly!B:B,"&lt;="&amp;A16)))</f>
        <v>20041</v>
      </c>
      <c r="K16" s="13">
        <f t="shared" ref="K16" si="149">ROUND(I16/J16,4)</f>
        <v>0.1361</v>
      </c>
      <c r="L16">
        <f t="shared" ref="L16:L22" si="150">C16</f>
        <v>2727.72</v>
      </c>
      <c r="M16">
        <f>IF(A16&gt;=Quarterly!B$2,Quarterly!D$2,IF(COUNTIFS(Quarterly!B:B,"&gt;="&amp;A16-92,Quarterly!B:B,"&lt;="&amp;A16)&gt;1,SUMIFS(Quarterly!D:D,Quarterly!B:B,"&gt;="&amp;A16-88,Quarterly!B:B,"&lt;="&amp;A16),SUMIFS(Quarterly!D:D,Quarterly!B:B,"&gt;="&amp;A16-92,Quarterly!B:B,"&lt;="&amp;A16)))</f>
        <v>1898.97</v>
      </c>
      <c r="N16" s="13">
        <f t="shared" ref="N16" si="151">ROUND(L16/M16,4)*0.1</f>
        <v>0.14363999999999999</v>
      </c>
      <c r="O16">
        <f t="shared" si="42"/>
        <v>2727.72</v>
      </c>
      <c r="P16" s="56">
        <f>VLOOKUP(EOMONTH(A16,-1),Economic!A:I,7,FALSE)</f>
        <v>1428626</v>
      </c>
      <c r="Q16" s="13">
        <f t="shared" si="43"/>
        <v>0.19090000000000001</v>
      </c>
      <c r="R16" s="40">
        <v>0.43</v>
      </c>
      <c r="S16">
        <f t="shared" si="44"/>
        <v>1.22</v>
      </c>
      <c r="T16" s="30">
        <f t="shared" si="45"/>
        <v>49.51</v>
      </c>
      <c r="U16" s="30">
        <f t="shared" ref="U16" si="152">ROUND(AVERAGE(T16:T18),2)</f>
        <v>47.94</v>
      </c>
    </row>
    <row r="17" spans="1:21" ht="16.5" customHeight="1" x14ac:dyDescent="0.25">
      <c r="A17" s="37">
        <v>43226</v>
      </c>
      <c r="B17" s="5">
        <f t="shared" si="122"/>
        <v>43251</v>
      </c>
      <c r="C17" s="18">
        <v>2665.25</v>
      </c>
      <c r="D17" s="29">
        <f t="shared" ref="D17" si="153">ROUND((C17-AVERAGE(C18:C21))/AVERAGE(C18:C21),4)</f>
        <v>5.7000000000000002E-3</v>
      </c>
      <c r="E17" s="39">
        <f t="shared" ref="E17" si="154">AVERAGE(C17:C29)</f>
        <v>2678.7769230769231</v>
      </c>
      <c r="F17" s="39">
        <f t="shared" ref="F17" si="155">AVERAGE(C17:C55)</f>
        <v>2628.337692307693</v>
      </c>
      <c r="G17" s="29">
        <f t="shared" ref="G17" si="156">ROUND(($C17-E17)/E17,4)</f>
        <v>-5.0000000000000001E-3</v>
      </c>
      <c r="H17" s="29">
        <f t="shared" ref="H17" si="157">ROUND(($C17-F17)/F17,4)</f>
        <v>1.4E-2</v>
      </c>
      <c r="I17">
        <f t="shared" ref="I17" si="158">C17</f>
        <v>2665.25</v>
      </c>
      <c r="J17">
        <f>IF(A17&gt;=Quarterly!B$2,Quarterly!C$2,IF(COUNTIFS(Quarterly!B:B,"&gt;="&amp;A17-92,Quarterly!B:B,"&lt;="&amp;A17)&gt;1,SUMIFS(Quarterly!C:C,Quarterly!B:B,"&gt;="&amp;A17-88,Quarterly!B:B,"&lt;="&amp;A17),SUMIFS(Quarterly!C:C,Quarterly!B:B,"&gt;="&amp;A17-92,Quarterly!B:B,"&lt;="&amp;A17)))</f>
        <v>20041</v>
      </c>
      <c r="K17" s="13">
        <f t="shared" ref="K17" si="159">ROUND(I17/J17,4)</f>
        <v>0.13300000000000001</v>
      </c>
      <c r="L17">
        <f t="shared" si="150"/>
        <v>2665.25</v>
      </c>
      <c r="M17">
        <f>IF(A17&gt;=Quarterly!B$2,Quarterly!D$2,IF(COUNTIFS(Quarterly!B:B,"&gt;="&amp;A17-92,Quarterly!B:B,"&lt;="&amp;A17)&gt;1,SUMIFS(Quarterly!D:D,Quarterly!B:B,"&gt;="&amp;A17-88,Quarterly!B:B,"&lt;="&amp;A17),SUMIFS(Quarterly!D:D,Quarterly!B:B,"&gt;="&amp;A17-92,Quarterly!B:B,"&lt;="&amp;A17)))</f>
        <v>1898.97</v>
      </c>
      <c r="N17" s="13">
        <f t="shared" ref="N17:N22" si="160">ROUND(L17/M17,4)*0.1</f>
        <v>0.14035</v>
      </c>
      <c r="O17">
        <f t="shared" si="42"/>
        <v>2665.25</v>
      </c>
      <c r="P17" s="56">
        <f>VLOOKUP(EOMONTH(A17,-1),Economic!A:I,7,FALSE)</f>
        <v>1428626</v>
      </c>
      <c r="Q17" s="13">
        <f t="shared" si="43"/>
        <v>0.18660000000000002</v>
      </c>
      <c r="R17" s="40">
        <v>0.45</v>
      </c>
      <c r="S17">
        <f t="shared" si="44"/>
        <v>1.17</v>
      </c>
      <c r="T17" s="30">
        <f t="shared" si="45"/>
        <v>52.25</v>
      </c>
      <c r="U17" s="30">
        <f t="shared" ref="U17" si="161">ROUND(AVERAGE(T17:T19),2)</f>
        <v>45.08</v>
      </c>
    </row>
    <row r="18" spans="1:21" ht="16.5" customHeight="1" x14ac:dyDescent="0.25">
      <c r="A18" s="5">
        <v>43219</v>
      </c>
      <c r="B18" s="5">
        <f t="shared" si="122"/>
        <v>43220</v>
      </c>
      <c r="C18" s="18">
        <v>2669.91</v>
      </c>
      <c r="D18" s="29">
        <f t="shared" ref="D18:D81" si="162">ROUND((C18-AVERAGE(C19:C22))/AVERAGE(C19:C22),4)</f>
        <v>1.0200000000000001E-2</v>
      </c>
      <c r="E18" s="39">
        <f t="shared" ref="E18:E81" si="163">AVERAGE(C18:C30)</f>
        <v>2686.2292307692305</v>
      </c>
      <c r="F18" s="39">
        <f t="shared" ref="F18:F81" si="164">AVERAGE(C18:C56)</f>
        <v>2623.5064102564106</v>
      </c>
      <c r="G18" s="29">
        <f t="shared" ref="G18:H33" si="165">ROUND(($C18-E18)/E18,4)</f>
        <v>-6.1000000000000004E-3</v>
      </c>
      <c r="H18" s="29">
        <f t="shared" si="165"/>
        <v>1.77E-2</v>
      </c>
      <c r="I18">
        <f t="shared" ref="I18:I81" si="166">C18</f>
        <v>2669.91</v>
      </c>
      <c r="J18">
        <f>IF(A18&gt;=Quarterly!B$2,Quarterly!C$2,IF(COUNTIFS(Quarterly!B:B,"&gt;="&amp;A18-92,Quarterly!B:B,"&lt;="&amp;A18)&gt;1,SUMIFS(Quarterly!C:C,Quarterly!B:B,"&gt;="&amp;A18-88,Quarterly!B:B,"&lt;="&amp;A18),SUMIFS(Quarterly!C:C,Quarterly!B:B,"&gt;="&amp;A18-92,Quarterly!B:B,"&lt;="&amp;A18)))</f>
        <v>19754</v>
      </c>
      <c r="K18" s="13">
        <f t="shared" ref="K18:K81" si="167">ROUND(I18/J18,4)</f>
        <v>0.13519999999999999</v>
      </c>
      <c r="L18">
        <f t="shared" si="150"/>
        <v>2669.91</v>
      </c>
      <c r="M18">
        <f>IF(A18&gt;=Quarterly!B$2,Quarterly!D$2,IF(COUNTIFS(Quarterly!B:B,"&gt;="&amp;A18-92,Quarterly!B:B,"&lt;="&amp;A18)&gt;1,SUMIFS(Quarterly!D:D,Quarterly!B:B,"&gt;="&amp;A18-88,Quarterly!B:B,"&lt;="&amp;A18),SUMIFS(Quarterly!D:D,Quarterly!B:B,"&gt;="&amp;A18-92,Quarterly!B:B,"&lt;="&amp;A18)))</f>
        <v>1680.25</v>
      </c>
      <c r="N18" s="13">
        <f t="shared" si="160"/>
        <v>0.15890000000000001</v>
      </c>
      <c r="O18">
        <f t="shared" si="42"/>
        <v>2669.91</v>
      </c>
      <c r="P18" s="56">
        <f>VLOOKUP(EOMONTH(A18,-1),Economic!A:I,7,FALSE)</f>
        <v>1425183</v>
      </c>
      <c r="Q18" s="13">
        <f t="shared" si="43"/>
        <v>0.18730000000000002</v>
      </c>
      <c r="R18" s="40">
        <v>0.5</v>
      </c>
      <c r="S18">
        <f t="shared" si="44"/>
        <v>1.19</v>
      </c>
      <c r="T18" s="30">
        <f t="shared" si="45"/>
        <v>42.05</v>
      </c>
      <c r="U18" s="30">
        <f t="shared" ref="U18:U81" si="168">ROUND(AVERAGE(T18:T20),2)</f>
        <v>41.18</v>
      </c>
    </row>
    <row r="19" spans="1:21" ht="16.5" customHeight="1" x14ac:dyDescent="0.25">
      <c r="A19" s="37">
        <v>43212</v>
      </c>
      <c r="B19" s="5">
        <f t="shared" si="122"/>
        <v>43220</v>
      </c>
      <c r="C19" s="18">
        <v>2670.14</v>
      </c>
      <c r="D19" s="29">
        <f t="shared" si="162"/>
        <v>1.8200000000000001E-2</v>
      </c>
      <c r="E19" s="39">
        <f t="shared" si="163"/>
        <v>2701.8415384615387</v>
      </c>
      <c r="F19" s="39">
        <f t="shared" si="164"/>
        <v>2618.4343589743598</v>
      </c>
      <c r="G19" s="29">
        <f t="shared" si="165"/>
        <v>-1.17E-2</v>
      </c>
      <c r="H19" s="29">
        <f t="shared" si="165"/>
        <v>1.9699999999999999E-2</v>
      </c>
      <c r="I19">
        <f t="shared" si="166"/>
        <v>2670.14</v>
      </c>
      <c r="J19">
        <f>IF(A19&gt;=Quarterly!B$2,Quarterly!C$2,IF(COUNTIFS(Quarterly!B:B,"&gt;="&amp;A19-92,Quarterly!B:B,"&lt;="&amp;A19)&gt;1,SUMIFS(Quarterly!C:C,Quarterly!B:B,"&gt;="&amp;A19-88,Quarterly!B:B,"&lt;="&amp;A19),SUMIFS(Quarterly!C:C,Quarterly!B:B,"&gt;="&amp;A19-92,Quarterly!B:B,"&lt;="&amp;A19)))</f>
        <v>19754</v>
      </c>
      <c r="K19" s="13">
        <f t="shared" si="167"/>
        <v>0.13519999999999999</v>
      </c>
      <c r="L19">
        <f t="shared" si="150"/>
        <v>2670.14</v>
      </c>
      <c r="M19">
        <f>IF(A19&gt;=Quarterly!B$2,Quarterly!D$2,IF(COUNTIFS(Quarterly!B:B,"&gt;="&amp;A19-92,Quarterly!B:B,"&lt;="&amp;A19)&gt;1,SUMIFS(Quarterly!D:D,Quarterly!B:B,"&gt;="&amp;A19-88,Quarterly!B:B,"&lt;="&amp;A19),SUMIFS(Quarterly!D:D,Quarterly!B:B,"&gt;="&amp;A19-92,Quarterly!B:B,"&lt;="&amp;A19)))</f>
        <v>1680.25</v>
      </c>
      <c r="N19" s="13">
        <f t="shared" si="160"/>
        <v>0.15891</v>
      </c>
      <c r="O19">
        <f t="shared" si="42"/>
        <v>2670.14</v>
      </c>
      <c r="P19" s="56">
        <f>VLOOKUP(EOMONTH(A19,-1),Economic!A:I,7,FALSE)</f>
        <v>1425183</v>
      </c>
      <c r="Q19" s="13">
        <f t="shared" si="43"/>
        <v>0.18740000000000001</v>
      </c>
      <c r="R19" s="40">
        <v>0.48</v>
      </c>
      <c r="S19">
        <f t="shared" si="44"/>
        <v>1.21</v>
      </c>
      <c r="T19" s="30">
        <f t="shared" si="45"/>
        <v>40.94</v>
      </c>
      <c r="U19" s="30">
        <f t="shared" si="168"/>
        <v>42.23</v>
      </c>
    </row>
    <row r="20" spans="1:21" ht="16.5" customHeight="1" x14ac:dyDescent="0.25">
      <c r="A20" s="5">
        <v>43205</v>
      </c>
      <c r="B20" s="5">
        <f t="shared" si="122"/>
        <v>43220</v>
      </c>
      <c r="C20" s="18">
        <v>2656.3</v>
      </c>
      <c r="D20" s="29">
        <f t="shared" si="162"/>
        <v>3.7000000000000002E-3</v>
      </c>
      <c r="E20" s="39">
        <f t="shared" si="163"/>
        <v>2712.6230769230774</v>
      </c>
      <c r="F20" s="39">
        <f t="shared" si="164"/>
        <v>2613.3676923076928</v>
      </c>
      <c r="G20" s="29">
        <f t="shared" si="165"/>
        <v>-2.0799999999999999E-2</v>
      </c>
      <c r="H20" s="29">
        <f t="shared" si="165"/>
        <v>1.6400000000000001E-2</v>
      </c>
      <c r="I20">
        <f t="shared" si="166"/>
        <v>2656.3</v>
      </c>
      <c r="J20">
        <f>IF(A20&gt;=Quarterly!B$2,Quarterly!C$2,IF(COUNTIFS(Quarterly!B:B,"&gt;="&amp;A20-92,Quarterly!B:B,"&lt;="&amp;A20)&gt;1,SUMIFS(Quarterly!C:C,Quarterly!B:B,"&gt;="&amp;A20-88,Quarterly!B:B,"&lt;="&amp;A20),SUMIFS(Quarterly!C:C,Quarterly!B:B,"&gt;="&amp;A20-92,Quarterly!B:B,"&lt;="&amp;A20)))</f>
        <v>19754</v>
      </c>
      <c r="K20" s="13">
        <f t="shared" si="167"/>
        <v>0.13450000000000001</v>
      </c>
      <c r="L20">
        <f t="shared" si="150"/>
        <v>2656.3</v>
      </c>
      <c r="M20">
        <f>IF(A20&gt;=Quarterly!B$2,Quarterly!D$2,IF(COUNTIFS(Quarterly!B:B,"&gt;="&amp;A20-92,Quarterly!B:B,"&lt;="&amp;A20)&gt;1,SUMIFS(Quarterly!D:D,Quarterly!B:B,"&gt;="&amp;A20-88,Quarterly!B:B,"&lt;="&amp;A20),SUMIFS(Quarterly!D:D,Quarterly!B:B,"&gt;="&amp;A20-92,Quarterly!B:B,"&lt;="&amp;A20)))</f>
        <v>1680.25</v>
      </c>
      <c r="N20" s="13">
        <f t="shared" si="160"/>
        <v>0.15809000000000001</v>
      </c>
      <c r="O20">
        <f t="shared" si="42"/>
        <v>2656.3</v>
      </c>
      <c r="P20" s="56">
        <f>VLOOKUP(EOMONTH(A20,-1),Economic!A:I,7,FALSE)</f>
        <v>1425183</v>
      </c>
      <c r="Q20" s="13">
        <f t="shared" si="43"/>
        <v>0.18640000000000001</v>
      </c>
      <c r="R20" s="40">
        <v>0.49</v>
      </c>
      <c r="S20">
        <f t="shared" si="44"/>
        <v>1.21</v>
      </c>
      <c r="T20" s="30">
        <f t="shared" si="45"/>
        <v>40.56</v>
      </c>
      <c r="U20" s="30">
        <f t="shared" si="168"/>
        <v>42.31</v>
      </c>
    </row>
    <row r="21" spans="1:21" ht="16.5" customHeight="1" x14ac:dyDescent="0.25">
      <c r="A21" s="37">
        <v>43198</v>
      </c>
      <c r="B21" s="5">
        <f t="shared" si="122"/>
        <v>43220</v>
      </c>
      <c r="C21" s="18">
        <v>2604.4699999999998</v>
      </c>
      <c r="D21" s="29">
        <f t="shared" si="162"/>
        <v>-3.2500000000000001E-2</v>
      </c>
      <c r="E21" s="39">
        <f t="shared" si="163"/>
        <v>2722.6184615384618</v>
      </c>
      <c r="F21" s="39">
        <f t="shared" si="164"/>
        <v>2608.3156410256415</v>
      </c>
      <c r="G21" s="29">
        <f t="shared" si="165"/>
        <v>-4.3400000000000001E-2</v>
      </c>
      <c r="H21" s="29">
        <f t="shared" si="165"/>
        <v>-1.5E-3</v>
      </c>
      <c r="I21">
        <f t="shared" si="166"/>
        <v>2604.4699999999998</v>
      </c>
      <c r="J21">
        <f>IF(A21&gt;=Quarterly!B$2,Quarterly!C$2,IF(COUNTIFS(Quarterly!B:B,"&gt;="&amp;A21-92,Quarterly!B:B,"&lt;="&amp;A21)&gt;1,SUMIFS(Quarterly!C:C,Quarterly!B:B,"&gt;="&amp;A21-88,Quarterly!B:B,"&lt;="&amp;A21),SUMIFS(Quarterly!C:C,Quarterly!B:B,"&gt;="&amp;A21-92,Quarterly!B:B,"&lt;="&amp;A21)))</f>
        <v>19754</v>
      </c>
      <c r="K21" s="13">
        <f t="shared" si="167"/>
        <v>0.1318</v>
      </c>
      <c r="L21">
        <f t="shared" si="150"/>
        <v>2604.4699999999998</v>
      </c>
      <c r="M21">
        <f>IF(A21&gt;=Quarterly!B$2,Quarterly!D$2,IF(COUNTIFS(Quarterly!B:B,"&gt;="&amp;A21-92,Quarterly!B:B,"&lt;="&amp;A21)&gt;1,SUMIFS(Quarterly!D:D,Quarterly!B:B,"&gt;="&amp;A21-88,Quarterly!B:B,"&lt;="&amp;A21),SUMIFS(Quarterly!D:D,Quarterly!B:B,"&gt;="&amp;A21-92,Quarterly!B:B,"&lt;="&amp;A21)))</f>
        <v>1680.25</v>
      </c>
      <c r="N21" s="13">
        <f t="shared" si="160"/>
        <v>0.15500000000000003</v>
      </c>
      <c r="O21">
        <f t="shared" si="42"/>
        <v>2604.4699999999998</v>
      </c>
      <c r="P21" s="56">
        <f>VLOOKUP(EOMONTH(A21,-1),Economic!A:I,7,FALSE)</f>
        <v>1425183</v>
      </c>
      <c r="Q21" s="13">
        <f t="shared" si="43"/>
        <v>0.1827</v>
      </c>
      <c r="R21" s="40">
        <v>0.53</v>
      </c>
      <c r="S21">
        <f t="shared" si="44"/>
        <v>1.28</v>
      </c>
      <c r="T21" s="30">
        <f t="shared" si="45"/>
        <v>45.19</v>
      </c>
      <c r="U21" s="30">
        <f t="shared" si="168"/>
        <v>43.63</v>
      </c>
    </row>
    <row r="22" spans="1:21" ht="16.5" customHeight="1" x14ac:dyDescent="0.25">
      <c r="A22" s="5">
        <v>43191</v>
      </c>
      <c r="B22" s="5">
        <f t="shared" si="122"/>
        <v>43220</v>
      </c>
      <c r="C22" s="18">
        <v>2640.87</v>
      </c>
      <c r="D22" s="29">
        <f t="shared" si="162"/>
        <v>-2.35E-2</v>
      </c>
      <c r="E22" s="39">
        <f t="shared" si="163"/>
        <v>2733.2861538461539</v>
      </c>
      <c r="F22" s="39">
        <f t="shared" si="164"/>
        <v>2603.7184615384617</v>
      </c>
      <c r="G22" s="29">
        <f t="shared" si="165"/>
        <v>-3.3799999999999997E-2</v>
      </c>
      <c r="H22" s="29">
        <f t="shared" si="165"/>
        <v>1.43E-2</v>
      </c>
      <c r="I22">
        <f t="shared" si="166"/>
        <v>2640.87</v>
      </c>
      <c r="J22">
        <f>IF(A22&gt;=Quarterly!B$2,Quarterly!C$2,IF(COUNTIFS(Quarterly!B:B,"&gt;="&amp;A22-92,Quarterly!B:B,"&lt;="&amp;A22)&gt;1,SUMIFS(Quarterly!C:C,Quarterly!B:B,"&gt;="&amp;A22-88,Quarterly!B:B,"&lt;="&amp;A22),SUMIFS(Quarterly!C:C,Quarterly!B:B,"&gt;="&amp;A22-92,Quarterly!B:B,"&lt;="&amp;A22)))</f>
        <v>19754</v>
      </c>
      <c r="K22" s="13">
        <f t="shared" si="167"/>
        <v>0.13370000000000001</v>
      </c>
      <c r="L22">
        <f t="shared" si="150"/>
        <v>2640.87</v>
      </c>
      <c r="M22">
        <f>IF(A22&gt;=Quarterly!B$2,Quarterly!D$2,IF(COUNTIFS(Quarterly!B:B,"&gt;="&amp;A22-92,Quarterly!B:B,"&lt;="&amp;A22)&gt;1,SUMIFS(Quarterly!D:D,Quarterly!B:B,"&gt;="&amp;A22-88,Quarterly!B:B,"&lt;="&amp;A22),SUMIFS(Quarterly!D:D,Quarterly!B:B,"&gt;="&amp;A22-92,Quarterly!B:B,"&lt;="&amp;A22)))</f>
        <v>1680.25</v>
      </c>
      <c r="N22" s="13">
        <f t="shared" si="160"/>
        <v>0.15717000000000003</v>
      </c>
      <c r="O22">
        <f t="shared" si="42"/>
        <v>2640.87</v>
      </c>
      <c r="P22" s="56">
        <f>VLOOKUP(EOMONTH(A22,-1),Economic!A:I,7,FALSE)</f>
        <v>1425183</v>
      </c>
      <c r="Q22" s="13">
        <f t="shared" si="43"/>
        <v>0.18529999999999999</v>
      </c>
      <c r="R22" s="40">
        <v>0.49</v>
      </c>
      <c r="S22">
        <f t="shared" si="44"/>
        <v>1.27</v>
      </c>
      <c r="T22" s="30">
        <f t="shared" si="45"/>
        <v>41.17</v>
      </c>
      <c r="U22" s="30">
        <f t="shared" si="168"/>
        <v>38.56</v>
      </c>
    </row>
    <row r="23" spans="1:21" ht="16.5" customHeight="1" x14ac:dyDescent="0.25">
      <c r="A23" s="37">
        <v>43184</v>
      </c>
      <c r="B23" s="5">
        <f t="shared" si="122"/>
        <v>43190</v>
      </c>
      <c r="C23" s="18">
        <v>2588.2600000000002</v>
      </c>
      <c r="D23" s="29">
        <f t="shared" si="162"/>
        <v>-5.6899999999999999E-2</v>
      </c>
      <c r="E23" s="39">
        <f t="shared" si="163"/>
        <v>2735.8046153846153</v>
      </c>
      <c r="F23" s="39">
        <f t="shared" si="164"/>
        <v>2598.1400000000003</v>
      </c>
      <c r="G23" s="29">
        <f t="shared" si="165"/>
        <v>-5.3900000000000003E-2</v>
      </c>
      <c r="H23" s="29">
        <f t="shared" si="165"/>
        <v>-3.8E-3</v>
      </c>
      <c r="I23">
        <f t="shared" si="166"/>
        <v>2588.2600000000002</v>
      </c>
      <c r="J23">
        <f>IF(A23&gt;=Quarterly!B$2,Quarterly!C$2,IF(COUNTIFS(Quarterly!B:B,"&gt;="&amp;A23-92,Quarterly!B:B,"&lt;="&amp;A23)&gt;1,SUMIFS(Quarterly!C:C,Quarterly!B:B,"&gt;="&amp;A23-88,Quarterly!B:B,"&lt;="&amp;A23),SUMIFS(Quarterly!C:C,Quarterly!B:B,"&gt;="&amp;A23-92,Quarterly!B:B,"&lt;="&amp;A23)))</f>
        <v>19754</v>
      </c>
      <c r="K23" s="13">
        <f t="shared" si="167"/>
        <v>0.13100000000000001</v>
      </c>
      <c r="L23">
        <f t="shared" ref="L23:L86" si="169">C23</f>
        <v>2588.2600000000002</v>
      </c>
      <c r="M23">
        <f>IF(A23&gt;=Quarterly!B$2,Quarterly!D$2,IF(COUNTIFS(Quarterly!B:B,"&gt;="&amp;A23-92,Quarterly!B:B,"&lt;="&amp;A23)&gt;1,SUMIFS(Quarterly!D:D,Quarterly!B:B,"&gt;="&amp;A23-88,Quarterly!B:B,"&lt;="&amp;A23),SUMIFS(Quarterly!D:D,Quarterly!B:B,"&gt;="&amp;A23-92,Quarterly!B:B,"&lt;="&amp;A23)))</f>
        <v>1680.25</v>
      </c>
      <c r="N23" s="13">
        <f t="shared" ref="N23:N86" si="170">ROUND(L23/M23,4)*0.1</f>
        <v>0.15404000000000001</v>
      </c>
      <c r="O23">
        <f t="shared" si="42"/>
        <v>2588.2600000000002</v>
      </c>
      <c r="P23" s="56">
        <f>VLOOKUP(EOMONTH(A23,-1),Economic!A:I,7,FALSE)</f>
        <v>1417572</v>
      </c>
      <c r="Q23" s="13">
        <f t="shared" si="43"/>
        <v>0.18259999999999998</v>
      </c>
      <c r="R23" s="40">
        <v>0.54</v>
      </c>
      <c r="S23">
        <f t="shared" si="44"/>
        <v>1.28</v>
      </c>
      <c r="T23" s="30">
        <f t="shared" si="45"/>
        <v>44.53</v>
      </c>
      <c r="U23" s="30">
        <f t="shared" si="168"/>
        <v>34.26</v>
      </c>
    </row>
    <row r="24" spans="1:21" ht="16.5" customHeight="1" x14ac:dyDescent="0.25">
      <c r="A24" s="5">
        <v>43177</v>
      </c>
      <c r="B24" s="5">
        <f t="shared" si="122"/>
        <v>43190</v>
      </c>
      <c r="C24" s="18">
        <v>2752.01</v>
      </c>
      <c r="D24" s="29">
        <f t="shared" si="162"/>
        <v>4.5999999999999999E-3</v>
      </c>
      <c r="E24" s="39">
        <f t="shared" si="163"/>
        <v>2743.1184615384623</v>
      </c>
      <c r="F24" s="39">
        <f t="shared" si="164"/>
        <v>2594.2948717948721</v>
      </c>
      <c r="G24" s="29">
        <f t="shared" si="165"/>
        <v>3.2000000000000002E-3</v>
      </c>
      <c r="H24" s="29">
        <f t="shared" si="165"/>
        <v>6.08E-2</v>
      </c>
      <c r="I24">
        <f t="shared" si="166"/>
        <v>2752.01</v>
      </c>
      <c r="J24">
        <f>IF(A24&gt;=Quarterly!B$2,Quarterly!C$2,IF(COUNTIFS(Quarterly!B:B,"&gt;="&amp;A24-92,Quarterly!B:B,"&lt;="&amp;A24)&gt;1,SUMIFS(Quarterly!C:C,Quarterly!B:B,"&gt;="&amp;A24-88,Quarterly!B:B,"&lt;="&amp;A24),SUMIFS(Quarterly!C:C,Quarterly!B:B,"&gt;="&amp;A24-92,Quarterly!B:B,"&lt;="&amp;A24)))</f>
        <v>19754</v>
      </c>
      <c r="K24" s="13">
        <f t="shared" si="167"/>
        <v>0.13930000000000001</v>
      </c>
      <c r="L24">
        <f t="shared" si="169"/>
        <v>2752.01</v>
      </c>
      <c r="M24">
        <f>IF(A24&gt;=Quarterly!B$2,Quarterly!D$2,IF(COUNTIFS(Quarterly!B:B,"&gt;="&amp;A24-92,Quarterly!B:B,"&lt;="&amp;A24)&gt;1,SUMIFS(Quarterly!D:D,Quarterly!B:B,"&gt;="&amp;A24-88,Quarterly!B:B,"&lt;="&amp;A24),SUMIFS(Quarterly!D:D,Quarterly!B:B,"&gt;="&amp;A24-92,Quarterly!B:B,"&lt;="&amp;A24)))</f>
        <v>1680.25</v>
      </c>
      <c r="N24" s="13">
        <f t="shared" si="170"/>
        <v>0.16378999999999999</v>
      </c>
      <c r="O24">
        <f t="shared" si="42"/>
        <v>2752.01</v>
      </c>
      <c r="P24" s="56">
        <f>VLOOKUP(EOMONTH(A24,-1),Economic!A:I,7,FALSE)</f>
        <v>1417572</v>
      </c>
      <c r="Q24" s="13">
        <f t="shared" si="43"/>
        <v>0.19409999999999999</v>
      </c>
      <c r="R24" s="40">
        <v>0.53</v>
      </c>
      <c r="S24">
        <f t="shared" si="44"/>
        <v>1.19</v>
      </c>
      <c r="T24" s="30">
        <f t="shared" si="45"/>
        <v>29.99</v>
      </c>
      <c r="U24" s="30">
        <f t="shared" si="168"/>
        <v>31.77</v>
      </c>
    </row>
    <row r="25" spans="1:21" ht="16.5" customHeight="1" x14ac:dyDescent="0.25">
      <c r="A25" s="37">
        <v>43170</v>
      </c>
      <c r="B25" s="5">
        <f t="shared" si="122"/>
        <v>43190</v>
      </c>
      <c r="C25" s="18">
        <v>2786.57</v>
      </c>
      <c r="D25" s="29">
        <f t="shared" si="162"/>
        <v>3.3000000000000002E-2</v>
      </c>
      <c r="E25" s="39">
        <f t="shared" si="163"/>
        <v>2737.2569230769227</v>
      </c>
      <c r="F25" s="39">
        <f t="shared" si="164"/>
        <v>2586.1189743589744</v>
      </c>
      <c r="G25" s="29">
        <f t="shared" si="165"/>
        <v>1.7999999999999999E-2</v>
      </c>
      <c r="H25" s="29">
        <f t="shared" si="165"/>
        <v>7.7499999999999999E-2</v>
      </c>
      <c r="I25">
        <f t="shared" si="166"/>
        <v>2786.57</v>
      </c>
      <c r="J25">
        <f>IF(A25&gt;=Quarterly!B$2,Quarterly!C$2,IF(COUNTIFS(Quarterly!B:B,"&gt;="&amp;A25-92,Quarterly!B:B,"&lt;="&amp;A25)&gt;1,SUMIFS(Quarterly!C:C,Quarterly!B:B,"&gt;="&amp;A25-88,Quarterly!B:B,"&lt;="&amp;A25),SUMIFS(Quarterly!C:C,Quarterly!B:B,"&gt;="&amp;A25-92,Quarterly!B:B,"&lt;="&amp;A25)))</f>
        <v>19754</v>
      </c>
      <c r="K25" s="13">
        <f t="shared" si="167"/>
        <v>0.1411</v>
      </c>
      <c r="L25">
        <f t="shared" si="169"/>
        <v>2786.57</v>
      </c>
      <c r="M25">
        <f>IF(A25&gt;=Quarterly!B$2,Quarterly!D$2,IF(COUNTIFS(Quarterly!B:B,"&gt;="&amp;A25-92,Quarterly!B:B,"&lt;="&amp;A25)&gt;1,SUMIFS(Quarterly!D:D,Quarterly!B:B,"&gt;="&amp;A25-88,Quarterly!B:B,"&lt;="&amp;A25),SUMIFS(Quarterly!D:D,Quarterly!B:B,"&gt;="&amp;A25-92,Quarterly!B:B,"&lt;="&amp;A25)))</f>
        <v>1680.25</v>
      </c>
      <c r="N25" s="13">
        <f t="shared" si="170"/>
        <v>0.16584000000000002</v>
      </c>
      <c r="O25">
        <f t="shared" si="42"/>
        <v>2786.57</v>
      </c>
      <c r="P25" s="56">
        <f>VLOOKUP(EOMONTH(A25,-1),Economic!A:I,7,FALSE)</f>
        <v>1417572</v>
      </c>
      <c r="Q25" s="13">
        <f t="shared" si="43"/>
        <v>0.1966</v>
      </c>
      <c r="R25" s="40">
        <v>0.61</v>
      </c>
      <c r="S25">
        <f t="shared" si="44"/>
        <v>1.2</v>
      </c>
      <c r="T25" s="30">
        <f t="shared" si="45"/>
        <v>28.26</v>
      </c>
      <c r="U25" s="30">
        <f t="shared" si="168"/>
        <v>33.72</v>
      </c>
    </row>
    <row r="26" spans="1:21" ht="16.5" customHeight="1" x14ac:dyDescent="0.25">
      <c r="A26" s="5">
        <v>43163</v>
      </c>
      <c r="B26" s="5">
        <f t="shared" si="122"/>
        <v>43190</v>
      </c>
      <c r="C26" s="18">
        <v>2691.25</v>
      </c>
      <c r="D26" s="29">
        <f t="shared" si="162"/>
        <v>-8.8999999999999999E-3</v>
      </c>
      <c r="E26" s="39">
        <f t="shared" si="163"/>
        <v>2726.8669230769233</v>
      </c>
      <c r="F26" s="39">
        <f t="shared" si="164"/>
        <v>2577.021538461539</v>
      </c>
      <c r="G26" s="29">
        <f t="shared" si="165"/>
        <v>-1.3100000000000001E-2</v>
      </c>
      <c r="H26" s="29">
        <f t="shared" si="165"/>
        <v>4.4299999999999999E-2</v>
      </c>
      <c r="I26">
        <f t="shared" si="166"/>
        <v>2691.25</v>
      </c>
      <c r="J26">
        <f>IF(A26&gt;=Quarterly!B$2,Quarterly!C$2,IF(COUNTIFS(Quarterly!B:B,"&gt;="&amp;A26-92,Quarterly!B:B,"&lt;="&amp;A26)&gt;1,SUMIFS(Quarterly!C:C,Quarterly!B:B,"&gt;="&amp;A26-88,Quarterly!B:B,"&lt;="&amp;A26),SUMIFS(Quarterly!C:C,Quarterly!B:B,"&gt;="&amp;A26-92,Quarterly!B:B,"&lt;="&amp;A26)))</f>
        <v>19754</v>
      </c>
      <c r="K26" s="13">
        <f t="shared" si="167"/>
        <v>0.13619999999999999</v>
      </c>
      <c r="L26">
        <f t="shared" si="169"/>
        <v>2691.25</v>
      </c>
      <c r="M26">
        <f>IF(A26&gt;=Quarterly!B$2,Quarterly!D$2,IF(COUNTIFS(Quarterly!B:B,"&gt;="&amp;A26-92,Quarterly!B:B,"&lt;="&amp;A26)&gt;1,SUMIFS(Quarterly!D:D,Quarterly!B:B,"&gt;="&amp;A26-88,Quarterly!B:B,"&lt;="&amp;A26),SUMIFS(Quarterly!D:D,Quarterly!B:B,"&gt;="&amp;A26-92,Quarterly!B:B,"&lt;="&amp;A26)))</f>
        <v>1680.25</v>
      </c>
      <c r="N26" s="13">
        <f t="shared" si="170"/>
        <v>0.16017000000000001</v>
      </c>
      <c r="O26">
        <f t="shared" si="42"/>
        <v>2691.25</v>
      </c>
      <c r="P26" s="56">
        <f>VLOOKUP(EOMONTH(A26,-1),Economic!A:I,7,FALSE)</f>
        <v>1417572</v>
      </c>
      <c r="Q26" s="13">
        <f t="shared" si="43"/>
        <v>0.1898</v>
      </c>
      <c r="R26" s="40">
        <v>0.62</v>
      </c>
      <c r="S26">
        <f t="shared" si="44"/>
        <v>1.25</v>
      </c>
      <c r="T26" s="30">
        <f t="shared" si="45"/>
        <v>37.06</v>
      </c>
      <c r="U26" s="30">
        <f t="shared" si="168"/>
        <v>36.799999999999997</v>
      </c>
    </row>
    <row r="27" spans="1:21" ht="16.5" customHeight="1" x14ac:dyDescent="0.25">
      <c r="A27" s="37">
        <v>43156</v>
      </c>
      <c r="B27" s="5">
        <f t="shared" si="122"/>
        <v>43159</v>
      </c>
      <c r="C27" s="18">
        <v>2747.3</v>
      </c>
      <c r="D27" s="29">
        <f t="shared" si="162"/>
        <v>2.0000000000000001E-4</v>
      </c>
      <c r="E27" s="39">
        <f t="shared" si="163"/>
        <v>2723.0953846153852</v>
      </c>
      <c r="F27" s="39">
        <f t="shared" si="164"/>
        <v>2570.5553846153853</v>
      </c>
      <c r="G27" s="29">
        <f t="shared" si="165"/>
        <v>8.8999999999999999E-3</v>
      </c>
      <c r="H27" s="29">
        <f t="shared" si="165"/>
        <v>6.88E-2</v>
      </c>
      <c r="I27">
        <f t="shared" si="166"/>
        <v>2747.3</v>
      </c>
      <c r="J27">
        <f>IF(A27&gt;=Quarterly!B$2,Quarterly!C$2,IF(COUNTIFS(Quarterly!B:B,"&gt;="&amp;A27-92,Quarterly!B:B,"&lt;="&amp;A27)&gt;1,SUMIFS(Quarterly!C:C,Quarterly!B:B,"&gt;="&amp;A27-88,Quarterly!B:B,"&lt;="&amp;A27),SUMIFS(Quarterly!C:C,Quarterly!B:B,"&gt;="&amp;A27-92,Quarterly!B:B,"&lt;="&amp;A27)))</f>
        <v>19754</v>
      </c>
      <c r="K27" s="13">
        <f t="shared" si="167"/>
        <v>0.1391</v>
      </c>
      <c r="L27">
        <f t="shared" si="169"/>
        <v>2747.3</v>
      </c>
      <c r="M27">
        <f>IF(A27&gt;=Quarterly!B$2,Quarterly!D$2,IF(COUNTIFS(Quarterly!B:B,"&gt;="&amp;A27-92,Quarterly!B:B,"&lt;="&amp;A27)&gt;1,SUMIFS(Quarterly!D:D,Quarterly!B:B,"&gt;="&amp;A27-88,Quarterly!B:B,"&lt;="&amp;A27),SUMIFS(Quarterly!D:D,Quarterly!B:B,"&gt;="&amp;A27-92,Quarterly!B:B,"&lt;="&amp;A27)))</f>
        <v>1680.25</v>
      </c>
      <c r="N27" s="13">
        <f t="shared" si="170"/>
        <v>0.16351000000000002</v>
      </c>
      <c r="O27">
        <f t="shared" si="42"/>
        <v>2747.3</v>
      </c>
      <c r="P27" s="56">
        <f>VLOOKUP(EOMONTH(A27,-1),Economic!A:I,7,FALSE)</f>
        <v>1405203</v>
      </c>
      <c r="Q27" s="13">
        <f t="shared" si="43"/>
        <v>0.19550000000000001</v>
      </c>
      <c r="R27" s="40">
        <v>0.67</v>
      </c>
      <c r="S27">
        <f t="shared" si="44"/>
        <v>1.33</v>
      </c>
      <c r="T27" s="30">
        <f t="shared" si="45"/>
        <v>35.85</v>
      </c>
      <c r="U27" s="30">
        <f t="shared" si="168"/>
        <v>39.67</v>
      </c>
    </row>
    <row r="28" spans="1:21" ht="16.5" customHeight="1" x14ac:dyDescent="0.25">
      <c r="A28" s="5">
        <v>43149</v>
      </c>
      <c r="B28" s="5">
        <f t="shared" si="122"/>
        <v>43159</v>
      </c>
      <c r="C28" s="18">
        <v>2732.22</v>
      </c>
      <c r="D28" s="29">
        <f t="shared" si="162"/>
        <v>-1.23E-2</v>
      </c>
      <c r="E28" s="39">
        <f t="shared" si="163"/>
        <v>2711.9507692307693</v>
      </c>
      <c r="F28" s="39">
        <f t="shared" si="164"/>
        <v>2562.0558974358983</v>
      </c>
      <c r="G28" s="29">
        <f t="shared" si="165"/>
        <v>7.4999999999999997E-3</v>
      </c>
      <c r="H28" s="29">
        <f t="shared" si="165"/>
        <v>6.6400000000000001E-2</v>
      </c>
      <c r="I28">
        <f t="shared" si="166"/>
        <v>2732.22</v>
      </c>
      <c r="J28">
        <f>IF(A28&gt;=Quarterly!B$2,Quarterly!C$2,IF(COUNTIFS(Quarterly!B:B,"&gt;="&amp;A28-92,Quarterly!B:B,"&lt;="&amp;A28)&gt;1,SUMIFS(Quarterly!C:C,Quarterly!B:B,"&gt;="&amp;A28-88,Quarterly!B:B,"&lt;="&amp;A28),SUMIFS(Quarterly!C:C,Quarterly!B:B,"&gt;="&amp;A28-92,Quarterly!B:B,"&lt;="&amp;A28)))</f>
        <v>19754</v>
      </c>
      <c r="K28" s="13">
        <f t="shared" si="167"/>
        <v>0.13830000000000001</v>
      </c>
      <c r="L28">
        <f t="shared" si="169"/>
        <v>2732.22</v>
      </c>
      <c r="M28">
        <f>IF(A28&gt;=Quarterly!B$2,Quarterly!D$2,IF(COUNTIFS(Quarterly!B:B,"&gt;="&amp;A28-92,Quarterly!B:B,"&lt;="&amp;A28)&gt;1,SUMIFS(Quarterly!D:D,Quarterly!B:B,"&gt;="&amp;A28-88,Quarterly!B:B,"&lt;="&amp;A28),SUMIFS(Quarterly!D:D,Quarterly!B:B,"&gt;="&amp;A28-92,Quarterly!B:B,"&lt;="&amp;A28)))</f>
        <v>1680.25</v>
      </c>
      <c r="N28" s="13">
        <f t="shared" si="170"/>
        <v>0.16261000000000003</v>
      </c>
      <c r="O28">
        <f t="shared" si="42"/>
        <v>2732.22</v>
      </c>
      <c r="P28" s="56">
        <f>VLOOKUP(EOMONTH(A28,-1),Economic!A:I,7,FALSE)</f>
        <v>1405203</v>
      </c>
      <c r="Q28" s="13">
        <f t="shared" si="43"/>
        <v>0.19439999999999999</v>
      </c>
      <c r="R28" s="40">
        <v>0.66</v>
      </c>
      <c r="S28">
        <f t="shared" si="44"/>
        <v>1.32</v>
      </c>
      <c r="T28" s="30">
        <f t="shared" si="45"/>
        <v>37.479999999999997</v>
      </c>
      <c r="U28" s="30">
        <f t="shared" si="168"/>
        <v>39.6</v>
      </c>
    </row>
    <row r="29" spans="1:21" ht="16.5" customHeight="1" x14ac:dyDescent="0.25">
      <c r="A29" s="37">
        <v>43142</v>
      </c>
      <c r="B29" s="5">
        <f t="shared" si="122"/>
        <v>43159</v>
      </c>
      <c r="C29" s="18">
        <v>2619.5500000000002</v>
      </c>
      <c r="D29" s="29">
        <f t="shared" si="162"/>
        <v>-6.7100000000000007E-2</v>
      </c>
      <c r="E29" s="39">
        <f t="shared" si="163"/>
        <v>2700.1530769230767</v>
      </c>
      <c r="F29" s="39">
        <f t="shared" si="164"/>
        <v>2553.0689743589751</v>
      </c>
      <c r="G29" s="29">
        <f t="shared" si="165"/>
        <v>-2.9899999999999999E-2</v>
      </c>
      <c r="H29" s="29">
        <f t="shared" si="165"/>
        <v>2.5999999999999999E-2</v>
      </c>
      <c r="I29">
        <f t="shared" si="166"/>
        <v>2619.5500000000002</v>
      </c>
      <c r="J29">
        <f>IF(A29&gt;=Quarterly!B$2,Quarterly!C$2,IF(COUNTIFS(Quarterly!B:B,"&gt;="&amp;A29-92,Quarterly!B:B,"&lt;="&amp;A29)&gt;1,SUMIFS(Quarterly!C:C,Quarterly!B:B,"&gt;="&amp;A29-88,Quarterly!B:B,"&lt;="&amp;A29),SUMIFS(Quarterly!C:C,Quarterly!B:B,"&gt;="&amp;A29-92,Quarterly!B:B,"&lt;="&amp;A29)))</f>
        <v>19754</v>
      </c>
      <c r="K29" s="13">
        <f t="shared" si="167"/>
        <v>0.1326</v>
      </c>
      <c r="L29">
        <f t="shared" si="169"/>
        <v>2619.5500000000002</v>
      </c>
      <c r="M29">
        <f>IF(A29&gt;=Quarterly!B$2,Quarterly!D$2,IF(COUNTIFS(Quarterly!B:B,"&gt;="&amp;A29-92,Quarterly!B:B,"&lt;="&amp;A29)&gt;1,SUMIFS(Quarterly!D:D,Quarterly!B:B,"&gt;="&amp;A29-88,Quarterly!B:B,"&lt;="&amp;A29),SUMIFS(Quarterly!D:D,Quarterly!B:B,"&gt;="&amp;A29-92,Quarterly!B:B,"&lt;="&amp;A29)))</f>
        <v>1680.25</v>
      </c>
      <c r="N29" s="13">
        <f t="shared" si="170"/>
        <v>0.15590000000000001</v>
      </c>
      <c r="O29">
        <f t="shared" si="42"/>
        <v>2619.5500000000002</v>
      </c>
      <c r="P29" s="56">
        <f>VLOOKUP(EOMONTH(A29,-1),Economic!A:I,7,FALSE)</f>
        <v>1405203</v>
      </c>
      <c r="Q29" s="13">
        <f t="shared" si="43"/>
        <v>0.18640000000000001</v>
      </c>
      <c r="R29" s="40">
        <v>0.72</v>
      </c>
      <c r="S29">
        <f t="shared" si="44"/>
        <v>1.32</v>
      </c>
      <c r="T29" s="30">
        <f t="shared" si="45"/>
        <v>45.69</v>
      </c>
      <c r="U29" s="30">
        <f t="shared" si="168"/>
        <v>36.479999999999997</v>
      </c>
    </row>
    <row r="30" spans="1:21" ht="16.5" customHeight="1" x14ac:dyDescent="0.25">
      <c r="A30" s="5">
        <v>43135</v>
      </c>
      <c r="B30" s="5">
        <f t="shared" si="122"/>
        <v>43159</v>
      </c>
      <c r="C30" s="18">
        <v>2762.13</v>
      </c>
      <c r="D30" s="29">
        <f t="shared" si="162"/>
        <v>-1.46E-2</v>
      </c>
      <c r="E30" s="39">
        <f t="shared" si="163"/>
        <v>2697.2876923076929</v>
      </c>
      <c r="F30" s="39">
        <f t="shared" si="164"/>
        <v>2547.2061538461544</v>
      </c>
      <c r="G30" s="29">
        <f t="shared" si="165"/>
        <v>2.4E-2</v>
      </c>
      <c r="H30" s="29">
        <f t="shared" si="165"/>
        <v>8.4400000000000003E-2</v>
      </c>
      <c r="I30">
        <f t="shared" si="166"/>
        <v>2762.13</v>
      </c>
      <c r="J30">
        <f>IF(A30&gt;=Quarterly!B$2,Quarterly!C$2,IF(COUNTIFS(Quarterly!B:B,"&gt;="&amp;A30-92,Quarterly!B:B,"&lt;="&amp;A30)&gt;1,SUMIFS(Quarterly!C:C,Quarterly!B:B,"&gt;="&amp;A30-88,Quarterly!B:B,"&lt;="&amp;A30),SUMIFS(Quarterly!C:C,Quarterly!B:B,"&gt;="&amp;A30-92,Quarterly!B:B,"&lt;="&amp;A30)))</f>
        <v>19754</v>
      </c>
      <c r="K30" s="13">
        <f t="shared" si="167"/>
        <v>0.13980000000000001</v>
      </c>
      <c r="L30">
        <f t="shared" si="169"/>
        <v>2762.13</v>
      </c>
      <c r="M30">
        <f>IF(A30&gt;=Quarterly!B$2,Quarterly!D$2,IF(COUNTIFS(Quarterly!B:B,"&gt;="&amp;A30-92,Quarterly!B:B,"&lt;="&amp;A30)&gt;1,SUMIFS(Quarterly!D:D,Quarterly!B:B,"&gt;="&amp;A30-88,Quarterly!B:B,"&lt;="&amp;A30),SUMIFS(Quarterly!D:D,Quarterly!B:B,"&gt;="&amp;A30-92,Quarterly!B:B,"&lt;="&amp;A30)))</f>
        <v>1680.25</v>
      </c>
      <c r="N30" s="13">
        <f t="shared" si="170"/>
        <v>0.16439000000000001</v>
      </c>
      <c r="O30">
        <f t="shared" si="42"/>
        <v>2762.13</v>
      </c>
      <c r="P30" s="56">
        <f>VLOOKUP(EOMONTH(A30,-1),Economic!A:I,7,FALSE)</f>
        <v>1405203</v>
      </c>
      <c r="Q30" s="13">
        <f t="shared" si="43"/>
        <v>0.1966</v>
      </c>
      <c r="R30" s="40">
        <v>0.62</v>
      </c>
      <c r="S30">
        <f t="shared" si="44"/>
        <v>1.29</v>
      </c>
      <c r="T30" s="30">
        <f t="shared" si="45"/>
        <v>35.619999999999997</v>
      </c>
      <c r="U30" s="30">
        <f t="shared" si="168"/>
        <v>32.950000000000003</v>
      </c>
    </row>
    <row r="31" spans="1:21" ht="16.5" customHeight="1" x14ac:dyDescent="0.25">
      <c r="A31" s="37">
        <v>43128</v>
      </c>
      <c r="B31" s="5">
        <f t="shared" si="122"/>
        <v>43131</v>
      </c>
      <c r="C31" s="18">
        <v>2872.87</v>
      </c>
      <c r="D31" s="29">
        <f t="shared" si="162"/>
        <v>4.3400000000000001E-2</v>
      </c>
      <c r="E31" s="39">
        <f t="shared" si="163"/>
        <v>2683.8807692307696</v>
      </c>
      <c r="F31" s="39">
        <f t="shared" si="164"/>
        <v>2537.9025641025646</v>
      </c>
      <c r="G31" s="29">
        <f t="shared" si="165"/>
        <v>7.0400000000000004E-2</v>
      </c>
      <c r="H31" s="29">
        <f t="shared" si="165"/>
        <v>0.13200000000000001</v>
      </c>
      <c r="I31">
        <f t="shared" si="166"/>
        <v>2872.87</v>
      </c>
      <c r="J31">
        <f>IF(A31&gt;=Quarterly!B$2,Quarterly!C$2,IF(COUNTIFS(Quarterly!B:B,"&gt;="&amp;A31-92,Quarterly!B:B,"&lt;="&amp;A31)&gt;1,SUMIFS(Quarterly!C:C,Quarterly!B:B,"&gt;="&amp;A31-88,Quarterly!B:B,"&lt;="&amp;A31),SUMIFS(Quarterly!C:C,Quarterly!B:B,"&gt;="&amp;A31-92,Quarterly!B:B,"&lt;="&amp;A31)))</f>
        <v>19500</v>
      </c>
      <c r="K31" s="13">
        <f t="shared" si="167"/>
        <v>0.14729999999999999</v>
      </c>
      <c r="L31">
        <f t="shared" si="169"/>
        <v>2872.87</v>
      </c>
      <c r="M31">
        <f>IF(A31&gt;=Quarterly!B$2,Quarterly!D$2,IF(COUNTIFS(Quarterly!B:B,"&gt;="&amp;A31-92,Quarterly!B:B,"&lt;="&amp;A31)&gt;1,SUMIFS(Quarterly!D:D,Quarterly!B:B,"&gt;="&amp;A31-88,Quarterly!B:B,"&lt;="&amp;A31),SUMIFS(Quarterly!D:D,Quarterly!B:B,"&gt;="&amp;A31-92,Quarterly!B:B,"&lt;="&amp;A31)))</f>
        <v>1858.3879999999999</v>
      </c>
      <c r="N31" s="13">
        <f t="shared" si="170"/>
        <v>0.15459000000000001</v>
      </c>
      <c r="O31">
        <f t="shared" si="42"/>
        <v>2872.87</v>
      </c>
      <c r="P31" s="56">
        <f>VLOOKUP(EOMONTH(A31,-1),Economic!A:I,7,FALSE)</f>
        <v>1388790</v>
      </c>
      <c r="Q31" s="13">
        <f t="shared" si="43"/>
        <v>0.2069</v>
      </c>
      <c r="R31" s="40">
        <v>0.55000000000000004</v>
      </c>
      <c r="S31">
        <f t="shared" si="44"/>
        <v>1.24</v>
      </c>
      <c r="T31" s="30">
        <f t="shared" si="45"/>
        <v>28.12</v>
      </c>
      <c r="U31" s="30">
        <f t="shared" si="168"/>
        <v>33.380000000000003</v>
      </c>
    </row>
    <row r="32" spans="1:21" ht="16.5" customHeight="1" x14ac:dyDescent="0.25">
      <c r="A32" s="5">
        <v>43121</v>
      </c>
      <c r="B32" s="5">
        <f t="shared" si="122"/>
        <v>43131</v>
      </c>
      <c r="C32" s="18">
        <v>2810.3</v>
      </c>
      <c r="D32" s="29">
        <f t="shared" si="162"/>
        <v>3.2599999999999997E-2</v>
      </c>
      <c r="E32" s="39">
        <f t="shared" si="163"/>
        <v>2661.4346153846154</v>
      </c>
      <c r="F32" s="39">
        <f t="shared" si="164"/>
        <v>2525.372564102564</v>
      </c>
      <c r="G32" s="29">
        <f t="shared" si="165"/>
        <v>5.5899999999999998E-2</v>
      </c>
      <c r="H32" s="29">
        <f t="shared" si="165"/>
        <v>0.1128</v>
      </c>
      <c r="I32">
        <f t="shared" si="166"/>
        <v>2810.3</v>
      </c>
      <c r="J32">
        <f>IF(A32&gt;=Quarterly!B$2,Quarterly!C$2,IF(COUNTIFS(Quarterly!B:B,"&gt;="&amp;A32-92,Quarterly!B:B,"&lt;="&amp;A32)&gt;1,SUMIFS(Quarterly!C:C,Quarterly!B:B,"&gt;="&amp;A32-88,Quarterly!B:B,"&lt;="&amp;A32),SUMIFS(Quarterly!C:C,Quarterly!B:B,"&gt;="&amp;A32-92,Quarterly!B:B,"&lt;="&amp;A32)))</f>
        <v>19500</v>
      </c>
      <c r="K32" s="13">
        <f t="shared" si="167"/>
        <v>0.14410000000000001</v>
      </c>
      <c r="L32">
        <f t="shared" si="169"/>
        <v>2810.3</v>
      </c>
      <c r="M32">
        <f>IF(A32&gt;=Quarterly!B$2,Quarterly!D$2,IF(COUNTIFS(Quarterly!B:B,"&gt;="&amp;A32-92,Quarterly!B:B,"&lt;="&amp;A32)&gt;1,SUMIFS(Quarterly!D:D,Quarterly!B:B,"&gt;="&amp;A32-88,Quarterly!B:B,"&lt;="&amp;A32),SUMIFS(Quarterly!D:D,Quarterly!B:B,"&gt;="&amp;A32-92,Quarterly!B:B,"&lt;="&amp;A32)))</f>
        <v>1858.3879999999999</v>
      </c>
      <c r="N32" s="13">
        <f t="shared" si="170"/>
        <v>0.15122000000000002</v>
      </c>
      <c r="O32">
        <f t="shared" si="42"/>
        <v>2810.3</v>
      </c>
      <c r="P32" s="56">
        <f>VLOOKUP(EOMONTH(A32,-1),Economic!A:I,7,FALSE)</f>
        <v>1388790</v>
      </c>
      <c r="Q32" s="13">
        <f t="shared" si="43"/>
        <v>0.20240000000000002</v>
      </c>
      <c r="R32" s="40">
        <v>0.56999999999999995</v>
      </c>
      <c r="S32">
        <f t="shared" si="44"/>
        <v>1.27</v>
      </c>
      <c r="T32" s="30">
        <f t="shared" si="45"/>
        <v>35.11</v>
      </c>
      <c r="U32" s="30">
        <f t="shared" si="168"/>
        <v>35.159999999999997</v>
      </c>
    </row>
    <row r="33" spans="1:21" ht="16.5" customHeight="1" x14ac:dyDescent="0.25">
      <c r="A33" s="37">
        <v>43114</v>
      </c>
      <c r="B33" s="5">
        <f t="shared" si="122"/>
        <v>43131</v>
      </c>
      <c r="C33" s="18">
        <v>2786.24</v>
      </c>
      <c r="D33" s="29">
        <f t="shared" si="162"/>
        <v>3.4200000000000001E-2</v>
      </c>
      <c r="E33" s="39">
        <f t="shared" si="163"/>
        <v>2643.3507692307689</v>
      </c>
      <c r="F33" s="39">
        <f t="shared" si="164"/>
        <v>2513.5364102564104</v>
      </c>
      <c r="G33" s="29">
        <f t="shared" si="165"/>
        <v>5.4100000000000002E-2</v>
      </c>
      <c r="H33" s="29">
        <f t="shared" si="165"/>
        <v>0.1085</v>
      </c>
      <c r="I33">
        <f t="shared" si="166"/>
        <v>2786.24</v>
      </c>
      <c r="J33">
        <f>IF(A33&gt;=Quarterly!B$2,Quarterly!C$2,IF(COUNTIFS(Quarterly!B:B,"&gt;="&amp;A33-92,Quarterly!B:B,"&lt;="&amp;A33)&gt;1,SUMIFS(Quarterly!C:C,Quarterly!B:B,"&gt;="&amp;A33-88,Quarterly!B:B,"&lt;="&amp;A33),SUMIFS(Quarterly!C:C,Quarterly!B:B,"&gt;="&amp;A33-92,Quarterly!B:B,"&lt;="&amp;A33)))</f>
        <v>19500</v>
      </c>
      <c r="K33" s="13">
        <f t="shared" si="167"/>
        <v>0.1429</v>
      </c>
      <c r="L33">
        <f t="shared" si="169"/>
        <v>2786.24</v>
      </c>
      <c r="M33">
        <f>IF(A33&gt;=Quarterly!B$2,Quarterly!D$2,IF(COUNTIFS(Quarterly!B:B,"&gt;="&amp;A33-92,Quarterly!B:B,"&lt;="&amp;A33)&gt;1,SUMIFS(Quarterly!D:D,Quarterly!B:B,"&gt;="&amp;A33-88,Quarterly!B:B,"&lt;="&amp;A33),SUMIFS(Quarterly!D:D,Quarterly!B:B,"&gt;="&amp;A33-92,Quarterly!B:B,"&lt;="&amp;A33)))</f>
        <v>1858.3879999999999</v>
      </c>
      <c r="N33" s="13">
        <f t="shared" si="170"/>
        <v>0.14993000000000001</v>
      </c>
      <c r="O33">
        <f t="shared" si="42"/>
        <v>2786.24</v>
      </c>
      <c r="P33" s="56">
        <f>VLOOKUP(EOMONTH(A33,-1),Economic!A:I,7,FALSE)</f>
        <v>1388790</v>
      </c>
      <c r="Q33" s="13">
        <f t="shared" si="43"/>
        <v>0.2006</v>
      </c>
      <c r="R33" s="40">
        <v>0.56000000000000005</v>
      </c>
      <c r="S33">
        <f t="shared" si="44"/>
        <v>1.23</v>
      </c>
      <c r="T33" s="30">
        <f t="shared" si="45"/>
        <v>36.9</v>
      </c>
      <c r="U33" s="30">
        <f t="shared" si="168"/>
        <v>36.57</v>
      </c>
    </row>
    <row r="34" spans="1:21" ht="16.5" customHeight="1" x14ac:dyDescent="0.25">
      <c r="A34" s="5">
        <v>43107</v>
      </c>
      <c r="B34" s="5">
        <f t="shared" si="122"/>
        <v>43131</v>
      </c>
      <c r="C34" s="18">
        <v>2743.15</v>
      </c>
      <c r="D34" s="29">
        <f t="shared" si="162"/>
        <v>2.7E-2</v>
      </c>
      <c r="E34" s="39">
        <f t="shared" si="163"/>
        <v>2625.4223076923076</v>
      </c>
      <c r="F34" s="39">
        <f t="shared" si="164"/>
        <v>2501.8110256410259</v>
      </c>
      <c r="G34" s="29">
        <f t="shared" ref="G34:H49" si="171">ROUND(($C34-E34)/E34,4)</f>
        <v>4.48E-2</v>
      </c>
      <c r="H34" s="29">
        <f t="shared" si="171"/>
        <v>9.6500000000000002E-2</v>
      </c>
      <c r="I34">
        <f t="shared" si="166"/>
        <v>2743.15</v>
      </c>
      <c r="J34">
        <f>IF(A34&gt;=Quarterly!B$2,Quarterly!C$2,IF(COUNTIFS(Quarterly!B:B,"&gt;="&amp;A34-92,Quarterly!B:B,"&lt;="&amp;A34)&gt;1,SUMIFS(Quarterly!C:C,Quarterly!B:B,"&gt;="&amp;A34-88,Quarterly!B:B,"&lt;="&amp;A34),SUMIFS(Quarterly!C:C,Quarterly!B:B,"&gt;="&amp;A34-92,Quarterly!B:B,"&lt;="&amp;A34)))</f>
        <v>19500</v>
      </c>
      <c r="K34" s="13">
        <f t="shared" si="167"/>
        <v>0.14069999999999999</v>
      </c>
      <c r="L34">
        <f t="shared" si="169"/>
        <v>2743.15</v>
      </c>
      <c r="M34">
        <f>IF(A34&gt;=Quarterly!B$2,Quarterly!D$2,IF(COUNTIFS(Quarterly!B:B,"&gt;="&amp;A34-92,Quarterly!B:B,"&lt;="&amp;A34)&gt;1,SUMIFS(Quarterly!D:D,Quarterly!B:B,"&gt;="&amp;A34-88,Quarterly!B:B,"&lt;="&amp;A34),SUMIFS(Quarterly!D:D,Quarterly!B:B,"&gt;="&amp;A34-92,Quarterly!B:B,"&lt;="&amp;A34)))</f>
        <v>1858.3879999999999</v>
      </c>
      <c r="N34" s="13">
        <f t="shared" si="170"/>
        <v>0.14760999999999999</v>
      </c>
      <c r="O34">
        <f t="shared" si="42"/>
        <v>2743.15</v>
      </c>
      <c r="P34" s="56">
        <f>VLOOKUP(EOMONTH(A34,-1),Economic!A:I,7,FALSE)</f>
        <v>1388790</v>
      </c>
      <c r="Q34" s="13">
        <f t="shared" si="43"/>
        <v>0.19750000000000001</v>
      </c>
      <c r="R34" s="40">
        <v>0.51</v>
      </c>
      <c r="S34">
        <f t="shared" si="44"/>
        <v>0.99</v>
      </c>
      <c r="T34" s="30">
        <f t="shared" si="45"/>
        <v>33.46</v>
      </c>
      <c r="U34" s="30">
        <f t="shared" si="168"/>
        <v>36.46</v>
      </c>
    </row>
    <row r="35" spans="1:21" ht="16.5" customHeight="1" x14ac:dyDescent="0.25">
      <c r="A35" s="37">
        <v>43100</v>
      </c>
      <c r="B35" s="5">
        <f t="shared" si="122"/>
        <v>43100</v>
      </c>
      <c r="C35" s="18">
        <v>2673.61</v>
      </c>
      <c r="D35" s="29">
        <f t="shared" si="162"/>
        <v>3.8999999999999998E-3</v>
      </c>
      <c r="E35" s="39">
        <f t="shared" si="163"/>
        <v>2610.5130769230768</v>
      </c>
      <c r="F35" s="39">
        <f t="shared" si="164"/>
        <v>2491.8723076923075</v>
      </c>
      <c r="G35" s="29">
        <f t="shared" si="171"/>
        <v>2.4199999999999999E-2</v>
      </c>
      <c r="H35" s="29">
        <f t="shared" si="171"/>
        <v>7.2900000000000006E-2</v>
      </c>
      <c r="I35">
        <f t="shared" si="166"/>
        <v>2673.61</v>
      </c>
      <c r="J35">
        <f>IF(A35&gt;=Quarterly!B$2,Quarterly!C$2,IF(COUNTIFS(Quarterly!B:B,"&gt;="&amp;A35-92,Quarterly!B:B,"&lt;="&amp;A35)&gt;1,SUMIFS(Quarterly!C:C,Quarterly!B:B,"&gt;="&amp;A35-88,Quarterly!B:B,"&lt;="&amp;A35),SUMIFS(Quarterly!C:C,Quarterly!B:B,"&gt;="&amp;A35-92,Quarterly!B:B,"&lt;="&amp;A35)))</f>
        <v>19500</v>
      </c>
      <c r="K35" s="13">
        <f t="shared" si="167"/>
        <v>0.1371</v>
      </c>
      <c r="L35">
        <f t="shared" si="169"/>
        <v>2673.61</v>
      </c>
      <c r="M35">
        <f>IF(A35&gt;=Quarterly!B$2,Quarterly!D$2,IF(COUNTIFS(Quarterly!B:B,"&gt;="&amp;A35-92,Quarterly!B:B,"&lt;="&amp;A35)&gt;1,SUMIFS(Quarterly!D:D,Quarterly!B:B,"&gt;="&amp;A35-88,Quarterly!B:B,"&lt;="&amp;A35),SUMIFS(Quarterly!D:D,Quarterly!B:B,"&gt;="&amp;A35-92,Quarterly!B:B,"&lt;="&amp;A35)))</f>
        <v>1858.3879999999999</v>
      </c>
      <c r="N35" s="13">
        <f t="shared" si="170"/>
        <v>0.14387000000000003</v>
      </c>
      <c r="O35">
        <f t="shared" si="42"/>
        <v>2673.61</v>
      </c>
      <c r="P35" s="56">
        <f>VLOOKUP(EOMONTH(A35,-1),Economic!A:I,7,FALSE)</f>
        <v>1374222</v>
      </c>
      <c r="Q35" s="13">
        <f t="shared" si="43"/>
        <v>0.1946</v>
      </c>
      <c r="R35" s="40">
        <v>0.52</v>
      </c>
      <c r="S35">
        <f t="shared" si="44"/>
        <v>1</v>
      </c>
      <c r="T35" s="30">
        <f t="shared" si="45"/>
        <v>39.35</v>
      </c>
      <c r="U35" s="30">
        <f t="shared" si="168"/>
        <v>38.72</v>
      </c>
    </row>
    <row r="36" spans="1:21" ht="16.5" customHeight="1" x14ac:dyDescent="0.25">
      <c r="A36" s="5">
        <v>43093</v>
      </c>
      <c r="B36" s="5">
        <f t="shared" si="122"/>
        <v>43100</v>
      </c>
      <c r="C36" s="18">
        <v>2683.34</v>
      </c>
      <c r="D36" s="29">
        <f t="shared" si="162"/>
        <v>1.5299999999999999E-2</v>
      </c>
      <c r="E36" s="39">
        <f t="shared" si="163"/>
        <v>2598.6476923076921</v>
      </c>
      <c r="F36" s="39">
        <f t="shared" si="164"/>
        <v>2483.9007692307691</v>
      </c>
      <c r="G36" s="29">
        <f t="shared" si="171"/>
        <v>3.2599999999999997E-2</v>
      </c>
      <c r="H36" s="29">
        <f t="shared" si="171"/>
        <v>8.0299999999999996E-2</v>
      </c>
      <c r="I36">
        <f t="shared" si="166"/>
        <v>2683.34</v>
      </c>
      <c r="J36">
        <f>IF(A36&gt;=Quarterly!B$2,Quarterly!C$2,IF(COUNTIFS(Quarterly!B:B,"&gt;="&amp;A36-92,Quarterly!B:B,"&lt;="&amp;A36)&gt;1,SUMIFS(Quarterly!C:C,Quarterly!B:B,"&gt;="&amp;A36-88,Quarterly!B:B,"&lt;="&amp;A36),SUMIFS(Quarterly!C:C,Quarterly!B:B,"&gt;="&amp;A36-92,Quarterly!B:B,"&lt;="&amp;A36)))</f>
        <v>19500</v>
      </c>
      <c r="K36" s="13">
        <f t="shared" si="167"/>
        <v>0.1376</v>
      </c>
      <c r="L36">
        <f t="shared" si="169"/>
        <v>2683.34</v>
      </c>
      <c r="M36">
        <f>IF(A36&gt;=Quarterly!B$2,Quarterly!D$2,IF(COUNTIFS(Quarterly!B:B,"&gt;="&amp;A36-92,Quarterly!B:B,"&lt;="&amp;A36)&gt;1,SUMIFS(Quarterly!D:D,Quarterly!B:B,"&gt;="&amp;A36-88,Quarterly!B:B,"&lt;="&amp;A36),SUMIFS(Quarterly!D:D,Quarterly!B:B,"&gt;="&amp;A36-92,Quarterly!B:B,"&lt;="&amp;A36)))</f>
        <v>1858.3879999999999</v>
      </c>
      <c r="N36" s="13">
        <f t="shared" si="170"/>
        <v>0.14438999999999999</v>
      </c>
      <c r="O36">
        <f t="shared" si="42"/>
        <v>2683.34</v>
      </c>
      <c r="P36" s="56">
        <f>VLOOKUP(EOMONTH(A36,-1),Economic!A:I,7,FALSE)</f>
        <v>1374222</v>
      </c>
      <c r="Q36" s="13">
        <f t="shared" si="43"/>
        <v>0.1953</v>
      </c>
      <c r="R36" s="40">
        <v>0.59</v>
      </c>
      <c r="S36">
        <f t="shared" si="44"/>
        <v>0.9</v>
      </c>
      <c r="T36" s="30">
        <f t="shared" si="45"/>
        <v>36.58</v>
      </c>
      <c r="U36" s="30">
        <f t="shared" si="168"/>
        <v>39.25</v>
      </c>
    </row>
    <row r="37" spans="1:21" ht="16.5" customHeight="1" x14ac:dyDescent="0.25">
      <c r="A37" s="37">
        <v>43086</v>
      </c>
      <c r="B37" s="5">
        <f t="shared" si="122"/>
        <v>43100</v>
      </c>
      <c r="C37" s="18">
        <v>2675.81</v>
      </c>
      <c r="D37" s="29">
        <f t="shared" si="162"/>
        <v>2.18E-2</v>
      </c>
      <c r="E37" s="39">
        <f t="shared" si="163"/>
        <v>2584.7153846153847</v>
      </c>
      <c r="F37" s="39">
        <f t="shared" si="164"/>
        <v>2475.1992307692308</v>
      </c>
      <c r="G37" s="29">
        <f t="shared" si="171"/>
        <v>3.5200000000000002E-2</v>
      </c>
      <c r="H37" s="29">
        <f t="shared" si="171"/>
        <v>8.1000000000000003E-2</v>
      </c>
      <c r="I37">
        <f t="shared" si="166"/>
        <v>2675.81</v>
      </c>
      <c r="J37">
        <f>IF(A37&gt;=Quarterly!B$2,Quarterly!C$2,IF(COUNTIFS(Quarterly!B:B,"&gt;="&amp;A37-92,Quarterly!B:B,"&lt;="&amp;A37)&gt;1,SUMIFS(Quarterly!C:C,Quarterly!B:B,"&gt;="&amp;A37-88,Quarterly!B:B,"&lt;="&amp;A37),SUMIFS(Quarterly!C:C,Quarterly!B:B,"&gt;="&amp;A37-92,Quarterly!B:B,"&lt;="&amp;A37)))</f>
        <v>19500</v>
      </c>
      <c r="K37" s="13">
        <f t="shared" si="167"/>
        <v>0.13719999999999999</v>
      </c>
      <c r="L37">
        <f t="shared" si="169"/>
        <v>2675.81</v>
      </c>
      <c r="M37">
        <f>IF(A37&gt;=Quarterly!B$2,Quarterly!D$2,IF(COUNTIFS(Quarterly!B:B,"&gt;="&amp;A37-92,Quarterly!B:B,"&lt;="&amp;A37)&gt;1,SUMIFS(Quarterly!D:D,Quarterly!B:B,"&gt;="&amp;A37-88,Quarterly!B:B,"&lt;="&amp;A37),SUMIFS(Quarterly!D:D,Quarterly!B:B,"&gt;="&amp;A37-92,Quarterly!B:B,"&lt;="&amp;A37)))</f>
        <v>1858.3879999999999</v>
      </c>
      <c r="N37" s="13">
        <f t="shared" si="170"/>
        <v>0.14399000000000001</v>
      </c>
      <c r="O37">
        <f t="shared" si="42"/>
        <v>2675.81</v>
      </c>
      <c r="P37" s="56">
        <f>VLOOKUP(EOMONTH(A37,-1),Economic!A:I,7,FALSE)</f>
        <v>1374222</v>
      </c>
      <c r="Q37" s="13">
        <f t="shared" si="43"/>
        <v>0.19469999999999998</v>
      </c>
      <c r="R37" s="40">
        <v>0.53</v>
      </c>
      <c r="S37">
        <f t="shared" si="44"/>
        <v>0.96</v>
      </c>
      <c r="T37" s="30">
        <f t="shared" si="45"/>
        <v>40.229999999999997</v>
      </c>
      <c r="U37" s="30">
        <f t="shared" si="168"/>
        <v>40.630000000000003</v>
      </c>
    </row>
    <row r="38" spans="1:21" ht="16.5" customHeight="1" x14ac:dyDescent="0.25">
      <c r="A38" s="5">
        <v>43079</v>
      </c>
      <c r="B38" s="5">
        <f t="shared" si="122"/>
        <v>43100</v>
      </c>
      <c r="C38" s="18">
        <v>2651.5</v>
      </c>
      <c r="D38" s="29">
        <f t="shared" si="162"/>
        <v>1.9199999999999998E-2</v>
      </c>
      <c r="E38" s="39">
        <f t="shared" si="163"/>
        <v>2571.2092307692315</v>
      </c>
      <c r="F38" s="39">
        <f t="shared" si="164"/>
        <v>2467.5694871794872</v>
      </c>
      <c r="G38" s="29">
        <f t="shared" si="171"/>
        <v>3.1199999999999999E-2</v>
      </c>
      <c r="H38" s="29">
        <f t="shared" si="171"/>
        <v>7.4499999999999997E-2</v>
      </c>
      <c r="I38">
        <f t="shared" si="166"/>
        <v>2651.5</v>
      </c>
      <c r="J38">
        <f>IF(A38&gt;=Quarterly!B$2,Quarterly!C$2,IF(COUNTIFS(Quarterly!B:B,"&gt;="&amp;A38-92,Quarterly!B:B,"&lt;="&amp;A38)&gt;1,SUMIFS(Quarterly!C:C,Quarterly!B:B,"&gt;="&amp;A38-88,Quarterly!B:B,"&lt;="&amp;A38),SUMIFS(Quarterly!C:C,Quarterly!B:B,"&gt;="&amp;A38-92,Quarterly!B:B,"&lt;="&amp;A38)))</f>
        <v>19500</v>
      </c>
      <c r="K38" s="13">
        <f t="shared" si="167"/>
        <v>0.13600000000000001</v>
      </c>
      <c r="L38">
        <f t="shared" si="169"/>
        <v>2651.5</v>
      </c>
      <c r="M38">
        <f>IF(A38&gt;=Quarterly!B$2,Quarterly!D$2,IF(COUNTIFS(Quarterly!B:B,"&gt;="&amp;A38-92,Quarterly!B:B,"&lt;="&amp;A38)&gt;1,SUMIFS(Quarterly!D:D,Quarterly!B:B,"&gt;="&amp;A38-88,Quarterly!B:B,"&lt;="&amp;A38),SUMIFS(Quarterly!D:D,Quarterly!B:B,"&gt;="&amp;A38-92,Quarterly!B:B,"&lt;="&amp;A38)))</f>
        <v>1858.3879999999999</v>
      </c>
      <c r="N38" s="13">
        <f t="shared" si="170"/>
        <v>0.14268</v>
      </c>
      <c r="O38">
        <f t="shared" si="42"/>
        <v>2651.5</v>
      </c>
      <c r="P38" s="56">
        <f>VLOOKUP(EOMONTH(A38,-1),Economic!A:I,7,FALSE)</f>
        <v>1374222</v>
      </c>
      <c r="Q38" s="13">
        <f t="shared" si="43"/>
        <v>0.19289999999999999</v>
      </c>
      <c r="R38" s="40">
        <v>0.56999999999999995</v>
      </c>
      <c r="S38">
        <f t="shared" si="44"/>
        <v>0.9</v>
      </c>
      <c r="T38" s="30">
        <f t="shared" si="45"/>
        <v>40.94</v>
      </c>
      <c r="U38" s="30">
        <f t="shared" si="168"/>
        <v>42.12</v>
      </c>
    </row>
    <row r="39" spans="1:21" ht="16.5" customHeight="1" x14ac:dyDescent="0.25">
      <c r="A39" s="37">
        <v>43072</v>
      </c>
      <c r="B39" s="5">
        <f t="shared" si="122"/>
        <v>43100</v>
      </c>
      <c r="C39" s="18">
        <v>2642.22</v>
      </c>
      <c r="D39" s="29">
        <f t="shared" si="162"/>
        <v>2.1000000000000001E-2</v>
      </c>
      <c r="E39" s="39">
        <f t="shared" si="163"/>
        <v>2556.5884615384616</v>
      </c>
      <c r="F39" s="39">
        <f t="shared" si="164"/>
        <v>2460.418205128205</v>
      </c>
      <c r="G39" s="29">
        <f t="shared" si="171"/>
        <v>3.3500000000000002E-2</v>
      </c>
      <c r="H39" s="29">
        <f t="shared" si="171"/>
        <v>7.3899999999999993E-2</v>
      </c>
      <c r="I39">
        <f t="shared" si="166"/>
        <v>2642.22</v>
      </c>
      <c r="J39">
        <f>IF(A39&gt;=Quarterly!B$2,Quarterly!C$2,IF(COUNTIFS(Quarterly!B:B,"&gt;="&amp;A39-92,Quarterly!B:B,"&lt;="&amp;A39)&gt;1,SUMIFS(Quarterly!C:C,Quarterly!B:B,"&gt;="&amp;A39-88,Quarterly!B:B,"&lt;="&amp;A39),SUMIFS(Quarterly!C:C,Quarterly!B:B,"&gt;="&amp;A39-92,Quarterly!B:B,"&lt;="&amp;A39)))</f>
        <v>19500</v>
      </c>
      <c r="K39" s="13">
        <f t="shared" si="167"/>
        <v>0.13550000000000001</v>
      </c>
      <c r="L39">
        <f t="shared" si="169"/>
        <v>2642.22</v>
      </c>
      <c r="M39">
        <f>IF(A39&gt;=Quarterly!B$2,Quarterly!D$2,IF(COUNTIFS(Quarterly!B:B,"&gt;="&amp;A39-92,Quarterly!B:B,"&lt;="&amp;A39)&gt;1,SUMIFS(Quarterly!D:D,Quarterly!B:B,"&gt;="&amp;A39-88,Quarterly!B:B,"&lt;="&amp;A39),SUMIFS(Quarterly!D:D,Quarterly!B:B,"&gt;="&amp;A39-92,Quarterly!B:B,"&lt;="&amp;A39)))</f>
        <v>1858.3879999999999</v>
      </c>
      <c r="N39" s="13">
        <f t="shared" si="170"/>
        <v>0.14218</v>
      </c>
      <c r="O39">
        <f t="shared" si="42"/>
        <v>2642.22</v>
      </c>
      <c r="P39" s="56">
        <f>VLOOKUP(EOMONTH(A39,-1),Economic!A:I,7,FALSE)</f>
        <v>1374222</v>
      </c>
      <c r="Q39" s="13">
        <f t="shared" si="43"/>
        <v>0.1923</v>
      </c>
      <c r="R39" s="40">
        <v>0.64</v>
      </c>
      <c r="S39">
        <f t="shared" si="44"/>
        <v>0.83</v>
      </c>
      <c r="T39" s="30">
        <f t="shared" si="45"/>
        <v>40.72</v>
      </c>
      <c r="U39" s="30">
        <f t="shared" si="168"/>
        <v>45.17</v>
      </c>
    </row>
    <row r="40" spans="1:21" ht="16.5" customHeight="1" x14ac:dyDescent="0.25">
      <c r="A40" s="5">
        <v>43065</v>
      </c>
      <c r="B40" s="5">
        <f t="shared" si="122"/>
        <v>43069</v>
      </c>
      <c r="C40" s="18">
        <v>2602.42</v>
      </c>
      <c r="D40" s="29">
        <f t="shared" si="162"/>
        <v>7.7000000000000002E-3</v>
      </c>
      <c r="E40" s="39">
        <f t="shared" si="163"/>
        <v>2543.8446153846157</v>
      </c>
      <c r="F40" s="39">
        <f t="shared" si="164"/>
        <v>2453.7746153846147</v>
      </c>
      <c r="G40" s="29">
        <f t="shared" si="171"/>
        <v>2.3E-2</v>
      </c>
      <c r="H40" s="29">
        <f t="shared" si="171"/>
        <v>6.0600000000000001E-2</v>
      </c>
      <c r="I40">
        <f t="shared" si="166"/>
        <v>2602.42</v>
      </c>
      <c r="J40">
        <f>IF(A40&gt;=Quarterly!B$2,Quarterly!C$2,IF(COUNTIFS(Quarterly!B:B,"&gt;="&amp;A40-92,Quarterly!B:B,"&lt;="&amp;A40)&gt;1,SUMIFS(Quarterly!C:C,Quarterly!B:B,"&gt;="&amp;A40-88,Quarterly!B:B,"&lt;="&amp;A40),SUMIFS(Quarterly!C:C,Quarterly!B:B,"&gt;="&amp;A40-92,Quarterly!B:B,"&lt;="&amp;A40)))</f>
        <v>19500</v>
      </c>
      <c r="K40" s="13">
        <f t="shared" si="167"/>
        <v>0.13350000000000001</v>
      </c>
      <c r="L40">
        <f t="shared" si="169"/>
        <v>2602.42</v>
      </c>
      <c r="M40">
        <f>IF(A40&gt;=Quarterly!B$2,Quarterly!D$2,IF(COUNTIFS(Quarterly!B:B,"&gt;="&amp;A40-92,Quarterly!B:B,"&lt;="&amp;A40)&gt;1,SUMIFS(Quarterly!D:D,Quarterly!B:B,"&gt;="&amp;A40-88,Quarterly!B:B,"&lt;="&amp;A40),SUMIFS(Quarterly!D:D,Quarterly!B:B,"&gt;="&amp;A40-92,Quarterly!B:B,"&lt;="&amp;A40)))</f>
        <v>1858.3879999999999</v>
      </c>
      <c r="N40" s="13">
        <f t="shared" si="170"/>
        <v>0.14004000000000003</v>
      </c>
      <c r="O40">
        <f t="shared" si="42"/>
        <v>2602.42</v>
      </c>
      <c r="P40" s="56">
        <f>VLOOKUP(EOMONTH(A40,-1),Economic!A:I,7,FALSE)</f>
        <v>1362132</v>
      </c>
      <c r="Q40" s="13">
        <f t="shared" si="43"/>
        <v>0.19109999999999999</v>
      </c>
      <c r="R40" s="40">
        <v>0.57999999999999996</v>
      </c>
      <c r="S40">
        <f t="shared" si="44"/>
        <v>0.85</v>
      </c>
      <c r="T40" s="30">
        <f t="shared" si="45"/>
        <v>44.71</v>
      </c>
      <c r="U40" s="30">
        <f t="shared" si="168"/>
        <v>48.04</v>
      </c>
    </row>
    <row r="41" spans="1:21" ht="16.5" customHeight="1" x14ac:dyDescent="0.25">
      <c r="A41" s="37">
        <v>43058</v>
      </c>
      <c r="B41" s="5">
        <f t="shared" si="122"/>
        <v>43069</v>
      </c>
      <c r="C41" s="18">
        <v>2578.85</v>
      </c>
      <c r="D41" s="29">
        <f t="shared" si="162"/>
        <v>-1.1000000000000001E-3</v>
      </c>
      <c r="E41" s="39">
        <f t="shared" si="163"/>
        <v>2531.5853846153846</v>
      </c>
      <c r="F41" s="39">
        <f t="shared" si="164"/>
        <v>2447.7469230769225</v>
      </c>
      <c r="G41" s="29">
        <f t="shared" si="171"/>
        <v>1.8700000000000001E-2</v>
      </c>
      <c r="H41" s="29">
        <f t="shared" si="171"/>
        <v>5.3600000000000002E-2</v>
      </c>
      <c r="I41">
        <f t="shared" si="166"/>
        <v>2578.85</v>
      </c>
      <c r="J41">
        <f>IF(A41&gt;=Quarterly!B$2,Quarterly!C$2,IF(COUNTIFS(Quarterly!B:B,"&gt;="&amp;A41-92,Quarterly!B:B,"&lt;="&amp;A41)&gt;1,SUMIFS(Quarterly!C:C,Quarterly!B:B,"&gt;="&amp;A41-88,Quarterly!B:B,"&lt;="&amp;A41),SUMIFS(Quarterly!C:C,Quarterly!B:B,"&gt;="&amp;A41-92,Quarterly!B:B,"&lt;="&amp;A41)))</f>
        <v>19500</v>
      </c>
      <c r="K41" s="13">
        <f t="shared" si="167"/>
        <v>0.13220000000000001</v>
      </c>
      <c r="L41">
        <f t="shared" si="169"/>
        <v>2578.85</v>
      </c>
      <c r="M41">
        <f>IF(A41&gt;=Quarterly!B$2,Quarterly!D$2,IF(COUNTIFS(Quarterly!B:B,"&gt;="&amp;A41-92,Quarterly!B:B,"&lt;="&amp;A41)&gt;1,SUMIFS(Quarterly!D:D,Quarterly!B:B,"&gt;="&amp;A41-88,Quarterly!B:B,"&lt;="&amp;A41),SUMIFS(Quarterly!D:D,Quarterly!B:B,"&gt;="&amp;A41-92,Quarterly!B:B,"&lt;="&amp;A41)))</f>
        <v>1858.3879999999999</v>
      </c>
      <c r="N41" s="13">
        <f t="shared" si="170"/>
        <v>0.13877</v>
      </c>
      <c r="O41">
        <f t="shared" si="42"/>
        <v>2578.85</v>
      </c>
      <c r="P41" s="56">
        <f>VLOOKUP(EOMONTH(A41,-1),Economic!A:I,7,FALSE)</f>
        <v>1362132</v>
      </c>
      <c r="Q41" s="13">
        <f t="shared" si="43"/>
        <v>0.1893</v>
      </c>
      <c r="R41" s="40">
        <v>0.65</v>
      </c>
      <c r="S41">
        <f t="shared" si="44"/>
        <v>0.93</v>
      </c>
      <c r="T41" s="30">
        <f t="shared" si="45"/>
        <v>50.08</v>
      </c>
      <c r="U41" s="30">
        <f t="shared" si="168"/>
        <v>48.95</v>
      </c>
    </row>
    <row r="42" spans="1:21" ht="16.5" customHeight="1" x14ac:dyDescent="0.25">
      <c r="A42" s="5">
        <v>43051</v>
      </c>
      <c r="B42" s="5">
        <f t="shared" si="122"/>
        <v>43069</v>
      </c>
      <c r="C42" s="18">
        <v>2582.3000000000002</v>
      </c>
      <c r="D42" s="29">
        <f t="shared" si="162"/>
        <v>3.0999999999999999E-3</v>
      </c>
      <c r="E42" s="39">
        <f t="shared" si="163"/>
        <v>2519.793076923077</v>
      </c>
      <c r="F42" s="39">
        <f t="shared" si="164"/>
        <v>2441.9087179487178</v>
      </c>
      <c r="G42" s="29">
        <f t="shared" si="171"/>
        <v>2.4799999999999999E-2</v>
      </c>
      <c r="H42" s="29">
        <f t="shared" si="171"/>
        <v>5.7500000000000002E-2</v>
      </c>
      <c r="I42">
        <f t="shared" si="166"/>
        <v>2582.3000000000002</v>
      </c>
      <c r="J42">
        <f>IF(A42&gt;=Quarterly!B$2,Quarterly!C$2,IF(COUNTIFS(Quarterly!B:B,"&gt;="&amp;A42-92,Quarterly!B:B,"&lt;="&amp;A42)&gt;1,SUMIFS(Quarterly!C:C,Quarterly!B:B,"&gt;="&amp;A42-88,Quarterly!B:B,"&lt;="&amp;A42),SUMIFS(Quarterly!C:C,Quarterly!B:B,"&gt;="&amp;A42-92,Quarterly!B:B,"&lt;="&amp;A42)))</f>
        <v>19500</v>
      </c>
      <c r="K42" s="13">
        <f t="shared" si="167"/>
        <v>0.13239999999999999</v>
      </c>
      <c r="L42">
        <f t="shared" si="169"/>
        <v>2582.3000000000002</v>
      </c>
      <c r="M42">
        <f>IF(A42&gt;=Quarterly!B$2,Quarterly!D$2,IF(COUNTIFS(Quarterly!B:B,"&gt;="&amp;A42-92,Quarterly!B:B,"&lt;="&amp;A42)&gt;1,SUMIFS(Quarterly!D:D,Quarterly!B:B,"&gt;="&amp;A42-88,Quarterly!B:B,"&lt;="&amp;A42),SUMIFS(Quarterly!D:D,Quarterly!B:B,"&gt;="&amp;A42-92,Quarterly!B:B,"&lt;="&amp;A42)))</f>
        <v>1858.3879999999999</v>
      </c>
      <c r="N42" s="13">
        <f t="shared" si="170"/>
        <v>0.13894999999999999</v>
      </c>
      <c r="O42">
        <f t="shared" si="42"/>
        <v>2582.3000000000002</v>
      </c>
      <c r="P42" s="56">
        <f>VLOOKUP(EOMONTH(A42,-1),Economic!A:I,7,FALSE)</f>
        <v>1362132</v>
      </c>
      <c r="Q42" s="13">
        <f t="shared" si="43"/>
        <v>0.18959999999999999</v>
      </c>
      <c r="R42" s="40">
        <v>0.67</v>
      </c>
      <c r="S42">
        <f t="shared" si="44"/>
        <v>0.88</v>
      </c>
      <c r="T42" s="30">
        <f t="shared" si="45"/>
        <v>49.34</v>
      </c>
      <c r="U42" s="30">
        <f t="shared" si="168"/>
        <v>48.17</v>
      </c>
    </row>
    <row r="43" spans="1:21" ht="16.5" customHeight="1" x14ac:dyDescent="0.25">
      <c r="A43" s="37">
        <v>43044</v>
      </c>
      <c r="B43" s="5">
        <f t="shared" si="122"/>
        <v>43069</v>
      </c>
      <c r="C43" s="18">
        <v>2587.84</v>
      </c>
      <c r="D43" s="29">
        <f t="shared" si="162"/>
        <v>8.9999999999999993E-3</v>
      </c>
      <c r="E43" s="39">
        <f t="shared" si="163"/>
        <v>2508.9484615384613</v>
      </c>
      <c r="F43" s="39">
        <f t="shared" si="164"/>
        <v>2435.0830769230765</v>
      </c>
      <c r="G43" s="29">
        <f t="shared" si="171"/>
        <v>3.1399999999999997E-2</v>
      </c>
      <c r="H43" s="29">
        <f t="shared" si="171"/>
        <v>6.2700000000000006E-2</v>
      </c>
      <c r="I43">
        <f t="shared" si="166"/>
        <v>2587.84</v>
      </c>
      <c r="J43">
        <f>IF(A43&gt;=Quarterly!B$2,Quarterly!C$2,IF(COUNTIFS(Quarterly!B:B,"&gt;="&amp;A43-92,Quarterly!B:B,"&lt;="&amp;A43)&gt;1,SUMIFS(Quarterly!C:C,Quarterly!B:B,"&gt;="&amp;A43-88,Quarterly!B:B,"&lt;="&amp;A43),SUMIFS(Quarterly!C:C,Quarterly!B:B,"&gt;="&amp;A43-92,Quarterly!B:B,"&lt;="&amp;A43)))</f>
        <v>19500</v>
      </c>
      <c r="K43" s="13">
        <f t="shared" si="167"/>
        <v>0.13270000000000001</v>
      </c>
      <c r="L43">
        <f t="shared" si="169"/>
        <v>2587.84</v>
      </c>
      <c r="M43">
        <f>IF(A43&gt;=Quarterly!B$2,Quarterly!D$2,IF(COUNTIFS(Quarterly!B:B,"&gt;="&amp;A43-92,Quarterly!B:B,"&lt;="&amp;A43)&gt;1,SUMIFS(Quarterly!D:D,Quarterly!B:B,"&gt;="&amp;A43-88,Quarterly!B:B,"&lt;="&amp;A43),SUMIFS(Quarterly!D:D,Quarterly!B:B,"&gt;="&amp;A43-92,Quarterly!B:B,"&lt;="&amp;A43)))</f>
        <v>1858.3879999999999</v>
      </c>
      <c r="N43" s="13">
        <f t="shared" si="170"/>
        <v>0.13925000000000001</v>
      </c>
      <c r="O43">
        <f t="shared" si="42"/>
        <v>2587.84</v>
      </c>
      <c r="P43" s="56">
        <f>VLOOKUP(EOMONTH(A43,-1),Economic!A:I,7,FALSE)</f>
        <v>1362132</v>
      </c>
      <c r="Q43" s="13">
        <f t="shared" si="43"/>
        <v>0.19</v>
      </c>
      <c r="R43" s="40">
        <v>0.74</v>
      </c>
      <c r="S43">
        <f t="shared" si="44"/>
        <v>0.8</v>
      </c>
      <c r="T43" s="30">
        <f t="shared" si="45"/>
        <v>47.42</v>
      </c>
      <c r="U43" s="30">
        <f t="shared" si="168"/>
        <v>46.52</v>
      </c>
    </row>
    <row r="44" spans="1:21" ht="16.5" customHeight="1" x14ac:dyDescent="0.25">
      <c r="A44" s="5">
        <v>43037</v>
      </c>
      <c r="B44" s="5">
        <f t="shared" si="122"/>
        <v>43039</v>
      </c>
      <c r="C44" s="18">
        <v>2581.0700000000002</v>
      </c>
      <c r="D44" s="29">
        <f t="shared" si="162"/>
        <v>1.2500000000000001E-2</v>
      </c>
      <c r="E44" s="39">
        <f t="shared" si="163"/>
        <v>2500.4092307692308</v>
      </c>
      <c r="F44" s="39">
        <f t="shared" si="164"/>
        <v>2427.6364102564103</v>
      </c>
      <c r="G44" s="29">
        <f t="shared" si="171"/>
        <v>3.2300000000000002E-2</v>
      </c>
      <c r="H44" s="29">
        <f t="shared" si="171"/>
        <v>6.3200000000000006E-2</v>
      </c>
      <c r="I44">
        <f t="shared" si="166"/>
        <v>2581.0700000000002</v>
      </c>
      <c r="J44">
        <f>IF(A44&gt;=Quarterly!B$2,Quarterly!C$2,IF(COUNTIFS(Quarterly!B:B,"&gt;="&amp;A44-92,Quarterly!B:B,"&lt;="&amp;A44)&gt;1,SUMIFS(Quarterly!C:C,Quarterly!B:B,"&gt;="&amp;A44-88,Quarterly!B:B,"&lt;="&amp;A44),SUMIFS(Quarterly!C:C,Quarterly!B:B,"&gt;="&amp;A44-92,Quarterly!B:B,"&lt;="&amp;A44)))</f>
        <v>19500</v>
      </c>
      <c r="K44" s="13">
        <f t="shared" si="167"/>
        <v>0.13239999999999999</v>
      </c>
      <c r="L44">
        <f t="shared" si="169"/>
        <v>2581.0700000000002</v>
      </c>
      <c r="M44">
        <f>IF(A44&gt;=Quarterly!B$2,Quarterly!D$2,IF(COUNTIFS(Quarterly!B:B,"&gt;="&amp;A44-92,Quarterly!B:B,"&lt;="&amp;A44)&gt;1,SUMIFS(Quarterly!D:D,Quarterly!B:B,"&gt;="&amp;A44-88,Quarterly!B:B,"&lt;="&amp;A44),SUMIFS(Quarterly!D:D,Quarterly!B:B,"&gt;="&amp;A44-92,Quarterly!B:B,"&lt;="&amp;A44)))</f>
        <v>1858.3879999999999</v>
      </c>
      <c r="N44" s="13">
        <f t="shared" si="170"/>
        <v>0.13889000000000001</v>
      </c>
      <c r="O44">
        <f t="shared" si="42"/>
        <v>2581.0700000000002</v>
      </c>
      <c r="P44" s="56">
        <f>VLOOKUP(EOMONTH(A44,-1),Economic!A:I,7,FALSE)</f>
        <v>1356280</v>
      </c>
      <c r="Q44" s="13">
        <f t="shared" si="43"/>
        <v>0.1903</v>
      </c>
      <c r="R44" s="40">
        <v>0.83</v>
      </c>
      <c r="S44">
        <f t="shared" si="44"/>
        <v>0.78</v>
      </c>
      <c r="T44" s="30">
        <f t="shared" si="45"/>
        <v>47.75</v>
      </c>
      <c r="U44" s="30">
        <f t="shared" si="168"/>
        <v>46</v>
      </c>
    </row>
    <row r="45" spans="1:21" ht="16.5" customHeight="1" x14ac:dyDescent="0.25">
      <c r="A45" s="37">
        <v>43030</v>
      </c>
      <c r="B45" s="5">
        <f t="shared" si="122"/>
        <v>43039</v>
      </c>
      <c r="C45" s="18">
        <v>2575.21</v>
      </c>
      <c r="D45" s="29">
        <f t="shared" si="162"/>
        <v>1.7500000000000002E-2</v>
      </c>
      <c r="E45" s="39">
        <f t="shared" si="163"/>
        <v>2492.0269230769222</v>
      </c>
      <c r="F45" s="39">
        <f t="shared" si="164"/>
        <v>2420.2933333333331</v>
      </c>
      <c r="G45" s="29">
        <f t="shared" si="171"/>
        <v>3.3399999999999999E-2</v>
      </c>
      <c r="H45" s="29">
        <f t="shared" si="171"/>
        <v>6.4000000000000001E-2</v>
      </c>
      <c r="I45">
        <f t="shared" si="166"/>
        <v>2575.21</v>
      </c>
      <c r="J45">
        <f>IF(A45&gt;=Quarterly!B$2,Quarterly!C$2,IF(COUNTIFS(Quarterly!B:B,"&gt;="&amp;A45-92,Quarterly!B:B,"&lt;="&amp;A45)&gt;1,SUMIFS(Quarterly!C:C,Quarterly!B:B,"&gt;="&amp;A45-88,Quarterly!B:B,"&lt;="&amp;A45),SUMIFS(Quarterly!C:C,Quarterly!B:B,"&gt;="&amp;A45-92,Quarterly!B:B,"&lt;="&amp;A45)))</f>
        <v>19250</v>
      </c>
      <c r="K45" s="13">
        <f t="shared" si="167"/>
        <v>0.1338</v>
      </c>
      <c r="L45">
        <f t="shared" si="169"/>
        <v>2575.21</v>
      </c>
      <c r="M45">
        <f>IF(A45&gt;=Quarterly!B$2,Quarterly!D$2,IF(COUNTIFS(Quarterly!B:B,"&gt;="&amp;A45-92,Quarterly!B:B,"&lt;="&amp;A45)&gt;1,SUMIFS(Quarterly!D:D,Quarterly!B:B,"&gt;="&amp;A45-88,Quarterly!B:B,"&lt;="&amp;A45),SUMIFS(Quarterly!D:D,Quarterly!B:B,"&gt;="&amp;A45-92,Quarterly!B:B,"&lt;="&amp;A45)))</f>
        <v>1774.729</v>
      </c>
      <c r="N45" s="13">
        <f t="shared" si="170"/>
        <v>0.14510000000000001</v>
      </c>
      <c r="O45">
        <f t="shared" si="42"/>
        <v>2575.21</v>
      </c>
      <c r="P45" s="56">
        <f>VLOOKUP(EOMONTH(A45,-1),Economic!A:I,7,FALSE)</f>
        <v>1356280</v>
      </c>
      <c r="Q45" s="13">
        <f t="shared" si="43"/>
        <v>0.18990000000000001</v>
      </c>
      <c r="R45" s="40">
        <v>0.75</v>
      </c>
      <c r="S45">
        <f t="shared" si="44"/>
        <v>0.82</v>
      </c>
      <c r="T45" s="30">
        <f t="shared" si="45"/>
        <v>44.39</v>
      </c>
      <c r="U45" s="30">
        <f t="shared" si="168"/>
        <v>46.37</v>
      </c>
    </row>
    <row r="46" spans="1:21" ht="16.5" customHeight="1" x14ac:dyDescent="0.25">
      <c r="A46" s="5">
        <v>43023</v>
      </c>
      <c r="B46" s="5">
        <f t="shared" si="122"/>
        <v>43039</v>
      </c>
      <c r="C46" s="18">
        <v>2553.17</v>
      </c>
      <c r="D46" s="29">
        <f t="shared" si="162"/>
        <v>1.41E-2</v>
      </c>
      <c r="E46" s="39">
        <f t="shared" si="163"/>
        <v>2484.1292307692306</v>
      </c>
      <c r="F46" s="39">
        <f t="shared" si="164"/>
        <v>2412.5010256410255</v>
      </c>
      <c r="G46" s="29">
        <f t="shared" si="171"/>
        <v>2.7799999999999998E-2</v>
      </c>
      <c r="H46" s="29">
        <f t="shared" si="171"/>
        <v>5.8299999999999998E-2</v>
      </c>
      <c r="I46">
        <f t="shared" si="166"/>
        <v>2553.17</v>
      </c>
      <c r="J46">
        <f>IF(A46&gt;=Quarterly!B$2,Quarterly!C$2,IF(COUNTIFS(Quarterly!B:B,"&gt;="&amp;A46-92,Quarterly!B:B,"&lt;="&amp;A46)&gt;1,SUMIFS(Quarterly!C:C,Quarterly!B:B,"&gt;="&amp;A46-88,Quarterly!B:B,"&lt;="&amp;A46),SUMIFS(Quarterly!C:C,Quarterly!B:B,"&gt;="&amp;A46-92,Quarterly!B:B,"&lt;="&amp;A46)))</f>
        <v>19250</v>
      </c>
      <c r="K46" s="13">
        <f t="shared" si="167"/>
        <v>0.1326</v>
      </c>
      <c r="L46">
        <f t="shared" si="169"/>
        <v>2553.17</v>
      </c>
      <c r="M46">
        <f>IF(A46&gt;=Quarterly!B$2,Quarterly!D$2,IF(COUNTIFS(Quarterly!B:B,"&gt;="&amp;A46-92,Quarterly!B:B,"&lt;="&amp;A46)&gt;1,SUMIFS(Quarterly!D:D,Quarterly!B:B,"&gt;="&amp;A46-88,Quarterly!B:B,"&lt;="&amp;A46),SUMIFS(Quarterly!D:D,Quarterly!B:B,"&gt;="&amp;A46-92,Quarterly!B:B,"&lt;="&amp;A46)))</f>
        <v>1774.729</v>
      </c>
      <c r="N46" s="13">
        <f t="shared" si="170"/>
        <v>0.14386000000000002</v>
      </c>
      <c r="O46">
        <f t="shared" si="42"/>
        <v>2553.17</v>
      </c>
      <c r="P46" s="56">
        <f>VLOOKUP(EOMONTH(A46,-1),Economic!A:I,7,FALSE)</f>
        <v>1356280</v>
      </c>
      <c r="Q46" s="13">
        <f t="shared" si="43"/>
        <v>0.18820000000000001</v>
      </c>
      <c r="R46" s="40">
        <v>0.77</v>
      </c>
      <c r="S46">
        <f t="shared" si="44"/>
        <v>0.8</v>
      </c>
      <c r="T46" s="30">
        <f t="shared" si="45"/>
        <v>45.85</v>
      </c>
      <c r="U46" s="30">
        <f t="shared" si="168"/>
        <v>47.86</v>
      </c>
    </row>
    <row r="47" spans="1:21" ht="16.5" customHeight="1" x14ac:dyDescent="0.25">
      <c r="A47" s="37">
        <v>43016</v>
      </c>
      <c r="B47" s="5">
        <f t="shared" si="122"/>
        <v>43039</v>
      </c>
      <c r="C47" s="18">
        <v>2549.33</v>
      </c>
      <c r="D47" s="29">
        <f t="shared" si="162"/>
        <v>2.1399999999999999E-2</v>
      </c>
      <c r="E47" s="39">
        <f t="shared" si="163"/>
        <v>2476.9061538461533</v>
      </c>
      <c r="F47" s="39">
        <f t="shared" si="164"/>
        <v>2405.3592307692306</v>
      </c>
      <c r="G47" s="29">
        <f t="shared" si="171"/>
        <v>2.92E-2</v>
      </c>
      <c r="H47" s="29">
        <f t="shared" si="171"/>
        <v>5.9900000000000002E-2</v>
      </c>
      <c r="I47">
        <f t="shared" si="166"/>
        <v>2549.33</v>
      </c>
      <c r="J47">
        <f>IF(A47&gt;=Quarterly!B$2,Quarterly!C$2,IF(COUNTIFS(Quarterly!B:B,"&gt;="&amp;A47-92,Quarterly!B:B,"&lt;="&amp;A47)&gt;1,SUMIFS(Quarterly!C:C,Quarterly!B:B,"&gt;="&amp;A47-88,Quarterly!B:B,"&lt;="&amp;A47),SUMIFS(Quarterly!C:C,Quarterly!B:B,"&gt;="&amp;A47-92,Quarterly!B:B,"&lt;="&amp;A47)))</f>
        <v>19250</v>
      </c>
      <c r="K47" s="13">
        <f t="shared" si="167"/>
        <v>0.13239999999999999</v>
      </c>
      <c r="L47">
        <f t="shared" si="169"/>
        <v>2549.33</v>
      </c>
      <c r="M47">
        <f>IF(A47&gt;=Quarterly!B$2,Quarterly!D$2,IF(COUNTIFS(Quarterly!B:B,"&gt;="&amp;A47-92,Quarterly!B:B,"&lt;="&amp;A47)&gt;1,SUMIFS(Quarterly!D:D,Quarterly!B:B,"&gt;="&amp;A47-88,Quarterly!B:B,"&lt;="&amp;A47),SUMIFS(Quarterly!D:D,Quarterly!B:B,"&gt;="&amp;A47-92,Quarterly!B:B,"&lt;="&amp;A47)))</f>
        <v>1774.729</v>
      </c>
      <c r="N47" s="13">
        <f t="shared" si="170"/>
        <v>0.14365000000000003</v>
      </c>
      <c r="O47">
        <f t="shared" si="42"/>
        <v>2549.33</v>
      </c>
      <c r="P47" s="56">
        <f>VLOOKUP(EOMONTH(A47,-1),Economic!A:I,7,FALSE)</f>
        <v>1356280</v>
      </c>
      <c r="Q47" s="13">
        <f t="shared" si="43"/>
        <v>0.188</v>
      </c>
      <c r="R47" s="41">
        <v>0.86</v>
      </c>
      <c r="S47">
        <f t="shared" si="44"/>
        <v>0.87</v>
      </c>
      <c r="T47" s="30">
        <f t="shared" si="45"/>
        <v>48.88</v>
      </c>
      <c r="U47" s="30">
        <f t="shared" si="168"/>
        <v>50.15</v>
      </c>
    </row>
    <row r="48" spans="1:21" ht="16.5" customHeight="1" x14ac:dyDescent="0.25">
      <c r="A48" s="5">
        <v>43009</v>
      </c>
      <c r="B48" s="5">
        <f t="shared" si="122"/>
        <v>43039</v>
      </c>
      <c r="C48" s="18">
        <v>2519.36</v>
      </c>
      <c r="D48" s="29">
        <f t="shared" si="162"/>
        <v>1.38E-2</v>
      </c>
      <c r="E48" s="39">
        <f t="shared" si="163"/>
        <v>2467.356153846154</v>
      </c>
      <c r="F48" s="39">
        <f t="shared" si="164"/>
        <v>2398.3758974358975</v>
      </c>
      <c r="G48" s="29">
        <f t="shared" si="171"/>
        <v>2.1100000000000001E-2</v>
      </c>
      <c r="H48" s="29">
        <f t="shared" si="171"/>
        <v>5.04E-2</v>
      </c>
      <c r="I48">
        <f t="shared" si="166"/>
        <v>2519.36</v>
      </c>
      <c r="J48">
        <f>IF(A48&gt;=Quarterly!B$2,Quarterly!C$2,IF(COUNTIFS(Quarterly!B:B,"&gt;="&amp;A48-92,Quarterly!B:B,"&lt;="&amp;A48)&gt;1,SUMIFS(Quarterly!C:C,Quarterly!B:B,"&gt;="&amp;A48-88,Quarterly!B:B,"&lt;="&amp;A48),SUMIFS(Quarterly!C:C,Quarterly!B:B,"&gt;="&amp;A48-92,Quarterly!B:B,"&lt;="&amp;A48)))</f>
        <v>19250</v>
      </c>
      <c r="K48" s="13">
        <f t="shared" si="167"/>
        <v>0.13089999999999999</v>
      </c>
      <c r="L48">
        <f t="shared" si="169"/>
        <v>2519.36</v>
      </c>
      <c r="M48">
        <f>IF(A48&gt;=Quarterly!B$2,Quarterly!D$2,IF(COUNTIFS(Quarterly!B:B,"&gt;="&amp;A48-92,Quarterly!B:B,"&lt;="&amp;A48)&gt;1,SUMIFS(Quarterly!D:D,Quarterly!B:B,"&gt;="&amp;A48-88,Quarterly!B:B,"&lt;="&amp;A48),SUMIFS(Quarterly!D:D,Quarterly!B:B,"&gt;="&amp;A48-92,Quarterly!B:B,"&lt;="&amp;A48)))</f>
        <v>1774.729</v>
      </c>
      <c r="N48" s="13">
        <f t="shared" si="170"/>
        <v>0.14196</v>
      </c>
      <c r="O48">
        <f t="shared" si="42"/>
        <v>2519.36</v>
      </c>
      <c r="P48" s="56">
        <f>VLOOKUP(EOMONTH(A48,-1),Economic!A:I,7,FALSE)</f>
        <v>1356280</v>
      </c>
      <c r="Q48" s="13">
        <f t="shared" si="43"/>
        <v>0.18579999999999999</v>
      </c>
      <c r="R48" s="41">
        <v>0.86</v>
      </c>
      <c r="S48">
        <f t="shared" si="44"/>
        <v>0.79</v>
      </c>
      <c r="T48" s="30">
        <f t="shared" si="45"/>
        <v>48.86</v>
      </c>
      <c r="U48" s="30">
        <f t="shared" si="168"/>
        <v>51.91</v>
      </c>
    </row>
    <row r="49" spans="1:21" ht="16.5" customHeight="1" x14ac:dyDescent="0.25">
      <c r="A49" s="37">
        <v>43002</v>
      </c>
      <c r="B49" s="5">
        <f t="shared" si="122"/>
        <v>43008</v>
      </c>
      <c r="C49" s="18">
        <v>2502.2199999999998</v>
      </c>
      <c r="D49" s="29">
        <f t="shared" si="162"/>
        <v>1.29E-2</v>
      </c>
      <c r="E49" s="39">
        <f t="shared" si="163"/>
        <v>2459.9676923076922</v>
      </c>
      <c r="F49" s="39">
        <f t="shared" si="164"/>
        <v>2391.1828205128209</v>
      </c>
      <c r="G49" s="29">
        <f t="shared" si="171"/>
        <v>1.72E-2</v>
      </c>
      <c r="H49" s="29">
        <f t="shared" si="171"/>
        <v>4.6399999999999997E-2</v>
      </c>
      <c r="I49">
        <f t="shared" si="166"/>
        <v>2502.2199999999998</v>
      </c>
      <c r="J49">
        <f>IF(A49&gt;=Quarterly!B$2,Quarterly!C$2,IF(COUNTIFS(Quarterly!B:B,"&gt;="&amp;A49-92,Quarterly!B:B,"&lt;="&amp;A49)&gt;1,SUMIFS(Quarterly!C:C,Quarterly!B:B,"&gt;="&amp;A49-88,Quarterly!B:B,"&lt;="&amp;A49),SUMIFS(Quarterly!C:C,Quarterly!B:B,"&gt;="&amp;A49-92,Quarterly!B:B,"&lt;="&amp;A49)))</f>
        <v>19250</v>
      </c>
      <c r="K49" s="13">
        <f t="shared" si="167"/>
        <v>0.13</v>
      </c>
      <c r="L49">
        <f t="shared" si="169"/>
        <v>2502.2199999999998</v>
      </c>
      <c r="M49">
        <f>IF(A49&gt;=Quarterly!B$2,Quarterly!D$2,IF(COUNTIFS(Quarterly!B:B,"&gt;="&amp;A49-92,Quarterly!B:B,"&lt;="&amp;A49)&gt;1,SUMIFS(Quarterly!D:D,Quarterly!B:B,"&gt;="&amp;A49-88,Quarterly!B:B,"&lt;="&amp;A49),SUMIFS(Quarterly!D:D,Quarterly!B:B,"&gt;="&amp;A49-92,Quarterly!B:B,"&lt;="&amp;A49)))</f>
        <v>1774.729</v>
      </c>
      <c r="N49" s="13">
        <f t="shared" si="170"/>
        <v>0.14099</v>
      </c>
      <c r="O49">
        <f t="shared" si="42"/>
        <v>2502.2199999999998</v>
      </c>
      <c r="P49" s="56">
        <f>VLOOKUP(EOMONTH(A49,-1),Economic!A:I,7,FALSE)</f>
        <v>1353926</v>
      </c>
      <c r="Q49" s="13">
        <f t="shared" si="43"/>
        <v>0.18479999999999999</v>
      </c>
      <c r="R49" s="40">
        <v>0.82</v>
      </c>
      <c r="S49">
        <f t="shared" si="44"/>
        <v>0.86</v>
      </c>
      <c r="T49" s="30">
        <f t="shared" si="45"/>
        <v>52.72</v>
      </c>
      <c r="U49" s="30">
        <f t="shared" si="168"/>
        <v>53.16</v>
      </c>
    </row>
    <row r="50" spans="1:21" ht="16.5" customHeight="1" x14ac:dyDescent="0.25">
      <c r="A50" s="5">
        <v>42995</v>
      </c>
      <c r="B50" s="5">
        <f t="shared" si="122"/>
        <v>43008</v>
      </c>
      <c r="C50" s="18">
        <v>2500.23</v>
      </c>
      <c r="D50" s="29">
        <f t="shared" si="162"/>
        <v>1.9800000000000002E-2</v>
      </c>
      <c r="E50" s="39">
        <f t="shared" si="163"/>
        <v>2455.0507692307692</v>
      </c>
      <c r="F50" s="39">
        <f t="shared" si="164"/>
        <v>2385.0692307692307</v>
      </c>
      <c r="G50" s="29">
        <f t="shared" ref="G50:H65" si="172">ROUND(($C50-E50)/E50,4)</f>
        <v>1.84E-2</v>
      </c>
      <c r="H50" s="29">
        <f t="shared" si="172"/>
        <v>4.8300000000000003E-2</v>
      </c>
      <c r="I50">
        <f t="shared" si="166"/>
        <v>2500.23</v>
      </c>
      <c r="J50">
        <f>IF(A50&gt;=Quarterly!B$2,Quarterly!C$2,IF(COUNTIFS(Quarterly!B:B,"&gt;="&amp;A50-92,Quarterly!B:B,"&lt;="&amp;A50)&gt;1,SUMIFS(Quarterly!C:C,Quarterly!B:B,"&gt;="&amp;A50-88,Quarterly!B:B,"&lt;="&amp;A50),SUMIFS(Quarterly!C:C,Quarterly!B:B,"&gt;="&amp;A50-92,Quarterly!B:B,"&lt;="&amp;A50)))</f>
        <v>19250</v>
      </c>
      <c r="K50" s="13">
        <f t="shared" si="167"/>
        <v>0.12989999999999999</v>
      </c>
      <c r="L50">
        <f t="shared" si="169"/>
        <v>2500.23</v>
      </c>
      <c r="M50">
        <f>IF(A50&gt;=Quarterly!B$2,Quarterly!D$2,IF(COUNTIFS(Quarterly!B:B,"&gt;="&amp;A50-92,Quarterly!B:B,"&lt;="&amp;A50)&gt;1,SUMIFS(Quarterly!D:D,Quarterly!B:B,"&gt;="&amp;A50-88,Quarterly!B:B,"&lt;="&amp;A50),SUMIFS(Quarterly!D:D,Quarterly!B:B,"&gt;="&amp;A50-92,Quarterly!B:B,"&lt;="&amp;A50)))</f>
        <v>1774.729</v>
      </c>
      <c r="N50" s="13">
        <f t="shared" si="170"/>
        <v>0.14088000000000001</v>
      </c>
      <c r="O50">
        <f t="shared" si="42"/>
        <v>2500.23</v>
      </c>
      <c r="P50" s="56">
        <f>VLOOKUP(EOMONTH(A50,-1),Economic!A:I,7,FALSE)</f>
        <v>1353926</v>
      </c>
      <c r="Q50" s="13">
        <f t="shared" si="43"/>
        <v>0.1847</v>
      </c>
      <c r="R50" s="40">
        <v>0.83</v>
      </c>
      <c r="S50">
        <f t="shared" si="44"/>
        <v>0.89</v>
      </c>
      <c r="T50" s="30">
        <f t="shared" si="45"/>
        <v>54.14</v>
      </c>
      <c r="U50" s="30">
        <f t="shared" si="168"/>
        <v>54.01</v>
      </c>
    </row>
    <row r="51" spans="1:21" ht="16.5" customHeight="1" x14ac:dyDescent="0.25">
      <c r="A51" s="37">
        <v>42988</v>
      </c>
      <c r="B51" s="5">
        <f t="shared" si="122"/>
        <v>43008</v>
      </c>
      <c r="C51" s="18">
        <v>2461.4299999999998</v>
      </c>
      <c r="D51" s="29">
        <f t="shared" si="162"/>
        <v>6.1000000000000004E-3</v>
      </c>
      <c r="E51" s="39">
        <f t="shared" si="163"/>
        <v>2449.8907692307694</v>
      </c>
      <c r="F51" s="39">
        <f t="shared" si="164"/>
        <v>2378.86</v>
      </c>
      <c r="G51" s="29">
        <f t="shared" si="172"/>
        <v>4.7000000000000002E-3</v>
      </c>
      <c r="H51" s="29">
        <f t="shared" si="172"/>
        <v>3.4700000000000002E-2</v>
      </c>
      <c r="I51">
        <f t="shared" si="166"/>
        <v>2461.4299999999998</v>
      </c>
      <c r="J51">
        <f>IF(A51&gt;=Quarterly!B$2,Quarterly!C$2,IF(COUNTIFS(Quarterly!B:B,"&gt;="&amp;A51-92,Quarterly!B:B,"&lt;="&amp;A51)&gt;1,SUMIFS(Quarterly!C:C,Quarterly!B:B,"&gt;="&amp;A51-88,Quarterly!B:B,"&lt;="&amp;A51),SUMIFS(Quarterly!C:C,Quarterly!B:B,"&gt;="&amp;A51-92,Quarterly!B:B,"&lt;="&amp;A51)))</f>
        <v>19250</v>
      </c>
      <c r="K51" s="13">
        <f t="shared" si="167"/>
        <v>0.12790000000000001</v>
      </c>
      <c r="L51">
        <f t="shared" si="169"/>
        <v>2461.4299999999998</v>
      </c>
      <c r="M51">
        <f>IF(A51&gt;=Quarterly!B$2,Quarterly!D$2,IF(COUNTIFS(Quarterly!B:B,"&gt;="&amp;A51-92,Quarterly!B:B,"&lt;="&amp;A51)&gt;1,SUMIFS(Quarterly!D:D,Quarterly!B:B,"&gt;="&amp;A51-88,Quarterly!B:B,"&lt;="&amp;A51),SUMIFS(Quarterly!D:D,Quarterly!B:B,"&gt;="&amp;A51-92,Quarterly!B:B,"&lt;="&amp;A51)))</f>
        <v>1774.729</v>
      </c>
      <c r="N51" s="13">
        <f t="shared" si="170"/>
        <v>0.13869000000000001</v>
      </c>
      <c r="O51">
        <f t="shared" si="42"/>
        <v>2461.4299999999998</v>
      </c>
      <c r="P51" s="56">
        <f>VLOOKUP(EOMONTH(A51,-1),Economic!A:I,7,FALSE)</f>
        <v>1353926</v>
      </c>
      <c r="Q51" s="13">
        <f t="shared" si="43"/>
        <v>0.18179999999999999</v>
      </c>
      <c r="R51" s="40">
        <v>0.8</v>
      </c>
      <c r="S51">
        <f t="shared" si="44"/>
        <v>0.76</v>
      </c>
      <c r="T51" s="30">
        <f t="shared" si="45"/>
        <v>52.61</v>
      </c>
      <c r="U51" s="30">
        <f t="shared" si="168"/>
        <v>55.75</v>
      </c>
    </row>
    <row r="52" spans="1:21" ht="16.5" customHeight="1" x14ac:dyDescent="0.25">
      <c r="A52" s="5">
        <v>42981</v>
      </c>
      <c r="B52" s="5">
        <f t="shared" si="122"/>
        <v>43008</v>
      </c>
      <c r="C52" s="18">
        <v>2476.5500000000002</v>
      </c>
      <c r="D52" s="29">
        <f t="shared" si="162"/>
        <v>1.2200000000000001E-2</v>
      </c>
      <c r="E52" s="39">
        <f t="shared" si="163"/>
        <v>2447.6092307692311</v>
      </c>
      <c r="F52" s="39">
        <f t="shared" si="164"/>
        <v>2373.6830769230774</v>
      </c>
      <c r="G52" s="29">
        <f t="shared" si="172"/>
        <v>1.18E-2</v>
      </c>
      <c r="H52" s="29">
        <f t="shared" si="172"/>
        <v>4.3299999999999998E-2</v>
      </c>
      <c r="I52">
        <f t="shared" si="166"/>
        <v>2476.5500000000002</v>
      </c>
      <c r="J52">
        <f>IF(A52&gt;=Quarterly!B$2,Quarterly!C$2,IF(COUNTIFS(Quarterly!B:B,"&gt;="&amp;A52-92,Quarterly!B:B,"&lt;="&amp;A52)&gt;1,SUMIFS(Quarterly!C:C,Quarterly!B:B,"&gt;="&amp;A52-88,Quarterly!B:B,"&lt;="&amp;A52),SUMIFS(Quarterly!C:C,Quarterly!B:B,"&gt;="&amp;A52-92,Quarterly!B:B,"&lt;="&amp;A52)))</f>
        <v>19250</v>
      </c>
      <c r="K52" s="13">
        <f t="shared" si="167"/>
        <v>0.12870000000000001</v>
      </c>
      <c r="L52">
        <f t="shared" si="169"/>
        <v>2476.5500000000002</v>
      </c>
      <c r="M52">
        <f>IF(A52&gt;=Quarterly!B$2,Quarterly!D$2,IF(COUNTIFS(Quarterly!B:B,"&gt;="&amp;A52-92,Quarterly!B:B,"&lt;="&amp;A52)&gt;1,SUMIFS(Quarterly!D:D,Quarterly!B:B,"&gt;="&amp;A52-88,Quarterly!B:B,"&lt;="&amp;A52),SUMIFS(Quarterly!D:D,Quarterly!B:B,"&gt;="&amp;A52-92,Quarterly!B:B,"&lt;="&amp;A52)))</f>
        <v>1774.729</v>
      </c>
      <c r="N52" s="13">
        <f t="shared" si="170"/>
        <v>0.13955000000000001</v>
      </c>
      <c r="O52">
        <f t="shared" si="42"/>
        <v>2476.5500000000002</v>
      </c>
      <c r="P52" s="56">
        <f>VLOOKUP(EOMONTH(A52,-1),Economic!A:I,7,FALSE)</f>
        <v>1353926</v>
      </c>
      <c r="Q52" s="13">
        <f t="shared" si="43"/>
        <v>0.18289999999999998</v>
      </c>
      <c r="R52" s="40">
        <v>0.79</v>
      </c>
      <c r="S52">
        <f t="shared" si="44"/>
        <v>0.87</v>
      </c>
      <c r="T52" s="30">
        <f t="shared" si="45"/>
        <v>55.28</v>
      </c>
      <c r="U52" s="30">
        <f t="shared" si="168"/>
        <v>58.25</v>
      </c>
    </row>
    <row r="53" spans="1:21" ht="16.5" customHeight="1" x14ac:dyDescent="0.25">
      <c r="A53" s="37">
        <v>42974</v>
      </c>
      <c r="B53" s="5">
        <f t="shared" si="122"/>
        <v>42978</v>
      </c>
      <c r="C53" s="18">
        <v>2443.0500000000002</v>
      </c>
      <c r="D53" s="29">
        <f t="shared" si="162"/>
        <v>-4.4000000000000003E-3</v>
      </c>
      <c r="E53" s="39">
        <f t="shared" si="163"/>
        <v>2444.7261538461539</v>
      </c>
      <c r="F53" s="39">
        <f t="shared" si="164"/>
        <v>2366.3856410256412</v>
      </c>
      <c r="G53" s="29">
        <f t="shared" si="172"/>
        <v>-6.9999999999999999E-4</v>
      </c>
      <c r="H53" s="29">
        <f t="shared" si="172"/>
        <v>3.2399999999999998E-2</v>
      </c>
      <c r="I53">
        <f t="shared" si="166"/>
        <v>2443.0500000000002</v>
      </c>
      <c r="J53">
        <f>IF(A53&gt;=Quarterly!B$2,Quarterly!C$2,IF(COUNTIFS(Quarterly!B:B,"&gt;="&amp;A53-92,Quarterly!B:B,"&lt;="&amp;A53)&gt;1,SUMIFS(Quarterly!C:C,Quarterly!B:B,"&gt;="&amp;A53-88,Quarterly!B:B,"&lt;="&amp;A53),SUMIFS(Quarterly!C:C,Quarterly!B:B,"&gt;="&amp;A53-92,Quarterly!B:B,"&lt;="&amp;A53)))</f>
        <v>19250</v>
      </c>
      <c r="K53" s="13">
        <f t="shared" si="167"/>
        <v>0.12690000000000001</v>
      </c>
      <c r="L53">
        <f t="shared" si="169"/>
        <v>2443.0500000000002</v>
      </c>
      <c r="M53">
        <f>IF(A53&gt;=Quarterly!B$2,Quarterly!D$2,IF(COUNTIFS(Quarterly!B:B,"&gt;="&amp;A53-92,Quarterly!B:B,"&lt;="&amp;A53)&gt;1,SUMIFS(Quarterly!D:D,Quarterly!B:B,"&gt;="&amp;A53-88,Quarterly!B:B,"&lt;="&amp;A53),SUMIFS(Quarterly!D:D,Quarterly!B:B,"&gt;="&amp;A53-92,Quarterly!B:B,"&lt;="&amp;A53)))</f>
        <v>1774.729</v>
      </c>
      <c r="N53" s="13">
        <f t="shared" si="170"/>
        <v>0.13766</v>
      </c>
      <c r="O53">
        <f t="shared" si="42"/>
        <v>2443.0500000000002</v>
      </c>
      <c r="P53" s="56">
        <f>VLOOKUP(EOMONTH(A53,-1),Economic!A:I,7,FALSE)</f>
        <v>1352521</v>
      </c>
      <c r="Q53" s="13">
        <f t="shared" si="43"/>
        <v>0.18060000000000001</v>
      </c>
      <c r="R53" s="41">
        <v>0.86</v>
      </c>
      <c r="S53">
        <f t="shared" si="44"/>
        <v>0.93</v>
      </c>
      <c r="T53" s="30">
        <f t="shared" si="45"/>
        <v>59.37</v>
      </c>
      <c r="U53" s="30">
        <f t="shared" si="168"/>
        <v>59.51</v>
      </c>
    </row>
    <row r="54" spans="1:21" ht="16.5" customHeight="1" x14ac:dyDescent="0.25">
      <c r="A54" s="5">
        <v>42967</v>
      </c>
      <c r="B54" s="5">
        <f t="shared" si="122"/>
        <v>42978</v>
      </c>
      <c r="C54" s="18">
        <v>2425.5500000000002</v>
      </c>
      <c r="D54" s="29">
        <f t="shared" si="162"/>
        <v>-1.6299999999999999E-2</v>
      </c>
      <c r="E54" s="39">
        <f t="shared" si="163"/>
        <v>2442.6315384615386</v>
      </c>
      <c r="F54" s="39">
        <f t="shared" si="164"/>
        <v>2360.4958974358979</v>
      </c>
      <c r="G54" s="29">
        <f t="shared" si="172"/>
        <v>-7.0000000000000001E-3</v>
      </c>
      <c r="H54" s="29">
        <f t="shared" si="172"/>
        <v>2.76E-2</v>
      </c>
      <c r="I54">
        <f t="shared" si="166"/>
        <v>2425.5500000000002</v>
      </c>
      <c r="J54">
        <f>IF(A54&gt;=Quarterly!B$2,Quarterly!C$2,IF(COUNTIFS(Quarterly!B:B,"&gt;="&amp;A54-92,Quarterly!B:B,"&lt;="&amp;A54)&gt;1,SUMIFS(Quarterly!C:C,Quarterly!B:B,"&gt;="&amp;A54-88,Quarterly!B:B,"&lt;="&amp;A54),SUMIFS(Quarterly!C:C,Quarterly!B:B,"&gt;="&amp;A54-92,Quarterly!B:B,"&lt;="&amp;A54)))</f>
        <v>19250</v>
      </c>
      <c r="K54" s="13">
        <f t="shared" si="167"/>
        <v>0.126</v>
      </c>
      <c r="L54">
        <f t="shared" si="169"/>
        <v>2425.5500000000002</v>
      </c>
      <c r="M54">
        <f>IF(A54&gt;=Quarterly!B$2,Quarterly!D$2,IF(COUNTIFS(Quarterly!B:B,"&gt;="&amp;A54-92,Quarterly!B:B,"&lt;="&amp;A54)&gt;1,SUMIFS(Quarterly!D:D,Quarterly!B:B,"&gt;="&amp;A54-88,Quarterly!B:B,"&lt;="&amp;A54),SUMIFS(Quarterly!D:D,Quarterly!B:B,"&gt;="&amp;A54-92,Quarterly!B:B,"&lt;="&amp;A54)))</f>
        <v>1774.729</v>
      </c>
      <c r="N54" s="13">
        <f t="shared" si="170"/>
        <v>0.13667000000000001</v>
      </c>
      <c r="O54">
        <f t="shared" si="42"/>
        <v>2425.5500000000002</v>
      </c>
      <c r="P54" s="56">
        <f>VLOOKUP(EOMONTH(A54,-1),Economic!A:I,7,FALSE)</f>
        <v>1352521</v>
      </c>
      <c r="Q54" s="13">
        <f t="shared" si="43"/>
        <v>0.17930000000000001</v>
      </c>
      <c r="R54" s="41">
        <v>0.87</v>
      </c>
      <c r="S54">
        <f t="shared" si="44"/>
        <v>0.92</v>
      </c>
      <c r="T54" s="30">
        <f t="shared" si="45"/>
        <v>60.1</v>
      </c>
      <c r="U54" s="30">
        <f t="shared" si="168"/>
        <v>58.94</v>
      </c>
    </row>
    <row r="55" spans="1:21" ht="16.5" customHeight="1" x14ac:dyDescent="0.25">
      <c r="A55" s="37">
        <v>42960</v>
      </c>
      <c r="B55" s="5">
        <f t="shared" si="122"/>
        <v>42978</v>
      </c>
      <c r="C55" s="18">
        <v>2441.3200000000002</v>
      </c>
      <c r="D55" s="29">
        <f t="shared" si="162"/>
        <v>-1.17E-2</v>
      </c>
      <c r="E55" s="39">
        <f t="shared" si="163"/>
        <v>2439.2607692307693</v>
      </c>
      <c r="F55" s="39">
        <f t="shared" si="164"/>
        <v>2354.2484615384615</v>
      </c>
      <c r="G55" s="29">
        <f t="shared" si="172"/>
        <v>8.0000000000000004E-4</v>
      </c>
      <c r="H55" s="29">
        <f t="shared" si="172"/>
        <v>3.6999999999999998E-2</v>
      </c>
      <c r="I55">
        <f t="shared" si="166"/>
        <v>2441.3200000000002</v>
      </c>
      <c r="J55">
        <f>IF(A55&gt;=Quarterly!B$2,Quarterly!C$2,IF(COUNTIFS(Quarterly!B:B,"&gt;="&amp;A55-92,Quarterly!B:B,"&lt;="&amp;A55)&gt;1,SUMIFS(Quarterly!C:C,Quarterly!B:B,"&gt;="&amp;A55-88,Quarterly!B:B,"&lt;="&amp;A55),SUMIFS(Quarterly!C:C,Quarterly!B:B,"&gt;="&amp;A55-92,Quarterly!B:B,"&lt;="&amp;A55)))</f>
        <v>19250</v>
      </c>
      <c r="K55" s="13">
        <f t="shared" si="167"/>
        <v>0.1268</v>
      </c>
      <c r="L55">
        <f t="shared" si="169"/>
        <v>2441.3200000000002</v>
      </c>
      <c r="M55">
        <f>IF(A55&gt;=Quarterly!B$2,Quarterly!D$2,IF(COUNTIFS(Quarterly!B:B,"&gt;="&amp;A55-92,Quarterly!B:B,"&lt;="&amp;A55)&gt;1,SUMIFS(Quarterly!D:D,Quarterly!B:B,"&gt;="&amp;A55-88,Quarterly!B:B,"&lt;="&amp;A55),SUMIFS(Quarterly!D:D,Quarterly!B:B,"&gt;="&amp;A55-92,Quarterly!B:B,"&lt;="&amp;A55)))</f>
        <v>1774.729</v>
      </c>
      <c r="N55" s="13">
        <f t="shared" si="170"/>
        <v>0.13755999999999999</v>
      </c>
      <c r="O55">
        <f t="shared" si="42"/>
        <v>2441.3200000000002</v>
      </c>
      <c r="P55" s="56">
        <f>VLOOKUP(EOMONTH(A55,-1),Economic!A:I,7,FALSE)</f>
        <v>1352521</v>
      </c>
      <c r="Q55" s="13">
        <f t="shared" si="43"/>
        <v>0.18049999999999999</v>
      </c>
      <c r="R55" s="40">
        <v>0.9</v>
      </c>
      <c r="S55">
        <f t="shared" si="44"/>
        <v>0.91</v>
      </c>
      <c r="T55" s="30">
        <f t="shared" si="45"/>
        <v>59.05</v>
      </c>
      <c r="U55" s="30">
        <f t="shared" si="168"/>
        <v>57.87</v>
      </c>
    </row>
    <row r="56" spans="1:21" ht="16.5" customHeight="1" x14ac:dyDescent="0.25">
      <c r="A56" s="5">
        <v>42953</v>
      </c>
      <c r="B56" s="5">
        <f t="shared" si="122"/>
        <v>42978</v>
      </c>
      <c r="C56" s="18">
        <v>2476.83</v>
      </c>
      <c r="D56" s="29">
        <f t="shared" si="162"/>
        <v>8.0000000000000002E-3</v>
      </c>
      <c r="E56" s="39">
        <f t="shared" si="163"/>
        <v>2435.3823076923077</v>
      </c>
      <c r="F56" s="39">
        <f t="shared" si="164"/>
        <v>2347.1492307692306</v>
      </c>
      <c r="G56" s="29">
        <f t="shared" si="172"/>
        <v>1.7000000000000001E-2</v>
      </c>
      <c r="H56" s="29">
        <f t="shared" si="172"/>
        <v>5.5300000000000002E-2</v>
      </c>
      <c r="I56">
        <f t="shared" si="166"/>
        <v>2476.83</v>
      </c>
      <c r="J56">
        <f>IF(A56&gt;=Quarterly!B$2,Quarterly!C$2,IF(COUNTIFS(Quarterly!B:B,"&gt;="&amp;A56-92,Quarterly!B:B,"&lt;="&amp;A56)&gt;1,SUMIFS(Quarterly!C:C,Quarterly!B:B,"&gt;="&amp;A56-88,Quarterly!B:B,"&lt;="&amp;A56),SUMIFS(Quarterly!C:C,Quarterly!B:B,"&gt;="&amp;A56-92,Quarterly!B:B,"&lt;="&amp;A56)))</f>
        <v>19250</v>
      </c>
      <c r="K56" s="13">
        <f t="shared" si="167"/>
        <v>0.12870000000000001</v>
      </c>
      <c r="L56">
        <f t="shared" si="169"/>
        <v>2476.83</v>
      </c>
      <c r="M56">
        <f>IF(A56&gt;=Quarterly!B$2,Quarterly!D$2,IF(COUNTIFS(Quarterly!B:B,"&gt;="&amp;A56-92,Quarterly!B:B,"&lt;="&amp;A56)&gt;1,SUMIFS(Quarterly!D:D,Quarterly!B:B,"&gt;="&amp;A56-88,Quarterly!B:B,"&lt;="&amp;A56),SUMIFS(Quarterly!D:D,Quarterly!B:B,"&gt;="&amp;A56-92,Quarterly!B:B,"&lt;="&amp;A56)))</f>
        <v>1774.729</v>
      </c>
      <c r="N56" s="13">
        <f t="shared" si="170"/>
        <v>0.13955999999999999</v>
      </c>
      <c r="O56">
        <f t="shared" si="42"/>
        <v>2476.83</v>
      </c>
      <c r="P56" s="56">
        <f>VLOOKUP(EOMONTH(A56,-1),Economic!A:I,7,FALSE)</f>
        <v>1352521</v>
      </c>
      <c r="Q56" s="13">
        <f t="shared" si="43"/>
        <v>0.18309999999999998</v>
      </c>
      <c r="R56" s="40">
        <v>0.9</v>
      </c>
      <c r="S56">
        <f t="shared" si="44"/>
        <v>0.93</v>
      </c>
      <c r="T56" s="30">
        <f t="shared" si="45"/>
        <v>57.68</v>
      </c>
      <c r="U56" s="30">
        <f t="shared" si="168"/>
        <v>57.42</v>
      </c>
    </row>
    <row r="57" spans="1:21" ht="16.5" customHeight="1" x14ac:dyDescent="0.25">
      <c r="A57" s="37">
        <v>42946</v>
      </c>
      <c r="B57" s="5">
        <f t="shared" si="122"/>
        <v>42947</v>
      </c>
      <c r="C57" s="18">
        <v>2472.1</v>
      </c>
      <c r="D57" s="29">
        <f t="shared" si="162"/>
        <v>1.11E-2</v>
      </c>
      <c r="E57" s="39">
        <f t="shared" si="163"/>
        <v>2429.4176923076925</v>
      </c>
      <c r="F57" s="39">
        <f t="shared" si="164"/>
        <v>2337.1069230769231</v>
      </c>
      <c r="G57" s="29">
        <f t="shared" si="172"/>
        <v>1.7600000000000001E-2</v>
      </c>
      <c r="H57" s="29">
        <f t="shared" si="172"/>
        <v>5.7799999999999997E-2</v>
      </c>
      <c r="I57">
        <f t="shared" si="166"/>
        <v>2472.1</v>
      </c>
      <c r="J57">
        <f>IF(A57&gt;=Quarterly!B$2,Quarterly!C$2,IF(COUNTIFS(Quarterly!B:B,"&gt;="&amp;A57-92,Quarterly!B:B,"&lt;="&amp;A57)&gt;1,SUMIFS(Quarterly!C:C,Quarterly!B:B,"&gt;="&amp;A57-88,Quarterly!B:B,"&lt;="&amp;A57),SUMIFS(Quarterly!C:C,Quarterly!B:B,"&gt;="&amp;A57-92,Quarterly!B:B,"&lt;="&amp;A57)))</f>
        <v>19057.7</v>
      </c>
      <c r="K57" s="13">
        <f t="shared" si="167"/>
        <v>0.12970000000000001</v>
      </c>
      <c r="L57">
        <f t="shared" si="169"/>
        <v>2472.1</v>
      </c>
      <c r="M57">
        <f>IF(A57&gt;=Quarterly!B$2,Quarterly!D$2,IF(COUNTIFS(Quarterly!B:B,"&gt;="&amp;A57-92,Quarterly!B:B,"&lt;="&amp;A57)&gt;1,SUMIFS(Quarterly!D:D,Quarterly!B:B,"&gt;="&amp;A57-88,Quarterly!B:B,"&lt;="&amp;A57),SUMIFS(Quarterly!D:D,Quarterly!B:B,"&gt;="&amp;A57-92,Quarterly!B:B,"&lt;="&amp;A57)))</f>
        <v>1810.509</v>
      </c>
      <c r="N57" s="13">
        <f t="shared" si="170"/>
        <v>0.13653999999999999</v>
      </c>
      <c r="O57">
        <f t="shared" si="42"/>
        <v>2472.1</v>
      </c>
      <c r="P57" s="56">
        <f>VLOOKUP(EOMONTH(A57,-1),Economic!A:I,7,FALSE)</f>
        <v>1352502</v>
      </c>
      <c r="Q57" s="13">
        <f t="shared" si="43"/>
        <v>0.18279999999999999</v>
      </c>
      <c r="R57" s="40">
        <v>0.96</v>
      </c>
      <c r="S57">
        <f t="shared" si="44"/>
        <v>0.95</v>
      </c>
      <c r="T57" s="30">
        <f t="shared" si="45"/>
        <v>56.89</v>
      </c>
      <c r="U57" s="30">
        <f t="shared" si="168"/>
        <v>57.86</v>
      </c>
    </row>
    <row r="58" spans="1:21" ht="16.5" customHeight="1" x14ac:dyDescent="0.25">
      <c r="A58" s="5">
        <v>42939</v>
      </c>
      <c r="B58" s="5">
        <f t="shared" si="122"/>
        <v>42947</v>
      </c>
      <c r="C58" s="18">
        <v>2472.54</v>
      </c>
      <c r="D58" s="29">
        <f t="shared" si="162"/>
        <v>1.4800000000000001E-2</v>
      </c>
      <c r="E58" s="39">
        <f t="shared" si="163"/>
        <v>2422.6561538461538</v>
      </c>
      <c r="F58" s="39">
        <f t="shared" si="164"/>
        <v>2328.2430769230768</v>
      </c>
      <c r="G58" s="29">
        <f t="shared" si="172"/>
        <v>2.06E-2</v>
      </c>
      <c r="H58" s="29">
        <f t="shared" si="172"/>
        <v>6.2E-2</v>
      </c>
      <c r="I58">
        <f t="shared" si="166"/>
        <v>2472.54</v>
      </c>
      <c r="J58">
        <f>IF(A58&gt;=Quarterly!B$2,Quarterly!C$2,IF(COUNTIFS(Quarterly!B:B,"&gt;="&amp;A58-92,Quarterly!B:B,"&lt;="&amp;A58)&gt;1,SUMIFS(Quarterly!C:C,Quarterly!B:B,"&gt;="&amp;A58-88,Quarterly!B:B,"&lt;="&amp;A58),SUMIFS(Quarterly!C:C,Quarterly!B:B,"&gt;="&amp;A58-92,Quarterly!B:B,"&lt;="&amp;A58)))</f>
        <v>19057.7</v>
      </c>
      <c r="K58" s="13">
        <f t="shared" si="167"/>
        <v>0.12970000000000001</v>
      </c>
      <c r="L58">
        <f t="shared" si="169"/>
        <v>2472.54</v>
      </c>
      <c r="M58">
        <f>IF(A58&gt;=Quarterly!B$2,Quarterly!D$2,IF(COUNTIFS(Quarterly!B:B,"&gt;="&amp;A58-92,Quarterly!B:B,"&lt;="&amp;A58)&gt;1,SUMIFS(Quarterly!D:D,Quarterly!B:B,"&gt;="&amp;A58-88,Quarterly!B:B,"&lt;="&amp;A58),SUMIFS(Quarterly!D:D,Quarterly!B:B,"&gt;="&amp;A58-92,Quarterly!B:B,"&lt;="&amp;A58)))</f>
        <v>1810.509</v>
      </c>
      <c r="N58" s="13">
        <f t="shared" si="170"/>
        <v>0.13657</v>
      </c>
      <c r="O58">
        <f t="shared" si="42"/>
        <v>2472.54</v>
      </c>
      <c r="P58" s="56">
        <f>VLOOKUP(EOMONTH(A58,-1),Economic!A:I,7,FALSE)</f>
        <v>1352502</v>
      </c>
      <c r="Q58" s="13">
        <f t="shared" si="43"/>
        <v>0.18279999999999999</v>
      </c>
      <c r="R58" s="40">
        <v>0.9</v>
      </c>
      <c r="S58">
        <f t="shared" si="44"/>
        <v>0.96</v>
      </c>
      <c r="T58" s="30">
        <f t="shared" si="45"/>
        <v>57.7</v>
      </c>
      <c r="U58" s="30">
        <f t="shared" si="168"/>
        <v>60.52</v>
      </c>
    </row>
    <row r="59" spans="1:21" ht="16.5" customHeight="1" x14ac:dyDescent="0.25">
      <c r="A59" s="37">
        <v>42932</v>
      </c>
      <c r="B59" s="5">
        <f t="shared" si="122"/>
        <v>42947</v>
      </c>
      <c r="C59" s="18">
        <v>2459.27</v>
      </c>
      <c r="D59" s="29">
        <f t="shared" si="162"/>
        <v>1.21E-2</v>
      </c>
      <c r="E59" s="39">
        <f t="shared" si="163"/>
        <v>2413.1292307692311</v>
      </c>
      <c r="F59" s="39">
        <f t="shared" si="164"/>
        <v>2319.7461538461539</v>
      </c>
      <c r="G59" s="29">
        <f t="shared" si="172"/>
        <v>1.9099999999999999E-2</v>
      </c>
      <c r="H59" s="29">
        <f t="shared" si="172"/>
        <v>6.0100000000000001E-2</v>
      </c>
      <c r="I59">
        <f t="shared" si="166"/>
        <v>2459.27</v>
      </c>
      <c r="J59">
        <f>IF(A59&gt;=Quarterly!B$2,Quarterly!C$2,IF(COUNTIFS(Quarterly!B:B,"&gt;="&amp;A59-92,Quarterly!B:B,"&lt;="&amp;A59)&gt;1,SUMIFS(Quarterly!C:C,Quarterly!B:B,"&gt;="&amp;A59-88,Quarterly!B:B,"&lt;="&amp;A59),SUMIFS(Quarterly!C:C,Quarterly!B:B,"&gt;="&amp;A59-92,Quarterly!B:B,"&lt;="&amp;A59)))</f>
        <v>19057.7</v>
      </c>
      <c r="K59" s="13">
        <f t="shared" si="167"/>
        <v>0.129</v>
      </c>
      <c r="L59">
        <f t="shared" si="169"/>
        <v>2459.27</v>
      </c>
      <c r="M59">
        <f>IF(A59&gt;=Quarterly!B$2,Quarterly!D$2,IF(COUNTIFS(Quarterly!B:B,"&gt;="&amp;A59-92,Quarterly!B:B,"&lt;="&amp;A59)&gt;1,SUMIFS(Quarterly!D:D,Quarterly!B:B,"&gt;="&amp;A59-88,Quarterly!B:B,"&lt;="&amp;A59),SUMIFS(Quarterly!D:D,Quarterly!B:B,"&gt;="&amp;A59-92,Quarterly!B:B,"&lt;="&amp;A59)))</f>
        <v>1810.509</v>
      </c>
      <c r="N59" s="13">
        <f t="shared" si="170"/>
        <v>0.13583000000000001</v>
      </c>
      <c r="O59">
        <f t="shared" si="42"/>
        <v>2459.27</v>
      </c>
      <c r="P59" s="56">
        <f>VLOOKUP(EOMONTH(A59,-1),Economic!A:I,7,FALSE)</f>
        <v>1352502</v>
      </c>
      <c r="Q59" s="13">
        <f t="shared" si="43"/>
        <v>0.18179999999999999</v>
      </c>
      <c r="R59" s="40">
        <v>0.98</v>
      </c>
      <c r="S59">
        <f t="shared" si="44"/>
        <v>0.95</v>
      </c>
      <c r="T59" s="30">
        <f t="shared" si="45"/>
        <v>58.99</v>
      </c>
      <c r="U59" s="30">
        <f t="shared" si="168"/>
        <v>63.18</v>
      </c>
    </row>
    <row r="60" spans="1:21" ht="16.5" customHeight="1" x14ac:dyDescent="0.25">
      <c r="A60" s="5">
        <v>42925</v>
      </c>
      <c r="B60" s="5">
        <f t="shared" si="122"/>
        <v>42947</v>
      </c>
      <c r="C60" s="18">
        <v>2425.1799999999998</v>
      </c>
      <c r="D60" s="29">
        <f t="shared" si="162"/>
        <v>-2.7000000000000001E-3</v>
      </c>
      <c r="E60" s="39">
        <f t="shared" si="163"/>
        <v>2403.1046153846155</v>
      </c>
      <c r="F60" s="39">
        <f t="shared" si="164"/>
        <v>2311.3797435897436</v>
      </c>
      <c r="G60" s="29">
        <f t="shared" si="172"/>
        <v>9.1999999999999998E-3</v>
      </c>
      <c r="H60" s="29">
        <f t="shared" si="172"/>
        <v>4.9200000000000001E-2</v>
      </c>
      <c r="I60">
        <f t="shared" si="166"/>
        <v>2425.1799999999998</v>
      </c>
      <c r="J60">
        <f>IF(A60&gt;=Quarterly!B$2,Quarterly!C$2,IF(COUNTIFS(Quarterly!B:B,"&gt;="&amp;A60-92,Quarterly!B:B,"&lt;="&amp;A60)&gt;1,SUMIFS(Quarterly!C:C,Quarterly!B:B,"&gt;="&amp;A60-88,Quarterly!B:B,"&lt;="&amp;A60),SUMIFS(Quarterly!C:C,Quarterly!B:B,"&gt;="&amp;A60-92,Quarterly!B:B,"&lt;="&amp;A60)))</f>
        <v>19057.7</v>
      </c>
      <c r="K60" s="13">
        <f t="shared" si="167"/>
        <v>0.1273</v>
      </c>
      <c r="L60">
        <f t="shared" si="169"/>
        <v>2425.1799999999998</v>
      </c>
      <c r="M60">
        <f>IF(A60&gt;=Quarterly!B$2,Quarterly!D$2,IF(COUNTIFS(Quarterly!B:B,"&gt;="&amp;A60-92,Quarterly!B:B,"&lt;="&amp;A60)&gt;1,SUMIFS(Quarterly!D:D,Quarterly!B:B,"&gt;="&amp;A60-88,Quarterly!B:B,"&lt;="&amp;A60),SUMIFS(Quarterly!D:D,Quarterly!B:B,"&gt;="&amp;A60-92,Quarterly!B:B,"&lt;="&amp;A60)))</f>
        <v>1810.509</v>
      </c>
      <c r="N60" s="13">
        <f t="shared" si="170"/>
        <v>0.13394999999999999</v>
      </c>
      <c r="O60">
        <f t="shared" si="42"/>
        <v>2425.1799999999998</v>
      </c>
      <c r="P60" s="56">
        <f>VLOOKUP(EOMONTH(A60,-1),Economic!A:I,7,FALSE)</f>
        <v>1352502</v>
      </c>
      <c r="Q60" s="13">
        <f t="shared" si="43"/>
        <v>0.17930000000000001</v>
      </c>
      <c r="R60" s="40">
        <v>0.97</v>
      </c>
      <c r="S60">
        <f t="shared" si="44"/>
        <v>1.05</v>
      </c>
      <c r="T60" s="30">
        <f t="shared" si="45"/>
        <v>64.87</v>
      </c>
      <c r="U60" s="30">
        <f t="shared" si="168"/>
        <v>65.180000000000007</v>
      </c>
    </row>
    <row r="61" spans="1:21" ht="16.5" customHeight="1" x14ac:dyDescent="0.25">
      <c r="A61" s="37">
        <v>42918</v>
      </c>
      <c r="B61" s="5">
        <f t="shared" si="122"/>
        <v>42947</v>
      </c>
      <c r="C61" s="18">
        <v>2423.31</v>
      </c>
      <c r="D61" s="29">
        <f t="shared" si="162"/>
        <v>-5.0000000000000001E-3</v>
      </c>
      <c r="E61" s="39">
        <f t="shared" si="163"/>
        <v>2397.7476923076929</v>
      </c>
      <c r="F61" s="39">
        <f t="shared" si="164"/>
        <v>2304.419743589744</v>
      </c>
      <c r="G61" s="29">
        <f t="shared" si="172"/>
        <v>1.0699999999999999E-2</v>
      </c>
      <c r="H61" s="29">
        <f t="shared" si="172"/>
        <v>5.16E-2</v>
      </c>
      <c r="I61">
        <f t="shared" si="166"/>
        <v>2423.31</v>
      </c>
      <c r="J61">
        <f>IF(A61&gt;=Quarterly!B$2,Quarterly!C$2,IF(COUNTIFS(Quarterly!B:B,"&gt;="&amp;A61-92,Quarterly!B:B,"&lt;="&amp;A61)&gt;1,SUMIFS(Quarterly!C:C,Quarterly!B:B,"&gt;="&amp;A61-88,Quarterly!B:B,"&lt;="&amp;A61),SUMIFS(Quarterly!C:C,Quarterly!B:B,"&gt;="&amp;A61-92,Quarterly!B:B,"&lt;="&amp;A61)))</f>
        <v>19057.7</v>
      </c>
      <c r="K61" s="13">
        <f t="shared" si="167"/>
        <v>0.12720000000000001</v>
      </c>
      <c r="L61">
        <f t="shared" si="169"/>
        <v>2423.31</v>
      </c>
      <c r="M61">
        <f>IF(A61&gt;=Quarterly!B$2,Quarterly!D$2,IF(COUNTIFS(Quarterly!B:B,"&gt;="&amp;A61-92,Quarterly!B:B,"&lt;="&amp;A61)&gt;1,SUMIFS(Quarterly!D:D,Quarterly!B:B,"&gt;="&amp;A61-88,Quarterly!B:B,"&lt;="&amp;A61),SUMIFS(Quarterly!D:D,Quarterly!B:B,"&gt;="&amp;A61-92,Quarterly!B:B,"&lt;="&amp;A61)))</f>
        <v>1810.509</v>
      </c>
      <c r="N61" s="13">
        <f t="shared" si="170"/>
        <v>0.13385</v>
      </c>
      <c r="O61">
        <f t="shared" si="42"/>
        <v>2423.31</v>
      </c>
      <c r="P61" s="56">
        <f>VLOOKUP(EOMONTH(A61,-1),Economic!A:I,7,FALSE)</f>
        <v>1352502</v>
      </c>
      <c r="Q61" s="13">
        <f t="shared" si="43"/>
        <v>0.1792</v>
      </c>
      <c r="R61" s="41">
        <v>0.89</v>
      </c>
      <c r="S61">
        <f t="shared" si="44"/>
        <v>1.06</v>
      </c>
      <c r="T61" s="30">
        <f t="shared" si="45"/>
        <v>65.69</v>
      </c>
      <c r="U61" s="30">
        <f t="shared" si="168"/>
        <v>65.14</v>
      </c>
    </row>
    <row r="62" spans="1:21" ht="16.5" customHeight="1" x14ac:dyDescent="0.25">
      <c r="A62" s="5">
        <v>42911</v>
      </c>
      <c r="B62" s="5">
        <f t="shared" si="122"/>
        <v>42916</v>
      </c>
      <c r="C62" s="18">
        <v>2438.3000000000002</v>
      </c>
      <c r="D62" s="29">
        <f t="shared" si="162"/>
        <v>3.3999999999999998E-3</v>
      </c>
      <c r="E62" s="39">
        <f t="shared" si="163"/>
        <v>2393.0869230769235</v>
      </c>
      <c r="F62" s="39">
        <f t="shared" si="164"/>
        <v>2297.8802564102566</v>
      </c>
      <c r="G62" s="29">
        <f t="shared" si="172"/>
        <v>1.89E-2</v>
      </c>
      <c r="H62" s="29">
        <f t="shared" si="172"/>
        <v>6.1100000000000002E-2</v>
      </c>
      <c r="I62">
        <f t="shared" si="166"/>
        <v>2438.3000000000002</v>
      </c>
      <c r="J62">
        <f>IF(A62&gt;=Quarterly!B$2,Quarterly!C$2,IF(COUNTIFS(Quarterly!B:B,"&gt;="&amp;A62-92,Quarterly!B:B,"&lt;="&amp;A62)&gt;1,SUMIFS(Quarterly!C:C,Quarterly!B:B,"&gt;="&amp;A62-88,Quarterly!B:B,"&lt;="&amp;A62),SUMIFS(Quarterly!C:C,Quarterly!B:B,"&gt;="&amp;A62-92,Quarterly!B:B,"&lt;="&amp;A62)))</f>
        <v>19057.7</v>
      </c>
      <c r="K62" s="13">
        <f t="shared" si="167"/>
        <v>0.12790000000000001</v>
      </c>
      <c r="L62">
        <f t="shared" si="169"/>
        <v>2438.3000000000002</v>
      </c>
      <c r="M62">
        <f>IF(A62&gt;=Quarterly!B$2,Quarterly!D$2,IF(COUNTIFS(Quarterly!B:B,"&gt;="&amp;A62-92,Quarterly!B:B,"&lt;="&amp;A62)&gt;1,SUMIFS(Quarterly!D:D,Quarterly!B:B,"&gt;="&amp;A62-88,Quarterly!B:B,"&lt;="&amp;A62),SUMIFS(Quarterly!D:D,Quarterly!B:B,"&gt;="&amp;A62-92,Quarterly!B:B,"&lt;="&amp;A62)))</f>
        <v>1810.509</v>
      </c>
      <c r="N62" s="13">
        <f t="shared" si="170"/>
        <v>0.13467000000000001</v>
      </c>
      <c r="O62">
        <f t="shared" si="42"/>
        <v>2438.3000000000002</v>
      </c>
      <c r="P62" s="56">
        <f>VLOOKUP(EOMONTH(A62,-1),Economic!A:I,7,FALSE)</f>
        <v>1351502</v>
      </c>
      <c r="Q62" s="13">
        <f t="shared" si="43"/>
        <v>0.1804</v>
      </c>
      <c r="R62" s="41">
        <v>0.81</v>
      </c>
      <c r="S62">
        <f t="shared" si="44"/>
        <v>1.05</v>
      </c>
      <c r="T62" s="30">
        <f t="shared" si="45"/>
        <v>64.98</v>
      </c>
      <c r="U62" s="30">
        <f t="shared" si="168"/>
        <v>64.959999999999994</v>
      </c>
    </row>
    <row r="63" spans="1:21" ht="16.5" customHeight="1" x14ac:dyDescent="0.25">
      <c r="A63" s="37">
        <v>42904</v>
      </c>
      <c r="B63" s="5">
        <f t="shared" si="122"/>
        <v>42916</v>
      </c>
      <c r="C63" s="18">
        <v>2433.15</v>
      </c>
      <c r="D63" s="29">
        <f t="shared" si="162"/>
        <v>6.6E-3</v>
      </c>
      <c r="E63" s="39">
        <f t="shared" si="163"/>
        <v>2385.8315384615385</v>
      </c>
      <c r="F63" s="39">
        <f t="shared" si="164"/>
        <v>2290.8646153846153</v>
      </c>
      <c r="G63" s="29">
        <f t="shared" si="172"/>
        <v>1.9800000000000002E-2</v>
      </c>
      <c r="H63" s="29">
        <f t="shared" si="172"/>
        <v>6.2100000000000002E-2</v>
      </c>
      <c r="I63">
        <f t="shared" si="166"/>
        <v>2433.15</v>
      </c>
      <c r="J63">
        <f>IF(A63&gt;=Quarterly!B$2,Quarterly!C$2,IF(COUNTIFS(Quarterly!B:B,"&gt;="&amp;A63-92,Quarterly!B:B,"&lt;="&amp;A63)&gt;1,SUMIFS(Quarterly!C:C,Quarterly!B:B,"&gt;="&amp;A63-88,Quarterly!B:B,"&lt;="&amp;A63),SUMIFS(Quarterly!C:C,Quarterly!B:B,"&gt;="&amp;A63-92,Quarterly!B:B,"&lt;="&amp;A63)))</f>
        <v>19057.7</v>
      </c>
      <c r="K63" s="13">
        <f t="shared" si="167"/>
        <v>0.12770000000000001</v>
      </c>
      <c r="L63">
        <f t="shared" si="169"/>
        <v>2433.15</v>
      </c>
      <c r="M63">
        <f>IF(A63&gt;=Quarterly!B$2,Quarterly!D$2,IF(COUNTIFS(Quarterly!B:B,"&gt;="&amp;A63-92,Quarterly!B:B,"&lt;="&amp;A63)&gt;1,SUMIFS(Quarterly!D:D,Quarterly!B:B,"&gt;="&amp;A63-88,Quarterly!B:B,"&lt;="&amp;A63),SUMIFS(Quarterly!D:D,Quarterly!B:B,"&gt;="&amp;A63-92,Quarterly!B:B,"&lt;="&amp;A63)))</f>
        <v>1810.509</v>
      </c>
      <c r="N63" s="13">
        <f t="shared" si="170"/>
        <v>0.13439000000000001</v>
      </c>
      <c r="O63">
        <f t="shared" si="42"/>
        <v>2433.15</v>
      </c>
      <c r="P63" s="56">
        <f>VLOOKUP(EOMONTH(A63,-1),Economic!A:I,7,FALSE)</f>
        <v>1351502</v>
      </c>
      <c r="Q63" s="13">
        <f t="shared" si="43"/>
        <v>0.18</v>
      </c>
      <c r="R63" s="41">
        <v>0.84</v>
      </c>
      <c r="S63">
        <f t="shared" si="44"/>
        <v>1.02</v>
      </c>
      <c r="T63" s="30">
        <f t="shared" si="45"/>
        <v>64.760000000000005</v>
      </c>
      <c r="U63" s="30">
        <f t="shared" si="168"/>
        <v>65.05</v>
      </c>
    </row>
    <row r="64" spans="1:21" ht="16.5" customHeight="1" x14ac:dyDescent="0.25">
      <c r="A64" s="5">
        <v>42897</v>
      </c>
      <c r="B64" s="5">
        <f t="shared" si="122"/>
        <v>42916</v>
      </c>
      <c r="C64" s="18">
        <v>2431.77</v>
      </c>
      <c r="D64" s="29">
        <f t="shared" si="162"/>
        <v>1.03E-2</v>
      </c>
      <c r="E64" s="39">
        <f t="shared" si="163"/>
        <v>2381.6084615384616</v>
      </c>
      <c r="F64" s="39">
        <f t="shared" si="164"/>
        <v>2283.3264102564103</v>
      </c>
      <c r="G64" s="29">
        <f t="shared" si="172"/>
        <v>2.1100000000000001E-2</v>
      </c>
      <c r="H64" s="29">
        <f t="shared" si="172"/>
        <v>6.5000000000000002E-2</v>
      </c>
      <c r="I64">
        <f t="shared" si="166"/>
        <v>2431.77</v>
      </c>
      <c r="J64">
        <f>IF(A64&gt;=Quarterly!B$2,Quarterly!C$2,IF(COUNTIFS(Quarterly!B:B,"&gt;="&amp;A64-92,Quarterly!B:B,"&lt;="&amp;A64)&gt;1,SUMIFS(Quarterly!C:C,Quarterly!B:B,"&gt;="&amp;A64-88,Quarterly!B:B,"&lt;="&amp;A64),SUMIFS(Quarterly!C:C,Quarterly!B:B,"&gt;="&amp;A64-92,Quarterly!B:B,"&lt;="&amp;A64)))</f>
        <v>19057.7</v>
      </c>
      <c r="K64" s="13">
        <f t="shared" si="167"/>
        <v>0.12759999999999999</v>
      </c>
      <c r="L64">
        <f t="shared" si="169"/>
        <v>2431.77</v>
      </c>
      <c r="M64">
        <f>IF(A64&gt;=Quarterly!B$2,Quarterly!D$2,IF(COUNTIFS(Quarterly!B:B,"&gt;="&amp;A64-92,Quarterly!B:B,"&lt;="&amp;A64)&gt;1,SUMIFS(Quarterly!D:D,Quarterly!B:B,"&gt;="&amp;A64-88,Quarterly!B:B,"&lt;="&amp;A64),SUMIFS(Quarterly!D:D,Quarterly!B:B,"&gt;="&amp;A64-92,Quarterly!B:B,"&lt;="&amp;A64)))</f>
        <v>1810.509</v>
      </c>
      <c r="N64" s="13">
        <f t="shared" si="170"/>
        <v>0.13431000000000001</v>
      </c>
      <c r="O64">
        <f t="shared" si="42"/>
        <v>2431.77</v>
      </c>
      <c r="P64" s="56">
        <f>VLOOKUP(EOMONTH(A64,-1),Economic!A:I,7,FALSE)</f>
        <v>1351502</v>
      </c>
      <c r="Q64" s="13">
        <f t="shared" si="43"/>
        <v>0.1799</v>
      </c>
      <c r="R64" s="41">
        <v>0.86</v>
      </c>
      <c r="S64">
        <f t="shared" si="44"/>
        <v>1.02</v>
      </c>
      <c r="T64" s="30">
        <f t="shared" si="45"/>
        <v>65.150000000000006</v>
      </c>
      <c r="U64" s="30">
        <f t="shared" si="168"/>
        <v>65.63</v>
      </c>
    </row>
    <row r="65" spans="1:21" ht="16.5" customHeight="1" x14ac:dyDescent="0.25">
      <c r="A65" s="37">
        <v>42890</v>
      </c>
      <c r="B65" s="5">
        <f t="shared" si="122"/>
        <v>42916</v>
      </c>
      <c r="C65" s="18">
        <v>2439.0700000000002</v>
      </c>
      <c r="D65" s="29">
        <f t="shared" si="162"/>
        <v>1.7600000000000001E-2</v>
      </c>
      <c r="E65" s="39">
        <f t="shared" si="163"/>
        <v>2377.0569230769233</v>
      </c>
      <c r="F65" s="39">
        <f t="shared" si="164"/>
        <v>2275.5325641025643</v>
      </c>
      <c r="G65" s="29">
        <f t="shared" si="172"/>
        <v>2.6100000000000002E-2</v>
      </c>
      <c r="H65" s="29">
        <f t="shared" si="172"/>
        <v>7.1900000000000006E-2</v>
      </c>
      <c r="I65">
        <f t="shared" si="166"/>
        <v>2439.0700000000002</v>
      </c>
      <c r="J65">
        <f>IF(A65&gt;=Quarterly!B$2,Quarterly!C$2,IF(COUNTIFS(Quarterly!B:B,"&gt;="&amp;A65-92,Quarterly!B:B,"&lt;="&amp;A65)&gt;1,SUMIFS(Quarterly!C:C,Quarterly!B:B,"&gt;="&amp;A65-88,Quarterly!B:B,"&lt;="&amp;A65),SUMIFS(Quarterly!C:C,Quarterly!B:B,"&gt;="&amp;A65-92,Quarterly!B:B,"&lt;="&amp;A65)))</f>
        <v>19057.7</v>
      </c>
      <c r="K65" s="13">
        <f t="shared" si="167"/>
        <v>0.128</v>
      </c>
      <c r="L65">
        <f t="shared" si="169"/>
        <v>2439.0700000000002</v>
      </c>
      <c r="M65">
        <f>IF(A65&gt;=Quarterly!B$2,Quarterly!D$2,IF(COUNTIFS(Quarterly!B:B,"&gt;="&amp;A65-92,Quarterly!B:B,"&lt;="&amp;A65)&gt;1,SUMIFS(Quarterly!D:D,Quarterly!B:B,"&gt;="&amp;A65-88,Quarterly!B:B,"&lt;="&amp;A65),SUMIFS(Quarterly!D:D,Quarterly!B:B,"&gt;="&amp;A65-92,Quarterly!B:B,"&lt;="&amp;A65)))</f>
        <v>1810.509</v>
      </c>
      <c r="N65" s="13">
        <f t="shared" si="170"/>
        <v>0.13472000000000001</v>
      </c>
      <c r="O65">
        <f t="shared" si="42"/>
        <v>2439.0700000000002</v>
      </c>
      <c r="P65" s="56">
        <f>VLOOKUP(EOMONTH(A65,-1),Economic!A:I,7,FALSE)</f>
        <v>1351502</v>
      </c>
      <c r="Q65" s="13">
        <f t="shared" si="43"/>
        <v>0.18049999999999999</v>
      </c>
      <c r="R65" s="41">
        <v>0.87</v>
      </c>
      <c r="S65">
        <f t="shared" si="44"/>
        <v>1.03</v>
      </c>
      <c r="T65" s="30">
        <f t="shared" si="45"/>
        <v>65.25</v>
      </c>
      <c r="U65" s="30">
        <f t="shared" si="168"/>
        <v>67.02</v>
      </c>
    </row>
    <row r="66" spans="1:21" ht="16.5" customHeight="1" x14ac:dyDescent="0.25">
      <c r="A66" s="5">
        <v>42883</v>
      </c>
      <c r="B66" s="5">
        <f t="shared" si="122"/>
        <v>42886</v>
      </c>
      <c r="C66" s="18">
        <v>2415.8200000000002</v>
      </c>
      <c r="D66" s="29">
        <f t="shared" si="162"/>
        <v>1.12E-2</v>
      </c>
      <c r="E66" s="39">
        <f t="shared" si="163"/>
        <v>2372.7530769230771</v>
      </c>
      <c r="F66" s="39">
        <f t="shared" si="164"/>
        <v>2268.8892307692308</v>
      </c>
      <c r="G66" s="29">
        <f t="shared" ref="G66:H129" si="173">ROUND(($C66-E66)/E66,4)</f>
        <v>1.8200000000000001E-2</v>
      </c>
      <c r="H66" s="29">
        <f t="shared" si="173"/>
        <v>6.4799999999999996E-2</v>
      </c>
      <c r="I66">
        <f t="shared" si="166"/>
        <v>2415.8200000000002</v>
      </c>
      <c r="J66">
        <f>IF(A66&gt;=Quarterly!B$2,Quarterly!C$2,IF(COUNTIFS(Quarterly!B:B,"&gt;="&amp;A66-92,Quarterly!B:B,"&lt;="&amp;A66)&gt;1,SUMIFS(Quarterly!C:C,Quarterly!B:B,"&gt;="&amp;A66-88,Quarterly!B:B,"&lt;="&amp;A66),SUMIFS(Quarterly!C:C,Quarterly!B:B,"&gt;="&amp;A66-92,Quarterly!B:B,"&lt;="&amp;A66)))</f>
        <v>19057.7</v>
      </c>
      <c r="K66" s="13">
        <f t="shared" si="167"/>
        <v>0.1268</v>
      </c>
      <c r="L66">
        <f t="shared" si="169"/>
        <v>2415.8200000000002</v>
      </c>
      <c r="M66">
        <f>IF(A66&gt;=Quarterly!B$2,Quarterly!D$2,IF(COUNTIFS(Quarterly!B:B,"&gt;="&amp;A66-92,Quarterly!B:B,"&lt;="&amp;A66)&gt;1,SUMIFS(Quarterly!D:D,Quarterly!B:B,"&gt;="&amp;A66-88,Quarterly!B:B,"&lt;="&amp;A66),SUMIFS(Quarterly!D:D,Quarterly!B:B,"&gt;="&amp;A66-92,Quarterly!B:B,"&lt;="&amp;A66)))</f>
        <v>1810.509</v>
      </c>
      <c r="N66" s="13">
        <f t="shared" si="170"/>
        <v>0.13343000000000002</v>
      </c>
      <c r="O66">
        <f t="shared" si="42"/>
        <v>2415.8200000000002</v>
      </c>
      <c r="P66" s="56">
        <f>VLOOKUP(EOMONTH(A66,-1),Economic!A:I,7,FALSE)</f>
        <v>1349124</v>
      </c>
      <c r="Q66" s="13">
        <f t="shared" si="43"/>
        <v>0.17910000000000001</v>
      </c>
      <c r="R66" s="41">
        <v>0.95</v>
      </c>
      <c r="S66">
        <f t="shared" si="44"/>
        <v>1.02</v>
      </c>
      <c r="T66" s="30">
        <f t="shared" si="45"/>
        <v>66.48</v>
      </c>
      <c r="U66" s="30">
        <f t="shared" si="168"/>
        <v>67.89</v>
      </c>
    </row>
    <row r="67" spans="1:21" ht="16.5" customHeight="1" x14ac:dyDescent="0.25">
      <c r="A67" s="37">
        <v>42876</v>
      </c>
      <c r="B67" s="5">
        <f t="shared" si="122"/>
        <v>42886</v>
      </c>
      <c r="C67">
        <v>2381.73</v>
      </c>
      <c r="D67" s="29">
        <f t="shared" si="162"/>
        <v>4.0000000000000002E-4</v>
      </c>
      <c r="E67" s="39">
        <f t="shared" si="163"/>
        <v>2369.0238461538461</v>
      </c>
      <c r="F67" s="39">
        <f t="shared" si="164"/>
        <v>2262.5615384615385</v>
      </c>
      <c r="G67" s="29">
        <f t="shared" si="173"/>
        <v>5.4000000000000003E-3</v>
      </c>
      <c r="H67" s="29">
        <f t="shared" si="173"/>
        <v>5.2699999999999997E-2</v>
      </c>
      <c r="I67">
        <f t="shared" si="166"/>
        <v>2381.73</v>
      </c>
      <c r="J67">
        <f>IF(A67&gt;=Quarterly!B$2,Quarterly!C$2,IF(COUNTIFS(Quarterly!B:B,"&gt;="&amp;A67-92,Quarterly!B:B,"&lt;="&amp;A67)&gt;1,SUMIFS(Quarterly!C:C,Quarterly!B:B,"&gt;="&amp;A67-88,Quarterly!B:B,"&lt;="&amp;A67),SUMIFS(Quarterly!C:C,Quarterly!B:B,"&gt;="&amp;A67-92,Quarterly!B:B,"&lt;="&amp;A67)))</f>
        <v>19057.7</v>
      </c>
      <c r="K67" s="13">
        <f t="shared" si="167"/>
        <v>0.125</v>
      </c>
      <c r="L67">
        <f t="shared" si="169"/>
        <v>2381.73</v>
      </c>
      <c r="M67">
        <f>IF(A67&gt;=Quarterly!B$2,Quarterly!D$2,IF(COUNTIFS(Quarterly!B:B,"&gt;="&amp;A67-92,Quarterly!B:B,"&lt;="&amp;A67)&gt;1,SUMIFS(Quarterly!D:D,Quarterly!B:B,"&gt;="&amp;A67-88,Quarterly!B:B,"&lt;="&amp;A67),SUMIFS(Quarterly!D:D,Quarterly!B:B,"&gt;="&amp;A67-92,Quarterly!B:B,"&lt;="&amp;A67)))</f>
        <v>1810.509</v>
      </c>
      <c r="N67" s="13">
        <f t="shared" si="170"/>
        <v>0.13155</v>
      </c>
      <c r="O67">
        <f t="shared" si="42"/>
        <v>2381.73</v>
      </c>
      <c r="P67" s="56">
        <f>VLOOKUP(EOMONTH(A67,-1),Economic!A:I,7,FALSE)</f>
        <v>1349124</v>
      </c>
      <c r="Q67" s="13">
        <f t="shared" si="43"/>
        <v>0.17650000000000002</v>
      </c>
      <c r="R67" s="41">
        <v>0.95</v>
      </c>
      <c r="S67">
        <f t="shared" si="44"/>
        <v>1.04</v>
      </c>
      <c r="T67" s="30">
        <f t="shared" si="45"/>
        <v>69.319999999999993</v>
      </c>
      <c r="U67" s="30">
        <f t="shared" si="168"/>
        <v>68.28</v>
      </c>
    </row>
    <row r="68" spans="1:21" ht="16.5" customHeight="1" x14ac:dyDescent="0.25">
      <c r="A68" s="5">
        <v>42869</v>
      </c>
      <c r="B68" s="5">
        <f t="shared" si="122"/>
        <v>42886</v>
      </c>
      <c r="C68">
        <v>2390.9</v>
      </c>
      <c r="D68" s="29">
        <f t="shared" si="162"/>
        <v>1.0800000000000001E-2</v>
      </c>
      <c r="E68" s="39">
        <f t="shared" si="163"/>
        <v>2366.6723076923076</v>
      </c>
      <c r="F68" s="39">
        <f t="shared" si="164"/>
        <v>2257.4882051282048</v>
      </c>
      <c r="G68" s="29">
        <f t="shared" si="173"/>
        <v>1.0200000000000001E-2</v>
      </c>
      <c r="H68" s="29">
        <f t="shared" si="173"/>
        <v>5.91E-2</v>
      </c>
      <c r="I68">
        <f t="shared" si="166"/>
        <v>2390.9</v>
      </c>
      <c r="J68">
        <f>IF(A68&gt;=Quarterly!B$2,Quarterly!C$2,IF(COUNTIFS(Quarterly!B:B,"&gt;="&amp;A68-92,Quarterly!B:B,"&lt;="&amp;A68)&gt;1,SUMIFS(Quarterly!C:C,Quarterly!B:B,"&gt;="&amp;A68-88,Quarterly!B:B,"&lt;="&amp;A68),SUMIFS(Quarterly!C:C,Quarterly!B:B,"&gt;="&amp;A68-92,Quarterly!B:B,"&lt;="&amp;A68)))</f>
        <v>19057.7</v>
      </c>
      <c r="K68" s="13">
        <f t="shared" si="167"/>
        <v>0.1255</v>
      </c>
      <c r="L68">
        <f t="shared" si="169"/>
        <v>2390.9</v>
      </c>
      <c r="M68">
        <f>IF(A68&gt;=Quarterly!B$2,Quarterly!D$2,IF(COUNTIFS(Quarterly!B:B,"&gt;="&amp;A68-92,Quarterly!B:B,"&lt;="&amp;A68)&gt;1,SUMIFS(Quarterly!D:D,Quarterly!B:B,"&gt;="&amp;A68-88,Quarterly!B:B,"&lt;="&amp;A68),SUMIFS(Quarterly!D:D,Quarterly!B:B,"&gt;="&amp;A68-92,Quarterly!B:B,"&lt;="&amp;A68)))</f>
        <v>1810.509</v>
      </c>
      <c r="N68" s="13">
        <f t="shared" si="170"/>
        <v>0.13206000000000001</v>
      </c>
      <c r="O68">
        <f t="shared" si="42"/>
        <v>2390.9</v>
      </c>
      <c r="P68" s="56">
        <f>VLOOKUP(EOMONTH(A68,-1),Economic!A:I,7,FALSE)</f>
        <v>1349124</v>
      </c>
      <c r="Q68" s="13">
        <f t="shared" si="43"/>
        <v>0.1772</v>
      </c>
      <c r="R68" s="41">
        <v>1.04</v>
      </c>
      <c r="S68">
        <f t="shared" si="44"/>
        <v>1.01</v>
      </c>
      <c r="T68" s="30">
        <f t="shared" si="45"/>
        <v>67.86</v>
      </c>
      <c r="U68" s="30">
        <f t="shared" si="168"/>
        <v>67.790000000000006</v>
      </c>
    </row>
    <row r="69" spans="1:21" ht="16.5" customHeight="1" x14ac:dyDescent="0.25">
      <c r="A69" s="5">
        <v>42862</v>
      </c>
      <c r="B69" s="5">
        <f t="shared" si="122"/>
        <v>42886</v>
      </c>
      <c r="C69">
        <v>2399.29</v>
      </c>
      <c r="D69" s="29">
        <f t="shared" si="162"/>
        <v>1.9099999999999999E-2</v>
      </c>
      <c r="E69" s="39">
        <f t="shared" si="163"/>
        <v>2360.9184615384615</v>
      </c>
      <c r="F69" s="39">
        <f t="shared" si="164"/>
        <v>2252.1843589743589</v>
      </c>
      <c r="G69" s="29">
        <f t="shared" si="173"/>
        <v>1.6299999999999999E-2</v>
      </c>
      <c r="H69" s="29">
        <f t="shared" si="173"/>
        <v>6.5299999999999997E-2</v>
      </c>
      <c r="I69">
        <f t="shared" si="166"/>
        <v>2399.29</v>
      </c>
      <c r="J69">
        <f>IF(A69&gt;=Quarterly!B$2,Quarterly!C$2,IF(COUNTIFS(Quarterly!B:B,"&gt;="&amp;A69-92,Quarterly!B:B,"&lt;="&amp;A69)&gt;1,SUMIFS(Quarterly!C:C,Quarterly!B:B,"&gt;="&amp;A69-88,Quarterly!B:B,"&lt;="&amp;A69),SUMIFS(Quarterly!C:C,Quarterly!B:B,"&gt;="&amp;A69-92,Quarterly!B:B,"&lt;="&amp;A69)))</f>
        <v>19057.7</v>
      </c>
      <c r="K69" s="13">
        <f t="shared" si="167"/>
        <v>0.12590000000000001</v>
      </c>
      <c r="L69">
        <f t="shared" si="169"/>
        <v>2399.29</v>
      </c>
      <c r="M69">
        <f>IF(A69&gt;=Quarterly!B$2,Quarterly!D$2,IF(COUNTIFS(Quarterly!B:B,"&gt;="&amp;A69-92,Quarterly!B:B,"&lt;="&amp;A69)&gt;1,SUMIFS(Quarterly!D:D,Quarterly!B:B,"&gt;="&amp;A69-88,Quarterly!B:B,"&lt;="&amp;A69),SUMIFS(Quarterly!D:D,Quarterly!B:B,"&gt;="&amp;A69-92,Quarterly!B:B,"&lt;="&amp;A69)))</f>
        <v>1810.509</v>
      </c>
      <c r="N69" s="13">
        <f t="shared" si="170"/>
        <v>0.13252</v>
      </c>
      <c r="O69">
        <f t="shared" si="42"/>
        <v>2399.29</v>
      </c>
      <c r="P69" s="56">
        <f>VLOOKUP(EOMONTH(A69,-1),Economic!A:I,7,FALSE)</f>
        <v>1349124</v>
      </c>
      <c r="Q69" s="13">
        <f t="shared" si="43"/>
        <v>0.17780000000000001</v>
      </c>
      <c r="R69" s="41">
        <v>1.04</v>
      </c>
      <c r="S69">
        <f t="shared" si="44"/>
        <v>1</v>
      </c>
      <c r="T69" s="30">
        <f t="shared" si="45"/>
        <v>67.67</v>
      </c>
      <c r="U69" s="30">
        <f t="shared" si="168"/>
        <v>68.22</v>
      </c>
    </row>
    <row r="70" spans="1:21" ht="16.5" customHeight="1" x14ac:dyDescent="0.25">
      <c r="A70" s="5">
        <v>42855</v>
      </c>
      <c r="B70" s="5">
        <f t="shared" si="122"/>
        <v>42855</v>
      </c>
      <c r="C70">
        <v>2384.1999999999998</v>
      </c>
      <c r="D70" s="29">
        <f t="shared" si="162"/>
        <v>1.4999999999999999E-2</v>
      </c>
      <c r="E70" s="39">
        <f t="shared" si="163"/>
        <v>2353.082307692307</v>
      </c>
      <c r="F70" s="39">
        <f t="shared" si="164"/>
        <v>2246.6351282051278</v>
      </c>
      <c r="G70" s="29">
        <f t="shared" si="173"/>
        <v>1.32E-2</v>
      </c>
      <c r="H70" s="29">
        <f t="shared" si="173"/>
        <v>6.1199999999999997E-2</v>
      </c>
      <c r="I70">
        <f t="shared" si="166"/>
        <v>2384.1999999999998</v>
      </c>
      <c r="J70">
        <f>IF(A70&gt;=Quarterly!B$2,Quarterly!C$2,IF(COUNTIFS(Quarterly!B:B,"&gt;="&amp;A70-92,Quarterly!B:B,"&lt;="&amp;A70)&gt;1,SUMIFS(Quarterly!C:C,Quarterly!B:B,"&gt;="&amp;A70-88,Quarterly!B:B,"&lt;="&amp;A70),SUMIFS(Quarterly!C:C,Quarterly!B:B,"&gt;="&amp;A70-92,Quarterly!B:B,"&lt;="&amp;A70)))</f>
        <v>19057.7</v>
      </c>
      <c r="K70" s="13">
        <f t="shared" si="167"/>
        <v>0.12509999999999999</v>
      </c>
      <c r="L70">
        <f t="shared" si="169"/>
        <v>2384.1999999999998</v>
      </c>
      <c r="M70">
        <f>IF(A70&gt;=Quarterly!B$2,Quarterly!D$2,IF(COUNTIFS(Quarterly!B:B,"&gt;="&amp;A70-92,Quarterly!B:B,"&lt;="&amp;A70)&gt;1,SUMIFS(Quarterly!D:D,Quarterly!B:B,"&gt;="&amp;A70-88,Quarterly!B:B,"&lt;="&amp;A70),SUMIFS(Quarterly!D:D,Quarterly!B:B,"&gt;="&amp;A70-92,Quarterly!B:B,"&lt;="&amp;A70)))</f>
        <v>1810.509</v>
      </c>
      <c r="N70" s="13">
        <f t="shared" si="170"/>
        <v>0.13169</v>
      </c>
      <c r="O70">
        <f t="shared" ref="O70:O133" si="174">C70</f>
        <v>2384.1999999999998</v>
      </c>
      <c r="P70" s="56">
        <f>VLOOKUP(EOMONTH(A70,-1),Economic!A:I,7,FALSE)</f>
        <v>1336624</v>
      </c>
      <c r="Q70" s="13">
        <f t="shared" ref="Q70:Q133" si="175">ROUND(O70/P70,6)*100</f>
        <v>0.1784</v>
      </c>
      <c r="R70" s="41">
        <v>1.01</v>
      </c>
      <c r="S70">
        <f t="shared" ref="S70:S133" si="176">R131</f>
        <v>0.96</v>
      </c>
      <c r="T70" s="30">
        <f t="shared" ref="T70:T133" si="177">IF((ROUND((S70*40)+(G70*350)-(H70*100)-((N70-0.15)*350)-(((K70*10.5)-1)*270)-(Q70*100),2)+144)*0.8&lt;0,0,ROUND((ROUND((S70*40)+(G70*350)-(H70*100)-((N70-0.15)*350)-(((K70*10.5)-1)*270)-(Q70*100),2)+144)*0.8,2))</f>
        <v>67.849999999999994</v>
      </c>
      <c r="U70" s="30">
        <f t="shared" si="168"/>
        <v>69.56</v>
      </c>
    </row>
    <row r="71" spans="1:21" ht="16.5" customHeight="1" x14ac:dyDescent="0.25">
      <c r="A71" s="5">
        <v>42848</v>
      </c>
      <c r="B71" s="5">
        <f t="shared" si="122"/>
        <v>42855</v>
      </c>
      <c r="C71">
        <v>2348.69</v>
      </c>
      <c r="D71" s="29">
        <f t="shared" si="162"/>
        <v>4.0000000000000002E-4</v>
      </c>
      <c r="E71" s="39">
        <f t="shared" si="163"/>
        <v>2346.1969230769228</v>
      </c>
      <c r="F71" s="39">
        <f t="shared" si="164"/>
        <v>2241.2351282051281</v>
      </c>
      <c r="G71" s="29">
        <f t="shared" si="173"/>
        <v>1.1000000000000001E-3</v>
      </c>
      <c r="H71" s="29">
        <f t="shared" si="173"/>
        <v>4.7899999999999998E-2</v>
      </c>
      <c r="I71">
        <f t="shared" si="166"/>
        <v>2348.69</v>
      </c>
      <c r="J71">
        <f>IF(A71&gt;=Quarterly!B$2,Quarterly!C$2,IF(COUNTIFS(Quarterly!B:B,"&gt;="&amp;A71-92,Quarterly!B:B,"&lt;="&amp;A71)&gt;1,SUMIFS(Quarterly!C:C,Quarterly!B:B,"&gt;="&amp;A71-88,Quarterly!B:B,"&lt;="&amp;A71),SUMIFS(Quarterly!C:C,Quarterly!B:B,"&gt;="&amp;A71-92,Quarterly!B:B,"&lt;="&amp;A71)))</f>
        <v>18905.5</v>
      </c>
      <c r="K71" s="13">
        <f t="shared" si="167"/>
        <v>0.1242</v>
      </c>
      <c r="L71">
        <f t="shared" si="169"/>
        <v>2348.69</v>
      </c>
      <c r="M71">
        <f>IF(A71&gt;=Quarterly!B$2,Quarterly!D$2,IF(COUNTIFS(Quarterly!B:B,"&gt;="&amp;A71-92,Quarterly!B:B,"&lt;="&amp;A71)&gt;1,SUMIFS(Quarterly!D:D,Quarterly!B:B,"&gt;="&amp;A71-88,Quarterly!B:B,"&lt;="&amp;A71),SUMIFS(Quarterly!D:D,Quarterly!B:B,"&gt;="&amp;A71-92,Quarterly!B:B,"&lt;="&amp;A71)))</f>
        <v>1787.386</v>
      </c>
      <c r="N71" s="13">
        <f t="shared" si="170"/>
        <v>0.13140000000000002</v>
      </c>
      <c r="O71">
        <f t="shared" si="174"/>
        <v>2348.69</v>
      </c>
      <c r="P71" s="56">
        <f>VLOOKUP(EOMONTH(A71,-1),Economic!A:I,7,FALSE)</f>
        <v>1336624</v>
      </c>
      <c r="Q71" s="13">
        <f t="shared" si="175"/>
        <v>0.17570000000000002</v>
      </c>
      <c r="R71" s="41">
        <v>1.04</v>
      </c>
      <c r="S71">
        <f t="shared" si="176"/>
        <v>1</v>
      </c>
      <c r="T71" s="30">
        <f t="shared" si="177"/>
        <v>69.14</v>
      </c>
      <c r="U71" s="30">
        <f t="shared" si="168"/>
        <v>71.400000000000006</v>
      </c>
    </row>
    <row r="72" spans="1:21" ht="16.5" customHeight="1" x14ac:dyDescent="0.25">
      <c r="A72" s="5">
        <v>42841</v>
      </c>
      <c r="B72" s="5">
        <f t="shared" si="122"/>
        <v>42855</v>
      </c>
      <c r="C72">
        <v>2328.9499999999998</v>
      </c>
      <c r="D72" s="29">
        <f t="shared" si="162"/>
        <v>-1.32E-2</v>
      </c>
      <c r="E72" s="39">
        <f t="shared" si="163"/>
        <v>2340.2446153846154</v>
      </c>
      <c r="F72" s="39">
        <f t="shared" si="164"/>
        <v>2236.7823076923078</v>
      </c>
      <c r="G72" s="29">
        <f t="shared" si="173"/>
        <v>-4.7999999999999996E-3</v>
      </c>
      <c r="H72" s="29">
        <f t="shared" si="173"/>
        <v>4.1200000000000001E-2</v>
      </c>
      <c r="I72">
        <f t="shared" si="166"/>
        <v>2328.9499999999998</v>
      </c>
      <c r="J72">
        <f>IF(A72&gt;=Quarterly!B$2,Quarterly!C$2,IF(COUNTIFS(Quarterly!B:B,"&gt;="&amp;A72-92,Quarterly!B:B,"&lt;="&amp;A72)&gt;1,SUMIFS(Quarterly!C:C,Quarterly!B:B,"&gt;="&amp;A72-88,Quarterly!B:B,"&lt;="&amp;A72),SUMIFS(Quarterly!C:C,Quarterly!B:B,"&gt;="&amp;A72-92,Quarterly!B:B,"&lt;="&amp;A72)))</f>
        <v>18905.5</v>
      </c>
      <c r="K72" s="13">
        <f t="shared" si="167"/>
        <v>0.1232</v>
      </c>
      <c r="L72">
        <f t="shared" si="169"/>
        <v>2328.9499999999998</v>
      </c>
      <c r="M72">
        <f>IF(A72&gt;=Quarterly!B$2,Quarterly!D$2,IF(COUNTIFS(Quarterly!B:B,"&gt;="&amp;A72-92,Quarterly!B:B,"&lt;="&amp;A72)&gt;1,SUMIFS(Quarterly!D:D,Quarterly!B:B,"&gt;="&amp;A72-88,Quarterly!B:B,"&lt;="&amp;A72),SUMIFS(Quarterly!D:D,Quarterly!B:B,"&gt;="&amp;A72-92,Quarterly!B:B,"&lt;="&amp;A72)))</f>
        <v>1787.386</v>
      </c>
      <c r="N72" s="13">
        <f t="shared" si="170"/>
        <v>0.1303</v>
      </c>
      <c r="O72">
        <f t="shared" si="174"/>
        <v>2328.9499999999998</v>
      </c>
      <c r="P72" s="56">
        <f>VLOOKUP(EOMONTH(A72,-1),Economic!A:I,7,FALSE)</f>
        <v>1336624</v>
      </c>
      <c r="Q72" s="13">
        <f t="shared" si="175"/>
        <v>0.17419999999999999</v>
      </c>
      <c r="R72" s="41">
        <v>1.03</v>
      </c>
      <c r="S72">
        <f t="shared" si="176"/>
        <v>1.03</v>
      </c>
      <c r="T72" s="30">
        <f t="shared" si="177"/>
        <v>71.680000000000007</v>
      </c>
      <c r="U72" s="30">
        <f t="shared" si="168"/>
        <v>73.459999999999994</v>
      </c>
    </row>
    <row r="73" spans="1:21" ht="16.5" customHeight="1" x14ac:dyDescent="0.25">
      <c r="A73" s="5">
        <v>42834</v>
      </c>
      <c r="B73" s="5">
        <f t="shared" si="122"/>
        <v>42855</v>
      </c>
      <c r="C73">
        <v>2355.54</v>
      </c>
      <c r="D73" s="29">
        <f t="shared" si="162"/>
        <v>-3.7000000000000002E-3</v>
      </c>
      <c r="E73" s="39">
        <f t="shared" si="163"/>
        <v>2336.0669230769226</v>
      </c>
      <c r="F73" s="39">
        <f t="shared" si="164"/>
        <v>2232.494871794871</v>
      </c>
      <c r="G73" s="29">
        <f t="shared" si="173"/>
        <v>8.3000000000000001E-3</v>
      </c>
      <c r="H73" s="29">
        <f t="shared" si="173"/>
        <v>5.5100000000000003E-2</v>
      </c>
      <c r="I73">
        <f t="shared" si="166"/>
        <v>2355.54</v>
      </c>
      <c r="J73">
        <f>IF(A73&gt;=Quarterly!B$2,Quarterly!C$2,IF(COUNTIFS(Quarterly!B:B,"&gt;="&amp;A73-92,Quarterly!B:B,"&lt;="&amp;A73)&gt;1,SUMIFS(Quarterly!C:C,Quarterly!B:B,"&gt;="&amp;A73-88,Quarterly!B:B,"&lt;="&amp;A73),SUMIFS(Quarterly!C:C,Quarterly!B:B,"&gt;="&amp;A73-92,Quarterly!B:B,"&lt;="&amp;A73)))</f>
        <v>18905.5</v>
      </c>
      <c r="K73" s="13">
        <f t="shared" si="167"/>
        <v>0.1246</v>
      </c>
      <c r="L73">
        <f t="shared" si="169"/>
        <v>2355.54</v>
      </c>
      <c r="M73">
        <f>IF(A73&gt;=Quarterly!B$2,Quarterly!D$2,IF(COUNTIFS(Quarterly!B:B,"&gt;="&amp;A73-92,Quarterly!B:B,"&lt;="&amp;A73)&gt;1,SUMIFS(Quarterly!D:D,Quarterly!B:B,"&gt;="&amp;A73-88,Quarterly!B:B,"&lt;="&amp;A73),SUMIFS(Quarterly!D:D,Quarterly!B:B,"&gt;="&amp;A73-92,Quarterly!B:B,"&lt;="&amp;A73)))</f>
        <v>1787.386</v>
      </c>
      <c r="N73" s="13">
        <f t="shared" si="170"/>
        <v>0.13179000000000002</v>
      </c>
      <c r="O73">
        <f t="shared" si="174"/>
        <v>2355.54</v>
      </c>
      <c r="P73" s="56">
        <f>VLOOKUP(EOMONTH(A73,-1),Economic!A:I,7,FALSE)</f>
        <v>1336624</v>
      </c>
      <c r="Q73" s="13">
        <f t="shared" si="175"/>
        <v>0.1762</v>
      </c>
      <c r="R73" s="41">
        <v>1.0900000000000001</v>
      </c>
      <c r="S73">
        <f t="shared" si="176"/>
        <v>1.1200000000000001</v>
      </c>
      <c r="T73" s="30">
        <f t="shared" si="177"/>
        <v>73.37</v>
      </c>
      <c r="U73" s="30">
        <f t="shared" si="168"/>
        <v>75.42</v>
      </c>
    </row>
    <row r="74" spans="1:21" x14ac:dyDescent="0.25">
      <c r="A74" s="5">
        <v>42827</v>
      </c>
      <c r="B74" s="5">
        <f t="shared" si="122"/>
        <v>42855</v>
      </c>
      <c r="C74">
        <v>2362.7199999999998</v>
      </c>
      <c r="D74" s="29">
        <f t="shared" si="162"/>
        <v>-2.8999999999999998E-3</v>
      </c>
      <c r="E74" s="39">
        <f t="shared" si="163"/>
        <v>2330.0238461538456</v>
      </c>
      <c r="F74" s="39">
        <f t="shared" si="164"/>
        <v>2226.7092307692301</v>
      </c>
      <c r="G74" s="29">
        <f t="shared" si="173"/>
        <v>1.4E-2</v>
      </c>
      <c r="H74" s="29">
        <f t="shared" si="173"/>
        <v>6.1100000000000002E-2</v>
      </c>
      <c r="I74">
        <f t="shared" si="166"/>
        <v>2362.7199999999998</v>
      </c>
      <c r="J74">
        <f>IF(A74&gt;=Quarterly!B$2,Quarterly!C$2,IF(COUNTIFS(Quarterly!B:B,"&gt;="&amp;A74-92,Quarterly!B:B,"&lt;="&amp;A74)&gt;1,SUMIFS(Quarterly!C:C,Quarterly!B:B,"&gt;="&amp;A74-88,Quarterly!B:B,"&lt;="&amp;A74),SUMIFS(Quarterly!C:C,Quarterly!B:B,"&gt;="&amp;A74-92,Quarterly!B:B,"&lt;="&amp;A74)))</f>
        <v>18905.5</v>
      </c>
      <c r="K74" s="13">
        <f t="shared" si="167"/>
        <v>0.125</v>
      </c>
      <c r="L74">
        <f t="shared" si="169"/>
        <v>2362.7199999999998</v>
      </c>
      <c r="M74">
        <f>IF(A74&gt;=Quarterly!B$2,Quarterly!D$2,IF(COUNTIFS(Quarterly!B:B,"&gt;="&amp;A74-92,Quarterly!B:B,"&lt;="&amp;A74)&gt;1,SUMIFS(Quarterly!D:D,Quarterly!B:B,"&gt;="&amp;A74-88,Quarterly!B:B,"&lt;="&amp;A74),SUMIFS(Quarterly!D:D,Quarterly!B:B,"&gt;="&amp;A74-92,Quarterly!B:B,"&lt;="&amp;A74)))</f>
        <v>1787.386</v>
      </c>
      <c r="N74" s="13">
        <f t="shared" si="170"/>
        <v>0.13219</v>
      </c>
      <c r="O74">
        <f t="shared" si="174"/>
        <v>2362.7199999999998</v>
      </c>
      <c r="P74" s="56">
        <f>VLOOKUP(EOMONTH(A74,-1),Economic!A:I,7,FALSE)</f>
        <v>1336624</v>
      </c>
      <c r="Q74" s="13">
        <f t="shared" si="175"/>
        <v>0.17680000000000001</v>
      </c>
      <c r="R74" s="41">
        <v>1.1299999999999999</v>
      </c>
      <c r="S74">
        <f t="shared" si="176"/>
        <v>1.18</v>
      </c>
      <c r="T74" s="30">
        <f t="shared" si="177"/>
        <v>75.34</v>
      </c>
      <c r="U74" s="30">
        <f t="shared" si="168"/>
        <v>76.209999999999994</v>
      </c>
    </row>
    <row r="75" spans="1:21" x14ac:dyDescent="0.25">
      <c r="A75" s="5">
        <v>42820</v>
      </c>
      <c r="B75" s="5">
        <f t="shared" si="122"/>
        <v>42825</v>
      </c>
      <c r="C75">
        <v>2343.98</v>
      </c>
      <c r="D75" s="29">
        <f t="shared" si="162"/>
        <v>-1.32E-2</v>
      </c>
      <c r="E75" s="39">
        <f t="shared" si="163"/>
        <v>2320.4938461538459</v>
      </c>
      <c r="F75" s="39">
        <f t="shared" si="164"/>
        <v>2220.0484615384607</v>
      </c>
      <c r="G75" s="29">
        <f t="shared" si="173"/>
        <v>1.01E-2</v>
      </c>
      <c r="H75" s="29">
        <f t="shared" si="173"/>
        <v>5.5800000000000002E-2</v>
      </c>
      <c r="I75">
        <f t="shared" si="166"/>
        <v>2343.98</v>
      </c>
      <c r="J75">
        <f>IF(A75&gt;=Quarterly!B$2,Quarterly!C$2,IF(COUNTIFS(Quarterly!B:B,"&gt;="&amp;A75-92,Quarterly!B:B,"&lt;="&amp;A75)&gt;1,SUMIFS(Quarterly!C:C,Quarterly!B:B,"&gt;="&amp;A75-88,Quarterly!B:B,"&lt;="&amp;A75),SUMIFS(Quarterly!C:C,Quarterly!B:B,"&gt;="&amp;A75-92,Quarterly!B:B,"&lt;="&amp;A75)))</f>
        <v>18905.5</v>
      </c>
      <c r="K75" s="13">
        <f t="shared" si="167"/>
        <v>0.124</v>
      </c>
      <c r="L75">
        <f t="shared" si="169"/>
        <v>2343.98</v>
      </c>
      <c r="M75">
        <f>IF(A75&gt;=Quarterly!B$2,Quarterly!D$2,IF(COUNTIFS(Quarterly!B:B,"&gt;="&amp;A75-92,Quarterly!B:B,"&lt;="&amp;A75)&gt;1,SUMIFS(Quarterly!D:D,Quarterly!B:B,"&gt;="&amp;A75-88,Quarterly!B:B,"&lt;="&amp;A75),SUMIFS(Quarterly!D:D,Quarterly!B:B,"&gt;="&amp;A75-92,Quarterly!B:B,"&lt;="&amp;A75)))</f>
        <v>1787.386</v>
      </c>
      <c r="N75" s="13">
        <f t="shared" si="170"/>
        <v>0.13114000000000001</v>
      </c>
      <c r="O75">
        <f t="shared" si="174"/>
        <v>2343.98</v>
      </c>
      <c r="P75" s="56">
        <f>VLOOKUP(EOMONTH(A75,-1),Economic!A:I,7,FALSE)</f>
        <v>1325321</v>
      </c>
      <c r="Q75" s="13">
        <f t="shared" si="175"/>
        <v>0.1769</v>
      </c>
      <c r="R75" s="41">
        <v>1.1399999999999999</v>
      </c>
      <c r="S75">
        <f t="shared" si="176"/>
        <v>1.19</v>
      </c>
      <c r="T75" s="30">
        <f t="shared" si="177"/>
        <v>77.540000000000006</v>
      </c>
      <c r="U75" s="30">
        <f t="shared" si="168"/>
        <v>76.849999999999994</v>
      </c>
    </row>
    <row r="76" spans="1:21" x14ac:dyDescent="0.25">
      <c r="A76" s="5">
        <v>42813</v>
      </c>
      <c r="B76" s="5">
        <f t="shared" si="122"/>
        <v>42825</v>
      </c>
      <c r="C76">
        <v>2378.25</v>
      </c>
      <c r="D76" s="29">
        <f t="shared" si="162"/>
        <v>4.1000000000000003E-3</v>
      </c>
      <c r="E76" s="39">
        <f t="shared" si="163"/>
        <v>2314.3253846153848</v>
      </c>
      <c r="F76" s="39">
        <f t="shared" si="164"/>
        <v>2212.187692307692</v>
      </c>
      <c r="G76" s="29">
        <f t="shared" si="173"/>
        <v>2.76E-2</v>
      </c>
      <c r="H76" s="29">
        <f t="shared" si="173"/>
        <v>7.51E-2</v>
      </c>
      <c r="I76">
        <f t="shared" si="166"/>
        <v>2378.25</v>
      </c>
      <c r="J76">
        <f>IF(A76&gt;=Quarterly!B$2,Quarterly!C$2,IF(COUNTIFS(Quarterly!B:B,"&gt;="&amp;A76-92,Quarterly!B:B,"&lt;="&amp;A76)&gt;1,SUMIFS(Quarterly!C:C,Quarterly!B:B,"&gt;="&amp;A76-88,Quarterly!B:B,"&lt;="&amp;A76),SUMIFS(Quarterly!C:C,Quarterly!B:B,"&gt;="&amp;A76-92,Quarterly!B:B,"&lt;="&amp;A76)))</f>
        <v>18905.5</v>
      </c>
      <c r="K76" s="13">
        <f t="shared" si="167"/>
        <v>0.1258</v>
      </c>
      <c r="L76">
        <f t="shared" si="169"/>
        <v>2378.25</v>
      </c>
      <c r="M76">
        <f>IF(A76&gt;=Quarterly!B$2,Quarterly!D$2,IF(COUNTIFS(Quarterly!B:B,"&gt;="&amp;A76-92,Quarterly!B:B,"&lt;="&amp;A76)&gt;1,SUMIFS(Quarterly!D:D,Quarterly!B:B,"&gt;="&amp;A76-88,Quarterly!B:B,"&lt;="&amp;A76),SUMIFS(Quarterly!D:D,Quarterly!B:B,"&gt;="&amp;A76-92,Quarterly!B:B,"&lt;="&amp;A76)))</f>
        <v>1787.386</v>
      </c>
      <c r="N76" s="13">
        <f t="shared" si="170"/>
        <v>0.13306000000000001</v>
      </c>
      <c r="O76">
        <f t="shared" si="174"/>
        <v>2378.25</v>
      </c>
      <c r="P76" s="56">
        <f>VLOOKUP(EOMONTH(A76,-1),Economic!A:I,7,FALSE)</f>
        <v>1325321</v>
      </c>
      <c r="Q76" s="13">
        <f t="shared" si="175"/>
        <v>0.1794</v>
      </c>
      <c r="R76" s="41">
        <v>1.17</v>
      </c>
      <c r="S76">
        <f t="shared" si="176"/>
        <v>1.18</v>
      </c>
      <c r="T76" s="30">
        <f t="shared" si="177"/>
        <v>75.760000000000005</v>
      </c>
      <c r="U76" s="30">
        <f t="shared" si="168"/>
        <v>77.010000000000005</v>
      </c>
    </row>
    <row r="77" spans="1:21" x14ac:dyDescent="0.25">
      <c r="A77" s="5">
        <v>42806</v>
      </c>
      <c r="B77" s="5">
        <f t="shared" si="122"/>
        <v>42825</v>
      </c>
      <c r="C77">
        <v>2372.6</v>
      </c>
      <c r="D77" s="29">
        <f t="shared" si="162"/>
        <v>7.7000000000000002E-3</v>
      </c>
      <c r="E77" s="39">
        <f t="shared" si="163"/>
        <v>2305.0807692307694</v>
      </c>
      <c r="F77" s="39">
        <f t="shared" si="164"/>
        <v>2204.3151282051281</v>
      </c>
      <c r="G77" s="29">
        <f t="shared" si="173"/>
        <v>2.93E-2</v>
      </c>
      <c r="H77" s="29">
        <f t="shared" si="173"/>
        <v>7.6300000000000007E-2</v>
      </c>
      <c r="I77">
        <f t="shared" si="166"/>
        <v>2372.6</v>
      </c>
      <c r="J77">
        <f>IF(A77&gt;=Quarterly!B$2,Quarterly!C$2,IF(COUNTIFS(Quarterly!B:B,"&gt;="&amp;A77-92,Quarterly!B:B,"&lt;="&amp;A77)&gt;1,SUMIFS(Quarterly!C:C,Quarterly!B:B,"&gt;="&amp;A77-88,Quarterly!B:B,"&lt;="&amp;A77),SUMIFS(Quarterly!C:C,Quarterly!B:B,"&gt;="&amp;A77-92,Quarterly!B:B,"&lt;="&amp;A77)))</f>
        <v>18905.5</v>
      </c>
      <c r="K77" s="13">
        <f t="shared" si="167"/>
        <v>0.1255</v>
      </c>
      <c r="L77">
        <f t="shared" si="169"/>
        <v>2372.6</v>
      </c>
      <c r="M77">
        <f>IF(A77&gt;=Quarterly!B$2,Quarterly!D$2,IF(COUNTIFS(Quarterly!B:B,"&gt;="&amp;A77-92,Quarterly!B:B,"&lt;="&amp;A77)&gt;1,SUMIFS(Quarterly!D:D,Quarterly!B:B,"&gt;="&amp;A77-88,Quarterly!B:B,"&lt;="&amp;A77),SUMIFS(Quarterly!D:D,Quarterly!B:B,"&gt;="&amp;A77-92,Quarterly!B:B,"&lt;="&amp;A77)))</f>
        <v>1787.386</v>
      </c>
      <c r="N77" s="13">
        <f t="shared" si="170"/>
        <v>0.13274</v>
      </c>
      <c r="O77">
        <f t="shared" si="174"/>
        <v>2372.6</v>
      </c>
      <c r="P77" s="56">
        <f>VLOOKUP(EOMONTH(A77,-1),Economic!A:I,7,FALSE)</f>
        <v>1325321</v>
      </c>
      <c r="Q77" s="13">
        <f t="shared" si="175"/>
        <v>0.17899999999999999</v>
      </c>
      <c r="R77" s="41">
        <v>1.22</v>
      </c>
      <c r="S77">
        <f t="shared" si="176"/>
        <v>1.19</v>
      </c>
      <c r="T77" s="30">
        <f t="shared" si="177"/>
        <v>77.260000000000005</v>
      </c>
      <c r="U77" s="30">
        <f t="shared" si="168"/>
        <v>78.69</v>
      </c>
    </row>
    <row r="78" spans="1:21" x14ac:dyDescent="0.25">
      <c r="A78" s="5">
        <v>42799</v>
      </c>
      <c r="B78" s="5">
        <f t="shared" si="122"/>
        <v>42825</v>
      </c>
      <c r="C78">
        <v>2383.12</v>
      </c>
      <c r="D78" s="29">
        <f t="shared" si="162"/>
        <v>2.1499999999999998E-2</v>
      </c>
      <c r="E78" s="39">
        <f t="shared" si="163"/>
        <v>2296.3830769230767</v>
      </c>
      <c r="F78" s="39">
        <f t="shared" si="164"/>
        <v>2197.2246153846158</v>
      </c>
      <c r="G78" s="29">
        <f t="shared" si="173"/>
        <v>3.78E-2</v>
      </c>
      <c r="H78" s="29">
        <f t="shared" si="173"/>
        <v>8.4599999999999995E-2</v>
      </c>
      <c r="I78">
        <f t="shared" si="166"/>
        <v>2383.12</v>
      </c>
      <c r="J78">
        <f>IF(A78&gt;=Quarterly!B$2,Quarterly!C$2,IF(COUNTIFS(Quarterly!B:B,"&gt;="&amp;A78-92,Quarterly!B:B,"&lt;="&amp;A78)&gt;1,SUMIFS(Quarterly!C:C,Quarterly!B:B,"&gt;="&amp;A78-88,Quarterly!B:B,"&lt;="&amp;A78),SUMIFS(Quarterly!C:C,Quarterly!B:B,"&gt;="&amp;A78-92,Quarterly!B:B,"&lt;="&amp;A78)))</f>
        <v>18905.5</v>
      </c>
      <c r="K78" s="13">
        <f t="shared" si="167"/>
        <v>0.12609999999999999</v>
      </c>
      <c r="L78">
        <f t="shared" si="169"/>
        <v>2383.12</v>
      </c>
      <c r="M78">
        <f>IF(A78&gt;=Quarterly!B$2,Quarterly!D$2,IF(COUNTIFS(Quarterly!B:B,"&gt;="&amp;A78-92,Quarterly!B:B,"&lt;="&amp;A78)&gt;1,SUMIFS(Quarterly!D:D,Quarterly!B:B,"&gt;="&amp;A78-88,Quarterly!B:B,"&lt;="&amp;A78),SUMIFS(Quarterly!D:D,Quarterly!B:B,"&gt;="&amp;A78-92,Quarterly!B:B,"&lt;="&amp;A78)))</f>
        <v>1787.386</v>
      </c>
      <c r="N78" s="13">
        <f t="shared" si="170"/>
        <v>0.13333</v>
      </c>
      <c r="O78">
        <f t="shared" si="174"/>
        <v>2383.12</v>
      </c>
      <c r="P78" s="56">
        <f>VLOOKUP(EOMONTH(A78,-1),Economic!A:I,7,FALSE)</f>
        <v>1325321</v>
      </c>
      <c r="Q78" s="13">
        <f t="shared" si="175"/>
        <v>0.17979999999999999</v>
      </c>
      <c r="R78" s="41">
        <v>1.17</v>
      </c>
      <c r="S78">
        <f t="shared" si="176"/>
        <v>1.21</v>
      </c>
      <c r="T78" s="30">
        <f t="shared" si="177"/>
        <v>78.02</v>
      </c>
      <c r="U78" s="30">
        <f t="shared" si="168"/>
        <v>80.540000000000006</v>
      </c>
    </row>
    <row r="79" spans="1:21" x14ac:dyDescent="0.25">
      <c r="A79" s="5">
        <v>42792</v>
      </c>
      <c r="B79" s="5">
        <f t="shared" si="122"/>
        <v>42794</v>
      </c>
      <c r="C79">
        <v>2367.34</v>
      </c>
      <c r="D79" s="29">
        <f t="shared" si="162"/>
        <v>2.2700000000000001E-2</v>
      </c>
      <c r="E79" s="39">
        <f t="shared" si="163"/>
        <v>2281.6776923076923</v>
      </c>
      <c r="F79" s="39">
        <f t="shared" si="164"/>
        <v>2189.9428205128211</v>
      </c>
      <c r="G79" s="29">
        <f t="shared" si="173"/>
        <v>3.7499999999999999E-2</v>
      </c>
      <c r="H79" s="29">
        <f t="shared" si="173"/>
        <v>8.1000000000000003E-2</v>
      </c>
      <c r="I79">
        <f t="shared" si="166"/>
        <v>2367.34</v>
      </c>
      <c r="J79">
        <f>IF(A79&gt;=Quarterly!B$2,Quarterly!C$2,IF(COUNTIFS(Quarterly!B:B,"&gt;="&amp;A79-92,Quarterly!B:B,"&lt;="&amp;A79)&gt;1,SUMIFS(Quarterly!C:C,Quarterly!B:B,"&gt;="&amp;A79-88,Quarterly!B:B,"&lt;="&amp;A79),SUMIFS(Quarterly!C:C,Quarterly!B:B,"&gt;="&amp;A79-92,Quarterly!B:B,"&lt;="&amp;A79)))</f>
        <v>18905.5</v>
      </c>
      <c r="K79" s="13">
        <f t="shared" si="167"/>
        <v>0.12520000000000001</v>
      </c>
      <c r="L79">
        <f t="shared" si="169"/>
        <v>2367.34</v>
      </c>
      <c r="M79">
        <f>IF(A79&gt;=Quarterly!B$2,Quarterly!D$2,IF(COUNTIFS(Quarterly!B:B,"&gt;="&amp;A79-92,Quarterly!B:B,"&lt;="&amp;A79)&gt;1,SUMIFS(Quarterly!D:D,Quarterly!B:B,"&gt;="&amp;A79-88,Quarterly!B:B,"&lt;="&amp;A79),SUMIFS(Quarterly!D:D,Quarterly!B:B,"&gt;="&amp;A79-92,Quarterly!B:B,"&lt;="&amp;A79)))</f>
        <v>1787.386</v>
      </c>
      <c r="N79" s="13">
        <f t="shared" si="170"/>
        <v>0.13245000000000001</v>
      </c>
      <c r="O79">
        <f t="shared" si="174"/>
        <v>2367.34</v>
      </c>
      <c r="P79" s="56">
        <f>VLOOKUP(EOMONTH(A79,-1),Economic!A:I,7,FALSE)</f>
        <v>1312491</v>
      </c>
      <c r="Q79" s="13">
        <f t="shared" si="175"/>
        <v>0.1804</v>
      </c>
      <c r="R79" s="41">
        <v>1.19</v>
      </c>
      <c r="S79">
        <f t="shared" si="176"/>
        <v>1.22</v>
      </c>
      <c r="T79" s="30">
        <f t="shared" si="177"/>
        <v>80.790000000000006</v>
      </c>
      <c r="U79" s="30">
        <f t="shared" si="168"/>
        <v>83.58</v>
      </c>
    </row>
    <row r="80" spans="1:21" x14ac:dyDescent="0.25">
      <c r="A80" s="5">
        <v>42785</v>
      </c>
      <c r="B80" s="5">
        <f t="shared" si="122"/>
        <v>42794</v>
      </c>
      <c r="C80">
        <v>2351.16</v>
      </c>
      <c r="D80" s="29">
        <f t="shared" si="162"/>
        <v>2.4500000000000001E-2</v>
      </c>
      <c r="E80" s="39">
        <f t="shared" si="163"/>
        <v>2269.8323076923075</v>
      </c>
      <c r="F80" s="39">
        <f t="shared" si="164"/>
        <v>2183.0638461538465</v>
      </c>
      <c r="G80" s="29">
        <f t="shared" si="173"/>
        <v>3.5799999999999998E-2</v>
      </c>
      <c r="H80" s="29">
        <f t="shared" si="173"/>
        <v>7.6999999999999999E-2</v>
      </c>
      <c r="I80">
        <f t="shared" si="166"/>
        <v>2351.16</v>
      </c>
      <c r="J80">
        <f>IF(A80&gt;=Quarterly!B$2,Quarterly!C$2,IF(COUNTIFS(Quarterly!B:B,"&gt;="&amp;A80-92,Quarterly!B:B,"&lt;="&amp;A80)&gt;1,SUMIFS(Quarterly!C:C,Quarterly!B:B,"&gt;="&amp;A80-88,Quarterly!B:B,"&lt;="&amp;A80),SUMIFS(Quarterly!C:C,Quarterly!B:B,"&gt;="&amp;A80-92,Quarterly!B:B,"&lt;="&amp;A80)))</f>
        <v>18905.5</v>
      </c>
      <c r="K80" s="13">
        <f t="shared" si="167"/>
        <v>0.1244</v>
      </c>
      <c r="L80">
        <f t="shared" si="169"/>
        <v>2351.16</v>
      </c>
      <c r="M80">
        <f>IF(A80&gt;=Quarterly!B$2,Quarterly!D$2,IF(COUNTIFS(Quarterly!B:B,"&gt;="&amp;A80-92,Quarterly!B:B,"&lt;="&amp;A80)&gt;1,SUMIFS(Quarterly!D:D,Quarterly!B:B,"&gt;="&amp;A80-88,Quarterly!B:B,"&lt;="&amp;A80),SUMIFS(Quarterly!D:D,Quarterly!B:B,"&gt;="&amp;A80-92,Quarterly!B:B,"&lt;="&amp;A80)))</f>
        <v>1787.386</v>
      </c>
      <c r="N80" s="13">
        <f t="shared" si="170"/>
        <v>0.13153999999999999</v>
      </c>
      <c r="O80">
        <f t="shared" si="174"/>
        <v>2351.16</v>
      </c>
      <c r="P80" s="56">
        <f>VLOOKUP(EOMONTH(A80,-1),Economic!A:I,7,FALSE)</f>
        <v>1312491</v>
      </c>
      <c r="Q80" s="13">
        <f t="shared" si="175"/>
        <v>0.17910000000000001</v>
      </c>
      <c r="R80" s="41">
        <v>1.21</v>
      </c>
      <c r="S80">
        <f t="shared" si="176"/>
        <v>1.22</v>
      </c>
      <c r="T80" s="30">
        <f t="shared" si="177"/>
        <v>82.81</v>
      </c>
      <c r="U80" s="30">
        <f t="shared" si="168"/>
        <v>87.2</v>
      </c>
    </row>
    <row r="81" spans="1:21" x14ac:dyDescent="0.25">
      <c r="A81" s="5">
        <v>42778</v>
      </c>
      <c r="B81" s="5">
        <f t="shared" si="122"/>
        <v>42794</v>
      </c>
      <c r="C81">
        <v>2316.1</v>
      </c>
      <c r="D81" s="29">
        <f t="shared" si="162"/>
        <v>1.38E-2</v>
      </c>
      <c r="E81" s="39">
        <f t="shared" si="163"/>
        <v>2256.8123076923075</v>
      </c>
      <c r="F81" s="39">
        <f t="shared" si="164"/>
        <v>2175.4012820512826</v>
      </c>
      <c r="G81" s="29">
        <f t="shared" si="173"/>
        <v>2.63E-2</v>
      </c>
      <c r="H81" s="29">
        <f t="shared" si="173"/>
        <v>6.4699999999999994E-2</v>
      </c>
      <c r="I81">
        <f t="shared" si="166"/>
        <v>2316.1</v>
      </c>
      <c r="J81">
        <f>IF(A81&gt;=Quarterly!B$2,Quarterly!C$2,IF(COUNTIFS(Quarterly!B:B,"&gt;="&amp;A81-92,Quarterly!B:B,"&lt;="&amp;A81)&gt;1,SUMIFS(Quarterly!C:C,Quarterly!B:B,"&gt;="&amp;A81-88,Quarterly!B:B,"&lt;="&amp;A81),SUMIFS(Quarterly!C:C,Quarterly!B:B,"&gt;="&amp;A81-92,Quarterly!B:B,"&lt;="&amp;A81)))</f>
        <v>18905.5</v>
      </c>
      <c r="K81" s="13">
        <f t="shared" si="167"/>
        <v>0.1225</v>
      </c>
      <c r="L81">
        <f t="shared" si="169"/>
        <v>2316.1</v>
      </c>
      <c r="M81">
        <f>IF(A81&gt;=Quarterly!B$2,Quarterly!D$2,IF(COUNTIFS(Quarterly!B:B,"&gt;="&amp;A81-92,Quarterly!B:B,"&lt;="&amp;A81)&gt;1,SUMIFS(Quarterly!D:D,Quarterly!B:B,"&gt;="&amp;A81-88,Quarterly!B:B,"&lt;="&amp;A81),SUMIFS(Quarterly!D:D,Quarterly!B:B,"&gt;="&amp;A81-92,Quarterly!B:B,"&lt;="&amp;A81)))</f>
        <v>1787.386</v>
      </c>
      <c r="N81" s="13">
        <f t="shared" si="170"/>
        <v>0.12958</v>
      </c>
      <c r="O81">
        <f t="shared" si="174"/>
        <v>2316.1</v>
      </c>
      <c r="P81" s="56">
        <f>VLOOKUP(EOMONTH(A81,-1),Economic!A:I,7,FALSE)</f>
        <v>1312491</v>
      </c>
      <c r="Q81" s="13">
        <f t="shared" si="175"/>
        <v>0.17650000000000002</v>
      </c>
      <c r="R81" s="41">
        <v>1.21</v>
      </c>
      <c r="S81">
        <f t="shared" si="176"/>
        <v>1.25</v>
      </c>
      <c r="T81" s="30">
        <f t="shared" si="177"/>
        <v>87.15</v>
      </c>
      <c r="U81" s="30">
        <f t="shared" si="168"/>
        <v>89.05</v>
      </c>
    </row>
    <row r="82" spans="1:21" x14ac:dyDescent="0.25">
      <c r="A82" s="5">
        <v>42771</v>
      </c>
      <c r="B82" s="5">
        <f t="shared" ref="B82:B145" si="178">EOMONTH(A82,0)</f>
        <v>42794</v>
      </c>
      <c r="C82">
        <v>2297.42</v>
      </c>
      <c r="D82" s="29">
        <f t="shared" ref="D82:D145" si="179">ROUND((C82-AVERAGE(C83:C86))/AVERAGE(C83:C86),4)</f>
        <v>7.9000000000000008E-3</v>
      </c>
      <c r="E82" s="39">
        <f t="shared" ref="E82:E145" si="180">AVERAGE(C82:C94)</f>
        <v>2245.146923076923</v>
      </c>
      <c r="F82" s="39">
        <f t="shared" ref="F82:F145" si="181">AVERAGE(C82:C120)</f>
        <v>2168.4912820512827</v>
      </c>
      <c r="G82" s="29">
        <f t="shared" si="173"/>
        <v>2.3300000000000001E-2</v>
      </c>
      <c r="H82" s="29">
        <f t="shared" si="173"/>
        <v>5.9499999999999997E-2</v>
      </c>
      <c r="I82">
        <f t="shared" ref="I82:I145" si="182">C82</f>
        <v>2297.42</v>
      </c>
      <c r="J82">
        <f>IF(A82&gt;=Quarterly!B$2,Quarterly!C$2,IF(COUNTIFS(Quarterly!B:B,"&gt;="&amp;A82-92,Quarterly!B:B,"&lt;="&amp;A82)&gt;1,SUMIFS(Quarterly!C:C,Quarterly!B:B,"&gt;="&amp;A82-88,Quarterly!B:B,"&lt;="&amp;A82),SUMIFS(Quarterly!C:C,Quarterly!B:B,"&gt;="&amp;A82-92,Quarterly!B:B,"&lt;="&amp;A82)))</f>
        <v>18905.5</v>
      </c>
      <c r="K82" s="13">
        <f t="shared" ref="K82:K145" si="183">ROUND(I82/J82,4)</f>
        <v>0.1215</v>
      </c>
      <c r="L82">
        <f t="shared" si="169"/>
        <v>2297.42</v>
      </c>
      <c r="M82">
        <f>IF(A82&gt;=Quarterly!B$2,Quarterly!D$2,IF(COUNTIFS(Quarterly!B:B,"&gt;="&amp;A82-92,Quarterly!B:B,"&lt;="&amp;A82)&gt;1,SUMIFS(Quarterly!D:D,Quarterly!B:B,"&gt;="&amp;A82-88,Quarterly!B:B,"&lt;="&amp;A82),SUMIFS(Quarterly!D:D,Quarterly!B:B,"&gt;="&amp;A82-92,Quarterly!B:B,"&lt;="&amp;A82)))</f>
        <v>1787.386</v>
      </c>
      <c r="N82" s="13">
        <f t="shared" si="170"/>
        <v>0.12854000000000002</v>
      </c>
      <c r="O82">
        <f t="shared" si="174"/>
        <v>2297.42</v>
      </c>
      <c r="P82" s="56">
        <f>VLOOKUP(EOMONTH(A82,-1),Economic!A:I,7,FALSE)</f>
        <v>1312491</v>
      </c>
      <c r="Q82" s="13">
        <f t="shared" si="175"/>
        <v>0.17500000000000002</v>
      </c>
      <c r="R82" s="41">
        <v>1.28</v>
      </c>
      <c r="S82">
        <f t="shared" si="176"/>
        <v>1.32</v>
      </c>
      <c r="T82" s="30">
        <f t="shared" si="177"/>
        <v>91.65</v>
      </c>
      <c r="U82" s="30">
        <f t="shared" ref="U82:U145" si="184">ROUND(AVERAGE(T82:T84),2)</f>
        <v>90.63</v>
      </c>
    </row>
    <row r="83" spans="1:21" x14ac:dyDescent="0.25">
      <c r="A83" s="5">
        <v>42764</v>
      </c>
      <c r="B83" s="5">
        <f t="shared" si="178"/>
        <v>42766</v>
      </c>
      <c r="C83">
        <v>2294.69</v>
      </c>
      <c r="D83" s="29">
        <f t="shared" si="179"/>
        <v>1.29E-2</v>
      </c>
      <c r="E83" s="39">
        <f t="shared" si="180"/>
        <v>2228.8207692307692</v>
      </c>
      <c r="F83" s="39">
        <f t="shared" si="181"/>
        <v>2162.3302564102569</v>
      </c>
      <c r="G83" s="29">
        <f t="shared" si="173"/>
        <v>2.9600000000000001E-2</v>
      </c>
      <c r="H83" s="29">
        <f t="shared" si="173"/>
        <v>6.1199999999999997E-2</v>
      </c>
      <c r="I83">
        <f t="shared" si="182"/>
        <v>2294.69</v>
      </c>
      <c r="J83">
        <f>IF(A83&gt;=Quarterly!B$2,Quarterly!C$2,IF(COUNTIFS(Quarterly!B:B,"&gt;="&amp;A83-92,Quarterly!B:B,"&lt;="&amp;A83)&gt;1,SUMIFS(Quarterly!C:C,Quarterly!B:B,"&gt;="&amp;A83-88,Quarterly!B:B,"&lt;="&amp;A83),SUMIFS(Quarterly!C:C,Quarterly!B:B,"&gt;="&amp;A83-92,Quarterly!B:B,"&lt;="&amp;A83)))</f>
        <v>18729.099999999999</v>
      </c>
      <c r="K83" s="13">
        <f t="shared" si="183"/>
        <v>0.1225</v>
      </c>
      <c r="L83">
        <f t="shared" si="169"/>
        <v>2294.69</v>
      </c>
      <c r="M83">
        <f>IF(A83&gt;=Quarterly!B$2,Quarterly!D$2,IF(COUNTIFS(Quarterly!B:B,"&gt;="&amp;A83-92,Quarterly!B:B,"&lt;="&amp;A83)&gt;1,SUMIFS(Quarterly!D:D,Quarterly!B:B,"&gt;="&amp;A83-88,Quarterly!B:B,"&lt;="&amp;A83),SUMIFS(Quarterly!D:D,Quarterly!B:B,"&gt;="&amp;A83-92,Quarterly!B:B,"&lt;="&amp;A83)))</f>
        <v>1692.443</v>
      </c>
      <c r="N83" s="13">
        <f t="shared" si="170"/>
        <v>0.13558000000000001</v>
      </c>
      <c r="O83">
        <f t="shared" si="174"/>
        <v>2294.69</v>
      </c>
      <c r="P83" s="56">
        <f>VLOOKUP(EOMONTH(A83,-1),Economic!A:I,7,FALSE)</f>
        <v>1306688</v>
      </c>
      <c r="Q83" s="13">
        <f t="shared" si="175"/>
        <v>0.17560000000000001</v>
      </c>
      <c r="R83" s="41">
        <v>1.27</v>
      </c>
      <c r="S83">
        <f t="shared" si="176"/>
        <v>1.3</v>
      </c>
      <c r="T83" s="30">
        <f t="shared" si="177"/>
        <v>88.35</v>
      </c>
      <c r="U83" s="30">
        <f t="shared" si="184"/>
        <v>92.05</v>
      </c>
    </row>
    <row r="84" spans="1:21" x14ac:dyDescent="0.25">
      <c r="A84" s="5">
        <v>42757</v>
      </c>
      <c r="B84" s="5">
        <f t="shared" si="178"/>
        <v>42766</v>
      </c>
      <c r="C84">
        <v>2271.31</v>
      </c>
      <c r="D84" s="29">
        <f t="shared" si="179"/>
        <v>3.3999999999999998E-3</v>
      </c>
      <c r="E84" s="39">
        <f t="shared" si="180"/>
        <v>2215.876153846154</v>
      </c>
      <c r="F84" s="39">
        <f t="shared" si="181"/>
        <v>2156.4484615384622</v>
      </c>
      <c r="G84" s="29">
        <f t="shared" si="173"/>
        <v>2.5000000000000001E-2</v>
      </c>
      <c r="H84" s="29">
        <f t="shared" si="173"/>
        <v>5.33E-2</v>
      </c>
      <c r="I84">
        <f t="shared" si="182"/>
        <v>2271.31</v>
      </c>
      <c r="J84">
        <f>IF(A84&gt;=Quarterly!B$2,Quarterly!C$2,IF(COUNTIFS(Quarterly!B:B,"&gt;="&amp;A84-92,Quarterly!B:B,"&lt;="&amp;A84)&gt;1,SUMIFS(Quarterly!C:C,Quarterly!B:B,"&gt;="&amp;A84-88,Quarterly!B:B,"&lt;="&amp;A84),SUMIFS(Quarterly!C:C,Quarterly!B:B,"&gt;="&amp;A84-92,Quarterly!B:B,"&lt;="&amp;A84)))</f>
        <v>18729.099999999999</v>
      </c>
      <c r="K84" s="13">
        <f t="shared" si="183"/>
        <v>0.12130000000000001</v>
      </c>
      <c r="L84">
        <f t="shared" si="169"/>
        <v>2271.31</v>
      </c>
      <c r="M84">
        <f>IF(A84&gt;=Quarterly!B$2,Quarterly!D$2,IF(COUNTIFS(Quarterly!B:B,"&gt;="&amp;A84-92,Quarterly!B:B,"&lt;="&amp;A84)&gt;1,SUMIFS(Quarterly!D:D,Quarterly!B:B,"&gt;="&amp;A84-88,Quarterly!B:B,"&lt;="&amp;A84),SUMIFS(Quarterly!D:D,Quarterly!B:B,"&gt;="&amp;A84-92,Quarterly!B:B,"&lt;="&amp;A84)))</f>
        <v>1692.443</v>
      </c>
      <c r="N84" s="13">
        <f t="shared" si="170"/>
        <v>0.13420000000000001</v>
      </c>
      <c r="O84">
        <f t="shared" si="174"/>
        <v>2271.31</v>
      </c>
      <c r="P84" s="56">
        <f>VLOOKUP(EOMONTH(A84,-1),Economic!A:I,7,FALSE)</f>
        <v>1306688</v>
      </c>
      <c r="Q84" s="13">
        <f t="shared" si="175"/>
        <v>0.17380000000000001</v>
      </c>
      <c r="R84" s="41">
        <v>1.28</v>
      </c>
      <c r="S84">
        <f t="shared" si="176"/>
        <v>1.33</v>
      </c>
      <c r="T84" s="30">
        <f t="shared" si="177"/>
        <v>91.9</v>
      </c>
      <c r="U84" s="30">
        <f t="shared" si="184"/>
        <v>95.1</v>
      </c>
    </row>
    <row r="85" spans="1:21" x14ac:dyDescent="0.25">
      <c r="A85" s="5">
        <v>42750</v>
      </c>
      <c r="B85" s="5">
        <f t="shared" si="178"/>
        <v>42766</v>
      </c>
      <c r="C85">
        <v>2274.64</v>
      </c>
      <c r="D85" s="29">
        <f t="shared" si="179"/>
        <v>6.7000000000000002E-3</v>
      </c>
      <c r="E85" s="39">
        <f t="shared" si="180"/>
        <v>2205.8646153846157</v>
      </c>
      <c r="F85" s="39">
        <f t="shared" si="181"/>
        <v>2151.8400000000006</v>
      </c>
      <c r="G85" s="29">
        <f t="shared" si="173"/>
        <v>3.1199999999999999E-2</v>
      </c>
      <c r="H85" s="29">
        <f t="shared" si="173"/>
        <v>5.7099999999999998E-2</v>
      </c>
      <c r="I85">
        <f t="shared" si="182"/>
        <v>2274.64</v>
      </c>
      <c r="J85">
        <f>IF(A85&gt;=Quarterly!B$2,Quarterly!C$2,IF(COUNTIFS(Quarterly!B:B,"&gt;="&amp;A85-92,Quarterly!B:B,"&lt;="&amp;A85)&gt;1,SUMIFS(Quarterly!C:C,Quarterly!B:B,"&gt;="&amp;A85-88,Quarterly!B:B,"&lt;="&amp;A85),SUMIFS(Quarterly!C:C,Quarterly!B:B,"&gt;="&amp;A85-92,Quarterly!B:B,"&lt;="&amp;A85)))</f>
        <v>18729.099999999999</v>
      </c>
      <c r="K85" s="13">
        <f t="shared" si="183"/>
        <v>0.12139999999999999</v>
      </c>
      <c r="L85">
        <f t="shared" si="169"/>
        <v>2274.64</v>
      </c>
      <c r="M85">
        <f>IF(A85&gt;=Quarterly!B$2,Quarterly!D$2,IF(COUNTIFS(Quarterly!B:B,"&gt;="&amp;A85-92,Quarterly!B:B,"&lt;="&amp;A85)&gt;1,SUMIFS(Quarterly!D:D,Quarterly!B:B,"&gt;="&amp;A85-88,Quarterly!B:B,"&lt;="&amp;A85),SUMIFS(Quarterly!D:D,Quarterly!B:B,"&gt;="&amp;A85-92,Quarterly!B:B,"&lt;="&amp;A85)))</f>
        <v>1692.443</v>
      </c>
      <c r="N85" s="13">
        <f t="shared" si="170"/>
        <v>0.13440000000000002</v>
      </c>
      <c r="O85">
        <f t="shared" si="174"/>
        <v>2274.64</v>
      </c>
      <c r="P85" s="56">
        <f>VLOOKUP(EOMONTH(A85,-1),Economic!A:I,7,FALSE)</f>
        <v>1306688</v>
      </c>
      <c r="Q85" s="13">
        <f t="shared" si="175"/>
        <v>0.1741</v>
      </c>
      <c r="R85" s="41">
        <v>1.19</v>
      </c>
      <c r="S85">
        <f t="shared" si="176"/>
        <v>1.42</v>
      </c>
      <c r="T85" s="30">
        <f t="shared" si="177"/>
        <v>95.91</v>
      </c>
      <c r="U85" s="30">
        <f t="shared" si="184"/>
        <v>97.71</v>
      </c>
    </row>
    <row r="86" spans="1:21" x14ac:dyDescent="0.25">
      <c r="A86" s="5">
        <v>42743</v>
      </c>
      <c r="B86" s="5">
        <f t="shared" si="178"/>
        <v>42766</v>
      </c>
      <c r="C86">
        <v>2276.98</v>
      </c>
      <c r="D86" s="29">
        <f t="shared" si="179"/>
        <v>9.7000000000000003E-3</v>
      </c>
      <c r="E86" s="39">
        <f t="shared" si="180"/>
        <v>2194.9676923076922</v>
      </c>
      <c r="F86" s="39">
        <f t="shared" si="181"/>
        <v>2146.8679487179493</v>
      </c>
      <c r="G86" s="29">
        <f t="shared" si="173"/>
        <v>3.7400000000000003E-2</v>
      </c>
      <c r="H86" s="29">
        <f t="shared" si="173"/>
        <v>6.0600000000000001E-2</v>
      </c>
      <c r="I86">
        <f t="shared" si="182"/>
        <v>2276.98</v>
      </c>
      <c r="J86">
        <f>IF(A86&gt;=Quarterly!B$2,Quarterly!C$2,IF(COUNTIFS(Quarterly!B:B,"&gt;="&amp;A86-92,Quarterly!B:B,"&lt;="&amp;A86)&gt;1,SUMIFS(Quarterly!C:C,Quarterly!B:B,"&gt;="&amp;A86-88,Quarterly!B:B,"&lt;="&amp;A86),SUMIFS(Quarterly!C:C,Quarterly!B:B,"&gt;="&amp;A86-92,Quarterly!B:B,"&lt;="&amp;A86)))</f>
        <v>18729.099999999999</v>
      </c>
      <c r="K86" s="13">
        <f t="shared" si="183"/>
        <v>0.1216</v>
      </c>
      <c r="L86">
        <f t="shared" si="169"/>
        <v>2276.98</v>
      </c>
      <c r="M86">
        <f>IF(A86&gt;=Quarterly!B$2,Quarterly!D$2,IF(COUNTIFS(Quarterly!B:B,"&gt;="&amp;A86-92,Quarterly!B:B,"&lt;="&amp;A86)&gt;1,SUMIFS(Quarterly!D:D,Quarterly!B:B,"&gt;="&amp;A86-88,Quarterly!B:B,"&lt;="&amp;A86),SUMIFS(Quarterly!D:D,Quarterly!B:B,"&gt;="&amp;A86-92,Quarterly!B:B,"&lt;="&amp;A86)))</f>
        <v>1692.443</v>
      </c>
      <c r="N86" s="13">
        <f t="shared" si="170"/>
        <v>0.13453999999999999</v>
      </c>
      <c r="O86">
        <f t="shared" si="174"/>
        <v>2276.98</v>
      </c>
      <c r="P86" s="56">
        <f>VLOOKUP(EOMONTH(A86,-1),Economic!A:I,7,FALSE)</f>
        <v>1306688</v>
      </c>
      <c r="Q86" s="13">
        <f t="shared" si="175"/>
        <v>0.17430000000000001</v>
      </c>
      <c r="R86" s="41">
        <v>1.2</v>
      </c>
      <c r="S86">
        <f t="shared" si="176"/>
        <v>1.44</v>
      </c>
      <c r="T86" s="30">
        <f t="shared" si="177"/>
        <v>97.5</v>
      </c>
      <c r="U86" s="30">
        <f t="shared" si="184"/>
        <v>98.87</v>
      </c>
    </row>
    <row r="87" spans="1:21" x14ac:dyDescent="0.25">
      <c r="A87" s="5">
        <v>42736</v>
      </c>
      <c r="B87" s="5">
        <f t="shared" si="178"/>
        <v>42766</v>
      </c>
      <c r="C87">
        <v>2238.83</v>
      </c>
      <c r="D87" s="29">
        <f t="shared" si="179"/>
        <v>-2E-3</v>
      </c>
      <c r="E87" s="39">
        <f t="shared" si="180"/>
        <v>2185.4876923076927</v>
      </c>
      <c r="F87" s="39">
        <f t="shared" si="181"/>
        <v>2140.9864102564111</v>
      </c>
      <c r="G87" s="29">
        <f t="shared" si="173"/>
        <v>2.4400000000000002E-2</v>
      </c>
      <c r="H87" s="29">
        <f t="shared" si="173"/>
        <v>4.5699999999999998E-2</v>
      </c>
      <c r="I87">
        <f t="shared" si="182"/>
        <v>2238.83</v>
      </c>
      <c r="J87">
        <f>IF(A87&gt;=Quarterly!B$2,Quarterly!C$2,IF(COUNTIFS(Quarterly!B:B,"&gt;="&amp;A87-92,Quarterly!B:B,"&lt;="&amp;A87)&gt;1,SUMIFS(Quarterly!C:C,Quarterly!B:B,"&gt;="&amp;A87-88,Quarterly!B:B,"&lt;="&amp;A87),SUMIFS(Quarterly!C:C,Quarterly!B:B,"&gt;="&amp;A87-92,Quarterly!B:B,"&lt;="&amp;A87)))</f>
        <v>18729.099999999999</v>
      </c>
      <c r="K87" s="13">
        <f t="shared" si="183"/>
        <v>0.1195</v>
      </c>
      <c r="L87">
        <f t="shared" ref="L87:L150" si="185">C87</f>
        <v>2238.83</v>
      </c>
      <c r="M87">
        <f>IF(A87&gt;=Quarterly!B$2,Quarterly!D$2,IF(COUNTIFS(Quarterly!B:B,"&gt;="&amp;A87-92,Quarterly!B:B,"&lt;="&amp;A87)&gt;1,SUMIFS(Quarterly!D:D,Quarterly!B:B,"&gt;="&amp;A87-88,Quarterly!B:B,"&lt;="&amp;A87),SUMIFS(Quarterly!D:D,Quarterly!B:B,"&gt;="&amp;A87-92,Quarterly!B:B,"&lt;="&amp;A87)))</f>
        <v>1692.443</v>
      </c>
      <c r="N87" s="13">
        <f t="shared" ref="N87:N150" si="186">ROUND(L87/M87,4)*0.1</f>
        <v>0.13228000000000001</v>
      </c>
      <c r="O87">
        <f t="shared" si="174"/>
        <v>2238.83</v>
      </c>
      <c r="P87" s="56">
        <f>VLOOKUP(EOMONTH(A87,-1),Economic!A:I,7,FALSE)</f>
        <v>1306688</v>
      </c>
      <c r="Q87" s="13">
        <f t="shared" si="175"/>
        <v>0.17129999999999998</v>
      </c>
      <c r="R87" s="41">
        <v>1.25</v>
      </c>
      <c r="S87">
        <f t="shared" si="176"/>
        <v>1.41</v>
      </c>
      <c r="T87" s="30">
        <f t="shared" si="177"/>
        <v>99.73</v>
      </c>
      <c r="U87" s="30">
        <f t="shared" si="184"/>
        <v>99.85</v>
      </c>
    </row>
    <row r="88" spans="1:21" x14ac:dyDescent="0.25">
      <c r="A88" s="5">
        <v>42729</v>
      </c>
      <c r="B88" s="5">
        <f t="shared" si="178"/>
        <v>42735</v>
      </c>
      <c r="C88">
        <v>2263.79</v>
      </c>
      <c r="D88" s="29">
        <f t="shared" si="179"/>
        <v>1.4800000000000001E-2</v>
      </c>
      <c r="E88" s="39">
        <f t="shared" si="180"/>
        <v>2180.0600000000004</v>
      </c>
      <c r="F88" s="39">
        <f t="shared" si="181"/>
        <v>2136.7287179487184</v>
      </c>
      <c r="G88" s="29">
        <f t="shared" si="173"/>
        <v>3.8399999999999997E-2</v>
      </c>
      <c r="H88" s="29">
        <f t="shared" si="173"/>
        <v>5.9499999999999997E-2</v>
      </c>
      <c r="I88">
        <f t="shared" si="182"/>
        <v>2263.79</v>
      </c>
      <c r="J88">
        <f>IF(A88&gt;=Quarterly!B$2,Quarterly!C$2,IF(COUNTIFS(Quarterly!B:B,"&gt;="&amp;A88-92,Quarterly!B:B,"&lt;="&amp;A88)&gt;1,SUMIFS(Quarterly!C:C,Quarterly!B:B,"&gt;="&amp;A88-88,Quarterly!B:B,"&lt;="&amp;A88),SUMIFS(Quarterly!C:C,Quarterly!B:B,"&gt;="&amp;A88-92,Quarterly!B:B,"&lt;="&amp;A88)))</f>
        <v>18729.099999999999</v>
      </c>
      <c r="K88" s="13">
        <f t="shared" si="183"/>
        <v>0.12089999999999999</v>
      </c>
      <c r="L88">
        <f t="shared" si="185"/>
        <v>2263.79</v>
      </c>
      <c r="M88">
        <f>IF(A88&gt;=Quarterly!B$2,Quarterly!D$2,IF(COUNTIFS(Quarterly!B:B,"&gt;="&amp;A88-92,Quarterly!B:B,"&lt;="&amp;A88)&gt;1,SUMIFS(Quarterly!D:D,Quarterly!B:B,"&gt;="&amp;A88-88,Quarterly!B:B,"&lt;="&amp;A88),SUMIFS(Quarterly!D:D,Quarterly!B:B,"&gt;="&amp;A88-92,Quarterly!B:B,"&lt;="&amp;A88)))</f>
        <v>1692.443</v>
      </c>
      <c r="N88" s="13">
        <f t="shared" si="186"/>
        <v>0.13375999999999999</v>
      </c>
      <c r="O88">
        <f t="shared" si="174"/>
        <v>2263.79</v>
      </c>
      <c r="P88" s="56">
        <f>VLOOKUP(EOMONTH(A88,-1),Economic!A:I,7,FALSE)</f>
        <v>1300131</v>
      </c>
      <c r="Q88" s="13">
        <f t="shared" si="175"/>
        <v>0.1741</v>
      </c>
      <c r="R88" s="41">
        <v>1.33</v>
      </c>
      <c r="S88">
        <f t="shared" si="176"/>
        <v>1.43</v>
      </c>
      <c r="T88" s="30">
        <f t="shared" si="177"/>
        <v>99.37</v>
      </c>
      <c r="U88" s="30">
        <f t="shared" si="184"/>
        <v>100.89</v>
      </c>
    </row>
    <row r="89" spans="1:21" x14ac:dyDescent="0.25">
      <c r="A89" s="5">
        <v>42722</v>
      </c>
      <c r="B89" s="5">
        <f t="shared" si="178"/>
        <v>42735</v>
      </c>
      <c r="C89">
        <v>2258.0700000000002</v>
      </c>
      <c r="D89" s="29">
        <f t="shared" si="179"/>
        <v>2.1000000000000001E-2</v>
      </c>
      <c r="E89" s="39">
        <f t="shared" si="180"/>
        <v>2172.436923076923</v>
      </c>
      <c r="F89" s="39">
        <f t="shared" si="181"/>
        <v>2130.8864102564107</v>
      </c>
      <c r="G89" s="29">
        <f t="shared" si="173"/>
        <v>3.9399999999999998E-2</v>
      </c>
      <c r="H89" s="29">
        <f t="shared" si="173"/>
        <v>5.9700000000000003E-2</v>
      </c>
      <c r="I89">
        <f t="shared" si="182"/>
        <v>2258.0700000000002</v>
      </c>
      <c r="J89">
        <f>IF(A89&gt;=Quarterly!B$2,Quarterly!C$2,IF(COUNTIFS(Quarterly!B:B,"&gt;="&amp;A89-92,Quarterly!B:B,"&lt;="&amp;A89)&gt;1,SUMIFS(Quarterly!C:C,Quarterly!B:B,"&gt;="&amp;A89-88,Quarterly!B:B,"&lt;="&amp;A89),SUMIFS(Quarterly!C:C,Quarterly!B:B,"&gt;="&amp;A89-92,Quarterly!B:B,"&lt;="&amp;A89)))</f>
        <v>18729.099999999999</v>
      </c>
      <c r="K89" s="13">
        <f t="shared" si="183"/>
        <v>0.1206</v>
      </c>
      <c r="L89">
        <f t="shared" si="185"/>
        <v>2258.0700000000002</v>
      </c>
      <c r="M89">
        <f>IF(A89&gt;=Quarterly!B$2,Quarterly!D$2,IF(COUNTIFS(Quarterly!B:B,"&gt;="&amp;A89-92,Quarterly!B:B,"&lt;="&amp;A89)&gt;1,SUMIFS(Quarterly!D:D,Quarterly!B:B,"&gt;="&amp;A89-88,Quarterly!B:B,"&lt;="&amp;A89),SUMIFS(Quarterly!D:D,Quarterly!B:B,"&gt;="&amp;A89-92,Quarterly!B:B,"&lt;="&amp;A89)))</f>
        <v>1692.443</v>
      </c>
      <c r="N89" s="13">
        <f t="shared" si="186"/>
        <v>0.13342000000000001</v>
      </c>
      <c r="O89">
        <f t="shared" si="174"/>
        <v>2258.0700000000002</v>
      </c>
      <c r="P89" s="56">
        <f>VLOOKUP(EOMONTH(A89,-1),Economic!A:I,7,FALSE)</f>
        <v>1300131</v>
      </c>
      <c r="Q89" s="13">
        <f t="shared" si="175"/>
        <v>0.17369999999999999</v>
      </c>
      <c r="R89" s="41">
        <v>1.32</v>
      </c>
      <c r="S89">
        <f t="shared" si="176"/>
        <v>1.43</v>
      </c>
      <c r="T89" s="30">
        <f t="shared" si="177"/>
        <v>100.44</v>
      </c>
      <c r="U89" s="30">
        <f t="shared" si="184"/>
        <v>102.94</v>
      </c>
    </row>
    <row r="90" spans="1:21" x14ac:dyDescent="0.25">
      <c r="A90" s="5">
        <v>42715</v>
      </c>
      <c r="B90" s="5">
        <f t="shared" si="178"/>
        <v>42735</v>
      </c>
      <c r="C90">
        <v>2259.5300000000002</v>
      </c>
      <c r="D90" s="29">
        <f t="shared" si="179"/>
        <v>3.27E-2</v>
      </c>
      <c r="E90" s="39">
        <f t="shared" si="180"/>
        <v>2163.29</v>
      </c>
      <c r="F90" s="39">
        <f t="shared" si="181"/>
        <v>2125.540512820513</v>
      </c>
      <c r="G90" s="29">
        <f t="shared" si="173"/>
        <v>4.4499999999999998E-2</v>
      </c>
      <c r="H90" s="29">
        <f t="shared" si="173"/>
        <v>6.3E-2</v>
      </c>
      <c r="I90">
        <f t="shared" si="182"/>
        <v>2259.5300000000002</v>
      </c>
      <c r="J90">
        <f>IF(A90&gt;=Quarterly!B$2,Quarterly!C$2,IF(COUNTIFS(Quarterly!B:B,"&gt;="&amp;A90-92,Quarterly!B:B,"&lt;="&amp;A90)&gt;1,SUMIFS(Quarterly!C:C,Quarterly!B:B,"&gt;="&amp;A90-88,Quarterly!B:B,"&lt;="&amp;A90),SUMIFS(Quarterly!C:C,Quarterly!B:B,"&gt;="&amp;A90-92,Quarterly!B:B,"&lt;="&amp;A90)))</f>
        <v>18729.099999999999</v>
      </c>
      <c r="K90" s="13">
        <f t="shared" si="183"/>
        <v>0.1206</v>
      </c>
      <c r="L90">
        <f t="shared" si="185"/>
        <v>2259.5300000000002</v>
      </c>
      <c r="M90">
        <f>IF(A90&gt;=Quarterly!B$2,Quarterly!D$2,IF(COUNTIFS(Quarterly!B:B,"&gt;="&amp;A90-92,Quarterly!B:B,"&lt;="&amp;A90)&gt;1,SUMIFS(Quarterly!D:D,Quarterly!B:B,"&gt;="&amp;A90-88,Quarterly!B:B,"&lt;="&amp;A90),SUMIFS(Quarterly!D:D,Quarterly!B:B,"&gt;="&amp;A90-92,Quarterly!B:B,"&lt;="&amp;A90)))</f>
        <v>1692.443</v>
      </c>
      <c r="N90" s="13">
        <f t="shared" si="186"/>
        <v>0.13350999999999999</v>
      </c>
      <c r="O90">
        <f t="shared" si="174"/>
        <v>2259.5300000000002</v>
      </c>
      <c r="P90" s="56">
        <f>VLOOKUP(EOMONTH(A90,-1),Economic!A:I,7,FALSE)</f>
        <v>1300131</v>
      </c>
      <c r="Q90" s="13">
        <f t="shared" si="175"/>
        <v>0.17380000000000001</v>
      </c>
      <c r="R90" s="41">
        <v>1.32</v>
      </c>
      <c r="S90">
        <f t="shared" si="176"/>
        <v>1.47</v>
      </c>
      <c r="T90" s="30">
        <f t="shared" si="177"/>
        <v>102.86</v>
      </c>
      <c r="U90" s="30">
        <f t="shared" si="184"/>
        <v>104.83</v>
      </c>
    </row>
    <row r="91" spans="1:21" x14ac:dyDescent="0.25">
      <c r="A91" s="5">
        <v>42708</v>
      </c>
      <c r="B91" s="5">
        <f t="shared" si="178"/>
        <v>42735</v>
      </c>
      <c r="C91">
        <v>2191.9499999999998</v>
      </c>
      <c r="D91" s="29">
        <f t="shared" si="179"/>
        <v>1.4200000000000001E-2</v>
      </c>
      <c r="E91" s="39">
        <f t="shared" si="180"/>
        <v>2153.1576923076918</v>
      </c>
      <c r="F91" s="39">
        <f t="shared" si="181"/>
        <v>2119.4548717948719</v>
      </c>
      <c r="G91" s="29">
        <f t="shared" si="173"/>
        <v>1.7999999999999999E-2</v>
      </c>
      <c r="H91" s="29">
        <f t="shared" si="173"/>
        <v>3.4200000000000001E-2</v>
      </c>
      <c r="I91">
        <f t="shared" si="182"/>
        <v>2191.9499999999998</v>
      </c>
      <c r="J91">
        <f>IF(A91&gt;=Quarterly!B$2,Quarterly!C$2,IF(COUNTIFS(Quarterly!B:B,"&gt;="&amp;A91-92,Quarterly!B:B,"&lt;="&amp;A91)&gt;1,SUMIFS(Quarterly!C:C,Quarterly!B:B,"&gt;="&amp;A91-88,Quarterly!B:B,"&lt;="&amp;A91),SUMIFS(Quarterly!C:C,Quarterly!B:B,"&gt;="&amp;A91-92,Quarterly!B:B,"&lt;="&amp;A91)))</f>
        <v>18729.099999999999</v>
      </c>
      <c r="K91" s="13">
        <f t="shared" si="183"/>
        <v>0.11700000000000001</v>
      </c>
      <c r="L91">
        <f t="shared" si="185"/>
        <v>2191.9499999999998</v>
      </c>
      <c r="M91">
        <f>IF(A91&gt;=Quarterly!B$2,Quarterly!D$2,IF(COUNTIFS(Quarterly!B:B,"&gt;="&amp;A91-92,Quarterly!B:B,"&lt;="&amp;A91)&gt;1,SUMIFS(Quarterly!D:D,Quarterly!B:B,"&gt;="&amp;A91-88,Quarterly!B:B,"&lt;="&amp;A91),SUMIFS(Quarterly!D:D,Quarterly!B:B,"&gt;="&amp;A91-92,Quarterly!B:B,"&lt;="&amp;A91)))</f>
        <v>1692.443</v>
      </c>
      <c r="N91" s="13">
        <f t="shared" si="186"/>
        <v>0.12950999999999999</v>
      </c>
      <c r="O91">
        <f t="shared" si="174"/>
        <v>2191.9499999999998</v>
      </c>
      <c r="P91" s="56">
        <f>VLOOKUP(EOMONTH(A91,-1),Economic!A:I,7,FALSE)</f>
        <v>1300131</v>
      </c>
      <c r="Q91" s="13">
        <f t="shared" si="175"/>
        <v>0.1686</v>
      </c>
      <c r="R91" s="41">
        <v>1.29</v>
      </c>
      <c r="S91">
        <f t="shared" si="176"/>
        <v>1.41</v>
      </c>
      <c r="T91" s="30">
        <f t="shared" si="177"/>
        <v>105.52</v>
      </c>
      <c r="U91" s="30">
        <f t="shared" si="184"/>
        <v>106.22</v>
      </c>
    </row>
    <row r="92" spans="1:21" x14ac:dyDescent="0.25">
      <c r="A92" s="5">
        <v>42701</v>
      </c>
      <c r="B92" s="5">
        <f t="shared" si="178"/>
        <v>42704</v>
      </c>
      <c r="C92">
        <v>2213.35</v>
      </c>
      <c r="D92" s="29">
        <f t="shared" si="179"/>
        <v>3.4500000000000003E-2</v>
      </c>
      <c r="E92" s="39">
        <f t="shared" si="180"/>
        <v>2152.2369230769227</v>
      </c>
      <c r="F92" s="39">
        <f t="shared" si="181"/>
        <v>2114.5328205128208</v>
      </c>
      <c r="G92" s="29">
        <f t="shared" si="173"/>
        <v>2.8400000000000002E-2</v>
      </c>
      <c r="H92" s="29">
        <f t="shared" si="173"/>
        <v>4.6699999999999998E-2</v>
      </c>
      <c r="I92">
        <f t="shared" si="182"/>
        <v>2213.35</v>
      </c>
      <c r="J92">
        <f>IF(A92&gt;=Quarterly!B$2,Quarterly!C$2,IF(COUNTIFS(Quarterly!B:B,"&gt;="&amp;A92-92,Quarterly!B:B,"&lt;="&amp;A92)&gt;1,SUMIFS(Quarterly!C:C,Quarterly!B:B,"&gt;="&amp;A92-88,Quarterly!B:B,"&lt;="&amp;A92),SUMIFS(Quarterly!C:C,Quarterly!B:B,"&gt;="&amp;A92-92,Quarterly!B:B,"&lt;="&amp;A92)))</f>
        <v>18729.099999999999</v>
      </c>
      <c r="K92" s="13">
        <f t="shared" si="183"/>
        <v>0.1182</v>
      </c>
      <c r="L92">
        <f t="shared" si="185"/>
        <v>2213.35</v>
      </c>
      <c r="M92">
        <f>IF(A92&gt;=Quarterly!B$2,Quarterly!D$2,IF(COUNTIFS(Quarterly!B:B,"&gt;="&amp;A92-92,Quarterly!B:B,"&lt;="&amp;A92)&gt;1,SUMIFS(Quarterly!D:D,Quarterly!B:B,"&gt;="&amp;A92-88,Quarterly!B:B,"&lt;="&amp;A92),SUMIFS(Quarterly!D:D,Quarterly!B:B,"&gt;="&amp;A92-92,Quarterly!B:B,"&lt;="&amp;A92)))</f>
        <v>1692.443</v>
      </c>
      <c r="N92" s="13">
        <f t="shared" si="186"/>
        <v>0.13078000000000001</v>
      </c>
      <c r="O92">
        <f t="shared" si="174"/>
        <v>2213.35</v>
      </c>
      <c r="P92" s="56">
        <f>VLOOKUP(EOMONTH(A92,-1),Economic!A:I,7,FALSE)</f>
        <v>1298174</v>
      </c>
      <c r="Q92" s="13">
        <f t="shared" si="175"/>
        <v>0.17049999999999998</v>
      </c>
      <c r="R92" s="41">
        <v>1.24</v>
      </c>
      <c r="S92">
        <f t="shared" si="176"/>
        <v>1.47</v>
      </c>
      <c r="T92" s="30">
        <f t="shared" si="177"/>
        <v>106.12</v>
      </c>
      <c r="U92" s="30">
        <f t="shared" si="184"/>
        <v>107.43</v>
      </c>
    </row>
    <row r="93" spans="1:21" x14ac:dyDescent="0.25">
      <c r="A93" s="5">
        <v>42694</v>
      </c>
      <c r="B93" s="5">
        <f t="shared" si="178"/>
        <v>42704</v>
      </c>
      <c r="C93">
        <v>2181.9</v>
      </c>
      <c r="D93" s="29">
        <f t="shared" si="179"/>
        <v>2.47E-2</v>
      </c>
      <c r="E93" s="39">
        <f t="shared" si="180"/>
        <v>2148.8284615384614</v>
      </c>
      <c r="F93" s="39">
        <f t="shared" si="181"/>
        <v>2107.7302564102565</v>
      </c>
      <c r="G93" s="29">
        <f t="shared" si="173"/>
        <v>1.54E-2</v>
      </c>
      <c r="H93" s="29">
        <f t="shared" si="173"/>
        <v>3.5200000000000002E-2</v>
      </c>
      <c r="I93">
        <f t="shared" si="182"/>
        <v>2181.9</v>
      </c>
      <c r="J93">
        <f>IF(A93&gt;=Quarterly!B$2,Quarterly!C$2,IF(COUNTIFS(Quarterly!B:B,"&gt;="&amp;A93-92,Quarterly!B:B,"&lt;="&amp;A93)&gt;1,SUMIFS(Quarterly!C:C,Quarterly!B:B,"&gt;="&amp;A93-88,Quarterly!B:B,"&lt;="&amp;A93),SUMIFS(Quarterly!C:C,Quarterly!B:B,"&gt;="&amp;A93-92,Quarterly!B:B,"&lt;="&amp;A93)))</f>
        <v>18729.099999999999</v>
      </c>
      <c r="K93" s="13">
        <f t="shared" si="183"/>
        <v>0.11650000000000001</v>
      </c>
      <c r="L93">
        <f t="shared" si="185"/>
        <v>2181.9</v>
      </c>
      <c r="M93">
        <f>IF(A93&gt;=Quarterly!B$2,Quarterly!D$2,IF(COUNTIFS(Quarterly!B:B,"&gt;="&amp;A93-92,Quarterly!B:B,"&lt;="&amp;A93)&gt;1,SUMIFS(Quarterly!D:D,Quarterly!B:B,"&gt;="&amp;A93-88,Quarterly!B:B,"&lt;="&amp;A93),SUMIFS(Quarterly!D:D,Quarterly!B:B,"&gt;="&amp;A93-92,Quarterly!B:B,"&lt;="&amp;A93)))</f>
        <v>1692.443</v>
      </c>
      <c r="N93" s="13">
        <f t="shared" si="186"/>
        <v>0.12892000000000001</v>
      </c>
      <c r="O93">
        <f t="shared" si="174"/>
        <v>2181.9</v>
      </c>
      <c r="P93" s="56">
        <f>VLOOKUP(EOMONTH(A93,-1),Economic!A:I,7,FALSE)</f>
        <v>1298174</v>
      </c>
      <c r="Q93" s="13">
        <f t="shared" si="175"/>
        <v>0.1681</v>
      </c>
      <c r="R93" s="41">
        <v>1.27</v>
      </c>
      <c r="S93">
        <f t="shared" si="176"/>
        <v>1.44</v>
      </c>
      <c r="T93" s="30">
        <f t="shared" si="177"/>
        <v>107.01</v>
      </c>
      <c r="U93" s="30">
        <f t="shared" si="184"/>
        <v>108.94</v>
      </c>
    </row>
    <row r="94" spans="1:21" x14ac:dyDescent="0.25">
      <c r="A94" s="5">
        <v>42687</v>
      </c>
      <c r="B94" s="5">
        <f t="shared" si="178"/>
        <v>42704</v>
      </c>
      <c r="C94">
        <v>2164.4499999999998</v>
      </c>
      <c r="D94" s="29">
        <f t="shared" si="179"/>
        <v>2.0299999999999999E-2</v>
      </c>
      <c r="E94" s="39">
        <f t="shared" si="180"/>
        <v>2148.98</v>
      </c>
      <c r="F94" s="39">
        <f t="shared" si="181"/>
        <v>2100.957948717949</v>
      </c>
      <c r="G94" s="29">
        <f t="shared" si="173"/>
        <v>7.1999999999999998E-3</v>
      </c>
      <c r="H94" s="29">
        <f t="shared" si="173"/>
        <v>3.0200000000000001E-2</v>
      </c>
      <c r="I94">
        <f t="shared" si="182"/>
        <v>2164.4499999999998</v>
      </c>
      <c r="J94">
        <f>IF(A94&gt;=Quarterly!B$2,Quarterly!C$2,IF(COUNTIFS(Quarterly!B:B,"&gt;="&amp;A94-92,Quarterly!B:B,"&lt;="&amp;A94)&gt;1,SUMIFS(Quarterly!C:C,Quarterly!B:B,"&gt;="&amp;A94-88,Quarterly!B:B,"&lt;="&amp;A94),SUMIFS(Quarterly!C:C,Quarterly!B:B,"&gt;="&amp;A94-92,Quarterly!B:B,"&lt;="&amp;A94)))</f>
        <v>18729.099999999999</v>
      </c>
      <c r="K94" s="13">
        <f t="shared" si="183"/>
        <v>0.11559999999999999</v>
      </c>
      <c r="L94">
        <f t="shared" si="185"/>
        <v>2164.4499999999998</v>
      </c>
      <c r="M94">
        <f>IF(A94&gt;=Quarterly!B$2,Quarterly!D$2,IF(COUNTIFS(Quarterly!B:B,"&gt;="&amp;A94-92,Quarterly!B:B,"&lt;="&amp;A94)&gt;1,SUMIFS(Quarterly!D:D,Quarterly!B:B,"&gt;="&amp;A94-88,Quarterly!B:B,"&lt;="&amp;A94),SUMIFS(Quarterly!D:D,Quarterly!B:B,"&gt;="&amp;A94-92,Quarterly!B:B,"&lt;="&amp;A94)))</f>
        <v>1692.443</v>
      </c>
      <c r="N94" s="13">
        <f t="shared" si="186"/>
        <v>0.12789</v>
      </c>
      <c r="O94">
        <f t="shared" si="174"/>
        <v>2164.4499999999998</v>
      </c>
      <c r="P94" s="56">
        <f>VLOOKUP(EOMONTH(A94,-1),Economic!A:I,7,FALSE)</f>
        <v>1298174</v>
      </c>
      <c r="Q94" s="13">
        <f t="shared" si="175"/>
        <v>0.16670000000000001</v>
      </c>
      <c r="R94" s="41">
        <v>1.23</v>
      </c>
      <c r="S94">
        <f t="shared" si="176"/>
        <v>1.49</v>
      </c>
      <c r="T94" s="30">
        <f t="shared" si="177"/>
        <v>109.15</v>
      </c>
      <c r="U94" s="30">
        <f t="shared" si="184"/>
        <v>108.39</v>
      </c>
    </row>
    <row r="95" spans="1:21" x14ac:dyDescent="0.25">
      <c r="A95" s="5">
        <v>42680</v>
      </c>
      <c r="B95" s="5">
        <f t="shared" si="178"/>
        <v>42704</v>
      </c>
      <c r="C95">
        <v>2085.1799999999998</v>
      </c>
      <c r="D95" s="29">
        <f t="shared" si="179"/>
        <v>-2.5000000000000001E-2</v>
      </c>
      <c r="E95" s="39">
        <f t="shared" si="180"/>
        <v>2150.4876923076922</v>
      </c>
      <c r="F95" s="39">
        <f t="shared" si="181"/>
        <v>2093.274102564103</v>
      </c>
      <c r="G95" s="29">
        <f t="shared" si="173"/>
        <v>-3.04E-2</v>
      </c>
      <c r="H95" s="29">
        <f t="shared" si="173"/>
        <v>-3.8999999999999998E-3</v>
      </c>
      <c r="I95">
        <f t="shared" si="182"/>
        <v>2085.1799999999998</v>
      </c>
      <c r="J95">
        <f>IF(A95&gt;=Quarterly!B$2,Quarterly!C$2,IF(COUNTIFS(Quarterly!B:B,"&gt;="&amp;A95-92,Quarterly!B:B,"&lt;="&amp;A95)&gt;1,SUMIFS(Quarterly!C:C,Quarterly!B:B,"&gt;="&amp;A95-88,Quarterly!B:B,"&lt;="&amp;A95),SUMIFS(Quarterly!C:C,Quarterly!B:B,"&gt;="&amp;A95-92,Quarterly!B:B,"&lt;="&amp;A95)))</f>
        <v>18729.099999999999</v>
      </c>
      <c r="K95" s="13">
        <f t="shared" si="183"/>
        <v>0.1113</v>
      </c>
      <c r="L95">
        <f t="shared" si="185"/>
        <v>2085.1799999999998</v>
      </c>
      <c r="M95">
        <f>IF(A95&gt;=Quarterly!B$2,Quarterly!D$2,IF(COUNTIFS(Quarterly!B:B,"&gt;="&amp;A95-92,Quarterly!B:B,"&lt;="&amp;A95)&gt;1,SUMIFS(Quarterly!D:D,Quarterly!B:B,"&gt;="&amp;A95-88,Quarterly!B:B,"&lt;="&amp;A95),SUMIFS(Quarterly!D:D,Quarterly!B:B,"&gt;="&amp;A95-92,Quarterly!B:B,"&lt;="&amp;A95)))</f>
        <v>1692.443</v>
      </c>
      <c r="N95" s="13">
        <f t="shared" si="186"/>
        <v>0.12321</v>
      </c>
      <c r="O95">
        <f t="shared" si="174"/>
        <v>2085.1799999999998</v>
      </c>
      <c r="P95" s="56">
        <f>VLOOKUP(EOMONTH(A95,-1),Economic!A:I,7,FALSE)</f>
        <v>1298174</v>
      </c>
      <c r="Q95" s="13">
        <f t="shared" si="175"/>
        <v>0.16059999999999999</v>
      </c>
      <c r="R95" s="41">
        <v>0.99</v>
      </c>
      <c r="S95">
        <f t="shared" si="176"/>
        <v>1.42</v>
      </c>
      <c r="T95" s="30">
        <f t="shared" si="177"/>
        <v>110.66</v>
      </c>
      <c r="U95" s="30">
        <f t="shared" si="184"/>
        <v>105.99</v>
      </c>
    </row>
    <row r="96" spans="1:21" x14ac:dyDescent="0.25">
      <c r="A96" s="5">
        <v>42673</v>
      </c>
      <c r="B96" s="5">
        <f t="shared" si="178"/>
        <v>42674</v>
      </c>
      <c r="C96">
        <v>2126.41</v>
      </c>
      <c r="D96" s="29">
        <f t="shared" si="179"/>
        <v>-1.0500000000000001E-2</v>
      </c>
      <c r="E96" s="39">
        <f t="shared" si="180"/>
        <v>2158.0023076923076</v>
      </c>
      <c r="F96" s="39">
        <f t="shared" si="181"/>
        <v>2088.0143589743593</v>
      </c>
      <c r="G96" s="29">
        <f t="shared" si="173"/>
        <v>-1.46E-2</v>
      </c>
      <c r="H96" s="29">
        <f t="shared" si="173"/>
        <v>1.84E-2</v>
      </c>
      <c r="I96">
        <f t="shared" si="182"/>
        <v>2126.41</v>
      </c>
      <c r="J96">
        <f>IF(A96&gt;=Quarterly!B$2,Quarterly!C$2,IF(COUNTIFS(Quarterly!B:B,"&gt;="&amp;A96-92,Quarterly!B:B,"&lt;="&amp;A96)&gt;1,SUMIFS(Quarterly!C:C,Quarterly!B:B,"&gt;="&amp;A96-88,Quarterly!B:B,"&lt;="&amp;A96),SUMIFS(Quarterly!C:C,Quarterly!B:B,"&gt;="&amp;A96-92,Quarterly!B:B,"&lt;="&amp;A96)))</f>
        <v>18538</v>
      </c>
      <c r="K96" s="13">
        <f t="shared" si="183"/>
        <v>0.1147</v>
      </c>
      <c r="L96">
        <f t="shared" si="185"/>
        <v>2126.41</v>
      </c>
      <c r="M96">
        <f>IF(A96&gt;=Quarterly!B$2,Quarterly!D$2,IF(COUNTIFS(Quarterly!B:B,"&gt;="&amp;A96-92,Quarterly!B:B,"&lt;="&amp;A96)&gt;1,SUMIFS(Quarterly!D:D,Quarterly!B:B,"&gt;="&amp;A96-88,Quarterly!B:B,"&lt;="&amp;A96),SUMIFS(Quarterly!D:D,Quarterly!B:B,"&gt;="&amp;A96-92,Quarterly!B:B,"&lt;="&amp;A96)))</f>
        <v>1652.1320000000001</v>
      </c>
      <c r="N96" s="13">
        <f t="shared" si="186"/>
        <v>0.12870999999999999</v>
      </c>
      <c r="O96">
        <f t="shared" si="174"/>
        <v>2126.41</v>
      </c>
      <c r="P96" s="56">
        <f>VLOOKUP(EOMONTH(A96,-1),Economic!A:I,7,FALSE)</f>
        <v>1293586</v>
      </c>
      <c r="Q96" s="13">
        <f t="shared" si="175"/>
        <v>0.16440000000000002</v>
      </c>
      <c r="R96" s="41">
        <v>1</v>
      </c>
      <c r="S96">
        <f t="shared" si="176"/>
        <v>1.47</v>
      </c>
      <c r="T96" s="30">
        <f t="shared" si="177"/>
        <v>105.35</v>
      </c>
      <c r="U96" s="30">
        <f t="shared" si="184"/>
        <v>103.66</v>
      </c>
    </row>
    <row r="97" spans="1:21" x14ac:dyDescent="0.25">
      <c r="A97" s="5">
        <v>42666</v>
      </c>
      <c r="B97" s="5">
        <f t="shared" si="178"/>
        <v>42674</v>
      </c>
      <c r="C97">
        <v>2141.16</v>
      </c>
      <c r="D97" s="29">
        <f t="shared" si="179"/>
        <v>-6.4000000000000003E-3</v>
      </c>
      <c r="E97" s="39">
        <f t="shared" si="180"/>
        <v>2161.6323076923077</v>
      </c>
      <c r="F97" s="39">
        <f t="shared" si="181"/>
        <v>2083.2407692307697</v>
      </c>
      <c r="G97" s="29">
        <f t="shared" si="173"/>
        <v>-9.4999999999999998E-3</v>
      </c>
      <c r="H97" s="29">
        <f t="shared" si="173"/>
        <v>2.7799999999999998E-2</v>
      </c>
      <c r="I97">
        <f t="shared" si="182"/>
        <v>2141.16</v>
      </c>
      <c r="J97">
        <f>IF(A97&gt;=Quarterly!B$2,Quarterly!C$2,IF(COUNTIFS(Quarterly!B:B,"&gt;="&amp;A97-92,Quarterly!B:B,"&lt;="&amp;A97)&gt;1,SUMIFS(Quarterly!C:C,Quarterly!B:B,"&gt;="&amp;A97-88,Quarterly!B:B,"&lt;="&amp;A97),SUMIFS(Quarterly!C:C,Quarterly!B:B,"&gt;="&amp;A97-92,Quarterly!B:B,"&lt;="&amp;A97)))</f>
        <v>18538</v>
      </c>
      <c r="K97" s="13">
        <f t="shared" si="183"/>
        <v>0.11550000000000001</v>
      </c>
      <c r="L97">
        <f t="shared" si="185"/>
        <v>2141.16</v>
      </c>
      <c r="M97">
        <f>IF(A97&gt;=Quarterly!B$2,Quarterly!D$2,IF(COUNTIFS(Quarterly!B:B,"&gt;="&amp;A97-92,Quarterly!B:B,"&lt;="&amp;A97)&gt;1,SUMIFS(Quarterly!D:D,Quarterly!B:B,"&gt;="&amp;A97-88,Quarterly!B:B,"&lt;="&amp;A97),SUMIFS(Quarterly!D:D,Quarterly!B:B,"&gt;="&amp;A97-92,Quarterly!B:B,"&lt;="&amp;A97)))</f>
        <v>1652.1320000000001</v>
      </c>
      <c r="N97" s="13">
        <f t="shared" si="186"/>
        <v>0.12960000000000002</v>
      </c>
      <c r="O97">
        <f t="shared" si="174"/>
        <v>2141.16</v>
      </c>
      <c r="P97" s="56">
        <f>VLOOKUP(EOMONTH(A97,-1),Economic!A:I,7,FALSE)</f>
        <v>1293586</v>
      </c>
      <c r="Q97" s="13">
        <f t="shared" si="175"/>
        <v>0.16550000000000001</v>
      </c>
      <c r="R97" s="41">
        <v>0.9</v>
      </c>
      <c r="S97">
        <f t="shared" si="176"/>
        <v>1.41</v>
      </c>
      <c r="T97" s="30">
        <f t="shared" si="177"/>
        <v>101.95</v>
      </c>
      <c r="U97" s="30">
        <f t="shared" si="184"/>
        <v>102.34</v>
      </c>
    </row>
    <row r="98" spans="1:21" x14ac:dyDescent="0.25">
      <c r="A98" s="5">
        <v>42659</v>
      </c>
      <c r="B98" s="5">
        <f t="shared" si="178"/>
        <v>42674</v>
      </c>
      <c r="C98">
        <v>2132.98</v>
      </c>
      <c r="D98" s="29">
        <f t="shared" si="179"/>
        <v>-1.09E-2</v>
      </c>
      <c r="E98" s="39">
        <f t="shared" si="180"/>
        <v>2164.2376923076918</v>
      </c>
      <c r="F98" s="39">
        <f t="shared" si="181"/>
        <v>2077.2341025641026</v>
      </c>
      <c r="G98" s="29">
        <f t="shared" si="173"/>
        <v>-1.44E-2</v>
      </c>
      <c r="H98" s="29">
        <f t="shared" si="173"/>
        <v>2.6800000000000001E-2</v>
      </c>
      <c r="I98">
        <f t="shared" si="182"/>
        <v>2132.98</v>
      </c>
      <c r="J98">
        <f>IF(A98&gt;=Quarterly!B$2,Quarterly!C$2,IF(COUNTIFS(Quarterly!B:B,"&gt;="&amp;A98-92,Quarterly!B:B,"&lt;="&amp;A98)&gt;1,SUMIFS(Quarterly!C:C,Quarterly!B:B,"&gt;="&amp;A98-88,Quarterly!B:B,"&lt;="&amp;A98),SUMIFS(Quarterly!C:C,Quarterly!B:B,"&gt;="&amp;A98-92,Quarterly!B:B,"&lt;="&amp;A98)))</f>
        <v>18538</v>
      </c>
      <c r="K98" s="13">
        <f t="shared" si="183"/>
        <v>0.11509999999999999</v>
      </c>
      <c r="L98">
        <f t="shared" si="185"/>
        <v>2132.98</v>
      </c>
      <c r="M98">
        <f>IF(A98&gt;=Quarterly!B$2,Quarterly!D$2,IF(COUNTIFS(Quarterly!B:B,"&gt;="&amp;A98-92,Quarterly!B:B,"&lt;="&amp;A98)&gt;1,SUMIFS(Quarterly!D:D,Quarterly!B:B,"&gt;="&amp;A98-88,Quarterly!B:B,"&lt;="&amp;A98),SUMIFS(Quarterly!D:D,Quarterly!B:B,"&gt;="&amp;A98-92,Quarterly!B:B,"&lt;="&amp;A98)))</f>
        <v>1652.1320000000001</v>
      </c>
      <c r="N98" s="13">
        <f t="shared" si="186"/>
        <v>0.12909999999999999</v>
      </c>
      <c r="O98">
        <f t="shared" si="174"/>
        <v>2132.98</v>
      </c>
      <c r="P98" s="56">
        <f>VLOOKUP(EOMONTH(A98,-1),Economic!A:I,7,FALSE)</f>
        <v>1293586</v>
      </c>
      <c r="Q98" s="13">
        <f t="shared" si="175"/>
        <v>0.16490000000000002</v>
      </c>
      <c r="R98" s="41">
        <v>0.96</v>
      </c>
      <c r="S98">
        <f t="shared" si="176"/>
        <v>1.47</v>
      </c>
      <c r="T98" s="30">
        <f t="shared" si="177"/>
        <v>103.68</v>
      </c>
      <c r="U98" s="30">
        <f t="shared" si="184"/>
        <v>102.73</v>
      </c>
    </row>
    <row r="99" spans="1:21" x14ac:dyDescent="0.25">
      <c r="A99" s="5">
        <v>42652</v>
      </c>
      <c r="B99" s="5">
        <f t="shared" si="178"/>
        <v>42674</v>
      </c>
      <c r="C99">
        <v>2153.7399999999998</v>
      </c>
      <c r="D99" s="29">
        <f t="shared" si="179"/>
        <v>1.6999999999999999E-3</v>
      </c>
      <c r="E99" s="39">
        <f t="shared" si="180"/>
        <v>2166.4499999999994</v>
      </c>
      <c r="F99" s="39">
        <f t="shared" si="181"/>
        <v>2070.7558974358976</v>
      </c>
      <c r="G99" s="29">
        <f t="shared" si="173"/>
        <v>-5.8999999999999999E-3</v>
      </c>
      <c r="H99" s="29">
        <f t="shared" si="173"/>
        <v>4.0099999999999997E-2</v>
      </c>
      <c r="I99">
        <f t="shared" si="182"/>
        <v>2153.7399999999998</v>
      </c>
      <c r="J99">
        <f>IF(A99&gt;=Quarterly!B$2,Quarterly!C$2,IF(COUNTIFS(Quarterly!B:B,"&gt;="&amp;A99-92,Quarterly!B:B,"&lt;="&amp;A99)&gt;1,SUMIFS(Quarterly!C:C,Quarterly!B:B,"&gt;="&amp;A99-88,Quarterly!B:B,"&lt;="&amp;A99),SUMIFS(Quarterly!C:C,Quarterly!B:B,"&gt;="&amp;A99-92,Quarterly!B:B,"&lt;="&amp;A99)))</f>
        <v>18538</v>
      </c>
      <c r="K99" s="13">
        <f t="shared" si="183"/>
        <v>0.1162</v>
      </c>
      <c r="L99">
        <f t="shared" si="185"/>
        <v>2153.7399999999998</v>
      </c>
      <c r="M99">
        <f>IF(A99&gt;=Quarterly!B$2,Quarterly!D$2,IF(COUNTIFS(Quarterly!B:B,"&gt;="&amp;A99-92,Quarterly!B:B,"&lt;="&amp;A99)&gt;1,SUMIFS(Quarterly!D:D,Quarterly!B:B,"&gt;="&amp;A99-88,Quarterly!B:B,"&lt;="&amp;A99),SUMIFS(Quarterly!D:D,Quarterly!B:B,"&gt;="&amp;A99-92,Quarterly!B:B,"&lt;="&amp;A99)))</f>
        <v>1652.1320000000001</v>
      </c>
      <c r="N99" s="13">
        <f t="shared" si="186"/>
        <v>0.13036</v>
      </c>
      <c r="O99">
        <f t="shared" si="174"/>
        <v>2153.7399999999998</v>
      </c>
      <c r="P99" s="56">
        <f>VLOOKUP(EOMONTH(A99,-1),Economic!A:I,7,FALSE)</f>
        <v>1293586</v>
      </c>
      <c r="Q99" s="13">
        <f t="shared" si="175"/>
        <v>0.16650000000000001</v>
      </c>
      <c r="R99" s="41">
        <v>0.9</v>
      </c>
      <c r="S99">
        <f t="shared" si="176"/>
        <v>1.45</v>
      </c>
      <c r="T99" s="30">
        <f t="shared" si="177"/>
        <v>101.38</v>
      </c>
      <c r="U99" s="30">
        <f t="shared" si="184"/>
        <v>103.19</v>
      </c>
    </row>
    <row r="100" spans="1:21" x14ac:dyDescent="0.25">
      <c r="A100" s="5">
        <v>42645</v>
      </c>
      <c r="B100" s="5">
        <f t="shared" si="178"/>
        <v>42674</v>
      </c>
      <c r="C100">
        <v>2168.27</v>
      </c>
      <c r="D100" s="29">
        <f t="shared" si="179"/>
        <v>7.1000000000000004E-3</v>
      </c>
      <c r="E100" s="39">
        <f t="shared" si="180"/>
        <v>2164.6161538461533</v>
      </c>
      <c r="F100" s="39">
        <f t="shared" si="181"/>
        <v>2064.8146153846155</v>
      </c>
      <c r="G100" s="29">
        <f t="shared" si="173"/>
        <v>1.6999999999999999E-3</v>
      </c>
      <c r="H100" s="29">
        <f t="shared" si="173"/>
        <v>5.0099999999999999E-2</v>
      </c>
      <c r="I100">
        <f t="shared" si="182"/>
        <v>2168.27</v>
      </c>
      <c r="J100">
        <f>IF(A100&gt;=Quarterly!B$2,Quarterly!C$2,IF(COUNTIFS(Quarterly!B:B,"&gt;="&amp;A100-92,Quarterly!B:B,"&lt;="&amp;A100)&gt;1,SUMIFS(Quarterly!C:C,Quarterly!B:B,"&gt;="&amp;A100-88,Quarterly!B:B,"&lt;="&amp;A100),SUMIFS(Quarterly!C:C,Quarterly!B:B,"&gt;="&amp;A100-92,Quarterly!B:B,"&lt;="&amp;A100)))</f>
        <v>18538</v>
      </c>
      <c r="K100" s="13">
        <f t="shared" si="183"/>
        <v>0.11700000000000001</v>
      </c>
      <c r="L100">
        <f t="shared" si="185"/>
        <v>2168.27</v>
      </c>
      <c r="M100">
        <f>IF(A100&gt;=Quarterly!B$2,Quarterly!D$2,IF(COUNTIFS(Quarterly!B:B,"&gt;="&amp;A100-92,Quarterly!B:B,"&lt;="&amp;A100)&gt;1,SUMIFS(Quarterly!D:D,Quarterly!B:B,"&gt;="&amp;A100-88,Quarterly!B:B,"&lt;="&amp;A100),SUMIFS(Quarterly!D:D,Quarterly!B:B,"&gt;="&amp;A100-92,Quarterly!B:B,"&lt;="&amp;A100)))</f>
        <v>1652.1320000000001</v>
      </c>
      <c r="N100" s="13">
        <f t="shared" si="186"/>
        <v>0.13124</v>
      </c>
      <c r="O100">
        <f t="shared" si="174"/>
        <v>2168.27</v>
      </c>
      <c r="P100" s="56">
        <f>VLOOKUP(EOMONTH(A100,-1),Economic!A:I,7,FALSE)</f>
        <v>1293586</v>
      </c>
      <c r="Q100" s="13">
        <f t="shared" si="175"/>
        <v>0.1676</v>
      </c>
      <c r="R100" s="41">
        <v>0.83</v>
      </c>
      <c r="S100">
        <f t="shared" si="176"/>
        <v>1.53</v>
      </c>
      <c r="T100" s="30">
        <f t="shared" si="177"/>
        <v>103.12</v>
      </c>
      <c r="U100" s="30">
        <f t="shared" si="184"/>
        <v>106.26</v>
      </c>
    </row>
    <row r="101" spans="1:21" x14ac:dyDescent="0.25">
      <c r="A101" s="5">
        <v>42638</v>
      </c>
      <c r="B101" s="5">
        <f t="shared" si="178"/>
        <v>42643</v>
      </c>
      <c r="C101">
        <v>2164.69</v>
      </c>
      <c r="D101" s="29">
        <f t="shared" si="179"/>
        <v>5.0000000000000001E-3</v>
      </c>
      <c r="E101" s="39">
        <f t="shared" si="180"/>
        <v>2159.5915384615382</v>
      </c>
      <c r="F101" s="39">
        <f t="shared" si="181"/>
        <v>2061.626666666667</v>
      </c>
      <c r="G101" s="29">
        <f t="shared" si="173"/>
        <v>2.3999999999999998E-3</v>
      </c>
      <c r="H101" s="29">
        <f t="shared" si="173"/>
        <v>0.05</v>
      </c>
      <c r="I101">
        <f t="shared" si="182"/>
        <v>2164.69</v>
      </c>
      <c r="J101">
        <f>IF(A101&gt;=Quarterly!B$2,Quarterly!C$2,IF(COUNTIFS(Quarterly!B:B,"&gt;="&amp;A101-92,Quarterly!B:B,"&lt;="&amp;A101)&gt;1,SUMIFS(Quarterly!C:C,Quarterly!B:B,"&gt;="&amp;A101-88,Quarterly!B:B,"&lt;="&amp;A101),SUMIFS(Quarterly!C:C,Quarterly!B:B,"&gt;="&amp;A101-92,Quarterly!B:B,"&lt;="&amp;A101)))</f>
        <v>18538</v>
      </c>
      <c r="K101" s="13">
        <f t="shared" si="183"/>
        <v>0.1168</v>
      </c>
      <c r="L101">
        <f t="shared" si="185"/>
        <v>2164.69</v>
      </c>
      <c r="M101">
        <f>IF(A101&gt;=Quarterly!B$2,Quarterly!D$2,IF(COUNTIFS(Quarterly!B:B,"&gt;="&amp;A101-92,Quarterly!B:B,"&lt;="&amp;A101)&gt;1,SUMIFS(Quarterly!D:D,Quarterly!B:B,"&gt;="&amp;A101-88,Quarterly!B:B,"&lt;="&amp;A101),SUMIFS(Quarterly!D:D,Quarterly!B:B,"&gt;="&amp;A101-92,Quarterly!B:B,"&lt;="&amp;A101)))</f>
        <v>1652.1320000000001</v>
      </c>
      <c r="N101" s="13">
        <f t="shared" si="186"/>
        <v>0.13102</v>
      </c>
      <c r="O101">
        <f t="shared" si="174"/>
        <v>2164.69</v>
      </c>
      <c r="P101" s="56">
        <f>VLOOKUP(EOMONTH(A101,-1),Economic!A:I,7,FALSE)</f>
        <v>1288393</v>
      </c>
      <c r="Q101" s="13">
        <f t="shared" si="175"/>
        <v>0.16800000000000001</v>
      </c>
      <c r="R101" s="41">
        <v>0.85</v>
      </c>
      <c r="S101">
        <f t="shared" si="176"/>
        <v>1.57</v>
      </c>
      <c r="T101" s="30">
        <f t="shared" si="177"/>
        <v>105.08</v>
      </c>
      <c r="U101" s="30">
        <f t="shared" si="184"/>
        <v>110.29</v>
      </c>
    </row>
    <row r="102" spans="1:21" x14ac:dyDescent="0.25">
      <c r="A102" s="5">
        <v>42631</v>
      </c>
      <c r="B102" s="5">
        <f t="shared" si="178"/>
        <v>42643</v>
      </c>
      <c r="C102">
        <v>2139.16</v>
      </c>
      <c r="D102" s="29">
        <f t="shared" si="179"/>
        <v>-1.2E-2</v>
      </c>
      <c r="E102" s="39">
        <f t="shared" si="180"/>
        <v>2149.8007692307688</v>
      </c>
      <c r="F102" s="39">
        <f t="shared" si="181"/>
        <v>2058.9676923076927</v>
      </c>
      <c r="G102" s="29">
        <f t="shared" si="173"/>
        <v>-4.8999999999999998E-3</v>
      </c>
      <c r="H102" s="29">
        <f t="shared" si="173"/>
        <v>3.8899999999999997E-2</v>
      </c>
      <c r="I102">
        <f t="shared" si="182"/>
        <v>2139.16</v>
      </c>
      <c r="J102">
        <f>IF(A102&gt;=Quarterly!B$2,Quarterly!C$2,IF(COUNTIFS(Quarterly!B:B,"&gt;="&amp;A102-92,Quarterly!B:B,"&lt;="&amp;A102)&gt;1,SUMIFS(Quarterly!C:C,Quarterly!B:B,"&gt;="&amp;A102-88,Quarterly!B:B,"&lt;="&amp;A102),SUMIFS(Quarterly!C:C,Quarterly!B:B,"&gt;="&amp;A102-92,Quarterly!B:B,"&lt;="&amp;A102)))</f>
        <v>18538</v>
      </c>
      <c r="K102" s="13">
        <f t="shared" si="183"/>
        <v>0.1154</v>
      </c>
      <c r="L102">
        <f t="shared" si="185"/>
        <v>2139.16</v>
      </c>
      <c r="M102">
        <f>IF(A102&gt;=Quarterly!B$2,Quarterly!D$2,IF(COUNTIFS(Quarterly!B:B,"&gt;="&amp;A102-92,Quarterly!B:B,"&lt;="&amp;A102)&gt;1,SUMIFS(Quarterly!D:D,Quarterly!B:B,"&gt;="&amp;A102-88,Quarterly!B:B,"&lt;="&amp;A102),SUMIFS(Quarterly!D:D,Quarterly!B:B,"&gt;="&amp;A102-92,Quarterly!B:B,"&lt;="&amp;A102)))</f>
        <v>1652.1320000000001</v>
      </c>
      <c r="N102" s="13">
        <f t="shared" si="186"/>
        <v>0.12948000000000001</v>
      </c>
      <c r="O102">
        <f t="shared" si="174"/>
        <v>2139.16</v>
      </c>
      <c r="P102" s="56">
        <f>VLOOKUP(EOMONTH(A102,-1),Economic!A:I,7,FALSE)</f>
        <v>1288393</v>
      </c>
      <c r="Q102" s="13">
        <f t="shared" si="175"/>
        <v>0.16600000000000001</v>
      </c>
      <c r="R102" s="41">
        <v>0.93</v>
      </c>
      <c r="S102">
        <f t="shared" si="176"/>
        <v>1.66</v>
      </c>
      <c r="T102" s="30">
        <f t="shared" si="177"/>
        <v>110.58</v>
      </c>
      <c r="U102" s="30">
        <f t="shared" si="184"/>
        <v>112.7</v>
      </c>
    </row>
    <row r="103" spans="1:21" x14ac:dyDescent="0.25">
      <c r="A103" s="5">
        <v>42624</v>
      </c>
      <c r="B103" s="5">
        <f t="shared" si="178"/>
        <v>42643</v>
      </c>
      <c r="C103">
        <v>2127.81</v>
      </c>
      <c r="D103" s="29">
        <f t="shared" si="179"/>
        <v>-2.3599999999999999E-2</v>
      </c>
      <c r="E103" s="39">
        <f t="shared" si="180"/>
        <v>2144.5746153846153</v>
      </c>
      <c r="F103" s="39">
        <f t="shared" si="181"/>
        <v>2055.5417948717954</v>
      </c>
      <c r="G103" s="29">
        <f t="shared" si="173"/>
        <v>-7.7999999999999996E-3</v>
      </c>
      <c r="H103" s="29">
        <f t="shared" si="173"/>
        <v>3.5200000000000002E-2</v>
      </c>
      <c r="I103">
        <f t="shared" si="182"/>
        <v>2127.81</v>
      </c>
      <c r="J103">
        <f>IF(A103&gt;=Quarterly!B$2,Quarterly!C$2,IF(COUNTIFS(Quarterly!B:B,"&gt;="&amp;A103-92,Quarterly!B:B,"&lt;="&amp;A103)&gt;1,SUMIFS(Quarterly!C:C,Quarterly!B:B,"&gt;="&amp;A103-88,Quarterly!B:B,"&lt;="&amp;A103),SUMIFS(Quarterly!C:C,Quarterly!B:B,"&gt;="&amp;A103-92,Quarterly!B:B,"&lt;="&amp;A103)))</f>
        <v>18538</v>
      </c>
      <c r="K103" s="13">
        <f t="shared" si="183"/>
        <v>0.1148</v>
      </c>
      <c r="L103">
        <f t="shared" si="185"/>
        <v>2127.81</v>
      </c>
      <c r="M103">
        <f>IF(A103&gt;=Quarterly!B$2,Quarterly!D$2,IF(COUNTIFS(Quarterly!B:B,"&gt;="&amp;A103-92,Quarterly!B:B,"&lt;="&amp;A103)&gt;1,SUMIFS(Quarterly!D:D,Quarterly!B:B,"&gt;="&amp;A103-88,Quarterly!B:B,"&lt;="&amp;A103),SUMIFS(Quarterly!D:D,Quarterly!B:B,"&gt;="&amp;A103-92,Quarterly!B:B,"&lt;="&amp;A103)))</f>
        <v>1652.1320000000001</v>
      </c>
      <c r="N103" s="13">
        <f t="shared" si="186"/>
        <v>0.12879000000000002</v>
      </c>
      <c r="O103">
        <f t="shared" si="174"/>
        <v>2127.81</v>
      </c>
      <c r="P103" s="56">
        <f>VLOOKUP(EOMONTH(A103,-1),Economic!A:I,7,FALSE)</f>
        <v>1288393</v>
      </c>
      <c r="Q103" s="13">
        <f t="shared" si="175"/>
        <v>0.16520000000000001</v>
      </c>
      <c r="R103" s="41">
        <v>0.88</v>
      </c>
      <c r="S103">
        <f t="shared" si="176"/>
        <v>1.77</v>
      </c>
      <c r="T103" s="30">
        <f t="shared" si="177"/>
        <v>115.2</v>
      </c>
      <c r="U103" s="30">
        <f t="shared" si="184"/>
        <v>113.79</v>
      </c>
    </row>
    <row r="104" spans="1:21" x14ac:dyDescent="0.25">
      <c r="A104" s="5">
        <v>42617</v>
      </c>
      <c r="B104" s="5">
        <f t="shared" si="178"/>
        <v>42643</v>
      </c>
      <c r="C104">
        <v>2179.98</v>
      </c>
      <c r="D104" s="29">
        <f t="shared" si="179"/>
        <v>0</v>
      </c>
      <c r="E104" s="39">
        <f t="shared" si="180"/>
        <v>2142.1330769230772</v>
      </c>
      <c r="F104" s="39">
        <f t="shared" si="181"/>
        <v>2052.5817948717954</v>
      </c>
      <c r="G104" s="29">
        <f t="shared" si="173"/>
        <v>1.77E-2</v>
      </c>
      <c r="H104" s="29">
        <f t="shared" si="173"/>
        <v>6.2100000000000002E-2</v>
      </c>
      <c r="I104">
        <f t="shared" si="182"/>
        <v>2179.98</v>
      </c>
      <c r="J104">
        <f>IF(A104&gt;=Quarterly!B$2,Quarterly!C$2,IF(COUNTIFS(Quarterly!B:B,"&gt;="&amp;A104-92,Quarterly!B:B,"&lt;="&amp;A104)&gt;1,SUMIFS(Quarterly!C:C,Quarterly!B:B,"&gt;="&amp;A104-88,Quarterly!B:B,"&lt;="&amp;A104),SUMIFS(Quarterly!C:C,Quarterly!B:B,"&gt;="&amp;A104-92,Quarterly!B:B,"&lt;="&amp;A104)))</f>
        <v>18538</v>
      </c>
      <c r="K104" s="13">
        <f t="shared" si="183"/>
        <v>0.1176</v>
      </c>
      <c r="L104">
        <f t="shared" si="185"/>
        <v>2179.98</v>
      </c>
      <c r="M104">
        <f>IF(A104&gt;=Quarterly!B$2,Quarterly!D$2,IF(COUNTIFS(Quarterly!B:B,"&gt;="&amp;A104-92,Quarterly!B:B,"&lt;="&amp;A104)&gt;1,SUMIFS(Quarterly!D:D,Quarterly!B:B,"&gt;="&amp;A104-88,Quarterly!B:B,"&lt;="&amp;A104),SUMIFS(Quarterly!D:D,Quarterly!B:B,"&gt;="&amp;A104-92,Quarterly!B:B,"&lt;="&amp;A104)))</f>
        <v>1652.1320000000001</v>
      </c>
      <c r="N104" s="13">
        <f t="shared" si="186"/>
        <v>0.13194999999999998</v>
      </c>
      <c r="O104">
        <f t="shared" si="174"/>
        <v>2179.98</v>
      </c>
      <c r="P104" s="56">
        <f>VLOOKUP(EOMONTH(A104,-1),Economic!A:I,7,FALSE)</f>
        <v>1288393</v>
      </c>
      <c r="Q104" s="13">
        <f t="shared" si="175"/>
        <v>0.16919999999999999</v>
      </c>
      <c r="R104" s="41">
        <v>0.8</v>
      </c>
      <c r="S104">
        <f t="shared" si="176"/>
        <v>1.76</v>
      </c>
      <c r="T104" s="30">
        <f t="shared" si="177"/>
        <v>112.31</v>
      </c>
      <c r="U104" s="30">
        <f t="shared" si="184"/>
        <v>111.58</v>
      </c>
    </row>
    <row r="105" spans="1:21" x14ac:dyDescent="0.25">
      <c r="A105" s="5">
        <v>42610</v>
      </c>
      <c r="B105" s="5">
        <f t="shared" si="178"/>
        <v>42613</v>
      </c>
      <c r="C105">
        <v>2169.04</v>
      </c>
      <c r="D105" s="29">
        <f t="shared" si="179"/>
        <v>-5.4999999999999997E-3</v>
      </c>
      <c r="E105" s="39">
        <f t="shared" si="180"/>
        <v>2135.9138461538464</v>
      </c>
      <c r="F105" s="39">
        <f t="shared" si="181"/>
        <v>2050.3179487179491</v>
      </c>
      <c r="G105" s="29">
        <f t="shared" si="173"/>
        <v>1.55E-2</v>
      </c>
      <c r="H105" s="29">
        <f t="shared" si="173"/>
        <v>5.79E-2</v>
      </c>
      <c r="I105">
        <f t="shared" si="182"/>
        <v>2169.04</v>
      </c>
      <c r="J105">
        <f>IF(A105&gt;=Quarterly!B$2,Quarterly!C$2,IF(COUNTIFS(Quarterly!B:B,"&gt;="&amp;A105-92,Quarterly!B:B,"&lt;="&amp;A105)&gt;1,SUMIFS(Quarterly!C:C,Quarterly!B:B,"&gt;="&amp;A105-88,Quarterly!B:B,"&lt;="&amp;A105),SUMIFS(Quarterly!C:C,Quarterly!B:B,"&gt;="&amp;A105-92,Quarterly!B:B,"&lt;="&amp;A105)))</f>
        <v>18538</v>
      </c>
      <c r="K105" s="13">
        <f t="shared" si="183"/>
        <v>0.11700000000000001</v>
      </c>
      <c r="L105">
        <f t="shared" si="185"/>
        <v>2169.04</v>
      </c>
      <c r="M105">
        <f>IF(A105&gt;=Quarterly!B$2,Quarterly!D$2,IF(COUNTIFS(Quarterly!B:B,"&gt;="&amp;A105-92,Quarterly!B:B,"&lt;="&amp;A105)&gt;1,SUMIFS(Quarterly!D:D,Quarterly!B:B,"&gt;="&amp;A105-88,Quarterly!B:B,"&lt;="&amp;A105),SUMIFS(Quarterly!D:D,Quarterly!B:B,"&gt;="&amp;A105-92,Quarterly!B:B,"&lt;="&amp;A105)))</f>
        <v>1652.1320000000001</v>
      </c>
      <c r="N105" s="13">
        <f t="shared" si="186"/>
        <v>0.13128999999999999</v>
      </c>
      <c r="O105">
        <f t="shared" si="174"/>
        <v>2169.04</v>
      </c>
      <c r="P105" s="56">
        <f>VLOOKUP(EOMONTH(A105,-1),Economic!A:I,7,FALSE)</f>
        <v>1278696</v>
      </c>
      <c r="Q105" s="13">
        <f t="shared" si="175"/>
        <v>0.1696</v>
      </c>
      <c r="R105" s="41">
        <v>0.78</v>
      </c>
      <c r="S105">
        <f t="shared" si="176"/>
        <v>1.77</v>
      </c>
      <c r="T105" s="30">
        <f t="shared" si="177"/>
        <v>113.86</v>
      </c>
      <c r="U105" s="30">
        <f t="shared" si="184"/>
        <v>111.2</v>
      </c>
    </row>
    <row r="106" spans="1:21" x14ac:dyDescent="0.25">
      <c r="A106" s="5">
        <v>42603</v>
      </c>
      <c r="B106" s="5">
        <f t="shared" si="178"/>
        <v>42613</v>
      </c>
      <c r="C106">
        <v>2183.87</v>
      </c>
      <c r="D106" s="29">
        <f t="shared" si="179"/>
        <v>2.3E-3</v>
      </c>
      <c r="E106" s="39">
        <f t="shared" si="180"/>
        <v>2130.5307692307692</v>
      </c>
      <c r="F106" s="39">
        <f t="shared" si="181"/>
        <v>2048.294102564103</v>
      </c>
      <c r="G106" s="29">
        <f t="shared" si="173"/>
        <v>2.5000000000000001E-2</v>
      </c>
      <c r="H106" s="29">
        <f t="shared" si="173"/>
        <v>6.6199999999999995E-2</v>
      </c>
      <c r="I106">
        <f t="shared" si="182"/>
        <v>2183.87</v>
      </c>
      <c r="J106">
        <f>IF(A106&gt;=Quarterly!B$2,Quarterly!C$2,IF(COUNTIFS(Quarterly!B:B,"&gt;="&amp;A106-92,Quarterly!B:B,"&lt;="&amp;A106)&gt;1,SUMIFS(Quarterly!C:C,Quarterly!B:B,"&gt;="&amp;A106-88,Quarterly!B:B,"&lt;="&amp;A106),SUMIFS(Quarterly!C:C,Quarterly!B:B,"&gt;="&amp;A106-92,Quarterly!B:B,"&lt;="&amp;A106)))</f>
        <v>18538</v>
      </c>
      <c r="K106" s="13">
        <f t="shared" si="183"/>
        <v>0.1178</v>
      </c>
      <c r="L106">
        <f t="shared" si="185"/>
        <v>2183.87</v>
      </c>
      <c r="M106">
        <f>IF(A106&gt;=Quarterly!B$2,Quarterly!D$2,IF(COUNTIFS(Quarterly!B:B,"&gt;="&amp;A106-92,Quarterly!B:B,"&lt;="&amp;A106)&gt;1,SUMIFS(Quarterly!D:D,Quarterly!B:B,"&gt;="&amp;A106-88,Quarterly!B:B,"&lt;="&amp;A106),SUMIFS(Quarterly!D:D,Quarterly!B:B,"&gt;="&amp;A106-92,Quarterly!B:B,"&lt;="&amp;A106)))</f>
        <v>1652.1320000000001</v>
      </c>
      <c r="N106" s="13">
        <f t="shared" si="186"/>
        <v>0.13218000000000002</v>
      </c>
      <c r="O106">
        <f t="shared" si="174"/>
        <v>2183.87</v>
      </c>
      <c r="P106" s="56">
        <f>VLOOKUP(EOMONTH(A106,-1),Economic!A:I,7,FALSE)</f>
        <v>1278696</v>
      </c>
      <c r="Q106" s="13">
        <f t="shared" si="175"/>
        <v>0.17080000000000001</v>
      </c>
      <c r="R106" s="41">
        <v>0.82</v>
      </c>
      <c r="S106">
        <f t="shared" si="176"/>
        <v>1.61</v>
      </c>
      <c r="T106" s="30">
        <f t="shared" si="177"/>
        <v>108.58</v>
      </c>
      <c r="U106" s="30">
        <f t="shared" si="184"/>
        <v>111.01</v>
      </c>
    </row>
    <row r="107" spans="1:21" x14ac:dyDescent="0.25">
      <c r="A107" s="5">
        <v>42596</v>
      </c>
      <c r="B107" s="5">
        <f t="shared" si="178"/>
        <v>42613</v>
      </c>
      <c r="C107">
        <v>2184.0500000000002</v>
      </c>
      <c r="D107" s="29">
        <f t="shared" si="179"/>
        <v>4.8999999999999998E-3</v>
      </c>
      <c r="E107" s="39">
        <f t="shared" si="180"/>
        <v>2120.4115384615388</v>
      </c>
      <c r="F107" s="39">
        <f t="shared" si="181"/>
        <v>2045.865897435898</v>
      </c>
      <c r="G107" s="29">
        <f t="shared" si="173"/>
        <v>0.03</v>
      </c>
      <c r="H107" s="29">
        <f t="shared" si="173"/>
        <v>6.7500000000000004E-2</v>
      </c>
      <c r="I107">
        <f t="shared" si="182"/>
        <v>2184.0500000000002</v>
      </c>
      <c r="J107">
        <f>IF(A107&gt;=Quarterly!B$2,Quarterly!C$2,IF(COUNTIFS(Quarterly!B:B,"&gt;="&amp;A107-92,Quarterly!B:B,"&lt;="&amp;A107)&gt;1,SUMIFS(Quarterly!C:C,Quarterly!B:B,"&gt;="&amp;A107-88,Quarterly!B:B,"&lt;="&amp;A107),SUMIFS(Quarterly!C:C,Quarterly!B:B,"&gt;="&amp;A107-92,Quarterly!B:B,"&lt;="&amp;A107)))</f>
        <v>18538</v>
      </c>
      <c r="K107" s="13">
        <f t="shared" si="183"/>
        <v>0.1178</v>
      </c>
      <c r="L107">
        <f t="shared" si="185"/>
        <v>2184.0500000000002</v>
      </c>
      <c r="M107">
        <f>IF(A107&gt;=Quarterly!B$2,Quarterly!D$2,IF(COUNTIFS(Quarterly!B:B,"&gt;="&amp;A107-92,Quarterly!B:B,"&lt;="&amp;A107)&gt;1,SUMIFS(Quarterly!D:D,Quarterly!B:B,"&gt;="&amp;A107-88,Quarterly!B:B,"&lt;="&amp;A107),SUMIFS(Quarterly!D:D,Quarterly!B:B,"&gt;="&amp;A107-92,Quarterly!B:B,"&lt;="&amp;A107)))</f>
        <v>1652.1320000000001</v>
      </c>
      <c r="N107" s="13">
        <f t="shared" si="186"/>
        <v>0.13220000000000001</v>
      </c>
      <c r="O107">
        <f t="shared" si="174"/>
        <v>2184.0500000000002</v>
      </c>
      <c r="P107" s="56">
        <f>VLOOKUP(EOMONTH(A107,-1),Economic!A:I,7,FALSE)</f>
        <v>1278696</v>
      </c>
      <c r="Q107" s="13">
        <f t="shared" si="175"/>
        <v>0.17080000000000001</v>
      </c>
      <c r="R107" s="41">
        <v>0.8</v>
      </c>
      <c r="S107">
        <f t="shared" si="176"/>
        <v>1.65</v>
      </c>
      <c r="T107" s="30">
        <f t="shared" si="177"/>
        <v>111.15</v>
      </c>
      <c r="U107" s="30">
        <f t="shared" si="184"/>
        <v>111.32</v>
      </c>
    </row>
    <row r="108" spans="1:21" x14ac:dyDescent="0.25">
      <c r="A108" s="5">
        <v>42589</v>
      </c>
      <c r="B108" s="5">
        <f t="shared" si="178"/>
        <v>42613</v>
      </c>
      <c r="C108">
        <v>2182.87</v>
      </c>
      <c r="D108" s="29">
        <f t="shared" si="179"/>
        <v>1.06E-2</v>
      </c>
      <c r="E108" s="39">
        <f t="shared" si="180"/>
        <v>2109.8392307692311</v>
      </c>
      <c r="F108" s="39">
        <f t="shared" si="181"/>
        <v>2041.7374358974362</v>
      </c>
      <c r="G108" s="29">
        <f t="shared" si="173"/>
        <v>3.4599999999999999E-2</v>
      </c>
      <c r="H108" s="29">
        <f t="shared" si="173"/>
        <v>6.9099999999999995E-2</v>
      </c>
      <c r="I108">
        <f t="shared" si="182"/>
        <v>2182.87</v>
      </c>
      <c r="J108">
        <f>IF(A108&gt;=Quarterly!B$2,Quarterly!C$2,IF(COUNTIFS(Quarterly!B:B,"&gt;="&amp;A108-92,Quarterly!B:B,"&lt;="&amp;A108)&gt;1,SUMIFS(Quarterly!C:C,Quarterly!B:B,"&gt;="&amp;A108-88,Quarterly!B:B,"&lt;="&amp;A108),SUMIFS(Quarterly!C:C,Quarterly!B:B,"&gt;="&amp;A108-92,Quarterly!B:B,"&lt;="&amp;A108)))</f>
        <v>18538</v>
      </c>
      <c r="K108" s="13">
        <f t="shared" si="183"/>
        <v>0.1178</v>
      </c>
      <c r="L108">
        <f t="shared" si="185"/>
        <v>2182.87</v>
      </c>
      <c r="M108">
        <f>IF(A108&gt;=Quarterly!B$2,Quarterly!D$2,IF(COUNTIFS(Quarterly!B:B,"&gt;="&amp;A108-92,Quarterly!B:B,"&lt;="&amp;A108)&gt;1,SUMIFS(Quarterly!D:D,Quarterly!B:B,"&gt;="&amp;A108-88,Quarterly!B:B,"&lt;="&amp;A108),SUMIFS(Quarterly!D:D,Quarterly!B:B,"&gt;="&amp;A108-92,Quarterly!B:B,"&lt;="&amp;A108)))</f>
        <v>1652.1320000000001</v>
      </c>
      <c r="N108" s="13">
        <f t="shared" si="186"/>
        <v>0.13211999999999999</v>
      </c>
      <c r="O108">
        <f t="shared" si="174"/>
        <v>2182.87</v>
      </c>
      <c r="P108" s="56">
        <f>VLOOKUP(EOMONTH(A108,-1),Economic!A:I,7,FALSE)</f>
        <v>1278696</v>
      </c>
      <c r="Q108" s="13">
        <f t="shared" si="175"/>
        <v>0.17069999999999999</v>
      </c>
      <c r="R108" s="41">
        <v>0.87</v>
      </c>
      <c r="S108">
        <f t="shared" si="176"/>
        <v>1.68</v>
      </c>
      <c r="T108" s="30">
        <f t="shared" si="177"/>
        <v>113.3</v>
      </c>
      <c r="U108" s="30">
        <f t="shared" si="184"/>
        <v>110.5</v>
      </c>
    </row>
    <row r="109" spans="1:21" x14ac:dyDescent="0.25">
      <c r="A109" s="5">
        <v>42582</v>
      </c>
      <c r="B109" s="5">
        <f t="shared" si="178"/>
        <v>42582</v>
      </c>
      <c r="C109">
        <v>2173.6</v>
      </c>
      <c r="D109" s="29">
        <f t="shared" si="179"/>
        <v>1.46E-2</v>
      </c>
      <c r="E109" s="39">
        <f t="shared" si="180"/>
        <v>2100.1676923076925</v>
      </c>
      <c r="F109" s="39">
        <f t="shared" si="181"/>
        <v>2039.5920512820512</v>
      </c>
      <c r="G109" s="29">
        <f t="shared" si="173"/>
        <v>3.5000000000000003E-2</v>
      </c>
      <c r="H109" s="29">
        <f t="shared" si="173"/>
        <v>6.5699999999999995E-2</v>
      </c>
      <c r="I109">
        <f t="shared" si="182"/>
        <v>2173.6</v>
      </c>
      <c r="J109">
        <f>IF(A109&gt;=Quarterly!B$2,Quarterly!C$2,IF(COUNTIFS(Quarterly!B:B,"&gt;="&amp;A109-92,Quarterly!B:B,"&lt;="&amp;A109)&gt;1,SUMIFS(Quarterly!C:C,Quarterly!B:B,"&gt;="&amp;A109-88,Quarterly!B:B,"&lt;="&amp;A109),SUMIFS(Quarterly!C:C,Quarterly!B:B,"&gt;="&amp;A109-92,Quarterly!B:B,"&lt;="&amp;A109)))</f>
        <v>18538</v>
      </c>
      <c r="K109" s="13">
        <f t="shared" si="183"/>
        <v>0.1173</v>
      </c>
      <c r="L109">
        <f t="shared" si="185"/>
        <v>2173.6</v>
      </c>
      <c r="M109">
        <f>IF(A109&gt;=Quarterly!B$2,Quarterly!D$2,IF(COUNTIFS(Quarterly!B:B,"&gt;="&amp;A109-92,Quarterly!B:B,"&lt;="&amp;A109)&gt;1,SUMIFS(Quarterly!D:D,Quarterly!B:B,"&gt;="&amp;A109-88,Quarterly!B:B,"&lt;="&amp;A109),SUMIFS(Quarterly!D:D,Quarterly!B:B,"&gt;="&amp;A109-92,Quarterly!B:B,"&lt;="&amp;A109)))</f>
        <v>1652.1320000000001</v>
      </c>
      <c r="N109" s="13">
        <f t="shared" si="186"/>
        <v>0.13156000000000001</v>
      </c>
      <c r="O109">
        <f t="shared" si="174"/>
        <v>2173.6</v>
      </c>
      <c r="P109" s="56">
        <f>VLOOKUP(EOMONTH(A109,-1),Economic!A:I,7,FALSE)</f>
        <v>1271825</v>
      </c>
      <c r="Q109" s="13">
        <f t="shared" si="175"/>
        <v>0.1709</v>
      </c>
      <c r="R109" s="41">
        <v>0.79</v>
      </c>
      <c r="S109">
        <f t="shared" si="176"/>
        <v>1.51</v>
      </c>
      <c r="T109" s="30">
        <f t="shared" si="177"/>
        <v>109.52</v>
      </c>
      <c r="U109" s="30">
        <f t="shared" si="184"/>
        <v>109.64</v>
      </c>
    </row>
    <row r="110" spans="1:21" x14ac:dyDescent="0.25">
      <c r="A110" s="5">
        <v>42575</v>
      </c>
      <c r="B110" s="5">
        <f t="shared" si="178"/>
        <v>42582</v>
      </c>
      <c r="C110">
        <v>2175.0300000000002</v>
      </c>
      <c r="D110" s="29">
        <f t="shared" si="179"/>
        <v>3.1800000000000002E-2</v>
      </c>
      <c r="E110" s="39">
        <f t="shared" si="180"/>
        <v>2091.8369230769231</v>
      </c>
      <c r="F110" s="39">
        <f t="shared" si="181"/>
        <v>2037.1756410256412</v>
      </c>
      <c r="G110" s="29">
        <f t="shared" si="173"/>
        <v>3.9800000000000002E-2</v>
      </c>
      <c r="H110" s="29">
        <f t="shared" si="173"/>
        <v>6.7699999999999996E-2</v>
      </c>
      <c r="I110">
        <f t="shared" si="182"/>
        <v>2175.0300000000002</v>
      </c>
      <c r="J110">
        <f>IF(A110&gt;=Quarterly!B$2,Quarterly!C$2,IF(COUNTIFS(Quarterly!B:B,"&gt;="&amp;A110-92,Quarterly!B:B,"&lt;="&amp;A110)&gt;1,SUMIFS(Quarterly!C:C,Quarterly!B:B,"&gt;="&amp;A110-88,Quarterly!B:B,"&lt;="&amp;A110),SUMIFS(Quarterly!C:C,Quarterly!B:B,"&gt;="&amp;A110-92,Quarterly!B:B,"&lt;="&amp;A110)))</f>
        <v>18325.2</v>
      </c>
      <c r="K110" s="13">
        <f t="shared" si="183"/>
        <v>0.1187</v>
      </c>
      <c r="L110">
        <f t="shared" si="185"/>
        <v>2175.0300000000002</v>
      </c>
      <c r="M110">
        <f>IF(A110&gt;=Quarterly!B$2,Quarterly!D$2,IF(COUNTIFS(Quarterly!B:B,"&gt;="&amp;A110-92,Quarterly!B:B,"&lt;="&amp;A110)&gt;1,SUMIFS(Quarterly!D:D,Quarterly!B:B,"&gt;="&amp;A110-88,Quarterly!B:B,"&lt;="&amp;A110),SUMIFS(Quarterly!D:D,Quarterly!B:B,"&gt;="&amp;A110-92,Quarterly!B:B,"&lt;="&amp;A110)))</f>
        <v>1619.64</v>
      </c>
      <c r="N110" s="13">
        <f t="shared" si="186"/>
        <v>0.13428999999999999</v>
      </c>
      <c r="O110">
        <f t="shared" si="174"/>
        <v>2175.0300000000002</v>
      </c>
      <c r="P110" s="56">
        <f>VLOOKUP(EOMONTH(A110,-1),Economic!A:I,7,FALSE)</f>
        <v>1271825</v>
      </c>
      <c r="Q110" s="13">
        <f t="shared" si="175"/>
        <v>0.17099999999999999</v>
      </c>
      <c r="R110" s="41">
        <v>0.86</v>
      </c>
      <c r="S110">
        <f t="shared" si="176"/>
        <v>1.57</v>
      </c>
      <c r="T110" s="30">
        <f t="shared" si="177"/>
        <v>108.67</v>
      </c>
      <c r="U110" s="30">
        <f t="shared" si="184"/>
        <v>110.68</v>
      </c>
    </row>
    <row r="111" spans="1:21" x14ac:dyDescent="0.25">
      <c r="A111" s="5">
        <v>42568</v>
      </c>
      <c r="B111" s="5">
        <f t="shared" si="178"/>
        <v>42582</v>
      </c>
      <c r="C111">
        <v>2161.7399999999998</v>
      </c>
      <c r="D111" s="29">
        <f t="shared" si="179"/>
        <v>3.6600000000000001E-2</v>
      </c>
      <c r="E111" s="39">
        <f t="shared" si="180"/>
        <v>2085.4176923076925</v>
      </c>
      <c r="F111" s="39">
        <f t="shared" si="181"/>
        <v>2034.6146153846155</v>
      </c>
      <c r="G111" s="29">
        <f t="shared" si="173"/>
        <v>3.6600000000000001E-2</v>
      </c>
      <c r="H111" s="29">
        <f t="shared" si="173"/>
        <v>6.25E-2</v>
      </c>
      <c r="I111">
        <f t="shared" si="182"/>
        <v>2161.7399999999998</v>
      </c>
      <c r="J111">
        <f>IF(A111&gt;=Quarterly!B$2,Quarterly!C$2,IF(COUNTIFS(Quarterly!B:B,"&gt;="&amp;A111-92,Quarterly!B:B,"&lt;="&amp;A111)&gt;1,SUMIFS(Quarterly!C:C,Quarterly!B:B,"&gt;="&amp;A111-88,Quarterly!B:B,"&lt;="&amp;A111),SUMIFS(Quarterly!C:C,Quarterly!B:B,"&gt;="&amp;A111-92,Quarterly!B:B,"&lt;="&amp;A111)))</f>
        <v>18325.2</v>
      </c>
      <c r="K111" s="13">
        <f t="shared" si="183"/>
        <v>0.11799999999999999</v>
      </c>
      <c r="L111">
        <f t="shared" si="185"/>
        <v>2161.7399999999998</v>
      </c>
      <c r="M111">
        <f>IF(A111&gt;=Quarterly!B$2,Quarterly!D$2,IF(COUNTIFS(Quarterly!B:B,"&gt;="&amp;A111-92,Quarterly!B:B,"&lt;="&amp;A111)&gt;1,SUMIFS(Quarterly!D:D,Quarterly!B:B,"&gt;="&amp;A111-88,Quarterly!B:B,"&lt;="&amp;A111),SUMIFS(Quarterly!D:D,Quarterly!B:B,"&gt;="&amp;A111-92,Quarterly!B:B,"&lt;="&amp;A111)))</f>
        <v>1619.64</v>
      </c>
      <c r="N111" s="13">
        <f t="shared" si="186"/>
        <v>0.13347000000000001</v>
      </c>
      <c r="O111">
        <f t="shared" si="174"/>
        <v>2161.7399999999998</v>
      </c>
      <c r="P111" s="56">
        <f>VLOOKUP(EOMONTH(A111,-1),Economic!A:I,7,FALSE)</f>
        <v>1271825</v>
      </c>
      <c r="Q111" s="13">
        <f t="shared" si="175"/>
        <v>0.16999999999999998</v>
      </c>
      <c r="R111" s="41">
        <v>0.89</v>
      </c>
      <c r="S111">
        <f t="shared" si="176"/>
        <v>1.59</v>
      </c>
      <c r="T111" s="30">
        <f t="shared" si="177"/>
        <v>110.74</v>
      </c>
      <c r="U111" s="30">
        <f t="shared" si="184"/>
        <v>112.13</v>
      </c>
    </row>
    <row r="112" spans="1:21" x14ac:dyDescent="0.25">
      <c r="A112" s="5">
        <v>42561</v>
      </c>
      <c r="B112" s="5">
        <f t="shared" si="178"/>
        <v>42582</v>
      </c>
      <c r="C112">
        <v>2129.9</v>
      </c>
      <c r="D112" s="29">
        <f t="shared" si="179"/>
        <v>2.5499999999999998E-2</v>
      </c>
      <c r="E112" s="39">
        <f t="shared" si="180"/>
        <v>2079.186153846154</v>
      </c>
      <c r="F112" s="39">
        <f t="shared" si="181"/>
        <v>2031.3164102564101</v>
      </c>
      <c r="G112" s="29">
        <f t="shared" si="173"/>
        <v>2.4400000000000002E-2</v>
      </c>
      <c r="H112" s="29">
        <f t="shared" si="173"/>
        <v>4.8500000000000001E-2</v>
      </c>
      <c r="I112">
        <f t="shared" si="182"/>
        <v>2129.9</v>
      </c>
      <c r="J112">
        <f>IF(A112&gt;=Quarterly!B$2,Quarterly!C$2,IF(COUNTIFS(Quarterly!B:B,"&gt;="&amp;A112-92,Quarterly!B:B,"&lt;="&amp;A112)&gt;1,SUMIFS(Quarterly!C:C,Quarterly!B:B,"&gt;="&amp;A112-88,Quarterly!B:B,"&lt;="&amp;A112),SUMIFS(Quarterly!C:C,Quarterly!B:B,"&gt;="&amp;A112-92,Quarterly!B:B,"&lt;="&amp;A112)))</f>
        <v>18325.2</v>
      </c>
      <c r="K112" s="13">
        <f t="shared" si="183"/>
        <v>0.1162</v>
      </c>
      <c r="L112">
        <f t="shared" si="185"/>
        <v>2129.9</v>
      </c>
      <c r="M112">
        <f>IF(A112&gt;=Quarterly!B$2,Quarterly!D$2,IF(COUNTIFS(Quarterly!B:B,"&gt;="&amp;A112-92,Quarterly!B:B,"&lt;="&amp;A112)&gt;1,SUMIFS(Quarterly!D:D,Quarterly!B:B,"&gt;="&amp;A112-88,Quarterly!B:B,"&lt;="&amp;A112),SUMIFS(Quarterly!D:D,Quarterly!B:B,"&gt;="&amp;A112-92,Quarterly!B:B,"&lt;="&amp;A112)))</f>
        <v>1619.64</v>
      </c>
      <c r="N112" s="13">
        <f t="shared" si="186"/>
        <v>0.13150000000000001</v>
      </c>
      <c r="O112">
        <f t="shared" si="174"/>
        <v>2129.9</v>
      </c>
      <c r="P112" s="56">
        <f>VLOOKUP(EOMONTH(A112,-1),Economic!A:I,7,FALSE)</f>
        <v>1271825</v>
      </c>
      <c r="Q112" s="13">
        <f t="shared" si="175"/>
        <v>0.16750000000000001</v>
      </c>
      <c r="R112" s="41">
        <v>0.76</v>
      </c>
      <c r="S112">
        <f t="shared" si="176"/>
        <v>1.57</v>
      </c>
      <c r="T112" s="30">
        <f t="shared" si="177"/>
        <v>112.63</v>
      </c>
      <c r="U112" s="30">
        <f t="shared" si="184"/>
        <v>112.68</v>
      </c>
    </row>
    <row r="113" spans="1:21" x14ac:dyDescent="0.25">
      <c r="A113" s="5">
        <v>42554</v>
      </c>
      <c r="B113" s="5">
        <f t="shared" si="178"/>
        <v>42582</v>
      </c>
      <c r="C113">
        <v>2102.9499999999998</v>
      </c>
      <c r="D113" s="29">
        <f t="shared" si="179"/>
        <v>1.2999999999999999E-2</v>
      </c>
      <c r="E113" s="39">
        <f t="shared" si="180"/>
        <v>2072.8553846153841</v>
      </c>
      <c r="F113" s="39">
        <f t="shared" si="181"/>
        <v>2028.3674358974356</v>
      </c>
      <c r="G113" s="29">
        <f t="shared" si="173"/>
        <v>1.4500000000000001E-2</v>
      </c>
      <c r="H113" s="29">
        <f t="shared" si="173"/>
        <v>3.6799999999999999E-2</v>
      </c>
      <c r="I113">
        <f t="shared" si="182"/>
        <v>2102.9499999999998</v>
      </c>
      <c r="J113">
        <f>IF(A113&gt;=Quarterly!B$2,Quarterly!C$2,IF(COUNTIFS(Quarterly!B:B,"&gt;="&amp;A113-92,Quarterly!B:B,"&lt;="&amp;A113)&gt;1,SUMIFS(Quarterly!C:C,Quarterly!B:B,"&gt;="&amp;A113-88,Quarterly!B:B,"&lt;="&amp;A113),SUMIFS(Quarterly!C:C,Quarterly!B:B,"&gt;="&amp;A113-92,Quarterly!B:B,"&lt;="&amp;A113)))</f>
        <v>18325.2</v>
      </c>
      <c r="K113" s="13">
        <f t="shared" si="183"/>
        <v>0.1148</v>
      </c>
      <c r="L113">
        <f t="shared" si="185"/>
        <v>2102.9499999999998</v>
      </c>
      <c r="M113">
        <f>IF(A113&gt;=Quarterly!B$2,Quarterly!D$2,IF(COUNTIFS(Quarterly!B:B,"&gt;="&amp;A113-92,Quarterly!B:B,"&lt;="&amp;A113)&gt;1,SUMIFS(Quarterly!D:D,Quarterly!B:B,"&gt;="&amp;A113-88,Quarterly!B:B,"&lt;="&amp;A113),SUMIFS(Quarterly!D:D,Quarterly!B:B,"&gt;="&amp;A113-92,Quarterly!B:B,"&lt;="&amp;A113)))</f>
        <v>1619.64</v>
      </c>
      <c r="N113" s="13">
        <f t="shared" si="186"/>
        <v>0.12984000000000001</v>
      </c>
      <c r="O113">
        <f t="shared" si="174"/>
        <v>2102.9499999999998</v>
      </c>
      <c r="P113" s="56">
        <f>VLOOKUP(EOMONTH(A113,-1),Economic!A:I,7,FALSE)</f>
        <v>1271825</v>
      </c>
      <c r="Q113" s="13">
        <f t="shared" si="175"/>
        <v>0.1653</v>
      </c>
      <c r="R113" s="41">
        <v>0.87</v>
      </c>
      <c r="S113">
        <f t="shared" si="176"/>
        <v>1.52</v>
      </c>
      <c r="T113" s="30">
        <f t="shared" si="177"/>
        <v>113.01</v>
      </c>
      <c r="U113" s="30">
        <f t="shared" si="184"/>
        <v>111.71</v>
      </c>
    </row>
    <row r="114" spans="1:21" x14ac:dyDescent="0.25">
      <c r="A114" s="5">
        <v>42547</v>
      </c>
      <c r="B114" s="5">
        <f t="shared" si="178"/>
        <v>42551</v>
      </c>
      <c r="C114">
        <v>2037.41</v>
      </c>
      <c r="D114" s="29">
        <f t="shared" si="179"/>
        <v>-2.58E-2</v>
      </c>
      <c r="E114" s="39">
        <f t="shared" si="180"/>
        <v>2070.5346153846153</v>
      </c>
      <c r="F114" s="39">
        <f t="shared" si="181"/>
        <v>2024.480512820513</v>
      </c>
      <c r="G114" s="29">
        <f t="shared" si="173"/>
        <v>-1.6E-2</v>
      </c>
      <c r="H114" s="29">
        <f t="shared" si="173"/>
        <v>6.4000000000000003E-3</v>
      </c>
      <c r="I114">
        <f t="shared" si="182"/>
        <v>2037.41</v>
      </c>
      <c r="J114">
        <f>IF(A114&gt;=Quarterly!B$2,Quarterly!C$2,IF(COUNTIFS(Quarterly!B:B,"&gt;="&amp;A114-92,Quarterly!B:B,"&lt;="&amp;A114)&gt;1,SUMIFS(Quarterly!C:C,Quarterly!B:B,"&gt;="&amp;A114-88,Quarterly!B:B,"&lt;="&amp;A114),SUMIFS(Quarterly!C:C,Quarterly!B:B,"&gt;="&amp;A114-92,Quarterly!B:B,"&lt;="&amp;A114)))</f>
        <v>18325.2</v>
      </c>
      <c r="K114" s="13">
        <f t="shared" si="183"/>
        <v>0.11119999999999999</v>
      </c>
      <c r="L114">
        <f t="shared" si="185"/>
        <v>2037.41</v>
      </c>
      <c r="M114">
        <f>IF(A114&gt;=Quarterly!B$2,Quarterly!D$2,IF(COUNTIFS(Quarterly!B:B,"&gt;="&amp;A114-92,Quarterly!B:B,"&lt;="&amp;A114)&gt;1,SUMIFS(Quarterly!D:D,Quarterly!B:B,"&gt;="&amp;A114-88,Quarterly!B:B,"&lt;="&amp;A114),SUMIFS(Quarterly!D:D,Quarterly!B:B,"&gt;="&amp;A114-92,Quarterly!B:B,"&lt;="&amp;A114)))</f>
        <v>1619.64</v>
      </c>
      <c r="N114" s="13">
        <f t="shared" si="186"/>
        <v>0.12579000000000001</v>
      </c>
      <c r="O114">
        <f t="shared" si="174"/>
        <v>2037.41</v>
      </c>
      <c r="P114" s="56">
        <f>VLOOKUP(EOMONTH(A114,-1),Economic!A:I,7,FALSE)</f>
        <v>1267533</v>
      </c>
      <c r="Q114" s="13">
        <f t="shared" si="175"/>
        <v>0.16069999999999998</v>
      </c>
      <c r="R114" s="41">
        <v>0.93</v>
      </c>
      <c r="S114">
        <f t="shared" si="176"/>
        <v>1.39</v>
      </c>
      <c r="T114" s="30">
        <f t="shared" si="177"/>
        <v>112.41</v>
      </c>
      <c r="U114" s="30">
        <f t="shared" si="184"/>
        <v>110.5</v>
      </c>
    </row>
    <row r="115" spans="1:21" x14ac:dyDescent="0.25">
      <c r="A115" s="5">
        <v>42540</v>
      </c>
      <c r="B115" s="5">
        <f t="shared" si="178"/>
        <v>42551</v>
      </c>
      <c r="C115">
        <v>2071.2199999999998</v>
      </c>
      <c r="D115" s="29">
        <f t="shared" si="179"/>
        <v>-7.4000000000000003E-3</v>
      </c>
      <c r="E115" s="39">
        <f t="shared" si="180"/>
        <v>2070.4215384615381</v>
      </c>
      <c r="F115" s="39">
        <f t="shared" si="181"/>
        <v>2021.7607692307693</v>
      </c>
      <c r="G115" s="29">
        <f t="shared" si="173"/>
        <v>4.0000000000000002E-4</v>
      </c>
      <c r="H115" s="29">
        <f t="shared" si="173"/>
        <v>2.4500000000000001E-2</v>
      </c>
      <c r="I115">
        <f t="shared" si="182"/>
        <v>2071.2199999999998</v>
      </c>
      <c r="J115">
        <f>IF(A115&gt;=Quarterly!B$2,Quarterly!C$2,IF(COUNTIFS(Quarterly!B:B,"&gt;="&amp;A115-92,Quarterly!B:B,"&lt;="&amp;A115)&gt;1,SUMIFS(Quarterly!C:C,Quarterly!B:B,"&gt;="&amp;A115-88,Quarterly!B:B,"&lt;="&amp;A115),SUMIFS(Quarterly!C:C,Quarterly!B:B,"&gt;="&amp;A115-92,Quarterly!B:B,"&lt;="&amp;A115)))</f>
        <v>18325.2</v>
      </c>
      <c r="K115" s="13">
        <f t="shared" si="183"/>
        <v>0.113</v>
      </c>
      <c r="L115">
        <f t="shared" si="185"/>
        <v>2071.2199999999998</v>
      </c>
      <c r="M115">
        <f>IF(A115&gt;=Quarterly!B$2,Quarterly!D$2,IF(COUNTIFS(Quarterly!B:B,"&gt;="&amp;A115-92,Quarterly!B:B,"&lt;="&amp;A115)&gt;1,SUMIFS(Quarterly!D:D,Quarterly!B:B,"&gt;="&amp;A115-88,Quarterly!B:B,"&lt;="&amp;A115),SUMIFS(Quarterly!D:D,Quarterly!B:B,"&gt;="&amp;A115-92,Quarterly!B:B,"&lt;="&amp;A115)))</f>
        <v>1619.64</v>
      </c>
      <c r="N115" s="13">
        <f t="shared" si="186"/>
        <v>0.12787999999999999</v>
      </c>
      <c r="O115">
        <f t="shared" si="174"/>
        <v>2071.2199999999998</v>
      </c>
      <c r="P115" s="56">
        <f>VLOOKUP(EOMONTH(A115,-1),Economic!A:I,7,FALSE)</f>
        <v>1267533</v>
      </c>
      <c r="Q115" s="13">
        <f t="shared" si="175"/>
        <v>0.16339999999999999</v>
      </c>
      <c r="R115" s="41">
        <v>0.92</v>
      </c>
      <c r="S115">
        <f t="shared" si="176"/>
        <v>1.36</v>
      </c>
      <c r="T115" s="30">
        <f t="shared" si="177"/>
        <v>109.71</v>
      </c>
      <c r="U115" s="30">
        <f t="shared" si="184"/>
        <v>109.39</v>
      </c>
    </row>
    <row r="116" spans="1:21" x14ac:dyDescent="0.25">
      <c r="A116" s="5">
        <v>42533</v>
      </c>
      <c r="B116" s="5">
        <f t="shared" si="178"/>
        <v>42551</v>
      </c>
      <c r="C116">
        <v>2096.0700000000002</v>
      </c>
      <c r="D116" s="29">
        <f t="shared" si="179"/>
        <v>1.0500000000000001E-2</v>
      </c>
      <c r="E116" s="39">
        <f t="shared" si="180"/>
        <v>2068.7569230769227</v>
      </c>
      <c r="F116" s="39">
        <f t="shared" si="181"/>
        <v>2018.8584615384614</v>
      </c>
      <c r="G116" s="29">
        <f t="shared" si="173"/>
        <v>1.32E-2</v>
      </c>
      <c r="H116" s="29">
        <f t="shared" si="173"/>
        <v>3.8199999999999998E-2</v>
      </c>
      <c r="I116">
        <f t="shared" si="182"/>
        <v>2096.0700000000002</v>
      </c>
      <c r="J116">
        <f>IF(A116&gt;=Quarterly!B$2,Quarterly!C$2,IF(COUNTIFS(Quarterly!B:B,"&gt;="&amp;A116-92,Quarterly!B:B,"&lt;="&amp;A116)&gt;1,SUMIFS(Quarterly!C:C,Quarterly!B:B,"&gt;="&amp;A116-88,Quarterly!B:B,"&lt;="&amp;A116),SUMIFS(Quarterly!C:C,Quarterly!B:B,"&gt;="&amp;A116-92,Quarterly!B:B,"&lt;="&amp;A116)))</f>
        <v>18325.2</v>
      </c>
      <c r="K116" s="13">
        <f t="shared" si="183"/>
        <v>0.1144</v>
      </c>
      <c r="L116">
        <f t="shared" si="185"/>
        <v>2096.0700000000002</v>
      </c>
      <c r="M116">
        <f>IF(A116&gt;=Quarterly!B$2,Quarterly!D$2,IF(COUNTIFS(Quarterly!B:B,"&gt;="&amp;A116-92,Quarterly!B:B,"&lt;="&amp;A116)&gt;1,SUMIFS(Quarterly!D:D,Quarterly!B:B,"&gt;="&amp;A116-88,Quarterly!B:B,"&lt;="&amp;A116),SUMIFS(Quarterly!D:D,Quarterly!B:B,"&gt;="&amp;A116-92,Quarterly!B:B,"&lt;="&amp;A116)))</f>
        <v>1619.64</v>
      </c>
      <c r="N116" s="13">
        <f t="shared" si="186"/>
        <v>0.12942000000000001</v>
      </c>
      <c r="O116">
        <f t="shared" si="174"/>
        <v>2096.0700000000002</v>
      </c>
      <c r="P116" s="56">
        <f>VLOOKUP(EOMONTH(A116,-1),Economic!A:I,7,FALSE)</f>
        <v>1267533</v>
      </c>
      <c r="Q116" s="13">
        <f t="shared" si="175"/>
        <v>0.16540000000000002</v>
      </c>
      <c r="R116" s="41">
        <v>0.91</v>
      </c>
      <c r="S116">
        <f t="shared" si="176"/>
        <v>1.39</v>
      </c>
      <c r="T116" s="30">
        <f t="shared" si="177"/>
        <v>109.39</v>
      </c>
      <c r="U116" s="30">
        <f t="shared" si="184"/>
        <v>109.58</v>
      </c>
    </row>
    <row r="117" spans="1:21" x14ac:dyDescent="0.25">
      <c r="A117" s="5">
        <v>42526</v>
      </c>
      <c r="B117" s="5">
        <f t="shared" si="178"/>
        <v>42551</v>
      </c>
      <c r="C117">
        <v>2099.13</v>
      </c>
      <c r="D117" s="29">
        <f t="shared" si="179"/>
        <v>1.7100000000000001E-2</v>
      </c>
      <c r="E117" s="39">
        <f t="shared" si="180"/>
        <v>2063.0738461538458</v>
      </c>
      <c r="F117" s="39">
        <f t="shared" si="181"/>
        <v>2015.3964102564105</v>
      </c>
      <c r="G117" s="29">
        <f t="shared" si="173"/>
        <v>1.7500000000000002E-2</v>
      </c>
      <c r="H117" s="29">
        <f t="shared" si="173"/>
        <v>4.1500000000000002E-2</v>
      </c>
      <c r="I117">
        <f t="shared" si="182"/>
        <v>2099.13</v>
      </c>
      <c r="J117">
        <f>IF(A117&gt;=Quarterly!B$2,Quarterly!C$2,IF(COUNTIFS(Quarterly!B:B,"&gt;="&amp;A117-92,Quarterly!B:B,"&lt;="&amp;A117)&gt;1,SUMIFS(Quarterly!C:C,Quarterly!B:B,"&gt;="&amp;A117-88,Quarterly!B:B,"&lt;="&amp;A117),SUMIFS(Quarterly!C:C,Quarterly!B:B,"&gt;="&amp;A117-92,Quarterly!B:B,"&lt;="&amp;A117)))</f>
        <v>18325.2</v>
      </c>
      <c r="K117" s="13">
        <f t="shared" si="183"/>
        <v>0.1145</v>
      </c>
      <c r="L117">
        <f t="shared" si="185"/>
        <v>2099.13</v>
      </c>
      <c r="M117">
        <f>IF(A117&gt;=Quarterly!B$2,Quarterly!D$2,IF(COUNTIFS(Quarterly!B:B,"&gt;="&amp;A117-92,Quarterly!B:B,"&lt;="&amp;A117)&gt;1,SUMIFS(Quarterly!D:D,Quarterly!B:B,"&gt;="&amp;A117-88,Quarterly!B:B,"&lt;="&amp;A117),SUMIFS(Quarterly!D:D,Quarterly!B:B,"&gt;="&amp;A117-92,Quarterly!B:B,"&lt;="&amp;A117)))</f>
        <v>1619.64</v>
      </c>
      <c r="N117" s="13">
        <f t="shared" si="186"/>
        <v>0.12960000000000002</v>
      </c>
      <c r="O117">
        <f t="shared" si="174"/>
        <v>2099.13</v>
      </c>
      <c r="P117" s="56">
        <f>VLOOKUP(EOMONTH(A117,-1),Economic!A:I,7,FALSE)</f>
        <v>1267533</v>
      </c>
      <c r="Q117" s="13">
        <f t="shared" si="175"/>
        <v>0.1656</v>
      </c>
      <c r="R117" s="41">
        <v>0.93</v>
      </c>
      <c r="S117">
        <f t="shared" si="176"/>
        <v>1.36</v>
      </c>
      <c r="T117" s="30">
        <f t="shared" si="177"/>
        <v>109.08</v>
      </c>
      <c r="U117" s="30">
        <f t="shared" si="184"/>
        <v>110.69</v>
      </c>
    </row>
    <row r="118" spans="1:21" x14ac:dyDescent="0.25">
      <c r="A118" s="5">
        <v>42519</v>
      </c>
      <c r="B118" s="5">
        <f t="shared" si="178"/>
        <v>42521</v>
      </c>
      <c r="C118">
        <v>2099.06</v>
      </c>
      <c r="D118" s="29">
        <f t="shared" si="179"/>
        <v>2.1299999999999999E-2</v>
      </c>
      <c r="E118" s="39">
        <f t="shared" si="180"/>
        <v>2055.4476923076923</v>
      </c>
      <c r="F118" s="39">
        <f t="shared" si="181"/>
        <v>2010.8346153846155</v>
      </c>
      <c r="G118" s="29">
        <f t="shared" si="173"/>
        <v>2.12E-2</v>
      </c>
      <c r="H118" s="29">
        <f t="shared" si="173"/>
        <v>4.3900000000000002E-2</v>
      </c>
      <c r="I118">
        <f t="shared" si="182"/>
        <v>2099.06</v>
      </c>
      <c r="J118">
        <f>IF(A118&gt;=Quarterly!B$2,Quarterly!C$2,IF(COUNTIFS(Quarterly!B:B,"&gt;="&amp;A118-92,Quarterly!B:B,"&lt;="&amp;A118)&gt;1,SUMIFS(Quarterly!C:C,Quarterly!B:B,"&gt;="&amp;A118-88,Quarterly!B:B,"&lt;="&amp;A118),SUMIFS(Quarterly!C:C,Quarterly!B:B,"&gt;="&amp;A118-92,Quarterly!B:B,"&lt;="&amp;A118)))</f>
        <v>18325.2</v>
      </c>
      <c r="K118" s="13">
        <f t="shared" si="183"/>
        <v>0.1145</v>
      </c>
      <c r="L118">
        <f t="shared" si="185"/>
        <v>2099.06</v>
      </c>
      <c r="M118">
        <f>IF(A118&gt;=Quarterly!B$2,Quarterly!D$2,IF(COUNTIFS(Quarterly!B:B,"&gt;="&amp;A118-92,Quarterly!B:B,"&lt;="&amp;A118)&gt;1,SUMIFS(Quarterly!D:D,Quarterly!B:B,"&gt;="&amp;A118-88,Quarterly!B:B,"&lt;="&amp;A118),SUMIFS(Quarterly!D:D,Quarterly!B:B,"&gt;="&amp;A118-92,Quarterly!B:B,"&lt;="&amp;A118)))</f>
        <v>1619.64</v>
      </c>
      <c r="N118" s="13">
        <f t="shared" si="186"/>
        <v>0.12960000000000002</v>
      </c>
      <c r="O118">
        <f t="shared" si="174"/>
        <v>2099.06</v>
      </c>
      <c r="P118" s="56">
        <f>VLOOKUP(EOMONTH(A118,-1),Economic!A:I,7,FALSE)</f>
        <v>1269644</v>
      </c>
      <c r="Q118" s="13">
        <f t="shared" si="175"/>
        <v>0.1653</v>
      </c>
      <c r="R118" s="41">
        <v>0.95</v>
      </c>
      <c r="S118">
        <f t="shared" si="176"/>
        <v>1.37</v>
      </c>
      <c r="T118" s="30">
        <f t="shared" si="177"/>
        <v>110.26</v>
      </c>
      <c r="U118" s="30">
        <f t="shared" si="184"/>
        <v>113.73</v>
      </c>
    </row>
    <row r="119" spans="1:21" x14ac:dyDescent="0.25">
      <c r="A119" s="5">
        <v>42512</v>
      </c>
      <c r="B119" s="5">
        <f t="shared" si="178"/>
        <v>42521</v>
      </c>
      <c r="C119">
        <v>2052.3200000000002</v>
      </c>
      <c r="D119" s="29">
        <f t="shared" si="179"/>
        <v>-6.1999999999999998E-3</v>
      </c>
      <c r="E119" s="39">
        <f t="shared" si="180"/>
        <v>2043.831538461538</v>
      </c>
      <c r="F119" s="39">
        <f t="shared" si="181"/>
        <v>2008.0092307692307</v>
      </c>
      <c r="G119" s="29">
        <f t="shared" si="173"/>
        <v>4.1999999999999997E-3</v>
      </c>
      <c r="H119" s="29">
        <f t="shared" si="173"/>
        <v>2.2100000000000002E-2</v>
      </c>
      <c r="I119">
        <f t="shared" si="182"/>
        <v>2052.3200000000002</v>
      </c>
      <c r="J119">
        <f>IF(A119&gt;=Quarterly!B$2,Quarterly!C$2,IF(COUNTIFS(Quarterly!B:B,"&gt;="&amp;A119-92,Quarterly!B:B,"&lt;="&amp;A119)&gt;1,SUMIFS(Quarterly!C:C,Quarterly!B:B,"&gt;="&amp;A119-88,Quarterly!B:B,"&lt;="&amp;A119),SUMIFS(Quarterly!C:C,Quarterly!B:B,"&gt;="&amp;A119-92,Quarterly!B:B,"&lt;="&amp;A119)))</f>
        <v>18325.2</v>
      </c>
      <c r="K119" s="13">
        <f t="shared" si="183"/>
        <v>0.112</v>
      </c>
      <c r="L119">
        <f t="shared" si="185"/>
        <v>2052.3200000000002</v>
      </c>
      <c r="M119">
        <f>IF(A119&gt;=Quarterly!B$2,Quarterly!D$2,IF(COUNTIFS(Quarterly!B:B,"&gt;="&amp;A119-92,Quarterly!B:B,"&lt;="&amp;A119)&gt;1,SUMIFS(Quarterly!D:D,Quarterly!B:B,"&gt;="&amp;A119-88,Quarterly!B:B,"&lt;="&amp;A119),SUMIFS(Quarterly!D:D,Quarterly!B:B,"&gt;="&amp;A119-92,Quarterly!B:B,"&lt;="&amp;A119)))</f>
        <v>1619.64</v>
      </c>
      <c r="N119" s="13">
        <f t="shared" si="186"/>
        <v>0.12670999999999999</v>
      </c>
      <c r="O119">
        <f t="shared" si="174"/>
        <v>2052.3200000000002</v>
      </c>
      <c r="P119" s="56">
        <f>VLOOKUP(EOMONTH(A119,-1),Economic!A:I,7,FALSE)</f>
        <v>1269644</v>
      </c>
      <c r="Q119" s="13">
        <f t="shared" si="175"/>
        <v>0.16159999999999999</v>
      </c>
      <c r="R119" s="41">
        <v>0.96</v>
      </c>
      <c r="S119">
        <f t="shared" si="176"/>
        <v>1.33</v>
      </c>
      <c r="T119" s="30">
        <f t="shared" si="177"/>
        <v>112.74</v>
      </c>
      <c r="U119" s="30">
        <f t="shared" si="184"/>
        <v>117.48</v>
      </c>
    </row>
    <row r="120" spans="1:21" x14ac:dyDescent="0.25">
      <c r="A120" s="5">
        <v>42505</v>
      </c>
      <c r="B120" s="5">
        <f t="shared" si="178"/>
        <v>42521</v>
      </c>
      <c r="C120">
        <v>2046.61</v>
      </c>
      <c r="D120" s="29">
        <f t="shared" si="179"/>
        <v>-1.3100000000000001E-2</v>
      </c>
      <c r="E120" s="39">
        <f t="shared" si="180"/>
        <v>2033.4823076923078</v>
      </c>
      <c r="F120" s="39">
        <f t="shared" si="181"/>
        <v>2005.9212820512819</v>
      </c>
      <c r="G120" s="29">
        <f t="shared" si="173"/>
        <v>6.4999999999999997E-3</v>
      </c>
      <c r="H120" s="29">
        <f t="shared" si="173"/>
        <v>2.0299999999999999E-2</v>
      </c>
      <c r="I120">
        <f t="shared" si="182"/>
        <v>2046.61</v>
      </c>
      <c r="J120">
        <f>IF(A120&gt;=Quarterly!B$2,Quarterly!C$2,IF(COUNTIFS(Quarterly!B:B,"&gt;="&amp;A120-92,Quarterly!B:B,"&lt;="&amp;A120)&gt;1,SUMIFS(Quarterly!C:C,Quarterly!B:B,"&gt;="&amp;A120-88,Quarterly!B:B,"&lt;="&amp;A120),SUMIFS(Quarterly!C:C,Quarterly!B:B,"&gt;="&amp;A120-92,Quarterly!B:B,"&lt;="&amp;A120)))</f>
        <v>18325.2</v>
      </c>
      <c r="K120" s="13">
        <f t="shared" si="183"/>
        <v>0.11169999999999999</v>
      </c>
      <c r="L120">
        <f t="shared" si="185"/>
        <v>2046.61</v>
      </c>
      <c r="M120">
        <f>IF(A120&gt;=Quarterly!B$2,Quarterly!D$2,IF(COUNTIFS(Quarterly!B:B,"&gt;="&amp;A120-92,Quarterly!B:B,"&lt;="&amp;A120)&gt;1,SUMIFS(Quarterly!D:D,Quarterly!B:B,"&gt;="&amp;A120-88,Quarterly!B:B,"&lt;="&amp;A120),SUMIFS(Quarterly!D:D,Quarterly!B:B,"&gt;="&amp;A120-92,Quarterly!B:B,"&lt;="&amp;A120)))</f>
        <v>1619.64</v>
      </c>
      <c r="N120" s="13">
        <f t="shared" si="186"/>
        <v>0.12636</v>
      </c>
      <c r="O120">
        <f t="shared" si="174"/>
        <v>2046.61</v>
      </c>
      <c r="P120" s="56">
        <f>VLOOKUP(EOMONTH(A120,-1),Economic!A:I,7,FALSE)</f>
        <v>1269644</v>
      </c>
      <c r="Q120" s="13">
        <f t="shared" si="175"/>
        <v>0.16119999999999998</v>
      </c>
      <c r="R120" s="41">
        <v>0.95</v>
      </c>
      <c r="S120">
        <f t="shared" si="176"/>
        <v>1.45</v>
      </c>
      <c r="T120" s="30">
        <f t="shared" si="177"/>
        <v>118.18</v>
      </c>
      <c r="U120" s="30">
        <f t="shared" si="184"/>
        <v>119.47</v>
      </c>
    </row>
    <row r="121" spans="1:21" x14ac:dyDescent="0.25">
      <c r="A121" s="5">
        <v>42498</v>
      </c>
      <c r="B121" s="5">
        <f t="shared" si="178"/>
        <v>42521</v>
      </c>
      <c r="C121">
        <v>2057.14</v>
      </c>
      <c r="D121" s="29">
        <f t="shared" si="179"/>
        <v>-6.7999999999999996E-3</v>
      </c>
      <c r="E121" s="39">
        <f t="shared" si="180"/>
        <v>2019.4953846153844</v>
      </c>
      <c r="F121" s="39">
        <f t="shared" si="181"/>
        <v>2007.0733333333333</v>
      </c>
      <c r="G121" s="29">
        <f t="shared" si="173"/>
        <v>1.8599999999999998E-2</v>
      </c>
      <c r="H121" s="29">
        <f t="shared" si="173"/>
        <v>2.4899999999999999E-2</v>
      </c>
      <c r="I121">
        <f t="shared" si="182"/>
        <v>2057.14</v>
      </c>
      <c r="J121">
        <f>IF(A121&gt;=Quarterly!B$2,Quarterly!C$2,IF(COUNTIFS(Quarterly!B:B,"&gt;="&amp;A121-92,Quarterly!B:B,"&lt;="&amp;A121)&gt;1,SUMIFS(Quarterly!C:C,Quarterly!B:B,"&gt;="&amp;A121-88,Quarterly!B:B,"&lt;="&amp;A121),SUMIFS(Quarterly!C:C,Quarterly!B:B,"&gt;="&amp;A121-92,Quarterly!B:B,"&lt;="&amp;A121)))</f>
        <v>18325.2</v>
      </c>
      <c r="K121" s="13">
        <f t="shared" si="183"/>
        <v>0.1123</v>
      </c>
      <c r="L121">
        <f t="shared" si="185"/>
        <v>2057.14</v>
      </c>
      <c r="M121">
        <f>IF(A121&gt;=Quarterly!B$2,Quarterly!D$2,IF(COUNTIFS(Quarterly!B:B,"&gt;="&amp;A121-92,Quarterly!B:B,"&lt;="&amp;A121)&gt;1,SUMIFS(Quarterly!D:D,Quarterly!B:B,"&gt;="&amp;A121-88,Quarterly!B:B,"&lt;="&amp;A121),SUMIFS(Quarterly!D:D,Quarterly!B:B,"&gt;="&amp;A121-92,Quarterly!B:B,"&lt;="&amp;A121)))</f>
        <v>1619.64</v>
      </c>
      <c r="N121" s="13">
        <f t="shared" si="186"/>
        <v>0.12701000000000001</v>
      </c>
      <c r="O121">
        <f t="shared" si="174"/>
        <v>2057.14</v>
      </c>
      <c r="P121" s="56">
        <f>VLOOKUP(EOMONTH(A121,-1),Economic!A:I,7,FALSE)</f>
        <v>1269644</v>
      </c>
      <c r="Q121" s="13">
        <f t="shared" si="175"/>
        <v>0.16199999999999998</v>
      </c>
      <c r="R121" s="41">
        <v>1.05</v>
      </c>
      <c r="S121">
        <f t="shared" si="176"/>
        <v>1.51</v>
      </c>
      <c r="T121" s="30">
        <f t="shared" si="177"/>
        <v>121.52</v>
      </c>
      <c r="U121" s="30">
        <f t="shared" si="184"/>
        <v>119.5</v>
      </c>
    </row>
    <row r="122" spans="1:21" x14ac:dyDescent="0.25">
      <c r="A122" s="5">
        <v>42491</v>
      </c>
      <c r="B122" s="5">
        <f t="shared" si="178"/>
        <v>42521</v>
      </c>
      <c r="C122">
        <v>2065.3000000000002</v>
      </c>
      <c r="D122" s="29">
        <f t="shared" si="179"/>
        <v>-3.8E-3</v>
      </c>
      <c r="E122" s="39">
        <f t="shared" si="180"/>
        <v>2005.8730769230767</v>
      </c>
      <c r="F122" s="39">
        <f t="shared" si="181"/>
        <v>2007.5971794871798</v>
      </c>
      <c r="G122" s="29">
        <f t="shared" si="173"/>
        <v>2.9600000000000001E-2</v>
      </c>
      <c r="H122" s="29">
        <f t="shared" si="173"/>
        <v>2.87E-2</v>
      </c>
      <c r="I122">
        <f t="shared" si="182"/>
        <v>2065.3000000000002</v>
      </c>
      <c r="J122">
        <f>IF(A122&gt;=Quarterly!B$2,Quarterly!C$2,IF(COUNTIFS(Quarterly!B:B,"&gt;="&amp;A122-92,Quarterly!B:B,"&lt;="&amp;A122)&gt;1,SUMIFS(Quarterly!C:C,Quarterly!B:B,"&gt;="&amp;A122-88,Quarterly!B:B,"&lt;="&amp;A122),SUMIFS(Quarterly!C:C,Quarterly!B:B,"&gt;="&amp;A122-92,Quarterly!B:B,"&lt;="&amp;A122)))</f>
        <v>18325.2</v>
      </c>
      <c r="K122" s="13">
        <f t="shared" si="183"/>
        <v>0.11269999999999999</v>
      </c>
      <c r="L122">
        <f t="shared" si="185"/>
        <v>2065.3000000000002</v>
      </c>
      <c r="M122">
        <f>IF(A122&gt;=Quarterly!B$2,Quarterly!D$2,IF(COUNTIFS(Quarterly!B:B,"&gt;="&amp;A122-92,Quarterly!B:B,"&lt;="&amp;A122)&gt;1,SUMIFS(Quarterly!D:D,Quarterly!B:B,"&gt;="&amp;A122-88,Quarterly!B:B,"&lt;="&amp;A122),SUMIFS(Quarterly!D:D,Quarterly!B:B,"&gt;="&amp;A122-92,Quarterly!B:B,"&lt;="&amp;A122)))</f>
        <v>1619.64</v>
      </c>
      <c r="N122" s="13">
        <f t="shared" si="186"/>
        <v>0.12751999999999999</v>
      </c>
      <c r="O122">
        <f t="shared" si="174"/>
        <v>2065.3000000000002</v>
      </c>
      <c r="P122" s="56">
        <f>VLOOKUP(EOMONTH(A122,-1),Economic!A:I,7,FALSE)</f>
        <v>1269644</v>
      </c>
      <c r="Q122" s="13">
        <f t="shared" si="175"/>
        <v>0.16270000000000001</v>
      </c>
      <c r="R122" s="41">
        <v>1.06</v>
      </c>
      <c r="S122">
        <f t="shared" si="176"/>
        <v>1.37</v>
      </c>
      <c r="T122" s="30">
        <f t="shared" si="177"/>
        <v>118.7</v>
      </c>
      <c r="U122" s="30">
        <f t="shared" si="184"/>
        <v>118.22</v>
      </c>
    </row>
    <row r="123" spans="1:21" x14ac:dyDescent="0.25">
      <c r="A123" s="5">
        <v>42484</v>
      </c>
      <c r="B123" s="5">
        <f t="shared" si="178"/>
        <v>42490</v>
      </c>
      <c r="C123">
        <v>2091.58</v>
      </c>
      <c r="D123" s="29">
        <f t="shared" si="179"/>
        <v>1.5699999999999999E-2</v>
      </c>
      <c r="E123" s="39">
        <f t="shared" si="180"/>
        <v>1996.2530769230771</v>
      </c>
      <c r="F123" s="39">
        <f t="shared" si="181"/>
        <v>2008.5853846153846</v>
      </c>
      <c r="G123" s="29">
        <f t="shared" si="173"/>
        <v>4.7800000000000002E-2</v>
      </c>
      <c r="H123" s="29">
        <f t="shared" si="173"/>
        <v>4.1300000000000003E-2</v>
      </c>
      <c r="I123">
        <f t="shared" si="182"/>
        <v>2091.58</v>
      </c>
      <c r="J123">
        <f>IF(A123&gt;=Quarterly!B$2,Quarterly!C$2,IF(COUNTIFS(Quarterly!B:B,"&gt;="&amp;A123-92,Quarterly!B:B,"&lt;="&amp;A123)&gt;1,SUMIFS(Quarterly!C:C,Quarterly!B:B,"&gt;="&amp;A123-88,Quarterly!B:B,"&lt;="&amp;A123),SUMIFS(Quarterly!C:C,Quarterly!B:B,"&gt;="&amp;A123-92,Quarterly!B:B,"&lt;="&amp;A123)))</f>
        <v>18287.2</v>
      </c>
      <c r="K123" s="13">
        <f t="shared" si="183"/>
        <v>0.1144</v>
      </c>
      <c r="L123">
        <f t="shared" si="185"/>
        <v>2091.58</v>
      </c>
      <c r="M123">
        <f>IF(A123&gt;=Quarterly!B$2,Quarterly!D$2,IF(COUNTIFS(Quarterly!B:B,"&gt;="&amp;A123-92,Quarterly!B:B,"&lt;="&amp;A123)&gt;1,SUMIFS(Quarterly!D:D,Quarterly!B:B,"&gt;="&amp;A123-88,Quarterly!B:B,"&lt;="&amp;A123),SUMIFS(Quarterly!D:D,Quarterly!B:B,"&gt;="&amp;A123-92,Quarterly!B:B,"&lt;="&amp;A123)))</f>
        <v>1494.904</v>
      </c>
      <c r="N123" s="13">
        <f t="shared" si="186"/>
        <v>0.13991000000000001</v>
      </c>
      <c r="O123">
        <f t="shared" si="174"/>
        <v>2091.58</v>
      </c>
      <c r="P123" s="56">
        <f>VLOOKUP(EOMONTH(A123,-1),Economic!A:I,7,FALSE)</f>
        <v>1277902</v>
      </c>
      <c r="Q123" s="13">
        <f t="shared" si="175"/>
        <v>0.16370000000000001</v>
      </c>
      <c r="R123" s="41">
        <v>1.05</v>
      </c>
      <c r="S123">
        <f t="shared" si="176"/>
        <v>1.46</v>
      </c>
      <c r="T123" s="30">
        <f t="shared" si="177"/>
        <v>118.27</v>
      </c>
      <c r="U123" s="30">
        <f t="shared" si="184"/>
        <v>118.53</v>
      </c>
    </row>
    <row r="124" spans="1:21" x14ac:dyDescent="0.25">
      <c r="A124" s="5">
        <v>42477</v>
      </c>
      <c r="B124" s="5">
        <f t="shared" si="178"/>
        <v>42490</v>
      </c>
      <c r="C124">
        <v>2080.73</v>
      </c>
      <c r="D124" s="29">
        <f t="shared" si="179"/>
        <v>1.43E-2</v>
      </c>
      <c r="E124" s="39">
        <f t="shared" si="180"/>
        <v>1982.0469230769231</v>
      </c>
      <c r="F124" s="39">
        <f t="shared" si="181"/>
        <v>2008.279487179487</v>
      </c>
      <c r="G124" s="29">
        <f t="shared" si="173"/>
        <v>4.9799999999999997E-2</v>
      </c>
      <c r="H124" s="29">
        <f t="shared" si="173"/>
        <v>3.61E-2</v>
      </c>
      <c r="I124">
        <f t="shared" si="182"/>
        <v>2080.73</v>
      </c>
      <c r="J124">
        <f>IF(A124&gt;=Quarterly!B$2,Quarterly!C$2,IF(COUNTIFS(Quarterly!B:B,"&gt;="&amp;A124-92,Quarterly!B:B,"&lt;="&amp;A124)&gt;1,SUMIFS(Quarterly!C:C,Quarterly!B:B,"&gt;="&amp;A124-88,Quarterly!B:B,"&lt;="&amp;A124),SUMIFS(Quarterly!C:C,Quarterly!B:B,"&gt;="&amp;A124-92,Quarterly!B:B,"&lt;="&amp;A124)))</f>
        <v>18287.2</v>
      </c>
      <c r="K124" s="13">
        <f t="shared" si="183"/>
        <v>0.1138</v>
      </c>
      <c r="L124">
        <f t="shared" si="185"/>
        <v>2080.73</v>
      </c>
      <c r="M124">
        <f>IF(A124&gt;=Quarterly!B$2,Quarterly!D$2,IF(COUNTIFS(Quarterly!B:B,"&gt;="&amp;A124-92,Quarterly!B:B,"&lt;="&amp;A124)&gt;1,SUMIFS(Quarterly!D:D,Quarterly!B:B,"&gt;="&amp;A124-88,Quarterly!B:B,"&lt;="&amp;A124),SUMIFS(Quarterly!D:D,Quarterly!B:B,"&gt;="&amp;A124-92,Quarterly!B:B,"&lt;="&amp;A124)))</f>
        <v>1494.904</v>
      </c>
      <c r="N124" s="13">
        <f t="shared" si="186"/>
        <v>0.13919000000000001</v>
      </c>
      <c r="O124">
        <f t="shared" si="174"/>
        <v>2080.73</v>
      </c>
      <c r="P124" s="56">
        <f>VLOOKUP(EOMONTH(A124,-1),Economic!A:I,7,FALSE)</f>
        <v>1277902</v>
      </c>
      <c r="Q124" s="13">
        <f t="shared" si="175"/>
        <v>0.1628</v>
      </c>
      <c r="R124" s="41">
        <v>1.02</v>
      </c>
      <c r="S124">
        <f t="shared" si="176"/>
        <v>1.36</v>
      </c>
      <c r="T124" s="30">
        <f t="shared" si="177"/>
        <v>117.68</v>
      </c>
      <c r="U124" s="30">
        <f t="shared" si="184"/>
        <v>118.18</v>
      </c>
    </row>
    <row r="125" spans="1:21" x14ac:dyDescent="0.25">
      <c r="A125" s="5">
        <v>42470</v>
      </c>
      <c r="B125" s="5">
        <f t="shared" si="178"/>
        <v>42490</v>
      </c>
      <c r="C125">
        <v>2047.6</v>
      </c>
      <c r="D125" s="29">
        <f t="shared" si="179"/>
        <v>1.1999999999999999E-3</v>
      </c>
      <c r="E125" s="39">
        <f t="shared" si="180"/>
        <v>1966.6315384615384</v>
      </c>
      <c r="F125" s="39">
        <f t="shared" si="181"/>
        <v>2009.4566666666667</v>
      </c>
      <c r="G125" s="29">
        <f t="shared" si="173"/>
        <v>4.1200000000000001E-2</v>
      </c>
      <c r="H125" s="29">
        <f t="shared" si="173"/>
        <v>1.9E-2</v>
      </c>
      <c r="I125">
        <f t="shared" si="182"/>
        <v>2047.6</v>
      </c>
      <c r="J125">
        <f>IF(A125&gt;=Quarterly!B$2,Quarterly!C$2,IF(COUNTIFS(Quarterly!B:B,"&gt;="&amp;A125-92,Quarterly!B:B,"&lt;="&amp;A125)&gt;1,SUMIFS(Quarterly!C:C,Quarterly!B:B,"&gt;="&amp;A125-88,Quarterly!B:B,"&lt;="&amp;A125),SUMIFS(Quarterly!C:C,Quarterly!B:B,"&gt;="&amp;A125-92,Quarterly!B:B,"&lt;="&amp;A125)))</f>
        <v>18287.2</v>
      </c>
      <c r="K125" s="13">
        <f t="shared" si="183"/>
        <v>0.112</v>
      </c>
      <c r="L125">
        <f t="shared" si="185"/>
        <v>2047.6</v>
      </c>
      <c r="M125">
        <f>IF(A125&gt;=Quarterly!B$2,Quarterly!D$2,IF(COUNTIFS(Quarterly!B:B,"&gt;="&amp;A125-92,Quarterly!B:B,"&lt;="&amp;A125)&gt;1,SUMIFS(Quarterly!D:D,Quarterly!B:B,"&gt;="&amp;A125-88,Quarterly!B:B,"&lt;="&amp;A125),SUMIFS(Quarterly!D:D,Quarterly!B:B,"&gt;="&amp;A125-92,Quarterly!B:B,"&lt;="&amp;A125)))</f>
        <v>1494.904</v>
      </c>
      <c r="N125" s="13">
        <f t="shared" si="186"/>
        <v>0.13697000000000001</v>
      </c>
      <c r="O125">
        <f t="shared" si="174"/>
        <v>2047.6</v>
      </c>
      <c r="P125" s="56">
        <f>VLOOKUP(EOMONTH(A125,-1),Economic!A:I,7,FALSE)</f>
        <v>1277902</v>
      </c>
      <c r="Q125" s="13">
        <f t="shared" si="175"/>
        <v>0.16019999999999998</v>
      </c>
      <c r="R125" s="41">
        <v>1.02</v>
      </c>
      <c r="S125">
        <f t="shared" si="176"/>
        <v>1.3</v>
      </c>
      <c r="T125" s="30">
        <f t="shared" si="177"/>
        <v>119.63</v>
      </c>
      <c r="U125" s="30">
        <f t="shared" si="184"/>
        <v>119.58</v>
      </c>
    </row>
    <row r="126" spans="1:21" x14ac:dyDescent="0.25">
      <c r="A126" s="5">
        <v>42463</v>
      </c>
      <c r="B126" s="5">
        <f t="shared" si="178"/>
        <v>42490</v>
      </c>
      <c r="C126">
        <v>2072.7800000000002</v>
      </c>
      <c r="D126" s="29">
        <f t="shared" si="179"/>
        <v>2.2599999999999999E-2</v>
      </c>
      <c r="E126" s="39">
        <f t="shared" si="180"/>
        <v>1956.9723076923076</v>
      </c>
      <c r="F126" s="39">
        <f t="shared" si="181"/>
        <v>2010.2007692307689</v>
      </c>
      <c r="G126" s="29">
        <f t="shared" si="173"/>
        <v>5.9200000000000003E-2</v>
      </c>
      <c r="H126" s="29">
        <f t="shared" si="173"/>
        <v>3.1099999999999999E-2</v>
      </c>
      <c r="I126">
        <f t="shared" si="182"/>
        <v>2072.7800000000002</v>
      </c>
      <c r="J126">
        <f>IF(A126&gt;=Quarterly!B$2,Quarterly!C$2,IF(COUNTIFS(Quarterly!B:B,"&gt;="&amp;A126-92,Quarterly!B:B,"&lt;="&amp;A126)&gt;1,SUMIFS(Quarterly!C:C,Quarterly!B:B,"&gt;="&amp;A126-88,Quarterly!B:B,"&lt;="&amp;A126),SUMIFS(Quarterly!C:C,Quarterly!B:B,"&gt;="&amp;A126-92,Quarterly!B:B,"&lt;="&amp;A126)))</f>
        <v>18287.2</v>
      </c>
      <c r="K126" s="13">
        <f t="shared" si="183"/>
        <v>0.1133</v>
      </c>
      <c r="L126">
        <f t="shared" si="185"/>
        <v>2072.7800000000002</v>
      </c>
      <c r="M126">
        <f>IF(A126&gt;=Quarterly!B$2,Quarterly!D$2,IF(COUNTIFS(Quarterly!B:B,"&gt;="&amp;A126-92,Quarterly!B:B,"&lt;="&amp;A126)&gt;1,SUMIFS(Quarterly!D:D,Quarterly!B:B,"&gt;="&amp;A126-88,Quarterly!B:B,"&lt;="&amp;A126),SUMIFS(Quarterly!D:D,Quarterly!B:B,"&gt;="&amp;A126-92,Quarterly!B:B,"&lt;="&amp;A126)))</f>
        <v>1494.904</v>
      </c>
      <c r="N126" s="13">
        <f t="shared" si="186"/>
        <v>0.13866000000000001</v>
      </c>
      <c r="O126">
        <f t="shared" si="174"/>
        <v>2072.7800000000002</v>
      </c>
      <c r="P126" s="56">
        <f>VLOOKUP(EOMONTH(A126,-1),Economic!A:I,7,FALSE)</f>
        <v>1277902</v>
      </c>
      <c r="Q126" s="13">
        <f t="shared" si="175"/>
        <v>0.16219999999999998</v>
      </c>
      <c r="R126" s="41">
        <v>1.03</v>
      </c>
      <c r="S126">
        <f t="shared" si="176"/>
        <v>1.21</v>
      </c>
      <c r="T126" s="30">
        <f t="shared" si="177"/>
        <v>117.24</v>
      </c>
      <c r="U126" s="30">
        <f t="shared" si="184"/>
        <v>120.54</v>
      </c>
    </row>
    <row r="127" spans="1:21" x14ac:dyDescent="0.25">
      <c r="A127" s="5">
        <v>42456</v>
      </c>
      <c r="B127" s="5">
        <f t="shared" si="178"/>
        <v>42460</v>
      </c>
      <c r="C127">
        <v>2035.94</v>
      </c>
      <c r="D127" s="29">
        <f t="shared" si="179"/>
        <v>1.55E-2</v>
      </c>
      <c r="E127" s="39">
        <f t="shared" si="180"/>
        <v>1954.7538461538461</v>
      </c>
      <c r="F127" s="39">
        <f t="shared" si="181"/>
        <v>2010.3033333333331</v>
      </c>
      <c r="G127" s="29">
        <f t="shared" si="173"/>
        <v>4.1500000000000002E-2</v>
      </c>
      <c r="H127" s="29">
        <f t="shared" si="173"/>
        <v>1.2800000000000001E-2</v>
      </c>
      <c r="I127">
        <f t="shared" si="182"/>
        <v>2035.94</v>
      </c>
      <c r="J127">
        <f>IF(A127&gt;=Quarterly!B$2,Quarterly!C$2,IF(COUNTIFS(Quarterly!B:B,"&gt;="&amp;A127-92,Quarterly!B:B,"&lt;="&amp;A127)&gt;1,SUMIFS(Quarterly!C:C,Quarterly!B:B,"&gt;="&amp;A127-88,Quarterly!B:B,"&lt;="&amp;A127),SUMIFS(Quarterly!C:C,Quarterly!B:B,"&gt;="&amp;A127-92,Quarterly!B:B,"&lt;="&amp;A127)))</f>
        <v>18287.2</v>
      </c>
      <c r="K127" s="13">
        <f t="shared" si="183"/>
        <v>0.1113</v>
      </c>
      <c r="L127">
        <f t="shared" si="185"/>
        <v>2035.94</v>
      </c>
      <c r="M127">
        <f>IF(A127&gt;=Quarterly!B$2,Quarterly!D$2,IF(COUNTIFS(Quarterly!B:B,"&gt;="&amp;A127-92,Quarterly!B:B,"&lt;="&amp;A127)&gt;1,SUMIFS(Quarterly!D:D,Quarterly!B:B,"&gt;="&amp;A127-88,Quarterly!B:B,"&lt;="&amp;A127),SUMIFS(Quarterly!D:D,Quarterly!B:B,"&gt;="&amp;A127-92,Quarterly!B:B,"&lt;="&amp;A127)))</f>
        <v>1494.904</v>
      </c>
      <c r="N127" s="13">
        <f t="shared" si="186"/>
        <v>0.13619000000000001</v>
      </c>
      <c r="O127">
        <f t="shared" si="174"/>
        <v>2035.94</v>
      </c>
      <c r="P127" s="56">
        <f>VLOOKUP(EOMONTH(A127,-1),Economic!A:I,7,FALSE)</f>
        <v>1286581</v>
      </c>
      <c r="Q127" s="13">
        <f t="shared" si="175"/>
        <v>0.15820000000000001</v>
      </c>
      <c r="R127" s="41">
        <v>1.02</v>
      </c>
      <c r="S127">
        <f t="shared" si="176"/>
        <v>1.29</v>
      </c>
      <c r="T127" s="30">
        <f t="shared" si="177"/>
        <v>121.86</v>
      </c>
      <c r="U127" s="30">
        <f t="shared" si="184"/>
        <v>123.43</v>
      </c>
    </row>
    <row r="128" spans="1:21" x14ac:dyDescent="0.25">
      <c r="A128" s="5">
        <v>42449</v>
      </c>
      <c r="B128" s="5">
        <f t="shared" si="178"/>
        <v>42460</v>
      </c>
      <c r="C128">
        <v>2049.58</v>
      </c>
      <c r="D128" s="29">
        <f t="shared" si="179"/>
        <v>3.9300000000000002E-2</v>
      </c>
      <c r="E128" s="39">
        <f t="shared" si="180"/>
        <v>1956.6807692307691</v>
      </c>
      <c r="F128" s="39">
        <f t="shared" si="181"/>
        <v>2011.9841025641024</v>
      </c>
      <c r="G128" s="29">
        <f t="shared" si="173"/>
        <v>4.7500000000000001E-2</v>
      </c>
      <c r="H128" s="29">
        <f t="shared" si="173"/>
        <v>1.8700000000000001E-2</v>
      </c>
      <c r="I128">
        <f t="shared" si="182"/>
        <v>2049.58</v>
      </c>
      <c r="J128">
        <f>IF(A128&gt;=Quarterly!B$2,Quarterly!C$2,IF(COUNTIFS(Quarterly!B:B,"&gt;="&amp;A128-92,Quarterly!B:B,"&lt;="&amp;A128)&gt;1,SUMIFS(Quarterly!C:C,Quarterly!B:B,"&gt;="&amp;A128-88,Quarterly!B:B,"&lt;="&amp;A128),SUMIFS(Quarterly!C:C,Quarterly!B:B,"&gt;="&amp;A128-92,Quarterly!B:B,"&lt;="&amp;A128)))</f>
        <v>18287.2</v>
      </c>
      <c r="K128" s="13">
        <f t="shared" si="183"/>
        <v>0.11210000000000001</v>
      </c>
      <c r="L128">
        <f t="shared" si="185"/>
        <v>2049.58</v>
      </c>
      <c r="M128">
        <f>IF(A128&gt;=Quarterly!B$2,Quarterly!D$2,IF(COUNTIFS(Quarterly!B:B,"&gt;="&amp;A128-92,Quarterly!B:B,"&lt;="&amp;A128)&gt;1,SUMIFS(Quarterly!D:D,Quarterly!B:B,"&gt;="&amp;A128-88,Quarterly!B:B,"&lt;="&amp;A128),SUMIFS(Quarterly!D:D,Quarterly!B:B,"&gt;="&amp;A128-92,Quarterly!B:B,"&lt;="&amp;A128)))</f>
        <v>1494.904</v>
      </c>
      <c r="N128" s="13">
        <f t="shared" si="186"/>
        <v>0.1371</v>
      </c>
      <c r="O128">
        <f t="shared" si="174"/>
        <v>2049.58</v>
      </c>
      <c r="P128" s="56">
        <f>VLOOKUP(EOMONTH(A128,-1),Economic!A:I,7,FALSE)</f>
        <v>1286581</v>
      </c>
      <c r="Q128" s="13">
        <f t="shared" si="175"/>
        <v>0.1593</v>
      </c>
      <c r="R128" s="41">
        <v>1.04</v>
      </c>
      <c r="S128">
        <f t="shared" si="176"/>
        <v>1.34</v>
      </c>
      <c r="T128" s="30">
        <f t="shared" si="177"/>
        <v>122.51</v>
      </c>
      <c r="U128" s="30">
        <f t="shared" si="184"/>
        <v>125.92</v>
      </c>
    </row>
    <row r="129" spans="1:21" x14ac:dyDescent="0.25">
      <c r="A129" s="5">
        <v>42442</v>
      </c>
      <c r="B129" s="5">
        <f t="shared" si="178"/>
        <v>42460</v>
      </c>
      <c r="C129">
        <v>2022.19</v>
      </c>
      <c r="D129" s="29">
        <f t="shared" si="179"/>
        <v>4.6300000000000001E-2</v>
      </c>
      <c r="E129" s="39">
        <f t="shared" si="180"/>
        <v>1953.2938461538458</v>
      </c>
      <c r="F129" s="39">
        <f t="shared" si="181"/>
        <v>2013.5330769230768</v>
      </c>
      <c r="G129" s="29">
        <f t="shared" si="173"/>
        <v>3.5299999999999998E-2</v>
      </c>
      <c r="H129" s="29">
        <f t="shared" si="173"/>
        <v>4.3E-3</v>
      </c>
      <c r="I129">
        <f t="shared" si="182"/>
        <v>2022.19</v>
      </c>
      <c r="J129">
        <f>IF(A129&gt;=Quarterly!B$2,Quarterly!C$2,IF(COUNTIFS(Quarterly!B:B,"&gt;="&amp;A129-92,Quarterly!B:B,"&lt;="&amp;A129)&gt;1,SUMIFS(Quarterly!C:C,Quarterly!B:B,"&gt;="&amp;A129-88,Quarterly!B:B,"&lt;="&amp;A129),SUMIFS(Quarterly!C:C,Quarterly!B:B,"&gt;="&amp;A129-92,Quarterly!B:B,"&lt;="&amp;A129)))</f>
        <v>18287.2</v>
      </c>
      <c r="K129" s="13">
        <f t="shared" si="183"/>
        <v>0.1106</v>
      </c>
      <c r="L129">
        <f t="shared" si="185"/>
        <v>2022.19</v>
      </c>
      <c r="M129">
        <f>IF(A129&gt;=Quarterly!B$2,Quarterly!D$2,IF(COUNTIFS(Quarterly!B:B,"&gt;="&amp;A129-92,Quarterly!B:B,"&lt;="&amp;A129)&gt;1,SUMIFS(Quarterly!D:D,Quarterly!B:B,"&gt;="&amp;A129-88,Quarterly!B:B,"&lt;="&amp;A129),SUMIFS(Quarterly!D:D,Quarterly!B:B,"&gt;="&amp;A129-92,Quarterly!B:B,"&lt;="&amp;A129)))</f>
        <v>1494.904</v>
      </c>
      <c r="N129" s="13">
        <f t="shared" si="186"/>
        <v>0.13527</v>
      </c>
      <c r="O129">
        <f t="shared" si="174"/>
        <v>2022.19</v>
      </c>
      <c r="P129" s="56">
        <f>VLOOKUP(EOMONTH(A129,-1),Economic!A:I,7,FALSE)</f>
        <v>1286581</v>
      </c>
      <c r="Q129" s="13">
        <f t="shared" si="175"/>
        <v>0.15720000000000001</v>
      </c>
      <c r="R129" s="41">
        <v>1.01</v>
      </c>
      <c r="S129">
        <f t="shared" si="176"/>
        <v>1.39</v>
      </c>
      <c r="T129" s="30">
        <f t="shared" si="177"/>
        <v>125.93</v>
      </c>
      <c r="U129" s="30">
        <f t="shared" si="184"/>
        <v>129.37</v>
      </c>
    </row>
    <row r="130" spans="1:21" x14ac:dyDescent="0.25">
      <c r="A130" s="5">
        <v>42435</v>
      </c>
      <c r="B130" s="5">
        <f t="shared" si="178"/>
        <v>42460</v>
      </c>
      <c r="C130">
        <v>1999.99</v>
      </c>
      <c r="D130" s="29">
        <f t="shared" si="179"/>
        <v>5.1200000000000002E-2</v>
      </c>
      <c r="E130" s="39">
        <f t="shared" si="180"/>
        <v>1952.538461538461</v>
      </c>
      <c r="F130" s="39">
        <f t="shared" si="181"/>
        <v>2015.3771794871793</v>
      </c>
      <c r="G130" s="29">
        <f t="shared" ref="G130:H193" si="187">ROUND(($C130-E130)/E130,4)</f>
        <v>2.4299999999999999E-2</v>
      </c>
      <c r="H130" s="29">
        <f t="shared" si="187"/>
        <v>-7.6E-3</v>
      </c>
      <c r="I130">
        <f t="shared" si="182"/>
        <v>1999.99</v>
      </c>
      <c r="J130">
        <f>IF(A130&gt;=Quarterly!B$2,Quarterly!C$2,IF(COUNTIFS(Quarterly!B:B,"&gt;="&amp;A130-92,Quarterly!B:B,"&lt;="&amp;A130)&gt;1,SUMIFS(Quarterly!C:C,Quarterly!B:B,"&gt;="&amp;A130-88,Quarterly!B:B,"&lt;="&amp;A130),SUMIFS(Quarterly!C:C,Quarterly!B:B,"&gt;="&amp;A130-92,Quarterly!B:B,"&lt;="&amp;A130)))</f>
        <v>18287.2</v>
      </c>
      <c r="K130" s="13">
        <f t="shared" si="183"/>
        <v>0.1094</v>
      </c>
      <c r="L130">
        <f t="shared" si="185"/>
        <v>1999.99</v>
      </c>
      <c r="M130">
        <f>IF(A130&gt;=Quarterly!B$2,Quarterly!D$2,IF(COUNTIFS(Quarterly!B:B,"&gt;="&amp;A130-92,Quarterly!B:B,"&lt;="&amp;A130)&gt;1,SUMIFS(Quarterly!D:D,Quarterly!B:B,"&gt;="&amp;A130-88,Quarterly!B:B,"&lt;="&amp;A130),SUMIFS(Quarterly!D:D,Quarterly!B:B,"&gt;="&amp;A130-92,Quarterly!B:B,"&lt;="&amp;A130)))</f>
        <v>1494.904</v>
      </c>
      <c r="N130" s="13">
        <f t="shared" si="186"/>
        <v>0.13379000000000002</v>
      </c>
      <c r="O130">
        <f t="shared" si="174"/>
        <v>1999.99</v>
      </c>
      <c r="P130" s="56">
        <f>VLOOKUP(EOMONTH(A130,-1),Economic!A:I,7,FALSE)</f>
        <v>1286581</v>
      </c>
      <c r="Q130" s="13">
        <f t="shared" si="175"/>
        <v>0.15540000000000001</v>
      </c>
      <c r="R130" s="41">
        <v>1</v>
      </c>
      <c r="S130">
        <f t="shared" si="176"/>
        <v>1.46</v>
      </c>
      <c r="T130" s="30">
        <f t="shared" si="177"/>
        <v>129.32</v>
      </c>
      <c r="U130" s="30">
        <f t="shared" si="184"/>
        <v>131.44</v>
      </c>
    </row>
    <row r="131" spans="1:21" x14ac:dyDescent="0.25">
      <c r="A131" s="5">
        <v>42428</v>
      </c>
      <c r="B131" s="5">
        <f t="shared" si="178"/>
        <v>42429</v>
      </c>
      <c r="C131">
        <v>1948.05</v>
      </c>
      <c r="D131" s="29">
        <f t="shared" si="179"/>
        <v>2.4899999999999999E-2</v>
      </c>
      <c r="E131" s="39">
        <f t="shared" si="180"/>
        <v>1959.5923076923073</v>
      </c>
      <c r="F131" s="39">
        <f t="shared" si="181"/>
        <v>2017.7576923076927</v>
      </c>
      <c r="G131" s="29">
        <f t="shared" si="187"/>
        <v>-5.8999999999999999E-3</v>
      </c>
      <c r="H131" s="29">
        <f t="shared" si="187"/>
        <v>-3.4500000000000003E-2</v>
      </c>
      <c r="I131">
        <f t="shared" si="182"/>
        <v>1948.05</v>
      </c>
      <c r="J131">
        <f>IF(A131&gt;=Quarterly!B$2,Quarterly!C$2,IF(COUNTIFS(Quarterly!B:B,"&gt;="&amp;A131-92,Quarterly!B:B,"&lt;="&amp;A131)&gt;1,SUMIFS(Quarterly!C:C,Quarterly!B:B,"&gt;="&amp;A131-88,Quarterly!B:B,"&lt;="&amp;A131),SUMIFS(Quarterly!C:C,Quarterly!B:B,"&gt;="&amp;A131-92,Quarterly!B:B,"&lt;="&amp;A131)))</f>
        <v>18287.2</v>
      </c>
      <c r="K131" s="13">
        <f t="shared" si="183"/>
        <v>0.1065</v>
      </c>
      <c r="L131">
        <f t="shared" si="185"/>
        <v>1948.05</v>
      </c>
      <c r="M131">
        <f>IF(A131&gt;=Quarterly!B$2,Quarterly!D$2,IF(COUNTIFS(Quarterly!B:B,"&gt;="&amp;A131-92,Quarterly!B:B,"&lt;="&amp;A131)&gt;1,SUMIFS(Quarterly!D:D,Quarterly!B:B,"&gt;="&amp;A131-88,Quarterly!B:B,"&lt;="&amp;A131),SUMIFS(Quarterly!D:D,Quarterly!B:B,"&gt;="&amp;A131-92,Quarterly!B:B,"&lt;="&amp;A131)))</f>
        <v>1494.904</v>
      </c>
      <c r="N131" s="13">
        <f t="shared" si="186"/>
        <v>0.13031000000000001</v>
      </c>
      <c r="O131">
        <f t="shared" si="174"/>
        <v>1948.05</v>
      </c>
      <c r="P131" s="56">
        <f>VLOOKUP(EOMONTH(A131,-1),Economic!A:I,7,FALSE)</f>
        <v>1293713</v>
      </c>
      <c r="Q131" s="13">
        <f t="shared" si="175"/>
        <v>0.15059999999999998</v>
      </c>
      <c r="R131" s="41">
        <v>0.96</v>
      </c>
      <c r="S131">
        <f t="shared" si="176"/>
        <v>1.52</v>
      </c>
      <c r="T131" s="30">
        <f t="shared" si="177"/>
        <v>132.87</v>
      </c>
      <c r="U131" s="30">
        <f t="shared" si="184"/>
        <v>133.1</v>
      </c>
    </row>
    <row r="132" spans="1:21" x14ac:dyDescent="0.25">
      <c r="A132" s="5">
        <v>42421</v>
      </c>
      <c r="B132" s="5">
        <f t="shared" si="178"/>
        <v>42429</v>
      </c>
      <c r="C132">
        <v>1917.78</v>
      </c>
      <c r="D132" s="29">
        <f t="shared" si="179"/>
        <v>1.04E-2</v>
      </c>
      <c r="E132" s="39">
        <f t="shared" si="180"/>
        <v>1970.52</v>
      </c>
      <c r="F132" s="39">
        <f t="shared" si="181"/>
        <v>2021.8433333333337</v>
      </c>
      <c r="G132" s="29">
        <f t="shared" si="187"/>
        <v>-2.6800000000000001E-2</v>
      </c>
      <c r="H132" s="29">
        <f t="shared" si="187"/>
        <v>-5.1499999999999997E-2</v>
      </c>
      <c r="I132">
        <f t="shared" si="182"/>
        <v>1917.78</v>
      </c>
      <c r="J132">
        <f>IF(A132&gt;=Quarterly!B$2,Quarterly!C$2,IF(COUNTIFS(Quarterly!B:B,"&gt;="&amp;A132-92,Quarterly!B:B,"&lt;="&amp;A132)&gt;1,SUMIFS(Quarterly!C:C,Quarterly!B:B,"&gt;="&amp;A132-88,Quarterly!B:B,"&lt;="&amp;A132),SUMIFS(Quarterly!C:C,Quarterly!B:B,"&gt;="&amp;A132-92,Quarterly!B:B,"&lt;="&amp;A132)))</f>
        <v>18287.2</v>
      </c>
      <c r="K132" s="13">
        <f t="shared" si="183"/>
        <v>0.10489999999999999</v>
      </c>
      <c r="L132">
        <f t="shared" si="185"/>
        <v>1917.78</v>
      </c>
      <c r="M132">
        <f>IF(A132&gt;=Quarterly!B$2,Quarterly!D$2,IF(COUNTIFS(Quarterly!B:B,"&gt;="&amp;A132-92,Quarterly!B:B,"&lt;="&amp;A132)&gt;1,SUMIFS(Quarterly!D:D,Quarterly!B:B,"&gt;="&amp;A132-88,Quarterly!B:B,"&lt;="&amp;A132),SUMIFS(Quarterly!D:D,Quarterly!B:B,"&gt;="&amp;A132-92,Quarterly!B:B,"&lt;="&amp;A132)))</f>
        <v>1494.904</v>
      </c>
      <c r="N132" s="13">
        <f t="shared" si="186"/>
        <v>0.12828999999999999</v>
      </c>
      <c r="O132">
        <f t="shared" si="174"/>
        <v>1917.78</v>
      </c>
      <c r="P132" s="56">
        <f>VLOOKUP(EOMONTH(A132,-1),Economic!A:I,7,FALSE)</f>
        <v>1293713</v>
      </c>
      <c r="Q132" s="13">
        <f t="shared" si="175"/>
        <v>0.1482</v>
      </c>
      <c r="R132" s="41">
        <v>1</v>
      </c>
      <c r="S132">
        <f t="shared" si="176"/>
        <v>1.5</v>
      </c>
      <c r="T132" s="30">
        <f t="shared" si="177"/>
        <v>132.13</v>
      </c>
      <c r="U132" s="30">
        <f t="shared" si="184"/>
        <v>134.19</v>
      </c>
    </row>
    <row r="133" spans="1:21" x14ac:dyDescent="0.25">
      <c r="A133" s="5">
        <v>42414</v>
      </c>
      <c r="B133" s="5">
        <f t="shared" si="178"/>
        <v>42429</v>
      </c>
      <c r="C133">
        <v>1864.78</v>
      </c>
      <c r="D133" s="29">
        <f t="shared" si="179"/>
        <v>-1.95E-2</v>
      </c>
      <c r="E133" s="39">
        <f t="shared" si="180"/>
        <v>1983.7038461538464</v>
      </c>
      <c r="F133" s="39">
        <f t="shared" si="181"/>
        <v>2027.1838461538464</v>
      </c>
      <c r="G133" s="29">
        <f t="shared" si="187"/>
        <v>-0.06</v>
      </c>
      <c r="H133" s="29">
        <f t="shared" si="187"/>
        <v>-8.0100000000000005E-2</v>
      </c>
      <c r="I133">
        <f t="shared" si="182"/>
        <v>1864.78</v>
      </c>
      <c r="J133">
        <f>IF(A133&gt;=Quarterly!B$2,Quarterly!C$2,IF(COUNTIFS(Quarterly!B:B,"&gt;="&amp;A133-92,Quarterly!B:B,"&lt;="&amp;A133)&gt;1,SUMIFS(Quarterly!C:C,Quarterly!B:B,"&gt;="&amp;A133-88,Quarterly!B:B,"&lt;="&amp;A133),SUMIFS(Quarterly!C:C,Quarterly!B:B,"&gt;="&amp;A133-92,Quarterly!B:B,"&lt;="&amp;A133)))</f>
        <v>18287.2</v>
      </c>
      <c r="K133" s="13">
        <f t="shared" si="183"/>
        <v>0.10199999999999999</v>
      </c>
      <c r="L133">
        <f t="shared" si="185"/>
        <v>1864.78</v>
      </c>
      <c r="M133">
        <f>IF(A133&gt;=Quarterly!B$2,Quarterly!D$2,IF(COUNTIFS(Quarterly!B:B,"&gt;="&amp;A133-92,Quarterly!B:B,"&lt;="&amp;A133)&gt;1,SUMIFS(Quarterly!D:D,Quarterly!B:B,"&gt;="&amp;A133-88,Quarterly!B:B,"&lt;="&amp;A133),SUMIFS(Quarterly!D:D,Quarterly!B:B,"&gt;="&amp;A133-92,Quarterly!B:B,"&lt;="&amp;A133)))</f>
        <v>1494.904</v>
      </c>
      <c r="N133" s="13">
        <f t="shared" si="186"/>
        <v>0.12474000000000002</v>
      </c>
      <c r="O133">
        <f t="shared" si="174"/>
        <v>1864.78</v>
      </c>
      <c r="P133" s="56">
        <f>VLOOKUP(EOMONTH(A133,-1),Economic!A:I,7,FALSE)</f>
        <v>1293713</v>
      </c>
      <c r="Q133" s="13">
        <f t="shared" si="175"/>
        <v>0.14410000000000001</v>
      </c>
      <c r="R133" s="41">
        <v>1.03</v>
      </c>
      <c r="S133">
        <f t="shared" si="176"/>
        <v>1.54</v>
      </c>
      <c r="T133" s="30">
        <f t="shared" si="177"/>
        <v>134.30000000000001</v>
      </c>
      <c r="U133" s="30">
        <f t="shared" si="184"/>
        <v>134.41</v>
      </c>
    </row>
    <row r="134" spans="1:21" x14ac:dyDescent="0.25">
      <c r="A134" s="5">
        <v>42407</v>
      </c>
      <c r="B134" s="5">
        <f t="shared" si="178"/>
        <v>42429</v>
      </c>
      <c r="C134">
        <v>1880.05</v>
      </c>
      <c r="D134" s="29">
        <f t="shared" si="179"/>
        <v>-1.6899999999999998E-2</v>
      </c>
      <c r="E134" s="39">
        <f t="shared" si="180"/>
        <v>1995.8776923076925</v>
      </c>
      <c r="F134" s="39">
        <f t="shared" si="181"/>
        <v>2033.7979487179489</v>
      </c>
      <c r="G134" s="29">
        <f t="shared" si="187"/>
        <v>-5.8000000000000003E-2</v>
      </c>
      <c r="H134" s="29">
        <f t="shared" si="187"/>
        <v>-7.5600000000000001E-2</v>
      </c>
      <c r="I134">
        <f t="shared" si="182"/>
        <v>1880.05</v>
      </c>
      <c r="J134">
        <f>IF(A134&gt;=Quarterly!B$2,Quarterly!C$2,IF(COUNTIFS(Quarterly!B:B,"&gt;="&amp;A134-92,Quarterly!B:B,"&lt;="&amp;A134)&gt;1,SUMIFS(Quarterly!C:C,Quarterly!B:B,"&gt;="&amp;A134-88,Quarterly!B:B,"&lt;="&amp;A134),SUMIFS(Quarterly!C:C,Quarterly!B:B,"&gt;="&amp;A134-92,Quarterly!B:B,"&lt;="&amp;A134)))</f>
        <v>18287.2</v>
      </c>
      <c r="K134" s="13">
        <f t="shared" si="183"/>
        <v>0.1028</v>
      </c>
      <c r="L134">
        <f t="shared" si="185"/>
        <v>1880.05</v>
      </c>
      <c r="M134">
        <f>IF(A134&gt;=Quarterly!B$2,Quarterly!D$2,IF(COUNTIFS(Quarterly!B:B,"&gt;="&amp;A134-92,Quarterly!B:B,"&lt;="&amp;A134)&gt;1,SUMIFS(Quarterly!D:D,Quarterly!B:B,"&gt;="&amp;A134-88,Quarterly!B:B,"&lt;="&amp;A134),SUMIFS(Quarterly!D:D,Quarterly!B:B,"&gt;="&amp;A134-92,Quarterly!B:B,"&lt;="&amp;A134)))</f>
        <v>1494.904</v>
      </c>
      <c r="N134" s="13">
        <f t="shared" si="186"/>
        <v>0.12576000000000001</v>
      </c>
      <c r="O134">
        <f t="shared" ref="O134:O197" si="188">C134</f>
        <v>1880.05</v>
      </c>
      <c r="P134" s="56">
        <f>VLOOKUP(EOMONTH(A134,-1),Economic!A:I,7,FALSE)</f>
        <v>1293713</v>
      </c>
      <c r="Q134" s="13">
        <f t="shared" ref="Q134:Q197" si="189">ROUND(O134/P134,6)*100</f>
        <v>0.14530000000000001</v>
      </c>
      <c r="R134" s="41">
        <v>1.1200000000000001</v>
      </c>
      <c r="S134">
        <f t="shared" ref="S134:S197" si="190">R195</f>
        <v>1.66</v>
      </c>
      <c r="T134" s="30">
        <f t="shared" ref="T134:T197" si="191">IF((ROUND((S134*40)+(G134*350)-(H134*100)-((N134-0.15)*350)-(((K134*10.5)-1)*270)-(Q134*100),2)+144)*0.8&lt;0,0,ROUND((ROUND((S134*40)+(G134*350)-(H134*100)-((N134-0.15)*350)-(((K134*10.5)-1)*270)-(Q134*100),2)+144)*0.8,2))</f>
        <v>136.13999999999999</v>
      </c>
      <c r="U134" s="30">
        <f t="shared" si="184"/>
        <v>135.88999999999999</v>
      </c>
    </row>
    <row r="135" spans="1:21" x14ac:dyDescent="0.25">
      <c r="A135" s="5">
        <v>42400</v>
      </c>
      <c r="B135" s="5">
        <f t="shared" si="178"/>
        <v>42400</v>
      </c>
      <c r="C135">
        <v>1940.24</v>
      </c>
      <c r="D135" s="29">
        <f t="shared" si="179"/>
        <v>1E-3</v>
      </c>
      <c r="E135" s="39">
        <f t="shared" si="180"/>
        <v>2012.7353846153846</v>
      </c>
      <c r="F135" s="39">
        <f t="shared" si="181"/>
        <v>2039.8505128205131</v>
      </c>
      <c r="G135" s="29">
        <f t="shared" si="187"/>
        <v>-3.5999999999999997E-2</v>
      </c>
      <c r="H135" s="29">
        <f t="shared" si="187"/>
        <v>-4.8800000000000003E-2</v>
      </c>
      <c r="I135">
        <f t="shared" si="182"/>
        <v>1940.24</v>
      </c>
      <c r="J135">
        <f>IF(A135&gt;=Quarterly!B$2,Quarterly!C$2,IF(COUNTIFS(Quarterly!B:B,"&gt;="&amp;A135-92,Quarterly!B:B,"&lt;="&amp;A135)&gt;1,SUMIFS(Quarterly!C:C,Quarterly!B:B,"&gt;="&amp;A135-88,Quarterly!B:B,"&lt;="&amp;A135),SUMIFS(Quarterly!C:C,Quarterly!B:B,"&gt;="&amp;A135-92,Quarterly!B:B,"&lt;="&amp;A135)))</f>
        <v>18287.2</v>
      </c>
      <c r="K135" s="13">
        <f t="shared" si="183"/>
        <v>0.1061</v>
      </c>
      <c r="L135">
        <f t="shared" si="185"/>
        <v>1940.24</v>
      </c>
      <c r="M135">
        <f>IF(A135&gt;=Quarterly!B$2,Quarterly!D$2,IF(COUNTIFS(Quarterly!B:B,"&gt;="&amp;A135-92,Quarterly!B:B,"&lt;="&amp;A135)&gt;1,SUMIFS(Quarterly!D:D,Quarterly!B:B,"&gt;="&amp;A135-88,Quarterly!B:B,"&lt;="&amp;A135),SUMIFS(Quarterly!D:D,Quarterly!B:B,"&gt;="&amp;A135-92,Quarterly!B:B,"&lt;="&amp;A135)))</f>
        <v>1494.904</v>
      </c>
      <c r="N135" s="13">
        <f t="shared" si="186"/>
        <v>0.12979000000000002</v>
      </c>
      <c r="O135">
        <f t="shared" si="188"/>
        <v>1940.24</v>
      </c>
      <c r="P135" s="56">
        <f>VLOOKUP(EOMONTH(A135,-1),Economic!A:I,7,FALSE)</f>
        <v>1297307</v>
      </c>
      <c r="Q135" s="13">
        <f t="shared" si="189"/>
        <v>0.14959999999999998</v>
      </c>
      <c r="R135" s="41">
        <v>1.18</v>
      </c>
      <c r="S135">
        <f t="shared" si="190"/>
        <v>1.71</v>
      </c>
      <c r="T135" s="30">
        <f t="shared" si="191"/>
        <v>132.80000000000001</v>
      </c>
      <c r="U135" s="30">
        <f t="shared" si="184"/>
        <v>136.66</v>
      </c>
    </row>
    <row r="136" spans="1:21" x14ac:dyDescent="0.25">
      <c r="A136" s="5">
        <v>42393</v>
      </c>
      <c r="B136" s="5">
        <f t="shared" si="178"/>
        <v>42400</v>
      </c>
      <c r="C136">
        <v>1906.9</v>
      </c>
      <c r="D136" s="29">
        <f t="shared" si="179"/>
        <v>-3.5400000000000001E-2</v>
      </c>
      <c r="E136" s="39">
        <f t="shared" si="180"/>
        <v>2023.4369230769234</v>
      </c>
      <c r="F136" s="39">
        <f t="shared" si="181"/>
        <v>2044.1594871794873</v>
      </c>
      <c r="G136" s="29">
        <f t="shared" si="187"/>
        <v>-5.7599999999999998E-2</v>
      </c>
      <c r="H136" s="29">
        <f t="shared" si="187"/>
        <v>-6.7100000000000007E-2</v>
      </c>
      <c r="I136">
        <f t="shared" si="182"/>
        <v>1906.9</v>
      </c>
      <c r="J136">
        <f>IF(A136&gt;=Quarterly!B$2,Quarterly!C$2,IF(COUNTIFS(Quarterly!B:B,"&gt;="&amp;A136-92,Quarterly!B:B,"&lt;="&amp;A136)&gt;1,SUMIFS(Quarterly!C:C,Quarterly!B:B,"&gt;="&amp;A136-88,Quarterly!B:B,"&lt;="&amp;A136),SUMIFS(Quarterly!C:C,Quarterly!B:B,"&gt;="&amp;A136-92,Quarterly!B:B,"&lt;="&amp;A136)))</f>
        <v>18227.7</v>
      </c>
      <c r="K136" s="13">
        <f t="shared" si="183"/>
        <v>0.1046</v>
      </c>
      <c r="L136">
        <f t="shared" si="185"/>
        <v>1906.9</v>
      </c>
      <c r="M136">
        <f>IF(A136&gt;=Quarterly!B$2,Quarterly!D$2,IF(COUNTIFS(Quarterly!B:B,"&gt;="&amp;A136-92,Quarterly!B:B,"&lt;="&amp;A136)&gt;1,SUMIFS(Quarterly!D:D,Quarterly!B:B,"&gt;="&amp;A136-88,Quarterly!B:B,"&lt;="&amp;A136),SUMIFS(Quarterly!D:D,Quarterly!B:B,"&gt;="&amp;A136-92,Quarterly!B:B,"&lt;="&amp;A136)))</f>
        <v>1686.1020000000001</v>
      </c>
      <c r="N136" s="13">
        <f t="shared" si="186"/>
        <v>0.11310000000000001</v>
      </c>
      <c r="O136">
        <f t="shared" si="188"/>
        <v>1906.9</v>
      </c>
      <c r="P136" s="56">
        <f>VLOOKUP(EOMONTH(A136,-1),Economic!A:I,7,FALSE)</f>
        <v>1297307</v>
      </c>
      <c r="Q136" s="13">
        <f t="shared" si="189"/>
        <v>0.14699999999999999</v>
      </c>
      <c r="R136" s="41">
        <v>1.19</v>
      </c>
      <c r="S136">
        <f t="shared" si="190"/>
        <v>1.78</v>
      </c>
      <c r="T136" s="30">
        <f t="shared" si="191"/>
        <v>138.74</v>
      </c>
      <c r="U136" s="30">
        <f t="shared" si="184"/>
        <v>137.80000000000001</v>
      </c>
    </row>
    <row r="137" spans="1:21" x14ac:dyDescent="0.25">
      <c r="A137" s="5">
        <v>42386</v>
      </c>
      <c r="B137" s="5">
        <f t="shared" si="178"/>
        <v>42400</v>
      </c>
      <c r="C137">
        <v>1880.33</v>
      </c>
      <c r="D137" s="29">
        <f t="shared" si="179"/>
        <v>-6.3600000000000004E-2</v>
      </c>
      <c r="E137" s="39">
        <f t="shared" si="180"/>
        <v>2036.3792307692311</v>
      </c>
      <c r="F137" s="39">
        <f t="shared" si="181"/>
        <v>2049.564358974359</v>
      </c>
      <c r="G137" s="29">
        <f t="shared" si="187"/>
        <v>-7.6600000000000001E-2</v>
      </c>
      <c r="H137" s="29">
        <f t="shared" si="187"/>
        <v>-8.2600000000000007E-2</v>
      </c>
      <c r="I137">
        <f t="shared" si="182"/>
        <v>1880.33</v>
      </c>
      <c r="J137">
        <f>IF(A137&gt;=Quarterly!B$2,Quarterly!C$2,IF(COUNTIFS(Quarterly!B:B,"&gt;="&amp;A137-92,Quarterly!B:B,"&lt;="&amp;A137)&gt;1,SUMIFS(Quarterly!C:C,Quarterly!B:B,"&gt;="&amp;A137-88,Quarterly!B:B,"&lt;="&amp;A137),SUMIFS(Quarterly!C:C,Quarterly!B:B,"&gt;="&amp;A137-92,Quarterly!B:B,"&lt;="&amp;A137)))</f>
        <v>18227.7</v>
      </c>
      <c r="K137" s="13">
        <f t="shared" si="183"/>
        <v>0.1032</v>
      </c>
      <c r="L137">
        <f t="shared" si="185"/>
        <v>1880.33</v>
      </c>
      <c r="M137">
        <f>IF(A137&gt;=Quarterly!B$2,Quarterly!D$2,IF(COUNTIFS(Quarterly!B:B,"&gt;="&amp;A137-92,Quarterly!B:B,"&lt;="&amp;A137)&gt;1,SUMIFS(Quarterly!D:D,Quarterly!B:B,"&gt;="&amp;A137-88,Quarterly!B:B,"&lt;="&amp;A137),SUMIFS(Quarterly!D:D,Quarterly!B:B,"&gt;="&amp;A137-92,Quarterly!B:B,"&lt;="&amp;A137)))</f>
        <v>1686.1020000000001</v>
      </c>
      <c r="N137" s="13">
        <f t="shared" si="186"/>
        <v>0.11152000000000001</v>
      </c>
      <c r="O137">
        <f t="shared" si="188"/>
        <v>1880.33</v>
      </c>
      <c r="P137" s="56">
        <f>VLOOKUP(EOMONTH(A137,-1),Economic!A:I,7,FALSE)</f>
        <v>1297307</v>
      </c>
      <c r="Q137" s="13">
        <f t="shared" si="189"/>
        <v>0.1449</v>
      </c>
      <c r="R137" s="41">
        <v>1.18</v>
      </c>
      <c r="S137">
        <f t="shared" si="190"/>
        <v>1.78</v>
      </c>
      <c r="T137" s="30">
        <f t="shared" si="191"/>
        <v>138.44999999999999</v>
      </c>
      <c r="U137" s="30">
        <f t="shared" si="184"/>
        <v>135.11000000000001</v>
      </c>
    </row>
    <row r="138" spans="1:21" x14ac:dyDescent="0.25">
      <c r="A138" s="5">
        <v>42379</v>
      </c>
      <c r="B138" s="5">
        <f t="shared" si="178"/>
        <v>42400</v>
      </c>
      <c r="C138">
        <v>1922.03</v>
      </c>
      <c r="D138" s="29">
        <f t="shared" si="179"/>
        <v>-5.3499999999999999E-2</v>
      </c>
      <c r="E138" s="39">
        <f t="shared" si="180"/>
        <v>2048.1315384615391</v>
      </c>
      <c r="F138" s="39">
        <f t="shared" si="181"/>
        <v>2054.7143589743591</v>
      </c>
      <c r="G138" s="29">
        <f t="shared" si="187"/>
        <v>-6.1600000000000002E-2</v>
      </c>
      <c r="H138" s="29">
        <f t="shared" si="187"/>
        <v>-6.4600000000000005E-2</v>
      </c>
      <c r="I138">
        <f t="shared" si="182"/>
        <v>1922.03</v>
      </c>
      <c r="J138">
        <f>IF(A138&gt;=Quarterly!B$2,Quarterly!C$2,IF(COUNTIFS(Quarterly!B:B,"&gt;="&amp;A138-92,Quarterly!B:B,"&lt;="&amp;A138)&gt;1,SUMIFS(Quarterly!C:C,Quarterly!B:B,"&gt;="&amp;A138-88,Quarterly!B:B,"&lt;="&amp;A138),SUMIFS(Quarterly!C:C,Quarterly!B:B,"&gt;="&amp;A138-92,Quarterly!B:B,"&lt;="&amp;A138)))</f>
        <v>18227.7</v>
      </c>
      <c r="K138" s="13">
        <f t="shared" si="183"/>
        <v>0.10539999999999999</v>
      </c>
      <c r="L138">
        <f t="shared" si="185"/>
        <v>1922.03</v>
      </c>
      <c r="M138">
        <f>IF(A138&gt;=Quarterly!B$2,Quarterly!D$2,IF(COUNTIFS(Quarterly!B:B,"&gt;="&amp;A138-92,Quarterly!B:B,"&lt;="&amp;A138)&gt;1,SUMIFS(Quarterly!D:D,Quarterly!B:B,"&gt;="&amp;A138-88,Quarterly!B:B,"&lt;="&amp;A138),SUMIFS(Quarterly!D:D,Quarterly!B:B,"&gt;="&amp;A138-92,Quarterly!B:B,"&lt;="&amp;A138)))</f>
        <v>1686.1020000000001</v>
      </c>
      <c r="N138" s="13">
        <f t="shared" si="186"/>
        <v>0.11398999999999999</v>
      </c>
      <c r="O138">
        <f t="shared" si="188"/>
        <v>1922.03</v>
      </c>
      <c r="P138" s="56">
        <f>VLOOKUP(EOMONTH(A138,-1),Economic!A:I,7,FALSE)</f>
        <v>1297307</v>
      </c>
      <c r="Q138" s="13">
        <f t="shared" si="189"/>
        <v>0.1482</v>
      </c>
      <c r="R138" s="41">
        <v>1.19</v>
      </c>
      <c r="S138">
        <f t="shared" si="190"/>
        <v>1.81</v>
      </c>
      <c r="T138" s="30">
        <f t="shared" si="191"/>
        <v>136.22</v>
      </c>
      <c r="U138" s="30">
        <f t="shared" si="184"/>
        <v>132.86000000000001</v>
      </c>
    </row>
    <row r="139" spans="1:21" x14ac:dyDescent="0.25">
      <c r="A139" s="5">
        <v>42372</v>
      </c>
      <c r="B139" s="5">
        <f t="shared" si="178"/>
        <v>42400</v>
      </c>
      <c r="C139">
        <v>2043.94</v>
      </c>
      <c r="D139" s="29">
        <f t="shared" si="179"/>
        <v>5.9999999999999995E-4</v>
      </c>
      <c r="E139" s="39">
        <f t="shared" si="180"/>
        <v>2055.2746153846156</v>
      </c>
      <c r="F139" s="39">
        <f t="shared" si="181"/>
        <v>2059.3305128205129</v>
      </c>
      <c r="G139" s="29">
        <f t="shared" si="187"/>
        <v>-5.4999999999999997E-3</v>
      </c>
      <c r="H139" s="29">
        <f t="shared" si="187"/>
        <v>-7.4999999999999997E-3</v>
      </c>
      <c r="I139">
        <f t="shared" si="182"/>
        <v>2043.94</v>
      </c>
      <c r="J139">
        <f>IF(A139&gt;=Quarterly!B$2,Quarterly!C$2,IF(COUNTIFS(Quarterly!B:B,"&gt;="&amp;A139-92,Quarterly!B:B,"&lt;="&amp;A139)&gt;1,SUMIFS(Quarterly!C:C,Quarterly!B:B,"&gt;="&amp;A139-88,Quarterly!B:B,"&lt;="&amp;A139),SUMIFS(Quarterly!C:C,Quarterly!B:B,"&gt;="&amp;A139-92,Quarterly!B:B,"&lt;="&amp;A139)))</f>
        <v>18227.7</v>
      </c>
      <c r="K139" s="13">
        <f t="shared" si="183"/>
        <v>0.11210000000000001</v>
      </c>
      <c r="L139">
        <f t="shared" si="185"/>
        <v>2043.94</v>
      </c>
      <c r="M139">
        <f>IF(A139&gt;=Quarterly!B$2,Quarterly!D$2,IF(COUNTIFS(Quarterly!B:B,"&gt;="&amp;A139-92,Quarterly!B:B,"&lt;="&amp;A139)&gt;1,SUMIFS(Quarterly!D:D,Quarterly!B:B,"&gt;="&amp;A139-88,Quarterly!B:B,"&lt;="&amp;A139),SUMIFS(Quarterly!D:D,Quarterly!B:B,"&gt;="&amp;A139-92,Quarterly!B:B,"&lt;="&amp;A139)))</f>
        <v>1686.1020000000001</v>
      </c>
      <c r="N139" s="13">
        <f t="shared" si="186"/>
        <v>0.12121999999999999</v>
      </c>
      <c r="O139">
        <f t="shared" si="188"/>
        <v>2043.94</v>
      </c>
      <c r="P139" s="56">
        <f>VLOOKUP(EOMONTH(A139,-1),Economic!A:I,7,FALSE)</f>
        <v>1297307</v>
      </c>
      <c r="Q139" s="13">
        <f t="shared" si="189"/>
        <v>0.15759999999999999</v>
      </c>
      <c r="R139" s="41">
        <v>1.21</v>
      </c>
      <c r="S139">
        <f t="shared" si="190"/>
        <v>1.85</v>
      </c>
      <c r="T139" s="30">
        <f t="shared" si="191"/>
        <v>130.66</v>
      </c>
      <c r="U139" s="30">
        <f t="shared" si="184"/>
        <v>132.21</v>
      </c>
    </row>
    <row r="140" spans="1:21" x14ac:dyDescent="0.25">
      <c r="A140" s="5">
        <v>42365</v>
      </c>
      <c r="B140" s="5">
        <f t="shared" si="178"/>
        <v>42369</v>
      </c>
      <c r="C140">
        <v>2060.9899999999998</v>
      </c>
      <c r="D140" s="29">
        <f t="shared" si="179"/>
        <v>5.4000000000000003E-3</v>
      </c>
      <c r="E140" s="39">
        <f t="shared" si="180"/>
        <v>2048.1530769230772</v>
      </c>
      <c r="F140" s="39">
        <f t="shared" si="181"/>
        <v>2059.9207692307691</v>
      </c>
      <c r="G140" s="29">
        <f t="shared" si="187"/>
        <v>6.3E-3</v>
      </c>
      <c r="H140" s="29">
        <f t="shared" si="187"/>
        <v>5.0000000000000001E-4</v>
      </c>
      <c r="I140">
        <f t="shared" si="182"/>
        <v>2060.9899999999998</v>
      </c>
      <c r="J140">
        <f>IF(A140&gt;=Quarterly!B$2,Quarterly!C$2,IF(COUNTIFS(Quarterly!B:B,"&gt;="&amp;A140-92,Quarterly!B:B,"&lt;="&amp;A140)&gt;1,SUMIFS(Quarterly!C:C,Quarterly!B:B,"&gt;="&amp;A140-88,Quarterly!B:B,"&lt;="&amp;A140),SUMIFS(Quarterly!C:C,Quarterly!B:B,"&gt;="&amp;A140-92,Quarterly!B:B,"&lt;="&amp;A140)))</f>
        <v>18227.7</v>
      </c>
      <c r="K140" s="13">
        <f t="shared" si="183"/>
        <v>0.11310000000000001</v>
      </c>
      <c r="L140">
        <f t="shared" si="185"/>
        <v>2060.9899999999998</v>
      </c>
      <c r="M140">
        <f>IF(A140&gt;=Quarterly!B$2,Quarterly!D$2,IF(COUNTIFS(Quarterly!B:B,"&gt;="&amp;A140-92,Quarterly!B:B,"&lt;="&amp;A140)&gt;1,SUMIFS(Quarterly!D:D,Quarterly!B:B,"&gt;="&amp;A140-88,Quarterly!B:B,"&lt;="&amp;A140),SUMIFS(Quarterly!D:D,Quarterly!B:B,"&gt;="&amp;A140-92,Quarterly!B:B,"&lt;="&amp;A140)))</f>
        <v>1686.1020000000001</v>
      </c>
      <c r="N140" s="13">
        <f t="shared" si="186"/>
        <v>0.12223000000000001</v>
      </c>
      <c r="O140">
        <f t="shared" si="188"/>
        <v>2060.9899999999998</v>
      </c>
      <c r="P140" s="56">
        <f>VLOOKUP(EOMONTH(A140,-1),Economic!A:I,7,FALSE)</f>
        <v>1302314</v>
      </c>
      <c r="Q140" s="13">
        <f t="shared" si="189"/>
        <v>0.1583</v>
      </c>
      <c r="R140" s="41">
        <v>1.22</v>
      </c>
      <c r="S140">
        <f t="shared" si="190"/>
        <v>1.88</v>
      </c>
      <c r="T140" s="30">
        <f t="shared" si="191"/>
        <v>131.69</v>
      </c>
      <c r="U140" s="30">
        <f t="shared" si="184"/>
        <v>133.81</v>
      </c>
    </row>
    <row r="141" spans="1:21" x14ac:dyDescent="0.25">
      <c r="A141" s="5">
        <v>42358</v>
      </c>
      <c r="B141" s="5">
        <f t="shared" si="178"/>
        <v>42369</v>
      </c>
      <c r="C141">
        <v>2005.55</v>
      </c>
      <c r="D141" s="29">
        <f t="shared" si="179"/>
        <v>-3.15E-2</v>
      </c>
      <c r="E141" s="39">
        <f t="shared" si="180"/>
        <v>2038.1800000000003</v>
      </c>
      <c r="F141" s="39">
        <f t="shared" si="181"/>
        <v>2059.9215384615386</v>
      </c>
      <c r="G141" s="29">
        <f t="shared" si="187"/>
        <v>-1.6E-2</v>
      </c>
      <c r="H141" s="29">
        <f t="shared" si="187"/>
        <v>-2.64E-2</v>
      </c>
      <c r="I141">
        <f t="shared" si="182"/>
        <v>2005.55</v>
      </c>
      <c r="J141">
        <f>IF(A141&gt;=Quarterly!B$2,Quarterly!C$2,IF(COUNTIFS(Quarterly!B:B,"&gt;="&amp;A141-92,Quarterly!B:B,"&lt;="&amp;A141)&gt;1,SUMIFS(Quarterly!C:C,Quarterly!B:B,"&gt;="&amp;A141-88,Quarterly!B:B,"&lt;="&amp;A141),SUMIFS(Quarterly!C:C,Quarterly!B:B,"&gt;="&amp;A141-92,Quarterly!B:B,"&lt;="&amp;A141)))</f>
        <v>18227.7</v>
      </c>
      <c r="K141" s="13">
        <f t="shared" si="183"/>
        <v>0.11</v>
      </c>
      <c r="L141">
        <f t="shared" si="185"/>
        <v>2005.55</v>
      </c>
      <c r="M141">
        <f>IF(A141&gt;=Quarterly!B$2,Quarterly!D$2,IF(COUNTIFS(Quarterly!B:B,"&gt;="&amp;A141-92,Quarterly!B:B,"&lt;="&amp;A141)&gt;1,SUMIFS(Quarterly!D:D,Quarterly!B:B,"&gt;="&amp;A141-88,Quarterly!B:B,"&lt;="&amp;A141),SUMIFS(Quarterly!D:D,Quarterly!B:B,"&gt;="&amp;A141-92,Quarterly!B:B,"&lt;="&amp;A141)))</f>
        <v>1686.1020000000001</v>
      </c>
      <c r="N141" s="13">
        <f t="shared" si="186"/>
        <v>0.11895</v>
      </c>
      <c r="O141">
        <f t="shared" si="188"/>
        <v>2005.55</v>
      </c>
      <c r="P141" s="56">
        <f>VLOOKUP(EOMONTH(A141,-1),Economic!A:I,7,FALSE)</f>
        <v>1302314</v>
      </c>
      <c r="Q141" s="13">
        <f t="shared" si="189"/>
        <v>0.154</v>
      </c>
      <c r="R141" s="41">
        <v>1.22</v>
      </c>
      <c r="S141">
        <f t="shared" si="190"/>
        <v>1.83</v>
      </c>
      <c r="T141" s="30">
        <f t="shared" si="191"/>
        <v>134.29</v>
      </c>
      <c r="U141" s="30">
        <f t="shared" si="184"/>
        <v>134.16</v>
      </c>
    </row>
    <row r="142" spans="1:21" x14ac:dyDescent="0.25">
      <c r="A142" s="5">
        <v>42351</v>
      </c>
      <c r="B142" s="5">
        <f t="shared" si="178"/>
        <v>42369</v>
      </c>
      <c r="C142">
        <v>2012.37</v>
      </c>
      <c r="D142" s="29">
        <f t="shared" si="179"/>
        <v>-2.9499999999999998E-2</v>
      </c>
      <c r="E142" s="39">
        <f t="shared" si="180"/>
        <v>2034.5246153846156</v>
      </c>
      <c r="F142" s="39">
        <f t="shared" si="181"/>
        <v>2062.5510256410257</v>
      </c>
      <c r="G142" s="29">
        <f t="shared" si="187"/>
        <v>-1.09E-2</v>
      </c>
      <c r="H142" s="29">
        <f t="shared" si="187"/>
        <v>-2.4299999999999999E-2</v>
      </c>
      <c r="I142">
        <f t="shared" si="182"/>
        <v>2012.37</v>
      </c>
      <c r="J142">
        <f>IF(A142&gt;=Quarterly!B$2,Quarterly!C$2,IF(COUNTIFS(Quarterly!B:B,"&gt;="&amp;A142-92,Quarterly!B:B,"&lt;="&amp;A142)&gt;1,SUMIFS(Quarterly!C:C,Quarterly!B:B,"&gt;="&amp;A142-88,Quarterly!B:B,"&lt;="&amp;A142),SUMIFS(Quarterly!C:C,Quarterly!B:B,"&gt;="&amp;A142-92,Quarterly!B:B,"&lt;="&amp;A142)))</f>
        <v>18227.7</v>
      </c>
      <c r="K142" s="13">
        <f t="shared" si="183"/>
        <v>0.1104</v>
      </c>
      <c r="L142">
        <f t="shared" si="185"/>
        <v>2012.37</v>
      </c>
      <c r="M142">
        <f>IF(A142&gt;=Quarterly!B$2,Quarterly!D$2,IF(COUNTIFS(Quarterly!B:B,"&gt;="&amp;A142-92,Quarterly!B:B,"&lt;="&amp;A142)&gt;1,SUMIFS(Quarterly!D:D,Quarterly!B:B,"&gt;="&amp;A142-88,Quarterly!B:B,"&lt;="&amp;A142),SUMIFS(Quarterly!D:D,Quarterly!B:B,"&gt;="&amp;A142-92,Quarterly!B:B,"&lt;="&amp;A142)))</f>
        <v>1686.1020000000001</v>
      </c>
      <c r="N142" s="13">
        <f t="shared" si="186"/>
        <v>0.11935000000000001</v>
      </c>
      <c r="O142">
        <f t="shared" si="188"/>
        <v>2012.37</v>
      </c>
      <c r="P142" s="56">
        <f>VLOOKUP(EOMONTH(A142,-1),Economic!A:I,7,FALSE)</f>
        <v>1302314</v>
      </c>
      <c r="Q142" s="13">
        <f t="shared" si="189"/>
        <v>0.1545</v>
      </c>
      <c r="R142" s="41">
        <v>1.25</v>
      </c>
      <c r="S142">
        <f t="shared" si="190"/>
        <v>1.86</v>
      </c>
      <c r="T142" s="30">
        <f t="shared" si="191"/>
        <v>135.44999999999999</v>
      </c>
      <c r="U142" s="30">
        <f t="shared" si="184"/>
        <v>135.06</v>
      </c>
    </row>
    <row r="143" spans="1:21" x14ac:dyDescent="0.25">
      <c r="A143" s="5">
        <v>42344</v>
      </c>
      <c r="B143" s="5">
        <f t="shared" si="178"/>
        <v>42369</v>
      </c>
      <c r="C143">
        <v>2091.69</v>
      </c>
      <c r="D143" s="29">
        <f t="shared" si="179"/>
        <v>7.9000000000000008E-3</v>
      </c>
      <c r="E143" s="39">
        <f t="shared" si="180"/>
        <v>2030.5769230769229</v>
      </c>
      <c r="F143" s="39">
        <f t="shared" si="181"/>
        <v>2063.6030769230765</v>
      </c>
      <c r="G143" s="29">
        <f t="shared" si="187"/>
        <v>3.0099999999999998E-2</v>
      </c>
      <c r="H143" s="29">
        <f t="shared" si="187"/>
        <v>1.3599999999999999E-2</v>
      </c>
      <c r="I143">
        <f t="shared" si="182"/>
        <v>2091.69</v>
      </c>
      <c r="J143">
        <f>IF(A143&gt;=Quarterly!B$2,Quarterly!C$2,IF(COUNTIFS(Quarterly!B:B,"&gt;="&amp;A143-92,Quarterly!B:B,"&lt;="&amp;A143)&gt;1,SUMIFS(Quarterly!C:C,Quarterly!B:B,"&gt;="&amp;A143-88,Quarterly!B:B,"&lt;="&amp;A143),SUMIFS(Quarterly!C:C,Quarterly!B:B,"&gt;="&amp;A143-92,Quarterly!B:B,"&lt;="&amp;A143)))</f>
        <v>18227.7</v>
      </c>
      <c r="K143" s="13">
        <f t="shared" si="183"/>
        <v>0.1148</v>
      </c>
      <c r="L143">
        <f t="shared" si="185"/>
        <v>2091.69</v>
      </c>
      <c r="M143">
        <f>IF(A143&gt;=Quarterly!B$2,Quarterly!D$2,IF(COUNTIFS(Quarterly!B:B,"&gt;="&amp;A143-92,Quarterly!B:B,"&lt;="&amp;A143)&gt;1,SUMIFS(Quarterly!D:D,Quarterly!B:B,"&gt;="&amp;A143-88,Quarterly!B:B,"&lt;="&amp;A143),SUMIFS(Quarterly!D:D,Quarterly!B:B,"&gt;="&amp;A143-92,Quarterly!B:B,"&lt;="&amp;A143)))</f>
        <v>1686.1020000000001</v>
      </c>
      <c r="N143" s="13">
        <f t="shared" si="186"/>
        <v>0.12404999999999999</v>
      </c>
      <c r="O143">
        <f t="shared" si="188"/>
        <v>2091.69</v>
      </c>
      <c r="P143" s="56">
        <f>VLOOKUP(EOMONTH(A143,-1),Economic!A:I,7,FALSE)</f>
        <v>1302314</v>
      </c>
      <c r="Q143" s="13">
        <f t="shared" si="189"/>
        <v>0.16059999999999999</v>
      </c>
      <c r="R143" s="41">
        <v>1.32</v>
      </c>
      <c r="S143">
        <f t="shared" si="190"/>
        <v>1.88</v>
      </c>
      <c r="T143" s="30">
        <f t="shared" si="191"/>
        <v>132.75</v>
      </c>
      <c r="U143" s="30">
        <f t="shared" si="184"/>
        <v>136.54</v>
      </c>
    </row>
    <row r="144" spans="1:21" x14ac:dyDescent="0.25">
      <c r="A144" s="5">
        <v>42337</v>
      </c>
      <c r="B144" s="5">
        <f t="shared" si="178"/>
        <v>42338</v>
      </c>
      <c r="C144">
        <v>2090.11</v>
      </c>
      <c r="D144" s="29">
        <f t="shared" si="179"/>
        <v>8.3999999999999995E-3</v>
      </c>
      <c r="E144" s="39">
        <f t="shared" si="180"/>
        <v>2017.4638461538464</v>
      </c>
      <c r="F144" s="39">
        <f t="shared" si="181"/>
        <v>2063.0792307692309</v>
      </c>
      <c r="G144" s="29">
        <f t="shared" si="187"/>
        <v>3.5999999999999997E-2</v>
      </c>
      <c r="H144" s="29">
        <f t="shared" si="187"/>
        <v>1.3100000000000001E-2</v>
      </c>
      <c r="I144">
        <f t="shared" si="182"/>
        <v>2090.11</v>
      </c>
      <c r="J144">
        <f>IF(A144&gt;=Quarterly!B$2,Quarterly!C$2,IF(COUNTIFS(Quarterly!B:B,"&gt;="&amp;A144-92,Quarterly!B:B,"&lt;="&amp;A144)&gt;1,SUMIFS(Quarterly!C:C,Quarterly!B:B,"&gt;="&amp;A144-88,Quarterly!B:B,"&lt;="&amp;A144),SUMIFS(Quarterly!C:C,Quarterly!B:B,"&gt;="&amp;A144-92,Quarterly!B:B,"&lt;="&amp;A144)))</f>
        <v>18227.7</v>
      </c>
      <c r="K144" s="13">
        <f t="shared" si="183"/>
        <v>0.1147</v>
      </c>
      <c r="L144">
        <f t="shared" si="185"/>
        <v>2090.11</v>
      </c>
      <c r="M144">
        <f>IF(A144&gt;=Quarterly!B$2,Quarterly!D$2,IF(COUNTIFS(Quarterly!B:B,"&gt;="&amp;A144-92,Quarterly!B:B,"&lt;="&amp;A144)&gt;1,SUMIFS(Quarterly!D:D,Quarterly!B:B,"&gt;="&amp;A144-88,Quarterly!B:B,"&lt;="&amp;A144),SUMIFS(Quarterly!D:D,Quarterly!B:B,"&gt;="&amp;A144-92,Quarterly!B:B,"&lt;="&amp;A144)))</f>
        <v>1686.1020000000001</v>
      </c>
      <c r="N144" s="13">
        <f t="shared" si="186"/>
        <v>0.12396000000000001</v>
      </c>
      <c r="O144">
        <f t="shared" si="188"/>
        <v>2090.11</v>
      </c>
      <c r="P144" s="56">
        <f>VLOOKUP(EOMONTH(A144,-1),Economic!A:I,7,FALSE)</f>
        <v>1305618</v>
      </c>
      <c r="Q144" s="13">
        <f t="shared" si="189"/>
        <v>0.16009999999999999</v>
      </c>
      <c r="R144" s="41">
        <v>1.3</v>
      </c>
      <c r="S144">
        <f t="shared" si="190"/>
        <v>1.95</v>
      </c>
      <c r="T144" s="30">
        <f t="shared" si="191"/>
        <v>136.97999999999999</v>
      </c>
      <c r="U144" s="30">
        <f t="shared" si="184"/>
        <v>140.77000000000001</v>
      </c>
    </row>
    <row r="145" spans="1:21" x14ac:dyDescent="0.25">
      <c r="A145" s="5">
        <v>42330</v>
      </c>
      <c r="B145" s="5">
        <f t="shared" si="178"/>
        <v>42338</v>
      </c>
      <c r="C145">
        <v>2089.17</v>
      </c>
      <c r="D145" s="29">
        <f t="shared" si="179"/>
        <v>9.7000000000000003E-3</v>
      </c>
      <c r="E145" s="39">
        <f t="shared" si="180"/>
        <v>2009.6761538461537</v>
      </c>
      <c r="F145" s="39">
        <f t="shared" si="181"/>
        <v>2063.4482051282052</v>
      </c>
      <c r="G145" s="29">
        <f t="shared" si="187"/>
        <v>3.9600000000000003E-2</v>
      </c>
      <c r="H145" s="29">
        <f t="shared" si="187"/>
        <v>1.2500000000000001E-2</v>
      </c>
      <c r="I145">
        <f t="shared" si="182"/>
        <v>2089.17</v>
      </c>
      <c r="J145">
        <f>IF(A145&gt;=Quarterly!B$2,Quarterly!C$2,IF(COUNTIFS(Quarterly!B:B,"&gt;="&amp;A145-92,Quarterly!B:B,"&lt;="&amp;A145)&gt;1,SUMIFS(Quarterly!C:C,Quarterly!B:B,"&gt;="&amp;A145-88,Quarterly!B:B,"&lt;="&amp;A145),SUMIFS(Quarterly!C:C,Quarterly!B:B,"&gt;="&amp;A145-92,Quarterly!B:B,"&lt;="&amp;A145)))</f>
        <v>18227.7</v>
      </c>
      <c r="K145" s="13">
        <f t="shared" si="183"/>
        <v>0.11459999999999999</v>
      </c>
      <c r="L145">
        <f t="shared" si="185"/>
        <v>2089.17</v>
      </c>
      <c r="M145">
        <f>IF(A145&gt;=Quarterly!B$2,Quarterly!D$2,IF(COUNTIFS(Quarterly!B:B,"&gt;="&amp;A145-92,Quarterly!B:B,"&lt;="&amp;A145)&gt;1,SUMIFS(Quarterly!D:D,Quarterly!B:B,"&gt;="&amp;A145-88,Quarterly!B:B,"&lt;="&amp;A145),SUMIFS(Quarterly!D:D,Quarterly!B:B,"&gt;="&amp;A145-92,Quarterly!B:B,"&lt;="&amp;A145)))</f>
        <v>1686.1020000000001</v>
      </c>
      <c r="N145" s="13">
        <f t="shared" si="186"/>
        <v>0.12391000000000002</v>
      </c>
      <c r="O145">
        <f t="shared" si="188"/>
        <v>2089.17</v>
      </c>
      <c r="P145" s="56">
        <f>VLOOKUP(EOMONTH(A145,-1),Economic!A:I,7,FALSE)</f>
        <v>1305618</v>
      </c>
      <c r="Q145" s="13">
        <f t="shared" si="189"/>
        <v>0.16</v>
      </c>
      <c r="R145" s="41">
        <v>1.33</v>
      </c>
      <c r="S145">
        <f t="shared" si="190"/>
        <v>2</v>
      </c>
      <c r="T145" s="30">
        <f t="shared" si="191"/>
        <v>139.88</v>
      </c>
      <c r="U145" s="30">
        <f t="shared" si="184"/>
        <v>141.12</v>
      </c>
    </row>
    <row r="146" spans="1:21" x14ac:dyDescent="0.25">
      <c r="A146" s="5">
        <v>42323</v>
      </c>
      <c r="B146" s="5">
        <f t="shared" ref="B146:B209" si="192">EOMONTH(A146,0)</f>
        <v>42338</v>
      </c>
      <c r="C146">
        <v>2023.04</v>
      </c>
      <c r="D146" s="29">
        <f t="shared" ref="D146:D209" si="193">ROUND((C146-AVERAGE(C147:C150))/AVERAGE(C147:C150),4)</f>
        <v>-2.35E-2</v>
      </c>
      <c r="E146" s="39">
        <f t="shared" ref="E146:E209" si="194">AVERAGE(C146:C158)</f>
        <v>2000.5776923076921</v>
      </c>
      <c r="F146" s="39">
        <f t="shared" ref="F146:F209" si="195">AVERAGE(C146:C184)</f>
        <v>2063.9900000000002</v>
      </c>
      <c r="G146" s="29">
        <f t="shared" si="187"/>
        <v>1.12E-2</v>
      </c>
      <c r="H146" s="29">
        <f t="shared" si="187"/>
        <v>-1.9800000000000002E-2</v>
      </c>
      <c r="I146">
        <f t="shared" ref="I146:I209" si="196">C146</f>
        <v>2023.04</v>
      </c>
      <c r="J146">
        <f>IF(A146&gt;=Quarterly!B$2,Quarterly!C$2,IF(COUNTIFS(Quarterly!B:B,"&gt;="&amp;A146-92,Quarterly!B:B,"&lt;="&amp;A146)&gt;1,SUMIFS(Quarterly!C:C,Quarterly!B:B,"&gt;="&amp;A146-88,Quarterly!B:B,"&lt;="&amp;A146),SUMIFS(Quarterly!C:C,Quarterly!B:B,"&gt;="&amp;A146-92,Quarterly!B:B,"&lt;="&amp;A146)))</f>
        <v>18227.7</v>
      </c>
      <c r="K146" s="13">
        <f t="shared" ref="K146:K209" si="197">ROUND(I146/J146,4)</f>
        <v>0.111</v>
      </c>
      <c r="L146">
        <f t="shared" si="185"/>
        <v>2023.04</v>
      </c>
      <c r="M146">
        <f>IF(A146&gt;=Quarterly!B$2,Quarterly!D$2,IF(COUNTIFS(Quarterly!B:B,"&gt;="&amp;A146-92,Quarterly!B:B,"&lt;="&amp;A146)&gt;1,SUMIFS(Quarterly!D:D,Quarterly!B:B,"&gt;="&amp;A146-88,Quarterly!B:B,"&lt;="&amp;A146),SUMIFS(Quarterly!D:D,Quarterly!B:B,"&gt;="&amp;A146-92,Quarterly!B:B,"&lt;="&amp;A146)))</f>
        <v>1686.1020000000001</v>
      </c>
      <c r="N146" s="13">
        <f t="shared" si="186"/>
        <v>0.11998</v>
      </c>
      <c r="O146">
        <f t="shared" si="188"/>
        <v>2023.04</v>
      </c>
      <c r="P146" s="56">
        <f>VLOOKUP(EOMONTH(A146,-1),Economic!A:I,7,FALSE)</f>
        <v>1305618</v>
      </c>
      <c r="Q146" s="13">
        <f t="shared" si="189"/>
        <v>0.15490000000000001</v>
      </c>
      <c r="R146" s="41">
        <v>1.42</v>
      </c>
      <c r="S146">
        <f t="shared" si="190"/>
        <v>2.04</v>
      </c>
      <c r="T146" s="30">
        <f t="shared" si="191"/>
        <v>145.46</v>
      </c>
      <c r="U146" s="30">
        <f t="shared" ref="U146:U209" si="198">ROUND(AVERAGE(T146:T148),2)</f>
        <v>140.13</v>
      </c>
    </row>
    <row r="147" spans="1:21" x14ac:dyDescent="0.25">
      <c r="A147" s="5">
        <v>42316</v>
      </c>
      <c r="B147" s="5">
        <f t="shared" si="192"/>
        <v>42338</v>
      </c>
      <c r="C147">
        <v>2099.1999999999998</v>
      </c>
      <c r="D147" s="29">
        <f t="shared" si="193"/>
        <v>2.3699999999999999E-2</v>
      </c>
      <c r="E147" s="39">
        <f t="shared" si="194"/>
        <v>2005.8469230769233</v>
      </c>
      <c r="F147" s="39">
        <f t="shared" si="195"/>
        <v>2065.8861538461542</v>
      </c>
      <c r="G147" s="29">
        <f t="shared" si="187"/>
        <v>4.65E-2</v>
      </c>
      <c r="H147" s="29">
        <f t="shared" si="187"/>
        <v>1.61E-2</v>
      </c>
      <c r="I147">
        <f t="shared" si="196"/>
        <v>2099.1999999999998</v>
      </c>
      <c r="J147">
        <f>IF(A147&gt;=Quarterly!B$2,Quarterly!C$2,IF(COUNTIFS(Quarterly!B:B,"&gt;="&amp;A147-92,Quarterly!B:B,"&lt;="&amp;A147)&gt;1,SUMIFS(Quarterly!C:C,Quarterly!B:B,"&gt;="&amp;A147-88,Quarterly!B:B,"&lt;="&amp;A147),SUMIFS(Quarterly!C:C,Quarterly!B:B,"&gt;="&amp;A147-92,Quarterly!B:B,"&lt;="&amp;A147)))</f>
        <v>18227.7</v>
      </c>
      <c r="K147" s="13">
        <f t="shared" si="197"/>
        <v>0.1152</v>
      </c>
      <c r="L147">
        <f t="shared" si="185"/>
        <v>2099.1999999999998</v>
      </c>
      <c r="M147">
        <f>IF(A147&gt;=Quarterly!B$2,Quarterly!D$2,IF(COUNTIFS(Quarterly!B:B,"&gt;="&amp;A147-92,Quarterly!B:B,"&lt;="&amp;A147)&gt;1,SUMIFS(Quarterly!D:D,Quarterly!B:B,"&gt;="&amp;A147-88,Quarterly!B:B,"&lt;="&amp;A147),SUMIFS(Quarterly!D:D,Quarterly!B:B,"&gt;="&amp;A147-92,Quarterly!B:B,"&lt;="&amp;A147)))</f>
        <v>1686.1020000000001</v>
      </c>
      <c r="N147" s="13">
        <f t="shared" si="186"/>
        <v>0.12450000000000001</v>
      </c>
      <c r="O147">
        <f t="shared" si="188"/>
        <v>2099.1999999999998</v>
      </c>
      <c r="P147" s="56">
        <f>VLOOKUP(EOMONTH(A147,-1),Economic!A:I,7,FALSE)</f>
        <v>1305618</v>
      </c>
      <c r="Q147" s="13">
        <f t="shared" si="189"/>
        <v>0.1608</v>
      </c>
      <c r="R147" s="41">
        <v>1.44</v>
      </c>
      <c r="S147">
        <f t="shared" si="190"/>
        <v>1.94</v>
      </c>
      <c r="T147" s="30">
        <f t="shared" si="191"/>
        <v>138.02000000000001</v>
      </c>
      <c r="U147" s="30">
        <f t="shared" si="198"/>
        <v>136.99</v>
      </c>
    </row>
    <row r="148" spans="1:21" x14ac:dyDescent="0.25">
      <c r="A148" s="5">
        <v>42309</v>
      </c>
      <c r="B148" s="5">
        <f t="shared" si="192"/>
        <v>42338</v>
      </c>
      <c r="C148">
        <v>2079.36</v>
      </c>
      <c r="D148" s="29">
        <f t="shared" si="193"/>
        <v>3.0099999999999998E-2</v>
      </c>
      <c r="E148" s="39">
        <f t="shared" si="194"/>
        <v>2004.1830769230769</v>
      </c>
      <c r="F148" s="39">
        <f t="shared" si="195"/>
        <v>2064.7648717948719</v>
      </c>
      <c r="G148" s="29">
        <f t="shared" si="187"/>
        <v>3.7499999999999999E-2</v>
      </c>
      <c r="H148" s="29">
        <f t="shared" si="187"/>
        <v>7.1000000000000004E-3</v>
      </c>
      <c r="I148">
        <f t="shared" si="196"/>
        <v>2079.36</v>
      </c>
      <c r="J148">
        <f>IF(A148&gt;=Quarterly!B$2,Quarterly!C$2,IF(COUNTIFS(Quarterly!B:B,"&gt;="&amp;A148-92,Quarterly!B:B,"&lt;="&amp;A148)&gt;1,SUMIFS(Quarterly!C:C,Quarterly!B:B,"&gt;="&amp;A148-88,Quarterly!B:B,"&lt;="&amp;A148),SUMIFS(Quarterly!C:C,Quarterly!B:B,"&gt;="&amp;A148-92,Quarterly!B:B,"&lt;="&amp;A148)))</f>
        <v>18227.7</v>
      </c>
      <c r="K148" s="13">
        <f t="shared" si="197"/>
        <v>0.11409999999999999</v>
      </c>
      <c r="L148">
        <f t="shared" si="185"/>
        <v>2079.36</v>
      </c>
      <c r="M148">
        <f>IF(A148&gt;=Quarterly!B$2,Quarterly!D$2,IF(COUNTIFS(Quarterly!B:B,"&gt;="&amp;A148-92,Quarterly!B:B,"&lt;="&amp;A148)&gt;1,SUMIFS(Quarterly!D:D,Quarterly!B:B,"&gt;="&amp;A148-88,Quarterly!B:B,"&lt;="&amp;A148),SUMIFS(Quarterly!D:D,Quarterly!B:B,"&gt;="&amp;A148-92,Quarterly!B:B,"&lt;="&amp;A148)))</f>
        <v>1686.1020000000001</v>
      </c>
      <c r="N148" s="13">
        <f t="shared" si="186"/>
        <v>0.12332000000000001</v>
      </c>
      <c r="O148">
        <f t="shared" si="188"/>
        <v>2079.36</v>
      </c>
      <c r="P148" s="56">
        <f>VLOOKUP(EOMONTH(A148,-1),Economic!A:I,7,FALSE)</f>
        <v>1305618</v>
      </c>
      <c r="Q148" s="13">
        <f t="shared" si="189"/>
        <v>0.1593</v>
      </c>
      <c r="R148" s="41">
        <v>1.41</v>
      </c>
      <c r="S148">
        <f t="shared" si="190"/>
        <v>1.87</v>
      </c>
      <c r="T148" s="30">
        <f t="shared" si="191"/>
        <v>136.91999999999999</v>
      </c>
      <c r="U148" s="30">
        <f t="shared" si="198"/>
        <v>137.47999999999999</v>
      </c>
    </row>
    <row r="149" spans="1:21" x14ac:dyDescent="0.25">
      <c r="A149" s="5">
        <v>42302</v>
      </c>
      <c r="B149" s="5">
        <f t="shared" si="192"/>
        <v>42308</v>
      </c>
      <c r="C149">
        <v>2075.15</v>
      </c>
      <c r="D149" s="29">
        <f t="shared" si="193"/>
        <v>4.6600000000000003E-2</v>
      </c>
      <c r="E149" s="39">
        <f t="shared" si="194"/>
        <v>2006.0661538461538</v>
      </c>
      <c r="F149" s="39">
        <f t="shared" si="195"/>
        <v>2062.6015384615384</v>
      </c>
      <c r="G149" s="29">
        <f t="shared" si="187"/>
        <v>3.44E-2</v>
      </c>
      <c r="H149" s="29">
        <f t="shared" si="187"/>
        <v>6.1000000000000004E-3</v>
      </c>
      <c r="I149">
        <f t="shared" si="196"/>
        <v>2075.15</v>
      </c>
      <c r="J149">
        <f>IF(A149&gt;=Quarterly!B$2,Quarterly!C$2,IF(COUNTIFS(Quarterly!B:B,"&gt;="&amp;A149-92,Quarterly!B:B,"&lt;="&amp;A149)&gt;1,SUMIFS(Quarterly!C:C,Quarterly!B:B,"&gt;="&amp;A149-88,Quarterly!B:B,"&lt;="&amp;A149),SUMIFS(Quarterly!C:C,Quarterly!B:B,"&gt;="&amp;A149-92,Quarterly!B:B,"&lt;="&amp;A149)))</f>
        <v>18093.2</v>
      </c>
      <c r="K149" s="13">
        <f t="shared" si="197"/>
        <v>0.1147</v>
      </c>
      <c r="L149">
        <f t="shared" si="185"/>
        <v>2075.15</v>
      </c>
      <c r="M149">
        <f>IF(A149&gt;=Quarterly!B$2,Quarterly!D$2,IF(COUNTIFS(Quarterly!B:B,"&gt;="&amp;A149-92,Quarterly!B:B,"&lt;="&amp;A149)&gt;1,SUMIFS(Quarterly!D:D,Quarterly!B:B,"&gt;="&amp;A149-88,Quarterly!B:B,"&lt;="&amp;A149),SUMIFS(Quarterly!D:D,Quarterly!B:B,"&gt;="&amp;A149-92,Quarterly!B:B,"&lt;="&amp;A149)))</f>
        <v>1744.1569999999999</v>
      </c>
      <c r="N149" s="13">
        <f t="shared" si="186"/>
        <v>0.11898</v>
      </c>
      <c r="O149">
        <f t="shared" si="188"/>
        <v>2075.15</v>
      </c>
      <c r="P149" s="56">
        <f>VLOOKUP(EOMONTH(A149,-1),Economic!A:I,7,FALSE)</f>
        <v>1307666</v>
      </c>
      <c r="Q149" s="13">
        <f t="shared" si="189"/>
        <v>0.15870000000000001</v>
      </c>
      <c r="R149" s="41">
        <v>1.43</v>
      </c>
      <c r="S149">
        <f t="shared" si="190"/>
        <v>1.87</v>
      </c>
      <c r="T149" s="30">
        <f t="shared" si="191"/>
        <v>136.03</v>
      </c>
      <c r="U149" s="30">
        <f t="shared" si="198"/>
        <v>139.02000000000001</v>
      </c>
    </row>
    <row r="150" spans="1:21" x14ac:dyDescent="0.25">
      <c r="A150" s="5">
        <v>42295</v>
      </c>
      <c r="B150" s="5">
        <f t="shared" si="192"/>
        <v>42308</v>
      </c>
      <c r="C150">
        <v>2033.11</v>
      </c>
      <c r="D150" s="29">
        <f t="shared" si="193"/>
        <v>3.5200000000000002E-2</v>
      </c>
      <c r="E150" s="39">
        <f t="shared" si="194"/>
        <v>2006.4123076923076</v>
      </c>
      <c r="F150" s="39">
        <f t="shared" si="195"/>
        <v>2062.0033333333336</v>
      </c>
      <c r="G150" s="29">
        <f t="shared" si="187"/>
        <v>1.3299999999999999E-2</v>
      </c>
      <c r="H150" s="29">
        <f t="shared" si="187"/>
        <v>-1.4E-2</v>
      </c>
      <c r="I150">
        <f t="shared" si="196"/>
        <v>2033.11</v>
      </c>
      <c r="J150">
        <f>IF(A150&gt;=Quarterly!B$2,Quarterly!C$2,IF(COUNTIFS(Quarterly!B:B,"&gt;="&amp;A150-92,Quarterly!B:B,"&lt;="&amp;A150)&gt;1,SUMIFS(Quarterly!C:C,Quarterly!B:B,"&gt;="&amp;A150-88,Quarterly!B:B,"&lt;="&amp;A150),SUMIFS(Quarterly!C:C,Quarterly!B:B,"&gt;="&amp;A150-92,Quarterly!B:B,"&lt;="&amp;A150)))</f>
        <v>18093.2</v>
      </c>
      <c r="K150" s="13">
        <f t="shared" si="197"/>
        <v>0.1124</v>
      </c>
      <c r="L150">
        <f t="shared" si="185"/>
        <v>2033.11</v>
      </c>
      <c r="M150">
        <f>IF(A150&gt;=Quarterly!B$2,Quarterly!D$2,IF(COUNTIFS(Quarterly!B:B,"&gt;="&amp;A150-92,Quarterly!B:B,"&lt;="&amp;A150)&gt;1,SUMIFS(Quarterly!D:D,Quarterly!B:B,"&gt;="&amp;A150-88,Quarterly!B:B,"&lt;="&amp;A150),SUMIFS(Quarterly!D:D,Quarterly!B:B,"&gt;="&amp;A150-92,Quarterly!B:B,"&lt;="&amp;A150)))</f>
        <v>1744.1569999999999</v>
      </c>
      <c r="N150" s="13">
        <f t="shared" si="186"/>
        <v>0.11657000000000001</v>
      </c>
      <c r="O150">
        <f t="shared" si="188"/>
        <v>2033.11</v>
      </c>
      <c r="P150" s="56">
        <f>VLOOKUP(EOMONTH(A150,-1),Economic!A:I,7,FALSE)</f>
        <v>1307666</v>
      </c>
      <c r="Q150" s="13">
        <f t="shared" si="189"/>
        <v>0.1555</v>
      </c>
      <c r="R150" s="41">
        <v>1.43</v>
      </c>
      <c r="S150">
        <f t="shared" si="190"/>
        <v>1.92</v>
      </c>
      <c r="T150" s="30">
        <f t="shared" si="191"/>
        <v>139.47999999999999</v>
      </c>
      <c r="U150" s="30">
        <f t="shared" si="198"/>
        <v>142.28</v>
      </c>
    </row>
    <row r="151" spans="1:21" x14ac:dyDescent="0.25">
      <c r="A151" s="5">
        <v>42288</v>
      </c>
      <c r="B151" s="5">
        <f t="shared" si="192"/>
        <v>42308</v>
      </c>
      <c r="C151">
        <v>2014.89</v>
      </c>
      <c r="D151" s="29">
        <f t="shared" si="193"/>
        <v>3.3000000000000002E-2</v>
      </c>
      <c r="E151" s="39">
        <f t="shared" si="194"/>
        <v>2013.6069230769231</v>
      </c>
      <c r="F151" s="39">
        <f t="shared" si="195"/>
        <v>2061.6523076923081</v>
      </c>
      <c r="G151" s="29">
        <f t="shared" si="187"/>
        <v>5.9999999999999995E-4</v>
      </c>
      <c r="H151" s="29">
        <f t="shared" si="187"/>
        <v>-2.2700000000000001E-2</v>
      </c>
      <c r="I151">
        <f t="shared" si="196"/>
        <v>2014.89</v>
      </c>
      <c r="J151">
        <f>IF(A151&gt;=Quarterly!B$2,Quarterly!C$2,IF(COUNTIFS(Quarterly!B:B,"&gt;="&amp;A151-92,Quarterly!B:B,"&lt;="&amp;A151)&gt;1,SUMIFS(Quarterly!C:C,Quarterly!B:B,"&gt;="&amp;A151-88,Quarterly!B:B,"&lt;="&amp;A151),SUMIFS(Quarterly!C:C,Quarterly!B:B,"&gt;="&amp;A151-92,Quarterly!B:B,"&lt;="&amp;A151)))</f>
        <v>18093.2</v>
      </c>
      <c r="K151" s="13">
        <f t="shared" si="197"/>
        <v>0.1114</v>
      </c>
      <c r="L151">
        <f t="shared" ref="L151:L214" si="199">C151</f>
        <v>2014.89</v>
      </c>
      <c r="M151">
        <f>IF(A151&gt;=Quarterly!B$2,Quarterly!D$2,IF(COUNTIFS(Quarterly!B:B,"&gt;="&amp;A151-92,Quarterly!B:B,"&lt;="&amp;A151)&gt;1,SUMIFS(Quarterly!D:D,Quarterly!B:B,"&gt;="&amp;A151-88,Quarterly!B:B,"&lt;="&amp;A151),SUMIFS(Quarterly!D:D,Quarterly!B:B,"&gt;="&amp;A151-92,Quarterly!B:B,"&lt;="&amp;A151)))</f>
        <v>1744.1569999999999</v>
      </c>
      <c r="N151" s="13">
        <f t="shared" ref="N151:N214" si="200">ROUND(L151/M151,4)*0.1</f>
        <v>0.11552000000000001</v>
      </c>
      <c r="O151">
        <f t="shared" si="188"/>
        <v>2014.89</v>
      </c>
      <c r="P151" s="56">
        <f>VLOOKUP(EOMONTH(A151,-1),Economic!A:I,7,FALSE)</f>
        <v>1307666</v>
      </c>
      <c r="Q151" s="13">
        <f t="shared" si="189"/>
        <v>0.15410000000000001</v>
      </c>
      <c r="R151" s="41">
        <v>1.47</v>
      </c>
      <c r="S151">
        <f t="shared" si="190"/>
        <v>1.99</v>
      </c>
      <c r="T151" s="30">
        <f t="shared" si="191"/>
        <v>141.54</v>
      </c>
      <c r="U151" s="30">
        <f t="shared" si="198"/>
        <v>143.32</v>
      </c>
    </row>
    <row r="152" spans="1:21" x14ac:dyDescent="0.25">
      <c r="A152" s="5">
        <v>42281</v>
      </c>
      <c r="B152" s="5">
        <f t="shared" si="192"/>
        <v>42308</v>
      </c>
      <c r="C152">
        <v>1951.36</v>
      </c>
      <c r="D152" s="29">
        <f t="shared" si="193"/>
        <v>4.3E-3</v>
      </c>
      <c r="E152" s="39">
        <f t="shared" si="194"/>
        <v>2018.3553846153845</v>
      </c>
      <c r="F152" s="39">
        <f t="shared" si="195"/>
        <v>2062.4194871794875</v>
      </c>
      <c r="G152" s="29">
        <f t="shared" si="187"/>
        <v>-3.32E-2</v>
      </c>
      <c r="H152" s="29">
        <f t="shared" si="187"/>
        <v>-5.3800000000000001E-2</v>
      </c>
      <c r="I152">
        <f t="shared" si="196"/>
        <v>1951.36</v>
      </c>
      <c r="J152">
        <f>IF(A152&gt;=Quarterly!B$2,Quarterly!C$2,IF(COUNTIFS(Quarterly!B:B,"&gt;="&amp;A152-92,Quarterly!B:B,"&lt;="&amp;A152)&gt;1,SUMIFS(Quarterly!C:C,Quarterly!B:B,"&gt;="&amp;A152-88,Quarterly!B:B,"&lt;="&amp;A152),SUMIFS(Quarterly!C:C,Quarterly!B:B,"&gt;="&amp;A152-92,Quarterly!B:B,"&lt;="&amp;A152)))</f>
        <v>18093.2</v>
      </c>
      <c r="K152" s="13">
        <f t="shared" si="197"/>
        <v>0.1079</v>
      </c>
      <c r="L152">
        <f t="shared" si="199"/>
        <v>1951.36</v>
      </c>
      <c r="M152">
        <f>IF(A152&gt;=Quarterly!B$2,Quarterly!D$2,IF(COUNTIFS(Quarterly!B:B,"&gt;="&amp;A152-92,Quarterly!B:B,"&lt;="&amp;A152)&gt;1,SUMIFS(Quarterly!D:D,Quarterly!B:B,"&gt;="&amp;A152-88,Quarterly!B:B,"&lt;="&amp;A152),SUMIFS(Quarterly!D:D,Quarterly!B:B,"&gt;="&amp;A152-92,Quarterly!B:B,"&lt;="&amp;A152)))</f>
        <v>1744.1569999999999</v>
      </c>
      <c r="N152" s="13">
        <f t="shared" si="200"/>
        <v>0.11188000000000001</v>
      </c>
      <c r="O152">
        <f t="shared" si="188"/>
        <v>1951.36</v>
      </c>
      <c r="P152" s="56">
        <f>VLOOKUP(EOMONTH(A152,-1),Economic!A:I,7,FALSE)</f>
        <v>1307666</v>
      </c>
      <c r="Q152" s="13">
        <f t="shared" si="189"/>
        <v>0.1492</v>
      </c>
      <c r="R152" s="41">
        <v>1.41</v>
      </c>
      <c r="S152">
        <f t="shared" si="190"/>
        <v>2.0499999999999998</v>
      </c>
      <c r="T152" s="30">
        <f t="shared" si="191"/>
        <v>145.83000000000001</v>
      </c>
      <c r="U152" s="30">
        <f t="shared" si="198"/>
        <v>143.12</v>
      </c>
    </row>
    <row r="153" spans="1:21" x14ac:dyDescent="0.25">
      <c r="A153" s="5">
        <v>42274</v>
      </c>
      <c r="B153" s="5">
        <f t="shared" si="192"/>
        <v>42277</v>
      </c>
      <c r="C153">
        <v>1931.34</v>
      </c>
      <c r="D153" s="29">
        <f t="shared" si="193"/>
        <v>-1.3299999999999999E-2</v>
      </c>
      <c r="E153" s="39">
        <f t="shared" si="194"/>
        <v>2028.0030769230766</v>
      </c>
      <c r="F153" s="39">
        <f t="shared" si="195"/>
        <v>2065.1589743589748</v>
      </c>
      <c r="G153" s="29">
        <f t="shared" si="187"/>
        <v>-4.7699999999999999E-2</v>
      </c>
      <c r="H153" s="29">
        <f t="shared" si="187"/>
        <v>-6.4799999999999996E-2</v>
      </c>
      <c r="I153">
        <f t="shared" si="196"/>
        <v>1931.34</v>
      </c>
      <c r="J153">
        <f>IF(A153&gt;=Quarterly!B$2,Quarterly!C$2,IF(COUNTIFS(Quarterly!B:B,"&gt;="&amp;A153-92,Quarterly!B:B,"&lt;="&amp;A153)&gt;1,SUMIFS(Quarterly!C:C,Quarterly!B:B,"&gt;="&amp;A153-88,Quarterly!B:B,"&lt;="&amp;A153),SUMIFS(Quarterly!C:C,Quarterly!B:B,"&gt;="&amp;A153-92,Quarterly!B:B,"&lt;="&amp;A153)))</f>
        <v>18093.2</v>
      </c>
      <c r="K153" s="13">
        <f t="shared" si="197"/>
        <v>0.1067</v>
      </c>
      <c r="L153">
        <f t="shared" si="199"/>
        <v>1931.34</v>
      </c>
      <c r="M153">
        <f>IF(A153&gt;=Quarterly!B$2,Quarterly!D$2,IF(COUNTIFS(Quarterly!B:B,"&gt;="&amp;A153-92,Quarterly!B:B,"&lt;="&amp;A153)&gt;1,SUMIFS(Quarterly!D:D,Quarterly!B:B,"&gt;="&amp;A153-88,Quarterly!B:B,"&lt;="&amp;A153),SUMIFS(Quarterly!D:D,Quarterly!B:B,"&gt;="&amp;A153-92,Quarterly!B:B,"&lt;="&amp;A153)))</f>
        <v>1744.1569999999999</v>
      </c>
      <c r="N153" s="13">
        <f t="shared" si="200"/>
        <v>0.11073</v>
      </c>
      <c r="O153">
        <f t="shared" si="188"/>
        <v>1931.34</v>
      </c>
      <c r="P153" s="56">
        <f>VLOOKUP(EOMONTH(A153,-1),Economic!A:I,7,FALSE)</f>
        <v>1305025</v>
      </c>
      <c r="Q153" s="13">
        <f t="shared" si="189"/>
        <v>0.14799999999999999</v>
      </c>
      <c r="R153" s="41">
        <v>1.47</v>
      </c>
      <c r="S153">
        <f t="shared" si="190"/>
        <v>1.95</v>
      </c>
      <c r="T153" s="30">
        <f t="shared" si="191"/>
        <v>142.59</v>
      </c>
      <c r="U153" s="30">
        <f t="shared" si="198"/>
        <v>141.59</v>
      </c>
    </row>
    <row r="154" spans="1:21" x14ac:dyDescent="0.25">
      <c r="A154" s="5">
        <v>42267</v>
      </c>
      <c r="B154" s="5">
        <f t="shared" si="192"/>
        <v>42277</v>
      </c>
      <c r="C154">
        <v>1958.03</v>
      </c>
      <c r="D154" s="29">
        <f t="shared" si="193"/>
        <v>-1.2999999999999999E-3</v>
      </c>
      <c r="E154" s="39">
        <f t="shared" si="194"/>
        <v>2041.091538461538</v>
      </c>
      <c r="F154" s="39">
        <f t="shared" si="195"/>
        <v>2069.1956410256412</v>
      </c>
      <c r="G154" s="29">
        <f t="shared" si="187"/>
        <v>-4.07E-2</v>
      </c>
      <c r="H154" s="29">
        <f t="shared" si="187"/>
        <v>-5.3699999999999998E-2</v>
      </c>
      <c r="I154">
        <f t="shared" si="196"/>
        <v>1958.03</v>
      </c>
      <c r="J154">
        <f>IF(A154&gt;=Quarterly!B$2,Quarterly!C$2,IF(COUNTIFS(Quarterly!B:B,"&gt;="&amp;A154-92,Quarterly!B:B,"&lt;="&amp;A154)&gt;1,SUMIFS(Quarterly!C:C,Quarterly!B:B,"&gt;="&amp;A154-88,Quarterly!B:B,"&lt;="&amp;A154),SUMIFS(Quarterly!C:C,Quarterly!B:B,"&gt;="&amp;A154-92,Quarterly!B:B,"&lt;="&amp;A154)))</f>
        <v>18093.2</v>
      </c>
      <c r="K154" s="13">
        <f t="shared" si="197"/>
        <v>0.1082</v>
      </c>
      <c r="L154">
        <f t="shared" si="199"/>
        <v>1958.03</v>
      </c>
      <c r="M154">
        <f>IF(A154&gt;=Quarterly!B$2,Quarterly!D$2,IF(COUNTIFS(Quarterly!B:B,"&gt;="&amp;A154-92,Quarterly!B:B,"&lt;="&amp;A154)&gt;1,SUMIFS(Quarterly!D:D,Quarterly!B:B,"&gt;="&amp;A154-88,Quarterly!B:B,"&lt;="&amp;A154),SUMIFS(Quarterly!D:D,Quarterly!B:B,"&gt;="&amp;A154-92,Quarterly!B:B,"&lt;="&amp;A154)))</f>
        <v>1744.1569999999999</v>
      </c>
      <c r="N154" s="13">
        <f t="shared" si="200"/>
        <v>0.11226000000000001</v>
      </c>
      <c r="O154">
        <f t="shared" si="188"/>
        <v>1958.03</v>
      </c>
      <c r="P154" s="56">
        <f>VLOOKUP(EOMONTH(A154,-1),Economic!A:I,7,FALSE)</f>
        <v>1305025</v>
      </c>
      <c r="Q154" s="13">
        <f t="shared" si="189"/>
        <v>0.15</v>
      </c>
      <c r="R154" s="41">
        <v>1.44</v>
      </c>
      <c r="S154">
        <f t="shared" si="190"/>
        <v>1.99</v>
      </c>
      <c r="T154" s="30">
        <f t="shared" si="191"/>
        <v>140.94999999999999</v>
      </c>
      <c r="U154" s="30">
        <f t="shared" si="198"/>
        <v>142.22999999999999</v>
      </c>
    </row>
    <row r="155" spans="1:21" x14ac:dyDescent="0.25">
      <c r="A155" s="5">
        <v>42260</v>
      </c>
      <c r="B155" s="5">
        <f t="shared" si="192"/>
        <v>42277</v>
      </c>
      <c r="C155">
        <v>1961.05</v>
      </c>
      <c r="D155" s="29">
        <f t="shared" si="193"/>
        <v>-1.61E-2</v>
      </c>
      <c r="E155" s="39">
        <f t="shared" si="194"/>
        <v>2052.7807692307688</v>
      </c>
      <c r="F155" s="39">
        <f t="shared" si="195"/>
        <v>2072.0833333333335</v>
      </c>
      <c r="G155" s="29">
        <f t="shared" si="187"/>
        <v>-4.4699999999999997E-2</v>
      </c>
      <c r="H155" s="29">
        <f t="shared" si="187"/>
        <v>-5.3600000000000002E-2</v>
      </c>
      <c r="I155">
        <f t="shared" si="196"/>
        <v>1961.05</v>
      </c>
      <c r="J155">
        <f>IF(A155&gt;=Quarterly!B$2,Quarterly!C$2,IF(COUNTIFS(Quarterly!B:B,"&gt;="&amp;A155-92,Quarterly!B:B,"&lt;="&amp;A155)&gt;1,SUMIFS(Quarterly!C:C,Quarterly!B:B,"&gt;="&amp;A155-88,Quarterly!B:B,"&lt;="&amp;A155),SUMIFS(Quarterly!C:C,Quarterly!B:B,"&gt;="&amp;A155-92,Quarterly!B:B,"&lt;="&amp;A155)))</f>
        <v>18093.2</v>
      </c>
      <c r="K155" s="13">
        <f t="shared" si="197"/>
        <v>0.1084</v>
      </c>
      <c r="L155">
        <f t="shared" si="199"/>
        <v>1961.05</v>
      </c>
      <c r="M155">
        <f>IF(A155&gt;=Quarterly!B$2,Quarterly!D$2,IF(COUNTIFS(Quarterly!B:B,"&gt;="&amp;A155-92,Quarterly!B:B,"&lt;="&amp;A155)&gt;1,SUMIFS(Quarterly!D:D,Quarterly!B:B,"&gt;="&amp;A155-88,Quarterly!B:B,"&lt;="&amp;A155),SUMIFS(Quarterly!D:D,Quarterly!B:B,"&gt;="&amp;A155-92,Quarterly!B:B,"&lt;="&amp;A155)))</f>
        <v>1744.1569999999999</v>
      </c>
      <c r="N155" s="13">
        <f t="shared" si="200"/>
        <v>0.11244000000000001</v>
      </c>
      <c r="O155">
        <f t="shared" si="188"/>
        <v>1961.05</v>
      </c>
      <c r="P155" s="56">
        <f>VLOOKUP(EOMONTH(A155,-1),Economic!A:I,7,FALSE)</f>
        <v>1305025</v>
      </c>
      <c r="Q155" s="13">
        <f t="shared" si="189"/>
        <v>0.15029999999999999</v>
      </c>
      <c r="R155" s="41">
        <v>1.49</v>
      </c>
      <c r="S155">
        <f t="shared" si="190"/>
        <v>2.0499999999999998</v>
      </c>
      <c r="T155" s="30">
        <f t="shared" si="191"/>
        <v>141.22</v>
      </c>
      <c r="U155" s="30">
        <f t="shared" si="198"/>
        <v>141.34</v>
      </c>
    </row>
    <row r="156" spans="1:21" x14ac:dyDescent="0.25">
      <c r="A156" s="5">
        <v>42253</v>
      </c>
      <c r="B156" s="5">
        <f t="shared" si="192"/>
        <v>42277</v>
      </c>
      <c r="C156">
        <v>1921.22</v>
      </c>
      <c r="D156" s="29">
        <f t="shared" si="193"/>
        <v>-5.4600000000000003E-2</v>
      </c>
      <c r="E156" s="39">
        <f t="shared" si="194"/>
        <v>2063.0161538461539</v>
      </c>
      <c r="F156" s="39">
        <f t="shared" si="195"/>
        <v>2073.1417948717949</v>
      </c>
      <c r="G156" s="29">
        <f t="shared" si="187"/>
        <v>-6.8699999999999997E-2</v>
      </c>
      <c r="H156" s="29">
        <f t="shared" si="187"/>
        <v>-7.3300000000000004E-2</v>
      </c>
      <c r="I156">
        <f t="shared" si="196"/>
        <v>1921.22</v>
      </c>
      <c r="J156">
        <f>IF(A156&gt;=Quarterly!B$2,Quarterly!C$2,IF(COUNTIFS(Quarterly!B:B,"&gt;="&amp;A156-92,Quarterly!B:B,"&lt;="&amp;A156)&gt;1,SUMIFS(Quarterly!C:C,Quarterly!B:B,"&gt;="&amp;A156-88,Quarterly!B:B,"&lt;="&amp;A156),SUMIFS(Quarterly!C:C,Quarterly!B:B,"&gt;="&amp;A156-92,Quarterly!B:B,"&lt;="&amp;A156)))</f>
        <v>18093.2</v>
      </c>
      <c r="K156" s="13">
        <f t="shared" si="197"/>
        <v>0.1062</v>
      </c>
      <c r="L156">
        <f t="shared" si="199"/>
        <v>1921.22</v>
      </c>
      <c r="M156">
        <f>IF(A156&gt;=Quarterly!B$2,Quarterly!D$2,IF(COUNTIFS(Quarterly!B:B,"&gt;="&amp;A156-92,Quarterly!B:B,"&lt;="&amp;A156)&gt;1,SUMIFS(Quarterly!D:D,Quarterly!B:B,"&gt;="&amp;A156-88,Quarterly!B:B,"&lt;="&amp;A156),SUMIFS(Quarterly!D:D,Quarterly!B:B,"&gt;="&amp;A156-92,Quarterly!B:B,"&lt;="&amp;A156)))</f>
        <v>1744.1569999999999</v>
      </c>
      <c r="N156" s="13">
        <f t="shared" si="200"/>
        <v>0.11015</v>
      </c>
      <c r="O156">
        <f t="shared" si="188"/>
        <v>1921.22</v>
      </c>
      <c r="P156" s="56">
        <f>VLOOKUP(EOMONTH(A156,-1),Economic!A:I,7,FALSE)</f>
        <v>1305025</v>
      </c>
      <c r="Q156" s="13">
        <f t="shared" si="189"/>
        <v>0.1472</v>
      </c>
      <c r="R156" s="41">
        <v>1.42</v>
      </c>
      <c r="S156">
        <f t="shared" si="190"/>
        <v>2.13</v>
      </c>
      <c r="T156" s="30">
        <f t="shared" si="191"/>
        <v>144.51</v>
      </c>
      <c r="U156" s="30">
        <f t="shared" si="198"/>
        <v>140.74</v>
      </c>
    </row>
    <row r="157" spans="1:21" x14ac:dyDescent="0.25">
      <c r="A157" s="5">
        <v>42246</v>
      </c>
      <c r="B157" s="5">
        <f t="shared" si="192"/>
        <v>42247</v>
      </c>
      <c r="C157">
        <v>1988.87</v>
      </c>
      <c r="D157" s="29">
        <f t="shared" si="193"/>
        <v>-3.5000000000000003E-2</v>
      </c>
      <c r="E157" s="39">
        <f t="shared" si="194"/>
        <v>2076.2169230769232</v>
      </c>
      <c r="F157" s="39">
        <f t="shared" si="195"/>
        <v>2077.0943589743588</v>
      </c>
      <c r="G157" s="29">
        <f t="shared" si="187"/>
        <v>-4.2099999999999999E-2</v>
      </c>
      <c r="H157" s="29">
        <f t="shared" si="187"/>
        <v>-4.2500000000000003E-2</v>
      </c>
      <c r="I157">
        <f t="shared" si="196"/>
        <v>1988.87</v>
      </c>
      <c r="J157">
        <f>IF(A157&gt;=Quarterly!B$2,Quarterly!C$2,IF(COUNTIFS(Quarterly!B:B,"&gt;="&amp;A157-92,Quarterly!B:B,"&lt;="&amp;A157)&gt;1,SUMIFS(Quarterly!C:C,Quarterly!B:B,"&gt;="&amp;A157-88,Quarterly!B:B,"&lt;="&amp;A157),SUMIFS(Quarterly!C:C,Quarterly!B:B,"&gt;="&amp;A157-92,Quarterly!B:B,"&lt;="&amp;A157)))</f>
        <v>18093.2</v>
      </c>
      <c r="K157" s="13">
        <f t="shared" si="197"/>
        <v>0.1099</v>
      </c>
      <c r="L157">
        <f t="shared" si="199"/>
        <v>1988.87</v>
      </c>
      <c r="M157">
        <f>IF(A157&gt;=Quarterly!B$2,Quarterly!D$2,IF(COUNTIFS(Quarterly!B:B,"&gt;="&amp;A157-92,Quarterly!B:B,"&lt;="&amp;A157)&gt;1,SUMIFS(Quarterly!D:D,Quarterly!B:B,"&gt;="&amp;A157-88,Quarterly!B:B,"&lt;="&amp;A157),SUMIFS(Quarterly!D:D,Quarterly!B:B,"&gt;="&amp;A157-92,Quarterly!B:B,"&lt;="&amp;A157)))</f>
        <v>1744.1569999999999</v>
      </c>
      <c r="N157" s="13">
        <f t="shared" si="200"/>
        <v>0.11403000000000002</v>
      </c>
      <c r="O157">
        <f t="shared" si="188"/>
        <v>1988.87</v>
      </c>
      <c r="P157" s="56">
        <f>VLOOKUP(EOMONTH(A157,-1),Economic!A:I,7,FALSE)</f>
        <v>1301447</v>
      </c>
      <c r="Q157" s="13">
        <f t="shared" si="189"/>
        <v>0.15280000000000002</v>
      </c>
      <c r="R157" s="41">
        <v>1.47</v>
      </c>
      <c r="S157">
        <f t="shared" si="190"/>
        <v>2.09</v>
      </c>
      <c r="T157" s="30">
        <f t="shared" si="191"/>
        <v>138.29</v>
      </c>
      <c r="U157" s="30">
        <f t="shared" si="198"/>
        <v>136.65</v>
      </c>
    </row>
    <row r="158" spans="1:21" x14ac:dyDescent="0.25">
      <c r="A158" s="5">
        <v>42239</v>
      </c>
      <c r="B158" s="5">
        <f t="shared" si="192"/>
        <v>42247</v>
      </c>
      <c r="C158">
        <v>1970.89</v>
      </c>
      <c r="D158" s="29">
        <f t="shared" si="193"/>
        <v>-5.62E-2</v>
      </c>
      <c r="E158" s="39">
        <f t="shared" si="194"/>
        <v>2085.333846153846</v>
      </c>
      <c r="F158" s="39">
        <f t="shared" si="195"/>
        <v>2079.1120512820507</v>
      </c>
      <c r="G158" s="29">
        <f t="shared" si="187"/>
        <v>-5.4899999999999997E-2</v>
      </c>
      <c r="H158" s="29">
        <f t="shared" si="187"/>
        <v>-5.21E-2</v>
      </c>
      <c r="I158">
        <f t="shared" si="196"/>
        <v>1970.89</v>
      </c>
      <c r="J158">
        <f>IF(A158&gt;=Quarterly!B$2,Quarterly!C$2,IF(COUNTIFS(Quarterly!B:B,"&gt;="&amp;A158-92,Quarterly!B:B,"&lt;="&amp;A158)&gt;1,SUMIFS(Quarterly!C:C,Quarterly!B:B,"&gt;="&amp;A158-88,Quarterly!B:B,"&lt;="&amp;A158),SUMIFS(Quarterly!C:C,Quarterly!B:B,"&gt;="&amp;A158-92,Quarterly!B:B,"&lt;="&amp;A158)))</f>
        <v>18093.2</v>
      </c>
      <c r="K158" s="13">
        <f t="shared" si="197"/>
        <v>0.1089</v>
      </c>
      <c r="L158">
        <f t="shared" si="199"/>
        <v>1970.89</v>
      </c>
      <c r="M158">
        <f>IF(A158&gt;=Quarterly!B$2,Quarterly!D$2,IF(COUNTIFS(Quarterly!B:B,"&gt;="&amp;A158-92,Quarterly!B:B,"&lt;="&amp;A158)&gt;1,SUMIFS(Quarterly!D:D,Quarterly!B:B,"&gt;="&amp;A158-88,Quarterly!B:B,"&lt;="&amp;A158),SUMIFS(Quarterly!D:D,Quarterly!B:B,"&gt;="&amp;A158-92,Quarterly!B:B,"&lt;="&amp;A158)))</f>
        <v>1744.1569999999999</v>
      </c>
      <c r="N158" s="13">
        <f t="shared" si="200"/>
        <v>0.11299999999999999</v>
      </c>
      <c r="O158">
        <f t="shared" si="188"/>
        <v>1970.89</v>
      </c>
      <c r="P158" s="56">
        <f>VLOOKUP(EOMONTH(A158,-1),Economic!A:I,7,FALSE)</f>
        <v>1301447</v>
      </c>
      <c r="Q158" s="13">
        <f t="shared" si="189"/>
        <v>0.15140000000000001</v>
      </c>
      <c r="R158" s="41">
        <v>1.41</v>
      </c>
      <c r="S158">
        <f t="shared" si="190"/>
        <v>2.13</v>
      </c>
      <c r="T158" s="30">
        <f t="shared" si="191"/>
        <v>139.41999999999999</v>
      </c>
      <c r="U158" s="30">
        <f t="shared" si="198"/>
        <v>135.21</v>
      </c>
    </row>
    <row r="159" spans="1:21" x14ac:dyDescent="0.25">
      <c r="A159" s="5">
        <v>42232</v>
      </c>
      <c r="B159" s="5">
        <f t="shared" si="192"/>
        <v>42247</v>
      </c>
      <c r="C159">
        <v>2091.54</v>
      </c>
      <c r="D159" s="29">
        <f t="shared" si="193"/>
        <v>-2.5999999999999999E-3</v>
      </c>
      <c r="E159" s="39">
        <f t="shared" si="194"/>
        <v>2097.2700000000004</v>
      </c>
      <c r="F159" s="39">
        <f t="shared" si="195"/>
        <v>2081.4866666666667</v>
      </c>
      <c r="G159" s="29">
        <f t="shared" si="187"/>
        <v>-2.7000000000000001E-3</v>
      </c>
      <c r="H159" s="29">
        <f t="shared" si="187"/>
        <v>4.7999999999999996E-3</v>
      </c>
      <c r="I159">
        <f t="shared" si="196"/>
        <v>2091.54</v>
      </c>
      <c r="J159">
        <f>IF(A159&gt;=Quarterly!B$2,Quarterly!C$2,IF(COUNTIFS(Quarterly!B:B,"&gt;="&amp;A159-92,Quarterly!B:B,"&lt;="&amp;A159)&gt;1,SUMIFS(Quarterly!C:C,Quarterly!B:B,"&gt;="&amp;A159-88,Quarterly!B:B,"&lt;="&amp;A159),SUMIFS(Quarterly!C:C,Quarterly!B:B,"&gt;="&amp;A159-92,Quarterly!B:B,"&lt;="&amp;A159)))</f>
        <v>18093.2</v>
      </c>
      <c r="K159" s="13">
        <f t="shared" si="197"/>
        <v>0.11559999999999999</v>
      </c>
      <c r="L159">
        <f t="shared" si="199"/>
        <v>2091.54</v>
      </c>
      <c r="M159">
        <f>IF(A159&gt;=Quarterly!B$2,Quarterly!D$2,IF(COUNTIFS(Quarterly!B:B,"&gt;="&amp;A159-92,Quarterly!B:B,"&lt;="&amp;A159)&gt;1,SUMIFS(Quarterly!D:D,Quarterly!B:B,"&gt;="&amp;A159-88,Quarterly!B:B,"&lt;="&amp;A159),SUMIFS(Quarterly!D:D,Quarterly!B:B,"&gt;="&amp;A159-92,Quarterly!B:B,"&lt;="&amp;A159)))</f>
        <v>1744.1569999999999</v>
      </c>
      <c r="N159" s="13">
        <f t="shared" si="200"/>
        <v>0.11992000000000001</v>
      </c>
      <c r="O159">
        <f t="shared" si="188"/>
        <v>2091.54</v>
      </c>
      <c r="P159" s="56">
        <f>VLOOKUP(EOMONTH(A159,-1),Economic!A:I,7,FALSE)</f>
        <v>1301447</v>
      </c>
      <c r="Q159" s="13">
        <f t="shared" si="189"/>
        <v>0.16069999999999998</v>
      </c>
      <c r="R159" s="41">
        <v>1.47</v>
      </c>
      <c r="S159">
        <f t="shared" si="190"/>
        <v>2.15</v>
      </c>
      <c r="T159" s="30">
        <f t="shared" si="191"/>
        <v>132.25</v>
      </c>
      <c r="U159" s="30">
        <f t="shared" si="198"/>
        <v>131.88</v>
      </c>
    </row>
    <row r="160" spans="1:21" x14ac:dyDescent="0.25">
      <c r="A160" s="5">
        <v>42225</v>
      </c>
      <c r="B160" s="5">
        <f t="shared" si="192"/>
        <v>42247</v>
      </c>
      <c r="C160">
        <v>2077.5700000000002</v>
      </c>
      <c r="D160" s="29">
        <f t="shared" si="193"/>
        <v>-9.1000000000000004E-3</v>
      </c>
      <c r="E160" s="39">
        <f t="shared" si="194"/>
        <v>2099.669230769231</v>
      </c>
      <c r="F160" s="39">
        <f t="shared" si="195"/>
        <v>2080.1605128205128</v>
      </c>
      <c r="G160" s="29">
        <f t="shared" si="187"/>
        <v>-1.0500000000000001E-2</v>
      </c>
      <c r="H160" s="29">
        <f t="shared" si="187"/>
        <v>-1.1999999999999999E-3</v>
      </c>
      <c r="I160">
        <f t="shared" si="196"/>
        <v>2077.5700000000002</v>
      </c>
      <c r="J160">
        <f>IF(A160&gt;=Quarterly!B$2,Quarterly!C$2,IF(COUNTIFS(Quarterly!B:B,"&gt;="&amp;A160-92,Quarterly!B:B,"&lt;="&amp;A160)&gt;1,SUMIFS(Quarterly!C:C,Quarterly!B:B,"&gt;="&amp;A160-88,Quarterly!B:B,"&lt;="&amp;A160),SUMIFS(Quarterly!C:C,Quarterly!B:B,"&gt;="&amp;A160-92,Quarterly!B:B,"&lt;="&amp;A160)))</f>
        <v>18093.2</v>
      </c>
      <c r="K160" s="13">
        <f t="shared" si="197"/>
        <v>0.1148</v>
      </c>
      <c r="L160">
        <f t="shared" si="199"/>
        <v>2077.5700000000002</v>
      </c>
      <c r="M160">
        <f>IF(A160&gt;=Quarterly!B$2,Quarterly!D$2,IF(COUNTIFS(Quarterly!B:B,"&gt;="&amp;A160-92,Quarterly!B:B,"&lt;="&amp;A160)&gt;1,SUMIFS(Quarterly!D:D,Quarterly!B:B,"&gt;="&amp;A160-88,Quarterly!B:B,"&lt;="&amp;A160),SUMIFS(Quarterly!D:D,Quarterly!B:B,"&gt;="&amp;A160-92,Quarterly!B:B,"&lt;="&amp;A160)))</f>
        <v>1744.1569999999999</v>
      </c>
      <c r="N160" s="13">
        <f t="shared" si="200"/>
        <v>0.11912</v>
      </c>
      <c r="O160">
        <f t="shared" si="188"/>
        <v>2077.5700000000002</v>
      </c>
      <c r="P160" s="56">
        <f>VLOOKUP(EOMONTH(A160,-1),Economic!A:I,7,FALSE)</f>
        <v>1301447</v>
      </c>
      <c r="Q160" s="13">
        <f t="shared" si="189"/>
        <v>0.15959999999999999</v>
      </c>
      <c r="R160" s="41">
        <v>1.45</v>
      </c>
      <c r="S160">
        <f t="shared" si="190"/>
        <v>2.19</v>
      </c>
      <c r="T160" s="30">
        <f t="shared" si="191"/>
        <v>133.94999999999999</v>
      </c>
      <c r="U160" s="30">
        <f t="shared" si="198"/>
        <v>130.51</v>
      </c>
    </row>
    <row r="161" spans="1:21" x14ac:dyDescent="0.25">
      <c r="A161" s="5">
        <v>42218</v>
      </c>
      <c r="B161" s="5">
        <f t="shared" si="192"/>
        <v>42247</v>
      </c>
      <c r="C161">
        <v>2103.84</v>
      </c>
      <c r="D161" s="29">
        <f t="shared" si="193"/>
        <v>6.7000000000000002E-3</v>
      </c>
      <c r="E161" s="39">
        <f t="shared" si="194"/>
        <v>2102.6330769230767</v>
      </c>
      <c r="F161" s="39">
        <f t="shared" si="195"/>
        <v>2078.9899999999993</v>
      </c>
      <c r="G161" s="29">
        <f t="shared" si="187"/>
        <v>5.9999999999999995E-4</v>
      </c>
      <c r="H161" s="29">
        <f t="shared" si="187"/>
        <v>1.2E-2</v>
      </c>
      <c r="I161">
        <f t="shared" si="196"/>
        <v>2103.84</v>
      </c>
      <c r="J161">
        <f>IF(A161&gt;=Quarterly!B$2,Quarterly!C$2,IF(COUNTIFS(Quarterly!B:B,"&gt;="&amp;A161-92,Quarterly!B:B,"&lt;="&amp;A161)&gt;1,SUMIFS(Quarterly!C:C,Quarterly!B:B,"&gt;="&amp;A161-88,Quarterly!B:B,"&lt;="&amp;A161),SUMIFS(Quarterly!C:C,Quarterly!B:B,"&gt;="&amp;A161-92,Quarterly!B:B,"&lt;="&amp;A161)))</f>
        <v>18093.2</v>
      </c>
      <c r="K161" s="13">
        <f t="shared" si="197"/>
        <v>0.1163</v>
      </c>
      <c r="L161">
        <f t="shared" si="199"/>
        <v>2103.84</v>
      </c>
      <c r="M161">
        <f>IF(A161&gt;=Quarterly!B$2,Quarterly!D$2,IF(COUNTIFS(Quarterly!B:B,"&gt;="&amp;A161-92,Quarterly!B:B,"&lt;="&amp;A161)&gt;1,SUMIFS(Quarterly!D:D,Quarterly!B:B,"&gt;="&amp;A161-88,Quarterly!B:B,"&lt;="&amp;A161),SUMIFS(Quarterly!D:D,Quarterly!B:B,"&gt;="&amp;A161-92,Quarterly!B:B,"&lt;="&amp;A161)))</f>
        <v>1744.1569999999999</v>
      </c>
      <c r="N161" s="13">
        <f t="shared" si="200"/>
        <v>0.12062</v>
      </c>
      <c r="O161">
        <f t="shared" si="188"/>
        <v>2103.84</v>
      </c>
      <c r="P161" s="56">
        <f>VLOOKUP(EOMONTH(A161,-1),Economic!A:I,7,FALSE)</f>
        <v>1301447</v>
      </c>
      <c r="Q161" s="13">
        <f t="shared" si="189"/>
        <v>0.16169999999999998</v>
      </c>
      <c r="R161" s="41">
        <v>1.53</v>
      </c>
      <c r="S161">
        <f t="shared" si="190"/>
        <v>2.11</v>
      </c>
      <c r="T161" s="30">
        <f t="shared" si="191"/>
        <v>129.44999999999999</v>
      </c>
      <c r="U161" s="30">
        <f t="shared" si="198"/>
        <v>127.16</v>
      </c>
    </row>
    <row r="162" spans="1:21" x14ac:dyDescent="0.25">
      <c r="A162" s="5">
        <v>42211</v>
      </c>
      <c r="B162" s="5">
        <f t="shared" si="192"/>
        <v>42216</v>
      </c>
      <c r="C162">
        <v>2079.65</v>
      </c>
      <c r="D162" s="29">
        <f t="shared" si="193"/>
        <v>-7.4999999999999997E-3</v>
      </c>
      <c r="E162" s="39">
        <f t="shared" si="194"/>
        <v>2102.9753846153844</v>
      </c>
      <c r="F162" s="39">
        <f t="shared" si="195"/>
        <v>2076.790256410256</v>
      </c>
      <c r="G162" s="29">
        <f t="shared" si="187"/>
        <v>-1.11E-2</v>
      </c>
      <c r="H162" s="29">
        <f t="shared" si="187"/>
        <v>1.4E-3</v>
      </c>
      <c r="I162">
        <f t="shared" si="196"/>
        <v>2079.65</v>
      </c>
      <c r="J162">
        <f>IF(A162&gt;=Quarterly!B$2,Quarterly!C$2,IF(COUNTIFS(Quarterly!B:B,"&gt;="&amp;A162-92,Quarterly!B:B,"&lt;="&amp;A162)&gt;1,SUMIFS(Quarterly!C:C,Quarterly!B:B,"&gt;="&amp;A162-88,Quarterly!B:B,"&lt;="&amp;A162),SUMIFS(Quarterly!C:C,Quarterly!B:B,"&gt;="&amp;A162-92,Quarterly!B:B,"&lt;="&amp;A162)))</f>
        <v>17874.7</v>
      </c>
      <c r="K162" s="13">
        <f t="shared" si="197"/>
        <v>0.1163</v>
      </c>
      <c r="L162">
        <f t="shared" si="199"/>
        <v>2079.65</v>
      </c>
      <c r="M162">
        <f>IF(A162&gt;=Quarterly!B$2,Quarterly!D$2,IF(COUNTIFS(Quarterly!B:B,"&gt;="&amp;A162-92,Quarterly!B:B,"&lt;="&amp;A162)&gt;1,SUMIFS(Quarterly!D:D,Quarterly!B:B,"&gt;="&amp;A162-88,Quarterly!B:B,"&lt;="&amp;A162),SUMIFS(Quarterly!D:D,Quarterly!B:B,"&gt;="&amp;A162-92,Quarterly!B:B,"&lt;="&amp;A162)))</f>
        <v>1679.364</v>
      </c>
      <c r="N162" s="13">
        <f t="shared" si="200"/>
        <v>0.12384000000000001</v>
      </c>
      <c r="O162">
        <f t="shared" si="188"/>
        <v>2079.65</v>
      </c>
      <c r="P162" s="56">
        <f>VLOOKUP(EOMONTH(A162,-1),Economic!A:I,7,FALSE)</f>
        <v>1295610</v>
      </c>
      <c r="Q162" s="13">
        <f t="shared" si="189"/>
        <v>0.1605</v>
      </c>
      <c r="R162" s="41">
        <v>1.57</v>
      </c>
      <c r="S162">
        <f t="shared" si="190"/>
        <v>2.17</v>
      </c>
      <c r="T162" s="30">
        <f t="shared" si="191"/>
        <v>128.13999999999999</v>
      </c>
      <c r="U162" s="30">
        <f t="shared" si="198"/>
        <v>127.17</v>
      </c>
    </row>
    <row r="163" spans="1:21" x14ac:dyDescent="0.25">
      <c r="A163" s="5">
        <v>42204</v>
      </c>
      <c r="B163" s="5">
        <f t="shared" si="192"/>
        <v>42216</v>
      </c>
      <c r="C163">
        <v>2126.64</v>
      </c>
      <c r="D163" s="29">
        <f t="shared" si="193"/>
        <v>1.6899999999999998E-2</v>
      </c>
      <c r="E163" s="39">
        <f t="shared" si="194"/>
        <v>2105.9015384615386</v>
      </c>
      <c r="F163" s="39">
        <f t="shared" si="195"/>
        <v>2073.8397435897436</v>
      </c>
      <c r="G163" s="29">
        <f t="shared" si="187"/>
        <v>9.7999999999999997E-3</v>
      </c>
      <c r="H163" s="29">
        <f t="shared" si="187"/>
        <v>2.5499999999999998E-2</v>
      </c>
      <c r="I163">
        <f t="shared" si="196"/>
        <v>2126.64</v>
      </c>
      <c r="J163">
        <f>IF(A163&gt;=Quarterly!B$2,Quarterly!C$2,IF(COUNTIFS(Quarterly!B:B,"&gt;="&amp;A163-92,Quarterly!B:B,"&lt;="&amp;A163)&gt;1,SUMIFS(Quarterly!C:C,Quarterly!B:B,"&gt;="&amp;A163-88,Quarterly!B:B,"&lt;="&amp;A163),SUMIFS(Quarterly!C:C,Quarterly!B:B,"&gt;="&amp;A163-92,Quarterly!B:B,"&lt;="&amp;A163)))</f>
        <v>17874.7</v>
      </c>
      <c r="K163" s="13">
        <f t="shared" si="197"/>
        <v>0.11899999999999999</v>
      </c>
      <c r="L163">
        <f t="shared" si="199"/>
        <v>2126.64</v>
      </c>
      <c r="M163">
        <f>IF(A163&gt;=Quarterly!B$2,Quarterly!D$2,IF(COUNTIFS(Quarterly!B:B,"&gt;="&amp;A163-92,Quarterly!B:B,"&lt;="&amp;A163)&gt;1,SUMIFS(Quarterly!D:D,Quarterly!B:B,"&gt;="&amp;A163-88,Quarterly!B:B,"&lt;="&amp;A163),SUMIFS(Quarterly!D:D,Quarterly!B:B,"&gt;="&amp;A163-92,Quarterly!B:B,"&lt;="&amp;A163)))</f>
        <v>1679.364</v>
      </c>
      <c r="N163" s="13">
        <f t="shared" si="200"/>
        <v>0.12662999999999999</v>
      </c>
      <c r="O163">
        <f t="shared" si="188"/>
        <v>2126.64</v>
      </c>
      <c r="P163" s="56">
        <f>VLOOKUP(EOMONTH(A163,-1),Economic!A:I,7,FALSE)</f>
        <v>1295610</v>
      </c>
      <c r="Q163" s="13">
        <f t="shared" si="189"/>
        <v>0.16410000000000002</v>
      </c>
      <c r="R163" s="41">
        <v>1.66</v>
      </c>
      <c r="S163">
        <f t="shared" si="190"/>
        <v>2.14</v>
      </c>
      <c r="T163" s="30">
        <f t="shared" si="191"/>
        <v>123.9</v>
      </c>
      <c r="U163" s="30">
        <f t="shared" si="198"/>
        <v>127.05</v>
      </c>
    </row>
    <row r="164" spans="1:21" x14ac:dyDescent="0.25">
      <c r="A164" s="5">
        <v>42197</v>
      </c>
      <c r="B164" s="5">
        <f t="shared" si="192"/>
        <v>42216</v>
      </c>
      <c r="C164">
        <v>2076.62</v>
      </c>
      <c r="D164" s="29">
        <f t="shared" si="193"/>
        <v>-9.1000000000000004E-3</v>
      </c>
      <c r="E164" s="39">
        <f t="shared" si="194"/>
        <v>2102.4046153846152</v>
      </c>
      <c r="F164" s="39">
        <f t="shared" si="195"/>
        <v>2067.6889743589741</v>
      </c>
      <c r="G164" s="29">
        <f t="shared" si="187"/>
        <v>-1.23E-2</v>
      </c>
      <c r="H164" s="29">
        <f t="shared" si="187"/>
        <v>4.3E-3</v>
      </c>
      <c r="I164">
        <f t="shared" si="196"/>
        <v>2076.62</v>
      </c>
      <c r="J164">
        <f>IF(A164&gt;=Quarterly!B$2,Quarterly!C$2,IF(COUNTIFS(Quarterly!B:B,"&gt;="&amp;A164-92,Quarterly!B:B,"&lt;="&amp;A164)&gt;1,SUMIFS(Quarterly!C:C,Quarterly!B:B,"&gt;="&amp;A164-88,Quarterly!B:B,"&lt;="&amp;A164),SUMIFS(Quarterly!C:C,Quarterly!B:B,"&gt;="&amp;A164-92,Quarterly!B:B,"&lt;="&amp;A164)))</f>
        <v>17874.7</v>
      </c>
      <c r="K164" s="13">
        <f t="shared" si="197"/>
        <v>0.1162</v>
      </c>
      <c r="L164">
        <f t="shared" si="199"/>
        <v>2076.62</v>
      </c>
      <c r="M164">
        <f>IF(A164&gt;=Quarterly!B$2,Quarterly!D$2,IF(COUNTIFS(Quarterly!B:B,"&gt;="&amp;A164-92,Quarterly!B:B,"&lt;="&amp;A164)&gt;1,SUMIFS(Quarterly!D:D,Quarterly!B:B,"&gt;="&amp;A164-88,Quarterly!B:B,"&lt;="&amp;A164),SUMIFS(Quarterly!D:D,Quarterly!B:B,"&gt;="&amp;A164-92,Quarterly!B:B,"&lt;="&amp;A164)))</f>
        <v>1679.364</v>
      </c>
      <c r="N164" s="13">
        <f t="shared" si="200"/>
        <v>0.12365999999999999</v>
      </c>
      <c r="O164">
        <f t="shared" si="188"/>
        <v>2076.62</v>
      </c>
      <c r="P164" s="56">
        <f>VLOOKUP(EOMONTH(A164,-1),Economic!A:I,7,FALSE)</f>
        <v>1295610</v>
      </c>
      <c r="Q164" s="13">
        <f t="shared" si="189"/>
        <v>0.1603</v>
      </c>
      <c r="R164" s="41">
        <v>1.77</v>
      </c>
      <c r="S164">
        <f t="shared" si="190"/>
        <v>2.2200000000000002</v>
      </c>
      <c r="T164" s="30">
        <f t="shared" si="191"/>
        <v>129.46</v>
      </c>
      <c r="U164" s="30">
        <f t="shared" si="198"/>
        <v>128.61000000000001</v>
      </c>
    </row>
    <row r="165" spans="1:21" x14ac:dyDescent="0.25">
      <c r="A165" s="5">
        <v>42190</v>
      </c>
      <c r="B165" s="5">
        <f t="shared" si="192"/>
        <v>42216</v>
      </c>
      <c r="C165">
        <v>2076.7800000000002</v>
      </c>
      <c r="D165" s="29">
        <f t="shared" si="193"/>
        <v>-1.09E-2</v>
      </c>
      <c r="E165" s="39">
        <f t="shared" si="194"/>
        <v>2104.3615384615387</v>
      </c>
      <c r="F165" s="39">
        <f t="shared" si="195"/>
        <v>2063.3174358974361</v>
      </c>
      <c r="G165" s="29">
        <f t="shared" si="187"/>
        <v>-1.3100000000000001E-2</v>
      </c>
      <c r="H165" s="29">
        <f t="shared" si="187"/>
        <v>6.4999999999999997E-3</v>
      </c>
      <c r="I165">
        <f t="shared" si="196"/>
        <v>2076.7800000000002</v>
      </c>
      <c r="J165">
        <f>IF(A165&gt;=Quarterly!B$2,Quarterly!C$2,IF(COUNTIFS(Quarterly!B:B,"&gt;="&amp;A165-92,Quarterly!B:B,"&lt;="&amp;A165)&gt;1,SUMIFS(Quarterly!C:C,Quarterly!B:B,"&gt;="&amp;A165-88,Quarterly!B:B,"&lt;="&amp;A165),SUMIFS(Quarterly!C:C,Quarterly!B:B,"&gt;="&amp;A165-92,Quarterly!B:B,"&lt;="&amp;A165)))</f>
        <v>17874.7</v>
      </c>
      <c r="K165" s="13">
        <f t="shared" si="197"/>
        <v>0.1162</v>
      </c>
      <c r="L165">
        <f t="shared" si="199"/>
        <v>2076.7800000000002</v>
      </c>
      <c r="M165">
        <f>IF(A165&gt;=Quarterly!B$2,Quarterly!D$2,IF(COUNTIFS(Quarterly!B:B,"&gt;="&amp;A165-92,Quarterly!B:B,"&lt;="&amp;A165)&gt;1,SUMIFS(Quarterly!D:D,Quarterly!B:B,"&gt;="&amp;A165-88,Quarterly!B:B,"&lt;="&amp;A165),SUMIFS(Quarterly!D:D,Quarterly!B:B,"&gt;="&amp;A165-92,Quarterly!B:B,"&lt;="&amp;A165)))</f>
        <v>1679.364</v>
      </c>
      <c r="N165" s="13">
        <f t="shared" si="200"/>
        <v>0.12365999999999999</v>
      </c>
      <c r="O165">
        <f t="shared" si="188"/>
        <v>2076.7800000000002</v>
      </c>
      <c r="P165" s="56">
        <f>VLOOKUP(EOMONTH(A165,-1),Economic!A:I,7,FALSE)</f>
        <v>1295610</v>
      </c>
      <c r="Q165" s="13">
        <f t="shared" si="189"/>
        <v>0.1603</v>
      </c>
      <c r="R165" s="41">
        <v>1.76</v>
      </c>
      <c r="S165">
        <f t="shared" si="190"/>
        <v>2.1800000000000002</v>
      </c>
      <c r="T165" s="30">
        <f t="shared" si="191"/>
        <v>127.78</v>
      </c>
      <c r="U165" s="30">
        <f t="shared" si="198"/>
        <v>128.84</v>
      </c>
    </row>
    <row r="166" spans="1:21" x14ac:dyDescent="0.25">
      <c r="A166" s="5">
        <v>42183</v>
      </c>
      <c r="B166" s="5">
        <f t="shared" si="192"/>
        <v>42185</v>
      </c>
      <c r="C166">
        <v>2101.4899999999998</v>
      </c>
      <c r="D166" s="29">
        <f t="shared" si="193"/>
        <v>2.0000000000000001E-4</v>
      </c>
      <c r="E166" s="39">
        <f t="shared" si="194"/>
        <v>2103.6061538461536</v>
      </c>
      <c r="F166" s="39">
        <f t="shared" si="195"/>
        <v>2060.5256410256411</v>
      </c>
      <c r="G166" s="29">
        <f t="shared" si="187"/>
        <v>-1E-3</v>
      </c>
      <c r="H166" s="29">
        <f t="shared" si="187"/>
        <v>1.9900000000000001E-2</v>
      </c>
      <c r="I166">
        <f t="shared" si="196"/>
        <v>2101.4899999999998</v>
      </c>
      <c r="J166">
        <f>IF(A166&gt;=Quarterly!B$2,Quarterly!C$2,IF(COUNTIFS(Quarterly!B:B,"&gt;="&amp;A166-92,Quarterly!B:B,"&lt;="&amp;A166)&gt;1,SUMIFS(Quarterly!C:C,Quarterly!B:B,"&gt;="&amp;A166-88,Quarterly!B:B,"&lt;="&amp;A166),SUMIFS(Quarterly!C:C,Quarterly!B:B,"&gt;="&amp;A166-92,Quarterly!B:B,"&lt;="&amp;A166)))</f>
        <v>17874.7</v>
      </c>
      <c r="K166" s="13">
        <f t="shared" si="197"/>
        <v>0.1176</v>
      </c>
      <c r="L166">
        <f t="shared" si="199"/>
        <v>2101.4899999999998</v>
      </c>
      <c r="M166">
        <f>IF(A166&gt;=Quarterly!B$2,Quarterly!D$2,IF(COUNTIFS(Quarterly!B:B,"&gt;="&amp;A166-92,Quarterly!B:B,"&lt;="&amp;A166)&gt;1,SUMIFS(Quarterly!D:D,Quarterly!B:B,"&gt;="&amp;A166-88,Quarterly!B:B,"&lt;="&amp;A166),SUMIFS(Quarterly!D:D,Quarterly!B:B,"&gt;="&amp;A166-92,Quarterly!B:B,"&lt;="&amp;A166)))</f>
        <v>1679.364</v>
      </c>
      <c r="N166" s="13">
        <f t="shared" si="200"/>
        <v>0.12514</v>
      </c>
      <c r="O166">
        <f t="shared" si="188"/>
        <v>2101.4899999999998</v>
      </c>
      <c r="P166" s="56">
        <f>VLOOKUP(EOMONTH(A166,-1),Economic!A:I,7,FALSE)</f>
        <v>1292947</v>
      </c>
      <c r="Q166" s="13">
        <f t="shared" si="189"/>
        <v>0.16250000000000001</v>
      </c>
      <c r="R166" s="41">
        <v>1.77</v>
      </c>
      <c r="S166">
        <f t="shared" si="190"/>
        <v>2.25</v>
      </c>
      <c r="T166" s="30">
        <f t="shared" si="191"/>
        <v>128.58000000000001</v>
      </c>
      <c r="U166" s="30">
        <f t="shared" si="198"/>
        <v>129.4</v>
      </c>
    </row>
    <row r="167" spans="1:21" x14ac:dyDescent="0.25">
      <c r="A167" s="5">
        <v>42176</v>
      </c>
      <c r="B167" s="5">
        <f t="shared" si="192"/>
        <v>42185</v>
      </c>
      <c r="C167">
        <v>2109.9899999999998</v>
      </c>
      <c r="D167" s="29">
        <f t="shared" si="193"/>
        <v>2.3E-3</v>
      </c>
      <c r="E167" s="39">
        <f t="shared" si="194"/>
        <v>2100.4930769230768</v>
      </c>
      <c r="F167" s="39">
        <f t="shared" si="195"/>
        <v>2057.4835897435896</v>
      </c>
      <c r="G167" s="29">
        <f t="shared" si="187"/>
        <v>4.4999999999999997E-3</v>
      </c>
      <c r="H167" s="29">
        <f t="shared" si="187"/>
        <v>2.5499999999999998E-2</v>
      </c>
      <c r="I167">
        <f t="shared" si="196"/>
        <v>2109.9899999999998</v>
      </c>
      <c r="J167">
        <f>IF(A167&gt;=Quarterly!B$2,Quarterly!C$2,IF(COUNTIFS(Quarterly!B:B,"&gt;="&amp;A167-92,Quarterly!B:B,"&lt;="&amp;A167)&gt;1,SUMIFS(Quarterly!C:C,Quarterly!B:B,"&gt;="&amp;A167-88,Quarterly!B:B,"&lt;="&amp;A167),SUMIFS(Quarterly!C:C,Quarterly!B:B,"&gt;="&amp;A167-92,Quarterly!B:B,"&lt;="&amp;A167)))</f>
        <v>17874.7</v>
      </c>
      <c r="K167" s="13">
        <f t="shared" si="197"/>
        <v>0.11799999999999999</v>
      </c>
      <c r="L167">
        <f t="shared" si="199"/>
        <v>2109.9899999999998</v>
      </c>
      <c r="M167">
        <f>IF(A167&gt;=Quarterly!B$2,Quarterly!D$2,IF(COUNTIFS(Quarterly!B:B,"&gt;="&amp;A167-92,Quarterly!B:B,"&lt;="&amp;A167)&gt;1,SUMIFS(Quarterly!D:D,Quarterly!B:B,"&gt;="&amp;A167-88,Quarterly!B:B,"&lt;="&amp;A167),SUMIFS(Quarterly!D:D,Quarterly!B:B,"&gt;="&amp;A167-92,Quarterly!B:B,"&lt;="&amp;A167)))</f>
        <v>1679.364</v>
      </c>
      <c r="N167" s="13">
        <f t="shared" si="200"/>
        <v>0.12564</v>
      </c>
      <c r="O167">
        <f t="shared" si="188"/>
        <v>2109.9899999999998</v>
      </c>
      <c r="P167" s="56">
        <f>VLOOKUP(EOMONTH(A167,-1),Economic!A:I,7,FALSE)</f>
        <v>1292947</v>
      </c>
      <c r="Q167" s="13">
        <f t="shared" si="189"/>
        <v>0.16320000000000001</v>
      </c>
      <c r="R167" s="41">
        <v>1.61</v>
      </c>
      <c r="S167">
        <f t="shared" si="190"/>
        <v>2.2999999999999998</v>
      </c>
      <c r="T167" s="30">
        <f t="shared" si="191"/>
        <v>130.16</v>
      </c>
      <c r="U167" s="30">
        <f t="shared" si="198"/>
        <v>130.38</v>
      </c>
    </row>
    <row r="168" spans="1:21" x14ac:dyDescent="0.25">
      <c r="A168" s="5">
        <v>42169</v>
      </c>
      <c r="B168" s="5">
        <f t="shared" si="192"/>
        <v>42185</v>
      </c>
      <c r="C168">
        <v>2094.11</v>
      </c>
      <c r="D168" s="29">
        <f t="shared" si="193"/>
        <v>-8.6E-3</v>
      </c>
      <c r="E168" s="39">
        <f t="shared" si="194"/>
        <v>2100.3476923076919</v>
      </c>
      <c r="F168" s="39">
        <f t="shared" si="195"/>
        <v>2054.9299999999998</v>
      </c>
      <c r="G168" s="29">
        <f t="shared" si="187"/>
        <v>-3.0000000000000001E-3</v>
      </c>
      <c r="H168" s="29">
        <f t="shared" si="187"/>
        <v>1.9099999999999999E-2</v>
      </c>
      <c r="I168">
        <f t="shared" si="196"/>
        <v>2094.11</v>
      </c>
      <c r="J168">
        <f>IF(A168&gt;=Quarterly!B$2,Quarterly!C$2,IF(COUNTIFS(Quarterly!B:B,"&gt;="&amp;A168-92,Quarterly!B:B,"&lt;="&amp;A168)&gt;1,SUMIFS(Quarterly!C:C,Quarterly!B:B,"&gt;="&amp;A168-88,Quarterly!B:B,"&lt;="&amp;A168),SUMIFS(Quarterly!C:C,Quarterly!B:B,"&gt;="&amp;A168-92,Quarterly!B:B,"&lt;="&amp;A168)))</f>
        <v>17874.7</v>
      </c>
      <c r="K168" s="13">
        <f t="shared" si="197"/>
        <v>0.1172</v>
      </c>
      <c r="L168">
        <f t="shared" si="199"/>
        <v>2094.11</v>
      </c>
      <c r="M168">
        <f>IF(A168&gt;=Quarterly!B$2,Quarterly!D$2,IF(COUNTIFS(Quarterly!B:B,"&gt;="&amp;A168-92,Quarterly!B:B,"&lt;="&amp;A168)&gt;1,SUMIFS(Quarterly!D:D,Quarterly!B:B,"&gt;="&amp;A168-88,Quarterly!B:B,"&lt;="&amp;A168),SUMIFS(Quarterly!D:D,Quarterly!B:B,"&gt;="&amp;A168-92,Quarterly!B:B,"&lt;="&amp;A168)))</f>
        <v>1679.364</v>
      </c>
      <c r="N168" s="13">
        <f t="shared" si="200"/>
        <v>0.12470000000000002</v>
      </c>
      <c r="O168">
        <f t="shared" si="188"/>
        <v>2094.11</v>
      </c>
      <c r="P168" s="56">
        <f>VLOOKUP(EOMONTH(A168,-1),Economic!A:I,7,FALSE)</f>
        <v>1292947</v>
      </c>
      <c r="Q168" s="13">
        <f t="shared" si="189"/>
        <v>0.16199999999999998</v>
      </c>
      <c r="R168" s="41">
        <v>1.65</v>
      </c>
      <c r="S168">
        <f t="shared" si="190"/>
        <v>2.2599999999999998</v>
      </c>
      <c r="T168" s="30">
        <f t="shared" si="191"/>
        <v>129.46</v>
      </c>
      <c r="U168" s="30">
        <f t="shared" si="198"/>
        <v>130.33000000000001</v>
      </c>
    </row>
    <row r="169" spans="1:21" x14ac:dyDescent="0.25">
      <c r="A169" s="5">
        <v>42162</v>
      </c>
      <c r="B169" s="5">
        <f t="shared" si="192"/>
        <v>42185</v>
      </c>
      <c r="C169">
        <v>2092.83</v>
      </c>
      <c r="D169" s="29">
        <f t="shared" si="193"/>
        <v>-1.1900000000000001E-2</v>
      </c>
      <c r="E169" s="39">
        <f t="shared" si="194"/>
        <v>2097.2161538461537</v>
      </c>
      <c r="F169" s="39">
        <f t="shared" si="195"/>
        <v>2052.1461538461535</v>
      </c>
      <c r="G169" s="29">
        <f t="shared" si="187"/>
        <v>-2.0999999999999999E-3</v>
      </c>
      <c r="H169" s="29">
        <f t="shared" si="187"/>
        <v>1.9800000000000002E-2</v>
      </c>
      <c r="I169">
        <f t="shared" si="196"/>
        <v>2092.83</v>
      </c>
      <c r="J169">
        <f>IF(A169&gt;=Quarterly!B$2,Quarterly!C$2,IF(COUNTIFS(Quarterly!B:B,"&gt;="&amp;A169-92,Quarterly!B:B,"&lt;="&amp;A169)&gt;1,SUMIFS(Quarterly!C:C,Quarterly!B:B,"&gt;="&amp;A169-88,Quarterly!B:B,"&lt;="&amp;A169),SUMIFS(Quarterly!C:C,Quarterly!B:B,"&gt;="&amp;A169-92,Quarterly!B:B,"&lt;="&amp;A169)))</f>
        <v>17874.7</v>
      </c>
      <c r="K169" s="13">
        <f t="shared" si="197"/>
        <v>0.1171</v>
      </c>
      <c r="L169">
        <f t="shared" si="199"/>
        <v>2092.83</v>
      </c>
      <c r="M169">
        <f>IF(A169&gt;=Quarterly!B$2,Quarterly!D$2,IF(COUNTIFS(Quarterly!B:B,"&gt;="&amp;A169-92,Quarterly!B:B,"&lt;="&amp;A169)&gt;1,SUMIFS(Quarterly!D:D,Quarterly!B:B,"&gt;="&amp;A169-88,Quarterly!B:B,"&lt;="&amp;A169),SUMIFS(Quarterly!D:D,Quarterly!B:B,"&gt;="&amp;A169-92,Quarterly!B:B,"&lt;="&amp;A169)))</f>
        <v>1679.364</v>
      </c>
      <c r="N169" s="13">
        <f t="shared" si="200"/>
        <v>0.12462000000000001</v>
      </c>
      <c r="O169">
        <f t="shared" si="188"/>
        <v>2092.83</v>
      </c>
      <c r="P169" s="56">
        <f>VLOOKUP(EOMONTH(A169,-1),Economic!A:I,7,FALSE)</f>
        <v>1292947</v>
      </c>
      <c r="Q169" s="13">
        <f t="shared" si="189"/>
        <v>0.16189999999999999</v>
      </c>
      <c r="R169" s="41">
        <v>1.68</v>
      </c>
      <c r="S169">
        <f t="shared" si="190"/>
        <v>2.31</v>
      </c>
      <c r="T169" s="30">
        <f t="shared" si="191"/>
        <v>131.52000000000001</v>
      </c>
      <c r="U169" s="30">
        <f t="shared" si="198"/>
        <v>130.38999999999999</v>
      </c>
    </row>
    <row r="170" spans="1:21" x14ac:dyDescent="0.25">
      <c r="A170" s="5">
        <v>42155</v>
      </c>
      <c r="B170" s="5">
        <f t="shared" si="192"/>
        <v>42155</v>
      </c>
      <c r="C170">
        <v>2107.39</v>
      </c>
      <c r="D170" s="29">
        <f t="shared" si="193"/>
        <v>-5.1000000000000004E-3</v>
      </c>
      <c r="E170" s="39">
        <f t="shared" si="194"/>
        <v>2095.5569230769229</v>
      </c>
      <c r="F170" s="39">
        <f t="shared" si="195"/>
        <v>2049.9635897435896</v>
      </c>
      <c r="G170" s="29">
        <f t="shared" si="187"/>
        <v>5.5999999999999999E-3</v>
      </c>
      <c r="H170" s="29">
        <f t="shared" si="187"/>
        <v>2.8000000000000001E-2</v>
      </c>
      <c r="I170">
        <f t="shared" si="196"/>
        <v>2107.39</v>
      </c>
      <c r="J170">
        <f>IF(A170&gt;=Quarterly!B$2,Quarterly!C$2,IF(COUNTIFS(Quarterly!B:B,"&gt;="&amp;A170-92,Quarterly!B:B,"&lt;="&amp;A170)&gt;1,SUMIFS(Quarterly!C:C,Quarterly!B:B,"&gt;="&amp;A170-88,Quarterly!B:B,"&lt;="&amp;A170),SUMIFS(Quarterly!C:C,Quarterly!B:B,"&gt;="&amp;A170-92,Quarterly!B:B,"&lt;="&amp;A170)))</f>
        <v>17874.7</v>
      </c>
      <c r="K170" s="13">
        <f t="shared" si="197"/>
        <v>0.1179</v>
      </c>
      <c r="L170">
        <f t="shared" si="199"/>
        <v>2107.39</v>
      </c>
      <c r="M170">
        <f>IF(A170&gt;=Quarterly!B$2,Quarterly!D$2,IF(COUNTIFS(Quarterly!B:B,"&gt;="&amp;A170-92,Quarterly!B:B,"&lt;="&amp;A170)&gt;1,SUMIFS(Quarterly!D:D,Quarterly!B:B,"&gt;="&amp;A170-88,Quarterly!B:B,"&lt;="&amp;A170),SUMIFS(Quarterly!D:D,Quarterly!B:B,"&gt;="&amp;A170-92,Quarterly!B:B,"&lt;="&amp;A170)))</f>
        <v>1679.364</v>
      </c>
      <c r="N170" s="13">
        <f t="shared" si="200"/>
        <v>0.12548999999999999</v>
      </c>
      <c r="O170">
        <f t="shared" si="188"/>
        <v>2107.39</v>
      </c>
      <c r="P170" s="56">
        <f>VLOOKUP(EOMONTH(A170,-1),Economic!A:I,7,FALSE)</f>
        <v>1301905</v>
      </c>
      <c r="Q170" s="13">
        <f t="shared" si="189"/>
        <v>0.16189999999999999</v>
      </c>
      <c r="R170" s="41">
        <v>1.51</v>
      </c>
      <c r="S170">
        <f t="shared" si="190"/>
        <v>2.2799999999999998</v>
      </c>
      <c r="T170" s="30">
        <f t="shared" si="191"/>
        <v>130</v>
      </c>
      <c r="U170" s="30">
        <f t="shared" si="198"/>
        <v>129.66999999999999</v>
      </c>
    </row>
    <row r="171" spans="1:21" x14ac:dyDescent="0.25">
      <c r="A171" s="5">
        <v>42148</v>
      </c>
      <c r="B171" s="5">
        <f t="shared" si="192"/>
        <v>42155</v>
      </c>
      <c r="C171">
        <v>2126.06</v>
      </c>
      <c r="D171" s="29">
        <f t="shared" si="193"/>
        <v>4.7000000000000002E-3</v>
      </c>
      <c r="E171" s="39">
        <f t="shared" si="194"/>
        <v>2095.3346153846151</v>
      </c>
      <c r="F171" s="39">
        <f t="shared" si="195"/>
        <v>2047.2964102564099</v>
      </c>
      <c r="G171" s="29">
        <f t="shared" si="187"/>
        <v>1.47E-2</v>
      </c>
      <c r="H171" s="29">
        <f t="shared" si="187"/>
        <v>3.85E-2</v>
      </c>
      <c r="I171">
        <f t="shared" si="196"/>
        <v>2126.06</v>
      </c>
      <c r="J171">
        <f>IF(A171&gt;=Quarterly!B$2,Quarterly!C$2,IF(COUNTIFS(Quarterly!B:B,"&gt;="&amp;A171-92,Quarterly!B:B,"&lt;="&amp;A171)&gt;1,SUMIFS(Quarterly!C:C,Quarterly!B:B,"&gt;="&amp;A171-88,Quarterly!B:B,"&lt;="&amp;A171),SUMIFS(Quarterly!C:C,Quarterly!B:B,"&gt;="&amp;A171-92,Quarterly!B:B,"&lt;="&amp;A171)))</f>
        <v>17874.7</v>
      </c>
      <c r="K171" s="13">
        <f t="shared" si="197"/>
        <v>0.11890000000000001</v>
      </c>
      <c r="L171">
        <f t="shared" si="199"/>
        <v>2126.06</v>
      </c>
      <c r="M171">
        <f>IF(A171&gt;=Quarterly!B$2,Quarterly!D$2,IF(COUNTIFS(Quarterly!B:B,"&gt;="&amp;A171-92,Quarterly!B:B,"&lt;="&amp;A171)&gt;1,SUMIFS(Quarterly!D:D,Quarterly!B:B,"&gt;="&amp;A171-88,Quarterly!B:B,"&lt;="&amp;A171),SUMIFS(Quarterly!D:D,Quarterly!B:B,"&gt;="&amp;A171-92,Quarterly!B:B,"&lt;="&amp;A171)))</f>
        <v>1679.364</v>
      </c>
      <c r="N171" s="13">
        <f t="shared" si="200"/>
        <v>0.12660000000000002</v>
      </c>
      <c r="O171">
        <f t="shared" si="188"/>
        <v>2126.06</v>
      </c>
      <c r="P171" s="56">
        <f>VLOOKUP(EOMONTH(A171,-1),Economic!A:I,7,FALSE)</f>
        <v>1301905</v>
      </c>
      <c r="Q171" s="13">
        <f t="shared" si="189"/>
        <v>0.1633</v>
      </c>
      <c r="R171" s="41">
        <v>1.57</v>
      </c>
      <c r="S171">
        <f t="shared" si="190"/>
        <v>2.2999999999999998</v>
      </c>
      <c r="T171" s="30">
        <f t="shared" si="191"/>
        <v>129.66</v>
      </c>
      <c r="U171" s="30">
        <f t="shared" si="198"/>
        <v>131.02000000000001</v>
      </c>
    </row>
    <row r="172" spans="1:21" x14ac:dyDescent="0.25">
      <c r="A172" s="5">
        <v>42141</v>
      </c>
      <c r="B172" s="5">
        <f t="shared" si="192"/>
        <v>42155</v>
      </c>
      <c r="C172">
        <v>2122.73</v>
      </c>
      <c r="D172" s="29">
        <f t="shared" si="193"/>
        <v>8.0000000000000002E-3</v>
      </c>
      <c r="E172" s="39">
        <f t="shared" si="194"/>
        <v>2094.1223076923079</v>
      </c>
      <c r="F172" s="39">
        <f t="shared" si="195"/>
        <v>2043.7666666666662</v>
      </c>
      <c r="G172" s="29">
        <f t="shared" si="187"/>
        <v>1.37E-2</v>
      </c>
      <c r="H172" s="29">
        <f t="shared" si="187"/>
        <v>3.8600000000000002E-2</v>
      </c>
      <c r="I172">
        <f t="shared" si="196"/>
        <v>2122.73</v>
      </c>
      <c r="J172">
        <f>IF(A172&gt;=Quarterly!B$2,Quarterly!C$2,IF(COUNTIFS(Quarterly!B:B,"&gt;="&amp;A172-92,Quarterly!B:B,"&lt;="&amp;A172)&gt;1,SUMIFS(Quarterly!C:C,Quarterly!B:B,"&gt;="&amp;A172-88,Quarterly!B:B,"&lt;="&amp;A172),SUMIFS(Quarterly!C:C,Quarterly!B:B,"&gt;="&amp;A172-92,Quarterly!B:B,"&lt;="&amp;A172)))</f>
        <v>17874.7</v>
      </c>
      <c r="K172" s="13">
        <f t="shared" si="197"/>
        <v>0.1188</v>
      </c>
      <c r="L172">
        <f t="shared" si="199"/>
        <v>2122.73</v>
      </c>
      <c r="M172">
        <f>IF(A172&gt;=Quarterly!B$2,Quarterly!D$2,IF(COUNTIFS(Quarterly!B:B,"&gt;="&amp;A172-92,Quarterly!B:B,"&lt;="&amp;A172)&gt;1,SUMIFS(Quarterly!D:D,Quarterly!B:B,"&gt;="&amp;A172-88,Quarterly!B:B,"&lt;="&amp;A172),SUMIFS(Quarterly!D:D,Quarterly!B:B,"&gt;="&amp;A172-92,Quarterly!B:B,"&lt;="&amp;A172)))</f>
        <v>1679.364</v>
      </c>
      <c r="N172" s="13">
        <f t="shared" si="200"/>
        <v>0.12640000000000001</v>
      </c>
      <c r="O172">
        <f t="shared" si="188"/>
        <v>2122.73</v>
      </c>
      <c r="P172" s="56">
        <f>VLOOKUP(EOMONTH(A172,-1),Economic!A:I,7,FALSE)</f>
        <v>1301905</v>
      </c>
      <c r="Q172" s="13">
        <f t="shared" si="189"/>
        <v>0.16300000000000001</v>
      </c>
      <c r="R172" s="41">
        <v>1.59</v>
      </c>
      <c r="S172">
        <f t="shared" si="190"/>
        <v>2.29</v>
      </c>
      <c r="T172" s="30">
        <f t="shared" si="191"/>
        <v>129.36000000000001</v>
      </c>
      <c r="U172" s="30">
        <f t="shared" si="198"/>
        <v>131.86000000000001</v>
      </c>
    </row>
    <row r="173" spans="1:21" x14ac:dyDescent="0.25">
      <c r="A173" s="5">
        <v>42134</v>
      </c>
      <c r="B173" s="5">
        <f t="shared" si="192"/>
        <v>42155</v>
      </c>
      <c r="C173">
        <v>2116.1</v>
      </c>
      <c r="D173" s="29">
        <f t="shared" si="193"/>
        <v>6.6E-3</v>
      </c>
      <c r="E173" s="39">
        <f t="shared" si="194"/>
        <v>2092.1423076923074</v>
      </c>
      <c r="F173" s="39">
        <f t="shared" si="195"/>
        <v>2039.4674358974355</v>
      </c>
      <c r="G173" s="29">
        <f t="shared" si="187"/>
        <v>1.15E-2</v>
      </c>
      <c r="H173" s="29">
        <f t="shared" si="187"/>
        <v>3.7600000000000001E-2</v>
      </c>
      <c r="I173">
        <f t="shared" si="196"/>
        <v>2116.1</v>
      </c>
      <c r="J173">
        <f>IF(A173&gt;=Quarterly!B$2,Quarterly!C$2,IF(COUNTIFS(Quarterly!B:B,"&gt;="&amp;A173-92,Quarterly!B:B,"&lt;="&amp;A173)&gt;1,SUMIFS(Quarterly!C:C,Quarterly!B:B,"&gt;="&amp;A173-88,Quarterly!B:B,"&lt;="&amp;A173),SUMIFS(Quarterly!C:C,Quarterly!B:B,"&gt;="&amp;A173-92,Quarterly!B:B,"&lt;="&amp;A173)))</f>
        <v>17874.7</v>
      </c>
      <c r="K173" s="13">
        <f t="shared" si="197"/>
        <v>0.11840000000000001</v>
      </c>
      <c r="L173">
        <f t="shared" si="199"/>
        <v>2116.1</v>
      </c>
      <c r="M173">
        <f>IF(A173&gt;=Quarterly!B$2,Quarterly!D$2,IF(COUNTIFS(Quarterly!B:B,"&gt;="&amp;A173-92,Quarterly!B:B,"&lt;="&amp;A173)&gt;1,SUMIFS(Quarterly!D:D,Quarterly!B:B,"&gt;="&amp;A173-88,Quarterly!B:B,"&lt;="&amp;A173),SUMIFS(Quarterly!D:D,Quarterly!B:B,"&gt;="&amp;A173-92,Quarterly!B:B,"&lt;="&amp;A173)))</f>
        <v>1679.364</v>
      </c>
      <c r="N173" s="13">
        <f t="shared" si="200"/>
        <v>0.12601000000000001</v>
      </c>
      <c r="O173">
        <f t="shared" si="188"/>
        <v>2116.1</v>
      </c>
      <c r="P173" s="56">
        <f>VLOOKUP(EOMONTH(A173,-1),Economic!A:I,7,FALSE)</f>
        <v>1301905</v>
      </c>
      <c r="Q173" s="13">
        <f t="shared" si="189"/>
        <v>0.16250000000000001</v>
      </c>
      <c r="R173" s="41">
        <v>1.57</v>
      </c>
      <c r="S173">
        <f t="shared" si="190"/>
        <v>2.42</v>
      </c>
      <c r="T173" s="30">
        <f t="shared" si="191"/>
        <v>134.04</v>
      </c>
      <c r="U173" s="30">
        <f t="shared" si="198"/>
        <v>133.81</v>
      </c>
    </row>
    <row r="174" spans="1:21" x14ac:dyDescent="0.25">
      <c r="A174" s="5">
        <v>42127</v>
      </c>
      <c r="B174" s="5">
        <f t="shared" si="192"/>
        <v>42155</v>
      </c>
      <c r="C174">
        <v>2108.29</v>
      </c>
      <c r="D174" s="29">
        <f t="shared" si="193"/>
        <v>7.7999999999999996E-3</v>
      </c>
      <c r="E174" s="39">
        <f t="shared" si="194"/>
        <v>2087.4784615384615</v>
      </c>
      <c r="F174" s="39">
        <f t="shared" si="195"/>
        <v>2034.73641025641</v>
      </c>
      <c r="G174" s="29">
        <f t="shared" si="187"/>
        <v>0.01</v>
      </c>
      <c r="H174" s="29">
        <f t="shared" si="187"/>
        <v>3.61E-2</v>
      </c>
      <c r="I174">
        <f t="shared" si="196"/>
        <v>2108.29</v>
      </c>
      <c r="J174">
        <f>IF(A174&gt;=Quarterly!B$2,Quarterly!C$2,IF(COUNTIFS(Quarterly!B:B,"&gt;="&amp;A174-92,Quarterly!B:B,"&lt;="&amp;A174)&gt;1,SUMIFS(Quarterly!C:C,Quarterly!B:B,"&gt;="&amp;A174-88,Quarterly!B:B,"&lt;="&amp;A174),SUMIFS(Quarterly!C:C,Quarterly!B:B,"&gt;="&amp;A174-92,Quarterly!B:B,"&lt;="&amp;A174)))</f>
        <v>17874.7</v>
      </c>
      <c r="K174" s="13">
        <f t="shared" si="197"/>
        <v>0.1179</v>
      </c>
      <c r="L174">
        <f t="shared" si="199"/>
        <v>2108.29</v>
      </c>
      <c r="M174">
        <f>IF(A174&gt;=Quarterly!B$2,Quarterly!D$2,IF(COUNTIFS(Quarterly!B:B,"&gt;="&amp;A174-92,Quarterly!B:B,"&lt;="&amp;A174)&gt;1,SUMIFS(Quarterly!D:D,Quarterly!B:B,"&gt;="&amp;A174-88,Quarterly!B:B,"&lt;="&amp;A174),SUMIFS(Quarterly!D:D,Quarterly!B:B,"&gt;="&amp;A174-92,Quarterly!B:B,"&lt;="&amp;A174)))</f>
        <v>1679.364</v>
      </c>
      <c r="N174" s="13">
        <f t="shared" si="200"/>
        <v>0.12554000000000001</v>
      </c>
      <c r="O174">
        <f t="shared" si="188"/>
        <v>2108.29</v>
      </c>
      <c r="P174" s="56">
        <f>VLOOKUP(EOMONTH(A174,-1),Economic!A:I,7,FALSE)</f>
        <v>1301905</v>
      </c>
      <c r="Q174" s="13">
        <f t="shared" si="189"/>
        <v>0.16189999999999999</v>
      </c>
      <c r="R174" s="41">
        <v>1.52</v>
      </c>
      <c r="S174">
        <f t="shared" si="190"/>
        <v>2.33</v>
      </c>
      <c r="T174" s="30">
        <f t="shared" si="191"/>
        <v>132.16999999999999</v>
      </c>
      <c r="U174" s="30">
        <f t="shared" si="198"/>
        <v>135.4</v>
      </c>
    </row>
    <row r="175" spans="1:21" x14ac:dyDescent="0.25">
      <c r="A175" s="5">
        <v>42120</v>
      </c>
      <c r="B175" s="5">
        <f t="shared" si="192"/>
        <v>42124</v>
      </c>
      <c r="C175">
        <v>2117.69</v>
      </c>
      <c r="D175" s="29">
        <f t="shared" si="193"/>
        <v>1.9199999999999998E-2</v>
      </c>
      <c r="E175" s="39">
        <f t="shared" si="194"/>
        <v>2078.7630769230773</v>
      </c>
      <c r="F175" s="39">
        <f t="shared" si="195"/>
        <v>2030.0405128205125</v>
      </c>
      <c r="G175" s="29">
        <f t="shared" si="187"/>
        <v>1.8700000000000001E-2</v>
      </c>
      <c r="H175" s="29">
        <f t="shared" si="187"/>
        <v>4.3200000000000002E-2</v>
      </c>
      <c r="I175">
        <f t="shared" si="196"/>
        <v>2117.69</v>
      </c>
      <c r="J175">
        <f>IF(A175&gt;=Quarterly!B$2,Quarterly!C$2,IF(COUNTIFS(Quarterly!B:B,"&gt;="&amp;A175-92,Quarterly!B:B,"&lt;="&amp;A175)&gt;1,SUMIFS(Quarterly!C:C,Quarterly!B:B,"&gt;="&amp;A175-88,Quarterly!B:B,"&lt;="&amp;A175),SUMIFS(Quarterly!C:C,Quarterly!B:B,"&gt;="&amp;A175-92,Quarterly!B:B,"&lt;="&amp;A175)))</f>
        <v>17735.900000000001</v>
      </c>
      <c r="K175" s="13">
        <f t="shared" si="197"/>
        <v>0.11940000000000001</v>
      </c>
      <c r="L175">
        <f t="shared" si="199"/>
        <v>2117.69</v>
      </c>
      <c r="M175">
        <f>IF(A175&gt;=Quarterly!B$2,Quarterly!D$2,IF(COUNTIFS(Quarterly!B:B,"&gt;="&amp;A175-92,Quarterly!B:B,"&lt;="&amp;A175)&gt;1,SUMIFS(Quarterly!D:D,Quarterly!B:B,"&gt;="&amp;A175-88,Quarterly!B:B,"&lt;="&amp;A175),SUMIFS(Quarterly!D:D,Quarterly!B:B,"&gt;="&amp;A175-92,Quarterly!B:B,"&lt;="&amp;A175)))</f>
        <v>1801.848</v>
      </c>
      <c r="N175" s="13">
        <f t="shared" si="200"/>
        <v>0.11753000000000001</v>
      </c>
      <c r="O175">
        <f t="shared" si="188"/>
        <v>2117.69</v>
      </c>
      <c r="P175" s="56">
        <f>VLOOKUP(EOMONTH(A175,-1),Economic!A:I,7,FALSE)</f>
        <v>1318920</v>
      </c>
      <c r="Q175" s="13">
        <f t="shared" si="189"/>
        <v>0.16059999999999999</v>
      </c>
      <c r="R175" s="41">
        <v>1.39</v>
      </c>
      <c r="S175">
        <f t="shared" si="190"/>
        <v>2.4</v>
      </c>
      <c r="T175" s="30">
        <f t="shared" si="191"/>
        <v>135.22</v>
      </c>
      <c r="U175" s="30">
        <f t="shared" si="198"/>
        <v>137.19</v>
      </c>
    </row>
    <row r="176" spans="1:21" x14ac:dyDescent="0.25">
      <c r="A176" s="5">
        <v>42113</v>
      </c>
      <c r="B176" s="5">
        <f t="shared" si="192"/>
        <v>42124</v>
      </c>
      <c r="C176">
        <v>2081.1799999999998</v>
      </c>
      <c r="D176" s="29">
        <f t="shared" si="193"/>
        <v>-1.6000000000000001E-3</v>
      </c>
      <c r="E176" s="39">
        <f t="shared" si="194"/>
        <v>2073.6961538461537</v>
      </c>
      <c r="F176" s="39">
        <f t="shared" si="195"/>
        <v>2026.4674358974355</v>
      </c>
      <c r="G176" s="29">
        <f t="shared" si="187"/>
        <v>3.5999999999999999E-3</v>
      </c>
      <c r="H176" s="29">
        <f t="shared" si="187"/>
        <v>2.7E-2</v>
      </c>
      <c r="I176">
        <f t="shared" si="196"/>
        <v>2081.1799999999998</v>
      </c>
      <c r="J176">
        <f>IF(A176&gt;=Quarterly!B$2,Quarterly!C$2,IF(COUNTIFS(Quarterly!B:B,"&gt;="&amp;A176-92,Quarterly!B:B,"&lt;="&amp;A176)&gt;1,SUMIFS(Quarterly!C:C,Quarterly!B:B,"&gt;="&amp;A176-88,Quarterly!B:B,"&lt;="&amp;A176),SUMIFS(Quarterly!C:C,Quarterly!B:B,"&gt;="&amp;A176-92,Quarterly!B:B,"&lt;="&amp;A176)))</f>
        <v>17735.900000000001</v>
      </c>
      <c r="K176" s="13">
        <f t="shared" si="197"/>
        <v>0.1173</v>
      </c>
      <c r="L176">
        <f t="shared" si="199"/>
        <v>2081.1799999999998</v>
      </c>
      <c r="M176">
        <f>IF(A176&gt;=Quarterly!B$2,Quarterly!D$2,IF(COUNTIFS(Quarterly!B:B,"&gt;="&amp;A176-92,Quarterly!B:B,"&lt;="&amp;A176)&gt;1,SUMIFS(Quarterly!D:D,Quarterly!B:B,"&gt;="&amp;A176-88,Quarterly!B:B,"&lt;="&amp;A176),SUMIFS(Quarterly!D:D,Quarterly!B:B,"&gt;="&amp;A176-92,Quarterly!B:B,"&lt;="&amp;A176)))</f>
        <v>1801.848</v>
      </c>
      <c r="N176" s="13">
        <f t="shared" si="200"/>
        <v>0.11550000000000001</v>
      </c>
      <c r="O176">
        <f t="shared" si="188"/>
        <v>2081.1799999999998</v>
      </c>
      <c r="P176" s="56">
        <f>VLOOKUP(EOMONTH(A176,-1),Economic!A:I,7,FALSE)</f>
        <v>1318920</v>
      </c>
      <c r="Q176" s="13">
        <f t="shared" si="189"/>
        <v>0.1578</v>
      </c>
      <c r="R176" s="41">
        <v>1.36</v>
      </c>
      <c r="S176">
        <f t="shared" si="190"/>
        <v>2.4300000000000002</v>
      </c>
      <c r="T176" s="30">
        <f t="shared" si="191"/>
        <v>138.81</v>
      </c>
      <c r="U176" s="30">
        <f t="shared" si="198"/>
        <v>137.9</v>
      </c>
    </row>
    <row r="177" spans="1:21" x14ac:dyDescent="0.25">
      <c r="A177" s="5">
        <v>42106</v>
      </c>
      <c r="B177" s="5">
        <f t="shared" si="192"/>
        <v>42124</v>
      </c>
      <c r="C177">
        <v>2102.06</v>
      </c>
      <c r="D177" s="29">
        <f t="shared" si="193"/>
        <v>1.43E-2</v>
      </c>
      <c r="E177" s="39">
        <f t="shared" si="194"/>
        <v>2068.9453846153851</v>
      </c>
      <c r="F177" s="39">
        <f t="shared" si="195"/>
        <v>2023.8274358974356</v>
      </c>
      <c r="G177" s="29">
        <f t="shared" si="187"/>
        <v>1.6E-2</v>
      </c>
      <c r="H177" s="29">
        <f t="shared" si="187"/>
        <v>3.8699999999999998E-2</v>
      </c>
      <c r="I177">
        <f t="shared" si="196"/>
        <v>2102.06</v>
      </c>
      <c r="J177">
        <f>IF(A177&gt;=Quarterly!B$2,Quarterly!C$2,IF(COUNTIFS(Quarterly!B:B,"&gt;="&amp;A177-92,Quarterly!B:B,"&lt;="&amp;A177)&gt;1,SUMIFS(Quarterly!C:C,Quarterly!B:B,"&gt;="&amp;A177-88,Quarterly!B:B,"&lt;="&amp;A177),SUMIFS(Quarterly!C:C,Quarterly!B:B,"&gt;="&amp;A177-92,Quarterly!B:B,"&lt;="&amp;A177)))</f>
        <v>17735.900000000001</v>
      </c>
      <c r="K177" s="13">
        <f t="shared" si="197"/>
        <v>0.11849999999999999</v>
      </c>
      <c r="L177">
        <f t="shared" si="199"/>
        <v>2102.06</v>
      </c>
      <c r="M177">
        <f>IF(A177&gt;=Quarterly!B$2,Quarterly!D$2,IF(COUNTIFS(Quarterly!B:B,"&gt;="&amp;A177-92,Quarterly!B:B,"&lt;="&amp;A177)&gt;1,SUMIFS(Quarterly!D:D,Quarterly!B:B,"&gt;="&amp;A177-88,Quarterly!B:B,"&lt;="&amp;A177),SUMIFS(Quarterly!D:D,Quarterly!B:B,"&gt;="&amp;A177-92,Quarterly!B:B,"&lt;="&amp;A177)))</f>
        <v>1801.848</v>
      </c>
      <c r="N177" s="13">
        <f t="shared" si="200"/>
        <v>0.11666000000000001</v>
      </c>
      <c r="O177">
        <f t="shared" si="188"/>
        <v>2102.06</v>
      </c>
      <c r="P177" s="56">
        <f>VLOOKUP(EOMONTH(A177,-1),Economic!A:I,7,FALSE)</f>
        <v>1318920</v>
      </c>
      <c r="Q177" s="13">
        <f t="shared" si="189"/>
        <v>0.15939999999999999</v>
      </c>
      <c r="R177" s="41">
        <v>1.39</v>
      </c>
      <c r="S177">
        <f t="shared" si="190"/>
        <v>2.41</v>
      </c>
      <c r="T177" s="30">
        <f t="shared" si="191"/>
        <v>137.53</v>
      </c>
      <c r="U177" s="30">
        <f t="shared" si="198"/>
        <v>138.09</v>
      </c>
    </row>
    <row r="178" spans="1:21" x14ac:dyDescent="0.25">
      <c r="A178" s="5">
        <v>42099</v>
      </c>
      <c r="B178" s="5">
        <f t="shared" si="192"/>
        <v>42124</v>
      </c>
      <c r="C178">
        <v>2066.96</v>
      </c>
      <c r="D178" s="29">
        <f t="shared" si="193"/>
        <v>-3.0999999999999999E-3</v>
      </c>
      <c r="E178" s="39">
        <f t="shared" si="194"/>
        <v>2064.5415384615389</v>
      </c>
      <c r="F178" s="39">
        <f t="shared" si="195"/>
        <v>2020.3789743589743</v>
      </c>
      <c r="G178" s="29">
        <f t="shared" si="187"/>
        <v>1.1999999999999999E-3</v>
      </c>
      <c r="H178" s="29">
        <f t="shared" si="187"/>
        <v>2.3099999999999999E-2</v>
      </c>
      <c r="I178">
        <f t="shared" si="196"/>
        <v>2066.96</v>
      </c>
      <c r="J178">
        <f>IF(A178&gt;=Quarterly!B$2,Quarterly!C$2,IF(COUNTIFS(Quarterly!B:B,"&gt;="&amp;A178-92,Quarterly!B:B,"&lt;="&amp;A178)&gt;1,SUMIFS(Quarterly!C:C,Quarterly!B:B,"&gt;="&amp;A178-88,Quarterly!B:B,"&lt;="&amp;A178),SUMIFS(Quarterly!C:C,Quarterly!B:B,"&gt;="&amp;A178-92,Quarterly!B:B,"&lt;="&amp;A178)))</f>
        <v>17735.900000000001</v>
      </c>
      <c r="K178" s="13">
        <f t="shared" si="197"/>
        <v>0.11650000000000001</v>
      </c>
      <c r="L178">
        <f t="shared" si="199"/>
        <v>2066.96</v>
      </c>
      <c r="M178">
        <f>IF(A178&gt;=Quarterly!B$2,Quarterly!D$2,IF(COUNTIFS(Quarterly!B:B,"&gt;="&amp;A178-92,Quarterly!B:B,"&lt;="&amp;A178)&gt;1,SUMIFS(Quarterly!D:D,Quarterly!B:B,"&gt;="&amp;A178-88,Quarterly!B:B,"&lt;="&amp;A178),SUMIFS(Quarterly!D:D,Quarterly!B:B,"&gt;="&amp;A178-92,Quarterly!B:B,"&lt;="&amp;A178)))</f>
        <v>1801.848</v>
      </c>
      <c r="N178" s="13">
        <f t="shared" si="200"/>
        <v>0.11471000000000001</v>
      </c>
      <c r="O178">
        <f t="shared" si="188"/>
        <v>2066.96</v>
      </c>
      <c r="P178" s="56">
        <f>VLOOKUP(EOMONTH(A178,-1),Economic!A:I,7,FALSE)</f>
        <v>1318920</v>
      </c>
      <c r="Q178" s="13">
        <f t="shared" si="189"/>
        <v>0.15670000000000001</v>
      </c>
      <c r="R178" s="41">
        <v>1.36</v>
      </c>
      <c r="S178">
        <f t="shared" si="190"/>
        <v>2.33</v>
      </c>
      <c r="T178" s="30">
        <f t="shared" si="191"/>
        <v>137.37</v>
      </c>
      <c r="U178" s="30">
        <f t="shared" si="198"/>
        <v>138.34</v>
      </c>
    </row>
    <row r="179" spans="1:21" x14ac:dyDescent="0.25">
      <c r="A179" s="5">
        <v>42092</v>
      </c>
      <c r="B179" s="5">
        <f t="shared" si="192"/>
        <v>42094</v>
      </c>
      <c r="C179">
        <v>2061.02</v>
      </c>
      <c r="D179" s="29">
        <f t="shared" si="193"/>
        <v>-1.12E-2</v>
      </c>
      <c r="E179" s="39">
        <f t="shared" si="194"/>
        <v>2063.8676923076928</v>
      </c>
      <c r="F179" s="39">
        <f t="shared" si="195"/>
        <v>2018.2887179487182</v>
      </c>
      <c r="G179" s="29">
        <f t="shared" si="187"/>
        <v>-1.4E-3</v>
      </c>
      <c r="H179" s="29">
        <f t="shared" si="187"/>
        <v>2.12E-2</v>
      </c>
      <c r="I179">
        <f t="shared" si="196"/>
        <v>2061.02</v>
      </c>
      <c r="J179">
        <f>IF(A179&gt;=Quarterly!B$2,Quarterly!C$2,IF(COUNTIFS(Quarterly!B:B,"&gt;="&amp;A179-92,Quarterly!B:B,"&lt;="&amp;A179)&gt;1,SUMIFS(Quarterly!C:C,Quarterly!B:B,"&gt;="&amp;A179-88,Quarterly!B:B,"&lt;="&amp;A179),SUMIFS(Quarterly!C:C,Quarterly!B:B,"&gt;="&amp;A179-92,Quarterly!B:B,"&lt;="&amp;A179)))</f>
        <v>17735.900000000001</v>
      </c>
      <c r="K179" s="13">
        <f t="shared" si="197"/>
        <v>0.1162</v>
      </c>
      <c r="L179">
        <f t="shared" si="199"/>
        <v>2061.02</v>
      </c>
      <c r="M179">
        <f>IF(A179&gt;=Quarterly!B$2,Quarterly!D$2,IF(COUNTIFS(Quarterly!B:B,"&gt;="&amp;A179-92,Quarterly!B:B,"&lt;="&amp;A179)&gt;1,SUMIFS(Quarterly!D:D,Quarterly!B:B,"&gt;="&amp;A179-88,Quarterly!B:B,"&lt;="&amp;A179),SUMIFS(Quarterly!D:D,Quarterly!B:B,"&gt;="&amp;A179-92,Quarterly!B:B,"&lt;="&amp;A179)))</f>
        <v>1801.848</v>
      </c>
      <c r="N179" s="13">
        <f t="shared" si="200"/>
        <v>0.11438</v>
      </c>
      <c r="O179">
        <f t="shared" si="188"/>
        <v>2061.02</v>
      </c>
      <c r="P179" s="56">
        <f>VLOOKUP(EOMONTH(A179,-1),Economic!A:I,7,FALSE)</f>
        <v>1335788</v>
      </c>
      <c r="Q179" s="13">
        <f t="shared" si="189"/>
        <v>0.15430000000000002</v>
      </c>
      <c r="R179" s="41">
        <v>1.37</v>
      </c>
      <c r="S179">
        <f t="shared" si="190"/>
        <v>2.38</v>
      </c>
      <c r="T179" s="30">
        <f t="shared" si="191"/>
        <v>139.36000000000001</v>
      </c>
      <c r="U179" s="30">
        <f t="shared" si="198"/>
        <v>140.24</v>
      </c>
    </row>
    <row r="180" spans="1:21" x14ac:dyDescent="0.25">
      <c r="A180" s="5">
        <v>42085</v>
      </c>
      <c r="B180" s="5">
        <f t="shared" si="192"/>
        <v>42094</v>
      </c>
      <c r="C180">
        <v>2108.1</v>
      </c>
      <c r="D180" s="29">
        <f t="shared" si="193"/>
        <v>1.11E-2</v>
      </c>
      <c r="E180" s="39">
        <f t="shared" si="194"/>
        <v>2066.002307692308</v>
      </c>
      <c r="F180" s="39">
        <f t="shared" si="195"/>
        <v>2015.7230769230773</v>
      </c>
      <c r="G180" s="29">
        <f t="shared" si="187"/>
        <v>2.0400000000000001E-2</v>
      </c>
      <c r="H180" s="29">
        <f t="shared" si="187"/>
        <v>4.58E-2</v>
      </c>
      <c r="I180">
        <f t="shared" si="196"/>
        <v>2108.1</v>
      </c>
      <c r="J180">
        <f>IF(A180&gt;=Quarterly!B$2,Quarterly!C$2,IF(COUNTIFS(Quarterly!B:B,"&gt;="&amp;A180-92,Quarterly!B:B,"&lt;="&amp;A180)&gt;1,SUMIFS(Quarterly!C:C,Quarterly!B:B,"&gt;="&amp;A180-88,Quarterly!B:B,"&lt;="&amp;A180),SUMIFS(Quarterly!C:C,Quarterly!B:B,"&gt;="&amp;A180-92,Quarterly!B:B,"&lt;="&amp;A180)))</f>
        <v>17735.900000000001</v>
      </c>
      <c r="K180" s="13">
        <f t="shared" si="197"/>
        <v>0.11890000000000001</v>
      </c>
      <c r="L180">
        <f t="shared" si="199"/>
        <v>2108.1</v>
      </c>
      <c r="M180">
        <f>IF(A180&gt;=Quarterly!B$2,Quarterly!D$2,IF(COUNTIFS(Quarterly!B:B,"&gt;="&amp;A180-92,Quarterly!B:B,"&lt;="&amp;A180)&gt;1,SUMIFS(Quarterly!D:D,Quarterly!B:B,"&gt;="&amp;A180-88,Quarterly!B:B,"&lt;="&amp;A180),SUMIFS(Quarterly!D:D,Quarterly!B:B,"&gt;="&amp;A180-92,Quarterly!B:B,"&lt;="&amp;A180)))</f>
        <v>1801.848</v>
      </c>
      <c r="N180" s="13">
        <f t="shared" si="200"/>
        <v>0.11699999999999999</v>
      </c>
      <c r="O180">
        <f t="shared" si="188"/>
        <v>2108.1</v>
      </c>
      <c r="P180" s="56">
        <f>VLOOKUP(EOMONTH(A180,-1),Economic!A:I,7,FALSE)</f>
        <v>1335788</v>
      </c>
      <c r="Q180" s="13">
        <f t="shared" si="189"/>
        <v>0.1578</v>
      </c>
      <c r="R180" s="41">
        <v>1.33</v>
      </c>
      <c r="S180">
        <f t="shared" si="190"/>
        <v>2.44</v>
      </c>
      <c r="T180" s="30">
        <f t="shared" si="191"/>
        <v>138.28</v>
      </c>
      <c r="U180" s="30">
        <f t="shared" si="198"/>
        <v>142.47999999999999</v>
      </c>
    </row>
    <row r="181" spans="1:21" x14ac:dyDescent="0.25">
      <c r="A181" s="5">
        <v>42078</v>
      </c>
      <c r="B181" s="5">
        <f t="shared" si="192"/>
        <v>42094</v>
      </c>
      <c r="C181">
        <v>2053.4</v>
      </c>
      <c r="D181" s="29">
        <f t="shared" si="193"/>
        <v>-2.0199999999999999E-2</v>
      </c>
      <c r="E181" s="39">
        <f t="shared" si="194"/>
        <v>2063.1215384615389</v>
      </c>
      <c r="F181" s="39">
        <f t="shared" si="195"/>
        <v>2011.9992307692312</v>
      </c>
      <c r="G181" s="29">
        <f t="shared" si="187"/>
        <v>-4.7000000000000002E-3</v>
      </c>
      <c r="H181" s="29">
        <f t="shared" si="187"/>
        <v>2.06E-2</v>
      </c>
      <c r="I181">
        <f t="shared" si="196"/>
        <v>2053.4</v>
      </c>
      <c r="J181">
        <f>IF(A181&gt;=Quarterly!B$2,Quarterly!C$2,IF(COUNTIFS(Quarterly!B:B,"&gt;="&amp;A181-92,Quarterly!B:B,"&lt;="&amp;A181)&gt;1,SUMIFS(Quarterly!C:C,Quarterly!B:B,"&gt;="&amp;A181-88,Quarterly!B:B,"&lt;="&amp;A181),SUMIFS(Quarterly!C:C,Quarterly!B:B,"&gt;="&amp;A181-92,Quarterly!B:B,"&lt;="&amp;A181)))</f>
        <v>17735.900000000001</v>
      </c>
      <c r="K181" s="13">
        <f t="shared" si="197"/>
        <v>0.1158</v>
      </c>
      <c r="L181">
        <f t="shared" si="199"/>
        <v>2053.4</v>
      </c>
      <c r="M181">
        <f>IF(A181&gt;=Quarterly!B$2,Quarterly!D$2,IF(COUNTIFS(Quarterly!B:B,"&gt;="&amp;A181-92,Quarterly!B:B,"&lt;="&amp;A181)&gt;1,SUMIFS(Quarterly!D:D,Quarterly!B:B,"&gt;="&amp;A181-88,Quarterly!B:B,"&lt;="&amp;A181),SUMIFS(Quarterly!D:D,Quarterly!B:B,"&gt;="&amp;A181-92,Quarterly!B:B,"&lt;="&amp;A181)))</f>
        <v>1801.848</v>
      </c>
      <c r="N181" s="13">
        <f t="shared" si="200"/>
        <v>0.11396000000000001</v>
      </c>
      <c r="O181">
        <f t="shared" si="188"/>
        <v>2053.4</v>
      </c>
      <c r="P181" s="56">
        <f>VLOOKUP(EOMONTH(A181,-1),Economic!A:I,7,FALSE)</f>
        <v>1335788</v>
      </c>
      <c r="Q181" s="13">
        <f t="shared" si="189"/>
        <v>0.1537</v>
      </c>
      <c r="R181" s="41">
        <v>1.45</v>
      </c>
      <c r="S181">
        <f t="shared" si="190"/>
        <v>2.4900000000000002</v>
      </c>
      <c r="T181" s="30">
        <f t="shared" si="191"/>
        <v>143.08000000000001</v>
      </c>
      <c r="U181" s="30">
        <f t="shared" si="198"/>
        <v>144.62</v>
      </c>
    </row>
    <row r="182" spans="1:21" x14ac:dyDescent="0.25">
      <c r="A182" s="5">
        <v>42071</v>
      </c>
      <c r="B182" s="5">
        <f t="shared" si="192"/>
        <v>42094</v>
      </c>
      <c r="C182">
        <v>2071.2600000000002</v>
      </c>
      <c r="D182" s="29">
        <f t="shared" si="193"/>
        <v>-9.7999999999999997E-3</v>
      </c>
      <c r="E182" s="39">
        <f t="shared" si="194"/>
        <v>2059.1930769230771</v>
      </c>
      <c r="F182" s="39">
        <f t="shared" si="195"/>
        <v>2008.9930769230775</v>
      </c>
      <c r="G182" s="29">
        <f t="shared" si="187"/>
        <v>5.8999999999999999E-3</v>
      </c>
      <c r="H182" s="29">
        <f t="shared" si="187"/>
        <v>3.1E-2</v>
      </c>
      <c r="I182">
        <f t="shared" si="196"/>
        <v>2071.2600000000002</v>
      </c>
      <c r="J182">
        <f>IF(A182&gt;=Quarterly!B$2,Quarterly!C$2,IF(COUNTIFS(Quarterly!B:B,"&gt;="&amp;A182-92,Quarterly!B:B,"&lt;="&amp;A182)&gt;1,SUMIFS(Quarterly!C:C,Quarterly!B:B,"&gt;="&amp;A182-88,Quarterly!B:B,"&lt;="&amp;A182),SUMIFS(Quarterly!C:C,Quarterly!B:B,"&gt;="&amp;A182-92,Quarterly!B:B,"&lt;="&amp;A182)))</f>
        <v>17735.900000000001</v>
      </c>
      <c r="K182" s="13">
        <f t="shared" si="197"/>
        <v>0.1168</v>
      </c>
      <c r="L182">
        <f t="shared" si="199"/>
        <v>2071.2600000000002</v>
      </c>
      <c r="M182">
        <f>IF(A182&gt;=Quarterly!B$2,Quarterly!D$2,IF(COUNTIFS(Quarterly!B:B,"&gt;="&amp;A182-92,Quarterly!B:B,"&lt;="&amp;A182)&gt;1,SUMIFS(Quarterly!D:D,Quarterly!B:B,"&gt;="&amp;A182-88,Quarterly!B:B,"&lt;="&amp;A182),SUMIFS(Quarterly!D:D,Quarterly!B:B,"&gt;="&amp;A182-92,Quarterly!B:B,"&lt;="&amp;A182)))</f>
        <v>1801.848</v>
      </c>
      <c r="N182" s="13">
        <f t="shared" si="200"/>
        <v>0.11495</v>
      </c>
      <c r="O182">
        <f t="shared" si="188"/>
        <v>2071.2600000000002</v>
      </c>
      <c r="P182" s="56">
        <f>VLOOKUP(EOMONTH(A182,-1),Economic!A:I,7,FALSE)</f>
        <v>1335788</v>
      </c>
      <c r="Q182" s="13">
        <f t="shared" si="189"/>
        <v>0.15510000000000002</v>
      </c>
      <c r="R182" s="41">
        <v>1.51</v>
      </c>
      <c r="S182">
        <f t="shared" si="190"/>
        <v>2.6</v>
      </c>
      <c r="T182" s="30">
        <f t="shared" si="191"/>
        <v>146.07</v>
      </c>
      <c r="U182" s="30">
        <f t="shared" si="198"/>
        <v>144.1</v>
      </c>
    </row>
    <row r="183" spans="1:21" x14ac:dyDescent="0.25">
      <c r="A183" s="5">
        <v>42064</v>
      </c>
      <c r="B183" s="5">
        <f t="shared" si="192"/>
        <v>42094</v>
      </c>
      <c r="C183">
        <v>2104.5</v>
      </c>
      <c r="D183" s="29">
        <f t="shared" si="193"/>
        <v>1.9400000000000001E-2</v>
      </c>
      <c r="E183" s="39">
        <f t="shared" si="194"/>
        <v>2059.5092307692307</v>
      </c>
      <c r="F183" s="39">
        <f t="shared" si="195"/>
        <v>2005.8694871794876</v>
      </c>
      <c r="G183" s="29">
        <f t="shared" si="187"/>
        <v>2.18E-2</v>
      </c>
      <c r="H183" s="29">
        <f t="shared" si="187"/>
        <v>4.9200000000000001E-2</v>
      </c>
      <c r="I183">
        <f t="shared" si="196"/>
        <v>2104.5</v>
      </c>
      <c r="J183">
        <f>IF(A183&gt;=Quarterly!B$2,Quarterly!C$2,IF(COUNTIFS(Quarterly!B:B,"&gt;="&amp;A183-92,Quarterly!B:B,"&lt;="&amp;A183)&gt;1,SUMIFS(Quarterly!C:C,Quarterly!B:B,"&gt;="&amp;A183-88,Quarterly!B:B,"&lt;="&amp;A183),SUMIFS(Quarterly!C:C,Quarterly!B:B,"&gt;="&amp;A183-92,Quarterly!B:B,"&lt;="&amp;A183)))</f>
        <v>17735.900000000001</v>
      </c>
      <c r="K183" s="13">
        <f t="shared" si="197"/>
        <v>0.1187</v>
      </c>
      <c r="L183">
        <f t="shared" si="199"/>
        <v>2104.5</v>
      </c>
      <c r="M183">
        <f>IF(A183&gt;=Quarterly!B$2,Quarterly!D$2,IF(COUNTIFS(Quarterly!B:B,"&gt;="&amp;A183-92,Quarterly!B:B,"&lt;="&amp;A183)&gt;1,SUMIFS(Quarterly!D:D,Quarterly!B:B,"&gt;="&amp;A183-88,Quarterly!B:B,"&lt;="&amp;A183),SUMIFS(Quarterly!D:D,Quarterly!B:B,"&gt;="&amp;A183-92,Quarterly!B:B,"&lt;="&amp;A183)))</f>
        <v>1801.848</v>
      </c>
      <c r="N183" s="13">
        <f t="shared" si="200"/>
        <v>0.1168</v>
      </c>
      <c r="O183">
        <f t="shared" si="188"/>
        <v>2104.5</v>
      </c>
      <c r="P183" s="56">
        <f>VLOOKUP(EOMONTH(A183,-1),Economic!A:I,7,FALSE)</f>
        <v>1335788</v>
      </c>
      <c r="Q183" s="13">
        <f t="shared" si="189"/>
        <v>0.1575</v>
      </c>
      <c r="R183" s="41">
        <v>1.37</v>
      </c>
      <c r="S183">
        <f t="shared" si="190"/>
        <v>2.62</v>
      </c>
      <c r="T183" s="30">
        <f t="shared" si="191"/>
        <v>144.69999999999999</v>
      </c>
      <c r="U183" s="30">
        <f t="shared" si="198"/>
        <v>143.16999999999999</v>
      </c>
    </row>
    <row r="184" spans="1:21" x14ac:dyDescent="0.25">
      <c r="A184" s="5">
        <v>42057</v>
      </c>
      <c r="B184" s="5">
        <f t="shared" si="192"/>
        <v>42063</v>
      </c>
      <c r="C184">
        <v>2110.3000000000002</v>
      </c>
      <c r="D184" s="29">
        <f t="shared" si="193"/>
        <v>2.9499999999999998E-2</v>
      </c>
      <c r="E184" s="39">
        <f t="shared" si="194"/>
        <v>2056.6676923076925</v>
      </c>
      <c r="F184" s="39">
        <f t="shared" si="195"/>
        <v>2001.230256410257</v>
      </c>
      <c r="G184" s="29">
        <f t="shared" si="187"/>
        <v>2.6100000000000002E-2</v>
      </c>
      <c r="H184" s="29">
        <f t="shared" si="187"/>
        <v>5.45E-2</v>
      </c>
      <c r="I184">
        <f t="shared" si="196"/>
        <v>2110.3000000000002</v>
      </c>
      <c r="J184">
        <f>IF(A184&gt;=Quarterly!B$2,Quarterly!C$2,IF(COUNTIFS(Quarterly!B:B,"&gt;="&amp;A184-92,Quarterly!B:B,"&lt;="&amp;A184)&gt;1,SUMIFS(Quarterly!C:C,Quarterly!B:B,"&gt;="&amp;A184-88,Quarterly!B:B,"&lt;="&amp;A184),SUMIFS(Quarterly!C:C,Quarterly!B:B,"&gt;="&amp;A184-92,Quarterly!B:B,"&lt;="&amp;A184)))</f>
        <v>17735.900000000001</v>
      </c>
      <c r="K184" s="13">
        <f t="shared" si="197"/>
        <v>0.11899999999999999</v>
      </c>
      <c r="L184">
        <f t="shared" si="199"/>
        <v>2110.3000000000002</v>
      </c>
      <c r="M184">
        <f>IF(A184&gt;=Quarterly!B$2,Quarterly!D$2,IF(COUNTIFS(Quarterly!B:B,"&gt;="&amp;A184-92,Quarterly!B:B,"&lt;="&amp;A184)&gt;1,SUMIFS(Quarterly!D:D,Quarterly!B:B,"&gt;="&amp;A184-88,Quarterly!B:B,"&lt;="&amp;A184),SUMIFS(Quarterly!D:D,Quarterly!B:B,"&gt;="&amp;A184-92,Quarterly!B:B,"&lt;="&amp;A184)))</f>
        <v>1801.848</v>
      </c>
      <c r="N184" s="13">
        <f t="shared" si="200"/>
        <v>0.11712</v>
      </c>
      <c r="O184">
        <f t="shared" si="188"/>
        <v>2110.3000000000002</v>
      </c>
      <c r="P184" s="56">
        <f>VLOOKUP(EOMONTH(A184,-1),Economic!A:I,7,FALSE)</f>
        <v>1344270</v>
      </c>
      <c r="Q184" s="13">
        <f t="shared" si="189"/>
        <v>0.157</v>
      </c>
      <c r="R184" s="41">
        <v>1.46</v>
      </c>
      <c r="S184">
        <f t="shared" si="190"/>
        <v>2.52</v>
      </c>
      <c r="T184" s="30">
        <f t="shared" si="191"/>
        <v>141.54</v>
      </c>
      <c r="U184" s="30">
        <f t="shared" si="198"/>
        <v>143.94</v>
      </c>
    </row>
    <row r="185" spans="1:21" x14ac:dyDescent="0.25">
      <c r="A185" s="5">
        <v>42050</v>
      </c>
      <c r="B185" s="5">
        <f t="shared" si="192"/>
        <v>42063</v>
      </c>
      <c r="C185">
        <v>2096.9899999999998</v>
      </c>
      <c r="D185" s="29">
        <f t="shared" si="193"/>
        <v>3.2800000000000003E-2</v>
      </c>
      <c r="E185" s="39">
        <f t="shared" si="194"/>
        <v>2053.0676923076921</v>
      </c>
      <c r="F185" s="39">
        <f t="shared" si="195"/>
        <v>1995.8515384615387</v>
      </c>
      <c r="G185" s="29">
        <f t="shared" si="187"/>
        <v>2.1399999999999999E-2</v>
      </c>
      <c r="H185" s="29">
        <f t="shared" si="187"/>
        <v>5.0700000000000002E-2</v>
      </c>
      <c r="I185">
        <f t="shared" si="196"/>
        <v>2096.9899999999998</v>
      </c>
      <c r="J185">
        <f>IF(A185&gt;=Quarterly!B$2,Quarterly!C$2,IF(COUNTIFS(Quarterly!B:B,"&gt;="&amp;A185-92,Quarterly!B:B,"&lt;="&amp;A185)&gt;1,SUMIFS(Quarterly!C:C,Quarterly!B:B,"&gt;="&amp;A185-88,Quarterly!B:B,"&lt;="&amp;A185),SUMIFS(Quarterly!C:C,Quarterly!B:B,"&gt;="&amp;A185-92,Quarterly!B:B,"&lt;="&amp;A185)))</f>
        <v>17735.900000000001</v>
      </c>
      <c r="K185" s="13">
        <f t="shared" si="197"/>
        <v>0.1182</v>
      </c>
      <c r="L185">
        <f t="shared" si="199"/>
        <v>2096.9899999999998</v>
      </c>
      <c r="M185">
        <f>IF(A185&gt;=Quarterly!B$2,Quarterly!D$2,IF(COUNTIFS(Quarterly!B:B,"&gt;="&amp;A185-92,Quarterly!B:B,"&lt;="&amp;A185)&gt;1,SUMIFS(Quarterly!D:D,Quarterly!B:B,"&gt;="&amp;A185-88,Quarterly!B:B,"&lt;="&amp;A185),SUMIFS(Quarterly!D:D,Quarterly!B:B,"&gt;="&amp;A185-92,Quarterly!B:B,"&lt;="&amp;A185)))</f>
        <v>1801.848</v>
      </c>
      <c r="N185" s="13">
        <f t="shared" si="200"/>
        <v>0.11638</v>
      </c>
      <c r="O185">
        <f t="shared" si="188"/>
        <v>2096.9899999999998</v>
      </c>
      <c r="P185" s="56">
        <f>VLOOKUP(EOMONTH(A185,-1),Economic!A:I,7,FALSE)</f>
        <v>1344270</v>
      </c>
      <c r="Q185" s="13">
        <f t="shared" si="189"/>
        <v>0.156</v>
      </c>
      <c r="R185" s="41">
        <v>1.36</v>
      </c>
      <c r="S185">
        <f t="shared" si="190"/>
        <v>2.54</v>
      </c>
      <c r="T185" s="30">
        <f t="shared" si="191"/>
        <v>143.27000000000001</v>
      </c>
      <c r="U185" s="30">
        <f t="shared" si="198"/>
        <v>145.68</v>
      </c>
    </row>
    <row r="186" spans="1:21" x14ac:dyDescent="0.25">
      <c r="A186" s="5">
        <v>42043</v>
      </c>
      <c r="B186" s="5">
        <f t="shared" si="192"/>
        <v>42063</v>
      </c>
      <c r="C186">
        <v>2055.4699999999998</v>
      </c>
      <c r="D186" s="29">
        <f t="shared" si="193"/>
        <v>1.37E-2</v>
      </c>
      <c r="E186" s="39">
        <f t="shared" si="194"/>
        <v>2048.67</v>
      </c>
      <c r="F186" s="39">
        <f t="shared" si="195"/>
        <v>1990.2328205128206</v>
      </c>
      <c r="G186" s="29">
        <f t="shared" si="187"/>
        <v>3.3E-3</v>
      </c>
      <c r="H186" s="29">
        <f t="shared" si="187"/>
        <v>3.2800000000000003E-2</v>
      </c>
      <c r="I186">
        <f t="shared" si="196"/>
        <v>2055.4699999999998</v>
      </c>
      <c r="J186">
        <f>IF(A186&gt;=Quarterly!B$2,Quarterly!C$2,IF(COUNTIFS(Quarterly!B:B,"&gt;="&amp;A186-92,Quarterly!B:B,"&lt;="&amp;A186)&gt;1,SUMIFS(Quarterly!C:C,Quarterly!B:B,"&gt;="&amp;A186-88,Quarterly!B:B,"&lt;="&amp;A186),SUMIFS(Quarterly!C:C,Quarterly!B:B,"&gt;="&amp;A186-92,Quarterly!B:B,"&lt;="&amp;A186)))</f>
        <v>17735.900000000001</v>
      </c>
      <c r="K186" s="13">
        <f t="shared" si="197"/>
        <v>0.1159</v>
      </c>
      <c r="L186">
        <f t="shared" si="199"/>
        <v>2055.4699999999998</v>
      </c>
      <c r="M186">
        <f>IF(A186&gt;=Quarterly!B$2,Quarterly!D$2,IF(COUNTIFS(Quarterly!B:B,"&gt;="&amp;A186-92,Quarterly!B:B,"&lt;="&amp;A186)&gt;1,SUMIFS(Quarterly!D:D,Quarterly!B:B,"&gt;="&amp;A186-88,Quarterly!B:B,"&lt;="&amp;A186),SUMIFS(Quarterly!D:D,Quarterly!B:B,"&gt;="&amp;A186-92,Quarterly!B:B,"&lt;="&amp;A186)))</f>
        <v>1801.848</v>
      </c>
      <c r="N186" s="13">
        <f t="shared" si="200"/>
        <v>0.11408000000000001</v>
      </c>
      <c r="O186">
        <f t="shared" si="188"/>
        <v>2055.4699999999998</v>
      </c>
      <c r="P186" s="56">
        <f>VLOOKUP(EOMONTH(A186,-1),Economic!A:I,7,FALSE)</f>
        <v>1344270</v>
      </c>
      <c r="Q186" s="13">
        <f t="shared" si="189"/>
        <v>0.15290000000000001</v>
      </c>
      <c r="R186" s="41">
        <v>1.3</v>
      </c>
      <c r="S186">
        <f t="shared" si="190"/>
        <v>2.58</v>
      </c>
      <c r="T186" s="30">
        <f t="shared" si="191"/>
        <v>147.02000000000001</v>
      </c>
      <c r="U186" s="30">
        <f t="shared" si="198"/>
        <v>144.80000000000001</v>
      </c>
    </row>
    <row r="187" spans="1:21" x14ac:dyDescent="0.25">
      <c r="A187" s="5">
        <v>42036</v>
      </c>
      <c r="B187" s="5">
        <f t="shared" si="192"/>
        <v>42063</v>
      </c>
      <c r="C187">
        <v>1994.99</v>
      </c>
      <c r="D187" s="29">
        <f t="shared" si="193"/>
        <v>-2.3800000000000002E-2</v>
      </c>
      <c r="E187" s="39">
        <f t="shared" si="194"/>
        <v>2046.8584615384618</v>
      </c>
      <c r="F187" s="39">
        <f t="shared" si="195"/>
        <v>1985.6946153846156</v>
      </c>
      <c r="G187" s="29">
        <f t="shared" si="187"/>
        <v>-2.53E-2</v>
      </c>
      <c r="H187" s="29">
        <f t="shared" si="187"/>
        <v>4.7000000000000002E-3</v>
      </c>
      <c r="I187">
        <f t="shared" si="196"/>
        <v>1994.99</v>
      </c>
      <c r="J187">
        <f>IF(A187&gt;=Quarterly!B$2,Quarterly!C$2,IF(COUNTIFS(Quarterly!B:B,"&gt;="&amp;A187-92,Quarterly!B:B,"&lt;="&amp;A187)&gt;1,SUMIFS(Quarterly!C:C,Quarterly!B:B,"&gt;="&amp;A187-88,Quarterly!B:B,"&lt;="&amp;A187),SUMIFS(Quarterly!C:C,Quarterly!B:B,"&gt;="&amp;A187-92,Quarterly!B:B,"&lt;="&amp;A187)))</f>
        <v>17735.900000000001</v>
      </c>
      <c r="K187" s="13">
        <f t="shared" si="197"/>
        <v>0.1125</v>
      </c>
      <c r="L187">
        <f t="shared" si="199"/>
        <v>1994.99</v>
      </c>
      <c r="M187">
        <f>IF(A187&gt;=Quarterly!B$2,Quarterly!D$2,IF(COUNTIFS(Quarterly!B:B,"&gt;="&amp;A187-92,Quarterly!B:B,"&lt;="&amp;A187)&gt;1,SUMIFS(Quarterly!D:D,Quarterly!B:B,"&gt;="&amp;A187-88,Quarterly!B:B,"&lt;="&amp;A187),SUMIFS(Quarterly!D:D,Quarterly!B:B,"&gt;="&amp;A187-92,Quarterly!B:B,"&lt;="&amp;A187)))</f>
        <v>1801.848</v>
      </c>
      <c r="N187" s="13">
        <f t="shared" si="200"/>
        <v>0.11072</v>
      </c>
      <c r="O187">
        <f t="shared" si="188"/>
        <v>1994.99</v>
      </c>
      <c r="P187" s="56">
        <f>VLOOKUP(EOMONTH(A187,-1),Economic!A:I,7,FALSE)</f>
        <v>1344270</v>
      </c>
      <c r="Q187" s="13">
        <f t="shared" si="189"/>
        <v>0.1484</v>
      </c>
      <c r="R187" s="41">
        <v>1.21</v>
      </c>
      <c r="S187">
        <f t="shared" si="190"/>
        <v>2.4700000000000002</v>
      </c>
      <c r="T187" s="30">
        <f t="shared" si="191"/>
        <v>146.76</v>
      </c>
      <c r="U187" s="30">
        <f t="shared" si="198"/>
        <v>143.03</v>
      </c>
    </row>
    <row r="188" spans="1:21" x14ac:dyDescent="0.25">
      <c r="A188" s="5">
        <v>42029</v>
      </c>
      <c r="B188" s="5">
        <f t="shared" si="192"/>
        <v>42035</v>
      </c>
      <c r="C188">
        <v>2051.8200000000002</v>
      </c>
      <c r="D188" s="29">
        <f t="shared" si="193"/>
        <v>-5.0000000000000001E-4</v>
      </c>
      <c r="E188" s="39">
        <f t="shared" si="194"/>
        <v>2048.6323076923077</v>
      </c>
      <c r="F188" s="39">
        <f t="shared" si="195"/>
        <v>1982.7753846153848</v>
      </c>
      <c r="G188" s="29">
        <f t="shared" si="187"/>
        <v>1.6000000000000001E-3</v>
      </c>
      <c r="H188" s="29">
        <f t="shared" si="187"/>
        <v>3.4799999999999998E-2</v>
      </c>
      <c r="I188">
        <f t="shared" si="196"/>
        <v>2051.8200000000002</v>
      </c>
      <c r="J188">
        <f>IF(A188&gt;=Quarterly!B$2,Quarterly!C$2,IF(COUNTIFS(Quarterly!B:B,"&gt;="&amp;A188-92,Quarterly!B:B,"&lt;="&amp;A188)&gt;1,SUMIFS(Quarterly!C:C,Quarterly!B:B,"&gt;="&amp;A188-88,Quarterly!B:B,"&lt;="&amp;A188),SUMIFS(Quarterly!C:C,Quarterly!B:B,"&gt;="&amp;A188-92,Quarterly!B:B,"&lt;="&amp;A188)))</f>
        <v>17622.3</v>
      </c>
      <c r="K188" s="13">
        <f t="shared" si="197"/>
        <v>0.1164</v>
      </c>
      <c r="L188">
        <f t="shared" si="199"/>
        <v>2051.8200000000002</v>
      </c>
      <c r="M188">
        <f>IF(A188&gt;=Quarterly!B$2,Quarterly!D$2,IF(COUNTIFS(Quarterly!B:B,"&gt;="&amp;A188-92,Quarterly!B:B,"&lt;="&amp;A188)&gt;1,SUMIFS(Quarterly!D:D,Quarterly!B:B,"&gt;="&amp;A188-88,Quarterly!B:B,"&lt;="&amp;A188),SUMIFS(Quarterly!D:D,Quarterly!B:B,"&gt;="&amp;A188-92,Quarterly!B:B,"&lt;="&amp;A188)))</f>
        <v>1786.2149999999999</v>
      </c>
      <c r="N188" s="13">
        <f t="shared" si="200"/>
        <v>0.11487000000000001</v>
      </c>
      <c r="O188">
        <f t="shared" si="188"/>
        <v>2051.8200000000002</v>
      </c>
      <c r="P188" s="56">
        <f>VLOOKUP(EOMONTH(A188,-1),Economic!A:I,7,FALSE)</f>
        <v>1350080</v>
      </c>
      <c r="Q188" s="13">
        <f t="shared" si="189"/>
        <v>0.152</v>
      </c>
      <c r="R188" s="41">
        <v>1.29</v>
      </c>
      <c r="S188">
        <f t="shared" si="190"/>
        <v>2.44</v>
      </c>
      <c r="T188" s="30">
        <f t="shared" si="191"/>
        <v>140.62</v>
      </c>
      <c r="U188" s="30">
        <f t="shared" si="198"/>
        <v>141.86000000000001</v>
      </c>
    </row>
    <row r="189" spans="1:21" x14ac:dyDescent="0.25">
      <c r="A189" s="5">
        <v>42022</v>
      </c>
      <c r="B189" s="5">
        <f t="shared" si="192"/>
        <v>42035</v>
      </c>
      <c r="C189">
        <v>2019.42</v>
      </c>
      <c r="D189" s="29">
        <f t="shared" si="193"/>
        <v>-2.24E-2</v>
      </c>
      <c r="E189" s="39">
        <f t="shared" si="194"/>
        <v>2041.9215384615381</v>
      </c>
      <c r="F189" s="39">
        <f t="shared" si="195"/>
        <v>1977.9441025641024</v>
      </c>
      <c r="G189" s="29">
        <f t="shared" si="187"/>
        <v>-1.0999999999999999E-2</v>
      </c>
      <c r="H189" s="29">
        <f t="shared" si="187"/>
        <v>2.1000000000000001E-2</v>
      </c>
      <c r="I189">
        <f t="shared" si="196"/>
        <v>2019.42</v>
      </c>
      <c r="J189">
        <f>IF(A189&gt;=Quarterly!B$2,Quarterly!C$2,IF(COUNTIFS(Quarterly!B:B,"&gt;="&amp;A189-92,Quarterly!B:B,"&lt;="&amp;A189)&gt;1,SUMIFS(Quarterly!C:C,Quarterly!B:B,"&gt;="&amp;A189-88,Quarterly!B:B,"&lt;="&amp;A189),SUMIFS(Quarterly!C:C,Quarterly!B:B,"&gt;="&amp;A189-92,Quarterly!B:B,"&lt;="&amp;A189)))</f>
        <v>17622.3</v>
      </c>
      <c r="K189" s="13">
        <f t="shared" si="197"/>
        <v>0.11459999999999999</v>
      </c>
      <c r="L189">
        <f t="shared" si="199"/>
        <v>2019.42</v>
      </c>
      <c r="M189">
        <f>IF(A189&gt;=Quarterly!B$2,Quarterly!D$2,IF(COUNTIFS(Quarterly!B:B,"&gt;="&amp;A189-92,Quarterly!B:B,"&lt;="&amp;A189)&gt;1,SUMIFS(Quarterly!D:D,Quarterly!B:B,"&gt;="&amp;A189-88,Quarterly!B:B,"&lt;="&amp;A189),SUMIFS(Quarterly!D:D,Quarterly!B:B,"&gt;="&amp;A189-92,Quarterly!B:B,"&lt;="&amp;A189)))</f>
        <v>1786.2149999999999</v>
      </c>
      <c r="N189" s="13">
        <f t="shared" si="200"/>
        <v>0.11306000000000001</v>
      </c>
      <c r="O189">
        <f t="shared" si="188"/>
        <v>2019.42</v>
      </c>
      <c r="P189" s="56">
        <f>VLOOKUP(EOMONTH(A189,-1),Economic!A:I,7,FALSE)</f>
        <v>1350080</v>
      </c>
      <c r="Q189" s="13">
        <f t="shared" si="189"/>
        <v>0.14959999999999998</v>
      </c>
      <c r="R189" s="41">
        <v>1.34</v>
      </c>
      <c r="S189">
        <f t="shared" si="190"/>
        <v>2.4</v>
      </c>
      <c r="T189" s="30">
        <f t="shared" si="191"/>
        <v>141.69999999999999</v>
      </c>
      <c r="U189" s="30">
        <f t="shared" si="198"/>
        <v>141.51</v>
      </c>
    </row>
    <row r="190" spans="1:21" x14ac:dyDescent="0.25">
      <c r="A190" s="5">
        <v>42015</v>
      </c>
      <c r="B190" s="5">
        <f t="shared" si="192"/>
        <v>42035</v>
      </c>
      <c r="C190">
        <v>2044.81</v>
      </c>
      <c r="D190" s="29">
        <f t="shared" si="193"/>
        <v>-5.0000000000000001E-3</v>
      </c>
      <c r="E190" s="39">
        <f t="shared" si="194"/>
        <v>2031.7169230769227</v>
      </c>
      <c r="F190" s="39">
        <f t="shared" si="195"/>
        <v>1973.9807692307693</v>
      </c>
      <c r="G190" s="29">
        <f t="shared" si="187"/>
        <v>6.4000000000000003E-3</v>
      </c>
      <c r="H190" s="29">
        <f t="shared" si="187"/>
        <v>3.5900000000000001E-2</v>
      </c>
      <c r="I190">
        <f t="shared" si="196"/>
        <v>2044.81</v>
      </c>
      <c r="J190">
        <f>IF(A190&gt;=Quarterly!B$2,Quarterly!C$2,IF(COUNTIFS(Quarterly!B:B,"&gt;="&amp;A190-92,Quarterly!B:B,"&lt;="&amp;A190)&gt;1,SUMIFS(Quarterly!C:C,Quarterly!B:B,"&gt;="&amp;A190-88,Quarterly!B:B,"&lt;="&amp;A190),SUMIFS(Quarterly!C:C,Quarterly!B:B,"&gt;="&amp;A190-92,Quarterly!B:B,"&lt;="&amp;A190)))</f>
        <v>17622.3</v>
      </c>
      <c r="K190" s="13">
        <f t="shared" si="197"/>
        <v>0.11600000000000001</v>
      </c>
      <c r="L190">
        <f t="shared" si="199"/>
        <v>2044.81</v>
      </c>
      <c r="M190">
        <f>IF(A190&gt;=Quarterly!B$2,Quarterly!D$2,IF(COUNTIFS(Quarterly!B:B,"&gt;="&amp;A190-92,Quarterly!B:B,"&lt;="&amp;A190)&gt;1,SUMIFS(Quarterly!D:D,Quarterly!B:B,"&gt;="&amp;A190-88,Quarterly!B:B,"&lt;="&amp;A190),SUMIFS(Quarterly!D:D,Quarterly!B:B,"&gt;="&amp;A190-92,Quarterly!B:B,"&lt;="&amp;A190)))</f>
        <v>1786.2149999999999</v>
      </c>
      <c r="N190" s="13">
        <f t="shared" si="200"/>
        <v>0.11448000000000001</v>
      </c>
      <c r="O190">
        <f t="shared" si="188"/>
        <v>2044.81</v>
      </c>
      <c r="P190" s="56">
        <f>VLOOKUP(EOMONTH(A190,-1),Economic!A:I,7,FALSE)</f>
        <v>1350080</v>
      </c>
      <c r="Q190" s="13">
        <f t="shared" si="189"/>
        <v>0.1515</v>
      </c>
      <c r="R190" s="41">
        <v>1.39</v>
      </c>
      <c r="S190">
        <f t="shared" si="190"/>
        <v>2.4500000000000002</v>
      </c>
      <c r="T190" s="30">
        <f t="shared" si="191"/>
        <v>143.26</v>
      </c>
      <c r="U190" s="30">
        <f t="shared" si="198"/>
        <v>139.38999999999999</v>
      </c>
    </row>
    <row r="191" spans="1:21" x14ac:dyDescent="0.25">
      <c r="A191" s="5">
        <v>42008</v>
      </c>
      <c r="B191" s="5">
        <f t="shared" si="192"/>
        <v>42035</v>
      </c>
      <c r="C191">
        <v>2058.1999999999998</v>
      </c>
      <c r="D191" s="29">
        <f t="shared" si="193"/>
        <v>-5.0000000000000001E-4</v>
      </c>
      <c r="E191" s="39">
        <f t="shared" si="194"/>
        <v>2021.0492307692307</v>
      </c>
      <c r="F191" s="39">
        <f t="shared" si="195"/>
        <v>1968.1058974358975</v>
      </c>
      <c r="G191" s="29">
        <f t="shared" si="187"/>
        <v>1.84E-2</v>
      </c>
      <c r="H191" s="29">
        <f t="shared" si="187"/>
        <v>4.58E-2</v>
      </c>
      <c r="I191">
        <f t="shared" si="196"/>
        <v>2058.1999999999998</v>
      </c>
      <c r="J191">
        <f>IF(A191&gt;=Quarterly!B$2,Quarterly!C$2,IF(COUNTIFS(Quarterly!B:B,"&gt;="&amp;A191-92,Quarterly!B:B,"&lt;="&amp;A191)&gt;1,SUMIFS(Quarterly!C:C,Quarterly!B:B,"&gt;="&amp;A191-88,Quarterly!B:B,"&lt;="&amp;A191),SUMIFS(Quarterly!C:C,Quarterly!B:B,"&gt;="&amp;A191-92,Quarterly!B:B,"&lt;="&amp;A191)))</f>
        <v>17622.3</v>
      </c>
      <c r="K191" s="13">
        <f t="shared" si="197"/>
        <v>0.1168</v>
      </c>
      <c r="L191">
        <f t="shared" si="199"/>
        <v>2058.1999999999998</v>
      </c>
      <c r="M191">
        <f>IF(A191&gt;=Quarterly!B$2,Quarterly!D$2,IF(COUNTIFS(Quarterly!B:B,"&gt;="&amp;A191-92,Quarterly!B:B,"&lt;="&amp;A191)&gt;1,SUMIFS(Quarterly!D:D,Quarterly!B:B,"&gt;="&amp;A191-88,Quarterly!B:B,"&lt;="&amp;A191),SUMIFS(Quarterly!D:D,Quarterly!B:B,"&gt;="&amp;A191-92,Quarterly!B:B,"&lt;="&amp;A191)))</f>
        <v>1786.2149999999999</v>
      </c>
      <c r="N191" s="13">
        <f t="shared" si="200"/>
        <v>0.11523000000000001</v>
      </c>
      <c r="O191">
        <f t="shared" si="188"/>
        <v>2058.1999999999998</v>
      </c>
      <c r="P191" s="56">
        <f>VLOOKUP(EOMONTH(A191,-1),Economic!A:I,7,FALSE)</f>
        <v>1350080</v>
      </c>
      <c r="Q191" s="13">
        <f t="shared" si="189"/>
        <v>0.1525</v>
      </c>
      <c r="R191" s="41">
        <v>1.46</v>
      </c>
      <c r="S191">
        <f t="shared" si="190"/>
        <v>2.3199999999999998</v>
      </c>
      <c r="T191" s="30">
        <f t="shared" si="191"/>
        <v>139.56</v>
      </c>
      <c r="U191" s="30">
        <f t="shared" si="198"/>
        <v>137.99</v>
      </c>
    </row>
    <row r="192" spans="1:21" x14ac:dyDescent="0.25">
      <c r="A192" s="5">
        <v>42001</v>
      </c>
      <c r="B192" s="5">
        <f t="shared" si="192"/>
        <v>42004</v>
      </c>
      <c r="C192">
        <v>2088.77</v>
      </c>
      <c r="D192" s="29">
        <f t="shared" si="193"/>
        <v>1.6899999999999998E-2</v>
      </c>
      <c r="E192" s="39">
        <f t="shared" si="194"/>
        <v>2014.1030769230767</v>
      </c>
      <c r="F192" s="39">
        <f t="shared" si="195"/>
        <v>1963.1543589743592</v>
      </c>
      <c r="G192" s="29">
        <f t="shared" si="187"/>
        <v>3.7100000000000001E-2</v>
      </c>
      <c r="H192" s="29">
        <f t="shared" si="187"/>
        <v>6.4000000000000001E-2</v>
      </c>
      <c r="I192">
        <f t="shared" si="196"/>
        <v>2088.77</v>
      </c>
      <c r="J192">
        <f>IF(A192&gt;=Quarterly!B$2,Quarterly!C$2,IF(COUNTIFS(Quarterly!B:B,"&gt;="&amp;A192-92,Quarterly!B:B,"&lt;="&amp;A192)&gt;1,SUMIFS(Quarterly!C:C,Quarterly!B:B,"&gt;="&amp;A192-88,Quarterly!B:B,"&lt;="&amp;A192),SUMIFS(Quarterly!C:C,Quarterly!B:B,"&gt;="&amp;A192-92,Quarterly!B:B,"&lt;="&amp;A192)))</f>
        <v>17622.3</v>
      </c>
      <c r="K192" s="13">
        <f t="shared" si="197"/>
        <v>0.11849999999999999</v>
      </c>
      <c r="L192">
        <f t="shared" si="199"/>
        <v>2088.77</v>
      </c>
      <c r="M192">
        <f>IF(A192&gt;=Quarterly!B$2,Quarterly!D$2,IF(COUNTIFS(Quarterly!B:B,"&gt;="&amp;A192-92,Quarterly!B:B,"&lt;="&amp;A192)&gt;1,SUMIFS(Quarterly!D:D,Quarterly!B:B,"&gt;="&amp;A192-88,Quarterly!B:B,"&lt;="&amp;A192),SUMIFS(Quarterly!D:D,Quarterly!B:B,"&gt;="&amp;A192-92,Quarterly!B:B,"&lt;="&amp;A192)))</f>
        <v>1786.2149999999999</v>
      </c>
      <c r="N192" s="13">
        <f t="shared" si="200"/>
        <v>0.11694</v>
      </c>
      <c r="O192">
        <f t="shared" si="188"/>
        <v>2088.77</v>
      </c>
      <c r="P192" s="56">
        <f>VLOOKUP(EOMONTH(A192,-1),Economic!A:I,7,FALSE)</f>
        <v>1353612</v>
      </c>
      <c r="Q192" s="13">
        <f t="shared" si="189"/>
        <v>0.15430000000000002</v>
      </c>
      <c r="R192" s="41">
        <v>1.52</v>
      </c>
      <c r="S192">
        <f t="shared" si="190"/>
        <v>2.21</v>
      </c>
      <c r="T192" s="30">
        <f t="shared" si="191"/>
        <v>135.34</v>
      </c>
      <c r="U192" s="30">
        <f t="shared" si="198"/>
        <v>140</v>
      </c>
    </row>
    <row r="193" spans="1:21" x14ac:dyDescent="0.25">
      <c r="A193" s="5">
        <v>41994</v>
      </c>
      <c r="B193" s="5">
        <f t="shared" si="192"/>
        <v>42004</v>
      </c>
      <c r="C193">
        <v>2070.65</v>
      </c>
      <c r="D193" s="29">
        <f t="shared" si="193"/>
        <v>8.9999999999999993E-3</v>
      </c>
      <c r="E193" s="39">
        <f t="shared" si="194"/>
        <v>2005.9553846153844</v>
      </c>
      <c r="F193" s="39">
        <f t="shared" si="195"/>
        <v>1957.2274358974362</v>
      </c>
      <c r="G193" s="29">
        <f t="shared" si="187"/>
        <v>3.2300000000000002E-2</v>
      </c>
      <c r="H193" s="29">
        <f t="shared" si="187"/>
        <v>5.8000000000000003E-2</v>
      </c>
      <c r="I193">
        <f t="shared" si="196"/>
        <v>2070.65</v>
      </c>
      <c r="J193">
        <f>IF(A193&gt;=Quarterly!B$2,Quarterly!C$2,IF(COUNTIFS(Quarterly!B:B,"&gt;="&amp;A193-92,Quarterly!B:B,"&lt;="&amp;A193)&gt;1,SUMIFS(Quarterly!C:C,Quarterly!B:B,"&gt;="&amp;A193-88,Quarterly!B:B,"&lt;="&amp;A193),SUMIFS(Quarterly!C:C,Quarterly!B:B,"&gt;="&amp;A193-92,Quarterly!B:B,"&lt;="&amp;A193)))</f>
        <v>17622.3</v>
      </c>
      <c r="K193" s="13">
        <f t="shared" si="197"/>
        <v>0.11749999999999999</v>
      </c>
      <c r="L193">
        <f t="shared" si="199"/>
        <v>2070.65</v>
      </c>
      <c r="M193">
        <f>IF(A193&gt;=Quarterly!B$2,Quarterly!D$2,IF(COUNTIFS(Quarterly!B:B,"&gt;="&amp;A193-92,Quarterly!B:B,"&lt;="&amp;A193)&gt;1,SUMIFS(Quarterly!D:D,Quarterly!B:B,"&gt;="&amp;A193-88,Quarterly!B:B,"&lt;="&amp;A193),SUMIFS(Quarterly!D:D,Quarterly!B:B,"&gt;="&amp;A193-92,Quarterly!B:B,"&lt;="&amp;A193)))</f>
        <v>1786.2149999999999</v>
      </c>
      <c r="N193" s="13">
        <f t="shared" si="200"/>
        <v>0.11592000000000001</v>
      </c>
      <c r="O193">
        <f t="shared" si="188"/>
        <v>2070.65</v>
      </c>
      <c r="P193" s="56">
        <f>VLOOKUP(EOMONTH(A193,-1),Economic!A:I,7,FALSE)</f>
        <v>1353612</v>
      </c>
      <c r="Q193" s="13">
        <f t="shared" si="189"/>
        <v>0.153</v>
      </c>
      <c r="R193" s="41">
        <v>1.5</v>
      </c>
      <c r="S193">
        <f t="shared" si="190"/>
        <v>2.27</v>
      </c>
      <c r="T193" s="30">
        <f t="shared" si="191"/>
        <v>139.06</v>
      </c>
      <c r="U193" s="30">
        <f t="shared" si="198"/>
        <v>141.93</v>
      </c>
    </row>
    <row r="194" spans="1:21" x14ac:dyDescent="0.25">
      <c r="A194" s="5">
        <v>41987</v>
      </c>
      <c r="B194" s="5">
        <f t="shared" si="192"/>
        <v>42004</v>
      </c>
      <c r="C194">
        <v>2002.33</v>
      </c>
      <c r="D194" s="29">
        <f t="shared" si="193"/>
        <v>-2.87E-2</v>
      </c>
      <c r="E194" s="39">
        <f t="shared" si="194"/>
        <v>2001.3207692307694</v>
      </c>
      <c r="F194" s="39">
        <f t="shared" si="195"/>
        <v>1951.9933333333336</v>
      </c>
      <c r="G194" s="29">
        <f t="shared" ref="G194:H257" si="201">ROUND(($C194-E194)/E194,4)</f>
        <v>5.0000000000000001E-4</v>
      </c>
      <c r="H194" s="29">
        <f t="shared" si="201"/>
        <v>2.58E-2</v>
      </c>
      <c r="I194">
        <f t="shared" si="196"/>
        <v>2002.33</v>
      </c>
      <c r="J194">
        <f>IF(A194&gt;=Quarterly!B$2,Quarterly!C$2,IF(COUNTIFS(Quarterly!B:B,"&gt;="&amp;A194-92,Quarterly!B:B,"&lt;="&amp;A194)&gt;1,SUMIFS(Quarterly!C:C,Quarterly!B:B,"&gt;="&amp;A194-88,Quarterly!B:B,"&lt;="&amp;A194),SUMIFS(Quarterly!C:C,Quarterly!B:B,"&gt;="&amp;A194-92,Quarterly!B:B,"&lt;="&amp;A194)))</f>
        <v>17622.3</v>
      </c>
      <c r="K194" s="13">
        <f t="shared" si="197"/>
        <v>0.11360000000000001</v>
      </c>
      <c r="L194">
        <f t="shared" si="199"/>
        <v>2002.33</v>
      </c>
      <c r="M194">
        <f>IF(A194&gt;=Quarterly!B$2,Quarterly!D$2,IF(COUNTIFS(Quarterly!B:B,"&gt;="&amp;A194-92,Quarterly!B:B,"&lt;="&amp;A194)&gt;1,SUMIFS(Quarterly!D:D,Quarterly!B:B,"&gt;="&amp;A194-88,Quarterly!B:B,"&lt;="&amp;A194),SUMIFS(Quarterly!D:D,Quarterly!B:B,"&gt;="&amp;A194-92,Quarterly!B:B,"&lt;="&amp;A194)))</f>
        <v>1786.2149999999999</v>
      </c>
      <c r="N194" s="13">
        <f t="shared" si="200"/>
        <v>0.11210000000000001</v>
      </c>
      <c r="O194">
        <f t="shared" si="188"/>
        <v>2002.33</v>
      </c>
      <c r="P194" s="56">
        <f>VLOOKUP(EOMONTH(A194,-1),Economic!A:I,7,FALSE)</f>
        <v>1353612</v>
      </c>
      <c r="Q194" s="13">
        <f t="shared" si="189"/>
        <v>0.1479</v>
      </c>
      <c r="R194" s="41">
        <v>1.54</v>
      </c>
      <c r="S194">
        <f t="shared" si="190"/>
        <v>2.35</v>
      </c>
      <c r="T194" s="30">
        <f t="shared" si="191"/>
        <v>145.61000000000001</v>
      </c>
      <c r="U194" s="30">
        <f t="shared" si="198"/>
        <v>142.63999999999999</v>
      </c>
    </row>
    <row r="195" spans="1:21" x14ac:dyDescent="0.25">
      <c r="A195" s="5">
        <v>41980</v>
      </c>
      <c r="B195" s="5">
        <f t="shared" si="192"/>
        <v>42004</v>
      </c>
      <c r="C195">
        <v>2075.37</v>
      </c>
      <c r="D195" s="29">
        <f t="shared" si="193"/>
        <v>1.2E-2</v>
      </c>
      <c r="E195" s="39">
        <f t="shared" si="194"/>
        <v>2000.0292307692309</v>
      </c>
      <c r="F195" s="39">
        <f t="shared" si="195"/>
        <v>1947.8600000000001</v>
      </c>
      <c r="G195" s="29">
        <f t="shared" si="201"/>
        <v>3.7699999999999997E-2</v>
      </c>
      <c r="H195" s="29">
        <f t="shared" si="201"/>
        <v>6.5500000000000003E-2</v>
      </c>
      <c r="I195">
        <f t="shared" si="196"/>
        <v>2075.37</v>
      </c>
      <c r="J195">
        <f>IF(A195&gt;=Quarterly!B$2,Quarterly!C$2,IF(COUNTIFS(Quarterly!B:B,"&gt;="&amp;A195-92,Quarterly!B:B,"&lt;="&amp;A195)&gt;1,SUMIFS(Quarterly!C:C,Quarterly!B:B,"&gt;="&amp;A195-88,Quarterly!B:B,"&lt;="&amp;A195),SUMIFS(Quarterly!C:C,Quarterly!B:B,"&gt;="&amp;A195-92,Quarterly!B:B,"&lt;="&amp;A195)))</f>
        <v>17622.3</v>
      </c>
      <c r="K195" s="13">
        <f t="shared" si="197"/>
        <v>0.1178</v>
      </c>
      <c r="L195">
        <f t="shared" si="199"/>
        <v>2075.37</v>
      </c>
      <c r="M195">
        <f>IF(A195&gt;=Quarterly!B$2,Quarterly!D$2,IF(COUNTIFS(Quarterly!B:B,"&gt;="&amp;A195-92,Quarterly!B:B,"&lt;="&amp;A195)&gt;1,SUMIFS(Quarterly!D:D,Quarterly!B:B,"&gt;="&amp;A195-88,Quarterly!B:B,"&lt;="&amp;A195),SUMIFS(Quarterly!D:D,Quarterly!B:B,"&gt;="&amp;A195-92,Quarterly!B:B,"&lt;="&amp;A195)))</f>
        <v>1786.2149999999999</v>
      </c>
      <c r="N195" s="13">
        <f t="shared" si="200"/>
        <v>0.11619</v>
      </c>
      <c r="O195">
        <f t="shared" si="188"/>
        <v>2075.37</v>
      </c>
      <c r="P195" s="56">
        <f>VLOOKUP(EOMONTH(A195,-1),Economic!A:I,7,FALSE)</f>
        <v>1353612</v>
      </c>
      <c r="Q195" s="13">
        <f t="shared" si="189"/>
        <v>0.15330000000000002</v>
      </c>
      <c r="R195" s="41">
        <v>1.66</v>
      </c>
      <c r="S195">
        <f t="shared" si="190"/>
        <v>2.33</v>
      </c>
      <c r="T195" s="30">
        <f t="shared" si="191"/>
        <v>141.11000000000001</v>
      </c>
      <c r="U195" s="30">
        <f t="shared" si="198"/>
        <v>142.55000000000001</v>
      </c>
    </row>
    <row r="196" spans="1:21" x14ac:dyDescent="0.25">
      <c r="A196" s="5">
        <v>41973</v>
      </c>
      <c r="B196" s="5">
        <f t="shared" si="192"/>
        <v>41973</v>
      </c>
      <c r="C196">
        <v>2067.56</v>
      </c>
      <c r="D196" s="29">
        <f t="shared" si="193"/>
        <v>1.43E-2</v>
      </c>
      <c r="E196" s="39">
        <f t="shared" si="194"/>
        <v>1994.8246153846155</v>
      </c>
      <c r="F196" s="39">
        <f t="shared" si="195"/>
        <v>1942.8002564102567</v>
      </c>
      <c r="G196" s="29">
        <f t="shared" si="201"/>
        <v>3.6499999999999998E-2</v>
      </c>
      <c r="H196" s="29">
        <f t="shared" si="201"/>
        <v>6.4199999999999993E-2</v>
      </c>
      <c r="I196">
        <f t="shared" si="196"/>
        <v>2067.56</v>
      </c>
      <c r="J196">
        <f>IF(A196&gt;=Quarterly!B$2,Quarterly!C$2,IF(COUNTIFS(Quarterly!B:B,"&gt;="&amp;A196-92,Quarterly!B:B,"&lt;="&amp;A196)&gt;1,SUMIFS(Quarterly!C:C,Quarterly!B:B,"&gt;="&amp;A196-88,Quarterly!B:B,"&lt;="&amp;A196),SUMIFS(Quarterly!C:C,Quarterly!B:B,"&gt;="&amp;A196-92,Quarterly!B:B,"&lt;="&amp;A196)))</f>
        <v>17622.3</v>
      </c>
      <c r="K196" s="13">
        <f t="shared" si="197"/>
        <v>0.1173</v>
      </c>
      <c r="L196">
        <f t="shared" si="199"/>
        <v>2067.56</v>
      </c>
      <c r="M196">
        <f>IF(A196&gt;=Quarterly!B$2,Quarterly!D$2,IF(COUNTIFS(Quarterly!B:B,"&gt;="&amp;A196-92,Quarterly!B:B,"&lt;="&amp;A196)&gt;1,SUMIFS(Quarterly!D:D,Quarterly!B:B,"&gt;="&amp;A196-88,Quarterly!B:B,"&lt;="&amp;A196),SUMIFS(Quarterly!D:D,Quarterly!B:B,"&gt;="&amp;A196-92,Quarterly!B:B,"&lt;="&amp;A196)))</f>
        <v>1786.2149999999999</v>
      </c>
      <c r="N196" s="13">
        <f t="shared" si="200"/>
        <v>0.11575000000000001</v>
      </c>
      <c r="O196">
        <f t="shared" si="188"/>
        <v>2067.56</v>
      </c>
      <c r="P196" s="56">
        <f>VLOOKUP(EOMONTH(A196,-1),Economic!A:I,7,FALSE)</f>
        <v>1352429</v>
      </c>
      <c r="Q196" s="13">
        <f t="shared" si="189"/>
        <v>0.15290000000000001</v>
      </c>
      <c r="R196" s="41">
        <v>1.71</v>
      </c>
      <c r="S196">
        <f t="shared" si="190"/>
        <v>2.2999999999999998</v>
      </c>
      <c r="T196" s="30">
        <f t="shared" si="191"/>
        <v>141.21</v>
      </c>
      <c r="U196" s="30">
        <f t="shared" si="198"/>
        <v>144.94999999999999</v>
      </c>
    </row>
    <row r="197" spans="1:21" x14ac:dyDescent="0.25">
      <c r="A197" s="5">
        <v>41966</v>
      </c>
      <c r="B197" s="5">
        <f t="shared" si="192"/>
        <v>41973</v>
      </c>
      <c r="C197">
        <v>2063.5</v>
      </c>
      <c r="D197" s="29">
        <f t="shared" si="193"/>
        <v>2.4799999999999999E-2</v>
      </c>
      <c r="E197" s="39">
        <f t="shared" si="194"/>
        <v>1989.886923076923</v>
      </c>
      <c r="F197" s="39">
        <f t="shared" si="195"/>
        <v>1937.4641025641026</v>
      </c>
      <c r="G197" s="29">
        <f t="shared" si="201"/>
        <v>3.6999999999999998E-2</v>
      </c>
      <c r="H197" s="29">
        <f t="shared" si="201"/>
        <v>6.5100000000000005E-2</v>
      </c>
      <c r="I197">
        <f t="shared" si="196"/>
        <v>2063.5</v>
      </c>
      <c r="J197">
        <f>IF(A197&gt;=Quarterly!B$2,Quarterly!C$2,IF(COUNTIFS(Quarterly!B:B,"&gt;="&amp;A197-92,Quarterly!B:B,"&lt;="&amp;A197)&gt;1,SUMIFS(Quarterly!C:C,Quarterly!B:B,"&gt;="&amp;A197-88,Quarterly!B:B,"&lt;="&amp;A197),SUMIFS(Quarterly!C:C,Quarterly!B:B,"&gt;="&amp;A197-92,Quarterly!B:B,"&lt;="&amp;A197)))</f>
        <v>17622.3</v>
      </c>
      <c r="K197" s="13">
        <f t="shared" si="197"/>
        <v>0.1171</v>
      </c>
      <c r="L197">
        <f t="shared" si="199"/>
        <v>2063.5</v>
      </c>
      <c r="M197">
        <f>IF(A197&gt;=Quarterly!B$2,Quarterly!D$2,IF(COUNTIFS(Quarterly!B:B,"&gt;="&amp;A197-92,Quarterly!B:B,"&lt;="&amp;A197)&gt;1,SUMIFS(Quarterly!D:D,Quarterly!B:B,"&gt;="&amp;A197-88,Quarterly!B:B,"&lt;="&amp;A197),SUMIFS(Quarterly!D:D,Quarterly!B:B,"&gt;="&amp;A197-92,Quarterly!B:B,"&lt;="&amp;A197)))</f>
        <v>1786.2149999999999</v>
      </c>
      <c r="N197" s="13">
        <f t="shared" si="200"/>
        <v>0.11552000000000001</v>
      </c>
      <c r="O197">
        <f t="shared" si="188"/>
        <v>2063.5</v>
      </c>
      <c r="P197" s="56">
        <f>VLOOKUP(EOMONTH(A197,-1),Economic!A:I,7,FALSE)</f>
        <v>1352429</v>
      </c>
      <c r="Q197" s="13">
        <f t="shared" si="189"/>
        <v>0.15260000000000001</v>
      </c>
      <c r="R197" s="41">
        <v>1.78</v>
      </c>
      <c r="S197">
        <f t="shared" si="190"/>
        <v>2.41</v>
      </c>
      <c r="T197" s="30">
        <f t="shared" si="191"/>
        <v>145.34</v>
      </c>
      <c r="U197" s="30">
        <f t="shared" si="198"/>
        <v>148.05000000000001</v>
      </c>
    </row>
    <row r="198" spans="1:21" x14ac:dyDescent="0.25">
      <c r="A198" s="5">
        <v>41959</v>
      </c>
      <c r="B198" s="5">
        <f t="shared" si="192"/>
        <v>41973</v>
      </c>
      <c r="C198">
        <v>2039.82</v>
      </c>
      <c r="D198" s="29">
        <f t="shared" si="193"/>
        <v>3.2599999999999997E-2</v>
      </c>
      <c r="E198" s="39">
        <f t="shared" si="194"/>
        <v>1984.1100000000001</v>
      </c>
      <c r="F198" s="39">
        <f t="shared" si="195"/>
        <v>1931.6371794871795</v>
      </c>
      <c r="G198" s="29">
        <f t="shared" si="201"/>
        <v>2.81E-2</v>
      </c>
      <c r="H198" s="29">
        <f t="shared" si="201"/>
        <v>5.6000000000000001E-2</v>
      </c>
      <c r="I198">
        <f t="shared" si="196"/>
        <v>2039.82</v>
      </c>
      <c r="J198">
        <f>IF(A198&gt;=Quarterly!B$2,Quarterly!C$2,IF(COUNTIFS(Quarterly!B:B,"&gt;="&amp;A198-92,Quarterly!B:B,"&lt;="&amp;A198)&gt;1,SUMIFS(Quarterly!C:C,Quarterly!B:B,"&gt;="&amp;A198-88,Quarterly!B:B,"&lt;="&amp;A198),SUMIFS(Quarterly!C:C,Quarterly!B:B,"&gt;="&amp;A198-92,Quarterly!B:B,"&lt;="&amp;A198)))</f>
        <v>17622.3</v>
      </c>
      <c r="K198" s="13">
        <f t="shared" si="197"/>
        <v>0.1158</v>
      </c>
      <c r="L198">
        <f t="shared" si="199"/>
        <v>2039.82</v>
      </c>
      <c r="M198">
        <f>IF(A198&gt;=Quarterly!B$2,Quarterly!D$2,IF(COUNTIFS(Quarterly!B:B,"&gt;="&amp;A198-92,Quarterly!B:B,"&lt;="&amp;A198)&gt;1,SUMIFS(Quarterly!D:D,Quarterly!B:B,"&gt;="&amp;A198-88,Quarterly!B:B,"&lt;="&amp;A198),SUMIFS(Quarterly!D:D,Quarterly!B:B,"&gt;="&amp;A198-92,Quarterly!B:B,"&lt;="&amp;A198)))</f>
        <v>1786.2149999999999</v>
      </c>
      <c r="N198" s="13">
        <f t="shared" si="200"/>
        <v>0.1142</v>
      </c>
      <c r="O198">
        <f t="shared" ref="O198:O261" si="202">C198</f>
        <v>2039.82</v>
      </c>
      <c r="P198" s="56">
        <f>VLOOKUP(EOMONTH(A198,-1),Economic!A:I,7,FALSE)</f>
        <v>1352429</v>
      </c>
      <c r="Q198" s="13">
        <f t="shared" ref="Q198:Q261" si="203">ROUND(O198/P198,6)*100</f>
        <v>0.15079999999999999</v>
      </c>
      <c r="R198" s="41">
        <v>1.78</v>
      </c>
      <c r="S198">
        <f t="shared" ref="S198:S261" si="204">R259</f>
        <v>2.4500000000000002</v>
      </c>
      <c r="T198" s="30">
        <f t="shared" ref="T198:T261" si="205">IF((ROUND((S198*40)+(G198*350)-(H198*100)-((N198-0.15)*350)-(((K198*10.5)-1)*270)-(Q198*100),2)+144)*0.8&lt;0,0,ROUND((ROUND((S198*40)+(G198*350)-(H198*100)-((N198-0.15)*350)-(((K198*10.5)-1)*270)-(Q198*100),2)+144)*0.8,2))</f>
        <v>148.31</v>
      </c>
      <c r="U198" s="30">
        <f t="shared" si="198"/>
        <v>149.35</v>
      </c>
    </row>
    <row r="199" spans="1:21" x14ac:dyDescent="0.25">
      <c r="A199" s="5">
        <v>41952</v>
      </c>
      <c r="B199" s="5">
        <f t="shared" si="192"/>
        <v>41973</v>
      </c>
      <c r="C199">
        <v>2031.92</v>
      </c>
      <c r="D199" s="29">
        <f t="shared" si="193"/>
        <v>4.53E-2</v>
      </c>
      <c r="E199" s="39">
        <f t="shared" si="194"/>
        <v>1977.5900000000001</v>
      </c>
      <c r="F199" s="39">
        <f t="shared" si="195"/>
        <v>1926.4784615384619</v>
      </c>
      <c r="G199" s="29">
        <f t="shared" si="201"/>
        <v>2.75E-2</v>
      </c>
      <c r="H199" s="29">
        <f t="shared" si="201"/>
        <v>5.4699999999999999E-2</v>
      </c>
      <c r="I199">
        <f t="shared" si="196"/>
        <v>2031.92</v>
      </c>
      <c r="J199">
        <f>IF(A199&gt;=Quarterly!B$2,Quarterly!C$2,IF(COUNTIFS(Quarterly!B:B,"&gt;="&amp;A199-92,Quarterly!B:B,"&lt;="&amp;A199)&gt;1,SUMIFS(Quarterly!C:C,Quarterly!B:B,"&gt;="&amp;A199-88,Quarterly!B:B,"&lt;="&amp;A199),SUMIFS(Quarterly!C:C,Quarterly!B:B,"&gt;="&amp;A199-92,Quarterly!B:B,"&lt;="&amp;A199)))</f>
        <v>17622.3</v>
      </c>
      <c r="K199" s="13">
        <f t="shared" si="197"/>
        <v>0.1153</v>
      </c>
      <c r="L199">
        <f t="shared" si="199"/>
        <v>2031.92</v>
      </c>
      <c r="M199">
        <f>IF(A199&gt;=Quarterly!B$2,Quarterly!D$2,IF(COUNTIFS(Quarterly!B:B,"&gt;="&amp;A199-92,Quarterly!B:B,"&lt;="&amp;A199)&gt;1,SUMIFS(Quarterly!D:D,Quarterly!B:B,"&gt;="&amp;A199-88,Quarterly!B:B,"&lt;="&amp;A199),SUMIFS(Quarterly!D:D,Quarterly!B:B,"&gt;="&amp;A199-92,Quarterly!B:B,"&lt;="&amp;A199)))</f>
        <v>1786.2149999999999</v>
      </c>
      <c r="N199" s="13">
        <f t="shared" si="200"/>
        <v>0.11376</v>
      </c>
      <c r="O199">
        <f t="shared" si="202"/>
        <v>2031.92</v>
      </c>
      <c r="P199" s="56">
        <f>VLOOKUP(EOMONTH(A199,-1),Economic!A:I,7,FALSE)</f>
        <v>1352429</v>
      </c>
      <c r="Q199" s="13">
        <f t="shared" si="203"/>
        <v>0.1502</v>
      </c>
      <c r="R199" s="41">
        <v>1.81</v>
      </c>
      <c r="S199">
        <f t="shared" si="204"/>
        <v>2.48</v>
      </c>
      <c r="T199" s="30">
        <f t="shared" si="205"/>
        <v>150.51</v>
      </c>
      <c r="U199" s="30">
        <f t="shared" si="198"/>
        <v>149.34</v>
      </c>
    </row>
    <row r="200" spans="1:21" x14ac:dyDescent="0.25">
      <c r="A200" s="5">
        <v>41945</v>
      </c>
      <c r="B200" s="5">
        <f t="shared" si="192"/>
        <v>41973</v>
      </c>
      <c r="C200">
        <v>2018.05</v>
      </c>
      <c r="D200" s="29">
        <f t="shared" si="193"/>
        <v>4.4900000000000002E-2</v>
      </c>
      <c r="E200" s="39">
        <f t="shared" si="194"/>
        <v>1969.8723076923077</v>
      </c>
      <c r="F200" s="39">
        <f t="shared" si="195"/>
        <v>1920.4553846153849</v>
      </c>
      <c r="G200" s="29">
        <f t="shared" si="201"/>
        <v>2.4500000000000001E-2</v>
      </c>
      <c r="H200" s="29">
        <f t="shared" si="201"/>
        <v>5.0799999999999998E-2</v>
      </c>
      <c r="I200">
        <f t="shared" si="196"/>
        <v>2018.05</v>
      </c>
      <c r="J200">
        <f>IF(A200&gt;=Quarterly!B$2,Quarterly!C$2,IF(COUNTIFS(Quarterly!B:B,"&gt;="&amp;A200-92,Quarterly!B:B,"&lt;="&amp;A200)&gt;1,SUMIFS(Quarterly!C:C,Quarterly!B:B,"&gt;="&amp;A200-88,Quarterly!B:B,"&lt;="&amp;A200),SUMIFS(Quarterly!C:C,Quarterly!B:B,"&gt;="&amp;A200-92,Quarterly!B:B,"&lt;="&amp;A200)))</f>
        <v>17622.3</v>
      </c>
      <c r="K200" s="13">
        <f t="shared" si="197"/>
        <v>0.1145</v>
      </c>
      <c r="L200">
        <f t="shared" si="199"/>
        <v>2018.05</v>
      </c>
      <c r="M200">
        <f>IF(A200&gt;=Quarterly!B$2,Quarterly!D$2,IF(COUNTIFS(Quarterly!B:B,"&gt;="&amp;A200-92,Quarterly!B:B,"&lt;="&amp;A200)&gt;1,SUMIFS(Quarterly!D:D,Quarterly!B:B,"&gt;="&amp;A200-88,Quarterly!B:B,"&lt;="&amp;A200),SUMIFS(Quarterly!D:D,Quarterly!B:B,"&gt;="&amp;A200-92,Quarterly!B:B,"&lt;="&amp;A200)))</f>
        <v>1786.2149999999999</v>
      </c>
      <c r="N200" s="13">
        <f t="shared" si="200"/>
        <v>0.11298</v>
      </c>
      <c r="O200">
        <f t="shared" si="202"/>
        <v>2018.05</v>
      </c>
      <c r="P200" s="56">
        <f>VLOOKUP(EOMONTH(A200,-1),Economic!A:I,7,FALSE)</f>
        <v>1352429</v>
      </c>
      <c r="Q200" s="13">
        <f t="shared" si="203"/>
        <v>0.1492</v>
      </c>
      <c r="R200" s="41">
        <v>1.85</v>
      </c>
      <c r="S200">
        <f t="shared" si="204"/>
        <v>2.39</v>
      </c>
      <c r="T200" s="30">
        <f t="shared" si="205"/>
        <v>149.22</v>
      </c>
      <c r="U200" s="30">
        <f t="shared" si="198"/>
        <v>150.47999999999999</v>
      </c>
    </row>
    <row r="201" spans="1:21" x14ac:dyDescent="0.25">
      <c r="A201" s="5">
        <v>41938</v>
      </c>
      <c r="B201" s="5">
        <f t="shared" si="192"/>
        <v>41943</v>
      </c>
      <c r="C201">
        <v>1964.58</v>
      </c>
      <c r="D201" s="29">
        <f t="shared" si="193"/>
        <v>1.4800000000000001E-2</v>
      </c>
      <c r="E201" s="39">
        <f t="shared" si="194"/>
        <v>1962.7261538461539</v>
      </c>
      <c r="F201" s="39">
        <f t="shared" si="195"/>
        <v>1914.4179487179488</v>
      </c>
      <c r="G201" s="29">
        <f t="shared" si="201"/>
        <v>8.9999999999999998E-4</v>
      </c>
      <c r="H201" s="29">
        <f t="shared" si="201"/>
        <v>2.6200000000000001E-2</v>
      </c>
      <c r="I201">
        <f t="shared" si="196"/>
        <v>1964.58</v>
      </c>
      <c r="J201">
        <f>IF(A201&gt;=Quarterly!B$2,Quarterly!C$2,IF(COUNTIFS(Quarterly!B:B,"&gt;="&amp;A201-92,Quarterly!B:B,"&lt;="&amp;A201)&gt;1,SUMIFS(Quarterly!C:C,Quarterly!B:B,"&gt;="&amp;A201-88,Quarterly!B:B,"&lt;="&amp;A201),SUMIFS(Quarterly!C:C,Quarterly!B:B,"&gt;="&amp;A201-92,Quarterly!B:B,"&lt;="&amp;A201)))</f>
        <v>17320.900000000001</v>
      </c>
      <c r="K201" s="13">
        <f t="shared" si="197"/>
        <v>0.1134</v>
      </c>
      <c r="L201">
        <f t="shared" si="199"/>
        <v>1964.58</v>
      </c>
      <c r="M201">
        <f>IF(A201&gt;=Quarterly!B$2,Quarterly!D$2,IF(COUNTIFS(Quarterly!B:B,"&gt;="&amp;A201-92,Quarterly!B:B,"&lt;="&amp;A201)&gt;1,SUMIFS(Quarterly!D:D,Quarterly!B:B,"&gt;="&amp;A201-88,Quarterly!B:B,"&lt;="&amp;A201),SUMIFS(Quarterly!D:D,Quarterly!B:B,"&gt;="&amp;A201-92,Quarterly!B:B,"&lt;="&amp;A201)))</f>
        <v>1736.5170000000001</v>
      </c>
      <c r="N201" s="13">
        <f t="shared" si="200"/>
        <v>0.11313000000000001</v>
      </c>
      <c r="O201">
        <f t="shared" si="202"/>
        <v>1964.58</v>
      </c>
      <c r="P201" s="56">
        <f>VLOOKUP(EOMONTH(A201,-1),Economic!A:I,7,FALSE)</f>
        <v>1348943</v>
      </c>
      <c r="Q201" s="13">
        <f t="shared" si="203"/>
        <v>0.14560000000000001</v>
      </c>
      <c r="R201" s="41">
        <v>1.88</v>
      </c>
      <c r="S201">
        <f t="shared" si="204"/>
        <v>2.42</v>
      </c>
      <c r="T201" s="30">
        <f t="shared" si="205"/>
        <v>148.28</v>
      </c>
      <c r="U201" s="30">
        <f t="shared" si="198"/>
        <v>148.94999999999999</v>
      </c>
    </row>
    <row r="202" spans="1:21" x14ac:dyDescent="0.25">
      <c r="A202" s="5">
        <v>41931</v>
      </c>
      <c r="B202" s="5">
        <f t="shared" si="192"/>
        <v>41943</v>
      </c>
      <c r="C202">
        <v>1886.76</v>
      </c>
      <c r="D202" s="29">
        <f t="shared" si="193"/>
        <v>-4.07E-2</v>
      </c>
      <c r="E202" s="39">
        <f t="shared" si="194"/>
        <v>1963.7846153846158</v>
      </c>
      <c r="F202" s="39">
        <f t="shared" si="195"/>
        <v>1909.9489743589745</v>
      </c>
      <c r="G202" s="29">
        <f t="shared" si="201"/>
        <v>-3.9199999999999999E-2</v>
      </c>
      <c r="H202" s="29">
        <f t="shared" si="201"/>
        <v>-1.21E-2</v>
      </c>
      <c r="I202">
        <f t="shared" si="196"/>
        <v>1886.76</v>
      </c>
      <c r="J202">
        <f>IF(A202&gt;=Quarterly!B$2,Quarterly!C$2,IF(COUNTIFS(Quarterly!B:B,"&gt;="&amp;A202-92,Quarterly!B:B,"&lt;="&amp;A202)&gt;1,SUMIFS(Quarterly!C:C,Quarterly!B:B,"&gt;="&amp;A202-88,Quarterly!B:B,"&lt;="&amp;A202),SUMIFS(Quarterly!C:C,Quarterly!B:B,"&gt;="&amp;A202-92,Quarterly!B:B,"&lt;="&amp;A202)))</f>
        <v>17320.900000000001</v>
      </c>
      <c r="K202" s="13">
        <f t="shared" si="197"/>
        <v>0.1089</v>
      </c>
      <c r="L202">
        <f t="shared" si="199"/>
        <v>1886.76</v>
      </c>
      <c r="M202">
        <f>IF(A202&gt;=Quarterly!B$2,Quarterly!D$2,IF(COUNTIFS(Quarterly!B:B,"&gt;="&amp;A202-92,Quarterly!B:B,"&lt;="&amp;A202)&gt;1,SUMIFS(Quarterly!D:D,Quarterly!B:B,"&gt;="&amp;A202-88,Quarterly!B:B,"&lt;="&amp;A202),SUMIFS(Quarterly!D:D,Quarterly!B:B,"&gt;="&amp;A202-92,Quarterly!B:B,"&lt;="&amp;A202)))</f>
        <v>1736.5170000000001</v>
      </c>
      <c r="N202" s="13">
        <f t="shared" si="200"/>
        <v>0.10865000000000001</v>
      </c>
      <c r="O202">
        <f t="shared" si="202"/>
        <v>1886.76</v>
      </c>
      <c r="P202" s="56">
        <f>VLOOKUP(EOMONTH(A202,-1),Economic!A:I,7,FALSE)</f>
        <v>1348943</v>
      </c>
      <c r="Q202" s="13">
        <f t="shared" si="203"/>
        <v>0.1399</v>
      </c>
      <c r="R202" s="41">
        <v>1.83</v>
      </c>
      <c r="S202">
        <f t="shared" si="204"/>
        <v>2.48</v>
      </c>
      <c r="T202" s="30">
        <f t="shared" si="205"/>
        <v>153.94999999999999</v>
      </c>
      <c r="U202" s="30">
        <f t="shared" si="198"/>
        <v>147.21</v>
      </c>
    </row>
    <row r="203" spans="1:21" x14ac:dyDescent="0.25">
      <c r="A203" s="5">
        <v>41924</v>
      </c>
      <c r="B203" s="5">
        <f t="shared" si="192"/>
        <v>41943</v>
      </c>
      <c r="C203">
        <v>1906.13</v>
      </c>
      <c r="D203" s="29">
        <f t="shared" si="193"/>
        <v>-4.0500000000000001E-2</v>
      </c>
      <c r="E203" s="39">
        <f t="shared" si="194"/>
        <v>1970.82</v>
      </c>
      <c r="F203" s="39">
        <f t="shared" si="195"/>
        <v>1908.7166666666667</v>
      </c>
      <c r="G203" s="29">
        <f t="shared" si="201"/>
        <v>-3.2800000000000003E-2</v>
      </c>
      <c r="H203" s="29">
        <f t="shared" si="201"/>
        <v>-1.4E-3</v>
      </c>
      <c r="I203">
        <f t="shared" si="196"/>
        <v>1906.13</v>
      </c>
      <c r="J203">
        <f>IF(A203&gt;=Quarterly!B$2,Quarterly!C$2,IF(COUNTIFS(Quarterly!B:B,"&gt;="&amp;A203-92,Quarterly!B:B,"&lt;="&amp;A203)&gt;1,SUMIFS(Quarterly!C:C,Quarterly!B:B,"&gt;="&amp;A203-88,Quarterly!B:B,"&lt;="&amp;A203),SUMIFS(Quarterly!C:C,Quarterly!B:B,"&gt;="&amp;A203-92,Quarterly!B:B,"&lt;="&amp;A203)))</f>
        <v>17320.900000000001</v>
      </c>
      <c r="K203" s="13">
        <f t="shared" si="197"/>
        <v>0.11</v>
      </c>
      <c r="L203">
        <f t="shared" si="199"/>
        <v>1906.13</v>
      </c>
      <c r="M203">
        <f>IF(A203&gt;=Quarterly!B$2,Quarterly!D$2,IF(COUNTIFS(Quarterly!B:B,"&gt;="&amp;A203-92,Quarterly!B:B,"&lt;="&amp;A203)&gt;1,SUMIFS(Quarterly!D:D,Quarterly!B:B,"&gt;="&amp;A203-88,Quarterly!B:B,"&lt;="&amp;A203),SUMIFS(Quarterly!D:D,Quarterly!B:B,"&gt;="&amp;A203-92,Quarterly!B:B,"&lt;="&amp;A203)))</f>
        <v>1736.5170000000001</v>
      </c>
      <c r="N203" s="13">
        <f t="shared" si="200"/>
        <v>0.10976999999999999</v>
      </c>
      <c r="O203">
        <f t="shared" si="202"/>
        <v>1906.13</v>
      </c>
      <c r="P203" s="56">
        <f>VLOOKUP(EOMONTH(A203,-1),Economic!A:I,7,FALSE)</f>
        <v>1348943</v>
      </c>
      <c r="Q203" s="13">
        <f t="shared" si="203"/>
        <v>0.14130000000000001</v>
      </c>
      <c r="R203" s="41">
        <v>1.86</v>
      </c>
      <c r="S203">
        <f t="shared" si="204"/>
        <v>2.25</v>
      </c>
      <c r="T203" s="30">
        <f t="shared" si="205"/>
        <v>144.61000000000001</v>
      </c>
      <c r="U203" s="30">
        <f t="shared" si="198"/>
        <v>142.53</v>
      </c>
    </row>
    <row r="204" spans="1:21" x14ac:dyDescent="0.25">
      <c r="A204" s="5">
        <v>41917</v>
      </c>
      <c r="B204" s="5">
        <f t="shared" si="192"/>
        <v>41943</v>
      </c>
      <c r="C204">
        <v>1967.9</v>
      </c>
      <c r="D204" s="29">
        <f t="shared" si="193"/>
        <v>-1.44E-2</v>
      </c>
      <c r="E204" s="39">
        <f t="shared" si="194"/>
        <v>1975.5461538461541</v>
      </c>
      <c r="F204" s="39">
        <f t="shared" si="195"/>
        <v>1907.0817948717943</v>
      </c>
      <c r="G204" s="29">
        <f t="shared" si="201"/>
        <v>-3.8999999999999998E-3</v>
      </c>
      <c r="H204" s="29">
        <f t="shared" si="201"/>
        <v>3.1899999999999998E-2</v>
      </c>
      <c r="I204">
        <f t="shared" si="196"/>
        <v>1967.9</v>
      </c>
      <c r="J204">
        <f>IF(A204&gt;=Quarterly!B$2,Quarterly!C$2,IF(COUNTIFS(Quarterly!B:B,"&gt;="&amp;A204-92,Quarterly!B:B,"&lt;="&amp;A204)&gt;1,SUMIFS(Quarterly!C:C,Quarterly!B:B,"&gt;="&amp;A204-88,Quarterly!B:B,"&lt;="&amp;A204),SUMIFS(Quarterly!C:C,Quarterly!B:B,"&gt;="&amp;A204-92,Quarterly!B:B,"&lt;="&amp;A204)))</f>
        <v>17320.900000000001</v>
      </c>
      <c r="K204" s="13">
        <f t="shared" si="197"/>
        <v>0.11360000000000001</v>
      </c>
      <c r="L204">
        <f t="shared" si="199"/>
        <v>1967.9</v>
      </c>
      <c r="M204">
        <f>IF(A204&gt;=Quarterly!B$2,Quarterly!D$2,IF(COUNTIFS(Quarterly!B:B,"&gt;="&amp;A204-92,Quarterly!B:B,"&lt;="&amp;A204)&gt;1,SUMIFS(Quarterly!D:D,Quarterly!B:B,"&gt;="&amp;A204-88,Quarterly!B:B,"&lt;="&amp;A204),SUMIFS(Quarterly!D:D,Quarterly!B:B,"&gt;="&amp;A204-92,Quarterly!B:B,"&lt;="&amp;A204)))</f>
        <v>1736.5170000000001</v>
      </c>
      <c r="N204" s="13">
        <f t="shared" si="200"/>
        <v>0.11332</v>
      </c>
      <c r="O204">
        <f t="shared" si="202"/>
        <v>1967.9</v>
      </c>
      <c r="P204" s="56">
        <f>VLOOKUP(EOMONTH(A204,-1),Economic!A:I,7,FALSE)</f>
        <v>1348943</v>
      </c>
      <c r="Q204" s="13">
        <f t="shared" si="203"/>
        <v>0.1459</v>
      </c>
      <c r="R204" s="41">
        <v>1.88</v>
      </c>
      <c r="S204">
        <f t="shared" si="204"/>
        <v>2.33</v>
      </c>
      <c r="T204" s="30">
        <f t="shared" si="205"/>
        <v>143.07</v>
      </c>
      <c r="U204" s="30">
        <f t="shared" si="198"/>
        <v>139.53</v>
      </c>
    </row>
    <row r="205" spans="1:21" x14ac:dyDescent="0.25">
      <c r="A205" s="5">
        <v>41910</v>
      </c>
      <c r="B205" s="5">
        <f t="shared" si="192"/>
        <v>41912</v>
      </c>
      <c r="C205">
        <v>1982.85</v>
      </c>
      <c r="D205" s="29">
        <f t="shared" si="193"/>
        <v>-9.4000000000000004E-3</v>
      </c>
      <c r="E205" s="39">
        <f t="shared" si="194"/>
        <v>1976.8953846153845</v>
      </c>
      <c r="F205" s="39">
        <f t="shared" si="195"/>
        <v>1903.581025641025</v>
      </c>
      <c r="G205" s="29">
        <f t="shared" si="201"/>
        <v>3.0000000000000001E-3</v>
      </c>
      <c r="H205" s="29">
        <f t="shared" si="201"/>
        <v>4.1599999999999998E-2</v>
      </c>
      <c r="I205">
        <f t="shared" si="196"/>
        <v>1982.85</v>
      </c>
      <c r="J205">
        <f>IF(A205&gt;=Quarterly!B$2,Quarterly!C$2,IF(COUNTIFS(Quarterly!B:B,"&gt;="&amp;A205-92,Quarterly!B:B,"&lt;="&amp;A205)&gt;1,SUMIFS(Quarterly!C:C,Quarterly!B:B,"&gt;="&amp;A205-88,Quarterly!B:B,"&lt;="&amp;A205),SUMIFS(Quarterly!C:C,Quarterly!B:B,"&gt;="&amp;A205-92,Quarterly!B:B,"&lt;="&amp;A205)))</f>
        <v>17320.900000000001</v>
      </c>
      <c r="K205" s="13">
        <f t="shared" si="197"/>
        <v>0.1145</v>
      </c>
      <c r="L205">
        <f t="shared" si="199"/>
        <v>1982.85</v>
      </c>
      <c r="M205">
        <f>IF(A205&gt;=Quarterly!B$2,Quarterly!D$2,IF(COUNTIFS(Quarterly!B:B,"&gt;="&amp;A205-92,Quarterly!B:B,"&lt;="&amp;A205)&gt;1,SUMIFS(Quarterly!D:D,Quarterly!B:B,"&gt;="&amp;A205-88,Quarterly!B:B,"&lt;="&amp;A205),SUMIFS(Quarterly!D:D,Quarterly!B:B,"&gt;="&amp;A205-92,Quarterly!B:B,"&lt;="&amp;A205)))</f>
        <v>1736.5170000000001</v>
      </c>
      <c r="N205" s="13">
        <f t="shared" si="200"/>
        <v>0.11419</v>
      </c>
      <c r="O205">
        <f t="shared" si="202"/>
        <v>1982.85</v>
      </c>
      <c r="P205" s="56">
        <f>VLOOKUP(EOMONTH(A205,-1),Economic!A:I,7,FALSE)</f>
        <v>1345705</v>
      </c>
      <c r="Q205" s="13">
        <f t="shared" si="203"/>
        <v>0.14729999999999999</v>
      </c>
      <c r="R205" s="41">
        <v>1.95</v>
      </c>
      <c r="S205">
        <f t="shared" si="204"/>
        <v>2.27</v>
      </c>
      <c r="T205" s="30">
        <f t="shared" si="205"/>
        <v>139.91</v>
      </c>
      <c r="U205" s="30">
        <f t="shared" si="198"/>
        <v>138.28</v>
      </c>
    </row>
    <row r="206" spans="1:21" x14ac:dyDescent="0.25">
      <c r="A206" s="5">
        <v>41903</v>
      </c>
      <c r="B206" s="5">
        <f t="shared" si="192"/>
        <v>41912</v>
      </c>
      <c r="C206">
        <v>2010.4</v>
      </c>
      <c r="D206" s="29">
        <f t="shared" si="193"/>
        <v>7.1000000000000004E-3</v>
      </c>
      <c r="E206" s="39">
        <f t="shared" si="194"/>
        <v>1975.2115384615381</v>
      </c>
      <c r="F206" s="39">
        <f t="shared" si="195"/>
        <v>1899.9541025641015</v>
      </c>
      <c r="G206" s="29">
        <f t="shared" si="201"/>
        <v>1.78E-2</v>
      </c>
      <c r="H206" s="29">
        <f t="shared" si="201"/>
        <v>5.8099999999999999E-2</v>
      </c>
      <c r="I206">
        <f t="shared" si="196"/>
        <v>2010.4</v>
      </c>
      <c r="J206">
        <f>IF(A206&gt;=Quarterly!B$2,Quarterly!C$2,IF(COUNTIFS(Quarterly!B:B,"&gt;="&amp;A206-92,Quarterly!B:B,"&lt;="&amp;A206)&gt;1,SUMIFS(Quarterly!C:C,Quarterly!B:B,"&gt;="&amp;A206-88,Quarterly!B:B,"&lt;="&amp;A206),SUMIFS(Quarterly!C:C,Quarterly!B:B,"&gt;="&amp;A206-92,Quarterly!B:B,"&lt;="&amp;A206)))</f>
        <v>17320.900000000001</v>
      </c>
      <c r="K206" s="13">
        <f t="shared" si="197"/>
        <v>0.11609999999999999</v>
      </c>
      <c r="L206">
        <f t="shared" si="199"/>
        <v>2010.4</v>
      </c>
      <c r="M206">
        <f>IF(A206&gt;=Quarterly!B$2,Quarterly!D$2,IF(COUNTIFS(Quarterly!B:B,"&gt;="&amp;A206-92,Quarterly!B:B,"&lt;="&amp;A206)&gt;1,SUMIFS(Quarterly!D:D,Quarterly!B:B,"&gt;="&amp;A206-88,Quarterly!B:B,"&lt;="&amp;A206),SUMIFS(Quarterly!D:D,Quarterly!B:B,"&gt;="&amp;A206-92,Quarterly!B:B,"&lt;="&amp;A206)))</f>
        <v>1736.5170000000001</v>
      </c>
      <c r="N206" s="13">
        <f t="shared" si="200"/>
        <v>0.11577</v>
      </c>
      <c r="O206">
        <f t="shared" si="202"/>
        <v>2010.4</v>
      </c>
      <c r="P206" s="56">
        <f>VLOOKUP(EOMONTH(A206,-1),Economic!A:I,7,FALSE)</f>
        <v>1345705</v>
      </c>
      <c r="Q206" s="13">
        <f t="shared" si="203"/>
        <v>0.14940000000000001</v>
      </c>
      <c r="R206" s="41">
        <v>2</v>
      </c>
      <c r="S206">
        <f t="shared" si="204"/>
        <v>2.1800000000000002</v>
      </c>
      <c r="T206" s="30">
        <f t="shared" si="205"/>
        <v>135.62</v>
      </c>
      <c r="U206" s="30">
        <f t="shared" si="198"/>
        <v>138.74</v>
      </c>
    </row>
    <row r="207" spans="1:21" x14ac:dyDescent="0.25">
      <c r="A207" s="5">
        <v>41896</v>
      </c>
      <c r="B207" s="5">
        <f t="shared" si="192"/>
        <v>41912</v>
      </c>
      <c r="C207">
        <v>1985.54</v>
      </c>
      <c r="D207" s="29">
        <f t="shared" si="193"/>
        <v>-1.6000000000000001E-3</v>
      </c>
      <c r="E207" s="39">
        <f t="shared" si="194"/>
        <v>1971.5553846153844</v>
      </c>
      <c r="F207" s="39">
        <f t="shared" si="195"/>
        <v>1895.0289743589738</v>
      </c>
      <c r="G207" s="29">
        <f t="shared" si="201"/>
        <v>7.1000000000000004E-3</v>
      </c>
      <c r="H207" s="29">
        <f t="shared" si="201"/>
        <v>4.7800000000000002E-2</v>
      </c>
      <c r="I207">
        <f t="shared" si="196"/>
        <v>1985.54</v>
      </c>
      <c r="J207">
        <f>IF(A207&gt;=Quarterly!B$2,Quarterly!C$2,IF(COUNTIFS(Quarterly!B:B,"&gt;="&amp;A207-92,Quarterly!B:B,"&lt;="&amp;A207)&gt;1,SUMIFS(Quarterly!C:C,Quarterly!B:B,"&gt;="&amp;A207-88,Quarterly!B:B,"&lt;="&amp;A207),SUMIFS(Quarterly!C:C,Quarterly!B:B,"&gt;="&amp;A207-92,Quarterly!B:B,"&lt;="&amp;A207)))</f>
        <v>17320.900000000001</v>
      </c>
      <c r="K207" s="13">
        <f t="shared" si="197"/>
        <v>0.11459999999999999</v>
      </c>
      <c r="L207">
        <f t="shared" si="199"/>
        <v>1985.54</v>
      </c>
      <c r="M207">
        <f>IF(A207&gt;=Quarterly!B$2,Quarterly!D$2,IF(COUNTIFS(Quarterly!B:B,"&gt;="&amp;A207-92,Quarterly!B:B,"&lt;="&amp;A207)&gt;1,SUMIFS(Quarterly!D:D,Quarterly!B:B,"&gt;="&amp;A207-88,Quarterly!B:B,"&lt;="&amp;A207),SUMIFS(Quarterly!D:D,Quarterly!B:B,"&gt;="&amp;A207-92,Quarterly!B:B,"&lt;="&amp;A207)))</f>
        <v>1736.5170000000001</v>
      </c>
      <c r="N207" s="13">
        <f t="shared" si="200"/>
        <v>0.11434</v>
      </c>
      <c r="O207">
        <f t="shared" si="202"/>
        <v>1985.54</v>
      </c>
      <c r="P207" s="56">
        <f>VLOOKUP(EOMONTH(A207,-1),Economic!A:I,7,FALSE)</f>
        <v>1345705</v>
      </c>
      <c r="Q207" s="13">
        <f t="shared" si="203"/>
        <v>0.14749999999999999</v>
      </c>
      <c r="R207" s="41">
        <v>2.04</v>
      </c>
      <c r="S207">
        <f t="shared" si="204"/>
        <v>2.2400000000000002</v>
      </c>
      <c r="T207" s="30">
        <f t="shared" si="205"/>
        <v>139.32</v>
      </c>
      <c r="U207" s="30">
        <f t="shared" si="198"/>
        <v>138.97999999999999</v>
      </c>
    </row>
    <row r="208" spans="1:21" x14ac:dyDescent="0.25">
      <c r="A208" s="5">
        <v>41889</v>
      </c>
      <c r="B208" s="5">
        <f t="shared" si="192"/>
        <v>41912</v>
      </c>
      <c r="C208">
        <v>2007.71</v>
      </c>
      <c r="D208" s="29">
        <f t="shared" si="193"/>
        <v>1.9300000000000001E-2</v>
      </c>
      <c r="E208" s="39">
        <f t="shared" si="194"/>
        <v>1967.7569230769227</v>
      </c>
      <c r="F208" s="39">
        <f t="shared" si="195"/>
        <v>1889.6387179487174</v>
      </c>
      <c r="G208" s="29">
        <f t="shared" si="201"/>
        <v>2.0299999999999999E-2</v>
      </c>
      <c r="H208" s="29">
        <f t="shared" si="201"/>
        <v>6.25E-2</v>
      </c>
      <c r="I208">
        <f t="shared" si="196"/>
        <v>2007.71</v>
      </c>
      <c r="J208">
        <f>IF(A208&gt;=Quarterly!B$2,Quarterly!C$2,IF(COUNTIFS(Quarterly!B:B,"&gt;="&amp;A208-92,Quarterly!B:B,"&lt;="&amp;A208)&gt;1,SUMIFS(Quarterly!C:C,Quarterly!B:B,"&gt;="&amp;A208-88,Quarterly!B:B,"&lt;="&amp;A208),SUMIFS(Quarterly!C:C,Quarterly!B:B,"&gt;="&amp;A208-92,Quarterly!B:B,"&lt;="&amp;A208)))</f>
        <v>17320.900000000001</v>
      </c>
      <c r="K208" s="13">
        <f t="shared" si="197"/>
        <v>0.1159</v>
      </c>
      <c r="L208">
        <f t="shared" si="199"/>
        <v>2007.71</v>
      </c>
      <c r="M208">
        <f>IF(A208&gt;=Quarterly!B$2,Quarterly!D$2,IF(COUNTIFS(Quarterly!B:B,"&gt;="&amp;A208-92,Quarterly!B:B,"&lt;="&amp;A208)&gt;1,SUMIFS(Quarterly!D:D,Quarterly!B:B,"&gt;="&amp;A208-88,Quarterly!B:B,"&lt;="&amp;A208),SUMIFS(Quarterly!D:D,Quarterly!B:B,"&gt;="&amp;A208-92,Quarterly!B:B,"&lt;="&amp;A208)))</f>
        <v>1736.5170000000001</v>
      </c>
      <c r="N208" s="13">
        <f t="shared" si="200"/>
        <v>0.11562</v>
      </c>
      <c r="O208">
        <f t="shared" si="202"/>
        <v>2007.71</v>
      </c>
      <c r="P208" s="56">
        <f>VLOOKUP(EOMONTH(A208,-1),Economic!A:I,7,FALSE)</f>
        <v>1345705</v>
      </c>
      <c r="Q208" s="13">
        <f t="shared" si="203"/>
        <v>0.1492</v>
      </c>
      <c r="R208" s="41">
        <v>1.94</v>
      </c>
      <c r="S208">
        <f t="shared" si="204"/>
        <v>2.33</v>
      </c>
      <c r="T208" s="30">
        <f t="shared" si="205"/>
        <v>141.27000000000001</v>
      </c>
      <c r="U208" s="30">
        <f t="shared" si="198"/>
        <v>138.29</v>
      </c>
    </row>
    <row r="209" spans="1:21" x14ac:dyDescent="0.25">
      <c r="A209" s="5">
        <v>41882</v>
      </c>
      <c r="B209" s="5">
        <f t="shared" si="192"/>
        <v>41882</v>
      </c>
      <c r="C209">
        <v>2003.37</v>
      </c>
      <c r="D209" s="29">
        <f t="shared" si="193"/>
        <v>2.7300000000000001E-2</v>
      </c>
      <c r="E209" s="39">
        <f t="shared" si="194"/>
        <v>1963.2746153846151</v>
      </c>
      <c r="F209" s="39">
        <f t="shared" si="195"/>
        <v>1884.4433333333327</v>
      </c>
      <c r="G209" s="29">
        <f t="shared" si="201"/>
        <v>2.0400000000000001E-2</v>
      </c>
      <c r="H209" s="29">
        <f t="shared" si="201"/>
        <v>6.3100000000000003E-2</v>
      </c>
      <c r="I209">
        <f t="shared" si="196"/>
        <v>2003.37</v>
      </c>
      <c r="J209">
        <f>IF(A209&gt;=Quarterly!B$2,Quarterly!C$2,IF(COUNTIFS(Quarterly!B:B,"&gt;="&amp;A209-92,Quarterly!B:B,"&lt;="&amp;A209)&gt;1,SUMIFS(Quarterly!C:C,Quarterly!B:B,"&gt;="&amp;A209-88,Quarterly!B:B,"&lt;="&amp;A209),SUMIFS(Quarterly!C:C,Quarterly!B:B,"&gt;="&amp;A209-92,Quarterly!B:B,"&lt;="&amp;A209)))</f>
        <v>17320.900000000001</v>
      </c>
      <c r="K209" s="13">
        <f t="shared" si="197"/>
        <v>0.1157</v>
      </c>
      <c r="L209">
        <f t="shared" si="199"/>
        <v>2003.37</v>
      </c>
      <c r="M209">
        <f>IF(A209&gt;=Quarterly!B$2,Quarterly!D$2,IF(COUNTIFS(Quarterly!B:B,"&gt;="&amp;A209-92,Quarterly!B:B,"&lt;="&amp;A209)&gt;1,SUMIFS(Quarterly!D:D,Quarterly!B:B,"&gt;="&amp;A209-88,Quarterly!B:B,"&lt;="&amp;A209),SUMIFS(Quarterly!D:D,Quarterly!B:B,"&gt;="&amp;A209-92,Quarterly!B:B,"&lt;="&amp;A209)))</f>
        <v>1736.5170000000001</v>
      </c>
      <c r="N209" s="13">
        <f t="shared" si="200"/>
        <v>0.11537</v>
      </c>
      <c r="O209">
        <f t="shared" si="202"/>
        <v>2003.37</v>
      </c>
      <c r="P209" s="56">
        <f>VLOOKUP(EOMONTH(A209,-1),Economic!A:I,7,FALSE)</f>
        <v>1343131</v>
      </c>
      <c r="Q209" s="13">
        <f t="shared" si="203"/>
        <v>0.1492</v>
      </c>
      <c r="R209" s="41">
        <v>1.87</v>
      </c>
      <c r="S209">
        <f t="shared" si="204"/>
        <v>2.16</v>
      </c>
      <c r="T209" s="30">
        <f t="shared" si="205"/>
        <v>136.34</v>
      </c>
      <c r="U209" s="30">
        <f t="shared" si="198"/>
        <v>134.66999999999999</v>
      </c>
    </row>
    <row r="210" spans="1:21" x14ac:dyDescent="0.25">
      <c r="A210" s="5">
        <v>41875</v>
      </c>
      <c r="B210" s="5">
        <f t="shared" ref="B210:B273" si="206">EOMONTH(A210,0)</f>
        <v>41882</v>
      </c>
      <c r="C210">
        <v>1988.4</v>
      </c>
      <c r="D210" s="29">
        <f t="shared" ref="D210:D273" si="207">ROUND((C210-AVERAGE(C211:C214))/AVERAGE(C211:C214),4)</f>
        <v>2.1000000000000001E-2</v>
      </c>
      <c r="E210" s="39">
        <f t="shared" ref="E210:E273" si="208">AVERAGE(C210:C222)</f>
        <v>1957.1361538461535</v>
      </c>
      <c r="F210" s="39">
        <f t="shared" ref="F210:F273" si="209">AVERAGE(C210:C248)</f>
        <v>1879.3776923076923</v>
      </c>
      <c r="G210" s="29">
        <f t="shared" si="201"/>
        <v>1.6E-2</v>
      </c>
      <c r="H210" s="29">
        <f t="shared" si="201"/>
        <v>5.8000000000000003E-2</v>
      </c>
      <c r="I210">
        <f t="shared" ref="I210:I273" si="210">C210</f>
        <v>1988.4</v>
      </c>
      <c r="J210">
        <f>IF(A210&gt;=Quarterly!B$2,Quarterly!C$2,IF(COUNTIFS(Quarterly!B:B,"&gt;="&amp;A210-92,Quarterly!B:B,"&lt;="&amp;A210)&gt;1,SUMIFS(Quarterly!C:C,Quarterly!B:B,"&gt;="&amp;A210-88,Quarterly!B:B,"&lt;="&amp;A210),SUMIFS(Quarterly!C:C,Quarterly!B:B,"&gt;="&amp;A210-92,Quarterly!B:B,"&lt;="&amp;A210)))</f>
        <v>17320.900000000001</v>
      </c>
      <c r="K210" s="13">
        <f t="shared" ref="K210:K273" si="211">ROUND(I210/J210,4)</f>
        <v>0.1148</v>
      </c>
      <c r="L210">
        <f t="shared" si="199"/>
        <v>1988.4</v>
      </c>
      <c r="M210">
        <f>IF(A210&gt;=Quarterly!B$2,Quarterly!D$2,IF(COUNTIFS(Quarterly!B:B,"&gt;="&amp;A210-92,Quarterly!B:B,"&lt;="&amp;A210)&gt;1,SUMIFS(Quarterly!D:D,Quarterly!B:B,"&gt;="&amp;A210-88,Quarterly!B:B,"&lt;="&amp;A210),SUMIFS(Quarterly!D:D,Quarterly!B:B,"&gt;="&amp;A210-92,Quarterly!B:B,"&lt;="&amp;A210)))</f>
        <v>1736.5170000000001</v>
      </c>
      <c r="N210" s="13">
        <f t="shared" si="200"/>
        <v>0.11451</v>
      </c>
      <c r="O210">
        <f t="shared" si="202"/>
        <v>1988.4</v>
      </c>
      <c r="P210" s="56">
        <f>VLOOKUP(EOMONTH(A210,-1),Economic!A:I,7,FALSE)</f>
        <v>1343131</v>
      </c>
      <c r="Q210" s="13">
        <f t="shared" si="203"/>
        <v>0.14799999999999999</v>
      </c>
      <c r="R210" s="41">
        <v>1.87</v>
      </c>
      <c r="S210">
        <f t="shared" si="204"/>
        <v>2.14</v>
      </c>
      <c r="T210" s="30">
        <f t="shared" si="205"/>
        <v>137.25</v>
      </c>
      <c r="U210" s="30">
        <f t="shared" ref="U210:U273" si="212">ROUND(AVERAGE(T210:T212),2)</f>
        <v>133.36000000000001</v>
      </c>
    </row>
    <row r="211" spans="1:21" x14ac:dyDescent="0.25">
      <c r="A211" s="5">
        <v>41868</v>
      </c>
      <c r="B211" s="5">
        <f t="shared" si="206"/>
        <v>41882</v>
      </c>
      <c r="C211">
        <v>1955.06</v>
      </c>
      <c r="D211" s="29">
        <f t="shared" si="207"/>
        <v>8.9999999999999998E-4</v>
      </c>
      <c r="E211" s="39">
        <f t="shared" si="208"/>
        <v>1950.3769230769226</v>
      </c>
      <c r="F211" s="39">
        <f t="shared" si="209"/>
        <v>1874.6689743589739</v>
      </c>
      <c r="G211" s="29">
        <f t="shared" si="201"/>
        <v>2.3999999999999998E-3</v>
      </c>
      <c r="H211" s="29">
        <f t="shared" si="201"/>
        <v>4.2900000000000001E-2</v>
      </c>
      <c r="I211">
        <f t="shared" si="210"/>
        <v>1955.06</v>
      </c>
      <c r="J211">
        <f>IF(A211&gt;=Quarterly!B$2,Quarterly!C$2,IF(COUNTIFS(Quarterly!B:B,"&gt;="&amp;A211-92,Quarterly!B:B,"&lt;="&amp;A211)&gt;1,SUMIFS(Quarterly!C:C,Quarterly!B:B,"&gt;="&amp;A211-88,Quarterly!B:B,"&lt;="&amp;A211),SUMIFS(Quarterly!C:C,Quarterly!B:B,"&gt;="&amp;A211-92,Quarterly!B:B,"&lt;="&amp;A211)))</f>
        <v>17320.900000000001</v>
      </c>
      <c r="K211" s="13">
        <f t="shared" si="211"/>
        <v>0.1129</v>
      </c>
      <c r="L211">
        <f t="shared" si="199"/>
        <v>1955.06</v>
      </c>
      <c r="M211">
        <f>IF(A211&gt;=Quarterly!B$2,Quarterly!D$2,IF(COUNTIFS(Quarterly!B:B,"&gt;="&amp;A211-92,Quarterly!B:B,"&lt;="&amp;A211)&gt;1,SUMIFS(Quarterly!D:D,Quarterly!B:B,"&gt;="&amp;A211-88,Quarterly!B:B,"&lt;="&amp;A211),SUMIFS(Quarterly!D:D,Quarterly!B:B,"&gt;="&amp;A211-92,Quarterly!B:B,"&lt;="&amp;A211)))</f>
        <v>1736.5170000000001</v>
      </c>
      <c r="N211" s="13">
        <f t="shared" si="200"/>
        <v>0.11259</v>
      </c>
      <c r="O211">
        <f t="shared" si="202"/>
        <v>1955.06</v>
      </c>
      <c r="P211" s="56">
        <f>VLOOKUP(EOMONTH(A211,-1),Economic!A:I,7,FALSE)</f>
        <v>1343131</v>
      </c>
      <c r="Q211" s="13">
        <f t="shared" si="203"/>
        <v>0.14560000000000001</v>
      </c>
      <c r="R211" s="41">
        <v>1.92</v>
      </c>
      <c r="S211">
        <f t="shared" si="204"/>
        <v>1.85</v>
      </c>
      <c r="T211" s="30">
        <f t="shared" si="205"/>
        <v>130.41</v>
      </c>
      <c r="U211" s="30">
        <f t="shared" si="212"/>
        <v>132.12</v>
      </c>
    </row>
    <row r="212" spans="1:21" x14ac:dyDescent="0.25">
      <c r="A212" s="5">
        <v>41861</v>
      </c>
      <c r="B212" s="5">
        <f t="shared" si="206"/>
        <v>41882</v>
      </c>
      <c r="C212">
        <v>1931.59</v>
      </c>
      <c r="D212" s="29">
        <f t="shared" si="207"/>
        <v>-1.5699999999999999E-2</v>
      </c>
      <c r="E212" s="39">
        <f t="shared" si="208"/>
        <v>1944.4384615384613</v>
      </c>
      <c r="F212" s="39">
        <f t="shared" si="209"/>
        <v>1870.6464102564094</v>
      </c>
      <c r="G212" s="29">
        <f t="shared" si="201"/>
        <v>-6.6E-3</v>
      </c>
      <c r="H212" s="29">
        <f t="shared" si="201"/>
        <v>3.2599999999999997E-2</v>
      </c>
      <c r="I212">
        <f t="shared" si="210"/>
        <v>1931.59</v>
      </c>
      <c r="J212">
        <f>IF(A212&gt;=Quarterly!B$2,Quarterly!C$2,IF(COUNTIFS(Quarterly!B:B,"&gt;="&amp;A212-92,Quarterly!B:B,"&lt;="&amp;A212)&gt;1,SUMIFS(Quarterly!C:C,Quarterly!B:B,"&gt;="&amp;A212-88,Quarterly!B:B,"&lt;="&amp;A212),SUMIFS(Quarterly!C:C,Quarterly!B:B,"&gt;="&amp;A212-92,Quarterly!B:B,"&lt;="&amp;A212)))</f>
        <v>17320.900000000001</v>
      </c>
      <c r="K212" s="13">
        <f t="shared" si="211"/>
        <v>0.1115</v>
      </c>
      <c r="L212">
        <f t="shared" si="199"/>
        <v>1931.59</v>
      </c>
      <c r="M212">
        <f>IF(A212&gt;=Quarterly!B$2,Quarterly!D$2,IF(COUNTIFS(Quarterly!B:B,"&gt;="&amp;A212-92,Quarterly!B:B,"&lt;="&amp;A212)&gt;1,SUMIFS(Quarterly!D:D,Quarterly!B:B,"&gt;="&amp;A212-88,Quarterly!B:B,"&lt;="&amp;A212),SUMIFS(Quarterly!D:D,Quarterly!B:B,"&gt;="&amp;A212-92,Quarterly!B:B,"&lt;="&amp;A212)))</f>
        <v>1736.5170000000001</v>
      </c>
      <c r="N212" s="13">
        <f t="shared" si="200"/>
        <v>0.11123000000000001</v>
      </c>
      <c r="O212">
        <f t="shared" si="202"/>
        <v>1931.59</v>
      </c>
      <c r="P212" s="56">
        <f>VLOOKUP(EOMONTH(A212,-1),Economic!A:I,7,FALSE)</f>
        <v>1343131</v>
      </c>
      <c r="Q212" s="13">
        <f t="shared" si="203"/>
        <v>0.14380000000000001</v>
      </c>
      <c r="R212" s="41">
        <v>1.99</v>
      </c>
      <c r="S212">
        <f t="shared" si="204"/>
        <v>1.85</v>
      </c>
      <c r="T212" s="30">
        <f t="shared" si="205"/>
        <v>132.41999999999999</v>
      </c>
      <c r="U212" s="30">
        <f t="shared" si="212"/>
        <v>129.07</v>
      </c>
    </row>
    <row r="213" spans="1:21" x14ac:dyDescent="0.25">
      <c r="A213" s="5">
        <v>41854</v>
      </c>
      <c r="B213" s="5">
        <f t="shared" si="206"/>
        <v>41882</v>
      </c>
      <c r="C213">
        <v>1925.15</v>
      </c>
      <c r="D213" s="29">
        <f t="shared" si="207"/>
        <v>-2.64E-2</v>
      </c>
      <c r="E213" s="39">
        <f t="shared" si="208"/>
        <v>1940.3530769230767</v>
      </c>
      <c r="F213" s="39">
        <f t="shared" si="209"/>
        <v>1866.518717948717</v>
      </c>
      <c r="G213" s="29">
        <f t="shared" si="201"/>
        <v>-7.7999999999999996E-3</v>
      </c>
      <c r="H213" s="29">
        <f t="shared" si="201"/>
        <v>3.1399999999999997E-2</v>
      </c>
      <c r="I213">
        <f t="shared" si="210"/>
        <v>1925.15</v>
      </c>
      <c r="J213">
        <f>IF(A213&gt;=Quarterly!B$2,Quarterly!C$2,IF(COUNTIFS(Quarterly!B:B,"&gt;="&amp;A213-92,Quarterly!B:B,"&lt;="&amp;A213)&gt;1,SUMIFS(Quarterly!C:C,Quarterly!B:B,"&gt;="&amp;A213-88,Quarterly!B:B,"&lt;="&amp;A213),SUMIFS(Quarterly!C:C,Quarterly!B:B,"&gt;="&amp;A213-92,Quarterly!B:B,"&lt;="&amp;A213)))</f>
        <v>17320.900000000001</v>
      </c>
      <c r="K213" s="13">
        <f t="shared" si="211"/>
        <v>0.1111</v>
      </c>
      <c r="L213">
        <f t="shared" si="199"/>
        <v>1925.15</v>
      </c>
      <c r="M213">
        <f>IF(A213&gt;=Quarterly!B$2,Quarterly!D$2,IF(COUNTIFS(Quarterly!B:B,"&gt;="&amp;A213-92,Quarterly!B:B,"&lt;="&amp;A213)&gt;1,SUMIFS(Quarterly!D:D,Quarterly!B:B,"&gt;="&amp;A213-88,Quarterly!B:B,"&lt;="&amp;A213),SUMIFS(Quarterly!D:D,Quarterly!B:B,"&gt;="&amp;A213-92,Quarterly!B:B,"&lt;="&amp;A213)))</f>
        <v>1736.5170000000001</v>
      </c>
      <c r="N213" s="13">
        <f t="shared" si="200"/>
        <v>0.11086000000000001</v>
      </c>
      <c r="O213">
        <f t="shared" si="202"/>
        <v>1925.15</v>
      </c>
      <c r="P213" s="56">
        <f>VLOOKUP(EOMONTH(A213,-1),Economic!A:I,7,FALSE)</f>
        <v>1343131</v>
      </c>
      <c r="Q213" s="13">
        <f t="shared" si="203"/>
        <v>0.14330000000000001</v>
      </c>
      <c r="R213" s="41">
        <v>2.0499999999999998</v>
      </c>
      <c r="S213">
        <f t="shared" si="204"/>
        <v>1.86</v>
      </c>
      <c r="T213" s="30">
        <f t="shared" si="205"/>
        <v>133.54</v>
      </c>
      <c r="U213" s="30">
        <f t="shared" si="212"/>
        <v>125.06</v>
      </c>
    </row>
    <row r="214" spans="1:21" x14ac:dyDescent="0.25">
      <c r="A214" s="5">
        <v>41847</v>
      </c>
      <c r="B214" s="5">
        <f t="shared" si="206"/>
        <v>41851</v>
      </c>
      <c r="C214">
        <v>1978.34</v>
      </c>
      <c r="D214" s="29">
        <f t="shared" si="207"/>
        <v>2.7000000000000001E-3</v>
      </c>
      <c r="E214" s="39">
        <f t="shared" si="208"/>
        <v>1936.9676923076922</v>
      </c>
      <c r="F214" s="39">
        <f t="shared" si="209"/>
        <v>1862.3261538461531</v>
      </c>
      <c r="G214" s="29">
        <f t="shared" si="201"/>
        <v>2.1399999999999999E-2</v>
      </c>
      <c r="H214" s="29">
        <f t="shared" si="201"/>
        <v>6.2300000000000001E-2</v>
      </c>
      <c r="I214">
        <f t="shared" si="210"/>
        <v>1978.34</v>
      </c>
      <c r="J214">
        <f>IF(A214&gt;=Quarterly!B$2,Quarterly!C$2,IF(COUNTIFS(Quarterly!B:B,"&gt;="&amp;A214-92,Quarterly!B:B,"&lt;="&amp;A214)&gt;1,SUMIFS(Quarterly!C:C,Quarterly!B:B,"&gt;="&amp;A214-88,Quarterly!B:B,"&lt;="&amp;A214),SUMIFS(Quarterly!C:C,Quarterly!B:B,"&gt;="&amp;A214-92,Quarterly!B:B,"&lt;="&amp;A214)))</f>
        <v>17031.3</v>
      </c>
      <c r="K214" s="13">
        <f t="shared" si="211"/>
        <v>0.1162</v>
      </c>
      <c r="L214">
        <f t="shared" si="199"/>
        <v>1978.34</v>
      </c>
      <c r="M214">
        <f>IF(A214&gt;=Quarterly!B$2,Quarterly!D$2,IF(COUNTIFS(Quarterly!B:B,"&gt;="&amp;A214-92,Quarterly!B:B,"&lt;="&amp;A214)&gt;1,SUMIFS(Quarterly!D:D,Quarterly!B:B,"&gt;="&amp;A214-88,Quarterly!B:B,"&lt;="&amp;A214),SUMIFS(Quarterly!D:D,Quarterly!B:B,"&gt;="&amp;A214-92,Quarterly!B:B,"&lt;="&amp;A214)))</f>
        <v>1650.4590000000001</v>
      </c>
      <c r="N214" s="13">
        <f t="shared" si="200"/>
        <v>0.11987000000000002</v>
      </c>
      <c r="O214">
        <f t="shared" si="202"/>
        <v>1978.34</v>
      </c>
      <c r="P214" s="56">
        <f>VLOOKUP(EOMONTH(A214,-1),Economic!A:I,7,FALSE)</f>
        <v>1336390</v>
      </c>
      <c r="Q214" s="13">
        <f t="shared" si="203"/>
        <v>0.14799999999999999</v>
      </c>
      <c r="R214" s="41">
        <v>1.95</v>
      </c>
      <c r="S214">
        <f t="shared" si="204"/>
        <v>1.75</v>
      </c>
      <c r="T214" s="30">
        <f t="shared" si="205"/>
        <v>121.26</v>
      </c>
      <c r="U214" s="30">
        <f t="shared" si="212"/>
        <v>120.73</v>
      </c>
    </row>
    <row r="215" spans="1:21" x14ac:dyDescent="0.25">
      <c r="A215" s="5">
        <v>41840</v>
      </c>
      <c r="B215" s="5">
        <f t="shared" si="206"/>
        <v>41851</v>
      </c>
      <c r="C215">
        <v>1978.22</v>
      </c>
      <c r="D215" s="29">
        <f t="shared" si="207"/>
        <v>4.5999999999999999E-3</v>
      </c>
      <c r="E215" s="39">
        <f t="shared" si="208"/>
        <v>1928.1261538461538</v>
      </c>
      <c r="F215" s="39">
        <f t="shared" si="209"/>
        <v>1856.7217948717944</v>
      </c>
      <c r="G215" s="29">
        <f t="shared" si="201"/>
        <v>2.5999999999999999E-2</v>
      </c>
      <c r="H215" s="29">
        <f t="shared" si="201"/>
        <v>6.54E-2</v>
      </c>
      <c r="I215">
        <f t="shared" si="210"/>
        <v>1978.22</v>
      </c>
      <c r="J215">
        <f>IF(A215&gt;=Quarterly!B$2,Quarterly!C$2,IF(COUNTIFS(Quarterly!B:B,"&gt;="&amp;A215-92,Quarterly!B:B,"&lt;="&amp;A215)&gt;1,SUMIFS(Quarterly!C:C,Quarterly!B:B,"&gt;="&amp;A215-88,Quarterly!B:B,"&lt;="&amp;A215),SUMIFS(Quarterly!C:C,Quarterly!B:B,"&gt;="&amp;A215-92,Quarterly!B:B,"&lt;="&amp;A215)))</f>
        <v>17031.3</v>
      </c>
      <c r="K215" s="13">
        <f t="shared" si="211"/>
        <v>0.1162</v>
      </c>
      <c r="L215">
        <f t="shared" ref="L215:L278" si="213">C215</f>
        <v>1978.22</v>
      </c>
      <c r="M215">
        <f>IF(A215&gt;=Quarterly!B$2,Quarterly!D$2,IF(COUNTIFS(Quarterly!B:B,"&gt;="&amp;A215-92,Quarterly!B:B,"&lt;="&amp;A215)&gt;1,SUMIFS(Quarterly!D:D,Quarterly!B:B,"&gt;="&amp;A215-88,Quarterly!B:B,"&lt;="&amp;A215),SUMIFS(Quarterly!D:D,Quarterly!B:B,"&gt;="&amp;A215-92,Quarterly!B:B,"&lt;="&amp;A215)))</f>
        <v>1650.4590000000001</v>
      </c>
      <c r="N215" s="13">
        <f t="shared" ref="N215:N278" si="214">ROUND(L215/M215,4)*0.1</f>
        <v>0.11986000000000002</v>
      </c>
      <c r="O215">
        <f t="shared" si="202"/>
        <v>1978.22</v>
      </c>
      <c r="P215" s="56">
        <f>VLOOKUP(EOMONTH(A215,-1),Economic!A:I,7,FALSE)</f>
        <v>1336390</v>
      </c>
      <c r="Q215" s="13">
        <f t="shared" si="203"/>
        <v>0.14799999999999999</v>
      </c>
      <c r="R215" s="41">
        <v>1.99</v>
      </c>
      <c r="S215">
        <f t="shared" si="204"/>
        <v>1.69</v>
      </c>
      <c r="T215" s="30">
        <f t="shared" si="205"/>
        <v>120.38</v>
      </c>
      <c r="U215" s="30">
        <f t="shared" si="212"/>
        <v>119.76</v>
      </c>
    </row>
    <row r="216" spans="1:21" x14ac:dyDescent="0.25">
      <c r="A216" s="5">
        <v>41833</v>
      </c>
      <c r="B216" s="5">
        <f t="shared" si="206"/>
        <v>41851</v>
      </c>
      <c r="C216">
        <v>1967.57</v>
      </c>
      <c r="D216" s="29">
        <f t="shared" si="207"/>
        <v>3.2000000000000002E-3</v>
      </c>
      <c r="E216" s="39">
        <f t="shared" si="208"/>
        <v>1919.4053846153847</v>
      </c>
      <c r="F216" s="39">
        <f t="shared" si="209"/>
        <v>1850.7289743589743</v>
      </c>
      <c r="G216" s="29">
        <f t="shared" si="201"/>
        <v>2.5100000000000001E-2</v>
      </c>
      <c r="H216" s="29">
        <f t="shared" si="201"/>
        <v>6.3100000000000003E-2</v>
      </c>
      <c r="I216">
        <f t="shared" si="210"/>
        <v>1967.57</v>
      </c>
      <c r="J216">
        <f>IF(A216&gt;=Quarterly!B$2,Quarterly!C$2,IF(COUNTIFS(Quarterly!B:B,"&gt;="&amp;A216-92,Quarterly!B:B,"&lt;="&amp;A216)&gt;1,SUMIFS(Quarterly!C:C,Quarterly!B:B,"&gt;="&amp;A216-88,Quarterly!B:B,"&lt;="&amp;A216),SUMIFS(Quarterly!C:C,Quarterly!B:B,"&gt;="&amp;A216-92,Quarterly!B:B,"&lt;="&amp;A216)))</f>
        <v>17031.3</v>
      </c>
      <c r="K216" s="13">
        <f t="shared" si="211"/>
        <v>0.11550000000000001</v>
      </c>
      <c r="L216">
        <f t="shared" si="213"/>
        <v>1967.57</v>
      </c>
      <c r="M216">
        <f>IF(A216&gt;=Quarterly!B$2,Quarterly!D$2,IF(COUNTIFS(Quarterly!B:B,"&gt;="&amp;A216-92,Quarterly!B:B,"&lt;="&amp;A216)&gt;1,SUMIFS(Quarterly!D:D,Quarterly!B:B,"&gt;="&amp;A216-88,Quarterly!B:B,"&lt;="&amp;A216),SUMIFS(Quarterly!D:D,Quarterly!B:B,"&gt;="&amp;A216-92,Quarterly!B:B,"&lt;="&amp;A216)))</f>
        <v>1650.4590000000001</v>
      </c>
      <c r="N216" s="13">
        <f t="shared" si="214"/>
        <v>0.11921</v>
      </c>
      <c r="O216">
        <f t="shared" si="202"/>
        <v>1967.57</v>
      </c>
      <c r="P216" s="56">
        <f>VLOOKUP(EOMONTH(A216,-1),Economic!A:I,7,FALSE)</f>
        <v>1336390</v>
      </c>
      <c r="Q216" s="13">
        <f t="shared" si="203"/>
        <v>0.1472</v>
      </c>
      <c r="R216" s="41">
        <v>2.0499999999999998</v>
      </c>
      <c r="S216">
        <f t="shared" si="204"/>
        <v>1.64</v>
      </c>
      <c r="T216" s="30">
        <f t="shared" si="205"/>
        <v>120.55</v>
      </c>
      <c r="U216" s="30">
        <f t="shared" si="212"/>
        <v>119.03</v>
      </c>
    </row>
    <row r="217" spans="1:21" x14ac:dyDescent="0.25">
      <c r="A217" s="5">
        <v>41826</v>
      </c>
      <c r="B217" s="5">
        <f t="shared" si="206"/>
        <v>41851</v>
      </c>
      <c r="C217">
        <v>1985.44</v>
      </c>
      <c r="D217" s="29">
        <f t="shared" si="207"/>
        <v>1.6899999999999998E-2</v>
      </c>
      <c r="E217" s="39">
        <f t="shared" si="208"/>
        <v>1907.7223076923076</v>
      </c>
      <c r="F217" s="39">
        <f t="shared" si="209"/>
        <v>1843.9502564102563</v>
      </c>
      <c r="G217" s="29">
        <f t="shared" si="201"/>
        <v>4.07E-2</v>
      </c>
      <c r="H217" s="29">
        <f t="shared" si="201"/>
        <v>7.6700000000000004E-2</v>
      </c>
      <c r="I217">
        <f t="shared" si="210"/>
        <v>1985.44</v>
      </c>
      <c r="J217">
        <f>IF(A217&gt;=Quarterly!B$2,Quarterly!C$2,IF(COUNTIFS(Quarterly!B:B,"&gt;="&amp;A217-92,Quarterly!B:B,"&lt;="&amp;A217)&gt;1,SUMIFS(Quarterly!C:C,Quarterly!B:B,"&gt;="&amp;A217-88,Quarterly!B:B,"&lt;="&amp;A217),SUMIFS(Quarterly!C:C,Quarterly!B:B,"&gt;="&amp;A217-92,Quarterly!B:B,"&lt;="&amp;A217)))</f>
        <v>17031.3</v>
      </c>
      <c r="K217" s="13">
        <f t="shared" si="211"/>
        <v>0.1166</v>
      </c>
      <c r="L217">
        <f t="shared" si="213"/>
        <v>1985.44</v>
      </c>
      <c r="M217">
        <f>IF(A217&gt;=Quarterly!B$2,Quarterly!D$2,IF(COUNTIFS(Quarterly!B:B,"&gt;="&amp;A217-92,Quarterly!B:B,"&lt;="&amp;A217)&gt;1,SUMIFS(Quarterly!D:D,Quarterly!B:B,"&gt;="&amp;A217-88,Quarterly!B:B,"&lt;="&amp;A217),SUMIFS(Quarterly!D:D,Quarterly!B:B,"&gt;="&amp;A217-92,Quarterly!B:B,"&lt;="&amp;A217)))</f>
        <v>1650.4590000000001</v>
      </c>
      <c r="N217" s="13">
        <f t="shared" si="214"/>
        <v>0.12030000000000002</v>
      </c>
      <c r="O217">
        <f t="shared" si="202"/>
        <v>1985.44</v>
      </c>
      <c r="P217" s="56">
        <f>VLOOKUP(EOMONTH(A217,-1),Economic!A:I,7,FALSE)</f>
        <v>1336390</v>
      </c>
      <c r="Q217" s="13">
        <f t="shared" si="203"/>
        <v>0.14859999999999998</v>
      </c>
      <c r="R217" s="41">
        <v>2.13</v>
      </c>
      <c r="S217">
        <f t="shared" si="204"/>
        <v>1.56</v>
      </c>
      <c r="T217" s="30">
        <f t="shared" si="205"/>
        <v>118.36</v>
      </c>
      <c r="U217" s="30">
        <f t="shared" si="212"/>
        <v>118.56</v>
      </c>
    </row>
    <row r="218" spans="1:21" x14ac:dyDescent="0.25">
      <c r="A218" s="5">
        <v>41819</v>
      </c>
      <c r="B218" s="5">
        <f t="shared" si="206"/>
        <v>41820</v>
      </c>
      <c r="C218">
        <v>1960.96</v>
      </c>
      <c r="D218" s="29">
        <f t="shared" si="207"/>
        <v>9.1999999999999998E-3</v>
      </c>
      <c r="E218" s="39">
        <f t="shared" si="208"/>
        <v>1898.4646153846154</v>
      </c>
      <c r="F218" s="39">
        <f t="shared" si="209"/>
        <v>1836.3876923076921</v>
      </c>
      <c r="G218" s="29">
        <f t="shared" si="201"/>
        <v>3.2899999999999999E-2</v>
      </c>
      <c r="H218" s="29">
        <f t="shared" si="201"/>
        <v>6.7799999999999999E-2</v>
      </c>
      <c r="I218">
        <f t="shared" si="210"/>
        <v>1960.96</v>
      </c>
      <c r="J218">
        <f>IF(A218&gt;=Quarterly!B$2,Quarterly!C$2,IF(COUNTIFS(Quarterly!B:B,"&gt;="&amp;A218-92,Quarterly!B:B,"&lt;="&amp;A218)&gt;1,SUMIFS(Quarterly!C:C,Quarterly!B:B,"&gt;="&amp;A218-88,Quarterly!B:B,"&lt;="&amp;A218),SUMIFS(Quarterly!C:C,Quarterly!B:B,"&gt;="&amp;A218-92,Quarterly!B:B,"&lt;="&amp;A218)))</f>
        <v>17031.3</v>
      </c>
      <c r="K218" s="13">
        <f t="shared" si="211"/>
        <v>0.11509999999999999</v>
      </c>
      <c r="L218">
        <f t="shared" si="213"/>
        <v>1960.96</v>
      </c>
      <c r="M218">
        <f>IF(A218&gt;=Quarterly!B$2,Quarterly!D$2,IF(COUNTIFS(Quarterly!B:B,"&gt;="&amp;A218-92,Quarterly!B:B,"&lt;="&amp;A218)&gt;1,SUMIFS(Quarterly!D:D,Quarterly!B:B,"&gt;="&amp;A218-88,Quarterly!B:B,"&lt;="&amp;A218),SUMIFS(Quarterly!D:D,Quarterly!B:B,"&gt;="&amp;A218-92,Quarterly!B:B,"&lt;="&amp;A218)))</f>
        <v>1650.4590000000001</v>
      </c>
      <c r="N218" s="13">
        <f t="shared" si="214"/>
        <v>0.11881</v>
      </c>
      <c r="O218">
        <f t="shared" si="202"/>
        <v>1960.96</v>
      </c>
      <c r="P218" s="56">
        <f>VLOOKUP(EOMONTH(A218,-1),Economic!A:I,7,FALSE)</f>
        <v>1325107</v>
      </c>
      <c r="Q218" s="13">
        <f t="shared" si="203"/>
        <v>0.14799999999999999</v>
      </c>
      <c r="R218" s="41">
        <v>2.09</v>
      </c>
      <c r="S218">
        <f t="shared" si="204"/>
        <v>1.48</v>
      </c>
      <c r="T218" s="30">
        <f t="shared" si="205"/>
        <v>118.19</v>
      </c>
      <c r="U218" s="30">
        <f t="shared" si="212"/>
        <v>120</v>
      </c>
    </row>
    <row r="219" spans="1:21" x14ac:dyDescent="0.25">
      <c r="A219" s="5">
        <v>41812</v>
      </c>
      <c r="B219" s="5">
        <f t="shared" si="206"/>
        <v>41820</v>
      </c>
      <c r="C219">
        <v>1962.87</v>
      </c>
      <c r="D219" s="29">
        <f t="shared" si="207"/>
        <v>1.84E-2</v>
      </c>
      <c r="E219" s="39">
        <f t="shared" si="208"/>
        <v>1890.5153846153844</v>
      </c>
      <c r="F219" s="39">
        <f t="shared" si="209"/>
        <v>1829.4848717948714</v>
      </c>
      <c r="G219" s="29">
        <f t="shared" si="201"/>
        <v>3.8300000000000001E-2</v>
      </c>
      <c r="H219" s="29">
        <f t="shared" si="201"/>
        <v>7.2900000000000006E-2</v>
      </c>
      <c r="I219">
        <f t="shared" si="210"/>
        <v>1962.87</v>
      </c>
      <c r="J219">
        <f>IF(A219&gt;=Quarterly!B$2,Quarterly!C$2,IF(COUNTIFS(Quarterly!B:B,"&gt;="&amp;A219-92,Quarterly!B:B,"&lt;="&amp;A219)&gt;1,SUMIFS(Quarterly!C:C,Quarterly!B:B,"&gt;="&amp;A219-88,Quarterly!B:B,"&lt;="&amp;A219),SUMIFS(Quarterly!C:C,Quarterly!B:B,"&gt;="&amp;A219-92,Quarterly!B:B,"&lt;="&amp;A219)))</f>
        <v>17031.3</v>
      </c>
      <c r="K219" s="13">
        <f t="shared" si="211"/>
        <v>0.1153</v>
      </c>
      <c r="L219">
        <f t="shared" si="213"/>
        <v>1962.87</v>
      </c>
      <c r="M219">
        <f>IF(A219&gt;=Quarterly!B$2,Quarterly!D$2,IF(COUNTIFS(Quarterly!B:B,"&gt;="&amp;A219-92,Quarterly!B:B,"&lt;="&amp;A219)&gt;1,SUMIFS(Quarterly!D:D,Quarterly!B:B,"&gt;="&amp;A219-88,Quarterly!B:B,"&lt;="&amp;A219),SUMIFS(Quarterly!D:D,Quarterly!B:B,"&gt;="&amp;A219-92,Quarterly!B:B,"&lt;="&amp;A219)))</f>
        <v>1650.4590000000001</v>
      </c>
      <c r="N219" s="13">
        <f t="shared" si="214"/>
        <v>0.11893000000000001</v>
      </c>
      <c r="O219">
        <f t="shared" si="202"/>
        <v>1962.87</v>
      </c>
      <c r="P219" s="56">
        <f>VLOOKUP(EOMONTH(A219,-1),Economic!A:I,7,FALSE)</f>
        <v>1325107</v>
      </c>
      <c r="Q219" s="13">
        <f t="shared" si="203"/>
        <v>0.14809999999999998</v>
      </c>
      <c r="R219" s="41">
        <v>2.13</v>
      </c>
      <c r="S219">
        <f t="shared" si="204"/>
        <v>1.49</v>
      </c>
      <c r="T219" s="30">
        <f t="shared" si="205"/>
        <v>119.12</v>
      </c>
      <c r="U219" s="30">
        <f t="shared" si="212"/>
        <v>121</v>
      </c>
    </row>
    <row r="220" spans="1:21" x14ac:dyDescent="0.25">
      <c r="A220" s="5">
        <v>41805</v>
      </c>
      <c r="B220" s="5">
        <f t="shared" si="206"/>
        <v>41820</v>
      </c>
      <c r="C220">
        <v>1936.16</v>
      </c>
      <c r="D220" s="29">
        <f t="shared" si="207"/>
        <v>1.2200000000000001E-2</v>
      </c>
      <c r="E220" s="39">
        <f t="shared" si="208"/>
        <v>1883.1038461538458</v>
      </c>
      <c r="F220" s="39">
        <f t="shared" si="209"/>
        <v>1822.998717948718</v>
      </c>
      <c r="G220" s="29">
        <f t="shared" si="201"/>
        <v>2.8199999999999999E-2</v>
      </c>
      <c r="H220" s="29">
        <f t="shared" si="201"/>
        <v>6.2100000000000002E-2</v>
      </c>
      <c r="I220">
        <f t="shared" si="210"/>
        <v>1936.16</v>
      </c>
      <c r="J220">
        <f>IF(A220&gt;=Quarterly!B$2,Quarterly!C$2,IF(COUNTIFS(Quarterly!B:B,"&gt;="&amp;A220-92,Quarterly!B:B,"&lt;="&amp;A220)&gt;1,SUMIFS(Quarterly!C:C,Quarterly!B:B,"&gt;="&amp;A220-88,Quarterly!B:B,"&lt;="&amp;A220),SUMIFS(Quarterly!C:C,Quarterly!B:B,"&gt;="&amp;A220-92,Quarterly!B:B,"&lt;="&amp;A220)))</f>
        <v>17031.3</v>
      </c>
      <c r="K220" s="13">
        <f t="shared" si="211"/>
        <v>0.1137</v>
      </c>
      <c r="L220">
        <f t="shared" si="213"/>
        <v>1936.16</v>
      </c>
      <c r="M220">
        <f>IF(A220&gt;=Quarterly!B$2,Quarterly!D$2,IF(COUNTIFS(Quarterly!B:B,"&gt;="&amp;A220-92,Quarterly!B:B,"&lt;="&amp;A220)&gt;1,SUMIFS(Quarterly!D:D,Quarterly!B:B,"&gt;="&amp;A220-88,Quarterly!B:B,"&lt;="&amp;A220),SUMIFS(Quarterly!D:D,Quarterly!B:B,"&gt;="&amp;A220-92,Quarterly!B:B,"&lt;="&amp;A220)))</f>
        <v>1650.4590000000001</v>
      </c>
      <c r="N220" s="13">
        <f t="shared" si="214"/>
        <v>0.11731000000000001</v>
      </c>
      <c r="O220">
        <f t="shared" si="202"/>
        <v>1936.16</v>
      </c>
      <c r="P220" s="56">
        <f>VLOOKUP(EOMONTH(A220,-1),Economic!A:I,7,FALSE)</f>
        <v>1325107</v>
      </c>
      <c r="Q220" s="13">
        <f t="shared" si="203"/>
        <v>0.14610000000000001</v>
      </c>
      <c r="R220" s="41">
        <v>2.15</v>
      </c>
      <c r="S220">
        <f t="shared" si="204"/>
        <v>1.53</v>
      </c>
      <c r="T220" s="30">
        <f t="shared" si="205"/>
        <v>122.68</v>
      </c>
      <c r="U220" s="30">
        <f t="shared" si="212"/>
        <v>123.84</v>
      </c>
    </row>
    <row r="221" spans="1:21" x14ac:dyDescent="0.25">
      <c r="A221" s="5">
        <v>41798</v>
      </c>
      <c r="B221" s="5">
        <f t="shared" si="206"/>
        <v>41820</v>
      </c>
      <c r="C221">
        <v>1949.44</v>
      </c>
      <c r="D221" s="29">
        <f t="shared" si="207"/>
        <v>2.87E-2</v>
      </c>
      <c r="E221" s="39">
        <f t="shared" si="208"/>
        <v>1875.7938461538461</v>
      </c>
      <c r="F221" s="39">
        <f t="shared" si="209"/>
        <v>1816.6353846153845</v>
      </c>
      <c r="G221" s="29">
        <f t="shared" si="201"/>
        <v>3.9300000000000002E-2</v>
      </c>
      <c r="H221" s="29">
        <f t="shared" si="201"/>
        <v>7.3099999999999998E-2</v>
      </c>
      <c r="I221">
        <f t="shared" si="210"/>
        <v>1949.44</v>
      </c>
      <c r="J221">
        <f>IF(A221&gt;=Quarterly!B$2,Quarterly!C$2,IF(COUNTIFS(Quarterly!B:B,"&gt;="&amp;A221-92,Quarterly!B:B,"&lt;="&amp;A221)&gt;1,SUMIFS(Quarterly!C:C,Quarterly!B:B,"&gt;="&amp;A221-88,Quarterly!B:B,"&lt;="&amp;A221),SUMIFS(Quarterly!C:C,Quarterly!B:B,"&gt;="&amp;A221-92,Quarterly!B:B,"&lt;="&amp;A221)))</f>
        <v>17031.3</v>
      </c>
      <c r="K221" s="13">
        <f t="shared" si="211"/>
        <v>0.1145</v>
      </c>
      <c r="L221">
        <f t="shared" si="213"/>
        <v>1949.44</v>
      </c>
      <c r="M221">
        <f>IF(A221&gt;=Quarterly!B$2,Quarterly!D$2,IF(COUNTIFS(Quarterly!B:B,"&gt;="&amp;A221-92,Quarterly!B:B,"&lt;="&amp;A221)&gt;1,SUMIFS(Quarterly!D:D,Quarterly!B:B,"&gt;="&amp;A221-88,Quarterly!B:B,"&lt;="&amp;A221),SUMIFS(Quarterly!D:D,Quarterly!B:B,"&gt;="&amp;A221-92,Quarterly!B:B,"&lt;="&amp;A221)))</f>
        <v>1650.4590000000001</v>
      </c>
      <c r="N221" s="13">
        <f t="shared" si="214"/>
        <v>0.11812</v>
      </c>
      <c r="O221">
        <f t="shared" si="202"/>
        <v>1949.44</v>
      </c>
      <c r="P221" s="56">
        <f>VLOOKUP(EOMONTH(A221,-1),Economic!A:I,7,FALSE)</f>
        <v>1325107</v>
      </c>
      <c r="Q221" s="13">
        <f t="shared" si="203"/>
        <v>0.14710000000000001</v>
      </c>
      <c r="R221" s="41">
        <v>2.19</v>
      </c>
      <c r="S221">
        <f t="shared" si="204"/>
        <v>1.48</v>
      </c>
      <c r="T221" s="30">
        <f t="shared" si="205"/>
        <v>121.19</v>
      </c>
      <c r="U221" s="30">
        <f t="shared" si="212"/>
        <v>126.49</v>
      </c>
    </row>
    <row r="222" spans="1:21" x14ac:dyDescent="0.25">
      <c r="A222" s="5">
        <v>41791</v>
      </c>
      <c r="B222" s="5">
        <f t="shared" si="206"/>
        <v>41820</v>
      </c>
      <c r="C222">
        <v>1923.57</v>
      </c>
      <c r="D222" s="29">
        <f t="shared" si="207"/>
        <v>2.07E-2</v>
      </c>
      <c r="E222" s="39">
        <f t="shared" si="208"/>
        <v>1870.3015384615387</v>
      </c>
      <c r="F222" s="39">
        <f t="shared" si="209"/>
        <v>1809.09</v>
      </c>
      <c r="G222" s="29">
        <f t="shared" si="201"/>
        <v>2.8500000000000001E-2</v>
      </c>
      <c r="H222" s="29">
        <f t="shared" si="201"/>
        <v>6.3299999999999995E-2</v>
      </c>
      <c r="I222">
        <f t="shared" si="210"/>
        <v>1923.57</v>
      </c>
      <c r="J222">
        <f>IF(A222&gt;=Quarterly!B$2,Quarterly!C$2,IF(COUNTIFS(Quarterly!B:B,"&gt;="&amp;A222-92,Quarterly!B:B,"&lt;="&amp;A222)&gt;1,SUMIFS(Quarterly!C:C,Quarterly!B:B,"&gt;="&amp;A222-88,Quarterly!B:B,"&lt;="&amp;A222),SUMIFS(Quarterly!C:C,Quarterly!B:B,"&gt;="&amp;A222-92,Quarterly!B:B,"&lt;="&amp;A222)))</f>
        <v>17031.3</v>
      </c>
      <c r="K222" s="13">
        <f t="shared" si="211"/>
        <v>0.1129</v>
      </c>
      <c r="L222">
        <f t="shared" si="213"/>
        <v>1923.57</v>
      </c>
      <c r="M222">
        <f>IF(A222&gt;=Quarterly!B$2,Quarterly!D$2,IF(COUNTIFS(Quarterly!B:B,"&gt;="&amp;A222-92,Quarterly!B:B,"&lt;="&amp;A222)&gt;1,SUMIFS(Quarterly!D:D,Quarterly!B:B,"&gt;="&amp;A222-88,Quarterly!B:B,"&lt;="&amp;A222),SUMIFS(Quarterly!D:D,Quarterly!B:B,"&gt;="&amp;A222-92,Quarterly!B:B,"&lt;="&amp;A222)))</f>
        <v>1650.4590000000001</v>
      </c>
      <c r="N222" s="13">
        <f t="shared" si="214"/>
        <v>0.11655</v>
      </c>
      <c r="O222">
        <f t="shared" si="202"/>
        <v>1923.57</v>
      </c>
      <c r="P222" s="56">
        <f>VLOOKUP(EOMONTH(A222,-1),Economic!A:I,7,FALSE)</f>
        <v>1325107</v>
      </c>
      <c r="Q222" s="13">
        <f t="shared" si="203"/>
        <v>0.1452</v>
      </c>
      <c r="R222" s="41">
        <v>2.11</v>
      </c>
      <c r="S222">
        <f t="shared" si="204"/>
        <v>1.62</v>
      </c>
      <c r="T222" s="30">
        <f t="shared" si="205"/>
        <v>127.65</v>
      </c>
      <c r="U222" s="30">
        <f t="shared" si="212"/>
        <v>131.13</v>
      </c>
    </row>
    <row r="223" spans="1:21" x14ac:dyDescent="0.25">
      <c r="A223" s="5">
        <v>41784</v>
      </c>
      <c r="B223" s="5">
        <f t="shared" si="206"/>
        <v>41790</v>
      </c>
      <c r="C223">
        <v>1900.53</v>
      </c>
      <c r="D223" s="29">
        <f t="shared" si="207"/>
        <v>1.35E-2</v>
      </c>
      <c r="E223" s="39">
        <f t="shared" si="208"/>
        <v>1865.3692307692311</v>
      </c>
      <c r="F223" s="39">
        <f t="shared" si="209"/>
        <v>1801.6387179487181</v>
      </c>
      <c r="G223" s="29">
        <f t="shared" si="201"/>
        <v>1.8800000000000001E-2</v>
      </c>
      <c r="H223" s="29">
        <f t="shared" si="201"/>
        <v>5.4899999999999997E-2</v>
      </c>
      <c r="I223">
        <f t="shared" si="210"/>
        <v>1900.53</v>
      </c>
      <c r="J223">
        <f>IF(A223&gt;=Quarterly!B$2,Quarterly!C$2,IF(COUNTIFS(Quarterly!B:B,"&gt;="&amp;A223-92,Quarterly!B:B,"&lt;="&amp;A223)&gt;1,SUMIFS(Quarterly!C:C,Quarterly!B:B,"&gt;="&amp;A223-88,Quarterly!B:B,"&lt;="&amp;A223),SUMIFS(Quarterly!C:C,Quarterly!B:B,"&gt;="&amp;A223-92,Quarterly!B:B,"&lt;="&amp;A223)))</f>
        <v>17031.3</v>
      </c>
      <c r="K223" s="13">
        <f t="shared" si="211"/>
        <v>0.1116</v>
      </c>
      <c r="L223">
        <f t="shared" si="213"/>
        <v>1900.53</v>
      </c>
      <c r="M223">
        <f>IF(A223&gt;=Quarterly!B$2,Quarterly!D$2,IF(COUNTIFS(Quarterly!B:B,"&gt;="&amp;A223-92,Quarterly!B:B,"&lt;="&amp;A223)&gt;1,SUMIFS(Quarterly!D:D,Quarterly!B:B,"&gt;="&amp;A223-88,Quarterly!B:B,"&lt;="&amp;A223),SUMIFS(Quarterly!D:D,Quarterly!B:B,"&gt;="&amp;A223-92,Quarterly!B:B,"&lt;="&amp;A223)))</f>
        <v>1650.4590000000001</v>
      </c>
      <c r="N223" s="13">
        <f t="shared" si="214"/>
        <v>0.11515</v>
      </c>
      <c r="O223">
        <f t="shared" si="202"/>
        <v>1900.53</v>
      </c>
      <c r="P223" s="56">
        <f>VLOOKUP(EOMONTH(A223,-1),Economic!A:I,7,FALSE)</f>
        <v>1319721</v>
      </c>
      <c r="Q223" s="13">
        <f t="shared" si="203"/>
        <v>0.14400000000000002</v>
      </c>
      <c r="R223" s="41">
        <v>2.17</v>
      </c>
      <c r="S223">
        <f t="shared" si="204"/>
        <v>1.67</v>
      </c>
      <c r="T223" s="30">
        <f t="shared" si="205"/>
        <v>130.63999999999999</v>
      </c>
      <c r="U223" s="30">
        <f t="shared" si="212"/>
        <v>134</v>
      </c>
    </row>
    <row r="224" spans="1:21" x14ac:dyDescent="0.25">
      <c r="A224" s="5">
        <v>41777</v>
      </c>
      <c r="B224" s="5">
        <f t="shared" si="206"/>
        <v>41790</v>
      </c>
      <c r="C224">
        <v>1877.86</v>
      </c>
      <c r="D224" s="29">
        <f t="shared" si="207"/>
        <v>3.0999999999999999E-3</v>
      </c>
      <c r="E224" s="39">
        <f t="shared" si="208"/>
        <v>1860.4246153846157</v>
      </c>
      <c r="F224" s="39">
        <f t="shared" si="209"/>
        <v>1795.5610256410257</v>
      </c>
      <c r="G224" s="29">
        <f t="shared" si="201"/>
        <v>9.4000000000000004E-3</v>
      </c>
      <c r="H224" s="29">
        <f t="shared" si="201"/>
        <v>4.58E-2</v>
      </c>
      <c r="I224">
        <f t="shared" si="210"/>
        <v>1877.86</v>
      </c>
      <c r="J224">
        <f>IF(A224&gt;=Quarterly!B$2,Quarterly!C$2,IF(COUNTIFS(Quarterly!B:B,"&gt;="&amp;A224-92,Quarterly!B:B,"&lt;="&amp;A224)&gt;1,SUMIFS(Quarterly!C:C,Quarterly!B:B,"&gt;="&amp;A224-88,Quarterly!B:B,"&lt;="&amp;A224),SUMIFS(Quarterly!C:C,Quarterly!B:B,"&gt;="&amp;A224-92,Quarterly!B:B,"&lt;="&amp;A224)))</f>
        <v>17031.3</v>
      </c>
      <c r="K224" s="13">
        <f t="shared" si="211"/>
        <v>0.1103</v>
      </c>
      <c r="L224">
        <f t="shared" si="213"/>
        <v>1877.86</v>
      </c>
      <c r="M224">
        <f>IF(A224&gt;=Quarterly!B$2,Quarterly!D$2,IF(COUNTIFS(Quarterly!B:B,"&gt;="&amp;A224-92,Quarterly!B:B,"&lt;="&amp;A224)&gt;1,SUMIFS(Quarterly!D:D,Quarterly!B:B,"&gt;="&amp;A224-88,Quarterly!B:B,"&lt;="&amp;A224),SUMIFS(Quarterly!D:D,Quarterly!B:B,"&gt;="&amp;A224-92,Quarterly!B:B,"&lt;="&amp;A224)))</f>
        <v>1650.4590000000001</v>
      </c>
      <c r="N224" s="13">
        <f t="shared" si="214"/>
        <v>0.11377999999999999</v>
      </c>
      <c r="O224">
        <f t="shared" si="202"/>
        <v>1877.86</v>
      </c>
      <c r="P224" s="56">
        <f>VLOOKUP(EOMONTH(A224,-1),Economic!A:I,7,FALSE)</f>
        <v>1319721</v>
      </c>
      <c r="Q224" s="13">
        <f t="shared" si="203"/>
        <v>0.14230000000000001</v>
      </c>
      <c r="R224" s="41">
        <v>2.14</v>
      </c>
      <c r="S224">
        <f t="shared" si="204"/>
        <v>1.76</v>
      </c>
      <c r="T224" s="30">
        <f t="shared" si="205"/>
        <v>135.09</v>
      </c>
      <c r="U224" s="30">
        <f t="shared" si="212"/>
        <v>134.13</v>
      </c>
    </row>
    <row r="225" spans="1:21" x14ac:dyDescent="0.25">
      <c r="A225" s="5">
        <v>41770</v>
      </c>
      <c r="B225" s="5">
        <f t="shared" si="206"/>
        <v>41790</v>
      </c>
      <c r="C225">
        <v>1878.48</v>
      </c>
      <c r="D225" s="29">
        <f t="shared" si="207"/>
        <v>1.2E-2</v>
      </c>
      <c r="E225" s="39">
        <f t="shared" si="208"/>
        <v>1857.4069230769235</v>
      </c>
      <c r="F225" s="39">
        <f t="shared" si="209"/>
        <v>1789.8679487179488</v>
      </c>
      <c r="G225" s="29">
        <f t="shared" si="201"/>
        <v>1.1299999999999999E-2</v>
      </c>
      <c r="H225" s="29">
        <f t="shared" si="201"/>
        <v>4.9500000000000002E-2</v>
      </c>
      <c r="I225">
        <f t="shared" si="210"/>
        <v>1878.48</v>
      </c>
      <c r="J225">
        <f>IF(A225&gt;=Quarterly!B$2,Quarterly!C$2,IF(COUNTIFS(Quarterly!B:B,"&gt;="&amp;A225-92,Quarterly!B:B,"&lt;="&amp;A225)&gt;1,SUMIFS(Quarterly!C:C,Quarterly!B:B,"&gt;="&amp;A225-88,Quarterly!B:B,"&lt;="&amp;A225),SUMIFS(Quarterly!C:C,Quarterly!B:B,"&gt;="&amp;A225-92,Quarterly!B:B,"&lt;="&amp;A225)))</f>
        <v>17031.3</v>
      </c>
      <c r="K225" s="13">
        <f t="shared" si="211"/>
        <v>0.1103</v>
      </c>
      <c r="L225">
        <f t="shared" si="213"/>
        <v>1878.48</v>
      </c>
      <c r="M225">
        <f>IF(A225&gt;=Quarterly!B$2,Quarterly!D$2,IF(COUNTIFS(Quarterly!B:B,"&gt;="&amp;A225-92,Quarterly!B:B,"&lt;="&amp;A225)&gt;1,SUMIFS(Quarterly!D:D,Quarterly!B:B,"&gt;="&amp;A225-88,Quarterly!B:B,"&lt;="&amp;A225),SUMIFS(Quarterly!D:D,Quarterly!B:B,"&gt;="&amp;A225-92,Quarterly!B:B,"&lt;="&amp;A225)))</f>
        <v>1650.4590000000001</v>
      </c>
      <c r="N225" s="13">
        <f t="shared" si="214"/>
        <v>0.11382000000000002</v>
      </c>
      <c r="O225">
        <f t="shared" si="202"/>
        <v>1878.48</v>
      </c>
      <c r="P225" s="56">
        <f>VLOOKUP(EOMONTH(A225,-1),Economic!A:I,7,FALSE)</f>
        <v>1319721</v>
      </c>
      <c r="Q225" s="13">
        <f t="shared" si="203"/>
        <v>0.14230000000000001</v>
      </c>
      <c r="R225" s="41">
        <v>2.2200000000000002</v>
      </c>
      <c r="S225">
        <f t="shared" si="204"/>
        <v>1.79</v>
      </c>
      <c r="T225" s="30">
        <f t="shared" si="205"/>
        <v>136.27000000000001</v>
      </c>
      <c r="U225" s="30">
        <f t="shared" si="212"/>
        <v>134.72</v>
      </c>
    </row>
    <row r="226" spans="1:21" x14ac:dyDescent="0.25">
      <c r="A226" s="5">
        <v>41763</v>
      </c>
      <c r="B226" s="5">
        <f t="shared" si="206"/>
        <v>41790</v>
      </c>
      <c r="C226">
        <v>1881.14</v>
      </c>
      <c r="D226" s="29">
        <f t="shared" si="207"/>
        <v>1.5599999999999999E-2</v>
      </c>
      <c r="E226" s="39">
        <f t="shared" si="208"/>
        <v>1851.1407692307696</v>
      </c>
      <c r="F226" s="39">
        <f t="shared" si="209"/>
        <v>1785.0715384615387</v>
      </c>
      <c r="G226" s="29">
        <f t="shared" si="201"/>
        <v>1.6199999999999999E-2</v>
      </c>
      <c r="H226" s="29">
        <f t="shared" si="201"/>
        <v>5.3800000000000001E-2</v>
      </c>
      <c r="I226">
        <f t="shared" si="210"/>
        <v>1881.14</v>
      </c>
      <c r="J226">
        <f>IF(A226&gt;=Quarterly!B$2,Quarterly!C$2,IF(COUNTIFS(Quarterly!B:B,"&gt;="&amp;A226-92,Quarterly!B:B,"&lt;="&amp;A226)&gt;1,SUMIFS(Quarterly!C:C,Quarterly!B:B,"&gt;="&amp;A226-88,Quarterly!B:B,"&lt;="&amp;A226),SUMIFS(Quarterly!C:C,Quarterly!B:B,"&gt;="&amp;A226-92,Quarterly!B:B,"&lt;="&amp;A226)))</f>
        <v>17031.3</v>
      </c>
      <c r="K226" s="13">
        <f t="shared" si="211"/>
        <v>0.1105</v>
      </c>
      <c r="L226">
        <f t="shared" si="213"/>
        <v>1881.14</v>
      </c>
      <c r="M226">
        <f>IF(A226&gt;=Quarterly!B$2,Quarterly!D$2,IF(COUNTIFS(Quarterly!B:B,"&gt;="&amp;A226-92,Quarterly!B:B,"&lt;="&amp;A226)&gt;1,SUMIFS(Quarterly!D:D,Quarterly!B:B,"&gt;="&amp;A226-88,Quarterly!B:B,"&lt;="&amp;A226),SUMIFS(Quarterly!D:D,Quarterly!B:B,"&gt;="&amp;A226-92,Quarterly!B:B,"&lt;="&amp;A226)))</f>
        <v>1650.4590000000001</v>
      </c>
      <c r="N226" s="13">
        <f t="shared" si="214"/>
        <v>0.11398</v>
      </c>
      <c r="O226">
        <f t="shared" si="202"/>
        <v>1881.14</v>
      </c>
      <c r="P226" s="56">
        <f>VLOOKUP(EOMONTH(A226,-1),Economic!A:I,7,FALSE)</f>
        <v>1319721</v>
      </c>
      <c r="Q226" s="13">
        <f t="shared" si="203"/>
        <v>0.14250000000000002</v>
      </c>
      <c r="R226" s="41">
        <v>2.1800000000000002</v>
      </c>
      <c r="S226">
        <f t="shared" si="204"/>
        <v>1.61</v>
      </c>
      <c r="T226" s="30">
        <f t="shared" si="205"/>
        <v>131.02000000000001</v>
      </c>
      <c r="U226" s="30">
        <f t="shared" si="212"/>
        <v>135.31</v>
      </c>
    </row>
    <row r="227" spans="1:21" x14ac:dyDescent="0.25">
      <c r="A227" s="5">
        <v>41756</v>
      </c>
      <c r="B227" s="5">
        <f t="shared" si="206"/>
        <v>41759</v>
      </c>
      <c r="C227">
        <v>1863.4</v>
      </c>
      <c r="D227" s="29">
        <f t="shared" si="207"/>
        <v>6.7999999999999996E-3</v>
      </c>
      <c r="E227" s="39">
        <f t="shared" si="208"/>
        <v>1843.5600000000004</v>
      </c>
      <c r="F227" s="39">
        <f t="shared" si="209"/>
        <v>1780.6748717948717</v>
      </c>
      <c r="G227" s="29">
        <f t="shared" si="201"/>
        <v>1.0800000000000001E-2</v>
      </c>
      <c r="H227" s="29">
        <f t="shared" si="201"/>
        <v>4.65E-2</v>
      </c>
      <c r="I227">
        <f t="shared" si="210"/>
        <v>1863.4</v>
      </c>
      <c r="J227">
        <f>IF(A227&gt;=Quarterly!B$2,Quarterly!C$2,IF(COUNTIFS(Quarterly!B:B,"&gt;="&amp;A227-92,Quarterly!B:B,"&lt;="&amp;A227)&gt;1,SUMIFS(Quarterly!C:C,Quarterly!B:B,"&gt;="&amp;A227-88,Quarterly!B:B,"&lt;="&amp;A227),SUMIFS(Quarterly!C:C,Quarterly!B:B,"&gt;="&amp;A227-92,Quarterly!B:B,"&lt;="&amp;A227)))</f>
        <v>16999.900000000001</v>
      </c>
      <c r="K227" s="13">
        <f t="shared" si="211"/>
        <v>0.1096</v>
      </c>
      <c r="L227">
        <f t="shared" si="213"/>
        <v>1863.4</v>
      </c>
      <c r="M227">
        <f>IF(A227&gt;=Quarterly!B$2,Quarterly!D$2,IF(COUNTIFS(Quarterly!B:B,"&gt;="&amp;A227-92,Quarterly!B:B,"&lt;="&amp;A227)&gt;1,SUMIFS(Quarterly!D:D,Quarterly!B:B,"&gt;="&amp;A227-88,Quarterly!B:B,"&lt;="&amp;A227),SUMIFS(Quarterly!D:D,Quarterly!B:B,"&gt;="&amp;A227-92,Quarterly!B:B,"&lt;="&amp;A227)))</f>
        <v>1730.336</v>
      </c>
      <c r="N227" s="13">
        <f t="shared" si="214"/>
        <v>0.10769000000000001</v>
      </c>
      <c r="O227">
        <f t="shared" si="202"/>
        <v>1863.4</v>
      </c>
      <c r="P227" s="56">
        <f>VLOOKUP(EOMONTH(A227,-1),Economic!A:I,7,FALSE)</f>
        <v>1318863</v>
      </c>
      <c r="Q227" s="13">
        <f t="shared" si="203"/>
        <v>0.14130000000000001</v>
      </c>
      <c r="R227" s="41">
        <v>2.25</v>
      </c>
      <c r="S227">
        <f t="shared" si="204"/>
        <v>1.7</v>
      </c>
      <c r="T227" s="30">
        <f t="shared" si="205"/>
        <v>136.87</v>
      </c>
      <c r="U227" s="30">
        <f t="shared" si="212"/>
        <v>138.71</v>
      </c>
    </row>
    <row r="228" spans="1:21" x14ac:dyDescent="0.25">
      <c r="A228" s="5">
        <v>41749</v>
      </c>
      <c r="B228" s="5">
        <f t="shared" si="206"/>
        <v>41759</v>
      </c>
      <c r="C228">
        <v>1864.85</v>
      </c>
      <c r="D228" s="29">
        <f t="shared" si="207"/>
        <v>7.4000000000000003E-3</v>
      </c>
      <c r="E228" s="39">
        <f t="shared" si="208"/>
        <v>1837.9361538461542</v>
      </c>
      <c r="F228" s="39">
        <f t="shared" si="209"/>
        <v>1776.2710256410255</v>
      </c>
      <c r="G228" s="29">
        <f t="shared" si="201"/>
        <v>1.46E-2</v>
      </c>
      <c r="H228" s="29">
        <f t="shared" si="201"/>
        <v>4.99E-2</v>
      </c>
      <c r="I228">
        <f t="shared" si="210"/>
        <v>1864.85</v>
      </c>
      <c r="J228">
        <f>IF(A228&gt;=Quarterly!B$2,Quarterly!C$2,IF(COUNTIFS(Quarterly!B:B,"&gt;="&amp;A228-92,Quarterly!B:B,"&lt;="&amp;A228)&gt;1,SUMIFS(Quarterly!C:C,Quarterly!B:B,"&gt;="&amp;A228-88,Quarterly!B:B,"&lt;="&amp;A228),SUMIFS(Quarterly!C:C,Quarterly!B:B,"&gt;="&amp;A228-92,Quarterly!B:B,"&lt;="&amp;A228)))</f>
        <v>16999.900000000001</v>
      </c>
      <c r="K228" s="13">
        <f t="shared" si="211"/>
        <v>0.10970000000000001</v>
      </c>
      <c r="L228">
        <f t="shared" si="213"/>
        <v>1864.85</v>
      </c>
      <c r="M228">
        <f>IF(A228&gt;=Quarterly!B$2,Quarterly!D$2,IF(COUNTIFS(Quarterly!B:B,"&gt;="&amp;A228-92,Quarterly!B:B,"&lt;="&amp;A228)&gt;1,SUMIFS(Quarterly!D:D,Quarterly!B:B,"&gt;="&amp;A228-88,Quarterly!B:B,"&lt;="&amp;A228),SUMIFS(Quarterly!D:D,Quarterly!B:B,"&gt;="&amp;A228-92,Quarterly!B:B,"&lt;="&amp;A228)))</f>
        <v>1730.336</v>
      </c>
      <c r="N228" s="13">
        <f t="shared" si="214"/>
        <v>0.10777000000000002</v>
      </c>
      <c r="O228">
        <f t="shared" si="202"/>
        <v>1864.85</v>
      </c>
      <c r="P228" s="56">
        <f>VLOOKUP(EOMONTH(A228,-1),Economic!A:I,7,FALSE)</f>
        <v>1318863</v>
      </c>
      <c r="Q228" s="13">
        <f t="shared" si="203"/>
        <v>0.1414</v>
      </c>
      <c r="R228" s="41">
        <v>2.2999999999999998</v>
      </c>
      <c r="S228">
        <f t="shared" si="204"/>
        <v>1.72</v>
      </c>
      <c r="T228" s="30">
        <f t="shared" si="205"/>
        <v>138.05000000000001</v>
      </c>
      <c r="U228" s="30">
        <f t="shared" si="212"/>
        <v>139.52000000000001</v>
      </c>
    </row>
    <row r="229" spans="1:21" x14ac:dyDescent="0.25">
      <c r="A229" s="5">
        <v>41742</v>
      </c>
      <c r="B229" s="5">
        <f t="shared" si="206"/>
        <v>41759</v>
      </c>
      <c r="C229">
        <v>1815.69</v>
      </c>
      <c r="D229" s="29">
        <f t="shared" si="207"/>
        <v>-2.2599999999999999E-2</v>
      </c>
      <c r="E229" s="39">
        <f t="shared" si="208"/>
        <v>1835.9246153846157</v>
      </c>
      <c r="F229" s="39">
        <f t="shared" si="209"/>
        <v>1771.8412820512817</v>
      </c>
      <c r="G229" s="29">
        <f t="shared" si="201"/>
        <v>-1.0999999999999999E-2</v>
      </c>
      <c r="H229" s="29">
        <f t="shared" si="201"/>
        <v>2.47E-2</v>
      </c>
      <c r="I229">
        <f t="shared" si="210"/>
        <v>1815.69</v>
      </c>
      <c r="J229">
        <f>IF(A229&gt;=Quarterly!B$2,Quarterly!C$2,IF(COUNTIFS(Quarterly!B:B,"&gt;="&amp;A229-92,Quarterly!B:B,"&lt;="&amp;A229)&gt;1,SUMIFS(Quarterly!C:C,Quarterly!B:B,"&gt;="&amp;A229-88,Quarterly!B:B,"&lt;="&amp;A229),SUMIFS(Quarterly!C:C,Quarterly!B:B,"&gt;="&amp;A229-92,Quarterly!B:B,"&lt;="&amp;A229)))</f>
        <v>16999.900000000001</v>
      </c>
      <c r="K229" s="13">
        <f t="shared" si="211"/>
        <v>0.10680000000000001</v>
      </c>
      <c r="L229">
        <f t="shared" si="213"/>
        <v>1815.69</v>
      </c>
      <c r="M229">
        <f>IF(A229&gt;=Quarterly!B$2,Quarterly!D$2,IF(COUNTIFS(Quarterly!B:B,"&gt;="&amp;A229-92,Quarterly!B:B,"&lt;="&amp;A229)&gt;1,SUMIFS(Quarterly!D:D,Quarterly!B:B,"&gt;="&amp;A229-88,Quarterly!B:B,"&lt;="&amp;A229),SUMIFS(Quarterly!D:D,Quarterly!B:B,"&gt;="&amp;A229-92,Quarterly!B:B,"&lt;="&amp;A229)))</f>
        <v>1730.336</v>
      </c>
      <c r="N229" s="13">
        <f t="shared" si="214"/>
        <v>0.10493</v>
      </c>
      <c r="O229">
        <f t="shared" si="202"/>
        <v>1815.69</v>
      </c>
      <c r="P229" s="56">
        <f>VLOOKUP(EOMONTH(A229,-1),Economic!A:I,7,FALSE)</f>
        <v>1318863</v>
      </c>
      <c r="Q229" s="13">
        <f t="shared" si="203"/>
        <v>0.13769999999999999</v>
      </c>
      <c r="R229" s="41">
        <v>2.2599999999999998</v>
      </c>
      <c r="S229">
        <f t="shared" si="204"/>
        <v>1.74</v>
      </c>
      <c r="T229" s="30">
        <f t="shared" si="205"/>
        <v>141.21</v>
      </c>
      <c r="U229" s="30">
        <f t="shared" si="212"/>
        <v>139.32</v>
      </c>
    </row>
    <row r="230" spans="1:21" x14ac:dyDescent="0.25">
      <c r="A230" s="5">
        <v>41735</v>
      </c>
      <c r="B230" s="5">
        <f t="shared" si="206"/>
        <v>41759</v>
      </c>
      <c r="C230">
        <v>1865.09</v>
      </c>
      <c r="D230" s="29">
        <f t="shared" si="207"/>
        <v>2.3E-3</v>
      </c>
      <c r="E230" s="39">
        <f t="shared" si="208"/>
        <v>1837.9769230769232</v>
      </c>
      <c r="F230" s="39">
        <f t="shared" si="209"/>
        <v>1768.3669230769226</v>
      </c>
      <c r="G230" s="29">
        <f t="shared" si="201"/>
        <v>1.4800000000000001E-2</v>
      </c>
      <c r="H230" s="29">
        <f t="shared" si="201"/>
        <v>5.4699999999999999E-2</v>
      </c>
      <c r="I230">
        <f t="shared" si="210"/>
        <v>1865.09</v>
      </c>
      <c r="J230">
        <f>IF(A230&gt;=Quarterly!B$2,Quarterly!C$2,IF(COUNTIFS(Quarterly!B:B,"&gt;="&amp;A230-92,Quarterly!B:B,"&lt;="&amp;A230)&gt;1,SUMIFS(Quarterly!C:C,Quarterly!B:B,"&gt;="&amp;A230-88,Quarterly!B:B,"&lt;="&amp;A230),SUMIFS(Quarterly!C:C,Quarterly!B:B,"&gt;="&amp;A230-92,Quarterly!B:B,"&lt;="&amp;A230)))</f>
        <v>16999.900000000001</v>
      </c>
      <c r="K230" s="13">
        <f t="shared" si="211"/>
        <v>0.10970000000000001</v>
      </c>
      <c r="L230">
        <f t="shared" si="213"/>
        <v>1865.09</v>
      </c>
      <c r="M230">
        <f>IF(A230&gt;=Quarterly!B$2,Quarterly!D$2,IF(COUNTIFS(Quarterly!B:B,"&gt;="&amp;A230-92,Quarterly!B:B,"&lt;="&amp;A230)&gt;1,SUMIFS(Quarterly!D:D,Quarterly!B:B,"&gt;="&amp;A230-88,Quarterly!B:B,"&lt;="&amp;A230),SUMIFS(Quarterly!D:D,Quarterly!B:B,"&gt;="&amp;A230-92,Quarterly!B:B,"&lt;="&amp;A230)))</f>
        <v>1730.336</v>
      </c>
      <c r="N230" s="13">
        <f t="shared" si="214"/>
        <v>0.10779000000000001</v>
      </c>
      <c r="O230">
        <f t="shared" si="202"/>
        <v>1865.09</v>
      </c>
      <c r="P230" s="56">
        <f>VLOOKUP(EOMONTH(A230,-1),Economic!A:I,7,FALSE)</f>
        <v>1318863</v>
      </c>
      <c r="Q230" s="13">
        <f t="shared" si="203"/>
        <v>0.1414</v>
      </c>
      <c r="R230" s="41">
        <v>2.31</v>
      </c>
      <c r="S230">
        <f t="shared" si="204"/>
        <v>1.77</v>
      </c>
      <c r="T230" s="30">
        <f t="shared" si="205"/>
        <v>139.31</v>
      </c>
      <c r="U230" s="30">
        <f t="shared" si="212"/>
        <v>136.94999999999999</v>
      </c>
    </row>
    <row r="231" spans="1:21" x14ac:dyDescent="0.25">
      <c r="A231" s="5">
        <v>41728</v>
      </c>
      <c r="B231" s="5">
        <f t="shared" si="206"/>
        <v>41729</v>
      </c>
      <c r="C231">
        <v>1857.62</v>
      </c>
      <c r="D231" s="29">
        <f t="shared" si="207"/>
        <v>-2E-3</v>
      </c>
      <c r="E231" s="39">
        <f t="shared" si="208"/>
        <v>1835.3830769230769</v>
      </c>
      <c r="F231" s="39">
        <f t="shared" si="209"/>
        <v>1762.3874358974356</v>
      </c>
      <c r="G231" s="29">
        <f t="shared" si="201"/>
        <v>1.21E-2</v>
      </c>
      <c r="H231" s="29">
        <f t="shared" si="201"/>
        <v>5.3999999999999999E-2</v>
      </c>
      <c r="I231">
        <f t="shared" si="210"/>
        <v>1857.62</v>
      </c>
      <c r="J231">
        <f>IF(A231&gt;=Quarterly!B$2,Quarterly!C$2,IF(COUNTIFS(Quarterly!B:B,"&gt;="&amp;A231-92,Quarterly!B:B,"&lt;="&amp;A231)&gt;1,SUMIFS(Quarterly!C:C,Quarterly!B:B,"&gt;="&amp;A231-88,Quarterly!B:B,"&lt;="&amp;A231),SUMIFS(Quarterly!C:C,Quarterly!B:B,"&gt;="&amp;A231-92,Quarterly!B:B,"&lt;="&amp;A231)))</f>
        <v>16999.900000000001</v>
      </c>
      <c r="K231" s="13">
        <f t="shared" si="211"/>
        <v>0.10929999999999999</v>
      </c>
      <c r="L231">
        <f t="shared" si="213"/>
        <v>1857.62</v>
      </c>
      <c r="M231">
        <f>IF(A231&gt;=Quarterly!B$2,Quarterly!D$2,IF(COUNTIFS(Quarterly!B:B,"&gt;="&amp;A231-92,Quarterly!B:B,"&lt;="&amp;A231)&gt;1,SUMIFS(Quarterly!D:D,Quarterly!B:B,"&gt;="&amp;A231-88,Quarterly!B:B,"&lt;="&amp;A231),SUMIFS(Quarterly!D:D,Quarterly!B:B,"&gt;="&amp;A231-92,Quarterly!B:B,"&lt;="&amp;A231)))</f>
        <v>1730.336</v>
      </c>
      <c r="N231" s="13">
        <f t="shared" si="214"/>
        <v>0.10736000000000001</v>
      </c>
      <c r="O231">
        <f t="shared" si="202"/>
        <v>1857.62</v>
      </c>
      <c r="P231" s="56">
        <f>VLOOKUP(EOMONTH(A231,-1),Economic!A:I,7,FALSE)</f>
        <v>1319099</v>
      </c>
      <c r="Q231" s="13">
        <f t="shared" si="203"/>
        <v>0.14080000000000001</v>
      </c>
      <c r="R231" s="41">
        <v>2.2799999999999998</v>
      </c>
      <c r="S231">
        <f t="shared" si="204"/>
        <v>1.7</v>
      </c>
      <c r="T231" s="30">
        <f t="shared" si="205"/>
        <v>137.44999999999999</v>
      </c>
      <c r="U231" s="30">
        <f t="shared" si="212"/>
        <v>135.91</v>
      </c>
    </row>
    <row r="232" spans="1:21" x14ac:dyDescent="0.25">
      <c r="A232" s="5">
        <v>41721</v>
      </c>
      <c r="B232" s="5">
        <f t="shared" si="206"/>
        <v>41729</v>
      </c>
      <c r="C232">
        <v>1866.52</v>
      </c>
      <c r="D232" s="29">
        <f t="shared" si="207"/>
        <v>6.8999999999999999E-3</v>
      </c>
      <c r="E232" s="39">
        <f t="shared" si="208"/>
        <v>1834.1353846153847</v>
      </c>
      <c r="F232" s="39">
        <f t="shared" si="209"/>
        <v>1755.9428205128206</v>
      </c>
      <c r="G232" s="29">
        <f t="shared" si="201"/>
        <v>1.77E-2</v>
      </c>
      <c r="H232" s="29">
        <f t="shared" si="201"/>
        <v>6.3E-2</v>
      </c>
      <c r="I232">
        <f t="shared" si="210"/>
        <v>1866.52</v>
      </c>
      <c r="J232">
        <f>IF(A232&gt;=Quarterly!B$2,Quarterly!C$2,IF(COUNTIFS(Quarterly!B:B,"&gt;="&amp;A232-92,Quarterly!B:B,"&lt;="&amp;A232)&gt;1,SUMIFS(Quarterly!C:C,Quarterly!B:B,"&gt;="&amp;A232-88,Quarterly!B:B,"&lt;="&amp;A232),SUMIFS(Quarterly!C:C,Quarterly!B:B,"&gt;="&amp;A232-92,Quarterly!B:B,"&lt;="&amp;A232)))</f>
        <v>16999.900000000001</v>
      </c>
      <c r="K232" s="13">
        <f t="shared" si="211"/>
        <v>0.10979999999999999</v>
      </c>
      <c r="L232">
        <f t="shared" si="213"/>
        <v>1866.52</v>
      </c>
      <c r="M232">
        <f>IF(A232&gt;=Quarterly!B$2,Quarterly!D$2,IF(COUNTIFS(Quarterly!B:B,"&gt;="&amp;A232-92,Quarterly!B:B,"&lt;="&amp;A232)&gt;1,SUMIFS(Quarterly!D:D,Quarterly!B:B,"&gt;="&amp;A232-88,Quarterly!B:B,"&lt;="&amp;A232),SUMIFS(Quarterly!D:D,Quarterly!B:B,"&gt;="&amp;A232-92,Quarterly!B:B,"&lt;="&amp;A232)))</f>
        <v>1730.336</v>
      </c>
      <c r="N232" s="13">
        <f t="shared" si="214"/>
        <v>0.10787000000000001</v>
      </c>
      <c r="O232">
        <f t="shared" si="202"/>
        <v>1866.52</v>
      </c>
      <c r="P232" s="56">
        <f>VLOOKUP(EOMONTH(A232,-1),Economic!A:I,7,FALSE)</f>
        <v>1319099</v>
      </c>
      <c r="Q232" s="13">
        <f t="shared" si="203"/>
        <v>0.14150000000000001</v>
      </c>
      <c r="R232" s="41">
        <v>2.2999999999999998</v>
      </c>
      <c r="S232">
        <f t="shared" si="204"/>
        <v>1.61</v>
      </c>
      <c r="T232" s="30">
        <f t="shared" si="205"/>
        <v>134.09</v>
      </c>
      <c r="U232" s="30">
        <f t="shared" si="212"/>
        <v>135.37</v>
      </c>
    </row>
    <row r="233" spans="1:21" x14ac:dyDescent="0.25">
      <c r="A233" s="5">
        <v>41714</v>
      </c>
      <c r="B233" s="5">
        <f t="shared" si="206"/>
        <v>41729</v>
      </c>
      <c r="C233">
        <v>1841.13</v>
      </c>
      <c r="D233" s="29">
        <f t="shared" si="207"/>
        <v>-6.4999999999999997E-3</v>
      </c>
      <c r="E233" s="39">
        <f t="shared" si="208"/>
        <v>1830.4276923076925</v>
      </c>
      <c r="F233" s="39">
        <f t="shared" si="209"/>
        <v>1748.9148717948717</v>
      </c>
      <c r="G233" s="29">
        <f t="shared" si="201"/>
        <v>5.7999999999999996E-3</v>
      </c>
      <c r="H233" s="29">
        <f t="shared" si="201"/>
        <v>5.2699999999999997E-2</v>
      </c>
      <c r="I233">
        <f t="shared" si="210"/>
        <v>1841.13</v>
      </c>
      <c r="J233">
        <f>IF(A233&gt;=Quarterly!B$2,Quarterly!C$2,IF(COUNTIFS(Quarterly!B:B,"&gt;="&amp;A233-92,Quarterly!B:B,"&lt;="&amp;A233)&gt;1,SUMIFS(Quarterly!C:C,Quarterly!B:B,"&gt;="&amp;A233-88,Quarterly!B:B,"&lt;="&amp;A233),SUMIFS(Quarterly!C:C,Quarterly!B:B,"&gt;="&amp;A233-92,Quarterly!B:B,"&lt;="&amp;A233)))</f>
        <v>16999.900000000001</v>
      </c>
      <c r="K233" s="13">
        <f t="shared" si="211"/>
        <v>0.10829999999999999</v>
      </c>
      <c r="L233">
        <f t="shared" si="213"/>
        <v>1841.13</v>
      </c>
      <c r="M233">
        <f>IF(A233&gt;=Quarterly!B$2,Quarterly!D$2,IF(COUNTIFS(Quarterly!B:B,"&gt;="&amp;A233-92,Quarterly!B:B,"&lt;="&amp;A233)&gt;1,SUMIFS(Quarterly!D:D,Quarterly!B:B,"&gt;="&amp;A233-88,Quarterly!B:B,"&lt;="&amp;A233),SUMIFS(Quarterly!D:D,Quarterly!B:B,"&gt;="&amp;A233-92,Quarterly!B:B,"&lt;="&amp;A233)))</f>
        <v>1730.336</v>
      </c>
      <c r="N233" s="13">
        <f t="shared" si="214"/>
        <v>0.10640000000000001</v>
      </c>
      <c r="O233">
        <f t="shared" si="202"/>
        <v>1841.13</v>
      </c>
      <c r="P233" s="56">
        <f>VLOOKUP(EOMONTH(A233,-1),Economic!A:I,7,FALSE)</f>
        <v>1319099</v>
      </c>
      <c r="Q233" s="13">
        <f t="shared" si="203"/>
        <v>0.1396</v>
      </c>
      <c r="R233" s="41">
        <v>2.29</v>
      </c>
      <c r="S233">
        <f t="shared" si="204"/>
        <v>1.63</v>
      </c>
      <c r="T233" s="30">
        <f t="shared" si="205"/>
        <v>136.18</v>
      </c>
      <c r="U233" s="30">
        <f t="shared" si="212"/>
        <v>134.31</v>
      </c>
    </row>
    <row r="234" spans="1:21" x14ac:dyDescent="0.25">
      <c r="A234" s="5">
        <v>41707</v>
      </c>
      <c r="B234" s="5">
        <f t="shared" si="206"/>
        <v>41729</v>
      </c>
      <c r="C234">
        <v>1878.04</v>
      </c>
      <c r="D234" s="29">
        <f t="shared" si="207"/>
        <v>2.47E-2</v>
      </c>
      <c r="E234" s="39">
        <f t="shared" si="208"/>
        <v>1825.3653846153845</v>
      </c>
      <c r="F234" s="39">
        <f t="shared" si="209"/>
        <v>1743.4174358974356</v>
      </c>
      <c r="G234" s="29">
        <f t="shared" si="201"/>
        <v>2.8899999999999999E-2</v>
      </c>
      <c r="H234" s="29">
        <f t="shared" si="201"/>
        <v>7.7200000000000005E-2</v>
      </c>
      <c r="I234">
        <f t="shared" si="210"/>
        <v>1878.04</v>
      </c>
      <c r="J234">
        <f>IF(A234&gt;=Quarterly!B$2,Quarterly!C$2,IF(COUNTIFS(Quarterly!B:B,"&gt;="&amp;A234-92,Quarterly!B:B,"&lt;="&amp;A234)&gt;1,SUMIFS(Quarterly!C:C,Quarterly!B:B,"&gt;="&amp;A234-88,Quarterly!B:B,"&lt;="&amp;A234),SUMIFS(Quarterly!C:C,Quarterly!B:B,"&gt;="&amp;A234-92,Quarterly!B:B,"&lt;="&amp;A234)))</f>
        <v>16999.900000000001</v>
      </c>
      <c r="K234" s="13">
        <f t="shared" si="211"/>
        <v>0.1105</v>
      </c>
      <c r="L234">
        <f t="shared" si="213"/>
        <v>1878.04</v>
      </c>
      <c r="M234">
        <f>IF(A234&gt;=Quarterly!B$2,Quarterly!D$2,IF(COUNTIFS(Quarterly!B:B,"&gt;="&amp;A234-92,Quarterly!B:B,"&lt;="&amp;A234)&gt;1,SUMIFS(Quarterly!D:D,Quarterly!B:B,"&gt;="&amp;A234-88,Quarterly!B:B,"&lt;="&amp;A234),SUMIFS(Quarterly!D:D,Quarterly!B:B,"&gt;="&amp;A234-92,Quarterly!B:B,"&lt;="&amp;A234)))</f>
        <v>1730.336</v>
      </c>
      <c r="N234" s="13">
        <f t="shared" si="214"/>
        <v>0.10854</v>
      </c>
      <c r="O234">
        <f t="shared" si="202"/>
        <v>1878.04</v>
      </c>
      <c r="P234" s="56">
        <f>VLOOKUP(EOMONTH(A234,-1),Economic!A:I,7,FALSE)</f>
        <v>1319099</v>
      </c>
      <c r="Q234" s="13">
        <f t="shared" si="203"/>
        <v>0.1424</v>
      </c>
      <c r="R234" s="41">
        <v>2.42</v>
      </c>
      <c r="S234">
        <f t="shared" si="204"/>
        <v>1.66</v>
      </c>
      <c r="T234" s="30">
        <f t="shared" si="205"/>
        <v>135.84</v>
      </c>
      <c r="U234" s="30">
        <f t="shared" si="212"/>
        <v>133.6</v>
      </c>
    </row>
    <row r="235" spans="1:21" x14ac:dyDescent="0.25">
      <c r="A235" s="5">
        <v>41700</v>
      </c>
      <c r="B235" s="5">
        <f t="shared" si="206"/>
        <v>41729</v>
      </c>
      <c r="C235">
        <v>1859.45</v>
      </c>
      <c r="D235" s="29">
        <f t="shared" si="207"/>
        <v>2.53E-2</v>
      </c>
      <c r="E235" s="39">
        <f t="shared" si="208"/>
        <v>1819.7538461538461</v>
      </c>
      <c r="F235" s="39">
        <f t="shared" si="209"/>
        <v>1737.4005128205126</v>
      </c>
      <c r="G235" s="29">
        <f t="shared" si="201"/>
        <v>2.18E-2</v>
      </c>
      <c r="H235" s="29">
        <f t="shared" si="201"/>
        <v>7.0199999999999999E-2</v>
      </c>
      <c r="I235">
        <f t="shared" si="210"/>
        <v>1859.45</v>
      </c>
      <c r="J235">
        <f>IF(A235&gt;=Quarterly!B$2,Quarterly!C$2,IF(COUNTIFS(Quarterly!B:B,"&gt;="&amp;A235-92,Quarterly!B:B,"&lt;="&amp;A235)&gt;1,SUMIFS(Quarterly!C:C,Quarterly!B:B,"&gt;="&amp;A235-88,Quarterly!B:B,"&lt;="&amp;A235),SUMIFS(Quarterly!C:C,Quarterly!B:B,"&gt;="&amp;A235-92,Quarterly!B:B,"&lt;="&amp;A235)))</f>
        <v>16999.900000000001</v>
      </c>
      <c r="K235" s="13">
        <f t="shared" si="211"/>
        <v>0.1094</v>
      </c>
      <c r="L235">
        <f t="shared" si="213"/>
        <v>1859.45</v>
      </c>
      <c r="M235">
        <f>IF(A235&gt;=Quarterly!B$2,Quarterly!D$2,IF(COUNTIFS(Quarterly!B:B,"&gt;="&amp;A235-92,Quarterly!B:B,"&lt;="&amp;A235)&gt;1,SUMIFS(Quarterly!D:D,Quarterly!B:B,"&gt;="&amp;A235-88,Quarterly!B:B,"&lt;="&amp;A235),SUMIFS(Quarterly!D:D,Quarterly!B:B,"&gt;="&amp;A235-92,Quarterly!B:B,"&lt;="&amp;A235)))</f>
        <v>1730.336</v>
      </c>
      <c r="N235" s="13">
        <f t="shared" si="214"/>
        <v>0.10746</v>
      </c>
      <c r="O235">
        <f t="shared" si="202"/>
        <v>1859.45</v>
      </c>
      <c r="P235" s="56">
        <f>VLOOKUP(EOMONTH(A235,-1),Economic!A:I,7,FALSE)</f>
        <v>1319099</v>
      </c>
      <c r="Q235" s="13">
        <f t="shared" si="203"/>
        <v>0.14100000000000001</v>
      </c>
      <c r="R235" s="41">
        <v>2.33</v>
      </c>
      <c r="S235">
        <f t="shared" si="204"/>
        <v>1.46</v>
      </c>
      <c r="T235" s="30">
        <f t="shared" si="205"/>
        <v>130.91999999999999</v>
      </c>
      <c r="U235" s="30">
        <f t="shared" si="212"/>
        <v>132.63</v>
      </c>
    </row>
    <row r="236" spans="1:21" x14ac:dyDescent="0.25">
      <c r="A236" s="5">
        <v>41693</v>
      </c>
      <c r="B236" s="5">
        <f t="shared" si="206"/>
        <v>41698</v>
      </c>
      <c r="C236">
        <v>1836.25</v>
      </c>
      <c r="D236" s="29">
        <f t="shared" si="207"/>
        <v>1.89E-2</v>
      </c>
      <c r="E236" s="39">
        <f t="shared" si="208"/>
        <v>1815.6276923076923</v>
      </c>
      <c r="F236" s="39">
        <f t="shared" si="209"/>
        <v>1731.5361538461539</v>
      </c>
      <c r="G236" s="29">
        <f t="shared" si="201"/>
        <v>1.14E-2</v>
      </c>
      <c r="H236" s="29">
        <f t="shared" si="201"/>
        <v>6.0499999999999998E-2</v>
      </c>
      <c r="I236">
        <f t="shared" si="210"/>
        <v>1836.25</v>
      </c>
      <c r="J236">
        <f>IF(A236&gt;=Quarterly!B$2,Quarterly!C$2,IF(COUNTIFS(Quarterly!B:B,"&gt;="&amp;A236-92,Quarterly!B:B,"&lt;="&amp;A236)&gt;1,SUMIFS(Quarterly!C:C,Quarterly!B:B,"&gt;="&amp;A236-88,Quarterly!B:B,"&lt;="&amp;A236),SUMIFS(Quarterly!C:C,Quarterly!B:B,"&gt;="&amp;A236-92,Quarterly!B:B,"&lt;="&amp;A236)))</f>
        <v>16999.900000000001</v>
      </c>
      <c r="K236" s="13">
        <f t="shared" si="211"/>
        <v>0.108</v>
      </c>
      <c r="L236">
        <f t="shared" si="213"/>
        <v>1836.25</v>
      </c>
      <c r="M236">
        <f>IF(A236&gt;=Quarterly!B$2,Quarterly!D$2,IF(COUNTIFS(Quarterly!B:B,"&gt;="&amp;A236-92,Quarterly!B:B,"&lt;="&amp;A236)&gt;1,SUMIFS(Quarterly!D:D,Quarterly!B:B,"&gt;="&amp;A236-88,Quarterly!B:B,"&lt;="&amp;A236),SUMIFS(Quarterly!D:D,Quarterly!B:B,"&gt;="&amp;A236-92,Quarterly!B:B,"&lt;="&amp;A236)))</f>
        <v>1730.336</v>
      </c>
      <c r="N236" s="13">
        <f t="shared" si="214"/>
        <v>0.10611999999999999</v>
      </c>
      <c r="O236">
        <f t="shared" si="202"/>
        <v>1836.25</v>
      </c>
      <c r="P236" s="56">
        <f>VLOOKUP(EOMONTH(A236,-1),Economic!A:I,7,FALSE)</f>
        <v>1313363</v>
      </c>
      <c r="Q236" s="13">
        <f t="shared" si="203"/>
        <v>0.13979999999999998</v>
      </c>
      <c r="R236" s="41">
        <v>2.4</v>
      </c>
      <c r="S236">
        <f t="shared" si="204"/>
        <v>1.51</v>
      </c>
      <c r="T236" s="30">
        <f t="shared" si="205"/>
        <v>134.03</v>
      </c>
      <c r="U236" s="30">
        <f t="shared" si="212"/>
        <v>133.13999999999999</v>
      </c>
    </row>
    <row r="237" spans="1:21" x14ac:dyDescent="0.25">
      <c r="A237" s="5">
        <v>41686</v>
      </c>
      <c r="B237" s="5">
        <f t="shared" si="206"/>
        <v>41698</v>
      </c>
      <c r="C237">
        <v>1838.63</v>
      </c>
      <c r="D237" s="29">
        <f t="shared" si="207"/>
        <v>2.0199999999999999E-2</v>
      </c>
      <c r="E237" s="39">
        <f t="shared" si="208"/>
        <v>1813.2053846153844</v>
      </c>
      <c r="F237" s="39">
        <f t="shared" si="209"/>
        <v>1726.7502564102567</v>
      </c>
      <c r="G237" s="29">
        <f t="shared" si="201"/>
        <v>1.4E-2</v>
      </c>
      <c r="H237" s="29">
        <f t="shared" si="201"/>
        <v>6.4799999999999996E-2</v>
      </c>
      <c r="I237">
        <f t="shared" si="210"/>
        <v>1838.63</v>
      </c>
      <c r="J237">
        <f>IF(A237&gt;=Quarterly!B$2,Quarterly!C$2,IF(COUNTIFS(Quarterly!B:B,"&gt;="&amp;A237-92,Quarterly!B:B,"&lt;="&amp;A237)&gt;1,SUMIFS(Quarterly!C:C,Quarterly!B:B,"&gt;="&amp;A237-88,Quarterly!B:B,"&lt;="&amp;A237),SUMIFS(Quarterly!C:C,Quarterly!B:B,"&gt;="&amp;A237-92,Quarterly!B:B,"&lt;="&amp;A237)))</f>
        <v>16999.900000000001</v>
      </c>
      <c r="K237" s="13">
        <f t="shared" si="211"/>
        <v>0.1082</v>
      </c>
      <c r="L237">
        <f t="shared" si="213"/>
        <v>1838.63</v>
      </c>
      <c r="M237">
        <f>IF(A237&gt;=Quarterly!B$2,Quarterly!D$2,IF(COUNTIFS(Quarterly!B:B,"&gt;="&amp;A237-92,Quarterly!B:B,"&lt;="&amp;A237)&gt;1,SUMIFS(Quarterly!D:D,Quarterly!B:B,"&gt;="&amp;A237-88,Quarterly!B:B,"&lt;="&amp;A237),SUMIFS(Quarterly!D:D,Quarterly!B:B,"&gt;="&amp;A237-92,Quarterly!B:B,"&lt;="&amp;A237)))</f>
        <v>1730.336</v>
      </c>
      <c r="N237" s="13">
        <f t="shared" si="214"/>
        <v>0.10626000000000001</v>
      </c>
      <c r="O237">
        <f t="shared" si="202"/>
        <v>1838.63</v>
      </c>
      <c r="P237" s="56">
        <f>VLOOKUP(EOMONTH(A237,-1),Economic!A:I,7,FALSE)</f>
        <v>1313363</v>
      </c>
      <c r="Q237" s="13">
        <f t="shared" si="203"/>
        <v>0.13999999999999999</v>
      </c>
      <c r="R237" s="41">
        <v>2.4300000000000002</v>
      </c>
      <c r="S237">
        <f t="shared" si="204"/>
        <v>1.48</v>
      </c>
      <c r="T237" s="30">
        <f t="shared" si="205"/>
        <v>132.94</v>
      </c>
      <c r="U237" s="30">
        <f t="shared" si="212"/>
        <v>132.62</v>
      </c>
    </row>
    <row r="238" spans="1:21" x14ac:dyDescent="0.25">
      <c r="A238" s="5">
        <v>41679</v>
      </c>
      <c r="B238" s="5">
        <f t="shared" si="206"/>
        <v>41698</v>
      </c>
      <c r="C238">
        <v>1797.02</v>
      </c>
      <c r="D238" s="29">
        <f t="shared" si="207"/>
        <v>-9.1000000000000004E-3</v>
      </c>
      <c r="E238" s="39">
        <f t="shared" si="208"/>
        <v>1810.093846153846</v>
      </c>
      <c r="F238" s="39">
        <f t="shared" si="209"/>
        <v>1722.3615384615382</v>
      </c>
      <c r="G238" s="29">
        <f t="shared" si="201"/>
        <v>-7.1999999999999998E-3</v>
      </c>
      <c r="H238" s="29">
        <f t="shared" si="201"/>
        <v>4.3299999999999998E-2</v>
      </c>
      <c r="I238">
        <f t="shared" si="210"/>
        <v>1797.02</v>
      </c>
      <c r="J238">
        <f>IF(A238&gt;=Quarterly!B$2,Quarterly!C$2,IF(COUNTIFS(Quarterly!B:B,"&gt;="&amp;A238-92,Quarterly!B:B,"&lt;="&amp;A238)&gt;1,SUMIFS(Quarterly!C:C,Quarterly!B:B,"&gt;="&amp;A238-88,Quarterly!B:B,"&lt;="&amp;A238),SUMIFS(Quarterly!C:C,Quarterly!B:B,"&gt;="&amp;A238-92,Quarterly!B:B,"&lt;="&amp;A238)))</f>
        <v>16999.900000000001</v>
      </c>
      <c r="K238" s="13">
        <f t="shared" si="211"/>
        <v>0.1057</v>
      </c>
      <c r="L238">
        <f t="shared" si="213"/>
        <v>1797.02</v>
      </c>
      <c r="M238">
        <f>IF(A238&gt;=Quarterly!B$2,Quarterly!D$2,IF(COUNTIFS(Quarterly!B:B,"&gt;="&amp;A238-92,Quarterly!B:B,"&lt;="&amp;A238)&gt;1,SUMIFS(Quarterly!D:D,Quarterly!B:B,"&gt;="&amp;A238-88,Quarterly!B:B,"&lt;="&amp;A238),SUMIFS(Quarterly!D:D,Quarterly!B:B,"&gt;="&amp;A238-92,Quarterly!B:B,"&lt;="&amp;A238)))</f>
        <v>1730.336</v>
      </c>
      <c r="N238" s="13">
        <f t="shared" si="214"/>
        <v>0.10385</v>
      </c>
      <c r="O238">
        <f t="shared" si="202"/>
        <v>1797.02</v>
      </c>
      <c r="P238" s="56">
        <f>VLOOKUP(EOMONTH(A238,-1),Economic!A:I,7,FALSE)</f>
        <v>1313363</v>
      </c>
      <c r="Q238" s="13">
        <f t="shared" si="203"/>
        <v>0.1368</v>
      </c>
      <c r="R238" s="41">
        <v>2.41</v>
      </c>
      <c r="S238">
        <f t="shared" si="204"/>
        <v>1.39</v>
      </c>
      <c r="T238" s="30">
        <f t="shared" si="205"/>
        <v>132.44999999999999</v>
      </c>
      <c r="U238" s="30">
        <f t="shared" si="212"/>
        <v>131.35</v>
      </c>
    </row>
    <row r="239" spans="1:21" x14ac:dyDescent="0.25">
      <c r="A239" s="5">
        <v>41672</v>
      </c>
      <c r="B239" s="5">
        <f t="shared" si="206"/>
        <v>41698</v>
      </c>
      <c r="C239">
        <v>1782.59</v>
      </c>
      <c r="D239" s="29">
        <f t="shared" si="207"/>
        <v>-2.3599999999999999E-2</v>
      </c>
      <c r="E239" s="39">
        <f t="shared" si="208"/>
        <v>1808.0623076923075</v>
      </c>
      <c r="F239" s="39">
        <f t="shared" si="209"/>
        <v>1718.1738461538462</v>
      </c>
      <c r="G239" s="29">
        <f t="shared" si="201"/>
        <v>-1.41E-2</v>
      </c>
      <c r="H239" s="29">
        <f t="shared" si="201"/>
        <v>3.7499999999999999E-2</v>
      </c>
      <c r="I239">
        <f t="shared" si="210"/>
        <v>1782.59</v>
      </c>
      <c r="J239">
        <f>IF(A239&gt;=Quarterly!B$2,Quarterly!C$2,IF(COUNTIFS(Quarterly!B:B,"&gt;="&amp;A239-92,Quarterly!B:B,"&lt;="&amp;A239)&gt;1,SUMIFS(Quarterly!C:C,Quarterly!B:B,"&gt;="&amp;A239-88,Quarterly!B:B,"&lt;="&amp;A239),SUMIFS(Quarterly!C:C,Quarterly!B:B,"&gt;="&amp;A239-92,Quarterly!B:B,"&lt;="&amp;A239)))</f>
        <v>16999.900000000001</v>
      </c>
      <c r="K239" s="13">
        <f t="shared" si="211"/>
        <v>0.10489999999999999</v>
      </c>
      <c r="L239">
        <f t="shared" si="213"/>
        <v>1782.59</v>
      </c>
      <c r="M239">
        <f>IF(A239&gt;=Quarterly!B$2,Quarterly!D$2,IF(COUNTIFS(Quarterly!B:B,"&gt;="&amp;A239-92,Quarterly!B:B,"&lt;="&amp;A239)&gt;1,SUMIFS(Quarterly!D:D,Quarterly!B:B,"&gt;="&amp;A239-88,Quarterly!B:B,"&lt;="&amp;A239),SUMIFS(Quarterly!D:D,Quarterly!B:B,"&gt;="&amp;A239-92,Quarterly!B:B,"&lt;="&amp;A239)))</f>
        <v>1730.336</v>
      </c>
      <c r="N239" s="13">
        <f t="shared" si="214"/>
        <v>0.10302</v>
      </c>
      <c r="O239">
        <f t="shared" si="202"/>
        <v>1782.59</v>
      </c>
      <c r="P239" s="56">
        <f>VLOOKUP(EOMONTH(A239,-1),Economic!A:I,7,FALSE)</f>
        <v>1313363</v>
      </c>
      <c r="Q239" s="13">
        <f t="shared" si="203"/>
        <v>0.13569999999999999</v>
      </c>
      <c r="R239" s="41">
        <v>2.33</v>
      </c>
      <c r="S239">
        <f t="shared" si="204"/>
        <v>1.37</v>
      </c>
      <c r="T239" s="30">
        <f t="shared" si="205"/>
        <v>132.47999999999999</v>
      </c>
      <c r="U239" s="30">
        <f t="shared" si="212"/>
        <v>128.71</v>
      </c>
    </row>
    <row r="240" spans="1:21" x14ac:dyDescent="0.25">
      <c r="A240" s="5">
        <v>41665</v>
      </c>
      <c r="B240" s="5">
        <f t="shared" si="206"/>
        <v>41670</v>
      </c>
      <c r="C240">
        <v>1790.29</v>
      </c>
      <c r="D240" s="29">
        <f t="shared" si="207"/>
        <v>-2.6200000000000001E-2</v>
      </c>
      <c r="E240" s="39">
        <f t="shared" si="208"/>
        <v>1806.4507692307691</v>
      </c>
      <c r="F240" s="39">
        <f t="shared" si="209"/>
        <v>1713.8617948717945</v>
      </c>
      <c r="G240" s="29">
        <f t="shared" si="201"/>
        <v>-8.8999999999999999E-3</v>
      </c>
      <c r="H240" s="29">
        <f t="shared" si="201"/>
        <v>4.4600000000000001E-2</v>
      </c>
      <c r="I240">
        <f t="shared" si="210"/>
        <v>1790.29</v>
      </c>
      <c r="J240">
        <f>IF(A240&gt;=Quarterly!B$2,Quarterly!C$2,IF(COUNTIFS(Quarterly!B:B,"&gt;="&amp;A240-92,Quarterly!B:B,"&lt;="&amp;A240)&gt;1,SUMIFS(Quarterly!C:C,Quarterly!B:B,"&gt;="&amp;A240-88,Quarterly!B:B,"&lt;="&amp;A240),SUMIFS(Quarterly!C:C,Quarterly!B:B,"&gt;="&amp;A240-92,Quarterly!B:B,"&lt;="&amp;A240)))</f>
        <v>16749.3</v>
      </c>
      <c r="K240" s="13">
        <f t="shared" si="211"/>
        <v>0.1069</v>
      </c>
      <c r="L240">
        <f t="shared" si="213"/>
        <v>1790.29</v>
      </c>
      <c r="M240">
        <f>IF(A240&gt;=Quarterly!B$2,Quarterly!D$2,IF(COUNTIFS(Quarterly!B:B,"&gt;="&amp;A240-92,Quarterly!B:B,"&lt;="&amp;A240)&gt;1,SUMIFS(Quarterly!D:D,Quarterly!B:B,"&gt;="&amp;A240-88,Quarterly!B:B,"&lt;="&amp;A240),SUMIFS(Quarterly!D:D,Quarterly!B:B,"&gt;="&amp;A240-92,Quarterly!B:B,"&lt;="&amp;A240)))</f>
        <v>1685.6010000000001</v>
      </c>
      <c r="N240" s="13">
        <f t="shared" si="214"/>
        <v>0.10621000000000001</v>
      </c>
      <c r="O240">
        <f t="shared" si="202"/>
        <v>1790.29</v>
      </c>
      <c r="P240" s="56">
        <f>VLOOKUP(EOMONTH(A240,-1),Economic!A:I,7,FALSE)</f>
        <v>1306953</v>
      </c>
      <c r="Q240" s="13">
        <f t="shared" si="203"/>
        <v>0.13699999999999998</v>
      </c>
      <c r="R240" s="41">
        <v>2.38</v>
      </c>
      <c r="S240">
        <f t="shared" si="204"/>
        <v>1.41</v>
      </c>
      <c r="T240" s="30">
        <f t="shared" si="205"/>
        <v>129.11000000000001</v>
      </c>
      <c r="U240" s="30">
        <f t="shared" si="212"/>
        <v>126.27</v>
      </c>
    </row>
    <row r="241" spans="1:21" x14ac:dyDescent="0.25">
      <c r="A241" s="5">
        <v>41658</v>
      </c>
      <c r="B241" s="5">
        <f t="shared" si="206"/>
        <v>41670</v>
      </c>
      <c r="C241">
        <v>1838.7</v>
      </c>
      <c r="D241" s="29">
        <f t="shared" si="207"/>
        <v>2.8999999999999998E-3</v>
      </c>
      <c r="E241" s="39">
        <f t="shared" si="208"/>
        <v>1804.103076923077</v>
      </c>
      <c r="F241" s="39">
        <f t="shared" si="209"/>
        <v>1708.5271794871794</v>
      </c>
      <c r="G241" s="29">
        <f t="shared" si="201"/>
        <v>1.9199999999999998E-2</v>
      </c>
      <c r="H241" s="29">
        <f t="shared" si="201"/>
        <v>7.6200000000000004E-2</v>
      </c>
      <c r="I241">
        <f t="shared" si="210"/>
        <v>1838.7</v>
      </c>
      <c r="J241">
        <f>IF(A241&gt;=Quarterly!B$2,Quarterly!C$2,IF(COUNTIFS(Quarterly!B:B,"&gt;="&amp;A241-92,Quarterly!B:B,"&lt;="&amp;A241)&gt;1,SUMIFS(Quarterly!C:C,Quarterly!B:B,"&gt;="&amp;A241-88,Quarterly!B:B,"&lt;="&amp;A241),SUMIFS(Quarterly!C:C,Quarterly!B:B,"&gt;="&amp;A241-92,Quarterly!B:B,"&lt;="&amp;A241)))</f>
        <v>16749.3</v>
      </c>
      <c r="K241" s="13">
        <f t="shared" si="211"/>
        <v>0.10979999999999999</v>
      </c>
      <c r="L241">
        <f t="shared" si="213"/>
        <v>1838.7</v>
      </c>
      <c r="M241">
        <f>IF(A241&gt;=Quarterly!B$2,Quarterly!D$2,IF(COUNTIFS(Quarterly!B:B,"&gt;="&amp;A241-92,Quarterly!B:B,"&lt;="&amp;A241)&gt;1,SUMIFS(Quarterly!D:D,Quarterly!B:B,"&gt;="&amp;A241-88,Quarterly!B:B,"&lt;="&amp;A241),SUMIFS(Quarterly!D:D,Quarterly!B:B,"&gt;="&amp;A241-92,Quarterly!B:B,"&lt;="&amp;A241)))</f>
        <v>1685.6010000000001</v>
      </c>
      <c r="N241" s="13">
        <f t="shared" si="214"/>
        <v>0.10908000000000001</v>
      </c>
      <c r="O241">
        <f t="shared" si="202"/>
        <v>1838.7</v>
      </c>
      <c r="P241" s="56">
        <f>VLOOKUP(EOMONTH(A241,-1),Economic!A:I,7,FALSE)</f>
        <v>1306953</v>
      </c>
      <c r="Q241" s="13">
        <f t="shared" si="203"/>
        <v>0.14069999999999999</v>
      </c>
      <c r="R241" s="41">
        <v>2.44</v>
      </c>
      <c r="S241">
        <f t="shared" si="204"/>
        <v>1.34</v>
      </c>
      <c r="T241" s="30">
        <f t="shared" si="205"/>
        <v>124.54</v>
      </c>
      <c r="U241" s="30">
        <f t="shared" si="212"/>
        <v>127.02</v>
      </c>
    </row>
    <row r="242" spans="1:21" x14ac:dyDescent="0.25">
      <c r="A242" s="5">
        <v>41651</v>
      </c>
      <c r="B242" s="5">
        <f t="shared" si="206"/>
        <v>41670</v>
      </c>
      <c r="C242">
        <v>1842.37</v>
      </c>
      <c r="D242" s="29">
        <f t="shared" si="207"/>
        <v>1.4200000000000001E-2</v>
      </c>
      <c r="E242" s="39">
        <f t="shared" si="208"/>
        <v>1796.8569230769231</v>
      </c>
      <c r="F242" s="39">
        <f t="shared" si="209"/>
        <v>1701.2592307692305</v>
      </c>
      <c r="G242" s="29">
        <f t="shared" si="201"/>
        <v>2.53E-2</v>
      </c>
      <c r="H242" s="29">
        <f t="shared" si="201"/>
        <v>8.2900000000000001E-2</v>
      </c>
      <c r="I242">
        <f t="shared" si="210"/>
        <v>1842.37</v>
      </c>
      <c r="J242">
        <f>IF(A242&gt;=Quarterly!B$2,Quarterly!C$2,IF(COUNTIFS(Quarterly!B:B,"&gt;="&amp;A242-92,Quarterly!B:B,"&lt;="&amp;A242)&gt;1,SUMIFS(Quarterly!C:C,Quarterly!B:B,"&gt;="&amp;A242-88,Quarterly!B:B,"&lt;="&amp;A242),SUMIFS(Quarterly!C:C,Quarterly!B:B,"&gt;="&amp;A242-92,Quarterly!B:B,"&lt;="&amp;A242)))</f>
        <v>16749.3</v>
      </c>
      <c r="K242" s="13">
        <f t="shared" si="211"/>
        <v>0.11</v>
      </c>
      <c r="L242">
        <f t="shared" si="213"/>
        <v>1842.37</v>
      </c>
      <c r="M242">
        <f>IF(A242&gt;=Quarterly!B$2,Quarterly!D$2,IF(COUNTIFS(Quarterly!B:B,"&gt;="&amp;A242-92,Quarterly!B:B,"&lt;="&amp;A242)&gt;1,SUMIFS(Quarterly!D:D,Quarterly!B:B,"&gt;="&amp;A242-88,Quarterly!B:B,"&lt;="&amp;A242),SUMIFS(Quarterly!D:D,Quarterly!B:B,"&gt;="&amp;A242-92,Quarterly!B:B,"&lt;="&amp;A242)))</f>
        <v>1685.6010000000001</v>
      </c>
      <c r="N242" s="13">
        <f t="shared" si="214"/>
        <v>0.10930000000000001</v>
      </c>
      <c r="O242">
        <f t="shared" si="202"/>
        <v>1842.37</v>
      </c>
      <c r="P242" s="56">
        <f>VLOOKUP(EOMONTH(A242,-1),Economic!A:I,7,FALSE)</f>
        <v>1306953</v>
      </c>
      <c r="Q242" s="13">
        <f t="shared" si="203"/>
        <v>0.14100000000000001</v>
      </c>
      <c r="R242" s="41">
        <v>2.4900000000000002</v>
      </c>
      <c r="S242">
        <f t="shared" si="204"/>
        <v>1.34</v>
      </c>
      <c r="T242" s="30">
        <f t="shared" si="205"/>
        <v>125.17</v>
      </c>
      <c r="U242" s="30">
        <f t="shared" si="212"/>
        <v>129.69</v>
      </c>
    </row>
    <row r="243" spans="1:21" x14ac:dyDescent="0.25">
      <c r="A243" s="5">
        <v>41644</v>
      </c>
      <c r="B243" s="5">
        <f t="shared" si="206"/>
        <v>41670</v>
      </c>
      <c r="C243">
        <v>1831.37</v>
      </c>
      <c r="D243" s="29">
        <f t="shared" si="207"/>
        <v>1.18E-2</v>
      </c>
      <c r="E243" s="39">
        <f t="shared" si="208"/>
        <v>1786.1515384615386</v>
      </c>
      <c r="F243" s="39">
        <f t="shared" si="209"/>
        <v>1694.758717948718</v>
      </c>
      <c r="G243" s="29">
        <f t="shared" si="201"/>
        <v>2.53E-2</v>
      </c>
      <c r="H243" s="29">
        <f t="shared" si="201"/>
        <v>8.0600000000000005E-2</v>
      </c>
      <c r="I243">
        <f t="shared" si="210"/>
        <v>1831.37</v>
      </c>
      <c r="J243">
        <f>IF(A243&gt;=Quarterly!B$2,Quarterly!C$2,IF(COUNTIFS(Quarterly!B:B,"&gt;="&amp;A243-92,Quarterly!B:B,"&lt;="&amp;A243)&gt;1,SUMIFS(Quarterly!C:C,Quarterly!B:B,"&gt;="&amp;A243-88,Quarterly!B:B,"&lt;="&amp;A243),SUMIFS(Quarterly!C:C,Quarterly!B:B,"&gt;="&amp;A243-92,Quarterly!B:B,"&lt;="&amp;A243)))</f>
        <v>16749.3</v>
      </c>
      <c r="K243" s="13">
        <f t="shared" si="211"/>
        <v>0.10929999999999999</v>
      </c>
      <c r="L243">
        <f t="shared" si="213"/>
        <v>1831.37</v>
      </c>
      <c r="M243">
        <f>IF(A243&gt;=Quarterly!B$2,Quarterly!D$2,IF(COUNTIFS(Quarterly!B:B,"&gt;="&amp;A243-92,Quarterly!B:B,"&lt;="&amp;A243)&gt;1,SUMIFS(Quarterly!D:D,Quarterly!B:B,"&gt;="&amp;A243-88,Quarterly!B:B,"&lt;="&amp;A243),SUMIFS(Quarterly!D:D,Quarterly!B:B,"&gt;="&amp;A243-92,Quarterly!B:B,"&lt;="&amp;A243)))</f>
        <v>1685.6010000000001</v>
      </c>
      <c r="N243" s="13">
        <f t="shared" si="214"/>
        <v>0.10865000000000001</v>
      </c>
      <c r="O243">
        <f t="shared" si="202"/>
        <v>1831.37</v>
      </c>
      <c r="P243" s="56">
        <f>VLOOKUP(EOMONTH(A243,-1),Economic!A:I,7,FALSE)</f>
        <v>1306953</v>
      </c>
      <c r="Q243" s="13">
        <f t="shared" si="203"/>
        <v>0.1401</v>
      </c>
      <c r="R243" s="41">
        <v>2.6</v>
      </c>
      <c r="S243">
        <f t="shared" si="204"/>
        <v>1.47</v>
      </c>
      <c r="T243" s="30">
        <f t="shared" si="205"/>
        <v>131.35</v>
      </c>
      <c r="U243" s="30">
        <f t="shared" si="212"/>
        <v>133.06</v>
      </c>
    </row>
    <row r="244" spans="1:21" x14ac:dyDescent="0.25">
      <c r="A244" s="5">
        <v>41637</v>
      </c>
      <c r="B244" s="5">
        <f t="shared" si="206"/>
        <v>41639</v>
      </c>
      <c r="C244">
        <v>1841.4</v>
      </c>
      <c r="D244" s="29">
        <f t="shared" si="207"/>
        <v>2.24E-2</v>
      </c>
      <c r="E244" s="39">
        <f t="shared" si="208"/>
        <v>1775.3153846153848</v>
      </c>
      <c r="F244" s="39">
        <f t="shared" si="209"/>
        <v>1687.6282051282051</v>
      </c>
      <c r="G244" s="29">
        <f t="shared" si="201"/>
        <v>3.7199999999999997E-2</v>
      </c>
      <c r="H244" s="29">
        <f t="shared" si="201"/>
        <v>9.11E-2</v>
      </c>
      <c r="I244">
        <f t="shared" si="210"/>
        <v>1841.4</v>
      </c>
      <c r="J244">
        <f>IF(A244&gt;=Quarterly!B$2,Quarterly!C$2,IF(COUNTIFS(Quarterly!B:B,"&gt;="&amp;A244-92,Quarterly!B:B,"&lt;="&amp;A244)&gt;1,SUMIFS(Quarterly!C:C,Quarterly!B:B,"&gt;="&amp;A244-88,Quarterly!B:B,"&lt;="&amp;A244),SUMIFS(Quarterly!C:C,Quarterly!B:B,"&gt;="&amp;A244-92,Quarterly!B:B,"&lt;="&amp;A244)))</f>
        <v>16749.3</v>
      </c>
      <c r="K244" s="13">
        <f t="shared" si="211"/>
        <v>0.1099</v>
      </c>
      <c r="L244">
        <f t="shared" si="213"/>
        <v>1841.4</v>
      </c>
      <c r="M244">
        <f>IF(A244&gt;=Quarterly!B$2,Quarterly!D$2,IF(COUNTIFS(Quarterly!B:B,"&gt;="&amp;A244-92,Quarterly!B:B,"&lt;="&amp;A244)&gt;1,SUMIFS(Quarterly!D:D,Quarterly!B:B,"&gt;="&amp;A244-88,Quarterly!B:B,"&lt;="&amp;A244),SUMIFS(Quarterly!D:D,Quarterly!B:B,"&gt;="&amp;A244-92,Quarterly!B:B,"&lt;="&amp;A244)))</f>
        <v>1685.6010000000001</v>
      </c>
      <c r="N244" s="13">
        <f t="shared" si="214"/>
        <v>0.10924</v>
      </c>
      <c r="O244">
        <f t="shared" si="202"/>
        <v>1841.4</v>
      </c>
      <c r="P244" s="56">
        <f>VLOOKUP(EOMONTH(A244,-1),Economic!A:I,7,FALSE)</f>
        <v>1302025</v>
      </c>
      <c r="Q244" s="13">
        <f t="shared" si="203"/>
        <v>0.1414</v>
      </c>
      <c r="R244" s="41">
        <v>2.62</v>
      </c>
      <c r="S244">
        <f t="shared" si="204"/>
        <v>1.48</v>
      </c>
      <c r="T244" s="30">
        <f t="shared" si="205"/>
        <v>132.54</v>
      </c>
      <c r="U244" s="30">
        <f t="shared" si="212"/>
        <v>134.66</v>
      </c>
    </row>
    <row r="245" spans="1:21" x14ac:dyDescent="0.25">
      <c r="A245" s="5">
        <v>41630</v>
      </c>
      <c r="B245" s="5">
        <f t="shared" si="206"/>
        <v>41639</v>
      </c>
      <c r="C245">
        <v>1818.32</v>
      </c>
      <c r="D245" s="29">
        <f t="shared" si="207"/>
        <v>1.14E-2</v>
      </c>
      <c r="E245" s="39">
        <f t="shared" si="208"/>
        <v>1763.8038461538463</v>
      </c>
      <c r="F245" s="39">
        <f t="shared" si="209"/>
        <v>1680.6484615384613</v>
      </c>
      <c r="G245" s="29">
        <f t="shared" si="201"/>
        <v>3.09E-2</v>
      </c>
      <c r="H245" s="29">
        <f t="shared" si="201"/>
        <v>8.1900000000000001E-2</v>
      </c>
      <c r="I245">
        <f t="shared" si="210"/>
        <v>1818.32</v>
      </c>
      <c r="J245">
        <f>IF(A245&gt;=Quarterly!B$2,Quarterly!C$2,IF(COUNTIFS(Quarterly!B:B,"&gt;="&amp;A245-92,Quarterly!B:B,"&lt;="&amp;A245)&gt;1,SUMIFS(Quarterly!C:C,Quarterly!B:B,"&gt;="&amp;A245-88,Quarterly!B:B,"&lt;="&amp;A245),SUMIFS(Quarterly!C:C,Quarterly!B:B,"&gt;="&amp;A245-92,Quarterly!B:B,"&lt;="&amp;A245)))</f>
        <v>16749.3</v>
      </c>
      <c r="K245" s="13">
        <f t="shared" si="211"/>
        <v>0.1086</v>
      </c>
      <c r="L245">
        <f t="shared" si="213"/>
        <v>1818.32</v>
      </c>
      <c r="M245">
        <f>IF(A245&gt;=Quarterly!B$2,Quarterly!D$2,IF(COUNTIFS(Quarterly!B:B,"&gt;="&amp;A245-92,Quarterly!B:B,"&lt;="&amp;A245)&gt;1,SUMIFS(Quarterly!D:D,Quarterly!B:B,"&gt;="&amp;A245-88,Quarterly!B:B,"&lt;="&amp;A245),SUMIFS(Quarterly!D:D,Quarterly!B:B,"&gt;="&amp;A245-92,Quarterly!B:B,"&lt;="&amp;A245)))</f>
        <v>1685.6010000000001</v>
      </c>
      <c r="N245" s="13">
        <f t="shared" si="214"/>
        <v>0.10787000000000001</v>
      </c>
      <c r="O245">
        <f t="shared" si="202"/>
        <v>1818.32</v>
      </c>
      <c r="P245" s="56">
        <f>VLOOKUP(EOMONTH(A245,-1),Economic!A:I,7,FALSE)</f>
        <v>1302025</v>
      </c>
      <c r="Q245" s="13">
        <f t="shared" si="203"/>
        <v>0.13969999999999999</v>
      </c>
      <c r="R245" s="41">
        <v>2.52</v>
      </c>
      <c r="S245">
        <f t="shared" si="204"/>
        <v>1.49</v>
      </c>
      <c r="T245" s="30">
        <f t="shared" si="205"/>
        <v>135.30000000000001</v>
      </c>
      <c r="U245" s="30">
        <f t="shared" si="212"/>
        <v>136.30000000000001</v>
      </c>
    </row>
    <row r="246" spans="1:21" x14ac:dyDescent="0.25">
      <c r="A246" s="5">
        <v>41623</v>
      </c>
      <c r="B246" s="5">
        <f t="shared" si="206"/>
        <v>41639</v>
      </c>
      <c r="C246">
        <v>1775.32</v>
      </c>
      <c r="D246" s="29">
        <f t="shared" si="207"/>
        <v>-1.5599999999999999E-2</v>
      </c>
      <c r="E246" s="39">
        <f t="shared" si="208"/>
        <v>1755.4646153846154</v>
      </c>
      <c r="F246" s="39">
        <f t="shared" si="209"/>
        <v>1673.945128205128</v>
      </c>
      <c r="G246" s="29">
        <f t="shared" si="201"/>
        <v>1.1299999999999999E-2</v>
      </c>
      <c r="H246" s="29">
        <f t="shared" si="201"/>
        <v>6.0600000000000001E-2</v>
      </c>
      <c r="I246">
        <f t="shared" si="210"/>
        <v>1775.32</v>
      </c>
      <c r="J246">
        <f>IF(A246&gt;=Quarterly!B$2,Quarterly!C$2,IF(COUNTIFS(Quarterly!B:B,"&gt;="&amp;A246-92,Quarterly!B:B,"&lt;="&amp;A246)&gt;1,SUMIFS(Quarterly!C:C,Quarterly!B:B,"&gt;="&amp;A246-88,Quarterly!B:B,"&lt;="&amp;A246),SUMIFS(Quarterly!C:C,Quarterly!B:B,"&gt;="&amp;A246-92,Quarterly!B:B,"&lt;="&amp;A246)))</f>
        <v>16749.3</v>
      </c>
      <c r="K246" s="13">
        <f t="shared" si="211"/>
        <v>0.106</v>
      </c>
      <c r="L246">
        <f t="shared" si="213"/>
        <v>1775.32</v>
      </c>
      <c r="M246">
        <f>IF(A246&gt;=Quarterly!B$2,Quarterly!D$2,IF(COUNTIFS(Quarterly!B:B,"&gt;="&amp;A246-92,Quarterly!B:B,"&lt;="&amp;A246)&gt;1,SUMIFS(Quarterly!D:D,Quarterly!B:B,"&gt;="&amp;A246-88,Quarterly!B:B,"&lt;="&amp;A246),SUMIFS(Quarterly!D:D,Quarterly!B:B,"&gt;="&amp;A246-92,Quarterly!B:B,"&lt;="&amp;A246)))</f>
        <v>1685.6010000000001</v>
      </c>
      <c r="N246" s="13">
        <f t="shared" si="214"/>
        <v>0.10532</v>
      </c>
      <c r="O246">
        <f t="shared" si="202"/>
        <v>1775.32</v>
      </c>
      <c r="P246" s="56">
        <f>VLOOKUP(EOMONTH(A246,-1),Economic!A:I,7,FALSE)</f>
        <v>1302025</v>
      </c>
      <c r="Q246" s="13">
        <f t="shared" si="203"/>
        <v>0.13639999999999999</v>
      </c>
      <c r="R246" s="41">
        <v>2.54</v>
      </c>
      <c r="S246">
        <f t="shared" si="204"/>
        <v>1.42</v>
      </c>
      <c r="T246" s="30">
        <f t="shared" si="205"/>
        <v>136.13999999999999</v>
      </c>
      <c r="U246" s="30">
        <f t="shared" si="212"/>
        <v>136.93</v>
      </c>
    </row>
    <row r="247" spans="1:21" x14ac:dyDescent="0.25">
      <c r="A247" s="5">
        <v>41616</v>
      </c>
      <c r="B247" s="5">
        <f t="shared" si="206"/>
        <v>41639</v>
      </c>
      <c r="C247">
        <v>1805.09</v>
      </c>
      <c r="D247" s="29">
        <f t="shared" si="207"/>
        <v>5.7000000000000002E-3</v>
      </c>
      <c r="E247" s="39">
        <f t="shared" si="208"/>
        <v>1748.7469230769234</v>
      </c>
      <c r="F247" s="39">
        <f t="shared" si="209"/>
        <v>1668.4420512820511</v>
      </c>
      <c r="G247" s="29">
        <f t="shared" si="201"/>
        <v>3.2199999999999999E-2</v>
      </c>
      <c r="H247" s="29">
        <f t="shared" si="201"/>
        <v>8.1900000000000001E-2</v>
      </c>
      <c r="I247">
        <f t="shared" si="210"/>
        <v>1805.09</v>
      </c>
      <c r="J247">
        <f>IF(A247&gt;=Quarterly!B$2,Quarterly!C$2,IF(COUNTIFS(Quarterly!B:B,"&gt;="&amp;A247-92,Quarterly!B:B,"&lt;="&amp;A247)&gt;1,SUMIFS(Quarterly!C:C,Quarterly!B:B,"&gt;="&amp;A247-88,Quarterly!B:B,"&lt;="&amp;A247),SUMIFS(Quarterly!C:C,Quarterly!B:B,"&gt;="&amp;A247-92,Quarterly!B:B,"&lt;="&amp;A247)))</f>
        <v>16749.3</v>
      </c>
      <c r="K247" s="13">
        <f t="shared" si="211"/>
        <v>0.10780000000000001</v>
      </c>
      <c r="L247">
        <f t="shared" si="213"/>
        <v>1805.09</v>
      </c>
      <c r="M247">
        <f>IF(A247&gt;=Quarterly!B$2,Quarterly!D$2,IF(COUNTIFS(Quarterly!B:B,"&gt;="&amp;A247-92,Quarterly!B:B,"&lt;="&amp;A247)&gt;1,SUMIFS(Quarterly!D:D,Quarterly!B:B,"&gt;="&amp;A247-88,Quarterly!B:B,"&lt;="&amp;A247),SUMIFS(Quarterly!D:D,Quarterly!B:B,"&gt;="&amp;A247-92,Quarterly!B:B,"&lt;="&amp;A247)))</f>
        <v>1685.6010000000001</v>
      </c>
      <c r="N247" s="13">
        <f t="shared" si="214"/>
        <v>0.10709</v>
      </c>
      <c r="O247">
        <f t="shared" si="202"/>
        <v>1805.09</v>
      </c>
      <c r="P247" s="56">
        <f>VLOOKUP(EOMONTH(A247,-1),Economic!A:I,7,FALSE)</f>
        <v>1302025</v>
      </c>
      <c r="Q247" s="13">
        <f t="shared" si="203"/>
        <v>0.1386</v>
      </c>
      <c r="R247" s="41">
        <v>2.58</v>
      </c>
      <c r="S247">
        <f t="shared" si="204"/>
        <v>1.48</v>
      </c>
      <c r="T247" s="30">
        <f t="shared" si="205"/>
        <v>137.46</v>
      </c>
      <c r="U247" s="30">
        <f t="shared" si="212"/>
        <v>138.71</v>
      </c>
    </row>
    <row r="248" spans="1:21" x14ac:dyDescent="0.25">
      <c r="A248" s="5">
        <v>41609</v>
      </c>
      <c r="B248" s="5">
        <f t="shared" si="206"/>
        <v>41639</v>
      </c>
      <c r="C248">
        <v>1805.81</v>
      </c>
      <c r="D248" s="29">
        <f t="shared" si="207"/>
        <v>1.23E-2</v>
      </c>
      <c r="E248" s="39">
        <f t="shared" si="208"/>
        <v>1737.2146153846154</v>
      </c>
      <c r="F248" s="39">
        <f t="shared" si="209"/>
        <v>1661.9315384615381</v>
      </c>
      <c r="G248" s="29">
        <f t="shared" si="201"/>
        <v>3.95E-2</v>
      </c>
      <c r="H248" s="29">
        <f t="shared" si="201"/>
        <v>8.6599999999999996E-2</v>
      </c>
      <c r="I248">
        <f t="shared" si="210"/>
        <v>1805.81</v>
      </c>
      <c r="J248">
        <f>IF(A248&gt;=Quarterly!B$2,Quarterly!C$2,IF(COUNTIFS(Quarterly!B:B,"&gt;="&amp;A248-92,Quarterly!B:B,"&lt;="&amp;A248)&gt;1,SUMIFS(Quarterly!C:C,Quarterly!B:B,"&gt;="&amp;A248-88,Quarterly!B:B,"&lt;="&amp;A248),SUMIFS(Quarterly!C:C,Quarterly!B:B,"&gt;="&amp;A248-92,Quarterly!B:B,"&lt;="&amp;A248)))</f>
        <v>16749.3</v>
      </c>
      <c r="K248" s="13">
        <f t="shared" si="211"/>
        <v>0.10780000000000001</v>
      </c>
      <c r="L248">
        <f t="shared" si="213"/>
        <v>1805.81</v>
      </c>
      <c r="M248">
        <f>IF(A248&gt;=Quarterly!B$2,Quarterly!D$2,IF(COUNTIFS(Quarterly!B:B,"&gt;="&amp;A248-92,Quarterly!B:B,"&lt;="&amp;A248)&gt;1,SUMIFS(Quarterly!D:D,Quarterly!B:B,"&gt;="&amp;A248-88,Quarterly!B:B,"&lt;="&amp;A248),SUMIFS(Quarterly!D:D,Quarterly!B:B,"&gt;="&amp;A248-92,Quarterly!B:B,"&lt;="&amp;A248)))</f>
        <v>1685.6010000000001</v>
      </c>
      <c r="N248" s="13">
        <f t="shared" si="214"/>
        <v>0.10713</v>
      </c>
      <c r="O248">
        <f t="shared" si="202"/>
        <v>1805.81</v>
      </c>
      <c r="P248" s="56">
        <f>VLOOKUP(EOMONTH(A248,-1),Economic!A:I,7,FALSE)</f>
        <v>1302025</v>
      </c>
      <c r="Q248" s="13">
        <f t="shared" si="203"/>
        <v>0.13869999999999999</v>
      </c>
      <c r="R248" s="41">
        <v>2.4700000000000002</v>
      </c>
      <c r="S248">
        <f t="shared" si="204"/>
        <v>1.42</v>
      </c>
      <c r="T248" s="30">
        <f t="shared" si="205"/>
        <v>137.19</v>
      </c>
      <c r="U248" s="30">
        <f t="shared" si="212"/>
        <v>141.82</v>
      </c>
    </row>
    <row r="249" spans="1:21" x14ac:dyDescent="0.25">
      <c r="A249" s="5">
        <v>41602</v>
      </c>
      <c r="B249" s="5">
        <f t="shared" si="206"/>
        <v>41608</v>
      </c>
      <c r="C249">
        <v>1804.76</v>
      </c>
      <c r="D249" s="29">
        <f t="shared" si="207"/>
        <v>1.8200000000000001E-2</v>
      </c>
      <c r="E249" s="39">
        <f t="shared" si="208"/>
        <v>1723.919230769231</v>
      </c>
      <c r="F249" s="39">
        <f t="shared" si="209"/>
        <v>1654.5569230769227</v>
      </c>
      <c r="G249" s="29">
        <f t="shared" si="201"/>
        <v>4.6899999999999997E-2</v>
      </c>
      <c r="H249" s="29">
        <f t="shared" si="201"/>
        <v>9.0800000000000006E-2</v>
      </c>
      <c r="I249">
        <f t="shared" si="210"/>
        <v>1804.76</v>
      </c>
      <c r="J249">
        <f>IF(A249&gt;=Quarterly!B$2,Quarterly!C$2,IF(COUNTIFS(Quarterly!B:B,"&gt;="&amp;A249-92,Quarterly!B:B,"&lt;="&amp;A249)&gt;1,SUMIFS(Quarterly!C:C,Quarterly!B:B,"&gt;="&amp;A249-88,Quarterly!B:B,"&lt;="&amp;A249),SUMIFS(Quarterly!C:C,Quarterly!B:B,"&gt;="&amp;A249-92,Quarterly!B:B,"&lt;="&amp;A249)))</f>
        <v>16749.3</v>
      </c>
      <c r="K249" s="13">
        <f t="shared" si="211"/>
        <v>0.10780000000000001</v>
      </c>
      <c r="L249">
        <f t="shared" si="213"/>
        <v>1804.76</v>
      </c>
      <c r="M249">
        <f>IF(A249&gt;=Quarterly!B$2,Quarterly!D$2,IF(COUNTIFS(Quarterly!B:B,"&gt;="&amp;A249-92,Quarterly!B:B,"&lt;="&amp;A249)&gt;1,SUMIFS(Quarterly!D:D,Quarterly!B:B,"&gt;="&amp;A249-88,Quarterly!B:B,"&lt;="&amp;A249),SUMIFS(Quarterly!D:D,Quarterly!B:B,"&gt;="&amp;A249-92,Quarterly!B:B,"&lt;="&amp;A249)))</f>
        <v>1685.6010000000001</v>
      </c>
      <c r="N249" s="13">
        <f t="shared" si="214"/>
        <v>0.10707</v>
      </c>
      <c r="O249">
        <f t="shared" si="202"/>
        <v>1804.76</v>
      </c>
      <c r="P249" s="56">
        <f>VLOOKUP(EOMONTH(A249,-1),Economic!A:I,7,FALSE)</f>
        <v>1298911</v>
      </c>
      <c r="Q249" s="13">
        <f t="shared" si="203"/>
        <v>0.1389</v>
      </c>
      <c r="R249" s="41">
        <v>2.44</v>
      </c>
      <c r="S249">
        <f t="shared" si="204"/>
        <v>1.5</v>
      </c>
      <c r="T249" s="30">
        <f t="shared" si="205"/>
        <v>141.49</v>
      </c>
      <c r="U249" s="30">
        <f t="shared" si="212"/>
        <v>143.91999999999999</v>
      </c>
    </row>
    <row r="250" spans="1:21" x14ac:dyDescent="0.25">
      <c r="A250" s="5">
        <v>41595</v>
      </c>
      <c r="B250" s="5">
        <f t="shared" si="206"/>
        <v>41608</v>
      </c>
      <c r="C250">
        <v>1798.18</v>
      </c>
      <c r="D250" s="29">
        <f t="shared" si="207"/>
        <v>2.2200000000000001E-2</v>
      </c>
      <c r="E250" s="39">
        <f t="shared" si="208"/>
        <v>1713.053076923077</v>
      </c>
      <c r="F250" s="39">
        <f t="shared" si="209"/>
        <v>1647.1425641025637</v>
      </c>
      <c r="G250" s="29">
        <f t="shared" si="201"/>
        <v>4.9700000000000001E-2</v>
      </c>
      <c r="H250" s="29">
        <f t="shared" si="201"/>
        <v>9.1700000000000004E-2</v>
      </c>
      <c r="I250">
        <f t="shared" si="210"/>
        <v>1798.18</v>
      </c>
      <c r="J250">
        <f>IF(A250&gt;=Quarterly!B$2,Quarterly!C$2,IF(COUNTIFS(Quarterly!B:B,"&gt;="&amp;A250-92,Quarterly!B:B,"&lt;="&amp;A250)&gt;1,SUMIFS(Quarterly!C:C,Quarterly!B:B,"&gt;="&amp;A250-88,Quarterly!B:B,"&lt;="&amp;A250),SUMIFS(Quarterly!C:C,Quarterly!B:B,"&gt;="&amp;A250-92,Quarterly!B:B,"&lt;="&amp;A250)))</f>
        <v>16749.3</v>
      </c>
      <c r="K250" s="13">
        <f t="shared" si="211"/>
        <v>0.1074</v>
      </c>
      <c r="L250">
        <f t="shared" si="213"/>
        <v>1798.18</v>
      </c>
      <c r="M250">
        <f>IF(A250&gt;=Quarterly!B$2,Quarterly!D$2,IF(COUNTIFS(Quarterly!B:B,"&gt;="&amp;A250-92,Quarterly!B:B,"&lt;="&amp;A250)&gt;1,SUMIFS(Quarterly!D:D,Quarterly!B:B,"&gt;="&amp;A250-88,Quarterly!B:B,"&lt;="&amp;A250),SUMIFS(Quarterly!D:D,Quarterly!B:B,"&gt;="&amp;A250-92,Quarterly!B:B,"&lt;="&amp;A250)))</f>
        <v>1685.6010000000001</v>
      </c>
      <c r="N250" s="13">
        <f t="shared" si="214"/>
        <v>0.10668</v>
      </c>
      <c r="O250">
        <f t="shared" si="202"/>
        <v>1798.18</v>
      </c>
      <c r="P250" s="56">
        <f>VLOOKUP(EOMONTH(A250,-1),Economic!A:I,7,FALSE)</f>
        <v>1298911</v>
      </c>
      <c r="Q250" s="13">
        <f t="shared" si="203"/>
        <v>0.1384</v>
      </c>
      <c r="R250" s="41">
        <v>2.4</v>
      </c>
      <c r="S250">
        <f t="shared" si="204"/>
        <v>1.61</v>
      </c>
      <c r="T250" s="30">
        <f t="shared" si="205"/>
        <v>146.78</v>
      </c>
      <c r="U250" s="30">
        <f t="shared" si="212"/>
        <v>144.18</v>
      </c>
    </row>
    <row r="251" spans="1:21" x14ac:dyDescent="0.25">
      <c r="A251" s="5">
        <v>41588</v>
      </c>
      <c r="B251" s="5">
        <f t="shared" si="206"/>
        <v>41608</v>
      </c>
      <c r="C251">
        <v>1770.61</v>
      </c>
      <c r="D251" s="29">
        <f t="shared" si="207"/>
        <v>1.6299999999999999E-2</v>
      </c>
      <c r="E251" s="39">
        <f t="shared" si="208"/>
        <v>1702.1030769230772</v>
      </c>
      <c r="F251" s="39">
        <f t="shared" si="209"/>
        <v>1640.0043589743586</v>
      </c>
      <c r="G251" s="29">
        <f t="shared" si="201"/>
        <v>4.02E-2</v>
      </c>
      <c r="H251" s="29">
        <f t="shared" si="201"/>
        <v>7.9600000000000004E-2</v>
      </c>
      <c r="I251">
        <f t="shared" si="210"/>
        <v>1770.61</v>
      </c>
      <c r="J251">
        <f>IF(A251&gt;=Quarterly!B$2,Quarterly!C$2,IF(COUNTIFS(Quarterly!B:B,"&gt;="&amp;A251-92,Quarterly!B:B,"&lt;="&amp;A251)&gt;1,SUMIFS(Quarterly!C:C,Quarterly!B:B,"&gt;="&amp;A251-88,Quarterly!B:B,"&lt;="&amp;A251),SUMIFS(Quarterly!C:C,Quarterly!B:B,"&gt;="&amp;A251-92,Quarterly!B:B,"&lt;="&amp;A251)))</f>
        <v>16749.3</v>
      </c>
      <c r="K251" s="13">
        <f t="shared" si="211"/>
        <v>0.1057</v>
      </c>
      <c r="L251">
        <f t="shared" si="213"/>
        <v>1770.61</v>
      </c>
      <c r="M251">
        <f>IF(A251&gt;=Quarterly!B$2,Quarterly!D$2,IF(COUNTIFS(Quarterly!B:B,"&gt;="&amp;A251-92,Quarterly!B:B,"&lt;="&amp;A251)&gt;1,SUMIFS(Quarterly!D:D,Quarterly!B:B,"&gt;="&amp;A251-88,Quarterly!B:B,"&lt;="&amp;A251),SUMIFS(Quarterly!D:D,Quarterly!B:B,"&gt;="&amp;A251-92,Quarterly!B:B,"&lt;="&amp;A251)))</f>
        <v>1685.6010000000001</v>
      </c>
      <c r="N251" s="13">
        <f t="shared" si="214"/>
        <v>0.10504000000000001</v>
      </c>
      <c r="O251">
        <f t="shared" si="202"/>
        <v>1770.61</v>
      </c>
      <c r="P251" s="56">
        <f>VLOOKUP(EOMONTH(A251,-1),Economic!A:I,7,FALSE)</f>
        <v>1298911</v>
      </c>
      <c r="Q251" s="13">
        <f t="shared" si="203"/>
        <v>0.1363</v>
      </c>
      <c r="R251" s="41">
        <v>2.4500000000000002</v>
      </c>
      <c r="S251">
        <f t="shared" si="204"/>
        <v>1.42</v>
      </c>
      <c r="T251" s="30">
        <f t="shared" si="205"/>
        <v>143.49</v>
      </c>
      <c r="U251" s="30">
        <f t="shared" si="212"/>
        <v>142.18</v>
      </c>
    </row>
    <row r="252" spans="1:21" x14ac:dyDescent="0.25">
      <c r="A252" s="5">
        <v>41581</v>
      </c>
      <c r="B252" s="5">
        <f t="shared" si="206"/>
        <v>41608</v>
      </c>
      <c r="C252">
        <v>1761.64</v>
      </c>
      <c r="D252" s="29">
        <f t="shared" si="207"/>
        <v>2.1499999999999998E-2</v>
      </c>
      <c r="E252" s="39">
        <f t="shared" si="208"/>
        <v>1696.0115384615385</v>
      </c>
      <c r="F252" s="39">
        <f t="shared" si="209"/>
        <v>1633.5253846153842</v>
      </c>
      <c r="G252" s="29">
        <f t="shared" si="201"/>
        <v>3.8699999999999998E-2</v>
      </c>
      <c r="H252" s="29">
        <f t="shared" si="201"/>
        <v>7.8399999999999997E-2</v>
      </c>
      <c r="I252">
        <f t="shared" si="210"/>
        <v>1761.64</v>
      </c>
      <c r="J252">
        <f>IF(A252&gt;=Quarterly!B$2,Quarterly!C$2,IF(COUNTIFS(Quarterly!B:B,"&gt;="&amp;A252-92,Quarterly!B:B,"&lt;="&amp;A252)&gt;1,SUMIFS(Quarterly!C:C,Quarterly!B:B,"&gt;="&amp;A252-88,Quarterly!B:B,"&lt;="&amp;A252),SUMIFS(Quarterly!C:C,Quarterly!B:B,"&gt;="&amp;A252-92,Quarterly!B:B,"&lt;="&amp;A252)))</f>
        <v>16749.3</v>
      </c>
      <c r="K252" s="13">
        <f t="shared" si="211"/>
        <v>0.1052</v>
      </c>
      <c r="L252">
        <f t="shared" si="213"/>
        <v>1761.64</v>
      </c>
      <c r="M252">
        <f>IF(A252&gt;=Quarterly!B$2,Quarterly!D$2,IF(COUNTIFS(Quarterly!B:B,"&gt;="&amp;A252-92,Quarterly!B:B,"&lt;="&amp;A252)&gt;1,SUMIFS(Quarterly!D:D,Quarterly!B:B,"&gt;="&amp;A252-88,Quarterly!B:B,"&lt;="&amp;A252),SUMIFS(Quarterly!D:D,Quarterly!B:B,"&gt;="&amp;A252-92,Quarterly!B:B,"&lt;="&amp;A252)))</f>
        <v>1685.6010000000001</v>
      </c>
      <c r="N252" s="13">
        <f t="shared" si="214"/>
        <v>0.10450999999999999</v>
      </c>
      <c r="O252">
        <f t="shared" si="202"/>
        <v>1761.64</v>
      </c>
      <c r="P252" s="56">
        <f>VLOOKUP(EOMONTH(A252,-1),Economic!A:I,7,FALSE)</f>
        <v>1298911</v>
      </c>
      <c r="Q252" s="13">
        <f t="shared" si="203"/>
        <v>0.1356</v>
      </c>
      <c r="R252" s="41">
        <v>2.3199999999999998</v>
      </c>
      <c r="S252">
        <f t="shared" si="204"/>
        <v>1.35</v>
      </c>
      <c r="T252" s="30">
        <f t="shared" si="205"/>
        <v>142.26</v>
      </c>
      <c r="U252" s="30">
        <f t="shared" si="212"/>
        <v>142.94999999999999</v>
      </c>
    </row>
    <row r="253" spans="1:21" x14ac:dyDescent="0.25">
      <c r="A253" s="5">
        <v>41574</v>
      </c>
      <c r="B253" s="5">
        <f t="shared" si="206"/>
        <v>41578</v>
      </c>
      <c r="C253">
        <v>1759.77</v>
      </c>
      <c r="D253" s="29">
        <f t="shared" si="207"/>
        <v>3.0599999999999999E-2</v>
      </c>
      <c r="E253" s="39">
        <f t="shared" si="208"/>
        <v>1692.0138461538461</v>
      </c>
      <c r="F253" s="39">
        <f t="shared" si="209"/>
        <v>1627.1543589743585</v>
      </c>
      <c r="G253" s="29">
        <f t="shared" si="201"/>
        <v>0.04</v>
      </c>
      <c r="H253" s="29">
        <f t="shared" si="201"/>
        <v>8.1500000000000003E-2</v>
      </c>
      <c r="I253">
        <f t="shared" si="210"/>
        <v>1759.77</v>
      </c>
      <c r="J253">
        <f>IF(A253&gt;=Quarterly!B$2,Quarterly!C$2,IF(COUNTIFS(Quarterly!B:B,"&gt;="&amp;A253-92,Quarterly!B:B,"&lt;="&amp;A253)&gt;1,SUMIFS(Quarterly!C:C,Quarterly!B:B,"&gt;="&amp;A253-88,Quarterly!B:B,"&lt;="&amp;A253),SUMIFS(Quarterly!C:C,Quarterly!B:B,"&gt;="&amp;A253-92,Quarterly!B:B,"&lt;="&amp;A253)))</f>
        <v>16541.400000000001</v>
      </c>
      <c r="K253" s="13">
        <f t="shared" si="211"/>
        <v>0.10639999999999999</v>
      </c>
      <c r="L253">
        <f t="shared" si="213"/>
        <v>1759.77</v>
      </c>
      <c r="M253">
        <f>IF(A253&gt;=Quarterly!B$2,Quarterly!D$2,IF(COUNTIFS(Quarterly!B:B,"&gt;="&amp;A253-92,Quarterly!B:B,"&lt;="&amp;A253)&gt;1,SUMIFS(Quarterly!D:D,Quarterly!B:B,"&gt;="&amp;A253-88,Quarterly!B:B,"&lt;="&amp;A253),SUMIFS(Quarterly!D:D,Quarterly!B:B,"&gt;="&amp;A253-92,Quarterly!B:B,"&lt;="&amp;A253)))</f>
        <v>1658.1479999999999</v>
      </c>
      <c r="N253" s="13">
        <f t="shared" si="214"/>
        <v>0.10613</v>
      </c>
      <c r="O253">
        <f t="shared" si="202"/>
        <v>1759.77</v>
      </c>
      <c r="P253" s="56">
        <f>VLOOKUP(EOMONTH(A253,-1),Economic!A:I,7,FALSE)</f>
        <v>1296806</v>
      </c>
      <c r="Q253" s="13">
        <f t="shared" si="203"/>
        <v>0.13569999999999999</v>
      </c>
      <c r="R253" s="41">
        <v>2.21</v>
      </c>
      <c r="S253">
        <f t="shared" si="204"/>
        <v>1.4</v>
      </c>
      <c r="T253" s="30">
        <f t="shared" si="205"/>
        <v>140.79</v>
      </c>
      <c r="U253" s="30">
        <f t="shared" si="212"/>
        <v>143.36000000000001</v>
      </c>
    </row>
    <row r="254" spans="1:21" x14ac:dyDescent="0.25">
      <c r="A254" s="5">
        <v>41567</v>
      </c>
      <c r="B254" s="5">
        <f t="shared" si="206"/>
        <v>41578</v>
      </c>
      <c r="C254">
        <v>1744.5</v>
      </c>
      <c r="D254" s="29">
        <f t="shared" si="207"/>
        <v>2.69E-2</v>
      </c>
      <c r="E254" s="39">
        <f t="shared" si="208"/>
        <v>1686.7738461538461</v>
      </c>
      <c r="F254" s="39">
        <f t="shared" si="209"/>
        <v>1620.5694871794865</v>
      </c>
      <c r="G254" s="29">
        <f t="shared" si="201"/>
        <v>3.4200000000000001E-2</v>
      </c>
      <c r="H254" s="29">
        <f t="shared" si="201"/>
        <v>7.6499999999999999E-2</v>
      </c>
      <c r="I254">
        <f t="shared" si="210"/>
        <v>1744.5</v>
      </c>
      <c r="J254">
        <f>IF(A254&gt;=Quarterly!B$2,Quarterly!C$2,IF(COUNTIFS(Quarterly!B:B,"&gt;="&amp;A254-92,Quarterly!B:B,"&lt;="&amp;A254)&gt;1,SUMIFS(Quarterly!C:C,Quarterly!B:B,"&gt;="&amp;A254-88,Quarterly!B:B,"&lt;="&amp;A254),SUMIFS(Quarterly!C:C,Quarterly!B:B,"&gt;="&amp;A254-92,Quarterly!B:B,"&lt;="&amp;A254)))</f>
        <v>16541.400000000001</v>
      </c>
      <c r="K254" s="13">
        <f t="shared" si="211"/>
        <v>0.1055</v>
      </c>
      <c r="L254">
        <f t="shared" si="213"/>
        <v>1744.5</v>
      </c>
      <c r="M254">
        <f>IF(A254&gt;=Quarterly!B$2,Quarterly!D$2,IF(COUNTIFS(Quarterly!B:B,"&gt;="&amp;A254-92,Quarterly!B:B,"&lt;="&amp;A254)&gt;1,SUMIFS(Quarterly!D:D,Quarterly!B:B,"&gt;="&amp;A254-88,Quarterly!B:B,"&lt;="&amp;A254),SUMIFS(Quarterly!D:D,Quarterly!B:B,"&gt;="&amp;A254-92,Quarterly!B:B,"&lt;="&amp;A254)))</f>
        <v>1658.1479999999999</v>
      </c>
      <c r="N254" s="13">
        <f t="shared" si="214"/>
        <v>0.10521000000000001</v>
      </c>
      <c r="O254">
        <f t="shared" si="202"/>
        <v>1744.5</v>
      </c>
      <c r="P254" s="56">
        <f>VLOOKUP(EOMONTH(A254,-1),Economic!A:I,7,FALSE)</f>
        <v>1296806</v>
      </c>
      <c r="Q254" s="13">
        <f t="shared" si="203"/>
        <v>0.13450000000000001</v>
      </c>
      <c r="R254" s="41">
        <v>2.27</v>
      </c>
      <c r="S254">
        <f t="shared" si="204"/>
        <v>1.52</v>
      </c>
      <c r="T254" s="30">
        <f t="shared" si="205"/>
        <v>145.80000000000001</v>
      </c>
      <c r="U254" s="30">
        <f t="shared" si="212"/>
        <v>144.24</v>
      </c>
    </row>
    <row r="255" spans="1:21" x14ac:dyDescent="0.25">
      <c r="A255" s="5">
        <v>41560</v>
      </c>
      <c r="B255" s="5">
        <f t="shared" si="206"/>
        <v>41578</v>
      </c>
      <c r="C255">
        <v>1703.2</v>
      </c>
      <c r="D255" s="29">
        <f t="shared" si="207"/>
        <v>4.7999999999999996E-3</v>
      </c>
      <c r="E255" s="39">
        <f t="shared" si="208"/>
        <v>1682.7423076923076</v>
      </c>
      <c r="F255" s="39">
        <f t="shared" si="209"/>
        <v>1613.9407692307686</v>
      </c>
      <c r="G255" s="29">
        <f t="shared" si="201"/>
        <v>1.2200000000000001E-2</v>
      </c>
      <c r="H255" s="29">
        <f t="shared" si="201"/>
        <v>5.5300000000000002E-2</v>
      </c>
      <c r="I255">
        <f t="shared" si="210"/>
        <v>1703.2</v>
      </c>
      <c r="J255">
        <f>IF(A255&gt;=Quarterly!B$2,Quarterly!C$2,IF(COUNTIFS(Quarterly!B:B,"&gt;="&amp;A255-92,Quarterly!B:B,"&lt;="&amp;A255)&gt;1,SUMIFS(Quarterly!C:C,Quarterly!B:B,"&gt;="&amp;A255-88,Quarterly!B:B,"&lt;="&amp;A255),SUMIFS(Quarterly!C:C,Quarterly!B:B,"&gt;="&amp;A255-92,Quarterly!B:B,"&lt;="&amp;A255)))</f>
        <v>16541.400000000001</v>
      </c>
      <c r="K255" s="13">
        <f t="shared" si="211"/>
        <v>0.10299999999999999</v>
      </c>
      <c r="L255">
        <f t="shared" si="213"/>
        <v>1703.2</v>
      </c>
      <c r="M255">
        <f>IF(A255&gt;=Quarterly!B$2,Quarterly!D$2,IF(COUNTIFS(Quarterly!B:B,"&gt;="&amp;A255-92,Quarterly!B:B,"&lt;="&amp;A255)&gt;1,SUMIFS(Quarterly!D:D,Quarterly!B:B,"&gt;="&amp;A255-88,Quarterly!B:B,"&lt;="&amp;A255),SUMIFS(Quarterly!D:D,Quarterly!B:B,"&gt;="&amp;A255-92,Quarterly!B:B,"&lt;="&amp;A255)))</f>
        <v>1658.1479999999999</v>
      </c>
      <c r="N255" s="13">
        <f t="shared" si="214"/>
        <v>0.10271999999999999</v>
      </c>
      <c r="O255">
        <f t="shared" si="202"/>
        <v>1703.2</v>
      </c>
      <c r="P255" s="56">
        <f>VLOOKUP(EOMONTH(A255,-1),Economic!A:I,7,FALSE)</f>
        <v>1296806</v>
      </c>
      <c r="Q255" s="13">
        <f t="shared" si="203"/>
        <v>0.1313</v>
      </c>
      <c r="R255" s="41">
        <v>2.35</v>
      </c>
      <c r="S255">
        <f t="shared" si="204"/>
        <v>1.38</v>
      </c>
      <c r="T255" s="30">
        <f t="shared" si="205"/>
        <v>143.47999999999999</v>
      </c>
      <c r="U255" s="30">
        <f t="shared" si="212"/>
        <v>143.24</v>
      </c>
    </row>
    <row r="256" spans="1:21" x14ac:dyDescent="0.25">
      <c r="A256" s="5">
        <v>41553</v>
      </c>
      <c r="B256" s="5">
        <f t="shared" si="206"/>
        <v>41578</v>
      </c>
      <c r="C256">
        <v>1690.5</v>
      </c>
      <c r="D256" s="29">
        <f t="shared" si="207"/>
        <v>2.5000000000000001E-3</v>
      </c>
      <c r="E256" s="39">
        <f t="shared" si="208"/>
        <v>1680.9723076923076</v>
      </c>
      <c r="F256" s="39">
        <f t="shared" si="209"/>
        <v>1608.0138461538461</v>
      </c>
      <c r="G256" s="29">
        <f t="shared" si="201"/>
        <v>5.7000000000000002E-3</v>
      </c>
      <c r="H256" s="29">
        <f t="shared" si="201"/>
        <v>5.1299999999999998E-2</v>
      </c>
      <c r="I256">
        <f t="shared" si="210"/>
        <v>1690.5</v>
      </c>
      <c r="J256">
        <f>IF(A256&gt;=Quarterly!B$2,Quarterly!C$2,IF(COUNTIFS(Quarterly!B:B,"&gt;="&amp;A256-92,Quarterly!B:B,"&lt;="&amp;A256)&gt;1,SUMIFS(Quarterly!C:C,Quarterly!B:B,"&gt;="&amp;A256-88,Quarterly!B:B,"&lt;="&amp;A256),SUMIFS(Quarterly!C:C,Quarterly!B:B,"&gt;="&amp;A256-92,Quarterly!B:B,"&lt;="&amp;A256)))</f>
        <v>16541.400000000001</v>
      </c>
      <c r="K256" s="13">
        <f t="shared" si="211"/>
        <v>0.1022</v>
      </c>
      <c r="L256">
        <f t="shared" si="213"/>
        <v>1690.5</v>
      </c>
      <c r="M256">
        <f>IF(A256&gt;=Quarterly!B$2,Quarterly!D$2,IF(COUNTIFS(Quarterly!B:B,"&gt;="&amp;A256-92,Quarterly!B:B,"&lt;="&amp;A256)&gt;1,SUMIFS(Quarterly!D:D,Quarterly!B:B,"&gt;="&amp;A256-88,Quarterly!B:B,"&lt;="&amp;A256),SUMIFS(Quarterly!D:D,Quarterly!B:B,"&gt;="&amp;A256-92,Quarterly!B:B,"&lt;="&amp;A256)))</f>
        <v>1658.1479999999999</v>
      </c>
      <c r="N256" s="13">
        <f t="shared" si="214"/>
        <v>0.10195000000000001</v>
      </c>
      <c r="O256">
        <f t="shared" si="202"/>
        <v>1690.5</v>
      </c>
      <c r="P256" s="56">
        <f>VLOOKUP(EOMONTH(A256,-1),Economic!A:I,7,FALSE)</f>
        <v>1296806</v>
      </c>
      <c r="Q256" s="13">
        <f t="shared" si="203"/>
        <v>0.13040000000000002</v>
      </c>
      <c r="R256" s="41">
        <v>2.33</v>
      </c>
      <c r="S256">
        <f t="shared" si="204"/>
        <v>1.36</v>
      </c>
      <c r="T256" s="30">
        <f t="shared" si="205"/>
        <v>143.44999999999999</v>
      </c>
      <c r="U256" s="30">
        <f t="shared" si="212"/>
        <v>142.36000000000001</v>
      </c>
    </row>
    <row r="257" spans="1:21" x14ac:dyDescent="0.25">
      <c r="A257" s="5">
        <v>41546</v>
      </c>
      <c r="B257" s="5">
        <f t="shared" si="206"/>
        <v>41547</v>
      </c>
      <c r="C257">
        <v>1691.75</v>
      </c>
      <c r="D257" s="29">
        <f t="shared" si="207"/>
        <v>1.21E-2</v>
      </c>
      <c r="E257" s="39">
        <f t="shared" si="208"/>
        <v>1676.4638461538461</v>
      </c>
      <c r="F257" s="39">
        <f t="shared" si="209"/>
        <v>1602.2694871794868</v>
      </c>
      <c r="G257" s="29">
        <f t="shared" si="201"/>
        <v>9.1000000000000004E-3</v>
      </c>
      <c r="H257" s="29">
        <f t="shared" si="201"/>
        <v>5.5800000000000002E-2</v>
      </c>
      <c r="I257">
        <f t="shared" si="210"/>
        <v>1691.75</v>
      </c>
      <c r="J257">
        <f>IF(A257&gt;=Quarterly!B$2,Quarterly!C$2,IF(COUNTIFS(Quarterly!B:B,"&gt;="&amp;A257-92,Quarterly!B:B,"&lt;="&amp;A257)&gt;1,SUMIFS(Quarterly!C:C,Quarterly!B:B,"&gt;="&amp;A257-88,Quarterly!B:B,"&lt;="&amp;A257),SUMIFS(Quarterly!C:C,Quarterly!B:B,"&gt;="&amp;A257-92,Quarterly!B:B,"&lt;="&amp;A257)))</f>
        <v>16541.400000000001</v>
      </c>
      <c r="K257" s="13">
        <f t="shared" si="211"/>
        <v>0.1023</v>
      </c>
      <c r="L257">
        <f t="shared" si="213"/>
        <v>1691.75</v>
      </c>
      <c r="M257">
        <f>IF(A257&gt;=Quarterly!B$2,Quarterly!D$2,IF(COUNTIFS(Quarterly!B:B,"&gt;="&amp;A257-92,Quarterly!B:B,"&lt;="&amp;A257)&gt;1,SUMIFS(Quarterly!D:D,Quarterly!B:B,"&gt;="&amp;A257-88,Quarterly!B:B,"&lt;="&amp;A257),SUMIFS(Quarterly!D:D,Quarterly!B:B,"&gt;="&amp;A257-92,Quarterly!B:B,"&lt;="&amp;A257)))</f>
        <v>1658.1479999999999</v>
      </c>
      <c r="N257" s="13">
        <f t="shared" si="214"/>
        <v>0.10203000000000001</v>
      </c>
      <c r="O257">
        <f t="shared" si="202"/>
        <v>1691.75</v>
      </c>
      <c r="P257" s="56">
        <f>VLOOKUP(EOMONTH(A257,-1),Economic!A:I,7,FALSE)</f>
        <v>1292953</v>
      </c>
      <c r="Q257" s="13">
        <f t="shared" si="203"/>
        <v>0.1308</v>
      </c>
      <c r="R257" s="41">
        <v>2.2999999999999998</v>
      </c>
      <c r="S257">
        <f t="shared" si="204"/>
        <v>1.33</v>
      </c>
      <c r="T257" s="30">
        <f t="shared" si="205"/>
        <v>142.79</v>
      </c>
      <c r="U257" s="30">
        <f t="shared" si="212"/>
        <v>142.22999999999999</v>
      </c>
    </row>
    <row r="258" spans="1:21" x14ac:dyDescent="0.25">
      <c r="A258" s="5">
        <v>41539</v>
      </c>
      <c r="B258" s="5">
        <f t="shared" si="206"/>
        <v>41547</v>
      </c>
      <c r="C258">
        <v>1709.91</v>
      </c>
      <c r="D258" s="29">
        <f t="shared" si="207"/>
        <v>3.0099999999999998E-2</v>
      </c>
      <c r="E258" s="39">
        <f t="shared" si="208"/>
        <v>1669.8892307692306</v>
      </c>
      <c r="F258" s="39">
        <f t="shared" si="209"/>
        <v>1594.8510256410254</v>
      </c>
      <c r="G258" s="29">
        <f t="shared" ref="G258:H321" si="215">ROUND(($C258-E258)/E258,4)</f>
        <v>2.4E-2</v>
      </c>
      <c r="H258" s="29">
        <f t="shared" si="215"/>
        <v>7.2099999999999997E-2</v>
      </c>
      <c r="I258">
        <f t="shared" si="210"/>
        <v>1709.91</v>
      </c>
      <c r="J258">
        <f>IF(A258&gt;=Quarterly!B$2,Quarterly!C$2,IF(COUNTIFS(Quarterly!B:B,"&gt;="&amp;A258-92,Quarterly!B:B,"&lt;="&amp;A258)&gt;1,SUMIFS(Quarterly!C:C,Quarterly!B:B,"&gt;="&amp;A258-88,Quarterly!B:B,"&lt;="&amp;A258),SUMIFS(Quarterly!C:C,Quarterly!B:B,"&gt;="&amp;A258-92,Quarterly!B:B,"&lt;="&amp;A258)))</f>
        <v>16541.400000000001</v>
      </c>
      <c r="K258" s="13">
        <f t="shared" si="211"/>
        <v>0.10340000000000001</v>
      </c>
      <c r="L258">
        <f t="shared" si="213"/>
        <v>1709.91</v>
      </c>
      <c r="M258">
        <f>IF(A258&gt;=Quarterly!B$2,Quarterly!D$2,IF(COUNTIFS(Quarterly!B:B,"&gt;="&amp;A258-92,Quarterly!B:B,"&lt;="&amp;A258)&gt;1,SUMIFS(Quarterly!D:D,Quarterly!B:B,"&gt;="&amp;A258-88,Quarterly!B:B,"&lt;="&amp;A258),SUMIFS(Quarterly!D:D,Quarterly!B:B,"&gt;="&amp;A258-92,Quarterly!B:B,"&lt;="&amp;A258)))</f>
        <v>1658.1479999999999</v>
      </c>
      <c r="N258" s="13">
        <f t="shared" si="214"/>
        <v>0.10311999999999999</v>
      </c>
      <c r="O258">
        <f t="shared" si="202"/>
        <v>1709.91</v>
      </c>
      <c r="P258" s="56">
        <f>VLOOKUP(EOMONTH(A258,-1),Economic!A:I,7,FALSE)</f>
        <v>1292953</v>
      </c>
      <c r="Q258" s="13">
        <f t="shared" si="203"/>
        <v>0.13220000000000001</v>
      </c>
      <c r="R258" s="41">
        <v>2.41</v>
      </c>
      <c r="S258">
        <f t="shared" si="204"/>
        <v>1.27</v>
      </c>
      <c r="T258" s="30">
        <f t="shared" si="205"/>
        <v>140.83000000000001</v>
      </c>
      <c r="U258" s="30">
        <f t="shared" si="212"/>
        <v>143.18</v>
      </c>
    </row>
    <row r="259" spans="1:21" x14ac:dyDescent="0.25">
      <c r="A259" s="5">
        <v>41532</v>
      </c>
      <c r="B259" s="5">
        <f t="shared" si="206"/>
        <v>41547</v>
      </c>
      <c r="C259">
        <v>1687.99</v>
      </c>
      <c r="D259" s="29">
        <f t="shared" si="207"/>
        <v>2.1899999999999999E-2</v>
      </c>
      <c r="E259" s="39">
        <f t="shared" si="208"/>
        <v>1660.8523076923075</v>
      </c>
      <c r="F259" s="39">
        <f t="shared" si="209"/>
        <v>1587.6776923076923</v>
      </c>
      <c r="G259" s="29">
        <f t="shared" si="215"/>
        <v>1.6299999999999999E-2</v>
      </c>
      <c r="H259" s="29">
        <f t="shared" si="215"/>
        <v>6.3200000000000006E-2</v>
      </c>
      <c r="I259">
        <f t="shared" si="210"/>
        <v>1687.99</v>
      </c>
      <c r="J259">
        <f>IF(A259&gt;=Quarterly!B$2,Quarterly!C$2,IF(COUNTIFS(Quarterly!B:B,"&gt;="&amp;A259-92,Quarterly!B:B,"&lt;="&amp;A259)&gt;1,SUMIFS(Quarterly!C:C,Quarterly!B:B,"&gt;="&amp;A259-88,Quarterly!B:B,"&lt;="&amp;A259),SUMIFS(Quarterly!C:C,Quarterly!B:B,"&gt;="&amp;A259-92,Quarterly!B:B,"&lt;="&amp;A259)))</f>
        <v>16541.400000000001</v>
      </c>
      <c r="K259" s="13">
        <f t="shared" si="211"/>
        <v>0.10199999999999999</v>
      </c>
      <c r="L259">
        <f t="shared" si="213"/>
        <v>1687.99</v>
      </c>
      <c r="M259">
        <f>IF(A259&gt;=Quarterly!B$2,Quarterly!D$2,IF(COUNTIFS(Quarterly!B:B,"&gt;="&amp;A259-92,Quarterly!B:B,"&lt;="&amp;A259)&gt;1,SUMIFS(Quarterly!D:D,Quarterly!B:B,"&gt;="&amp;A259-88,Quarterly!B:B,"&lt;="&amp;A259),SUMIFS(Quarterly!D:D,Quarterly!B:B,"&gt;="&amp;A259-92,Quarterly!B:B,"&lt;="&amp;A259)))</f>
        <v>1658.1479999999999</v>
      </c>
      <c r="N259" s="13">
        <f t="shared" si="214"/>
        <v>0.1018</v>
      </c>
      <c r="O259">
        <f t="shared" si="202"/>
        <v>1687.99</v>
      </c>
      <c r="P259" s="56">
        <f>VLOOKUP(EOMONTH(A259,-1),Economic!A:I,7,FALSE)</f>
        <v>1292953</v>
      </c>
      <c r="Q259" s="13">
        <f t="shared" si="203"/>
        <v>0.13060000000000002</v>
      </c>
      <c r="R259" s="41">
        <v>2.4500000000000002</v>
      </c>
      <c r="S259">
        <f t="shared" si="204"/>
        <v>1.27</v>
      </c>
      <c r="T259" s="30">
        <f t="shared" si="205"/>
        <v>143.06</v>
      </c>
      <c r="U259" s="30">
        <f t="shared" si="212"/>
        <v>145.5</v>
      </c>
    </row>
    <row r="260" spans="1:21" x14ac:dyDescent="0.25">
      <c r="A260" s="5">
        <v>41525</v>
      </c>
      <c r="B260" s="5">
        <f t="shared" si="206"/>
        <v>41547</v>
      </c>
      <c r="C260">
        <v>1655.17</v>
      </c>
      <c r="D260" s="29">
        <f t="shared" si="207"/>
        <v>-3.5000000000000001E-3</v>
      </c>
      <c r="E260" s="39">
        <f t="shared" si="208"/>
        <v>1656.1399999999999</v>
      </c>
      <c r="F260" s="39">
        <f t="shared" si="209"/>
        <v>1580.6415384615386</v>
      </c>
      <c r="G260" s="29">
        <f t="shared" si="215"/>
        <v>-5.9999999999999995E-4</v>
      </c>
      <c r="H260" s="29">
        <f t="shared" si="215"/>
        <v>4.7199999999999999E-2</v>
      </c>
      <c r="I260">
        <f t="shared" si="210"/>
        <v>1655.17</v>
      </c>
      <c r="J260">
        <f>IF(A260&gt;=Quarterly!B$2,Quarterly!C$2,IF(COUNTIFS(Quarterly!B:B,"&gt;="&amp;A260-92,Quarterly!B:B,"&lt;="&amp;A260)&gt;1,SUMIFS(Quarterly!C:C,Quarterly!B:B,"&gt;="&amp;A260-88,Quarterly!B:B,"&lt;="&amp;A260),SUMIFS(Quarterly!C:C,Quarterly!B:B,"&gt;="&amp;A260-92,Quarterly!B:B,"&lt;="&amp;A260)))</f>
        <v>16541.400000000001</v>
      </c>
      <c r="K260" s="13">
        <f t="shared" si="211"/>
        <v>0.10009999999999999</v>
      </c>
      <c r="L260">
        <f t="shared" si="213"/>
        <v>1655.17</v>
      </c>
      <c r="M260">
        <f>IF(A260&gt;=Quarterly!B$2,Quarterly!D$2,IF(COUNTIFS(Quarterly!B:B,"&gt;="&amp;A260-92,Quarterly!B:B,"&lt;="&amp;A260)&gt;1,SUMIFS(Quarterly!D:D,Quarterly!B:B,"&gt;="&amp;A260-88,Quarterly!B:B,"&lt;="&amp;A260),SUMIFS(Quarterly!D:D,Quarterly!B:B,"&gt;="&amp;A260-92,Quarterly!B:B,"&lt;="&amp;A260)))</f>
        <v>1658.1479999999999</v>
      </c>
      <c r="N260" s="13">
        <f t="shared" si="214"/>
        <v>9.9820000000000006E-2</v>
      </c>
      <c r="O260">
        <f t="shared" si="202"/>
        <v>1655.17</v>
      </c>
      <c r="P260" s="56">
        <f>VLOOKUP(EOMONTH(A260,-1),Economic!A:I,7,FALSE)</f>
        <v>1292953</v>
      </c>
      <c r="Q260" s="13">
        <f t="shared" si="203"/>
        <v>0.128</v>
      </c>
      <c r="R260" s="41">
        <v>2.48</v>
      </c>
      <c r="S260">
        <f t="shared" si="204"/>
        <v>1.3</v>
      </c>
      <c r="T260" s="30">
        <f t="shared" si="205"/>
        <v>145.63999999999999</v>
      </c>
      <c r="U260" s="30">
        <f t="shared" si="212"/>
        <v>146.94999999999999</v>
      </c>
    </row>
    <row r="261" spans="1:21" x14ac:dyDescent="0.25">
      <c r="A261" s="5">
        <v>41518</v>
      </c>
      <c r="B261" s="5">
        <f t="shared" si="206"/>
        <v>41547</v>
      </c>
      <c r="C261">
        <v>1632.97</v>
      </c>
      <c r="D261" s="29">
        <f t="shared" si="207"/>
        <v>-2.81E-2</v>
      </c>
      <c r="E261" s="39">
        <f t="shared" si="208"/>
        <v>1655.2330769230769</v>
      </c>
      <c r="F261" s="39">
        <f t="shared" si="209"/>
        <v>1574.5620512820512</v>
      </c>
      <c r="G261" s="29">
        <f t="shared" si="215"/>
        <v>-1.35E-2</v>
      </c>
      <c r="H261" s="29">
        <f t="shared" si="215"/>
        <v>3.7100000000000001E-2</v>
      </c>
      <c r="I261">
        <f t="shared" si="210"/>
        <v>1632.97</v>
      </c>
      <c r="J261">
        <f>IF(A261&gt;=Quarterly!B$2,Quarterly!C$2,IF(COUNTIFS(Quarterly!B:B,"&gt;="&amp;A261-92,Quarterly!B:B,"&lt;="&amp;A261)&gt;1,SUMIFS(Quarterly!C:C,Quarterly!B:B,"&gt;="&amp;A261-88,Quarterly!B:B,"&lt;="&amp;A261),SUMIFS(Quarterly!C:C,Quarterly!B:B,"&gt;="&amp;A261-92,Quarterly!B:B,"&lt;="&amp;A261)))</f>
        <v>16541.400000000001</v>
      </c>
      <c r="K261" s="13">
        <f t="shared" si="211"/>
        <v>9.8699999999999996E-2</v>
      </c>
      <c r="L261">
        <f t="shared" si="213"/>
        <v>1632.97</v>
      </c>
      <c r="M261">
        <f>IF(A261&gt;=Quarterly!B$2,Quarterly!D$2,IF(COUNTIFS(Quarterly!B:B,"&gt;="&amp;A261-92,Quarterly!B:B,"&lt;="&amp;A261)&gt;1,SUMIFS(Quarterly!D:D,Quarterly!B:B,"&gt;="&amp;A261-88,Quarterly!B:B,"&lt;="&amp;A261),SUMIFS(Quarterly!D:D,Quarterly!B:B,"&gt;="&amp;A261-92,Quarterly!B:B,"&lt;="&amp;A261)))</f>
        <v>1658.1479999999999</v>
      </c>
      <c r="N261" s="13">
        <f t="shared" si="214"/>
        <v>9.8480000000000012E-2</v>
      </c>
      <c r="O261">
        <f t="shared" si="202"/>
        <v>1632.97</v>
      </c>
      <c r="P261" s="56">
        <f>VLOOKUP(EOMONTH(A261,-1),Economic!A:I,7,FALSE)</f>
        <v>1292953</v>
      </c>
      <c r="Q261" s="13">
        <f t="shared" si="203"/>
        <v>0.1263</v>
      </c>
      <c r="R261" s="41">
        <v>2.39</v>
      </c>
      <c r="S261">
        <f t="shared" si="204"/>
        <v>1.34</v>
      </c>
      <c r="T261" s="30">
        <f t="shared" si="205"/>
        <v>147.80000000000001</v>
      </c>
      <c r="U261" s="30">
        <f t="shared" si="212"/>
        <v>146.88</v>
      </c>
    </row>
    <row r="262" spans="1:21" x14ac:dyDescent="0.25">
      <c r="A262" s="5">
        <v>41511</v>
      </c>
      <c r="B262" s="5">
        <f t="shared" si="206"/>
        <v>41517</v>
      </c>
      <c r="C262">
        <v>1663.5</v>
      </c>
      <c r="D262" s="29">
        <f t="shared" si="207"/>
        <v>-1.4E-2</v>
      </c>
      <c r="E262" s="39">
        <f t="shared" si="208"/>
        <v>1655.0615384615387</v>
      </c>
      <c r="F262" s="39">
        <f t="shared" si="209"/>
        <v>1569.0033333333336</v>
      </c>
      <c r="G262" s="29">
        <f t="shared" si="215"/>
        <v>5.1000000000000004E-3</v>
      </c>
      <c r="H262" s="29">
        <f t="shared" si="215"/>
        <v>6.0199999999999997E-2</v>
      </c>
      <c r="I262">
        <f t="shared" si="210"/>
        <v>1663.5</v>
      </c>
      <c r="J262">
        <f>IF(A262&gt;=Quarterly!B$2,Quarterly!C$2,IF(COUNTIFS(Quarterly!B:B,"&gt;="&amp;A262-92,Quarterly!B:B,"&lt;="&amp;A262)&gt;1,SUMIFS(Quarterly!C:C,Quarterly!B:B,"&gt;="&amp;A262-88,Quarterly!B:B,"&lt;="&amp;A262),SUMIFS(Quarterly!C:C,Quarterly!B:B,"&gt;="&amp;A262-92,Quarterly!B:B,"&lt;="&amp;A262)))</f>
        <v>16541.400000000001</v>
      </c>
      <c r="K262" s="13">
        <f t="shared" si="211"/>
        <v>0.10059999999999999</v>
      </c>
      <c r="L262">
        <f t="shared" si="213"/>
        <v>1663.5</v>
      </c>
      <c r="M262">
        <f>IF(A262&gt;=Quarterly!B$2,Quarterly!D$2,IF(COUNTIFS(Quarterly!B:B,"&gt;="&amp;A262-92,Quarterly!B:B,"&lt;="&amp;A262)&gt;1,SUMIFS(Quarterly!D:D,Quarterly!B:B,"&gt;="&amp;A262-88,Quarterly!B:B,"&lt;="&amp;A262),SUMIFS(Quarterly!D:D,Quarterly!B:B,"&gt;="&amp;A262-92,Quarterly!B:B,"&lt;="&amp;A262)))</f>
        <v>1658.1479999999999</v>
      </c>
      <c r="N262" s="13">
        <f t="shared" si="214"/>
        <v>0.10032000000000002</v>
      </c>
      <c r="O262">
        <f t="shared" ref="O262:O325" si="216">C262</f>
        <v>1663.5</v>
      </c>
      <c r="P262" s="56">
        <f>VLOOKUP(EOMONTH(A262,-1),Economic!A:I,7,FALSE)</f>
        <v>1291429</v>
      </c>
      <c r="Q262" s="13">
        <f t="shared" ref="Q262:Q325" si="217">ROUND(O262/P262,6)*100</f>
        <v>0.1288</v>
      </c>
      <c r="R262" s="41">
        <v>2.42</v>
      </c>
      <c r="S262">
        <f t="shared" ref="S262:S325" si="218">R323</f>
        <v>1.38</v>
      </c>
      <c r="T262" s="30">
        <f t="shared" ref="T262:T325" si="219">IF((ROUND((S262*40)+(G262*350)-(H262*100)-((N262-0.15)*350)-(((K262*10.5)-1)*270)-(Q262*100),2)+144)*0.8&lt;0,0,ROUND((ROUND((S262*40)+(G262*350)-(H262*100)-((N262-0.15)*350)-(((K262*10.5)-1)*270)-(Q262*100),2)+144)*0.8,2))</f>
        <v>147.41999999999999</v>
      </c>
      <c r="U262" s="30">
        <f t="shared" si="212"/>
        <v>145.99</v>
      </c>
    </row>
    <row r="263" spans="1:21" x14ac:dyDescent="0.25">
      <c r="A263" s="5">
        <v>41504</v>
      </c>
      <c r="B263" s="5">
        <f t="shared" si="206"/>
        <v>41517</v>
      </c>
      <c r="C263">
        <v>1655.83</v>
      </c>
      <c r="D263" s="29">
        <f t="shared" si="207"/>
        <v>-2.3800000000000002E-2</v>
      </c>
      <c r="E263" s="39">
        <f t="shared" si="208"/>
        <v>1653.9923076923078</v>
      </c>
      <c r="F263" s="39">
        <f t="shared" si="209"/>
        <v>1562.4815384615385</v>
      </c>
      <c r="G263" s="29">
        <f t="shared" si="215"/>
        <v>1.1000000000000001E-3</v>
      </c>
      <c r="H263" s="29">
        <f t="shared" si="215"/>
        <v>5.9700000000000003E-2</v>
      </c>
      <c r="I263">
        <f t="shared" si="210"/>
        <v>1655.83</v>
      </c>
      <c r="J263">
        <f>IF(A263&gt;=Quarterly!B$2,Quarterly!C$2,IF(COUNTIFS(Quarterly!B:B,"&gt;="&amp;A263-92,Quarterly!B:B,"&lt;="&amp;A263)&gt;1,SUMIFS(Quarterly!C:C,Quarterly!B:B,"&gt;="&amp;A263-88,Quarterly!B:B,"&lt;="&amp;A263),SUMIFS(Quarterly!C:C,Quarterly!B:B,"&gt;="&amp;A263-92,Quarterly!B:B,"&lt;="&amp;A263)))</f>
        <v>16541.400000000001</v>
      </c>
      <c r="K263" s="13">
        <f t="shared" si="211"/>
        <v>0.10009999999999999</v>
      </c>
      <c r="L263">
        <f t="shared" si="213"/>
        <v>1655.83</v>
      </c>
      <c r="M263">
        <f>IF(A263&gt;=Quarterly!B$2,Quarterly!D$2,IF(COUNTIFS(Quarterly!B:B,"&gt;="&amp;A263-92,Quarterly!B:B,"&lt;="&amp;A263)&gt;1,SUMIFS(Quarterly!D:D,Quarterly!B:B,"&gt;="&amp;A263-88,Quarterly!B:B,"&lt;="&amp;A263),SUMIFS(Quarterly!D:D,Quarterly!B:B,"&gt;="&amp;A263-92,Quarterly!B:B,"&lt;="&amp;A263)))</f>
        <v>1658.1479999999999</v>
      </c>
      <c r="N263" s="13">
        <f t="shared" si="214"/>
        <v>9.9860000000000004E-2</v>
      </c>
      <c r="O263">
        <f t="shared" si="216"/>
        <v>1655.83</v>
      </c>
      <c r="P263" s="56">
        <f>VLOOKUP(EOMONTH(A263,-1),Economic!A:I,7,FALSE)</f>
        <v>1291429</v>
      </c>
      <c r="Q263" s="13">
        <f t="shared" si="217"/>
        <v>0.12819999999999998</v>
      </c>
      <c r="R263" s="41">
        <v>2.48</v>
      </c>
      <c r="S263">
        <f t="shared" si="218"/>
        <v>1.31</v>
      </c>
      <c r="T263" s="30">
        <f t="shared" si="219"/>
        <v>145.41</v>
      </c>
      <c r="U263" s="30">
        <f t="shared" si="212"/>
        <v>143.47999999999999</v>
      </c>
    </row>
    <row r="264" spans="1:21" x14ac:dyDescent="0.25">
      <c r="A264" s="5">
        <v>41497</v>
      </c>
      <c r="B264" s="5">
        <f t="shared" si="206"/>
        <v>41517</v>
      </c>
      <c r="C264">
        <v>1691.42</v>
      </c>
      <c r="D264" s="29">
        <f t="shared" si="207"/>
        <v>-1.1999999999999999E-3</v>
      </c>
      <c r="E264" s="39">
        <f t="shared" si="208"/>
        <v>1654.8876923076923</v>
      </c>
      <c r="F264" s="39">
        <f t="shared" si="209"/>
        <v>1554.8930769230769</v>
      </c>
      <c r="G264" s="29">
        <f t="shared" si="215"/>
        <v>2.2100000000000002E-2</v>
      </c>
      <c r="H264" s="29">
        <f t="shared" si="215"/>
        <v>8.7800000000000003E-2</v>
      </c>
      <c r="I264">
        <f t="shared" si="210"/>
        <v>1691.42</v>
      </c>
      <c r="J264">
        <f>IF(A264&gt;=Quarterly!B$2,Quarterly!C$2,IF(COUNTIFS(Quarterly!B:B,"&gt;="&amp;A264-92,Quarterly!B:B,"&lt;="&amp;A264)&gt;1,SUMIFS(Quarterly!C:C,Quarterly!B:B,"&gt;="&amp;A264-88,Quarterly!B:B,"&lt;="&amp;A264),SUMIFS(Quarterly!C:C,Quarterly!B:B,"&gt;="&amp;A264-92,Quarterly!B:B,"&lt;="&amp;A264)))</f>
        <v>16541.400000000001</v>
      </c>
      <c r="K264" s="13">
        <f t="shared" si="211"/>
        <v>0.1023</v>
      </c>
      <c r="L264">
        <f t="shared" si="213"/>
        <v>1691.42</v>
      </c>
      <c r="M264">
        <f>IF(A264&gt;=Quarterly!B$2,Quarterly!D$2,IF(COUNTIFS(Quarterly!B:B,"&gt;="&amp;A264-92,Quarterly!B:B,"&lt;="&amp;A264)&gt;1,SUMIFS(Quarterly!D:D,Quarterly!B:B,"&gt;="&amp;A264-88,Quarterly!B:B,"&lt;="&amp;A264),SUMIFS(Quarterly!D:D,Quarterly!B:B,"&gt;="&amp;A264-92,Quarterly!B:B,"&lt;="&amp;A264)))</f>
        <v>1658.1479999999999</v>
      </c>
      <c r="N264" s="13">
        <f t="shared" si="214"/>
        <v>0.10201</v>
      </c>
      <c r="O264">
        <f t="shared" si="216"/>
        <v>1691.42</v>
      </c>
      <c r="P264" s="56">
        <f>VLOOKUP(EOMONTH(A264,-1),Economic!A:I,7,FALSE)</f>
        <v>1291429</v>
      </c>
      <c r="Q264" s="13">
        <f t="shared" si="217"/>
        <v>0.13100000000000001</v>
      </c>
      <c r="R264" s="41">
        <v>2.25</v>
      </c>
      <c r="S264">
        <f t="shared" si="218"/>
        <v>1.37</v>
      </c>
      <c r="T264" s="30">
        <f t="shared" si="219"/>
        <v>145.13999999999999</v>
      </c>
      <c r="U264" s="30">
        <f t="shared" si="212"/>
        <v>144.47</v>
      </c>
    </row>
    <row r="265" spans="1:21" x14ac:dyDescent="0.25">
      <c r="A265" s="5">
        <v>41490</v>
      </c>
      <c r="B265" s="5">
        <f t="shared" si="206"/>
        <v>41517</v>
      </c>
      <c r="C265">
        <v>1709.67</v>
      </c>
      <c r="D265" s="29">
        <f t="shared" si="207"/>
        <v>2.1299999999999999E-2</v>
      </c>
      <c r="E265" s="39">
        <f t="shared" si="208"/>
        <v>1650.4476923076925</v>
      </c>
      <c r="F265" s="39">
        <f t="shared" si="209"/>
        <v>1546.9041025641027</v>
      </c>
      <c r="G265" s="29">
        <f t="shared" si="215"/>
        <v>3.5900000000000001E-2</v>
      </c>
      <c r="H265" s="29">
        <f t="shared" si="215"/>
        <v>0.1052</v>
      </c>
      <c r="I265">
        <f t="shared" si="210"/>
        <v>1709.67</v>
      </c>
      <c r="J265">
        <f>IF(A265&gt;=Quarterly!B$2,Quarterly!C$2,IF(COUNTIFS(Quarterly!B:B,"&gt;="&amp;A265-92,Quarterly!B:B,"&lt;="&amp;A265)&gt;1,SUMIFS(Quarterly!C:C,Quarterly!B:B,"&gt;="&amp;A265-88,Quarterly!B:B,"&lt;="&amp;A265),SUMIFS(Quarterly!C:C,Quarterly!B:B,"&gt;="&amp;A265-92,Quarterly!B:B,"&lt;="&amp;A265)))</f>
        <v>16541.400000000001</v>
      </c>
      <c r="K265" s="13">
        <f t="shared" si="211"/>
        <v>0.10340000000000001</v>
      </c>
      <c r="L265">
        <f t="shared" si="213"/>
        <v>1709.67</v>
      </c>
      <c r="M265">
        <f>IF(A265&gt;=Quarterly!B$2,Quarterly!D$2,IF(COUNTIFS(Quarterly!B:B,"&gt;="&amp;A265-92,Quarterly!B:B,"&lt;="&amp;A265)&gt;1,SUMIFS(Quarterly!D:D,Quarterly!B:B,"&gt;="&amp;A265-88,Quarterly!B:B,"&lt;="&amp;A265),SUMIFS(Quarterly!D:D,Quarterly!B:B,"&gt;="&amp;A265-92,Quarterly!B:B,"&lt;="&amp;A265)))</f>
        <v>1658.1479999999999</v>
      </c>
      <c r="N265" s="13">
        <f t="shared" si="214"/>
        <v>0.10310999999999999</v>
      </c>
      <c r="O265">
        <f t="shared" si="216"/>
        <v>1709.67</v>
      </c>
      <c r="P265" s="56">
        <f>VLOOKUP(EOMONTH(A265,-1),Economic!A:I,7,FALSE)</f>
        <v>1291429</v>
      </c>
      <c r="Q265" s="13">
        <f t="shared" si="217"/>
        <v>0.13240000000000002</v>
      </c>
      <c r="R265" s="41">
        <v>2.33</v>
      </c>
      <c r="S265">
        <f t="shared" si="218"/>
        <v>1.22</v>
      </c>
      <c r="T265" s="30">
        <f t="shared" si="219"/>
        <v>139.9</v>
      </c>
      <c r="U265" s="30">
        <f t="shared" si="212"/>
        <v>145.28</v>
      </c>
    </row>
    <row r="266" spans="1:21" x14ac:dyDescent="0.25">
      <c r="A266" s="5">
        <v>41483</v>
      </c>
      <c r="B266" s="5">
        <f t="shared" si="206"/>
        <v>41486</v>
      </c>
      <c r="C266">
        <v>1691.65</v>
      </c>
      <c r="D266" s="29">
        <f t="shared" si="207"/>
        <v>2.3599999999999999E-2</v>
      </c>
      <c r="E266" s="39">
        <f t="shared" si="208"/>
        <v>1643.1207692307692</v>
      </c>
      <c r="F266" s="39">
        <f t="shared" si="209"/>
        <v>1539.3279487179486</v>
      </c>
      <c r="G266" s="29">
        <f t="shared" si="215"/>
        <v>2.9499999999999998E-2</v>
      </c>
      <c r="H266" s="29">
        <f t="shared" si="215"/>
        <v>9.9000000000000005E-2</v>
      </c>
      <c r="I266">
        <f t="shared" si="210"/>
        <v>1691.65</v>
      </c>
      <c r="J266">
        <f>IF(A266&gt;=Quarterly!B$2,Quarterly!C$2,IF(COUNTIFS(Quarterly!B:B,"&gt;="&amp;A266-92,Quarterly!B:B,"&lt;="&amp;A266)&gt;1,SUMIFS(Quarterly!C:C,Quarterly!B:B,"&gt;="&amp;A266-88,Quarterly!B:B,"&lt;="&amp;A266),SUMIFS(Quarterly!C:C,Quarterly!B:B,"&gt;="&amp;A266-92,Quarterly!B:B,"&lt;="&amp;A266)))</f>
        <v>16475.400000000001</v>
      </c>
      <c r="K266" s="13">
        <f t="shared" si="211"/>
        <v>0.1027</v>
      </c>
      <c r="L266">
        <f t="shared" si="213"/>
        <v>1691.65</v>
      </c>
      <c r="M266">
        <f>IF(A266&gt;=Quarterly!B$2,Quarterly!D$2,IF(COUNTIFS(Quarterly!B:B,"&gt;="&amp;A266-92,Quarterly!B:B,"&lt;="&amp;A266)&gt;1,SUMIFS(Quarterly!D:D,Quarterly!B:B,"&gt;="&amp;A266-88,Quarterly!B:B,"&lt;="&amp;A266),SUMIFS(Quarterly!D:D,Quarterly!B:B,"&gt;="&amp;A266-92,Quarterly!B:B,"&lt;="&amp;A266)))</f>
        <v>1679.4860000000001</v>
      </c>
      <c r="N266" s="13">
        <f t="shared" si="214"/>
        <v>0.10072000000000002</v>
      </c>
      <c r="O266">
        <f t="shared" si="216"/>
        <v>1691.65</v>
      </c>
      <c r="P266" s="56">
        <f>VLOOKUP(EOMONTH(A266,-1),Economic!A:I,7,FALSE)</f>
        <v>1295622</v>
      </c>
      <c r="Q266" s="13">
        <f t="shared" si="217"/>
        <v>0.13060000000000002</v>
      </c>
      <c r="R266" s="41">
        <v>2.27</v>
      </c>
      <c r="S266">
        <f t="shared" si="218"/>
        <v>1.45</v>
      </c>
      <c r="T266" s="30">
        <f t="shared" si="219"/>
        <v>148.37</v>
      </c>
      <c r="U266" s="30">
        <f t="shared" si="212"/>
        <v>150.4</v>
      </c>
    </row>
    <row r="267" spans="1:21" x14ac:dyDescent="0.25">
      <c r="A267" s="5">
        <v>41476</v>
      </c>
      <c r="B267" s="5">
        <f t="shared" si="206"/>
        <v>41486</v>
      </c>
      <c r="C267">
        <v>1692.09</v>
      </c>
      <c r="D267" s="29">
        <f t="shared" si="207"/>
        <v>3.9600000000000003E-2</v>
      </c>
      <c r="E267" s="39">
        <f t="shared" si="208"/>
        <v>1634.7046153846154</v>
      </c>
      <c r="F267" s="39">
        <f t="shared" si="209"/>
        <v>1532.1558974358975</v>
      </c>
      <c r="G267" s="29">
        <f t="shared" si="215"/>
        <v>3.5099999999999999E-2</v>
      </c>
      <c r="H267" s="29">
        <f t="shared" si="215"/>
        <v>0.10440000000000001</v>
      </c>
      <c r="I267">
        <f t="shared" si="210"/>
        <v>1692.09</v>
      </c>
      <c r="J267">
        <f>IF(A267&gt;=Quarterly!B$2,Quarterly!C$2,IF(COUNTIFS(Quarterly!B:B,"&gt;="&amp;A267-92,Quarterly!B:B,"&lt;="&amp;A267)&gt;1,SUMIFS(Quarterly!C:C,Quarterly!B:B,"&gt;="&amp;A267-88,Quarterly!B:B,"&lt;="&amp;A267),SUMIFS(Quarterly!C:C,Quarterly!B:B,"&gt;="&amp;A267-92,Quarterly!B:B,"&lt;="&amp;A267)))</f>
        <v>16475.400000000001</v>
      </c>
      <c r="K267" s="13">
        <f t="shared" si="211"/>
        <v>0.1027</v>
      </c>
      <c r="L267">
        <f t="shared" si="213"/>
        <v>1692.09</v>
      </c>
      <c r="M267">
        <f>IF(A267&gt;=Quarterly!B$2,Quarterly!D$2,IF(COUNTIFS(Quarterly!B:B,"&gt;="&amp;A267-92,Quarterly!B:B,"&lt;="&amp;A267)&gt;1,SUMIFS(Quarterly!D:D,Quarterly!B:B,"&gt;="&amp;A267-88,Quarterly!B:B,"&lt;="&amp;A267),SUMIFS(Quarterly!D:D,Quarterly!B:B,"&gt;="&amp;A267-92,Quarterly!B:B,"&lt;="&amp;A267)))</f>
        <v>1679.4860000000001</v>
      </c>
      <c r="N267" s="13">
        <f t="shared" si="214"/>
        <v>0.10075000000000001</v>
      </c>
      <c r="O267">
        <f t="shared" si="216"/>
        <v>1692.09</v>
      </c>
      <c r="P267" s="56">
        <f>VLOOKUP(EOMONTH(A267,-1),Economic!A:I,7,FALSE)</f>
        <v>1295622</v>
      </c>
      <c r="Q267" s="13">
        <f t="shared" si="217"/>
        <v>0.13060000000000002</v>
      </c>
      <c r="R267" s="41">
        <v>2.1800000000000002</v>
      </c>
      <c r="S267">
        <f t="shared" si="218"/>
        <v>1.39</v>
      </c>
      <c r="T267" s="30">
        <f t="shared" si="219"/>
        <v>147.58000000000001</v>
      </c>
      <c r="U267" s="30">
        <f t="shared" si="212"/>
        <v>154.36000000000001</v>
      </c>
    </row>
    <row r="268" spans="1:21" x14ac:dyDescent="0.25">
      <c r="A268" s="5">
        <v>41469</v>
      </c>
      <c r="B268" s="5">
        <f t="shared" si="206"/>
        <v>41486</v>
      </c>
      <c r="C268">
        <v>1680.19</v>
      </c>
      <c r="D268" s="29">
        <f t="shared" si="207"/>
        <v>4.0800000000000003E-2</v>
      </c>
      <c r="E268" s="39">
        <f t="shared" si="208"/>
        <v>1624.1784615384618</v>
      </c>
      <c r="F268" s="39">
        <f t="shared" si="209"/>
        <v>1525.5174358974361</v>
      </c>
      <c r="G268" s="29">
        <f t="shared" si="215"/>
        <v>3.4500000000000003E-2</v>
      </c>
      <c r="H268" s="29">
        <f t="shared" si="215"/>
        <v>0.1014</v>
      </c>
      <c r="I268">
        <f t="shared" si="210"/>
        <v>1680.19</v>
      </c>
      <c r="J268">
        <f>IF(A268&gt;=Quarterly!B$2,Quarterly!C$2,IF(COUNTIFS(Quarterly!B:B,"&gt;="&amp;A268-92,Quarterly!B:B,"&lt;="&amp;A268)&gt;1,SUMIFS(Quarterly!C:C,Quarterly!B:B,"&gt;="&amp;A268-88,Quarterly!B:B,"&lt;="&amp;A268),SUMIFS(Quarterly!C:C,Quarterly!B:B,"&gt;="&amp;A268-92,Quarterly!B:B,"&lt;="&amp;A268)))</f>
        <v>16475.400000000001</v>
      </c>
      <c r="K268" s="13">
        <f t="shared" si="211"/>
        <v>0.10199999999999999</v>
      </c>
      <c r="L268">
        <f t="shared" si="213"/>
        <v>1680.19</v>
      </c>
      <c r="M268">
        <f>IF(A268&gt;=Quarterly!B$2,Quarterly!D$2,IF(COUNTIFS(Quarterly!B:B,"&gt;="&amp;A268-92,Quarterly!B:B,"&lt;="&amp;A268)&gt;1,SUMIFS(Quarterly!D:D,Quarterly!B:B,"&gt;="&amp;A268-88,Quarterly!B:B,"&lt;="&amp;A268),SUMIFS(Quarterly!D:D,Quarterly!B:B,"&gt;="&amp;A268-92,Quarterly!B:B,"&lt;="&amp;A268)))</f>
        <v>1679.4860000000001</v>
      </c>
      <c r="N268" s="13">
        <f t="shared" si="214"/>
        <v>0.10004</v>
      </c>
      <c r="O268">
        <f t="shared" si="216"/>
        <v>1680.19</v>
      </c>
      <c r="P268" s="56">
        <f>VLOOKUP(EOMONTH(A268,-1),Economic!A:I,7,FALSE)</f>
        <v>1295622</v>
      </c>
      <c r="Q268" s="13">
        <f t="shared" si="217"/>
        <v>0.12970000000000001</v>
      </c>
      <c r="R268" s="41">
        <v>2.2400000000000002</v>
      </c>
      <c r="S268">
        <f t="shared" si="218"/>
        <v>1.57</v>
      </c>
      <c r="T268" s="30">
        <f t="shared" si="219"/>
        <v>155.26</v>
      </c>
      <c r="U268" s="30">
        <f t="shared" si="212"/>
        <v>159.87</v>
      </c>
    </row>
    <row r="269" spans="1:21" x14ac:dyDescent="0.25">
      <c r="A269" s="5">
        <v>41462</v>
      </c>
      <c r="B269" s="5">
        <f t="shared" si="206"/>
        <v>41486</v>
      </c>
      <c r="C269">
        <v>1631.89</v>
      </c>
      <c r="D269" s="29">
        <f t="shared" si="207"/>
        <v>9.1000000000000004E-3</v>
      </c>
      <c r="E269" s="39">
        <f t="shared" si="208"/>
        <v>1617.1523076923077</v>
      </c>
      <c r="F269" s="39">
        <f t="shared" si="209"/>
        <v>1519.0661538461538</v>
      </c>
      <c r="G269" s="29">
        <f t="shared" si="215"/>
        <v>9.1000000000000004E-3</v>
      </c>
      <c r="H269" s="29">
        <f t="shared" si="215"/>
        <v>7.4300000000000005E-2</v>
      </c>
      <c r="I269">
        <f t="shared" si="210"/>
        <v>1631.89</v>
      </c>
      <c r="J269">
        <f>IF(A269&gt;=Quarterly!B$2,Quarterly!C$2,IF(COUNTIFS(Quarterly!B:B,"&gt;="&amp;A269-92,Quarterly!B:B,"&lt;="&amp;A269)&gt;1,SUMIFS(Quarterly!C:C,Quarterly!B:B,"&gt;="&amp;A269-88,Quarterly!B:B,"&lt;="&amp;A269),SUMIFS(Quarterly!C:C,Quarterly!B:B,"&gt;="&amp;A269-92,Quarterly!B:B,"&lt;="&amp;A269)))</f>
        <v>16475.400000000001</v>
      </c>
      <c r="K269" s="13">
        <f t="shared" si="211"/>
        <v>9.9099999999999994E-2</v>
      </c>
      <c r="L269">
        <f t="shared" si="213"/>
        <v>1631.89</v>
      </c>
      <c r="M269">
        <f>IF(A269&gt;=Quarterly!B$2,Quarterly!D$2,IF(COUNTIFS(Quarterly!B:B,"&gt;="&amp;A269-92,Quarterly!B:B,"&lt;="&amp;A269)&gt;1,SUMIFS(Quarterly!D:D,Quarterly!B:B,"&gt;="&amp;A269-88,Quarterly!B:B,"&lt;="&amp;A269),SUMIFS(Quarterly!D:D,Quarterly!B:B,"&gt;="&amp;A269-92,Quarterly!B:B,"&lt;="&amp;A269)))</f>
        <v>1679.4860000000001</v>
      </c>
      <c r="N269" s="13">
        <f t="shared" si="214"/>
        <v>9.7170000000000006E-2</v>
      </c>
      <c r="O269">
        <f t="shared" si="216"/>
        <v>1631.89</v>
      </c>
      <c r="P269" s="56">
        <f>VLOOKUP(EOMONTH(A269,-1),Economic!A:I,7,FALSE)</f>
        <v>1295622</v>
      </c>
      <c r="Q269" s="13">
        <f t="shared" si="217"/>
        <v>0.126</v>
      </c>
      <c r="R269" s="41">
        <v>2.33</v>
      </c>
      <c r="S269">
        <f t="shared" si="218"/>
        <v>1.64</v>
      </c>
      <c r="T269" s="30">
        <f t="shared" si="219"/>
        <v>160.24</v>
      </c>
      <c r="U269" s="30">
        <f t="shared" si="212"/>
        <v>163.06</v>
      </c>
    </row>
    <row r="270" spans="1:21" x14ac:dyDescent="0.25">
      <c r="A270" s="5">
        <v>41455</v>
      </c>
      <c r="B270" s="5">
        <f t="shared" si="206"/>
        <v>41455</v>
      </c>
      <c r="C270">
        <v>1606.28</v>
      </c>
      <c r="D270" s="29">
        <f t="shared" si="207"/>
        <v>-1.0500000000000001E-2</v>
      </c>
      <c r="E270" s="39">
        <f t="shared" si="208"/>
        <v>1611.1053846153843</v>
      </c>
      <c r="F270" s="39">
        <f t="shared" si="209"/>
        <v>1514.6825641025639</v>
      </c>
      <c r="G270" s="29">
        <f t="shared" si="215"/>
        <v>-3.0000000000000001E-3</v>
      </c>
      <c r="H270" s="29">
        <f t="shared" si="215"/>
        <v>6.0499999999999998E-2</v>
      </c>
      <c r="I270">
        <f t="shared" si="210"/>
        <v>1606.28</v>
      </c>
      <c r="J270">
        <f>IF(A270&gt;=Quarterly!B$2,Quarterly!C$2,IF(COUNTIFS(Quarterly!B:B,"&gt;="&amp;A270-92,Quarterly!B:B,"&lt;="&amp;A270)&gt;1,SUMIFS(Quarterly!C:C,Quarterly!B:B,"&gt;="&amp;A270-88,Quarterly!B:B,"&lt;="&amp;A270),SUMIFS(Quarterly!C:C,Quarterly!B:B,"&gt;="&amp;A270-92,Quarterly!B:B,"&lt;="&amp;A270)))</f>
        <v>16475.400000000001</v>
      </c>
      <c r="K270" s="13">
        <f t="shared" si="211"/>
        <v>9.7500000000000003E-2</v>
      </c>
      <c r="L270">
        <f t="shared" si="213"/>
        <v>1606.28</v>
      </c>
      <c r="M270">
        <f>IF(A270&gt;=Quarterly!B$2,Quarterly!D$2,IF(COUNTIFS(Quarterly!B:B,"&gt;="&amp;A270-92,Quarterly!B:B,"&lt;="&amp;A270)&gt;1,SUMIFS(Quarterly!D:D,Quarterly!B:B,"&gt;="&amp;A270-88,Quarterly!B:B,"&lt;="&amp;A270),SUMIFS(Quarterly!D:D,Quarterly!B:B,"&gt;="&amp;A270-92,Quarterly!B:B,"&lt;="&amp;A270)))</f>
        <v>1679.4860000000001</v>
      </c>
      <c r="N270" s="13">
        <f t="shared" si="214"/>
        <v>9.5640000000000003E-2</v>
      </c>
      <c r="O270">
        <f t="shared" si="216"/>
        <v>1606.28</v>
      </c>
      <c r="P270" s="56">
        <f>VLOOKUP(EOMONTH(A270,-1),Economic!A:I,7,FALSE)</f>
        <v>1298094</v>
      </c>
      <c r="Q270" s="13">
        <f t="shared" si="217"/>
        <v>0.1237</v>
      </c>
      <c r="R270" s="41">
        <v>2.16</v>
      </c>
      <c r="S270">
        <f t="shared" si="218"/>
        <v>1.7</v>
      </c>
      <c r="T270" s="30">
        <f t="shared" si="219"/>
        <v>164.11</v>
      </c>
      <c r="U270" s="30">
        <f t="shared" si="212"/>
        <v>164.83</v>
      </c>
    </row>
    <row r="271" spans="1:21" x14ac:dyDescent="0.25">
      <c r="A271" s="5">
        <v>41448</v>
      </c>
      <c r="B271" s="5">
        <f t="shared" si="206"/>
        <v>41455</v>
      </c>
      <c r="C271">
        <v>1592.43</v>
      </c>
      <c r="D271" s="29">
        <f t="shared" si="207"/>
        <v>-2.76E-2</v>
      </c>
      <c r="E271" s="39">
        <f t="shared" si="208"/>
        <v>1608.2523076923073</v>
      </c>
      <c r="F271" s="39">
        <f t="shared" si="209"/>
        <v>1510.436153846154</v>
      </c>
      <c r="G271" s="29">
        <f t="shared" si="215"/>
        <v>-9.7999999999999997E-3</v>
      </c>
      <c r="H271" s="29">
        <f t="shared" si="215"/>
        <v>5.4300000000000001E-2</v>
      </c>
      <c r="I271">
        <f t="shared" si="210"/>
        <v>1592.43</v>
      </c>
      <c r="J271">
        <f>IF(A271&gt;=Quarterly!B$2,Quarterly!C$2,IF(COUNTIFS(Quarterly!B:B,"&gt;="&amp;A271-92,Quarterly!B:B,"&lt;="&amp;A271)&gt;1,SUMIFS(Quarterly!C:C,Quarterly!B:B,"&gt;="&amp;A271-88,Quarterly!B:B,"&lt;="&amp;A271),SUMIFS(Quarterly!C:C,Quarterly!B:B,"&gt;="&amp;A271-92,Quarterly!B:B,"&lt;="&amp;A271)))</f>
        <v>16475.400000000001</v>
      </c>
      <c r="K271" s="13">
        <f t="shared" si="211"/>
        <v>9.6699999999999994E-2</v>
      </c>
      <c r="L271">
        <f t="shared" si="213"/>
        <v>1592.43</v>
      </c>
      <c r="M271">
        <f>IF(A271&gt;=Quarterly!B$2,Quarterly!D$2,IF(COUNTIFS(Quarterly!B:B,"&gt;="&amp;A271-92,Quarterly!B:B,"&lt;="&amp;A271)&gt;1,SUMIFS(Quarterly!D:D,Quarterly!B:B,"&gt;="&amp;A271-88,Quarterly!B:B,"&lt;="&amp;A271),SUMIFS(Quarterly!D:D,Quarterly!B:B,"&gt;="&amp;A271-92,Quarterly!B:B,"&lt;="&amp;A271)))</f>
        <v>1679.4860000000001</v>
      </c>
      <c r="N271" s="13">
        <f t="shared" si="214"/>
        <v>9.4820000000000015E-2</v>
      </c>
      <c r="O271">
        <f t="shared" si="216"/>
        <v>1592.43</v>
      </c>
      <c r="P271" s="56">
        <f>VLOOKUP(EOMONTH(A271,-1),Economic!A:I,7,FALSE)</f>
        <v>1298094</v>
      </c>
      <c r="Q271" s="13">
        <f t="shared" si="217"/>
        <v>0.1227</v>
      </c>
      <c r="R271" s="41">
        <v>2.14</v>
      </c>
      <c r="S271">
        <f t="shared" si="218"/>
        <v>1.7</v>
      </c>
      <c r="T271" s="30">
        <f t="shared" si="219"/>
        <v>164.83</v>
      </c>
      <c r="U271" s="30">
        <f t="shared" si="212"/>
        <v>165.32</v>
      </c>
    </row>
    <row r="272" spans="1:21" x14ac:dyDescent="0.25">
      <c r="A272" s="5">
        <v>41441</v>
      </c>
      <c r="B272" s="5">
        <f t="shared" si="206"/>
        <v>41455</v>
      </c>
      <c r="C272">
        <v>1626.73</v>
      </c>
      <c r="D272" s="29">
        <f t="shared" si="207"/>
        <v>-1.2800000000000001E-2</v>
      </c>
      <c r="E272" s="39">
        <f t="shared" si="208"/>
        <v>1605.5184615384615</v>
      </c>
      <c r="F272" s="39">
        <f t="shared" si="209"/>
        <v>1507.0443589743591</v>
      </c>
      <c r="G272" s="29">
        <f t="shared" si="215"/>
        <v>1.32E-2</v>
      </c>
      <c r="H272" s="29">
        <f t="shared" si="215"/>
        <v>7.9399999999999998E-2</v>
      </c>
      <c r="I272">
        <f t="shared" si="210"/>
        <v>1626.73</v>
      </c>
      <c r="J272">
        <f>IF(A272&gt;=Quarterly!B$2,Quarterly!C$2,IF(COUNTIFS(Quarterly!B:B,"&gt;="&amp;A272-92,Quarterly!B:B,"&lt;="&amp;A272)&gt;1,SUMIFS(Quarterly!C:C,Quarterly!B:B,"&gt;="&amp;A272-88,Quarterly!B:B,"&lt;="&amp;A272),SUMIFS(Quarterly!C:C,Quarterly!B:B,"&gt;="&amp;A272-92,Quarterly!B:B,"&lt;="&amp;A272)))</f>
        <v>16475.400000000001</v>
      </c>
      <c r="K272" s="13">
        <f t="shared" si="211"/>
        <v>9.8699999999999996E-2</v>
      </c>
      <c r="L272">
        <f t="shared" si="213"/>
        <v>1626.73</v>
      </c>
      <c r="M272">
        <f>IF(A272&gt;=Quarterly!B$2,Quarterly!D$2,IF(COUNTIFS(Quarterly!B:B,"&gt;="&amp;A272-92,Quarterly!B:B,"&lt;="&amp;A272)&gt;1,SUMIFS(Quarterly!D:D,Quarterly!B:B,"&gt;="&amp;A272-88,Quarterly!B:B,"&lt;="&amp;A272),SUMIFS(Quarterly!D:D,Quarterly!B:B,"&gt;="&amp;A272-92,Quarterly!B:B,"&lt;="&amp;A272)))</f>
        <v>1679.4860000000001</v>
      </c>
      <c r="N272" s="13">
        <f t="shared" si="214"/>
        <v>9.6860000000000002E-2</v>
      </c>
      <c r="O272">
        <f t="shared" si="216"/>
        <v>1626.73</v>
      </c>
      <c r="P272" s="56">
        <f>VLOOKUP(EOMONTH(A272,-1),Economic!A:I,7,FALSE)</f>
        <v>1298094</v>
      </c>
      <c r="Q272" s="13">
        <f t="shared" si="217"/>
        <v>0.12529999999999999</v>
      </c>
      <c r="R272" s="41">
        <v>1.85</v>
      </c>
      <c r="S272">
        <f t="shared" si="218"/>
        <v>1.75</v>
      </c>
      <c r="T272" s="30">
        <f t="shared" si="219"/>
        <v>165.54</v>
      </c>
      <c r="U272" s="30">
        <f t="shared" si="212"/>
        <v>167.61</v>
      </c>
    </row>
    <row r="273" spans="1:21" x14ac:dyDescent="0.25">
      <c r="A273" s="5">
        <v>41434</v>
      </c>
      <c r="B273" s="5">
        <f t="shared" si="206"/>
        <v>41455</v>
      </c>
      <c r="C273">
        <v>1643.38</v>
      </c>
      <c r="D273" s="29">
        <f t="shared" si="207"/>
        <v>-1.1999999999999999E-3</v>
      </c>
      <c r="E273" s="39">
        <f t="shared" si="208"/>
        <v>1600.4392307692308</v>
      </c>
      <c r="F273" s="39">
        <f t="shared" si="209"/>
        <v>1502.9171794871795</v>
      </c>
      <c r="G273" s="29">
        <f t="shared" si="215"/>
        <v>2.6800000000000001E-2</v>
      </c>
      <c r="H273" s="29">
        <f t="shared" si="215"/>
        <v>9.35E-2</v>
      </c>
      <c r="I273">
        <f t="shared" si="210"/>
        <v>1643.38</v>
      </c>
      <c r="J273">
        <f>IF(A273&gt;=Quarterly!B$2,Quarterly!C$2,IF(COUNTIFS(Quarterly!B:B,"&gt;="&amp;A273-92,Quarterly!B:B,"&lt;="&amp;A273)&gt;1,SUMIFS(Quarterly!C:C,Quarterly!B:B,"&gt;="&amp;A273-88,Quarterly!B:B,"&lt;="&amp;A273),SUMIFS(Quarterly!C:C,Quarterly!B:B,"&gt;="&amp;A273-92,Quarterly!B:B,"&lt;="&amp;A273)))</f>
        <v>16475.400000000001</v>
      </c>
      <c r="K273" s="13">
        <f t="shared" si="211"/>
        <v>9.9699999999999997E-2</v>
      </c>
      <c r="L273">
        <f t="shared" si="213"/>
        <v>1643.38</v>
      </c>
      <c r="M273">
        <f>IF(A273&gt;=Quarterly!B$2,Quarterly!D$2,IF(COUNTIFS(Quarterly!B:B,"&gt;="&amp;A273-92,Quarterly!B:B,"&lt;="&amp;A273)&gt;1,SUMIFS(Quarterly!D:D,Quarterly!B:B,"&gt;="&amp;A273-88,Quarterly!B:B,"&lt;="&amp;A273),SUMIFS(Quarterly!D:D,Quarterly!B:B,"&gt;="&amp;A273-92,Quarterly!B:B,"&lt;="&amp;A273)))</f>
        <v>1679.4860000000001</v>
      </c>
      <c r="N273" s="13">
        <f t="shared" si="214"/>
        <v>9.7850000000000006E-2</v>
      </c>
      <c r="O273">
        <f t="shared" si="216"/>
        <v>1643.38</v>
      </c>
      <c r="P273" s="56">
        <f>VLOOKUP(EOMONTH(A273,-1),Economic!A:I,7,FALSE)</f>
        <v>1298094</v>
      </c>
      <c r="Q273" s="13">
        <f t="shared" si="217"/>
        <v>0.12659999999999999</v>
      </c>
      <c r="R273" s="41">
        <v>1.85</v>
      </c>
      <c r="S273">
        <f t="shared" si="218"/>
        <v>1.75</v>
      </c>
      <c r="T273" s="30">
        <f t="shared" si="219"/>
        <v>165.58</v>
      </c>
      <c r="U273" s="30">
        <f t="shared" si="212"/>
        <v>169.65</v>
      </c>
    </row>
    <row r="274" spans="1:21" x14ac:dyDescent="0.25">
      <c r="A274" s="5">
        <v>41427</v>
      </c>
      <c r="B274" s="5">
        <f t="shared" ref="B274:B337" si="220">EOMONTH(A274,0)</f>
        <v>41455</v>
      </c>
      <c r="C274">
        <v>1630.74</v>
      </c>
      <c r="D274" s="29">
        <f t="shared" ref="D274:D337" si="221">ROUND((C274-AVERAGE(C275:C278))/AVERAGE(C275:C278),4)</f>
        <v>-6.4000000000000003E-3</v>
      </c>
      <c r="E274" s="39">
        <f t="shared" ref="E274:E337" si="222">AVERAGE(C274:C286)</f>
        <v>1593.3469230769233</v>
      </c>
      <c r="F274" s="39">
        <f t="shared" ref="F274:F337" si="223">AVERAGE(C274:C312)</f>
        <v>1497.6489743589743</v>
      </c>
      <c r="G274" s="29">
        <f t="shared" si="215"/>
        <v>2.35E-2</v>
      </c>
      <c r="H274" s="29">
        <f t="shared" si="215"/>
        <v>8.8900000000000007E-2</v>
      </c>
      <c r="I274">
        <f t="shared" ref="I274:I337" si="224">C274</f>
        <v>1630.74</v>
      </c>
      <c r="J274">
        <f>IF(A274&gt;=Quarterly!B$2,Quarterly!C$2,IF(COUNTIFS(Quarterly!B:B,"&gt;="&amp;A274-92,Quarterly!B:B,"&lt;="&amp;A274)&gt;1,SUMIFS(Quarterly!C:C,Quarterly!B:B,"&gt;="&amp;A274-88,Quarterly!B:B,"&lt;="&amp;A274),SUMIFS(Quarterly!C:C,Quarterly!B:B,"&gt;="&amp;A274-92,Quarterly!B:B,"&lt;="&amp;A274)))</f>
        <v>16475.400000000001</v>
      </c>
      <c r="K274" s="13">
        <f t="shared" ref="K274:K337" si="225">ROUND(I274/J274,4)</f>
        <v>9.9000000000000005E-2</v>
      </c>
      <c r="L274">
        <f t="shared" si="213"/>
        <v>1630.74</v>
      </c>
      <c r="M274">
        <f>IF(A274&gt;=Quarterly!B$2,Quarterly!D$2,IF(COUNTIFS(Quarterly!B:B,"&gt;="&amp;A274-92,Quarterly!B:B,"&lt;="&amp;A274)&gt;1,SUMIFS(Quarterly!D:D,Quarterly!B:B,"&gt;="&amp;A274-88,Quarterly!B:B,"&lt;="&amp;A274),SUMIFS(Quarterly!D:D,Quarterly!B:B,"&gt;="&amp;A274-92,Quarterly!B:B,"&lt;="&amp;A274)))</f>
        <v>1679.4860000000001</v>
      </c>
      <c r="N274" s="13">
        <f t="shared" si="214"/>
        <v>9.7100000000000006E-2</v>
      </c>
      <c r="O274">
        <f t="shared" si="216"/>
        <v>1630.74</v>
      </c>
      <c r="P274" s="56">
        <f>VLOOKUP(EOMONTH(A274,-1),Economic!A:I,7,FALSE)</f>
        <v>1298094</v>
      </c>
      <c r="Q274" s="13">
        <f t="shared" si="217"/>
        <v>0.12559999999999999</v>
      </c>
      <c r="R274" s="41">
        <v>1.86</v>
      </c>
      <c r="S274">
        <f t="shared" si="218"/>
        <v>1.9</v>
      </c>
      <c r="T274" s="30">
        <f t="shared" si="219"/>
        <v>171.7</v>
      </c>
      <c r="U274" s="30">
        <f t="shared" ref="U274:U337" si="226">ROUND(AVERAGE(T274:T276),2)</f>
        <v>172.6</v>
      </c>
    </row>
    <row r="275" spans="1:21" x14ac:dyDescent="0.25">
      <c r="A275" s="5">
        <v>41420</v>
      </c>
      <c r="B275" s="5">
        <f t="shared" si="220"/>
        <v>41425</v>
      </c>
      <c r="C275">
        <v>1649.6</v>
      </c>
      <c r="D275" s="29">
        <f t="shared" si="221"/>
        <v>1.55E-2</v>
      </c>
      <c r="E275" s="39">
        <f t="shared" si="222"/>
        <v>1584.69</v>
      </c>
      <c r="F275" s="39">
        <f t="shared" si="223"/>
        <v>1491.9012820512819</v>
      </c>
      <c r="G275" s="29">
        <f t="shared" si="215"/>
        <v>4.1000000000000002E-2</v>
      </c>
      <c r="H275" s="29">
        <f t="shared" si="215"/>
        <v>0.1057</v>
      </c>
      <c r="I275">
        <f t="shared" si="224"/>
        <v>1649.6</v>
      </c>
      <c r="J275">
        <f>IF(A275&gt;=Quarterly!B$2,Quarterly!C$2,IF(COUNTIFS(Quarterly!B:B,"&gt;="&amp;A275-92,Quarterly!B:B,"&lt;="&amp;A275)&gt;1,SUMIFS(Quarterly!C:C,Quarterly!B:B,"&gt;="&amp;A275-88,Quarterly!B:B,"&lt;="&amp;A275),SUMIFS(Quarterly!C:C,Quarterly!B:B,"&gt;="&amp;A275-92,Quarterly!B:B,"&lt;="&amp;A275)))</f>
        <v>16475.400000000001</v>
      </c>
      <c r="K275" s="13">
        <f t="shared" si="225"/>
        <v>0.10009999999999999</v>
      </c>
      <c r="L275">
        <f t="shared" si="213"/>
        <v>1649.6</v>
      </c>
      <c r="M275">
        <f>IF(A275&gt;=Quarterly!B$2,Quarterly!D$2,IF(COUNTIFS(Quarterly!B:B,"&gt;="&amp;A275-92,Quarterly!B:B,"&lt;="&amp;A275)&gt;1,SUMIFS(Quarterly!D:D,Quarterly!B:B,"&gt;="&amp;A275-88,Quarterly!B:B,"&lt;="&amp;A275),SUMIFS(Quarterly!D:D,Quarterly!B:B,"&gt;="&amp;A275-92,Quarterly!B:B,"&lt;="&amp;A275)))</f>
        <v>1679.4860000000001</v>
      </c>
      <c r="N275" s="13">
        <f t="shared" si="214"/>
        <v>9.8220000000000002E-2</v>
      </c>
      <c r="O275">
        <f t="shared" si="216"/>
        <v>1649.6</v>
      </c>
      <c r="P275" s="56">
        <f>VLOOKUP(EOMONTH(A275,-1),Economic!A:I,7,FALSE)</f>
        <v>1296318</v>
      </c>
      <c r="Q275" s="13">
        <f t="shared" si="217"/>
        <v>0.1273</v>
      </c>
      <c r="R275" s="41">
        <v>1.75</v>
      </c>
      <c r="S275">
        <f t="shared" si="218"/>
        <v>1.88</v>
      </c>
      <c r="T275" s="30">
        <f t="shared" si="219"/>
        <v>171.67</v>
      </c>
      <c r="U275" s="30">
        <f t="shared" si="226"/>
        <v>172.01</v>
      </c>
    </row>
    <row r="276" spans="1:21" x14ac:dyDescent="0.25">
      <c r="A276" s="5">
        <v>41413</v>
      </c>
      <c r="B276" s="5">
        <f t="shared" si="220"/>
        <v>41425</v>
      </c>
      <c r="C276">
        <v>1667.47</v>
      </c>
      <c r="D276" s="29">
        <f t="shared" si="221"/>
        <v>4.4499999999999998E-2</v>
      </c>
      <c r="E276" s="39">
        <f t="shared" si="222"/>
        <v>1574.3823076923077</v>
      </c>
      <c r="F276" s="39">
        <f t="shared" si="223"/>
        <v>1485.7866666666664</v>
      </c>
      <c r="G276" s="29">
        <f t="shared" si="215"/>
        <v>5.91E-2</v>
      </c>
      <c r="H276" s="29">
        <f t="shared" si="215"/>
        <v>0.12230000000000001</v>
      </c>
      <c r="I276">
        <f t="shared" si="224"/>
        <v>1667.47</v>
      </c>
      <c r="J276">
        <f>IF(A276&gt;=Quarterly!B$2,Quarterly!C$2,IF(COUNTIFS(Quarterly!B:B,"&gt;="&amp;A276-92,Quarterly!B:B,"&lt;="&amp;A276)&gt;1,SUMIFS(Quarterly!C:C,Quarterly!B:B,"&gt;="&amp;A276-88,Quarterly!B:B,"&lt;="&amp;A276),SUMIFS(Quarterly!C:C,Quarterly!B:B,"&gt;="&amp;A276-92,Quarterly!B:B,"&lt;="&amp;A276)))</f>
        <v>16475.400000000001</v>
      </c>
      <c r="K276" s="13">
        <f t="shared" si="225"/>
        <v>0.1012</v>
      </c>
      <c r="L276">
        <f t="shared" si="213"/>
        <v>1667.47</v>
      </c>
      <c r="M276">
        <f>IF(A276&gt;=Quarterly!B$2,Quarterly!D$2,IF(COUNTIFS(Quarterly!B:B,"&gt;="&amp;A276-92,Quarterly!B:B,"&lt;="&amp;A276)&gt;1,SUMIFS(Quarterly!D:D,Quarterly!B:B,"&gt;="&amp;A276-88,Quarterly!B:B,"&lt;="&amp;A276),SUMIFS(Quarterly!D:D,Quarterly!B:B,"&gt;="&amp;A276-92,Quarterly!B:B,"&lt;="&amp;A276)))</f>
        <v>1679.4860000000001</v>
      </c>
      <c r="N276" s="13">
        <f t="shared" si="214"/>
        <v>9.9280000000000007E-2</v>
      </c>
      <c r="O276">
        <f t="shared" si="216"/>
        <v>1667.47</v>
      </c>
      <c r="P276" s="56">
        <f>VLOOKUP(EOMONTH(A276,-1),Economic!A:I,7,FALSE)</f>
        <v>1296318</v>
      </c>
      <c r="Q276" s="13">
        <f t="shared" si="217"/>
        <v>0.12859999999999999</v>
      </c>
      <c r="R276" s="41">
        <v>1.69</v>
      </c>
      <c r="S276">
        <f t="shared" si="218"/>
        <v>1.94</v>
      </c>
      <c r="T276" s="30">
        <f t="shared" si="219"/>
        <v>174.44</v>
      </c>
      <c r="U276" s="30">
        <f t="shared" si="226"/>
        <v>172.12</v>
      </c>
    </row>
    <row r="277" spans="1:21" x14ac:dyDescent="0.25">
      <c r="A277" s="5">
        <v>41406</v>
      </c>
      <c r="B277" s="5">
        <f t="shared" si="220"/>
        <v>41425</v>
      </c>
      <c r="C277">
        <v>1633.7</v>
      </c>
      <c r="D277" s="29">
        <f t="shared" si="221"/>
        <v>3.0599999999999999E-2</v>
      </c>
      <c r="E277" s="39">
        <f t="shared" si="222"/>
        <v>1563.0223076923078</v>
      </c>
      <c r="F277" s="39">
        <f t="shared" si="223"/>
        <v>1479.3941025641025</v>
      </c>
      <c r="G277" s="29">
        <f t="shared" si="215"/>
        <v>4.5199999999999997E-2</v>
      </c>
      <c r="H277" s="29">
        <f t="shared" si="215"/>
        <v>0.1043</v>
      </c>
      <c r="I277">
        <f t="shared" si="224"/>
        <v>1633.7</v>
      </c>
      <c r="J277">
        <f>IF(A277&gt;=Quarterly!B$2,Quarterly!C$2,IF(COUNTIFS(Quarterly!B:B,"&gt;="&amp;A277-92,Quarterly!B:B,"&lt;="&amp;A277)&gt;1,SUMIFS(Quarterly!C:C,Quarterly!B:B,"&gt;="&amp;A277-88,Quarterly!B:B,"&lt;="&amp;A277),SUMIFS(Quarterly!C:C,Quarterly!B:B,"&gt;="&amp;A277-92,Quarterly!B:B,"&lt;="&amp;A277)))</f>
        <v>16475.400000000001</v>
      </c>
      <c r="K277" s="13">
        <f t="shared" si="225"/>
        <v>9.9199999999999997E-2</v>
      </c>
      <c r="L277">
        <f t="shared" si="213"/>
        <v>1633.7</v>
      </c>
      <c r="M277">
        <f>IF(A277&gt;=Quarterly!B$2,Quarterly!D$2,IF(COUNTIFS(Quarterly!B:B,"&gt;="&amp;A277-92,Quarterly!B:B,"&lt;="&amp;A277)&gt;1,SUMIFS(Quarterly!D:D,Quarterly!B:B,"&gt;="&amp;A277-88,Quarterly!B:B,"&lt;="&amp;A277),SUMIFS(Quarterly!D:D,Quarterly!B:B,"&gt;="&amp;A277-92,Quarterly!B:B,"&lt;="&amp;A277)))</f>
        <v>1679.4860000000001</v>
      </c>
      <c r="N277" s="13">
        <f t="shared" si="214"/>
        <v>9.7270000000000009E-2</v>
      </c>
      <c r="O277">
        <f t="shared" si="216"/>
        <v>1633.7</v>
      </c>
      <c r="P277" s="56">
        <f>VLOOKUP(EOMONTH(A277,-1),Economic!A:I,7,FALSE)</f>
        <v>1296318</v>
      </c>
      <c r="Q277" s="13">
        <f t="shared" si="217"/>
        <v>0.126</v>
      </c>
      <c r="R277" s="41">
        <v>1.64</v>
      </c>
      <c r="S277">
        <f t="shared" si="218"/>
        <v>1.71</v>
      </c>
      <c r="T277" s="30">
        <f t="shared" si="219"/>
        <v>169.93</v>
      </c>
      <c r="U277" s="30">
        <f t="shared" si="226"/>
        <v>170.71</v>
      </c>
    </row>
    <row r="278" spans="1:21" x14ac:dyDescent="0.25">
      <c r="A278" s="5">
        <v>41399</v>
      </c>
      <c r="B278" s="5">
        <f t="shared" si="220"/>
        <v>41425</v>
      </c>
      <c r="C278">
        <v>1614.42</v>
      </c>
      <c r="D278" s="29">
        <f t="shared" si="221"/>
        <v>2.8400000000000002E-2</v>
      </c>
      <c r="E278" s="39">
        <f t="shared" si="222"/>
        <v>1554.1169230769231</v>
      </c>
      <c r="F278" s="39">
        <f t="shared" si="223"/>
        <v>1473.5523076923077</v>
      </c>
      <c r="G278" s="29">
        <f t="shared" si="215"/>
        <v>3.8800000000000001E-2</v>
      </c>
      <c r="H278" s="29">
        <f t="shared" si="215"/>
        <v>9.5600000000000004E-2</v>
      </c>
      <c r="I278">
        <f t="shared" si="224"/>
        <v>1614.42</v>
      </c>
      <c r="J278">
        <f>IF(A278&gt;=Quarterly!B$2,Quarterly!C$2,IF(COUNTIFS(Quarterly!B:B,"&gt;="&amp;A278-92,Quarterly!B:B,"&lt;="&amp;A278)&gt;1,SUMIFS(Quarterly!C:C,Quarterly!B:B,"&gt;="&amp;A278-88,Quarterly!B:B,"&lt;="&amp;A278),SUMIFS(Quarterly!C:C,Quarterly!B:B,"&gt;="&amp;A278-92,Quarterly!B:B,"&lt;="&amp;A278)))</f>
        <v>16475.400000000001</v>
      </c>
      <c r="K278" s="13">
        <f t="shared" si="225"/>
        <v>9.8000000000000004E-2</v>
      </c>
      <c r="L278">
        <f t="shared" si="213"/>
        <v>1614.42</v>
      </c>
      <c r="M278">
        <f>IF(A278&gt;=Quarterly!B$2,Quarterly!D$2,IF(COUNTIFS(Quarterly!B:B,"&gt;="&amp;A278-92,Quarterly!B:B,"&lt;="&amp;A278)&gt;1,SUMIFS(Quarterly!D:D,Quarterly!B:B,"&gt;="&amp;A278-88,Quarterly!B:B,"&lt;="&amp;A278),SUMIFS(Quarterly!D:D,Quarterly!B:B,"&gt;="&amp;A278-92,Quarterly!B:B,"&lt;="&amp;A278)))</f>
        <v>1679.4860000000001</v>
      </c>
      <c r="N278" s="13">
        <f t="shared" si="214"/>
        <v>9.6130000000000007E-2</v>
      </c>
      <c r="O278">
        <f t="shared" si="216"/>
        <v>1614.42</v>
      </c>
      <c r="P278" s="56">
        <f>VLOOKUP(EOMONTH(A278,-1),Economic!A:I,7,FALSE)</f>
        <v>1296318</v>
      </c>
      <c r="Q278" s="13">
        <f t="shared" si="217"/>
        <v>0.1245</v>
      </c>
      <c r="R278" s="41">
        <v>1.56</v>
      </c>
      <c r="S278">
        <f t="shared" si="218"/>
        <v>1.71</v>
      </c>
      <c r="T278" s="30">
        <f t="shared" si="219"/>
        <v>171.99</v>
      </c>
      <c r="U278" s="30">
        <f t="shared" si="226"/>
        <v>171.98</v>
      </c>
    </row>
    <row r="279" spans="1:21" x14ac:dyDescent="0.25">
      <c r="A279" s="5">
        <v>41392</v>
      </c>
      <c r="B279" s="5">
        <f t="shared" si="220"/>
        <v>41394</v>
      </c>
      <c r="C279">
        <v>1582.24</v>
      </c>
      <c r="D279" s="29">
        <f t="shared" si="221"/>
        <v>0.01</v>
      </c>
      <c r="E279" s="39">
        <f t="shared" si="222"/>
        <v>1546.3284615384619</v>
      </c>
      <c r="F279" s="39">
        <f t="shared" si="223"/>
        <v>1467.8233333333333</v>
      </c>
      <c r="G279" s="29">
        <f t="shared" si="215"/>
        <v>2.3199999999999998E-2</v>
      </c>
      <c r="H279" s="29">
        <f t="shared" si="215"/>
        <v>7.7899999999999997E-2</v>
      </c>
      <c r="I279">
        <f t="shared" si="224"/>
        <v>1582.24</v>
      </c>
      <c r="J279">
        <f>IF(A279&gt;=Quarterly!B$2,Quarterly!C$2,IF(COUNTIFS(Quarterly!B:B,"&gt;="&amp;A279-92,Quarterly!B:B,"&lt;="&amp;A279)&gt;1,SUMIFS(Quarterly!C:C,Quarterly!B:B,"&gt;="&amp;A279-88,Quarterly!B:B,"&lt;="&amp;A279),SUMIFS(Quarterly!C:C,Quarterly!B:B,"&gt;="&amp;A279-92,Quarterly!B:B,"&lt;="&amp;A279)))</f>
        <v>16297.3</v>
      </c>
      <c r="K279" s="13">
        <f t="shared" si="225"/>
        <v>9.7100000000000006E-2</v>
      </c>
      <c r="L279">
        <f t="shared" ref="L279:L342" si="227">C279</f>
        <v>1582.24</v>
      </c>
      <c r="M279">
        <f>IF(A279&gt;=Quarterly!B$2,Quarterly!D$2,IF(COUNTIFS(Quarterly!B:B,"&gt;="&amp;A279-92,Quarterly!B:B,"&lt;="&amp;A279)&gt;1,SUMIFS(Quarterly!D:D,Quarterly!B:B,"&gt;="&amp;A279-88,Quarterly!B:B,"&lt;="&amp;A279),SUMIFS(Quarterly!D:D,Quarterly!B:B,"&gt;="&amp;A279-92,Quarterly!B:B,"&lt;="&amp;A279)))</f>
        <v>1663.9490000000001</v>
      </c>
      <c r="N279" s="13">
        <f t="shared" ref="N279:N342" si="228">ROUND(L279/M279,4)*0.1</f>
        <v>9.5090000000000008E-2</v>
      </c>
      <c r="O279">
        <f t="shared" si="216"/>
        <v>1582.24</v>
      </c>
      <c r="P279" s="56">
        <f>VLOOKUP(EOMONTH(A279,-1),Economic!A:I,7,FALSE)</f>
        <v>1287535</v>
      </c>
      <c r="Q279" s="13">
        <f t="shared" si="217"/>
        <v>0.12290000000000001</v>
      </c>
      <c r="R279" s="41">
        <v>1.48</v>
      </c>
      <c r="S279">
        <f t="shared" si="218"/>
        <v>1.67</v>
      </c>
      <c r="T279" s="30">
        <f t="shared" si="219"/>
        <v>170.22</v>
      </c>
      <c r="U279" s="30">
        <f t="shared" si="226"/>
        <v>172.04</v>
      </c>
    </row>
    <row r="280" spans="1:21" x14ac:dyDescent="0.25">
      <c r="A280" s="5">
        <v>41385</v>
      </c>
      <c r="B280" s="5">
        <f t="shared" si="220"/>
        <v>41394</v>
      </c>
      <c r="C280">
        <v>1555.25</v>
      </c>
      <c r="D280" s="29">
        <f t="shared" si="221"/>
        <v>-7.4999999999999997E-3</v>
      </c>
      <c r="E280" s="39">
        <f t="shared" si="222"/>
        <v>1540.2299999999998</v>
      </c>
      <c r="F280" s="39">
        <f t="shared" si="223"/>
        <v>1462.7907692307692</v>
      </c>
      <c r="G280" s="29">
        <f t="shared" si="215"/>
        <v>9.7999999999999997E-3</v>
      </c>
      <c r="H280" s="29">
        <f t="shared" si="215"/>
        <v>6.3200000000000006E-2</v>
      </c>
      <c r="I280">
        <f t="shared" si="224"/>
        <v>1555.25</v>
      </c>
      <c r="J280">
        <f>IF(A280&gt;=Quarterly!B$2,Quarterly!C$2,IF(COUNTIFS(Quarterly!B:B,"&gt;="&amp;A280-92,Quarterly!B:B,"&lt;="&amp;A280)&gt;1,SUMIFS(Quarterly!C:C,Quarterly!B:B,"&gt;="&amp;A280-88,Quarterly!B:B,"&lt;="&amp;A280),SUMIFS(Quarterly!C:C,Quarterly!B:B,"&gt;="&amp;A280-92,Quarterly!B:B,"&lt;="&amp;A280)))</f>
        <v>16297.3</v>
      </c>
      <c r="K280" s="13">
        <f t="shared" si="225"/>
        <v>9.5399999999999999E-2</v>
      </c>
      <c r="L280">
        <f t="shared" si="227"/>
        <v>1555.25</v>
      </c>
      <c r="M280">
        <f>IF(A280&gt;=Quarterly!B$2,Quarterly!D$2,IF(COUNTIFS(Quarterly!B:B,"&gt;="&amp;A280-92,Quarterly!B:B,"&lt;="&amp;A280)&gt;1,SUMIFS(Quarterly!D:D,Quarterly!B:B,"&gt;="&amp;A280-88,Quarterly!B:B,"&lt;="&amp;A280),SUMIFS(Quarterly!D:D,Quarterly!B:B,"&gt;="&amp;A280-92,Quarterly!B:B,"&lt;="&amp;A280)))</f>
        <v>1663.9490000000001</v>
      </c>
      <c r="N280" s="13">
        <f t="shared" si="228"/>
        <v>9.3469999999999998E-2</v>
      </c>
      <c r="O280">
        <f t="shared" si="216"/>
        <v>1555.25</v>
      </c>
      <c r="P280" s="56">
        <f>VLOOKUP(EOMONTH(A280,-1),Economic!A:I,7,FALSE)</f>
        <v>1287535</v>
      </c>
      <c r="Q280" s="13">
        <f t="shared" si="217"/>
        <v>0.1208</v>
      </c>
      <c r="R280" s="41">
        <v>1.49</v>
      </c>
      <c r="S280">
        <f t="shared" si="218"/>
        <v>1.72</v>
      </c>
      <c r="T280" s="30">
        <f t="shared" si="219"/>
        <v>173.73</v>
      </c>
      <c r="U280" s="30">
        <f t="shared" si="226"/>
        <v>174.1</v>
      </c>
    </row>
    <row r="281" spans="1:21" x14ac:dyDescent="0.25">
      <c r="A281" s="5">
        <v>41378</v>
      </c>
      <c r="B281" s="5">
        <f t="shared" si="220"/>
        <v>41394</v>
      </c>
      <c r="C281">
        <v>1588.85</v>
      </c>
      <c r="D281" s="29">
        <f t="shared" si="221"/>
        <v>1.8499999999999999E-2</v>
      </c>
      <c r="E281" s="39">
        <f t="shared" si="222"/>
        <v>1534.9015384615382</v>
      </c>
      <c r="F281" s="39">
        <f t="shared" si="223"/>
        <v>1457.8525641025642</v>
      </c>
      <c r="G281" s="29">
        <f t="shared" si="215"/>
        <v>3.5099999999999999E-2</v>
      </c>
      <c r="H281" s="29">
        <f t="shared" si="215"/>
        <v>8.9899999999999994E-2</v>
      </c>
      <c r="I281">
        <f t="shared" si="224"/>
        <v>1588.85</v>
      </c>
      <c r="J281">
        <f>IF(A281&gt;=Quarterly!B$2,Quarterly!C$2,IF(COUNTIFS(Quarterly!B:B,"&gt;="&amp;A281-92,Quarterly!B:B,"&lt;="&amp;A281)&gt;1,SUMIFS(Quarterly!C:C,Quarterly!B:B,"&gt;="&amp;A281-88,Quarterly!B:B,"&lt;="&amp;A281),SUMIFS(Quarterly!C:C,Quarterly!B:B,"&gt;="&amp;A281-92,Quarterly!B:B,"&lt;="&amp;A281)))</f>
        <v>16297.3</v>
      </c>
      <c r="K281" s="13">
        <f t="shared" si="225"/>
        <v>9.7500000000000003E-2</v>
      </c>
      <c r="L281">
        <f t="shared" si="227"/>
        <v>1588.85</v>
      </c>
      <c r="M281">
        <f>IF(A281&gt;=Quarterly!B$2,Quarterly!D$2,IF(COUNTIFS(Quarterly!B:B,"&gt;="&amp;A281-92,Quarterly!B:B,"&lt;="&amp;A281)&gt;1,SUMIFS(Quarterly!D:D,Quarterly!B:B,"&gt;="&amp;A281-88,Quarterly!B:B,"&lt;="&amp;A281),SUMIFS(Quarterly!D:D,Quarterly!B:B,"&gt;="&amp;A281-92,Quarterly!B:B,"&lt;="&amp;A281)))</f>
        <v>1663.9490000000001</v>
      </c>
      <c r="N281" s="13">
        <f t="shared" si="228"/>
        <v>9.5490000000000005E-2</v>
      </c>
      <c r="O281">
        <f t="shared" si="216"/>
        <v>1588.85</v>
      </c>
      <c r="P281" s="56">
        <f>VLOOKUP(EOMONTH(A281,-1),Economic!A:I,7,FALSE)</f>
        <v>1287535</v>
      </c>
      <c r="Q281" s="13">
        <f t="shared" si="217"/>
        <v>0.12340000000000001</v>
      </c>
      <c r="R281" s="41">
        <v>1.53</v>
      </c>
      <c r="S281">
        <f t="shared" si="218"/>
        <v>1.69</v>
      </c>
      <c r="T281" s="30">
        <f t="shared" si="219"/>
        <v>172.18</v>
      </c>
      <c r="U281" s="30">
        <f t="shared" si="226"/>
        <v>174.77</v>
      </c>
    </row>
    <row r="282" spans="1:21" x14ac:dyDescent="0.25">
      <c r="A282" s="5">
        <v>41371</v>
      </c>
      <c r="B282" s="5">
        <f t="shared" si="220"/>
        <v>41394</v>
      </c>
      <c r="C282">
        <v>1553.28</v>
      </c>
      <c r="D282" s="29">
        <f t="shared" si="221"/>
        <v>-4.0000000000000001E-3</v>
      </c>
      <c r="E282" s="39">
        <f t="shared" si="222"/>
        <v>1525.9169230769232</v>
      </c>
      <c r="F282" s="39">
        <f t="shared" si="223"/>
        <v>1451.9020512820514</v>
      </c>
      <c r="G282" s="29">
        <f t="shared" si="215"/>
        <v>1.7899999999999999E-2</v>
      </c>
      <c r="H282" s="29">
        <f t="shared" si="215"/>
        <v>6.9800000000000001E-2</v>
      </c>
      <c r="I282">
        <f t="shared" si="224"/>
        <v>1553.28</v>
      </c>
      <c r="J282">
        <f>IF(A282&gt;=Quarterly!B$2,Quarterly!C$2,IF(COUNTIFS(Quarterly!B:B,"&gt;="&amp;A282-92,Quarterly!B:B,"&lt;="&amp;A282)&gt;1,SUMIFS(Quarterly!C:C,Quarterly!B:B,"&gt;="&amp;A282-88,Quarterly!B:B,"&lt;="&amp;A282),SUMIFS(Quarterly!C:C,Quarterly!B:B,"&gt;="&amp;A282-92,Quarterly!B:B,"&lt;="&amp;A282)))</f>
        <v>16297.3</v>
      </c>
      <c r="K282" s="13">
        <f t="shared" si="225"/>
        <v>9.5299999999999996E-2</v>
      </c>
      <c r="L282">
        <f t="shared" si="227"/>
        <v>1553.28</v>
      </c>
      <c r="M282">
        <f>IF(A282&gt;=Quarterly!B$2,Quarterly!D$2,IF(COUNTIFS(Quarterly!B:B,"&gt;="&amp;A282-92,Quarterly!B:B,"&lt;="&amp;A282)&gt;1,SUMIFS(Quarterly!D:D,Quarterly!B:B,"&gt;="&amp;A282-88,Quarterly!B:B,"&lt;="&amp;A282),SUMIFS(Quarterly!D:D,Quarterly!B:B,"&gt;="&amp;A282-92,Quarterly!B:B,"&lt;="&amp;A282)))</f>
        <v>1663.9490000000001</v>
      </c>
      <c r="N282" s="13">
        <f t="shared" si="228"/>
        <v>9.3350000000000002E-2</v>
      </c>
      <c r="O282">
        <f t="shared" si="216"/>
        <v>1553.28</v>
      </c>
      <c r="P282" s="56">
        <f>VLOOKUP(EOMONTH(A282,-1),Economic!A:I,7,FALSE)</f>
        <v>1287535</v>
      </c>
      <c r="Q282" s="13">
        <f t="shared" si="217"/>
        <v>0.1206</v>
      </c>
      <c r="R282" s="41">
        <v>1.48</v>
      </c>
      <c r="S282">
        <f t="shared" si="218"/>
        <v>1.74</v>
      </c>
      <c r="T282" s="30">
        <f t="shared" si="219"/>
        <v>176.38</v>
      </c>
      <c r="U282" s="30">
        <f t="shared" si="226"/>
        <v>177.69</v>
      </c>
    </row>
    <row r="283" spans="1:21" x14ac:dyDescent="0.25">
      <c r="A283" s="5">
        <v>41364</v>
      </c>
      <c r="B283" s="5">
        <f t="shared" si="220"/>
        <v>41364</v>
      </c>
      <c r="C283">
        <v>1569.19</v>
      </c>
      <c r="D283" s="29">
        <f t="shared" si="221"/>
        <v>1.4500000000000001E-2</v>
      </c>
      <c r="E283" s="39">
        <f t="shared" si="222"/>
        <v>1519.2392307692307</v>
      </c>
      <c r="F283" s="39">
        <f t="shared" si="223"/>
        <v>1446.8097435897439</v>
      </c>
      <c r="G283" s="29">
        <f t="shared" si="215"/>
        <v>3.2899999999999999E-2</v>
      </c>
      <c r="H283" s="29">
        <f t="shared" si="215"/>
        <v>8.4599999999999995E-2</v>
      </c>
      <c r="I283">
        <f t="shared" si="224"/>
        <v>1569.19</v>
      </c>
      <c r="J283">
        <f>IF(A283&gt;=Quarterly!B$2,Quarterly!C$2,IF(COUNTIFS(Quarterly!B:B,"&gt;="&amp;A283-92,Quarterly!B:B,"&lt;="&amp;A283)&gt;1,SUMIFS(Quarterly!C:C,Quarterly!B:B,"&gt;="&amp;A283-88,Quarterly!B:B,"&lt;="&amp;A283),SUMIFS(Quarterly!C:C,Quarterly!B:B,"&gt;="&amp;A283-92,Quarterly!B:B,"&lt;="&amp;A283)))</f>
        <v>16297.3</v>
      </c>
      <c r="K283" s="13">
        <f t="shared" si="225"/>
        <v>9.6299999999999997E-2</v>
      </c>
      <c r="L283">
        <f t="shared" si="227"/>
        <v>1569.19</v>
      </c>
      <c r="M283">
        <f>IF(A283&gt;=Quarterly!B$2,Quarterly!D$2,IF(COUNTIFS(Quarterly!B:B,"&gt;="&amp;A283-92,Quarterly!B:B,"&lt;="&amp;A283)&gt;1,SUMIFS(Quarterly!D:D,Quarterly!B:B,"&gt;="&amp;A283-88,Quarterly!B:B,"&lt;="&amp;A283),SUMIFS(Quarterly!D:D,Quarterly!B:B,"&gt;="&amp;A283-92,Quarterly!B:B,"&lt;="&amp;A283)))</f>
        <v>1663.9490000000001</v>
      </c>
      <c r="N283" s="13">
        <f t="shared" si="228"/>
        <v>9.4310000000000005E-2</v>
      </c>
      <c r="O283">
        <f t="shared" si="216"/>
        <v>1569.19</v>
      </c>
      <c r="P283" s="56">
        <f>VLOOKUP(EOMONTH(A283,-1),Economic!A:I,7,FALSE)</f>
        <v>1280776</v>
      </c>
      <c r="Q283" s="13">
        <f t="shared" si="217"/>
        <v>0.1225</v>
      </c>
      <c r="R283" s="41">
        <v>1.62</v>
      </c>
      <c r="S283">
        <f t="shared" si="218"/>
        <v>1.71</v>
      </c>
      <c r="T283" s="30">
        <f t="shared" si="219"/>
        <v>175.75</v>
      </c>
      <c r="U283" s="30">
        <f t="shared" si="226"/>
        <v>178.14</v>
      </c>
    </row>
    <row r="284" spans="1:21" x14ac:dyDescent="0.25">
      <c r="A284" s="5">
        <v>41357</v>
      </c>
      <c r="B284" s="5">
        <f t="shared" si="220"/>
        <v>41364</v>
      </c>
      <c r="C284">
        <v>1556.89</v>
      </c>
      <c r="D284" s="29">
        <f t="shared" si="221"/>
        <v>1.3299999999999999E-2</v>
      </c>
      <c r="E284" s="39">
        <f t="shared" si="222"/>
        <v>1506.4115384615386</v>
      </c>
      <c r="F284" s="39">
        <f t="shared" si="223"/>
        <v>1441.501282051282</v>
      </c>
      <c r="G284" s="29">
        <f t="shared" si="215"/>
        <v>3.3500000000000002E-2</v>
      </c>
      <c r="H284" s="29">
        <f t="shared" si="215"/>
        <v>0.08</v>
      </c>
      <c r="I284">
        <f t="shared" si="224"/>
        <v>1556.89</v>
      </c>
      <c r="J284">
        <f>IF(A284&gt;=Quarterly!B$2,Quarterly!C$2,IF(COUNTIFS(Quarterly!B:B,"&gt;="&amp;A284-92,Quarterly!B:B,"&lt;="&amp;A284)&gt;1,SUMIFS(Quarterly!C:C,Quarterly!B:B,"&gt;="&amp;A284-88,Quarterly!B:B,"&lt;="&amp;A284),SUMIFS(Quarterly!C:C,Quarterly!B:B,"&gt;="&amp;A284-92,Quarterly!B:B,"&lt;="&amp;A284)))</f>
        <v>16297.3</v>
      </c>
      <c r="K284" s="13">
        <f t="shared" si="225"/>
        <v>9.5500000000000002E-2</v>
      </c>
      <c r="L284">
        <f t="shared" si="227"/>
        <v>1556.89</v>
      </c>
      <c r="M284">
        <f>IF(A284&gt;=Quarterly!B$2,Quarterly!D$2,IF(COUNTIFS(Quarterly!B:B,"&gt;="&amp;A284-92,Quarterly!B:B,"&lt;="&amp;A284)&gt;1,SUMIFS(Quarterly!D:D,Quarterly!B:B,"&gt;="&amp;A284-88,Quarterly!B:B,"&lt;="&amp;A284),SUMIFS(Quarterly!D:D,Quarterly!B:B,"&gt;="&amp;A284-92,Quarterly!B:B,"&lt;="&amp;A284)))</f>
        <v>1663.9490000000001</v>
      </c>
      <c r="N284" s="13">
        <f t="shared" si="228"/>
        <v>9.357E-2</v>
      </c>
      <c r="O284">
        <f t="shared" si="216"/>
        <v>1556.89</v>
      </c>
      <c r="P284" s="56">
        <f>VLOOKUP(EOMONTH(A284,-1),Economic!A:I,7,FALSE)</f>
        <v>1280776</v>
      </c>
      <c r="Q284" s="13">
        <f t="shared" si="217"/>
        <v>0.12160000000000001</v>
      </c>
      <c r="R284" s="41">
        <v>1.67</v>
      </c>
      <c r="S284">
        <f t="shared" si="218"/>
        <v>1.79</v>
      </c>
      <c r="T284" s="30">
        <f t="shared" si="219"/>
        <v>180.94</v>
      </c>
      <c r="U284" s="30">
        <f t="shared" si="226"/>
        <v>180.39</v>
      </c>
    </row>
    <row r="285" spans="1:21" x14ac:dyDescent="0.25">
      <c r="A285" s="5">
        <v>41350</v>
      </c>
      <c r="B285" s="5">
        <f t="shared" si="220"/>
        <v>41364</v>
      </c>
      <c r="C285">
        <v>1560.7</v>
      </c>
      <c r="D285" s="29">
        <f t="shared" si="221"/>
        <v>2.2599999999999999E-2</v>
      </c>
      <c r="E285" s="39">
        <f t="shared" si="222"/>
        <v>1496.6623076923076</v>
      </c>
      <c r="F285" s="39">
        <f t="shared" si="223"/>
        <v>1435.8123076923077</v>
      </c>
      <c r="G285" s="29">
        <f t="shared" si="215"/>
        <v>4.2799999999999998E-2</v>
      </c>
      <c r="H285" s="29">
        <f t="shared" si="215"/>
        <v>8.6999999999999994E-2</v>
      </c>
      <c r="I285">
        <f t="shared" si="224"/>
        <v>1560.7</v>
      </c>
      <c r="J285">
        <f>IF(A285&gt;=Quarterly!B$2,Quarterly!C$2,IF(COUNTIFS(Quarterly!B:B,"&gt;="&amp;A285-92,Quarterly!B:B,"&lt;="&amp;A285)&gt;1,SUMIFS(Quarterly!C:C,Quarterly!B:B,"&gt;="&amp;A285-88,Quarterly!B:B,"&lt;="&amp;A285),SUMIFS(Quarterly!C:C,Quarterly!B:B,"&gt;="&amp;A285-92,Quarterly!B:B,"&lt;="&amp;A285)))</f>
        <v>16297.3</v>
      </c>
      <c r="K285" s="13">
        <f t="shared" si="225"/>
        <v>9.5799999999999996E-2</v>
      </c>
      <c r="L285">
        <f t="shared" si="227"/>
        <v>1560.7</v>
      </c>
      <c r="M285">
        <f>IF(A285&gt;=Quarterly!B$2,Quarterly!D$2,IF(COUNTIFS(Quarterly!B:B,"&gt;="&amp;A285-92,Quarterly!B:B,"&lt;="&amp;A285)&gt;1,SUMIFS(Quarterly!D:D,Quarterly!B:B,"&gt;="&amp;A285-88,Quarterly!B:B,"&lt;="&amp;A285),SUMIFS(Quarterly!D:D,Quarterly!B:B,"&gt;="&amp;A285-92,Quarterly!B:B,"&lt;="&amp;A285)))</f>
        <v>1663.9490000000001</v>
      </c>
      <c r="N285" s="13">
        <f t="shared" si="228"/>
        <v>9.3789999999999998E-2</v>
      </c>
      <c r="O285">
        <f t="shared" si="216"/>
        <v>1560.7</v>
      </c>
      <c r="P285" s="56">
        <f>VLOOKUP(EOMONTH(A285,-1),Economic!A:I,7,FALSE)</f>
        <v>1280776</v>
      </c>
      <c r="Q285" s="13">
        <f t="shared" si="217"/>
        <v>0.12190000000000001</v>
      </c>
      <c r="R285" s="41">
        <v>1.76</v>
      </c>
      <c r="S285">
        <f t="shared" si="218"/>
        <v>1.65</v>
      </c>
      <c r="T285" s="30">
        <f t="shared" si="219"/>
        <v>177.74</v>
      </c>
      <c r="U285" s="30">
        <f t="shared" si="226"/>
        <v>180.81</v>
      </c>
    </row>
    <row r="286" spans="1:21" x14ac:dyDescent="0.25">
      <c r="A286" s="5">
        <v>41343</v>
      </c>
      <c r="B286" s="5">
        <f t="shared" si="220"/>
        <v>41364</v>
      </c>
      <c r="C286">
        <v>1551.18</v>
      </c>
      <c r="D286" s="29">
        <f t="shared" si="221"/>
        <v>2.1899999999999999E-2</v>
      </c>
      <c r="E286" s="39">
        <f t="shared" si="222"/>
        <v>1485.3453846153845</v>
      </c>
      <c r="F286" s="39">
        <f t="shared" si="223"/>
        <v>1430.2261538461537</v>
      </c>
      <c r="G286" s="29">
        <f t="shared" si="215"/>
        <v>4.4299999999999999E-2</v>
      </c>
      <c r="H286" s="29">
        <f t="shared" si="215"/>
        <v>8.4599999999999995E-2</v>
      </c>
      <c r="I286">
        <f t="shared" si="224"/>
        <v>1551.18</v>
      </c>
      <c r="J286">
        <f>IF(A286&gt;=Quarterly!B$2,Quarterly!C$2,IF(COUNTIFS(Quarterly!B:B,"&gt;="&amp;A286-92,Quarterly!B:B,"&lt;="&amp;A286)&gt;1,SUMIFS(Quarterly!C:C,Quarterly!B:B,"&gt;="&amp;A286-88,Quarterly!B:B,"&lt;="&amp;A286),SUMIFS(Quarterly!C:C,Quarterly!B:B,"&gt;="&amp;A286-92,Quarterly!B:B,"&lt;="&amp;A286)))</f>
        <v>16297.3</v>
      </c>
      <c r="K286" s="13">
        <f t="shared" si="225"/>
        <v>9.5200000000000007E-2</v>
      </c>
      <c r="L286">
        <f t="shared" si="227"/>
        <v>1551.18</v>
      </c>
      <c r="M286">
        <f>IF(A286&gt;=Quarterly!B$2,Quarterly!D$2,IF(COUNTIFS(Quarterly!B:B,"&gt;="&amp;A286-92,Quarterly!B:B,"&lt;="&amp;A286)&gt;1,SUMIFS(Quarterly!D:D,Quarterly!B:B,"&gt;="&amp;A286-88,Quarterly!B:B,"&lt;="&amp;A286),SUMIFS(Quarterly!D:D,Quarterly!B:B,"&gt;="&amp;A286-92,Quarterly!B:B,"&lt;="&amp;A286)))</f>
        <v>1663.9490000000001</v>
      </c>
      <c r="N286" s="13">
        <f t="shared" si="228"/>
        <v>9.3220000000000011E-2</v>
      </c>
      <c r="O286">
        <f t="shared" si="216"/>
        <v>1551.18</v>
      </c>
      <c r="P286" s="56">
        <f>VLOOKUP(EOMONTH(A286,-1),Economic!A:I,7,FALSE)</f>
        <v>1280776</v>
      </c>
      <c r="Q286" s="13">
        <f t="shared" si="217"/>
        <v>0.1211</v>
      </c>
      <c r="R286" s="41">
        <v>1.79</v>
      </c>
      <c r="S286">
        <f t="shared" si="218"/>
        <v>1.73</v>
      </c>
      <c r="T286" s="30">
        <f t="shared" si="219"/>
        <v>182.5</v>
      </c>
      <c r="U286" s="30">
        <f t="shared" si="226"/>
        <v>183.9</v>
      </c>
    </row>
    <row r="287" spans="1:21" x14ac:dyDescent="0.25">
      <c r="A287" s="5">
        <v>41336</v>
      </c>
      <c r="B287" s="5">
        <f t="shared" si="220"/>
        <v>41364</v>
      </c>
      <c r="C287">
        <v>1518.2</v>
      </c>
      <c r="D287" s="29">
        <f t="shared" si="221"/>
        <v>1E-3</v>
      </c>
      <c r="E287" s="39">
        <f t="shared" si="222"/>
        <v>1475.1061538461536</v>
      </c>
      <c r="F287" s="39">
        <f t="shared" si="223"/>
        <v>1424.4435897435899</v>
      </c>
      <c r="G287" s="29">
        <f t="shared" si="215"/>
        <v>2.92E-2</v>
      </c>
      <c r="H287" s="29">
        <f t="shared" si="215"/>
        <v>6.5799999999999997E-2</v>
      </c>
      <c r="I287">
        <f t="shared" si="224"/>
        <v>1518.2</v>
      </c>
      <c r="J287">
        <f>IF(A287&gt;=Quarterly!B$2,Quarterly!C$2,IF(COUNTIFS(Quarterly!B:B,"&gt;="&amp;A287-92,Quarterly!B:B,"&lt;="&amp;A287)&gt;1,SUMIFS(Quarterly!C:C,Quarterly!B:B,"&gt;="&amp;A287-88,Quarterly!B:B,"&lt;="&amp;A287),SUMIFS(Quarterly!C:C,Quarterly!B:B,"&gt;="&amp;A287-92,Quarterly!B:B,"&lt;="&amp;A287)))</f>
        <v>16297.3</v>
      </c>
      <c r="K287" s="13">
        <f t="shared" si="225"/>
        <v>9.3200000000000005E-2</v>
      </c>
      <c r="L287">
        <f t="shared" si="227"/>
        <v>1518.2</v>
      </c>
      <c r="M287">
        <f>IF(A287&gt;=Quarterly!B$2,Quarterly!D$2,IF(COUNTIFS(Quarterly!B:B,"&gt;="&amp;A287-92,Quarterly!B:B,"&lt;="&amp;A287)&gt;1,SUMIFS(Quarterly!D:D,Quarterly!B:B,"&gt;="&amp;A287-88,Quarterly!B:B,"&lt;="&amp;A287),SUMIFS(Quarterly!D:D,Quarterly!B:B,"&gt;="&amp;A287-92,Quarterly!B:B,"&lt;="&amp;A287)))</f>
        <v>1663.9490000000001</v>
      </c>
      <c r="N287" s="13">
        <f t="shared" si="228"/>
        <v>9.1240000000000002E-2</v>
      </c>
      <c r="O287">
        <f t="shared" si="216"/>
        <v>1518.2</v>
      </c>
      <c r="P287" s="56">
        <f>VLOOKUP(EOMONTH(A287,-1),Economic!A:I,7,FALSE)</f>
        <v>1280776</v>
      </c>
      <c r="Q287" s="13">
        <f t="shared" si="217"/>
        <v>0.11850000000000001</v>
      </c>
      <c r="R287" s="41">
        <v>1.61</v>
      </c>
      <c r="S287">
        <f t="shared" si="218"/>
        <v>1.64</v>
      </c>
      <c r="T287" s="30">
        <f t="shared" si="219"/>
        <v>182.18</v>
      </c>
      <c r="U287" s="30">
        <f t="shared" si="226"/>
        <v>184.39</v>
      </c>
    </row>
    <row r="288" spans="1:21" x14ac:dyDescent="0.25">
      <c r="A288" s="5">
        <v>41329</v>
      </c>
      <c r="B288" s="5">
        <f t="shared" si="220"/>
        <v>41333</v>
      </c>
      <c r="C288">
        <v>1515.6</v>
      </c>
      <c r="D288" s="29">
        <f t="shared" si="221"/>
        <v>1.4E-3</v>
      </c>
      <c r="E288" s="39">
        <f t="shared" si="222"/>
        <v>1467.2584615384617</v>
      </c>
      <c r="F288" s="39">
        <f t="shared" si="223"/>
        <v>1418.2856410256411</v>
      </c>
      <c r="G288" s="29">
        <f t="shared" si="215"/>
        <v>3.2899999999999999E-2</v>
      </c>
      <c r="H288" s="29">
        <f t="shared" si="215"/>
        <v>6.8599999999999994E-2</v>
      </c>
      <c r="I288">
        <f t="shared" si="224"/>
        <v>1515.6</v>
      </c>
      <c r="J288">
        <f>IF(A288&gt;=Quarterly!B$2,Quarterly!C$2,IF(COUNTIFS(Quarterly!B:B,"&gt;="&amp;A288-92,Quarterly!B:B,"&lt;="&amp;A288)&gt;1,SUMIFS(Quarterly!C:C,Quarterly!B:B,"&gt;="&amp;A288-88,Quarterly!B:B,"&lt;="&amp;A288),SUMIFS(Quarterly!C:C,Quarterly!B:B,"&gt;="&amp;A288-92,Quarterly!B:B,"&lt;="&amp;A288)))</f>
        <v>16297.3</v>
      </c>
      <c r="K288" s="13">
        <f t="shared" si="225"/>
        <v>9.2999999999999999E-2</v>
      </c>
      <c r="L288">
        <f t="shared" si="227"/>
        <v>1515.6</v>
      </c>
      <c r="M288">
        <f>IF(A288&gt;=Quarterly!B$2,Quarterly!D$2,IF(COUNTIFS(Quarterly!B:B,"&gt;="&amp;A288-92,Quarterly!B:B,"&lt;="&amp;A288)&gt;1,SUMIFS(Quarterly!D:D,Quarterly!B:B,"&gt;="&amp;A288-88,Quarterly!B:B,"&lt;="&amp;A288),SUMIFS(Quarterly!D:D,Quarterly!B:B,"&gt;="&amp;A288-92,Quarterly!B:B,"&lt;="&amp;A288)))</f>
        <v>1663.9490000000001</v>
      </c>
      <c r="N288" s="13">
        <f t="shared" si="228"/>
        <v>9.1080000000000008E-2</v>
      </c>
      <c r="O288">
        <f t="shared" si="216"/>
        <v>1515.6</v>
      </c>
      <c r="P288" s="56">
        <f>VLOOKUP(EOMONTH(A288,-1),Economic!A:I,7,FALSE)</f>
        <v>1277961</v>
      </c>
      <c r="Q288" s="13">
        <f t="shared" si="217"/>
        <v>0.1186</v>
      </c>
      <c r="R288" s="41">
        <v>1.7</v>
      </c>
      <c r="S288">
        <f t="shared" si="218"/>
        <v>1.75</v>
      </c>
      <c r="T288" s="30">
        <f t="shared" si="219"/>
        <v>187.01</v>
      </c>
      <c r="U288" s="30">
        <f t="shared" si="226"/>
        <v>188.23</v>
      </c>
    </row>
    <row r="289" spans="1:21" x14ac:dyDescent="0.25">
      <c r="A289" s="5">
        <v>41322</v>
      </c>
      <c r="B289" s="5">
        <f t="shared" si="220"/>
        <v>41333</v>
      </c>
      <c r="C289">
        <v>1519.79</v>
      </c>
      <c r="D289" s="29">
        <f t="shared" si="221"/>
        <v>9.7999999999999997E-3</v>
      </c>
      <c r="E289" s="39">
        <f t="shared" si="222"/>
        <v>1459.07</v>
      </c>
      <c r="F289" s="39">
        <f t="shared" si="223"/>
        <v>1413.2143589743589</v>
      </c>
      <c r="G289" s="29">
        <f t="shared" si="215"/>
        <v>4.1599999999999998E-2</v>
      </c>
      <c r="H289" s="29">
        <f t="shared" si="215"/>
        <v>7.5399999999999995E-2</v>
      </c>
      <c r="I289">
        <f t="shared" si="224"/>
        <v>1519.79</v>
      </c>
      <c r="J289">
        <f>IF(A289&gt;=Quarterly!B$2,Quarterly!C$2,IF(COUNTIFS(Quarterly!B:B,"&gt;="&amp;A289-92,Quarterly!B:B,"&lt;="&amp;A289)&gt;1,SUMIFS(Quarterly!C:C,Quarterly!B:B,"&gt;="&amp;A289-88,Quarterly!B:B,"&lt;="&amp;A289),SUMIFS(Quarterly!C:C,Quarterly!B:B,"&gt;="&amp;A289-92,Quarterly!B:B,"&lt;="&amp;A289)))</f>
        <v>16297.3</v>
      </c>
      <c r="K289" s="13">
        <f t="shared" si="225"/>
        <v>9.3299999999999994E-2</v>
      </c>
      <c r="L289">
        <f t="shared" si="227"/>
        <v>1519.79</v>
      </c>
      <c r="M289">
        <f>IF(A289&gt;=Quarterly!B$2,Quarterly!D$2,IF(COUNTIFS(Quarterly!B:B,"&gt;="&amp;A289-92,Quarterly!B:B,"&lt;="&amp;A289)&gt;1,SUMIFS(Quarterly!D:D,Quarterly!B:B,"&gt;="&amp;A289-88,Quarterly!B:B,"&lt;="&amp;A289),SUMIFS(Quarterly!D:D,Quarterly!B:B,"&gt;="&amp;A289-92,Quarterly!B:B,"&lt;="&amp;A289)))</f>
        <v>1663.9490000000001</v>
      </c>
      <c r="N289" s="13">
        <f t="shared" si="228"/>
        <v>9.1340000000000005E-2</v>
      </c>
      <c r="O289">
        <f t="shared" si="216"/>
        <v>1519.79</v>
      </c>
      <c r="P289" s="56">
        <f>VLOOKUP(EOMONTH(A289,-1),Economic!A:I,7,FALSE)</f>
        <v>1277961</v>
      </c>
      <c r="Q289" s="13">
        <f t="shared" si="217"/>
        <v>0.11889999999999999</v>
      </c>
      <c r="R289" s="41">
        <v>1.72</v>
      </c>
      <c r="S289">
        <f t="shared" si="218"/>
        <v>1.62</v>
      </c>
      <c r="T289" s="30">
        <f t="shared" si="219"/>
        <v>183.97</v>
      </c>
      <c r="U289" s="30">
        <f t="shared" si="226"/>
        <v>190.6</v>
      </c>
    </row>
    <row r="290" spans="1:21" x14ac:dyDescent="0.25">
      <c r="A290" s="5">
        <v>41315</v>
      </c>
      <c r="B290" s="5">
        <f t="shared" si="220"/>
        <v>41333</v>
      </c>
      <c r="C290">
        <v>1517.93</v>
      </c>
      <c r="D290" s="29">
        <f t="shared" si="221"/>
        <v>1.6299999999999999E-2</v>
      </c>
      <c r="E290" s="39">
        <f t="shared" si="222"/>
        <v>1446.7692307692309</v>
      </c>
      <c r="F290" s="39">
        <f t="shared" si="223"/>
        <v>1407.4561538461542</v>
      </c>
      <c r="G290" s="29">
        <f t="shared" si="215"/>
        <v>4.9200000000000001E-2</v>
      </c>
      <c r="H290" s="29">
        <f t="shared" si="215"/>
        <v>7.85E-2</v>
      </c>
      <c r="I290">
        <f t="shared" si="224"/>
        <v>1517.93</v>
      </c>
      <c r="J290">
        <f>IF(A290&gt;=Quarterly!B$2,Quarterly!C$2,IF(COUNTIFS(Quarterly!B:B,"&gt;="&amp;A290-92,Quarterly!B:B,"&lt;="&amp;A290)&gt;1,SUMIFS(Quarterly!C:C,Quarterly!B:B,"&gt;="&amp;A290-88,Quarterly!B:B,"&lt;="&amp;A290),SUMIFS(Quarterly!C:C,Quarterly!B:B,"&gt;="&amp;A290-92,Quarterly!B:B,"&lt;="&amp;A290)))</f>
        <v>16297.3</v>
      </c>
      <c r="K290" s="13">
        <f t="shared" si="225"/>
        <v>9.3100000000000002E-2</v>
      </c>
      <c r="L290">
        <f t="shared" si="227"/>
        <v>1517.93</v>
      </c>
      <c r="M290">
        <f>IF(A290&gt;=Quarterly!B$2,Quarterly!D$2,IF(COUNTIFS(Quarterly!B:B,"&gt;="&amp;A290-92,Quarterly!B:B,"&lt;="&amp;A290)&gt;1,SUMIFS(Quarterly!D:D,Quarterly!B:B,"&gt;="&amp;A290-88,Quarterly!B:B,"&lt;="&amp;A290),SUMIFS(Quarterly!D:D,Quarterly!B:B,"&gt;="&amp;A290-92,Quarterly!B:B,"&lt;="&amp;A290)))</f>
        <v>1663.9490000000001</v>
      </c>
      <c r="N290" s="13">
        <f t="shared" si="228"/>
        <v>9.1220000000000009E-2</v>
      </c>
      <c r="O290">
        <f t="shared" si="216"/>
        <v>1517.93</v>
      </c>
      <c r="P290" s="56">
        <f>VLOOKUP(EOMONTH(A290,-1),Economic!A:I,7,FALSE)</f>
        <v>1277961</v>
      </c>
      <c r="Q290" s="13">
        <f t="shared" si="217"/>
        <v>0.1188</v>
      </c>
      <c r="R290" s="41">
        <v>1.74</v>
      </c>
      <c r="S290">
        <f t="shared" si="218"/>
        <v>1.85</v>
      </c>
      <c r="T290" s="30">
        <f t="shared" si="219"/>
        <v>193.7</v>
      </c>
      <c r="U290" s="30">
        <f t="shared" si="226"/>
        <v>193.12</v>
      </c>
    </row>
    <row r="291" spans="1:21" x14ac:dyDescent="0.25">
      <c r="A291" s="5">
        <v>41308</v>
      </c>
      <c r="B291" s="5">
        <f t="shared" si="220"/>
        <v>41333</v>
      </c>
      <c r="C291">
        <v>1513.17</v>
      </c>
      <c r="D291" s="29">
        <f t="shared" si="221"/>
        <v>2.1100000000000001E-2</v>
      </c>
      <c r="E291" s="39">
        <f t="shared" si="222"/>
        <v>1436.1476923076921</v>
      </c>
      <c r="F291" s="39">
        <f t="shared" si="223"/>
        <v>1403.2371794871797</v>
      </c>
      <c r="G291" s="29">
        <f t="shared" si="215"/>
        <v>5.3600000000000002E-2</v>
      </c>
      <c r="H291" s="29">
        <f t="shared" si="215"/>
        <v>7.8299999999999995E-2</v>
      </c>
      <c r="I291">
        <f t="shared" si="224"/>
        <v>1513.17</v>
      </c>
      <c r="J291">
        <f>IF(A291&gt;=Quarterly!B$2,Quarterly!C$2,IF(COUNTIFS(Quarterly!B:B,"&gt;="&amp;A291-92,Quarterly!B:B,"&lt;="&amp;A291)&gt;1,SUMIFS(Quarterly!C:C,Quarterly!B:B,"&gt;="&amp;A291-88,Quarterly!B:B,"&lt;="&amp;A291),SUMIFS(Quarterly!C:C,Quarterly!B:B,"&gt;="&amp;A291-92,Quarterly!B:B,"&lt;="&amp;A291)))</f>
        <v>16297.3</v>
      </c>
      <c r="K291" s="13">
        <f t="shared" si="225"/>
        <v>9.2799999999999994E-2</v>
      </c>
      <c r="L291">
        <f t="shared" si="227"/>
        <v>1513.17</v>
      </c>
      <c r="M291">
        <f>IF(A291&gt;=Quarterly!B$2,Quarterly!D$2,IF(COUNTIFS(Quarterly!B:B,"&gt;="&amp;A291-92,Quarterly!B:B,"&lt;="&amp;A291)&gt;1,SUMIFS(Quarterly!D:D,Quarterly!B:B,"&gt;="&amp;A291-88,Quarterly!B:B,"&lt;="&amp;A291),SUMIFS(Quarterly!D:D,Quarterly!B:B,"&gt;="&amp;A291-92,Quarterly!B:B,"&lt;="&amp;A291)))</f>
        <v>1663.9490000000001</v>
      </c>
      <c r="N291" s="13">
        <f t="shared" si="228"/>
        <v>9.0940000000000007E-2</v>
      </c>
      <c r="O291">
        <f t="shared" si="216"/>
        <v>1513.17</v>
      </c>
      <c r="P291" s="56">
        <f>VLOOKUP(EOMONTH(A291,-1),Economic!A:I,7,FALSE)</f>
        <v>1277961</v>
      </c>
      <c r="Q291" s="13">
        <f t="shared" si="217"/>
        <v>0.11839999999999999</v>
      </c>
      <c r="R291" s="41">
        <v>1.77</v>
      </c>
      <c r="S291">
        <f t="shared" si="218"/>
        <v>1.8</v>
      </c>
      <c r="T291" s="30">
        <f t="shared" si="219"/>
        <v>194.14</v>
      </c>
      <c r="U291" s="30">
        <f t="shared" si="226"/>
        <v>193.24</v>
      </c>
    </row>
    <row r="292" spans="1:21" x14ac:dyDescent="0.25">
      <c r="A292" s="5">
        <v>41301</v>
      </c>
      <c r="B292" s="5">
        <f t="shared" si="220"/>
        <v>41305</v>
      </c>
      <c r="C292">
        <v>1502.96</v>
      </c>
      <c r="D292" s="29">
        <f t="shared" si="221"/>
        <v>3.1699999999999999E-2</v>
      </c>
      <c r="E292" s="39">
        <f t="shared" si="222"/>
        <v>1428.5346153846153</v>
      </c>
      <c r="F292" s="39">
        <f t="shared" si="223"/>
        <v>1399.543076923077</v>
      </c>
      <c r="G292" s="29">
        <f t="shared" si="215"/>
        <v>5.21E-2</v>
      </c>
      <c r="H292" s="29">
        <f t="shared" si="215"/>
        <v>7.3899999999999993E-2</v>
      </c>
      <c r="I292">
        <f t="shared" si="224"/>
        <v>1502.96</v>
      </c>
      <c r="J292">
        <f>IF(A292&gt;=Quarterly!B$2,Quarterly!C$2,IF(COUNTIFS(Quarterly!B:B,"&gt;="&amp;A292-92,Quarterly!B:B,"&lt;="&amp;A292)&gt;1,SUMIFS(Quarterly!C:C,Quarterly!B:B,"&gt;="&amp;A292-88,Quarterly!B:B,"&lt;="&amp;A292),SUMIFS(Quarterly!C:C,Quarterly!B:B,"&gt;="&amp;A292-92,Quarterly!B:B,"&lt;="&amp;A292)))</f>
        <v>16227.9</v>
      </c>
      <c r="K292" s="13">
        <f t="shared" si="225"/>
        <v>9.2600000000000002E-2</v>
      </c>
      <c r="L292">
        <f t="shared" si="227"/>
        <v>1502.96</v>
      </c>
      <c r="M292">
        <f>IF(A292&gt;=Quarterly!B$2,Quarterly!D$2,IF(COUNTIFS(Quarterly!B:B,"&gt;="&amp;A292-92,Quarterly!B:B,"&lt;="&amp;A292)&gt;1,SUMIFS(Quarterly!D:D,Quarterly!B:B,"&gt;="&amp;A292-88,Quarterly!B:B,"&lt;="&amp;A292),SUMIFS(Quarterly!D:D,Quarterly!B:B,"&gt;="&amp;A292-92,Quarterly!B:B,"&lt;="&amp;A292)))</f>
        <v>1686.634</v>
      </c>
      <c r="N292" s="13">
        <f t="shared" si="228"/>
        <v>8.9110000000000009E-2</v>
      </c>
      <c r="O292">
        <f t="shared" si="216"/>
        <v>1502.96</v>
      </c>
      <c r="P292" s="56">
        <f>VLOOKUP(EOMONTH(A292,-1),Economic!A:I,7,FALSE)</f>
        <v>1269837</v>
      </c>
      <c r="Q292" s="13">
        <f t="shared" si="217"/>
        <v>0.11839999999999999</v>
      </c>
      <c r="R292" s="41">
        <v>1.7</v>
      </c>
      <c r="S292">
        <f t="shared" si="218"/>
        <v>1.69</v>
      </c>
      <c r="T292" s="30">
        <f t="shared" si="219"/>
        <v>191.52</v>
      </c>
      <c r="U292" s="30">
        <f t="shared" si="226"/>
        <v>194.42</v>
      </c>
    </row>
    <row r="293" spans="1:21" x14ac:dyDescent="0.25">
      <c r="A293" s="5">
        <v>41294</v>
      </c>
      <c r="B293" s="5">
        <f t="shared" si="220"/>
        <v>41305</v>
      </c>
      <c r="C293">
        <v>1485.98</v>
      </c>
      <c r="D293" s="29">
        <f t="shared" si="221"/>
        <v>2.9899999999999999E-2</v>
      </c>
      <c r="E293" s="39">
        <f t="shared" si="222"/>
        <v>1421.5330769230766</v>
      </c>
      <c r="F293" s="39">
        <f t="shared" si="223"/>
        <v>1396.989230769231</v>
      </c>
      <c r="G293" s="29">
        <f t="shared" si="215"/>
        <v>4.53E-2</v>
      </c>
      <c r="H293" s="29">
        <f t="shared" si="215"/>
        <v>6.3700000000000007E-2</v>
      </c>
      <c r="I293">
        <f t="shared" si="224"/>
        <v>1485.98</v>
      </c>
      <c r="J293">
        <f>IF(A293&gt;=Quarterly!B$2,Quarterly!C$2,IF(COUNTIFS(Quarterly!B:B,"&gt;="&amp;A293-92,Quarterly!B:B,"&lt;="&amp;A293)&gt;1,SUMIFS(Quarterly!C:C,Quarterly!B:B,"&gt;="&amp;A293-88,Quarterly!B:B,"&lt;="&amp;A293),SUMIFS(Quarterly!C:C,Quarterly!B:B,"&gt;="&amp;A293-92,Quarterly!B:B,"&lt;="&amp;A293)))</f>
        <v>16227.9</v>
      </c>
      <c r="K293" s="13">
        <f t="shared" si="225"/>
        <v>9.1600000000000001E-2</v>
      </c>
      <c r="L293">
        <f t="shared" si="227"/>
        <v>1485.98</v>
      </c>
      <c r="M293">
        <f>IF(A293&gt;=Quarterly!B$2,Quarterly!D$2,IF(COUNTIFS(Quarterly!B:B,"&gt;="&amp;A293-92,Quarterly!B:B,"&lt;="&amp;A293)&gt;1,SUMIFS(Quarterly!D:D,Quarterly!B:B,"&gt;="&amp;A293-88,Quarterly!B:B,"&lt;="&amp;A293),SUMIFS(Quarterly!D:D,Quarterly!B:B,"&gt;="&amp;A293-92,Quarterly!B:B,"&lt;="&amp;A293)))</f>
        <v>1686.634</v>
      </c>
      <c r="N293" s="13">
        <f t="shared" si="228"/>
        <v>8.8100000000000012E-2</v>
      </c>
      <c r="O293">
        <f t="shared" si="216"/>
        <v>1485.98</v>
      </c>
      <c r="P293" s="56">
        <f>VLOOKUP(EOMONTH(A293,-1),Economic!A:I,7,FALSE)</f>
        <v>1269837</v>
      </c>
      <c r="Q293" s="13">
        <f t="shared" si="217"/>
        <v>0.11700000000000001</v>
      </c>
      <c r="R293" s="41">
        <v>1.61</v>
      </c>
      <c r="S293">
        <f t="shared" si="218"/>
        <v>1.72</v>
      </c>
      <c r="T293" s="30">
        <f t="shared" si="219"/>
        <v>194.05</v>
      </c>
      <c r="U293" s="30">
        <f t="shared" si="226"/>
        <v>197.09</v>
      </c>
    </row>
    <row r="294" spans="1:21" x14ac:dyDescent="0.25">
      <c r="A294" s="5">
        <v>41287</v>
      </c>
      <c r="B294" s="5">
        <f t="shared" si="220"/>
        <v>41305</v>
      </c>
      <c r="C294">
        <v>1472.05</v>
      </c>
      <c r="D294" s="29">
        <f t="shared" si="221"/>
        <v>3.0700000000000002E-2</v>
      </c>
      <c r="E294" s="39">
        <f t="shared" si="222"/>
        <v>1417.4723076923076</v>
      </c>
      <c r="F294" s="39">
        <f t="shared" si="223"/>
        <v>1394.2341025641028</v>
      </c>
      <c r="G294" s="29">
        <f t="shared" si="215"/>
        <v>3.85E-2</v>
      </c>
      <c r="H294" s="29">
        <f t="shared" si="215"/>
        <v>5.5800000000000002E-2</v>
      </c>
      <c r="I294">
        <f t="shared" si="224"/>
        <v>1472.05</v>
      </c>
      <c r="J294">
        <f>IF(A294&gt;=Quarterly!B$2,Quarterly!C$2,IF(COUNTIFS(Quarterly!B:B,"&gt;="&amp;A294-92,Quarterly!B:B,"&lt;="&amp;A294)&gt;1,SUMIFS(Quarterly!C:C,Quarterly!B:B,"&gt;="&amp;A294-88,Quarterly!B:B,"&lt;="&amp;A294),SUMIFS(Quarterly!C:C,Quarterly!B:B,"&gt;="&amp;A294-92,Quarterly!B:B,"&lt;="&amp;A294)))</f>
        <v>16227.9</v>
      </c>
      <c r="K294" s="13">
        <f t="shared" si="225"/>
        <v>9.0700000000000003E-2</v>
      </c>
      <c r="L294">
        <f t="shared" si="227"/>
        <v>1472.05</v>
      </c>
      <c r="M294">
        <f>IF(A294&gt;=Quarterly!B$2,Quarterly!D$2,IF(COUNTIFS(Quarterly!B:B,"&gt;="&amp;A294-92,Quarterly!B:B,"&lt;="&amp;A294)&gt;1,SUMIFS(Quarterly!D:D,Quarterly!B:B,"&gt;="&amp;A294-88,Quarterly!B:B,"&lt;="&amp;A294),SUMIFS(Quarterly!D:D,Quarterly!B:B,"&gt;="&amp;A294-92,Quarterly!B:B,"&lt;="&amp;A294)))</f>
        <v>1686.634</v>
      </c>
      <c r="N294" s="13">
        <f t="shared" si="228"/>
        <v>8.728000000000001E-2</v>
      </c>
      <c r="O294">
        <f t="shared" si="216"/>
        <v>1472.05</v>
      </c>
      <c r="P294" s="56">
        <f>VLOOKUP(EOMONTH(A294,-1),Economic!A:I,7,FALSE)</f>
        <v>1269837</v>
      </c>
      <c r="Q294" s="13">
        <f t="shared" si="217"/>
        <v>0.1159</v>
      </c>
      <c r="R294" s="41">
        <v>1.63</v>
      </c>
      <c r="S294">
        <f t="shared" si="218"/>
        <v>1.8</v>
      </c>
      <c r="T294" s="30">
        <f t="shared" si="219"/>
        <v>197.7</v>
      </c>
      <c r="U294" s="30">
        <f t="shared" si="226"/>
        <v>201.75</v>
      </c>
    </row>
    <row r="295" spans="1:21" x14ac:dyDescent="0.25">
      <c r="A295" s="5">
        <v>41280</v>
      </c>
      <c r="B295" s="5">
        <f t="shared" si="220"/>
        <v>41305</v>
      </c>
      <c r="C295">
        <v>1466.47</v>
      </c>
      <c r="D295" s="29">
        <f t="shared" si="221"/>
        <v>3.56E-2</v>
      </c>
      <c r="E295" s="39">
        <f t="shared" si="222"/>
        <v>1414.1292307692308</v>
      </c>
      <c r="F295" s="39">
        <f t="shared" si="223"/>
        <v>1391.6241025641029</v>
      </c>
      <c r="G295" s="29">
        <f t="shared" si="215"/>
        <v>3.6999999999999998E-2</v>
      </c>
      <c r="H295" s="29">
        <f t="shared" si="215"/>
        <v>5.3800000000000001E-2</v>
      </c>
      <c r="I295">
        <f t="shared" si="224"/>
        <v>1466.47</v>
      </c>
      <c r="J295">
        <f>IF(A295&gt;=Quarterly!B$2,Quarterly!C$2,IF(COUNTIFS(Quarterly!B:B,"&gt;="&amp;A295-92,Quarterly!B:B,"&lt;="&amp;A295)&gt;1,SUMIFS(Quarterly!C:C,Quarterly!B:B,"&gt;="&amp;A295-88,Quarterly!B:B,"&lt;="&amp;A295),SUMIFS(Quarterly!C:C,Quarterly!B:B,"&gt;="&amp;A295-92,Quarterly!B:B,"&lt;="&amp;A295)))</f>
        <v>16227.9</v>
      </c>
      <c r="K295" s="13">
        <f t="shared" si="225"/>
        <v>9.0399999999999994E-2</v>
      </c>
      <c r="L295">
        <f t="shared" si="227"/>
        <v>1466.47</v>
      </c>
      <c r="M295">
        <f>IF(A295&gt;=Quarterly!B$2,Quarterly!D$2,IF(COUNTIFS(Quarterly!B:B,"&gt;="&amp;A295-92,Quarterly!B:B,"&lt;="&amp;A295)&gt;1,SUMIFS(Quarterly!D:D,Quarterly!B:B,"&gt;="&amp;A295-88,Quarterly!B:B,"&lt;="&amp;A295),SUMIFS(Quarterly!D:D,Quarterly!B:B,"&gt;="&amp;A295-92,Quarterly!B:B,"&lt;="&amp;A295)))</f>
        <v>1686.634</v>
      </c>
      <c r="N295" s="13">
        <f t="shared" si="228"/>
        <v>8.6950000000000013E-2</v>
      </c>
      <c r="O295">
        <f t="shared" si="216"/>
        <v>1466.47</v>
      </c>
      <c r="P295" s="56">
        <f>VLOOKUP(EOMONTH(A295,-1),Economic!A:I,7,FALSE)</f>
        <v>1269837</v>
      </c>
      <c r="Q295" s="13">
        <f t="shared" si="217"/>
        <v>0.11550000000000001</v>
      </c>
      <c r="R295" s="41">
        <v>1.66</v>
      </c>
      <c r="S295">
        <f t="shared" si="218"/>
        <v>1.84</v>
      </c>
      <c r="T295" s="30">
        <f t="shared" si="219"/>
        <v>199.52</v>
      </c>
      <c r="U295" s="30">
        <f t="shared" si="226"/>
        <v>203.41</v>
      </c>
    </row>
    <row r="296" spans="1:21" x14ac:dyDescent="0.25">
      <c r="A296" s="5">
        <v>41273</v>
      </c>
      <c r="B296" s="5">
        <f t="shared" si="220"/>
        <v>41274</v>
      </c>
      <c r="C296">
        <v>1402.43</v>
      </c>
      <c r="D296" s="29">
        <f t="shared" si="221"/>
        <v>-1.2E-2</v>
      </c>
      <c r="E296" s="39">
        <f t="shared" si="222"/>
        <v>1413.7030769230769</v>
      </c>
      <c r="F296" s="39">
        <f t="shared" si="223"/>
        <v>1389.8705128205131</v>
      </c>
      <c r="G296" s="29">
        <f t="shared" si="215"/>
        <v>-8.0000000000000002E-3</v>
      </c>
      <c r="H296" s="29">
        <f t="shared" si="215"/>
        <v>8.9999999999999993E-3</v>
      </c>
      <c r="I296">
        <f t="shared" si="224"/>
        <v>1402.43</v>
      </c>
      <c r="J296">
        <f>IF(A296&gt;=Quarterly!B$2,Quarterly!C$2,IF(COUNTIFS(Quarterly!B:B,"&gt;="&amp;A296-92,Quarterly!B:B,"&lt;="&amp;A296)&gt;1,SUMIFS(Quarterly!C:C,Quarterly!B:B,"&gt;="&amp;A296-88,Quarterly!B:B,"&lt;="&amp;A296),SUMIFS(Quarterly!C:C,Quarterly!B:B,"&gt;="&amp;A296-92,Quarterly!B:B,"&lt;="&amp;A296)))</f>
        <v>16227.9</v>
      </c>
      <c r="K296" s="13">
        <f t="shared" si="225"/>
        <v>8.6400000000000005E-2</v>
      </c>
      <c r="L296">
        <f t="shared" si="227"/>
        <v>1402.43</v>
      </c>
      <c r="M296">
        <f>IF(A296&gt;=Quarterly!B$2,Quarterly!D$2,IF(COUNTIFS(Quarterly!B:B,"&gt;="&amp;A296-92,Quarterly!B:B,"&lt;="&amp;A296)&gt;1,SUMIFS(Quarterly!D:D,Quarterly!B:B,"&gt;="&amp;A296-88,Quarterly!B:B,"&lt;="&amp;A296),SUMIFS(Quarterly!D:D,Quarterly!B:B,"&gt;="&amp;A296-92,Quarterly!B:B,"&lt;="&amp;A296)))</f>
        <v>1686.634</v>
      </c>
      <c r="N296" s="13">
        <f t="shared" si="228"/>
        <v>8.3150000000000002E-2</v>
      </c>
      <c r="O296">
        <f t="shared" si="216"/>
        <v>1402.43</v>
      </c>
      <c r="P296" s="56">
        <f>VLOOKUP(EOMONTH(A296,-1),Economic!A:I,7,FALSE)</f>
        <v>1261740</v>
      </c>
      <c r="Q296" s="13">
        <f t="shared" si="217"/>
        <v>0.11119999999999999</v>
      </c>
      <c r="R296" s="41">
        <v>1.46</v>
      </c>
      <c r="S296">
        <f t="shared" si="218"/>
        <v>2.06</v>
      </c>
      <c r="T296" s="30">
        <f t="shared" si="219"/>
        <v>208.02</v>
      </c>
      <c r="U296" s="30">
        <f t="shared" si="226"/>
        <v>204.95</v>
      </c>
    </row>
    <row r="297" spans="1:21" x14ac:dyDescent="0.25">
      <c r="A297" s="5">
        <v>41266</v>
      </c>
      <c r="B297" s="5">
        <f t="shared" si="220"/>
        <v>41274</v>
      </c>
      <c r="C297">
        <v>1430.15</v>
      </c>
      <c r="D297" s="29">
        <f t="shared" si="221"/>
        <v>1.12E-2</v>
      </c>
      <c r="E297" s="39">
        <f t="shared" si="222"/>
        <v>1416.6446153846157</v>
      </c>
      <c r="F297" s="39">
        <f t="shared" si="223"/>
        <v>1390.0253846153851</v>
      </c>
      <c r="G297" s="29">
        <f t="shared" si="215"/>
        <v>9.4999999999999998E-3</v>
      </c>
      <c r="H297" s="29">
        <f t="shared" si="215"/>
        <v>2.8899999999999999E-2</v>
      </c>
      <c r="I297">
        <f t="shared" si="224"/>
        <v>1430.15</v>
      </c>
      <c r="J297">
        <f>IF(A297&gt;=Quarterly!B$2,Quarterly!C$2,IF(COUNTIFS(Quarterly!B:B,"&gt;="&amp;A297-92,Quarterly!B:B,"&lt;="&amp;A297)&gt;1,SUMIFS(Quarterly!C:C,Quarterly!B:B,"&gt;="&amp;A297-88,Quarterly!B:B,"&lt;="&amp;A297),SUMIFS(Quarterly!C:C,Quarterly!B:B,"&gt;="&amp;A297-92,Quarterly!B:B,"&lt;="&amp;A297)))</f>
        <v>16227.9</v>
      </c>
      <c r="K297" s="13">
        <f t="shared" si="225"/>
        <v>8.8099999999999998E-2</v>
      </c>
      <c r="L297">
        <f t="shared" si="227"/>
        <v>1430.15</v>
      </c>
      <c r="M297">
        <f>IF(A297&gt;=Quarterly!B$2,Quarterly!D$2,IF(COUNTIFS(Quarterly!B:B,"&gt;="&amp;A297-92,Quarterly!B:B,"&lt;="&amp;A297)&gt;1,SUMIFS(Quarterly!D:D,Quarterly!B:B,"&gt;="&amp;A297-88,Quarterly!B:B,"&lt;="&amp;A297),SUMIFS(Quarterly!D:D,Quarterly!B:B,"&gt;="&amp;A297-92,Quarterly!B:B,"&lt;="&amp;A297)))</f>
        <v>1686.634</v>
      </c>
      <c r="N297" s="13">
        <f t="shared" si="228"/>
        <v>8.4790000000000004E-2</v>
      </c>
      <c r="O297">
        <f t="shared" si="216"/>
        <v>1430.15</v>
      </c>
      <c r="P297" s="56">
        <f>VLOOKUP(EOMONTH(A297,-1),Economic!A:I,7,FALSE)</f>
        <v>1261740</v>
      </c>
      <c r="Q297" s="13">
        <f t="shared" si="217"/>
        <v>0.11329999999999998</v>
      </c>
      <c r="R297" s="41">
        <v>1.51</v>
      </c>
      <c r="S297">
        <f t="shared" si="218"/>
        <v>1.93</v>
      </c>
      <c r="T297" s="30">
        <f t="shared" si="219"/>
        <v>202.7</v>
      </c>
      <c r="U297" s="30">
        <f t="shared" si="226"/>
        <v>201.41</v>
      </c>
    </row>
    <row r="298" spans="1:21" x14ac:dyDescent="0.25">
      <c r="A298" s="5">
        <v>41259</v>
      </c>
      <c r="B298" s="5">
        <f t="shared" si="220"/>
        <v>41274</v>
      </c>
      <c r="C298">
        <v>1413.58</v>
      </c>
      <c r="D298" s="29">
        <f t="shared" si="221"/>
        <v>9.1000000000000004E-3</v>
      </c>
      <c r="E298" s="39">
        <f t="shared" si="222"/>
        <v>1418.9523076923081</v>
      </c>
      <c r="F298" s="39">
        <f t="shared" si="223"/>
        <v>1389.1782051282055</v>
      </c>
      <c r="G298" s="29">
        <f t="shared" si="215"/>
        <v>-3.8E-3</v>
      </c>
      <c r="H298" s="29">
        <f t="shared" si="215"/>
        <v>1.7600000000000001E-2</v>
      </c>
      <c r="I298">
        <f t="shared" si="224"/>
        <v>1413.58</v>
      </c>
      <c r="J298">
        <f>IF(A298&gt;=Quarterly!B$2,Quarterly!C$2,IF(COUNTIFS(Quarterly!B:B,"&gt;="&amp;A298-92,Quarterly!B:B,"&lt;="&amp;A298)&gt;1,SUMIFS(Quarterly!C:C,Quarterly!B:B,"&gt;="&amp;A298-88,Quarterly!B:B,"&lt;="&amp;A298),SUMIFS(Quarterly!C:C,Quarterly!B:B,"&gt;="&amp;A298-92,Quarterly!B:B,"&lt;="&amp;A298)))</f>
        <v>16227.9</v>
      </c>
      <c r="K298" s="13">
        <f t="shared" si="225"/>
        <v>8.7099999999999997E-2</v>
      </c>
      <c r="L298">
        <f t="shared" si="227"/>
        <v>1413.58</v>
      </c>
      <c r="M298">
        <f>IF(A298&gt;=Quarterly!B$2,Quarterly!D$2,IF(COUNTIFS(Quarterly!B:B,"&gt;="&amp;A298-92,Quarterly!B:B,"&lt;="&amp;A298)&gt;1,SUMIFS(Quarterly!D:D,Quarterly!B:B,"&gt;="&amp;A298-88,Quarterly!B:B,"&lt;="&amp;A298),SUMIFS(Quarterly!D:D,Quarterly!B:B,"&gt;="&amp;A298-92,Quarterly!B:B,"&lt;="&amp;A298)))</f>
        <v>1686.634</v>
      </c>
      <c r="N298" s="13">
        <f t="shared" si="228"/>
        <v>8.3809999999999996E-2</v>
      </c>
      <c r="O298">
        <f t="shared" si="216"/>
        <v>1413.58</v>
      </c>
      <c r="P298" s="56">
        <f>VLOOKUP(EOMONTH(A298,-1),Economic!A:I,7,FALSE)</f>
        <v>1261740</v>
      </c>
      <c r="Q298" s="13">
        <f t="shared" si="217"/>
        <v>0.11199999999999999</v>
      </c>
      <c r="R298" s="41">
        <v>1.48</v>
      </c>
      <c r="S298">
        <f t="shared" si="218"/>
        <v>1.98</v>
      </c>
      <c r="T298" s="30">
        <f t="shared" si="219"/>
        <v>204.12</v>
      </c>
      <c r="U298" s="30">
        <f t="shared" si="226"/>
        <v>198.14</v>
      </c>
    </row>
    <row r="299" spans="1:21" x14ac:dyDescent="0.25">
      <c r="A299" s="5">
        <v>41252</v>
      </c>
      <c r="B299" s="5">
        <f t="shared" si="220"/>
        <v>41274</v>
      </c>
      <c r="C299">
        <v>1418.07</v>
      </c>
      <c r="D299" s="29">
        <f t="shared" si="221"/>
        <v>1.9300000000000001E-2</v>
      </c>
      <c r="E299" s="39">
        <f t="shared" si="222"/>
        <v>1422.9669230769234</v>
      </c>
      <c r="F299" s="39">
        <f t="shared" si="223"/>
        <v>1388.9369230769232</v>
      </c>
      <c r="G299" s="29">
        <f t="shared" si="215"/>
        <v>-3.3999999999999998E-3</v>
      </c>
      <c r="H299" s="29">
        <f t="shared" si="215"/>
        <v>2.1000000000000001E-2</v>
      </c>
      <c r="I299">
        <f t="shared" si="224"/>
        <v>1418.07</v>
      </c>
      <c r="J299">
        <f>IF(A299&gt;=Quarterly!B$2,Quarterly!C$2,IF(COUNTIFS(Quarterly!B:B,"&gt;="&amp;A299-92,Quarterly!B:B,"&lt;="&amp;A299)&gt;1,SUMIFS(Quarterly!C:C,Quarterly!B:B,"&gt;="&amp;A299-88,Quarterly!B:B,"&lt;="&amp;A299),SUMIFS(Quarterly!C:C,Quarterly!B:B,"&gt;="&amp;A299-92,Quarterly!B:B,"&lt;="&amp;A299)))</f>
        <v>16227.9</v>
      </c>
      <c r="K299" s="13">
        <f t="shared" si="225"/>
        <v>8.7400000000000005E-2</v>
      </c>
      <c r="L299">
        <f t="shared" si="227"/>
        <v>1418.07</v>
      </c>
      <c r="M299">
        <f>IF(A299&gt;=Quarterly!B$2,Quarterly!D$2,IF(COUNTIFS(Quarterly!B:B,"&gt;="&amp;A299-92,Quarterly!B:B,"&lt;="&amp;A299)&gt;1,SUMIFS(Quarterly!D:D,Quarterly!B:B,"&gt;="&amp;A299-88,Quarterly!B:B,"&lt;="&amp;A299),SUMIFS(Quarterly!D:D,Quarterly!B:B,"&gt;="&amp;A299-92,Quarterly!B:B,"&lt;="&amp;A299)))</f>
        <v>1686.634</v>
      </c>
      <c r="N299" s="13">
        <f t="shared" si="228"/>
        <v>8.4080000000000002E-2</v>
      </c>
      <c r="O299">
        <f t="shared" si="216"/>
        <v>1418.07</v>
      </c>
      <c r="P299" s="56">
        <f>VLOOKUP(EOMONTH(A299,-1),Economic!A:I,7,FALSE)</f>
        <v>1261740</v>
      </c>
      <c r="Q299" s="13">
        <f t="shared" si="217"/>
        <v>0.1124</v>
      </c>
      <c r="R299" s="41">
        <v>1.39</v>
      </c>
      <c r="S299">
        <f t="shared" si="218"/>
        <v>1.8</v>
      </c>
      <c r="T299" s="30">
        <f t="shared" si="219"/>
        <v>197.41</v>
      </c>
      <c r="U299" s="30">
        <f t="shared" si="226"/>
        <v>193.86</v>
      </c>
    </row>
    <row r="300" spans="1:21" x14ac:dyDescent="0.25">
      <c r="A300" s="5">
        <v>41245</v>
      </c>
      <c r="B300" s="5">
        <f t="shared" si="220"/>
        <v>41274</v>
      </c>
      <c r="C300">
        <v>1416.18</v>
      </c>
      <c r="D300" s="29">
        <f t="shared" si="221"/>
        <v>1.83E-2</v>
      </c>
      <c r="E300" s="39">
        <f t="shared" si="222"/>
        <v>1424.4938461538461</v>
      </c>
      <c r="F300" s="39">
        <f t="shared" si="223"/>
        <v>1387.7266666666667</v>
      </c>
      <c r="G300" s="29">
        <f t="shared" si="215"/>
        <v>-5.7999999999999996E-3</v>
      </c>
      <c r="H300" s="29">
        <f t="shared" si="215"/>
        <v>2.0500000000000001E-2</v>
      </c>
      <c r="I300">
        <f t="shared" si="224"/>
        <v>1416.18</v>
      </c>
      <c r="J300">
        <f>IF(A300&gt;=Quarterly!B$2,Quarterly!C$2,IF(COUNTIFS(Quarterly!B:B,"&gt;="&amp;A300-92,Quarterly!B:B,"&lt;="&amp;A300)&gt;1,SUMIFS(Quarterly!C:C,Quarterly!B:B,"&gt;="&amp;A300-88,Quarterly!B:B,"&lt;="&amp;A300),SUMIFS(Quarterly!C:C,Quarterly!B:B,"&gt;="&amp;A300-92,Quarterly!B:B,"&lt;="&amp;A300)))</f>
        <v>16227.9</v>
      </c>
      <c r="K300" s="13">
        <f t="shared" si="225"/>
        <v>8.7300000000000003E-2</v>
      </c>
      <c r="L300">
        <f t="shared" si="227"/>
        <v>1416.18</v>
      </c>
      <c r="M300">
        <f>IF(A300&gt;=Quarterly!B$2,Quarterly!D$2,IF(COUNTIFS(Quarterly!B:B,"&gt;="&amp;A300-92,Quarterly!B:B,"&lt;="&amp;A300)&gt;1,SUMIFS(Quarterly!D:D,Quarterly!B:B,"&gt;="&amp;A300-88,Quarterly!B:B,"&lt;="&amp;A300),SUMIFS(Quarterly!D:D,Quarterly!B:B,"&gt;="&amp;A300-92,Quarterly!B:B,"&lt;="&amp;A300)))</f>
        <v>1686.634</v>
      </c>
      <c r="N300" s="13">
        <f t="shared" si="228"/>
        <v>8.3960000000000007E-2</v>
      </c>
      <c r="O300">
        <f t="shared" si="216"/>
        <v>1416.18</v>
      </c>
      <c r="P300" s="56">
        <f>VLOOKUP(EOMONTH(A300,-1),Economic!A:I,7,FALSE)</f>
        <v>1261740</v>
      </c>
      <c r="Q300" s="13">
        <f t="shared" si="217"/>
        <v>0.11219999999999999</v>
      </c>
      <c r="R300" s="41">
        <v>1.37</v>
      </c>
      <c r="S300">
        <f t="shared" si="218"/>
        <v>1.67</v>
      </c>
      <c r="T300" s="30">
        <f t="shared" si="219"/>
        <v>192.9</v>
      </c>
      <c r="U300" s="30">
        <f t="shared" si="226"/>
        <v>195.23</v>
      </c>
    </row>
    <row r="301" spans="1:21" x14ac:dyDescent="0.25">
      <c r="A301" s="5">
        <v>41238</v>
      </c>
      <c r="B301" s="5">
        <f t="shared" si="220"/>
        <v>41243</v>
      </c>
      <c r="C301">
        <v>1409.15</v>
      </c>
      <c r="D301" s="29">
        <f t="shared" si="221"/>
        <v>1.2699999999999999E-2</v>
      </c>
      <c r="E301" s="39">
        <f t="shared" si="222"/>
        <v>1423.7553846153846</v>
      </c>
      <c r="F301" s="39">
        <f t="shared" si="223"/>
        <v>1386.533076923077</v>
      </c>
      <c r="G301" s="29">
        <f t="shared" si="215"/>
        <v>-1.03E-2</v>
      </c>
      <c r="H301" s="29">
        <f t="shared" si="215"/>
        <v>1.6299999999999999E-2</v>
      </c>
      <c r="I301">
        <f t="shared" si="224"/>
        <v>1409.15</v>
      </c>
      <c r="J301">
        <f>IF(A301&gt;=Quarterly!B$2,Quarterly!C$2,IF(COUNTIFS(Quarterly!B:B,"&gt;="&amp;A301-92,Quarterly!B:B,"&lt;="&amp;A301)&gt;1,SUMIFS(Quarterly!C:C,Quarterly!B:B,"&gt;="&amp;A301-88,Quarterly!B:B,"&lt;="&amp;A301),SUMIFS(Quarterly!C:C,Quarterly!B:B,"&gt;="&amp;A301-92,Quarterly!B:B,"&lt;="&amp;A301)))</f>
        <v>16227.9</v>
      </c>
      <c r="K301" s="13">
        <f t="shared" si="225"/>
        <v>8.6800000000000002E-2</v>
      </c>
      <c r="L301">
        <f t="shared" si="227"/>
        <v>1409.15</v>
      </c>
      <c r="M301">
        <f>IF(A301&gt;=Quarterly!B$2,Quarterly!D$2,IF(COUNTIFS(Quarterly!B:B,"&gt;="&amp;A301-92,Quarterly!B:B,"&lt;="&amp;A301)&gt;1,SUMIFS(Quarterly!D:D,Quarterly!B:B,"&gt;="&amp;A301-88,Quarterly!B:B,"&lt;="&amp;A301),SUMIFS(Quarterly!D:D,Quarterly!B:B,"&gt;="&amp;A301-92,Quarterly!B:B,"&lt;="&amp;A301)))</f>
        <v>1686.634</v>
      </c>
      <c r="N301" s="13">
        <f t="shared" si="228"/>
        <v>8.3550000000000013E-2</v>
      </c>
      <c r="O301">
        <f t="shared" si="216"/>
        <v>1409.15</v>
      </c>
      <c r="P301" s="56">
        <f>VLOOKUP(EOMONTH(A301,-1),Economic!A:I,7,FALSE)</f>
        <v>1250532</v>
      </c>
      <c r="Q301" s="13">
        <f t="shared" si="217"/>
        <v>0.11269999999999999</v>
      </c>
      <c r="R301" s="41">
        <v>1.41</v>
      </c>
      <c r="S301">
        <f t="shared" si="218"/>
        <v>1.61</v>
      </c>
      <c r="T301" s="30">
        <f t="shared" si="219"/>
        <v>191.26</v>
      </c>
      <c r="U301" s="30">
        <f t="shared" si="226"/>
        <v>196.2</v>
      </c>
    </row>
    <row r="302" spans="1:21" x14ac:dyDescent="0.25">
      <c r="A302" s="5">
        <v>41231</v>
      </c>
      <c r="B302" s="5">
        <f t="shared" si="220"/>
        <v>41243</v>
      </c>
      <c r="C302">
        <v>1359.88</v>
      </c>
      <c r="D302" s="29">
        <f t="shared" si="221"/>
        <v>-3.5400000000000001E-2</v>
      </c>
      <c r="E302" s="39">
        <f t="shared" si="222"/>
        <v>1423.9076923076925</v>
      </c>
      <c r="F302" s="39">
        <f t="shared" si="223"/>
        <v>1385.42</v>
      </c>
      <c r="G302" s="29">
        <f t="shared" si="215"/>
        <v>-4.4999999999999998E-2</v>
      </c>
      <c r="H302" s="29">
        <f t="shared" si="215"/>
        <v>-1.84E-2</v>
      </c>
      <c r="I302">
        <f t="shared" si="224"/>
        <v>1359.88</v>
      </c>
      <c r="J302">
        <f>IF(A302&gt;=Quarterly!B$2,Quarterly!C$2,IF(COUNTIFS(Quarterly!B:B,"&gt;="&amp;A302-92,Quarterly!B:B,"&lt;="&amp;A302)&gt;1,SUMIFS(Quarterly!C:C,Quarterly!B:B,"&gt;="&amp;A302-88,Quarterly!B:B,"&lt;="&amp;A302),SUMIFS(Quarterly!C:C,Quarterly!B:B,"&gt;="&amp;A302-92,Quarterly!B:B,"&lt;="&amp;A302)))</f>
        <v>16227.9</v>
      </c>
      <c r="K302" s="13">
        <f t="shared" si="225"/>
        <v>8.3799999999999999E-2</v>
      </c>
      <c r="L302">
        <f t="shared" si="227"/>
        <v>1359.88</v>
      </c>
      <c r="M302">
        <f>IF(A302&gt;=Quarterly!B$2,Quarterly!D$2,IF(COUNTIFS(Quarterly!B:B,"&gt;="&amp;A302-92,Quarterly!B:B,"&lt;="&amp;A302)&gt;1,SUMIFS(Quarterly!D:D,Quarterly!B:B,"&gt;="&amp;A302-88,Quarterly!B:B,"&lt;="&amp;A302),SUMIFS(Quarterly!D:D,Quarterly!B:B,"&gt;="&amp;A302-92,Quarterly!B:B,"&lt;="&amp;A302)))</f>
        <v>1686.634</v>
      </c>
      <c r="N302" s="13">
        <f t="shared" si="228"/>
        <v>8.0630000000000007E-2</v>
      </c>
      <c r="O302">
        <f t="shared" si="216"/>
        <v>1359.88</v>
      </c>
      <c r="P302" s="56">
        <f>VLOOKUP(EOMONTH(A302,-1),Economic!A:I,7,FALSE)</f>
        <v>1250532</v>
      </c>
      <c r="Q302" s="13">
        <f t="shared" si="217"/>
        <v>0.1087</v>
      </c>
      <c r="R302" s="41">
        <v>1.34</v>
      </c>
      <c r="S302">
        <f t="shared" si="218"/>
        <v>1.9</v>
      </c>
      <c r="T302" s="30">
        <f t="shared" si="219"/>
        <v>201.54</v>
      </c>
      <c r="U302" s="30">
        <f t="shared" si="226"/>
        <v>197.95</v>
      </c>
    </row>
    <row r="303" spans="1:21" x14ac:dyDescent="0.25">
      <c r="A303" s="5">
        <v>41224</v>
      </c>
      <c r="B303" s="5">
        <f t="shared" si="220"/>
        <v>41243</v>
      </c>
      <c r="C303">
        <v>1379.85</v>
      </c>
      <c r="D303" s="29">
        <f t="shared" si="221"/>
        <v>-2.9600000000000001E-2</v>
      </c>
      <c r="E303" s="39">
        <f t="shared" si="222"/>
        <v>1428.3907692307694</v>
      </c>
      <c r="F303" s="39">
        <f t="shared" si="223"/>
        <v>1385.4546153846154</v>
      </c>
      <c r="G303" s="29">
        <f t="shared" si="215"/>
        <v>-3.4000000000000002E-2</v>
      </c>
      <c r="H303" s="29">
        <f t="shared" si="215"/>
        <v>-4.0000000000000001E-3</v>
      </c>
      <c r="I303">
        <f t="shared" si="224"/>
        <v>1379.85</v>
      </c>
      <c r="J303">
        <f>IF(A303&gt;=Quarterly!B$2,Quarterly!C$2,IF(COUNTIFS(Quarterly!B:B,"&gt;="&amp;A303-92,Quarterly!B:B,"&lt;="&amp;A303)&gt;1,SUMIFS(Quarterly!C:C,Quarterly!B:B,"&gt;="&amp;A303-88,Quarterly!B:B,"&lt;="&amp;A303),SUMIFS(Quarterly!C:C,Quarterly!B:B,"&gt;="&amp;A303-92,Quarterly!B:B,"&lt;="&amp;A303)))</f>
        <v>16227.9</v>
      </c>
      <c r="K303" s="13">
        <f t="shared" si="225"/>
        <v>8.5000000000000006E-2</v>
      </c>
      <c r="L303">
        <f t="shared" si="227"/>
        <v>1379.85</v>
      </c>
      <c r="M303">
        <f>IF(A303&gt;=Quarterly!B$2,Quarterly!D$2,IF(COUNTIFS(Quarterly!B:B,"&gt;="&amp;A303-92,Quarterly!B:B,"&lt;="&amp;A303)&gt;1,SUMIFS(Quarterly!D:D,Quarterly!B:B,"&gt;="&amp;A303-88,Quarterly!B:B,"&lt;="&amp;A303),SUMIFS(Quarterly!D:D,Quarterly!B:B,"&gt;="&amp;A303-92,Quarterly!B:B,"&lt;="&amp;A303)))</f>
        <v>1686.634</v>
      </c>
      <c r="N303" s="13">
        <f t="shared" si="228"/>
        <v>8.1810000000000008E-2</v>
      </c>
      <c r="O303">
        <f t="shared" si="216"/>
        <v>1379.85</v>
      </c>
      <c r="P303" s="56">
        <f>VLOOKUP(EOMONTH(A303,-1),Economic!A:I,7,FALSE)</f>
        <v>1250532</v>
      </c>
      <c r="Q303" s="13">
        <f t="shared" si="217"/>
        <v>0.11030000000000001</v>
      </c>
      <c r="R303" s="41">
        <v>1.34</v>
      </c>
      <c r="S303">
        <f t="shared" si="218"/>
        <v>1.76</v>
      </c>
      <c r="T303" s="30">
        <f t="shared" si="219"/>
        <v>195.81</v>
      </c>
      <c r="U303" s="30">
        <f t="shared" si="226"/>
        <v>197.54</v>
      </c>
    </row>
    <row r="304" spans="1:21" x14ac:dyDescent="0.25">
      <c r="A304" s="5">
        <v>41217</v>
      </c>
      <c r="B304" s="5">
        <f t="shared" si="220"/>
        <v>41243</v>
      </c>
      <c r="C304">
        <v>1414.2</v>
      </c>
      <c r="D304" s="29">
        <f t="shared" si="221"/>
        <v>-1.3599999999999999E-2</v>
      </c>
      <c r="E304" s="39">
        <f t="shared" si="222"/>
        <v>1430.3923076923077</v>
      </c>
      <c r="F304" s="39">
        <f t="shared" si="223"/>
        <v>1384.500512820513</v>
      </c>
      <c r="G304" s="29">
        <f t="shared" si="215"/>
        <v>-1.1299999999999999E-2</v>
      </c>
      <c r="H304" s="29">
        <f t="shared" si="215"/>
        <v>2.1499999999999998E-2</v>
      </c>
      <c r="I304">
        <f t="shared" si="224"/>
        <v>1414.2</v>
      </c>
      <c r="J304">
        <f>IF(A304&gt;=Quarterly!B$2,Quarterly!C$2,IF(COUNTIFS(Quarterly!B:B,"&gt;="&amp;A304-92,Quarterly!B:B,"&lt;="&amp;A304)&gt;1,SUMIFS(Quarterly!C:C,Quarterly!B:B,"&gt;="&amp;A304-88,Quarterly!B:B,"&lt;="&amp;A304),SUMIFS(Quarterly!C:C,Quarterly!B:B,"&gt;="&amp;A304-92,Quarterly!B:B,"&lt;="&amp;A304)))</f>
        <v>16227.9</v>
      </c>
      <c r="K304" s="13">
        <f t="shared" si="225"/>
        <v>8.7099999999999997E-2</v>
      </c>
      <c r="L304">
        <f t="shared" si="227"/>
        <v>1414.2</v>
      </c>
      <c r="M304">
        <f>IF(A304&gt;=Quarterly!B$2,Quarterly!D$2,IF(COUNTIFS(Quarterly!B:B,"&gt;="&amp;A304-92,Quarterly!B:B,"&lt;="&amp;A304)&gt;1,SUMIFS(Quarterly!D:D,Quarterly!B:B,"&gt;="&amp;A304-88,Quarterly!B:B,"&lt;="&amp;A304),SUMIFS(Quarterly!D:D,Quarterly!B:B,"&gt;="&amp;A304-92,Quarterly!B:B,"&lt;="&amp;A304)))</f>
        <v>1686.634</v>
      </c>
      <c r="N304" s="13">
        <f t="shared" si="228"/>
        <v>8.3850000000000008E-2</v>
      </c>
      <c r="O304">
        <f t="shared" si="216"/>
        <v>1414.2</v>
      </c>
      <c r="P304" s="56">
        <f>VLOOKUP(EOMONTH(A304,-1),Economic!A:I,7,FALSE)</f>
        <v>1250532</v>
      </c>
      <c r="Q304" s="13">
        <f t="shared" si="217"/>
        <v>0.11310000000000001</v>
      </c>
      <c r="R304" s="41">
        <v>1.47</v>
      </c>
      <c r="S304">
        <f t="shared" si="218"/>
        <v>1.82</v>
      </c>
      <c r="T304" s="30">
        <f t="shared" si="219"/>
        <v>196.49</v>
      </c>
      <c r="U304" s="30">
        <f t="shared" si="226"/>
        <v>197.68</v>
      </c>
    </row>
    <row r="305" spans="1:21" x14ac:dyDescent="0.25">
      <c r="A305" s="5">
        <v>41210</v>
      </c>
      <c r="B305" s="5">
        <f t="shared" si="220"/>
        <v>41213</v>
      </c>
      <c r="C305">
        <v>1411.94</v>
      </c>
      <c r="D305" s="29">
        <f t="shared" si="221"/>
        <v>-2.01E-2</v>
      </c>
      <c r="E305" s="39">
        <f t="shared" si="222"/>
        <v>1428.6069230769233</v>
      </c>
      <c r="F305" s="39">
        <f t="shared" si="223"/>
        <v>1382.7235897435899</v>
      </c>
      <c r="G305" s="29">
        <f t="shared" si="215"/>
        <v>-1.17E-2</v>
      </c>
      <c r="H305" s="29">
        <f t="shared" si="215"/>
        <v>2.1100000000000001E-2</v>
      </c>
      <c r="I305">
        <f t="shared" si="224"/>
        <v>1411.94</v>
      </c>
      <c r="J305">
        <f>IF(A305&gt;=Quarterly!B$2,Quarterly!C$2,IF(COUNTIFS(Quarterly!B:B,"&gt;="&amp;A305-92,Quarterly!B:B,"&lt;="&amp;A305)&gt;1,SUMIFS(Quarterly!C:C,Quarterly!B:B,"&gt;="&amp;A305-88,Quarterly!B:B,"&lt;="&amp;A305),SUMIFS(Quarterly!C:C,Quarterly!B:B,"&gt;="&amp;A305-92,Quarterly!B:B,"&lt;="&amp;A305)))</f>
        <v>16121.9</v>
      </c>
      <c r="K305" s="13">
        <f t="shared" si="225"/>
        <v>8.7599999999999997E-2</v>
      </c>
      <c r="L305">
        <f t="shared" si="227"/>
        <v>1411.94</v>
      </c>
      <c r="M305">
        <f>IF(A305&gt;=Quarterly!B$2,Quarterly!D$2,IF(COUNTIFS(Quarterly!B:B,"&gt;="&amp;A305-92,Quarterly!B:B,"&lt;="&amp;A305)&gt;1,SUMIFS(Quarterly!D:D,Quarterly!B:B,"&gt;="&amp;A305-88,Quarterly!B:B,"&lt;="&amp;A305),SUMIFS(Quarterly!D:D,Quarterly!B:B,"&gt;="&amp;A305-92,Quarterly!B:B,"&lt;="&amp;A305)))</f>
        <v>1654.7919999999999</v>
      </c>
      <c r="N305" s="13">
        <f t="shared" si="228"/>
        <v>8.5320000000000007E-2</v>
      </c>
      <c r="O305">
        <f t="shared" si="216"/>
        <v>1411.94</v>
      </c>
      <c r="P305" s="56">
        <f>VLOOKUP(EOMONTH(A305,-1),Economic!A:I,7,FALSE)</f>
        <v>1251144</v>
      </c>
      <c r="Q305" s="13">
        <f t="shared" si="217"/>
        <v>0.1129</v>
      </c>
      <c r="R305" s="41">
        <v>1.48</v>
      </c>
      <c r="S305">
        <f t="shared" si="218"/>
        <v>1.99</v>
      </c>
      <c r="T305" s="30">
        <f t="shared" si="219"/>
        <v>200.32</v>
      </c>
      <c r="U305" s="30">
        <f t="shared" si="226"/>
        <v>199.75</v>
      </c>
    </row>
    <row r="306" spans="1:21" x14ac:dyDescent="0.25">
      <c r="A306" s="5">
        <v>41203</v>
      </c>
      <c r="B306" s="5">
        <f t="shared" si="220"/>
        <v>41213</v>
      </c>
      <c r="C306">
        <v>1433.19</v>
      </c>
      <c r="D306" s="29">
        <f t="shared" si="221"/>
        <v>-9.9000000000000008E-3</v>
      </c>
      <c r="E306" s="39">
        <f t="shared" si="222"/>
        <v>1426.6092307692309</v>
      </c>
      <c r="F306" s="39">
        <f t="shared" si="223"/>
        <v>1380.2720512820515</v>
      </c>
      <c r="G306" s="29">
        <f t="shared" si="215"/>
        <v>4.5999999999999999E-3</v>
      </c>
      <c r="H306" s="29">
        <f t="shared" si="215"/>
        <v>3.8300000000000001E-2</v>
      </c>
      <c r="I306">
        <f t="shared" si="224"/>
        <v>1433.19</v>
      </c>
      <c r="J306">
        <f>IF(A306&gt;=Quarterly!B$2,Quarterly!C$2,IF(COUNTIFS(Quarterly!B:B,"&gt;="&amp;A306-92,Quarterly!B:B,"&lt;="&amp;A306)&gt;1,SUMIFS(Quarterly!C:C,Quarterly!B:B,"&gt;="&amp;A306-88,Quarterly!B:B,"&lt;="&amp;A306),SUMIFS(Quarterly!C:C,Quarterly!B:B,"&gt;="&amp;A306-92,Quarterly!B:B,"&lt;="&amp;A306)))</f>
        <v>16121.9</v>
      </c>
      <c r="K306" s="13">
        <f t="shared" si="225"/>
        <v>8.8900000000000007E-2</v>
      </c>
      <c r="L306">
        <f t="shared" si="227"/>
        <v>1433.19</v>
      </c>
      <c r="M306">
        <f>IF(A306&gt;=Quarterly!B$2,Quarterly!D$2,IF(COUNTIFS(Quarterly!B:B,"&gt;="&amp;A306-92,Quarterly!B:B,"&lt;="&amp;A306)&gt;1,SUMIFS(Quarterly!D:D,Quarterly!B:B,"&gt;="&amp;A306-88,Quarterly!B:B,"&lt;="&amp;A306),SUMIFS(Quarterly!D:D,Quarterly!B:B,"&gt;="&amp;A306-92,Quarterly!B:B,"&lt;="&amp;A306)))</f>
        <v>1654.7919999999999</v>
      </c>
      <c r="N306" s="13">
        <f t="shared" si="228"/>
        <v>8.6610000000000006E-2</v>
      </c>
      <c r="O306">
        <f t="shared" si="216"/>
        <v>1433.19</v>
      </c>
      <c r="P306" s="56">
        <f>VLOOKUP(EOMONTH(A306,-1),Economic!A:I,7,FALSE)</f>
        <v>1251144</v>
      </c>
      <c r="Q306" s="13">
        <f t="shared" si="217"/>
        <v>0.11460000000000001</v>
      </c>
      <c r="R306" s="41">
        <v>1.49</v>
      </c>
      <c r="S306">
        <f t="shared" si="218"/>
        <v>1.87</v>
      </c>
      <c r="T306" s="30">
        <f t="shared" si="219"/>
        <v>196.22</v>
      </c>
      <c r="U306" s="30">
        <f t="shared" si="226"/>
        <v>203.35</v>
      </c>
    </row>
    <row r="307" spans="1:21" x14ac:dyDescent="0.25">
      <c r="A307" s="5">
        <v>41196</v>
      </c>
      <c r="B307" s="5">
        <f t="shared" si="220"/>
        <v>41213</v>
      </c>
      <c r="C307">
        <v>1428.59</v>
      </c>
      <c r="D307" s="29">
        <f t="shared" si="221"/>
        <v>-1.9400000000000001E-2</v>
      </c>
      <c r="E307" s="39">
        <f t="shared" si="222"/>
        <v>1421.1838461538462</v>
      </c>
      <c r="F307" s="39">
        <f t="shared" si="223"/>
        <v>1377.251282051282</v>
      </c>
      <c r="G307" s="29">
        <f t="shared" si="215"/>
        <v>5.1999999999999998E-3</v>
      </c>
      <c r="H307" s="29">
        <f t="shared" si="215"/>
        <v>3.73E-2</v>
      </c>
      <c r="I307">
        <f t="shared" si="224"/>
        <v>1428.59</v>
      </c>
      <c r="J307">
        <f>IF(A307&gt;=Quarterly!B$2,Quarterly!C$2,IF(COUNTIFS(Quarterly!B:B,"&gt;="&amp;A307-92,Quarterly!B:B,"&lt;="&amp;A307)&gt;1,SUMIFS(Quarterly!C:C,Quarterly!B:B,"&gt;="&amp;A307-88,Quarterly!B:B,"&lt;="&amp;A307),SUMIFS(Quarterly!C:C,Quarterly!B:B,"&gt;="&amp;A307-92,Quarterly!B:B,"&lt;="&amp;A307)))</f>
        <v>16121.9</v>
      </c>
      <c r="K307" s="13">
        <f t="shared" si="225"/>
        <v>8.8599999999999998E-2</v>
      </c>
      <c r="L307">
        <f t="shared" si="227"/>
        <v>1428.59</v>
      </c>
      <c r="M307">
        <f>IF(A307&gt;=Quarterly!B$2,Quarterly!D$2,IF(COUNTIFS(Quarterly!B:B,"&gt;="&amp;A307-92,Quarterly!B:B,"&lt;="&amp;A307)&gt;1,SUMIFS(Quarterly!D:D,Quarterly!B:B,"&gt;="&amp;A307-88,Quarterly!B:B,"&lt;="&amp;A307),SUMIFS(Quarterly!D:D,Quarterly!B:B,"&gt;="&amp;A307-92,Quarterly!B:B,"&lt;="&amp;A307)))</f>
        <v>1654.7919999999999</v>
      </c>
      <c r="N307" s="13">
        <f t="shared" si="228"/>
        <v>8.6330000000000004E-2</v>
      </c>
      <c r="O307">
        <f t="shared" si="216"/>
        <v>1428.59</v>
      </c>
      <c r="P307" s="56">
        <f>VLOOKUP(EOMONTH(A307,-1),Economic!A:I,7,FALSE)</f>
        <v>1251144</v>
      </c>
      <c r="Q307" s="13">
        <f t="shared" si="217"/>
        <v>0.1142</v>
      </c>
      <c r="R307" s="41">
        <v>1.42</v>
      </c>
      <c r="S307">
        <f t="shared" si="218"/>
        <v>2.04</v>
      </c>
      <c r="T307" s="30">
        <f t="shared" si="219"/>
        <v>202.7</v>
      </c>
      <c r="U307" s="30">
        <f t="shared" si="226"/>
        <v>210.63</v>
      </c>
    </row>
    <row r="308" spans="1:21" x14ac:dyDescent="0.25">
      <c r="A308" s="5">
        <v>41189</v>
      </c>
      <c r="B308" s="5">
        <f t="shared" si="220"/>
        <v>41213</v>
      </c>
      <c r="C308">
        <v>1460.93</v>
      </c>
      <c r="D308" s="29">
        <f t="shared" si="221"/>
        <v>6.7999999999999996E-3</v>
      </c>
      <c r="E308" s="39">
        <f t="shared" si="222"/>
        <v>1415.6599999999999</v>
      </c>
      <c r="F308" s="39">
        <f t="shared" si="223"/>
        <v>1373.6743589743589</v>
      </c>
      <c r="G308" s="29">
        <f t="shared" si="215"/>
        <v>3.2000000000000001E-2</v>
      </c>
      <c r="H308" s="29">
        <f t="shared" si="215"/>
        <v>6.3500000000000001E-2</v>
      </c>
      <c r="I308">
        <f t="shared" si="224"/>
        <v>1460.93</v>
      </c>
      <c r="J308">
        <f>IF(A308&gt;=Quarterly!B$2,Quarterly!C$2,IF(COUNTIFS(Quarterly!B:B,"&gt;="&amp;A308-92,Quarterly!B:B,"&lt;="&amp;A308)&gt;1,SUMIFS(Quarterly!C:C,Quarterly!B:B,"&gt;="&amp;A308-88,Quarterly!B:B,"&lt;="&amp;A308),SUMIFS(Quarterly!C:C,Quarterly!B:B,"&gt;="&amp;A308-92,Quarterly!B:B,"&lt;="&amp;A308)))</f>
        <v>16121.9</v>
      </c>
      <c r="K308" s="13">
        <f t="shared" si="225"/>
        <v>9.06E-2</v>
      </c>
      <c r="L308">
        <f t="shared" si="227"/>
        <v>1460.93</v>
      </c>
      <c r="M308">
        <f>IF(A308&gt;=Quarterly!B$2,Quarterly!D$2,IF(COUNTIFS(Quarterly!B:B,"&gt;="&amp;A308-92,Quarterly!B:B,"&lt;="&amp;A308)&gt;1,SUMIFS(Quarterly!D:D,Quarterly!B:B,"&gt;="&amp;A308-88,Quarterly!B:B,"&lt;="&amp;A308),SUMIFS(Quarterly!D:D,Quarterly!B:B,"&gt;="&amp;A308-92,Quarterly!B:B,"&lt;="&amp;A308)))</f>
        <v>1654.7919999999999</v>
      </c>
      <c r="N308" s="13">
        <f t="shared" si="228"/>
        <v>8.8280000000000011E-2</v>
      </c>
      <c r="O308">
        <f t="shared" si="216"/>
        <v>1460.93</v>
      </c>
      <c r="P308" s="56">
        <f>VLOOKUP(EOMONTH(A308,-1),Economic!A:I,7,FALSE)</f>
        <v>1251144</v>
      </c>
      <c r="Q308" s="13">
        <f t="shared" si="217"/>
        <v>0.1168</v>
      </c>
      <c r="R308" s="41">
        <v>1.48</v>
      </c>
      <c r="S308">
        <f t="shared" si="218"/>
        <v>2.2999999999999998</v>
      </c>
      <c r="T308" s="30">
        <f t="shared" si="219"/>
        <v>211.14</v>
      </c>
      <c r="U308" s="30">
        <f t="shared" si="226"/>
        <v>217.3</v>
      </c>
    </row>
    <row r="309" spans="1:21" x14ac:dyDescent="0.25">
      <c r="A309" s="5">
        <v>41182</v>
      </c>
      <c r="B309" s="5">
        <f t="shared" si="220"/>
        <v>41182</v>
      </c>
      <c r="C309">
        <v>1440.67</v>
      </c>
      <c r="D309" s="29">
        <f t="shared" si="221"/>
        <v>-1.2999999999999999E-3</v>
      </c>
      <c r="E309" s="39">
        <f t="shared" si="222"/>
        <v>1407.4869230769229</v>
      </c>
      <c r="F309" s="39">
        <f t="shared" si="223"/>
        <v>1368.9789743589743</v>
      </c>
      <c r="G309" s="29">
        <f t="shared" si="215"/>
        <v>2.3599999999999999E-2</v>
      </c>
      <c r="H309" s="29">
        <f t="shared" si="215"/>
        <v>5.2400000000000002E-2</v>
      </c>
      <c r="I309">
        <f t="shared" si="224"/>
        <v>1440.67</v>
      </c>
      <c r="J309">
        <f>IF(A309&gt;=Quarterly!B$2,Quarterly!C$2,IF(COUNTIFS(Quarterly!B:B,"&gt;="&amp;A309-92,Quarterly!B:B,"&lt;="&amp;A309)&gt;1,SUMIFS(Quarterly!C:C,Quarterly!B:B,"&gt;="&amp;A309-88,Quarterly!B:B,"&lt;="&amp;A309),SUMIFS(Quarterly!C:C,Quarterly!B:B,"&gt;="&amp;A309-92,Quarterly!B:B,"&lt;="&amp;A309)))</f>
        <v>16121.9</v>
      </c>
      <c r="K309" s="13">
        <f t="shared" si="225"/>
        <v>8.9399999999999993E-2</v>
      </c>
      <c r="L309">
        <f t="shared" si="227"/>
        <v>1440.67</v>
      </c>
      <c r="M309">
        <f>IF(A309&gt;=Quarterly!B$2,Quarterly!D$2,IF(COUNTIFS(Quarterly!B:B,"&gt;="&amp;A309-92,Quarterly!B:B,"&lt;="&amp;A309)&gt;1,SUMIFS(Quarterly!D:D,Quarterly!B:B,"&gt;="&amp;A309-88,Quarterly!B:B,"&lt;="&amp;A309),SUMIFS(Quarterly!D:D,Quarterly!B:B,"&gt;="&amp;A309-92,Quarterly!B:B,"&lt;="&amp;A309)))</f>
        <v>1654.7919999999999</v>
      </c>
      <c r="N309" s="13">
        <f t="shared" si="228"/>
        <v>8.7060000000000012E-2</v>
      </c>
      <c r="O309">
        <f t="shared" si="216"/>
        <v>1440.67</v>
      </c>
      <c r="P309" s="56">
        <f>VLOOKUP(EOMONTH(A309,-1),Economic!A:I,7,FALSE)</f>
        <v>1258786</v>
      </c>
      <c r="Q309" s="13">
        <f t="shared" si="217"/>
        <v>0.1144</v>
      </c>
      <c r="R309" s="41">
        <v>1.42</v>
      </c>
      <c r="S309">
        <f t="shared" si="218"/>
        <v>2.46</v>
      </c>
      <c r="T309" s="30">
        <f t="shared" si="219"/>
        <v>218.05</v>
      </c>
      <c r="U309" s="30">
        <f t="shared" si="226"/>
        <v>221.51</v>
      </c>
    </row>
    <row r="310" spans="1:21" x14ac:dyDescent="0.25">
      <c r="A310" s="5">
        <v>41175</v>
      </c>
      <c r="B310" s="5">
        <f t="shared" si="220"/>
        <v>41182</v>
      </c>
      <c r="C310">
        <v>1460.15</v>
      </c>
      <c r="D310" s="29">
        <f t="shared" si="221"/>
        <v>2.0799999999999999E-2</v>
      </c>
      <c r="E310" s="39">
        <f t="shared" si="222"/>
        <v>1401.4476923076923</v>
      </c>
      <c r="F310" s="39">
        <f t="shared" si="223"/>
        <v>1364.2848717948716</v>
      </c>
      <c r="G310" s="29">
        <f t="shared" si="215"/>
        <v>4.19E-2</v>
      </c>
      <c r="H310" s="29">
        <f t="shared" si="215"/>
        <v>7.0300000000000001E-2</v>
      </c>
      <c r="I310">
        <f t="shared" si="224"/>
        <v>1460.15</v>
      </c>
      <c r="J310">
        <f>IF(A310&gt;=Quarterly!B$2,Quarterly!C$2,IF(COUNTIFS(Quarterly!B:B,"&gt;="&amp;A310-92,Quarterly!B:B,"&lt;="&amp;A310)&gt;1,SUMIFS(Quarterly!C:C,Quarterly!B:B,"&gt;="&amp;A310-88,Quarterly!B:B,"&lt;="&amp;A310),SUMIFS(Quarterly!C:C,Quarterly!B:B,"&gt;="&amp;A310-92,Quarterly!B:B,"&lt;="&amp;A310)))</f>
        <v>16121.9</v>
      </c>
      <c r="K310" s="13">
        <f t="shared" si="225"/>
        <v>9.06E-2</v>
      </c>
      <c r="L310">
        <f t="shared" si="227"/>
        <v>1460.15</v>
      </c>
      <c r="M310">
        <f>IF(A310&gt;=Quarterly!B$2,Quarterly!D$2,IF(COUNTIFS(Quarterly!B:B,"&gt;="&amp;A310-92,Quarterly!B:B,"&lt;="&amp;A310)&gt;1,SUMIFS(Quarterly!D:D,Quarterly!B:B,"&gt;="&amp;A310-88,Quarterly!B:B,"&lt;="&amp;A310),SUMIFS(Quarterly!D:D,Quarterly!B:B,"&gt;="&amp;A310-92,Quarterly!B:B,"&lt;="&amp;A310)))</f>
        <v>1654.7919999999999</v>
      </c>
      <c r="N310" s="13">
        <f t="shared" si="228"/>
        <v>8.8239999999999999E-2</v>
      </c>
      <c r="O310">
        <f t="shared" si="216"/>
        <v>1460.15</v>
      </c>
      <c r="P310" s="56">
        <f>VLOOKUP(EOMONTH(A310,-1),Economic!A:I,7,FALSE)</f>
        <v>1258786</v>
      </c>
      <c r="Q310" s="13">
        <f t="shared" si="217"/>
        <v>0.11600000000000001</v>
      </c>
      <c r="R310" s="41">
        <v>1.5</v>
      </c>
      <c r="S310">
        <f t="shared" si="218"/>
        <v>2.59</v>
      </c>
      <c r="T310" s="30">
        <f t="shared" si="219"/>
        <v>222.72</v>
      </c>
      <c r="U310" s="30">
        <f t="shared" si="226"/>
        <v>224.77</v>
      </c>
    </row>
    <row r="311" spans="1:21" x14ac:dyDescent="0.25">
      <c r="A311" s="5">
        <v>41168</v>
      </c>
      <c r="B311" s="5">
        <f t="shared" si="220"/>
        <v>41182</v>
      </c>
      <c r="C311">
        <v>1465.77</v>
      </c>
      <c r="D311" s="29">
        <f t="shared" si="221"/>
        <v>3.3399999999999999E-2</v>
      </c>
      <c r="E311" s="39">
        <f t="shared" si="222"/>
        <v>1391.822307692308</v>
      </c>
      <c r="F311" s="39">
        <f t="shared" si="223"/>
        <v>1359.289487179487</v>
      </c>
      <c r="G311" s="29">
        <f t="shared" si="215"/>
        <v>5.3100000000000001E-2</v>
      </c>
      <c r="H311" s="29">
        <f t="shared" si="215"/>
        <v>7.8299999999999995E-2</v>
      </c>
      <c r="I311">
        <f t="shared" si="224"/>
        <v>1465.77</v>
      </c>
      <c r="J311">
        <f>IF(A311&gt;=Quarterly!B$2,Quarterly!C$2,IF(COUNTIFS(Quarterly!B:B,"&gt;="&amp;A311-92,Quarterly!B:B,"&lt;="&amp;A311)&gt;1,SUMIFS(Quarterly!C:C,Quarterly!B:B,"&gt;="&amp;A311-88,Quarterly!B:B,"&lt;="&amp;A311),SUMIFS(Quarterly!C:C,Quarterly!B:B,"&gt;="&amp;A311-92,Quarterly!B:B,"&lt;="&amp;A311)))</f>
        <v>16121.9</v>
      </c>
      <c r="K311" s="13">
        <f t="shared" si="225"/>
        <v>9.0899999999999995E-2</v>
      </c>
      <c r="L311">
        <f t="shared" si="227"/>
        <v>1465.77</v>
      </c>
      <c r="M311">
        <f>IF(A311&gt;=Quarterly!B$2,Quarterly!D$2,IF(COUNTIFS(Quarterly!B:B,"&gt;="&amp;A311-92,Quarterly!B:B,"&lt;="&amp;A311)&gt;1,SUMIFS(Quarterly!D:D,Quarterly!B:B,"&gt;="&amp;A311-88,Quarterly!B:B,"&lt;="&amp;A311),SUMIFS(Quarterly!D:D,Quarterly!B:B,"&gt;="&amp;A311-92,Quarterly!B:B,"&lt;="&amp;A311)))</f>
        <v>1654.7919999999999</v>
      </c>
      <c r="N311" s="13">
        <f t="shared" si="228"/>
        <v>8.8580000000000006E-2</v>
      </c>
      <c r="O311">
        <f t="shared" si="216"/>
        <v>1465.77</v>
      </c>
      <c r="P311" s="56">
        <f>VLOOKUP(EOMONTH(A311,-1),Economic!A:I,7,FALSE)</f>
        <v>1258786</v>
      </c>
      <c r="Q311" s="13">
        <f t="shared" si="217"/>
        <v>0.1164</v>
      </c>
      <c r="R311" s="41">
        <v>1.61</v>
      </c>
      <c r="S311">
        <f t="shared" si="218"/>
        <v>2.57</v>
      </c>
      <c r="T311" s="30">
        <f t="shared" si="219"/>
        <v>223.77</v>
      </c>
      <c r="U311" s="30">
        <f t="shared" si="226"/>
        <v>228.19</v>
      </c>
    </row>
    <row r="312" spans="1:21" x14ac:dyDescent="0.25">
      <c r="A312" s="5">
        <v>41161</v>
      </c>
      <c r="B312" s="5">
        <f t="shared" si="220"/>
        <v>41182</v>
      </c>
      <c r="C312">
        <v>1437.92</v>
      </c>
      <c r="D312" s="29">
        <f t="shared" si="221"/>
        <v>1.95E-2</v>
      </c>
      <c r="E312" s="39">
        <f t="shared" si="222"/>
        <v>1382.3661538461538</v>
      </c>
      <c r="F312" s="39">
        <f t="shared" si="223"/>
        <v>1352.9789743589743</v>
      </c>
      <c r="G312" s="29">
        <f t="shared" si="215"/>
        <v>4.02E-2</v>
      </c>
      <c r="H312" s="29">
        <f t="shared" si="215"/>
        <v>6.2799999999999995E-2</v>
      </c>
      <c r="I312">
        <f t="shared" si="224"/>
        <v>1437.92</v>
      </c>
      <c r="J312">
        <f>IF(A312&gt;=Quarterly!B$2,Quarterly!C$2,IF(COUNTIFS(Quarterly!B:B,"&gt;="&amp;A312-92,Quarterly!B:B,"&lt;="&amp;A312)&gt;1,SUMIFS(Quarterly!C:C,Quarterly!B:B,"&gt;="&amp;A312-88,Quarterly!B:B,"&lt;="&amp;A312),SUMIFS(Quarterly!C:C,Quarterly!B:B,"&gt;="&amp;A312-92,Quarterly!B:B,"&lt;="&amp;A312)))</f>
        <v>16121.9</v>
      </c>
      <c r="K312" s="13">
        <f t="shared" si="225"/>
        <v>8.9200000000000002E-2</v>
      </c>
      <c r="L312">
        <f t="shared" si="227"/>
        <v>1437.92</v>
      </c>
      <c r="M312">
        <f>IF(A312&gt;=Quarterly!B$2,Quarterly!D$2,IF(COUNTIFS(Quarterly!B:B,"&gt;="&amp;A312-92,Quarterly!B:B,"&lt;="&amp;A312)&gt;1,SUMIFS(Quarterly!D:D,Quarterly!B:B,"&gt;="&amp;A312-88,Quarterly!B:B,"&lt;="&amp;A312),SUMIFS(Quarterly!D:D,Quarterly!B:B,"&gt;="&amp;A312-92,Quarterly!B:B,"&lt;="&amp;A312)))</f>
        <v>1654.7919999999999</v>
      </c>
      <c r="N312" s="13">
        <f t="shared" si="228"/>
        <v>8.6890000000000009E-2</v>
      </c>
      <c r="O312">
        <f t="shared" si="216"/>
        <v>1437.92</v>
      </c>
      <c r="P312" s="56">
        <f>VLOOKUP(EOMONTH(A312,-1),Economic!A:I,7,FALSE)</f>
        <v>1258786</v>
      </c>
      <c r="Q312" s="13">
        <f t="shared" si="217"/>
        <v>0.1142</v>
      </c>
      <c r="R312" s="41">
        <v>1.42</v>
      </c>
      <c r="S312">
        <f t="shared" si="218"/>
        <v>2.63</v>
      </c>
      <c r="T312" s="30">
        <f t="shared" si="219"/>
        <v>227.82</v>
      </c>
      <c r="U312" s="30">
        <f t="shared" si="226"/>
        <v>229.81</v>
      </c>
    </row>
    <row r="313" spans="1:21" x14ac:dyDescent="0.25">
      <c r="A313" s="5">
        <v>41154</v>
      </c>
      <c r="B313" s="5">
        <f t="shared" si="220"/>
        <v>41182</v>
      </c>
      <c r="C313">
        <v>1406.58</v>
      </c>
      <c r="D313" s="29">
        <f t="shared" si="221"/>
        <v>0</v>
      </c>
      <c r="E313" s="39">
        <f t="shared" si="222"/>
        <v>1373.7307692307693</v>
      </c>
      <c r="F313" s="39">
        <f t="shared" si="223"/>
        <v>1348.2935897435896</v>
      </c>
      <c r="G313" s="29">
        <f t="shared" si="215"/>
        <v>2.3900000000000001E-2</v>
      </c>
      <c r="H313" s="29">
        <f t="shared" si="215"/>
        <v>4.3200000000000002E-2</v>
      </c>
      <c r="I313">
        <f t="shared" si="224"/>
        <v>1406.58</v>
      </c>
      <c r="J313">
        <f>IF(A313&gt;=Quarterly!B$2,Quarterly!C$2,IF(COUNTIFS(Quarterly!B:B,"&gt;="&amp;A313-92,Quarterly!B:B,"&lt;="&amp;A313)&gt;1,SUMIFS(Quarterly!C:C,Quarterly!B:B,"&gt;="&amp;A313-88,Quarterly!B:B,"&lt;="&amp;A313),SUMIFS(Quarterly!C:C,Quarterly!B:B,"&gt;="&amp;A313-92,Quarterly!B:B,"&lt;="&amp;A313)))</f>
        <v>16121.9</v>
      </c>
      <c r="K313" s="13">
        <f t="shared" si="225"/>
        <v>8.72E-2</v>
      </c>
      <c r="L313">
        <f t="shared" si="227"/>
        <v>1406.58</v>
      </c>
      <c r="M313">
        <f>IF(A313&gt;=Quarterly!B$2,Quarterly!D$2,IF(COUNTIFS(Quarterly!B:B,"&gt;="&amp;A313-92,Quarterly!B:B,"&lt;="&amp;A313)&gt;1,SUMIFS(Quarterly!D:D,Quarterly!B:B,"&gt;="&amp;A313-88,Quarterly!B:B,"&lt;="&amp;A313),SUMIFS(Quarterly!D:D,Quarterly!B:B,"&gt;="&amp;A313-92,Quarterly!B:B,"&lt;="&amp;A313)))</f>
        <v>1654.7919999999999</v>
      </c>
      <c r="N313" s="13">
        <f t="shared" si="228"/>
        <v>8.5000000000000006E-2</v>
      </c>
      <c r="O313">
        <f t="shared" si="216"/>
        <v>1406.58</v>
      </c>
      <c r="P313" s="56">
        <f>VLOOKUP(EOMONTH(A313,-1),Economic!A:I,7,FALSE)</f>
        <v>1258786</v>
      </c>
      <c r="Q313" s="13">
        <f t="shared" si="217"/>
        <v>0.11169999999999999</v>
      </c>
      <c r="R313" s="41">
        <v>1.35</v>
      </c>
      <c r="S313">
        <f t="shared" si="218"/>
        <v>2.72</v>
      </c>
      <c r="T313" s="30">
        <f t="shared" si="219"/>
        <v>232.97</v>
      </c>
      <c r="U313" s="30">
        <f t="shared" si="226"/>
        <v>230.69</v>
      </c>
    </row>
    <row r="314" spans="1:21" x14ac:dyDescent="0.25">
      <c r="A314" s="5">
        <v>41147</v>
      </c>
      <c r="B314" s="5">
        <f t="shared" si="220"/>
        <v>41152</v>
      </c>
      <c r="C314">
        <v>1411.13</v>
      </c>
      <c r="D314" s="29">
        <f t="shared" si="221"/>
        <v>7.7999999999999996E-3</v>
      </c>
      <c r="E314" s="39">
        <f t="shared" si="222"/>
        <v>1363.8430769230772</v>
      </c>
      <c r="F314" s="39">
        <f t="shared" si="223"/>
        <v>1344.1320512820514</v>
      </c>
      <c r="G314" s="29">
        <f t="shared" si="215"/>
        <v>3.4700000000000002E-2</v>
      </c>
      <c r="H314" s="29">
        <f t="shared" si="215"/>
        <v>4.9799999999999997E-2</v>
      </c>
      <c r="I314">
        <f t="shared" si="224"/>
        <v>1411.13</v>
      </c>
      <c r="J314">
        <f>IF(A314&gt;=Quarterly!B$2,Quarterly!C$2,IF(COUNTIFS(Quarterly!B:B,"&gt;="&amp;A314-92,Quarterly!B:B,"&lt;="&amp;A314)&gt;1,SUMIFS(Quarterly!C:C,Quarterly!B:B,"&gt;="&amp;A314-88,Quarterly!B:B,"&lt;="&amp;A314),SUMIFS(Quarterly!C:C,Quarterly!B:B,"&gt;="&amp;A314-92,Quarterly!B:B,"&lt;="&amp;A314)))</f>
        <v>16121.9</v>
      </c>
      <c r="K314" s="13">
        <f t="shared" si="225"/>
        <v>8.7499999999999994E-2</v>
      </c>
      <c r="L314">
        <f t="shared" si="227"/>
        <v>1411.13</v>
      </c>
      <c r="M314">
        <f>IF(A314&gt;=Quarterly!B$2,Quarterly!D$2,IF(COUNTIFS(Quarterly!B:B,"&gt;="&amp;A314-92,Quarterly!B:B,"&lt;="&amp;A314)&gt;1,SUMIFS(Quarterly!D:D,Quarterly!B:B,"&gt;="&amp;A314-88,Quarterly!B:B,"&lt;="&amp;A314),SUMIFS(Quarterly!D:D,Quarterly!B:B,"&gt;="&amp;A314-92,Quarterly!B:B,"&lt;="&amp;A314)))</f>
        <v>1654.7919999999999</v>
      </c>
      <c r="N314" s="13">
        <f t="shared" si="228"/>
        <v>8.5280000000000009E-2</v>
      </c>
      <c r="O314">
        <f t="shared" si="216"/>
        <v>1411.13</v>
      </c>
      <c r="P314" s="56">
        <f>VLOOKUP(EOMONTH(A314,-1),Economic!A:I,7,FALSE)</f>
        <v>1266635</v>
      </c>
      <c r="Q314" s="13">
        <f t="shared" si="217"/>
        <v>0.1114</v>
      </c>
      <c r="R314" s="41">
        <v>1.4</v>
      </c>
      <c r="S314">
        <f t="shared" si="218"/>
        <v>2.5299999999999998</v>
      </c>
      <c r="T314" s="30">
        <f t="shared" si="219"/>
        <v>228.65</v>
      </c>
      <c r="U314" s="30">
        <f t="shared" si="226"/>
        <v>230.73</v>
      </c>
    </row>
    <row r="315" spans="1:21" x14ac:dyDescent="0.25">
      <c r="A315" s="5">
        <v>41140</v>
      </c>
      <c r="B315" s="5">
        <f t="shared" si="220"/>
        <v>41152</v>
      </c>
      <c r="C315">
        <v>1418.16</v>
      </c>
      <c r="D315" s="29">
        <f t="shared" si="221"/>
        <v>2.29E-2</v>
      </c>
      <c r="E315" s="39">
        <f t="shared" si="222"/>
        <v>1356.6653846153847</v>
      </c>
      <c r="F315" s="39">
        <f t="shared" si="223"/>
        <v>1337.6587179487178</v>
      </c>
      <c r="G315" s="29">
        <f t="shared" si="215"/>
        <v>4.53E-2</v>
      </c>
      <c r="H315" s="29">
        <f t="shared" si="215"/>
        <v>6.0199999999999997E-2</v>
      </c>
      <c r="I315">
        <f t="shared" si="224"/>
        <v>1418.16</v>
      </c>
      <c r="J315">
        <f>IF(A315&gt;=Quarterly!B$2,Quarterly!C$2,IF(COUNTIFS(Quarterly!B:B,"&gt;="&amp;A315-92,Quarterly!B:B,"&lt;="&amp;A315)&gt;1,SUMIFS(Quarterly!C:C,Quarterly!B:B,"&gt;="&amp;A315-88,Quarterly!B:B,"&lt;="&amp;A315),SUMIFS(Quarterly!C:C,Quarterly!B:B,"&gt;="&amp;A315-92,Quarterly!B:B,"&lt;="&amp;A315)))</f>
        <v>16121.9</v>
      </c>
      <c r="K315" s="13">
        <f t="shared" si="225"/>
        <v>8.7999999999999995E-2</v>
      </c>
      <c r="L315">
        <f t="shared" si="227"/>
        <v>1418.16</v>
      </c>
      <c r="M315">
        <f>IF(A315&gt;=Quarterly!B$2,Quarterly!D$2,IF(COUNTIFS(Quarterly!B:B,"&gt;="&amp;A315-92,Quarterly!B:B,"&lt;="&amp;A315)&gt;1,SUMIFS(Quarterly!D:D,Quarterly!B:B,"&gt;="&amp;A315-88,Quarterly!B:B,"&lt;="&amp;A315),SUMIFS(Quarterly!D:D,Quarterly!B:B,"&gt;="&amp;A315-92,Quarterly!B:B,"&lt;="&amp;A315)))</f>
        <v>1654.7919999999999</v>
      </c>
      <c r="N315" s="13">
        <f t="shared" si="228"/>
        <v>8.5699999999999998E-2</v>
      </c>
      <c r="O315">
        <f t="shared" si="216"/>
        <v>1418.16</v>
      </c>
      <c r="P315" s="56">
        <f>VLOOKUP(EOMONTH(A315,-1),Economic!A:I,7,FALSE)</f>
        <v>1266635</v>
      </c>
      <c r="Q315" s="13">
        <f t="shared" si="217"/>
        <v>0.11199999999999999</v>
      </c>
      <c r="R315" s="41">
        <v>1.52</v>
      </c>
      <c r="S315">
        <f t="shared" si="218"/>
        <v>2.56</v>
      </c>
      <c r="T315" s="30">
        <f t="shared" si="219"/>
        <v>230.45</v>
      </c>
      <c r="U315" s="30">
        <f t="shared" si="226"/>
        <v>232.39</v>
      </c>
    </row>
    <row r="316" spans="1:21" x14ac:dyDescent="0.25">
      <c r="A316" s="5">
        <v>41133</v>
      </c>
      <c r="B316" s="5">
        <f t="shared" si="220"/>
        <v>41152</v>
      </c>
      <c r="C316">
        <v>1405.87</v>
      </c>
      <c r="D316" s="29">
        <f t="shared" si="221"/>
        <v>2.3099999999999999E-2</v>
      </c>
      <c r="E316" s="39">
        <f t="shared" si="222"/>
        <v>1347.2084615384615</v>
      </c>
      <c r="F316" s="39">
        <f t="shared" si="223"/>
        <v>1332.4661538461537</v>
      </c>
      <c r="G316" s="29">
        <f t="shared" si="215"/>
        <v>4.3499999999999997E-2</v>
      </c>
      <c r="H316" s="29">
        <f t="shared" si="215"/>
        <v>5.5100000000000003E-2</v>
      </c>
      <c r="I316">
        <f t="shared" si="224"/>
        <v>1405.87</v>
      </c>
      <c r="J316">
        <f>IF(A316&gt;=Quarterly!B$2,Quarterly!C$2,IF(COUNTIFS(Quarterly!B:B,"&gt;="&amp;A316-92,Quarterly!B:B,"&lt;="&amp;A316)&gt;1,SUMIFS(Quarterly!C:C,Quarterly!B:B,"&gt;="&amp;A316-88,Quarterly!B:B,"&lt;="&amp;A316),SUMIFS(Quarterly!C:C,Quarterly!B:B,"&gt;="&amp;A316-92,Quarterly!B:B,"&lt;="&amp;A316)))</f>
        <v>16121.9</v>
      </c>
      <c r="K316" s="13">
        <f t="shared" si="225"/>
        <v>8.72E-2</v>
      </c>
      <c r="L316">
        <f t="shared" si="227"/>
        <v>1405.87</v>
      </c>
      <c r="M316">
        <f>IF(A316&gt;=Quarterly!B$2,Quarterly!D$2,IF(COUNTIFS(Quarterly!B:B,"&gt;="&amp;A316-92,Quarterly!B:B,"&lt;="&amp;A316)&gt;1,SUMIFS(Quarterly!D:D,Quarterly!B:B,"&gt;="&amp;A316-88,Quarterly!B:B,"&lt;="&amp;A316),SUMIFS(Quarterly!D:D,Quarterly!B:B,"&gt;="&amp;A316-92,Quarterly!B:B,"&lt;="&amp;A316)))</f>
        <v>1654.7919999999999</v>
      </c>
      <c r="N316" s="13">
        <f t="shared" si="228"/>
        <v>8.4960000000000008E-2</v>
      </c>
      <c r="O316">
        <f t="shared" si="216"/>
        <v>1405.87</v>
      </c>
      <c r="P316" s="56">
        <f>VLOOKUP(EOMONTH(A316,-1),Economic!A:I,7,FALSE)</f>
        <v>1266635</v>
      </c>
      <c r="Q316" s="13">
        <f t="shared" si="217"/>
        <v>0.11100000000000002</v>
      </c>
      <c r="R316" s="41">
        <v>1.38</v>
      </c>
      <c r="S316">
        <f t="shared" si="218"/>
        <v>2.58</v>
      </c>
      <c r="T316" s="30">
        <f t="shared" si="219"/>
        <v>233.1</v>
      </c>
      <c r="U316" s="30">
        <f t="shared" si="226"/>
        <v>233.45</v>
      </c>
    </row>
    <row r="317" spans="1:21" x14ac:dyDescent="0.25">
      <c r="A317" s="5">
        <v>41126</v>
      </c>
      <c r="B317" s="5">
        <f t="shared" si="220"/>
        <v>41152</v>
      </c>
      <c r="C317">
        <v>1390.99</v>
      </c>
      <c r="D317" s="29">
        <f t="shared" si="221"/>
        <v>1.9E-2</v>
      </c>
      <c r="E317" s="39">
        <f t="shared" si="222"/>
        <v>1343.1715384615384</v>
      </c>
      <c r="F317" s="39">
        <f t="shared" si="223"/>
        <v>1328.8246153846153</v>
      </c>
      <c r="G317" s="29">
        <f t="shared" si="215"/>
        <v>3.56E-2</v>
      </c>
      <c r="H317" s="29">
        <f t="shared" si="215"/>
        <v>4.6800000000000001E-2</v>
      </c>
      <c r="I317">
        <f t="shared" si="224"/>
        <v>1390.99</v>
      </c>
      <c r="J317">
        <f>IF(A317&gt;=Quarterly!B$2,Quarterly!C$2,IF(COUNTIFS(Quarterly!B:B,"&gt;="&amp;A317-92,Quarterly!B:B,"&lt;="&amp;A317)&gt;1,SUMIFS(Quarterly!C:C,Quarterly!B:B,"&gt;="&amp;A317-88,Quarterly!B:B,"&lt;="&amp;A317),SUMIFS(Quarterly!C:C,Quarterly!B:B,"&gt;="&amp;A317-92,Quarterly!B:B,"&lt;="&amp;A317)))</f>
        <v>16121.9</v>
      </c>
      <c r="K317" s="13">
        <f t="shared" si="225"/>
        <v>8.6300000000000002E-2</v>
      </c>
      <c r="L317">
        <f t="shared" si="227"/>
        <v>1390.99</v>
      </c>
      <c r="M317">
        <f>IF(A317&gt;=Quarterly!B$2,Quarterly!D$2,IF(COUNTIFS(Quarterly!B:B,"&gt;="&amp;A317-92,Quarterly!B:B,"&lt;="&amp;A317)&gt;1,SUMIFS(Quarterly!D:D,Quarterly!B:B,"&gt;="&amp;A317-88,Quarterly!B:B,"&lt;="&amp;A317),SUMIFS(Quarterly!D:D,Quarterly!B:B,"&gt;="&amp;A317-92,Quarterly!B:B,"&lt;="&amp;A317)))</f>
        <v>1654.7919999999999</v>
      </c>
      <c r="N317" s="13">
        <f t="shared" si="228"/>
        <v>8.406000000000001E-2</v>
      </c>
      <c r="O317">
        <f t="shared" si="216"/>
        <v>1390.99</v>
      </c>
      <c r="P317" s="56">
        <f>VLOOKUP(EOMONTH(A317,-1),Economic!A:I,7,FALSE)</f>
        <v>1266635</v>
      </c>
      <c r="Q317" s="13">
        <f t="shared" si="217"/>
        <v>0.10980000000000001</v>
      </c>
      <c r="R317" s="41">
        <v>1.36</v>
      </c>
      <c r="S317">
        <f t="shared" si="218"/>
        <v>2.57</v>
      </c>
      <c r="T317" s="30">
        <f t="shared" si="219"/>
        <v>233.62</v>
      </c>
      <c r="U317" s="30">
        <f t="shared" si="226"/>
        <v>233.74</v>
      </c>
    </row>
    <row r="318" spans="1:21" x14ac:dyDescent="0.25">
      <c r="A318" s="5">
        <v>41119</v>
      </c>
      <c r="B318" s="5">
        <f t="shared" si="220"/>
        <v>41121</v>
      </c>
      <c r="C318">
        <v>1385.97</v>
      </c>
      <c r="D318" s="29">
        <f t="shared" si="221"/>
        <v>1.9800000000000002E-2</v>
      </c>
      <c r="E318" s="39">
        <f t="shared" si="222"/>
        <v>1341.4876923076922</v>
      </c>
      <c r="F318" s="39">
        <f t="shared" si="223"/>
        <v>1325.2923076923078</v>
      </c>
      <c r="G318" s="29">
        <f t="shared" si="215"/>
        <v>3.32E-2</v>
      </c>
      <c r="H318" s="29">
        <f t="shared" si="215"/>
        <v>4.58E-2</v>
      </c>
      <c r="I318">
        <f t="shared" si="224"/>
        <v>1385.97</v>
      </c>
      <c r="J318">
        <f>IF(A318&gt;=Quarterly!B$2,Quarterly!C$2,IF(COUNTIFS(Quarterly!B:B,"&gt;="&amp;A318-92,Quarterly!B:B,"&lt;="&amp;A318)&gt;1,SUMIFS(Quarterly!C:C,Quarterly!B:B,"&gt;="&amp;A318-88,Quarterly!B:B,"&lt;="&amp;A318),SUMIFS(Quarterly!C:C,Quarterly!B:B,"&gt;="&amp;A318-92,Quarterly!B:B,"&lt;="&amp;A318)))</f>
        <v>15973.9</v>
      </c>
      <c r="K318" s="13">
        <f t="shared" si="225"/>
        <v>8.6800000000000002E-2</v>
      </c>
      <c r="L318">
        <f t="shared" si="227"/>
        <v>1385.97</v>
      </c>
      <c r="M318">
        <f>IF(A318&gt;=Quarterly!B$2,Quarterly!D$2,IF(COUNTIFS(Quarterly!B:B,"&gt;="&amp;A318-92,Quarterly!B:B,"&lt;="&amp;A318)&gt;1,SUMIFS(Quarterly!D:D,Quarterly!B:B,"&gt;="&amp;A318-88,Quarterly!B:B,"&lt;="&amp;A318),SUMIFS(Quarterly!D:D,Quarterly!B:B,"&gt;="&amp;A318-92,Quarterly!B:B,"&lt;="&amp;A318)))</f>
        <v>1727.3869999999999</v>
      </c>
      <c r="N318" s="13">
        <f t="shared" si="228"/>
        <v>8.0240000000000006E-2</v>
      </c>
      <c r="O318">
        <f t="shared" si="216"/>
        <v>1385.97</v>
      </c>
      <c r="P318" s="56">
        <f>VLOOKUP(EOMONTH(A318,-1),Economic!A:I,7,FALSE)</f>
        <v>1266664</v>
      </c>
      <c r="Q318" s="13">
        <f t="shared" si="217"/>
        <v>0.1094</v>
      </c>
      <c r="R318" s="41">
        <v>1.33</v>
      </c>
      <c r="S318">
        <f t="shared" si="218"/>
        <v>2.59</v>
      </c>
      <c r="T318" s="30">
        <f t="shared" si="219"/>
        <v>233.63</v>
      </c>
      <c r="U318" s="30">
        <f t="shared" si="226"/>
        <v>233.87</v>
      </c>
    </row>
    <row r="319" spans="1:21" x14ac:dyDescent="0.25">
      <c r="A319" s="5">
        <v>41112</v>
      </c>
      <c r="B319" s="5">
        <f t="shared" si="220"/>
        <v>41121</v>
      </c>
      <c r="C319">
        <v>1362.66</v>
      </c>
      <c r="D319" s="29">
        <f t="shared" si="221"/>
        <v>7.7999999999999996E-3</v>
      </c>
      <c r="E319" s="39">
        <f t="shared" si="222"/>
        <v>1342.8253846153846</v>
      </c>
      <c r="F319" s="39">
        <f t="shared" si="223"/>
        <v>1322.7056410256409</v>
      </c>
      <c r="G319" s="29">
        <f t="shared" si="215"/>
        <v>1.4800000000000001E-2</v>
      </c>
      <c r="H319" s="29">
        <f t="shared" si="215"/>
        <v>3.0200000000000001E-2</v>
      </c>
      <c r="I319">
        <f t="shared" si="224"/>
        <v>1362.66</v>
      </c>
      <c r="J319">
        <f>IF(A319&gt;=Quarterly!B$2,Quarterly!C$2,IF(COUNTIFS(Quarterly!B:B,"&gt;="&amp;A319-92,Quarterly!B:B,"&lt;="&amp;A319)&gt;1,SUMIFS(Quarterly!C:C,Quarterly!B:B,"&gt;="&amp;A319-88,Quarterly!B:B,"&lt;="&amp;A319),SUMIFS(Quarterly!C:C,Quarterly!B:B,"&gt;="&amp;A319-92,Quarterly!B:B,"&lt;="&amp;A319)))</f>
        <v>15973.9</v>
      </c>
      <c r="K319" s="13">
        <f t="shared" si="225"/>
        <v>8.5300000000000001E-2</v>
      </c>
      <c r="L319">
        <f t="shared" si="227"/>
        <v>1362.66</v>
      </c>
      <c r="M319">
        <f>IF(A319&gt;=Quarterly!B$2,Quarterly!D$2,IF(COUNTIFS(Quarterly!B:B,"&gt;="&amp;A319-92,Quarterly!B:B,"&lt;="&amp;A319)&gt;1,SUMIFS(Quarterly!D:D,Quarterly!B:B,"&gt;="&amp;A319-88,Quarterly!B:B,"&lt;="&amp;A319),SUMIFS(Quarterly!D:D,Quarterly!B:B,"&gt;="&amp;A319-92,Quarterly!B:B,"&lt;="&amp;A319)))</f>
        <v>1727.3869999999999</v>
      </c>
      <c r="N319" s="13">
        <f t="shared" si="228"/>
        <v>7.8890000000000016E-2</v>
      </c>
      <c r="O319">
        <f t="shared" si="216"/>
        <v>1362.66</v>
      </c>
      <c r="P319" s="56">
        <f>VLOOKUP(EOMONTH(A319,-1),Economic!A:I,7,FALSE)</f>
        <v>1266664</v>
      </c>
      <c r="Q319" s="13">
        <f t="shared" si="217"/>
        <v>0.10759999999999999</v>
      </c>
      <c r="R319" s="41">
        <v>1.27</v>
      </c>
      <c r="S319">
        <f t="shared" si="218"/>
        <v>2.6</v>
      </c>
      <c r="T319" s="30">
        <f t="shared" si="219"/>
        <v>233.97</v>
      </c>
      <c r="U319" s="30">
        <f t="shared" si="226"/>
        <v>233.94</v>
      </c>
    </row>
    <row r="320" spans="1:21" x14ac:dyDescent="0.25">
      <c r="A320" s="5">
        <v>41105</v>
      </c>
      <c r="B320" s="5">
        <f t="shared" si="220"/>
        <v>41121</v>
      </c>
      <c r="C320">
        <v>1356.78</v>
      </c>
      <c r="D320" s="29">
        <f t="shared" si="221"/>
        <v>6.0000000000000001E-3</v>
      </c>
      <c r="E320" s="39">
        <f t="shared" si="222"/>
        <v>1344.0461538461536</v>
      </c>
      <c r="F320" s="39">
        <f t="shared" si="223"/>
        <v>1319.5156410256409</v>
      </c>
      <c r="G320" s="29">
        <f t="shared" si="215"/>
        <v>9.4999999999999998E-3</v>
      </c>
      <c r="H320" s="29">
        <f t="shared" si="215"/>
        <v>2.8199999999999999E-2</v>
      </c>
      <c r="I320">
        <f t="shared" si="224"/>
        <v>1356.78</v>
      </c>
      <c r="J320">
        <f>IF(A320&gt;=Quarterly!B$2,Quarterly!C$2,IF(COUNTIFS(Quarterly!B:B,"&gt;="&amp;A320-92,Quarterly!B:B,"&lt;="&amp;A320)&gt;1,SUMIFS(Quarterly!C:C,Quarterly!B:B,"&gt;="&amp;A320-88,Quarterly!B:B,"&lt;="&amp;A320),SUMIFS(Quarterly!C:C,Quarterly!B:B,"&gt;="&amp;A320-92,Quarterly!B:B,"&lt;="&amp;A320)))</f>
        <v>15973.9</v>
      </c>
      <c r="K320" s="13">
        <f t="shared" si="225"/>
        <v>8.4900000000000003E-2</v>
      </c>
      <c r="L320">
        <f t="shared" si="227"/>
        <v>1356.78</v>
      </c>
      <c r="M320">
        <f>IF(A320&gt;=Quarterly!B$2,Quarterly!D$2,IF(COUNTIFS(Quarterly!B:B,"&gt;="&amp;A320-92,Quarterly!B:B,"&lt;="&amp;A320)&gt;1,SUMIFS(Quarterly!D:D,Quarterly!B:B,"&gt;="&amp;A320-88,Quarterly!B:B,"&lt;="&amp;A320),SUMIFS(Quarterly!D:D,Quarterly!B:B,"&gt;="&amp;A320-92,Quarterly!B:B,"&lt;="&amp;A320)))</f>
        <v>1727.3869999999999</v>
      </c>
      <c r="N320" s="13">
        <f t="shared" si="228"/>
        <v>7.8550000000000009E-2</v>
      </c>
      <c r="O320">
        <f t="shared" si="216"/>
        <v>1356.78</v>
      </c>
      <c r="P320" s="56">
        <f>VLOOKUP(EOMONTH(A320,-1),Economic!A:I,7,FALSE)</f>
        <v>1266664</v>
      </c>
      <c r="Q320" s="13">
        <f t="shared" si="217"/>
        <v>0.10709999999999999</v>
      </c>
      <c r="R320" s="41">
        <v>1.27</v>
      </c>
      <c r="S320">
        <f t="shared" si="218"/>
        <v>2.61</v>
      </c>
      <c r="T320" s="30">
        <f t="shared" si="219"/>
        <v>234.01</v>
      </c>
      <c r="U320" s="30">
        <f t="shared" si="226"/>
        <v>234.46</v>
      </c>
    </row>
    <row r="321" spans="1:21" x14ac:dyDescent="0.25">
      <c r="A321" s="5">
        <v>41098</v>
      </c>
      <c r="B321" s="5">
        <f t="shared" si="220"/>
        <v>41121</v>
      </c>
      <c r="C321">
        <v>1354.68</v>
      </c>
      <c r="D321" s="29">
        <f t="shared" si="221"/>
        <v>9.9000000000000008E-3</v>
      </c>
      <c r="E321" s="39">
        <f t="shared" si="222"/>
        <v>1345.0830769230768</v>
      </c>
      <c r="F321" s="39">
        <f t="shared" si="223"/>
        <v>1316.1258974358973</v>
      </c>
      <c r="G321" s="29">
        <f t="shared" si="215"/>
        <v>7.1000000000000004E-3</v>
      </c>
      <c r="H321" s="29">
        <f t="shared" si="215"/>
        <v>2.93E-2</v>
      </c>
      <c r="I321">
        <f t="shared" si="224"/>
        <v>1354.68</v>
      </c>
      <c r="J321">
        <f>IF(A321&gt;=Quarterly!B$2,Quarterly!C$2,IF(COUNTIFS(Quarterly!B:B,"&gt;="&amp;A321-92,Quarterly!B:B,"&lt;="&amp;A321)&gt;1,SUMIFS(Quarterly!C:C,Quarterly!B:B,"&gt;="&amp;A321-88,Quarterly!B:B,"&lt;="&amp;A321),SUMIFS(Quarterly!C:C,Quarterly!B:B,"&gt;="&amp;A321-92,Quarterly!B:B,"&lt;="&amp;A321)))</f>
        <v>15973.9</v>
      </c>
      <c r="K321" s="13">
        <f t="shared" si="225"/>
        <v>8.48E-2</v>
      </c>
      <c r="L321">
        <f t="shared" si="227"/>
        <v>1354.68</v>
      </c>
      <c r="M321">
        <f>IF(A321&gt;=Quarterly!B$2,Quarterly!D$2,IF(COUNTIFS(Quarterly!B:B,"&gt;="&amp;A321-92,Quarterly!B:B,"&lt;="&amp;A321)&gt;1,SUMIFS(Quarterly!D:D,Quarterly!B:B,"&gt;="&amp;A321-88,Quarterly!B:B,"&lt;="&amp;A321),SUMIFS(Quarterly!D:D,Quarterly!B:B,"&gt;="&amp;A321-92,Quarterly!B:B,"&lt;="&amp;A321)))</f>
        <v>1727.3869999999999</v>
      </c>
      <c r="N321" s="13">
        <f t="shared" si="228"/>
        <v>7.8420000000000004E-2</v>
      </c>
      <c r="O321">
        <f t="shared" si="216"/>
        <v>1354.68</v>
      </c>
      <c r="P321" s="56">
        <f>VLOOKUP(EOMONTH(A321,-1),Economic!A:I,7,FALSE)</f>
        <v>1266664</v>
      </c>
      <c r="Q321" s="13">
        <f t="shared" si="217"/>
        <v>0.10690000000000001</v>
      </c>
      <c r="R321" s="41">
        <v>1.3</v>
      </c>
      <c r="S321">
        <f t="shared" si="218"/>
        <v>2.62</v>
      </c>
      <c r="T321" s="30">
        <f t="shared" si="219"/>
        <v>233.85</v>
      </c>
      <c r="U321" s="30">
        <f t="shared" si="226"/>
        <v>235.06</v>
      </c>
    </row>
    <row r="322" spans="1:21" x14ac:dyDescent="0.25">
      <c r="A322" s="5">
        <v>41091</v>
      </c>
      <c r="B322" s="5">
        <f t="shared" si="220"/>
        <v>41121</v>
      </c>
      <c r="C322">
        <v>1362.16</v>
      </c>
      <c r="D322" s="29">
        <f t="shared" si="221"/>
        <v>3.1600000000000003E-2</v>
      </c>
      <c r="E322" s="39">
        <f t="shared" si="222"/>
        <v>1348.4215384615386</v>
      </c>
      <c r="F322" s="39">
        <f t="shared" si="223"/>
        <v>1311.0176923076926</v>
      </c>
      <c r="G322" s="29">
        <f t="shared" ref="G322:H385" si="229">ROUND(($C322-E322)/E322,4)</f>
        <v>1.0200000000000001E-2</v>
      </c>
      <c r="H322" s="29">
        <f t="shared" si="229"/>
        <v>3.9E-2</v>
      </c>
      <c r="I322">
        <f t="shared" si="224"/>
        <v>1362.16</v>
      </c>
      <c r="J322">
        <f>IF(A322&gt;=Quarterly!B$2,Quarterly!C$2,IF(COUNTIFS(Quarterly!B:B,"&gt;="&amp;A322-92,Quarterly!B:B,"&lt;="&amp;A322)&gt;1,SUMIFS(Quarterly!C:C,Quarterly!B:B,"&gt;="&amp;A322-88,Quarterly!B:B,"&lt;="&amp;A322),SUMIFS(Quarterly!C:C,Quarterly!B:B,"&gt;="&amp;A322-92,Quarterly!B:B,"&lt;="&amp;A322)))</f>
        <v>15973.9</v>
      </c>
      <c r="K322" s="13">
        <f t="shared" si="225"/>
        <v>8.5300000000000001E-2</v>
      </c>
      <c r="L322">
        <f t="shared" si="227"/>
        <v>1362.16</v>
      </c>
      <c r="M322">
        <f>IF(A322&gt;=Quarterly!B$2,Quarterly!D$2,IF(COUNTIFS(Quarterly!B:B,"&gt;="&amp;A322-92,Quarterly!B:B,"&lt;="&amp;A322)&gt;1,SUMIFS(Quarterly!D:D,Quarterly!B:B,"&gt;="&amp;A322-88,Quarterly!B:B,"&lt;="&amp;A322),SUMIFS(Quarterly!D:D,Quarterly!B:B,"&gt;="&amp;A322-92,Quarterly!B:B,"&lt;="&amp;A322)))</f>
        <v>1727.3869999999999</v>
      </c>
      <c r="N322" s="13">
        <f t="shared" si="228"/>
        <v>7.886E-2</v>
      </c>
      <c r="O322">
        <f t="shared" si="216"/>
        <v>1362.16</v>
      </c>
      <c r="P322" s="56">
        <f>VLOOKUP(EOMONTH(A322,-1),Economic!A:I,7,FALSE)</f>
        <v>1266664</v>
      </c>
      <c r="Q322" s="13">
        <f t="shared" si="217"/>
        <v>0.1075</v>
      </c>
      <c r="R322" s="41">
        <v>1.34</v>
      </c>
      <c r="S322">
        <f t="shared" si="218"/>
        <v>2.71</v>
      </c>
      <c r="T322" s="30">
        <f t="shared" si="219"/>
        <v>235.51</v>
      </c>
      <c r="U322" s="30">
        <f t="shared" si="226"/>
        <v>235.01</v>
      </c>
    </row>
    <row r="323" spans="1:21" x14ac:dyDescent="0.25">
      <c r="A323" s="5">
        <v>41084</v>
      </c>
      <c r="B323" s="5">
        <f t="shared" si="220"/>
        <v>41090</v>
      </c>
      <c r="C323">
        <v>1335.02</v>
      </c>
      <c r="D323" s="29">
        <f t="shared" si="221"/>
        <v>1.44E-2</v>
      </c>
      <c r="E323" s="39">
        <f t="shared" si="222"/>
        <v>1351.9838461538461</v>
      </c>
      <c r="F323" s="39">
        <f t="shared" si="223"/>
        <v>1305.1012820512822</v>
      </c>
      <c r="G323" s="29">
        <f t="shared" si="229"/>
        <v>-1.2500000000000001E-2</v>
      </c>
      <c r="H323" s="29">
        <f t="shared" si="229"/>
        <v>2.29E-2</v>
      </c>
      <c r="I323">
        <f t="shared" si="224"/>
        <v>1335.02</v>
      </c>
      <c r="J323">
        <f>IF(A323&gt;=Quarterly!B$2,Quarterly!C$2,IF(COUNTIFS(Quarterly!B:B,"&gt;="&amp;A323-92,Quarterly!B:B,"&lt;="&amp;A323)&gt;1,SUMIFS(Quarterly!C:C,Quarterly!B:B,"&gt;="&amp;A323-88,Quarterly!B:B,"&lt;="&amp;A323),SUMIFS(Quarterly!C:C,Quarterly!B:B,"&gt;="&amp;A323-92,Quarterly!B:B,"&lt;="&amp;A323)))</f>
        <v>15973.9</v>
      </c>
      <c r="K323" s="13">
        <f t="shared" si="225"/>
        <v>8.3599999999999994E-2</v>
      </c>
      <c r="L323">
        <f t="shared" si="227"/>
        <v>1335.02</v>
      </c>
      <c r="M323">
        <f>IF(A323&gt;=Quarterly!B$2,Quarterly!D$2,IF(COUNTIFS(Quarterly!B:B,"&gt;="&amp;A323-92,Quarterly!B:B,"&lt;="&amp;A323)&gt;1,SUMIFS(Quarterly!D:D,Quarterly!B:B,"&gt;="&amp;A323-88,Quarterly!B:B,"&lt;="&amp;A323),SUMIFS(Quarterly!D:D,Quarterly!B:B,"&gt;="&amp;A323-92,Quarterly!B:B,"&lt;="&amp;A323)))</f>
        <v>1727.3869999999999</v>
      </c>
      <c r="N323" s="13">
        <f t="shared" si="228"/>
        <v>7.7290000000000011E-2</v>
      </c>
      <c r="O323">
        <f t="shared" si="216"/>
        <v>1335.02</v>
      </c>
      <c r="P323" s="56">
        <f>VLOOKUP(EOMONTH(A323,-1),Economic!A:I,7,FALSE)</f>
        <v>1260401</v>
      </c>
      <c r="Q323" s="13">
        <f t="shared" si="217"/>
        <v>0.10590000000000001</v>
      </c>
      <c r="R323" s="41">
        <v>1.38</v>
      </c>
      <c r="S323">
        <f t="shared" si="218"/>
        <v>2.74</v>
      </c>
      <c r="T323" s="30">
        <f t="shared" si="219"/>
        <v>235.83</v>
      </c>
      <c r="U323" s="30">
        <f t="shared" si="226"/>
        <v>234.58</v>
      </c>
    </row>
    <row r="324" spans="1:21" x14ac:dyDescent="0.25">
      <c r="A324" s="5">
        <v>41077</v>
      </c>
      <c r="B324" s="5">
        <f t="shared" si="220"/>
        <v>41090</v>
      </c>
      <c r="C324">
        <v>1342.84</v>
      </c>
      <c r="D324" s="29">
        <f t="shared" si="221"/>
        <v>2.9600000000000001E-2</v>
      </c>
      <c r="E324" s="39">
        <f t="shared" si="222"/>
        <v>1356.76</v>
      </c>
      <c r="F324" s="39">
        <f t="shared" si="223"/>
        <v>1300.0092307692312</v>
      </c>
      <c r="G324" s="29">
        <f t="shared" si="229"/>
        <v>-1.03E-2</v>
      </c>
      <c r="H324" s="29">
        <f t="shared" si="229"/>
        <v>3.2899999999999999E-2</v>
      </c>
      <c r="I324">
        <f t="shared" si="224"/>
        <v>1342.84</v>
      </c>
      <c r="J324">
        <f>IF(A324&gt;=Quarterly!B$2,Quarterly!C$2,IF(COUNTIFS(Quarterly!B:B,"&gt;="&amp;A324-92,Quarterly!B:B,"&lt;="&amp;A324)&gt;1,SUMIFS(Quarterly!C:C,Quarterly!B:B,"&gt;="&amp;A324-88,Quarterly!B:B,"&lt;="&amp;A324),SUMIFS(Quarterly!C:C,Quarterly!B:B,"&gt;="&amp;A324-92,Quarterly!B:B,"&lt;="&amp;A324)))</f>
        <v>15973.9</v>
      </c>
      <c r="K324" s="13">
        <f t="shared" si="225"/>
        <v>8.4099999999999994E-2</v>
      </c>
      <c r="L324">
        <f t="shared" si="227"/>
        <v>1342.84</v>
      </c>
      <c r="M324">
        <f>IF(A324&gt;=Quarterly!B$2,Quarterly!D$2,IF(COUNTIFS(Quarterly!B:B,"&gt;="&amp;A324-92,Quarterly!B:B,"&lt;="&amp;A324)&gt;1,SUMIFS(Quarterly!D:D,Quarterly!B:B,"&gt;="&amp;A324-88,Quarterly!B:B,"&lt;="&amp;A324),SUMIFS(Quarterly!D:D,Quarterly!B:B,"&gt;="&amp;A324-92,Quarterly!B:B,"&lt;="&amp;A324)))</f>
        <v>1727.3869999999999</v>
      </c>
      <c r="N324" s="13">
        <f t="shared" si="228"/>
        <v>7.7740000000000004E-2</v>
      </c>
      <c r="O324">
        <f t="shared" si="216"/>
        <v>1342.84</v>
      </c>
      <c r="P324" s="56">
        <f>VLOOKUP(EOMONTH(A324,-1),Economic!A:I,7,FALSE)</f>
        <v>1260401</v>
      </c>
      <c r="Q324" s="13">
        <f t="shared" si="217"/>
        <v>0.1065</v>
      </c>
      <c r="R324" s="41">
        <v>1.31</v>
      </c>
      <c r="S324">
        <f t="shared" si="218"/>
        <v>2.72</v>
      </c>
      <c r="T324" s="30">
        <f t="shared" si="219"/>
        <v>233.7</v>
      </c>
      <c r="U324" s="30">
        <f t="shared" si="226"/>
        <v>233.01</v>
      </c>
    </row>
    <row r="325" spans="1:21" x14ac:dyDescent="0.25">
      <c r="A325" s="5">
        <v>41070</v>
      </c>
      <c r="B325" s="5">
        <f t="shared" si="220"/>
        <v>41090</v>
      </c>
      <c r="C325">
        <v>1325.66</v>
      </c>
      <c r="D325" s="29">
        <f t="shared" si="221"/>
        <v>1.11E-2</v>
      </c>
      <c r="E325" s="39">
        <f t="shared" si="222"/>
        <v>1361.4776923076922</v>
      </c>
      <c r="F325" s="39">
        <f t="shared" si="223"/>
        <v>1296.7571794871797</v>
      </c>
      <c r="G325" s="29">
        <f t="shared" si="229"/>
        <v>-2.63E-2</v>
      </c>
      <c r="H325" s="29">
        <f t="shared" si="229"/>
        <v>2.23E-2</v>
      </c>
      <c r="I325">
        <f t="shared" si="224"/>
        <v>1325.66</v>
      </c>
      <c r="J325">
        <f>IF(A325&gt;=Quarterly!B$2,Quarterly!C$2,IF(COUNTIFS(Quarterly!B:B,"&gt;="&amp;A325-92,Quarterly!B:B,"&lt;="&amp;A325)&gt;1,SUMIFS(Quarterly!C:C,Quarterly!B:B,"&gt;="&amp;A325-88,Quarterly!B:B,"&lt;="&amp;A325),SUMIFS(Quarterly!C:C,Quarterly!B:B,"&gt;="&amp;A325-92,Quarterly!B:B,"&lt;="&amp;A325)))</f>
        <v>15973.9</v>
      </c>
      <c r="K325" s="13">
        <f t="shared" si="225"/>
        <v>8.3000000000000004E-2</v>
      </c>
      <c r="L325">
        <f t="shared" si="227"/>
        <v>1325.66</v>
      </c>
      <c r="M325">
        <f>IF(A325&gt;=Quarterly!B$2,Quarterly!D$2,IF(COUNTIFS(Quarterly!B:B,"&gt;="&amp;A325-92,Quarterly!B:B,"&lt;="&amp;A325)&gt;1,SUMIFS(Quarterly!D:D,Quarterly!B:B,"&gt;="&amp;A325-88,Quarterly!B:B,"&lt;="&amp;A325),SUMIFS(Quarterly!D:D,Quarterly!B:B,"&gt;="&amp;A325-92,Quarterly!B:B,"&lt;="&amp;A325)))</f>
        <v>1727.3869999999999</v>
      </c>
      <c r="N325" s="13">
        <f t="shared" si="228"/>
        <v>7.6740000000000003E-2</v>
      </c>
      <c r="O325">
        <f t="shared" si="216"/>
        <v>1325.66</v>
      </c>
      <c r="P325" s="56">
        <f>VLOOKUP(EOMONTH(A325,-1),Economic!A:I,7,FALSE)</f>
        <v>1260401</v>
      </c>
      <c r="Q325" s="13">
        <f t="shared" si="217"/>
        <v>0.1052</v>
      </c>
      <c r="R325" s="41">
        <v>1.37</v>
      </c>
      <c r="S325">
        <f t="shared" si="218"/>
        <v>2.76</v>
      </c>
      <c r="T325" s="30">
        <f t="shared" si="219"/>
        <v>234.22</v>
      </c>
      <c r="U325" s="30">
        <f t="shared" si="226"/>
        <v>231.42</v>
      </c>
    </row>
    <row r="326" spans="1:21" x14ac:dyDescent="0.25">
      <c r="A326" s="5">
        <v>41063</v>
      </c>
      <c r="B326" s="5">
        <f t="shared" si="220"/>
        <v>41090</v>
      </c>
      <c r="C326">
        <v>1278.04</v>
      </c>
      <c r="D326" s="29">
        <f t="shared" si="221"/>
        <v>-4.19E-2</v>
      </c>
      <c r="E326" s="39">
        <f t="shared" si="222"/>
        <v>1364.9553846153844</v>
      </c>
      <c r="F326" s="39">
        <f t="shared" si="223"/>
        <v>1292.3615384615387</v>
      </c>
      <c r="G326" s="29">
        <f t="shared" si="229"/>
        <v>-6.3700000000000007E-2</v>
      </c>
      <c r="H326" s="29">
        <f t="shared" si="229"/>
        <v>-1.11E-2</v>
      </c>
      <c r="I326">
        <f t="shared" si="224"/>
        <v>1278.04</v>
      </c>
      <c r="J326">
        <f>IF(A326&gt;=Quarterly!B$2,Quarterly!C$2,IF(COUNTIFS(Quarterly!B:B,"&gt;="&amp;A326-92,Quarterly!B:B,"&lt;="&amp;A326)&gt;1,SUMIFS(Quarterly!C:C,Quarterly!B:B,"&gt;="&amp;A326-88,Quarterly!B:B,"&lt;="&amp;A326),SUMIFS(Quarterly!C:C,Quarterly!B:B,"&gt;="&amp;A326-92,Quarterly!B:B,"&lt;="&amp;A326)))</f>
        <v>15973.9</v>
      </c>
      <c r="K326" s="13">
        <f t="shared" si="225"/>
        <v>0.08</v>
      </c>
      <c r="L326">
        <f t="shared" si="227"/>
        <v>1278.04</v>
      </c>
      <c r="M326">
        <f>IF(A326&gt;=Quarterly!B$2,Quarterly!D$2,IF(COUNTIFS(Quarterly!B:B,"&gt;="&amp;A326-92,Quarterly!B:B,"&lt;="&amp;A326)&gt;1,SUMIFS(Quarterly!D:D,Quarterly!B:B,"&gt;="&amp;A326-88,Quarterly!B:B,"&lt;="&amp;A326),SUMIFS(Quarterly!D:D,Quarterly!B:B,"&gt;="&amp;A326-92,Quarterly!B:B,"&lt;="&amp;A326)))</f>
        <v>1727.3869999999999</v>
      </c>
      <c r="N326" s="13">
        <f t="shared" si="228"/>
        <v>7.399E-2</v>
      </c>
      <c r="O326">
        <f t="shared" ref="O326:O389" si="230">C326</f>
        <v>1278.04</v>
      </c>
      <c r="P326" s="56">
        <f>VLOOKUP(EOMONTH(A326,-1),Economic!A:I,7,FALSE)</f>
        <v>1260401</v>
      </c>
      <c r="Q326" s="13">
        <f t="shared" ref="Q326:Q389" si="231">ROUND(O326/P326,6)*100</f>
        <v>0.10139999999999999</v>
      </c>
      <c r="R326" s="41">
        <v>1.22</v>
      </c>
      <c r="S326">
        <f t="shared" ref="S326:S389" si="232">R387</f>
        <v>2.66</v>
      </c>
      <c r="T326" s="30">
        <f t="shared" ref="T326:T389" si="233">IF((ROUND((S326*40)+(G326*350)-(H326*100)-((N326-0.15)*350)-(((K326*10.5)-1)*270)-(Q326*100),2)+144)*0.8&lt;0,0,ROUND((ROUND((S326*40)+(G326*350)-(H326*100)-((N326-0.15)*350)-(((K326*10.5)-1)*270)-(Q326*100),2)+144)*0.8,2))</f>
        <v>231.1</v>
      </c>
      <c r="U326" s="30">
        <f t="shared" si="226"/>
        <v>229.5</v>
      </c>
    </row>
    <row r="327" spans="1:21" x14ac:dyDescent="0.25">
      <c r="A327" s="5">
        <v>41056</v>
      </c>
      <c r="B327" s="5">
        <f t="shared" si="220"/>
        <v>41060</v>
      </c>
      <c r="C327">
        <v>1317.82</v>
      </c>
      <c r="D327" s="29">
        <f t="shared" si="221"/>
        <v>-2.76E-2</v>
      </c>
      <c r="E327" s="39">
        <f t="shared" si="222"/>
        <v>1372.0007692307695</v>
      </c>
      <c r="F327" s="39">
        <f t="shared" si="223"/>
        <v>1289.6930769230771</v>
      </c>
      <c r="G327" s="29">
        <f t="shared" si="229"/>
        <v>-3.95E-2</v>
      </c>
      <c r="H327" s="29">
        <f t="shared" si="229"/>
        <v>2.18E-2</v>
      </c>
      <c r="I327">
        <f t="shared" si="224"/>
        <v>1317.82</v>
      </c>
      <c r="J327">
        <f>IF(A327&gt;=Quarterly!B$2,Quarterly!C$2,IF(COUNTIFS(Quarterly!B:B,"&gt;="&amp;A327-92,Quarterly!B:B,"&lt;="&amp;A327)&gt;1,SUMIFS(Quarterly!C:C,Quarterly!B:B,"&gt;="&amp;A327-88,Quarterly!B:B,"&lt;="&amp;A327),SUMIFS(Quarterly!C:C,Quarterly!B:B,"&gt;="&amp;A327-92,Quarterly!B:B,"&lt;="&amp;A327)))</f>
        <v>15973.9</v>
      </c>
      <c r="K327" s="13">
        <f t="shared" si="225"/>
        <v>8.2500000000000004E-2</v>
      </c>
      <c r="L327">
        <f t="shared" si="227"/>
        <v>1317.82</v>
      </c>
      <c r="M327">
        <f>IF(A327&gt;=Quarterly!B$2,Quarterly!D$2,IF(COUNTIFS(Quarterly!B:B,"&gt;="&amp;A327-92,Quarterly!B:B,"&lt;="&amp;A327)&gt;1,SUMIFS(Quarterly!D:D,Quarterly!B:B,"&gt;="&amp;A327-88,Quarterly!B:B,"&lt;="&amp;A327),SUMIFS(Quarterly!D:D,Quarterly!B:B,"&gt;="&amp;A327-92,Quarterly!B:B,"&lt;="&amp;A327)))</f>
        <v>1727.3869999999999</v>
      </c>
      <c r="N327" s="13">
        <f t="shared" si="228"/>
        <v>7.6290000000000011E-2</v>
      </c>
      <c r="O327">
        <f t="shared" si="230"/>
        <v>1317.82</v>
      </c>
      <c r="P327" s="56">
        <f>VLOOKUP(EOMONTH(A327,-1),Economic!A:I,7,FALSE)</f>
        <v>1250761</v>
      </c>
      <c r="Q327" s="13">
        <f t="shared" si="231"/>
        <v>0.10540000000000001</v>
      </c>
      <c r="R327" s="41">
        <v>1.45</v>
      </c>
      <c r="S327">
        <f t="shared" si="232"/>
        <v>2.67</v>
      </c>
      <c r="T327" s="30">
        <f t="shared" si="233"/>
        <v>228.94</v>
      </c>
      <c r="U327" s="30">
        <f t="shared" si="226"/>
        <v>228.74</v>
      </c>
    </row>
    <row r="328" spans="1:21" x14ac:dyDescent="0.25">
      <c r="A328" s="5">
        <v>41049</v>
      </c>
      <c r="B328" s="5">
        <f t="shared" si="220"/>
        <v>41060</v>
      </c>
      <c r="C328">
        <v>1295.22</v>
      </c>
      <c r="D328" s="29">
        <f t="shared" si="221"/>
        <v>-5.8799999999999998E-2</v>
      </c>
      <c r="E328" s="39">
        <f t="shared" si="222"/>
        <v>1375.686923076923</v>
      </c>
      <c r="F328" s="39">
        <f t="shared" si="223"/>
        <v>1286.0771794871796</v>
      </c>
      <c r="G328" s="29">
        <f t="shared" si="229"/>
        <v>-5.8500000000000003E-2</v>
      </c>
      <c r="H328" s="29">
        <f t="shared" si="229"/>
        <v>7.1000000000000004E-3</v>
      </c>
      <c r="I328">
        <f t="shared" si="224"/>
        <v>1295.22</v>
      </c>
      <c r="J328">
        <f>IF(A328&gt;=Quarterly!B$2,Quarterly!C$2,IF(COUNTIFS(Quarterly!B:B,"&gt;="&amp;A328-92,Quarterly!B:B,"&lt;="&amp;A328)&gt;1,SUMIFS(Quarterly!C:C,Quarterly!B:B,"&gt;="&amp;A328-88,Quarterly!B:B,"&lt;="&amp;A328),SUMIFS(Quarterly!C:C,Quarterly!B:B,"&gt;="&amp;A328-92,Quarterly!B:B,"&lt;="&amp;A328)))</f>
        <v>15973.9</v>
      </c>
      <c r="K328" s="13">
        <f t="shared" si="225"/>
        <v>8.1100000000000005E-2</v>
      </c>
      <c r="L328">
        <f t="shared" si="227"/>
        <v>1295.22</v>
      </c>
      <c r="M328">
        <f>IF(A328&gt;=Quarterly!B$2,Quarterly!D$2,IF(COUNTIFS(Quarterly!B:B,"&gt;="&amp;A328-92,Quarterly!B:B,"&lt;="&amp;A328)&gt;1,SUMIFS(Quarterly!D:D,Quarterly!B:B,"&gt;="&amp;A328-88,Quarterly!B:B,"&lt;="&amp;A328),SUMIFS(Quarterly!D:D,Quarterly!B:B,"&gt;="&amp;A328-92,Quarterly!B:B,"&lt;="&amp;A328)))</f>
        <v>1727.3869999999999</v>
      </c>
      <c r="N328" s="13">
        <f t="shared" si="228"/>
        <v>7.4980000000000005E-2</v>
      </c>
      <c r="O328">
        <f t="shared" si="230"/>
        <v>1295.22</v>
      </c>
      <c r="P328" s="56">
        <f>VLOOKUP(EOMONTH(A328,-1),Economic!A:I,7,FALSE)</f>
        <v>1250761</v>
      </c>
      <c r="Q328" s="13">
        <f t="shared" si="231"/>
        <v>0.1036</v>
      </c>
      <c r="R328" s="41">
        <v>1.39</v>
      </c>
      <c r="S328">
        <f t="shared" si="232"/>
        <v>2.67</v>
      </c>
      <c r="T328" s="30">
        <f t="shared" si="233"/>
        <v>228.47</v>
      </c>
      <c r="U328" s="30">
        <f t="shared" si="226"/>
        <v>229.03</v>
      </c>
    </row>
    <row r="329" spans="1:21" x14ac:dyDescent="0.25">
      <c r="A329" s="5">
        <v>41042</v>
      </c>
      <c r="B329" s="5">
        <f t="shared" si="220"/>
        <v>41060</v>
      </c>
      <c r="C329">
        <v>1353.39</v>
      </c>
      <c r="D329" s="29">
        <f t="shared" si="221"/>
        <v>-1.95E-2</v>
      </c>
      <c r="E329" s="39">
        <f t="shared" si="222"/>
        <v>1380.7646153846156</v>
      </c>
      <c r="F329" s="39">
        <f t="shared" si="223"/>
        <v>1281.6748717948719</v>
      </c>
      <c r="G329" s="29">
        <f t="shared" si="229"/>
        <v>-1.9800000000000002E-2</v>
      </c>
      <c r="H329" s="29">
        <f t="shared" si="229"/>
        <v>5.6000000000000001E-2</v>
      </c>
      <c r="I329">
        <f t="shared" si="224"/>
        <v>1353.39</v>
      </c>
      <c r="J329">
        <f>IF(A329&gt;=Quarterly!B$2,Quarterly!C$2,IF(COUNTIFS(Quarterly!B:B,"&gt;="&amp;A329-92,Quarterly!B:B,"&lt;="&amp;A329)&gt;1,SUMIFS(Quarterly!C:C,Quarterly!B:B,"&gt;="&amp;A329-88,Quarterly!B:B,"&lt;="&amp;A329),SUMIFS(Quarterly!C:C,Quarterly!B:B,"&gt;="&amp;A329-92,Quarterly!B:B,"&lt;="&amp;A329)))</f>
        <v>15973.9</v>
      </c>
      <c r="K329" s="13">
        <f t="shared" si="225"/>
        <v>8.4699999999999998E-2</v>
      </c>
      <c r="L329">
        <f t="shared" si="227"/>
        <v>1353.39</v>
      </c>
      <c r="M329">
        <f>IF(A329&gt;=Quarterly!B$2,Quarterly!D$2,IF(COUNTIFS(Quarterly!B:B,"&gt;="&amp;A329-92,Quarterly!B:B,"&lt;="&amp;A329)&gt;1,SUMIFS(Quarterly!D:D,Quarterly!B:B,"&gt;="&amp;A329-88,Quarterly!B:B,"&lt;="&amp;A329),SUMIFS(Quarterly!D:D,Quarterly!B:B,"&gt;="&amp;A329-92,Quarterly!B:B,"&lt;="&amp;A329)))</f>
        <v>1727.3869999999999</v>
      </c>
      <c r="N329" s="13">
        <f t="shared" si="228"/>
        <v>7.8350000000000003E-2</v>
      </c>
      <c r="O329">
        <f t="shared" si="230"/>
        <v>1353.39</v>
      </c>
      <c r="P329" s="56">
        <f>VLOOKUP(EOMONTH(A329,-1),Economic!A:I,7,FALSE)</f>
        <v>1250761</v>
      </c>
      <c r="Q329" s="13">
        <f t="shared" si="231"/>
        <v>0.1082</v>
      </c>
      <c r="R329" s="41">
        <v>1.57</v>
      </c>
      <c r="S329">
        <f t="shared" si="232"/>
        <v>2.76</v>
      </c>
      <c r="T329" s="30">
        <f t="shared" si="233"/>
        <v>228.8</v>
      </c>
      <c r="U329" s="30">
        <f t="shared" si="226"/>
        <v>226.13</v>
      </c>
    </row>
    <row r="330" spans="1:21" x14ac:dyDescent="0.25">
      <c r="A330" s="5">
        <v>41035</v>
      </c>
      <c r="B330" s="5">
        <f t="shared" si="220"/>
        <v>41060</v>
      </c>
      <c r="C330">
        <v>1369.1</v>
      </c>
      <c r="D330" s="29">
        <f t="shared" si="221"/>
        <v>-1.3299999999999999E-2</v>
      </c>
      <c r="E330" s="39">
        <f t="shared" si="222"/>
        <v>1379.9376923076925</v>
      </c>
      <c r="F330" s="39">
        <f t="shared" si="223"/>
        <v>1277.1984615384617</v>
      </c>
      <c r="G330" s="29">
        <f t="shared" si="229"/>
        <v>-7.9000000000000008E-3</v>
      </c>
      <c r="H330" s="29">
        <f t="shared" si="229"/>
        <v>7.1999999999999995E-2</v>
      </c>
      <c r="I330">
        <f t="shared" si="224"/>
        <v>1369.1</v>
      </c>
      <c r="J330">
        <f>IF(A330&gt;=Quarterly!B$2,Quarterly!C$2,IF(COUNTIFS(Quarterly!B:B,"&gt;="&amp;A330-92,Quarterly!B:B,"&lt;="&amp;A330)&gt;1,SUMIFS(Quarterly!C:C,Quarterly!B:B,"&gt;="&amp;A330-88,Quarterly!B:B,"&lt;="&amp;A330),SUMIFS(Quarterly!C:C,Quarterly!B:B,"&gt;="&amp;A330-92,Quarterly!B:B,"&lt;="&amp;A330)))</f>
        <v>15973.9</v>
      </c>
      <c r="K330" s="13">
        <f t="shared" si="225"/>
        <v>8.5699999999999998E-2</v>
      </c>
      <c r="L330">
        <f t="shared" si="227"/>
        <v>1369.1</v>
      </c>
      <c r="M330">
        <f>IF(A330&gt;=Quarterly!B$2,Quarterly!D$2,IF(COUNTIFS(Quarterly!B:B,"&gt;="&amp;A330-92,Quarterly!B:B,"&lt;="&amp;A330)&gt;1,SUMIFS(Quarterly!D:D,Quarterly!B:B,"&gt;="&amp;A330-88,Quarterly!B:B,"&lt;="&amp;A330),SUMIFS(Quarterly!D:D,Quarterly!B:B,"&gt;="&amp;A330-92,Quarterly!B:B,"&lt;="&amp;A330)))</f>
        <v>1727.3869999999999</v>
      </c>
      <c r="N330" s="13">
        <f t="shared" si="228"/>
        <v>7.9259999999999997E-2</v>
      </c>
      <c r="O330">
        <f t="shared" si="230"/>
        <v>1369.1</v>
      </c>
      <c r="P330" s="56">
        <f>VLOOKUP(EOMONTH(A330,-1),Economic!A:I,7,FALSE)</f>
        <v>1250761</v>
      </c>
      <c r="Q330" s="13">
        <f t="shared" si="231"/>
        <v>0.1095</v>
      </c>
      <c r="R330" s="41">
        <v>1.64</v>
      </c>
      <c r="S330">
        <f t="shared" si="232"/>
        <v>2.81</v>
      </c>
      <c r="T330" s="30">
        <f t="shared" si="233"/>
        <v>229.82</v>
      </c>
      <c r="U330" s="30">
        <f t="shared" si="226"/>
        <v>224.95</v>
      </c>
    </row>
    <row r="331" spans="1:21" x14ac:dyDescent="0.25">
      <c r="A331" s="5">
        <v>41028</v>
      </c>
      <c r="B331" s="5">
        <f t="shared" si="220"/>
        <v>41029</v>
      </c>
      <c r="C331">
        <v>1403.36</v>
      </c>
      <c r="D331" s="29">
        <f t="shared" si="221"/>
        <v>1.0500000000000001E-2</v>
      </c>
      <c r="E331" s="39">
        <f t="shared" si="222"/>
        <v>1378.0761538461541</v>
      </c>
      <c r="F331" s="39">
        <f t="shared" si="223"/>
        <v>1272.8466666666666</v>
      </c>
      <c r="G331" s="29">
        <f t="shared" si="229"/>
        <v>1.83E-2</v>
      </c>
      <c r="H331" s="29">
        <f t="shared" si="229"/>
        <v>0.10249999999999999</v>
      </c>
      <c r="I331">
        <f t="shared" si="224"/>
        <v>1403.36</v>
      </c>
      <c r="J331">
        <f>IF(A331&gt;=Quarterly!B$2,Quarterly!C$2,IF(COUNTIFS(Quarterly!B:B,"&gt;="&amp;A331-92,Quarterly!B:B,"&lt;="&amp;A331)&gt;1,SUMIFS(Quarterly!C:C,Quarterly!B:B,"&gt;="&amp;A331-88,Quarterly!B:B,"&lt;="&amp;A331),SUMIFS(Quarterly!C:C,Quarterly!B:B,"&gt;="&amp;A331-92,Quarterly!B:B,"&lt;="&amp;A331)))</f>
        <v>15785.3</v>
      </c>
      <c r="K331" s="13">
        <f t="shared" si="225"/>
        <v>8.8900000000000007E-2</v>
      </c>
      <c r="L331">
        <f t="shared" si="227"/>
        <v>1403.36</v>
      </c>
      <c r="M331">
        <f>IF(A331&gt;=Quarterly!B$2,Quarterly!D$2,IF(COUNTIFS(Quarterly!B:B,"&gt;="&amp;A331-92,Quarterly!B:B,"&lt;="&amp;A331)&gt;1,SUMIFS(Quarterly!D:D,Quarterly!B:B,"&gt;="&amp;A331-88,Quarterly!B:B,"&lt;="&amp;A331),SUMIFS(Quarterly!D:D,Quarterly!B:B,"&gt;="&amp;A331-92,Quarterly!B:B,"&lt;="&amp;A331)))</f>
        <v>1507.0730000000001</v>
      </c>
      <c r="N331" s="13">
        <f t="shared" si="228"/>
        <v>9.3120000000000008E-2</v>
      </c>
      <c r="O331">
        <f t="shared" si="230"/>
        <v>1403.36</v>
      </c>
      <c r="P331" s="56">
        <f>VLOOKUP(EOMONTH(A331,-1),Economic!A:I,7,FALSE)</f>
        <v>1240269</v>
      </c>
      <c r="Q331" s="13">
        <f t="shared" si="231"/>
        <v>0.11310000000000001</v>
      </c>
      <c r="R331" s="41">
        <v>1.7</v>
      </c>
      <c r="S331">
        <f t="shared" si="232"/>
        <v>2.7</v>
      </c>
      <c r="T331" s="30">
        <f t="shared" si="233"/>
        <v>219.78</v>
      </c>
      <c r="U331" s="30">
        <f t="shared" si="226"/>
        <v>223.57</v>
      </c>
    </row>
    <row r="332" spans="1:21" x14ac:dyDescent="0.25">
      <c r="A332" s="5">
        <v>41021</v>
      </c>
      <c r="B332" s="5">
        <f t="shared" si="220"/>
        <v>41029</v>
      </c>
      <c r="C332">
        <v>1378.53</v>
      </c>
      <c r="D332" s="29">
        <f t="shared" si="221"/>
        <v>-1.0699999999999999E-2</v>
      </c>
      <c r="E332" s="39">
        <f t="shared" si="222"/>
        <v>1371.3815384615384</v>
      </c>
      <c r="F332" s="39">
        <f t="shared" si="223"/>
        <v>1269.9984615384615</v>
      </c>
      <c r="G332" s="29">
        <f t="shared" si="229"/>
        <v>5.1999999999999998E-3</v>
      </c>
      <c r="H332" s="29">
        <f t="shared" si="229"/>
        <v>8.5500000000000007E-2</v>
      </c>
      <c r="I332">
        <f t="shared" si="224"/>
        <v>1378.53</v>
      </c>
      <c r="J332">
        <f>IF(A332&gt;=Quarterly!B$2,Quarterly!C$2,IF(COUNTIFS(Quarterly!B:B,"&gt;="&amp;A332-92,Quarterly!B:B,"&lt;="&amp;A332)&gt;1,SUMIFS(Quarterly!C:C,Quarterly!B:B,"&gt;="&amp;A332-88,Quarterly!B:B,"&lt;="&amp;A332),SUMIFS(Quarterly!C:C,Quarterly!B:B,"&gt;="&amp;A332-92,Quarterly!B:B,"&lt;="&amp;A332)))</f>
        <v>15785.3</v>
      </c>
      <c r="K332" s="13">
        <f t="shared" si="225"/>
        <v>8.7300000000000003E-2</v>
      </c>
      <c r="L332">
        <f t="shared" si="227"/>
        <v>1378.53</v>
      </c>
      <c r="M332">
        <f>IF(A332&gt;=Quarterly!B$2,Quarterly!D$2,IF(COUNTIFS(Quarterly!B:B,"&gt;="&amp;A332-92,Quarterly!B:B,"&lt;="&amp;A332)&gt;1,SUMIFS(Quarterly!D:D,Quarterly!B:B,"&gt;="&amp;A332-88,Quarterly!B:B,"&lt;="&amp;A332),SUMIFS(Quarterly!D:D,Quarterly!B:B,"&gt;="&amp;A332-92,Quarterly!B:B,"&lt;="&amp;A332)))</f>
        <v>1507.0730000000001</v>
      </c>
      <c r="N332" s="13">
        <f t="shared" si="228"/>
        <v>9.1469999999999996E-2</v>
      </c>
      <c r="O332">
        <f t="shared" si="230"/>
        <v>1378.53</v>
      </c>
      <c r="P332" s="56">
        <f>VLOOKUP(EOMONTH(A332,-1),Economic!A:I,7,FALSE)</f>
        <v>1240269</v>
      </c>
      <c r="Q332" s="13">
        <f t="shared" si="231"/>
        <v>0.1111</v>
      </c>
      <c r="R332" s="41">
        <v>1.7</v>
      </c>
      <c r="S332">
        <f t="shared" si="232"/>
        <v>2.81</v>
      </c>
      <c r="T332" s="30">
        <f t="shared" si="233"/>
        <v>225.24</v>
      </c>
      <c r="U332" s="30">
        <f t="shared" si="226"/>
        <v>226.96</v>
      </c>
    </row>
    <row r="333" spans="1:21" x14ac:dyDescent="0.25">
      <c r="A333" s="5">
        <v>41014</v>
      </c>
      <c r="B333" s="5">
        <f t="shared" si="220"/>
        <v>41029</v>
      </c>
      <c r="C333">
        <v>1370.26</v>
      </c>
      <c r="D333" s="29">
        <f t="shared" si="221"/>
        <v>-2.2599999999999999E-2</v>
      </c>
      <c r="E333" s="39">
        <f t="shared" si="222"/>
        <v>1366.5238461538463</v>
      </c>
      <c r="F333" s="39">
        <f t="shared" si="223"/>
        <v>1269.1392307692306</v>
      </c>
      <c r="G333" s="29">
        <f t="shared" si="229"/>
        <v>2.7000000000000001E-3</v>
      </c>
      <c r="H333" s="29">
        <f t="shared" si="229"/>
        <v>7.9699999999999993E-2</v>
      </c>
      <c r="I333">
        <f t="shared" si="224"/>
        <v>1370.26</v>
      </c>
      <c r="J333">
        <f>IF(A333&gt;=Quarterly!B$2,Quarterly!C$2,IF(COUNTIFS(Quarterly!B:B,"&gt;="&amp;A333-92,Quarterly!B:B,"&lt;="&amp;A333)&gt;1,SUMIFS(Quarterly!C:C,Quarterly!B:B,"&gt;="&amp;A333-88,Quarterly!B:B,"&lt;="&amp;A333),SUMIFS(Quarterly!C:C,Quarterly!B:B,"&gt;="&amp;A333-92,Quarterly!B:B,"&lt;="&amp;A333)))</f>
        <v>15785.3</v>
      </c>
      <c r="K333" s="13">
        <f t="shared" si="225"/>
        <v>8.6800000000000002E-2</v>
      </c>
      <c r="L333">
        <f t="shared" si="227"/>
        <v>1370.26</v>
      </c>
      <c r="M333">
        <f>IF(A333&gt;=Quarterly!B$2,Quarterly!D$2,IF(COUNTIFS(Quarterly!B:B,"&gt;="&amp;A333-92,Quarterly!B:B,"&lt;="&amp;A333)&gt;1,SUMIFS(Quarterly!D:D,Quarterly!B:B,"&gt;="&amp;A333-88,Quarterly!B:B,"&lt;="&amp;A333),SUMIFS(Quarterly!D:D,Quarterly!B:B,"&gt;="&amp;A333-92,Quarterly!B:B,"&lt;="&amp;A333)))</f>
        <v>1507.0730000000001</v>
      </c>
      <c r="N333" s="13">
        <f t="shared" si="228"/>
        <v>9.0920000000000001E-2</v>
      </c>
      <c r="O333">
        <f t="shared" si="230"/>
        <v>1370.26</v>
      </c>
      <c r="P333" s="56">
        <f>VLOOKUP(EOMONTH(A333,-1),Economic!A:I,7,FALSE)</f>
        <v>1240269</v>
      </c>
      <c r="Q333" s="13">
        <f t="shared" si="231"/>
        <v>0.11050000000000001</v>
      </c>
      <c r="R333" s="41">
        <v>1.75</v>
      </c>
      <c r="S333">
        <f t="shared" si="232"/>
        <v>2.79</v>
      </c>
      <c r="T333" s="30">
        <f t="shared" si="233"/>
        <v>225.7</v>
      </c>
      <c r="U333" s="30">
        <f t="shared" si="226"/>
        <v>228.15</v>
      </c>
    </row>
    <row r="334" spans="1:21" x14ac:dyDescent="0.25">
      <c r="A334" s="5">
        <v>41007</v>
      </c>
      <c r="B334" s="5">
        <f t="shared" si="220"/>
        <v>41029</v>
      </c>
      <c r="C334">
        <v>1398.08</v>
      </c>
      <c r="D334" s="29">
        <f t="shared" si="221"/>
        <v>2.0999999999999999E-3</v>
      </c>
      <c r="E334" s="39">
        <f t="shared" si="222"/>
        <v>1360.28</v>
      </c>
      <c r="F334" s="39">
        <f t="shared" si="223"/>
        <v>1267.7515384615383</v>
      </c>
      <c r="G334" s="29">
        <f t="shared" si="229"/>
        <v>2.7799999999999998E-2</v>
      </c>
      <c r="H334" s="29">
        <f t="shared" si="229"/>
        <v>0.1028</v>
      </c>
      <c r="I334">
        <f t="shared" si="224"/>
        <v>1398.08</v>
      </c>
      <c r="J334">
        <f>IF(A334&gt;=Quarterly!B$2,Quarterly!C$2,IF(COUNTIFS(Quarterly!B:B,"&gt;="&amp;A334-92,Quarterly!B:B,"&lt;="&amp;A334)&gt;1,SUMIFS(Quarterly!C:C,Quarterly!B:B,"&gt;="&amp;A334-88,Quarterly!B:B,"&lt;="&amp;A334),SUMIFS(Quarterly!C:C,Quarterly!B:B,"&gt;="&amp;A334-92,Quarterly!B:B,"&lt;="&amp;A334)))</f>
        <v>15785.3</v>
      </c>
      <c r="K334" s="13">
        <f t="shared" si="225"/>
        <v>8.8599999999999998E-2</v>
      </c>
      <c r="L334">
        <f t="shared" si="227"/>
        <v>1398.08</v>
      </c>
      <c r="M334">
        <f>IF(A334&gt;=Quarterly!B$2,Quarterly!D$2,IF(COUNTIFS(Quarterly!B:B,"&gt;="&amp;A334-92,Quarterly!B:B,"&lt;="&amp;A334)&gt;1,SUMIFS(Quarterly!D:D,Quarterly!B:B,"&gt;="&amp;A334-88,Quarterly!B:B,"&lt;="&amp;A334),SUMIFS(Quarterly!D:D,Quarterly!B:B,"&gt;="&amp;A334-92,Quarterly!B:B,"&lt;="&amp;A334)))</f>
        <v>1507.0730000000001</v>
      </c>
      <c r="N334" s="13">
        <f t="shared" si="228"/>
        <v>9.2770000000000005E-2</v>
      </c>
      <c r="O334">
        <f t="shared" si="230"/>
        <v>1398.08</v>
      </c>
      <c r="P334" s="56">
        <f>VLOOKUP(EOMONTH(A334,-1),Economic!A:I,7,FALSE)</f>
        <v>1240269</v>
      </c>
      <c r="Q334" s="13">
        <f t="shared" si="231"/>
        <v>0.11269999999999999</v>
      </c>
      <c r="R334" s="41">
        <v>1.75</v>
      </c>
      <c r="S334">
        <f t="shared" si="232"/>
        <v>2.91</v>
      </c>
      <c r="T334" s="30">
        <f t="shared" si="233"/>
        <v>229.94</v>
      </c>
      <c r="U334" s="30">
        <f t="shared" si="226"/>
        <v>229.93</v>
      </c>
    </row>
    <row r="335" spans="1:21" x14ac:dyDescent="0.25">
      <c r="A335" s="5">
        <v>41000</v>
      </c>
      <c r="B335" s="5">
        <f t="shared" si="220"/>
        <v>41029</v>
      </c>
      <c r="C335">
        <v>1408.47</v>
      </c>
      <c r="D335" s="29">
        <f t="shared" si="221"/>
        <v>1.66E-2</v>
      </c>
      <c r="E335" s="39">
        <f t="shared" si="222"/>
        <v>1351.0284615384614</v>
      </c>
      <c r="F335" s="39">
        <f t="shared" si="223"/>
        <v>1266.3597435897434</v>
      </c>
      <c r="G335" s="29">
        <f t="shared" si="229"/>
        <v>4.2500000000000003E-2</v>
      </c>
      <c r="H335" s="29">
        <f t="shared" si="229"/>
        <v>0.11219999999999999</v>
      </c>
      <c r="I335">
        <f t="shared" si="224"/>
        <v>1408.47</v>
      </c>
      <c r="J335">
        <f>IF(A335&gt;=Quarterly!B$2,Quarterly!C$2,IF(COUNTIFS(Quarterly!B:B,"&gt;="&amp;A335-92,Quarterly!B:B,"&lt;="&amp;A335)&gt;1,SUMIFS(Quarterly!C:C,Quarterly!B:B,"&gt;="&amp;A335-88,Quarterly!B:B,"&lt;="&amp;A335),SUMIFS(Quarterly!C:C,Quarterly!B:B,"&gt;="&amp;A335-92,Quarterly!B:B,"&lt;="&amp;A335)))</f>
        <v>15785.3</v>
      </c>
      <c r="K335" s="13">
        <f t="shared" si="225"/>
        <v>8.9200000000000002E-2</v>
      </c>
      <c r="L335">
        <f t="shared" si="227"/>
        <v>1408.47</v>
      </c>
      <c r="M335">
        <f>IF(A335&gt;=Quarterly!B$2,Quarterly!D$2,IF(COUNTIFS(Quarterly!B:B,"&gt;="&amp;A335-92,Quarterly!B:B,"&lt;="&amp;A335)&gt;1,SUMIFS(Quarterly!D:D,Quarterly!B:B,"&gt;="&amp;A335-88,Quarterly!B:B,"&lt;="&amp;A335),SUMIFS(Quarterly!D:D,Quarterly!B:B,"&gt;="&amp;A335-92,Quarterly!B:B,"&lt;="&amp;A335)))</f>
        <v>1507.0730000000001</v>
      </c>
      <c r="N335" s="13">
        <f t="shared" si="228"/>
        <v>9.3460000000000001E-2</v>
      </c>
      <c r="O335">
        <f t="shared" si="230"/>
        <v>1408.47</v>
      </c>
      <c r="P335" s="56">
        <f>VLOOKUP(EOMONTH(A335,-1),Economic!A:I,7,FALSE)</f>
        <v>1240269</v>
      </c>
      <c r="Q335" s="13">
        <f t="shared" si="231"/>
        <v>0.11360000000000001</v>
      </c>
      <c r="R335" s="41">
        <v>1.9</v>
      </c>
      <c r="S335">
        <f t="shared" si="232"/>
        <v>2.82</v>
      </c>
      <c r="T335" s="30">
        <f t="shared" si="233"/>
        <v>228.8</v>
      </c>
      <c r="U335" s="30">
        <f t="shared" si="226"/>
        <v>230.34</v>
      </c>
    </row>
    <row r="336" spans="1:21" x14ac:dyDescent="0.25">
      <c r="A336" s="5">
        <v>40993</v>
      </c>
      <c r="B336" s="5">
        <f t="shared" si="220"/>
        <v>40999</v>
      </c>
      <c r="C336">
        <v>1397.11</v>
      </c>
      <c r="D336" s="29">
        <f t="shared" si="221"/>
        <v>1.4200000000000001E-2</v>
      </c>
      <c r="E336" s="39">
        <f t="shared" si="222"/>
        <v>1339.4230769230769</v>
      </c>
      <c r="F336" s="39">
        <f t="shared" si="223"/>
        <v>1264.5956410256408</v>
      </c>
      <c r="G336" s="29">
        <f t="shared" si="229"/>
        <v>4.3099999999999999E-2</v>
      </c>
      <c r="H336" s="29">
        <f t="shared" si="229"/>
        <v>0.1048</v>
      </c>
      <c r="I336">
        <f t="shared" si="224"/>
        <v>1397.11</v>
      </c>
      <c r="J336">
        <f>IF(A336&gt;=Quarterly!B$2,Quarterly!C$2,IF(COUNTIFS(Quarterly!B:B,"&gt;="&amp;A336-92,Quarterly!B:B,"&lt;="&amp;A336)&gt;1,SUMIFS(Quarterly!C:C,Quarterly!B:B,"&gt;="&amp;A336-88,Quarterly!B:B,"&lt;="&amp;A336),SUMIFS(Quarterly!C:C,Quarterly!B:B,"&gt;="&amp;A336-92,Quarterly!B:B,"&lt;="&amp;A336)))</f>
        <v>15785.3</v>
      </c>
      <c r="K336" s="13">
        <f t="shared" si="225"/>
        <v>8.8499999999999995E-2</v>
      </c>
      <c r="L336">
        <f t="shared" si="227"/>
        <v>1397.11</v>
      </c>
      <c r="M336">
        <f>IF(A336&gt;=Quarterly!B$2,Quarterly!D$2,IF(COUNTIFS(Quarterly!B:B,"&gt;="&amp;A336-92,Quarterly!B:B,"&lt;="&amp;A336)&gt;1,SUMIFS(Quarterly!D:D,Quarterly!B:B,"&gt;="&amp;A336-88,Quarterly!B:B,"&lt;="&amp;A336),SUMIFS(Quarterly!D:D,Quarterly!B:B,"&gt;="&amp;A336-92,Quarterly!B:B,"&lt;="&amp;A336)))</f>
        <v>1507.0730000000001</v>
      </c>
      <c r="N336" s="13">
        <f t="shared" si="228"/>
        <v>9.2700000000000005E-2</v>
      </c>
      <c r="O336">
        <f t="shared" si="230"/>
        <v>1397.11</v>
      </c>
      <c r="P336" s="56">
        <f>VLOOKUP(EOMONTH(A336,-1),Economic!A:I,7,FALSE)</f>
        <v>1233133</v>
      </c>
      <c r="Q336" s="13">
        <f t="shared" si="231"/>
        <v>0.11329999999999998</v>
      </c>
      <c r="R336" s="41">
        <v>1.88</v>
      </c>
      <c r="S336">
        <f t="shared" si="232"/>
        <v>2.81</v>
      </c>
      <c r="T336" s="30">
        <f t="shared" si="233"/>
        <v>231.06</v>
      </c>
      <c r="U336" s="30">
        <f t="shared" si="226"/>
        <v>232.19</v>
      </c>
    </row>
    <row r="337" spans="1:21" x14ac:dyDescent="0.25">
      <c r="A337" s="5">
        <v>40986</v>
      </c>
      <c r="B337" s="5">
        <f t="shared" si="220"/>
        <v>40999</v>
      </c>
      <c r="C337">
        <v>1404.17</v>
      </c>
      <c r="D337" s="29">
        <f t="shared" si="221"/>
        <v>2.7300000000000001E-2</v>
      </c>
      <c r="E337" s="39">
        <f t="shared" si="222"/>
        <v>1329.2861538461539</v>
      </c>
      <c r="F337" s="39">
        <f t="shared" si="223"/>
        <v>1261.2966666666664</v>
      </c>
      <c r="G337" s="29">
        <f t="shared" si="229"/>
        <v>5.6300000000000003E-2</v>
      </c>
      <c r="H337" s="29">
        <f t="shared" si="229"/>
        <v>0.1133</v>
      </c>
      <c r="I337">
        <f t="shared" si="224"/>
        <v>1404.17</v>
      </c>
      <c r="J337">
        <f>IF(A337&gt;=Quarterly!B$2,Quarterly!C$2,IF(COUNTIFS(Quarterly!B:B,"&gt;="&amp;A337-92,Quarterly!B:B,"&lt;="&amp;A337)&gt;1,SUMIFS(Quarterly!C:C,Quarterly!B:B,"&gt;="&amp;A337-88,Quarterly!B:B,"&lt;="&amp;A337),SUMIFS(Quarterly!C:C,Quarterly!B:B,"&gt;="&amp;A337-92,Quarterly!B:B,"&lt;="&amp;A337)))</f>
        <v>15785.3</v>
      </c>
      <c r="K337" s="13">
        <f t="shared" si="225"/>
        <v>8.8999999999999996E-2</v>
      </c>
      <c r="L337">
        <f t="shared" si="227"/>
        <v>1404.17</v>
      </c>
      <c r="M337">
        <f>IF(A337&gt;=Quarterly!B$2,Quarterly!D$2,IF(COUNTIFS(Quarterly!B:B,"&gt;="&amp;A337-92,Quarterly!B:B,"&lt;="&amp;A337)&gt;1,SUMIFS(Quarterly!D:D,Quarterly!B:B,"&gt;="&amp;A337-88,Quarterly!B:B,"&lt;="&amp;A337),SUMIFS(Quarterly!D:D,Quarterly!B:B,"&gt;="&amp;A337-92,Quarterly!B:B,"&lt;="&amp;A337)))</f>
        <v>1507.0730000000001</v>
      </c>
      <c r="N337" s="13">
        <f t="shared" si="228"/>
        <v>9.3170000000000003E-2</v>
      </c>
      <c r="O337">
        <f t="shared" si="230"/>
        <v>1404.17</v>
      </c>
      <c r="P337" s="56">
        <f>VLOOKUP(EOMONTH(A337,-1),Economic!A:I,7,FALSE)</f>
        <v>1233133</v>
      </c>
      <c r="Q337" s="13">
        <f t="shared" si="231"/>
        <v>0.1139</v>
      </c>
      <c r="R337" s="41">
        <v>1.94</v>
      </c>
      <c r="S337">
        <f t="shared" si="232"/>
        <v>2.76</v>
      </c>
      <c r="T337" s="30">
        <f t="shared" si="233"/>
        <v>231.17</v>
      </c>
      <c r="U337" s="30">
        <f t="shared" si="226"/>
        <v>233.31</v>
      </c>
    </row>
    <row r="338" spans="1:21" x14ac:dyDescent="0.25">
      <c r="A338" s="5">
        <v>40979</v>
      </c>
      <c r="B338" s="5">
        <f t="shared" ref="B338:B401" si="234">EOMONTH(A338,0)</f>
        <v>40999</v>
      </c>
      <c r="C338">
        <v>1370.87</v>
      </c>
      <c r="D338" s="29">
        <f t="shared" ref="D338:D401" si="235">ROUND((C338-AVERAGE(C339:C342))/AVERAGE(C339:C342),4)</f>
        <v>8.0999999999999996E-3</v>
      </c>
      <c r="E338" s="39">
        <f t="shared" ref="E338:E401" si="236">AVERAGE(C338:C350)</f>
        <v>1315.0930769230772</v>
      </c>
      <c r="F338" s="39">
        <f t="shared" ref="F338:F401" si="237">AVERAGE(C338:C376)</f>
        <v>1257.8948717948717</v>
      </c>
      <c r="G338" s="29">
        <f t="shared" si="229"/>
        <v>4.24E-2</v>
      </c>
      <c r="H338" s="29">
        <f t="shared" si="229"/>
        <v>8.9800000000000005E-2</v>
      </c>
      <c r="I338">
        <f t="shared" ref="I338:I401" si="238">C338</f>
        <v>1370.87</v>
      </c>
      <c r="J338">
        <f>IF(A338&gt;=Quarterly!B$2,Quarterly!C$2,IF(COUNTIFS(Quarterly!B:B,"&gt;="&amp;A338-92,Quarterly!B:B,"&lt;="&amp;A338)&gt;1,SUMIFS(Quarterly!C:C,Quarterly!B:B,"&gt;="&amp;A338-88,Quarterly!B:B,"&lt;="&amp;A338),SUMIFS(Quarterly!C:C,Quarterly!B:B,"&gt;="&amp;A338-92,Quarterly!B:B,"&lt;="&amp;A338)))</f>
        <v>15785.3</v>
      </c>
      <c r="K338" s="13">
        <f t="shared" ref="K338:K401" si="239">ROUND(I338/J338,4)</f>
        <v>8.6800000000000002E-2</v>
      </c>
      <c r="L338">
        <f t="shared" si="227"/>
        <v>1370.87</v>
      </c>
      <c r="M338">
        <f>IF(A338&gt;=Quarterly!B$2,Quarterly!D$2,IF(COUNTIFS(Quarterly!B:B,"&gt;="&amp;A338-92,Quarterly!B:B,"&lt;="&amp;A338)&gt;1,SUMIFS(Quarterly!D:D,Quarterly!B:B,"&gt;="&amp;A338-88,Quarterly!B:B,"&lt;="&amp;A338),SUMIFS(Quarterly!D:D,Quarterly!B:B,"&gt;="&amp;A338-92,Quarterly!B:B,"&lt;="&amp;A338)))</f>
        <v>1507.0730000000001</v>
      </c>
      <c r="N338" s="13">
        <f t="shared" si="228"/>
        <v>9.0959999999999999E-2</v>
      </c>
      <c r="O338">
        <f t="shared" si="230"/>
        <v>1370.87</v>
      </c>
      <c r="P338" s="56">
        <f>VLOOKUP(EOMONTH(A338,-1),Economic!A:I,7,FALSE)</f>
        <v>1233133</v>
      </c>
      <c r="Q338" s="13">
        <f t="shared" si="231"/>
        <v>0.11119999999999999</v>
      </c>
      <c r="R338" s="41">
        <v>1.71</v>
      </c>
      <c r="S338">
        <f t="shared" si="232"/>
        <v>2.74</v>
      </c>
      <c r="T338" s="30">
        <f t="shared" si="233"/>
        <v>234.34</v>
      </c>
      <c r="U338" s="30">
        <f t="shared" ref="U338:U401" si="240">ROUND(AVERAGE(T338:T340),2)</f>
        <v>235.66</v>
      </c>
    </row>
    <row r="339" spans="1:21" x14ac:dyDescent="0.25">
      <c r="A339" s="5">
        <v>40972</v>
      </c>
      <c r="B339" s="5">
        <f t="shared" si="234"/>
        <v>40999</v>
      </c>
      <c r="C339">
        <v>1369.63</v>
      </c>
      <c r="D339" s="29">
        <f t="shared" si="235"/>
        <v>1.18E-2</v>
      </c>
      <c r="E339" s="39">
        <f t="shared" si="236"/>
        <v>1306.1946153846156</v>
      </c>
      <c r="F339" s="39">
        <f t="shared" si="237"/>
        <v>1255.3335897435895</v>
      </c>
      <c r="G339" s="29">
        <f t="shared" si="229"/>
        <v>4.8599999999999997E-2</v>
      </c>
      <c r="H339" s="29">
        <f t="shared" si="229"/>
        <v>9.0999999999999998E-2</v>
      </c>
      <c r="I339">
        <f t="shared" si="238"/>
        <v>1369.63</v>
      </c>
      <c r="J339">
        <f>IF(A339&gt;=Quarterly!B$2,Quarterly!C$2,IF(COUNTIFS(Quarterly!B:B,"&gt;="&amp;A339-92,Quarterly!B:B,"&lt;="&amp;A339)&gt;1,SUMIFS(Quarterly!C:C,Quarterly!B:B,"&gt;="&amp;A339-88,Quarterly!B:B,"&lt;="&amp;A339),SUMIFS(Quarterly!C:C,Quarterly!B:B,"&gt;="&amp;A339-92,Quarterly!B:B,"&lt;="&amp;A339)))</f>
        <v>15785.3</v>
      </c>
      <c r="K339" s="13">
        <f t="shared" si="239"/>
        <v>8.6800000000000002E-2</v>
      </c>
      <c r="L339">
        <f t="shared" si="227"/>
        <v>1369.63</v>
      </c>
      <c r="M339">
        <f>IF(A339&gt;=Quarterly!B$2,Quarterly!D$2,IF(COUNTIFS(Quarterly!B:B,"&gt;="&amp;A339-92,Quarterly!B:B,"&lt;="&amp;A339)&gt;1,SUMIFS(Quarterly!D:D,Quarterly!B:B,"&gt;="&amp;A339-88,Quarterly!B:B,"&lt;="&amp;A339),SUMIFS(Quarterly!D:D,Quarterly!B:B,"&gt;="&amp;A339-92,Quarterly!B:B,"&lt;="&amp;A339)))</f>
        <v>1507.0730000000001</v>
      </c>
      <c r="N339" s="13">
        <f t="shared" si="228"/>
        <v>9.0880000000000016E-2</v>
      </c>
      <c r="O339">
        <f t="shared" si="230"/>
        <v>1369.63</v>
      </c>
      <c r="P339" s="56">
        <f>VLOOKUP(EOMONTH(A339,-1),Economic!A:I,7,FALSE)</f>
        <v>1233133</v>
      </c>
      <c r="Q339" s="13">
        <f t="shared" si="231"/>
        <v>0.1111</v>
      </c>
      <c r="R339" s="41">
        <v>1.71</v>
      </c>
      <c r="S339">
        <f t="shared" si="232"/>
        <v>2.69</v>
      </c>
      <c r="T339" s="30">
        <f t="shared" si="233"/>
        <v>234.41</v>
      </c>
      <c r="U339" s="30">
        <f t="shared" si="240"/>
        <v>237.96</v>
      </c>
    </row>
    <row r="340" spans="1:21" x14ac:dyDescent="0.25">
      <c r="A340" s="5">
        <v>40965</v>
      </c>
      <c r="B340" s="5">
        <f t="shared" si="234"/>
        <v>40968</v>
      </c>
      <c r="C340">
        <v>1365.74</v>
      </c>
      <c r="D340" s="29">
        <f t="shared" si="235"/>
        <v>1.8200000000000001E-2</v>
      </c>
      <c r="E340" s="39">
        <f t="shared" si="236"/>
        <v>1296.5523076923077</v>
      </c>
      <c r="F340" s="39">
        <f t="shared" si="237"/>
        <v>1253.5523076923075</v>
      </c>
      <c r="G340" s="29">
        <f t="shared" si="229"/>
        <v>5.3400000000000003E-2</v>
      </c>
      <c r="H340" s="29">
        <f t="shared" si="229"/>
        <v>8.9499999999999996E-2</v>
      </c>
      <c r="I340">
        <f t="shared" si="238"/>
        <v>1365.74</v>
      </c>
      <c r="J340">
        <f>IF(A340&gt;=Quarterly!B$2,Quarterly!C$2,IF(COUNTIFS(Quarterly!B:B,"&gt;="&amp;A340-92,Quarterly!B:B,"&lt;="&amp;A340)&gt;1,SUMIFS(Quarterly!C:C,Quarterly!B:B,"&gt;="&amp;A340-88,Quarterly!B:B,"&lt;="&amp;A340),SUMIFS(Quarterly!C:C,Quarterly!B:B,"&gt;="&amp;A340-92,Quarterly!B:B,"&lt;="&amp;A340)))</f>
        <v>15785.3</v>
      </c>
      <c r="K340" s="13">
        <f t="shared" si="239"/>
        <v>8.6499999999999994E-2</v>
      </c>
      <c r="L340">
        <f t="shared" si="227"/>
        <v>1365.74</v>
      </c>
      <c r="M340">
        <f>IF(A340&gt;=Quarterly!B$2,Quarterly!D$2,IF(COUNTIFS(Quarterly!B:B,"&gt;="&amp;A340-92,Quarterly!B:B,"&lt;="&amp;A340)&gt;1,SUMIFS(Quarterly!D:D,Quarterly!B:B,"&gt;="&amp;A340-88,Quarterly!B:B,"&lt;="&amp;A340),SUMIFS(Quarterly!D:D,Quarterly!B:B,"&gt;="&amp;A340-92,Quarterly!B:B,"&lt;="&amp;A340)))</f>
        <v>1507.0730000000001</v>
      </c>
      <c r="N340" s="13">
        <f t="shared" si="228"/>
        <v>9.0620000000000006E-2</v>
      </c>
      <c r="O340">
        <f t="shared" si="230"/>
        <v>1365.74</v>
      </c>
      <c r="P340" s="56">
        <f>VLOOKUP(EOMONTH(A340,-1),Economic!A:I,7,FALSE)</f>
        <v>1226709</v>
      </c>
      <c r="Q340" s="13">
        <f t="shared" si="231"/>
        <v>0.11130000000000001</v>
      </c>
      <c r="R340" s="41">
        <v>1.67</v>
      </c>
      <c r="S340">
        <f t="shared" si="232"/>
        <v>2.74</v>
      </c>
      <c r="T340" s="30">
        <f t="shared" si="233"/>
        <v>238.22</v>
      </c>
      <c r="U340" s="30">
        <f t="shared" si="240"/>
        <v>240.7</v>
      </c>
    </row>
    <row r="341" spans="1:21" x14ac:dyDescent="0.25">
      <c r="A341" s="5">
        <v>40958</v>
      </c>
      <c r="B341" s="5">
        <f t="shared" si="234"/>
        <v>40968</v>
      </c>
      <c r="C341">
        <v>1361.23</v>
      </c>
      <c r="D341" s="29">
        <f t="shared" si="235"/>
        <v>2.3599999999999999E-2</v>
      </c>
      <c r="E341" s="39">
        <f t="shared" si="236"/>
        <v>1280.6238461538462</v>
      </c>
      <c r="F341" s="39">
        <f t="shared" si="237"/>
        <v>1252.6641025641024</v>
      </c>
      <c r="G341" s="29">
        <f t="shared" si="229"/>
        <v>6.2899999999999998E-2</v>
      </c>
      <c r="H341" s="29">
        <f t="shared" si="229"/>
        <v>8.6699999999999999E-2</v>
      </c>
      <c r="I341">
        <f t="shared" si="238"/>
        <v>1361.23</v>
      </c>
      <c r="J341">
        <f>IF(A341&gt;=Quarterly!B$2,Quarterly!C$2,IF(COUNTIFS(Quarterly!B:B,"&gt;="&amp;A341-92,Quarterly!B:B,"&lt;="&amp;A341)&gt;1,SUMIFS(Quarterly!C:C,Quarterly!B:B,"&gt;="&amp;A341-88,Quarterly!B:B,"&lt;="&amp;A341),SUMIFS(Quarterly!C:C,Quarterly!B:B,"&gt;="&amp;A341-92,Quarterly!B:B,"&lt;="&amp;A341)))</f>
        <v>15785.3</v>
      </c>
      <c r="K341" s="13">
        <f t="shared" si="239"/>
        <v>8.6199999999999999E-2</v>
      </c>
      <c r="L341">
        <f t="shared" si="227"/>
        <v>1361.23</v>
      </c>
      <c r="M341">
        <f>IF(A341&gt;=Quarterly!B$2,Quarterly!D$2,IF(COUNTIFS(Quarterly!B:B,"&gt;="&amp;A341-92,Quarterly!B:B,"&lt;="&amp;A341)&gt;1,SUMIFS(Quarterly!D:D,Quarterly!B:B,"&gt;="&amp;A341-88,Quarterly!B:B,"&lt;="&amp;A341),SUMIFS(Quarterly!D:D,Quarterly!B:B,"&gt;="&amp;A341-92,Quarterly!B:B,"&lt;="&amp;A341)))</f>
        <v>1507.0730000000001</v>
      </c>
      <c r="N341" s="13">
        <f t="shared" si="228"/>
        <v>9.0320000000000011E-2</v>
      </c>
      <c r="O341">
        <f t="shared" si="230"/>
        <v>1361.23</v>
      </c>
      <c r="P341" s="56">
        <f>VLOOKUP(EOMONTH(A341,-1),Economic!A:I,7,FALSE)</f>
        <v>1226709</v>
      </c>
      <c r="Q341" s="13">
        <f t="shared" si="231"/>
        <v>0.11100000000000002</v>
      </c>
      <c r="R341" s="41">
        <v>1.72</v>
      </c>
      <c r="S341">
        <f t="shared" si="232"/>
        <v>2.72</v>
      </c>
      <c r="T341" s="30">
        <f t="shared" si="233"/>
        <v>241.25</v>
      </c>
      <c r="U341" s="30">
        <f t="shared" si="240"/>
        <v>241.16</v>
      </c>
    </row>
    <row r="342" spans="1:21" x14ac:dyDescent="0.25">
      <c r="A342" s="5">
        <v>40951</v>
      </c>
      <c r="B342" s="5">
        <f t="shared" si="234"/>
        <v>40968</v>
      </c>
      <c r="C342">
        <v>1342.64</v>
      </c>
      <c r="D342" s="29">
        <f t="shared" si="235"/>
        <v>1.9900000000000001E-2</v>
      </c>
      <c r="E342" s="39">
        <f t="shared" si="236"/>
        <v>1269.4253846153847</v>
      </c>
      <c r="F342" s="39">
        <f t="shared" si="237"/>
        <v>1251.9471794871793</v>
      </c>
      <c r="G342" s="29">
        <f t="shared" si="229"/>
        <v>5.7700000000000001E-2</v>
      </c>
      <c r="H342" s="29">
        <f t="shared" si="229"/>
        <v>7.2400000000000006E-2</v>
      </c>
      <c r="I342">
        <f t="shared" si="238"/>
        <v>1342.64</v>
      </c>
      <c r="J342">
        <f>IF(A342&gt;=Quarterly!B$2,Quarterly!C$2,IF(COUNTIFS(Quarterly!B:B,"&gt;="&amp;A342-92,Quarterly!B:B,"&lt;="&amp;A342)&gt;1,SUMIFS(Quarterly!C:C,Quarterly!B:B,"&gt;="&amp;A342-88,Quarterly!B:B,"&lt;="&amp;A342),SUMIFS(Quarterly!C:C,Quarterly!B:B,"&gt;="&amp;A342-92,Quarterly!B:B,"&lt;="&amp;A342)))</f>
        <v>15785.3</v>
      </c>
      <c r="K342" s="13">
        <f t="shared" si="239"/>
        <v>8.5099999999999995E-2</v>
      </c>
      <c r="L342">
        <f t="shared" si="227"/>
        <v>1342.64</v>
      </c>
      <c r="M342">
        <f>IF(A342&gt;=Quarterly!B$2,Quarterly!D$2,IF(COUNTIFS(Quarterly!B:B,"&gt;="&amp;A342-92,Quarterly!B:B,"&lt;="&amp;A342)&gt;1,SUMIFS(Quarterly!D:D,Quarterly!B:B,"&gt;="&amp;A342-88,Quarterly!B:B,"&lt;="&amp;A342),SUMIFS(Quarterly!D:D,Quarterly!B:B,"&gt;="&amp;A342-92,Quarterly!B:B,"&lt;="&amp;A342)))</f>
        <v>1507.0730000000001</v>
      </c>
      <c r="N342" s="13">
        <f t="shared" si="228"/>
        <v>8.9090000000000003E-2</v>
      </c>
      <c r="O342">
        <f t="shared" si="230"/>
        <v>1342.64</v>
      </c>
      <c r="P342" s="56">
        <f>VLOOKUP(EOMONTH(A342,-1),Economic!A:I,7,FALSE)</f>
        <v>1226709</v>
      </c>
      <c r="Q342" s="13">
        <f t="shared" si="231"/>
        <v>0.1095</v>
      </c>
      <c r="R342" s="41">
        <v>1.69</v>
      </c>
      <c r="S342">
        <f t="shared" si="232"/>
        <v>2.68</v>
      </c>
      <c r="T342" s="30">
        <f t="shared" si="233"/>
        <v>242.62</v>
      </c>
      <c r="U342" s="30">
        <f t="shared" si="240"/>
        <v>238.13</v>
      </c>
    </row>
    <row r="343" spans="1:21" x14ac:dyDescent="0.25">
      <c r="A343" s="5">
        <v>40944</v>
      </c>
      <c r="B343" s="5">
        <f t="shared" si="234"/>
        <v>40968</v>
      </c>
      <c r="C343">
        <v>1344.9</v>
      </c>
      <c r="D343" s="29">
        <f t="shared" si="235"/>
        <v>3.4799999999999998E-2</v>
      </c>
      <c r="E343" s="39">
        <f t="shared" si="236"/>
        <v>1263.3646153846155</v>
      </c>
      <c r="F343" s="39">
        <f t="shared" si="237"/>
        <v>1251.8223076923073</v>
      </c>
      <c r="G343" s="29">
        <f t="shared" si="229"/>
        <v>6.4500000000000002E-2</v>
      </c>
      <c r="H343" s="29">
        <f t="shared" si="229"/>
        <v>7.4399999999999994E-2</v>
      </c>
      <c r="I343">
        <f t="shared" si="238"/>
        <v>1344.9</v>
      </c>
      <c r="J343">
        <f>IF(A343&gt;=Quarterly!B$2,Quarterly!C$2,IF(COUNTIFS(Quarterly!B:B,"&gt;="&amp;A343-92,Quarterly!B:B,"&lt;="&amp;A343)&gt;1,SUMIFS(Quarterly!C:C,Quarterly!B:B,"&gt;="&amp;A343-88,Quarterly!B:B,"&lt;="&amp;A343),SUMIFS(Quarterly!C:C,Quarterly!B:B,"&gt;="&amp;A343-92,Quarterly!B:B,"&lt;="&amp;A343)))</f>
        <v>15785.3</v>
      </c>
      <c r="K343" s="13">
        <f t="shared" si="239"/>
        <v>8.5199999999999998E-2</v>
      </c>
      <c r="L343">
        <f t="shared" ref="L343:L406" si="241">C343</f>
        <v>1344.9</v>
      </c>
      <c r="M343">
        <f>IF(A343&gt;=Quarterly!B$2,Quarterly!D$2,IF(COUNTIFS(Quarterly!B:B,"&gt;="&amp;A343-92,Quarterly!B:B,"&lt;="&amp;A343)&gt;1,SUMIFS(Quarterly!D:D,Quarterly!B:B,"&gt;="&amp;A343-88,Quarterly!B:B,"&lt;="&amp;A343),SUMIFS(Quarterly!D:D,Quarterly!B:B,"&gt;="&amp;A343-92,Quarterly!B:B,"&lt;="&amp;A343)))</f>
        <v>1507.0730000000001</v>
      </c>
      <c r="N343" s="13">
        <f t="shared" ref="N343:N406" si="242">ROUND(L343/M343,4)*0.1</f>
        <v>8.924E-2</v>
      </c>
      <c r="O343">
        <f t="shared" si="230"/>
        <v>1344.9</v>
      </c>
      <c r="P343" s="56">
        <f>VLOOKUP(EOMONTH(A343,-1),Economic!A:I,7,FALSE)</f>
        <v>1226709</v>
      </c>
      <c r="Q343" s="13">
        <f t="shared" si="231"/>
        <v>0.1096</v>
      </c>
      <c r="R343" s="41">
        <v>1.74</v>
      </c>
      <c r="S343">
        <f t="shared" si="232"/>
        <v>2.54</v>
      </c>
      <c r="T343" s="30">
        <f t="shared" si="233"/>
        <v>239.6</v>
      </c>
      <c r="U343" s="30">
        <f t="shared" si="240"/>
        <v>234.82</v>
      </c>
    </row>
    <row r="344" spans="1:21" x14ac:dyDescent="0.25">
      <c r="A344" s="5">
        <v>40937</v>
      </c>
      <c r="B344" s="5">
        <f t="shared" si="234"/>
        <v>40939</v>
      </c>
      <c r="C344">
        <v>1316.33</v>
      </c>
      <c r="D344" s="29">
        <f t="shared" si="235"/>
        <v>2.4400000000000002E-2</v>
      </c>
      <c r="E344" s="39">
        <f t="shared" si="236"/>
        <v>1256.313076923077</v>
      </c>
      <c r="F344" s="39">
        <f t="shared" si="237"/>
        <v>1251.7017948717946</v>
      </c>
      <c r="G344" s="29">
        <f t="shared" si="229"/>
        <v>4.7800000000000002E-2</v>
      </c>
      <c r="H344" s="29">
        <f t="shared" si="229"/>
        <v>5.16E-2</v>
      </c>
      <c r="I344">
        <f t="shared" si="238"/>
        <v>1316.33</v>
      </c>
      <c r="J344">
        <f>IF(A344&gt;=Quarterly!B$2,Quarterly!C$2,IF(COUNTIFS(Quarterly!B:B,"&gt;="&amp;A344-92,Quarterly!B:B,"&lt;="&amp;A344)&gt;1,SUMIFS(Quarterly!C:C,Quarterly!B:B,"&gt;="&amp;A344-88,Quarterly!B:B,"&lt;="&amp;A344),SUMIFS(Quarterly!C:C,Quarterly!B:B,"&gt;="&amp;A344-92,Quarterly!B:B,"&lt;="&amp;A344)))</f>
        <v>15587.1</v>
      </c>
      <c r="K344" s="13">
        <f t="shared" si="239"/>
        <v>8.4400000000000003E-2</v>
      </c>
      <c r="L344">
        <f t="shared" si="241"/>
        <v>1316.33</v>
      </c>
      <c r="M344">
        <f>IF(A344&gt;=Quarterly!B$2,Quarterly!D$2,IF(COUNTIFS(Quarterly!B:B,"&gt;="&amp;A344-92,Quarterly!B:B,"&lt;="&amp;A344)&gt;1,SUMIFS(Quarterly!D:D,Quarterly!B:B,"&gt;="&amp;A344-88,Quarterly!B:B,"&lt;="&amp;A344),SUMIFS(Quarterly!D:D,Quarterly!B:B,"&gt;="&amp;A344-92,Quarterly!B:B,"&lt;="&amp;A344)))</f>
        <v>1430.386</v>
      </c>
      <c r="N344" s="13">
        <f t="shared" si="242"/>
        <v>9.2030000000000001E-2</v>
      </c>
      <c r="O344">
        <f t="shared" si="230"/>
        <v>1316.33</v>
      </c>
      <c r="P344" s="56">
        <f>VLOOKUP(EOMONTH(A344,-1),Economic!A:I,7,FALSE)</f>
        <v>1222840</v>
      </c>
      <c r="Q344" s="13">
        <f t="shared" si="231"/>
        <v>0.10759999999999999</v>
      </c>
      <c r="R344" s="41">
        <v>1.71</v>
      </c>
      <c r="S344">
        <f t="shared" si="232"/>
        <v>2.36</v>
      </c>
      <c r="T344" s="30">
        <f t="shared" si="233"/>
        <v>232.18</v>
      </c>
      <c r="U344" s="30">
        <f t="shared" si="240"/>
        <v>231.92</v>
      </c>
    </row>
    <row r="345" spans="1:21" x14ac:dyDescent="0.25">
      <c r="A345" s="5">
        <v>40930</v>
      </c>
      <c r="B345" s="5">
        <f t="shared" si="234"/>
        <v>40939</v>
      </c>
      <c r="C345">
        <v>1315.38</v>
      </c>
      <c r="D345" s="29">
        <f t="shared" si="235"/>
        <v>3.3700000000000001E-2</v>
      </c>
      <c r="E345" s="39">
        <f t="shared" si="236"/>
        <v>1253.9100000000001</v>
      </c>
      <c r="F345" s="39">
        <f t="shared" si="237"/>
        <v>1252.9141025641024</v>
      </c>
      <c r="G345" s="29">
        <f t="shared" si="229"/>
        <v>4.9000000000000002E-2</v>
      </c>
      <c r="H345" s="29">
        <f t="shared" si="229"/>
        <v>4.99E-2</v>
      </c>
      <c r="I345">
        <f t="shared" si="238"/>
        <v>1315.38</v>
      </c>
      <c r="J345">
        <f>IF(A345&gt;=Quarterly!B$2,Quarterly!C$2,IF(COUNTIFS(Quarterly!B:B,"&gt;="&amp;A345-92,Quarterly!B:B,"&lt;="&amp;A345)&gt;1,SUMIFS(Quarterly!C:C,Quarterly!B:B,"&gt;="&amp;A345-88,Quarterly!B:B,"&lt;="&amp;A345),SUMIFS(Quarterly!C:C,Quarterly!B:B,"&gt;="&amp;A345-92,Quarterly!B:B,"&lt;="&amp;A345)))</f>
        <v>15587.1</v>
      </c>
      <c r="K345" s="13">
        <f t="shared" si="239"/>
        <v>8.4400000000000003E-2</v>
      </c>
      <c r="L345">
        <f t="shared" si="241"/>
        <v>1315.38</v>
      </c>
      <c r="M345">
        <f>IF(A345&gt;=Quarterly!B$2,Quarterly!D$2,IF(COUNTIFS(Quarterly!B:B,"&gt;="&amp;A345-92,Quarterly!B:B,"&lt;="&amp;A345)&gt;1,SUMIFS(Quarterly!D:D,Quarterly!B:B,"&gt;="&amp;A345-88,Quarterly!B:B,"&lt;="&amp;A345),SUMIFS(Quarterly!D:D,Quarterly!B:B,"&gt;="&amp;A345-92,Quarterly!B:B,"&lt;="&amp;A345)))</f>
        <v>1430.386</v>
      </c>
      <c r="N345" s="13">
        <f t="shared" si="242"/>
        <v>9.196E-2</v>
      </c>
      <c r="O345">
        <f t="shared" si="230"/>
        <v>1315.38</v>
      </c>
      <c r="P345" s="56">
        <f>VLOOKUP(EOMONTH(A345,-1),Economic!A:I,7,FALSE)</f>
        <v>1222840</v>
      </c>
      <c r="Q345" s="13">
        <f t="shared" si="231"/>
        <v>0.10759999999999999</v>
      </c>
      <c r="R345" s="41">
        <v>1.79</v>
      </c>
      <c r="S345">
        <f t="shared" si="232"/>
        <v>2.36</v>
      </c>
      <c r="T345" s="30">
        <f t="shared" si="233"/>
        <v>232.67</v>
      </c>
      <c r="U345" s="30">
        <f t="shared" si="240"/>
        <v>231.39</v>
      </c>
    </row>
    <row r="346" spans="1:21" x14ac:dyDescent="0.25">
      <c r="A346" s="5">
        <v>40923</v>
      </c>
      <c r="B346" s="5">
        <f t="shared" si="234"/>
        <v>40939</v>
      </c>
      <c r="C346">
        <v>1289.0899999999999</v>
      </c>
      <c r="D346" s="29">
        <f t="shared" si="235"/>
        <v>2.7099999999999999E-2</v>
      </c>
      <c r="E346" s="39">
        <f t="shared" si="236"/>
        <v>1247.9769230769232</v>
      </c>
      <c r="F346" s="39">
        <f t="shared" si="237"/>
        <v>1253.4782051282048</v>
      </c>
      <c r="G346" s="29">
        <f t="shared" si="229"/>
        <v>3.2899999999999999E-2</v>
      </c>
      <c r="H346" s="29">
        <f t="shared" si="229"/>
        <v>2.8400000000000002E-2</v>
      </c>
      <c r="I346">
        <f t="shared" si="238"/>
        <v>1289.0899999999999</v>
      </c>
      <c r="J346">
        <f>IF(A346&gt;=Quarterly!B$2,Quarterly!C$2,IF(COUNTIFS(Quarterly!B:B,"&gt;="&amp;A346-92,Quarterly!B:B,"&lt;="&amp;A346)&gt;1,SUMIFS(Quarterly!C:C,Quarterly!B:B,"&gt;="&amp;A346-88,Quarterly!B:B,"&lt;="&amp;A346),SUMIFS(Quarterly!C:C,Quarterly!B:B,"&gt;="&amp;A346-92,Quarterly!B:B,"&lt;="&amp;A346)))</f>
        <v>15587.1</v>
      </c>
      <c r="K346" s="13">
        <f t="shared" si="239"/>
        <v>8.2699999999999996E-2</v>
      </c>
      <c r="L346">
        <f t="shared" si="241"/>
        <v>1289.0899999999999</v>
      </c>
      <c r="M346">
        <f>IF(A346&gt;=Quarterly!B$2,Quarterly!D$2,IF(COUNTIFS(Quarterly!B:B,"&gt;="&amp;A346-92,Quarterly!B:B,"&lt;="&amp;A346)&gt;1,SUMIFS(Quarterly!D:D,Quarterly!B:B,"&gt;="&amp;A346-88,Quarterly!B:B,"&lt;="&amp;A346),SUMIFS(Quarterly!D:D,Quarterly!B:B,"&gt;="&amp;A346-92,Quarterly!B:B,"&lt;="&amp;A346)))</f>
        <v>1430.386</v>
      </c>
      <c r="N346" s="13">
        <f t="shared" si="242"/>
        <v>9.0120000000000006E-2</v>
      </c>
      <c r="O346">
        <f t="shared" si="230"/>
        <v>1289.0899999999999</v>
      </c>
      <c r="P346" s="56">
        <f>VLOOKUP(EOMONTH(A346,-1),Economic!A:I,7,FALSE)</f>
        <v>1222840</v>
      </c>
      <c r="Q346" s="13">
        <f t="shared" si="231"/>
        <v>0.10540000000000001</v>
      </c>
      <c r="R346" s="41">
        <v>1.65</v>
      </c>
      <c r="S346">
        <f t="shared" si="232"/>
        <v>2.25</v>
      </c>
      <c r="T346" s="30">
        <f t="shared" si="233"/>
        <v>230.91</v>
      </c>
      <c r="U346" s="30">
        <f t="shared" si="240"/>
        <v>232.48</v>
      </c>
    </row>
    <row r="347" spans="1:21" x14ac:dyDescent="0.25">
      <c r="A347" s="5">
        <v>40916</v>
      </c>
      <c r="B347" s="5">
        <f t="shared" si="234"/>
        <v>40939</v>
      </c>
      <c r="C347">
        <v>1277.81</v>
      </c>
      <c r="D347" s="29">
        <f t="shared" si="235"/>
        <v>2.2700000000000001E-2</v>
      </c>
      <c r="E347" s="39">
        <f t="shared" si="236"/>
        <v>1243.0146153846154</v>
      </c>
      <c r="F347" s="39">
        <f t="shared" si="237"/>
        <v>1254.2625641025638</v>
      </c>
      <c r="G347" s="29">
        <f t="shared" si="229"/>
        <v>2.8000000000000001E-2</v>
      </c>
      <c r="H347" s="29">
        <f t="shared" si="229"/>
        <v>1.8800000000000001E-2</v>
      </c>
      <c r="I347">
        <f t="shared" si="238"/>
        <v>1277.81</v>
      </c>
      <c r="J347">
        <f>IF(A347&gt;=Quarterly!B$2,Quarterly!C$2,IF(COUNTIFS(Quarterly!B:B,"&gt;="&amp;A347-92,Quarterly!B:B,"&lt;="&amp;A347)&gt;1,SUMIFS(Quarterly!C:C,Quarterly!B:B,"&gt;="&amp;A347-88,Quarterly!B:B,"&lt;="&amp;A347),SUMIFS(Quarterly!C:C,Quarterly!B:B,"&gt;="&amp;A347-92,Quarterly!B:B,"&lt;="&amp;A347)))</f>
        <v>15587.1</v>
      </c>
      <c r="K347" s="13">
        <f t="shared" si="239"/>
        <v>8.2000000000000003E-2</v>
      </c>
      <c r="L347">
        <f t="shared" si="241"/>
        <v>1277.81</v>
      </c>
      <c r="M347">
        <f>IF(A347&gt;=Quarterly!B$2,Quarterly!D$2,IF(COUNTIFS(Quarterly!B:B,"&gt;="&amp;A347-92,Quarterly!B:B,"&lt;="&amp;A347)&gt;1,SUMIFS(Quarterly!D:D,Quarterly!B:B,"&gt;="&amp;A347-88,Quarterly!B:B,"&lt;="&amp;A347),SUMIFS(Quarterly!D:D,Quarterly!B:B,"&gt;="&amp;A347-92,Quarterly!B:B,"&lt;="&amp;A347)))</f>
        <v>1430.386</v>
      </c>
      <c r="N347" s="13">
        <f t="shared" si="242"/>
        <v>8.9330000000000007E-2</v>
      </c>
      <c r="O347">
        <f t="shared" si="230"/>
        <v>1277.81</v>
      </c>
      <c r="P347" s="56">
        <f>VLOOKUP(EOMONTH(A347,-1),Economic!A:I,7,FALSE)</f>
        <v>1222840</v>
      </c>
      <c r="Q347" s="13">
        <f t="shared" si="231"/>
        <v>0.1045</v>
      </c>
      <c r="R347" s="41">
        <v>1.73</v>
      </c>
      <c r="S347">
        <f t="shared" si="232"/>
        <v>2.2000000000000002</v>
      </c>
      <c r="T347" s="30">
        <f t="shared" si="233"/>
        <v>230.58</v>
      </c>
      <c r="U347" s="30">
        <f t="shared" si="240"/>
        <v>234.38</v>
      </c>
    </row>
    <row r="348" spans="1:21" x14ac:dyDescent="0.25">
      <c r="A348" s="5">
        <v>40909</v>
      </c>
      <c r="B348" s="5">
        <f t="shared" si="234"/>
        <v>40939</v>
      </c>
      <c r="C348">
        <v>1257.5999999999999</v>
      </c>
      <c r="D348" s="29">
        <f t="shared" si="235"/>
        <v>9.1999999999999998E-3</v>
      </c>
      <c r="E348" s="39">
        <f t="shared" si="236"/>
        <v>1233.603076923077</v>
      </c>
      <c r="F348" s="39">
        <f t="shared" si="237"/>
        <v>1255.5538461538458</v>
      </c>
      <c r="G348" s="29">
        <f t="shared" si="229"/>
        <v>1.95E-2</v>
      </c>
      <c r="H348" s="29">
        <f t="shared" si="229"/>
        <v>1.6000000000000001E-3</v>
      </c>
      <c r="I348">
        <f t="shared" si="238"/>
        <v>1257.5999999999999</v>
      </c>
      <c r="J348">
        <f>IF(A348&gt;=Quarterly!B$2,Quarterly!C$2,IF(COUNTIFS(Quarterly!B:B,"&gt;="&amp;A348-92,Quarterly!B:B,"&lt;="&amp;A348)&gt;1,SUMIFS(Quarterly!C:C,Quarterly!B:B,"&gt;="&amp;A348-88,Quarterly!B:B,"&lt;="&amp;A348),SUMIFS(Quarterly!C:C,Quarterly!B:B,"&gt;="&amp;A348-92,Quarterly!B:B,"&lt;="&amp;A348)))</f>
        <v>15587.1</v>
      </c>
      <c r="K348" s="13">
        <f t="shared" si="239"/>
        <v>8.0699999999999994E-2</v>
      </c>
      <c r="L348">
        <f t="shared" si="241"/>
        <v>1257.5999999999999</v>
      </c>
      <c r="M348">
        <f>IF(A348&gt;=Quarterly!B$2,Quarterly!D$2,IF(COUNTIFS(Quarterly!B:B,"&gt;="&amp;A348-92,Quarterly!B:B,"&lt;="&amp;A348)&gt;1,SUMIFS(Quarterly!D:D,Quarterly!B:B,"&gt;="&amp;A348-88,Quarterly!B:B,"&lt;="&amp;A348),SUMIFS(Quarterly!D:D,Quarterly!B:B,"&gt;="&amp;A348-92,Quarterly!B:B,"&lt;="&amp;A348)))</f>
        <v>1430.386</v>
      </c>
      <c r="N348" s="13">
        <f t="shared" si="242"/>
        <v>8.7919999999999998E-2</v>
      </c>
      <c r="O348">
        <f t="shared" si="230"/>
        <v>1257.5999999999999</v>
      </c>
      <c r="P348" s="56">
        <f>VLOOKUP(EOMONTH(A348,-1),Economic!A:I,7,FALSE)</f>
        <v>1222840</v>
      </c>
      <c r="Q348" s="13">
        <f t="shared" si="231"/>
        <v>0.1028</v>
      </c>
      <c r="R348" s="41">
        <v>1.64</v>
      </c>
      <c r="S348">
        <f t="shared" si="232"/>
        <v>2.29</v>
      </c>
      <c r="T348" s="30">
        <f t="shared" si="233"/>
        <v>235.94</v>
      </c>
      <c r="U348" s="30">
        <f t="shared" si="240"/>
        <v>237.11</v>
      </c>
    </row>
    <row r="349" spans="1:21" x14ac:dyDescent="0.25">
      <c r="A349" s="5">
        <v>40902</v>
      </c>
      <c r="B349" s="5">
        <f t="shared" si="234"/>
        <v>40908</v>
      </c>
      <c r="C349">
        <v>1265.33</v>
      </c>
      <c r="D349" s="29">
        <f t="shared" si="235"/>
        <v>3.7600000000000001E-2</v>
      </c>
      <c r="E349" s="39">
        <f t="shared" si="236"/>
        <v>1223.8969230769233</v>
      </c>
      <c r="F349" s="39">
        <f t="shared" si="237"/>
        <v>1257.4720512820511</v>
      </c>
      <c r="G349" s="29">
        <f t="shared" si="229"/>
        <v>3.39E-2</v>
      </c>
      <c r="H349" s="29">
        <f t="shared" si="229"/>
        <v>6.1999999999999998E-3</v>
      </c>
      <c r="I349">
        <f t="shared" si="238"/>
        <v>1265.33</v>
      </c>
      <c r="J349">
        <f>IF(A349&gt;=Quarterly!B$2,Quarterly!C$2,IF(COUNTIFS(Quarterly!B:B,"&gt;="&amp;A349-92,Quarterly!B:B,"&lt;="&amp;A349)&gt;1,SUMIFS(Quarterly!C:C,Quarterly!B:B,"&gt;="&amp;A349-88,Quarterly!B:B,"&lt;="&amp;A349),SUMIFS(Quarterly!C:C,Quarterly!B:B,"&gt;="&amp;A349-92,Quarterly!B:B,"&lt;="&amp;A349)))</f>
        <v>15587.1</v>
      </c>
      <c r="K349" s="13">
        <f t="shared" si="239"/>
        <v>8.1199999999999994E-2</v>
      </c>
      <c r="L349">
        <f t="shared" si="241"/>
        <v>1265.33</v>
      </c>
      <c r="M349">
        <f>IF(A349&gt;=Quarterly!B$2,Quarterly!D$2,IF(COUNTIFS(Quarterly!B:B,"&gt;="&amp;A349-92,Quarterly!B:B,"&lt;="&amp;A349)&gt;1,SUMIFS(Quarterly!D:D,Quarterly!B:B,"&gt;="&amp;A349-88,Quarterly!B:B,"&lt;="&amp;A349),SUMIFS(Quarterly!D:D,Quarterly!B:B,"&gt;="&amp;A349-92,Quarterly!B:B,"&lt;="&amp;A349)))</f>
        <v>1430.386</v>
      </c>
      <c r="N349" s="13">
        <f t="shared" si="242"/>
        <v>8.8460000000000011E-2</v>
      </c>
      <c r="O349">
        <f t="shared" si="230"/>
        <v>1265.33</v>
      </c>
      <c r="P349" s="56">
        <f>VLOOKUP(EOMONTH(A349,-1),Economic!A:I,7,FALSE)</f>
        <v>1217246</v>
      </c>
      <c r="Q349" s="13">
        <f t="shared" si="231"/>
        <v>0.104</v>
      </c>
      <c r="R349" s="41">
        <v>1.75</v>
      </c>
      <c r="S349">
        <f t="shared" si="232"/>
        <v>2.2400000000000002</v>
      </c>
      <c r="T349" s="30">
        <f t="shared" si="233"/>
        <v>236.62</v>
      </c>
      <c r="U349" s="30">
        <f t="shared" si="240"/>
        <v>236.34</v>
      </c>
    </row>
    <row r="350" spans="1:21" x14ac:dyDescent="0.25">
      <c r="A350" s="5">
        <v>40895</v>
      </c>
      <c r="B350" s="5">
        <f t="shared" si="234"/>
        <v>40908</v>
      </c>
      <c r="C350">
        <v>1219.6600000000001</v>
      </c>
      <c r="D350" s="29">
        <f t="shared" si="235"/>
        <v>1E-3</v>
      </c>
      <c r="E350" s="39">
        <f t="shared" si="236"/>
        <v>1213.9815384615385</v>
      </c>
      <c r="F350" s="39">
        <f t="shared" si="237"/>
        <v>1258.7148717948719</v>
      </c>
      <c r="G350" s="29">
        <f t="shared" si="229"/>
        <v>4.7000000000000002E-3</v>
      </c>
      <c r="H350" s="29">
        <f t="shared" si="229"/>
        <v>-3.1E-2</v>
      </c>
      <c r="I350">
        <f t="shared" si="238"/>
        <v>1219.6600000000001</v>
      </c>
      <c r="J350">
        <f>IF(A350&gt;=Quarterly!B$2,Quarterly!C$2,IF(COUNTIFS(Quarterly!B:B,"&gt;="&amp;A350-92,Quarterly!B:B,"&lt;="&amp;A350)&gt;1,SUMIFS(Quarterly!C:C,Quarterly!B:B,"&gt;="&amp;A350-88,Quarterly!B:B,"&lt;="&amp;A350),SUMIFS(Quarterly!C:C,Quarterly!B:B,"&gt;="&amp;A350-92,Quarterly!B:B,"&lt;="&amp;A350)))</f>
        <v>15587.1</v>
      </c>
      <c r="K350" s="13">
        <f t="shared" si="239"/>
        <v>7.8200000000000006E-2</v>
      </c>
      <c r="L350">
        <f t="shared" si="241"/>
        <v>1219.6600000000001</v>
      </c>
      <c r="M350">
        <f>IF(A350&gt;=Quarterly!B$2,Quarterly!D$2,IF(COUNTIFS(Quarterly!B:B,"&gt;="&amp;A350-92,Quarterly!B:B,"&lt;="&amp;A350)&gt;1,SUMIFS(Quarterly!D:D,Quarterly!B:B,"&gt;="&amp;A350-88,Quarterly!B:B,"&lt;="&amp;A350),SUMIFS(Quarterly!D:D,Quarterly!B:B,"&gt;="&amp;A350-92,Quarterly!B:B,"&lt;="&amp;A350)))</f>
        <v>1430.386</v>
      </c>
      <c r="N350" s="13">
        <f t="shared" si="242"/>
        <v>8.5270000000000012E-2</v>
      </c>
      <c r="O350">
        <f t="shared" si="230"/>
        <v>1219.6600000000001</v>
      </c>
      <c r="P350" s="56">
        <f>VLOOKUP(EOMONTH(A350,-1),Economic!A:I,7,FALSE)</f>
        <v>1217246</v>
      </c>
      <c r="Q350" s="13">
        <f t="shared" si="231"/>
        <v>0.10020000000000001</v>
      </c>
      <c r="R350" s="41">
        <v>1.62</v>
      </c>
      <c r="S350">
        <f t="shared" si="232"/>
        <v>2.2200000000000002</v>
      </c>
      <c r="T350" s="30">
        <f t="shared" si="233"/>
        <v>238.78</v>
      </c>
      <c r="U350" s="30">
        <f t="shared" si="240"/>
        <v>236.64</v>
      </c>
    </row>
    <row r="351" spans="1:21" x14ac:dyDescent="0.25">
      <c r="A351" s="5">
        <v>40888</v>
      </c>
      <c r="B351" s="5">
        <f t="shared" si="234"/>
        <v>40908</v>
      </c>
      <c r="C351">
        <v>1255.19</v>
      </c>
      <c r="D351" s="29">
        <f t="shared" si="235"/>
        <v>2.8299999999999999E-2</v>
      </c>
      <c r="E351" s="39">
        <f t="shared" si="236"/>
        <v>1213.7007692307693</v>
      </c>
      <c r="F351" s="39">
        <f t="shared" si="237"/>
        <v>1260.2417948717946</v>
      </c>
      <c r="G351" s="29">
        <f t="shared" si="229"/>
        <v>3.4200000000000001E-2</v>
      </c>
      <c r="H351" s="29">
        <f t="shared" si="229"/>
        <v>-4.0000000000000001E-3</v>
      </c>
      <c r="I351">
        <f t="shared" si="238"/>
        <v>1255.19</v>
      </c>
      <c r="J351">
        <f>IF(A351&gt;=Quarterly!B$2,Quarterly!C$2,IF(COUNTIFS(Quarterly!B:B,"&gt;="&amp;A351-92,Quarterly!B:B,"&lt;="&amp;A351)&gt;1,SUMIFS(Quarterly!C:C,Quarterly!B:B,"&gt;="&amp;A351-88,Quarterly!B:B,"&lt;="&amp;A351),SUMIFS(Quarterly!C:C,Quarterly!B:B,"&gt;="&amp;A351-92,Quarterly!B:B,"&lt;="&amp;A351)))</f>
        <v>15587.1</v>
      </c>
      <c r="K351" s="13">
        <f t="shared" si="239"/>
        <v>8.0500000000000002E-2</v>
      </c>
      <c r="L351">
        <f t="shared" si="241"/>
        <v>1255.19</v>
      </c>
      <c r="M351">
        <f>IF(A351&gt;=Quarterly!B$2,Quarterly!D$2,IF(COUNTIFS(Quarterly!B:B,"&gt;="&amp;A351-92,Quarterly!B:B,"&lt;="&amp;A351)&gt;1,SUMIFS(Quarterly!D:D,Quarterly!B:B,"&gt;="&amp;A351-88,Quarterly!B:B,"&lt;="&amp;A351),SUMIFS(Quarterly!D:D,Quarterly!B:B,"&gt;="&amp;A351-92,Quarterly!B:B,"&lt;="&amp;A351)))</f>
        <v>1430.386</v>
      </c>
      <c r="N351" s="13">
        <f t="shared" si="242"/>
        <v>8.7749999999999995E-2</v>
      </c>
      <c r="O351">
        <f t="shared" si="230"/>
        <v>1255.19</v>
      </c>
      <c r="P351" s="56">
        <f>VLOOKUP(EOMONTH(A351,-1),Economic!A:I,7,FALSE)</f>
        <v>1217246</v>
      </c>
      <c r="Q351" s="13">
        <f t="shared" si="231"/>
        <v>0.1031</v>
      </c>
      <c r="R351" s="41">
        <v>1.85</v>
      </c>
      <c r="S351">
        <f t="shared" si="232"/>
        <v>2.06</v>
      </c>
      <c r="T351" s="30">
        <f t="shared" si="233"/>
        <v>233.62</v>
      </c>
      <c r="U351" s="30">
        <f t="shared" si="240"/>
        <v>237.27</v>
      </c>
    </row>
    <row r="352" spans="1:21" x14ac:dyDescent="0.25">
      <c r="A352" s="5">
        <v>40881</v>
      </c>
      <c r="B352" s="5">
        <f t="shared" si="234"/>
        <v>40908</v>
      </c>
      <c r="C352">
        <v>1244.28</v>
      </c>
      <c r="D352" s="29">
        <f t="shared" si="235"/>
        <v>1.7500000000000002E-2</v>
      </c>
      <c r="E352" s="39">
        <f t="shared" si="236"/>
        <v>1205.9346153846154</v>
      </c>
      <c r="F352" s="39">
        <f t="shared" si="237"/>
        <v>1261.5005128205128</v>
      </c>
      <c r="G352" s="29">
        <f t="shared" si="229"/>
        <v>3.1800000000000002E-2</v>
      </c>
      <c r="H352" s="29">
        <f t="shared" si="229"/>
        <v>-1.37E-2</v>
      </c>
      <c r="I352">
        <f t="shared" si="238"/>
        <v>1244.28</v>
      </c>
      <c r="J352">
        <f>IF(A352&gt;=Quarterly!B$2,Quarterly!C$2,IF(COUNTIFS(Quarterly!B:B,"&gt;="&amp;A352-92,Quarterly!B:B,"&lt;="&amp;A352)&gt;1,SUMIFS(Quarterly!C:C,Quarterly!B:B,"&gt;="&amp;A352-88,Quarterly!B:B,"&lt;="&amp;A352),SUMIFS(Quarterly!C:C,Quarterly!B:B,"&gt;="&amp;A352-92,Quarterly!B:B,"&lt;="&amp;A352)))</f>
        <v>15587.1</v>
      </c>
      <c r="K352" s="13">
        <f t="shared" si="239"/>
        <v>7.9799999999999996E-2</v>
      </c>
      <c r="L352">
        <f t="shared" si="241"/>
        <v>1244.28</v>
      </c>
      <c r="M352">
        <f>IF(A352&gt;=Quarterly!B$2,Quarterly!D$2,IF(COUNTIFS(Quarterly!B:B,"&gt;="&amp;A352-92,Quarterly!B:B,"&lt;="&amp;A352)&gt;1,SUMIFS(Quarterly!D:D,Quarterly!B:B,"&gt;="&amp;A352-88,Quarterly!B:B,"&lt;="&amp;A352),SUMIFS(Quarterly!D:D,Quarterly!B:B,"&gt;="&amp;A352-92,Quarterly!B:B,"&lt;="&amp;A352)))</f>
        <v>1430.386</v>
      </c>
      <c r="N352" s="13">
        <f t="shared" si="242"/>
        <v>8.6990000000000012E-2</v>
      </c>
      <c r="O352">
        <f t="shared" si="230"/>
        <v>1244.28</v>
      </c>
      <c r="P352" s="56">
        <f>VLOOKUP(EOMONTH(A352,-1),Economic!A:I,7,FALSE)</f>
        <v>1217246</v>
      </c>
      <c r="Q352" s="13">
        <f t="shared" si="231"/>
        <v>0.10219999999999999</v>
      </c>
      <c r="R352" s="41">
        <v>1.8</v>
      </c>
      <c r="S352">
        <f t="shared" si="232"/>
        <v>2.12</v>
      </c>
      <c r="T352" s="30">
        <f t="shared" si="233"/>
        <v>237.52</v>
      </c>
      <c r="U352" s="30">
        <f t="shared" si="240"/>
        <v>240.59</v>
      </c>
    </row>
    <row r="353" spans="1:21" x14ac:dyDescent="0.25">
      <c r="A353" s="5">
        <v>40874</v>
      </c>
      <c r="B353" s="5">
        <f t="shared" si="234"/>
        <v>40877</v>
      </c>
      <c r="C353">
        <v>1158.67</v>
      </c>
      <c r="D353" s="29">
        <f t="shared" si="235"/>
        <v>-7.6399999999999996E-2</v>
      </c>
      <c r="E353" s="39">
        <f t="shared" si="236"/>
        <v>1200.5261538461536</v>
      </c>
      <c r="F353" s="39">
        <f t="shared" si="237"/>
        <v>1263.4715384615383</v>
      </c>
      <c r="G353" s="29">
        <f t="shared" si="229"/>
        <v>-3.49E-2</v>
      </c>
      <c r="H353" s="29">
        <f t="shared" si="229"/>
        <v>-8.2900000000000001E-2</v>
      </c>
      <c r="I353">
        <f t="shared" si="238"/>
        <v>1158.67</v>
      </c>
      <c r="J353">
        <f>IF(A353&gt;=Quarterly!B$2,Quarterly!C$2,IF(COUNTIFS(Quarterly!B:B,"&gt;="&amp;A353-92,Quarterly!B:B,"&lt;="&amp;A353)&gt;1,SUMIFS(Quarterly!C:C,Quarterly!B:B,"&gt;="&amp;A353-88,Quarterly!B:B,"&lt;="&amp;A353),SUMIFS(Quarterly!C:C,Quarterly!B:B,"&gt;="&amp;A353-92,Quarterly!B:B,"&lt;="&amp;A353)))</f>
        <v>15587.1</v>
      </c>
      <c r="K353" s="13">
        <f t="shared" si="239"/>
        <v>7.4300000000000005E-2</v>
      </c>
      <c r="L353">
        <f t="shared" si="241"/>
        <v>1158.67</v>
      </c>
      <c r="M353">
        <f>IF(A353&gt;=Quarterly!B$2,Quarterly!D$2,IF(COUNTIFS(Quarterly!B:B,"&gt;="&amp;A353-92,Quarterly!B:B,"&lt;="&amp;A353)&gt;1,SUMIFS(Quarterly!D:D,Quarterly!B:B,"&gt;="&amp;A353-88,Quarterly!B:B,"&lt;="&amp;A353),SUMIFS(Quarterly!D:D,Quarterly!B:B,"&gt;="&amp;A353-92,Quarterly!B:B,"&lt;="&amp;A353)))</f>
        <v>1430.386</v>
      </c>
      <c r="N353" s="13">
        <f t="shared" si="242"/>
        <v>8.1000000000000016E-2</v>
      </c>
      <c r="O353">
        <f t="shared" si="230"/>
        <v>1158.67</v>
      </c>
      <c r="P353" s="56">
        <f>VLOOKUP(EOMONTH(A353,-1),Economic!A:I,7,FALSE)</f>
        <v>1212168</v>
      </c>
      <c r="Q353" s="13">
        <f t="shared" si="231"/>
        <v>9.5600000000000004E-2</v>
      </c>
      <c r="R353" s="41">
        <v>1.69</v>
      </c>
      <c r="S353">
        <f t="shared" si="232"/>
        <v>2.17</v>
      </c>
      <c r="T353" s="30">
        <f t="shared" si="233"/>
        <v>240.66</v>
      </c>
      <c r="U353" s="30">
        <f t="shared" si="240"/>
        <v>242.8</v>
      </c>
    </row>
    <row r="354" spans="1:21" x14ac:dyDescent="0.25">
      <c r="A354" s="5">
        <v>40867</v>
      </c>
      <c r="B354" s="5">
        <f t="shared" si="234"/>
        <v>40877</v>
      </c>
      <c r="C354">
        <v>1215.6500000000001</v>
      </c>
      <c r="D354" s="29">
        <f t="shared" si="235"/>
        <v>-3.5299999999999998E-2</v>
      </c>
      <c r="E354" s="39">
        <f t="shared" si="236"/>
        <v>1201.9207692307691</v>
      </c>
      <c r="F354" s="39">
        <f t="shared" si="237"/>
        <v>1267.605128205128</v>
      </c>
      <c r="G354" s="29">
        <f t="shared" si="229"/>
        <v>1.14E-2</v>
      </c>
      <c r="H354" s="29">
        <f t="shared" si="229"/>
        <v>-4.1000000000000002E-2</v>
      </c>
      <c r="I354">
        <f t="shared" si="238"/>
        <v>1215.6500000000001</v>
      </c>
      <c r="J354">
        <f>IF(A354&gt;=Quarterly!B$2,Quarterly!C$2,IF(COUNTIFS(Quarterly!B:B,"&gt;="&amp;A354-92,Quarterly!B:B,"&lt;="&amp;A354)&gt;1,SUMIFS(Quarterly!C:C,Quarterly!B:B,"&gt;="&amp;A354-88,Quarterly!B:B,"&lt;="&amp;A354),SUMIFS(Quarterly!C:C,Quarterly!B:B,"&gt;="&amp;A354-92,Quarterly!B:B,"&lt;="&amp;A354)))</f>
        <v>15587.1</v>
      </c>
      <c r="K354" s="13">
        <f t="shared" si="239"/>
        <v>7.8E-2</v>
      </c>
      <c r="L354">
        <f t="shared" si="241"/>
        <v>1215.6500000000001</v>
      </c>
      <c r="M354">
        <f>IF(A354&gt;=Quarterly!B$2,Quarterly!D$2,IF(COUNTIFS(Quarterly!B:B,"&gt;="&amp;A354-92,Quarterly!B:B,"&lt;="&amp;A354)&gt;1,SUMIFS(Quarterly!D:D,Quarterly!B:B,"&gt;="&amp;A354-88,Quarterly!B:B,"&lt;="&amp;A354),SUMIFS(Quarterly!D:D,Quarterly!B:B,"&gt;="&amp;A354-92,Quarterly!B:B,"&lt;="&amp;A354)))</f>
        <v>1430.386</v>
      </c>
      <c r="N354" s="13">
        <f t="shared" si="242"/>
        <v>8.499000000000001E-2</v>
      </c>
      <c r="O354">
        <f t="shared" si="230"/>
        <v>1215.6500000000001</v>
      </c>
      <c r="P354" s="56">
        <f>VLOOKUP(EOMONTH(A354,-1),Economic!A:I,7,FALSE)</f>
        <v>1212168</v>
      </c>
      <c r="Q354" s="13">
        <f t="shared" si="231"/>
        <v>0.1003</v>
      </c>
      <c r="R354" s="41">
        <v>1.72</v>
      </c>
      <c r="S354">
        <f t="shared" si="232"/>
        <v>2.27</v>
      </c>
      <c r="T354" s="30">
        <f t="shared" si="233"/>
        <v>243.58</v>
      </c>
      <c r="U354" s="30">
        <f t="shared" si="240"/>
        <v>244.23</v>
      </c>
    </row>
    <row r="355" spans="1:21" x14ac:dyDescent="0.25">
      <c r="A355" s="5">
        <v>40860</v>
      </c>
      <c r="B355" s="5">
        <f t="shared" si="234"/>
        <v>40877</v>
      </c>
      <c r="C355">
        <v>1263.8499999999999</v>
      </c>
      <c r="D355" s="29">
        <f t="shared" si="235"/>
        <v>1.0800000000000001E-2</v>
      </c>
      <c r="E355" s="39">
        <f t="shared" si="236"/>
        <v>1194.8346153846155</v>
      </c>
      <c r="F355" s="39">
        <f t="shared" si="237"/>
        <v>1270.8707692307689</v>
      </c>
      <c r="G355" s="29">
        <f t="shared" si="229"/>
        <v>5.7799999999999997E-2</v>
      </c>
      <c r="H355" s="29">
        <f t="shared" si="229"/>
        <v>-5.4999999999999997E-3</v>
      </c>
      <c r="I355">
        <f t="shared" si="238"/>
        <v>1263.8499999999999</v>
      </c>
      <c r="J355">
        <f>IF(A355&gt;=Quarterly!B$2,Quarterly!C$2,IF(COUNTIFS(Quarterly!B:B,"&gt;="&amp;A355-92,Quarterly!B:B,"&lt;="&amp;A355)&gt;1,SUMIFS(Quarterly!C:C,Quarterly!B:B,"&gt;="&amp;A355-88,Quarterly!B:B,"&lt;="&amp;A355),SUMIFS(Quarterly!C:C,Quarterly!B:B,"&gt;="&amp;A355-92,Quarterly!B:B,"&lt;="&amp;A355)))</f>
        <v>15587.1</v>
      </c>
      <c r="K355" s="13">
        <f t="shared" si="239"/>
        <v>8.1100000000000005E-2</v>
      </c>
      <c r="L355">
        <f t="shared" si="241"/>
        <v>1263.8499999999999</v>
      </c>
      <c r="M355">
        <f>IF(A355&gt;=Quarterly!B$2,Quarterly!D$2,IF(COUNTIFS(Quarterly!B:B,"&gt;="&amp;A355-92,Quarterly!B:B,"&lt;="&amp;A355)&gt;1,SUMIFS(Quarterly!D:D,Quarterly!B:B,"&gt;="&amp;A355-88,Quarterly!B:B,"&lt;="&amp;A355),SUMIFS(Quarterly!D:D,Quarterly!B:B,"&gt;="&amp;A355-92,Quarterly!B:B,"&lt;="&amp;A355)))</f>
        <v>1430.386</v>
      </c>
      <c r="N355" s="13">
        <f t="shared" si="242"/>
        <v>8.8360000000000008E-2</v>
      </c>
      <c r="O355">
        <f t="shared" si="230"/>
        <v>1263.8499999999999</v>
      </c>
      <c r="P355" s="56">
        <f>VLOOKUP(EOMONTH(A355,-1),Economic!A:I,7,FALSE)</f>
        <v>1212168</v>
      </c>
      <c r="Q355" s="13">
        <f t="shared" si="231"/>
        <v>0.1043</v>
      </c>
      <c r="R355" s="41">
        <v>1.8</v>
      </c>
      <c r="S355">
        <f t="shared" si="232"/>
        <v>2.23</v>
      </c>
      <c r="T355" s="30">
        <f t="shared" si="233"/>
        <v>244.17</v>
      </c>
      <c r="U355" s="30">
        <f t="shared" si="240"/>
        <v>243.46</v>
      </c>
    </row>
    <row r="356" spans="1:21" x14ac:dyDescent="0.25">
      <c r="A356" s="5">
        <v>40853</v>
      </c>
      <c r="B356" s="5">
        <f t="shared" si="234"/>
        <v>40877</v>
      </c>
      <c r="C356">
        <v>1253.23</v>
      </c>
      <c r="D356" s="29">
        <f t="shared" si="235"/>
        <v>2.23E-2</v>
      </c>
      <c r="E356" s="39">
        <f t="shared" si="236"/>
        <v>1188.2930769230768</v>
      </c>
      <c r="F356" s="39">
        <f t="shared" si="237"/>
        <v>1272.5451282051283</v>
      </c>
      <c r="G356" s="29">
        <f t="shared" si="229"/>
        <v>5.4600000000000003E-2</v>
      </c>
      <c r="H356" s="29">
        <f t="shared" si="229"/>
        <v>-1.52E-2</v>
      </c>
      <c r="I356">
        <f t="shared" si="238"/>
        <v>1253.23</v>
      </c>
      <c r="J356">
        <f>IF(A356&gt;=Quarterly!B$2,Quarterly!C$2,IF(COUNTIFS(Quarterly!B:B,"&gt;="&amp;A356-92,Quarterly!B:B,"&lt;="&amp;A356)&gt;1,SUMIFS(Quarterly!C:C,Quarterly!B:B,"&gt;="&amp;A356-88,Quarterly!B:B,"&lt;="&amp;A356),SUMIFS(Quarterly!C:C,Quarterly!B:B,"&gt;="&amp;A356-92,Quarterly!B:B,"&lt;="&amp;A356)))</f>
        <v>15587.1</v>
      </c>
      <c r="K356" s="13">
        <f t="shared" si="239"/>
        <v>8.0399999999999999E-2</v>
      </c>
      <c r="L356">
        <f t="shared" si="241"/>
        <v>1253.23</v>
      </c>
      <c r="M356">
        <f>IF(A356&gt;=Quarterly!B$2,Quarterly!D$2,IF(COUNTIFS(Quarterly!B:B,"&gt;="&amp;A356-92,Quarterly!B:B,"&lt;="&amp;A356)&gt;1,SUMIFS(Quarterly!D:D,Quarterly!B:B,"&gt;="&amp;A356-88,Quarterly!B:B,"&lt;="&amp;A356),SUMIFS(Quarterly!D:D,Quarterly!B:B,"&gt;="&amp;A356-92,Quarterly!B:B,"&lt;="&amp;A356)))</f>
        <v>1430.386</v>
      </c>
      <c r="N356" s="13">
        <f t="shared" si="242"/>
        <v>8.7610000000000007E-2</v>
      </c>
      <c r="O356">
        <f t="shared" si="230"/>
        <v>1253.23</v>
      </c>
      <c r="P356" s="56">
        <f>VLOOKUP(EOMONTH(A356,-1),Economic!A:I,7,FALSE)</f>
        <v>1212168</v>
      </c>
      <c r="Q356" s="13">
        <f t="shared" si="231"/>
        <v>0.10339999999999999</v>
      </c>
      <c r="R356" s="41">
        <v>1.84</v>
      </c>
      <c r="S356">
        <f t="shared" si="232"/>
        <v>2.2000000000000002</v>
      </c>
      <c r="T356" s="30">
        <f t="shared" si="233"/>
        <v>244.95</v>
      </c>
      <c r="U356" s="30">
        <f t="shared" si="240"/>
        <v>242.74</v>
      </c>
    </row>
    <row r="357" spans="1:21" x14ac:dyDescent="0.25">
      <c r="A357" s="5">
        <v>40846</v>
      </c>
      <c r="B357" s="5">
        <f t="shared" si="234"/>
        <v>40847</v>
      </c>
      <c r="C357">
        <v>1285.0899999999999</v>
      </c>
      <c r="D357" s="29">
        <f t="shared" si="235"/>
        <v>8.2199999999999995E-2</v>
      </c>
      <c r="E357" s="39">
        <f t="shared" si="236"/>
        <v>1184.1507692307691</v>
      </c>
      <c r="F357" s="39">
        <f t="shared" si="237"/>
        <v>1274.023076923077</v>
      </c>
      <c r="G357" s="29">
        <f t="shared" si="229"/>
        <v>8.5199999999999998E-2</v>
      </c>
      <c r="H357" s="29">
        <f t="shared" si="229"/>
        <v>8.6999999999999994E-3</v>
      </c>
      <c r="I357">
        <f t="shared" si="238"/>
        <v>1285.0899999999999</v>
      </c>
      <c r="J357">
        <f>IF(A357&gt;=Quarterly!B$2,Quarterly!C$2,IF(COUNTIFS(Quarterly!B:B,"&gt;="&amp;A357-92,Quarterly!B:B,"&lt;="&amp;A357)&gt;1,SUMIFS(Quarterly!C:C,Quarterly!B:B,"&gt;="&amp;A357-88,Quarterly!B:B,"&lt;="&amp;A357),SUMIFS(Quarterly!C:C,Quarterly!B:B,"&gt;="&amp;A357-92,Quarterly!B:B,"&lt;="&amp;A357)))</f>
        <v>15460.9</v>
      </c>
      <c r="K357" s="13">
        <f t="shared" si="239"/>
        <v>8.3099999999999993E-2</v>
      </c>
      <c r="L357">
        <f t="shared" si="241"/>
        <v>1285.0899999999999</v>
      </c>
      <c r="M357">
        <f>IF(A357&gt;=Quarterly!B$2,Quarterly!D$2,IF(COUNTIFS(Quarterly!B:B,"&gt;="&amp;A357-92,Quarterly!B:B,"&lt;="&amp;A357)&gt;1,SUMIFS(Quarterly!D:D,Quarterly!B:B,"&gt;="&amp;A357-88,Quarterly!B:B,"&lt;="&amp;A357),SUMIFS(Quarterly!D:D,Quarterly!B:B,"&gt;="&amp;A357-92,Quarterly!B:B,"&lt;="&amp;A357)))</f>
        <v>1423.145</v>
      </c>
      <c r="N357" s="13">
        <f t="shared" si="242"/>
        <v>9.0300000000000005E-2</v>
      </c>
      <c r="O357">
        <f t="shared" si="230"/>
        <v>1285.0899999999999</v>
      </c>
      <c r="P357" s="56">
        <f>VLOOKUP(EOMONTH(A357,-1),Economic!A:I,7,FALSE)</f>
        <v>1204940</v>
      </c>
      <c r="Q357" s="13">
        <f t="shared" si="231"/>
        <v>0.1067</v>
      </c>
      <c r="R357" s="41">
        <v>2.06</v>
      </c>
      <c r="S357">
        <f t="shared" si="232"/>
        <v>2.1</v>
      </c>
      <c r="T357" s="30">
        <f t="shared" si="233"/>
        <v>241.27</v>
      </c>
      <c r="U357" s="30">
        <f t="shared" si="240"/>
        <v>241.23</v>
      </c>
    </row>
    <row r="358" spans="1:21" x14ac:dyDescent="0.25">
      <c r="A358" s="5">
        <v>40839</v>
      </c>
      <c r="B358" s="5">
        <f t="shared" si="234"/>
        <v>40847</v>
      </c>
      <c r="C358">
        <v>1238.25</v>
      </c>
      <c r="D358" s="29">
        <f t="shared" si="235"/>
        <v>6.5600000000000006E-2</v>
      </c>
      <c r="E358" s="39">
        <f t="shared" si="236"/>
        <v>1184.7038461538461</v>
      </c>
      <c r="F358" s="39">
        <f t="shared" si="237"/>
        <v>1273.7987179487179</v>
      </c>
      <c r="G358" s="29">
        <f t="shared" si="229"/>
        <v>4.5199999999999997E-2</v>
      </c>
      <c r="H358" s="29">
        <f t="shared" si="229"/>
        <v>-2.7900000000000001E-2</v>
      </c>
      <c r="I358">
        <f t="shared" si="238"/>
        <v>1238.25</v>
      </c>
      <c r="J358">
        <f>IF(A358&gt;=Quarterly!B$2,Quarterly!C$2,IF(COUNTIFS(Quarterly!B:B,"&gt;="&amp;A358-92,Quarterly!B:B,"&lt;="&amp;A358)&gt;1,SUMIFS(Quarterly!C:C,Quarterly!B:B,"&gt;="&amp;A358-88,Quarterly!B:B,"&lt;="&amp;A358),SUMIFS(Quarterly!C:C,Quarterly!B:B,"&gt;="&amp;A358-92,Quarterly!B:B,"&lt;="&amp;A358)))</f>
        <v>15460.9</v>
      </c>
      <c r="K358" s="13">
        <f t="shared" si="239"/>
        <v>8.0100000000000005E-2</v>
      </c>
      <c r="L358">
        <f t="shared" si="241"/>
        <v>1238.25</v>
      </c>
      <c r="M358">
        <f>IF(A358&gt;=Quarterly!B$2,Quarterly!D$2,IF(COUNTIFS(Quarterly!B:B,"&gt;="&amp;A358-92,Quarterly!B:B,"&lt;="&amp;A358)&gt;1,SUMIFS(Quarterly!D:D,Quarterly!B:B,"&gt;="&amp;A358-88,Quarterly!B:B,"&lt;="&amp;A358),SUMIFS(Quarterly!D:D,Quarterly!B:B,"&gt;="&amp;A358-92,Quarterly!B:B,"&lt;="&amp;A358)))</f>
        <v>1423.145</v>
      </c>
      <c r="N358" s="13">
        <f t="shared" si="242"/>
        <v>8.7010000000000004E-2</v>
      </c>
      <c r="O358">
        <f t="shared" si="230"/>
        <v>1238.25</v>
      </c>
      <c r="P358" s="56">
        <f>VLOOKUP(EOMONTH(A358,-1),Economic!A:I,7,FALSE)</f>
        <v>1204940</v>
      </c>
      <c r="Q358" s="13">
        <f t="shared" si="231"/>
        <v>0.1028</v>
      </c>
      <c r="R358" s="41">
        <v>1.93</v>
      </c>
      <c r="S358">
        <f t="shared" si="232"/>
        <v>2.13</v>
      </c>
      <c r="T358" s="30">
        <f t="shared" si="233"/>
        <v>241.99</v>
      </c>
      <c r="U358" s="30">
        <f t="shared" si="240"/>
        <v>242.84</v>
      </c>
    </row>
    <row r="359" spans="1:21" x14ac:dyDescent="0.25">
      <c r="A359" s="5">
        <v>40832</v>
      </c>
      <c r="B359" s="5">
        <f t="shared" si="234"/>
        <v>40847</v>
      </c>
      <c r="C359">
        <v>1224.58</v>
      </c>
      <c r="D359" s="29">
        <f t="shared" si="235"/>
        <v>5.5800000000000002E-2</v>
      </c>
      <c r="E359" s="39">
        <f t="shared" si="236"/>
        <v>1192.916923076923</v>
      </c>
      <c r="F359" s="39">
        <f t="shared" si="237"/>
        <v>1274.9551282051282</v>
      </c>
      <c r="G359" s="29">
        <f t="shared" si="229"/>
        <v>2.6499999999999999E-2</v>
      </c>
      <c r="H359" s="29">
        <f t="shared" si="229"/>
        <v>-3.95E-2</v>
      </c>
      <c r="I359">
        <f t="shared" si="238"/>
        <v>1224.58</v>
      </c>
      <c r="J359">
        <f>IF(A359&gt;=Quarterly!B$2,Quarterly!C$2,IF(COUNTIFS(Quarterly!B:B,"&gt;="&amp;A359-92,Quarterly!B:B,"&lt;="&amp;A359)&gt;1,SUMIFS(Quarterly!C:C,Quarterly!B:B,"&gt;="&amp;A359-88,Quarterly!B:B,"&lt;="&amp;A359),SUMIFS(Quarterly!C:C,Quarterly!B:B,"&gt;="&amp;A359-92,Quarterly!B:B,"&lt;="&amp;A359)))</f>
        <v>15460.9</v>
      </c>
      <c r="K359" s="13">
        <f t="shared" si="239"/>
        <v>7.9200000000000007E-2</v>
      </c>
      <c r="L359">
        <f t="shared" si="241"/>
        <v>1224.58</v>
      </c>
      <c r="M359">
        <f>IF(A359&gt;=Quarterly!B$2,Quarterly!D$2,IF(COUNTIFS(Quarterly!B:B,"&gt;="&amp;A359-92,Quarterly!B:B,"&lt;="&amp;A359)&gt;1,SUMIFS(Quarterly!D:D,Quarterly!B:B,"&gt;="&amp;A359-88,Quarterly!B:B,"&lt;="&amp;A359),SUMIFS(Quarterly!D:D,Quarterly!B:B,"&gt;="&amp;A359-92,Quarterly!B:B,"&lt;="&amp;A359)))</f>
        <v>1423.145</v>
      </c>
      <c r="N359" s="13">
        <f t="shared" si="242"/>
        <v>8.6050000000000015E-2</v>
      </c>
      <c r="O359">
        <f t="shared" si="230"/>
        <v>1224.58</v>
      </c>
      <c r="P359" s="56">
        <f>VLOOKUP(EOMONTH(A359,-1),Economic!A:I,7,FALSE)</f>
        <v>1204940</v>
      </c>
      <c r="Q359" s="13">
        <f t="shared" si="231"/>
        <v>0.1016</v>
      </c>
      <c r="R359" s="41">
        <v>1.98</v>
      </c>
      <c r="S359">
        <f t="shared" si="232"/>
        <v>2.14</v>
      </c>
      <c r="T359" s="30">
        <f t="shared" si="233"/>
        <v>240.42</v>
      </c>
      <c r="U359" s="30">
        <f t="shared" si="240"/>
        <v>243.51</v>
      </c>
    </row>
    <row r="360" spans="1:21" x14ac:dyDescent="0.25">
      <c r="A360" s="5">
        <v>40825</v>
      </c>
      <c r="B360" s="5">
        <f t="shared" si="234"/>
        <v>40847</v>
      </c>
      <c r="C360">
        <v>1155.46</v>
      </c>
      <c r="D360" s="29">
        <f t="shared" si="235"/>
        <v>-3.5000000000000001E-3</v>
      </c>
      <c r="E360" s="39">
        <f t="shared" si="236"/>
        <v>1199.96</v>
      </c>
      <c r="F360" s="39">
        <f t="shared" si="237"/>
        <v>1276.7156410256414</v>
      </c>
      <c r="G360" s="29">
        <f t="shared" si="229"/>
        <v>-3.7100000000000001E-2</v>
      </c>
      <c r="H360" s="29">
        <f t="shared" si="229"/>
        <v>-9.5000000000000001E-2</v>
      </c>
      <c r="I360">
        <f t="shared" si="238"/>
        <v>1155.46</v>
      </c>
      <c r="J360">
        <f>IF(A360&gt;=Quarterly!B$2,Quarterly!C$2,IF(COUNTIFS(Quarterly!B:B,"&gt;="&amp;A360-92,Quarterly!B:B,"&lt;="&amp;A360)&gt;1,SUMIFS(Quarterly!C:C,Quarterly!B:B,"&gt;="&amp;A360-88,Quarterly!B:B,"&lt;="&amp;A360),SUMIFS(Quarterly!C:C,Quarterly!B:B,"&gt;="&amp;A360-92,Quarterly!B:B,"&lt;="&amp;A360)))</f>
        <v>15460.9</v>
      </c>
      <c r="K360" s="13">
        <f t="shared" si="239"/>
        <v>7.4700000000000003E-2</v>
      </c>
      <c r="L360">
        <f t="shared" si="241"/>
        <v>1155.46</v>
      </c>
      <c r="M360">
        <f>IF(A360&gt;=Quarterly!B$2,Quarterly!D$2,IF(COUNTIFS(Quarterly!B:B,"&gt;="&amp;A360-92,Quarterly!B:B,"&lt;="&amp;A360)&gt;1,SUMIFS(Quarterly!D:D,Quarterly!B:B,"&gt;="&amp;A360-88,Quarterly!B:B,"&lt;="&amp;A360),SUMIFS(Quarterly!D:D,Quarterly!B:B,"&gt;="&amp;A360-92,Quarterly!B:B,"&lt;="&amp;A360)))</f>
        <v>1423.145</v>
      </c>
      <c r="N360" s="13">
        <f t="shared" si="242"/>
        <v>8.1189999999999998E-2</v>
      </c>
      <c r="O360">
        <f t="shared" si="230"/>
        <v>1155.46</v>
      </c>
      <c r="P360" s="56">
        <f>VLOOKUP(EOMONTH(A360,-1),Economic!A:I,7,FALSE)</f>
        <v>1204940</v>
      </c>
      <c r="Q360" s="13">
        <f t="shared" si="231"/>
        <v>9.5899999999999999E-2</v>
      </c>
      <c r="R360" s="41">
        <v>1.8</v>
      </c>
      <c r="S360">
        <f t="shared" si="232"/>
        <v>2.36</v>
      </c>
      <c r="T360" s="30">
        <f t="shared" si="233"/>
        <v>246.1</v>
      </c>
      <c r="U360" s="30">
        <f t="shared" si="240"/>
        <v>243.96</v>
      </c>
    </row>
    <row r="361" spans="1:21" x14ac:dyDescent="0.25">
      <c r="A361" s="5">
        <v>40818</v>
      </c>
      <c r="B361" s="5">
        <f t="shared" si="234"/>
        <v>40847</v>
      </c>
      <c r="C361">
        <v>1131.42</v>
      </c>
      <c r="D361" s="29">
        <f t="shared" si="235"/>
        <v>-3.3099999999999997E-2</v>
      </c>
      <c r="E361" s="39">
        <f t="shared" si="236"/>
        <v>1214.4476923076925</v>
      </c>
      <c r="F361" s="39">
        <f t="shared" si="237"/>
        <v>1279.6910256410258</v>
      </c>
      <c r="G361" s="29">
        <f t="shared" si="229"/>
        <v>-6.8400000000000002E-2</v>
      </c>
      <c r="H361" s="29">
        <f t="shared" si="229"/>
        <v>-0.1159</v>
      </c>
      <c r="I361">
        <f t="shared" si="238"/>
        <v>1131.42</v>
      </c>
      <c r="J361">
        <f>IF(A361&gt;=Quarterly!B$2,Quarterly!C$2,IF(COUNTIFS(Quarterly!B:B,"&gt;="&amp;A361-92,Quarterly!B:B,"&lt;="&amp;A361)&gt;1,SUMIFS(Quarterly!C:C,Quarterly!B:B,"&gt;="&amp;A361-88,Quarterly!B:B,"&lt;="&amp;A361),SUMIFS(Quarterly!C:C,Quarterly!B:B,"&gt;="&amp;A361-92,Quarterly!B:B,"&lt;="&amp;A361)))</f>
        <v>15460.9</v>
      </c>
      <c r="K361" s="13">
        <f t="shared" si="239"/>
        <v>7.3200000000000001E-2</v>
      </c>
      <c r="L361">
        <f t="shared" si="241"/>
        <v>1131.42</v>
      </c>
      <c r="M361">
        <f>IF(A361&gt;=Quarterly!B$2,Quarterly!D$2,IF(COUNTIFS(Quarterly!B:B,"&gt;="&amp;A361-92,Quarterly!B:B,"&lt;="&amp;A361)&gt;1,SUMIFS(Quarterly!D:D,Quarterly!B:B,"&gt;="&amp;A361-88,Quarterly!B:B,"&lt;="&amp;A361),SUMIFS(Quarterly!D:D,Quarterly!B:B,"&gt;="&amp;A361-92,Quarterly!B:B,"&lt;="&amp;A361)))</f>
        <v>1423.145</v>
      </c>
      <c r="N361" s="13">
        <f t="shared" si="242"/>
        <v>7.9500000000000015E-2</v>
      </c>
      <c r="O361">
        <f t="shared" si="230"/>
        <v>1131.42</v>
      </c>
      <c r="P361" s="56">
        <f>VLOOKUP(EOMONTH(A361,-1),Economic!A:I,7,FALSE)</f>
        <v>1204940</v>
      </c>
      <c r="Q361" s="13">
        <f t="shared" si="231"/>
        <v>9.3899999999999997E-2</v>
      </c>
      <c r="R361" s="41">
        <v>1.67</v>
      </c>
      <c r="S361">
        <f t="shared" si="232"/>
        <v>2.39</v>
      </c>
      <c r="T361" s="30">
        <f t="shared" si="233"/>
        <v>244.01</v>
      </c>
      <c r="U361" s="30">
        <f t="shared" si="240"/>
        <v>240.82</v>
      </c>
    </row>
    <row r="362" spans="1:21" x14ac:dyDescent="0.25">
      <c r="A362" s="5">
        <v>40811</v>
      </c>
      <c r="B362" s="5">
        <f t="shared" si="234"/>
        <v>40816</v>
      </c>
      <c r="C362">
        <v>1136.43</v>
      </c>
      <c r="D362" s="29">
        <f t="shared" si="235"/>
        <v>-3.7100000000000001E-2</v>
      </c>
      <c r="E362" s="39">
        <f t="shared" si="236"/>
        <v>1230.466923076923</v>
      </c>
      <c r="F362" s="39">
        <f t="shared" si="237"/>
        <v>1282.927435897436</v>
      </c>
      <c r="G362" s="29">
        <f t="shared" si="229"/>
        <v>-7.6399999999999996E-2</v>
      </c>
      <c r="H362" s="29">
        <f t="shared" si="229"/>
        <v>-0.1142</v>
      </c>
      <c r="I362">
        <f t="shared" si="238"/>
        <v>1136.43</v>
      </c>
      <c r="J362">
        <f>IF(A362&gt;=Quarterly!B$2,Quarterly!C$2,IF(COUNTIFS(Quarterly!B:B,"&gt;="&amp;A362-92,Quarterly!B:B,"&lt;="&amp;A362)&gt;1,SUMIFS(Quarterly!C:C,Quarterly!B:B,"&gt;="&amp;A362-88,Quarterly!B:B,"&lt;="&amp;A362),SUMIFS(Quarterly!C:C,Quarterly!B:B,"&gt;="&amp;A362-92,Quarterly!B:B,"&lt;="&amp;A362)))</f>
        <v>15460.9</v>
      </c>
      <c r="K362" s="13">
        <f t="shared" si="239"/>
        <v>7.3499999999999996E-2</v>
      </c>
      <c r="L362">
        <f t="shared" si="241"/>
        <v>1136.43</v>
      </c>
      <c r="M362">
        <f>IF(A362&gt;=Quarterly!B$2,Quarterly!D$2,IF(COUNTIFS(Quarterly!B:B,"&gt;="&amp;A362-92,Quarterly!B:B,"&lt;="&amp;A362)&gt;1,SUMIFS(Quarterly!D:D,Quarterly!B:B,"&gt;="&amp;A362-88,Quarterly!B:B,"&lt;="&amp;A362),SUMIFS(Quarterly!D:D,Quarterly!B:B,"&gt;="&amp;A362-92,Quarterly!B:B,"&lt;="&amp;A362)))</f>
        <v>1423.145</v>
      </c>
      <c r="N362" s="13">
        <f t="shared" si="242"/>
        <v>7.9850000000000004E-2</v>
      </c>
      <c r="O362">
        <f t="shared" si="230"/>
        <v>1136.43</v>
      </c>
      <c r="P362" s="56">
        <f>VLOOKUP(EOMONTH(A362,-1),Economic!A:I,7,FALSE)</f>
        <v>1201873</v>
      </c>
      <c r="Q362" s="13">
        <f t="shared" si="231"/>
        <v>9.4600000000000004E-2</v>
      </c>
      <c r="R362" s="41">
        <v>1.61</v>
      </c>
      <c r="S362">
        <f t="shared" si="232"/>
        <v>2.42</v>
      </c>
      <c r="T362" s="30">
        <f t="shared" si="233"/>
        <v>241.76</v>
      </c>
      <c r="U362" s="30">
        <f t="shared" si="240"/>
        <v>239.26</v>
      </c>
    </row>
    <row r="363" spans="1:21" x14ac:dyDescent="0.25">
      <c r="A363" s="5">
        <v>40804</v>
      </c>
      <c r="B363" s="5">
        <f t="shared" si="234"/>
        <v>40816</v>
      </c>
      <c r="C363">
        <v>1216.01</v>
      </c>
      <c r="D363" s="29">
        <f t="shared" si="235"/>
        <v>5.0900000000000001E-2</v>
      </c>
      <c r="E363" s="39">
        <f t="shared" si="236"/>
        <v>1240.6223076923077</v>
      </c>
      <c r="F363" s="39">
        <f t="shared" si="237"/>
        <v>1286.0130769230768</v>
      </c>
      <c r="G363" s="29">
        <f t="shared" si="229"/>
        <v>-1.9800000000000002E-2</v>
      </c>
      <c r="H363" s="29">
        <f t="shared" si="229"/>
        <v>-5.4399999999999997E-2</v>
      </c>
      <c r="I363">
        <f t="shared" si="238"/>
        <v>1216.01</v>
      </c>
      <c r="J363">
        <f>IF(A363&gt;=Quarterly!B$2,Quarterly!C$2,IF(COUNTIFS(Quarterly!B:B,"&gt;="&amp;A363-92,Quarterly!B:B,"&lt;="&amp;A363)&gt;1,SUMIFS(Quarterly!C:C,Quarterly!B:B,"&gt;="&amp;A363-88,Quarterly!B:B,"&lt;="&amp;A363),SUMIFS(Quarterly!C:C,Quarterly!B:B,"&gt;="&amp;A363-92,Quarterly!B:B,"&lt;="&amp;A363)))</f>
        <v>15460.9</v>
      </c>
      <c r="K363" s="13">
        <f t="shared" si="239"/>
        <v>7.8700000000000006E-2</v>
      </c>
      <c r="L363">
        <f t="shared" si="241"/>
        <v>1216.01</v>
      </c>
      <c r="M363">
        <f>IF(A363&gt;=Quarterly!B$2,Quarterly!D$2,IF(COUNTIFS(Quarterly!B:B,"&gt;="&amp;A363-92,Quarterly!B:B,"&lt;="&amp;A363)&gt;1,SUMIFS(Quarterly!D:D,Quarterly!B:B,"&gt;="&amp;A363-88,Quarterly!B:B,"&lt;="&amp;A363),SUMIFS(Quarterly!D:D,Quarterly!B:B,"&gt;="&amp;A363-92,Quarterly!B:B,"&lt;="&amp;A363)))</f>
        <v>1423.145</v>
      </c>
      <c r="N363" s="13">
        <f t="shared" si="242"/>
        <v>8.5450000000000012E-2</v>
      </c>
      <c r="O363">
        <f t="shared" si="230"/>
        <v>1216.01</v>
      </c>
      <c r="P363" s="56">
        <f>VLOOKUP(EOMONTH(A363,-1),Economic!A:I,7,FALSE)</f>
        <v>1201873</v>
      </c>
      <c r="Q363" s="13">
        <f t="shared" si="231"/>
        <v>0.10120000000000001</v>
      </c>
      <c r="R363" s="41">
        <v>1.9</v>
      </c>
      <c r="S363">
        <f t="shared" si="232"/>
        <v>2.35</v>
      </c>
      <c r="T363" s="30">
        <f t="shared" si="233"/>
        <v>236.7</v>
      </c>
      <c r="U363" s="30">
        <f t="shared" si="240"/>
        <v>237.11</v>
      </c>
    </row>
    <row r="364" spans="1:21" x14ac:dyDescent="0.25">
      <c r="A364" s="5">
        <v>40797</v>
      </c>
      <c r="B364" s="5">
        <f t="shared" si="234"/>
        <v>40816</v>
      </c>
      <c r="C364">
        <v>1154.23</v>
      </c>
      <c r="D364" s="29">
        <f t="shared" si="235"/>
        <v>-7.7999999999999996E-3</v>
      </c>
      <c r="E364" s="39">
        <f t="shared" si="236"/>
        <v>1244.8907692307691</v>
      </c>
      <c r="F364" s="39">
        <f t="shared" si="237"/>
        <v>1286.7284615384615</v>
      </c>
      <c r="G364" s="29">
        <f t="shared" si="229"/>
        <v>-7.2800000000000004E-2</v>
      </c>
      <c r="H364" s="29">
        <f t="shared" si="229"/>
        <v>-0.10299999999999999</v>
      </c>
      <c r="I364">
        <f t="shared" si="238"/>
        <v>1154.23</v>
      </c>
      <c r="J364">
        <f>IF(A364&gt;=Quarterly!B$2,Quarterly!C$2,IF(COUNTIFS(Quarterly!B:B,"&gt;="&amp;A364-92,Quarterly!B:B,"&lt;="&amp;A364)&gt;1,SUMIFS(Quarterly!C:C,Quarterly!B:B,"&gt;="&amp;A364-88,Quarterly!B:B,"&lt;="&amp;A364),SUMIFS(Quarterly!C:C,Quarterly!B:B,"&gt;="&amp;A364-92,Quarterly!B:B,"&lt;="&amp;A364)))</f>
        <v>15460.9</v>
      </c>
      <c r="K364" s="13">
        <f t="shared" si="239"/>
        <v>7.4700000000000003E-2</v>
      </c>
      <c r="L364">
        <f t="shared" si="241"/>
        <v>1154.23</v>
      </c>
      <c r="M364">
        <f>IF(A364&gt;=Quarterly!B$2,Quarterly!D$2,IF(COUNTIFS(Quarterly!B:B,"&gt;="&amp;A364-92,Quarterly!B:B,"&lt;="&amp;A364)&gt;1,SUMIFS(Quarterly!D:D,Quarterly!B:B,"&gt;="&amp;A364-88,Quarterly!B:B,"&lt;="&amp;A364),SUMIFS(Quarterly!D:D,Quarterly!B:B,"&gt;="&amp;A364-92,Quarterly!B:B,"&lt;="&amp;A364)))</f>
        <v>1423.145</v>
      </c>
      <c r="N364" s="13">
        <f t="shared" si="242"/>
        <v>8.1100000000000005E-2</v>
      </c>
      <c r="O364">
        <f t="shared" si="230"/>
        <v>1154.23</v>
      </c>
      <c r="P364" s="56">
        <f>VLOOKUP(EOMONTH(A364,-1),Economic!A:I,7,FALSE)</f>
        <v>1201873</v>
      </c>
      <c r="Q364" s="13">
        <f t="shared" si="231"/>
        <v>9.6000000000000002E-2</v>
      </c>
      <c r="R364" s="41">
        <v>1.76</v>
      </c>
      <c r="S364">
        <f t="shared" si="232"/>
        <v>2.44</v>
      </c>
      <c r="T364" s="30">
        <f t="shared" si="233"/>
        <v>239.33</v>
      </c>
      <c r="U364" s="30">
        <f t="shared" si="240"/>
        <v>237.02</v>
      </c>
    </row>
    <row r="365" spans="1:21" x14ac:dyDescent="0.25">
      <c r="A365" s="5">
        <v>40790</v>
      </c>
      <c r="B365" s="5">
        <f t="shared" si="234"/>
        <v>40816</v>
      </c>
      <c r="C365">
        <v>1173.97</v>
      </c>
      <c r="D365" s="29">
        <f t="shared" si="235"/>
        <v>3.7000000000000002E-3</v>
      </c>
      <c r="E365" s="39">
        <f t="shared" si="236"/>
        <v>1253.8715384615384</v>
      </c>
      <c r="F365" s="39">
        <f t="shared" si="237"/>
        <v>1288.9379487179488</v>
      </c>
      <c r="G365" s="29">
        <f t="shared" si="229"/>
        <v>-6.3700000000000007E-2</v>
      </c>
      <c r="H365" s="29">
        <f t="shared" si="229"/>
        <v>-8.9200000000000002E-2</v>
      </c>
      <c r="I365">
        <f t="shared" si="238"/>
        <v>1173.97</v>
      </c>
      <c r="J365">
        <f>IF(A365&gt;=Quarterly!B$2,Quarterly!C$2,IF(COUNTIFS(Quarterly!B:B,"&gt;="&amp;A365-92,Quarterly!B:B,"&lt;="&amp;A365)&gt;1,SUMIFS(Quarterly!C:C,Quarterly!B:B,"&gt;="&amp;A365-88,Quarterly!B:B,"&lt;="&amp;A365),SUMIFS(Quarterly!C:C,Quarterly!B:B,"&gt;="&amp;A365-92,Quarterly!B:B,"&lt;="&amp;A365)))</f>
        <v>15460.9</v>
      </c>
      <c r="K365" s="13">
        <f t="shared" si="239"/>
        <v>7.5899999999999995E-2</v>
      </c>
      <c r="L365">
        <f t="shared" si="241"/>
        <v>1173.97</v>
      </c>
      <c r="M365">
        <f>IF(A365&gt;=Quarterly!B$2,Quarterly!D$2,IF(COUNTIFS(Quarterly!B:B,"&gt;="&amp;A365-92,Quarterly!B:B,"&lt;="&amp;A365)&gt;1,SUMIFS(Quarterly!D:D,Quarterly!B:B,"&gt;="&amp;A365-88,Quarterly!B:B,"&lt;="&amp;A365),SUMIFS(Quarterly!D:D,Quarterly!B:B,"&gt;="&amp;A365-92,Quarterly!B:B,"&lt;="&amp;A365)))</f>
        <v>1423.145</v>
      </c>
      <c r="N365" s="13">
        <f t="shared" si="242"/>
        <v>8.2490000000000008E-2</v>
      </c>
      <c r="O365">
        <f t="shared" si="230"/>
        <v>1173.97</v>
      </c>
      <c r="P365" s="56">
        <f>VLOOKUP(EOMONTH(A365,-1),Economic!A:I,7,FALSE)</f>
        <v>1201873</v>
      </c>
      <c r="Q365" s="13">
        <f t="shared" si="231"/>
        <v>9.7699999999999995E-2</v>
      </c>
      <c r="R365" s="41">
        <v>1.82</v>
      </c>
      <c r="S365">
        <f t="shared" si="232"/>
        <v>2.37</v>
      </c>
      <c r="T365" s="30">
        <f t="shared" si="233"/>
        <v>235.29</v>
      </c>
      <c r="U365" s="30">
        <f t="shared" si="240"/>
        <v>235.82</v>
      </c>
    </row>
    <row r="366" spans="1:21" x14ac:dyDescent="0.25">
      <c r="A366" s="5">
        <v>40783</v>
      </c>
      <c r="B366" s="5">
        <f t="shared" si="234"/>
        <v>40786</v>
      </c>
      <c r="C366">
        <v>1176.8</v>
      </c>
      <c r="D366" s="29">
        <f t="shared" si="235"/>
        <v>-1.8100000000000002E-2</v>
      </c>
      <c r="E366" s="39">
        <f t="shared" si="236"/>
        <v>1263.5784615384616</v>
      </c>
      <c r="F366" s="39">
        <f t="shared" si="237"/>
        <v>1290.2389743589742</v>
      </c>
      <c r="G366" s="29">
        <f t="shared" si="229"/>
        <v>-6.8699999999999997E-2</v>
      </c>
      <c r="H366" s="29">
        <f t="shared" si="229"/>
        <v>-8.7900000000000006E-2</v>
      </c>
      <c r="I366">
        <f t="shared" si="238"/>
        <v>1176.8</v>
      </c>
      <c r="J366">
        <f>IF(A366&gt;=Quarterly!B$2,Quarterly!C$2,IF(COUNTIFS(Quarterly!B:B,"&gt;="&amp;A366-92,Quarterly!B:B,"&lt;="&amp;A366)&gt;1,SUMIFS(Quarterly!C:C,Quarterly!B:B,"&gt;="&amp;A366-88,Quarterly!B:B,"&lt;="&amp;A366),SUMIFS(Quarterly!C:C,Quarterly!B:B,"&gt;="&amp;A366-92,Quarterly!B:B,"&lt;="&amp;A366)))</f>
        <v>15460.9</v>
      </c>
      <c r="K366" s="13">
        <f t="shared" si="239"/>
        <v>7.6100000000000001E-2</v>
      </c>
      <c r="L366">
        <f t="shared" si="241"/>
        <v>1176.8</v>
      </c>
      <c r="M366">
        <f>IF(A366&gt;=Quarterly!B$2,Quarterly!D$2,IF(COUNTIFS(Quarterly!B:B,"&gt;="&amp;A366-92,Quarterly!B:B,"&lt;="&amp;A366)&gt;1,SUMIFS(Quarterly!D:D,Quarterly!B:B,"&gt;="&amp;A366-88,Quarterly!B:B,"&lt;="&amp;A366),SUMIFS(Quarterly!D:D,Quarterly!B:B,"&gt;="&amp;A366-92,Quarterly!B:B,"&lt;="&amp;A366)))</f>
        <v>1423.145</v>
      </c>
      <c r="N366" s="13">
        <f t="shared" si="242"/>
        <v>8.269E-2</v>
      </c>
      <c r="O366">
        <f t="shared" si="230"/>
        <v>1176.8</v>
      </c>
      <c r="P366" s="56">
        <f>VLOOKUP(EOMONTH(A366,-1),Economic!A:I,7,FALSE)</f>
        <v>1199008</v>
      </c>
      <c r="Q366" s="13">
        <f t="shared" si="231"/>
        <v>9.8100000000000007E-2</v>
      </c>
      <c r="R366" s="41">
        <v>1.99</v>
      </c>
      <c r="S366">
        <f t="shared" si="232"/>
        <v>2.4700000000000002</v>
      </c>
      <c r="T366" s="30">
        <f t="shared" si="233"/>
        <v>236.44</v>
      </c>
      <c r="U366" s="30">
        <f t="shared" si="240"/>
        <v>234.59</v>
      </c>
    </row>
    <row r="367" spans="1:21" x14ac:dyDescent="0.25">
      <c r="A367" s="5">
        <v>40776</v>
      </c>
      <c r="B367" s="5">
        <f t="shared" si="234"/>
        <v>40786</v>
      </c>
      <c r="C367">
        <v>1123.53</v>
      </c>
      <c r="D367" s="29">
        <f t="shared" si="235"/>
        <v>-0.104</v>
      </c>
      <c r="E367" s="39">
        <f t="shared" si="236"/>
        <v>1275.4476923076923</v>
      </c>
      <c r="F367" s="39">
        <f t="shared" si="237"/>
        <v>1290.5620512820512</v>
      </c>
      <c r="G367" s="29">
        <f t="shared" si="229"/>
        <v>-0.1191</v>
      </c>
      <c r="H367" s="29">
        <f t="shared" si="229"/>
        <v>-0.12939999999999999</v>
      </c>
      <c r="I367">
        <f t="shared" si="238"/>
        <v>1123.53</v>
      </c>
      <c r="J367">
        <f>IF(A367&gt;=Quarterly!B$2,Quarterly!C$2,IF(COUNTIFS(Quarterly!B:B,"&gt;="&amp;A367-92,Quarterly!B:B,"&lt;="&amp;A367)&gt;1,SUMIFS(Quarterly!C:C,Quarterly!B:B,"&gt;="&amp;A367-88,Quarterly!B:B,"&lt;="&amp;A367),SUMIFS(Quarterly!C:C,Quarterly!B:B,"&gt;="&amp;A367-92,Quarterly!B:B,"&lt;="&amp;A367)))</f>
        <v>15460.9</v>
      </c>
      <c r="K367" s="13">
        <f t="shared" si="239"/>
        <v>7.2700000000000001E-2</v>
      </c>
      <c r="L367">
        <f t="shared" si="241"/>
        <v>1123.53</v>
      </c>
      <c r="M367">
        <f>IF(A367&gt;=Quarterly!B$2,Quarterly!D$2,IF(COUNTIFS(Quarterly!B:B,"&gt;="&amp;A367-92,Quarterly!B:B,"&lt;="&amp;A367)&gt;1,SUMIFS(Quarterly!D:D,Quarterly!B:B,"&gt;="&amp;A367-88,Quarterly!B:B,"&lt;="&amp;A367),SUMIFS(Quarterly!D:D,Quarterly!B:B,"&gt;="&amp;A367-92,Quarterly!B:B,"&lt;="&amp;A367)))</f>
        <v>1423.145</v>
      </c>
      <c r="N367" s="13">
        <f t="shared" si="242"/>
        <v>7.8950000000000006E-2</v>
      </c>
      <c r="O367">
        <f t="shared" si="230"/>
        <v>1123.53</v>
      </c>
      <c r="P367" s="56">
        <f>VLOOKUP(EOMONTH(A367,-1),Economic!A:I,7,FALSE)</f>
        <v>1199008</v>
      </c>
      <c r="Q367" s="13">
        <f t="shared" si="231"/>
        <v>9.3700000000000006E-2</v>
      </c>
      <c r="R367" s="41">
        <v>1.87</v>
      </c>
      <c r="S367">
        <f t="shared" si="232"/>
        <v>2.5</v>
      </c>
      <c r="T367" s="30">
        <f t="shared" si="233"/>
        <v>235.72</v>
      </c>
      <c r="U367" s="30">
        <f t="shared" si="240"/>
        <v>231.88</v>
      </c>
    </row>
    <row r="368" spans="1:21" x14ac:dyDescent="0.25">
      <c r="A368" s="5">
        <v>40769</v>
      </c>
      <c r="B368" s="5">
        <f t="shared" si="234"/>
        <v>40786</v>
      </c>
      <c r="C368">
        <v>1178.81</v>
      </c>
      <c r="D368" s="29">
        <f t="shared" si="235"/>
        <v>-8.4900000000000003E-2</v>
      </c>
      <c r="E368" s="39">
        <f t="shared" si="236"/>
        <v>1291.5815384615385</v>
      </c>
      <c r="F368" s="39">
        <f t="shared" si="237"/>
        <v>1292.5158974358976</v>
      </c>
      <c r="G368" s="29">
        <f t="shared" si="229"/>
        <v>-8.7300000000000003E-2</v>
      </c>
      <c r="H368" s="29">
        <f t="shared" si="229"/>
        <v>-8.7999999999999995E-2</v>
      </c>
      <c r="I368">
        <f t="shared" si="238"/>
        <v>1178.81</v>
      </c>
      <c r="J368">
        <f>IF(A368&gt;=Quarterly!B$2,Quarterly!C$2,IF(COUNTIFS(Quarterly!B:B,"&gt;="&amp;A368-92,Quarterly!B:B,"&lt;="&amp;A368)&gt;1,SUMIFS(Quarterly!C:C,Quarterly!B:B,"&gt;="&amp;A368-88,Quarterly!B:B,"&lt;="&amp;A368),SUMIFS(Quarterly!C:C,Quarterly!B:B,"&gt;="&amp;A368-92,Quarterly!B:B,"&lt;="&amp;A368)))</f>
        <v>15460.9</v>
      </c>
      <c r="K368" s="13">
        <f t="shared" si="239"/>
        <v>7.6200000000000004E-2</v>
      </c>
      <c r="L368">
        <f t="shared" si="241"/>
        <v>1178.81</v>
      </c>
      <c r="M368">
        <f>IF(A368&gt;=Quarterly!B$2,Quarterly!D$2,IF(COUNTIFS(Quarterly!B:B,"&gt;="&amp;A368-92,Quarterly!B:B,"&lt;="&amp;A368)&gt;1,SUMIFS(Quarterly!D:D,Quarterly!B:B,"&gt;="&amp;A368-88,Quarterly!B:B,"&lt;="&amp;A368),SUMIFS(Quarterly!D:D,Quarterly!B:B,"&gt;="&amp;A368-92,Quarterly!B:B,"&lt;="&amp;A368)))</f>
        <v>1423.145</v>
      </c>
      <c r="N368" s="13">
        <f t="shared" si="242"/>
        <v>8.2830000000000015E-2</v>
      </c>
      <c r="O368">
        <f t="shared" si="230"/>
        <v>1178.81</v>
      </c>
      <c r="P368" s="56">
        <f>VLOOKUP(EOMONTH(A368,-1),Economic!A:I,7,FALSE)</f>
        <v>1199008</v>
      </c>
      <c r="Q368" s="13">
        <f t="shared" si="231"/>
        <v>9.8299999999999998E-2</v>
      </c>
      <c r="R368" s="41">
        <v>2.04</v>
      </c>
      <c r="S368">
        <f t="shared" si="232"/>
        <v>2.4900000000000002</v>
      </c>
      <c r="T368" s="30">
        <f t="shared" si="233"/>
        <v>231.6</v>
      </c>
      <c r="U368" s="30">
        <f t="shared" si="240"/>
        <v>228.78</v>
      </c>
    </row>
    <row r="369" spans="1:21" x14ac:dyDescent="0.25">
      <c r="A369" s="5">
        <v>40762</v>
      </c>
      <c r="B369" s="5">
        <f t="shared" si="234"/>
        <v>40786</v>
      </c>
      <c r="C369">
        <v>1199.3800000000001</v>
      </c>
      <c r="D369" s="29">
        <f t="shared" si="235"/>
        <v>-9.4299999999999995E-2</v>
      </c>
      <c r="E369" s="39">
        <f t="shared" si="236"/>
        <v>1303.8092307692309</v>
      </c>
      <c r="F369" s="39">
        <f t="shared" si="237"/>
        <v>1293.0389743589744</v>
      </c>
      <c r="G369" s="29">
        <f t="shared" si="229"/>
        <v>-8.0100000000000005E-2</v>
      </c>
      <c r="H369" s="29">
        <f t="shared" si="229"/>
        <v>-7.2400000000000006E-2</v>
      </c>
      <c r="I369">
        <f t="shared" si="238"/>
        <v>1199.3800000000001</v>
      </c>
      <c r="J369">
        <f>IF(A369&gt;=Quarterly!B$2,Quarterly!C$2,IF(COUNTIFS(Quarterly!B:B,"&gt;="&amp;A369-92,Quarterly!B:B,"&lt;="&amp;A369)&gt;1,SUMIFS(Quarterly!C:C,Quarterly!B:B,"&gt;="&amp;A369-88,Quarterly!B:B,"&lt;="&amp;A369),SUMIFS(Quarterly!C:C,Quarterly!B:B,"&gt;="&amp;A369-92,Quarterly!B:B,"&lt;="&amp;A369)))</f>
        <v>15460.9</v>
      </c>
      <c r="K369" s="13">
        <f t="shared" si="239"/>
        <v>7.7600000000000002E-2</v>
      </c>
      <c r="L369">
        <f t="shared" si="241"/>
        <v>1199.3800000000001</v>
      </c>
      <c r="M369">
        <f>IF(A369&gt;=Quarterly!B$2,Quarterly!D$2,IF(COUNTIFS(Quarterly!B:B,"&gt;="&amp;A369-92,Quarterly!B:B,"&lt;="&amp;A369)&gt;1,SUMIFS(Quarterly!D:D,Quarterly!B:B,"&gt;="&amp;A369-88,Quarterly!B:B,"&lt;="&amp;A369),SUMIFS(Quarterly!D:D,Quarterly!B:B,"&gt;="&amp;A369-92,Quarterly!B:B,"&lt;="&amp;A369)))</f>
        <v>1423.145</v>
      </c>
      <c r="N369" s="13">
        <f t="shared" si="242"/>
        <v>8.4280000000000008E-2</v>
      </c>
      <c r="O369">
        <f t="shared" si="230"/>
        <v>1199.3800000000001</v>
      </c>
      <c r="P369" s="56">
        <f>VLOOKUP(EOMONTH(A369,-1),Economic!A:I,7,FALSE)</f>
        <v>1199008</v>
      </c>
      <c r="Q369" s="13">
        <f t="shared" si="231"/>
        <v>0.1</v>
      </c>
      <c r="R369" s="41">
        <v>2.2999999999999998</v>
      </c>
      <c r="S369">
        <f t="shared" si="232"/>
        <v>2.48</v>
      </c>
      <c r="T369" s="30">
        <f t="shared" si="233"/>
        <v>228.33</v>
      </c>
      <c r="U369" s="30">
        <f t="shared" si="240"/>
        <v>223.59</v>
      </c>
    </row>
    <row r="370" spans="1:21" x14ac:dyDescent="0.25">
      <c r="A370" s="5">
        <v>40755</v>
      </c>
      <c r="B370" s="5">
        <f t="shared" si="234"/>
        <v>40755</v>
      </c>
      <c r="C370">
        <v>1292.28</v>
      </c>
      <c r="D370" s="29">
        <f t="shared" si="235"/>
        <v>-3.2800000000000003E-2</v>
      </c>
      <c r="E370" s="39">
        <f t="shared" si="236"/>
        <v>1314.6415384615384</v>
      </c>
      <c r="F370" s="39">
        <f t="shared" si="237"/>
        <v>1293.7176923076922</v>
      </c>
      <c r="G370" s="29">
        <f t="shared" si="229"/>
        <v>-1.7000000000000001E-2</v>
      </c>
      <c r="H370" s="29">
        <f t="shared" si="229"/>
        <v>-1.1000000000000001E-3</v>
      </c>
      <c r="I370">
        <f t="shared" si="238"/>
        <v>1292.28</v>
      </c>
      <c r="J370">
        <f>IF(A370&gt;=Quarterly!B$2,Quarterly!C$2,IF(COUNTIFS(Quarterly!B:B,"&gt;="&amp;A370-92,Quarterly!B:B,"&lt;="&amp;A370)&gt;1,SUMIFS(Quarterly!C:C,Quarterly!B:B,"&gt;="&amp;A370-88,Quarterly!B:B,"&lt;="&amp;A370),SUMIFS(Quarterly!C:C,Quarterly!B:B,"&gt;="&amp;A370-92,Quarterly!B:B,"&lt;="&amp;A370)))</f>
        <v>15460.9</v>
      </c>
      <c r="K370" s="13">
        <f t="shared" si="239"/>
        <v>8.3599999999999994E-2</v>
      </c>
      <c r="L370">
        <f t="shared" si="241"/>
        <v>1292.28</v>
      </c>
      <c r="M370">
        <f>IF(A370&gt;=Quarterly!B$2,Quarterly!D$2,IF(COUNTIFS(Quarterly!B:B,"&gt;="&amp;A370-92,Quarterly!B:B,"&lt;="&amp;A370)&gt;1,SUMIFS(Quarterly!D:D,Quarterly!B:B,"&gt;="&amp;A370-88,Quarterly!B:B,"&lt;="&amp;A370),SUMIFS(Quarterly!D:D,Quarterly!B:B,"&gt;="&amp;A370-92,Quarterly!B:B,"&lt;="&amp;A370)))</f>
        <v>1423.145</v>
      </c>
      <c r="N370" s="13">
        <f t="shared" si="242"/>
        <v>9.0800000000000006E-2</v>
      </c>
      <c r="O370">
        <f t="shared" si="230"/>
        <v>1292.28</v>
      </c>
      <c r="P370" s="56">
        <f>VLOOKUP(EOMONTH(A370,-1),Economic!A:I,7,FALSE)</f>
        <v>1189431</v>
      </c>
      <c r="Q370" s="13">
        <f t="shared" si="231"/>
        <v>0.10859999999999999</v>
      </c>
      <c r="R370" s="41">
        <v>2.46</v>
      </c>
      <c r="S370">
        <f t="shared" si="232"/>
        <v>2.5499999999999998</v>
      </c>
      <c r="T370" s="30">
        <f t="shared" si="233"/>
        <v>226.41</v>
      </c>
      <c r="U370" s="30">
        <f t="shared" si="240"/>
        <v>221.92</v>
      </c>
    </row>
    <row r="371" spans="1:21" x14ac:dyDescent="0.25">
      <c r="A371" s="5">
        <v>40748</v>
      </c>
      <c r="B371" s="5">
        <f t="shared" si="234"/>
        <v>40755</v>
      </c>
      <c r="C371">
        <v>1345.02</v>
      </c>
      <c r="D371" s="29">
        <f t="shared" si="235"/>
        <v>2.1299999999999999E-2</v>
      </c>
      <c r="E371" s="39">
        <f t="shared" si="236"/>
        <v>1320.1284615384616</v>
      </c>
      <c r="F371" s="39">
        <f t="shared" si="237"/>
        <v>1290.9223076923076</v>
      </c>
      <c r="G371" s="29">
        <f t="shared" si="229"/>
        <v>1.89E-2</v>
      </c>
      <c r="H371" s="29">
        <f t="shared" si="229"/>
        <v>4.19E-2</v>
      </c>
      <c r="I371">
        <f t="shared" si="238"/>
        <v>1345.02</v>
      </c>
      <c r="J371">
        <f>IF(A371&gt;=Quarterly!B$2,Quarterly!C$2,IF(COUNTIFS(Quarterly!B:B,"&gt;="&amp;A371-92,Quarterly!B:B,"&lt;="&amp;A371)&gt;1,SUMIFS(Quarterly!C:C,Quarterly!B:B,"&gt;="&amp;A371-88,Quarterly!B:B,"&lt;="&amp;A371),SUMIFS(Quarterly!C:C,Quarterly!B:B,"&gt;="&amp;A371-92,Quarterly!B:B,"&lt;="&amp;A371)))</f>
        <v>15238.4</v>
      </c>
      <c r="K371" s="13">
        <f t="shared" si="239"/>
        <v>8.8300000000000003E-2</v>
      </c>
      <c r="L371">
        <f t="shared" si="241"/>
        <v>1345.02</v>
      </c>
      <c r="M371">
        <f>IF(A371&gt;=Quarterly!B$2,Quarterly!D$2,IF(COUNTIFS(Quarterly!B:B,"&gt;="&amp;A371-92,Quarterly!B:B,"&lt;="&amp;A371)&gt;1,SUMIFS(Quarterly!D:D,Quarterly!B:B,"&gt;="&amp;A371-88,Quarterly!B:B,"&lt;="&amp;A371),SUMIFS(Quarterly!D:D,Quarterly!B:B,"&gt;="&amp;A371-92,Quarterly!B:B,"&lt;="&amp;A371)))</f>
        <v>1350.2449999999999</v>
      </c>
      <c r="N371" s="13">
        <f t="shared" si="242"/>
        <v>9.9610000000000004E-2</v>
      </c>
      <c r="O371">
        <f t="shared" si="230"/>
        <v>1345.02</v>
      </c>
      <c r="P371" s="56">
        <f>VLOOKUP(EOMONTH(A371,-1),Economic!A:I,7,FALSE)</f>
        <v>1189431</v>
      </c>
      <c r="Q371" s="13">
        <f t="shared" si="231"/>
        <v>0.11310000000000001</v>
      </c>
      <c r="R371" s="41">
        <v>2.59</v>
      </c>
      <c r="S371">
        <f t="shared" si="232"/>
        <v>2.44</v>
      </c>
      <c r="T371" s="30">
        <f t="shared" si="233"/>
        <v>216.02</v>
      </c>
      <c r="U371" s="30">
        <f t="shared" si="240"/>
        <v>220.26</v>
      </c>
    </row>
    <row r="372" spans="1:21" x14ac:dyDescent="0.25">
      <c r="A372" s="5">
        <v>40741</v>
      </c>
      <c r="B372" s="5">
        <f t="shared" si="234"/>
        <v>40755</v>
      </c>
      <c r="C372">
        <v>1316.14</v>
      </c>
      <c r="D372" s="29">
        <f t="shared" si="235"/>
        <v>7.9000000000000008E-3</v>
      </c>
      <c r="E372" s="39">
        <f t="shared" si="236"/>
        <v>1319.5407692307695</v>
      </c>
      <c r="F372" s="39">
        <f t="shared" si="237"/>
        <v>1286.7700000000002</v>
      </c>
      <c r="G372" s="29">
        <f t="shared" si="229"/>
        <v>-2.5999999999999999E-3</v>
      </c>
      <c r="H372" s="29">
        <f t="shared" si="229"/>
        <v>2.2800000000000001E-2</v>
      </c>
      <c r="I372">
        <f t="shared" si="238"/>
        <v>1316.14</v>
      </c>
      <c r="J372">
        <f>IF(A372&gt;=Quarterly!B$2,Quarterly!C$2,IF(COUNTIFS(Quarterly!B:B,"&gt;="&amp;A372-92,Quarterly!B:B,"&lt;="&amp;A372)&gt;1,SUMIFS(Quarterly!C:C,Quarterly!B:B,"&gt;="&amp;A372-88,Quarterly!B:B,"&lt;="&amp;A372),SUMIFS(Quarterly!C:C,Quarterly!B:B,"&gt;="&amp;A372-92,Quarterly!B:B,"&lt;="&amp;A372)))</f>
        <v>15238.4</v>
      </c>
      <c r="K372" s="13">
        <f t="shared" si="239"/>
        <v>8.6400000000000005E-2</v>
      </c>
      <c r="L372">
        <f t="shared" si="241"/>
        <v>1316.14</v>
      </c>
      <c r="M372">
        <f>IF(A372&gt;=Quarterly!B$2,Quarterly!D$2,IF(COUNTIFS(Quarterly!B:B,"&gt;="&amp;A372-92,Quarterly!B:B,"&lt;="&amp;A372)&gt;1,SUMIFS(Quarterly!D:D,Quarterly!B:B,"&gt;="&amp;A372-88,Quarterly!B:B,"&lt;="&amp;A372),SUMIFS(Quarterly!D:D,Quarterly!B:B,"&gt;="&amp;A372-92,Quarterly!B:B,"&lt;="&amp;A372)))</f>
        <v>1350.2449999999999</v>
      </c>
      <c r="N372" s="13">
        <f t="shared" si="242"/>
        <v>9.7470000000000001E-2</v>
      </c>
      <c r="O372">
        <f t="shared" si="230"/>
        <v>1316.14</v>
      </c>
      <c r="P372" s="56">
        <f>VLOOKUP(EOMONTH(A372,-1),Economic!A:I,7,FALSE)</f>
        <v>1189431</v>
      </c>
      <c r="Q372" s="13">
        <f t="shared" si="231"/>
        <v>0.11069999999999999</v>
      </c>
      <c r="R372" s="41">
        <v>2.57</v>
      </c>
      <c r="S372">
        <f t="shared" si="232"/>
        <v>2.65</v>
      </c>
      <c r="T372" s="30">
        <f t="shared" si="233"/>
        <v>223.34</v>
      </c>
      <c r="U372" s="30">
        <f t="shared" si="240"/>
        <v>223.17</v>
      </c>
    </row>
    <row r="373" spans="1:21" x14ac:dyDescent="0.25">
      <c r="A373" s="5">
        <v>40734</v>
      </c>
      <c r="B373" s="5">
        <f t="shared" si="234"/>
        <v>40755</v>
      </c>
      <c r="C373">
        <v>1343.8</v>
      </c>
      <c r="D373" s="29">
        <f t="shared" si="235"/>
        <v>4.36E-2</v>
      </c>
      <c r="E373" s="39">
        <f t="shared" si="236"/>
        <v>1319.8130769230772</v>
      </c>
      <c r="F373" s="39">
        <f t="shared" si="237"/>
        <v>1283.1815384615386</v>
      </c>
      <c r="G373" s="29">
        <f t="shared" si="229"/>
        <v>1.8200000000000001E-2</v>
      </c>
      <c r="H373" s="29">
        <f t="shared" si="229"/>
        <v>4.7199999999999999E-2</v>
      </c>
      <c r="I373">
        <f t="shared" si="238"/>
        <v>1343.8</v>
      </c>
      <c r="J373">
        <f>IF(A373&gt;=Quarterly!B$2,Quarterly!C$2,IF(COUNTIFS(Quarterly!B:B,"&gt;="&amp;A373-92,Quarterly!B:B,"&lt;="&amp;A373)&gt;1,SUMIFS(Quarterly!C:C,Quarterly!B:B,"&gt;="&amp;A373-88,Quarterly!B:B,"&lt;="&amp;A373),SUMIFS(Quarterly!C:C,Quarterly!B:B,"&gt;="&amp;A373-92,Quarterly!B:B,"&lt;="&amp;A373)))</f>
        <v>15238.4</v>
      </c>
      <c r="K373" s="13">
        <f t="shared" si="239"/>
        <v>8.8200000000000001E-2</v>
      </c>
      <c r="L373">
        <f t="shared" si="241"/>
        <v>1343.8</v>
      </c>
      <c r="M373">
        <f>IF(A373&gt;=Quarterly!B$2,Quarterly!D$2,IF(COUNTIFS(Quarterly!B:B,"&gt;="&amp;A373-92,Quarterly!B:B,"&lt;="&amp;A373)&gt;1,SUMIFS(Quarterly!D:D,Quarterly!B:B,"&gt;="&amp;A373-88,Quarterly!B:B,"&lt;="&amp;A373),SUMIFS(Quarterly!D:D,Quarterly!B:B,"&gt;="&amp;A373-92,Quarterly!B:B,"&lt;="&amp;A373)))</f>
        <v>1350.2449999999999</v>
      </c>
      <c r="N373" s="13">
        <f t="shared" si="242"/>
        <v>9.9519999999999997E-2</v>
      </c>
      <c r="O373">
        <f t="shared" si="230"/>
        <v>1343.8</v>
      </c>
      <c r="P373" s="56">
        <f>VLOOKUP(EOMONTH(A373,-1),Economic!A:I,7,FALSE)</f>
        <v>1189431</v>
      </c>
      <c r="Q373" s="13">
        <f t="shared" si="231"/>
        <v>0.11299999999999999</v>
      </c>
      <c r="R373" s="41">
        <v>2.63</v>
      </c>
      <c r="S373">
        <f t="shared" si="232"/>
        <v>2.62</v>
      </c>
      <c r="T373" s="30">
        <f t="shared" si="233"/>
        <v>221.42</v>
      </c>
      <c r="U373" s="30">
        <f t="shared" si="240"/>
        <v>224.41</v>
      </c>
    </row>
    <row r="374" spans="1:21" ht="15" customHeight="1" x14ac:dyDescent="0.25">
      <c r="A374" s="5">
        <v>40727</v>
      </c>
      <c r="B374" s="5">
        <f t="shared" si="234"/>
        <v>40755</v>
      </c>
      <c r="C374">
        <v>1339.67</v>
      </c>
      <c r="D374" s="29">
        <f t="shared" si="235"/>
        <v>4.8399999999999999E-2</v>
      </c>
      <c r="E374" s="39">
        <f t="shared" si="236"/>
        <v>1318.6107692307694</v>
      </c>
      <c r="F374" s="39">
        <f t="shared" si="237"/>
        <v>1278.6007692307694</v>
      </c>
      <c r="G374" s="29">
        <f t="shared" si="229"/>
        <v>1.6E-2</v>
      </c>
      <c r="H374" s="29">
        <f t="shared" si="229"/>
        <v>4.7800000000000002E-2</v>
      </c>
      <c r="I374">
        <f t="shared" si="238"/>
        <v>1339.67</v>
      </c>
      <c r="J374">
        <f>IF(A374&gt;=Quarterly!B$2,Quarterly!C$2,IF(COUNTIFS(Quarterly!B:B,"&gt;="&amp;A374-92,Quarterly!B:B,"&lt;="&amp;A374)&gt;1,SUMIFS(Quarterly!C:C,Quarterly!B:B,"&gt;="&amp;A374-88,Quarterly!B:B,"&lt;="&amp;A374),SUMIFS(Quarterly!C:C,Quarterly!B:B,"&gt;="&amp;A374-92,Quarterly!B:B,"&lt;="&amp;A374)))</f>
        <v>15238.4</v>
      </c>
      <c r="K374" s="13">
        <f t="shared" si="239"/>
        <v>8.7900000000000006E-2</v>
      </c>
      <c r="L374">
        <f t="shared" si="241"/>
        <v>1339.67</v>
      </c>
      <c r="M374">
        <f>IF(A374&gt;=Quarterly!B$2,Quarterly!D$2,IF(COUNTIFS(Quarterly!B:B,"&gt;="&amp;A374-92,Quarterly!B:B,"&lt;="&amp;A374)&gt;1,SUMIFS(Quarterly!D:D,Quarterly!B:B,"&gt;="&amp;A374-88,Quarterly!B:B,"&lt;="&amp;A374),SUMIFS(Quarterly!D:D,Quarterly!B:B,"&gt;="&amp;A374-92,Quarterly!B:B,"&lt;="&amp;A374)))</f>
        <v>1350.2449999999999</v>
      </c>
      <c r="N374" s="13">
        <f t="shared" si="242"/>
        <v>9.9220000000000003E-2</v>
      </c>
      <c r="O374">
        <f t="shared" si="230"/>
        <v>1339.67</v>
      </c>
      <c r="P374" s="56">
        <f>VLOOKUP(EOMONTH(A374,-1),Economic!A:I,7,FALSE)</f>
        <v>1189431</v>
      </c>
      <c r="Q374" s="13">
        <f t="shared" si="231"/>
        <v>0.11260000000000001</v>
      </c>
      <c r="R374" s="41">
        <v>2.72</v>
      </c>
      <c r="S374">
        <f t="shared" si="232"/>
        <v>2.72</v>
      </c>
      <c r="T374" s="30">
        <f t="shared" si="233"/>
        <v>224.75</v>
      </c>
      <c r="U374" s="30">
        <f t="shared" si="240"/>
        <v>226.7</v>
      </c>
    </row>
    <row r="375" spans="1:21" ht="15" customHeight="1" x14ac:dyDescent="0.25">
      <c r="A375" s="5">
        <v>40720</v>
      </c>
      <c r="B375" s="5">
        <f t="shared" si="234"/>
        <v>40724</v>
      </c>
      <c r="C375">
        <v>1268.45</v>
      </c>
      <c r="D375" s="29">
        <f t="shared" si="235"/>
        <v>-1.9300000000000001E-2</v>
      </c>
      <c r="E375" s="39">
        <f t="shared" si="236"/>
        <v>1318.052307692308</v>
      </c>
      <c r="F375" s="39">
        <f t="shared" si="237"/>
        <v>1273.6410256410261</v>
      </c>
      <c r="G375" s="29">
        <f t="shared" si="229"/>
        <v>-3.7600000000000001E-2</v>
      </c>
      <c r="H375" s="29">
        <f t="shared" si="229"/>
        <v>-4.1000000000000003E-3</v>
      </c>
      <c r="I375">
        <f t="shared" si="238"/>
        <v>1268.45</v>
      </c>
      <c r="J375">
        <f>IF(A375&gt;=Quarterly!B$2,Quarterly!C$2,IF(COUNTIFS(Quarterly!B:B,"&gt;="&amp;A375-92,Quarterly!B:B,"&lt;="&amp;A375)&gt;1,SUMIFS(Quarterly!C:C,Quarterly!B:B,"&gt;="&amp;A375-88,Quarterly!B:B,"&lt;="&amp;A375),SUMIFS(Quarterly!C:C,Quarterly!B:B,"&gt;="&amp;A375-92,Quarterly!B:B,"&lt;="&amp;A375)))</f>
        <v>15238.4</v>
      </c>
      <c r="K375" s="13">
        <f t="shared" si="239"/>
        <v>8.3199999999999996E-2</v>
      </c>
      <c r="L375">
        <f t="shared" si="241"/>
        <v>1268.45</v>
      </c>
      <c r="M375">
        <f>IF(A375&gt;=Quarterly!B$2,Quarterly!D$2,IF(COUNTIFS(Quarterly!B:B,"&gt;="&amp;A375-92,Quarterly!B:B,"&lt;="&amp;A375)&gt;1,SUMIFS(Quarterly!D:D,Quarterly!B:B,"&gt;="&amp;A375-88,Quarterly!B:B,"&lt;="&amp;A375),SUMIFS(Quarterly!D:D,Quarterly!B:B,"&gt;="&amp;A375-92,Quarterly!B:B,"&lt;="&amp;A375)))</f>
        <v>1350.2449999999999</v>
      </c>
      <c r="N375" s="13">
        <f t="shared" si="242"/>
        <v>9.394000000000001E-2</v>
      </c>
      <c r="O375">
        <f t="shared" si="230"/>
        <v>1268.45</v>
      </c>
      <c r="P375" s="56">
        <f>VLOOKUP(EOMONTH(A375,-1),Economic!A:I,7,FALSE)</f>
        <v>1177951</v>
      </c>
      <c r="Q375" s="13">
        <f t="shared" si="231"/>
        <v>0.1077</v>
      </c>
      <c r="R375" s="41">
        <v>2.5299999999999998</v>
      </c>
      <c r="S375">
        <f t="shared" si="232"/>
        <v>2.74</v>
      </c>
      <c r="T375" s="30">
        <f t="shared" si="233"/>
        <v>227.06</v>
      </c>
      <c r="U375" s="30">
        <f t="shared" si="240"/>
        <v>227.85</v>
      </c>
    </row>
    <row r="376" spans="1:21" ht="15" customHeight="1" x14ac:dyDescent="0.25">
      <c r="A376" s="5">
        <v>40713</v>
      </c>
      <c r="B376" s="5">
        <f t="shared" si="234"/>
        <v>40724</v>
      </c>
      <c r="C376">
        <v>1271.5</v>
      </c>
      <c r="D376" s="29">
        <f t="shared" si="235"/>
        <v>-2.86E-2</v>
      </c>
      <c r="E376" s="39">
        <f t="shared" si="236"/>
        <v>1321.5407692307695</v>
      </c>
      <c r="F376" s="39">
        <f t="shared" si="237"/>
        <v>1270.5697435897439</v>
      </c>
      <c r="G376" s="29">
        <f t="shared" si="229"/>
        <v>-3.7900000000000003E-2</v>
      </c>
      <c r="H376" s="29">
        <f t="shared" si="229"/>
        <v>6.9999999999999999E-4</v>
      </c>
      <c r="I376">
        <f t="shared" si="238"/>
        <v>1271.5</v>
      </c>
      <c r="J376">
        <f>IF(A376&gt;=Quarterly!B$2,Quarterly!C$2,IF(COUNTIFS(Quarterly!B:B,"&gt;="&amp;A376-92,Quarterly!B:B,"&lt;="&amp;A376)&gt;1,SUMIFS(Quarterly!C:C,Quarterly!B:B,"&gt;="&amp;A376-88,Quarterly!B:B,"&lt;="&amp;A376),SUMIFS(Quarterly!C:C,Quarterly!B:B,"&gt;="&amp;A376-92,Quarterly!B:B,"&lt;="&amp;A376)))</f>
        <v>15238.4</v>
      </c>
      <c r="K376" s="13">
        <f t="shared" si="239"/>
        <v>8.3400000000000002E-2</v>
      </c>
      <c r="L376">
        <f t="shared" si="241"/>
        <v>1271.5</v>
      </c>
      <c r="M376">
        <f>IF(A376&gt;=Quarterly!B$2,Quarterly!D$2,IF(COUNTIFS(Quarterly!B:B,"&gt;="&amp;A376-92,Quarterly!B:B,"&lt;="&amp;A376)&gt;1,SUMIFS(Quarterly!D:D,Quarterly!B:B,"&gt;="&amp;A376-88,Quarterly!B:B,"&lt;="&amp;A376),SUMIFS(Quarterly!D:D,Quarterly!B:B,"&gt;="&amp;A376-92,Quarterly!B:B,"&lt;="&amp;A376)))</f>
        <v>1350.2449999999999</v>
      </c>
      <c r="N376" s="13">
        <f t="shared" si="242"/>
        <v>9.4170000000000004E-2</v>
      </c>
      <c r="O376">
        <f t="shared" si="230"/>
        <v>1271.5</v>
      </c>
      <c r="P376" s="56">
        <f>VLOOKUP(EOMONTH(A376,-1),Economic!A:I,7,FALSE)</f>
        <v>1177951</v>
      </c>
      <c r="Q376" s="13">
        <f t="shared" si="231"/>
        <v>0.10790000000000001</v>
      </c>
      <c r="R376" s="41">
        <v>2.56</v>
      </c>
      <c r="S376">
        <f t="shared" si="232"/>
        <v>2.81</v>
      </c>
      <c r="T376" s="30">
        <f t="shared" si="233"/>
        <v>228.3</v>
      </c>
      <c r="U376" s="30">
        <f t="shared" si="240"/>
        <v>228.03</v>
      </c>
    </row>
    <row r="377" spans="1:21" ht="15" customHeight="1" x14ac:dyDescent="0.25">
      <c r="A377" s="5">
        <v>40706</v>
      </c>
      <c r="B377" s="5">
        <f t="shared" si="234"/>
        <v>40724</v>
      </c>
      <c r="C377">
        <v>1270.98</v>
      </c>
      <c r="D377" s="29">
        <f t="shared" si="235"/>
        <v>-4.1200000000000001E-2</v>
      </c>
      <c r="E377" s="39">
        <f t="shared" si="236"/>
        <v>1322.1338461538462</v>
      </c>
      <c r="F377" s="39">
        <f t="shared" si="237"/>
        <v>1266.8284615384616</v>
      </c>
      <c r="G377" s="29">
        <f t="shared" si="229"/>
        <v>-3.8699999999999998E-2</v>
      </c>
      <c r="H377" s="29">
        <f t="shared" si="229"/>
        <v>3.3E-3</v>
      </c>
      <c r="I377">
        <f t="shared" si="238"/>
        <v>1270.98</v>
      </c>
      <c r="J377">
        <f>IF(A377&gt;=Quarterly!B$2,Quarterly!C$2,IF(COUNTIFS(Quarterly!B:B,"&gt;="&amp;A377-92,Quarterly!B:B,"&lt;="&amp;A377)&gt;1,SUMIFS(Quarterly!C:C,Quarterly!B:B,"&gt;="&amp;A377-88,Quarterly!B:B,"&lt;="&amp;A377),SUMIFS(Quarterly!C:C,Quarterly!B:B,"&gt;="&amp;A377-92,Quarterly!B:B,"&lt;="&amp;A377)))</f>
        <v>15238.4</v>
      </c>
      <c r="K377" s="13">
        <f t="shared" si="239"/>
        <v>8.3400000000000002E-2</v>
      </c>
      <c r="L377">
        <f t="shared" si="241"/>
        <v>1270.98</v>
      </c>
      <c r="M377">
        <f>IF(A377&gt;=Quarterly!B$2,Quarterly!D$2,IF(COUNTIFS(Quarterly!B:B,"&gt;="&amp;A377-92,Quarterly!B:B,"&lt;="&amp;A377)&gt;1,SUMIFS(Quarterly!D:D,Quarterly!B:B,"&gt;="&amp;A377-88,Quarterly!B:B,"&lt;="&amp;A377),SUMIFS(Quarterly!D:D,Quarterly!B:B,"&gt;="&amp;A377-92,Quarterly!B:B,"&lt;="&amp;A377)))</f>
        <v>1350.2449999999999</v>
      </c>
      <c r="N377" s="13">
        <f t="shared" si="242"/>
        <v>9.4130000000000005E-2</v>
      </c>
      <c r="O377">
        <f t="shared" si="230"/>
        <v>1270.98</v>
      </c>
      <c r="P377" s="56">
        <f>VLOOKUP(EOMONTH(A377,-1),Economic!A:I,7,FALSE)</f>
        <v>1177951</v>
      </c>
      <c r="Q377" s="13">
        <f t="shared" si="231"/>
        <v>0.10790000000000001</v>
      </c>
      <c r="R377" s="41">
        <v>2.58</v>
      </c>
      <c r="S377">
        <f t="shared" si="232"/>
        <v>2.82</v>
      </c>
      <c r="T377" s="30">
        <f t="shared" si="233"/>
        <v>228.2</v>
      </c>
      <c r="U377" s="30">
        <f t="shared" si="240"/>
        <v>226.86</v>
      </c>
    </row>
    <row r="378" spans="1:21" ht="15" customHeight="1" x14ac:dyDescent="0.25">
      <c r="A378" s="5">
        <v>40699</v>
      </c>
      <c r="B378" s="5">
        <f t="shared" si="234"/>
        <v>40724</v>
      </c>
      <c r="C378">
        <v>1300.1600000000001</v>
      </c>
      <c r="D378" s="29">
        <f t="shared" si="235"/>
        <v>-2.6499999999999999E-2</v>
      </c>
      <c r="E378" s="39">
        <f t="shared" si="236"/>
        <v>1324.6953846153845</v>
      </c>
      <c r="F378" s="39">
        <f t="shared" si="237"/>
        <v>1262.6892307692308</v>
      </c>
      <c r="G378" s="29">
        <f t="shared" si="229"/>
        <v>-1.8499999999999999E-2</v>
      </c>
      <c r="H378" s="29">
        <f t="shared" si="229"/>
        <v>2.9700000000000001E-2</v>
      </c>
      <c r="I378">
        <f t="shared" si="238"/>
        <v>1300.1600000000001</v>
      </c>
      <c r="J378">
        <f>IF(A378&gt;=Quarterly!B$2,Quarterly!C$2,IF(COUNTIFS(Quarterly!B:B,"&gt;="&amp;A378-92,Quarterly!B:B,"&lt;="&amp;A378)&gt;1,SUMIFS(Quarterly!C:C,Quarterly!B:B,"&gt;="&amp;A378-88,Quarterly!B:B,"&lt;="&amp;A378),SUMIFS(Quarterly!C:C,Quarterly!B:B,"&gt;="&amp;A378-92,Quarterly!B:B,"&lt;="&amp;A378)))</f>
        <v>15238.4</v>
      </c>
      <c r="K378" s="13">
        <f t="shared" si="239"/>
        <v>8.5300000000000001E-2</v>
      </c>
      <c r="L378">
        <f t="shared" si="241"/>
        <v>1300.1600000000001</v>
      </c>
      <c r="M378">
        <f>IF(A378&gt;=Quarterly!B$2,Quarterly!D$2,IF(COUNTIFS(Quarterly!B:B,"&gt;="&amp;A378-92,Quarterly!B:B,"&lt;="&amp;A378)&gt;1,SUMIFS(Quarterly!D:D,Quarterly!B:B,"&gt;="&amp;A378-88,Quarterly!B:B,"&lt;="&amp;A378),SUMIFS(Quarterly!D:D,Quarterly!B:B,"&gt;="&amp;A378-92,Quarterly!B:B,"&lt;="&amp;A378)))</f>
        <v>1350.2449999999999</v>
      </c>
      <c r="N378" s="13">
        <f t="shared" si="242"/>
        <v>9.6290000000000001E-2</v>
      </c>
      <c r="O378">
        <f t="shared" si="230"/>
        <v>1300.1600000000001</v>
      </c>
      <c r="P378" s="56">
        <f>VLOOKUP(EOMONTH(A378,-1),Economic!A:I,7,FALSE)</f>
        <v>1177951</v>
      </c>
      <c r="Q378" s="13">
        <f t="shared" si="231"/>
        <v>0.1104</v>
      </c>
      <c r="R378" s="41">
        <v>2.57</v>
      </c>
      <c r="S378">
        <f t="shared" si="232"/>
        <v>2.85</v>
      </c>
      <c r="T378" s="30">
        <f t="shared" si="233"/>
        <v>227.59</v>
      </c>
      <c r="U378" s="30">
        <f t="shared" si="240"/>
        <v>224.14</v>
      </c>
    </row>
    <row r="379" spans="1:21" ht="15" customHeight="1" x14ac:dyDescent="0.25">
      <c r="A379" s="5">
        <v>40692</v>
      </c>
      <c r="B379" s="5">
        <f t="shared" si="234"/>
        <v>40694</v>
      </c>
      <c r="C379">
        <v>1331.1</v>
      </c>
      <c r="D379" s="29">
        <f t="shared" si="235"/>
        <v>-9.4000000000000004E-3</v>
      </c>
      <c r="E379" s="39">
        <f t="shared" si="236"/>
        <v>1326.31</v>
      </c>
      <c r="F379" s="39">
        <f t="shared" si="237"/>
        <v>1257.6725641025644</v>
      </c>
      <c r="G379" s="29">
        <f t="shared" si="229"/>
        <v>3.5999999999999999E-3</v>
      </c>
      <c r="H379" s="29">
        <f t="shared" si="229"/>
        <v>5.8400000000000001E-2</v>
      </c>
      <c r="I379">
        <f t="shared" si="238"/>
        <v>1331.1</v>
      </c>
      <c r="J379">
        <f>IF(A379&gt;=Quarterly!B$2,Quarterly!C$2,IF(COUNTIFS(Quarterly!B:B,"&gt;="&amp;A379-92,Quarterly!B:B,"&lt;="&amp;A379)&gt;1,SUMIFS(Quarterly!C:C,Quarterly!B:B,"&gt;="&amp;A379-88,Quarterly!B:B,"&lt;="&amp;A379),SUMIFS(Quarterly!C:C,Quarterly!B:B,"&gt;="&amp;A379-92,Quarterly!B:B,"&lt;="&amp;A379)))</f>
        <v>15238.4</v>
      </c>
      <c r="K379" s="13">
        <f t="shared" si="239"/>
        <v>8.7400000000000005E-2</v>
      </c>
      <c r="L379">
        <f t="shared" si="241"/>
        <v>1331.1</v>
      </c>
      <c r="M379">
        <f>IF(A379&gt;=Quarterly!B$2,Quarterly!D$2,IF(COUNTIFS(Quarterly!B:B,"&gt;="&amp;A379-92,Quarterly!B:B,"&lt;="&amp;A379)&gt;1,SUMIFS(Quarterly!D:D,Quarterly!B:B,"&gt;="&amp;A379-88,Quarterly!B:B,"&lt;="&amp;A379),SUMIFS(Quarterly!D:D,Quarterly!B:B,"&gt;="&amp;A379-92,Quarterly!B:B,"&lt;="&amp;A379)))</f>
        <v>1350.2449999999999</v>
      </c>
      <c r="N379" s="13">
        <f t="shared" si="242"/>
        <v>9.8580000000000001E-2</v>
      </c>
      <c r="O379">
        <f t="shared" si="230"/>
        <v>1331.1</v>
      </c>
      <c r="P379" s="56">
        <f>VLOOKUP(EOMONTH(A379,-1),Economic!A:I,7,FALSE)</f>
        <v>1160256</v>
      </c>
      <c r="Q379" s="13">
        <f t="shared" si="231"/>
        <v>0.1147</v>
      </c>
      <c r="R379" s="41">
        <v>2.59</v>
      </c>
      <c r="S379">
        <f t="shared" si="232"/>
        <v>2.82</v>
      </c>
      <c r="T379" s="30">
        <f t="shared" si="233"/>
        <v>224.78</v>
      </c>
      <c r="U379" s="30">
        <f t="shared" si="240"/>
        <v>222.01</v>
      </c>
    </row>
    <row r="380" spans="1:21" ht="15" customHeight="1" x14ac:dyDescent="0.25">
      <c r="A380" s="5">
        <v>40685</v>
      </c>
      <c r="B380" s="5">
        <f t="shared" si="234"/>
        <v>40694</v>
      </c>
      <c r="C380">
        <v>1333.27</v>
      </c>
      <c r="D380" s="29">
        <f t="shared" si="235"/>
        <v>-8.5000000000000006E-3</v>
      </c>
      <c r="E380" s="39">
        <f t="shared" si="236"/>
        <v>1325.4469230769232</v>
      </c>
      <c r="F380" s="39">
        <f t="shared" si="237"/>
        <v>1250.8389743589744</v>
      </c>
      <c r="G380" s="29">
        <f t="shared" si="229"/>
        <v>5.8999999999999999E-3</v>
      </c>
      <c r="H380" s="29">
        <f t="shared" si="229"/>
        <v>6.59E-2</v>
      </c>
      <c r="I380">
        <f t="shared" si="238"/>
        <v>1333.27</v>
      </c>
      <c r="J380">
        <f>IF(A380&gt;=Quarterly!B$2,Quarterly!C$2,IF(COUNTIFS(Quarterly!B:B,"&gt;="&amp;A380-92,Quarterly!B:B,"&lt;="&amp;A380)&gt;1,SUMIFS(Quarterly!C:C,Quarterly!B:B,"&gt;="&amp;A380-88,Quarterly!B:B,"&lt;="&amp;A380),SUMIFS(Quarterly!C:C,Quarterly!B:B,"&gt;="&amp;A380-92,Quarterly!B:B,"&lt;="&amp;A380)))</f>
        <v>15238.4</v>
      </c>
      <c r="K380" s="13">
        <f t="shared" si="239"/>
        <v>8.7499999999999994E-2</v>
      </c>
      <c r="L380">
        <f t="shared" si="241"/>
        <v>1333.27</v>
      </c>
      <c r="M380">
        <f>IF(A380&gt;=Quarterly!B$2,Quarterly!D$2,IF(COUNTIFS(Quarterly!B:B,"&gt;="&amp;A380-92,Quarterly!B:B,"&lt;="&amp;A380)&gt;1,SUMIFS(Quarterly!D:D,Quarterly!B:B,"&gt;="&amp;A380-88,Quarterly!B:B,"&lt;="&amp;A380),SUMIFS(Quarterly!D:D,Quarterly!B:B,"&gt;="&amp;A380-92,Quarterly!B:B,"&lt;="&amp;A380)))</f>
        <v>1350.2449999999999</v>
      </c>
      <c r="N380" s="13">
        <f t="shared" si="242"/>
        <v>9.8740000000000008E-2</v>
      </c>
      <c r="O380">
        <f t="shared" si="230"/>
        <v>1333.27</v>
      </c>
      <c r="P380" s="56">
        <f>VLOOKUP(EOMONTH(A380,-1),Economic!A:I,7,FALSE)</f>
        <v>1160256</v>
      </c>
      <c r="Q380" s="13">
        <f t="shared" si="231"/>
        <v>0.1149</v>
      </c>
      <c r="R380" s="41">
        <v>2.6</v>
      </c>
      <c r="S380">
        <f t="shared" si="232"/>
        <v>2.68</v>
      </c>
      <c r="T380" s="30">
        <f t="shared" si="233"/>
        <v>220.05</v>
      </c>
      <c r="U380" s="30">
        <f t="shared" si="240"/>
        <v>221.16</v>
      </c>
    </row>
    <row r="381" spans="1:21" ht="15" customHeight="1" x14ac:dyDescent="0.25">
      <c r="A381" s="5">
        <v>40678</v>
      </c>
      <c r="B381" s="5">
        <f t="shared" si="234"/>
        <v>40694</v>
      </c>
      <c r="C381">
        <v>1337.77</v>
      </c>
      <c r="D381" s="29">
        <f t="shared" si="235"/>
        <v>-1.8E-3</v>
      </c>
      <c r="E381" s="39">
        <f t="shared" si="236"/>
        <v>1326.1961538461537</v>
      </c>
      <c r="F381" s="39">
        <f t="shared" si="237"/>
        <v>1244.1317948717951</v>
      </c>
      <c r="G381" s="29">
        <f t="shared" si="229"/>
        <v>8.6999999999999994E-3</v>
      </c>
      <c r="H381" s="29">
        <f t="shared" si="229"/>
        <v>7.5300000000000006E-2</v>
      </c>
      <c r="I381">
        <f t="shared" si="238"/>
        <v>1337.77</v>
      </c>
      <c r="J381">
        <f>IF(A381&gt;=Quarterly!B$2,Quarterly!C$2,IF(COUNTIFS(Quarterly!B:B,"&gt;="&amp;A381-92,Quarterly!B:B,"&lt;="&amp;A381)&gt;1,SUMIFS(Quarterly!C:C,Quarterly!B:B,"&gt;="&amp;A381-88,Quarterly!B:B,"&lt;="&amp;A381),SUMIFS(Quarterly!C:C,Quarterly!B:B,"&gt;="&amp;A381-92,Quarterly!B:B,"&lt;="&amp;A381)))</f>
        <v>15238.4</v>
      </c>
      <c r="K381" s="13">
        <f t="shared" si="239"/>
        <v>8.7800000000000003E-2</v>
      </c>
      <c r="L381">
        <f t="shared" si="241"/>
        <v>1337.77</v>
      </c>
      <c r="M381">
        <f>IF(A381&gt;=Quarterly!B$2,Quarterly!D$2,IF(COUNTIFS(Quarterly!B:B,"&gt;="&amp;A381-92,Quarterly!B:B,"&lt;="&amp;A381)&gt;1,SUMIFS(Quarterly!D:D,Quarterly!B:B,"&gt;="&amp;A381-88,Quarterly!B:B,"&lt;="&amp;A381),SUMIFS(Quarterly!D:D,Quarterly!B:B,"&gt;="&amp;A381-92,Quarterly!B:B,"&lt;="&amp;A381)))</f>
        <v>1350.2449999999999</v>
      </c>
      <c r="N381" s="13">
        <f t="shared" si="242"/>
        <v>9.9080000000000001E-2</v>
      </c>
      <c r="O381">
        <f t="shared" si="230"/>
        <v>1337.77</v>
      </c>
      <c r="P381" s="56">
        <f>VLOOKUP(EOMONTH(A381,-1),Economic!A:I,7,FALSE)</f>
        <v>1160256</v>
      </c>
      <c r="Q381" s="13">
        <f t="shared" si="231"/>
        <v>0.1153</v>
      </c>
      <c r="R381" s="41">
        <v>2.61</v>
      </c>
      <c r="S381">
        <f t="shared" si="232"/>
        <v>2.74</v>
      </c>
      <c r="T381" s="30">
        <f t="shared" si="233"/>
        <v>221.19</v>
      </c>
      <c r="U381" s="30">
        <f t="shared" si="240"/>
        <v>221.85</v>
      </c>
    </row>
    <row r="382" spans="1:21" ht="15" customHeight="1" x14ac:dyDescent="0.25">
      <c r="A382" s="5">
        <v>40671</v>
      </c>
      <c r="B382" s="5">
        <f t="shared" si="234"/>
        <v>40694</v>
      </c>
      <c r="C382">
        <v>1340.2</v>
      </c>
      <c r="D382" s="29">
        <f t="shared" si="235"/>
        <v>2.2000000000000001E-3</v>
      </c>
      <c r="E382" s="39">
        <f t="shared" si="236"/>
        <v>1325.533076923077</v>
      </c>
      <c r="F382" s="39">
        <f t="shared" si="237"/>
        <v>1237.5030769230771</v>
      </c>
      <c r="G382" s="29">
        <f t="shared" si="229"/>
        <v>1.11E-2</v>
      </c>
      <c r="H382" s="29">
        <f t="shared" si="229"/>
        <v>8.3000000000000004E-2</v>
      </c>
      <c r="I382">
        <f t="shared" si="238"/>
        <v>1340.2</v>
      </c>
      <c r="J382">
        <f>IF(A382&gt;=Quarterly!B$2,Quarterly!C$2,IF(COUNTIFS(Quarterly!B:B,"&gt;="&amp;A382-92,Quarterly!B:B,"&lt;="&amp;A382)&gt;1,SUMIFS(Quarterly!C:C,Quarterly!B:B,"&gt;="&amp;A382-88,Quarterly!B:B,"&lt;="&amp;A382),SUMIFS(Quarterly!C:C,Quarterly!B:B,"&gt;="&amp;A382-92,Quarterly!B:B,"&lt;="&amp;A382)))</f>
        <v>15238.4</v>
      </c>
      <c r="K382" s="13">
        <f t="shared" si="239"/>
        <v>8.7900000000000006E-2</v>
      </c>
      <c r="L382">
        <f t="shared" si="241"/>
        <v>1340.2</v>
      </c>
      <c r="M382">
        <f>IF(A382&gt;=Quarterly!B$2,Quarterly!D$2,IF(COUNTIFS(Quarterly!B:B,"&gt;="&amp;A382-92,Quarterly!B:B,"&lt;="&amp;A382)&gt;1,SUMIFS(Quarterly!D:D,Quarterly!B:B,"&gt;="&amp;A382-88,Quarterly!B:B,"&lt;="&amp;A382),SUMIFS(Quarterly!D:D,Quarterly!B:B,"&gt;="&amp;A382-92,Quarterly!B:B,"&lt;="&amp;A382)))</f>
        <v>1350.2449999999999</v>
      </c>
      <c r="N382" s="13">
        <f t="shared" si="242"/>
        <v>9.9260000000000015E-2</v>
      </c>
      <c r="O382">
        <f t="shared" si="230"/>
        <v>1340.2</v>
      </c>
      <c r="P382" s="56">
        <f>VLOOKUP(EOMONTH(A382,-1),Economic!A:I,7,FALSE)</f>
        <v>1160256</v>
      </c>
      <c r="Q382" s="13">
        <f t="shared" si="231"/>
        <v>0.11550000000000001</v>
      </c>
      <c r="R382" s="41">
        <v>2.62</v>
      </c>
      <c r="S382">
        <f t="shared" si="232"/>
        <v>2.78</v>
      </c>
      <c r="T382" s="30">
        <f t="shared" si="233"/>
        <v>222.24</v>
      </c>
      <c r="U382" s="30">
        <f t="shared" si="240"/>
        <v>223.9</v>
      </c>
    </row>
    <row r="383" spans="1:21" ht="15" customHeight="1" x14ac:dyDescent="0.25">
      <c r="A383" s="5">
        <v>40664</v>
      </c>
      <c r="B383" s="5">
        <f t="shared" si="234"/>
        <v>40694</v>
      </c>
      <c r="C383">
        <v>1363.61</v>
      </c>
      <c r="D383" s="29">
        <f t="shared" si="235"/>
        <v>2.5700000000000001E-2</v>
      </c>
      <c r="E383" s="39">
        <f t="shared" si="236"/>
        <v>1323.2769230769229</v>
      </c>
      <c r="F383" s="39">
        <f t="shared" si="237"/>
        <v>1231.8989743589746</v>
      </c>
      <c r="G383" s="29">
        <f t="shared" si="229"/>
        <v>3.0499999999999999E-2</v>
      </c>
      <c r="H383" s="29">
        <f t="shared" si="229"/>
        <v>0.1069</v>
      </c>
      <c r="I383">
        <f t="shared" si="238"/>
        <v>1363.61</v>
      </c>
      <c r="J383">
        <f>IF(A383&gt;=Quarterly!B$2,Quarterly!C$2,IF(COUNTIFS(Quarterly!B:B,"&gt;="&amp;A383-92,Quarterly!B:B,"&lt;="&amp;A383)&gt;1,SUMIFS(Quarterly!C:C,Quarterly!B:B,"&gt;="&amp;A383-88,Quarterly!B:B,"&lt;="&amp;A383),SUMIFS(Quarterly!C:C,Quarterly!B:B,"&gt;="&amp;A383-92,Quarterly!B:B,"&lt;="&amp;A383)))</f>
        <v>15238.4</v>
      </c>
      <c r="K383" s="13">
        <f t="shared" si="239"/>
        <v>8.9499999999999996E-2</v>
      </c>
      <c r="L383">
        <f t="shared" si="241"/>
        <v>1363.61</v>
      </c>
      <c r="M383">
        <f>IF(A383&gt;=Quarterly!B$2,Quarterly!D$2,IF(COUNTIFS(Quarterly!B:B,"&gt;="&amp;A383-92,Quarterly!B:B,"&lt;="&amp;A383)&gt;1,SUMIFS(Quarterly!D:D,Quarterly!B:B,"&gt;="&amp;A383-88,Quarterly!B:B,"&lt;="&amp;A383),SUMIFS(Quarterly!D:D,Quarterly!B:B,"&gt;="&amp;A383-92,Quarterly!B:B,"&lt;="&amp;A383)))</f>
        <v>1350.2449999999999</v>
      </c>
      <c r="N383" s="13">
        <f t="shared" si="242"/>
        <v>0.10099000000000001</v>
      </c>
      <c r="O383">
        <f t="shared" si="230"/>
        <v>1363.61</v>
      </c>
      <c r="P383" s="56">
        <f>VLOOKUP(EOMONTH(A383,-1),Economic!A:I,7,FALSE)</f>
        <v>1160256</v>
      </c>
      <c r="Q383" s="13">
        <f t="shared" si="231"/>
        <v>0.11750000000000001</v>
      </c>
      <c r="R383" s="41">
        <v>2.71</v>
      </c>
      <c r="S383">
        <f t="shared" si="232"/>
        <v>2.8</v>
      </c>
      <c r="T383" s="30">
        <f t="shared" si="233"/>
        <v>222.13</v>
      </c>
      <c r="U383" s="30">
        <f t="shared" si="240"/>
        <v>226.16</v>
      </c>
    </row>
    <row r="384" spans="1:21" ht="15" customHeight="1" x14ac:dyDescent="0.25">
      <c r="A384" s="5">
        <v>40657</v>
      </c>
      <c r="B384" s="5">
        <f t="shared" si="234"/>
        <v>40663</v>
      </c>
      <c r="C384">
        <v>1337.38</v>
      </c>
      <c r="D384" s="29">
        <f t="shared" si="235"/>
        <v>1.0500000000000001E-2</v>
      </c>
      <c r="E384" s="39">
        <f t="shared" si="236"/>
        <v>1316.563846153846</v>
      </c>
      <c r="F384" s="39">
        <f t="shared" si="237"/>
        <v>1225.1807692307691</v>
      </c>
      <c r="G384" s="29">
        <f t="shared" si="229"/>
        <v>1.5800000000000002E-2</v>
      </c>
      <c r="H384" s="29">
        <f t="shared" si="229"/>
        <v>9.1600000000000001E-2</v>
      </c>
      <c r="I384">
        <f t="shared" si="238"/>
        <v>1337.38</v>
      </c>
      <c r="J384">
        <f>IF(A384&gt;=Quarterly!B$2,Quarterly!C$2,IF(COUNTIFS(Quarterly!B:B,"&gt;="&amp;A384-92,Quarterly!B:B,"&lt;="&amp;A384)&gt;1,SUMIFS(Quarterly!C:C,Quarterly!B:B,"&gt;="&amp;A384-88,Quarterly!B:B,"&lt;="&amp;A384),SUMIFS(Quarterly!C:C,Quarterly!B:B,"&gt;="&amp;A384-92,Quarterly!B:B,"&lt;="&amp;A384)))</f>
        <v>15230.2</v>
      </c>
      <c r="K384" s="13">
        <f t="shared" si="239"/>
        <v>8.7800000000000003E-2</v>
      </c>
      <c r="L384">
        <f t="shared" si="241"/>
        <v>1337.38</v>
      </c>
      <c r="M384">
        <f>IF(A384&gt;=Quarterly!B$2,Quarterly!D$2,IF(COUNTIFS(Quarterly!B:B,"&gt;="&amp;A384-92,Quarterly!B:B,"&lt;="&amp;A384)&gt;1,SUMIFS(Quarterly!D:D,Quarterly!B:B,"&gt;="&amp;A384-88,Quarterly!B:B,"&lt;="&amp;A384),SUMIFS(Quarterly!D:D,Quarterly!B:B,"&gt;="&amp;A384-92,Quarterly!B:B,"&lt;="&amp;A384)))</f>
        <v>1494.46</v>
      </c>
      <c r="N384" s="13">
        <f t="shared" si="242"/>
        <v>8.9490000000000014E-2</v>
      </c>
      <c r="O384">
        <f t="shared" si="230"/>
        <v>1337.38</v>
      </c>
      <c r="P384" s="56">
        <f>VLOOKUP(EOMONTH(A384,-1),Economic!A:I,7,FALSE)</f>
        <v>1146972</v>
      </c>
      <c r="Q384" s="13">
        <f t="shared" si="231"/>
        <v>0.1166</v>
      </c>
      <c r="R384" s="41">
        <v>2.74</v>
      </c>
      <c r="S384">
        <f t="shared" si="232"/>
        <v>2.83</v>
      </c>
      <c r="T384" s="30">
        <f t="shared" si="233"/>
        <v>227.34</v>
      </c>
      <c r="U384" s="30">
        <f t="shared" si="240"/>
        <v>228.02</v>
      </c>
    </row>
    <row r="385" spans="1:21" ht="15" customHeight="1" x14ac:dyDescent="0.25">
      <c r="A385" s="5">
        <v>40650</v>
      </c>
      <c r="B385" s="5">
        <f t="shared" si="234"/>
        <v>40663</v>
      </c>
      <c r="C385">
        <v>1319.68</v>
      </c>
      <c r="D385" s="29">
        <f t="shared" si="235"/>
        <v>4.7999999999999996E-3</v>
      </c>
      <c r="E385" s="39">
        <f t="shared" si="236"/>
        <v>1312.4076923076923</v>
      </c>
      <c r="F385" s="39">
        <f t="shared" si="237"/>
        <v>1219.1623076923076</v>
      </c>
      <c r="G385" s="29">
        <f t="shared" si="229"/>
        <v>5.4999999999999997E-3</v>
      </c>
      <c r="H385" s="29">
        <f t="shared" si="229"/>
        <v>8.2400000000000001E-2</v>
      </c>
      <c r="I385">
        <f t="shared" si="238"/>
        <v>1319.68</v>
      </c>
      <c r="J385">
        <f>IF(A385&gt;=Quarterly!B$2,Quarterly!C$2,IF(COUNTIFS(Quarterly!B:B,"&gt;="&amp;A385-92,Quarterly!B:B,"&lt;="&amp;A385)&gt;1,SUMIFS(Quarterly!C:C,Quarterly!B:B,"&gt;="&amp;A385-88,Quarterly!B:B,"&lt;="&amp;A385),SUMIFS(Quarterly!C:C,Quarterly!B:B,"&gt;="&amp;A385-92,Quarterly!B:B,"&lt;="&amp;A385)))</f>
        <v>15230.2</v>
      </c>
      <c r="K385" s="13">
        <f t="shared" si="239"/>
        <v>8.6599999999999996E-2</v>
      </c>
      <c r="L385">
        <f t="shared" si="241"/>
        <v>1319.68</v>
      </c>
      <c r="M385">
        <f>IF(A385&gt;=Quarterly!B$2,Quarterly!D$2,IF(COUNTIFS(Quarterly!B:B,"&gt;="&amp;A385-92,Quarterly!B:B,"&lt;="&amp;A385)&gt;1,SUMIFS(Quarterly!D:D,Quarterly!B:B,"&gt;="&amp;A385-88,Quarterly!B:B,"&lt;="&amp;A385),SUMIFS(Quarterly!D:D,Quarterly!B:B,"&gt;="&amp;A385-92,Quarterly!B:B,"&lt;="&amp;A385)))</f>
        <v>1494.46</v>
      </c>
      <c r="N385" s="13">
        <f t="shared" si="242"/>
        <v>8.8300000000000003E-2</v>
      </c>
      <c r="O385">
        <f t="shared" si="230"/>
        <v>1319.68</v>
      </c>
      <c r="P385" s="56">
        <f>VLOOKUP(EOMONTH(A385,-1),Economic!A:I,7,FALSE)</f>
        <v>1146972</v>
      </c>
      <c r="Q385" s="13">
        <f t="shared" si="231"/>
        <v>0.11509999999999999</v>
      </c>
      <c r="R385" s="41">
        <v>2.72</v>
      </c>
      <c r="S385">
        <f t="shared" si="232"/>
        <v>2.85</v>
      </c>
      <c r="T385" s="30">
        <f t="shared" si="233"/>
        <v>229.01</v>
      </c>
      <c r="U385" s="30">
        <f t="shared" si="240"/>
        <v>228.14</v>
      </c>
    </row>
    <row r="386" spans="1:21" ht="15" customHeight="1" x14ac:dyDescent="0.25">
      <c r="A386" s="5">
        <v>40643</v>
      </c>
      <c r="B386" s="5">
        <f t="shared" si="234"/>
        <v>40663</v>
      </c>
      <c r="C386">
        <v>1328.17</v>
      </c>
      <c r="D386" s="29">
        <f t="shared" si="235"/>
        <v>1.5900000000000001E-2</v>
      </c>
      <c r="E386" s="39">
        <f t="shared" si="236"/>
        <v>1310.3738461538462</v>
      </c>
      <c r="F386" s="39">
        <f t="shared" si="237"/>
        <v>1212.6289743589743</v>
      </c>
      <c r="G386" s="29">
        <f t="shared" ref="G386:H449" si="243">ROUND(($C386-E386)/E386,4)</f>
        <v>1.3599999999999999E-2</v>
      </c>
      <c r="H386" s="29">
        <f t="shared" si="243"/>
        <v>9.5299999999999996E-2</v>
      </c>
      <c r="I386">
        <f t="shared" si="238"/>
        <v>1328.17</v>
      </c>
      <c r="J386">
        <f>IF(A386&gt;=Quarterly!B$2,Quarterly!C$2,IF(COUNTIFS(Quarterly!B:B,"&gt;="&amp;A386-92,Quarterly!B:B,"&lt;="&amp;A386)&gt;1,SUMIFS(Quarterly!C:C,Quarterly!B:B,"&gt;="&amp;A386-88,Quarterly!B:B,"&lt;="&amp;A386),SUMIFS(Quarterly!C:C,Quarterly!B:B,"&gt;="&amp;A386-92,Quarterly!B:B,"&lt;="&amp;A386)))</f>
        <v>15230.2</v>
      </c>
      <c r="K386" s="13">
        <f t="shared" si="239"/>
        <v>8.72E-2</v>
      </c>
      <c r="L386">
        <f t="shared" si="241"/>
        <v>1328.17</v>
      </c>
      <c r="M386">
        <f>IF(A386&gt;=Quarterly!B$2,Quarterly!D$2,IF(COUNTIFS(Quarterly!B:B,"&gt;="&amp;A386-92,Quarterly!B:B,"&lt;="&amp;A386)&gt;1,SUMIFS(Quarterly!D:D,Quarterly!B:B,"&gt;="&amp;A386-88,Quarterly!B:B,"&lt;="&amp;A386),SUMIFS(Quarterly!D:D,Quarterly!B:B,"&gt;="&amp;A386-92,Quarterly!B:B,"&lt;="&amp;A386)))</f>
        <v>1494.46</v>
      </c>
      <c r="N386" s="13">
        <f t="shared" si="242"/>
        <v>8.8870000000000005E-2</v>
      </c>
      <c r="O386">
        <f t="shared" si="230"/>
        <v>1328.17</v>
      </c>
      <c r="P386" s="56">
        <f>VLOOKUP(EOMONTH(A386,-1),Economic!A:I,7,FALSE)</f>
        <v>1146972</v>
      </c>
      <c r="Q386" s="13">
        <f t="shared" si="231"/>
        <v>0.1158</v>
      </c>
      <c r="R386" s="41">
        <v>2.76</v>
      </c>
      <c r="S386">
        <f t="shared" si="232"/>
        <v>2.82</v>
      </c>
      <c r="T386" s="30">
        <f t="shared" si="233"/>
        <v>227.7</v>
      </c>
      <c r="U386" s="30">
        <f t="shared" si="240"/>
        <v>227.7</v>
      </c>
    </row>
    <row r="387" spans="1:21" ht="15" customHeight="1" x14ac:dyDescent="0.25">
      <c r="A387" s="5">
        <v>40636</v>
      </c>
      <c r="B387" s="5">
        <f t="shared" si="234"/>
        <v>40663</v>
      </c>
      <c r="C387">
        <v>1332.41</v>
      </c>
      <c r="D387" s="29">
        <f t="shared" si="235"/>
        <v>2.1299999999999999E-2</v>
      </c>
      <c r="E387" s="39">
        <f t="shared" si="236"/>
        <v>1306.0146153846154</v>
      </c>
      <c r="F387" s="39">
        <f t="shared" si="237"/>
        <v>1206.2133333333331</v>
      </c>
      <c r="G387" s="29">
        <f t="shared" si="243"/>
        <v>2.0199999999999999E-2</v>
      </c>
      <c r="H387" s="29">
        <f t="shared" si="243"/>
        <v>0.1046</v>
      </c>
      <c r="I387">
        <f t="shared" si="238"/>
        <v>1332.41</v>
      </c>
      <c r="J387">
        <f>IF(A387&gt;=Quarterly!B$2,Quarterly!C$2,IF(COUNTIFS(Quarterly!B:B,"&gt;="&amp;A387-92,Quarterly!B:B,"&lt;="&amp;A387)&gt;1,SUMIFS(Quarterly!C:C,Quarterly!B:B,"&gt;="&amp;A387-88,Quarterly!B:B,"&lt;="&amp;A387),SUMIFS(Quarterly!C:C,Quarterly!B:B,"&gt;="&amp;A387-92,Quarterly!B:B,"&lt;="&amp;A387)))</f>
        <v>15230.2</v>
      </c>
      <c r="K387" s="13">
        <f t="shared" si="239"/>
        <v>8.7499999999999994E-2</v>
      </c>
      <c r="L387">
        <f t="shared" si="241"/>
        <v>1332.41</v>
      </c>
      <c r="M387">
        <f>IF(A387&gt;=Quarterly!B$2,Quarterly!D$2,IF(COUNTIFS(Quarterly!B:B,"&gt;="&amp;A387-92,Quarterly!B:B,"&lt;="&amp;A387)&gt;1,SUMIFS(Quarterly!D:D,Quarterly!B:B,"&gt;="&amp;A387-88,Quarterly!B:B,"&lt;="&amp;A387),SUMIFS(Quarterly!D:D,Quarterly!B:B,"&gt;="&amp;A387-92,Quarterly!B:B,"&lt;="&amp;A387)))</f>
        <v>1494.46</v>
      </c>
      <c r="N387" s="13">
        <f t="shared" si="242"/>
        <v>8.9160000000000003E-2</v>
      </c>
      <c r="O387">
        <f t="shared" si="230"/>
        <v>1332.41</v>
      </c>
      <c r="P387" s="56">
        <f>VLOOKUP(EOMONTH(A387,-1),Economic!A:I,7,FALSE)</f>
        <v>1146972</v>
      </c>
      <c r="Q387" s="13">
        <f t="shared" si="231"/>
        <v>0.11620000000000001</v>
      </c>
      <c r="R387" s="41">
        <v>2.66</v>
      </c>
      <c r="S387">
        <f t="shared" si="232"/>
        <v>2.81</v>
      </c>
      <c r="T387" s="30">
        <f t="shared" si="233"/>
        <v>227.7</v>
      </c>
      <c r="U387" s="30">
        <f t="shared" si="240"/>
        <v>228.52</v>
      </c>
    </row>
    <row r="388" spans="1:21" ht="15" customHeight="1" x14ac:dyDescent="0.25">
      <c r="A388" s="5">
        <v>40629</v>
      </c>
      <c r="B388" s="5">
        <f t="shared" si="234"/>
        <v>40633</v>
      </c>
      <c r="C388">
        <v>1313.8</v>
      </c>
      <c r="D388" s="29">
        <f t="shared" si="235"/>
        <v>5.8999999999999999E-3</v>
      </c>
      <c r="E388" s="39">
        <f t="shared" si="236"/>
        <v>1300.2630769230771</v>
      </c>
      <c r="F388" s="39">
        <f t="shared" si="237"/>
        <v>1198.2689743589742</v>
      </c>
      <c r="G388" s="29">
        <f t="shared" si="243"/>
        <v>1.04E-2</v>
      </c>
      <c r="H388" s="29">
        <f t="shared" si="243"/>
        <v>9.64E-2</v>
      </c>
      <c r="I388">
        <f t="shared" si="238"/>
        <v>1313.8</v>
      </c>
      <c r="J388">
        <f>IF(A388&gt;=Quarterly!B$2,Quarterly!C$2,IF(COUNTIFS(Quarterly!B:B,"&gt;="&amp;A388-92,Quarterly!B:B,"&lt;="&amp;A388)&gt;1,SUMIFS(Quarterly!C:C,Quarterly!B:B,"&gt;="&amp;A388-88,Quarterly!B:B,"&lt;="&amp;A388),SUMIFS(Quarterly!C:C,Quarterly!B:B,"&gt;="&amp;A388-92,Quarterly!B:B,"&lt;="&amp;A388)))</f>
        <v>15230.2</v>
      </c>
      <c r="K388" s="13">
        <f t="shared" si="239"/>
        <v>8.6300000000000002E-2</v>
      </c>
      <c r="L388">
        <f t="shared" si="241"/>
        <v>1313.8</v>
      </c>
      <c r="M388">
        <f>IF(A388&gt;=Quarterly!B$2,Quarterly!D$2,IF(COUNTIFS(Quarterly!B:B,"&gt;="&amp;A388-92,Quarterly!B:B,"&lt;="&amp;A388)&gt;1,SUMIFS(Quarterly!D:D,Quarterly!B:B,"&gt;="&amp;A388-88,Quarterly!B:B,"&lt;="&amp;A388),SUMIFS(Quarterly!D:D,Quarterly!B:B,"&gt;="&amp;A388-92,Quarterly!B:B,"&lt;="&amp;A388)))</f>
        <v>1494.46</v>
      </c>
      <c r="N388" s="13">
        <f t="shared" si="242"/>
        <v>8.7910000000000002E-2</v>
      </c>
      <c r="O388">
        <f t="shared" si="230"/>
        <v>1313.8</v>
      </c>
      <c r="P388" s="56">
        <f>VLOOKUP(EOMONTH(A388,-1),Economic!A:I,7,FALSE)</f>
        <v>1130028</v>
      </c>
      <c r="Q388" s="13">
        <f t="shared" si="231"/>
        <v>0.1163</v>
      </c>
      <c r="R388" s="41">
        <v>2.67</v>
      </c>
      <c r="S388">
        <f t="shared" si="232"/>
        <v>2.78</v>
      </c>
      <c r="T388" s="30">
        <f t="shared" si="233"/>
        <v>227.71</v>
      </c>
      <c r="U388" s="30">
        <f t="shared" si="240"/>
        <v>229.89</v>
      </c>
    </row>
    <row r="389" spans="1:21" ht="15" customHeight="1" x14ac:dyDescent="0.25">
      <c r="A389" s="5">
        <v>40622</v>
      </c>
      <c r="B389" s="5">
        <f t="shared" si="234"/>
        <v>40633</v>
      </c>
      <c r="C389">
        <v>1279.21</v>
      </c>
      <c r="D389" s="29">
        <f t="shared" si="235"/>
        <v>-3.2399999999999998E-2</v>
      </c>
      <c r="E389" s="39">
        <f t="shared" si="236"/>
        <v>1295.8761538461538</v>
      </c>
      <c r="F389" s="39">
        <f t="shared" si="237"/>
        <v>1192.1910256410256</v>
      </c>
      <c r="G389" s="29">
        <f t="shared" si="243"/>
        <v>-1.29E-2</v>
      </c>
      <c r="H389" s="29">
        <f t="shared" si="243"/>
        <v>7.2999999999999995E-2</v>
      </c>
      <c r="I389">
        <f t="shared" si="238"/>
        <v>1279.21</v>
      </c>
      <c r="J389">
        <f>IF(A389&gt;=Quarterly!B$2,Quarterly!C$2,IF(COUNTIFS(Quarterly!B:B,"&gt;="&amp;A389-92,Quarterly!B:B,"&lt;="&amp;A389)&gt;1,SUMIFS(Quarterly!C:C,Quarterly!B:B,"&gt;="&amp;A389-88,Quarterly!B:B,"&lt;="&amp;A389),SUMIFS(Quarterly!C:C,Quarterly!B:B,"&gt;="&amp;A389-92,Quarterly!B:B,"&lt;="&amp;A389)))</f>
        <v>15230.2</v>
      </c>
      <c r="K389" s="13">
        <f t="shared" si="239"/>
        <v>8.4000000000000005E-2</v>
      </c>
      <c r="L389">
        <f t="shared" si="241"/>
        <v>1279.21</v>
      </c>
      <c r="M389">
        <f>IF(A389&gt;=Quarterly!B$2,Quarterly!D$2,IF(COUNTIFS(Quarterly!B:B,"&gt;="&amp;A389-92,Quarterly!B:B,"&lt;="&amp;A389)&gt;1,SUMIFS(Quarterly!D:D,Quarterly!B:B,"&gt;="&amp;A389-88,Quarterly!B:B,"&lt;="&amp;A389),SUMIFS(Quarterly!D:D,Quarterly!B:B,"&gt;="&amp;A389-92,Quarterly!B:B,"&lt;="&amp;A389)))</f>
        <v>1494.46</v>
      </c>
      <c r="N389" s="13">
        <f t="shared" si="242"/>
        <v>8.5600000000000009E-2</v>
      </c>
      <c r="O389">
        <f t="shared" si="230"/>
        <v>1279.21</v>
      </c>
      <c r="P389" s="56">
        <f>VLOOKUP(EOMONTH(A389,-1),Economic!A:I,7,FALSE)</f>
        <v>1130028</v>
      </c>
      <c r="Q389" s="13">
        <f t="shared" si="231"/>
        <v>0.1132</v>
      </c>
      <c r="R389" s="41">
        <v>2.67</v>
      </c>
      <c r="S389">
        <f t="shared" si="232"/>
        <v>2.81</v>
      </c>
      <c r="T389" s="30">
        <f t="shared" si="233"/>
        <v>230.14</v>
      </c>
      <c r="U389" s="30">
        <f t="shared" si="240"/>
        <v>229.63</v>
      </c>
    </row>
    <row r="390" spans="1:21" ht="15" customHeight="1" x14ac:dyDescent="0.25">
      <c r="A390" s="5">
        <v>40615</v>
      </c>
      <c r="B390" s="5">
        <f t="shared" si="234"/>
        <v>40633</v>
      </c>
      <c r="C390">
        <v>1304.28</v>
      </c>
      <c r="D390" s="29">
        <f t="shared" si="235"/>
        <v>-1.8100000000000002E-2</v>
      </c>
      <c r="E390" s="39">
        <f t="shared" si="236"/>
        <v>1293.1607692307693</v>
      </c>
      <c r="F390" s="39">
        <f t="shared" si="237"/>
        <v>1188.0448717948718</v>
      </c>
      <c r="G390" s="29">
        <f t="shared" si="243"/>
        <v>8.6E-3</v>
      </c>
      <c r="H390" s="29">
        <f t="shared" si="243"/>
        <v>9.7799999999999998E-2</v>
      </c>
      <c r="I390">
        <f t="shared" si="238"/>
        <v>1304.28</v>
      </c>
      <c r="J390">
        <f>IF(A390&gt;=Quarterly!B$2,Quarterly!C$2,IF(COUNTIFS(Quarterly!B:B,"&gt;="&amp;A390-92,Quarterly!B:B,"&lt;="&amp;A390)&gt;1,SUMIFS(Quarterly!C:C,Quarterly!B:B,"&gt;="&amp;A390-88,Quarterly!B:B,"&lt;="&amp;A390),SUMIFS(Quarterly!C:C,Quarterly!B:B,"&gt;="&amp;A390-92,Quarterly!B:B,"&lt;="&amp;A390)))</f>
        <v>15230.2</v>
      </c>
      <c r="K390" s="13">
        <f t="shared" si="239"/>
        <v>8.5599999999999996E-2</v>
      </c>
      <c r="L390">
        <f t="shared" si="241"/>
        <v>1304.28</v>
      </c>
      <c r="M390">
        <f>IF(A390&gt;=Quarterly!B$2,Quarterly!D$2,IF(COUNTIFS(Quarterly!B:B,"&gt;="&amp;A390-92,Quarterly!B:B,"&lt;="&amp;A390)&gt;1,SUMIFS(Quarterly!D:D,Quarterly!B:B,"&gt;="&amp;A390-88,Quarterly!B:B,"&lt;="&amp;A390),SUMIFS(Quarterly!D:D,Quarterly!B:B,"&gt;="&amp;A390-92,Quarterly!B:B,"&lt;="&amp;A390)))</f>
        <v>1494.46</v>
      </c>
      <c r="N390" s="13">
        <f t="shared" si="242"/>
        <v>8.7270000000000014E-2</v>
      </c>
      <c r="O390">
        <f t="shared" ref="O390:O453" si="244">C390</f>
        <v>1304.28</v>
      </c>
      <c r="P390" s="56">
        <f>VLOOKUP(EOMONTH(A390,-1),Economic!A:I,7,FALSE)</f>
        <v>1130028</v>
      </c>
      <c r="Q390" s="13">
        <f t="shared" ref="Q390:Q453" si="245">ROUND(O390/P390,6)*100</f>
        <v>0.1154</v>
      </c>
      <c r="R390" s="41">
        <v>2.76</v>
      </c>
      <c r="S390">
        <f t="shared" ref="S390:S453" si="246">R451</f>
        <v>2.87</v>
      </c>
      <c r="T390" s="30">
        <f t="shared" ref="T390:T453" si="247">IF((ROUND((S390*40)+(G390*350)-(H390*100)-((N390-0.15)*350)-(((K390*10.5)-1)*270)-(Q390*100),2)+144)*0.8&lt;0,0,ROUND((ROUND((S390*40)+(G390*350)-(H390*100)-((N390-0.15)*350)-(((K390*10.5)-1)*270)-(Q390*100),2)+144)*0.8,2))</f>
        <v>231.82</v>
      </c>
      <c r="U390" s="30">
        <f t="shared" si="240"/>
        <v>230.04</v>
      </c>
    </row>
    <row r="391" spans="1:21" ht="15" customHeight="1" x14ac:dyDescent="0.25">
      <c r="A391" s="5">
        <v>40608</v>
      </c>
      <c r="B391" s="5">
        <f t="shared" si="234"/>
        <v>40633</v>
      </c>
      <c r="C391">
        <v>1321.15</v>
      </c>
      <c r="D391" s="29">
        <f t="shared" si="235"/>
        <v>-3.5000000000000001E-3</v>
      </c>
      <c r="E391" s="39">
        <f t="shared" si="236"/>
        <v>1288.2469230769229</v>
      </c>
      <c r="F391" s="39">
        <f t="shared" si="237"/>
        <v>1182.5915384615384</v>
      </c>
      <c r="G391" s="29">
        <f t="shared" si="243"/>
        <v>2.5499999999999998E-2</v>
      </c>
      <c r="H391" s="29">
        <f t="shared" si="243"/>
        <v>0.1172</v>
      </c>
      <c r="I391">
        <f t="shared" si="238"/>
        <v>1321.15</v>
      </c>
      <c r="J391">
        <f>IF(A391&gt;=Quarterly!B$2,Quarterly!C$2,IF(COUNTIFS(Quarterly!B:B,"&gt;="&amp;A391-92,Quarterly!B:B,"&lt;="&amp;A391)&gt;1,SUMIFS(Quarterly!C:C,Quarterly!B:B,"&gt;="&amp;A391-88,Quarterly!B:B,"&lt;="&amp;A391),SUMIFS(Quarterly!C:C,Quarterly!B:B,"&gt;="&amp;A391-92,Quarterly!B:B,"&lt;="&amp;A391)))</f>
        <v>15230.2</v>
      </c>
      <c r="K391" s="13">
        <f t="shared" si="239"/>
        <v>8.6699999999999999E-2</v>
      </c>
      <c r="L391">
        <f t="shared" si="241"/>
        <v>1321.15</v>
      </c>
      <c r="M391">
        <f>IF(A391&gt;=Quarterly!B$2,Quarterly!D$2,IF(COUNTIFS(Quarterly!B:B,"&gt;="&amp;A391-92,Quarterly!B:B,"&lt;="&amp;A391)&gt;1,SUMIFS(Quarterly!D:D,Quarterly!B:B,"&gt;="&amp;A391-88,Quarterly!B:B,"&lt;="&amp;A391),SUMIFS(Quarterly!D:D,Quarterly!B:B,"&gt;="&amp;A391-92,Quarterly!B:B,"&lt;="&amp;A391)))</f>
        <v>1494.46</v>
      </c>
      <c r="N391" s="13">
        <f t="shared" si="242"/>
        <v>8.8400000000000006E-2</v>
      </c>
      <c r="O391">
        <f t="shared" si="244"/>
        <v>1321.15</v>
      </c>
      <c r="P391" s="56">
        <f>VLOOKUP(EOMONTH(A391,-1),Economic!A:I,7,FALSE)</f>
        <v>1130028</v>
      </c>
      <c r="Q391" s="13">
        <f t="shared" si="245"/>
        <v>0.11689999999999999</v>
      </c>
      <c r="R391" s="41">
        <v>2.81</v>
      </c>
      <c r="S391">
        <f t="shared" si="246"/>
        <v>2.71</v>
      </c>
      <c r="T391" s="30">
        <f t="shared" si="247"/>
        <v>226.94</v>
      </c>
      <c r="U391" s="30">
        <f t="shared" si="240"/>
        <v>229.37</v>
      </c>
    </row>
    <row r="392" spans="1:21" ht="15" customHeight="1" x14ac:dyDescent="0.25">
      <c r="A392" s="5">
        <v>40601</v>
      </c>
      <c r="B392" s="5">
        <f t="shared" si="234"/>
        <v>40602</v>
      </c>
      <c r="C392">
        <v>1319.88</v>
      </c>
      <c r="D392" s="29">
        <f t="shared" si="235"/>
        <v>3.8E-3</v>
      </c>
      <c r="E392" s="39">
        <f t="shared" si="236"/>
        <v>1280.8284615384616</v>
      </c>
      <c r="F392" s="39">
        <f t="shared" si="237"/>
        <v>1176.0205128205127</v>
      </c>
      <c r="G392" s="29">
        <f t="shared" si="243"/>
        <v>3.0499999999999999E-2</v>
      </c>
      <c r="H392" s="29">
        <f t="shared" si="243"/>
        <v>0.12230000000000001</v>
      </c>
      <c r="I392">
        <f t="shared" si="238"/>
        <v>1319.88</v>
      </c>
      <c r="J392">
        <f>IF(A392&gt;=Quarterly!B$2,Quarterly!C$2,IF(COUNTIFS(Quarterly!B:B,"&gt;="&amp;A392-92,Quarterly!B:B,"&lt;="&amp;A392)&gt;1,SUMIFS(Quarterly!C:C,Quarterly!B:B,"&gt;="&amp;A392-88,Quarterly!B:B,"&lt;="&amp;A392),SUMIFS(Quarterly!C:C,Quarterly!B:B,"&gt;="&amp;A392-92,Quarterly!B:B,"&lt;="&amp;A392)))</f>
        <v>15230.2</v>
      </c>
      <c r="K392" s="13">
        <f t="shared" si="239"/>
        <v>8.6699999999999999E-2</v>
      </c>
      <c r="L392">
        <f t="shared" si="241"/>
        <v>1319.88</v>
      </c>
      <c r="M392">
        <f>IF(A392&gt;=Quarterly!B$2,Quarterly!D$2,IF(COUNTIFS(Quarterly!B:B,"&gt;="&amp;A392-92,Quarterly!B:B,"&lt;="&amp;A392)&gt;1,SUMIFS(Quarterly!D:D,Quarterly!B:B,"&gt;="&amp;A392-88,Quarterly!B:B,"&lt;="&amp;A392),SUMIFS(Quarterly!D:D,Quarterly!B:B,"&gt;="&amp;A392-92,Quarterly!B:B,"&lt;="&amp;A392)))</f>
        <v>1494.46</v>
      </c>
      <c r="N392" s="13">
        <f t="shared" si="242"/>
        <v>8.832000000000001E-2</v>
      </c>
      <c r="O392">
        <f t="shared" si="244"/>
        <v>1319.88</v>
      </c>
      <c r="P392" s="56">
        <f>VLOOKUP(EOMONTH(A392,-1),Economic!A:I,7,FALSE)</f>
        <v>1115654</v>
      </c>
      <c r="Q392" s="13">
        <f t="shared" si="245"/>
        <v>0.1183</v>
      </c>
      <c r="R392" s="41">
        <v>2.7</v>
      </c>
      <c r="S392">
        <f t="shared" si="246"/>
        <v>2.82</v>
      </c>
      <c r="T392" s="30">
        <f t="shared" si="247"/>
        <v>231.37</v>
      </c>
      <c r="U392" s="30">
        <f t="shared" si="240"/>
        <v>231.01</v>
      </c>
    </row>
    <row r="393" spans="1:21" ht="15" customHeight="1" x14ac:dyDescent="0.25">
      <c r="A393" s="5">
        <v>40594</v>
      </c>
      <c r="B393" s="5">
        <f t="shared" si="234"/>
        <v>40602</v>
      </c>
      <c r="C393">
        <v>1343.01</v>
      </c>
      <c r="D393" s="29">
        <f t="shared" si="235"/>
        <v>3.3099999999999997E-2</v>
      </c>
      <c r="E393" s="39">
        <f t="shared" si="236"/>
        <v>1270.7915384615385</v>
      </c>
      <c r="F393" s="39">
        <f t="shared" si="237"/>
        <v>1170.1110256410254</v>
      </c>
      <c r="G393" s="29">
        <f t="shared" si="243"/>
        <v>5.6800000000000003E-2</v>
      </c>
      <c r="H393" s="29">
        <f t="shared" si="243"/>
        <v>0.14779999999999999</v>
      </c>
      <c r="I393">
        <f t="shared" si="238"/>
        <v>1343.01</v>
      </c>
      <c r="J393">
        <f>IF(A393&gt;=Quarterly!B$2,Quarterly!C$2,IF(COUNTIFS(Quarterly!B:B,"&gt;="&amp;A393-92,Quarterly!B:B,"&lt;="&amp;A393)&gt;1,SUMIFS(Quarterly!C:C,Quarterly!B:B,"&gt;="&amp;A393-88,Quarterly!B:B,"&lt;="&amp;A393),SUMIFS(Quarterly!C:C,Quarterly!B:B,"&gt;="&amp;A393-92,Quarterly!B:B,"&lt;="&amp;A393)))</f>
        <v>15230.2</v>
      </c>
      <c r="K393" s="13">
        <f t="shared" si="239"/>
        <v>8.8200000000000001E-2</v>
      </c>
      <c r="L393">
        <f t="shared" si="241"/>
        <v>1343.01</v>
      </c>
      <c r="M393">
        <f>IF(A393&gt;=Quarterly!B$2,Quarterly!D$2,IF(COUNTIFS(Quarterly!B:B,"&gt;="&amp;A393-92,Quarterly!B:B,"&lt;="&amp;A393)&gt;1,SUMIFS(Quarterly!D:D,Quarterly!B:B,"&gt;="&amp;A393-88,Quarterly!B:B,"&lt;="&amp;A393),SUMIFS(Quarterly!D:D,Quarterly!B:B,"&gt;="&amp;A393-92,Quarterly!B:B,"&lt;="&amp;A393)))</f>
        <v>1494.46</v>
      </c>
      <c r="N393" s="13">
        <f t="shared" si="242"/>
        <v>8.9870000000000005E-2</v>
      </c>
      <c r="O393">
        <f t="shared" si="244"/>
        <v>1343.01</v>
      </c>
      <c r="P393" s="56">
        <f>VLOOKUP(EOMONTH(A393,-1),Economic!A:I,7,FALSE)</f>
        <v>1115654</v>
      </c>
      <c r="Q393" s="13">
        <f t="shared" si="245"/>
        <v>0.12039999999999999</v>
      </c>
      <c r="R393" s="41">
        <v>2.81</v>
      </c>
      <c r="S393">
        <f t="shared" si="246"/>
        <v>2.73</v>
      </c>
      <c r="T393" s="30">
        <f t="shared" si="247"/>
        <v>229.81</v>
      </c>
      <c r="U393" s="30">
        <f t="shared" si="240"/>
        <v>231.1</v>
      </c>
    </row>
    <row r="394" spans="1:21" ht="15" customHeight="1" x14ac:dyDescent="0.25">
      <c r="A394" s="5">
        <v>40587</v>
      </c>
      <c r="B394" s="5">
        <f t="shared" si="234"/>
        <v>40602</v>
      </c>
      <c r="C394">
        <v>1329.15</v>
      </c>
      <c r="D394" s="29">
        <f t="shared" si="235"/>
        <v>2.9600000000000001E-2</v>
      </c>
      <c r="E394" s="39">
        <f t="shared" si="236"/>
        <v>1259.7699999999998</v>
      </c>
      <c r="F394" s="39">
        <f t="shared" si="237"/>
        <v>1163.564358974359</v>
      </c>
      <c r="G394" s="29">
        <f t="shared" si="243"/>
        <v>5.5100000000000003E-2</v>
      </c>
      <c r="H394" s="29">
        <f t="shared" si="243"/>
        <v>0.14230000000000001</v>
      </c>
      <c r="I394">
        <f t="shared" si="238"/>
        <v>1329.15</v>
      </c>
      <c r="J394">
        <f>IF(A394&gt;=Quarterly!B$2,Quarterly!C$2,IF(COUNTIFS(Quarterly!B:B,"&gt;="&amp;A394-92,Quarterly!B:B,"&lt;="&amp;A394)&gt;1,SUMIFS(Quarterly!C:C,Quarterly!B:B,"&gt;="&amp;A394-88,Quarterly!B:B,"&lt;="&amp;A394),SUMIFS(Quarterly!C:C,Quarterly!B:B,"&gt;="&amp;A394-92,Quarterly!B:B,"&lt;="&amp;A394)))</f>
        <v>15230.2</v>
      </c>
      <c r="K394" s="13">
        <f t="shared" si="239"/>
        <v>8.7300000000000003E-2</v>
      </c>
      <c r="L394">
        <f t="shared" si="241"/>
        <v>1329.15</v>
      </c>
      <c r="M394">
        <f>IF(A394&gt;=Quarterly!B$2,Quarterly!D$2,IF(COUNTIFS(Quarterly!B:B,"&gt;="&amp;A394-92,Quarterly!B:B,"&lt;="&amp;A394)&gt;1,SUMIFS(Quarterly!D:D,Quarterly!B:B,"&gt;="&amp;A394-88,Quarterly!B:B,"&lt;="&amp;A394),SUMIFS(Quarterly!D:D,Quarterly!B:B,"&gt;="&amp;A394-92,Quarterly!B:B,"&lt;="&amp;A394)))</f>
        <v>1494.46</v>
      </c>
      <c r="N394" s="13">
        <f t="shared" si="242"/>
        <v>8.8940000000000005E-2</v>
      </c>
      <c r="O394">
        <f t="shared" si="244"/>
        <v>1329.15</v>
      </c>
      <c r="P394" s="56">
        <f>VLOOKUP(EOMONTH(A394,-1),Economic!A:I,7,FALSE)</f>
        <v>1115654</v>
      </c>
      <c r="Q394" s="13">
        <f t="shared" si="245"/>
        <v>0.1191</v>
      </c>
      <c r="R394" s="41">
        <v>2.79</v>
      </c>
      <c r="S394">
        <f t="shared" si="246"/>
        <v>2.72</v>
      </c>
      <c r="T394" s="30">
        <f t="shared" si="247"/>
        <v>231.86</v>
      </c>
      <c r="U394" s="30">
        <f t="shared" si="240"/>
        <v>230.38</v>
      </c>
    </row>
    <row r="395" spans="1:21" ht="15" customHeight="1" x14ac:dyDescent="0.25">
      <c r="A395" s="5">
        <v>40580</v>
      </c>
      <c r="B395" s="5">
        <f t="shared" si="234"/>
        <v>40602</v>
      </c>
      <c r="C395">
        <v>1310.87</v>
      </c>
      <c r="D395" s="29">
        <f t="shared" si="235"/>
        <v>2.3199999999999998E-2</v>
      </c>
      <c r="E395" s="39">
        <f t="shared" si="236"/>
        <v>1249.7746153846153</v>
      </c>
      <c r="F395" s="39">
        <f t="shared" si="237"/>
        <v>1158.6035897435897</v>
      </c>
      <c r="G395" s="29">
        <f t="shared" si="243"/>
        <v>4.8899999999999999E-2</v>
      </c>
      <c r="H395" s="29">
        <f t="shared" si="243"/>
        <v>0.13139999999999999</v>
      </c>
      <c r="I395">
        <f t="shared" si="238"/>
        <v>1310.87</v>
      </c>
      <c r="J395">
        <f>IF(A395&gt;=Quarterly!B$2,Quarterly!C$2,IF(COUNTIFS(Quarterly!B:B,"&gt;="&amp;A395-92,Quarterly!B:B,"&lt;="&amp;A395)&gt;1,SUMIFS(Quarterly!C:C,Quarterly!B:B,"&gt;="&amp;A395-88,Quarterly!B:B,"&lt;="&amp;A395),SUMIFS(Quarterly!C:C,Quarterly!B:B,"&gt;="&amp;A395-92,Quarterly!B:B,"&lt;="&amp;A395)))</f>
        <v>15230.2</v>
      </c>
      <c r="K395" s="13">
        <f t="shared" si="239"/>
        <v>8.6099999999999996E-2</v>
      </c>
      <c r="L395">
        <f t="shared" si="241"/>
        <v>1310.87</v>
      </c>
      <c r="M395">
        <f>IF(A395&gt;=Quarterly!B$2,Quarterly!D$2,IF(COUNTIFS(Quarterly!B:B,"&gt;="&amp;A395-92,Quarterly!B:B,"&lt;="&amp;A395)&gt;1,SUMIFS(Quarterly!D:D,Quarterly!B:B,"&gt;="&amp;A395-88,Quarterly!B:B,"&lt;="&amp;A395),SUMIFS(Quarterly!D:D,Quarterly!B:B,"&gt;="&amp;A395-92,Quarterly!B:B,"&lt;="&amp;A395)))</f>
        <v>1494.46</v>
      </c>
      <c r="N395" s="13">
        <f t="shared" si="242"/>
        <v>8.7720000000000006E-2</v>
      </c>
      <c r="O395">
        <f t="shared" si="244"/>
        <v>1310.87</v>
      </c>
      <c r="P395" s="56">
        <f>VLOOKUP(EOMONTH(A395,-1),Economic!A:I,7,FALSE)</f>
        <v>1115654</v>
      </c>
      <c r="Q395" s="13">
        <f t="shared" si="245"/>
        <v>0.11750000000000001</v>
      </c>
      <c r="R395" s="41">
        <v>2.91</v>
      </c>
      <c r="S395">
        <f t="shared" si="246"/>
        <v>2.64</v>
      </c>
      <c r="T395" s="30">
        <f t="shared" si="247"/>
        <v>231.62</v>
      </c>
      <c r="U395" s="30">
        <f t="shared" si="240"/>
        <v>230.33</v>
      </c>
    </row>
    <row r="396" spans="1:21" ht="15" customHeight="1" x14ac:dyDescent="0.25">
      <c r="A396" s="5">
        <v>40573</v>
      </c>
      <c r="B396" s="5">
        <f t="shared" si="234"/>
        <v>40574</v>
      </c>
      <c r="C396">
        <v>1276.3399999999999</v>
      </c>
      <c r="D396" s="29">
        <f t="shared" si="235"/>
        <v>-1E-4</v>
      </c>
      <c r="E396" s="39">
        <f t="shared" si="236"/>
        <v>1243.2346153846154</v>
      </c>
      <c r="F396" s="39">
        <f t="shared" si="237"/>
        <v>1153.4756410256409</v>
      </c>
      <c r="G396" s="29">
        <f t="shared" si="243"/>
        <v>2.6599999999999999E-2</v>
      </c>
      <c r="H396" s="29">
        <f t="shared" si="243"/>
        <v>0.1065</v>
      </c>
      <c r="I396">
        <f t="shared" si="238"/>
        <v>1276.3399999999999</v>
      </c>
      <c r="J396">
        <f>IF(A396&gt;=Quarterly!B$2,Quarterly!C$2,IF(COUNTIFS(Quarterly!B:B,"&gt;="&amp;A396-92,Quarterly!B:B,"&lt;="&amp;A396)&gt;1,SUMIFS(Quarterly!C:C,Quarterly!B:B,"&gt;="&amp;A396-88,Quarterly!B:B,"&lt;="&amp;A396),SUMIFS(Quarterly!C:C,Quarterly!B:B,"&gt;="&amp;A396-92,Quarterly!B:B,"&lt;="&amp;A396)))</f>
        <v>15057.7</v>
      </c>
      <c r="K396" s="13">
        <f t="shared" si="239"/>
        <v>8.48E-2</v>
      </c>
      <c r="L396">
        <f t="shared" si="241"/>
        <v>1276.3399999999999</v>
      </c>
      <c r="M396">
        <f>IF(A396&gt;=Quarterly!B$2,Quarterly!D$2,IF(COUNTIFS(Quarterly!B:B,"&gt;="&amp;A396-92,Quarterly!B:B,"&lt;="&amp;A396)&gt;1,SUMIFS(Quarterly!D:D,Quarterly!B:B,"&gt;="&amp;A396-88,Quarterly!B:B,"&lt;="&amp;A396),SUMIFS(Quarterly!D:D,Quarterly!B:B,"&gt;="&amp;A396-92,Quarterly!B:B,"&lt;="&amp;A396)))</f>
        <v>1499.0709999999999</v>
      </c>
      <c r="N396" s="13">
        <f t="shared" si="242"/>
        <v>8.5140000000000007E-2</v>
      </c>
      <c r="O396">
        <f t="shared" si="244"/>
        <v>1276.3399999999999</v>
      </c>
      <c r="P396" s="56">
        <f>VLOOKUP(EOMONTH(A396,-1),Economic!A:I,7,FALSE)</f>
        <v>1103298</v>
      </c>
      <c r="Q396" s="13">
        <f t="shared" si="245"/>
        <v>0.1157</v>
      </c>
      <c r="R396" s="41">
        <v>2.82</v>
      </c>
      <c r="S396">
        <f t="shared" si="246"/>
        <v>2.5299999999999998</v>
      </c>
      <c r="T396" s="30">
        <f t="shared" si="247"/>
        <v>227.66</v>
      </c>
      <c r="U396" s="30">
        <f t="shared" si="240"/>
        <v>230.84</v>
      </c>
    </row>
    <row r="397" spans="1:21" ht="15" customHeight="1" x14ac:dyDescent="0.25">
      <c r="A397" s="5">
        <v>40566</v>
      </c>
      <c r="B397" s="5">
        <f t="shared" si="234"/>
        <v>40574</v>
      </c>
      <c r="C397">
        <v>1283.3499999999999</v>
      </c>
      <c r="D397" s="29">
        <f t="shared" si="235"/>
        <v>1.0699999999999999E-2</v>
      </c>
      <c r="E397" s="39">
        <f t="shared" si="236"/>
        <v>1236.0746153846155</v>
      </c>
      <c r="F397" s="39">
        <f t="shared" si="237"/>
        <v>1151.176923076923</v>
      </c>
      <c r="G397" s="29">
        <f t="shared" si="243"/>
        <v>3.8199999999999998E-2</v>
      </c>
      <c r="H397" s="29">
        <f t="shared" si="243"/>
        <v>0.1148</v>
      </c>
      <c r="I397">
        <f t="shared" si="238"/>
        <v>1283.3499999999999</v>
      </c>
      <c r="J397">
        <f>IF(A397&gt;=Quarterly!B$2,Quarterly!C$2,IF(COUNTIFS(Quarterly!B:B,"&gt;="&amp;A397-92,Quarterly!B:B,"&lt;="&amp;A397)&gt;1,SUMIFS(Quarterly!C:C,Quarterly!B:B,"&gt;="&amp;A397-88,Quarterly!B:B,"&lt;="&amp;A397),SUMIFS(Quarterly!C:C,Quarterly!B:B,"&gt;="&amp;A397-92,Quarterly!B:B,"&lt;="&amp;A397)))</f>
        <v>15057.7</v>
      </c>
      <c r="K397" s="13">
        <f t="shared" si="239"/>
        <v>8.5199999999999998E-2</v>
      </c>
      <c r="L397">
        <f t="shared" si="241"/>
        <v>1283.3499999999999</v>
      </c>
      <c r="M397">
        <f>IF(A397&gt;=Quarterly!B$2,Quarterly!D$2,IF(COUNTIFS(Quarterly!B:B,"&gt;="&amp;A397-92,Quarterly!B:B,"&lt;="&amp;A397)&gt;1,SUMIFS(Quarterly!D:D,Quarterly!B:B,"&gt;="&amp;A397-88,Quarterly!B:B,"&lt;="&amp;A397),SUMIFS(Quarterly!D:D,Quarterly!B:B,"&gt;="&amp;A397-92,Quarterly!B:B,"&lt;="&amp;A397)))</f>
        <v>1499.0709999999999</v>
      </c>
      <c r="N397" s="13">
        <f t="shared" si="242"/>
        <v>8.5610000000000006E-2</v>
      </c>
      <c r="O397">
        <f t="shared" si="244"/>
        <v>1283.3499999999999</v>
      </c>
      <c r="P397" s="56">
        <f>VLOOKUP(EOMONTH(A397,-1),Economic!A:I,7,FALSE)</f>
        <v>1103298</v>
      </c>
      <c r="Q397" s="13">
        <f t="shared" si="245"/>
        <v>0.1163</v>
      </c>
      <c r="R397" s="41">
        <v>2.81</v>
      </c>
      <c r="S397">
        <f t="shared" si="246"/>
        <v>2.61</v>
      </c>
      <c r="T397" s="30">
        <f t="shared" si="247"/>
        <v>231.72</v>
      </c>
      <c r="U397" s="30">
        <f t="shared" si="240"/>
        <v>234.24</v>
      </c>
    </row>
    <row r="398" spans="1:21" ht="15" customHeight="1" x14ac:dyDescent="0.25">
      <c r="A398" s="5">
        <v>40559</v>
      </c>
      <c r="B398" s="5">
        <f t="shared" si="234"/>
        <v>40574</v>
      </c>
      <c r="C398">
        <v>1293.24</v>
      </c>
      <c r="D398" s="29">
        <f t="shared" si="235"/>
        <v>2.8500000000000001E-2</v>
      </c>
      <c r="E398" s="39">
        <f t="shared" si="236"/>
        <v>1228.3615384615384</v>
      </c>
      <c r="F398" s="39">
        <f t="shared" si="237"/>
        <v>1149.4828205128206</v>
      </c>
      <c r="G398" s="29">
        <f t="shared" si="243"/>
        <v>5.28E-2</v>
      </c>
      <c r="H398" s="29">
        <f t="shared" si="243"/>
        <v>0.12509999999999999</v>
      </c>
      <c r="I398">
        <f t="shared" si="238"/>
        <v>1293.24</v>
      </c>
      <c r="J398">
        <f>IF(A398&gt;=Quarterly!B$2,Quarterly!C$2,IF(COUNTIFS(Quarterly!B:B,"&gt;="&amp;A398-92,Quarterly!B:B,"&lt;="&amp;A398)&gt;1,SUMIFS(Quarterly!C:C,Quarterly!B:B,"&gt;="&amp;A398-88,Quarterly!B:B,"&lt;="&amp;A398),SUMIFS(Quarterly!C:C,Quarterly!B:B,"&gt;="&amp;A398-92,Quarterly!B:B,"&lt;="&amp;A398)))</f>
        <v>15057.7</v>
      </c>
      <c r="K398" s="13">
        <f t="shared" si="239"/>
        <v>8.5900000000000004E-2</v>
      </c>
      <c r="L398">
        <f t="shared" si="241"/>
        <v>1293.24</v>
      </c>
      <c r="M398">
        <f>IF(A398&gt;=Quarterly!B$2,Quarterly!D$2,IF(COUNTIFS(Quarterly!B:B,"&gt;="&amp;A398-92,Quarterly!B:B,"&lt;="&amp;A398)&gt;1,SUMIFS(Quarterly!D:D,Quarterly!B:B,"&gt;="&amp;A398-88,Quarterly!B:B,"&lt;="&amp;A398),SUMIFS(Quarterly!D:D,Quarterly!B:B,"&gt;="&amp;A398-92,Quarterly!B:B,"&lt;="&amp;A398)))</f>
        <v>1499.0709999999999</v>
      </c>
      <c r="N398" s="13">
        <f t="shared" si="242"/>
        <v>8.6270000000000013E-2</v>
      </c>
      <c r="O398">
        <f t="shared" si="244"/>
        <v>1293.24</v>
      </c>
      <c r="P398" s="56">
        <f>VLOOKUP(EOMONTH(A398,-1),Economic!A:I,7,FALSE)</f>
        <v>1103298</v>
      </c>
      <c r="Q398" s="13">
        <f t="shared" si="245"/>
        <v>0.11720000000000001</v>
      </c>
      <c r="R398" s="41">
        <v>2.76</v>
      </c>
      <c r="S398">
        <f t="shared" si="246"/>
        <v>2.61</v>
      </c>
      <c r="T398" s="30">
        <f t="shared" si="247"/>
        <v>233.14</v>
      </c>
      <c r="U398" s="30">
        <f t="shared" si="240"/>
        <v>235.14</v>
      </c>
    </row>
    <row r="399" spans="1:21" ht="15" customHeight="1" x14ac:dyDescent="0.25">
      <c r="A399" s="5">
        <v>40552</v>
      </c>
      <c r="B399" s="5">
        <f t="shared" si="234"/>
        <v>40574</v>
      </c>
      <c r="C399">
        <v>1271.5</v>
      </c>
      <c r="D399" s="29">
        <f t="shared" si="235"/>
        <v>1.7500000000000002E-2</v>
      </c>
      <c r="E399" s="39">
        <f t="shared" si="236"/>
        <v>1219.3576923076923</v>
      </c>
      <c r="F399" s="39">
        <f t="shared" si="237"/>
        <v>1146.8902564102564</v>
      </c>
      <c r="G399" s="29">
        <f t="shared" si="243"/>
        <v>4.2799999999999998E-2</v>
      </c>
      <c r="H399" s="29">
        <f t="shared" si="243"/>
        <v>0.1087</v>
      </c>
      <c r="I399">
        <f t="shared" si="238"/>
        <v>1271.5</v>
      </c>
      <c r="J399">
        <f>IF(A399&gt;=Quarterly!B$2,Quarterly!C$2,IF(COUNTIFS(Quarterly!B:B,"&gt;="&amp;A399-92,Quarterly!B:B,"&lt;="&amp;A399)&gt;1,SUMIFS(Quarterly!C:C,Quarterly!B:B,"&gt;="&amp;A399-88,Quarterly!B:B,"&lt;="&amp;A399),SUMIFS(Quarterly!C:C,Quarterly!B:B,"&gt;="&amp;A399-92,Quarterly!B:B,"&lt;="&amp;A399)))</f>
        <v>15057.7</v>
      </c>
      <c r="K399" s="13">
        <f t="shared" si="239"/>
        <v>8.4400000000000003E-2</v>
      </c>
      <c r="L399">
        <f t="shared" si="241"/>
        <v>1271.5</v>
      </c>
      <c r="M399">
        <f>IF(A399&gt;=Quarterly!B$2,Quarterly!D$2,IF(COUNTIFS(Quarterly!B:B,"&gt;="&amp;A399-92,Quarterly!B:B,"&lt;="&amp;A399)&gt;1,SUMIFS(Quarterly!D:D,Quarterly!B:B,"&gt;="&amp;A399-88,Quarterly!B:B,"&lt;="&amp;A399),SUMIFS(Quarterly!D:D,Quarterly!B:B,"&gt;="&amp;A399-92,Quarterly!B:B,"&lt;="&amp;A399)))</f>
        <v>1499.0709999999999</v>
      </c>
      <c r="N399" s="13">
        <f t="shared" si="242"/>
        <v>8.4820000000000007E-2</v>
      </c>
      <c r="O399">
        <f t="shared" si="244"/>
        <v>1271.5</v>
      </c>
      <c r="P399" s="56">
        <f>VLOOKUP(EOMONTH(A399,-1),Economic!A:I,7,FALSE)</f>
        <v>1103298</v>
      </c>
      <c r="Q399" s="13">
        <f t="shared" si="245"/>
        <v>0.1152</v>
      </c>
      <c r="R399" s="41">
        <v>2.74</v>
      </c>
      <c r="S399">
        <f t="shared" si="246"/>
        <v>2.68</v>
      </c>
      <c r="T399" s="30">
        <f t="shared" si="247"/>
        <v>237.86</v>
      </c>
      <c r="U399" s="30">
        <f t="shared" si="240"/>
        <v>235.69</v>
      </c>
    </row>
    <row r="400" spans="1:21" ht="15" customHeight="1" x14ac:dyDescent="0.25">
      <c r="A400" s="5">
        <v>40545</v>
      </c>
      <c r="B400" s="5">
        <f t="shared" si="234"/>
        <v>40574</v>
      </c>
      <c r="C400">
        <v>1257.6400000000001</v>
      </c>
      <c r="D400" s="29">
        <f t="shared" si="235"/>
        <v>1.2999999999999999E-2</v>
      </c>
      <c r="E400" s="39">
        <f t="shared" si="236"/>
        <v>1211.1769230769232</v>
      </c>
      <c r="F400" s="39">
        <f t="shared" si="237"/>
        <v>1144.9125641025639</v>
      </c>
      <c r="G400" s="29">
        <f t="shared" si="243"/>
        <v>3.8399999999999997E-2</v>
      </c>
      <c r="H400" s="29">
        <f t="shared" si="243"/>
        <v>9.8500000000000004E-2</v>
      </c>
      <c r="I400">
        <f t="shared" si="238"/>
        <v>1257.6400000000001</v>
      </c>
      <c r="J400">
        <f>IF(A400&gt;=Quarterly!B$2,Quarterly!C$2,IF(COUNTIFS(Quarterly!B:B,"&gt;="&amp;A400-92,Quarterly!B:B,"&lt;="&amp;A400)&gt;1,SUMIFS(Quarterly!C:C,Quarterly!B:B,"&gt;="&amp;A400-88,Quarterly!B:B,"&lt;="&amp;A400),SUMIFS(Quarterly!C:C,Quarterly!B:B,"&gt;="&amp;A400-92,Quarterly!B:B,"&lt;="&amp;A400)))</f>
        <v>15057.7</v>
      </c>
      <c r="K400" s="13">
        <f t="shared" si="239"/>
        <v>8.3500000000000005E-2</v>
      </c>
      <c r="L400">
        <f t="shared" si="241"/>
        <v>1257.6400000000001</v>
      </c>
      <c r="M400">
        <f>IF(A400&gt;=Quarterly!B$2,Quarterly!D$2,IF(COUNTIFS(Quarterly!B:B,"&gt;="&amp;A400-92,Quarterly!B:B,"&lt;="&amp;A400)&gt;1,SUMIFS(Quarterly!D:D,Quarterly!B:B,"&gt;="&amp;A400-88,Quarterly!B:B,"&lt;="&amp;A400),SUMIFS(Quarterly!D:D,Quarterly!B:B,"&gt;="&amp;A400-92,Quarterly!B:B,"&lt;="&amp;A400)))</f>
        <v>1499.0709999999999</v>
      </c>
      <c r="N400" s="13">
        <f t="shared" si="242"/>
        <v>8.3890000000000006E-2</v>
      </c>
      <c r="O400">
        <f t="shared" si="244"/>
        <v>1257.6400000000001</v>
      </c>
      <c r="P400" s="56">
        <f>VLOOKUP(EOMONTH(A400,-1),Economic!A:I,7,FALSE)</f>
        <v>1103298</v>
      </c>
      <c r="Q400" s="13">
        <f t="shared" si="245"/>
        <v>0.11399999999999999</v>
      </c>
      <c r="R400" s="41">
        <v>2.69</v>
      </c>
      <c r="S400">
        <f t="shared" si="246"/>
        <v>2.5099999999999998</v>
      </c>
      <c r="T400" s="30">
        <f t="shared" si="247"/>
        <v>234.41</v>
      </c>
      <c r="U400" s="30">
        <f t="shared" si="240"/>
        <v>235.27</v>
      </c>
    </row>
    <row r="401" spans="1:21" ht="15" customHeight="1" x14ac:dyDescent="0.25">
      <c r="A401" s="5">
        <v>40538</v>
      </c>
      <c r="B401" s="5">
        <f t="shared" si="234"/>
        <v>40543</v>
      </c>
      <c r="C401">
        <v>1256.77</v>
      </c>
      <c r="D401" s="29">
        <f t="shared" si="235"/>
        <v>2.63E-2</v>
      </c>
      <c r="E401" s="39">
        <f t="shared" si="236"/>
        <v>1202.6076923076923</v>
      </c>
      <c r="F401" s="39">
        <f t="shared" si="237"/>
        <v>1142.8730769230767</v>
      </c>
      <c r="G401" s="29">
        <f t="shared" si="243"/>
        <v>4.4999999999999998E-2</v>
      </c>
      <c r="H401" s="29">
        <f t="shared" si="243"/>
        <v>9.9699999999999997E-2</v>
      </c>
      <c r="I401">
        <f t="shared" si="238"/>
        <v>1256.77</v>
      </c>
      <c r="J401">
        <f>IF(A401&gt;=Quarterly!B$2,Quarterly!C$2,IF(COUNTIFS(Quarterly!B:B,"&gt;="&amp;A401-92,Quarterly!B:B,"&lt;="&amp;A401)&gt;1,SUMIFS(Quarterly!C:C,Quarterly!B:B,"&gt;="&amp;A401-88,Quarterly!B:B,"&lt;="&amp;A401),SUMIFS(Quarterly!C:C,Quarterly!B:B,"&gt;="&amp;A401-92,Quarterly!B:B,"&lt;="&amp;A401)))</f>
        <v>15057.7</v>
      </c>
      <c r="K401" s="13">
        <f t="shared" si="239"/>
        <v>8.3500000000000005E-2</v>
      </c>
      <c r="L401">
        <f t="shared" si="241"/>
        <v>1256.77</v>
      </c>
      <c r="M401">
        <f>IF(A401&gt;=Quarterly!B$2,Quarterly!D$2,IF(COUNTIFS(Quarterly!B:B,"&gt;="&amp;A401-92,Quarterly!B:B,"&lt;="&amp;A401)&gt;1,SUMIFS(Quarterly!D:D,Quarterly!B:B,"&gt;="&amp;A401-88,Quarterly!B:B,"&lt;="&amp;A401),SUMIFS(Quarterly!D:D,Quarterly!B:B,"&gt;="&amp;A401-92,Quarterly!B:B,"&lt;="&amp;A401)))</f>
        <v>1499.0709999999999</v>
      </c>
      <c r="N401" s="13">
        <f t="shared" si="242"/>
        <v>8.3840000000000012E-2</v>
      </c>
      <c r="O401">
        <f t="shared" si="244"/>
        <v>1256.77</v>
      </c>
      <c r="P401" s="56">
        <f>VLOOKUP(EOMONTH(A401,-1),Economic!A:I,7,FALSE)</f>
        <v>1091792</v>
      </c>
      <c r="Q401" s="13">
        <f t="shared" si="245"/>
        <v>0.11509999999999999</v>
      </c>
      <c r="R401" s="41">
        <v>2.74</v>
      </c>
      <c r="S401">
        <f t="shared" si="246"/>
        <v>2.4700000000000002</v>
      </c>
      <c r="T401" s="30">
        <f t="shared" si="247"/>
        <v>234.8</v>
      </c>
      <c r="U401" s="30">
        <f t="shared" si="240"/>
        <v>236.26</v>
      </c>
    </row>
    <row r="402" spans="1:21" ht="15" customHeight="1" x14ac:dyDescent="0.25">
      <c r="A402" s="5">
        <v>40531</v>
      </c>
      <c r="B402" s="5">
        <f t="shared" ref="B402:B465" si="248">EOMONTH(A402,0)</f>
        <v>40543</v>
      </c>
      <c r="C402">
        <v>1243.9100000000001</v>
      </c>
      <c r="D402" s="29">
        <f t="shared" ref="D402:D465" si="249">ROUND((C402-AVERAGE(C403:C406))/AVERAGE(C403:C406),4)</f>
        <v>2.5000000000000001E-2</v>
      </c>
      <c r="E402" s="39">
        <f t="shared" ref="E402:E465" si="250">AVERAGE(C402:C414)</f>
        <v>1194.2923076923075</v>
      </c>
      <c r="F402" s="39">
        <f t="shared" ref="F402:F465" si="251">AVERAGE(C402:C440)</f>
        <v>1140.560769230769</v>
      </c>
      <c r="G402" s="29">
        <f t="shared" si="243"/>
        <v>4.1500000000000002E-2</v>
      </c>
      <c r="H402" s="29">
        <f t="shared" si="243"/>
        <v>9.06E-2</v>
      </c>
      <c r="I402">
        <f t="shared" ref="I402:I465" si="252">C402</f>
        <v>1243.9100000000001</v>
      </c>
      <c r="J402">
        <f>IF(A402&gt;=Quarterly!B$2,Quarterly!C$2,IF(COUNTIFS(Quarterly!B:B,"&gt;="&amp;A402-92,Quarterly!B:B,"&lt;="&amp;A402)&gt;1,SUMIFS(Quarterly!C:C,Quarterly!B:B,"&gt;="&amp;A402-88,Quarterly!B:B,"&lt;="&amp;A402),SUMIFS(Quarterly!C:C,Quarterly!B:B,"&gt;="&amp;A402-92,Quarterly!B:B,"&lt;="&amp;A402)))</f>
        <v>15057.7</v>
      </c>
      <c r="K402" s="13">
        <f t="shared" ref="K402:K465" si="253">ROUND(I402/J402,4)</f>
        <v>8.2600000000000007E-2</v>
      </c>
      <c r="L402">
        <f t="shared" si="241"/>
        <v>1243.9100000000001</v>
      </c>
      <c r="M402">
        <f>IF(A402&gt;=Quarterly!B$2,Quarterly!D$2,IF(COUNTIFS(Quarterly!B:B,"&gt;="&amp;A402-92,Quarterly!B:B,"&lt;="&amp;A402)&gt;1,SUMIFS(Quarterly!D:D,Quarterly!B:B,"&gt;="&amp;A402-88,Quarterly!B:B,"&lt;="&amp;A402),SUMIFS(Quarterly!D:D,Quarterly!B:B,"&gt;="&amp;A402-92,Quarterly!B:B,"&lt;="&amp;A402)))</f>
        <v>1499.0709999999999</v>
      </c>
      <c r="N402" s="13">
        <f t="shared" si="242"/>
        <v>8.2979999999999998E-2</v>
      </c>
      <c r="O402">
        <f t="shared" si="244"/>
        <v>1243.9100000000001</v>
      </c>
      <c r="P402" s="56">
        <f>VLOOKUP(EOMONTH(A402,-1),Economic!A:I,7,FALSE)</f>
        <v>1091792</v>
      </c>
      <c r="Q402" s="13">
        <f t="shared" si="245"/>
        <v>0.1139</v>
      </c>
      <c r="R402" s="41">
        <v>2.72</v>
      </c>
      <c r="S402">
        <f t="shared" si="246"/>
        <v>2.46</v>
      </c>
      <c r="T402" s="30">
        <f t="shared" si="247"/>
        <v>236.61</v>
      </c>
      <c r="U402" s="30">
        <f t="shared" ref="U402:U465" si="254">ROUND(AVERAGE(T402:T404),2)</f>
        <v>237.35</v>
      </c>
    </row>
    <row r="403" spans="1:21" ht="15" customHeight="1" x14ac:dyDescent="0.25">
      <c r="A403" s="5">
        <v>40524</v>
      </c>
      <c r="B403" s="5">
        <f t="shared" si="248"/>
        <v>40543</v>
      </c>
      <c r="C403">
        <v>1240.4000000000001</v>
      </c>
      <c r="D403" s="29">
        <f t="shared" si="249"/>
        <v>3.09E-2</v>
      </c>
      <c r="E403" s="39">
        <f t="shared" si="250"/>
        <v>1185.1907692307691</v>
      </c>
      <c r="F403" s="39">
        <f t="shared" si="251"/>
        <v>1138.4066666666665</v>
      </c>
      <c r="G403" s="29">
        <f t="shared" si="243"/>
        <v>4.6600000000000003E-2</v>
      </c>
      <c r="H403" s="29">
        <f t="shared" si="243"/>
        <v>8.9599999999999999E-2</v>
      </c>
      <c r="I403">
        <f t="shared" si="252"/>
        <v>1240.4000000000001</v>
      </c>
      <c r="J403">
        <f>IF(A403&gt;=Quarterly!B$2,Quarterly!C$2,IF(COUNTIFS(Quarterly!B:B,"&gt;="&amp;A403-92,Quarterly!B:B,"&lt;="&amp;A403)&gt;1,SUMIFS(Quarterly!C:C,Quarterly!B:B,"&gt;="&amp;A403-88,Quarterly!B:B,"&lt;="&amp;A403),SUMIFS(Quarterly!C:C,Quarterly!B:B,"&gt;="&amp;A403-92,Quarterly!B:B,"&lt;="&amp;A403)))</f>
        <v>15057.7</v>
      </c>
      <c r="K403" s="13">
        <f t="shared" si="253"/>
        <v>8.2400000000000001E-2</v>
      </c>
      <c r="L403">
        <f t="shared" si="241"/>
        <v>1240.4000000000001</v>
      </c>
      <c r="M403">
        <f>IF(A403&gt;=Quarterly!B$2,Quarterly!D$2,IF(COUNTIFS(Quarterly!B:B,"&gt;="&amp;A403-92,Quarterly!B:B,"&lt;="&amp;A403)&gt;1,SUMIFS(Quarterly!D:D,Quarterly!B:B,"&gt;="&amp;A403-88,Quarterly!B:B,"&lt;="&amp;A403),SUMIFS(Quarterly!D:D,Quarterly!B:B,"&gt;="&amp;A403-92,Quarterly!B:B,"&lt;="&amp;A403)))</f>
        <v>1499.0709999999999</v>
      </c>
      <c r="N403" s="13">
        <f t="shared" si="242"/>
        <v>8.2740000000000008E-2</v>
      </c>
      <c r="O403">
        <f t="shared" si="244"/>
        <v>1240.4000000000001</v>
      </c>
      <c r="P403" s="56">
        <f>VLOOKUP(EOMONTH(A403,-1),Economic!A:I,7,FALSE)</f>
        <v>1091792</v>
      </c>
      <c r="Q403" s="13">
        <f t="shared" si="245"/>
        <v>0.11360000000000001</v>
      </c>
      <c r="R403" s="41">
        <v>2.68</v>
      </c>
      <c r="S403">
        <f t="shared" si="246"/>
        <v>2.42</v>
      </c>
      <c r="T403" s="30">
        <f t="shared" si="247"/>
        <v>237.38</v>
      </c>
      <c r="U403" s="30">
        <f t="shared" si="254"/>
        <v>238.58</v>
      </c>
    </row>
    <row r="404" spans="1:21" ht="15" customHeight="1" x14ac:dyDescent="0.25">
      <c r="A404" s="5">
        <v>40517</v>
      </c>
      <c r="B404" s="5">
        <f t="shared" si="248"/>
        <v>40543</v>
      </c>
      <c r="C404">
        <v>1224.71</v>
      </c>
      <c r="D404" s="29">
        <f t="shared" si="249"/>
        <v>1.7600000000000001E-2</v>
      </c>
      <c r="E404" s="39">
        <f t="shared" si="250"/>
        <v>1175.1253846153845</v>
      </c>
      <c r="F404" s="39">
        <f t="shared" si="251"/>
        <v>1136.0884615384612</v>
      </c>
      <c r="G404" s="29">
        <f t="shared" si="243"/>
        <v>4.2200000000000001E-2</v>
      </c>
      <c r="H404" s="29">
        <f t="shared" si="243"/>
        <v>7.8E-2</v>
      </c>
      <c r="I404">
        <f t="shared" si="252"/>
        <v>1224.71</v>
      </c>
      <c r="J404">
        <f>IF(A404&gt;=Quarterly!B$2,Quarterly!C$2,IF(COUNTIFS(Quarterly!B:B,"&gt;="&amp;A404-92,Quarterly!B:B,"&lt;="&amp;A404)&gt;1,SUMIFS(Quarterly!C:C,Quarterly!B:B,"&gt;="&amp;A404-88,Quarterly!B:B,"&lt;="&amp;A404),SUMIFS(Quarterly!C:C,Quarterly!B:B,"&gt;="&amp;A404-92,Quarterly!B:B,"&lt;="&amp;A404)))</f>
        <v>15057.7</v>
      </c>
      <c r="K404" s="13">
        <f t="shared" si="253"/>
        <v>8.1299999999999997E-2</v>
      </c>
      <c r="L404">
        <f t="shared" si="241"/>
        <v>1224.71</v>
      </c>
      <c r="M404">
        <f>IF(A404&gt;=Quarterly!B$2,Quarterly!D$2,IF(COUNTIFS(Quarterly!B:B,"&gt;="&amp;A404-92,Quarterly!B:B,"&lt;="&amp;A404)&gt;1,SUMIFS(Quarterly!D:D,Quarterly!B:B,"&gt;="&amp;A404-88,Quarterly!B:B,"&lt;="&amp;A404),SUMIFS(Quarterly!D:D,Quarterly!B:B,"&gt;="&amp;A404-92,Quarterly!B:B,"&lt;="&amp;A404)))</f>
        <v>1499.0709999999999</v>
      </c>
      <c r="N404" s="13">
        <f t="shared" si="242"/>
        <v>8.1699999999999995E-2</v>
      </c>
      <c r="O404">
        <f t="shared" si="244"/>
        <v>1224.71</v>
      </c>
      <c r="P404" s="56">
        <f>VLOOKUP(EOMONTH(A404,-1),Economic!A:I,7,FALSE)</f>
        <v>1091792</v>
      </c>
      <c r="Q404" s="13">
        <f t="shared" si="245"/>
        <v>0.11219999999999999</v>
      </c>
      <c r="R404" s="41">
        <v>2.54</v>
      </c>
      <c r="S404">
        <f t="shared" si="246"/>
        <v>2.36</v>
      </c>
      <c r="T404" s="30">
        <f t="shared" si="247"/>
        <v>238.06</v>
      </c>
      <c r="U404" s="30">
        <f t="shared" si="254"/>
        <v>241.32</v>
      </c>
    </row>
    <row r="405" spans="1:21" ht="15" customHeight="1" x14ac:dyDescent="0.25">
      <c r="A405" s="5">
        <v>40510</v>
      </c>
      <c r="B405" s="5">
        <f t="shared" si="248"/>
        <v>40512</v>
      </c>
      <c r="C405">
        <v>1189.4000000000001</v>
      </c>
      <c r="D405" s="29">
        <f t="shared" si="249"/>
        <v>-1.0500000000000001E-2</v>
      </c>
      <c r="E405" s="39">
        <f t="shared" si="250"/>
        <v>1165.8792307692308</v>
      </c>
      <c r="F405" s="39">
        <f t="shared" si="251"/>
        <v>1133.8830769230767</v>
      </c>
      <c r="G405" s="29">
        <f t="shared" si="243"/>
        <v>2.0199999999999999E-2</v>
      </c>
      <c r="H405" s="29">
        <f t="shared" si="243"/>
        <v>4.9000000000000002E-2</v>
      </c>
      <c r="I405">
        <f t="shared" si="252"/>
        <v>1189.4000000000001</v>
      </c>
      <c r="J405">
        <f>IF(A405&gt;=Quarterly!B$2,Quarterly!C$2,IF(COUNTIFS(Quarterly!B:B,"&gt;="&amp;A405-92,Quarterly!B:B,"&lt;="&amp;A405)&gt;1,SUMIFS(Quarterly!C:C,Quarterly!B:B,"&gt;="&amp;A405-88,Quarterly!B:B,"&lt;="&amp;A405),SUMIFS(Quarterly!C:C,Quarterly!B:B,"&gt;="&amp;A405-92,Quarterly!B:B,"&lt;="&amp;A405)))</f>
        <v>15057.7</v>
      </c>
      <c r="K405" s="13">
        <f t="shared" si="253"/>
        <v>7.9000000000000001E-2</v>
      </c>
      <c r="L405">
        <f t="shared" si="241"/>
        <v>1189.4000000000001</v>
      </c>
      <c r="M405">
        <f>IF(A405&gt;=Quarterly!B$2,Quarterly!D$2,IF(COUNTIFS(Quarterly!B:B,"&gt;="&amp;A405-92,Quarterly!B:B,"&lt;="&amp;A405)&gt;1,SUMIFS(Quarterly!D:D,Quarterly!B:B,"&gt;="&amp;A405-88,Quarterly!B:B,"&lt;="&amp;A405),SUMIFS(Quarterly!D:D,Quarterly!B:B,"&gt;="&amp;A405-92,Quarterly!B:B,"&lt;="&amp;A405)))</f>
        <v>1499.0709999999999</v>
      </c>
      <c r="N405" s="13">
        <f t="shared" si="242"/>
        <v>7.9340000000000008E-2</v>
      </c>
      <c r="O405">
        <f t="shared" si="244"/>
        <v>1189.4000000000001</v>
      </c>
      <c r="P405" s="56">
        <f>VLOOKUP(EOMONTH(A405,-1),Economic!A:I,7,FALSE)</f>
        <v>1083710</v>
      </c>
      <c r="Q405" s="13">
        <f t="shared" si="245"/>
        <v>0.10980000000000001</v>
      </c>
      <c r="R405" s="41">
        <v>2.36</v>
      </c>
      <c r="S405">
        <f t="shared" si="246"/>
        <v>2.36</v>
      </c>
      <c r="T405" s="30">
        <f t="shared" si="247"/>
        <v>240.29</v>
      </c>
      <c r="U405" s="30">
        <f t="shared" si="254"/>
        <v>244.44</v>
      </c>
    </row>
    <row r="406" spans="1:21" ht="15" customHeight="1" x14ac:dyDescent="0.25">
      <c r="A406" s="5">
        <v>40503</v>
      </c>
      <c r="B406" s="5">
        <f t="shared" si="248"/>
        <v>40512</v>
      </c>
      <c r="C406">
        <v>1199.73</v>
      </c>
      <c r="D406" s="29">
        <f t="shared" si="249"/>
        <v>1.6000000000000001E-3</v>
      </c>
      <c r="E406" s="39">
        <f t="shared" si="250"/>
        <v>1156.2784615384614</v>
      </c>
      <c r="F406" s="39">
        <f t="shared" si="251"/>
        <v>1131.705897435897</v>
      </c>
      <c r="G406" s="29">
        <f t="shared" si="243"/>
        <v>3.7600000000000001E-2</v>
      </c>
      <c r="H406" s="29">
        <f t="shared" si="243"/>
        <v>6.0100000000000001E-2</v>
      </c>
      <c r="I406">
        <f t="shared" si="252"/>
        <v>1199.73</v>
      </c>
      <c r="J406">
        <f>IF(A406&gt;=Quarterly!B$2,Quarterly!C$2,IF(COUNTIFS(Quarterly!B:B,"&gt;="&amp;A406-92,Quarterly!B:B,"&lt;="&amp;A406)&gt;1,SUMIFS(Quarterly!C:C,Quarterly!B:B,"&gt;="&amp;A406-88,Quarterly!B:B,"&lt;="&amp;A406),SUMIFS(Quarterly!C:C,Quarterly!B:B,"&gt;="&amp;A406-92,Quarterly!B:B,"&lt;="&amp;A406)))</f>
        <v>15057.7</v>
      </c>
      <c r="K406" s="13">
        <f t="shared" si="253"/>
        <v>7.9699999999999993E-2</v>
      </c>
      <c r="L406">
        <f t="shared" si="241"/>
        <v>1199.73</v>
      </c>
      <c r="M406">
        <f>IF(A406&gt;=Quarterly!B$2,Quarterly!D$2,IF(COUNTIFS(Quarterly!B:B,"&gt;="&amp;A406-92,Quarterly!B:B,"&lt;="&amp;A406)&gt;1,SUMIFS(Quarterly!D:D,Quarterly!B:B,"&gt;="&amp;A406-88,Quarterly!B:B,"&lt;="&amp;A406),SUMIFS(Quarterly!D:D,Quarterly!B:B,"&gt;="&amp;A406-92,Quarterly!B:B,"&lt;="&amp;A406)))</f>
        <v>1499.0709999999999</v>
      </c>
      <c r="N406" s="13">
        <f t="shared" si="242"/>
        <v>8.0030000000000004E-2</v>
      </c>
      <c r="O406">
        <f t="shared" si="244"/>
        <v>1199.73</v>
      </c>
      <c r="P406" s="56">
        <f>VLOOKUP(EOMONTH(A406,-1),Economic!A:I,7,FALSE)</f>
        <v>1083710</v>
      </c>
      <c r="Q406" s="13">
        <f t="shared" si="245"/>
        <v>0.11069999999999999</v>
      </c>
      <c r="R406" s="41">
        <v>2.36</v>
      </c>
      <c r="S406">
        <f t="shared" si="246"/>
        <v>2.46</v>
      </c>
      <c r="T406" s="30">
        <f t="shared" si="247"/>
        <v>245.62</v>
      </c>
      <c r="U406" s="30">
        <f t="shared" si="254"/>
        <v>248.25</v>
      </c>
    </row>
    <row r="407" spans="1:21" ht="15" customHeight="1" x14ac:dyDescent="0.25">
      <c r="A407" s="5">
        <v>40496</v>
      </c>
      <c r="B407" s="5">
        <f t="shared" si="248"/>
        <v>40512</v>
      </c>
      <c r="C407">
        <v>1199.21</v>
      </c>
      <c r="D407" s="29">
        <f t="shared" si="249"/>
        <v>6.0000000000000001E-3</v>
      </c>
      <c r="E407" s="39">
        <f t="shared" si="250"/>
        <v>1146.4292307692308</v>
      </c>
      <c r="F407" s="39">
        <f t="shared" si="251"/>
        <v>1129.3838461538458</v>
      </c>
      <c r="G407" s="29">
        <f t="shared" si="243"/>
        <v>4.5999999999999999E-2</v>
      </c>
      <c r="H407" s="29">
        <f t="shared" si="243"/>
        <v>6.1800000000000001E-2</v>
      </c>
      <c r="I407">
        <f t="shared" si="252"/>
        <v>1199.21</v>
      </c>
      <c r="J407">
        <f>IF(A407&gt;=Quarterly!B$2,Quarterly!C$2,IF(COUNTIFS(Quarterly!B:B,"&gt;="&amp;A407-92,Quarterly!B:B,"&lt;="&amp;A407)&gt;1,SUMIFS(Quarterly!C:C,Quarterly!B:B,"&gt;="&amp;A407-88,Quarterly!B:B,"&lt;="&amp;A407),SUMIFS(Quarterly!C:C,Quarterly!B:B,"&gt;="&amp;A407-92,Quarterly!B:B,"&lt;="&amp;A407)))</f>
        <v>15057.7</v>
      </c>
      <c r="K407" s="13">
        <f t="shared" si="253"/>
        <v>7.9600000000000004E-2</v>
      </c>
      <c r="L407">
        <f t="shared" ref="L407:L470" si="255">C407</f>
        <v>1199.21</v>
      </c>
      <c r="M407">
        <f>IF(A407&gt;=Quarterly!B$2,Quarterly!D$2,IF(COUNTIFS(Quarterly!B:B,"&gt;="&amp;A407-92,Quarterly!B:B,"&lt;="&amp;A407)&gt;1,SUMIFS(Quarterly!D:D,Quarterly!B:B,"&gt;="&amp;A407-88,Quarterly!B:B,"&lt;="&amp;A407),SUMIFS(Quarterly!D:D,Quarterly!B:B,"&gt;="&amp;A407-92,Quarterly!B:B,"&lt;="&amp;A407)))</f>
        <v>1499.0709999999999</v>
      </c>
      <c r="N407" s="13">
        <f t="shared" ref="N407:N470" si="256">ROUND(L407/M407,4)*0.1</f>
        <v>8.0000000000000016E-2</v>
      </c>
      <c r="O407">
        <f t="shared" si="244"/>
        <v>1199.21</v>
      </c>
      <c r="P407" s="56">
        <f>VLOOKUP(EOMONTH(A407,-1),Economic!A:I,7,FALSE)</f>
        <v>1083710</v>
      </c>
      <c r="Q407" s="13">
        <f t="shared" si="245"/>
        <v>0.11069999999999999</v>
      </c>
      <c r="R407" s="41">
        <v>2.25</v>
      </c>
      <c r="S407">
        <f t="shared" si="246"/>
        <v>2.44</v>
      </c>
      <c r="T407" s="30">
        <f t="shared" si="247"/>
        <v>247.42</v>
      </c>
      <c r="U407" s="30">
        <f t="shared" si="254"/>
        <v>250.22</v>
      </c>
    </row>
    <row r="408" spans="1:21" ht="15" customHeight="1" x14ac:dyDescent="0.25">
      <c r="A408" s="5">
        <v>40489</v>
      </c>
      <c r="B408" s="5">
        <f t="shared" si="248"/>
        <v>40512</v>
      </c>
      <c r="C408">
        <v>1225.8499999999999</v>
      </c>
      <c r="D408" s="29">
        <f t="shared" si="249"/>
        <v>4.1599999999999998E-2</v>
      </c>
      <c r="E408" s="39">
        <f t="shared" si="250"/>
        <v>1137.2015384615383</v>
      </c>
      <c r="F408" s="39">
        <f t="shared" si="251"/>
        <v>1126.2120512820509</v>
      </c>
      <c r="G408" s="29">
        <f t="shared" si="243"/>
        <v>7.8E-2</v>
      </c>
      <c r="H408" s="29">
        <f t="shared" si="243"/>
        <v>8.8499999999999995E-2</v>
      </c>
      <c r="I408">
        <f t="shared" si="252"/>
        <v>1225.8499999999999</v>
      </c>
      <c r="J408">
        <f>IF(A408&gt;=Quarterly!B$2,Quarterly!C$2,IF(COUNTIFS(Quarterly!B:B,"&gt;="&amp;A408-92,Quarterly!B:B,"&lt;="&amp;A408)&gt;1,SUMIFS(Quarterly!C:C,Quarterly!B:B,"&gt;="&amp;A408-88,Quarterly!B:B,"&lt;="&amp;A408),SUMIFS(Quarterly!C:C,Quarterly!B:B,"&gt;="&amp;A408-92,Quarterly!B:B,"&lt;="&amp;A408)))</f>
        <v>15057.7</v>
      </c>
      <c r="K408" s="13">
        <f t="shared" si="253"/>
        <v>8.14E-2</v>
      </c>
      <c r="L408">
        <f t="shared" si="255"/>
        <v>1225.8499999999999</v>
      </c>
      <c r="M408">
        <f>IF(A408&gt;=Quarterly!B$2,Quarterly!D$2,IF(COUNTIFS(Quarterly!B:B,"&gt;="&amp;A408-92,Quarterly!B:B,"&lt;="&amp;A408)&gt;1,SUMIFS(Quarterly!D:D,Quarterly!B:B,"&gt;="&amp;A408-88,Quarterly!B:B,"&lt;="&amp;A408),SUMIFS(Quarterly!D:D,Quarterly!B:B,"&gt;="&amp;A408-92,Quarterly!B:B,"&lt;="&amp;A408)))</f>
        <v>1499.0709999999999</v>
      </c>
      <c r="N408" s="13">
        <f t="shared" si="256"/>
        <v>8.1770000000000009E-2</v>
      </c>
      <c r="O408">
        <f t="shared" si="244"/>
        <v>1225.8499999999999</v>
      </c>
      <c r="P408" s="56">
        <f>VLOOKUP(EOMONTH(A408,-1),Economic!A:I,7,FALSE)</f>
        <v>1083710</v>
      </c>
      <c r="Q408" s="13">
        <f t="shared" si="245"/>
        <v>0.11310000000000001</v>
      </c>
      <c r="R408" s="41">
        <v>2.2000000000000002</v>
      </c>
      <c r="S408">
        <f t="shared" si="246"/>
        <v>2.5099999999999998</v>
      </c>
      <c r="T408" s="30">
        <f t="shared" si="247"/>
        <v>251.72</v>
      </c>
      <c r="U408" s="30">
        <f t="shared" si="254"/>
        <v>250.83</v>
      </c>
    </row>
    <row r="409" spans="1:21" ht="15" customHeight="1" x14ac:dyDescent="0.25">
      <c r="A409" s="5">
        <v>40482</v>
      </c>
      <c r="B409" s="5">
        <f t="shared" si="248"/>
        <v>40482</v>
      </c>
      <c r="C409">
        <v>1183.26</v>
      </c>
      <c r="D409" s="29">
        <f t="shared" si="249"/>
        <v>1.34E-2</v>
      </c>
      <c r="E409" s="39">
        <f t="shared" si="250"/>
        <v>1129.1853846153847</v>
      </c>
      <c r="F409" s="39">
        <f t="shared" si="251"/>
        <v>1122.1182051282049</v>
      </c>
      <c r="G409" s="29">
        <f t="shared" si="243"/>
        <v>4.7899999999999998E-2</v>
      </c>
      <c r="H409" s="29">
        <f t="shared" si="243"/>
        <v>5.45E-2</v>
      </c>
      <c r="I409">
        <f t="shared" si="252"/>
        <v>1183.26</v>
      </c>
      <c r="J409">
        <f>IF(A409&gt;=Quarterly!B$2,Quarterly!C$2,IF(COUNTIFS(Quarterly!B:B,"&gt;="&amp;A409-92,Quarterly!B:B,"&lt;="&amp;A409)&gt;1,SUMIFS(Quarterly!C:C,Quarterly!B:B,"&gt;="&amp;A409-88,Quarterly!B:B,"&lt;="&amp;A409),SUMIFS(Quarterly!C:C,Quarterly!B:B,"&gt;="&amp;A409-92,Quarterly!B:B,"&lt;="&amp;A409)))</f>
        <v>15057.7</v>
      </c>
      <c r="K409" s="13">
        <f t="shared" si="253"/>
        <v>7.8600000000000003E-2</v>
      </c>
      <c r="L409">
        <f t="shared" si="255"/>
        <v>1183.26</v>
      </c>
      <c r="M409">
        <f>IF(A409&gt;=Quarterly!B$2,Quarterly!D$2,IF(COUNTIFS(Quarterly!B:B,"&gt;="&amp;A409-92,Quarterly!B:B,"&lt;="&amp;A409)&gt;1,SUMIFS(Quarterly!D:D,Quarterly!B:B,"&gt;="&amp;A409-88,Quarterly!B:B,"&lt;="&amp;A409),SUMIFS(Quarterly!D:D,Quarterly!B:B,"&gt;="&amp;A409-92,Quarterly!B:B,"&lt;="&amp;A409)))</f>
        <v>1499.0709999999999</v>
      </c>
      <c r="N409" s="13">
        <f t="shared" si="256"/>
        <v>7.893E-2</v>
      </c>
      <c r="O409">
        <f t="shared" si="244"/>
        <v>1183.26</v>
      </c>
      <c r="P409" s="56">
        <f>VLOOKUP(EOMONTH(A409,-1),Economic!A:I,7,FALSE)</f>
        <v>1078551</v>
      </c>
      <c r="Q409" s="13">
        <f t="shared" si="245"/>
        <v>0.10970000000000001</v>
      </c>
      <c r="R409" s="41">
        <v>2.29</v>
      </c>
      <c r="S409">
        <f t="shared" si="246"/>
        <v>2.4500000000000002</v>
      </c>
      <c r="T409" s="30">
        <f t="shared" si="247"/>
        <v>251.51</v>
      </c>
      <c r="U409" s="30">
        <f t="shared" si="254"/>
        <v>251.07</v>
      </c>
    </row>
    <row r="410" spans="1:21" ht="15" customHeight="1" x14ac:dyDescent="0.25">
      <c r="A410" s="5">
        <v>40475</v>
      </c>
      <c r="B410" s="5">
        <f t="shared" si="248"/>
        <v>40482</v>
      </c>
      <c r="C410">
        <v>1183.08</v>
      </c>
      <c r="D410" s="29">
        <f t="shared" si="249"/>
        <v>2.07E-2</v>
      </c>
      <c r="E410" s="39">
        <f t="shared" si="250"/>
        <v>1122.9038461538462</v>
      </c>
      <c r="F410" s="39">
        <f t="shared" si="251"/>
        <v>1119.3133333333333</v>
      </c>
      <c r="G410" s="29">
        <f t="shared" si="243"/>
        <v>5.3600000000000002E-2</v>
      </c>
      <c r="H410" s="29">
        <f t="shared" si="243"/>
        <v>5.7000000000000002E-2</v>
      </c>
      <c r="I410">
        <f t="shared" si="252"/>
        <v>1183.08</v>
      </c>
      <c r="J410">
        <f>IF(A410&gt;=Quarterly!B$2,Quarterly!C$2,IF(COUNTIFS(Quarterly!B:B,"&gt;="&amp;A410-92,Quarterly!B:B,"&lt;="&amp;A410)&gt;1,SUMIFS(Quarterly!C:C,Quarterly!B:B,"&gt;="&amp;A410-88,Quarterly!B:B,"&lt;="&amp;A410),SUMIFS(Quarterly!C:C,Quarterly!B:B,"&gt;="&amp;A410-92,Quarterly!B:B,"&lt;="&amp;A410)))</f>
        <v>14888.6</v>
      </c>
      <c r="K410" s="13">
        <f t="shared" si="253"/>
        <v>7.9500000000000001E-2</v>
      </c>
      <c r="L410">
        <f t="shared" si="255"/>
        <v>1183.08</v>
      </c>
      <c r="M410">
        <f>IF(A410&gt;=Quarterly!B$2,Quarterly!D$2,IF(COUNTIFS(Quarterly!B:B,"&gt;="&amp;A410-92,Quarterly!B:B,"&lt;="&amp;A410)&gt;1,SUMIFS(Quarterly!D:D,Quarterly!B:B,"&gt;="&amp;A410-88,Quarterly!B:B,"&lt;="&amp;A410),SUMIFS(Quarterly!D:D,Quarterly!B:B,"&gt;="&amp;A410-92,Quarterly!B:B,"&lt;="&amp;A410)))</f>
        <v>1436.7550000000001</v>
      </c>
      <c r="N410" s="13">
        <f t="shared" si="256"/>
        <v>8.234000000000001E-2</v>
      </c>
      <c r="O410">
        <f t="shared" si="244"/>
        <v>1183.08</v>
      </c>
      <c r="P410" s="56">
        <f>VLOOKUP(EOMONTH(A410,-1),Economic!A:I,7,FALSE)</f>
        <v>1078551</v>
      </c>
      <c r="Q410" s="13">
        <f t="shared" si="245"/>
        <v>0.10970000000000001</v>
      </c>
      <c r="R410" s="41">
        <v>2.2400000000000002</v>
      </c>
      <c r="S410">
        <f t="shared" si="246"/>
        <v>2.4300000000000002</v>
      </c>
      <c r="T410" s="30">
        <f t="shared" si="247"/>
        <v>249.27</v>
      </c>
      <c r="U410" s="30">
        <f t="shared" si="254"/>
        <v>253.02</v>
      </c>
    </row>
    <row r="411" spans="1:21" ht="15" customHeight="1" x14ac:dyDescent="0.25">
      <c r="A411" s="5">
        <v>40468</v>
      </c>
      <c r="B411" s="5">
        <f t="shared" si="248"/>
        <v>40482</v>
      </c>
      <c r="C411">
        <v>1176.19</v>
      </c>
      <c r="D411" s="29">
        <f t="shared" si="249"/>
        <v>2.5999999999999999E-2</v>
      </c>
      <c r="E411" s="39">
        <f t="shared" si="250"/>
        <v>1116.7176923076922</v>
      </c>
      <c r="F411" s="39">
        <f t="shared" si="251"/>
        <v>1116.9717948717948</v>
      </c>
      <c r="G411" s="29">
        <f t="shared" si="243"/>
        <v>5.33E-2</v>
      </c>
      <c r="H411" s="29">
        <f t="shared" si="243"/>
        <v>5.2999999999999999E-2</v>
      </c>
      <c r="I411">
        <f t="shared" si="252"/>
        <v>1176.19</v>
      </c>
      <c r="J411">
        <f>IF(A411&gt;=Quarterly!B$2,Quarterly!C$2,IF(COUNTIFS(Quarterly!B:B,"&gt;="&amp;A411-92,Quarterly!B:B,"&lt;="&amp;A411)&gt;1,SUMIFS(Quarterly!C:C,Quarterly!B:B,"&gt;="&amp;A411-88,Quarterly!B:B,"&lt;="&amp;A411),SUMIFS(Quarterly!C:C,Quarterly!B:B,"&gt;="&amp;A411-92,Quarterly!B:B,"&lt;="&amp;A411)))</f>
        <v>14888.6</v>
      </c>
      <c r="K411" s="13">
        <f t="shared" si="253"/>
        <v>7.9000000000000001E-2</v>
      </c>
      <c r="L411">
        <f t="shared" si="255"/>
        <v>1176.19</v>
      </c>
      <c r="M411">
        <f>IF(A411&gt;=Quarterly!B$2,Quarterly!D$2,IF(COUNTIFS(Quarterly!B:B,"&gt;="&amp;A411-92,Quarterly!B:B,"&lt;="&amp;A411)&gt;1,SUMIFS(Quarterly!D:D,Quarterly!B:B,"&gt;="&amp;A411-88,Quarterly!B:B,"&lt;="&amp;A411),SUMIFS(Quarterly!D:D,Quarterly!B:B,"&gt;="&amp;A411-92,Quarterly!B:B,"&lt;="&amp;A411)))</f>
        <v>1436.7550000000001</v>
      </c>
      <c r="N411" s="13">
        <f t="shared" si="256"/>
        <v>8.1860000000000002E-2</v>
      </c>
      <c r="O411">
        <f t="shared" si="244"/>
        <v>1176.19</v>
      </c>
      <c r="P411" s="56">
        <f>VLOOKUP(EOMONTH(A411,-1),Economic!A:I,7,FALSE)</f>
        <v>1078551</v>
      </c>
      <c r="Q411" s="13">
        <f t="shared" si="245"/>
        <v>0.1091</v>
      </c>
      <c r="R411" s="41">
        <v>2.2200000000000002</v>
      </c>
      <c r="S411">
        <f t="shared" si="246"/>
        <v>2.48</v>
      </c>
      <c r="T411" s="30">
        <f t="shared" si="247"/>
        <v>252.42</v>
      </c>
      <c r="U411" s="30">
        <f t="shared" si="254"/>
        <v>254.39</v>
      </c>
    </row>
    <row r="412" spans="1:21" ht="15" customHeight="1" x14ac:dyDescent="0.25">
      <c r="A412" s="5">
        <v>40461</v>
      </c>
      <c r="B412" s="5">
        <f t="shared" si="248"/>
        <v>40482</v>
      </c>
      <c r="C412">
        <v>1165.1500000000001</v>
      </c>
      <c r="D412" s="29">
        <f t="shared" si="249"/>
        <v>2.8799999999999999E-2</v>
      </c>
      <c r="E412" s="39">
        <f t="shared" si="250"/>
        <v>1108.1553846153847</v>
      </c>
      <c r="F412" s="39">
        <f t="shared" si="251"/>
        <v>1115.9420512820511</v>
      </c>
      <c r="G412" s="29">
        <f t="shared" si="243"/>
        <v>5.1400000000000001E-2</v>
      </c>
      <c r="H412" s="29">
        <f t="shared" si="243"/>
        <v>4.41E-2</v>
      </c>
      <c r="I412">
        <f t="shared" si="252"/>
        <v>1165.1500000000001</v>
      </c>
      <c r="J412">
        <f>IF(A412&gt;=Quarterly!B$2,Quarterly!C$2,IF(COUNTIFS(Quarterly!B:B,"&gt;="&amp;A412-92,Quarterly!B:B,"&lt;="&amp;A412)&gt;1,SUMIFS(Quarterly!C:C,Quarterly!B:B,"&gt;="&amp;A412-88,Quarterly!B:B,"&lt;="&amp;A412),SUMIFS(Quarterly!C:C,Quarterly!B:B,"&gt;="&amp;A412-92,Quarterly!B:B,"&lt;="&amp;A412)))</f>
        <v>14888.6</v>
      </c>
      <c r="K412" s="13">
        <f t="shared" si="253"/>
        <v>7.8299999999999995E-2</v>
      </c>
      <c r="L412">
        <f t="shared" si="255"/>
        <v>1165.1500000000001</v>
      </c>
      <c r="M412">
        <f>IF(A412&gt;=Quarterly!B$2,Quarterly!D$2,IF(COUNTIFS(Quarterly!B:B,"&gt;="&amp;A412-92,Quarterly!B:B,"&lt;="&amp;A412)&gt;1,SUMIFS(Quarterly!D:D,Quarterly!B:B,"&gt;="&amp;A412-88,Quarterly!B:B,"&lt;="&amp;A412),SUMIFS(Quarterly!D:D,Quarterly!B:B,"&gt;="&amp;A412-92,Quarterly!B:B,"&lt;="&amp;A412)))</f>
        <v>1436.7550000000001</v>
      </c>
      <c r="N412" s="13">
        <f t="shared" si="256"/>
        <v>8.1100000000000005E-2</v>
      </c>
      <c r="O412">
        <f t="shared" si="244"/>
        <v>1165.1500000000001</v>
      </c>
      <c r="P412" s="56">
        <f>VLOOKUP(EOMONTH(A412,-1),Economic!A:I,7,FALSE)</f>
        <v>1078551</v>
      </c>
      <c r="Q412" s="13">
        <f t="shared" si="245"/>
        <v>0.108</v>
      </c>
      <c r="R412" s="41">
        <v>2.06</v>
      </c>
      <c r="S412">
        <f t="shared" si="246"/>
        <v>2.57</v>
      </c>
      <c r="T412" s="30">
        <f t="shared" si="247"/>
        <v>257.37</v>
      </c>
      <c r="U412" s="30">
        <f t="shared" si="254"/>
        <v>258.29000000000002</v>
      </c>
    </row>
    <row r="413" spans="1:21" ht="15" customHeight="1" x14ac:dyDescent="0.25">
      <c r="A413" s="5">
        <v>40454</v>
      </c>
      <c r="B413" s="5">
        <f t="shared" si="248"/>
        <v>40482</v>
      </c>
      <c r="C413">
        <v>1146.24</v>
      </c>
      <c r="D413" s="29">
        <f t="shared" si="249"/>
        <v>2.1499999999999998E-2</v>
      </c>
      <c r="E413" s="39">
        <f t="shared" si="250"/>
        <v>1101.4484615384613</v>
      </c>
      <c r="F413" s="39">
        <f t="shared" si="251"/>
        <v>1115.4248717948717</v>
      </c>
      <c r="G413" s="29">
        <f t="shared" si="243"/>
        <v>4.07E-2</v>
      </c>
      <c r="H413" s="29">
        <f t="shared" si="243"/>
        <v>2.76E-2</v>
      </c>
      <c r="I413">
        <f t="shared" si="252"/>
        <v>1146.24</v>
      </c>
      <c r="J413">
        <f>IF(A413&gt;=Quarterly!B$2,Quarterly!C$2,IF(COUNTIFS(Quarterly!B:B,"&gt;="&amp;A413-92,Quarterly!B:B,"&lt;="&amp;A413)&gt;1,SUMIFS(Quarterly!C:C,Quarterly!B:B,"&gt;="&amp;A413-88,Quarterly!B:B,"&lt;="&amp;A413),SUMIFS(Quarterly!C:C,Quarterly!B:B,"&gt;="&amp;A413-92,Quarterly!B:B,"&lt;="&amp;A413)))</f>
        <v>14888.6</v>
      </c>
      <c r="K413" s="13">
        <f t="shared" si="253"/>
        <v>7.6999999999999999E-2</v>
      </c>
      <c r="L413">
        <f t="shared" si="255"/>
        <v>1146.24</v>
      </c>
      <c r="M413">
        <f>IF(A413&gt;=Quarterly!B$2,Quarterly!D$2,IF(COUNTIFS(Quarterly!B:B,"&gt;="&amp;A413-92,Quarterly!B:B,"&lt;="&amp;A413)&gt;1,SUMIFS(Quarterly!D:D,Quarterly!B:B,"&gt;="&amp;A413-88,Quarterly!B:B,"&lt;="&amp;A413),SUMIFS(Quarterly!D:D,Quarterly!B:B,"&gt;="&amp;A413-92,Quarterly!B:B,"&lt;="&amp;A413)))</f>
        <v>1436.7550000000001</v>
      </c>
      <c r="N413" s="13">
        <f t="shared" si="256"/>
        <v>7.9780000000000004E-2</v>
      </c>
      <c r="O413">
        <f t="shared" si="244"/>
        <v>1146.24</v>
      </c>
      <c r="P413" s="56">
        <f>VLOOKUP(EOMONTH(A413,-1),Economic!A:I,7,FALSE)</f>
        <v>1078551</v>
      </c>
      <c r="Q413" s="13">
        <f t="shared" si="245"/>
        <v>0.10629999999999999</v>
      </c>
      <c r="R413" s="41">
        <v>2.12</v>
      </c>
      <c r="S413">
        <f t="shared" si="246"/>
        <v>2.39</v>
      </c>
      <c r="T413" s="30">
        <f t="shared" si="247"/>
        <v>253.39</v>
      </c>
      <c r="U413" s="30">
        <f t="shared" si="254"/>
        <v>261.01</v>
      </c>
    </row>
    <row r="414" spans="1:21" ht="15" customHeight="1" x14ac:dyDescent="0.25">
      <c r="A414" s="5">
        <v>40447</v>
      </c>
      <c r="B414" s="5">
        <f t="shared" si="248"/>
        <v>40451</v>
      </c>
      <c r="C414">
        <v>1148.67</v>
      </c>
      <c r="D414" s="29">
        <f t="shared" si="249"/>
        <v>4.3200000000000002E-2</v>
      </c>
      <c r="E414" s="39">
        <f t="shared" si="250"/>
        <v>1091.936153846154</v>
      </c>
      <c r="F414" s="39">
        <f t="shared" si="251"/>
        <v>1114.6264102564103</v>
      </c>
      <c r="G414" s="29">
        <f t="shared" si="243"/>
        <v>5.1999999999999998E-2</v>
      </c>
      <c r="H414" s="29">
        <f t="shared" si="243"/>
        <v>3.0499999999999999E-2</v>
      </c>
      <c r="I414">
        <f t="shared" si="252"/>
        <v>1148.67</v>
      </c>
      <c r="J414">
        <f>IF(A414&gt;=Quarterly!B$2,Quarterly!C$2,IF(COUNTIFS(Quarterly!B:B,"&gt;="&amp;A414-92,Quarterly!B:B,"&lt;="&amp;A414)&gt;1,SUMIFS(Quarterly!C:C,Quarterly!B:B,"&gt;="&amp;A414-88,Quarterly!B:B,"&lt;="&amp;A414),SUMIFS(Quarterly!C:C,Quarterly!B:B,"&gt;="&amp;A414-92,Quarterly!B:B,"&lt;="&amp;A414)))</f>
        <v>14888.6</v>
      </c>
      <c r="K414" s="13">
        <f t="shared" si="253"/>
        <v>7.7200000000000005E-2</v>
      </c>
      <c r="L414">
        <f t="shared" si="255"/>
        <v>1148.67</v>
      </c>
      <c r="M414">
        <f>IF(A414&gt;=Quarterly!B$2,Quarterly!D$2,IF(COUNTIFS(Quarterly!B:B,"&gt;="&amp;A414-92,Quarterly!B:B,"&lt;="&amp;A414)&gt;1,SUMIFS(Quarterly!D:D,Quarterly!B:B,"&gt;="&amp;A414-88,Quarterly!B:B,"&lt;="&amp;A414),SUMIFS(Quarterly!D:D,Quarterly!B:B,"&gt;="&amp;A414-92,Quarterly!B:B,"&lt;="&amp;A414)))</f>
        <v>1436.7550000000001</v>
      </c>
      <c r="N414" s="13">
        <f t="shared" si="256"/>
        <v>7.9950000000000007E-2</v>
      </c>
      <c r="O414">
        <f t="shared" si="244"/>
        <v>1148.67</v>
      </c>
      <c r="P414" s="56">
        <f>VLOOKUP(EOMONTH(A414,-1),Economic!A:I,7,FALSE)</f>
        <v>1077722</v>
      </c>
      <c r="Q414" s="13">
        <f t="shared" si="245"/>
        <v>0.10660000000000001</v>
      </c>
      <c r="R414" s="41">
        <v>2.17</v>
      </c>
      <c r="S414">
        <f t="shared" si="246"/>
        <v>2.65</v>
      </c>
      <c r="T414" s="30">
        <f t="shared" si="247"/>
        <v>264.12</v>
      </c>
      <c r="U414" s="30">
        <f t="shared" si="254"/>
        <v>262.52</v>
      </c>
    </row>
    <row r="415" spans="1:21" ht="15" customHeight="1" x14ac:dyDescent="0.25">
      <c r="A415" s="5">
        <v>40440</v>
      </c>
      <c r="B415" s="5">
        <f t="shared" si="248"/>
        <v>40451</v>
      </c>
      <c r="C415">
        <v>1125.5899999999999</v>
      </c>
      <c r="D415" s="29">
        <f t="shared" si="249"/>
        <v>3.49E-2</v>
      </c>
      <c r="E415" s="39">
        <f t="shared" si="250"/>
        <v>1086.4046153846152</v>
      </c>
      <c r="F415" s="39">
        <f t="shared" si="251"/>
        <v>1114.0574358974361</v>
      </c>
      <c r="G415" s="29">
        <f t="shared" si="243"/>
        <v>3.61E-2</v>
      </c>
      <c r="H415" s="29">
        <f t="shared" si="243"/>
        <v>1.04E-2</v>
      </c>
      <c r="I415">
        <f t="shared" si="252"/>
        <v>1125.5899999999999</v>
      </c>
      <c r="J415">
        <f>IF(A415&gt;=Quarterly!B$2,Quarterly!C$2,IF(COUNTIFS(Quarterly!B:B,"&gt;="&amp;A415-92,Quarterly!B:B,"&lt;="&amp;A415)&gt;1,SUMIFS(Quarterly!C:C,Quarterly!B:B,"&gt;="&amp;A415-88,Quarterly!B:B,"&lt;="&amp;A415),SUMIFS(Quarterly!C:C,Quarterly!B:B,"&gt;="&amp;A415-92,Quarterly!B:B,"&lt;="&amp;A415)))</f>
        <v>14888.6</v>
      </c>
      <c r="K415" s="13">
        <f t="shared" si="253"/>
        <v>7.5600000000000001E-2</v>
      </c>
      <c r="L415">
        <f t="shared" si="255"/>
        <v>1125.5899999999999</v>
      </c>
      <c r="M415">
        <f>IF(A415&gt;=Quarterly!B$2,Quarterly!D$2,IF(COUNTIFS(Quarterly!B:B,"&gt;="&amp;A415-92,Quarterly!B:B,"&lt;="&amp;A415)&gt;1,SUMIFS(Quarterly!D:D,Quarterly!B:B,"&gt;="&amp;A415-88,Quarterly!B:B,"&lt;="&amp;A415),SUMIFS(Quarterly!D:D,Quarterly!B:B,"&gt;="&amp;A415-92,Quarterly!B:B,"&lt;="&amp;A415)))</f>
        <v>1436.7550000000001</v>
      </c>
      <c r="N415" s="13">
        <f t="shared" si="256"/>
        <v>7.8340000000000007E-2</v>
      </c>
      <c r="O415">
        <f t="shared" si="244"/>
        <v>1125.5899999999999</v>
      </c>
      <c r="P415" s="56">
        <f>VLOOKUP(EOMONTH(A415,-1),Economic!A:I,7,FALSE)</f>
        <v>1077722</v>
      </c>
      <c r="Q415" s="13">
        <f t="shared" si="245"/>
        <v>0.10440000000000001</v>
      </c>
      <c r="R415" s="41">
        <v>2.27</v>
      </c>
      <c r="S415">
        <f t="shared" si="246"/>
        <v>2.65</v>
      </c>
      <c r="T415" s="30">
        <f t="shared" si="247"/>
        <v>265.52999999999997</v>
      </c>
      <c r="U415" s="30">
        <f t="shared" si="254"/>
        <v>261.8</v>
      </c>
    </row>
    <row r="416" spans="1:21" ht="15" customHeight="1" x14ac:dyDescent="0.25">
      <c r="A416" s="5">
        <v>40433</v>
      </c>
      <c r="B416" s="5">
        <f t="shared" si="248"/>
        <v>40451</v>
      </c>
      <c r="C416">
        <v>1109.55</v>
      </c>
      <c r="D416" s="29">
        <f t="shared" si="249"/>
        <v>2.7400000000000001E-2</v>
      </c>
      <c r="E416" s="39">
        <f t="shared" si="250"/>
        <v>1085.7830769230768</v>
      </c>
      <c r="F416" s="39">
        <f t="shared" si="251"/>
        <v>1113.4646153846159</v>
      </c>
      <c r="G416" s="29">
        <f t="shared" si="243"/>
        <v>2.1899999999999999E-2</v>
      </c>
      <c r="H416" s="29">
        <f t="shared" si="243"/>
        <v>-3.5000000000000001E-3</v>
      </c>
      <c r="I416">
        <f t="shared" si="252"/>
        <v>1109.55</v>
      </c>
      <c r="J416">
        <f>IF(A416&gt;=Quarterly!B$2,Quarterly!C$2,IF(COUNTIFS(Quarterly!B:B,"&gt;="&amp;A416-92,Quarterly!B:B,"&lt;="&amp;A416)&gt;1,SUMIFS(Quarterly!C:C,Quarterly!B:B,"&gt;="&amp;A416-88,Quarterly!B:B,"&lt;="&amp;A416),SUMIFS(Quarterly!C:C,Quarterly!B:B,"&gt;="&amp;A416-92,Quarterly!B:B,"&lt;="&amp;A416)))</f>
        <v>14888.6</v>
      </c>
      <c r="K416" s="13">
        <f t="shared" si="253"/>
        <v>7.4499999999999997E-2</v>
      </c>
      <c r="L416">
        <f t="shared" si="255"/>
        <v>1109.55</v>
      </c>
      <c r="M416">
        <f>IF(A416&gt;=Quarterly!B$2,Quarterly!D$2,IF(COUNTIFS(Quarterly!B:B,"&gt;="&amp;A416-92,Quarterly!B:B,"&lt;="&amp;A416)&gt;1,SUMIFS(Quarterly!D:D,Quarterly!B:B,"&gt;="&amp;A416-88,Quarterly!B:B,"&lt;="&amp;A416),SUMIFS(Quarterly!D:D,Quarterly!B:B,"&gt;="&amp;A416-92,Quarterly!B:B,"&lt;="&amp;A416)))</f>
        <v>1436.7550000000001</v>
      </c>
      <c r="N416" s="13">
        <f t="shared" si="256"/>
        <v>7.7230000000000007E-2</v>
      </c>
      <c r="O416">
        <f t="shared" si="244"/>
        <v>1109.55</v>
      </c>
      <c r="P416" s="56">
        <f>VLOOKUP(EOMONTH(A416,-1),Economic!A:I,7,FALSE)</f>
        <v>1077722</v>
      </c>
      <c r="Q416" s="13">
        <f t="shared" si="245"/>
        <v>0.10300000000000001</v>
      </c>
      <c r="R416" s="41">
        <v>2.23</v>
      </c>
      <c r="S416">
        <f t="shared" si="246"/>
        <v>2.41</v>
      </c>
      <c r="T416" s="30">
        <f t="shared" si="247"/>
        <v>257.89999999999998</v>
      </c>
      <c r="U416" s="30">
        <f t="shared" si="254"/>
        <v>259.62</v>
      </c>
    </row>
    <row r="417" spans="1:21" ht="15" customHeight="1" x14ac:dyDescent="0.25">
      <c r="A417" s="5">
        <v>40426</v>
      </c>
      <c r="B417" s="5">
        <f t="shared" si="248"/>
        <v>40451</v>
      </c>
      <c r="C417">
        <v>1104.51</v>
      </c>
      <c r="D417" s="29">
        <f t="shared" si="249"/>
        <v>1.8599999999999998E-2</v>
      </c>
      <c r="E417" s="39">
        <f t="shared" si="250"/>
        <v>1084.4023076923077</v>
      </c>
      <c r="F417" s="39">
        <f t="shared" si="251"/>
        <v>1113.3841025641029</v>
      </c>
      <c r="G417" s="29">
        <f t="shared" si="243"/>
        <v>1.8499999999999999E-2</v>
      </c>
      <c r="H417" s="29">
        <f t="shared" si="243"/>
        <v>-8.0000000000000002E-3</v>
      </c>
      <c r="I417">
        <f t="shared" si="252"/>
        <v>1104.51</v>
      </c>
      <c r="J417">
        <f>IF(A417&gt;=Quarterly!B$2,Quarterly!C$2,IF(COUNTIFS(Quarterly!B:B,"&gt;="&amp;A417-92,Quarterly!B:B,"&lt;="&amp;A417)&gt;1,SUMIFS(Quarterly!C:C,Quarterly!B:B,"&gt;="&amp;A417-88,Quarterly!B:B,"&lt;="&amp;A417),SUMIFS(Quarterly!C:C,Quarterly!B:B,"&gt;="&amp;A417-92,Quarterly!B:B,"&lt;="&amp;A417)))</f>
        <v>14888.6</v>
      </c>
      <c r="K417" s="13">
        <f t="shared" si="253"/>
        <v>7.4200000000000002E-2</v>
      </c>
      <c r="L417">
        <f t="shared" si="255"/>
        <v>1104.51</v>
      </c>
      <c r="M417">
        <f>IF(A417&gt;=Quarterly!B$2,Quarterly!D$2,IF(COUNTIFS(Quarterly!B:B,"&gt;="&amp;A417-92,Quarterly!B:B,"&lt;="&amp;A417)&gt;1,SUMIFS(Quarterly!D:D,Quarterly!B:B,"&gt;="&amp;A417-88,Quarterly!B:B,"&lt;="&amp;A417),SUMIFS(Quarterly!D:D,Quarterly!B:B,"&gt;="&amp;A417-92,Quarterly!B:B,"&lt;="&amp;A417)))</f>
        <v>1436.7550000000001</v>
      </c>
      <c r="N417" s="13">
        <f t="shared" si="256"/>
        <v>7.6880000000000004E-2</v>
      </c>
      <c r="O417">
        <f t="shared" si="244"/>
        <v>1104.51</v>
      </c>
      <c r="P417" s="56">
        <f>VLOOKUP(EOMONTH(A417,-1),Economic!A:I,7,FALSE)</f>
        <v>1077722</v>
      </c>
      <c r="Q417" s="13">
        <f t="shared" si="245"/>
        <v>0.10250000000000001</v>
      </c>
      <c r="R417" s="41">
        <v>2.2000000000000002</v>
      </c>
      <c r="S417">
        <f t="shared" si="246"/>
        <v>2.5299999999999998</v>
      </c>
      <c r="T417" s="30">
        <f t="shared" si="247"/>
        <v>261.97000000000003</v>
      </c>
      <c r="U417" s="30">
        <f t="shared" si="254"/>
        <v>261.11</v>
      </c>
    </row>
    <row r="418" spans="1:21" ht="15" customHeight="1" x14ac:dyDescent="0.25">
      <c r="A418" s="5">
        <v>40419</v>
      </c>
      <c r="B418" s="5">
        <f t="shared" si="248"/>
        <v>40421</v>
      </c>
      <c r="C418">
        <v>1064.5899999999999</v>
      </c>
      <c r="D418" s="29">
        <f t="shared" si="249"/>
        <v>-2.6499999999999999E-2</v>
      </c>
      <c r="E418" s="39">
        <f t="shared" si="250"/>
        <v>1081.3538461538462</v>
      </c>
      <c r="F418" s="39">
        <f t="shared" si="251"/>
        <v>1113.4217948717953</v>
      </c>
      <c r="G418" s="29">
        <f t="shared" si="243"/>
        <v>-1.55E-2</v>
      </c>
      <c r="H418" s="29">
        <f t="shared" si="243"/>
        <v>-4.3900000000000002E-2</v>
      </c>
      <c r="I418">
        <f t="shared" si="252"/>
        <v>1064.5899999999999</v>
      </c>
      <c r="J418">
        <f>IF(A418&gt;=Quarterly!B$2,Quarterly!C$2,IF(COUNTIFS(Quarterly!B:B,"&gt;="&amp;A418-92,Quarterly!B:B,"&lt;="&amp;A418)&gt;1,SUMIFS(Quarterly!C:C,Quarterly!B:B,"&gt;="&amp;A418-88,Quarterly!B:B,"&lt;="&amp;A418),SUMIFS(Quarterly!C:C,Quarterly!B:B,"&gt;="&amp;A418-92,Quarterly!B:B,"&lt;="&amp;A418)))</f>
        <v>14888.6</v>
      </c>
      <c r="K418" s="13">
        <f t="shared" si="253"/>
        <v>7.1499999999999994E-2</v>
      </c>
      <c r="L418">
        <f t="shared" si="255"/>
        <v>1064.5899999999999</v>
      </c>
      <c r="M418">
        <f>IF(A418&gt;=Quarterly!B$2,Quarterly!D$2,IF(COUNTIFS(Quarterly!B:B,"&gt;="&amp;A418-92,Quarterly!B:B,"&lt;="&amp;A418)&gt;1,SUMIFS(Quarterly!D:D,Quarterly!B:B,"&gt;="&amp;A418-88,Quarterly!B:B,"&lt;="&amp;A418),SUMIFS(Quarterly!D:D,Quarterly!B:B,"&gt;="&amp;A418-92,Quarterly!B:B,"&lt;="&amp;A418)))</f>
        <v>1436.7550000000001</v>
      </c>
      <c r="N418" s="13">
        <f t="shared" si="256"/>
        <v>7.4099999999999999E-2</v>
      </c>
      <c r="O418">
        <f t="shared" si="244"/>
        <v>1064.5899999999999</v>
      </c>
      <c r="P418" s="56">
        <f>VLOOKUP(EOMONTH(A418,-1),Economic!A:I,7,FALSE)</f>
        <v>1075598</v>
      </c>
      <c r="Q418" s="13">
        <f t="shared" si="245"/>
        <v>9.9000000000000005E-2</v>
      </c>
      <c r="R418" s="41">
        <v>2.1</v>
      </c>
      <c r="S418">
        <f t="shared" si="246"/>
        <v>2.42</v>
      </c>
      <c r="T418" s="30">
        <f t="shared" si="247"/>
        <v>258.98</v>
      </c>
      <c r="U418" s="30">
        <f t="shared" si="254"/>
        <v>260.86</v>
      </c>
    </row>
    <row r="419" spans="1:21" ht="15" customHeight="1" x14ac:dyDescent="0.25">
      <c r="A419" s="5">
        <v>40412</v>
      </c>
      <c r="B419" s="5">
        <f t="shared" si="248"/>
        <v>40421</v>
      </c>
      <c r="C419">
        <v>1071.69</v>
      </c>
      <c r="D419" s="29">
        <f t="shared" si="249"/>
        <v>-2.69E-2</v>
      </c>
      <c r="E419" s="39">
        <f t="shared" si="250"/>
        <v>1083.2630769230771</v>
      </c>
      <c r="F419" s="39">
        <f t="shared" si="251"/>
        <v>1114.1115384615389</v>
      </c>
      <c r="G419" s="29">
        <f t="shared" si="243"/>
        <v>-1.0699999999999999E-2</v>
      </c>
      <c r="H419" s="29">
        <f t="shared" si="243"/>
        <v>-3.8100000000000002E-2</v>
      </c>
      <c r="I419">
        <f t="shared" si="252"/>
        <v>1071.69</v>
      </c>
      <c r="J419">
        <f>IF(A419&gt;=Quarterly!B$2,Quarterly!C$2,IF(COUNTIFS(Quarterly!B:B,"&gt;="&amp;A419-92,Quarterly!B:B,"&lt;="&amp;A419)&gt;1,SUMIFS(Quarterly!C:C,Quarterly!B:B,"&gt;="&amp;A419-88,Quarterly!B:B,"&lt;="&amp;A419),SUMIFS(Quarterly!C:C,Quarterly!B:B,"&gt;="&amp;A419-92,Quarterly!B:B,"&lt;="&amp;A419)))</f>
        <v>14888.6</v>
      </c>
      <c r="K419" s="13">
        <f t="shared" si="253"/>
        <v>7.1999999999999995E-2</v>
      </c>
      <c r="L419">
        <f t="shared" si="255"/>
        <v>1071.69</v>
      </c>
      <c r="M419">
        <f>IF(A419&gt;=Quarterly!B$2,Quarterly!D$2,IF(COUNTIFS(Quarterly!B:B,"&gt;="&amp;A419-92,Quarterly!B:B,"&lt;="&amp;A419)&gt;1,SUMIFS(Quarterly!D:D,Quarterly!B:B,"&gt;="&amp;A419-88,Quarterly!B:B,"&lt;="&amp;A419),SUMIFS(Quarterly!D:D,Quarterly!B:B,"&gt;="&amp;A419-92,Quarterly!B:B,"&lt;="&amp;A419)))</f>
        <v>1436.7550000000001</v>
      </c>
      <c r="N419" s="13">
        <f t="shared" si="256"/>
        <v>7.4590000000000004E-2</v>
      </c>
      <c r="O419">
        <f t="shared" si="244"/>
        <v>1071.69</v>
      </c>
      <c r="P419" s="56">
        <f>VLOOKUP(EOMONTH(A419,-1),Economic!A:I,7,FALSE)</f>
        <v>1075598</v>
      </c>
      <c r="Q419" s="13">
        <f t="shared" si="245"/>
        <v>9.9599999999999994E-2</v>
      </c>
      <c r="R419" s="41">
        <v>2.13</v>
      </c>
      <c r="S419">
        <f t="shared" si="246"/>
        <v>2.54</v>
      </c>
      <c r="T419" s="30">
        <f t="shared" si="247"/>
        <v>262.38</v>
      </c>
      <c r="U419" s="30">
        <f t="shared" si="254"/>
        <v>261.47000000000003</v>
      </c>
    </row>
    <row r="420" spans="1:21" ht="15" customHeight="1" x14ac:dyDescent="0.25">
      <c r="A420" s="5">
        <v>40405</v>
      </c>
      <c r="B420" s="5">
        <f t="shared" si="248"/>
        <v>40421</v>
      </c>
      <c r="C420">
        <v>1079.25</v>
      </c>
      <c r="D420" s="29">
        <f t="shared" si="249"/>
        <v>-1.6799999999999999E-2</v>
      </c>
      <c r="E420" s="39">
        <f t="shared" si="250"/>
        <v>1084.4938461538461</v>
      </c>
      <c r="F420" s="39">
        <f t="shared" si="251"/>
        <v>1114.6164102564103</v>
      </c>
      <c r="G420" s="29">
        <f t="shared" si="243"/>
        <v>-4.7999999999999996E-3</v>
      </c>
      <c r="H420" s="29">
        <f t="shared" si="243"/>
        <v>-3.1699999999999999E-2</v>
      </c>
      <c r="I420">
        <f t="shared" si="252"/>
        <v>1079.25</v>
      </c>
      <c r="J420">
        <f>IF(A420&gt;=Quarterly!B$2,Quarterly!C$2,IF(COUNTIFS(Quarterly!B:B,"&gt;="&amp;A420-92,Quarterly!B:B,"&lt;="&amp;A420)&gt;1,SUMIFS(Quarterly!C:C,Quarterly!B:B,"&gt;="&amp;A420-88,Quarterly!B:B,"&lt;="&amp;A420),SUMIFS(Quarterly!C:C,Quarterly!B:B,"&gt;="&amp;A420-92,Quarterly!B:B,"&lt;="&amp;A420)))</f>
        <v>14888.6</v>
      </c>
      <c r="K420" s="13">
        <f t="shared" si="253"/>
        <v>7.2499999999999995E-2</v>
      </c>
      <c r="L420">
        <f t="shared" si="255"/>
        <v>1079.25</v>
      </c>
      <c r="M420">
        <f>IF(A420&gt;=Quarterly!B$2,Quarterly!D$2,IF(COUNTIFS(Quarterly!B:B,"&gt;="&amp;A420-92,Quarterly!B:B,"&lt;="&amp;A420)&gt;1,SUMIFS(Quarterly!D:D,Quarterly!B:B,"&gt;="&amp;A420-88,Quarterly!B:B,"&lt;="&amp;A420),SUMIFS(Quarterly!D:D,Quarterly!B:B,"&gt;="&amp;A420-92,Quarterly!B:B,"&lt;="&amp;A420)))</f>
        <v>1436.7550000000001</v>
      </c>
      <c r="N420" s="13">
        <f t="shared" si="256"/>
        <v>7.5120000000000006E-2</v>
      </c>
      <c r="O420">
        <f t="shared" si="244"/>
        <v>1079.25</v>
      </c>
      <c r="P420" s="56">
        <f>VLOOKUP(EOMONTH(A420,-1),Economic!A:I,7,FALSE)</f>
        <v>1075598</v>
      </c>
      <c r="Q420" s="13">
        <f t="shared" si="245"/>
        <v>0.1003</v>
      </c>
      <c r="R420" s="41">
        <v>2.14</v>
      </c>
      <c r="S420">
        <f t="shared" si="246"/>
        <v>2.5099999999999998</v>
      </c>
      <c r="T420" s="30">
        <f t="shared" si="247"/>
        <v>261.22000000000003</v>
      </c>
      <c r="U420" s="30">
        <f t="shared" si="254"/>
        <v>261.23</v>
      </c>
    </row>
    <row r="421" spans="1:21" ht="15" customHeight="1" x14ac:dyDescent="0.25">
      <c r="A421" s="5">
        <v>40398</v>
      </c>
      <c r="B421" s="5">
        <f t="shared" si="248"/>
        <v>40421</v>
      </c>
      <c r="C421">
        <v>1121.6400000000001</v>
      </c>
      <c r="D421" s="29">
        <f t="shared" si="249"/>
        <v>3.2099999999999997E-2</v>
      </c>
      <c r="E421" s="39">
        <f t="shared" si="250"/>
        <v>1088.8346153846155</v>
      </c>
      <c r="F421" s="39">
        <f t="shared" si="251"/>
        <v>1114.9812820512821</v>
      </c>
      <c r="G421" s="29">
        <f t="shared" si="243"/>
        <v>3.0099999999999998E-2</v>
      </c>
      <c r="H421" s="29">
        <f t="shared" si="243"/>
        <v>6.0000000000000001E-3</v>
      </c>
      <c r="I421">
        <f t="shared" si="252"/>
        <v>1121.6400000000001</v>
      </c>
      <c r="J421">
        <f>IF(A421&gt;=Quarterly!B$2,Quarterly!C$2,IF(COUNTIFS(Quarterly!B:B,"&gt;="&amp;A421-92,Quarterly!B:B,"&lt;="&amp;A421)&gt;1,SUMIFS(Quarterly!C:C,Quarterly!B:B,"&gt;="&amp;A421-88,Quarterly!B:B,"&lt;="&amp;A421),SUMIFS(Quarterly!C:C,Quarterly!B:B,"&gt;="&amp;A421-92,Quarterly!B:B,"&lt;="&amp;A421)))</f>
        <v>14888.6</v>
      </c>
      <c r="K421" s="13">
        <f t="shared" si="253"/>
        <v>7.5300000000000006E-2</v>
      </c>
      <c r="L421">
        <f t="shared" si="255"/>
        <v>1121.6400000000001</v>
      </c>
      <c r="M421">
        <f>IF(A421&gt;=Quarterly!B$2,Quarterly!D$2,IF(COUNTIFS(Quarterly!B:B,"&gt;="&amp;A421-92,Quarterly!B:B,"&lt;="&amp;A421)&gt;1,SUMIFS(Quarterly!D:D,Quarterly!B:B,"&gt;="&amp;A421-88,Quarterly!B:B,"&lt;="&amp;A421),SUMIFS(Quarterly!D:D,Quarterly!B:B,"&gt;="&amp;A421-92,Quarterly!B:B,"&lt;="&amp;A421)))</f>
        <v>1436.7550000000001</v>
      </c>
      <c r="N421" s="13">
        <f t="shared" si="256"/>
        <v>7.8070000000000001E-2</v>
      </c>
      <c r="O421">
        <f t="shared" si="244"/>
        <v>1121.6400000000001</v>
      </c>
      <c r="P421" s="56">
        <f>VLOOKUP(EOMONTH(A421,-1),Economic!A:I,7,FALSE)</f>
        <v>1075598</v>
      </c>
      <c r="Q421" s="13">
        <f t="shared" si="245"/>
        <v>0.1043</v>
      </c>
      <c r="R421" s="41">
        <v>2.36</v>
      </c>
      <c r="S421">
        <f t="shared" si="246"/>
        <v>2.52</v>
      </c>
      <c r="T421" s="30">
        <f t="shared" si="247"/>
        <v>260.81</v>
      </c>
      <c r="U421" s="30">
        <f t="shared" si="254"/>
        <v>259.83</v>
      </c>
    </row>
    <row r="422" spans="1:21" ht="15" customHeight="1" x14ac:dyDescent="0.25">
      <c r="A422" s="5">
        <v>40391</v>
      </c>
      <c r="B422" s="5">
        <f t="shared" si="248"/>
        <v>40421</v>
      </c>
      <c r="C422">
        <v>1101.5999999999999</v>
      </c>
      <c r="D422" s="29">
        <f t="shared" si="249"/>
        <v>3.2399999999999998E-2</v>
      </c>
      <c r="E422" s="39">
        <f t="shared" si="250"/>
        <v>1088.0069230769232</v>
      </c>
      <c r="F422" s="39">
        <f t="shared" si="251"/>
        <v>1113.6392307692311</v>
      </c>
      <c r="G422" s="29">
        <f t="shared" si="243"/>
        <v>1.2500000000000001E-2</v>
      </c>
      <c r="H422" s="29">
        <f t="shared" si="243"/>
        <v>-1.0800000000000001E-2</v>
      </c>
      <c r="I422">
        <f t="shared" si="252"/>
        <v>1101.5999999999999</v>
      </c>
      <c r="J422">
        <f>IF(A422&gt;=Quarterly!B$2,Quarterly!C$2,IF(COUNTIFS(Quarterly!B:B,"&gt;="&amp;A422-92,Quarterly!B:B,"&lt;="&amp;A422)&gt;1,SUMIFS(Quarterly!C:C,Quarterly!B:B,"&gt;="&amp;A422-88,Quarterly!B:B,"&lt;="&amp;A422),SUMIFS(Quarterly!C:C,Quarterly!B:B,"&gt;="&amp;A422-92,Quarterly!B:B,"&lt;="&amp;A422)))</f>
        <v>14888.6</v>
      </c>
      <c r="K422" s="13">
        <f t="shared" si="253"/>
        <v>7.3999999999999996E-2</v>
      </c>
      <c r="L422">
        <f t="shared" si="255"/>
        <v>1101.5999999999999</v>
      </c>
      <c r="M422">
        <f>IF(A422&gt;=Quarterly!B$2,Quarterly!D$2,IF(COUNTIFS(Quarterly!B:B,"&gt;="&amp;A422-92,Quarterly!B:B,"&lt;="&amp;A422)&gt;1,SUMIFS(Quarterly!D:D,Quarterly!B:B,"&gt;="&amp;A422-88,Quarterly!B:B,"&lt;="&amp;A422),SUMIFS(Quarterly!D:D,Quarterly!B:B,"&gt;="&amp;A422-92,Quarterly!B:B,"&lt;="&amp;A422)))</f>
        <v>1436.7550000000001</v>
      </c>
      <c r="N422" s="13">
        <f t="shared" si="256"/>
        <v>7.6670000000000016E-2</v>
      </c>
      <c r="O422">
        <f t="shared" si="244"/>
        <v>1101.5999999999999</v>
      </c>
      <c r="P422" s="56">
        <f>VLOOKUP(EOMONTH(A422,-1),Economic!A:I,7,FALSE)</f>
        <v>1075598</v>
      </c>
      <c r="Q422" s="13">
        <f t="shared" si="245"/>
        <v>0.10239999999999999</v>
      </c>
      <c r="R422" s="41">
        <v>2.39</v>
      </c>
      <c r="S422">
        <f t="shared" si="246"/>
        <v>2.5499999999999998</v>
      </c>
      <c r="T422" s="30">
        <f t="shared" si="247"/>
        <v>261.67</v>
      </c>
      <c r="U422" s="30">
        <f t="shared" si="254"/>
        <v>254.94</v>
      </c>
    </row>
    <row r="423" spans="1:21" ht="15" customHeight="1" x14ac:dyDescent="0.25">
      <c r="A423" s="5">
        <v>40384</v>
      </c>
      <c r="B423" s="5">
        <f t="shared" si="248"/>
        <v>40390</v>
      </c>
      <c r="C423">
        <v>1102.6600000000001</v>
      </c>
      <c r="D423" s="29">
        <f t="shared" si="249"/>
        <v>3.9699999999999999E-2</v>
      </c>
      <c r="E423" s="39">
        <f t="shared" si="250"/>
        <v>1094.5523076923077</v>
      </c>
      <c r="F423" s="39">
        <f t="shared" si="251"/>
        <v>1111.9620512820518</v>
      </c>
      <c r="G423" s="29">
        <f t="shared" si="243"/>
        <v>7.4000000000000003E-3</v>
      </c>
      <c r="H423" s="29">
        <f t="shared" si="243"/>
        <v>-8.3999999999999995E-3</v>
      </c>
      <c r="I423">
        <f t="shared" si="252"/>
        <v>1102.6600000000001</v>
      </c>
      <c r="J423">
        <f>IF(A423&gt;=Quarterly!B$2,Quarterly!C$2,IF(COUNTIFS(Quarterly!B:B,"&gt;="&amp;A423-92,Quarterly!B:B,"&lt;="&amp;A423)&gt;1,SUMIFS(Quarterly!C:C,Quarterly!B:B,"&gt;="&amp;A423-88,Quarterly!B:B,"&lt;="&amp;A423),SUMIFS(Quarterly!C:C,Quarterly!B:B,"&gt;="&amp;A423-92,Quarterly!B:B,"&lt;="&amp;A423)))</f>
        <v>14681.1</v>
      </c>
      <c r="K423" s="13">
        <f t="shared" si="253"/>
        <v>7.51E-2</v>
      </c>
      <c r="L423">
        <f t="shared" si="255"/>
        <v>1102.6600000000001</v>
      </c>
      <c r="M423">
        <f>IF(A423&gt;=Quarterly!B$2,Quarterly!D$2,IF(COUNTIFS(Quarterly!B:B,"&gt;="&amp;A423-92,Quarterly!B:B,"&lt;="&amp;A423)&gt;1,SUMIFS(Quarterly!D:D,Quarterly!B:B,"&gt;="&amp;A423-88,Quarterly!B:B,"&lt;="&amp;A423),SUMIFS(Quarterly!D:D,Quarterly!B:B,"&gt;="&amp;A423-92,Quarterly!B:B,"&lt;="&amp;A423)))</f>
        <v>1450.1869999999999</v>
      </c>
      <c r="N423" s="13">
        <f t="shared" si="256"/>
        <v>7.6039999999999996E-2</v>
      </c>
      <c r="O423">
        <f t="shared" si="244"/>
        <v>1102.6600000000001</v>
      </c>
      <c r="P423" s="56">
        <f>VLOOKUP(EOMONTH(A423,-1),Economic!A:I,7,FALSE)</f>
        <v>1066865</v>
      </c>
      <c r="Q423" s="13">
        <f t="shared" si="245"/>
        <v>0.10339999999999999</v>
      </c>
      <c r="R423" s="41">
        <v>2.42</v>
      </c>
      <c r="S423">
        <f t="shared" si="246"/>
        <v>2.5299999999999998</v>
      </c>
      <c r="T423" s="30">
        <f t="shared" si="247"/>
        <v>257.02</v>
      </c>
      <c r="U423" s="30">
        <f t="shared" si="254"/>
        <v>249.29</v>
      </c>
    </row>
    <row r="424" spans="1:21" ht="15" customHeight="1" x14ac:dyDescent="0.25">
      <c r="A424" s="5">
        <v>40377</v>
      </c>
      <c r="B424" s="5">
        <f t="shared" si="248"/>
        <v>40390</v>
      </c>
      <c r="C424">
        <v>1064.8800000000001</v>
      </c>
      <c r="D424" s="29">
        <f t="shared" si="249"/>
        <v>-8.2000000000000007E-3</v>
      </c>
      <c r="E424" s="39">
        <f t="shared" si="250"/>
        <v>1103.3692307692311</v>
      </c>
      <c r="F424" s="39">
        <f t="shared" si="251"/>
        <v>1111.3707692307694</v>
      </c>
      <c r="G424" s="29">
        <f t="shared" si="243"/>
        <v>-3.49E-2</v>
      </c>
      <c r="H424" s="29">
        <f t="shared" si="243"/>
        <v>-4.1799999999999997E-2</v>
      </c>
      <c r="I424">
        <f t="shared" si="252"/>
        <v>1064.8800000000001</v>
      </c>
      <c r="J424">
        <f>IF(A424&gt;=Quarterly!B$2,Quarterly!C$2,IF(COUNTIFS(Quarterly!B:B,"&gt;="&amp;A424-92,Quarterly!B:B,"&lt;="&amp;A424)&gt;1,SUMIFS(Quarterly!C:C,Quarterly!B:B,"&gt;="&amp;A424-88,Quarterly!B:B,"&lt;="&amp;A424),SUMIFS(Quarterly!C:C,Quarterly!B:B,"&gt;="&amp;A424-92,Quarterly!B:B,"&lt;="&amp;A424)))</f>
        <v>14681.1</v>
      </c>
      <c r="K424" s="13">
        <f t="shared" si="253"/>
        <v>7.2499999999999995E-2</v>
      </c>
      <c r="L424">
        <f t="shared" si="255"/>
        <v>1064.8800000000001</v>
      </c>
      <c r="M424">
        <f>IF(A424&gt;=Quarterly!B$2,Quarterly!D$2,IF(COUNTIFS(Quarterly!B:B,"&gt;="&amp;A424-92,Quarterly!B:B,"&lt;="&amp;A424)&gt;1,SUMIFS(Quarterly!D:D,Quarterly!B:B,"&gt;="&amp;A424-88,Quarterly!B:B,"&lt;="&amp;A424),SUMIFS(Quarterly!D:D,Quarterly!B:B,"&gt;="&amp;A424-92,Quarterly!B:B,"&lt;="&amp;A424)))</f>
        <v>1450.1869999999999</v>
      </c>
      <c r="N424" s="13">
        <f t="shared" si="256"/>
        <v>7.3429999999999995E-2</v>
      </c>
      <c r="O424">
        <f t="shared" si="244"/>
        <v>1064.8800000000001</v>
      </c>
      <c r="P424" s="56">
        <f>VLOOKUP(EOMONTH(A424,-1),Economic!A:I,7,FALSE)</f>
        <v>1066865</v>
      </c>
      <c r="Q424" s="13">
        <f t="shared" si="245"/>
        <v>9.98E-2</v>
      </c>
      <c r="R424" s="41">
        <v>2.35</v>
      </c>
      <c r="S424">
        <f t="shared" si="246"/>
        <v>2.2599999999999998</v>
      </c>
      <c r="T424" s="30">
        <f t="shared" si="247"/>
        <v>246.12</v>
      </c>
      <c r="U424" s="30">
        <f t="shared" si="254"/>
        <v>244.47</v>
      </c>
    </row>
    <row r="425" spans="1:21" ht="15" customHeight="1" x14ac:dyDescent="0.25">
      <c r="A425" s="5">
        <v>40370</v>
      </c>
      <c r="B425" s="5">
        <f t="shared" si="248"/>
        <v>40390</v>
      </c>
      <c r="C425">
        <v>1077.96</v>
      </c>
      <c r="D425" s="29">
        <f t="shared" si="249"/>
        <v>8.0000000000000004E-4</v>
      </c>
      <c r="E425" s="39">
        <f t="shared" si="250"/>
        <v>1113.1576923076925</v>
      </c>
      <c r="F425" s="39">
        <f t="shared" si="251"/>
        <v>1111.9553846153849</v>
      </c>
      <c r="G425" s="29">
        <f t="shared" si="243"/>
        <v>-3.1600000000000003E-2</v>
      </c>
      <c r="H425" s="29">
        <f t="shared" si="243"/>
        <v>-3.0599999999999999E-2</v>
      </c>
      <c r="I425">
        <f t="shared" si="252"/>
        <v>1077.96</v>
      </c>
      <c r="J425">
        <f>IF(A425&gt;=Quarterly!B$2,Quarterly!C$2,IF(COUNTIFS(Quarterly!B:B,"&gt;="&amp;A425-92,Quarterly!B:B,"&lt;="&amp;A425)&gt;1,SUMIFS(Quarterly!C:C,Quarterly!B:B,"&gt;="&amp;A425-88,Quarterly!B:B,"&lt;="&amp;A425),SUMIFS(Quarterly!C:C,Quarterly!B:B,"&gt;="&amp;A425-92,Quarterly!B:B,"&lt;="&amp;A425)))</f>
        <v>14681.1</v>
      </c>
      <c r="K425" s="13">
        <f t="shared" si="253"/>
        <v>7.3400000000000007E-2</v>
      </c>
      <c r="L425">
        <f t="shared" si="255"/>
        <v>1077.96</v>
      </c>
      <c r="M425">
        <f>IF(A425&gt;=Quarterly!B$2,Quarterly!D$2,IF(COUNTIFS(Quarterly!B:B,"&gt;="&amp;A425-92,Quarterly!B:B,"&lt;="&amp;A425)&gt;1,SUMIFS(Quarterly!D:D,Quarterly!B:B,"&gt;="&amp;A425-88,Quarterly!B:B,"&lt;="&amp;A425),SUMIFS(Quarterly!D:D,Quarterly!B:B,"&gt;="&amp;A425-92,Quarterly!B:B,"&lt;="&amp;A425)))</f>
        <v>1450.1869999999999</v>
      </c>
      <c r="N425" s="13">
        <f t="shared" si="256"/>
        <v>7.4329999999999993E-2</v>
      </c>
      <c r="O425">
        <f t="shared" si="244"/>
        <v>1077.96</v>
      </c>
      <c r="P425" s="56">
        <f>VLOOKUP(EOMONTH(A425,-1),Economic!A:I,7,FALSE)</f>
        <v>1066865</v>
      </c>
      <c r="Q425" s="13">
        <f t="shared" si="245"/>
        <v>0.10100000000000001</v>
      </c>
      <c r="R425" s="41">
        <v>2.44</v>
      </c>
      <c r="S425">
        <f t="shared" si="246"/>
        <v>2.29</v>
      </c>
      <c r="T425" s="30">
        <f t="shared" si="247"/>
        <v>244.72</v>
      </c>
      <c r="U425" s="30">
        <f t="shared" si="254"/>
        <v>239.66</v>
      </c>
    </row>
    <row r="426" spans="1:21" ht="15" customHeight="1" x14ac:dyDescent="0.25">
      <c r="A426" s="5">
        <v>40363</v>
      </c>
      <c r="B426" s="5">
        <f t="shared" si="248"/>
        <v>40390</v>
      </c>
      <c r="C426">
        <v>1022.58</v>
      </c>
      <c r="D426" s="29">
        <f t="shared" si="249"/>
        <v>-5.9900000000000002E-2</v>
      </c>
      <c r="E426" s="39">
        <f t="shared" si="250"/>
        <v>1122.1123076923079</v>
      </c>
      <c r="F426" s="39">
        <f t="shared" si="251"/>
        <v>1111.7894871794874</v>
      </c>
      <c r="G426" s="29">
        <f t="shared" si="243"/>
        <v>-8.8700000000000001E-2</v>
      </c>
      <c r="H426" s="29">
        <f t="shared" si="243"/>
        <v>-8.0199999999999994E-2</v>
      </c>
      <c r="I426">
        <f t="shared" si="252"/>
        <v>1022.58</v>
      </c>
      <c r="J426">
        <f>IF(A426&gt;=Quarterly!B$2,Quarterly!C$2,IF(COUNTIFS(Quarterly!B:B,"&gt;="&amp;A426-92,Quarterly!B:B,"&lt;="&amp;A426)&gt;1,SUMIFS(Quarterly!C:C,Quarterly!B:B,"&gt;="&amp;A426-88,Quarterly!B:B,"&lt;="&amp;A426),SUMIFS(Quarterly!C:C,Quarterly!B:B,"&gt;="&amp;A426-92,Quarterly!B:B,"&lt;="&amp;A426)))</f>
        <v>14681.1</v>
      </c>
      <c r="K426" s="13">
        <f t="shared" si="253"/>
        <v>6.9699999999999998E-2</v>
      </c>
      <c r="L426">
        <f t="shared" si="255"/>
        <v>1022.58</v>
      </c>
      <c r="M426">
        <f>IF(A426&gt;=Quarterly!B$2,Quarterly!D$2,IF(COUNTIFS(Quarterly!B:B,"&gt;="&amp;A426-92,Quarterly!B:B,"&lt;="&amp;A426)&gt;1,SUMIFS(Quarterly!D:D,Quarterly!B:B,"&gt;="&amp;A426-88,Quarterly!B:B,"&lt;="&amp;A426),SUMIFS(Quarterly!D:D,Quarterly!B:B,"&gt;="&amp;A426-92,Quarterly!B:B,"&lt;="&amp;A426)))</f>
        <v>1450.1869999999999</v>
      </c>
      <c r="N426" s="13">
        <f t="shared" si="256"/>
        <v>7.0510000000000003E-2</v>
      </c>
      <c r="O426">
        <f t="shared" si="244"/>
        <v>1022.58</v>
      </c>
      <c r="P426" s="56">
        <f>VLOOKUP(EOMONTH(A426,-1),Economic!A:I,7,FALSE)</f>
        <v>1066865</v>
      </c>
      <c r="Q426" s="13">
        <f t="shared" si="245"/>
        <v>9.5799999999999996E-2</v>
      </c>
      <c r="R426" s="41">
        <v>2.37</v>
      </c>
      <c r="S426">
        <f t="shared" si="246"/>
        <v>2.29</v>
      </c>
      <c r="T426" s="30">
        <f t="shared" si="247"/>
        <v>242.58</v>
      </c>
      <c r="U426" s="30">
        <f t="shared" si="254"/>
        <v>234.09</v>
      </c>
    </row>
    <row r="427" spans="1:21" ht="15" customHeight="1" x14ac:dyDescent="0.25">
      <c r="A427" s="5">
        <v>40356</v>
      </c>
      <c r="B427" s="5">
        <f t="shared" si="248"/>
        <v>40359</v>
      </c>
      <c r="C427">
        <v>1076.76</v>
      </c>
      <c r="D427" s="29">
        <f t="shared" si="249"/>
        <v>-1.29E-2</v>
      </c>
      <c r="E427" s="39">
        <f t="shared" si="250"/>
        <v>1134.0753846153848</v>
      </c>
      <c r="F427" s="39">
        <f t="shared" si="251"/>
        <v>1111.8569230769231</v>
      </c>
      <c r="G427" s="29">
        <f t="shared" si="243"/>
        <v>-5.0500000000000003E-2</v>
      </c>
      <c r="H427" s="29">
        <f t="shared" si="243"/>
        <v>-3.1600000000000003E-2</v>
      </c>
      <c r="I427">
        <f t="shared" si="252"/>
        <v>1076.76</v>
      </c>
      <c r="J427">
        <f>IF(A427&gt;=Quarterly!B$2,Quarterly!C$2,IF(COUNTIFS(Quarterly!B:B,"&gt;="&amp;A427-92,Quarterly!B:B,"&lt;="&amp;A427)&gt;1,SUMIFS(Quarterly!C:C,Quarterly!B:B,"&gt;="&amp;A427-88,Quarterly!B:B,"&lt;="&amp;A427),SUMIFS(Quarterly!C:C,Quarterly!B:B,"&gt;="&amp;A427-92,Quarterly!B:B,"&lt;="&amp;A427)))</f>
        <v>14681.1</v>
      </c>
      <c r="K427" s="13">
        <f t="shared" si="253"/>
        <v>7.3300000000000004E-2</v>
      </c>
      <c r="L427">
        <f t="shared" si="255"/>
        <v>1076.76</v>
      </c>
      <c r="M427">
        <f>IF(A427&gt;=Quarterly!B$2,Quarterly!D$2,IF(COUNTIFS(Quarterly!B:B,"&gt;="&amp;A427-92,Quarterly!B:B,"&lt;="&amp;A427)&gt;1,SUMIFS(Quarterly!D:D,Quarterly!B:B,"&gt;="&amp;A427-88,Quarterly!B:B,"&lt;="&amp;A427),SUMIFS(Quarterly!D:D,Quarterly!B:B,"&gt;="&amp;A427-92,Quarterly!B:B,"&lt;="&amp;A427)))</f>
        <v>1450.1869999999999</v>
      </c>
      <c r="N427" s="13">
        <f t="shared" si="256"/>
        <v>7.425000000000001E-2</v>
      </c>
      <c r="O427">
        <f t="shared" si="244"/>
        <v>1076.76</v>
      </c>
      <c r="P427" s="56">
        <f>VLOOKUP(EOMONTH(A427,-1),Economic!A:I,7,FALSE)</f>
        <v>1055195</v>
      </c>
      <c r="Q427" s="13">
        <f t="shared" si="245"/>
        <v>0.10200000000000001</v>
      </c>
      <c r="R427" s="41">
        <v>2.4700000000000002</v>
      </c>
      <c r="S427">
        <f t="shared" si="246"/>
        <v>2.04</v>
      </c>
      <c r="T427" s="30">
        <f t="shared" si="247"/>
        <v>231.67</v>
      </c>
      <c r="U427" s="30">
        <f t="shared" si="254"/>
        <v>229.07</v>
      </c>
    </row>
    <row r="428" spans="1:21" ht="15" customHeight="1" x14ac:dyDescent="0.25">
      <c r="A428" s="5">
        <v>40349</v>
      </c>
      <c r="B428" s="5">
        <f t="shared" si="248"/>
        <v>40359</v>
      </c>
      <c r="C428">
        <v>1117.51</v>
      </c>
      <c r="D428" s="29">
        <f t="shared" si="249"/>
        <v>3.15E-2</v>
      </c>
      <c r="E428" s="39">
        <f t="shared" si="250"/>
        <v>1140.9853846153846</v>
      </c>
      <c r="F428" s="39">
        <f t="shared" si="251"/>
        <v>1111.0266666666664</v>
      </c>
      <c r="G428" s="29">
        <f t="shared" si="243"/>
        <v>-2.06E-2</v>
      </c>
      <c r="H428" s="29">
        <f t="shared" si="243"/>
        <v>5.7999999999999996E-3</v>
      </c>
      <c r="I428">
        <f t="shared" si="252"/>
        <v>1117.51</v>
      </c>
      <c r="J428">
        <f>IF(A428&gt;=Quarterly!B$2,Quarterly!C$2,IF(COUNTIFS(Quarterly!B:B,"&gt;="&amp;A428-92,Quarterly!B:B,"&lt;="&amp;A428)&gt;1,SUMIFS(Quarterly!C:C,Quarterly!B:B,"&gt;="&amp;A428-88,Quarterly!B:B,"&lt;="&amp;A428),SUMIFS(Quarterly!C:C,Quarterly!B:B,"&gt;="&amp;A428-92,Quarterly!B:B,"&lt;="&amp;A428)))</f>
        <v>14681.1</v>
      </c>
      <c r="K428" s="13">
        <f t="shared" si="253"/>
        <v>7.6100000000000001E-2</v>
      </c>
      <c r="L428">
        <f t="shared" si="255"/>
        <v>1117.51</v>
      </c>
      <c r="M428">
        <f>IF(A428&gt;=Quarterly!B$2,Quarterly!D$2,IF(COUNTIFS(Quarterly!B:B,"&gt;="&amp;A428-92,Quarterly!B:B,"&lt;="&amp;A428)&gt;1,SUMIFS(Quarterly!D:D,Quarterly!B:B,"&gt;="&amp;A428-88,Quarterly!B:B,"&lt;="&amp;A428),SUMIFS(Quarterly!D:D,Quarterly!B:B,"&gt;="&amp;A428-92,Quarterly!B:B,"&lt;="&amp;A428)))</f>
        <v>1450.1869999999999</v>
      </c>
      <c r="N428" s="13">
        <f t="shared" si="256"/>
        <v>7.7060000000000003E-2</v>
      </c>
      <c r="O428">
        <f t="shared" si="244"/>
        <v>1117.51</v>
      </c>
      <c r="P428" s="56">
        <f>VLOOKUP(EOMONTH(A428,-1),Economic!A:I,7,FALSE)</f>
        <v>1055195</v>
      </c>
      <c r="Q428" s="13">
        <f t="shared" si="245"/>
        <v>0.10590000000000001</v>
      </c>
      <c r="R428" s="41">
        <v>2.5</v>
      </c>
      <c r="S428">
        <f t="shared" si="246"/>
        <v>1.99</v>
      </c>
      <c r="T428" s="30">
        <f t="shared" si="247"/>
        <v>228.01</v>
      </c>
      <c r="U428" s="30">
        <f t="shared" si="254"/>
        <v>226.93</v>
      </c>
    </row>
    <row r="429" spans="1:21" ht="15" customHeight="1" x14ac:dyDescent="0.25">
      <c r="A429" s="5">
        <v>40342</v>
      </c>
      <c r="B429" s="5">
        <f t="shared" si="248"/>
        <v>40359</v>
      </c>
      <c r="C429">
        <v>1091.5999999999999</v>
      </c>
      <c r="D429" s="29">
        <f t="shared" si="249"/>
        <v>-2.5999999999999999E-3</v>
      </c>
      <c r="E429" s="39">
        <f t="shared" si="250"/>
        <v>1144.2461538461539</v>
      </c>
      <c r="F429" s="39">
        <f t="shared" si="251"/>
        <v>1109.7648717948719</v>
      </c>
      <c r="G429" s="29">
        <f t="shared" si="243"/>
        <v>-4.5999999999999999E-2</v>
      </c>
      <c r="H429" s="29">
        <f t="shared" si="243"/>
        <v>-1.6400000000000001E-2</v>
      </c>
      <c r="I429">
        <f t="shared" si="252"/>
        <v>1091.5999999999999</v>
      </c>
      <c r="J429">
        <f>IF(A429&gt;=Quarterly!B$2,Quarterly!C$2,IF(COUNTIFS(Quarterly!B:B,"&gt;="&amp;A429-92,Quarterly!B:B,"&lt;="&amp;A429)&gt;1,SUMIFS(Quarterly!C:C,Quarterly!B:B,"&gt;="&amp;A429-88,Quarterly!B:B,"&lt;="&amp;A429),SUMIFS(Quarterly!C:C,Quarterly!B:B,"&gt;="&amp;A429-92,Quarterly!B:B,"&lt;="&amp;A429)))</f>
        <v>14681.1</v>
      </c>
      <c r="K429" s="13">
        <f t="shared" si="253"/>
        <v>7.4399999999999994E-2</v>
      </c>
      <c r="L429">
        <f t="shared" si="255"/>
        <v>1091.5999999999999</v>
      </c>
      <c r="M429">
        <f>IF(A429&gt;=Quarterly!B$2,Quarterly!D$2,IF(COUNTIFS(Quarterly!B:B,"&gt;="&amp;A429-92,Quarterly!B:B,"&lt;="&amp;A429)&gt;1,SUMIFS(Quarterly!D:D,Quarterly!B:B,"&gt;="&amp;A429-88,Quarterly!B:B,"&lt;="&amp;A429),SUMIFS(Quarterly!D:D,Quarterly!B:B,"&gt;="&amp;A429-92,Quarterly!B:B,"&lt;="&amp;A429)))</f>
        <v>1450.1869999999999</v>
      </c>
      <c r="N429" s="13">
        <f t="shared" si="256"/>
        <v>7.5270000000000004E-2</v>
      </c>
      <c r="O429">
        <f t="shared" si="244"/>
        <v>1091.5999999999999</v>
      </c>
      <c r="P429" s="56">
        <f>VLOOKUP(EOMONTH(A429,-1),Economic!A:I,7,FALSE)</f>
        <v>1055195</v>
      </c>
      <c r="Q429" s="13">
        <f t="shared" si="245"/>
        <v>0.10349999999999999</v>
      </c>
      <c r="R429" s="41">
        <v>2.4900000000000002</v>
      </c>
      <c r="S429">
        <f t="shared" si="246"/>
        <v>2</v>
      </c>
      <c r="T429" s="30">
        <f t="shared" si="247"/>
        <v>227.54</v>
      </c>
      <c r="U429" s="30">
        <f t="shared" si="254"/>
        <v>224.67</v>
      </c>
    </row>
    <row r="430" spans="1:21" ht="15" customHeight="1" x14ac:dyDescent="0.25">
      <c r="A430" s="5">
        <v>40335</v>
      </c>
      <c r="B430" s="5">
        <f t="shared" si="248"/>
        <v>40359</v>
      </c>
      <c r="C430">
        <v>1064.8800000000001</v>
      </c>
      <c r="D430" s="29">
        <f t="shared" si="249"/>
        <v>-3.7100000000000001E-2</v>
      </c>
      <c r="E430" s="39">
        <f t="shared" si="250"/>
        <v>1148.7376923076922</v>
      </c>
      <c r="F430" s="39">
        <f t="shared" si="251"/>
        <v>1108.5117948717948</v>
      </c>
      <c r="G430" s="29">
        <f t="shared" si="243"/>
        <v>-7.2999999999999995E-2</v>
      </c>
      <c r="H430" s="29">
        <f t="shared" si="243"/>
        <v>-3.9399999999999998E-2</v>
      </c>
      <c r="I430">
        <f t="shared" si="252"/>
        <v>1064.8800000000001</v>
      </c>
      <c r="J430">
        <f>IF(A430&gt;=Quarterly!B$2,Quarterly!C$2,IF(COUNTIFS(Quarterly!B:B,"&gt;="&amp;A430-92,Quarterly!B:B,"&lt;="&amp;A430)&gt;1,SUMIFS(Quarterly!C:C,Quarterly!B:B,"&gt;="&amp;A430-88,Quarterly!B:B,"&lt;="&amp;A430),SUMIFS(Quarterly!C:C,Quarterly!B:B,"&gt;="&amp;A430-92,Quarterly!B:B,"&lt;="&amp;A430)))</f>
        <v>14681.1</v>
      </c>
      <c r="K430" s="13">
        <f t="shared" si="253"/>
        <v>7.2499999999999995E-2</v>
      </c>
      <c r="L430">
        <f t="shared" si="255"/>
        <v>1064.8800000000001</v>
      </c>
      <c r="M430">
        <f>IF(A430&gt;=Quarterly!B$2,Quarterly!D$2,IF(COUNTIFS(Quarterly!B:B,"&gt;="&amp;A430-92,Quarterly!B:B,"&lt;="&amp;A430)&gt;1,SUMIFS(Quarterly!D:D,Quarterly!B:B,"&gt;="&amp;A430-88,Quarterly!B:B,"&lt;="&amp;A430),SUMIFS(Quarterly!D:D,Quarterly!B:B,"&gt;="&amp;A430-92,Quarterly!B:B,"&lt;="&amp;A430)))</f>
        <v>1450.1869999999999</v>
      </c>
      <c r="N430" s="13">
        <f t="shared" si="256"/>
        <v>7.3429999999999995E-2</v>
      </c>
      <c r="O430">
        <f t="shared" si="244"/>
        <v>1064.8800000000001</v>
      </c>
      <c r="P430" s="56">
        <f>VLOOKUP(EOMONTH(A430,-1),Economic!A:I,7,FALSE)</f>
        <v>1055195</v>
      </c>
      <c r="Q430" s="13">
        <f t="shared" si="245"/>
        <v>0.10089999999999999</v>
      </c>
      <c r="R430" s="41">
        <v>2.48</v>
      </c>
      <c r="S430">
        <f t="shared" si="246"/>
        <v>1.95</v>
      </c>
      <c r="T430" s="30">
        <f t="shared" si="247"/>
        <v>225.25</v>
      </c>
      <c r="U430" s="30">
        <f t="shared" si="254"/>
        <v>221.16</v>
      </c>
    </row>
    <row r="431" spans="1:21" ht="15" customHeight="1" x14ac:dyDescent="0.25">
      <c r="A431" s="5">
        <v>40328</v>
      </c>
      <c r="B431" s="5">
        <f t="shared" si="248"/>
        <v>40329</v>
      </c>
      <c r="C431">
        <v>1089.4100000000001</v>
      </c>
      <c r="D431" s="29">
        <f t="shared" si="249"/>
        <v>-3.61E-2</v>
      </c>
      <c r="E431" s="39">
        <f t="shared" si="250"/>
        <v>1154.416153846154</v>
      </c>
      <c r="F431" s="39">
        <f t="shared" si="251"/>
        <v>1107.2687179487179</v>
      </c>
      <c r="G431" s="29">
        <f t="shared" si="243"/>
        <v>-5.6300000000000003E-2</v>
      </c>
      <c r="H431" s="29">
        <f t="shared" si="243"/>
        <v>-1.61E-2</v>
      </c>
      <c r="I431">
        <f t="shared" si="252"/>
        <v>1089.4100000000001</v>
      </c>
      <c r="J431">
        <f>IF(A431&gt;=Quarterly!B$2,Quarterly!C$2,IF(COUNTIFS(Quarterly!B:B,"&gt;="&amp;A431-92,Quarterly!B:B,"&lt;="&amp;A431)&gt;1,SUMIFS(Quarterly!C:C,Quarterly!B:B,"&gt;="&amp;A431-88,Quarterly!B:B,"&lt;="&amp;A431),SUMIFS(Quarterly!C:C,Quarterly!B:B,"&gt;="&amp;A431-92,Quarterly!B:B,"&lt;="&amp;A431)))</f>
        <v>14681.1</v>
      </c>
      <c r="K431" s="13">
        <f t="shared" si="253"/>
        <v>7.4200000000000002E-2</v>
      </c>
      <c r="L431">
        <f t="shared" si="255"/>
        <v>1089.4100000000001</v>
      </c>
      <c r="M431">
        <f>IF(A431&gt;=Quarterly!B$2,Quarterly!D$2,IF(COUNTIFS(Quarterly!B:B,"&gt;="&amp;A431-92,Quarterly!B:B,"&lt;="&amp;A431)&gt;1,SUMIFS(Quarterly!D:D,Quarterly!B:B,"&gt;="&amp;A431-88,Quarterly!B:B,"&lt;="&amp;A431),SUMIFS(Quarterly!D:D,Quarterly!B:B,"&gt;="&amp;A431-92,Quarterly!B:B,"&lt;="&amp;A431)))</f>
        <v>1450.1869999999999</v>
      </c>
      <c r="N431" s="13">
        <f t="shared" si="256"/>
        <v>7.5120000000000006E-2</v>
      </c>
      <c r="O431">
        <f t="shared" si="244"/>
        <v>1089.4100000000001</v>
      </c>
      <c r="P431" s="56">
        <f>VLOOKUP(EOMONTH(A431,-1),Economic!A:I,7,FALSE)</f>
        <v>1044563</v>
      </c>
      <c r="Q431" s="13">
        <f t="shared" si="245"/>
        <v>0.1043</v>
      </c>
      <c r="R431" s="41">
        <v>2.5499999999999998</v>
      </c>
      <c r="S431">
        <f t="shared" si="246"/>
        <v>1.88</v>
      </c>
      <c r="T431" s="30">
        <f t="shared" si="247"/>
        <v>221.22</v>
      </c>
      <c r="U431" s="30">
        <f t="shared" si="254"/>
        <v>219.63</v>
      </c>
    </row>
    <row r="432" spans="1:21" ht="15" customHeight="1" x14ac:dyDescent="0.25">
      <c r="A432" s="5">
        <v>40321</v>
      </c>
      <c r="B432" s="5">
        <f t="shared" si="248"/>
        <v>40329</v>
      </c>
      <c r="C432">
        <v>1087.69</v>
      </c>
      <c r="D432" s="29">
        <f t="shared" si="249"/>
        <v>-6.4500000000000002E-2</v>
      </c>
      <c r="E432" s="39">
        <f t="shared" si="250"/>
        <v>1155.5761538461538</v>
      </c>
      <c r="F432" s="39">
        <f t="shared" si="251"/>
        <v>1105.7179487179485</v>
      </c>
      <c r="G432" s="29">
        <f t="shared" si="243"/>
        <v>-5.8700000000000002E-2</v>
      </c>
      <c r="H432" s="29">
        <f t="shared" si="243"/>
        <v>-1.6299999999999999E-2</v>
      </c>
      <c r="I432">
        <f t="shared" si="252"/>
        <v>1087.69</v>
      </c>
      <c r="J432">
        <f>IF(A432&gt;=Quarterly!B$2,Quarterly!C$2,IF(COUNTIFS(Quarterly!B:B,"&gt;="&amp;A432-92,Quarterly!B:B,"&lt;="&amp;A432)&gt;1,SUMIFS(Quarterly!C:C,Quarterly!B:B,"&gt;="&amp;A432-88,Quarterly!B:B,"&lt;="&amp;A432),SUMIFS(Quarterly!C:C,Quarterly!B:B,"&gt;="&amp;A432-92,Quarterly!B:B,"&lt;="&amp;A432)))</f>
        <v>14681.1</v>
      </c>
      <c r="K432" s="13">
        <f t="shared" si="253"/>
        <v>7.4099999999999999E-2</v>
      </c>
      <c r="L432">
        <f t="shared" si="255"/>
        <v>1087.69</v>
      </c>
      <c r="M432">
        <f>IF(A432&gt;=Quarterly!B$2,Quarterly!D$2,IF(COUNTIFS(Quarterly!B:B,"&gt;="&amp;A432-92,Quarterly!B:B,"&lt;="&amp;A432)&gt;1,SUMIFS(Quarterly!D:D,Quarterly!B:B,"&gt;="&amp;A432-88,Quarterly!B:B,"&lt;="&amp;A432),SUMIFS(Quarterly!D:D,Quarterly!B:B,"&gt;="&amp;A432-92,Quarterly!B:B,"&lt;="&amp;A432)))</f>
        <v>1450.1869999999999</v>
      </c>
      <c r="N432" s="13">
        <f t="shared" si="256"/>
        <v>7.5000000000000011E-2</v>
      </c>
      <c r="O432">
        <f t="shared" si="244"/>
        <v>1087.69</v>
      </c>
      <c r="P432" s="56">
        <f>VLOOKUP(EOMONTH(A432,-1),Economic!A:I,7,FALSE)</f>
        <v>1044563</v>
      </c>
      <c r="Q432" s="13">
        <f t="shared" si="245"/>
        <v>0.1041</v>
      </c>
      <c r="R432" s="41">
        <v>2.44</v>
      </c>
      <c r="S432">
        <f t="shared" si="246"/>
        <v>1.76</v>
      </c>
      <c r="T432" s="30">
        <f t="shared" si="247"/>
        <v>217</v>
      </c>
      <c r="U432" s="30">
        <f t="shared" si="254"/>
        <v>219.93</v>
      </c>
    </row>
    <row r="433" spans="1:21" ht="15" customHeight="1" x14ac:dyDescent="0.25">
      <c r="A433" s="5">
        <v>40314</v>
      </c>
      <c r="B433" s="5">
        <f t="shared" si="248"/>
        <v>40329</v>
      </c>
      <c r="C433">
        <v>1135.68</v>
      </c>
      <c r="D433" s="29">
        <f t="shared" si="249"/>
        <v>-3.49E-2</v>
      </c>
      <c r="E433" s="39">
        <f t="shared" si="250"/>
        <v>1157.2284615384617</v>
      </c>
      <c r="F433" s="39">
        <f t="shared" si="251"/>
        <v>1104.1394871794871</v>
      </c>
      <c r="G433" s="29">
        <f t="shared" si="243"/>
        <v>-1.8599999999999998E-2</v>
      </c>
      <c r="H433" s="29">
        <f t="shared" si="243"/>
        <v>2.86E-2</v>
      </c>
      <c r="I433">
        <f t="shared" si="252"/>
        <v>1135.68</v>
      </c>
      <c r="J433">
        <f>IF(A433&gt;=Quarterly!B$2,Quarterly!C$2,IF(COUNTIFS(Quarterly!B:B,"&gt;="&amp;A433-92,Quarterly!B:B,"&lt;="&amp;A433)&gt;1,SUMIFS(Quarterly!C:C,Quarterly!B:B,"&gt;="&amp;A433-88,Quarterly!B:B,"&lt;="&amp;A433),SUMIFS(Quarterly!C:C,Quarterly!B:B,"&gt;="&amp;A433-92,Quarterly!B:B,"&lt;="&amp;A433)))</f>
        <v>14681.1</v>
      </c>
      <c r="K433" s="13">
        <f t="shared" si="253"/>
        <v>7.7399999999999997E-2</v>
      </c>
      <c r="L433">
        <f t="shared" si="255"/>
        <v>1135.68</v>
      </c>
      <c r="M433">
        <f>IF(A433&gt;=Quarterly!B$2,Quarterly!D$2,IF(COUNTIFS(Quarterly!B:B,"&gt;="&amp;A433-92,Quarterly!B:B,"&lt;="&amp;A433)&gt;1,SUMIFS(Quarterly!D:D,Quarterly!B:B,"&gt;="&amp;A433-88,Quarterly!B:B,"&lt;="&amp;A433),SUMIFS(Quarterly!D:D,Quarterly!B:B,"&gt;="&amp;A433-92,Quarterly!B:B,"&lt;="&amp;A433)))</f>
        <v>1450.1869999999999</v>
      </c>
      <c r="N433" s="13">
        <f t="shared" si="256"/>
        <v>7.8310000000000005E-2</v>
      </c>
      <c r="O433">
        <f t="shared" si="244"/>
        <v>1135.68</v>
      </c>
      <c r="P433" s="56">
        <f>VLOOKUP(EOMONTH(A433,-1),Economic!A:I,7,FALSE)</f>
        <v>1044563</v>
      </c>
      <c r="Q433" s="13">
        <f t="shared" si="245"/>
        <v>0.1087</v>
      </c>
      <c r="R433" s="41">
        <v>2.65</v>
      </c>
      <c r="S433">
        <f t="shared" si="246"/>
        <v>1.91</v>
      </c>
      <c r="T433" s="30">
        <f t="shared" si="247"/>
        <v>220.66</v>
      </c>
      <c r="U433" s="30">
        <f t="shared" si="254"/>
        <v>222.7</v>
      </c>
    </row>
    <row r="434" spans="1:21" ht="15" customHeight="1" x14ac:dyDescent="0.25">
      <c r="A434" s="5">
        <v>40307</v>
      </c>
      <c r="B434" s="5">
        <f t="shared" si="248"/>
        <v>40329</v>
      </c>
      <c r="C434">
        <v>1110.8800000000001</v>
      </c>
      <c r="D434" s="29">
        <f t="shared" si="249"/>
        <v>-7.2400000000000006E-2</v>
      </c>
      <c r="E434" s="39">
        <f t="shared" si="250"/>
        <v>1152.6000000000001</v>
      </c>
      <c r="F434" s="39">
        <f t="shared" si="251"/>
        <v>1100.7653846153844</v>
      </c>
      <c r="G434" s="29">
        <f t="shared" si="243"/>
        <v>-3.6200000000000003E-2</v>
      </c>
      <c r="H434" s="29">
        <f t="shared" si="243"/>
        <v>9.1999999999999998E-3</v>
      </c>
      <c r="I434">
        <f t="shared" si="252"/>
        <v>1110.8800000000001</v>
      </c>
      <c r="J434">
        <f>IF(A434&gt;=Quarterly!B$2,Quarterly!C$2,IF(COUNTIFS(Quarterly!B:B,"&gt;="&amp;A434-92,Quarterly!B:B,"&lt;="&amp;A434)&gt;1,SUMIFS(Quarterly!C:C,Quarterly!B:B,"&gt;="&amp;A434-88,Quarterly!B:B,"&lt;="&amp;A434),SUMIFS(Quarterly!C:C,Quarterly!B:B,"&gt;="&amp;A434-92,Quarterly!B:B,"&lt;="&amp;A434)))</f>
        <v>14681.1</v>
      </c>
      <c r="K434" s="13">
        <f t="shared" si="253"/>
        <v>7.5700000000000003E-2</v>
      </c>
      <c r="L434">
        <f t="shared" si="255"/>
        <v>1110.8800000000001</v>
      </c>
      <c r="M434">
        <f>IF(A434&gt;=Quarterly!B$2,Quarterly!D$2,IF(COUNTIFS(Quarterly!B:B,"&gt;="&amp;A434-92,Quarterly!B:B,"&lt;="&amp;A434)&gt;1,SUMIFS(Quarterly!D:D,Quarterly!B:B,"&gt;="&amp;A434-88,Quarterly!B:B,"&lt;="&amp;A434),SUMIFS(Quarterly!D:D,Quarterly!B:B,"&gt;="&amp;A434-92,Quarterly!B:B,"&lt;="&amp;A434)))</f>
        <v>1450.1869999999999</v>
      </c>
      <c r="N434" s="13">
        <f t="shared" si="256"/>
        <v>7.6600000000000001E-2</v>
      </c>
      <c r="O434">
        <f t="shared" si="244"/>
        <v>1110.8800000000001</v>
      </c>
      <c r="P434" s="56">
        <f>VLOOKUP(EOMONTH(A434,-1),Economic!A:I,7,FALSE)</f>
        <v>1044563</v>
      </c>
      <c r="Q434" s="13">
        <f t="shared" si="245"/>
        <v>0.10629999999999999</v>
      </c>
      <c r="R434" s="41">
        <v>2.62</v>
      </c>
      <c r="S434">
        <f t="shared" si="246"/>
        <v>1.92</v>
      </c>
      <c r="T434" s="30">
        <f t="shared" si="247"/>
        <v>222.13</v>
      </c>
      <c r="U434" s="30">
        <f t="shared" si="254"/>
        <v>221.61</v>
      </c>
    </row>
    <row r="435" spans="1:21" ht="15" customHeight="1" x14ac:dyDescent="0.25">
      <c r="A435" s="5">
        <v>40300</v>
      </c>
      <c r="B435" s="5">
        <f t="shared" si="248"/>
        <v>40329</v>
      </c>
      <c r="C435">
        <v>1186.69</v>
      </c>
      <c r="D435" s="29">
        <f t="shared" si="249"/>
        <v>-7.3000000000000001E-3</v>
      </c>
      <c r="E435" s="39">
        <f t="shared" si="250"/>
        <v>1149.1623076923076</v>
      </c>
      <c r="F435" s="39">
        <f t="shared" si="251"/>
        <v>1098.1910256410256</v>
      </c>
      <c r="G435" s="29">
        <f t="shared" si="243"/>
        <v>3.27E-2</v>
      </c>
      <c r="H435" s="29">
        <f t="shared" si="243"/>
        <v>8.0600000000000005E-2</v>
      </c>
      <c r="I435">
        <f t="shared" si="252"/>
        <v>1186.69</v>
      </c>
      <c r="J435">
        <f>IF(A435&gt;=Quarterly!B$2,Quarterly!C$2,IF(COUNTIFS(Quarterly!B:B,"&gt;="&amp;A435-92,Quarterly!B:B,"&lt;="&amp;A435)&gt;1,SUMIFS(Quarterly!C:C,Quarterly!B:B,"&gt;="&amp;A435-88,Quarterly!B:B,"&lt;="&amp;A435),SUMIFS(Quarterly!C:C,Quarterly!B:B,"&gt;="&amp;A435-92,Quarterly!B:B,"&lt;="&amp;A435)))</f>
        <v>14681.1</v>
      </c>
      <c r="K435" s="13">
        <f t="shared" si="253"/>
        <v>8.0799999999999997E-2</v>
      </c>
      <c r="L435">
        <f t="shared" si="255"/>
        <v>1186.69</v>
      </c>
      <c r="M435">
        <f>IF(A435&gt;=Quarterly!B$2,Quarterly!D$2,IF(COUNTIFS(Quarterly!B:B,"&gt;="&amp;A435-92,Quarterly!B:B,"&lt;="&amp;A435)&gt;1,SUMIFS(Quarterly!D:D,Quarterly!B:B,"&gt;="&amp;A435-88,Quarterly!B:B,"&lt;="&amp;A435),SUMIFS(Quarterly!D:D,Quarterly!B:B,"&gt;="&amp;A435-92,Quarterly!B:B,"&lt;="&amp;A435)))</f>
        <v>1450.1869999999999</v>
      </c>
      <c r="N435" s="13">
        <f t="shared" si="256"/>
        <v>8.1830000000000014E-2</v>
      </c>
      <c r="O435">
        <f t="shared" si="244"/>
        <v>1186.69</v>
      </c>
      <c r="P435" s="56">
        <f>VLOOKUP(EOMONTH(A435,-1),Economic!A:I,7,FALSE)</f>
        <v>1044563</v>
      </c>
      <c r="Q435" s="13">
        <f t="shared" si="245"/>
        <v>0.11360000000000001</v>
      </c>
      <c r="R435" s="41">
        <v>2.72</v>
      </c>
      <c r="S435">
        <f t="shared" si="246"/>
        <v>2.02</v>
      </c>
      <c r="T435" s="30">
        <f t="shared" si="247"/>
        <v>225.3</v>
      </c>
      <c r="U435" s="30">
        <f t="shared" si="254"/>
        <v>221.93</v>
      </c>
    </row>
    <row r="436" spans="1:21" ht="15" customHeight="1" x14ac:dyDescent="0.25">
      <c r="A436" s="5">
        <v>40293</v>
      </c>
      <c r="B436" s="5">
        <f t="shared" si="248"/>
        <v>40298</v>
      </c>
      <c r="C436">
        <v>1217.28</v>
      </c>
      <c r="D436" s="29">
        <f t="shared" si="249"/>
        <v>2.92E-2</v>
      </c>
      <c r="E436" s="39">
        <f t="shared" si="250"/>
        <v>1140.4838461538461</v>
      </c>
      <c r="F436" s="39">
        <f t="shared" si="251"/>
        <v>1093.083076923077</v>
      </c>
      <c r="G436" s="29">
        <f t="shared" si="243"/>
        <v>6.7299999999999999E-2</v>
      </c>
      <c r="H436" s="29">
        <f t="shared" si="243"/>
        <v>0.11360000000000001</v>
      </c>
      <c r="I436">
        <f t="shared" si="252"/>
        <v>1217.28</v>
      </c>
      <c r="J436">
        <f>IF(A436&gt;=Quarterly!B$2,Quarterly!C$2,IF(COUNTIFS(Quarterly!B:B,"&gt;="&amp;A436-92,Quarterly!B:B,"&lt;="&amp;A436)&gt;1,SUMIFS(Quarterly!C:C,Quarterly!B:B,"&gt;="&amp;A436-88,Quarterly!B:B,"&lt;="&amp;A436),SUMIFS(Quarterly!C:C,Quarterly!B:B,"&gt;="&amp;A436-92,Quarterly!B:B,"&lt;="&amp;A436)))</f>
        <v>14566.5</v>
      </c>
      <c r="K436" s="13">
        <f t="shared" si="253"/>
        <v>8.3599999999999994E-2</v>
      </c>
      <c r="L436">
        <f t="shared" si="255"/>
        <v>1217.28</v>
      </c>
      <c r="M436">
        <f>IF(A436&gt;=Quarterly!B$2,Quarterly!D$2,IF(COUNTIFS(Quarterly!B:B,"&gt;="&amp;A436-92,Quarterly!B:B,"&lt;="&amp;A436)&gt;1,SUMIFS(Quarterly!D:D,Quarterly!B:B,"&gt;="&amp;A436-88,Quarterly!B:B,"&lt;="&amp;A436),SUMIFS(Quarterly!D:D,Quarterly!B:B,"&gt;="&amp;A436-92,Quarterly!B:B,"&lt;="&amp;A436)))</f>
        <v>1374.367</v>
      </c>
      <c r="N436" s="13">
        <f t="shared" si="256"/>
        <v>8.857000000000001E-2</v>
      </c>
      <c r="O436">
        <f t="shared" si="244"/>
        <v>1217.28</v>
      </c>
      <c r="P436" s="56">
        <f>VLOOKUP(EOMONTH(A436,-1),Economic!A:I,7,FALSE)</f>
        <v>1037790</v>
      </c>
      <c r="Q436" s="13">
        <f t="shared" si="245"/>
        <v>0.1173</v>
      </c>
      <c r="R436" s="41">
        <v>2.74</v>
      </c>
      <c r="S436">
        <f t="shared" si="246"/>
        <v>1.82</v>
      </c>
      <c r="T436" s="30">
        <f t="shared" si="247"/>
        <v>217.41</v>
      </c>
      <c r="U436" s="30">
        <f t="shared" si="254"/>
        <v>222.84</v>
      </c>
    </row>
    <row r="437" spans="1:21" ht="15" customHeight="1" x14ac:dyDescent="0.25">
      <c r="A437" s="5">
        <v>40286</v>
      </c>
      <c r="B437" s="5">
        <f t="shared" si="248"/>
        <v>40298</v>
      </c>
      <c r="C437">
        <v>1192.1300000000001</v>
      </c>
      <c r="D437" s="29">
        <f t="shared" si="249"/>
        <v>1.4800000000000001E-2</v>
      </c>
      <c r="E437" s="39">
        <f t="shared" si="250"/>
        <v>1130.8284615384616</v>
      </c>
      <c r="F437" s="39">
        <f t="shared" si="251"/>
        <v>1086.9800000000002</v>
      </c>
      <c r="G437" s="29">
        <f t="shared" si="243"/>
        <v>5.4199999999999998E-2</v>
      </c>
      <c r="H437" s="29">
        <f t="shared" si="243"/>
        <v>9.6699999999999994E-2</v>
      </c>
      <c r="I437">
        <f t="shared" si="252"/>
        <v>1192.1300000000001</v>
      </c>
      <c r="J437">
        <f>IF(A437&gt;=Quarterly!B$2,Quarterly!C$2,IF(COUNTIFS(Quarterly!B:B,"&gt;="&amp;A437-92,Quarterly!B:B,"&lt;="&amp;A437)&gt;1,SUMIFS(Quarterly!C:C,Quarterly!B:B,"&gt;="&amp;A437-88,Quarterly!B:B,"&lt;="&amp;A437),SUMIFS(Quarterly!C:C,Quarterly!B:B,"&gt;="&amp;A437-92,Quarterly!B:B,"&lt;="&amp;A437)))</f>
        <v>14566.5</v>
      </c>
      <c r="K437" s="13">
        <f t="shared" si="253"/>
        <v>8.1799999999999998E-2</v>
      </c>
      <c r="L437">
        <f t="shared" si="255"/>
        <v>1192.1300000000001</v>
      </c>
      <c r="M437">
        <f>IF(A437&gt;=Quarterly!B$2,Quarterly!D$2,IF(COUNTIFS(Quarterly!B:B,"&gt;="&amp;A437-92,Quarterly!B:B,"&lt;="&amp;A437)&gt;1,SUMIFS(Quarterly!D:D,Quarterly!B:B,"&gt;="&amp;A437-88,Quarterly!B:B,"&lt;="&amp;A437),SUMIFS(Quarterly!D:D,Quarterly!B:B,"&gt;="&amp;A437-92,Quarterly!B:B,"&lt;="&amp;A437)))</f>
        <v>1374.367</v>
      </c>
      <c r="N437" s="13">
        <f t="shared" si="256"/>
        <v>8.6739999999999998E-2</v>
      </c>
      <c r="O437">
        <f t="shared" si="244"/>
        <v>1192.1300000000001</v>
      </c>
      <c r="P437" s="56">
        <f>VLOOKUP(EOMONTH(A437,-1),Economic!A:I,7,FALSE)</f>
        <v>1037790</v>
      </c>
      <c r="Q437" s="13">
        <f t="shared" si="245"/>
        <v>0.1149</v>
      </c>
      <c r="R437" s="41">
        <v>2.81</v>
      </c>
      <c r="S437">
        <f t="shared" si="246"/>
        <v>1.92</v>
      </c>
      <c r="T437" s="30">
        <f t="shared" si="247"/>
        <v>223.08</v>
      </c>
      <c r="U437" s="30">
        <f t="shared" si="254"/>
        <v>225.14</v>
      </c>
    </row>
    <row r="438" spans="1:21" ht="15" customHeight="1" x14ac:dyDescent="0.25">
      <c r="A438" s="5">
        <v>40279</v>
      </c>
      <c r="B438" s="5">
        <f t="shared" si="248"/>
        <v>40298</v>
      </c>
      <c r="C438">
        <v>1194.3699999999999</v>
      </c>
      <c r="D438" s="29">
        <f t="shared" si="249"/>
        <v>2.64E-2</v>
      </c>
      <c r="E438" s="39">
        <f t="shared" si="250"/>
        <v>1126.5130769230768</v>
      </c>
      <c r="F438" s="39">
        <f t="shared" si="251"/>
        <v>1080.5248717948718</v>
      </c>
      <c r="G438" s="29">
        <f t="shared" si="243"/>
        <v>6.0199999999999997E-2</v>
      </c>
      <c r="H438" s="29">
        <f t="shared" si="243"/>
        <v>0.10539999999999999</v>
      </c>
      <c r="I438">
        <f t="shared" si="252"/>
        <v>1194.3699999999999</v>
      </c>
      <c r="J438">
        <f>IF(A438&gt;=Quarterly!B$2,Quarterly!C$2,IF(COUNTIFS(Quarterly!B:B,"&gt;="&amp;A438-92,Quarterly!B:B,"&lt;="&amp;A438)&gt;1,SUMIFS(Quarterly!C:C,Quarterly!B:B,"&gt;="&amp;A438-88,Quarterly!B:B,"&lt;="&amp;A438),SUMIFS(Quarterly!C:C,Quarterly!B:B,"&gt;="&amp;A438-92,Quarterly!B:B,"&lt;="&amp;A438)))</f>
        <v>14566.5</v>
      </c>
      <c r="K438" s="13">
        <f t="shared" si="253"/>
        <v>8.2000000000000003E-2</v>
      </c>
      <c r="L438">
        <f t="shared" si="255"/>
        <v>1194.3699999999999</v>
      </c>
      <c r="M438">
        <f>IF(A438&gt;=Quarterly!B$2,Quarterly!D$2,IF(COUNTIFS(Quarterly!B:B,"&gt;="&amp;A438-92,Quarterly!B:B,"&lt;="&amp;A438)&gt;1,SUMIFS(Quarterly!D:D,Quarterly!B:B,"&gt;="&amp;A438-88,Quarterly!B:B,"&lt;="&amp;A438),SUMIFS(Quarterly!D:D,Quarterly!B:B,"&gt;="&amp;A438-92,Quarterly!B:B,"&lt;="&amp;A438)))</f>
        <v>1374.367</v>
      </c>
      <c r="N438" s="13">
        <f t="shared" si="256"/>
        <v>8.6900000000000005E-2</v>
      </c>
      <c r="O438">
        <f t="shared" si="244"/>
        <v>1194.3699999999999</v>
      </c>
      <c r="P438" s="56">
        <f>VLOOKUP(EOMONTH(A438,-1),Economic!A:I,7,FALSE)</f>
        <v>1037790</v>
      </c>
      <c r="Q438" s="13">
        <f t="shared" si="245"/>
        <v>0.11509999999999999</v>
      </c>
      <c r="R438" s="41">
        <v>2.82</v>
      </c>
      <c r="S438">
        <f t="shared" si="246"/>
        <v>2.06</v>
      </c>
      <c r="T438" s="30">
        <f t="shared" si="247"/>
        <v>228.03</v>
      </c>
      <c r="U438" s="30">
        <f t="shared" si="254"/>
        <v>224.62</v>
      </c>
    </row>
    <row r="439" spans="1:21" ht="15" customHeight="1" x14ac:dyDescent="0.25">
      <c r="A439" s="5">
        <v>40272</v>
      </c>
      <c r="B439" s="5">
        <f t="shared" si="248"/>
        <v>40298</v>
      </c>
      <c r="C439">
        <v>1178.0999999999999</v>
      </c>
      <c r="D439" s="29">
        <f t="shared" si="249"/>
        <v>2.1100000000000001E-2</v>
      </c>
      <c r="E439" s="39">
        <f t="shared" si="250"/>
        <v>1122.7138461538461</v>
      </c>
      <c r="F439" s="39">
        <f t="shared" si="251"/>
        <v>1072.4417948717949</v>
      </c>
      <c r="G439" s="29">
        <f t="shared" si="243"/>
        <v>4.9299999999999997E-2</v>
      </c>
      <c r="H439" s="29">
        <f t="shared" si="243"/>
        <v>9.8500000000000004E-2</v>
      </c>
      <c r="I439">
        <f t="shared" si="252"/>
        <v>1178.0999999999999</v>
      </c>
      <c r="J439">
        <f>IF(A439&gt;=Quarterly!B$2,Quarterly!C$2,IF(COUNTIFS(Quarterly!B:B,"&gt;="&amp;A439-92,Quarterly!B:B,"&lt;="&amp;A439)&gt;1,SUMIFS(Quarterly!C:C,Quarterly!B:B,"&gt;="&amp;A439-88,Quarterly!B:B,"&lt;="&amp;A439),SUMIFS(Quarterly!C:C,Quarterly!B:B,"&gt;="&amp;A439-92,Quarterly!B:B,"&lt;="&amp;A439)))</f>
        <v>14566.5</v>
      </c>
      <c r="K439" s="13">
        <f t="shared" si="253"/>
        <v>8.09E-2</v>
      </c>
      <c r="L439">
        <f t="shared" si="255"/>
        <v>1178.0999999999999</v>
      </c>
      <c r="M439">
        <f>IF(A439&gt;=Quarterly!B$2,Quarterly!D$2,IF(COUNTIFS(Quarterly!B:B,"&gt;="&amp;A439-92,Quarterly!B:B,"&lt;="&amp;A439)&gt;1,SUMIFS(Quarterly!D:D,Quarterly!B:B,"&gt;="&amp;A439-88,Quarterly!B:B,"&lt;="&amp;A439),SUMIFS(Quarterly!D:D,Quarterly!B:B,"&gt;="&amp;A439-92,Quarterly!B:B,"&lt;="&amp;A439)))</f>
        <v>1374.367</v>
      </c>
      <c r="N439" s="13">
        <f t="shared" si="256"/>
        <v>8.5720000000000005E-2</v>
      </c>
      <c r="O439">
        <f t="shared" si="244"/>
        <v>1178.0999999999999</v>
      </c>
      <c r="P439" s="56">
        <f>VLOOKUP(EOMONTH(A439,-1),Economic!A:I,7,FALSE)</f>
        <v>1037790</v>
      </c>
      <c r="Q439" s="13">
        <f t="shared" si="245"/>
        <v>0.11349999999999999</v>
      </c>
      <c r="R439" s="41">
        <v>2.85</v>
      </c>
      <c r="S439">
        <f t="shared" si="246"/>
        <v>1.93</v>
      </c>
      <c r="T439" s="30">
        <f t="shared" si="247"/>
        <v>224.32</v>
      </c>
      <c r="U439" s="30">
        <f t="shared" si="254"/>
        <v>220.56</v>
      </c>
    </row>
    <row r="440" spans="1:21" ht="15" customHeight="1" x14ac:dyDescent="0.25">
      <c r="A440" s="5">
        <v>40265</v>
      </c>
      <c r="B440" s="5">
        <f t="shared" si="248"/>
        <v>40268</v>
      </c>
      <c r="C440">
        <v>1166.5899999999999</v>
      </c>
      <c r="D440" s="29">
        <f t="shared" si="249"/>
        <v>2.4899999999999999E-2</v>
      </c>
      <c r="E440" s="39">
        <f t="shared" si="250"/>
        <v>1117.8676923076923</v>
      </c>
      <c r="F440" s="39">
        <f t="shared" si="251"/>
        <v>1065.2192307692308</v>
      </c>
      <c r="G440" s="29">
        <f t="shared" si="243"/>
        <v>4.36E-2</v>
      </c>
      <c r="H440" s="29">
        <f t="shared" si="243"/>
        <v>9.5200000000000007E-2</v>
      </c>
      <c r="I440">
        <f t="shared" si="252"/>
        <v>1166.5899999999999</v>
      </c>
      <c r="J440">
        <f>IF(A440&gt;=Quarterly!B$2,Quarterly!C$2,IF(COUNTIFS(Quarterly!B:B,"&gt;="&amp;A440-92,Quarterly!B:B,"&lt;="&amp;A440)&gt;1,SUMIFS(Quarterly!C:C,Quarterly!B:B,"&gt;="&amp;A440-88,Quarterly!B:B,"&lt;="&amp;A440),SUMIFS(Quarterly!C:C,Quarterly!B:B,"&gt;="&amp;A440-92,Quarterly!B:B,"&lt;="&amp;A440)))</f>
        <v>14566.5</v>
      </c>
      <c r="K440" s="13">
        <f t="shared" si="253"/>
        <v>8.0100000000000005E-2</v>
      </c>
      <c r="L440">
        <f t="shared" si="255"/>
        <v>1166.5899999999999</v>
      </c>
      <c r="M440">
        <f>IF(A440&gt;=Quarterly!B$2,Quarterly!D$2,IF(COUNTIFS(Quarterly!B:B,"&gt;="&amp;A440-92,Quarterly!B:B,"&lt;="&amp;A440)&gt;1,SUMIFS(Quarterly!D:D,Quarterly!B:B,"&gt;="&amp;A440-88,Quarterly!B:B,"&lt;="&amp;A440),SUMIFS(Quarterly!D:D,Quarterly!B:B,"&gt;="&amp;A440-92,Quarterly!B:B,"&lt;="&amp;A440)))</f>
        <v>1374.367</v>
      </c>
      <c r="N440" s="13">
        <f t="shared" si="256"/>
        <v>8.4880000000000011E-2</v>
      </c>
      <c r="O440">
        <f t="shared" si="244"/>
        <v>1166.5899999999999</v>
      </c>
      <c r="P440" s="56">
        <f>VLOOKUP(EOMONTH(A440,-1),Economic!A:I,7,FALSE)</f>
        <v>1025853</v>
      </c>
      <c r="Q440" s="13">
        <f t="shared" si="245"/>
        <v>0.1137</v>
      </c>
      <c r="R440" s="41">
        <v>2.82</v>
      </c>
      <c r="S440">
        <f t="shared" si="246"/>
        <v>1.82</v>
      </c>
      <c r="T440" s="30">
        <f t="shared" si="247"/>
        <v>221.5</v>
      </c>
      <c r="U440" s="30">
        <f t="shared" si="254"/>
        <v>218.53</v>
      </c>
    </row>
    <row r="441" spans="1:21" ht="15" customHeight="1" x14ac:dyDescent="0.25">
      <c r="A441" s="5">
        <v>40258</v>
      </c>
      <c r="B441" s="5">
        <f t="shared" si="248"/>
        <v>40268</v>
      </c>
      <c r="C441">
        <v>1159.9000000000001</v>
      </c>
      <c r="D441" s="29">
        <f t="shared" si="249"/>
        <v>3.0499999999999999E-2</v>
      </c>
      <c r="E441" s="39">
        <f t="shared" si="250"/>
        <v>1114.7823076923078</v>
      </c>
      <c r="F441" s="39">
        <f t="shared" si="251"/>
        <v>1058.8682051282051</v>
      </c>
      <c r="G441" s="29">
        <f t="shared" si="243"/>
        <v>4.0500000000000001E-2</v>
      </c>
      <c r="H441" s="29">
        <f t="shared" si="243"/>
        <v>9.5399999999999999E-2</v>
      </c>
      <c r="I441">
        <f t="shared" si="252"/>
        <v>1159.9000000000001</v>
      </c>
      <c r="J441">
        <f>IF(A441&gt;=Quarterly!B$2,Quarterly!C$2,IF(COUNTIFS(Quarterly!B:B,"&gt;="&amp;A441-92,Quarterly!B:B,"&lt;="&amp;A441)&gt;1,SUMIFS(Quarterly!C:C,Quarterly!B:B,"&gt;="&amp;A441-88,Quarterly!B:B,"&lt;="&amp;A441),SUMIFS(Quarterly!C:C,Quarterly!B:B,"&gt;="&amp;A441-92,Quarterly!B:B,"&lt;="&amp;A441)))</f>
        <v>14566.5</v>
      </c>
      <c r="K441" s="13">
        <f t="shared" si="253"/>
        <v>7.9600000000000004E-2</v>
      </c>
      <c r="L441">
        <f t="shared" si="255"/>
        <v>1159.9000000000001</v>
      </c>
      <c r="M441">
        <f>IF(A441&gt;=Quarterly!B$2,Quarterly!D$2,IF(COUNTIFS(Quarterly!B:B,"&gt;="&amp;A441-92,Quarterly!B:B,"&lt;="&amp;A441)&gt;1,SUMIFS(Quarterly!D:D,Quarterly!B:B,"&gt;="&amp;A441-88,Quarterly!B:B,"&lt;="&amp;A441),SUMIFS(Quarterly!D:D,Quarterly!B:B,"&gt;="&amp;A441-92,Quarterly!B:B,"&lt;="&amp;A441)))</f>
        <v>1374.367</v>
      </c>
      <c r="N441" s="13">
        <f t="shared" si="256"/>
        <v>8.4400000000000003E-2</v>
      </c>
      <c r="O441">
        <f t="shared" si="244"/>
        <v>1159.9000000000001</v>
      </c>
      <c r="P441" s="56">
        <f>VLOOKUP(EOMONTH(A441,-1),Economic!A:I,7,FALSE)</f>
        <v>1025853</v>
      </c>
      <c r="Q441" s="13">
        <f t="shared" si="245"/>
        <v>0.11310000000000001</v>
      </c>
      <c r="R441" s="41">
        <v>2.68</v>
      </c>
      <c r="S441">
        <f t="shared" si="246"/>
        <v>1.63</v>
      </c>
      <c r="T441" s="30">
        <f t="shared" si="247"/>
        <v>215.86</v>
      </c>
      <c r="U441" s="30">
        <f t="shared" si="254"/>
        <v>216.49</v>
      </c>
    </row>
    <row r="442" spans="1:21" ht="15" customHeight="1" x14ac:dyDescent="0.25">
      <c r="A442" s="5">
        <v>40251</v>
      </c>
      <c r="B442" s="5">
        <f t="shared" si="248"/>
        <v>40268</v>
      </c>
      <c r="C442">
        <v>1149.99</v>
      </c>
      <c r="D442" s="29">
        <f t="shared" si="249"/>
        <v>3.8899999999999997E-2</v>
      </c>
      <c r="E442" s="39">
        <f t="shared" si="250"/>
        <v>1110.3646153846153</v>
      </c>
      <c r="F442" s="39">
        <f t="shared" si="251"/>
        <v>1052.7484615384617</v>
      </c>
      <c r="G442" s="29">
        <f t="shared" si="243"/>
        <v>3.5700000000000003E-2</v>
      </c>
      <c r="H442" s="29">
        <f t="shared" si="243"/>
        <v>9.2399999999999996E-2</v>
      </c>
      <c r="I442">
        <f t="shared" si="252"/>
        <v>1149.99</v>
      </c>
      <c r="J442">
        <f>IF(A442&gt;=Quarterly!B$2,Quarterly!C$2,IF(COUNTIFS(Quarterly!B:B,"&gt;="&amp;A442-92,Quarterly!B:B,"&lt;="&amp;A442)&gt;1,SUMIFS(Quarterly!C:C,Quarterly!B:B,"&gt;="&amp;A442-88,Quarterly!B:B,"&lt;="&amp;A442),SUMIFS(Quarterly!C:C,Quarterly!B:B,"&gt;="&amp;A442-92,Quarterly!B:B,"&lt;="&amp;A442)))</f>
        <v>14566.5</v>
      </c>
      <c r="K442" s="13">
        <f t="shared" si="253"/>
        <v>7.8899999999999998E-2</v>
      </c>
      <c r="L442">
        <f t="shared" si="255"/>
        <v>1149.99</v>
      </c>
      <c r="M442">
        <f>IF(A442&gt;=Quarterly!B$2,Quarterly!D$2,IF(COUNTIFS(Quarterly!B:B,"&gt;="&amp;A442-92,Quarterly!B:B,"&lt;="&amp;A442)&gt;1,SUMIFS(Quarterly!D:D,Quarterly!B:B,"&gt;="&amp;A442-88,Quarterly!B:B,"&lt;="&amp;A442),SUMIFS(Quarterly!D:D,Quarterly!B:B,"&gt;="&amp;A442-92,Quarterly!B:B,"&lt;="&amp;A442)))</f>
        <v>1374.367</v>
      </c>
      <c r="N442" s="13">
        <f t="shared" si="256"/>
        <v>8.3670000000000008E-2</v>
      </c>
      <c r="O442">
        <f t="shared" si="244"/>
        <v>1149.99</v>
      </c>
      <c r="P442" s="56">
        <f>VLOOKUP(EOMONTH(A442,-1),Economic!A:I,7,FALSE)</f>
        <v>1025853</v>
      </c>
      <c r="Q442" s="13">
        <f t="shared" si="245"/>
        <v>0.11210000000000001</v>
      </c>
      <c r="R442" s="41">
        <v>2.74</v>
      </c>
      <c r="S442">
        <f t="shared" si="246"/>
        <v>1.68</v>
      </c>
      <c r="T442" s="30">
        <f t="shared" si="247"/>
        <v>218.22</v>
      </c>
      <c r="U442" s="30">
        <f t="shared" si="254"/>
        <v>213.18</v>
      </c>
    </row>
    <row r="443" spans="1:21" ht="15" customHeight="1" x14ac:dyDescent="0.25">
      <c r="A443" s="5">
        <v>40244</v>
      </c>
      <c r="B443" s="5">
        <f t="shared" si="248"/>
        <v>40268</v>
      </c>
      <c r="C443">
        <v>1138.7</v>
      </c>
      <c r="D443" s="29">
        <f t="shared" si="249"/>
        <v>4.58E-2</v>
      </c>
      <c r="E443" s="39">
        <f t="shared" si="250"/>
        <v>1107.0123076923076</v>
      </c>
      <c r="F443" s="39">
        <f t="shared" si="251"/>
        <v>1047.5233333333333</v>
      </c>
      <c r="G443" s="29">
        <f t="shared" si="243"/>
        <v>2.86E-2</v>
      </c>
      <c r="H443" s="29">
        <f t="shared" si="243"/>
        <v>8.6999999999999994E-2</v>
      </c>
      <c r="I443">
        <f t="shared" si="252"/>
        <v>1138.7</v>
      </c>
      <c r="J443">
        <f>IF(A443&gt;=Quarterly!B$2,Quarterly!C$2,IF(COUNTIFS(Quarterly!B:B,"&gt;="&amp;A443-92,Quarterly!B:B,"&lt;="&amp;A443)&gt;1,SUMIFS(Quarterly!C:C,Quarterly!B:B,"&gt;="&amp;A443-88,Quarterly!B:B,"&lt;="&amp;A443),SUMIFS(Quarterly!C:C,Quarterly!B:B,"&gt;="&amp;A443-92,Quarterly!B:B,"&lt;="&amp;A443)))</f>
        <v>14566.5</v>
      </c>
      <c r="K443" s="13">
        <f t="shared" si="253"/>
        <v>7.8200000000000006E-2</v>
      </c>
      <c r="L443">
        <f t="shared" si="255"/>
        <v>1138.7</v>
      </c>
      <c r="M443">
        <f>IF(A443&gt;=Quarterly!B$2,Quarterly!D$2,IF(COUNTIFS(Quarterly!B:B,"&gt;="&amp;A443-92,Quarterly!B:B,"&lt;="&amp;A443)&gt;1,SUMIFS(Quarterly!D:D,Quarterly!B:B,"&gt;="&amp;A443-88,Quarterly!B:B,"&lt;="&amp;A443),SUMIFS(Quarterly!D:D,Quarterly!B:B,"&gt;="&amp;A443-92,Quarterly!B:B,"&lt;="&amp;A443)))</f>
        <v>1374.367</v>
      </c>
      <c r="N443" s="13">
        <f t="shared" si="256"/>
        <v>8.2850000000000007E-2</v>
      </c>
      <c r="O443">
        <f t="shared" si="244"/>
        <v>1138.7</v>
      </c>
      <c r="P443" s="56">
        <f>VLOOKUP(EOMONTH(A443,-1),Economic!A:I,7,FALSE)</f>
        <v>1025853</v>
      </c>
      <c r="Q443" s="13">
        <f t="shared" si="245"/>
        <v>0.11100000000000002</v>
      </c>
      <c r="R443" s="41">
        <v>2.78</v>
      </c>
      <c r="S443">
        <f t="shared" si="246"/>
        <v>1.58</v>
      </c>
      <c r="T443" s="30">
        <f t="shared" si="247"/>
        <v>215.38</v>
      </c>
      <c r="U443" s="30">
        <f t="shared" si="254"/>
        <v>210.33</v>
      </c>
    </row>
    <row r="444" spans="1:21" ht="15" customHeight="1" x14ac:dyDescent="0.25">
      <c r="A444" s="5">
        <v>40237</v>
      </c>
      <c r="B444" s="5">
        <f t="shared" si="248"/>
        <v>40237</v>
      </c>
      <c r="C444">
        <v>1104.49</v>
      </c>
      <c r="D444" s="29">
        <f t="shared" si="249"/>
        <v>2.1600000000000001E-2</v>
      </c>
      <c r="E444" s="39">
        <f t="shared" si="250"/>
        <v>1104.4953846153844</v>
      </c>
      <c r="F444" s="39">
        <f t="shared" si="251"/>
        <v>1042.4307692307691</v>
      </c>
      <c r="G444" s="29">
        <f t="shared" si="243"/>
        <v>0</v>
      </c>
      <c r="H444" s="29">
        <f t="shared" si="243"/>
        <v>5.9499999999999997E-2</v>
      </c>
      <c r="I444">
        <f t="shared" si="252"/>
        <v>1104.49</v>
      </c>
      <c r="J444">
        <f>IF(A444&gt;=Quarterly!B$2,Quarterly!C$2,IF(COUNTIFS(Quarterly!B:B,"&gt;="&amp;A444-92,Quarterly!B:B,"&lt;="&amp;A444)&gt;1,SUMIFS(Quarterly!C:C,Quarterly!B:B,"&gt;="&amp;A444-88,Quarterly!B:B,"&lt;="&amp;A444),SUMIFS(Quarterly!C:C,Quarterly!B:B,"&gt;="&amp;A444-92,Quarterly!B:B,"&lt;="&amp;A444)))</f>
        <v>14566.5</v>
      </c>
      <c r="K444" s="13">
        <f t="shared" si="253"/>
        <v>7.5800000000000006E-2</v>
      </c>
      <c r="L444">
        <f t="shared" si="255"/>
        <v>1104.49</v>
      </c>
      <c r="M444">
        <f>IF(A444&gt;=Quarterly!B$2,Quarterly!D$2,IF(COUNTIFS(Quarterly!B:B,"&gt;="&amp;A444-92,Quarterly!B:B,"&lt;="&amp;A444)&gt;1,SUMIFS(Quarterly!D:D,Quarterly!B:B,"&gt;="&amp;A444-88,Quarterly!B:B,"&lt;="&amp;A444),SUMIFS(Quarterly!D:D,Quarterly!B:B,"&gt;="&amp;A444-92,Quarterly!B:B,"&lt;="&amp;A444)))</f>
        <v>1374.367</v>
      </c>
      <c r="N444" s="13">
        <f t="shared" si="256"/>
        <v>8.0360000000000001E-2</v>
      </c>
      <c r="O444">
        <f t="shared" si="244"/>
        <v>1104.49</v>
      </c>
      <c r="P444" s="56">
        <f>VLOOKUP(EOMONTH(A444,-1),Economic!A:I,7,FALSE)</f>
        <v>1013735</v>
      </c>
      <c r="Q444" s="13">
        <f t="shared" si="245"/>
        <v>0.109</v>
      </c>
      <c r="R444" s="41">
        <v>2.8</v>
      </c>
      <c r="S444">
        <f t="shared" si="246"/>
        <v>1.27</v>
      </c>
      <c r="T444" s="30">
        <f t="shared" si="247"/>
        <v>205.94</v>
      </c>
      <c r="U444" s="30">
        <f t="shared" si="254"/>
        <v>213.04</v>
      </c>
    </row>
    <row r="445" spans="1:21" ht="15" customHeight="1" x14ac:dyDescent="0.25">
      <c r="A445" s="5">
        <v>40230</v>
      </c>
      <c r="B445" s="5">
        <f t="shared" si="248"/>
        <v>40237</v>
      </c>
      <c r="C445">
        <v>1109.17</v>
      </c>
      <c r="D445" s="29">
        <f t="shared" si="249"/>
        <v>0.03</v>
      </c>
      <c r="E445" s="39">
        <f t="shared" si="250"/>
        <v>1103.4953846153844</v>
      </c>
      <c r="F445" s="39">
        <f t="shared" si="251"/>
        <v>1037.6782051282048</v>
      </c>
      <c r="G445" s="29">
        <f t="shared" si="243"/>
        <v>5.1000000000000004E-3</v>
      </c>
      <c r="H445" s="29">
        <f t="shared" si="243"/>
        <v>6.8900000000000003E-2</v>
      </c>
      <c r="I445">
        <f t="shared" si="252"/>
        <v>1109.17</v>
      </c>
      <c r="J445">
        <f>IF(A445&gt;=Quarterly!B$2,Quarterly!C$2,IF(COUNTIFS(Quarterly!B:B,"&gt;="&amp;A445-92,Quarterly!B:B,"&lt;="&amp;A445)&gt;1,SUMIFS(Quarterly!C:C,Quarterly!B:B,"&gt;="&amp;A445-88,Quarterly!B:B,"&lt;="&amp;A445),SUMIFS(Quarterly!C:C,Quarterly!B:B,"&gt;="&amp;A445-92,Quarterly!B:B,"&lt;="&amp;A445)))</f>
        <v>14566.5</v>
      </c>
      <c r="K445" s="13">
        <f t="shared" si="253"/>
        <v>7.6100000000000001E-2</v>
      </c>
      <c r="L445">
        <f t="shared" si="255"/>
        <v>1109.17</v>
      </c>
      <c r="M445">
        <f>IF(A445&gt;=Quarterly!B$2,Quarterly!D$2,IF(COUNTIFS(Quarterly!B:B,"&gt;="&amp;A445-92,Quarterly!B:B,"&lt;="&amp;A445)&gt;1,SUMIFS(Quarterly!D:D,Quarterly!B:B,"&gt;="&amp;A445-88,Quarterly!B:B,"&lt;="&amp;A445),SUMIFS(Quarterly!D:D,Quarterly!B:B,"&gt;="&amp;A445-92,Quarterly!B:B,"&lt;="&amp;A445)))</f>
        <v>1374.367</v>
      </c>
      <c r="N445" s="13">
        <f t="shared" si="256"/>
        <v>8.0700000000000008E-2</v>
      </c>
      <c r="O445">
        <f t="shared" si="244"/>
        <v>1109.17</v>
      </c>
      <c r="P445" s="56">
        <f>VLOOKUP(EOMONTH(A445,-1),Economic!A:I,7,FALSE)</f>
        <v>1013735</v>
      </c>
      <c r="Q445" s="13">
        <f t="shared" si="245"/>
        <v>0.1094</v>
      </c>
      <c r="R445" s="41">
        <v>2.83</v>
      </c>
      <c r="S445">
        <f t="shared" si="246"/>
        <v>1.39</v>
      </c>
      <c r="T445" s="30">
        <f t="shared" si="247"/>
        <v>209.66</v>
      </c>
      <c r="U445" s="30">
        <f t="shared" si="254"/>
        <v>217.8</v>
      </c>
    </row>
    <row r="446" spans="1:21" ht="15" customHeight="1" x14ac:dyDescent="0.25">
      <c r="A446" s="5">
        <v>40223</v>
      </c>
      <c r="B446" s="5">
        <f t="shared" si="248"/>
        <v>40237</v>
      </c>
      <c r="C446">
        <v>1075.51</v>
      </c>
      <c r="D446" s="29">
        <f t="shared" si="249"/>
        <v>-1.5100000000000001E-2</v>
      </c>
      <c r="E446" s="39">
        <f t="shared" si="250"/>
        <v>1102.1269230769228</v>
      </c>
      <c r="F446" s="39">
        <f t="shared" si="251"/>
        <v>1031.9815384615383</v>
      </c>
      <c r="G446" s="29">
        <f t="shared" si="243"/>
        <v>-2.4199999999999999E-2</v>
      </c>
      <c r="H446" s="29">
        <f t="shared" si="243"/>
        <v>4.2200000000000001E-2</v>
      </c>
      <c r="I446">
        <f t="shared" si="252"/>
        <v>1075.51</v>
      </c>
      <c r="J446">
        <f>IF(A446&gt;=Quarterly!B$2,Quarterly!C$2,IF(COUNTIFS(Quarterly!B:B,"&gt;="&amp;A446-92,Quarterly!B:B,"&lt;="&amp;A446)&gt;1,SUMIFS(Quarterly!C:C,Quarterly!B:B,"&gt;="&amp;A446-88,Quarterly!B:B,"&lt;="&amp;A446),SUMIFS(Quarterly!C:C,Quarterly!B:B,"&gt;="&amp;A446-92,Quarterly!B:B,"&lt;="&amp;A446)))</f>
        <v>14566.5</v>
      </c>
      <c r="K446" s="13">
        <f t="shared" si="253"/>
        <v>7.3800000000000004E-2</v>
      </c>
      <c r="L446">
        <f t="shared" si="255"/>
        <v>1075.51</v>
      </c>
      <c r="M446">
        <f>IF(A446&gt;=Quarterly!B$2,Quarterly!D$2,IF(COUNTIFS(Quarterly!B:B,"&gt;="&amp;A446-92,Quarterly!B:B,"&lt;="&amp;A446)&gt;1,SUMIFS(Quarterly!D:D,Quarterly!B:B,"&gt;="&amp;A446-88,Quarterly!B:B,"&lt;="&amp;A446),SUMIFS(Quarterly!D:D,Quarterly!B:B,"&gt;="&amp;A446-92,Quarterly!B:B,"&lt;="&amp;A446)))</f>
        <v>1374.367</v>
      </c>
      <c r="N446" s="13">
        <f t="shared" si="256"/>
        <v>7.825E-2</v>
      </c>
      <c r="O446">
        <f t="shared" si="244"/>
        <v>1075.51</v>
      </c>
      <c r="P446" s="56">
        <f>VLOOKUP(EOMONTH(A446,-1),Economic!A:I,7,FALSE)</f>
        <v>1013735</v>
      </c>
      <c r="Q446" s="13">
        <f t="shared" si="245"/>
        <v>0.10610000000000001</v>
      </c>
      <c r="R446" s="41">
        <v>2.85</v>
      </c>
      <c r="S446">
        <f t="shared" si="246"/>
        <v>1.82</v>
      </c>
      <c r="T446" s="30">
        <f t="shared" si="247"/>
        <v>223.51</v>
      </c>
      <c r="U446" s="30">
        <f t="shared" si="254"/>
        <v>223.19</v>
      </c>
    </row>
    <row r="447" spans="1:21" ht="15" customHeight="1" x14ac:dyDescent="0.25">
      <c r="A447" s="5">
        <v>40216</v>
      </c>
      <c r="B447" s="5">
        <f t="shared" si="248"/>
        <v>40237</v>
      </c>
      <c r="C447">
        <v>1066.19</v>
      </c>
      <c r="D447" s="29">
        <f t="shared" si="249"/>
        <v>-4.0899999999999999E-2</v>
      </c>
      <c r="E447" s="39">
        <f t="shared" si="250"/>
        <v>1103.5092307692307</v>
      </c>
      <c r="F447" s="39">
        <f t="shared" si="251"/>
        <v>1027.0423076923075</v>
      </c>
      <c r="G447" s="29">
        <f t="shared" si="243"/>
        <v>-3.3799999999999997E-2</v>
      </c>
      <c r="H447" s="29">
        <f t="shared" si="243"/>
        <v>3.8100000000000002E-2</v>
      </c>
      <c r="I447">
        <f t="shared" si="252"/>
        <v>1066.19</v>
      </c>
      <c r="J447">
        <f>IF(A447&gt;=Quarterly!B$2,Quarterly!C$2,IF(COUNTIFS(Quarterly!B:B,"&gt;="&amp;A447-92,Quarterly!B:B,"&lt;="&amp;A447)&gt;1,SUMIFS(Quarterly!C:C,Quarterly!B:B,"&gt;="&amp;A447-88,Quarterly!B:B,"&lt;="&amp;A447),SUMIFS(Quarterly!C:C,Quarterly!B:B,"&gt;="&amp;A447-92,Quarterly!B:B,"&lt;="&amp;A447)))</f>
        <v>14566.5</v>
      </c>
      <c r="K447" s="13">
        <f t="shared" si="253"/>
        <v>7.3200000000000001E-2</v>
      </c>
      <c r="L447">
        <f t="shared" si="255"/>
        <v>1066.19</v>
      </c>
      <c r="M447">
        <f>IF(A447&gt;=Quarterly!B$2,Quarterly!D$2,IF(COUNTIFS(Quarterly!B:B,"&gt;="&amp;A447-92,Quarterly!B:B,"&lt;="&amp;A447)&gt;1,SUMIFS(Quarterly!D:D,Quarterly!B:B,"&gt;="&amp;A447-88,Quarterly!B:B,"&lt;="&amp;A447),SUMIFS(Quarterly!D:D,Quarterly!B:B,"&gt;="&amp;A447-92,Quarterly!B:B,"&lt;="&amp;A447)))</f>
        <v>1374.367</v>
      </c>
      <c r="N447" s="13">
        <f t="shared" si="256"/>
        <v>7.758000000000001E-2</v>
      </c>
      <c r="O447">
        <f t="shared" si="244"/>
        <v>1066.19</v>
      </c>
      <c r="P447" s="56">
        <f>VLOOKUP(EOMONTH(A447,-1),Economic!A:I,7,FALSE)</f>
        <v>1013735</v>
      </c>
      <c r="Q447" s="13">
        <f t="shared" si="245"/>
        <v>0.1052</v>
      </c>
      <c r="R447" s="41">
        <v>2.82</v>
      </c>
      <c r="S447">
        <f t="shared" si="246"/>
        <v>1.74</v>
      </c>
      <c r="T447" s="30">
        <f t="shared" si="247"/>
        <v>220.22</v>
      </c>
      <c r="U447" s="30">
        <f t="shared" si="254"/>
        <v>224.62</v>
      </c>
    </row>
    <row r="448" spans="1:21" ht="15" customHeight="1" x14ac:dyDescent="0.25">
      <c r="A448" s="5">
        <v>40209</v>
      </c>
      <c r="B448" s="5">
        <f t="shared" si="248"/>
        <v>40209</v>
      </c>
      <c r="C448">
        <v>1073.8699999999999</v>
      </c>
      <c r="D448" s="29">
        <f t="shared" si="249"/>
        <v>-4.2900000000000001E-2</v>
      </c>
      <c r="E448" s="39">
        <f t="shared" si="250"/>
        <v>1103.7484615384615</v>
      </c>
      <c r="F448" s="39">
        <f t="shared" si="251"/>
        <v>1023.5305128205129</v>
      </c>
      <c r="G448" s="29">
        <f t="shared" si="243"/>
        <v>-2.7099999999999999E-2</v>
      </c>
      <c r="H448" s="29">
        <f t="shared" si="243"/>
        <v>4.9200000000000001E-2</v>
      </c>
      <c r="I448">
        <f t="shared" si="252"/>
        <v>1073.8699999999999</v>
      </c>
      <c r="J448">
        <f>IF(A448&gt;=Quarterly!B$2,Quarterly!C$2,IF(COUNTIFS(Quarterly!B:B,"&gt;="&amp;A448-92,Quarterly!B:B,"&lt;="&amp;A448)&gt;1,SUMIFS(Quarterly!C:C,Quarterly!B:B,"&gt;="&amp;A448-88,Quarterly!B:B,"&lt;="&amp;A448),SUMIFS(Quarterly!C:C,Quarterly!B:B,"&gt;="&amp;A448-92,Quarterly!B:B,"&lt;="&amp;A448)))</f>
        <v>14566.5</v>
      </c>
      <c r="K448" s="13">
        <f t="shared" si="253"/>
        <v>7.3700000000000002E-2</v>
      </c>
      <c r="L448">
        <f t="shared" si="255"/>
        <v>1073.8699999999999</v>
      </c>
      <c r="M448">
        <f>IF(A448&gt;=Quarterly!B$2,Quarterly!D$2,IF(COUNTIFS(Quarterly!B:B,"&gt;="&amp;A448-92,Quarterly!B:B,"&lt;="&amp;A448)&gt;1,SUMIFS(Quarterly!D:D,Quarterly!B:B,"&gt;="&amp;A448-88,Quarterly!B:B,"&lt;="&amp;A448),SUMIFS(Quarterly!D:D,Quarterly!B:B,"&gt;="&amp;A448-92,Quarterly!B:B,"&lt;="&amp;A448)))</f>
        <v>1374.367</v>
      </c>
      <c r="N448" s="13">
        <f t="shared" si="256"/>
        <v>7.8140000000000001E-2</v>
      </c>
      <c r="O448">
        <f t="shared" si="244"/>
        <v>1073.8699999999999</v>
      </c>
      <c r="P448" s="56">
        <f>VLOOKUP(EOMONTH(A448,-1),Economic!A:I,7,FALSE)</f>
        <v>1003552</v>
      </c>
      <c r="Q448" s="13">
        <f t="shared" si="245"/>
        <v>0.107</v>
      </c>
      <c r="R448" s="41">
        <v>2.81</v>
      </c>
      <c r="S448">
        <f t="shared" si="246"/>
        <v>1.93</v>
      </c>
      <c r="T448" s="30">
        <f t="shared" si="247"/>
        <v>225.85</v>
      </c>
      <c r="U448" s="30">
        <f t="shared" si="254"/>
        <v>231.02</v>
      </c>
    </row>
    <row r="449" spans="1:21" ht="15" customHeight="1" x14ac:dyDescent="0.25">
      <c r="A449" s="5">
        <v>40202</v>
      </c>
      <c r="B449" s="5">
        <f t="shared" si="248"/>
        <v>40209</v>
      </c>
      <c r="C449">
        <v>1091.76</v>
      </c>
      <c r="D449" s="29">
        <f t="shared" si="249"/>
        <v>-3.44E-2</v>
      </c>
      <c r="E449" s="39">
        <f t="shared" si="250"/>
        <v>1100.8500000000001</v>
      </c>
      <c r="F449" s="39">
        <f t="shared" si="251"/>
        <v>1018.4958974358973</v>
      </c>
      <c r="G449" s="29">
        <f t="shared" si="243"/>
        <v>-8.3000000000000001E-3</v>
      </c>
      <c r="H449" s="29">
        <f t="shared" si="243"/>
        <v>7.1900000000000006E-2</v>
      </c>
      <c r="I449">
        <f t="shared" si="252"/>
        <v>1091.76</v>
      </c>
      <c r="J449">
        <f>IF(A449&gt;=Quarterly!B$2,Quarterly!C$2,IF(COUNTIFS(Quarterly!B:B,"&gt;="&amp;A449-92,Quarterly!B:B,"&lt;="&amp;A449)&gt;1,SUMIFS(Quarterly!C:C,Quarterly!B:B,"&gt;="&amp;A449-88,Quarterly!B:B,"&lt;="&amp;A449),SUMIFS(Quarterly!C:C,Quarterly!B:B,"&gt;="&amp;A449-92,Quarterly!B:B,"&lt;="&amp;A449)))</f>
        <v>14384.1</v>
      </c>
      <c r="K449" s="13">
        <f t="shared" si="253"/>
        <v>7.5899999999999995E-2</v>
      </c>
      <c r="L449">
        <f t="shared" si="255"/>
        <v>1091.76</v>
      </c>
      <c r="M449">
        <f>IF(A449&gt;=Quarterly!B$2,Quarterly!D$2,IF(COUNTIFS(Quarterly!B:B,"&gt;="&amp;A449-92,Quarterly!B:B,"&lt;="&amp;A449)&gt;1,SUMIFS(Quarterly!D:D,Quarterly!B:B,"&gt;="&amp;A449-88,Quarterly!B:B,"&lt;="&amp;A449),SUMIFS(Quarterly!D:D,Quarterly!B:B,"&gt;="&amp;A449-92,Quarterly!B:B,"&lt;="&amp;A449)))</f>
        <v>1273.1890000000001</v>
      </c>
      <c r="N449" s="13">
        <f t="shared" si="256"/>
        <v>8.5750000000000007E-2</v>
      </c>
      <c r="O449">
        <f t="shared" si="244"/>
        <v>1091.76</v>
      </c>
      <c r="P449" s="56">
        <f>VLOOKUP(EOMONTH(A449,-1),Economic!A:I,7,FALSE)</f>
        <v>1003552</v>
      </c>
      <c r="Q449" s="13">
        <f t="shared" si="245"/>
        <v>0.10879999999999999</v>
      </c>
      <c r="R449" s="41">
        <v>2.78</v>
      </c>
      <c r="S449">
        <f t="shared" si="246"/>
        <v>2.11</v>
      </c>
      <c r="T449" s="30">
        <f t="shared" si="247"/>
        <v>227.79</v>
      </c>
      <c r="U449" s="30">
        <f t="shared" si="254"/>
        <v>235.65</v>
      </c>
    </row>
    <row r="450" spans="1:21" ht="15" customHeight="1" x14ac:dyDescent="0.25">
      <c r="A450" s="5">
        <v>40195</v>
      </c>
      <c r="B450" s="5">
        <f t="shared" si="248"/>
        <v>40209</v>
      </c>
      <c r="C450">
        <v>1136.03</v>
      </c>
      <c r="D450" s="29">
        <f t="shared" si="249"/>
        <v>1.23E-2</v>
      </c>
      <c r="E450" s="39">
        <f t="shared" si="250"/>
        <v>1099.9146153846154</v>
      </c>
      <c r="F450" s="39">
        <f t="shared" si="251"/>
        <v>1012.7130769230769</v>
      </c>
      <c r="G450" s="29">
        <f t="shared" ref="G450:H513" si="257">ROUND(($C450-E450)/E450,4)</f>
        <v>3.2800000000000003E-2</v>
      </c>
      <c r="H450" s="29">
        <f t="shared" si="257"/>
        <v>0.12180000000000001</v>
      </c>
      <c r="I450">
        <f t="shared" si="252"/>
        <v>1136.03</v>
      </c>
      <c r="J450">
        <f>IF(A450&gt;=Quarterly!B$2,Quarterly!C$2,IF(COUNTIFS(Quarterly!B:B,"&gt;="&amp;A450-92,Quarterly!B:B,"&lt;="&amp;A450)&gt;1,SUMIFS(Quarterly!C:C,Quarterly!B:B,"&gt;="&amp;A450-88,Quarterly!B:B,"&lt;="&amp;A450),SUMIFS(Quarterly!C:C,Quarterly!B:B,"&gt;="&amp;A450-92,Quarterly!B:B,"&lt;="&amp;A450)))</f>
        <v>14384.1</v>
      </c>
      <c r="K450" s="13">
        <f t="shared" si="253"/>
        <v>7.9000000000000001E-2</v>
      </c>
      <c r="L450">
        <f t="shared" si="255"/>
        <v>1136.03</v>
      </c>
      <c r="M450">
        <f>IF(A450&gt;=Quarterly!B$2,Quarterly!D$2,IF(COUNTIFS(Quarterly!B:B,"&gt;="&amp;A450-92,Quarterly!B:B,"&lt;="&amp;A450)&gt;1,SUMIFS(Quarterly!D:D,Quarterly!B:B,"&gt;="&amp;A450-88,Quarterly!B:B,"&lt;="&amp;A450),SUMIFS(Quarterly!D:D,Quarterly!B:B,"&gt;="&amp;A450-92,Quarterly!B:B,"&lt;="&amp;A450)))</f>
        <v>1273.1890000000001</v>
      </c>
      <c r="N450" s="13">
        <f t="shared" si="256"/>
        <v>8.9230000000000004E-2</v>
      </c>
      <c r="O450">
        <f t="shared" si="244"/>
        <v>1136.03</v>
      </c>
      <c r="P450" s="56">
        <f>VLOOKUP(EOMONTH(A450,-1),Economic!A:I,7,FALSE)</f>
        <v>1003552</v>
      </c>
      <c r="Q450" s="13">
        <f t="shared" si="245"/>
        <v>0.1132</v>
      </c>
      <c r="R450" s="41">
        <v>2.81</v>
      </c>
      <c r="S450">
        <f t="shared" si="246"/>
        <v>2.5</v>
      </c>
      <c r="T450" s="30">
        <f t="shared" si="247"/>
        <v>239.42</v>
      </c>
      <c r="U450" s="30">
        <f t="shared" si="254"/>
        <v>239.52</v>
      </c>
    </row>
    <row r="451" spans="1:21" ht="15" customHeight="1" x14ac:dyDescent="0.25">
      <c r="A451" s="5">
        <v>40188</v>
      </c>
      <c r="B451" s="5">
        <f t="shared" si="248"/>
        <v>40209</v>
      </c>
      <c r="C451">
        <v>1144.98</v>
      </c>
      <c r="D451" s="29">
        <f t="shared" si="249"/>
        <v>2.9100000000000001E-2</v>
      </c>
      <c r="E451" s="39">
        <f t="shared" si="250"/>
        <v>1096.1953846153847</v>
      </c>
      <c r="F451" s="39">
        <f t="shared" si="251"/>
        <v>1005.8815384615384</v>
      </c>
      <c r="G451" s="29">
        <f t="shared" si="257"/>
        <v>4.4499999999999998E-2</v>
      </c>
      <c r="H451" s="29">
        <f t="shared" si="257"/>
        <v>0.13830000000000001</v>
      </c>
      <c r="I451">
        <f t="shared" si="252"/>
        <v>1144.98</v>
      </c>
      <c r="J451">
        <f>IF(A451&gt;=Quarterly!B$2,Quarterly!C$2,IF(COUNTIFS(Quarterly!B:B,"&gt;="&amp;A451-92,Quarterly!B:B,"&lt;="&amp;A451)&gt;1,SUMIFS(Quarterly!C:C,Quarterly!B:B,"&gt;="&amp;A451-88,Quarterly!B:B,"&lt;="&amp;A451),SUMIFS(Quarterly!C:C,Quarterly!B:B,"&gt;="&amp;A451-92,Quarterly!B:B,"&lt;="&amp;A451)))</f>
        <v>14384.1</v>
      </c>
      <c r="K451" s="13">
        <f t="shared" si="253"/>
        <v>7.9600000000000004E-2</v>
      </c>
      <c r="L451">
        <f t="shared" si="255"/>
        <v>1144.98</v>
      </c>
      <c r="M451">
        <f>IF(A451&gt;=Quarterly!B$2,Quarterly!D$2,IF(COUNTIFS(Quarterly!B:B,"&gt;="&amp;A451-92,Quarterly!B:B,"&lt;="&amp;A451)&gt;1,SUMIFS(Quarterly!D:D,Quarterly!B:B,"&gt;="&amp;A451-88,Quarterly!B:B,"&lt;="&amp;A451),SUMIFS(Quarterly!D:D,Quarterly!B:B,"&gt;="&amp;A451-92,Quarterly!B:B,"&lt;="&amp;A451)))</f>
        <v>1273.1890000000001</v>
      </c>
      <c r="N451" s="13">
        <f t="shared" si="256"/>
        <v>8.993000000000001E-2</v>
      </c>
      <c r="O451">
        <f t="shared" si="244"/>
        <v>1144.98</v>
      </c>
      <c r="P451" s="56">
        <f>VLOOKUP(EOMONTH(A451,-1),Economic!A:I,7,FALSE)</f>
        <v>1003552</v>
      </c>
      <c r="Q451" s="13">
        <f t="shared" si="245"/>
        <v>0.11410000000000001</v>
      </c>
      <c r="R451" s="41">
        <v>2.87</v>
      </c>
      <c r="S451">
        <f t="shared" si="246"/>
        <v>2.5</v>
      </c>
      <c r="T451" s="30">
        <f t="shared" si="247"/>
        <v>239.75</v>
      </c>
      <c r="U451" s="30">
        <f t="shared" si="254"/>
        <v>237.05</v>
      </c>
    </row>
    <row r="452" spans="1:21" ht="15" customHeight="1" x14ac:dyDescent="0.25">
      <c r="A452" s="5">
        <v>40181</v>
      </c>
      <c r="B452" s="5">
        <f t="shared" si="248"/>
        <v>40209</v>
      </c>
      <c r="C452">
        <v>1115.0999999999999</v>
      </c>
      <c r="D452" s="29">
        <f t="shared" si="249"/>
        <v>4.3E-3</v>
      </c>
      <c r="E452" s="39">
        <f t="shared" si="250"/>
        <v>1090.5423076923078</v>
      </c>
      <c r="F452" s="39">
        <f t="shared" si="251"/>
        <v>998.4861538461538</v>
      </c>
      <c r="G452" s="29">
        <f t="shared" si="257"/>
        <v>2.2499999999999999E-2</v>
      </c>
      <c r="H452" s="29">
        <f t="shared" si="257"/>
        <v>0.1168</v>
      </c>
      <c r="I452">
        <f t="shared" si="252"/>
        <v>1115.0999999999999</v>
      </c>
      <c r="J452">
        <f>IF(A452&gt;=Quarterly!B$2,Quarterly!C$2,IF(COUNTIFS(Quarterly!B:B,"&gt;="&amp;A452-92,Quarterly!B:B,"&lt;="&amp;A452)&gt;1,SUMIFS(Quarterly!C:C,Quarterly!B:B,"&gt;="&amp;A452-88,Quarterly!B:B,"&lt;="&amp;A452),SUMIFS(Quarterly!C:C,Quarterly!B:B,"&gt;="&amp;A452-92,Quarterly!B:B,"&lt;="&amp;A452)))</f>
        <v>14384.1</v>
      </c>
      <c r="K452" s="13">
        <f t="shared" si="253"/>
        <v>7.7499999999999999E-2</v>
      </c>
      <c r="L452">
        <f t="shared" si="255"/>
        <v>1115.0999999999999</v>
      </c>
      <c r="M452">
        <f>IF(A452&gt;=Quarterly!B$2,Quarterly!D$2,IF(COUNTIFS(Quarterly!B:B,"&gt;="&amp;A452-92,Quarterly!B:B,"&lt;="&amp;A452)&gt;1,SUMIFS(Quarterly!D:D,Quarterly!B:B,"&gt;="&amp;A452-88,Quarterly!B:B,"&lt;="&amp;A452),SUMIFS(Quarterly!D:D,Quarterly!B:B,"&gt;="&amp;A452-92,Quarterly!B:B,"&lt;="&amp;A452)))</f>
        <v>1273.1890000000001</v>
      </c>
      <c r="N452" s="13">
        <f t="shared" si="256"/>
        <v>8.7580000000000005E-2</v>
      </c>
      <c r="O452">
        <f t="shared" si="244"/>
        <v>1115.0999999999999</v>
      </c>
      <c r="P452" s="56">
        <f>VLOOKUP(EOMONTH(A452,-1),Economic!A:I,7,FALSE)</f>
        <v>1003552</v>
      </c>
      <c r="Q452" s="13">
        <f t="shared" si="245"/>
        <v>0.1111</v>
      </c>
      <c r="R452" s="41">
        <v>2.71</v>
      </c>
      <c r="S452">
        <f t="shared" si="246"/>
        <v>2.4500000000000002</v>
      </c>
      <c r="T452" s="30">
        <f t="shared" si="247"/>
        <v>239.38</v>
      </c>
      <c r="U452" s="30">
        <f t="shared" si="254"/>
        <v>236.51</v>
      </c>
    </row>
    <row r="453" spans="1:21" ht="15" customHeight="1" x14ac:dyDescent="0.25">
      <c r="A453" s="5">
        <v>40174</v>
      </c>
      <c r="B453" s="5">
        <f t="shared" si="248"/>
        <v>40178</v>
      </c>
      <c r="C453">
        <v>1126.48</v>
      </c>
      <c r="D453" s="29">
        <f t="shared" si="249"/>
        <v>2.2599999999999999E-2</v>
      </c>
      <c r="E453" s="39">
        <f t="shared" si="250"/>
        <v>1083.6276923076923</v>
      </c>
      <c r="F453" s="39">
        <f t="shared" si="251"/>
        <v>991.49641025641029</v>
      </c>
      <c r="G453" s="29">
        <f t="shared" si="257"/>
        <v>3.95E-2</v>
      </c>
      <c r="H453" s="29">
        <f t="shared" si="257"/>
        <v>0.1361</v>
      </c>
      <c r="I453">
        <f t="shared" si="252"/>
        <v>1126.48</v>
      </c>
      <c r="J453">
        <f>IF(A453&gt;=Quarterly!B$2,Quarterly!C$2,IF(COUNTIFS(Quarterly!B:B,"&gt;="&amp;A453-92,Quarterly!B:B,"&lt;="&amp;A453)&gt;1,SUMIFS(Quarterly!C:C,Quarterly!B:B,"&gt;="&amp;A453-88,Quarterly!B:B,"&lt;="&amp;A453),SUMIFS(Quarterly!C:C,Quarterly!B:B,"&gt;="&amp;A453-92,Quarterly!B:B,"&lt;="&amp;A453)))</f>
        <v>14384.1</v>
      </c>
      <c r="K453" s="13">
        <f t="shared" si="253"/>
        <v>7.8299999999999995E-2</v>
      </c>
      <c r="L453">
        <f t="shared" si="255"/>
        <v>1126.48</v>
      </c>
      <c r="M453">
        <f>IF(A453&gt;=Quarterly!B$2,Quarterly!D$2,IF(COUNTIFS(Quarterly!B:B,"&gt;="&amp;A453-92,Quarterly!B:B,"&lt;="&amp;A453)&gt;1,SUMIFS(Quarterly!D:D,Quarterly!B:B,"&gt;="&amp;A453-88,Quarterly!B:B,"&lt;="&amp;A453),SUMIFS(Quarterly!D:D,Quarterly!B:B,"&gt;="&amp;A453-92,Quarterly!B:B,"&lt;="&amp;A453)))</f>
        <v>1273.1890000000001</v>
      </c>
      <c r="N453" s="13">
        <f t="shared" si="256"/>
        <v>8.8480000000000003E-2</v>
      </c>
      <c r="O453">
        <f t="shared" si="244"/>
        <v>1126.48</v>
      </c>
      <c r="P453" s="56">
        <f>VLOOKUP(EOMONTH(A453,-1),Economic!A:I,7,FALSE)</f>
        <v>994143</v>
      </c>
      <c r="Q453" s="13">
        <f t="shared" si="245"/>
        <v>0.11329999999999998</v>
      </c>
      <c r="R453" s="41">
        <v>2.82</v>
      </c>
      <c r="S453">
        <f t="shared" si="246"/>
        <v>2.19</v>
      </c>
      <c r="T453" s="30">
        <f t="shared" si="247"/>
        <v>232.03</v>
      </c>
      <c r="U453" s="30">
        <f t="shared" si="254"/>
        <v>235.27</v>
      </c>
    </row>
    <row r="454" spans="1:21" ht="15" customHeight="1" x14ac:dyDescent="0.25">
      <c r="A454" s="5">
        <v>40167</v>
      </c>
      <c r="B454" s="5">
        <f t="shared" si="248"/>
        <v>40178</v>
      </c>
      <c r="C454">
        <v>1102.47</v>
      </c>
      <c r="D454" s="29">
        <f t="shared" si="249"/>
        <v>3.3E-3</v>
      </c>
      <c r="E454" s="39">
        <f t="shared" si="250"/>
        <v>1077.3123076923077</v>
      </c>
      <c r="F454" s="39">
        <f t="shared" si="251"/>
        <v>983.53384615384618</v>
      </c>
      <c r="G454" s="29">
        <f t="shared" si="257"/>
        <v>2.3400000000000001E-2</v>
      </c>
      <c r="H454" s="29">
        <f t="shared" si="257"/>
        <v>0.12089999999999999</v>
      </c>
      <c r="I454">
        <f t="shared" si="252"/>
        <v>1102.47</v>
      </c>
      <c r="J454">
        <f>IF(A454&gt;=Quarterly!B$2,Quarterly!C$2,IF(COUNTIFS(Quarterly!B:B,"&gt;="&amp;A454-92,Quarterly!B:B,"&lt;="&amp;A454)&gt;1,SUMIFS(Quarterly!C:C,Quarterly!B:B,"&gt;="&amp;A454-88,Quarterly!B:B,"&lt;="&amp;A454),SUMIFS(Quarterly!C:C,Quarterly!B:B,"&gt;="&amp;A454-92,Quarterly!B:B,"&lt;="&amp;A454)))</f>
        <v>14384.1</v>
      </c>
      <c r="K454" s="13">
        <f t="shared" si="253"/>
        <v>7.6600000000000001E-2</v>
      </c>
      <c r="L454">
        <f t="shared" si="255"/>
        <v>1102.47</v>
      </c>
      <c r="M454">
        <f>IF(A454&gt;=Quarterly!B$2,Quarterly!D$2,IF(COUNTIFS(Quarterly!B:B,"&gt;="&amp;A454-92,Quarterly!B:B,"&lt;="&amp;A454)&gt;1,SUMIFS(Quarterly!D:D,Quarterly!B:B,"&gt;="&amp;A454-88,Quarterly!B:B,"&lt;="&amp;A454),SUMIFS(Quarterly!D:D,Quarterly!B:B,"&gt;="&amp;A454-92,Quarterly!B:B,"&lt;="&amp;A454)))</f>
        <v>1273.1890000000001</v>
      </c>
      <c r="N454" s="13">
        <f t="shared" si="256"/>
        <v>8.659E-2</v>
      </c>
      <c r="O454">
        <f t="shared" ref="O454:O517" si="258">C454</f>
        <v>1102.47</v>
      </c>
      <c r="P454" s="56">
        <f>VLOOKUP(EOMONTH(A454,-1),Economic!A:I,7,FALSE)</f>
        <v>994143</v>
      </c>
      <c r="Q454" s="13">
        <f t="shared" ref="Q454:Q517" si="259">ROUND(O454/P454,6)*100</f>
        <v>0.1109</v>
      </c>
      <c r="R454" s="41">
        <v>2.73</v>
      </c>
      <c r="S454">
        <f t="shared" ref="S454:S517" si="260">R515</f>
        <v>2.34</v>
      </c>
      <c r="T454" s="30">
        <f t="shared" ref="T454:T517" si="261">IF((ROUND((S454*40)+(G454*350)-(H454*100)-((N454-0.15)*350)-(((K454*10.5)-1)*270)-(Q454*100),2)+144)*0.8&lt;0,0,ROUND((ROUND((S454*40)+(G454*350)-(H454*100)-((N454-0.15)*350)-(((K454*10.5)-1)*270)-(Q454*100),2)+144)*0.8,2))</f>
        <v>238.11</v>
      </c>
      <c r="U454" s="30">
        <f t="shared" si="254"/>
        <v>234.06</v>
      </c>
    </row>
    <row r="455" spans="1:21" ht="15" customHeight="1" x14ac:dyDescent="0.25">
      <c r="A455" s="5">
        <v>40160</v>
      </c>
      <c r="B455" s="5">
        <f t="shared" si="248"/>
        <v>40178</v>
      </c>
      <c r="C455">
        <v>1106.4100000000001</v>
      </c>
      <c r="D455" s="29">
        <f t="shared" si="249"/>
        <v>9.9000000000000008E-3</v>
      </c>
      <c r="E455" s="39">
        <f t="shared" si="250"/>
        <v>1074.6838461538462</v>
      </c>
      <c r="F455" s="39">
        <f t="shared" si="251"/>
        <v>974.97153846153844</v>
      </c>
      <c r="G455" s="29">
        <f t="shared" si="257"/>
        <v>2.9499999999999998E-2</v>
      </c>
      <c r="H455" s="29">
        <f t="shared" si="257"/>
        <v>0.1348</v>
      </c>
      <c r="I455">
        <f t="shared" si="252"/>
        <v>1106.4100000000001</v>
      </c>
      <c r="J455">
        <f>IF(A455&gt;=Quarterly!B$2,Quarterly!C$2,IF(COUNTIFS(Quarterly!B:B,"&gt;="&amp;A455-92,Quarterly!B:B,"&lt;="&amp;A455)&gt;1,SUMIFS(Quarterly!C:C,Quarterly!B:B,"&gt;="&amp;A455-88,Quarterly!B:B,"&lt;="&amp;A455),SUMIFS(Quarterly!C:C,Quarterly!B:B,"&gt;="&amp;A455-92,Quarterly!B:B,"&lt;="&amp;A455)))</f>
        <v>14384.1</v>
      </c>
      <c r="K455" s="13">
        <f t="shared" si="253"/>
        <v>7.6899999999999996E-2</v>
      </c>
      <c r="L455">
        <f t="shared" si="255"/>
        <v>1106.4100000000001</v>
      </c>
      <c r="M455">
        <f>IF(A455&gt;=Quarterly!B$2,Quarterly!D$2,IF(COUNTIFS(Quarterly!B:B,"&gt;="&amp;A455-92,Quarterly!B:B,"&lt;="&amp;A455)&gt;1,SUMIFS(Quarterly!D:D,Quarterly!B:B,"&gt;="&amp;A455-88,Quarterly!B:B,"&lt;="&amp;A455),SUMIFS(Quarterly!D:D,Quarterly!B:B,"&gt;="&amp;A455-92,Quarterly!B:B,"&lt;="&amp;A455)))</f>
        <v>1273.1890000000001</v>
      </c>
      <c r="N455" s="13">
        <f t="shared" si="256"/>
        <v>8.6900000000000005E-2</v>
      </c>
      <c r="O455">
        <f t="shared" si="258"/>
        <v>1106.4100000000001</v>
      </c>
      <c r="P455" s="56">
        <f>VLOOKUP(EOMONTH(A455,-1),Economic!A:I,7,FALSE)</f>
        <v>994143</v>
      </c>
      <c r="Q455" s="13">
        <f t="shared" si="259"/>
        <v>0.11130000000000001</v>
      </c>
      <c r="R455" s="41">
        <v>2.72</v>
      </c>
      <c r="S455">
        <f t="shared" si="260"/>
        <v>2.27</v>
      </c>
      <c r="T455" s="30">
        <f t="shared" si="261"/>
        <v>235.67</v>
      </c>
      <c r="U455" s="30">
        <f t="shared" si="254"/>
        <v>228.02</v>
      </c>
    </row>
    <row r="456" spans="1:21" ht="15" customHeight="1" x14ac:dyDescent="0.25">
      <c r="A456" s="5">
        <v>40153</v>
      </c>
      <c r="B456" s="5">
        <f t="shared" si="248"/>
        <v>40178</v>
      </c>
      <c r="C456">
        <v>1105.98</v>
      </c>
      <c r="D456" s="29">
        <f t="shared" si="249"/>
        <v>1.7999999999999999E-2</v>
      </c>
      <c r="E456" s="39">
        <f t="shared" si="250"/>
        <v>1069.7853846153846</v>
      </c>
      <c r="F456" s="39">
        <f t="shared" si="251"/>
        <v>966.00076923076915</v>
      </c>
      <c r="G456" s="29">
        <f t="shared" si="257"/>
        <v>3.3799999999999997E-2</v>
      </c>
      <c r="H456" s="29">
        <f t="shared" si="257"/>
        <v>0.1449</v>
      </c>
      <c r="I456">
        <f t="shared" si="252"/>
        <v>1105.98</v>
      </c>
      <c r="J456">
        <f>IF(A456&gt;=Quarterly!B$2,Quarterly!C$2,IF(COUNTIFS(Quarterly!B:B,"&gt;="&amp;A456-92,Quarterly!B:B,"&lt;="&amp;A456)&gt;1,SUMIFS(Quarterly!C:C,Quarterly!B:B,"&gt;="&amp;A456-88,Quarterly!B:B,"&lt;="&amp;A456),SUMIFS(Quarterly!C:C,Quarterly!B:B,"&gt;="&amp;A456-92,Quarterly!B:B,"&lt;="&amp;A456)))</f>
        <v>14384.1</v>
      </c>
      <c r="K456" s="13">
        <f t="shared" si="253"/>
        <v>7.6899999999999996E-2</v>
      </c>
      <c r="L456">
        <f t="shared" si="255"/>
        <v>1105.98</v>
      </c>
      <c r="M456">
        <f>IF(A456&gt;=Quarterly!B$2,Quarterly!D$2,IF(COUNTIFS(Quarterly!B:B,"&gt;="&amp;A456-92,Quarterly!B:B,"&lt;="&amp;A456)&gt;1,SUMIFS(Quarterly!D:D,Quarterly!B:B,"&gt;="&amp;A456-88,Quarterly!B:B,"&lt;="&amp;A456),SUMIFS(Quarterly!D:D,Quarterly!B:B,"&gt;="&amp;A456-92,Quarterly!B:B,"&lt;="&amp;A456)))</f>
        <v>1273.1890000000001</v>
      </c>
      <c r="N456" s="13">
        <f t="shared" si="256"/>
        <v>8.6870000000000003E-2</v>
      </c>
      <c r="O456">
        <f t="shared" si="258"/>
        <v>1105.98</v>
      </c>
      <c r="P456" s="56">
        <f>VLOOKUP(EOMONTH(A456,-1),Economic!A:I,7,FALSE)</f>
        <v>994143</v>
      </c>
      <c r="Q456" s="13">
        <f t="shared" si="259"/>
        <v>0.11119999999999999</v>
      </c>
      <c r="R456" s="41">
        <v>2.64</v>
      </c>
      <c r="S456">
        <f t="shared" si="260"/>
        <v>2.0299999999999998</v>
      </c>
      <c r="T456" s="30">
        <f t="shared" si="261"/>
        <v>228.4</v>
      </c>
      <c r="U456" s="30">
        <f t="shared" si="254"/>
        <v>221.66</v>
      </c>
    </row>
    <row r="457" spans="1:21" ht="15" customHeight="1" x14ac:dyDescent="0.25">
      <c r="A457" s="5">
        <v>40146</v>
      </c>
      <c r="B457" s="5">
        <f t="shared" si="248"/>
        <v>40147</v>
      </c>
      <c r="C457">
        <v>1091.49</v>
      </c>
      <c r="D457" s="29">
        <f t="shared" si="249"/>
        <v>1.7600000000000001E-2</v>
      </c>
      <c r="E457" s="39">
        <f t="shared" si="250"/>
        <v>1062.8946153846152</v>
      </c>
      <c r="F457" s="39">
        <f t="shared" si="251"/>
        <v>955.16487179487183</v>
      </c>
      <c r="G457" s="29">
        <f t="shared" si="257"/>
        <v>2.69E-2</v>
      </c>
      <c r="H457" s="29">
        <f t="shared" si="257"/>
        <v>0.14269999999999999</v>
      </c>
      <c r="I457">
        <f t="shared" si="252"/>
        <v>1091.49</v>
      </c>
      <c r="J457">
        <f>IF(A457&gt;=Quarterly!B$2,Quarterly!C$2,IF(COUNTIFS(Quarterly!B:B,"&gt;="&amp;A457-92,Quarterly!B:B,"&lt;="&amp;A457)&gt;1,SUMIFS(Quarterly!C:C,Quarterly!B:B,"&gt;="&amp;A457-88,Quarterly!B:B,"&lt;="&amp;A457),SUMIFS(Quarterly!C:C,Quarterly!B:B,"&gt;="&amp;A457-92,Quarterly!B:B,"&lt;="&amp;A457)))</f>
        <v>14384.1</v>
      </c>
      <c r="K457" s="13">
        <f t="shared" si="253"/>
        <v>7.5899999999999995E-2</v>
      </c>
      <c r="L457">
        <f t="shared" si="255"/>
        <v>1091.49</v>
      </c>
      <c r="M457">
        <f>IF(A457&gt;=Quarterly!B$2,Quarterly!D$2,IF(COUNTIFS(Quarterly!B:B,"&gt;="&amp;A457-92,Quarterly!B:B,"&lt;="&amp;A457)&gt;1,SUMIFS(Quarterly!D:D,Quarterly!B:B,"&gt;="&amp;A457-88,Quarterly!B:B,"&lt;="&amp;A457),SUMIFS(Quarterly!D:D,Quarterly!B:B,"&gt;="&amp;A457-92,Quarterly!B:B,"&lt;="&amp;A457)))</f>
        <v>1273.1890000000001</v>
      </c>
      <c r="N457" s="13">
        <f t="shared" si="256"/>
        <v>8.5730000000000001E-2</v>
      </c>
      <c r="O457">
        <f t="shared" si="258"/>
        <v>1091.49</v>
      </c>
      <c r="P457" s="56">
        <f>VLOOKUP(EOMONTH(A457,-1),Economic!A:I,7,FALSE)</f>
        <v>986239</v>
      </c>
      <c r="Q457" s="13">
        <f t="shared" si="259"/>
        <v>0.11069999999999999</v>
      </c>
      <c r="R457" s="41">
        <v>2.5299999999999998</v>
      </c>
      <c r="S457">
        <f t="shared" si="260"/>
        <v>1.74</v>
      </c>
      <c r="T457" s="30">
        <f t="shared" si="261"/>
        <v>219.99</v>
      </c>
      <c r="U457" s="30">
        <f t="shared" si="254"/>
        <v>216.76</v>
      </c>
    </row>
    <row r="458" spans="1:21" ht="15" customHeight="1" x14ac:dyDescent="0.25">
      <c r="A458" s="5">
        <v>40139</v>
      </c>
      <c r="B458" s="5">
        <f t="shared" si="248"/>
        <v>40147</v>
      </c>
      <c r="C458">
        <v>1091.3800000000001</v>
      </c>
      <c r="D458" s="29">
        <f t="shared" si="249"/>
        <v>2.0299999999999999E-2</v>
      </c>
      <c r="E458" s="39">
        <f t="shared" si="250"/>
        <v>1058.0823076923077</v>
      </c>
      <c r="F458" s="39">
        <f t="shared" si="251"/>
        <v>946.02641025641026</v>
      </c>
      <c r="G458" s="29">
        <f t="shared" si="257"/>
        <v>3.15E-2</v>
      </c>
      <c r="H458" s="29">
        <f t="shared" si="257"/>
        <v>0.15359999999999999</v>
      </c>
      <c r="I458">
        <f t="shared" si="252"/>
        <v>1091.3800000000001</v>
      </c>
      <c r="J458">
        <f>IF(A458&gt;=Quarterly!B$2,Quarterly!C$2,IF(COUNTIFS(Quarterly!B:B,"&gt;="&amp;A458-92,Quarterly!B:B,"&lt;="&amp;A458)&gt;1,SUMIFS(Quarterly!C:C,Quarterly!B:B,"&gt;="&amp;A458-88,Quarterly!B:B,"&lt;="&amp;A458),SUMIFS(Quarterly!C:C,Quarterly!B:B,"&gt;="&amp;A458-92,Quarterly!B:B,"&lt;="&amp;A458)))</f>
        <v>14384.1</v>
      </c>
      <c r="K458" s="13">
        <f t="shared" si="253"/>
        <v>7.5899999999999995E-2</v>
      </c>
      <c r="L458">
        <f t="shared" si="255"/>
        <v>1091.3800000000001</v>
      </c>
      <c r="M458">
        <f>IF(A458&gt;=Quarterly!B$2,Quarterly!D$2,IF(COUNTIFS(Quarterly!B:B,"&gt;="&amp;A458-92,Quarterly!B:B,"&lt;="&amp;A458)&gt;1,SUMIFS(Quarterly!D:D,Quarterly!B:B,"&gt;="&amp;A458-88,Quarterly!B:B,"&lt;="&amp;A458),SUMIFS(Quarterly!D:D,Quarterly!B:B,"&gt;="&amp;A458-92,Quarterly!B:B,"&lt;="&amp;A458)))</f>
        <v>1273.1890000000001</v>
      </c>
      <c r="N458" s="13">
        <f t="shared" si="256"/>
        <v>8.5720000000000005E-2</v>
      </c>
      <c r="O458">
        <f t="shared" si="258"/>
        <v>1091.3800000000001</v>
      </c>
      <c r="P458" s="56">
        <f>VLOOKUP(EOMONTH(A458,-1),Economic!A:I,7,FALSE)</f>
        <v>986239</v>
      </c>
      <c r="Q458" s="13">
        <f t="shared" si="259"/>
        <v>0.11069999999999999</v>
      </c>
      <c r="R458" s="41">
        <v>2.61</v>
      </c>
      <c r="S458">
        <f t="shared" si="260"/>
        <v>1.62</v>
      </c>
      <c r="T458" s="30">
        <f t="shared" si="261"/>
        <v>216.58</v>
      </c>
      <c r="U458" s="30">
        <f t="shared" si="254"/>
        <v>214.28</v>
      </c>
    </row>
    <row r="459" spans="1:21" ht="15" customHeight="1" x14ac:dyDescent="0.25">
      <c r="A459" s="5">
        <v>40132</v>
      </c>
      <c r="B459" s="5">
        <f t="shared" si="248"/>
        <v>40147</v>
      </c>
      <c r="C459">
        <v>1093.48</v>
      </c>
      <c r="D459" s="29">
        <f t="shared" si="249"/>
        <v>2.3699999999999999E-2</v>
      </c>
      <c r="E459" s="39">
        <f t="shared" si="250"/>
        <v>1053.063076923077</v>
      </c>
      <c r="F459" s="39">
        <f t="shared" si="251"/>
        <v>937.7871794871794</v>
      </c>
      <c r="G459" s="29">
        <f t="shared" si="257"/>
        <v>3.8399999999999997E-2</v>
      </c>
      <c r="H459" s="29">
        <f t="shared" si="257"/>
        <v>0.16600000000000001</v>
      </c>
      <c r="I459">
        <f t="shared" si="252"/>
        <v>1093.48</v>
      </c>
      <c r="J459">
        <f>IF(A459&gt;=Quarterly!B$2,Quarterly!C$2,IF(COUNTIFS(Quarterly!B:B,"&gt;="&amp;A459-92,Quarterly!B:B,"&lt;="&amp;A459)&gt;1,SUMIFS(Quarterly!C:C,Quarterly!B:B,"&gt;="&amp;A459-88,Quarterly!B:B,"&lt;="&amp;A459),SUMIFS(Quarterly!C:C,Quarterly!B:B,"&gt;="&amp;A459-92,Quarterly!B:B,"&lt;="&amp;A459)))</f>
        <v>14384.1</v>
      </c>
      <c r="K459" s="13">
        <f t="shared" si="253"/>
        <v>7.5999999999999998E-2</v>
      </c>
      <c r="L459">
        <f t="shared" si="255"/>
        <v>1093.48</v>
      </c>
      <c r="M459">
        <f>IF(A459&gt;=Quarterly!B$2,Quarterly!D$2,IF(COUNTIFS(Quarterly!B:B,"&gt;="&amp;A459-92,Quarterly!B:B,"&lt;="&amp;A459)&gt;1,SUMIFS(Quarterly!D:D,Quarterly!B:B,"&gt;="&amp;A459-88,Quarterly!B:B,"&lt;="&amp;A459),SUMIFS(Quarterly!D:D,Quarterly!B:B,"&gt;="&amp;A459-92,Quarterly!B:B,"&lt;="&amp;A459)))</f>
        <v>1273.1890000000001</v>
      </c>
      <c r="N459" s="13">
        <f t="shared" si="256"/>
        <v>8.5890000000000008E-2</v>
      </c>
      <c r="O459">
        <f t="shared" si="258"/>
        <v>1093.48</v>
      </c>
      <c r="P459" s="56">
        <f>VLOOKUP(EOMONTH(A459,-1),Economic!A:I,7,FALSE)</f>
        <v>986239</v>
      </c>
      <c r="Q459" s="13">
        <f t="shared" si="259"/>
        <v>0.1109</v>
      </c>
      <c r="R459" s="41">
        <v>2.61</v>
      </c>
      <c r="S459">
        <f t="shared" si="260"/>
        <v>1.51</v>
      </c>
      <c r="T459" s="30">
        <f t="shared" si="261"/>
        <v>213.7</v>
      </c>
      <c r="U459" s="30">
        <f t="shared" si="254"/>
        <v>213.66</v>
      </c>
    </row>
    <row r="460" spans="1:21" ht="15" customHeight="1" x14ac:dyDescent="0.25">
      <c r="A460" s="5">
        <v>40125</v>
      </c>
      <c r="B460" s="5">
        <f t="shared" si="248"/>
        <v>40147</v>
      </c>
      <c r="C460">
        <v>1069.3</v>
      </c>
      <c r="D460" s="29">
        <f t="shared" si="249"/>
        <v>5.0000000000000001E-4</v>
      </c>
      <c r="E460" s="39">
        <f t="shared" si="250"/>
        <v>1046.186923076923</v>
      </c>
      <c r="F460" s="39">
        <f t="shared" si="251"/>
        <v>930.9502564102562</v>
      </c>
      <c r="G460" s="29">
        <f t="shared" si="257"/>
        <v>2.2100000000000002E-2</v>
      </c>
      <c r="H460" s="29">
        <f t="shared" si="257"/>
        <v>0.14860000000000001</v>
      </c>
      <c r="I460">
        <f t="shared" si="252"/>
        <v>1069.3</v>
      </c>
      <c r="J460">
        <f>IF(A460&gt;=Quarterly!B$2,Quarterly!C$2,IF(COUNTIFS(Quarterly!B:B,"&gt;="&amp;A460-92,Quarterly!B:B,"&lt;="&amp;A460)&gt;1,SUMIFS(Quarterly!C:C,Quarterly!B:B,"&gt;="&amp;A460-88,Quarterly!B:B,"&lt;="&amp;A460),SUMIFS(Quarterly!C:C,Quarterly!B:B,"&gt;="&amp;A460-92,Quarterly!B:B,"&lt;="&amp;A460)))</f>
        <v>14384.1</v>
      </c>
      <c r="K460" s="13">
        <f t="shared" si="253"/>
        <v>7.4300000000000005E-2</v>
      </c>
      <c r="L460">
        <f t="shared" si="255"/>
        <v>1069.3</v>
      </c>
      <c r="M460">
        <f>IF(A460&gt;=Quarterly!B$2,Quarterly!D$2,IF(COUNTIFS(Quarterly!B:B,"&gt;="&amp;A460-92,Quarterly!B:B,"&lt;="&amp;A460)&gt;1,SUMIFS(Quarterly!D:D,Quarterly!B:B,"&gt;="&amp;A460-88,Quarterly!B:B,"&lt;="&amp;A460),SUMIFS(Quarterly!D:D,Quarterly!B:B,"&gt;="&amp;A460-92,Quarterly!B:B,"&lt;="&amp;A460)))</f>
        <v>1273.1890000000001</v>
      </c>
      <c r="N460" s="13">
        <f t="shared" si="256"/>
        <v>8.3990000000000009E-2</v>
      </c>
      <c r="O460">
        <f t="shared" si="258"/>
        <v>1069.3</v>
      </c>
      <c r="P460" s="56">
        <f>VLOOKUP(EOMONTH(A460,-1),Economic!A:I,7,FALSE)</f>
        <v>986239</v>
      </c>
      <c r="Q460" s="13">
        <f t="shared" si="259"/>
        <v>0.1084</v>
      </c>
      <c r="R460" s="41">
        <v>2.68</v>
      </c>
      <c r="S460">
        <f t="shared" si="260"/>
        <v>1.43</v>
      </c>
      <c r="T460" s="30">
        <f t="shared" si="261"/>
        <v>212.56</v>
      </c>
      <c r="U460" s="30">
        <f t="shared" si="254"/>
        <v>212.56</v>
      </c>
    </row>
    <row r="461" spans="1:21" ht="15" customHeight="1" x14ac:dyDescent="0.25">
      <c r="A461" s="5">
        <v>40118</v>
      </c>
      <c r="B461" s="5">
        <f t="shared" si="248"/>
        <v>40147</v>
      </c>
      <c r="C461">
        <v>1036.19</v>
      </c>
      <c r="D461" s="29">
        <f t="shared" si="249"/>
        <v>-2.8000000000000001E-2</v>
      </c>
      <c r="E461" s="39">
        <f t="shared" si="250"/>
        <v>1041.6623076923076</v>
      </c>
      <c r="F461" s="39">
        <f t="shared" si="251"/>
        <v>925.80410256410244</v>
      </c>
      <c r="G461" s="29">
        <f t="shared" si="257"/>
        <v>-5.3E-3</v>
      </c>
      <c r="H461" s="29">
        <f t="shared" si="257"/>
        <v>0.1192</v>
      </c>
      <c r="I461">
        <f t="shared" si="252"/>
        <v>1036.19</v>
      </c>
      <c r="J461">
        <f>IF(A461&gt;=Quarterly!B$2,Quarterly!C$2,IF(COUNTIFS(Quarterly!B:B,"&gt;="&amp;A461-92,Quarterly!B:B,"&lt;="&amp;A461)&gt;1,SUMIFS(Quarterly!C:C,Quarterly!B:B,"&gt;="&amp;A461-88,Quarterly!B:B,"&lt;="&amp;A461),SUMIFS(Quarterly!C:C,Quarterly!B:B,"&gt;="&amp;A461-92,Quarterly!B:B,"&lt;="&amp;A461)))</f>
        <v>14384.1</v>
      </c>
      <c r="K461" s="13">
        <f t="shared" si="253"/>
        <v>7.1999999999999995E-2</v>
      </c>
      <c r="L461">
        <f t="shared" si="255"/>
        <v>1036.19</v>
      </c>
      <c r="M461">
        <f>IF(A461&gt;=Quarterly!B$2,Quarterly!D$2,IF(COUNTIFS(Quarterly!B:B,"&gt;="&amp;A461-92,Quarterly!B:B,"&lt;="&amp;A461)&gt;1,SUMIFS(Quarterly!D:D,Quarterly!B:B,"&gt;="&amp;A461-88,Quarterly!B:B,"&lt;="&amp;A461),SUMIFS(Quarterly!D:D,Quarterly!B:B,"&gt;="&amp;A461-92,Quarterly!B:B,"&lt;="&amp;A461)))</f>
        <v>1273.1890000000001</v>
      </c>
      <c r="N461" s="13">
        <f t="shared" si="256"/>
        <v>8.1390000000000004E-2</v>
      </c>
      <c r="O461">
        <f t="shared" si="258"/>
        <v>1036.19</v>
      </c>
      <c r="P461" s="56">
        <f>VLOOKUP(EOMONTH(A461,-1),Economic!A:I,7,FALSE)</f>
        <v>986239</v>
      </c>
      <c r="Q461" s="13">
        <f t="shared" si="259"/>
        <v>0.10510000000000001</v>
      </c>
      <c r="R461" s="41">
        <v>2.5099999999999998</v>
      </c>
      <c r="S461">
        <f t="shared" si="260"/>
        <v>1.47</v>
      </c>
      <c r="T461" s="30">
        <f t="shared" si="261"/>
        <v>214.73</v>
      </c>
      <c r="U461" s="30">
        <f t="shared" si="254"/>
        <v>212.27</v>
      </c>
    </row>
    <row r="462" spans="1:21" ht="15" customHeight="1" x14ac:dyDescent="0.25">
      <c r="A462" s="5">
        <v>40111</v>
      </c>
      <c r="B462" s="5">
        <f t="shared" si="248"/>
        <v>40117</v>
      </c>
      <c r="C462">
        <v>1079.5999999999999</v>
      </c>
      <c r="D462" s="29">
        <f t="shared" si="249"/>
        <v>2.12E-2</v>
      </c>
      <c r="E462" s="39">
        <f t="shared" si="250"/>
        <v>1037.9153846153845</v>
      </c>
      <c r="F462" s="39">
        <f t="shared" si="251"/>
        <v>920.41153846153816</v>
      </c>
      <c r="G462" s="29">
        <f t="shared" si="257"/>
        <v>4.02E-2</v>
      </c>
      <c r="H462" s="29">
        <f t="shared" si="257"/>
        <v>0.17299999999999999</v>
      </c>
      <c r="I462">
        <f t="shared" si="252"/>
        <v>1079.5999999999999</v>
      </c>
      <c r="J462">
        <f>IF(A462&gt;=Quarterly!B$2,Quarterly!C$2,IF(COUNTIFS(Quarterly!B:B,"&gt;="&amp;A462-92,Quarterly!B:B,"&lt;="&amp;A462)&gt;1,SUMIFS(Quarterly!C:C,Quarterly!B:B,"&gt;="&amp;A462-88,Quarterly!B:B,"&lt;="&amp;A462),SUMIFS(Quarterly!C:C,Quarterly!B:B,"&gt;="&amp;A462-92,Quarterly!B:B,"&lt;="&amp;A462)))</f>
        <v>14340.4</v>
      </c>
      <c r="K462" s="13">
        <f t="shared" si="253"/>
        <v>7.5300000000000006E-2</v>
      </c>
      <c r="L462">
        <f t="shared" si="255"/>
        <v>1079.5999999999999</v>
      </c>
      <c r="M462">
        <f>IF(A462&gt;=Quarterly!B$2,Quarterly!D$2,IF(COUNTIFS(Quarterly!B:B,"&gt;="&amp;A462-92,Quarterly!B:B,"&lt;="&amp;A462)&gt;1,SUMIFS(Quarterly!D:D,Quarterly!B:B,"&gt;="&amp;A462-88,Quarterly!B:B,"&lt;="&amp;A462),SUMIFS(Quarterly!D:D,Quarterly!B:B,"&gt;="&amp;A462-92,Quarterly!B:B,"&lt;="&amp;A462)))</f>
        <v>1120.6179999999999</v>
      </c>
      <c r="N462" s="13">
        <f t="shared" si="256"/>
        <v>9.6340000000000009E-2</v>
      </c>
      <c r="O462">
        <f t="shared" si="258"/>
        <v>1079.5999999999999</v>
      </c>
      <c r="P462" s="56">
        <f>VLOOKUP(EOMONTH(A462,-1),Economic!A:I,7,FALSE)</f>
        <v>973843</v>
      </c>
      <c r="Q462" s="13">
        <f t="shared" si="259"/>
        <v>0.1109</v>
      </c>
      <c r="R462" s="41">
        <v>2.4700000000000002</v>
      </c>
      <c r="S462">
        <f t="shared" si="260"/>
        <v>1.45</v>
      </c>
      <c r="T462" s="30">
        <f t="shared" si="261"/>
        <v>210.39</v>
      </c>
      <c r="U462" s="30">
        <f t="shared" si="254"/>
        <v>212.03</v>
      </c>
    </row>
    <row r="463" spans="1:21" ht="15" customHeight="1" x14ac:dyDescent="0.25">
      <c r="A463" s="5">
        <v>40104</v>
      </c>
      <c r="B463" s="5">
        <f t="shared" si="248"/>
        <v>40117</v>
      </c>
      <c r="C463">
        <v>1087.68</v>
      </c>
      <c r="D463" s="29">
        <f t="shared" si="249"/>
        <v>3.3599999999999998E-2</v>
      </c>
      <c r="E463" s="39">
        <f t="shared" si="250"/>
        <v>1030.196923076923</v>
      </c>
      <c r="F463" s="39">
        <f t="shared" si="251"/>
        <v>914.06153846153813</v>
      </c>
      <c r="G463" s="29">
        <f t="shared" si="257"/>
        <v>5.5800000000000002E-2</v>
      </c>
      <c r="H463" s="29">
        <f t="shared" si="257"/>
        <v>0.18990000000000001</v>
      </c>
      <c r="I463">
        <f t="shared" si="252"/>
        <v>1087.68</v>
      </c>
      <c r="J463">
        <f>IF(A463&gt;=Quarterly!B$2,Quarterly!C$2,IF(COUNTIFS(Quarterly!B:B,"&gt;="&amp;A463-92,Quarterly!B:B,"&lt;="&amp;A463)&gt;1,SUMIFS(Quarterly!C:C,Quarterly!B:B,"&gt;="&amp;A463-88,Quarterly!B:B,"&lt;="&amp;A463),SUMIFS(Quarterly!C:C,Quarterly!B:B,"&gt;="&amp;A463-92,Quarterly!B:B,"&lt;="&amp;A463)))</f>
        <v>14340.4</v>
      </c>
      <c r="K463" s="13">
        <f t="shared" si="253"/>
        <v>7.5800000000000006E-2</v>
      </c>
      <c r="L463">
        <f t="shared" si="255"/>
        <v>1087.68</v>
      </c>
      <c r="M463">
        <f>IF(A463&gt;=Quarterly!B$2,Quarterly!D$2,IF(COUNTIFS(Quarterly!B:B,"&gt;="&amp;A463-92,Quarterly!B:B,"&lt;="&amp;A463)&gt;1,SUMIFS(Quarterly!D:D,Quarterly!B:B,"&gt;="&amp;A463-88,Quarterly!B:B,"&lt;="&amp;A463),SUMIFS(Quarterly!D:D,Quarterly!B:B,"&gt;="&amp;A463-92,Quarterly!B:B,"&lt;="&amp;A463)))</f>
        <v>1120.6179999999999</v>
      </c>
      <c r="N463" s="13">
        <f t="shared" si="256"/>
        <v>9.7060000000000007E-2</v>
      </c>
      <c r="O463">
        <f t="shared" si="258"/>
        <v>1087.68</v>
      </c>
      <c r="P463" s="56">
        <f>VLOOKUP(EOMONTH(A463,-1),Economic!A:I,7,FALSE)</f>
        <v>973843</v>
      </c>
      <c r="Q463" s="13">
        <f t="shared" si="259"/>
        <v>0.11169999999999999</v>
      </c>
      <c r="R463" s="41">
        <v>2.46</v>
      </c>
      <c r="S463">
        <f t="shared" si="260"/>
        <v>1.44</v>
      </c>
      <c r="T463" s="30">
        <f t="shared" si="261"/>
        <v>211.69</v>
      </c>
      <c r="U463" s="30">
        <f t="shared" si="254"/>
        <v>214.84</v>
      </c>
    </row>
    <row r="464" spans="1:21" ht="15" customHeight="1" x14ac:dyDescent="0.25">
      <c r="A464" s="5">
        <v>40097</v>
      </c>
      <c r="B464" s="5">
        <f t="shared" si="248"/>
        <v>40117</v>
      </c>
      <c r="C464">
        <v>1071.49</v>
      </c>
      <c r="D464" s="29">
        <f t="shared" si="249"/>
        <v>2.52E-2</v>
      </c>
      <c r="E464" s="39">
        <f t="shared" si="250"/>
        <v>1018.8661538461537</v>
      </c>
      <c r="F464" s="39">
        <f t="shared" si="251"/>
        <v>907.9702564102563</v>
      </c>
      <c r="G464" s="29">
        <f t="shared" si="257"/>
        <v>5.16E-2</v>
      </c>
      <c r="H464" s="29">
        <f t="shared" si="257"/>
        <v>0.18010000000000001</v>
      </c>
      <c r="I464">
        <f t="shared" si="252"/>
        <v>1071.49</v>
      </c>
      <c r="J464">
        <f>IF(A464&gt;=Quarterly!B$2,Quarterly!C$2,IF(COUNTIFS(Quarterly!B:B,"&gt;="&amp;A464-92,Quarterly!B:B,"&lt;="&amp;A464)&gt;1,SUMIFS(Quarterly!C:C,Quarterly!B:B,"&gt;="&amp;A464-88,Quarterly!B:B,"&lt;="&amp;A464),SUMIFS(Quarterly!C:C,Quarterly!B:B,"&gt;="&amp;A464-92,Quarterly!B:B,"&lt;="&amp;A464)))</f>
        <v>14340.4</v>
      </c>
      <c r="K464" s="13">
        <f t="shared" si="253"/>
        <v>7.4700000000000003E-2</v>
      </c>
      <c r="L464">
        <f t="shared" si="255"/>
        <v>1071.49</v>
      </c>
      <c r="M464">
        <f>IF(A464&gt;=Quarterly!B$2,Quarterly!D$2,IF(COUNTIFS(Quarterly!B:B,"&gt;="&amp;A464-92,Quarterly!B:B,"&lt;="&amp;A464)&gt;1,SUMIFS(Quarterly!D:D,Quarterly!B:B,"&gt;="&amp;A464-88,Quarterly!B:B,"&lt;="&amp;A464),SUMIFS(Quarterly!D:D,Quarterly!B:B,"&gt;="&amp;A464-92,Quarterly!B:B,"&lt;="&amp;A464)))</f>
        <v>1120.6179999999999</v>
      </c>
      <c r="N464" s="13">
        <f t="shared" si="256"/>
        <v>9.5620000000000011E-2</v>
      </c>
      <c r="O464">
        <f t="shared" si="258"/>
        <v>1071.49</v>
      </c>
      <c r="P464" s="56">
        <f>VLOOKUP(EOMONTH(A464,-1),Economic!A:I,7,FALSE)</f>
        <v>973843</v>
      </c>
      <c r="Q464" s="13">
        <f t="shared" si="259"/>
        <v>0.11</v>
      </c>
      <c r="R464" s="41">
        <v>2.42</v>
      </c>
      <c r="S464">
        <f t="shared" si="260"/>
        <v>1.43</v>
      </c>
      <c r="T464" s="30">
        <f t="shared" si="261"/>
        <v>214.01</v>
      </c>
      <c r="U464" s="30">
        <f t="shared" si="254"/>
        <v>217.78</v>
      </c>
    </row>
    <row r="465" spans="1:21" ht="15" customHeight="1" x14ac:dyDescent="0.25">
      <c r="A465" s="5">
        <v>40090</v>
      </c>
      <c r="B465" s="5">
        <f t="shared" si="248"/>
        <v>40117</v>
      </c>
      <c r="C465">
        <v>1025.21</v>
      </c>
      <c r="D465" s="29">
        <f t="shared" si="249"/>
        <v>-1.7000000000000001E-2</v>
      </c>
      <c r="E465" s="39">
        <f t="shared" si="250"/>
        <v>1004.0692307692306</v>
      </c>
      <c r="F465" s="39">
        <f t="shared" si="251"/>
        <v>903.32564102564095</v>
      </c>
      <c r="G465" s="29">
        <f t="shared" si="257"/>
        <v>2.1100000000000001E-2</v>
      </c>
      <c r="H465" s="29">
        <f t="shared" si="257"/>
        <v>0.13489999999999999</v>
      </c>
      <c r="I465">
        <f t="shared" si="252"/>
        <v>1025.21</v>
      </c>
      <c r="J465">
        <f>IF(A465&gt;=Quarterly!B$2,Quarterly!C$2,IF(COUNTIFS(Quarterly!B:B,"&gt;="&amp;A465-92,Quarterly!B:B,"&lt;="&amp;A465)&gt;1,SUMIFS(Quarterly!C:C,Quarterly!B:B,"&gt;="&amp;A465-88,Quarterly!B:B,"&lt;="&amp;A465),SUMIFS(Quarterly!C:C,Quarterly!B:B,"&gt;="&amp;A465-92,Quarterly!B:B,"&lt;="&amp;A465)))</f>
        <v>14340.4</v>
      </c>
      <c r="K465" s="13">
        <f t="shared" si="253"/>
        <v>7.1499999999999994E-2</v>
      </c>
      <c r="L465">
        <f t="shared" si="255"/>
        <v>1025.21</v>
      </c>
      <c r="M465">
        <f>IF(A465&gt;=Quarterly!B$2,Quarterly!D$2,IF(COUNTIFS(Quarterly!B:B,"&gt;="&amp;A465-92,Quarterly!B:B,"&lt;="&amp;A465)&gt;1,SUMIFS(Quarterly!D:D,Quarterly!B:B,"&gt;="&amp;A465-88,Quarterly!B:B,"&lt;="&amp;A465),SUMIFS(Quarterly!D:D,Quarterly!B:B,"&gt;="&amp;A465-92,Quarterly!B:B,"&lt;="&amp;A465)))</f>
        <v>1120.6179999999999</v>
      </c>
      <c r="N465" s="13">
        <f t="shared" si="256"/>
        <v>9.1490000000000016E-2</v>
      </c>
      <c r="O465">
        <f t="shared" si="258"/>
        <v>1025.21</v>
      </c>
      <c r="P465" s="56">
        <f>VLOOKUP(EOMONTH(A465,-1),Economic!A:I,7,FALSE)</f>
        <v>973843</v>
      </c>
      <c r="Q465" s="13">
        <f t="shared" si="259"/>
        <v>0.10529999999999999</v>
      </c>
      <c r="R465" s="41">
        <v>2.36</v>
      </c>
      <c r="S465">
        <f t="shared" si="260"/>
        <v>1.46</v>
      </c>
      <c r="T465" s="30">
        <f t="shared" si="261"/>
        <v>218.83</v>
      </c>
      <c r="U465" s="30">
        <f t="shared" si="254"/>
        <v>220.97</v>
      </c>
    </row>
    <row r="466" spans="1:21" ht="15" customHeight="1" x14ac:dyDescent="0.25">
      <c r="A466" s="5">
        <v>40083</v>
      </c>
      <c r="B466" s="5">
        <f t="shared" ref="B466:B529" si="262">EOMONTH(A466,0)</f>
        <v>40086</v>
      </c>
      <c r="C466">
        <v>1044.3800000000001</v>
      </c>
      <c r="D466" s="29">
        <f t="shared" ref="D466:D529" si="263">ROUND((C466-AVERAGE(C467:C470))/AVERAGE(C467:C470),4)</f>
        <v>5.1000000000000004E-3</v>
      </c>
      <c r="E466" s="39">
        <f t="shared" ref="E466:E529" si="264">AVERAGE(C466:C478)</f>
        <v>994.16230769230765</v>
      </c>
      <c r="F466" s="39">
        <f t="shared" ref="F466:F529" si="265">AVERAGE(C466:C504)</f>
        <v>900.93051282051283</v>
      </c>
      <c r="G466" s="29">
        <f t="shared" si="257"/>
        <v>5.0500000000000003E-2</v>
      </c>
      <c r="H466" s="29">
        <f t="shared" si="257"/>
        <v>0.15920000000000001</v>
      </c>
      <c r="I466">
        <f t="shared" ref="I466:I529" si="266">C466</f>
        <v>1044.3800000000001</v>
      </c>
      <c r="J466">
        <f>IF(A466&gt;=Quarterly!B$2,Quarterly!C$2,IF(COUNTIFS(Quarterly!B:B,"&gt;="&amp;A466-92,Quarterly!B:B,"&lt;="&amp;A466)&gt;1,SUMIFS(Quarterly!C:C,Quarterly!B:B,"&gt;="&amp;A466-88,Quarterly!B:B,"&lt;="&amp;A466),SUMIFS(Quarterly!C:C,Quarterly!B:B,"&gt;="&amp;A466-92,Quarterly!B:B,"&lt;="&amp;A466)))</f>
        <v>14340.4</v>
      </c>
      <c r="K466" s="13">
        <f t="shared" ref="K466:K529" si="267">ROUND(I466/J466,4)</f>
        <v>7.2800000000000004E-2</v>
      </c>
      <c r="L466">
        <f t="shared" si="255"/>
        <v>1044.3800000000001</v>
      </c>
      <c r="M466">
        <f>IF(A466&gt;=Quarterly!B$2,Quarterly!D$2,IF(COUNTIFS(Quarterly!B:B,"&gt;="&amp;A466-92,Quarterly!B:B,"&lt;="&amp;A466)&gt;1,SUMIFS(Quarterly!D:D,Quarterly!B:B,"&gt;="&amp;A466-88,Quarterly!B:B,"&lt;="&amp;A466),SUMIFS(Quarterly!D:D,Quarterly!B:B,"&gt;="&amp;A466-92,Quarterly!B:B,"&lt;="&amp;A466)))</f>
        <v>1120.6179999999999</v>
      </c>
      <c r="N466" s="13">
        <f t="shared" si="256"/>
        <v>9.3200000000000005E-2</v>
      </c>
      <c r="O466">
        <f t="shared" si="258"/>
        <v>1044.3800000000001</v>
      </c>
      <c r="P466" s="56">
        <f>VLOOKUP(EOMONTH(A466,-1),Economic!A:I,7,FALSE)</f>
        <v>963927</v>
      </c>
      <c r="Q466" s="13">
        <f t="shared" si="259"/>
        <v>0.10829999999999999</v>
      </c>
      <c r="R466" s="41">
        <v>2.36</v>
      </c>
      <c r="S466">
        <f t="shared" si="260"/>
        <v>1.43</v>
      </c>
      <c r="T466" s="30">
        <f t="shared" si="261"/>
        <v>220.5</v>
      </c>
      <c r="U466" s="30">
        <f t="shared" ref="U466:U529" si="268">ROUND(AVERAGE(T466:T468),2)</f>
        <v>222.66</v>
      </c>
    </row>
    <row r="467" spans="1:21" ht="15" customHeight="1" x14ac:dyDescent="0.25">
      <c r="A467" s="5">
        <v>40076</v>
      </c>
      <c r="B467" s="5">
        <f t="shared" si="262"/>
        <v>40086</v>
      </c>
      <c r="C467">
        <v>1068.3</v>
      </c>
      <c r="D467" s="29">
        <f t="shared" si="263"/>
        <v>3.8600000000000002E-2</v>
      </c>
      <c r="E467" s="39">
        <f t="shared" si="264"/>
        <v>984.50999999999976</v>
      </c>
      <c r="F467" s="39">
        <f t="shared" si="265"/>
        <v>896.53102564102562</v>
      </c>
      <c r="G467" s="29">
        <f t="shared" si="257"/>
        <v>8.5099999999999995E-2</v>
      </c>
      <c r="H467" s="29">
        <f t="shared" si="257"/>
        <v>0.19159999999999999</v>
      </c>
      <c r="I467">
        <f t="shared" si="266"/>
        <v>1068.3</v>
      </c>
      <c r="J467">
        <f>IF(A467&gt;=Quarterly!B$2,Quarterly!C$2,IF(COUNTIFS(Quarterly!B:B,"&gt;="&amp;A467-92,Quarterly!B:B,"&lt;="&amp;A467)&gt;1,SUMIFS(Quarterly!C:C,Quarterly!B:B,"&gt;="&amp;A467-88,Quarterly!B:B,"&lt;="&amp;A467),SUMIFS(Quarterly!C:C,Quarterly!B:B,"&gt;="&amp;A467-92,Quarterly!B:B,"&lt;="&amp;A467)))</f>
        <v>14340.4</v>
      </c>
      <c r="K467" s="13">
        <f t="shared" si="267"/>
        <v>7.4499999999999997E-2</v>
      </c>
      <c r="L467">
        <f t="shared" si="255"/>
        <v>1068.3</v>
      </c>
      <c r="M467">
        <f>IF(A467&gt;=Quarterly!B$2,Quarterly!D$2,IF(COUNTIFS(Quarterly!B:B,"&gt;="&amp;A467-92,Quarterly!B:B,"&lt;="&amp;A467)&gt;1,SUMIFS(Quarterly!D:D,Quarterly!B:B,"&gt;="&amp;A467-88,Quarterly!B:B,"&lt;="&amp;A467),SUMIFS(Quarterly!D:D,Quarterly!B:B,"&gt;="&amp;A467-92,Quarterly!B:B,"&lt;="&amp;A467)))</f>
        <v>1120.6179999999999</v>
      </c>
      <c r="N467" s="13">
        <f t="shared" si="256"/>
        <v>9.5330000000000012E-2</v>
      </c>
      <c r="O467">
        <f t="shared" si="258"/>
        <v>1068.3</v>
      </c>
      <c r="P467" s="56">
        <f>VLOOKUP(EOMONTH(A467,-1),Economic!A:I,7,FALSE)</f>
        <v>963927</v>
      </c>
      <c r="Q467" s="13">
        <f t="shared" si="259"/>
        <v>0.11080000000000001</v>
      </c>
      <c r="R467" s="41">
        <v>2.46</v>
      </c>
      <c r="S467">
        <f t="shared" si="260"/>
        <v>1.45</v>
      </c>
      <c r="T467" s="30">
        <f t="shared" si="261"/>
        <v>223.58</v>
      </c>
      <c r="U467" s="30">
        <f t="shared" si="268"/>
        <v>225.18</v>
      </c>
    </row>
    <row r="468" spans="1:21" ht="15" customHeight="1" x14ac:dyDescent="0.25">
      <c r="A468" s="5">
        <v>40069</v>
      </c>
      <c r="B468" s="5">
        <f t="shared" si="262"/>
        <v>40086</v>
      </c>
      <c r="C468">
        <v>1042.73</v>
      </c>
      <c r="D468" s="29">
        <f t="shared" si="263"/>
        <v>2.3400000000000001E-2</v>
      </c>
      <c r="E468" s="39">
        <f t="shared" si="264"/>
        <v>973.19692307692287</v>
      </c>
      <c r="F468" s="39">
        <f t="shared" si="265"/>
        <v>891.90487179487161</v>
      </c>
      <c r="G468" s="29">
        <f t="shared" si="257"/>
        <v>7.1400000000000005E-2</v>
      </c>
      <c r="H468" s="29">
        <f t="shared" si="257"/>
        <v>0.1691</v>
      </c>
      <c r="I468">
        <f t="shared" si="266"/>
        <v>1042.73</v>
      </c>
      <c r="J468">
        <f>IF(A468&gt;=Quarterly!B$2,Quarterly!C$2,IF(COUNTIFS(Quarterly!B:B,"&gt;="&amp;A468-92,Quarterly!B:B,"&lt;="&amp;A468)&gt;1,SUMIFS(Quarterly!C:C,Quarterly!B:B,"&gt;="&amp;A468-88,Quarterly!B:B,"&lt;="&amp;A468),SUMIFS(Quarterly!C:C,Quarterly!B:B,"&gt;="&amp;A468-92,Quarterly!B:B,"&lt;="&amp;A468)))</f>
        <v>14340.4</v>
      </c>
      <c r="K468" s="13">
        <f t="shared" si="267"/>
        <v>7.2700000000000001E-2</v>
      </c>
      <c r="L468">
        <f t="shared" si="255"/>
        <v>1042.73</v>
      </c>
      <c r="M468">
        <f>IF(A468&gt;=Quarterly!B$2,Quarterly!D$2,IF(COUNTIFS(Quarterly!B:B,"&gt;="&amp;A468-92,Quarterly!B:B,"&lt;="&amp;A468)&gt;1,SUMIFS(Quarterly!D:D,Quarterly!B:B,"&gt;="&amp;A468-88,Quarterly!B:B,"&lt;="&amp;A468),SUMIFS(Quarterly!D:D,Quarterly!B:B,"&gt;="&amp;A468-92,Quarterly!B:B,"&lt;="&amp;A468)))</f>
        <v>1120.6179999999999</v>
      </c>
      <c r="N468" s="13">
        <f t="shared" si="256"/>
        <v>9.3050000000000008E-2</v>
      </c>
      <c r="O468">
        <f t="shared" si="258"/>
        <v>1042.73</v>
      </c>
      <c r="P468" s="56">
        <f>VLOOKUP(EOMONTH(A468,-1),Economic!A:I,7,FALSE)</f>
        <v>963927</v>
      </c>
      <c r="Q468" s="13">
        <f t="shared" si="259"/>
        <v>0.1082</v>
      </c>
      <c r="R468" s="41">
        <v>2.44</v>
      </c>
      <c r="S468">
        <f t="shared" si="260"/>
        <v>1.37</v>
      </c>
      <c r="T468" s="30">
        <f t="shared" si="261"/>
        <v>223.91</v>
      </c>
      <c r="U468" s="30">
        <f t="shared" si="268"/>
        <v>225.97</v>
      </c>
    </row>
    <row r="469" spans="1:21" ht="15" customHeight="1" x14ac:dyDescent="0.25">
      <c r="A469" s="5">
        <v>40062</v>
      </c>
      <c r="B469" s="5">
        <f t="shared" si="262"/>
        <v>40086</v>
      </c>
      <c r="C469">
        <v>1016.4</v>
      </c>
      <c r="D469" s="29">
        <f t="shared" si="263"/>
        <v>-1E-3</v>
      </c>
      <c r="E469" s="39">
        <f t="shared" si="264"/>
        <v>965.77230769230778</v>
      </c>
      <c r="F469" s="39">
        <f t="shared" si="265"/>
        <v>887.72538461538466</v>
      </c>
      <c r="G469" s="29">
        <f t="shared" si="257"/>
        <v>5.2400000000000002E-2</v>
      </c>
      <c r="H469" s="29">
        <f t="shared" si="257"/>
        <v>0.1449</v>
      </c>
      <c r="I469">
        <f t="shared" si="266"/>
        <v>1016.4</v>
      </c>
      <c r="J469">
        <f>IF(A469&gt;=Quarterly!B$2,Quarterly!C$2,IF(COUNTIFS(Quarterly!B:B,"&gt;="&amp;A469-92,Quarterly!B:B,"&lt;="&amp;A469)&gt;1,SUMIFS(Quarterly!C:C,Quarterly!B:B,"&gt;="&amp;A469-88,Quarterly!B:B,"&lt;="&amp;A469),SUMIFS(Quarterly!C:C,Quarterly!B:B,"&gt;="&amp;A469-92,Quarterly!B:B,"&lt;="&amp;A469)))</f>
        <v>14340.4</v>
      </c>
      <c r="K469" s="13">
        <f t="shared" si="267"/>
        <v>7.0900000000000005E-2</v>
      </c>
      <c r="L469">
        <f t="shared" si="255"/>
        <v>1016.4</v>
      </c>
      <c r="M469">
        <f>IF(A469&gt;=Quarterly!B$2,Quarterly!D$2,IF(COUNTIFS(Quarterly!B:B,"&gt;="&amp;A469-92,Quarterly!B:B,"&lt;="&amp;A469)&gt;1,SUMIFS(Quarterly!D:D,Quarterly!B:B,"&gt;="&amp;A469-88,Quarterly!B:B,"&lt;="&amp;A469),SUMIFS(Quarterly!D:D,Quarterly!B:B,"&gt;="&amp;A469-92,Quarterly!B:B,"&lt;="&amp;A469)))</f>
        <v>1120.6179999999999</v>
      </c>
      <c r="N469" s="13">
        <f t="shared" si="256"/>
        <v>9.0700000000000003E-2</v>
      </c>
      <c r="O469">
        <f t="shared" si="258"/>
        <v>1016.4</v>
      </c>
      <c r="P469" s="56">
        <f>VLOOKUP(EOMONTH(A469,-1),Economic!A:I,7,FALSE)</f>
        <v>963927</v>
      </c>
      <c r="Q469" s="13">
        <f t="shared" si="259"/>
        <v>0.10540000000000001</v>
      </c>
      <c r="R469" s="41">
        <v>2.5099999999999998</v>
      </c>
      <c r="S469">
        <f t="shared" si="260"/>
        <v>1.45</v>
      </c>
      <c r="T469" s="30">
        <f t="shared" si="261"/>
        <v>228.05</v>
      </c>
      <c r="U469" s="30">
        <f t="shared" si="268"/>
        <v>226.78</v>
      </c>
    </row>
    <row r="470" spans="1:21" ht="15" customHeight="1" x14ac:dyDescent="0.25">
      <c r="A470" s="5">
        <v>40055</v>
      </c>
      <c r="B470" s="5">
        <f t="shared" si="262"/>
        <v>40056</v>
      </c>
      <c r="C470">
        <v>1028.93</v>
      </c>
      <c r="D470" s="29">
        <f t="shared" si="263"/>
        <v>2.1700000000000001E-2</v>
      </c>
      <c r="E470" s="39">
        <f t="shared" si="264"/>
        <v>959.90230769230766</v>
      </c>
      <c r="F470" s="39">
        <f t="shared" si="265"/>
        <v>884.12717948717932</v>
      </c>
      <c r="G470" s="29">
        <f t="shared" si="257"/>
        <v>7.1900000000000006E-2</v>
      </c>
      <c r="H470" s="29">
        <f t="shared" si="257"/>
        <v>0.1638</v>
      </c>
      <c r="I470">
        <f t="shared" si="266"/>
        <v>1028.93</v>
      </c>
      <c r="J470">
        <f>IF(A470&gt;=Quarterly!B$2,Quarterly!C$2,IF(COUNTIFS(Quarterly!B:B,"&gt;="&amp;A470-92,Quarterly!B:B,"&lt;="&amp;A470)&gt;1,SUMIFS(Quarterly!C:C,Quarterly!B:B,"&gt;="&amp;A470-88,Quarterly!B:B,"&lt;="&amp;A470),SUMIFS(Quarterly!C:C,Quarterly!B:B,"&gt;="&amp;A470-92,Quarterly!B:B,"&lt;="&amp;A470)))</f>
        <v>14340.4</v>
      </c>
      <c r="K470" s="13">
        <f t="shared" si="267"/>
        <v>7.1800000000000003E-2</v>
      </c>
      <c r="L470">
        <f t="shared" si="255"/>
        <v>1028.93</v>
      </c>
      <c r="M470">
        <f>IF(A470&gt;=Quarterly!B$2,Quarterly!D$2,IF(COUNTIFS(Quarterly!B:B,"&gt;="&amp;A470-92,Quarterly!B:B,"&lt;="&amp;A470)&gt;1,SUMIFS(Quarterly!D:D,Quarterly!B:B,"&gt;="&amp;A470-88,Quarterly!B:B,"&lt;="&amp;A470),SUMIFS(Quarterly!D:D,Quarterly!B:B,"&gt;="&amp;A470-92,Quarterly!B:B,"&lt;="&amp;A470)))</f>
        <v>1120.6179999999999</v>
      </c>
      <c r="N470" s="13">
        <f t="shared" si="256"/>
        <v>9.1820000000000013E-2</v>
      </c>
      <c r="O470">
        <f t="shared" si="258"/>
        <v>1028.93</v>
      </c>
      <c r="P470" s="56">
        <f>VLOOKUP(EOMONTH(A470,-1),Economic!A:I,7,FALSE)</f>
        <v>956738</v>
      </c>
      <c r="Q470" s="13">
        <f t="shared" si="259"/>
        <v>0.1075</v>
      </c>
      <c r="R470" s="41">
        <v>2.4500000000000002</v>
      </c>
      <c r="S470">
        <f t="shared" si="260"/>
        <v>1.34</v>
      </c>
      <c r="T470" s="30">
        <f t="shared" si="261"/>
        <v>225.96</v>
      </c>
      <c r="U470" s="30">
        <f t="shared" si="268"/>
        <v>226.44</v>
      </c>
    </row>
    <row r="471" spans="1:21" ht="15" customHeight="1" x14ac:dyDescent="0.25">
      <c r="A471" s="5">
        <v>40048</v>
      </c>
      <c r="B471" s="5">
        <f t="shared" si="262"/>
        <v>40056</v>
      </c>
      <c r="C471">
        <v>1026.1300000000001</v>
      </c>
      <c r="D471" s="29">
        <f t="shared" si="263"/>
        <v>3.09E-2</v>
      </c>
      <c r="E471" s="39">
        <f t="shared" si="264"/>
        <v>951.45692307692298</v>
      </c>
      <c r="F471" s="39">
        <f t="shared" si="265"/>
        <v>880.72487179487166</v>
      </c>
      <c r="G471" s="29">
        <f t="shared" si="257"/>
        <v>7.85E-2</v>
      </c>
      <c r="H471" s="29">
        <f t="shared" si="257"/>
        <v>0.1651</v>
      </c>
      <c r="I471">
        <f t="shared" si="266"/>
        <v>1026.1300000000001</v>
      </c>
      <c r="J471">
        <f>IF(A471&gt;=Quarterly!B$2,Quarterly!C$2,IF(COUNTIFS(Quarterly!B:B,"&gt;="&amp;A471-92,Quarterly!B:B,"&lt;="&amp;A471)&gt;1,SUMIFS(Quarterly!C:C,Quarterly!B:B,"&gt;="&amp;A471-88,Quarterly!B:B,"&lt;="&amp;A471),SUMIFS(Quarterly!C:C,Quarterly!B:B,"&gt;="&amp;A471-92,Quarterly!B:B,"&lt;="&amp;A471)))</f>
        <v>14340.4</v>
      </c>
      <c r="K471" s="13">
        <f t="shared" si="267"/>
        <v>7.1599999999999997E-2</v>
      </c>
      <c r="L471">
        <f t="shared" ref="L471:L534" si="269">C471</f>
        <v>1026.1300000000001</v>
      </c>
      <c r="M471">
        <f>IF(A471&gt;=Quarterly!B$2,Quarterly!D$2,IF(COUNTIFS(Quarterly!B:B,"&gt;="&amp;A471-92,Quarterly!B:B,"&lt;="&amp;A471)&gt;1,SUMIFS(Quarterly!D:D,Quarterly!B:B,"&gt;="&amp;A471-88,Quarterly!B:B,"&lt;="&amp;A471),SUMIFS(Quarterly!D:D,Quarterly!B:B,"&gt;="&amp;A471-92,Quarterly!B:B,"&lt;="&amp;A471)))</f>
        <v>1120.6179999999999</v>
      </c>
      <c r="N471" s="13">
        <f t="shared" ref="N471:N534" si="270">ROUND(L471/M471,4)*0.1</f>
        <v>9.1569999999999999E-2</v>
      </c>
      <c r="O471">
        <f t="shared" si="258"/>
        <v>1026.1300000000001</v>
      </c>
      <c r="P471" s="56">
        <f>VLOOKUP(EOMONTH(A471,-1),Economic!A:I,7,FALSE)</f>
        <v>956738</v>
      </c>
      <c r="Q471" s="13">
        <f t="shared" si="259"/>
        <v>0.10729999999999999</v>
      </c>
      <c r="R471" s="41">
        <v>2.4300000000000002</v>
      </c>
      <c r="S471">
        <f t="shared" si="260"/>
        <v>1.28</v>
      </c>
      <c r="T471" s="30">
        <f t="shared" si="261"/>
        <v>226.32</v>
      </c>
      <c r="U471" s="30">
        <f t="shared" si="268"/>
        <v>231.09</v>
      </c>
    </row>
    <row r="472" spans="1:21" ht="15" customHeight="1" x14ac:dyDescent="0.25">
      <c r="A472" s="5">
        <v>40041</v>
      </c>
      <c r="B472" s="5">
        <f t="shared" si="262"/>
        <v>40056</v>
      </c>
      <c r="C472">
        <v>1004.09</v>
      </c>
      <c r="D472" s="29">
        <f t="shared" si="263"/>
        <v>2.52E-2</v>
      </c>
      <c r="E472" s="39">
        <f t="shared" si="264"/>
        <v>940.75461538461548</v>
      </c>
      <c r="F472" s="39">
        <f t="shared" si="265"/>
        <v>874.92743589743588</v>
      </c>
      <c r="G472" s="29">
        <f t="shared" si="257"/>
        <v>6.7299999999999999E-2</v>
      </c>
      <c r="H472" s="29">
        <f t="shared" si="257"/>
        <v>0.14760000000000001</v>
      </c>
      <c r="I472">
        <f t="shared" si="266"/>
        <v>1004.09</v>
      </c>
      <c r="J472">
        <f>IF(A472&gt;=Quarterly!B$2,Quarterly!C$2,IF(COUNTIFS(Quarterly!B:B,"&gt;="&amp;A472-92,Quarterly!B:B,"&lt;="&amp;A472)&gt;1,SUMIFS(Quarterly!C:C,Quarterly!B:B,"&gt;="&amp;A472-88,Quarterly!B:B,"&lt;="&amp;A472),SUMIFS(Quarterly!C:C,Quarterly!B:B,"&gt;="&amp;A472-92,Quarterly!B:B,"&lt;="&amp;A472)))</f>
        <v>14340.4</v>
      </c>
      <c r="K472" s="13">
        <f t="shared" si="267"/>
        <v>7.0000000000000007E-2</v>
      </c>
      <c r="L472">
        <f t="shared" si="269"/>
        <v>1004.09</v>
      </c>
      <c r="M472">
        <f>IF(A472&gt;=Quarterly!B$2,Quarterly!D$2,IF(COUNTIFS(Quarterly!B:B,"&gt;="&amp;A472-92,Quarterly!B:B,"&lt;="&amp;A472)&gt;1,SUMIFS(Quarterly!D:D,Quarterly!B:B,"&gt;="&amp;A472-88,Quarterly!B:B,"&lt;="&amp;A472),SUMIFS(Quarterly!D:D,Quarterly!B:B,"&gt;="&amp;A472-92,Quarterly!B:B,"&lt;="&amp;A472)))</f>
        <v>1120.6179999999999</v>
      </c>
      <c r="N472" s="13">
        <f t="shared" si="270"/>
        <v>8.9600000000000013E-2</v>
      </c>
      <c r="O472">
        <f t="shared" si="258"/>
        <v>1004.09</v>
      </c>
      <c r="P472" s="56">
        <f>VLOOKUP(EOMONTH(A472,-1),Economic!A:I,7,FALSE)</f>
        <v>956738</v>
      </c>
      <c r="Q472" s="13">
        <f t="shared" si="259"/>
        <v>0.10490000000000001</v>
      </c>
      <c r="R472" s="41">
        <v>2.48</v>
      </c>
      <c r="S472">
        <f t="shared" si="260"/>
        <v>1.22</v>
      </c>
      <c r="T472" s="30">
        <f t="shared" si="261"/>
        <v>227.04</v>
      </c>
      <c r="U472" s="30">
        <f t="shared" si="268"/>
        <v>234.58</v>
      </c>
    </row>
    <row r="473" spans="1:21" ht="15" customHeight="1" x14ac:dyDescent="0.25">
      <c r="A473" s="5">
        <v>40034</v>
      </c>
      <c r="B473" s="5">
        <f t="shared" si="262"/>
        <v>40056</v>
      </c>
      <c r="C473">
        <v>1010.48</v>
      </c>
      <c r="D473" s="29">
        <f t="shared" si="263"/>
        <v>6.7500000000000004E-2</v>
      </c>
      <c r="E473" s="39">
        <f t="shared" si="264"/>
        <v>931.43076923076922</v>
      </c>
      <c r="F473" s="39">
        <f t="shared" si="265"/>
        <v>871.57358974358976</v>
      </c>
      <c r="G473" s="29">
        <f t="shared" si="257"/>
        <v>8.4900000000000003E-2</v>
      </c>
      <c r="H473" s="29">
        <f t="shared" si="257"/>
        <v>0.15939999999999999</v>
      </c>
      <c r="I473">
        <f t="shared" si="266"/>
        <v>1010.48</v>
      </c>
      <c r="J473">
        <f>IF(A473&gt;=Quarterly!B$2,Quarterly!C$2,IF(COUNTIFS(Quarterly!B:B,"&gt;="&amp;A473-92,Quarterly!B:B,"&lt;="&amp;A473)&gt;1,SUMIFS(Quarterly!C:C,Quarterly!B:B,"&gt;="&amp;A473-88,Quarterly!B:B,"&lt;="&amp;A473),SUMIFS(Quarterly!C:C,Quarterly!B:B,"&gt;="&amp;A473-92,Quarterly!B:B,"&lt;="&amp;A473)))</f>
        <v>14340.4</v>
      </c>
      <c r="K473" s="13">
        <f t="shared" si="267"/>
        <v>7.0499999999999993E-2</v>
      </c>
      <c r="L473">
        <f t="shared" si="269"/>
        <v>1010.48</v>
      </c>
      <c r="M473">
        <f>IF(A473&gt;=Quarterly!B$2,Quarterly!D$2,IF(COUNTIFS(Quarterly!B:B,"&gt;="&amp;A473-92,Quarterly!B:B,"&lt;="&amp;A473)&gt;1,SUMIFS(Quarterly!D:D,Quarterly!B:B,"&gt;="&amp;A473-88,Quarterly!B:B,"&lt;="&amp;A473),SUMIFS(Quarterly!D:D,Quarterly!B:B,"&gt;="&amp;A473-92,Quarterly!B:B,"&lt;="&amp;A473)))</f>
        <v>1120.6179999999999</v>
      </c>
      <c r="N473" s="13">
        <f t="shared" si="270"/>
        <v>9.017E-2</v>
      </c>
      <c r="O473">
        <f t="shared" si="258"/>
        <v>1010.48</v>
      </c>
      <c r="P473" s="56">
        <f>VLOOKUP(EOMONTH(A473,-1),Economic!A:I,7,FALSE)</f>
        <v>956738</v>
      </c>
      <c r="Q473" s="13">
        <f t="shared" si="259"/>
        <v>0.10560000000000001</v>
      </c>
      <c r="R473" s="41">
        <v>2.57</v>
      </c>
      <c r="S473">
        <f t="shared" si="260"/>
        <v>1.54</v>
      </c>
      <c r="T473" s="30">
        <f t="shared" si="261"/>
        <v>239.91</v>
      </c>
      <c r="U473" s="30">
        <f t="shared" si="268"/>
        <v>238.17</v>
      </c>
    </row>
    <row r="474" spans="1:21" ht="15" customHeight="1" x14ac:dyDescent="0.25">
      <c r="A474" s="5">
        <v>40027</v>
      </c>
      <c r="B474" s="5">
        <f t="shared" si="262"/>
        <v>40056</v>
      </c>
      <c r="C474">
        <v>987.48</v>
      </c>
      <c r="D474" s="29">
        <f t="shared" si="263"/>
        <v>6.8900000000000003E-2</v>
      </c>
      <c r="E474" s="39">
        <f t="shared" si="264"/>
        <v>925.18076923076899</v>
      </c>
      <c r="F474" s="39">
        <f t="shared" si="265"/>
        <v>869.53538461538437</v>
      </c>
      <c r="G474" s="29">
        <f t="shared" si="257"/>
        <v>6.7299999999999999E-2</v>
      </c>
      <c r="H474" s="29">
        <f t="shared" si="257"/>
        <v>0.1356</v>
      </c>
      <c r="I474">
        <f t="shared" si="266"/>
        <v>987.48</v>
      </c>
      <c r="J474">
        <f>IF(A474&gt;=Quarterly!B$2,Quarterly!C$2,IF(COUNTIFS(Quarterly!B:B,"&gt;="&amp;A474-92,Quarterly!B:B,"&lt;="&amp;A474)&gt;1,SUMIFS(Quarterly!C:C,Quarterly!B:B,"&gt;="&amp;A474-88,Quarterly!B:B,"&lt;="&amp;A474),SUMIFS(Quarterly!C:C,Quarterly!B:B,"&gt;="&amp;A474-92,Quarterly!B:B,"&lt;="&amp;A474)))</f>
        <v>14340.4</v>
      </c>
      <c r="K474" s="13">
        <f t="shared" si="267"/>
        <v>6.8900000000000003E-2</v>
      </c>
      <c r="L474">
        <f t="shared" si="269"/>
        <v>987.48</v>
      </c>
      <c r="M474">
        <f>IF(A474&gt;=Quarterly!B$2,Quarterly!D$2,IF(COUNTIFS(Quarterly!B:B,"&gt;="&amp;A474-92,Quarterly!B:B,"&lt;="&amp;A474)&gt;1,SUMIFS(Quarterly!D:D,Quarterly!B:B,"&gt;="&amp;A474-88,Quarterly!B:B,"&lt;="&amp;A474),SUMIFS(Quarterly!D:D,Quarterly!B:B,"&gt;="&amp;A474-92,Quarterly!B:B,"&lt;="&amp;A474)))</f>
        <v>1120.6179999999999</v>
      </c>
      <c r="N474" s="13">
        <f t="shared" si="270"/>
        <v>8.8120000000000004E-2</v>
      </c>
      <c r="O474">
        <f t="shared" si="258"/>
        <v>987.48</v>
      </c>
      <c r="P474" s="56">
        <f>VLOOKUP(EOMONTH(A474,-1),Economic!A:I,7,FALSE)</f>
        <v>956738</v>
      </c>
      <c r="Q474" s="13">
        <f t="shared" si="259"/>
        <v>0.10319999999999999</v>
      </c>
      <c r="R474" s="41">
        <v>2.39</v>
      </c>
      <c r="S474">
        <f t="shared" si="260"/>
        <v>1.4</v>
      </c>
      <c r="T474" s="30">
        <f t="shared" si="261"/>
        <v>236.8</v>
      </c>
      <c r="U474" s="30">
        <f t="shared" si="268"/>
        <v>237.91</v>
      </c>
    </row>
    <row r="475" spans="1:21" ht="15" customHeight="1" x14ac:dyDescent="0.25">
      <c r="A475" s="5">
        <v>40020</v>
      </c>
      <c r="B475" s="5">
        <f t="shared" si="262"/>
        <v>40025</v>
      </c>
      <c r="C475">
        <v>979.26</v>
      </c>
      <c r="D475" s="29">
        <f t="shared" si="263"/>
        <v>7.7600000000000002E-2</v>
      </c>
      <c r="E475" s="39">
        <f t="shared" si="264"/>
        <v>916.7223076923076</v>
      </c>
      <c r="F475" s="39">
        <f t="shared" si="265"/>
        <v>869.05512820512809</v>
      </c>
      <c r="G475" s="29">
        <f t="shared" si="257"/>
        <v>6.8199999999999997E-2</v>
      </c>
      <c r="H475" s="29">
        <f t="shared" si="257"/>
        <v>0.1268</v>
      </c>
      <c r="I475">
        <f t="shared" si="266"/>
        <v>979.26</v>
      </c>
      <c r="J475">
        <f>IF(A475&gt;=Quarterly!B$2,Quarterly!C$2,IF(COUNTIFS(Quarterly!B:B,"&gt;="&amp;A475-92,Quarterly!B:B,"&lt;="&amp;A475)&gt;1,SUMIFS(Quarterly!C:C,Quarterly!B:B,"&gt;="&amp;A475-88,Quarterly!B:B,"&lt;="&amp;A475),SUMIFS(Quarterly!C:C,Quarterly!B:B,"&gt;="&amp;A475-92,Quarterly!B:B,"&lt;="&amp;A475)))</f>
        <v>14383.9</v>
      </c>
      <c r="K475" s="13">
        <f t="shared" si="267"/>
        <v>6.8099999999999994E-2</v>
      </c>
      <c r="L475">
        <f t="shared" si="269"/>
        <v>979.26</v>
      </c>
      <c r="M475">
        <f>IF(A475&gt;=Quarterly!B$2,Quarterly!D$2,IF(COUNTIFS(Quarterly!B:B,"&gt;="&amp;A475-92,Quarterly!B:B,"&lt;="&amp;A475)&gt;1,SUMIFS(Quarterly!D:D,Quarterly!B:B,"&gt;="&amp;A475-88,Quarterly!B:B,"&lt;="&amp;A475),SUMIFS(Quarterly!D:D,Quarterly!B:B,"&gt;="&amp;A475-92,Quarterly!B:B,"&lt;="&amp;A475)))</f>
        <v>1044.2560000000001</v>
      </c>
      <c r="N475" s="13">
        <f t="shared" si="270"/>
        <v>9.3780000000000002E-2</v>
      </c>
      <c r="O475">
        <f t="shared" si="258"/>
        <v>979.26</v>
      </c>
      <c r="P475" s="56">
        <f>VLOOKUP(EOMONTH(A475,-1),Economic!A:I,7,FALSE)</f>
        <v>964125</v>
      </c>
      <c r="Q475" s="13">
        <f t="shared" si="259"/>
        <v>0.1016</v>
      </c>
      <c r="R475" s="41">
        <v>2.65</v>
      </c>
      <c r="S475">
        <f t="shared" si="260"/>
        <v>1.39</v>
      </c>
      <c r="T475" s="30">
        <f t="shared" si="261"/>
        <v>237.79</v>
      </c>
      <c r="U475" s="30">
        <f t="shared" si="268"/>
        <v>240.29</v>
      </c>
    </row>
    <row r="476" spans="1:21" ht="15" customHeight="1" x14ac:dyDescent="0.25">
      <c r="A476" s="5">
        <v>40013</v>
      </c>
      <c r="B476" s="5">
        <f t="shared" si="262"/>
        <v>40025</v>
      </c>
      <c r="C476">
        <v>940.38</v>
      </c>
      <c r="D476" s="29">
        <f t="shared" si="263"/>
        <v>4.0300000000000002E-2</v>
      </c>
      <c r="E476" s="39">
        <f t="shared" si="264"/>
        <v>908.02769230769218</v>
      </c>
      <c r="F476" s="39">
        <f t="shared" si="265"/>
        <v>866.42717948717939</v>
      </c>
      <c r="G476" s="29">
        <f t="shared" si="257"/>
        <v>3.56E-2</v>
      </c>
      <c r="H476" s="29">
        <f t="shared" si="257"/>
        <v>8.5400000000000004E-2</v>
      </c>
      <c r="I476">
        <f t="shared" si="266"/>
        <v>940.38</v>
      </c>
      <c r="J476">
        <f>IF(A476&gt;=Quarterly!B$2,Quarterly!C$2,IF(COUNTIFS(Quarterly!B:B,"&gt;="&amp;A476-92,Quarterly!B:B,"&lt;="&amp;A476)&gt;1,SUMIFS(Quarterly!C:C,Quarterly!B:B,"&gt;="&amp;A476-88,Quarterly!B:B,"&lt;="&amp;A476),SUMIFS(Quarterly!C:C,Quarterly!B:B,"&gt;="&amp;A476-92,Quarterly!B:B,"&lt;="&amp;A476)))</f>
        <v>14383.9</v>
      </c>
      <c r="K476" s="13">
        <f t="shared" si="267"/>
        <v>6.54E-2</v>
      </c>
      <c r="L476">
        <f t="shared" si="269"/>
        <v>940.38</v>
      </c>
      <c r="M476">
        <f>IF(A476&gt;=Quarterly!B$2,Quarterly!D$2,IF(COUNTIFS(Quarterly!B:B,"&gt;="&amp;A476-92,Quarterly!B:B,"&lt;="&amp;A476)&gt;1,SUMIFS(Quarterly!D:D,Quarterly!B:B,"&gt;="&amp;A476-88,Quarterly!B:B,"&lt;="&amp;A476),SUMIFS(Quarterly!D:D,Quarterly!B:B,"&gt;="&amp;A476-92,Quarterly!B:B,"&lt;="&amp;A476)))</f>
        <v>1044.2560000000001</v>
      </c>
      <c r="N476" s="13">
        <f t="shared" si="270"/>
        <v>9.0050000000000005E-2</v>
      </c>
      <c r="O476">
        <f t="shared" si="258"/>
        <v>940.38</v>
      </c>
      <c r="P476" s="56">
        <f>VLOOKUP(EOMONTH(A476,-1),Economic!A:I,7,FALSE)</f>
        <v>964125</v>
      </c>
      <c r="Q476" s="13">
        <f t="shared" si="259"/>
        <v>9.7499999999999989E-2</v>
      </c>
      <c r="R476" s="41">
        <v>2.65</v>
      </c>
      <c r="S476">
        <f t="shared" si="260"/>
        <v>1.38</v>
      </c>
      <c r="T476" s="30">
        <f t="shared" si="261"/>
        <v>239.15</v>
      </c>
      <c r="U476" s="30">
        <f t="shared" si="268"/>
        <v>241.62</v>
      </c>
    </row>
    <row r="477" spans="1:21" ht="15" customHeight="1" x14ac:dyDescent="0.25">
      <c r="A477" s="5">
        <v>40006</v>
      </c>
      <c r="B477" s="5">
        <f t="shared" si="262"/>
        <v>40025</v>
      </c>
      <c r="C477">
        <v>879.13</v>
      </c>
      <c r="D477" s="29">
        <f t="shared" si="263"/>
        <v>-4.5100000000000001E-2</v>
      </c>
      <c r="E477" s="39">
        <f t="shared" si="264"/>
        <v>902.58307692307687</v>
      </c>
      <c r="F477" s="39">
        <f t="shared" si="265"/>
        <v>866.43153846153848</v>
      </c>
      <c r="G477" s="29">
        <f t="shared" si="257"/>
        <v>-2.5999999999999999E-2</v>
      </c>
      <c r="H477" s="29">
        <f t="shared" si="257"/>
        <v>1.47E-2</v>
      </c>
      <c r="I477">
        <f t="shared" si="266"/>
        <v>879.13</v>
      </c>
      <c r="J477">
        <f>IF(A477&gt;=Quarterly!B$2,Quarterly!C$2,IF(COUNTIFS(Quarterly!B:B,"&gt;="&amp;A477-92,Quarterly!B:B,"&lt;="&amp;A477)&gt;1,SUMIFS(Quarterly!C:C,Quarterly!B:B,"&gt;="&amp;A477-88,Quarterly!B:B,"&lt;="&amp;A477),SUMIFS(Quarterly!C:C,Quarterly!B:B,"&gt;="&amp;A477-92,Quarterly!B:B,"&lt;="&amp;A477)))</f>
        <v>14383.9</v>
      </c>
      <c r="K477" s="13">
        <f t="shared" si="267"/>
        <v>6.1100000000000002E-2</v>
      </c>
      <c r="L477">
        <f t="shared" si="269"/>
        <v>879.13</v>
      </c>
      <c r="M477">
        <f>IF(A477&gt;=Quarterly!B$2,Quarterly!D$2,IF(COUNTIFS(Quarterly!B:B,"&gt;="&amp;A477-92,Quarterly!B:B,"&lt;="&amp;A477)&gt;1,SUMIFS(Quarterly!D:D,Quarterly!B:B,"&gt;="&amp;A477-88,Quarterly!B:B,"&lt;="&amp;A477),SUMIFS(Quarterly!D:D,Quarterly!B:B,"&gt;="&amp;A477-92,Quarterly!B:B,"&lt;="&amp;A477)))</f>
        <v>1044.2560000000001</v>
      </c>
      <c r="N477" s="13">
        <f t="shared" si="270"/>
        <v>8.4190000000000001E-2</v>
      </c>
      <c r="O477">
        <f t="shared" si="258"/>
        <v>879.13</v>
      </c>
      <c r="P477" s="56">
        <f>VLOOKUP(EOMONTH(A477,-1),Economic!A:I,7,FALSE)</f>
        <v>964125</v>
      </c>
      <c r="Q477" s="13">
        <f t="shared" si="259"/>
        <v>9.1200000000000003E-2</v>
      </c>
      <c r="R477" s="41">
        <v>2.41</v>
      </c>
      <c r="S477">
        <f t="shared" si="260"/>
        <v>1.52</v>
      </c>
      <c r="T477" s="30">
        <f t="shared" si="261"/>
        <v>243.94</v>
      </c>
      <c r="U477" s="30">
        <f t="shared" si="268"/>
        <v>243.83</v>
      </c>
    </row>
    <row r="478" spans="1:21" ht="15" customHeight="1" x14ac:dyDescent="0.25">
      <c r="A478" s="5">
        <v>39999</v>
      </c>
      <c r="B478" s="5">
        <f t="shared" si="262"/>
        <v>40025</v>
      </c>
      <c r="C478">
        <v>896.42</v>
      </c>
      <c r="D478" s="29">
        <f t="shared" si="263"/>
        <v>-3.78E-2</v>
      </c>
      <c r="E478" s="39">
        <f t="shared" si="264"/>
        <v>900.84692307692308</v>
      </c>
      <c r="F478" s="39">
        <f t="shared" si="265"/>
        <v>866.94666666666683</v>
      </c>
      <c r="G478" s="29">
        <f t="shared" si="257"/>
        <v>-4.8999999999999998E-3</v>
      </c>
      <c r="H478" s="29">
        <f t="shared" si="257"/>
        <v>3.4000000000000002E-2</v>
      </c>
      <c r="I478">
        <f t="shared" si="266"/>
        <v>896.42</v>
      </c>
      <c r="J478">
        <f>IF(A478&gt;=Quarterly!B$2,Quarterly!C$2,IF(COUNTIFS(Quarterly!B:B,"&gt;="&amp;A478-92,Quarterly!B:B,"&lt;="&amp;A478)&gt;1,SUMIFS(Quarterly!C:C,Quarterly!B:B,"&gt;="&amp;A478-88,Quarterly!B:B,"&lt;="&amp;A478),SUMIFS(Quarterly!C:C,Quarterly!B:B,"&gt;="&amp;A478-92,Quarterly!B:B,"&lt;="&amp;A478)))</f>
        <v>14383.9</v>
      </c>
      <c r="K478" s="13">
        <f t="shared" si="267"/>
        <v>6.2300000000000001E-2</v>
      </c>
      <c r="L478">
        <f t="shared" si="269"/>
        <v>896.42</v>
      </c>
      <c r="M478">
        <f>IF(A478&gt;=Quarterly!B$2,Quarterly!D$2,IF(COUNTIFS(Quarterly!B:B,"&gt;="&amp;A478-92,Quarterly!B:B,"&lt;="&amp;A478)&gt;1,SUMIFS(Quarterly!D:D,Quarterly!B:B,"&gt;="&amp;A478-88,Quarterly!B:B,"&lt;="&amp;A478),SUMIFS(Quarterly!D:D,Quarterly!B:B,"&gt;="&amp;A478-92,Quarterly!B:B,"&lt;="&amp;A478)))</f>
        <v>1044.2560000000001</v>
      </c>
      <c r="N478" s="13">
        <f t="shared" si="270"/>
        <v>8.5840000000000014E-2</v>
      </c>
      <c r="O478">
        <f t="shared" si="258"/>
        <v>896.42</v>
      </c>
      <c r="P478" s="56">
        <f>VLOOKUP(EOMONTH(A478,-1),Economic!A:I,7,FALSE)</f>
        <v>964125</v>
      </c>
      <c r="Q478" s="13">
        <f t="shared" si="259"/>
        <v>9.2999999999999999E-2</v>
      </c>
      <c r="R478" s="41">
        <v>2.5299999999999998</v>
      </c>
      <c r="S478">
        <f t="shared" si="260"/>
        <v>1.42</v>
      </c>
      <c r="T478" s="30">
        <f t="shared" si="261"/>
        <v>241.78</v>
      </c>
      <c r="U478" s="30">
        <f t="shared" si="268"/>
        <v>246.78</v>
      </c>
    </row>
    <row r="479" spans="1:21" ht="15" customHeight="1" x14ac:dyDescent="0.25">
      <c r="A479" s="5">
        <v>39992</v>
      </c>
      <c r="B479" s="5">
        <f t="shared" si="262"/>
        <v>39994</v>
      </c>
      <c r="C479">
        <v>918.9</v>
      </c>
      <c r="D479" s="29">
        <f t="shared" si="263"/>
        <v>-1.37E-2</v>
      </c>
      <c r="E479" s="39">
        <f t="shared" si="264"/>
        <v>896.69923076923078</v>
      </c>
      <c r="F479" s="39">
        <f t="shared" si="265"/>
        <v>872.14692307692292</v>
      </c>
      <c r="G479" s="29">
        <f t="shared" si="257"/>
        <v>2.4799999999999999E-2</v>
      </c>
      <c r="H479" s="29">
        <f t="shared" si="257"/>
        <v>5.3600000000000002E-2</v>
      </c>
      <c r="I479">
        <f t="shared" si="266"/>
        <v>918.9</v>
      </c>
      <c r="J479">
        <f>IF(A479&gt;=Quarterly!B$2,Quarterly!C$2,IF(COUNTIFS(Quarterly!B:B,"&gt;="&amp;A479-92,Quarterly!B:B,"&lt;="&amp;A479)&gt;1,SUMIFS(Quarterly!C:C,Quarterly!B:B,"&gt;="&amp;A479-88,Quarterly!B:B,"&lt;="&amp;A479),SUMIFS(Quarterly!C:C,Quarterly!B:B,"&gt;="&amp;A479-92,Quarterly!B:B,"&lt;="&amp;A479)))</f>
        <v>14383.9</v>
      </c>
      <c r="K479" s="13">
        <f t="shared" si="267"/>
        <v>6.3899999999999998E-2</v>
      </c>
      <c r="L479">
        <f t="shared" si="269"/>
        <v>918.9</v>
      </c>
      <c r="M479">
        <f>IF(A479&gt;=Quarterly!B$2,Quarterly!D$2,IF(COUNTIFS(Quarterly!B:B,"&gt;="&amp;A479-92,Quarterly!B:B,"&lt;="&amp;A479)&gt;1,SUMIFS(Quarterly!D:D,Quarterly!B:B,"&gt;="&amp;A479-88,Quarterly!B:B,"&lt;="&amp;A479),SUMIFS(Quarterly!D:D,Quarterly!B:B,"&gt;="&amp;A479-92,Quarterly!B:B,"&lt;="&amp;A479)))</f>
        <v>1044.2560000000001</v>
      </c>
      <c r="N479" s="13">
        <f t="shared" si="270"/>
        <v>8.8000000000000009E-2</v>
      </c>
      <c r="O479">
        <f t="shared" si="258"/>
        <v>918.9</v>
      </c>
      <c r="P479" s="56">
        <f>VLOOKUP(EOMONTH(A479,-1),Economic!A:I,7,FALSE)</f>
        <v>972436</v>
      </c>
      <c r="Q479" s="13">
        <f t="shared" si="259"/>
        <v>9.4500000000000001E-2</v>
      </c>
      <c r="R479" s="41">
        <v>2.42</v>
      </c>
      <c r="S479">
        <f t="shared" si="260"/>
        <v>1.47</v>
      </c>
      <c r="T479" s="30">
        <f t="shared" si="261"/>
        <v>245.77</v>
      </c>
      <c r="U479" s="30">
        <f t="shared" si="268"/>
        <v>253.87</v>
      </c>
    </row>
    <row r="480" spans="1:21" ht="15" customHeight="1" x14ac:dyDescent="0.25">
      <c r="A480" s="5">
        <v>39985</v>
      </c>
      <c r="B480" s="5">
        <f t="shared" si="262"/>
        <v>39994</v>
      </c>
      <c r="C480">
        <v>921.23</v>
      </c>
      <c r="D480" s="29">
        <f t="shared" si="263"/>
        <v>-2E-3</v>
      </c>
      <c r="E480" s="39">
        <f t="shared" si="264"/>
        <v>888.77923076923082</v>
      </c>
      <c r="F480" s="39">
        <f t="shared" si="265"/>
        <v>879.6948717948718</v>
      </c>
      <c r="G480" s="29">
        <f t="shared" si="257"/>
        <v>3.6499999999999998E-2</v>
      </c>
      <c r="H480" s="29">
        <f t="shared" si="257"/>
        <v>4.7199999999999999E-2</v>
      </c>
      <c r="I480">
        <f t="shared" si="266"/>
        <v>921.23</v>
      </c>
      <c r="J480">
        <f>IF(A480&gt;=Quarterly!B$2,Quarterly!C$2,IF(COUNTIFS(Quarterly!B:B,"&gt;="&amp;A480-92,Quarterly!B:B,"&lt;="&amp;A480)&gt;1,SUMIFS(Quarterly!C:C,Quarterly!B:B,"&gt;="&amp;A480-88,Quarterly!B:B,"&lt;="&amp;A480),SUMIFS(Quarterly!C:C,Quarterly!B:B,"&gt;="&amp;A480-92,Quarterly!B:B,"&lt;="&amp;A480)))</f>
        <v>14383.9</v>
      </c>
      <c r="K480" s="13">
        <f t="shared" si="267"/>
        <v>6.4000000000000001E-2</v>
      </c>
      <c r="L480">
        <f t="shared" si="269"/>
        <v>921.23</v>
      </c>
      <c r="M480">
        <f>IF(A480&gt;=Quarterly!B$2,Quarterly!D$2,IF(COUNTIFS(Quarterly!B:B,"&gt;="&amp;A480-92,Quarterly!B:B,"&lt;="&amp;A480)&gt;1,SUMIFS(Quarterly!D:D,Quarterly!B:B,"&gt;="&amp;A480-88,Quarterly!B:B,"&lt;="&amp;A480),SUMIFS(Quarterly!D:D,Quarterly!B:B,"&gt;="&amp;A480-92,Quarterly!B:B,"&lt;="&amp;A480)))</f>
        <v>1044.2560000000001</v>
      </c>
      <c r="N480" s="13">
        <f t="shared" si="270"/>
        <v>8.8220000000000007E-2</v>
      </c>
      <c r="O480">
        <f t="shared" si="258"/>
        <v>921.23</v>
      </c>
      <c r="P480" s="56">
        <f>VLOOKUP(EOMONTH(A480,-1),Economic!A:I,7,FALSE)</f>
        <v>972436</v>
      </c>
      <c r="Q480" s="13">
        <f t="shared" si="259"/>
        <v>9.4700000000000006E-2</v>
      </c>
      <c r="R480" s="41">
        <v>2.54</v>
      </c>
      <c r="S480">
        <f t="shared" si="260"/>
        <v>1.58</v>
      </c>
      <c r="T480" s="30">
        <f t="shared" si="261"/>
        <v>252.78</v>
      </c>
      <c r="U480" s="30">
        <f t="shared" si="268"/>
        <v>260.82</v>
      </c>
    </row>
    <row r="481" spans="1:21" ht="15" customHeight="1" x14ac:dyDescent="0.25">
      <c r="A481" s="5">
        <v>39978</v>
      </c>
      <c r="B481" s="5">
        <f t="shared" si="262"/>
        <v>39994</v>
      </c>
      <c r="C481">
        <v>946.21</v>
      </c>
      <c r="D481" s="29">
        <f t="shared" si="263"/>
        <v>4.2900000000000001E-2</v>
      </c>
      <c r="E481" s="39">
        <f t="shared" si="264"/>
        <v>877.03384615384607</v>
      </c>
      <c r="F481" s="39">
        <f t="shared" si="265"/>
        <v>888.25512820512813</v>
      </c>
      <c r="G481" s="29">
        <f t="shared" si="257"/>
        <v>7.8899999999999998E-2</v>
      </c>
      <c r="H481" s="29">
        <f t="shared" si="257"/>
        <v>6.5199999999999994E-2</v>
      </c>
      <c r="I481">
        <f t="shared" si="266"/>
        <v>946.21</v>
      </c>
      <c r="J481">
        <f>IF(A481&gt;=Quarterly!B$2,Quarterly!C$2,IF(COUNTIFS(Quarterly!B:B,"&gt;="&amp;A481-92,Quarterly!B:B,"&lt;="&amp;A481)&gt;1,SUMIFS(Quarterly!C:C,Quarterly!B:B,"&gt;="&amp;A481-88,Quarterly!B:B,"&lt;="&amp;A481),SUMIFS(Quarterly!C:C,Quarterly!B:B,"&gt;="&amp;A481-92,Quarterly!B:B,"&lt;="&amp;A481)))</f>
        <v>14383.9</v>
      </c>
      <c r="K481" s="13">
        <f t="shared" si="267"/>
        <v>6.5799999999999997E-2</v>
      </c>
      <c r="L481">
        <f t="shared" si="269"/>
        <v>946.21</v>
      </c>
      <c r="M481">
        <f>IF(A481&gt;=Quarterly!B$2,Quarterly!D$2,IF(COUNTIFS(Quarterly!B:B,"&gt;="&amp;A481-92,Quarterly!B:B,"&lt;="&amp;A481)&gt;1,SUMIFS(Quarterly!D:D,Quarterly!B:B,"&gt;="&amp;A481-88,Quarterly!B:B,"&lt;="&amp;A481),SUMIFS(Quarterly!D:D,Quarterly!B:B,"&gt;="&amp;A481-92,Quarterly!B:B,"&lt;="&amp;A481)))</f>
        <v>1044.2560000000001</v>
      </c>
      <c r="N481" s="13">
        <f t="shared" si="270"/>
        <v>9.061000000000001E-2</v>
      </c>
      <c r="O481">
        <f t="shared" si="258"/>
        <v>946.21</v>
      </c>
      <c r="P481" s="56">
        <f>VLOOKUP(EOMONTH(A481,-1),Economic!A:I,7,FALSE)</f>
        <v>972436</v>
      </c>
      <c r="Q481" s="13">
        <f t="shared" si="259"/>
        <v>9.7299999999999998E-2</v>
      </c>
      <c r="R481" s="41">
        <v>2.5099999999999998</v>
      </c>
      <c r="S481">
        <f t="shared" si="260"/>
        <v>1.73</v>
      </c>
      <c r="T481" s="30">
        <f t="shared" si="261"/>
        <v>263.05</v>
      </c>
      <c r="U481" s="30">
        <f t="shared" si="268"/>
        <v>269.17</v>
      </c>
    </row>
    <row r="482" spans="1:21" ht="15" customHeight="1" x14ac:dyDescent="0.25">
      <c r="A482" s="5">
        <v>39971</v>
      </c>
      <c r="B482" s="5">
        <f t="shared" si="262"/>
        <v>39994</v>
      </c>
      <c r="C482">
        <v>940.09</v>
      </c>
      <c r="D482" s="29">
        <f t="shared" si="263"/>
        <v>3.9300000000000002E-2</v>
      </c>
      <c r="E482" s="39">
        <f t="shared" si="264"/>
        <v>862.4446153846153</v>
      </c>
      <c r="F482" s="39">
        <f t="shared" si="265"/>
        <v>896.088205128205</v>
      </c>
      <c r="G482" s="29">
        <f t="shared" si="257"/>
        <v>0.09</v>
      </c>
      <c r="H482" s="29">
        <f t="shared" si="257"/>
        <v>4.9099999999999998E-2</v>
      </c>
      <c r="I482">
        <f t="shared" si="266"/>
        <v>940.09</v>
      </c>
      <c r="J482">
        <f>IF(A482&gt;=Quarterly!B$2,Quarterly!C$2,IF(COUNTIFS(Quarterly!B:B,"&gt;="&amp;A482-92,Quarterly!B:B,"&lt;="&amp;A482)&gt;1,SUMIFS(Quarterly!C:C,Quarterly!B:B,"&gt;="&amp;A482-88,Quarterly!B:B,"&lt;="&amp;A482),SUMIFS(Quarterly!C:C,Quarterly!B:B,"&gt;="&amp;A482-92,Quarterly!B:B,"&lt;="&amp;A482)))</f>
        <v>14383.9</v>
      </c>
      <c r="K482" s="13">
        <f t="shared" si="267"/>
        <v>6.54E-2</v>
      </c>
      <c r="L482">
        <f t="shared" si="269"/>
        <v>940.09</v>
      </c>
      <c r="M482">
        <f>IF(A482&gt;=Quarterly!B$2,Quarterly!D$2,IF(COUNTIFS(Quarterly!B:B,"&gt;="&amp;A482-92,Quarterly!B:B,"&lt;="&amp;A482)&gt;1,SUMIFS(Quarterly!D:D,Quarterly!B:B,"&gt;="&amp;A482-88,Quarterly!B:B,"&lt;="&amp;A482),SUMIFS(Quarterly!D:D,Quarterly!B:B,"&gt;="&amp;A482-92,Quarterly!B:B,"&lt;="&amp;A482)))</f>
        <v>1044.2560000000001</v>
      </c>
      <c r="N482" s="13">
        <f t="shared" si="270"/>
        <v>9.0020000000000003E-2</v>
      </c>
      <c r="O482">
        <f t="shared" si="258"/>
        <v>940.09</v>
      </c>
      <c r="P482" s="56">
        <f>VLOOKUP(EOMONTH(A482,-1),Economic!A:I,7,FALSE)</f>
        <v>972436</v>
      </c>
      <c r="Q482" s="13">
        <f t="shared" si="259"/>
        <v>9.6699999999999994E-2</v>
      </c>
      <c r="R482" s="41">
        <v>2.52</v>
      </c>
      <c r="S482">
        <f t="shared" si="260"/>
        <v>1.67</v>
      </c>
      <c r="T482" s="30">
        <f t="shared" si="261"/>
        <v>266.64</v>
      </c>
      <c r="U482" s="30">
        <f t="shared" si="268"/>
        <v>274.94</v>
      </c>
    </row>
    <row r="483" spans="1:21" ht="15" customHeight="1" x14ac:dyDescent="0.25">
      <c r="A483" s="5">
        <v>39964</v>
      </c>
      <c r="B483" s="5">
        <f t="shared" si="262"/>
        <v>39964</v>
      </c>
      <c r="C483">
        <v>919.14</v>
      </c>
      <c r="D483" s="29">
        <f t="shared" si="263"/>
        <v>2.7900000000000001E-2</v>
      </c>
      <c r="E483" s="39">
        <f t="shared" si="264"/>
        <v>842.69769230769214</v>
      </c>
      <c r="F483" s="39">
        <f t="shared" si="265"/>
        <v>903.83743589743585</v>
      </c>
      <c r="G483" s="29">
        <f t="shared" si="257"/>
        <v>9.0700000000000003E-2</v>
      </c>
      <c r="H483" s="29">
        <f t="shared" si="257"/>
        <v>1.6899999999999998E-2</v>
      </c>
      <c r="I483">
        <f t="shared" si="266"/>
        <v>919.14</v>
      </c>
      <c r="J483">
        <f>IF(A483&gt;=Quarterly!B$2,Quarterly!C$2,IF(COUNTIFS(Quarterly!B:B,"&gt;="&amp;A483-92,Quarterly!B:B,"&lt;="&amp;A483)&gt;1,SUMIFS(Quarterly!C:C,Quarterly!B:B,"&gt;="&amp;A483-88,Quarterly!B:B,"&lt;="&amp;A483),SUMIFS(Quarterly!C:C,Quarterly!B:B,"&gt;="&amp;A483-92,Quarterly!B:B,"&lt;="&amp;A483)))</f>
        <v>14383.9</v>
      </c>
      <c r="K483" s="13">
        <f t="shared" si="267"/>
        <v>6.3899999999999998E-2</v>
      </c>
      <c r="L483">
        <f t="shared" si="269"/>
        <v>919.14</v>
      </c>
      <c r="M483">
        <f>IF(A483&gt;=Quarterly!B$2,Quarterly!D$2,IF(COUNTIFS(Quarterly!B:B,"&gt;="&amp;A483-92,Quarterly!B:B,"&lt;="&amp;A483)&gt;1,SUMIFS(Quarterly!D:D,Quarterly!B:B,"&gt;="&amp;A483-88,Quarterly!B:B,"&lt;="&amp;A483),SUMIFS(Quarterly!D:D,Quarterly!B:B,"&gt;="&amp;A483-92,Quarterly!B:B,"&lt;="&amp;A483)))</f>
        <v>1044.2560000000001</v>
      </c>
      <c r="N483" s="13">
        <f t="shared" si="270"/>
        <v>8.8020000000000001E-2</v>
      </c>
      <c r="O483">
        <f t="shared" si="258"/>
        <v>919.14</v>
      </c>
      <c r="P483" s="56">
        <f>VLOOKUP(EOMONTH(A483,-1),Economic!A:I,7,FALSE)</f>
        <v>986123</v>
      </c>
      <c r="Q483" s="13">
        <f t="shared" si="259"/>
        <v>9.3200000000000005E-2</v>
      </c>
      <c r="R483" s="41">
        <v>2.5499999999999998</v>
      </c>
      <c r="S483">
        <f t="shared" si="260"/>
        <v>1.8</v>
      </c>
      <c r="T483" s="30">
        <f t="shared" si="261"/>
        <v>277.82</v>
      </c>
      <c r="U483" s="30">
        <f t="shared" si="268"/>
        <v>283.16000000000003</v>
      </c>
    </row>
    <row r="484" spans="1:21" ht="15" customHeight="1" x14ac:dyDescent="0.25">
      <c r="A484" s="5">
        <v>39957</v>
      </c>
      <c r="B484" s="5">
        <f t="shared" si="262"/>
        <v>39964</v>
      </c>
      <c r="C484">
        <v>887</v>
      </c>
      <c r="D484" s="29">
        <f t="shared" si="263"/>
        <v>-2.2000000000000001E-3</v>
      </c>
      <c r="E484" s="39">
        <f t="shared" si="264"/>
        <v>828.53999999999985</v>
      </c>
      <c r="F484" s="39">
        <f t="shared" si="265"/>
        <v>913.16282051282053</v>
      </c>
      <c r="G484" s="29">
        <f t="shared" si="257"/>
        <v>7.0599999999999996E-2</v>
      </c>
      <c r="H484" s="29">
        <f t="shared" si="257"/>
        <v>-2.87E-2</v>
      </c>
      <c r="I484">
        <f t="shared" si="266"/>
        <v>887</v>
      </c>
      <c r="J484">
        <f>IF(A484&gt;=Quarterly!B$2,Quarterly!C$2,IF(COUNTIFS(Quarterly!B:B,"&gt;="&amp;A484-92,Quarterly!B:B,"&lt;="&amp;A484)&gt;1,SUMIFS(Quarterly!C:C,Quarterly!B:B,"&gt;="&amp;A484-88,Quarterly!B:B,"&lt;="&amp;A484),SUMIFS(Quarterly!C:C,Quarterly!B:B,"&gt;="&amp;A484-92,Quarterly!B:B,"&lt;="&amp;A484)))</f>
        <v>14383.9</v>
      </c>
      <c r="K484" s="13">
        <f t="shared" si="267"/>
        <v>6.1699999999999998E-2</v>
      </c>
      <c r="L484">
        <f t="shared" si="269"/>
        <v>887</v>
      </c>
      <c r="M484">
        <f>IF(A484&gt;=Quarterly!B$2,Quarterly!D$2,IF(COUNTIFS(Quarterly!B:B,"&gt;="&amp;A484-92,Quarterly!B:B,"&lt;="&amp;A484)&gt;1,SUMIFS(Quarterly!D:D,Quarterly!B:B,"&gt;="&amp;A484-88,Quarterly!B:B,"&lt;="&amp;A484),SUMIFS(Quarterly!D:D,Quarterly!B:B,"&gt;="&amp;A484-92,Quarterly!B:B,"&lt;="&amp;A484)))</f>
        <v>1044.2560000000001</v>
      </c>
      <c r="N484" s="13">
        <f t="shared" si="270"/>
        <v>8.4940000000000015E-2</v>
      </c>
      <c r="O484">
        <f t="shared" si="258"/>
        <v>887</v>
      </c>
      <c r="P484" s="56">
        <f>VLOOKUP(EOMONTH(A484,-1),Economic!A:I,7,FALSE)</f>
        <v>986123</v>
      </c>
      <c r="Q484" s="13">
        <f t="shared" si="259"/>
        <v>8.9899999999999994E-2</v>
      </c>
      <c r="R484" s="41">
        <v>2.5299999999999998</v>
      </c>
      <c r="S484">
        <f t="shared" si="260"/>
        <v>1.75</v>
      </c>
      <c r="T484" s="30">
        <f t="shared" si="261"/>
        <v>280.35000000000002</v>
      </c>
      <c r="U484" s="30">
        <f t="shared" si="268"/>
        <v>290.14</v>
      </c>
    </row>
    <row r="485" spans="1:21" ht="15" customHeight="1" x14ac:dyDescent="0.25">
      <c r="A485" s="5">
        <v>39950</v>
      </c>
      <c r="B485" s="5">
        <f t="shared" si="262"/>
        <v>39964</v>
      </c>
      <c r="C485">
        <v>882.88</v>
      </c>
      <c r="D485" s="29">
        <f t="shared" si="263"/>
        <v>-3.0999999999999999E-3</v>
      </c>
      <c r="E485" s="39">
        <f t="shared" si="264"/>
        <v>819.54384615384618</v>
      </c>
      <c r="F485" s="39">
        <f t="shared" si="265"/>
        <v>923.55256410256413</v>
      </c>
      <c r="G485" s="29">
        <f t="shared" si="257"/>
        <v>7.7299999999999994E-2</v>
      </c>
      <c r="H485" s="29">
        <f t="shared" si="257"/>
        <v>-4.3999999999999997E-2</v>
      </c>
      <c r="I485">
        <f t="shared" si="266"/>
        <v>882.88</v>
      </c>
      <c r="J485">
        <f>IF(A485&gt;=Quarterly!B$2,Quarterly!C$2,IF(COUNTIFS(Quarterly!B:B,"&gt;="&amp;A485-92,Quarterly!B:B,"&lt;="&amp;A485)&gt;1,SUMIFS(Quarterly!C:C,Quarterly!B:B,"&gt;="&amp;A485-88,Quarterly!B:B,"&lt;="&amp;A485),SUMIFS(Quarterly!C:C,Quarterly!B:B,"&gt;="&amp;A485-92,Quarterly!B:B,"&lt;="&amp;A485)))</f>
        <v>14383.9</v>
      </c>
      <c r="K485" s="13">
        <f t="shared" si="267"/>
        <v>6.1400000000000003E-2</v>
      </c>
      <c r="L485">
        <f t="shared" si="269"/>
        <v>882.88</v>
      </c>
      <c r="M485">
        <f>IF(A485&gt;=Quarterly!B$2,Quarterly!D$2,IF(COUNTIFS(Quarterly!B:B,"&gt;="&amp;A485-92,Quarterly!B:B,"&lt;="&amp;A485)&gt;1,SUMIFS(Quarterly!D:D,Quarterly!B:B,"&gt;="&amp;A485-88,Quarterly!B:B,"&lt;="&amp;A485),SUMIFS(Quarterly!D:D,Quarterly!B:B,"&gt;="&amp;A485-92,Quarterly!B:B,"&lt;="&amp;A485)))</f>
        <v>1044.2560000000001</v>
      </c>
      <c r="N485" s="13">
        <f t="shared" si="270"/>
        <v>8.4550000000000014E-2</v>
      </c>
      <c r="O485">
        <f t="shared" si="258"/>
        <v>882.88</v>
      </c>
      <c r="P485" s="56">
        <f>VLOOKUP(EOMONTH(A485,-1),Economic!A:I,7,FALSE)</f>
        <v>986123</v>
      </c>
      <c r="Q485" s="13">
        <f t="shared" si="259"/>
        <v>8.9499999999999996E-2</v>
      </c>
      <c r="R485" s="41">
        <v>2.2599999999999998</v>
      </c>
      <c r="S485">
        <f t="shared" si="260"/>
        <v>1.97</v>
      </c>
      <c r="T485" s="30">
        <f t="shared" si="261"/>
        <v>291.31</v>
      </c>
      <c r="U485" s="30">
        <f t="shared" si="268"/>
        <v>294.39</v>
      </c>
    </row>
    <row r="486" spans="1:21" ht="15" customHeight="1" x14ac:dyDescent="0.25">
      <c r="A486" s="5">
        <v>39943</v>
      </c>
      <c r="B486" s="5">
        <f t="shared" si="262"/>
        <v>39964</v>
      </c>
      <c r="C486">
        <v>929.23</v>
      </c>
      <c r="D486" s="29">
        <f t="shared" si="263"/>
        <v>7.1199999999999999E-2</v>
      </c>
      <c r="E486" s="39">
        <f t="shared" si="264"/>
        <v>815.23307692307685</v>
      </c>
      <c r="F486" s="39">
        <f t="shared" si="265"/>
        <v>934.20179487179496</v>
      </c>
      <c r="G486" s="29">
        <f t="shared" si="257"/>
        <v>0.13980000000000001</v>
      </c>
      <c r="H486" s="29">
        <f t="shared" si="257"/>
        <v>-5.3E-3</v>
      </c>
      <c r="I486">
        <f t="shared" si="266"/>
        <v>929.23</v>
      </c>
      <c r="J486">
        <f>IF(A486&gt;=Quarterly!B$2,Quarterly!C$2,IF(COUNTIFS(Quarterly!B:B,"&gt;="&amp;A486-92,Quarterly!B:B,"&lt;="&amp;A486)&gt;1,SUMIFS(Quarterly!C:C,Quarterly!B:B,"&gt;="&amp;A486-88,Quarterly!B:B,"&lt;="&amp;A486),SUMIFS(Quarterly!C:C,Quarterly!B:B,"&gt;="&amp;A486-92,Quarterly!B:B,"&lt;="&amp;A486)))</f>
        <v>14383.9</v>
      </c>
      <c r="K486" s="13">
        <f t="shared" si="267"/>
        <v>6.4600000000000005E-2</v>
      </c>
      <c r="L486">
        <f t="shared" si="269"/>
        <v>929.23</v>
      </c>
      <c r="M486">
        <f>IF(A486&gt;=Quarterly!B$2,Quarterly!D$2,IF(COUNTIFS(Quarterly!B:B,"&gt;="&amp;A486-92,Quarterly!B:B,"&lt;="&amp;A486)&gt;1,SUMIFS(Quarterly!D:D,Quarterly!B:B,"&gt;="&amp;A486-88,Quarterly!B:B,"&lt;="&amp;A486),SUMIFS(Quarterly!D:D,Quarterly!B:B,"&gt;="&amp;A486-92,Quarterly!B:B,"&lt;="&amp;A486)))</f>
        <v>1044.2560000000001</v>
      </c>
      <c r="N486" s="13">
        <f t="shared" si="270"/>
        <v>8.8980000000000004E-2</v>
      </c>
      <c r="O486">
        <f t="shared" si="258"/>
        <v>929.23</v>
      </c>
      <c r="P486" s="56">
        <f>VLOOKUP(EOMONTH(A486,-1),Economic!A:I,7,FALSE)</f>
        <v>986123</v>
      </c>
      <c r="Q486" s="13">
        <f t="shared" si="259"/>
        <v>9.4200000000000006E-2</v>
      </c>
      <c r="R486" s="41">
        <v>2.29</v>
      </c>
      <c r="S486">
        <f t="shared" si="260"/>
        <v>2.0299999999999998</v>
      </c>
      <c r="T486" s="30">
        <f t="shared" si="261"/>
        <v>298.77</v>
      </c>
      <c r="U486" s="30">
        <f t="shared" si="268"/>
        <v>291.01</v>
      </c>
    </row>
    <row r="487" spans="1:21" ht="15" customHeight="1" x14ac:dyDescent="0.25">
      <c r="A487" s="5">
        <v>39936</v>
      </c>
      <c r="B487" s="5">
        <f t="shared" si="262"/>
        <v>39964</v>
      </c>
      <c r="C487">
        <v>877.52</v>
      </c>
      <c r="D487" s="29">
        <f t="shared" si="263"/>
        <v>2.1899999999999999E-2</v>
      </c>
      <c r="E487" s="39">
        <f t="shared" si="264"/>
        <v>810.5692307692309</v>
      </c>
      <c r="F487" s="39">
        <f t="shared" si="265"/>
        <v>943.61435897435899</v>
      </c>
      <c r="G487" s="29">
        <f t="shared" si="257"/>
        <v>8.2600000000000007E-2</v>
      </c>
      <c r="H487" s="29">
        <f t="shared" si="257"/>
        <v>-7.0000000000000007E-2</v>
      </c>
      <c r="I487">
        <f t="shared" si="266"/>
        <v>877.52</v>
      </c>
      <c r="J487">
        <f>IF(A487&gt;=Quarterly!B$2,Quarterly!C$2,IF(COUNTIFS(Quarterly!B:B,"&gt;="&amp;A487-92,Quarterly!B:B,"&lt;="&amp;A487)&gt;1,SUMIFS(Quarterly!C:C,Quarterly!B:B,"&gt;="&amp;A487-88,Quarterly!B:B,"&lt;="&amp;A487),SUMIFS(Quarterly!C:C,Quarterly!B:B,"&gt;="&amp;A487-92,Quarterly!B:B,"&lt;="&amp;A487)))</f>
        <v>14383.9</v>
      </c>
      <c r="K487" s="13">
        <f t="shared" si="267"/>
        <v>6.0999999999999999E-2</v>
      </c>
      <c r="L487">
        <f t="shared" si="269"/>
        <v>877.52</v>
      </c>
      <c r="M487">
        <f>IF(A487&gt;=Quarterly!B$2,Quarterly!D$2,IF(COUNTIFS(Quarterly!B:B,"&gt;="&amp;A487-92,Quarterly!B:B,"&lt;="&amp;A487)&gt;1,SUMIFS(Quarterly!D:D,Quarterly!B:B,"&gt;="&amp;A487-88,Quarterly!B:B,"&lt;="&amp;A487),SUMIFS(Quarterly!D:D,Quarterly!B:B,"&gt;="&amp;A487-92,Quarterly!B:B,"&lt;="&amp;A487)))</f>
        <v>1044.2560000000001</v>
      </c>
      <c r="N487" s="13">
        <f t="shared" si="270"/>
        <v>8.4030000000000007E-2</v>
      </c>
      <c r="O487">
        <f t="shared" si="258"/>
        <v>877.52</v>
      </c>
      <c r="P487" s="56">
        <f>VLOOKUP(EOMONTH(A487,-1),Economic!A:I,7,FALSE)</f>
        <v>986123</v>
      </c>
      <c r="Q487" s="13">
        <f t="shared" si="259"/>
        <v>8.8999999999999996E-2</v>
      </c>
      <c r="R487" s="41">
        <v>2.29</v>
      </c>
      <c r="S487">
        <f t="shared" si="260"/>
        <v>1.88</v>
      </c>
      <c r="T487" s="30">
        <f t="shared" si="261"/>
        <v>293.08999999999997</v>
      </c>
      <c r="U487" s="30">
        <f t="shared" si="268"/>
        <v>286.16000000000003</v>
      </c>
    </row>
    <row r="488" spans="1:21" ht="15" customHeight="1" x14ac:dyDescent="0.25">
      <c r="A488" s="5">
        <v>39929</v>
      </c>
      <c r="B488" s="5">
        <f t="shared" si="262"/>
        <v>39933</v>
      </c>
      <c r="C488">
        <v>866.23</v>
      </c>
      <c r="D488" s="29">
        <f t="shared" si="263"/>
        <v>2.3699999999999999E-2</v>
      </c>
      <c r="E488" s="39">
        <f t="shared" si="264"/>
        <v>806.59692307692308</v>
      </c>
      <c r="F488" s="39">
        <f t="shared" si="265"/>
        <v>953.42948717948718</v>
      </c>
      <c r="G488" s="29">
        <f t="shared" si="257"/>
        <v>7.3899999999999993E-2</v>
      </c>
      <c r="H488" s="29">
        <f t="shared" si="257"/>
        <v>-9.1499999999999998E-2</v>
      </c>
      <c r="I488">
        <f t="shared" si="266"/>
        <v>866.23</v>
      </c>
      <c r="J488">
        <f>IF(A488&gt;=Quarterly!B$2,Quarterly!C$2,IF(COUNTIFS(Quarterly!B:B,"&gt;="&amp;A488-92,Quarterly!B:B,"&lt;="&amp;A488)&gt;1,SUMIFS(Quarterly!C:C,Quarterly!B:B,"&gt;="&amp;A488-88,Quarterly!B:B,"&lt;="&amp;A488),SUMIFS(Quarterly!C:C,Quarterly!B:B,"&gt;="&amp;A488-92,Quarterly!B:B,"&lt;="&amp;A488)))</f>
        <v>14549.9</v>
      </c>
      <c r="K488" s="13">
        <f t="shared" si="267"/>
        <v>5.9499999999999997E-2</v>
      </c>
      <c r="L488">
        <f t="shared" si="269"/>
        <v>866.23</v>
      </c>
      <c r="M488">
        <f>IF(A488&gt;=Quarterly!B$2,Quarterly!D$2,IF(COUNTIFS(Quarterly!B:B,"&gt;="&amp;A488-92,Quarterly!B:B,"&lt;="&amp;A488)&gt;1,SUMIFS(Quarterly!D:D,Quarterly!B:B,"&gt;="&amp;A488-88,Quarterly!B:B,"&lt;="&amp;A488),SUMIFS(Quarterly!D:D,Quarterly!B:B,"&gt;="&amp;A488-92,Quarterly!B:B,"&lt;="&amp;A488)))</f>
        <v>671.44399999999996</v>
      </c>
      <c r="N488" s="13">
        <f t="shared" si="270"/>
        <v>0.12901000000000001</v>
      </c>
      <c r="O488">
        <f t="shared" si="258"/>
        <v>866.23</v>
      </c>
      <c r="P488" s="56">
        <f>VLOOKUP(EOMONTH(A488,-1),Economic!A:I,7,FALSE)</f>
        <v>1004011</v>
      </c>
      <c r="Q488" s="13">
        <f t="shared" si="259"/>
        <v>8.6300000000000002E-2</v>
      </c>
      <c r="R488" s="41">
        <v>2.04</v>
      </c>
      <c r="S488">
        <f t="shared" si="260"/>
        <v>1.81</v>
      </c>
      <c r="T488" s="30">
        <f t="shared" si="261"/>
        <v>281.16000000000003</v>
      </c>
      <c r="U488" s="30">
        <f t="shared" si="268"/>
        <v>281.88</v>
      </c>
    </row>
    <row r="489" spans="1:21" ht="15" customHeight="1" x14ac:dyDescent="0.25">
      <c r="A489" s="5">
        <v>39922</v>
      </c>
      <c r="B489" s="5">
        <f t="shared" si="262"/>
        <v>39933</v>
      </c>
      <c r="C489">
        <v>869.6</v>
      </c>
      <c r="D489" s="29">
        <f t="shared" si="263"/>
        <v>5.9299999999999999E-2</v>
      </c>
      <c r="E489" s="39">
        <f t="shared" si="264"/>
        <v>803.95999999999992</v>
      </c>
      <c r="F489" s="39">
        <f t="shared" si="265"/>
        <v>963.46871794871811</v>
      </c>
      <c r="G489" s="29">
        <f t="shared" si="257"/>
        <v>8.1600000000000006E-2</v>
      </c>
      <c r="H489" s="29">
        <f t="shared" si="257"/>
        <v>-9.74E-2</v>
      </c>
      <c r="I489">
        <f t="shared" si="266"/>
        <v>869.6</v>
      </c>
      <c r="J489">
        <f>IF(A489&gt;=Quarterly!B$2,Quarterly!C$2,IF(COUNTIFS(Quarterly!B:B,"&gt;="&amp;A489-92,Quarterly!B:B,"&lt;="&amp;A489)&gt;1,SUMIFS(Quarterly!C:C,Quarterly!B:B,"&gt;="&amp;A489-88,Quarterly!B:B,"&lt;="&amp;A489),SUMIFS(Quarterly!C:C,Quarterly!B:B,"&gt;="&amp;A489-92,Quarterly!B:B,"&lt;="&amp;A489)))</f>
        <v>14549.9</v>
      </c>
      <c r="K489" s="13">
        <f t="shared" si="267"/>
        <v>5.9799999999999999E-2</v>
      </c>
      <c r="L489">
        <f t="shared" si="269"/>
        <v>869.6</v>
      </c>
      <c r="M489">
        <f>IF(A489&gt;=Quarterly!B$2,Quarterly!D$2,IF(COUNTIFS(Quarterly!B:B,"&gt;="&amp;A489-92,Quarterly!B:B,"&lt;="&amp;A489)&gt;1,SUMIFS(Quarterly!D:D,Quarterly!B:B,"&gt;="&amp;A489-88,Quarterly!B:B,"&lt;="&amp;A489),SUMIFS(Quarterly!D:D,Quarterly!B:B,"&gt;="&amp;A489-92,Quarterly!B:B,"&lt;="&amp;A489)))</f>
        <v>671.44399999999996</v>
      </c>
      <c r="N489" s="13">
        <f t="shared" si="270"/>
        <v>0.12950999999999999</v>
      </c>
      <c r="O489">
        <f t="shared" si="258"/>
        <v>869.6</v>
      </c>
      <c r="P489" s="56">
        <f>VLOOKUP(EOMONTH(A489,-1),Economic!A:I,7,FALSE)</f>
        <v>1004011</v>
      </c>
      <c r="Q489" s="13">
        <f t="shared" si="259"/>
        <v>8.6599999999999996E-2</v>
      </c>
      <c r="R489" s="41">
        <v>1.99</v>
      </c>
      <c r="S489">
        <f t="shared" si="260"/>
        <v>1.85</v>
      </c>
      <c r="T489" s="30">
        <f t="shared" si="261"/>
        <v>284.22000000000003</v>
      </c>
      <c r="U489" s="30">
        <f t="shared" si="268"/>
        <v>279.32</v>
      </c>
    </row>
    <row r="490" spans="1:21" ht="15" customHeight="1" x14ac:dyDescent="0.25">
      <c r="A490" s="5">
        <v>39915</v>
      </c>
      <c r="B490" s="5">
        <f t="shared" si="262"/>
        <v>39933</v>
      </c>
      <c r="C490">
        <v>856.56</v>
      </c>
      <c r="D490" s="29">
        <f t="shared" si="263"/>
        <v>7.6200000000000004E-2</v>
      </c>
      <c r="E490" s="39">
        <f t="shared" si="264"/>
        <v>802.46153846153857</v>
      </c>
      <c r="F490" s="39">
        <f t="shared" si="265"/>
        <v>973.49641025641051</v>
      </c>
      <c r="G490" s="29">
        <f t="shared" si="257"/>
        <v>6.7400000000000002E-2</v>
      </c>
      <c r="H490" s="29">
        <f t="shared" si="257"/>
        <v>-0.1201</v>
      </c>
      <c r="I490">
        <f t="shared" si="266"/>
        <v>856.56</v>
      </c>
      <c r="J490">
        <f>IF(A490&gt;=Quarterly!B$2,Quarterly!C$2,IF(COUNTIFS(Quarterly!B:B,"&gt;="&amp;A490-92,Quarterly!B:B,"&lt;="&amp;A490)&gt;1,SUMIFS(Quarterly!C:C,Quarterly!B:B,"&gt;="&amp;A490-88,Quarterly!B:B,"&lt;="&amp;A490),SUMIFS(Quarterly!C:C,Quarterly!B:B,"&gt;="&amp;A490-92,Quarterly!B:B,"&lt;="&amp;A490)))</f>
        <v>14549.9</v>
      </c>
      <c r="K490" s="13">
        <f t="shared" si="267"/>
        <v>5.8900000000000001E-2</v>
      </c>
      <c r="L490">
        <f t="shared" si="269"/>
        <v>856.56</v>
      </c>
      <c r="M490">
        <f>IF(A490&gt;=Quarterly!B$2,Quarterly!D$2,IF(COUNTIFS(Quarterly!B:B,"&gt;="&amp;A490-92,Quarterly!B:B,"&lt;="&amp;A490)&gt;1,SUMIFS(Quarterly!D:D,Quarterly!B:B,"&gt;="&amp;A490-88,Quarterly!B:B,"&lt;="&amp;A490),SUMIFS(Quarterly!D:D,Quarterly!B:B,"&gt;="&amp;A490-92,Quarterly!B:B,"&lt;="&amp;A490)))</f>
        <v>671.44399999999996</v>
      </c>
      <c r="N490" s="13">
        <f t="shared" si="270"/>
        <v>0.12757000000000002</v>
      </c>
      <c r="O490">
        <f t="shared" si="258"/>
        <v>856.56</v>
      </c>
      <c r="P490" s="56">
        <f>VLOOKUP(EOMONTH(A490,-1),Economic!A:I,7,FALSE)</f>
        <v>1004011</v>
      </c>
      <c r="Q490" s="13">
        <f t="shared" si="259"/>
        <v>8.5300000000000001E-2</v>
      </c>
      <c r="R490" s="41">
        <v>2</v>
      </c>
      <c r="S490">
        <f t="shared" si="260"/>
        <v>1.71</v>
      </c>
      <c r="T490" s="30">
        <f t="shared" si="261"/>
        <v>280.27</v>
      </c>
      <c r="U490" s="30">
        <f t="shared" si="268"/>
        <v>273.11</v>
      </c>
    </row>
    <row r="491" spans="1:21" ht="15" customHeight="1" x14ac:dyDescent="0.25">
      <c r="A491" s="5">
        <v>39908</v>
      </c>
      <c r="B491" s="5">
        <f t="shared" si="262"/>
        <v>39933</v>
      </c>
      <c r="C491">
        <v>842.5</v>
      </c>
      <c r="D491" s="29">
        <f t="shared" si="263"/>
        <v>0.1143</v>
      </c>
      <c r="E491" s="39">
        <f t="shared" si="264"/>
        <v>805.06076923076944</v>
      </c>
      <c r="F491" s="39">
        <f t="shared" si="265"/>
        <v>983.31512820512842</v>
      </c>
      <c r="G491" s="29">
        <f t="shared" si="257"/>
        <v>4.65E-2</v>
      </c>
      <c r="H491" s="29">
        <f t="shared" si="257"/>
        <v>-0.14319999999999999</v>
      </c>
      <c r="I491">
        <f t="shared" si="266"/>
        <v>842.5</v>
      </c>
      <c r="J491">
        <f>IF(A491&gt;=Quarterly!B$2,Quarterly!C$2,IF(COUNTIFS(Quarterly!B:B,"&gt;="&amp;A491-92,Quarterly!B:B,"&lt;="&amp;A491)&gt;1,SUMIFS(Quarterly!C:C,Quarterly!B:B,"&gt;="&amp;A491-88,Quarterly!B:B,"&lt;="&amp;A491),SUMIFS(Quarterly!C:C,Quarterly!B:B,"&gt;="&amp;A491-92,Quarterly!B:B,"&lt;="&amp;A491)))</f>
        <v>14549.9</v>
      </c>
      <c r="K491" s="13">
        <f t="shared" si="267"/>
        <v>5.79E-2</v>
      </c>
      <c r="L491">
        <f t="shared" si="269"/>
        <v>842.5</v>
      </c>
      <c r="M491">
        <f>IF(A491&gt;=Quarterly!B$2,Quarterly!D$2,IF(COUNTIFS(Quarterly!B:B,"&gt;="&amp;A491-92,Quarterly!B:B,"&lt;="&amp;A491)&gt;1,SUMIFS(Quarterly!D:D,Quarterly!B:B,"&gt;="&amp;A491-88,Quarterly!B:B,"&lt;="&amp;A491),SUMIFS(Quarterly!D:D,Quarterly!B:B,"&gt;="&amp;A491-92,Quarterly!B:B,"&lt;="&amp;A491)))</f>
        <v>671.44399999999996</v>
      </c>
      <c r="N491" s="13">
        <f t="shared" si="270"/>
        <v>0.12548000000000001</v>
      </c>
      <c r="O491">
        <f t="shared" si="258"/>
        <v>842.5</v>
      </c>
      <c r="P491" s="56">
        <f>VLOOKUP(EOMONTH(A491,-1),Economic!A:I,7,FALSE)</f>
        <v>1004011</v>
      </c>
      <c r="Q491" s="13">
        <f t="shared" si="259"/>
        <v>8.3900000000000002E-2</v>
      </c>
      <c r="R491" s="41">
        <v>1.95</v>
      </c>
      <c r="S491">
        <f t="shared" si="260"/>
        <v>1.53</v>
      </c>
      <c r="T491" s="30">
        <f t="shared" si="261"/>
        <v>273.47000000000003</v>
      </c>
      <c r="U491" s="30">
        <f t="shared" si="268"/>
        <v>266.24</v>
      </c>
    </row>
    <row r="492" spans="1:21" ht="15" customHeight="1" x14ac:dyDescent="0.25">
      <c r="A492" s="5">
        <v>39901</v>
      </c>
      <c r="B492" s="5">
        <f t="shared" si="262"/>
        <v>39903</v>
      </c>
      <c r="C492">
        <v>815.94</v>
      </c>
      <c r="D492" s="29">
        <f t="shared" si="263"/>
        <v>0.10879999999999999</v>
      </c>
      <c r="E492" s="39">
        <f t="shared" si="264"/>
        <v>811.93000000000006</v>
      </c>
      <c r="F492" s="39">
        <f t="shared" si="265"/>
        <v>994.09461538461539</v>
      </c>
      <c r="G492" s="29">
        <f t="shared" si="257"/>
        <v>4.8999999999999998E-3</v>
      </c>
      <c r="H492" s="29">
        <f t="shared" si="257"/>
        <v>-0.1792</v>
      </c>
      <c r="I492">
        <f t="shared" si="266"/>
        <v>815.94</v>
      </c>
      <c r="J492">
        <f>IF(A492&gt;=Quarterly!B$2,Quarterly!C$2,IF(COUNTIFS(Quarterly!B:B,"&gt;="&amp;A492-92,Quarterly!B:B,"&lt;="&amp;A492)&gt;1,SUMIFS(Quarterly!C:C,Quarterly!B:B,"&gt;="&amp;A492-88,Quarterly!B:B,"&lt;="&amp;A492),SUMIFS(Quarterly!C:C,Quarterly!B:B,"&gt;="&amp;A492-92,Quarterly!B:B,"&lt;="&amp;A492)))</f>
        <v>14549.9</v>
      </c>
      <c r="K492" s="13">
        <f t="shared" si="267"/>
        <v>5.6099999999999997E-2</v>
      </c>
      <c r="L492">
        <f t="shared" si="269"/>
        <v>815.94</v>
      </c>
      <c r="M492">
        <f>IF(A492&gt;=Quarterly!B$2,Quarterly!D$2,IF(COUNTIFS(Quarterly!B:B,"&gt;="&amp;A492-92,Quarterly!B:B,"&lt;="&amp;A492)&gt;1,SUMIFS(Quarterly!D:D,Quarterly!B:B,"&gt;="&amp;A492-88,Quarterly!B:B,"&lt;="&amp;A492),SUMIFS(Quarterly!D:D,Quarterly!B:B,"&gt;="&amp;A492-92,Quarterly!B:B,"&lt;="&amp;A492)))</f>
        <v>671.44399999999996</v>
      </c>
      <c r="N492" s="13">
        <f t="shared" si="270"/>
        <v>0.12152000000000002</v>
      </c>
      <c r="O492">
        <f t="shared" si="258"/>
        <v>815.94</v>
      </c>
      <c r="P492" s="56">
        <f>VLOOKUP(EOMONTH(A492,-1),Economic!A:I,7,FALSE)</f>
        <v>1049546</v>
      </c>
      <c r="Q492" s="13">
        <f t="shared" si="259"/>
        <v>7.7700000000000005E-2</v>
      </c>
      <c r="R492" s="41">
        <v>1.88</v>
      </c>
      <c r="S492">
        <f t="shared" si="260"/>
        <v>1.38</v>
      </c>
      <c r="T492" s="30">
        <f t="shared" si="261"/>
        <v>265.58999999999997</v>
      </c>
      <c r="U492" s="30">
        <f t="shared" si="268"/>
        <v>259.94</v>
      </c>
    </row>
    <row r="493" spans="1:21" ht="15" customHeight="1" x14ac:dyDescent="0.25">
      <c r="A493" s="5">
        <v>39894</v>
      </c>
      <c r="B493" s="5">
        <f t="shared" si="262"/>
        <v>39903</v>
      </c>
      <c r="C493">
        <v>768.54</v>
      </c>
      <c r="D493" s="29">
        <f t="shared" si="263"/>
        <v>4.3799999999999999E-2</v>
      </c>
      <c r="E493" s="39">
        <f t="shared" si="264"/>
        <v>816.30384615384605</v>
      </c>
      <c r="F493" s="39">
        <f t="shared" si="265"/>
        <v>1005.9520512820515</v>
      </c>
      <c r="G493" s="29">
        <f t="shared" si="257"/>
        <v>-5.8500000000000003E-2</v>
      </c>
      <c r="H493" s="29">
        <f t="shared" si="257"/>
        <v>-0.23599999999999999</v>
      </c>
      <c r="I493">
        <f t="shared" si="266"/>
        <v>768.54</v>
      </c>
      <c r="J493">
        <f>IF(A493&gt;=Quarterly!B$2,Quarterly!C$2,IF(COUNTIFS(Quarterly!B:B,"&gt;="&amp;A493-92,Quarterly!B:B,"&lt;="&amp;A493)&gt;1,SUMIFS(Quarterly!C:C,Quarterly!B:B,"&gt;="&amp;A493-88,Quarterly!B:B,"&lt;="&amp;A493),SUMIFS(Quarterly!C:C,Quarterly!B:B,"&gt;="&amp;A493-92,Quarterly!B:B,"&lt;="&amp;A493)))</f>
        <v>14549.9</v>
      </c>
      <c r="K493" s="13">
        <f t="shared" si="267"/>
        <v>5.28E-2</v>
      </c>
      <c r="L493">
        <f t="shared" si="269"/>
        <v>768.54</v>
      </c>
      <c r="M493">
        <f>IF(A493&gt;=Quarterly!B$2,Quarterly!D$2,IF(COUNTIFS(Quarterly!B:B,"&gt;="&amp;A493-92,Quarterly!B:B,"&lt;="&amp;A493)&gt;1,SUMIFS(Quarterly!D:D,Quarterly!B:B,"&gt;="&amp;A493-88,Quarterly!B:B,"&lt;="&amp;A493),SUMIFS(Quarterly!D:D,Quarterly!B:B,"&gt;="&amp;A493-92,Quarterly!B:B,"&lt;="&amp;A493)))</f>
        <v>671.44399999999996</v>
      </c>
      <c r="N493" s="13">
        <f t="shared" si="270"/>
        <v>0.11446000000000001</v>
      </c>
      <c r="O493">
        <f t="shared" si="258"/>
        <v>768.54</v>
      </c>
      <c r="P493" s="56">
        <f>VLOOKUP(EOMONTH(A493,-1),Economic!A:I,7,FALSE)</f>
        <v>1049546</v>
      </c>
      <c r="Q493" s="13">
        <f t="shared" si="259"/>
        <v>7.3200000000000001E-2</v>
      </c>
      <c r="R493" s="41">
        <v>1.76</v>
      </c>
      <c r="S493">
        <f t="shared" si="260"/>
        <v>1.3</v>
      </c>
      <c r="T493" s="30">
        <f t="shared" si="261"/>
        <v>259.64999999999998</v>
      </c>
      <c r="U493" s="30">
        <f t="shared" si="268"/>
        <v>253.34</v>
      </c>
    </row>
    <row r="494" spans="1:21" ht="15" customHeight="1" x14ac:dyDescent="0.25">
      <c r="A494" s="5">
        <v>39887</v>
      </c>
      <c r="B494" s="5">
        <f t="shared" si="262"/>
        <v>39903</v>
      </c>
      <c r="C494">
        <v>756.55</v>
      </c>
      <c r="D494" s="29">
        <f t="shared" si="263"/>
        <v>3.5999999999999999E-3</v>
      </c>
      <c r="E494" s="39">
        <f t="shared" si="264"/>
        <v>825.48384615384612</v>
      </c>
      <c r="F494" s="39">
        <f t="shared" si="265"/>
        <v>1020.0389743589744</v>
      </c>
      <c r="G494" s="29">
        <f t="shared" si="257"/>
        <v>-8.3500000000000005E-2</v>
      </c>
      <c r="H494" s="29">
        <f t="shared" si="257"/>
        <v>-0.25829999999999997</v>
      </c>
      <c r="I494">
        <f t="shared" si="266"/>
        <v>756.55</v>
      </c>
      <c r="J494">
        <f>IF(A494&gt;=Quarterly!B$2,Quarterly!C$2,IF(COUNTIFS(Quarterly!B:B,"&gt;="&amp;A494-92,Quarterly!B:B,"&lt;="&amp;A494)&gt;1,SUMIFS(Quarterly!C:C,Quarterly!B:B,"&gt;="&amp;A494-88,Quarterly!B:B,"&lt;="&amp;A494),SUMIFS(Quarterly!C:C,Quarterly!B:B,"&gt;="&amp;A494-92,Quarterly!B:B,"&lt;="&amp;A494)))</f>
        <v>14549.9</v>
      </c>
      <c r="K494" s="13">
        <f t="shared" si="267"/>
        <v>5.1999999999999998E-2</v>
      </c>
      <c r="L494">
        <f t="shared" si="269"/>
        <v>756.55</v>
      </c>
      <c r="M494">
        <f>IF(A494&gt;=Quarterly!B$2,Quarterly!D$2,IF(COUNTIFS(Quarterly!B:B,"&gt;="&amp;A494-92,Quarterly!B:B,"&lt;="&amp;A494)&gt;1,SUMIFS(Quarterly!D:D,Quarterly!B:B,"&gt;="&amp;A494-88,Quarterly!B:B,"&lt;="&amp;A494),SUMIFS(Quarterly!D:D,Quarterly!B:B,"&gt;="&amp;A494-92,Quarterly!B:B,"&lt;="&amp;A494)))</f>
        <v>671.44399999999996</v>
      </c>
      <c r="N494" s="13">
        <f t="shared" si="270"/>
        <v>0.11268</v>
      </c>
      <c r="O494">
        <f t="shared" si="258"/>
        <v>756.55</v>
      </c>
      <c r="P494" s="56">
        <f>VLOOKUP(EOMONTH(A494,-1),Economic!A:I,7,FALSE)</f>
        <v>1049546</v>
      </c>
      <c r="Q494" s="13">
        <f t="shared" si="259"/>
        <v>7.2099999999999997E-2</v>
      </c>
      <c r="R494" s="41">
        <v>1.91</v>
      </c>
      <c r="S494">
        <f t="shared" si="260"/>
        <v>1.23</v>
      </c>
      <c r="T494" s="30">
        <f t="shared" si="261"/>
        <v>254.59</v>
      </c>
      <c r="U494" s="30">
        <f t="shared" si="268"/>
        <v>246.93</v>
      </c>
    </row>
    <row r="495" spans="1:21" ht="15" customHeight="1" x14ac:dyDescent="0.25">
      <c r="A495" s="5">
        <v>39880</v>
      </c>
      <c r="B495" s="5">
        <f t="shared" si="262"/>
        <v>39903</v>
      </c>
      <c r="C495">
        <v>683.38</v>
      </c>
      <c r="D495" s="29">
        <f t="shared" si="263"/>
        <v>-0.1459</v>
      </c>
      <c r="E495" s="39">
        <f t="shared" si="264"/>
        <v>834.95923076923054</v>
      </c>
      <c r="F495" s="39">
        <f t="shared" si="265"/>
        <v>1035.5128205128206</v>
      </c>
      <c r="G495" s="29">
        <f t="shared" si="257"/>
        <v>-0.18149999999999999</v>
      </c>
      <c r="H495" s="29">
        <f t="shared" si="257"/>
        <v>-0.34010000000000001</v>
      </c>
      <c r="I495">
        <f t="shared" si="266"/>
        <v>683.38</v>
      </c>
      <c r="J495">
        <f>IF(A495&gt;=Quarterly!B$2,Quarterly!C$2,IF(COUNTIFS(Quarterly!B:B,"&gt;="&amp;A495-92,Quarterly!B:B,"&lt;="&amp;A495)&gt;1,SUMIFS(Quarterly!C:C,Quarterly!B:B,"&gt;="&amp;A495-88,Quarterly!B:B,"&lt;="&amp;A495),SUMIFS(Quarterly!C:C,Quarterly!B:B,"&gt;="&amp;A495-92,Quarterly!B:B,"&lt;="&amp;A495)))</f>
        <v>14549.9</v>
      </c>
      <c r="K495" s="13">
        <f t="shared" si="267"/>
        <v>4.7E-2</v>
      </c>
      <c r="L495">
        <f t="shared" si="269"/>
        <v>683.38</v>
      </c>
      <c r="M495">
        <f>IF(A495&gt;=Quarterly!B$2,Quarterly!D$2,IF(COUNTIFS(Quarterly!B:B,"&gt;="&amp;A495-92,Quarterly!B:B,"&lt;="&amp;A495)&gt;1,SUMIFS(Quarterly!D:D,Quarterly!B:B,"&gt;="&amp;A495-88,Quarterly!B:B,"&lt;="&amp;A495),SUMIFS(Quarterly!D:D,Quarterly!B:B,"&gt;="&amp;A495-92,Quarterly!B:B,"&lt;="&amp;A495)))</f>
        <v>671.44399999999996</v>
      </c>
      <c r="N495" s="13">
        <f t="shared" si="270"/>
        <v>0.10178000000000001</v>
      </c>
      <c r="O495">
        <f t="shared" si="258"/>
        <v>683.38</v>
      </c>
      <c r="P495" s="56">
        <f>VLOOKUP(EOMONTH(A495,-1),Economic!A:I,7,FALSE)</f>
        <v>1049546</v>
      </c>
      <c r="Q495" s="13">
        <f t="shared" si="259"/>
        <v>6.5100000000000005E-2</v>
      </c>
      <c r="R495" s="41">
        <v>1.92</v>
      </c>
      <c r="S495">
        <f t="shared" si="260"/>
        <v>1.1399999999999999</v>
      </c>
      <c r="T495" s="30">
        <f t="shared" si="261"/>
        <v>245.77</v>
      </c>
      <c r="U495" s="30">
        <f t="shared" si="268"/>
        <v>241.97</v>
      </c>
    </row>
    <row r="496" spans="1:21" ht="15" customHeight="1" x14ac:dyDescent="0.25">
      <c r="A496" s="5">
        <v>39873</v>
      </c>
      <c r="B496" s="5">
        <f t="shared" si="262"/>
        <v>39903</v>
      </c>
      <c r="C496">
        <v>735.09</v>
      </c>
      <c r="D496" s="29">
        <f t="shared" si="263"/>
        <v>-0.1066</v>
      </c>
      <c r="E496" s="39">
        <f t="shared" si="264"/>
        <v>849.78153846153828</v>
      </c>
      <c r="F496" s="39">
        <f t="shared" si="265"/>
        <v>1052.8794871794871</v>
      </c>
      <c r="G496" s="29">
        <f t="shared" si="257"/>
        <v>-0.13500000000000001</v>
      </c>
      <c r="H496" s="29">
        <f t="shared" si="257"/>
        <v>-0.30180000000000001</v>
      </c>
      <c r="I496">
        <f t="shared" si="266"/>
        <v>735.09</v>
      </c>
      <c r="J496">
        <f>IF(A496&gt;=Quarterly!B$2,Quarterly!C$2,IF(COUNTIFS(Quarterly!B:B,"&gt;="&amp;A496-92,Quarterly!B:B,"&lt;="&amp;A496)&gt;1,SUMIFS(Quarterly!C:C,Quarterly!B:B,"&gt;="&amp;A496-88,Quarterly!B:B,"&lt;="&amp;A496),SUMIFS(Quarterly!C:C,Quarterly!B:B,"&gt;="&amp;A496-92,Quarterly!B:B,"&lt;="&amp;A496)))</f>
        <v>14549.9</v>
      </c>
      <c r="K496" s="13">
        <f t="shared" si="267"/>
        <v>5.0500000000000003E-2</v>
      </c>
      <c r="L496">
        <f t="shared" si="269"/>
        <v>735.09</v>
      </c>
      <c r="M496">
        <f>IF(A496&gt;=Quarterly!B$2,Quarterly!D$2,IF(COUNTIFS(Quarterly!B:B,"&gt;="&amp;A496-92,Quarterly!B:B,"&lt;="&amp;A496)&gt;1,SUMIFS(Quarterly!D:D,Quarterly!B:B,"&gt;="&amp;A496-88,Quarterly!B:B,"&lt;="&amp;A496),SUMIFS(Quarterly!D:D,Quarterly!B:B,"&gt;="&amp;A496-92,Quarterly!B:B,"&lt;="&amp;A496)))</f>
        <v>671.44399999999996</v>
      </c>
      <c r="N496" s="13">
        <f t="shared" si="270"/>
        <v>0.10948000000000001</v>
      </c>
      <c r="O496">
        <f t="shared" si="258"/>
        <v>735.09</v>
      </c>
      <c r="P496" s="56">
        <f>VLOOKUP(EOMONTH(A496,-1),Economic!A:I,7,FALSE)</f>
        <v>1049546</v>
      </c>
      <c r="Q496" s="13">
        <f t="shared" si="259"/>
        <v>6.9999999999999993E-2</v>
      </c>
      <c r="R496" s="41">
        <v>2.02</v>
      </c>
      <c r="S496">
        <f t="shared" si="260"/>
        <v>0.99</v>
      </c>
      <c r="T496" s="30">
        <f t="shared" si="261"/>
        <v>240.43</v>
      </c>
      <c r="U496" s="30">
        <f t="shared" si="268"/>
        <v>240.23</v>
      </c>
    </row>
    <row r="497" spans="1:21" ht="15" customHeight="1" x14ac:dyDescent="0.25">
      <c r="A497" s="5">
        <v>39866</v>
      </c>
      <c r="B497" s="5">
        <f t="shared" si="262"/>
        <v>39872</v>
      </c>
      <c r="C497">
        <v>770.05</v>
      </c>
      <c r="D497" s="29">
        <f t="shared" si="263"/>
        <v>-8.14E-2</v>
      </c>
      <c r="E497" s="39">
        <f t="shared" si="264"/>
        <v>862.17769230769227</v>
      </c>
      <c r="F497" s="39">
        <f t="shared" si="265"/>
        <v>1069.9382051282053</v>
      </c>
      <c r="G497" s="29">
        <f t="shared" si="257"/>
        <v>-0.1069</v>
      </c>
      <c r="H497" s="29">
        <f t="shared" si="257"/>
        <v>-0.28029999999999999</v>
      </c>
      <c r="I497">
        <f t="shared" si="266"/>
        <v>770.05</v>
      </c>
      <c r="J497">
        <f>IF(A497&gt;=Quarterly!B$2,Quarterly!C$2,IF(COUNTIFS(Quarterly!B:B,"&gt;="&amp;A497-92,Quarterly!B:B,"&lt;="&amp;A497)&gt;1,SUMIFS(Quarterly!C:C,Quarterly!B:B,"&gt;="&amp;A497-88,Quarterly!B:B,"&lt;="&amp;A497),SUMIFS(Quarterly!C:C,Quarterly!B:B,"&gt;="&amp;A497-92,Quarterly!B:B,"&lt;="&amp;A497)))</f>
        <v>14549.9</v>
      </c>
      <c r="K497" s="13">
        <f t="shared" si="267"/>
        <v>5.2900000000000003E-2</v>
      </c>
      <c r="L497">
        <f t="shared" si="269"/>
        <v>770.05</v>
      </c>
      <c r="M497">
        <f>IF(A497&gt;=Quarterly!B$2,Quarterly!D$2,IF(COUNTIFS(Quarterly!B:B,"&gt;="&amp;A497-92,Quarterly!B:B,"&lt;="&amp;A497)&gt;1,SUMIFS(Quarterly!D:D,Quarterly!B:B,"&gt;="&amp;A497-88,Quarterly!B:B,"&lt;="&amp;A497),SUMIFS(Quarterly!D:D,Quarterly!B:B,"&gt;="&amp;A497-92,Quarterly!B:B,"&lt;="&amp;A497)))</f>
        <v>671.44399999999996</v>
      </c>
      <c r="N497" s="13">
        <f t="shared" si="270"/>
        <v>0.11469000000000001</v>
      </c>
      <c r="O497">
        <f t="shared" si="258"/>
        <v>770.05</v>
      </c>
      <c r="P497" s="56">
        <f>VLOOKUP(EOMONTH(A497,-1),Economic!A:I,7,FALSE)</f>
        <v>1106029</v>
      </c>
      <c r="Q497" s="13">
        <f t="shared" si="259"/>
        <v>6.9599999999999995E-2</v>
      </c>
      <c r="R497" s="41">
        <v>1.82</v>
      </c>
      <c r="S497">
        <f t="shared" si="260"/>
        <v>0.99</v>
      </c>
      <c r="T497" s="30">
        <f t="shared" si="261"/>
        <v>239.71</v>
      </c>
      <c r="U497" s="30">
        <f t="shared" si="268"/>
        <v>241.54</v>
      </c>
    </row>
    <row r="498" spans="1:21" ht="15" customHeight="1" x14ac:dyDescent="0.25">
      <c r="A498" s="5">
        <v>39859</v>
      </c>
      <c r="B498" s="5">
        <f t="shared" si="262"/>
        <v>39872</v>
      </c>
      <c r="C498">
        <v>826.84</v>
      </c>
      <c r="D498" s="29">
        <f t="shared" si="263"/>
        <v>-2.0500000000000001E-2</v>
      </c>
      <c r="E498" s="39">
        <f t="shared" si="264"/>
        <v>864.48384615384623</v>
      </c>
      <c r="F498" s="39">
        <f t="shared" si="265"/>
        <v>1085.4735897435899</v>
      </c>
      <c r="G498" s="29">
        <f t="shared" si="257"/>
        <v>-4.3499999999999997E-2</v>
      </c>
      <c r="H498" s="29">
        <f t="shared" si="257"/>
        <v>-0.23830000000000001</v>
      </c>
      <c r="I498">
        <f t="shared" si="266"/>
        <v>826.84</v>
      </c>
      <c r="J498">
        <f>IF(A498&gt;=Quarterly!B$2,Quarterly!C$2,IF(COUNTIFS(Quarterly!B:B,"&gt;="&amp;A498-92,Quarterly!B:B,"&lt;="&amp;A498)&gt;1,SUMIFS(Quarterly!C:C,Quarterly!B:B,"&gt;="&amp;A498-88,Quarterly!B:B,"&lt;="&amp;A498),SUMIFS(Quarterly!C:C,Quarterly!B:B,"&gt;="&amp;A498-92,Quarterly!B:B,"&lt;="&amp;A498)))</f>
        <v>14549.9</v>
      </c>
      <c r="K498" s="13">
        <f t="shared" si="267"/>
        <v>5.6800000000000003E-2</v>
      </c>
      <c r="L498">
        <f t="shared" si="269"/>
        <v>826.84</v>
      </c>
      <c r="M498">
        <f>IF(A498&gt;=Quarterly!B$2,Quarterly!D$2,IF(COUNTIFS(Quarterly!B:B,"&gt;="&amp;A498-92,Quarterly!B:B,"&lt;="&amp;A498)&gt;1,SUMIFS(Quarterly!D:D,Quarterly!B:B,"&gt;="&amp;A498-88,Quarterly!B:B,"&lt;="&amp;A498),SUMIFS(Quarterly!D:D,Quarterly!B:B,"&gt;="&amp;A498-92,Quarterly!B:B,"&lt;="&amp;A498)))</f>
        <v>671.44399999999996</v>
      </c>
      <c r="N498" s="13">
        <f t="shared" si="270"/>
        <v>0.12314000000000001</v>
      </c>
      <c r="O498">
        <f t="shared" si="258"/>
        <v>826.84</v>
      </c>
      <c r="P498" s="56">
        <f>VLOOKUP(EOMONTH(A498,-1),Economic!A:I,7,FALSE)</f>
        <v>1106029</v>
      </c>
      <c r="Q498" s="13">
        <f t="shared" si="259"/>
        <v>7.4799999999999991E-2</v>
      </c>
      <c r="R498" s="41">
        <v>1.92</v>
      </c>
      <c r="S498">
        <f t="shared" si="260"/>
        <v>0.93</v>
      </c>
      <c r="T498" s="30">
        <f t="shared" si="261"/>
        <v>240.56</v>
      </c>
      <c r="U498" s="30">
        <f t="shared" si="268"/>
        <v>241.42</v>
      </c>
    </row>
    <row r="499" spans="1:21" ht="15" customHeight="1" x14ac:dyDescent="0.25">
      <c r="A499" s="5">
        <v>39852</v>
      </c>
      <c r="B499" s="5">
        <f t="shared" si="262"/>
        <v>39872</v>
      </c>
      <c r="C499">
        <v>868.6</v>
      </c>
      <c r="D499" s="29">
        <f t="shared" si="263"/>
        <v>2.24E-2</v>
      </c>
      <c r="E499" s="39">
        <f t="shared" si="264"/>
        <v>868.05692307692323</v>
      </c>
      <c r="F499" s="39">
        <f t="shared" si="265"/>
        <v>1100.82</v>
      </c>
      <c r="G499" s="29">
        <f t="shared" si="257"/>
        <v>5.9999999999999995E-4</v>
      </c>
      <c r="H499" s="29">
        <f t="shared" si="257"/>
        <v>-0.21099999999999999</v>
      </c>
      <c r="I499">
        <f t="shared" si="266"/>
        <v>868.6</v>
      </c>
      <c r="J499">
        <f>IF(A499&gt;=Quarterly!B$2,Quarterly!C$2,IF(COUNTIFS(Quarterly!B:B,"&gt;="&amp;A499-92,Quarterly!B:B,"&lt;="&amp;A499)&gt;1,SUMIFS(Quarterly!C:C,Quarterly!B:B,"&gt;="&amp;A499-88,Quarterly!B:B,"&lt;="&amp;A499),SUMIFS(Quarterly!C:C,Quarterly!B:B,"&gt;="&amp;A499-92,Quarterly!B:B,"&lt;="&amp;A499)))</f>
        <v>14549.9</v>
      </c>
      <c r="K499" s="13">
        <f t="shared" si="267"/>
        <v>5.9700000000000003E-2</v>
      </c>
      <c r="L499">
        <f t="shared" si="269"/>
        <v>868.6</v>
      </c>
      <c r="M499">
        <f>IF(A499&gt;=Quarterly!B$2,Quarterly!D$2,IF(COUNTIFS(Quarterly!B:B,"&gt;="&amp;A499-92,Quarterly!B:B,"&lt;="&amp;A499)&gt;1,SUMIFS(Quarterly!D:D,Quarterly!B:B,"&gt;="&amp;A499-88,Quarterly!B:B,"&lt;="&amp;A499),SUMIFS(Quarterly!D:D,Quarterly!B:B,"&gt;="&amp;A499-92,Quarterly!B:B,"&lt;="&amp;A499)))</f>
        <v>671.44399999999996</v>
      </c>
      <c r="N499" s="13">
        <f t="shared" si="270"/>
        <v>0.12936</v>
      </c>
      <c r="O499">
        <f t="shared" si="258"/>
        <v>868.6</v>
      </c>
      <c r="P499" s="56">
        <f>VLOOKUP(EOMONTH(A499,-1),Economic!A:I,7,FALSE)</f>
        <v>1106029</v>
      </c>
      <c r="Q499" s="13">
        <f t="shared" si="259"/>
        <v>7.85E-2</v>
      </c>
      <c r="R499" s="41">
        <v>2.06</v>
      </c>
      <c r="S499">
        <f t="shared" si="260"/>
        <v>1</v>
      </c>
      <c r="T499" s="30">
        <f t="shared" si="261"/>
        <v>244.34</v>
      </c>
      <c r="U499" s="30">
        <f t="shared" si="268"/>
        <v>246.42</v>
      </c>
    </row>
    <row r="500" spans="1:21" ht="15" customHeight="1" x14ac:dyDescent="0.25">
      <c r="A500" s="5">
        <v>39845</v>
      </c>
      <c r="B500" s="5">
        <f t="shared" si="262"/>
        <v>39872</v>
      </c>
      <c r="C500">
        <v>825.88</v>
      </c>
      <c r="D500" s="29">
        <f t="shared" si="263"/>
        <v>-5.7299999999999997E-2</v>
      </c>
      <c r="E500" s="39">
        <f t="shared" si="264"/>
        <v>872.8561538461538</v>
      </c>
      <c r="F500" s="39">
        <f t="shared" si="265"/>
        <v>1114.1451282051282</v>
      </c>
      <c r="G500" s="29">
        <f t="shared" si="257"/>
        <v>-5.3800000000000001E-2</v>
      </c>
      <c r="H500" s="29">
        <f t="shared" si="257"/>
        <v>-0.25869999999999999</v>
      </c>
      <c r="I500">
        <f t="shared" si="266"/>
        <v>825.88</v>
      </c>
      <c r="J500">
        <f>IF(A500&gt;=Quarterly!B$2,Quarterly!C$2,IF(COUNTIFS(Quarterly!B:B,"&gt;="&amp;A500-92,Quarterly!B:B,"&lt;="&amp;A500)&gt;1,SUMIFS(Quarterly!C:C,Quarterly!B:B,"&gt;="&amp;A500-88,Quarterly!B:B,"&lt;="&amp;A500),SUMIFS(Quarterly!C:C,Quarterly!B:B,"&gt;="&amp;A500-92,Quarterly!B:B,"&lt;="&amp;A500)))</f>
        <v>14549.9</v>
      </c>
      <c r="K500" s="13">
        <f t="shared" si="267"/>
        <v>5.6800000000000003E-2</v>
      </c>
      <c r="L500">
        <f t="shared" si="269"/>
        <v>825.88</v>
      </c>
      <c r="M500">
        <f>IF(A500&gt;=Quarterly!B$2,Quarterly!D$2,IF(COUNTIFS(Quarterly!B:B,"&gt;="&amp;A500-92,Quarterly!B:B,"&lt;="&amp;A500)&gt;1,SUMIFS(Quarterly!D:D,Quarterly!B:B,"&gt;="&amp;A500-88,Quarterly!B:B,"&lt;="&amp;A500),SUMIFS(Quarterly!D:D,Quarterly!B:B,"&gt;="&amp;A500-92,Quarterly!B:B,"&lt;="&amp;A500)))</f>
        <v>671.44399999999996</v>
      </c>
      <c r="N500" s="13">
        <f t="shared" si="270"/>
        <v>0.123</v>
      </c>
      <c r="O500">
        <f t="shared" si="258"/>
        <v>825.88</v>
      </c>
      <c r="P500" s="56">
        <f>VLOOKUP(EOMONTH(A500,-1),Economic!A:I,7,FALSE)</f>
        <v>1106029</v>
      </c>
      <c r="Q500" s="13">
        <f t="shared" si="259"/>
        <v>7.4700000000000003E-2</v>
      </c>
      <c r="R500" s="41">
        <v>1.93</v>
      </c>
      <c r="S500">
        <f t="shared" si="260"/>
        <v>0.93</v>
      </c>
      <c r="T500" s="30">
        <f t="shared" si="261"/>
        <v>239.35</v>
      </c>
      <c r="U500" s="30">
        <f t="shared" si="268"/>
        <v>249.1</v>
      </c>
    </row>
    <row r="501" spans="1:21" ht="15" customHeight="1" x14ac:dyDescent="0.25">
      <c r="A501" s="5">
        <v>39838</v>
      </c>
      <c r="B501" s="5">
        <f t="shared" si="262"/>
        <v>39844</v>
      </c>
      <c r="C501">
        <v>831.95</v>
      </c>
      <c r="D501" s="29">
        <f t="shared" si="263"/>
        <v>-6.13E-2</v>
      </c>
      <c r="E501" s="39">
        <f t="shared" si="264"/>
        <v>883.84615384615404</v>
      </c>
      <c r="F501" s="39">
        <f t="shared" si="265"/>
        <v>1129.2225641025643</v>
      </c>
      <c r="G501" s="29">
        <f t="shared" si="257"/>
        <v>-5.8700000000000002E-2</v>
      </c>
      <c r="H501" s="29">
        <f t="shared" si="257"/>
        <v>-0.26329999999999998</v>
      </c>
      <c r="I501">
        <f t="shared" si="266"/>
        <v>831.95</v>
      </c>
      <c r="J501">
        <f>IF(A501&gt;=Quarterly!B$2,Quarterly!C$2,IF(COUNTIFS(Quarterly!B:B,"&gt;="&amp;A501-92,Quarterly!B:B,"&lt;="&amp;A501)&gt;1,SUMIFS(Quarterly!C:C,Quarterly!B:B,"&gt;="&amp;A501-88,Quarterly!B:B,"&lt;="&amp;A501),SUMIFS(Quarterly!C:C,Quarterly!B:B,"&gt;="&amp;A501-92,Quarterly!B:B,"&lt;="&amp;A501)))</f>
        <v>14843</v>
      </c>
      <c r="K501" s="13">
        <f t="shared" si="267"/>
        <v>5.6000000000000001E-2</v>
      </c>
      <c r="L501">
        <f t="shared" si="269"/>
        <v>831.95</v>
      </c>
      <c r="M501">
        <f>IF(A501&gt;=Quarterly!B$2,Quarterly!D$2,IF(COUNTIFS(Quarterly!B:B,"&gt;="&amp;A501-92,Quarterly!B:B,"&lt;="&amp;A501)&gt;1,SUMIFS(Quarterly!D:D,Quarterly!B:B,"&gt;="&amp;A501-88,Quarterly!B:B,"&lt;="&amp;A501),SUMIFS(Quarterly!D:D,Quarterly!B:B,"&gt;="&amp;A501-92,Quarterly!B:B,"&lt;="&amp;A501)))</f>
        <v>1188.8230000000001</v>
      </c>
      <c r="N501" s="13">
        <f t="shared" si="270"/>
        <v>6.9980000000000001E-2</v>
      </c>
      <c r="O501">
        <f t="shared" si="258"/>
        <v>831.95</v>
      </c>
      <c r="P501" s="56">
        <f>VLOOKUP(EOMONTH(A501,-1),Economic!A:I,7,FALSE)</f>
        <v>1159043</v>
      </c>
      <c r="Q501" s="13">
        <f t="shared" si="259"/>
        <v>7.1800000000000003E-2</v>
      </c>
      <c r="R501" s="41">
        <v>1.82</v>
      </c>
      <c r="S501">
        <f t="shared" si="260"/>
        <v>0.94</v>
      </c>
      <c r="T501" s="30">
        <f t="shared" si="261"/>
        <v>255.56</v>
      </c>
      <c r="U501" s="30">
        <f t="shared" si="268"/>
        <v>253.71</v>
      </c>
    </row>
    <row r="502" spans="1:21" ht="15" customHeight="1" x14ac:dyDescent="0.25">
      <c r="A502" s="5">
        <v>39831</v>
      </c>
      <c r="B502" s="5">
        <f t="shared" si="262"/>
        <v>39844</v>
      </c>
      <c r="C502">
        <v>850.12</v>
      </c>
      <c r="D502" s="29">
        <f t="shared" si="263"/>
        <v>-5.0900000000000001E-2</v>
      </c>
      <c r="E502" s="39">
        <f t="shared" si="264"/>
        <v>887.29384615384618</v>
      </c>
      <c r="F502" s="39">
        <f t="shared" si="265"/>
        <v>1143.7325641025641</v>
      </c>
      <c r="G502" s="29">
        <f t="shared" si="257"/>
        <v>-4.19E-2</v>
      </c>
      <c r="H502" s="29">
        <f t="shared" si="257"/>
        <v>-0.25669999999999998</v>
      </c>
      <c r="I502">
        <f t="shared" si="266"/>
        <v>850.12</v>
      </c>
      <c r="J502">
        <f>IF(A502&gt;=Quarterly!B$2,Quarterly!C$2,IF(COUNTIFS(Quarterly!B:B,"&gt;="&amp;A502-92,Quarterly!B:B,"&lt;="&amp;A502)&gt;1,SUMIFS(Quarterly!C:C,Quarterly!B:B,"&gt;="&amp;A502-88,Quarterly!B:B,"&lt;="&amp;A502),SUMIFS(Quarterly!C:C,Quarterly!B:B,"&gt;="&amp;A502-92,Quarterly!B:B,"&lt;="&amp;A502)))</f>
        <v>14843</v>
      </c>
      <c r="K502" s="13">
        <f t="shared" si="267"/>
        <v>5.7299999999999997E-2</v>
      </c>
      <c r="L502">
        <f t="shared" si="269"/>
        <v>850.12</v>
      </c>
      <c r="M502">
        <f>IF(A502&gt;=Quarterly!B$2,Quarterly!D$2,IF(COUNTIFS(Quarterly!B:B,"&gt;="&amp;A502-92,Quarterly!B:B,"&lt;="&amp;A502)&gt;1,SUMIFS(Quarterly!D:D,Quarterly!B:B,"&gt;="&amp;A502-88,Quarterly!B:B,"&lt;="&amp;A502),SUMIFS(Quarterly!D:D,Quarterly!B:B,"&gt;="&amp;A502-92,Quarterly!B:B,"&lt;="&amp;A502)))</f>
        <v>1188.8230000000001</v>
      </c>
      <c r="N502" s="13">
        <f t="shared" si="270"/>
        <v>7.1510000000000004E-2</v>
      </c>
      <c r="O502">
        <f t="shared" si="258"/>
        <v>850.12</v>
      </c>
      <c r="P502" s="56">
        <f>VLOOKUP(EOMONTH(A502,-1),Economic!A:I,7,FALSE)</f>
        <v>1159043</v>
      </c>
      <c r="Q502" s="13">
        <f t="shared" si="259"/>
        <v>7.3300000000000004E-2</v>
      </c>
      <c r="R502" s="41">
        <v>1.63</v>
      </c>
      <c r="S502">
        <f t="shared" si="260"/>
        <v>0.82</v>
      </c>
      <c r="T502" s="30">
        <f t="shared" si="261"/>
        <v>252.4</v>
      </c>
      <c r="U502" s="30">
        <f t="shared" si="268"/>
        <v>252.18</v>
      </c>
    </row>
    <row r="503" spans="1:21" ht="15" customHeight="1" x14ac:dyDescent="0.25">
      <c r="A503" s="5">
        <v>39824</v>
      </c>
      <c r="B503" s="5">
        <f t="shared" si="262"/>
        <v>39844</v>
      </c>
      <c r="C503">
        <v>890.35</v>
      </c>
      <c r="D503" s="29">
        <f t="shared" si="263"/>
        <v>-3.0000000000000001E-3</v>
      </c>
      <c r="E503" s="39">
        <f t="shared" si="264"/>
        <v>894.24999999999989</v>
      </c>
      <c r="F503" s="39">
        <f t="shared" si="265"/>
        <v>1157.5841025641025</v>
      </c>
      <c r="G503" s="29">
        <f t="shared" si="257"/>
        <v>-4.4000000000000003E-3</v>
      </c>
      <c r="H503" s="29">
        <f t="shared" si="257"/>
        <v>-0.23089999999999999</v>
      </c>
      <c r="I503">
        <f t="shared" si="266"/>
        <v>890.35</v>
      </c>
      <c r="J503">
        <f>IF(A503&gt;=Quarterly!B$2,Quarterly!C$2,IF(COUNTIFS(Quarterly!B:B,"&gt;="&amp;A503-92,Quarterly!B:B,"&lt;="&amp;A503)&gt;1,SUMIFS(Quarterly!C:C,Quarterly!B:B,"&gt;="&amp;A503-88,Quarterly!B:B,"&lt;="&amp;A503),SUMIFS(Quarterly!C:C,Quarterly!B:B,"&gt;="&amp;A503-92,Quarterly!B:B,"&lt;="&amp;A503)))</f>
        <v>14843</v>
      </c>
      <c r="K503" s="13">
        <f t="shared" si="267"/>
        <v>0.06</v>
      </c>
      <c r="L503">
        <f t="shared" si="269"/>
        <v>890.35</v>
      </c>
      <c r="M503">
        <f>IF(A503&gt;=Quarterly!B$2,Quarterly!D$2,IF(COUNTIFS(Quarterly!B:B,"&gt;="&amp;A503-92,Quarterly!B:B,"&lt;="&amp;A503)&gt;1,SUMIFS(Quarterly!D:D,Quarterly!B:B,"&gt;="&amp;A503-88,Quarterly!B:B,"&lt;="&amp;A503),SUMIFS(Quarterly!D:D,Quarterly!B:B,"&gt;="&amp;A503-92,Quarterly!B:B,"&lt;="&amp;A503)))</f>
        <v>1188.8230000000001</v>
      </c>
      <c r="N503" s="13">
        <f t="shared" si="270"/>
        <v>7.4889999999999998E-2</v>
      </c>
      <c r="O503">
        <f t="shared" si="258"/>
        <v>890.35</v>
      </c>
      <c r="P503" s="56">
        <f>VLOOKUP(EOMONTH(A503,-1),Economic!A:I,7,FALSE)</f>
        <v>1159043</v>
      </c>
      <c r="Q503" s="13">
        <f t="shared" si="259"/>
        <v>7.6800000000000007E-2</v>
      </c>
      <c r="R503" s="41">
        <v>1.68</v>
      </c>
      <c r="S503">
        <f t="shared" si="260"/>
        <v>0.81</v>
      </c>
      <c r="T503" s="30">
        <f t="shared" si="261"/>
        <v>253.17</v>
      </c>
      <c r="U503" s="30">
        <f t="shared" si="268"/>
        <v>249.36</v>
      </c>
    </row>
    <row r="504" spans="1:21" ht="15" customHeight="1" x14ac:dyDescent="0.25">
      <c r="A504" s="5">
        <v>39817</v>
      </c>
      <c r="B504" s="5">
        <f t="shared" si="262"/>
        <v>39844</v>
      </c>
      <c r="C504">
        <v>931.8</v>
      </c>
      <c r="D504" s="29">
        <f t="shared" si="263"/>
        <v>5.9900000000000002E-2</v>
      </c>
      <c r="E504" s="39">
        <f t="shared" si="264"/>
        <v>894.93230769230752</v>
      </c>
      <c r="F504" s="39">
        <f t="shared" si="265"/>
        <v>1168.9297435897436</v>
      </c>
      <c r="G504" s="29">
        <f t="shared" si="257"/>
        <v>4.1200000000000001E-2</v>
      </c>
      <c r="H504" s="29">
        <f t="shared" si="257"/>
        <v>-0.2029</v>
      </c>
      <c r="I504">
        <f t="shared" si="266"/>
        <v>931.8</v>
      </c>
      <c r="J504">
        <f>IF(A504&gt;=Quarterly!B$2,Quarterly!C$2,IF(COUNTIFS(Quarterly!B:B,"&gt;="&amp;A504-92,Quarterly!B:B,"&lt;="&amp;A504)&gt;1,SUMIFS(Quarterly!C:C,Quarterly!B:B,"&gt;="&amp;A504-88,Quarterly!B:B,"&lt;="&amp;A504),SUMIFS(Quarterly!C:C,Quarterly!B:B,"&gt;="&amp;A504-92,Quarterly!B:B,"&lt;="&amp;A504)))</f>
        <v>14843</v>
      </c>
      <c r="K504" s="13">
        <f t="shared" si="267"/>
        <v>6.2799999999999995E-2</v>
      </c>
      <c r="L504">
        <f t="shared" si="269"/>
        <v>931.8</v>
      </c>
      <c r="M504">
        <f>IF(A504&gt;=Quarterly!B$2,Quarterly!D$2,IF(COUNTIFS(Quarterly!B:B,"&gt;="&amp;A504-92,Quarterly!B:B,"&lt;="&amp;A504)&gt;1,SUMIFS(Quarterly!D:D,Quarterly!B:B,"&gt;="&amp;A504-88,Quarterly!B:B,"&lt;="&amp;A504),SUMIFS(Quarterly!D:D,Quarterly!B:B,"&gt;="&amp;A504-92,Quarterly!B:B,"&lt;="&amp;A504)))</f>
        <v>1188.8230000000001</v>
      </c>
      <c r="N504" s="13">
        <f t="shared" si="270"/>
        <v>7.8380000000000005E-2</v>
      </c>
      <c r="O504">
        <f t="shared" si="258"/>
        <v>931.8</v>
      </c>
      <c r="P504" s="56">
        <f>VLOOKUP(EOMONTH(A504,-1),Economic!A:I,7,FALSE)</f>
        <v>1159043</v>
      </c>
      <c r="Q504" s="13">
        <f t="shared" si="259"/>
        <v>8.0399999999999999E-2</v>
      </c>
      <c r="R504" s="41">
        <v>1.58</v>
      </c>
      <c r="S504">
        <f t="shared" si="260"/>
        <v>0.65</v>
      </c>
      <c r="T504" s="30">
        <f t="shared" si="261"/>
        <v>250.96</v>
      </c>
      <c r="U504" s="30">
        <f t="shared" si="268"/>
        <v>243.89</v>
      </c>
    </row>
    <row r="505" spans="1:21" ht="15" customHeight="1" x14ac:dyDescent="0.25">
      <c r="A505" s="5">
        <v>39810</v>
      </c>
      <c r="B505" s="5">
        <f t="shared" si="262"/>
        <v>39813</v>
      </c>
      <c r="C505">
        <v>872.8</v>
      </c>
      <c r="D505" s="29">
        <f t="shared" si="263"/>
        <v>-1.38E-2</v>
      </c>
      <c r="E505" s="39">
        <f t="shared" si="264"/>
        <v>907.81153846153825</v>
      </c>
      <c r="F505" s="39">
        <f t="shared" si="265"/>
        <v>1180.1758974358975</v>
      </c>
      <c r="G505" s="29">
        <f t="shared" si="257"/>
        <v>-3.8600000000000002E-2</v>
      </c>
      <c r="H505" s="29">
        <f t="shared" si="257"/>
        <v>-0.26040000000000002</v>
      </c>
      <c r="I505">
        <f t="shared" si="266"/>
        <v>872.8</v>
      </c>
      <c r="J505">
        <f>IF(A505&gt;=Quarterly!B$2,Quarterly!C$2,IF(COUNTIFS(Quarterly!B:B,"&gt;="&amp;A505-92,Quarterly!B:B,"&lt;="&amp;A505)&gt;1,SUMIFS(Quarterly!C:C,Quarterly!B:B,"&gt;="&amp;A505-88,Quarterly!B:B,"&lt;="&amp;A505),SUMIFS(Quarterly!C:C,Quarterly!B:B,"&gt;="&amp;A505-92,Quarterly!B:B,"&lt;="&amp;A505)))</f>
        <v>14843</v>
      </c>
      <c r="K505" s="13">
        <f t="shared" si="267"/>
        <v>5.8799999999999998E-2</v>
      </c>
      <c r="L505">
        <f t="shared" si="269"/>
        <v>872.8</v>
      </c>
      <c r="M505">
        <f>IF(A505&gt;=Quarterly!B$2,Quarterly!D$2,IF(COUNTIFS(Quarterly!B:B,"&gt;="&amp;A505-92,Quarterly!B:B,"&lt;="&amp;A505)&gt;1,SUMIFS(Quarterly!D:D,Quarterly!B:B,"&gt;="&amp;A505-88,Quarterly!B:B,"&lt;="&amp;A505),SUMIFS(Quarterly!D:D,Quarterly!B:B,"&gt;="&amp;A505-92,Quarterly!B:B,"&lt;="&amp;A505)))</f>
        <v>1188.8230000000001</v>
      </c>
      <c r="N505" s="13">
        <f t="shared" si="270"/>
        <v>7.3419999999999999E-2</v>
      </c>
      <c r="O505">
        <f t="shared" si="258"/>
        <v>872.8</v>
      </c>
      <c r="P505" s="56">
        <f>VLOOKUP(EOMONTH(A505,-1),Economic!A:I,7,FALSE)</f>
        <v>1193687</v>
      </c>
      <c r="Q505" s="13">
        <f t="shared" si="259"/>
        <v>7.3099999999999998E-2</v>
      </c>
      <c r="R505" s="41">
        <v>1.27</v>
      </c>
      <c r="S505">
        <f t="shared" si="260"/>
        <v>0.64</v>
      </c>
      <c r="T505" s="30">
        <f t="shared" si="261"/>
        <v>243.94</v>
      </c>
      <c r="U505" s="30">
        <f t="shared" si="268"/>
        <v>235.1</v>
      </c>
    </row>
    <row r="506" spans="1:21" ht="15" customHeight="1" x14ac:dyDescent="0.25">
      <c r="A506" s="5">
        <v>39803</v>
      </c>
      <c r="B506" s="5">
        <f t="shared" si="262"/>
        <v>39813</v>
      </c>
      <c r="C506">
        <v>887.88</v>
      </c>
      <c r="D506" s="29">
        <f t="shared" si="263"/>
        <v>2.8799999999999999E-2</v>
      </c>
      <c r="E506" s="39">
        <f t="shared" si="264"/>
        <v>934.0015384615383</v>
      </c>
      <c r="F506" s="39">
        <f t="shared" si="265"/>
        <v>1191.5200000000002</v>
      </c>
      <c r="G506" s="29">
        <f t="shared" si="257"/>
        <v>-4.9399999999999999E-2</v>
      </c>
      <c r="H506" s="29">
        <f t="shared" si="257"/>
        <v>-0.25480000000000003</v>
      </c>
      <c r="I506">
        <f t="shared" si="266"/>
        <v>887.88</v>
      </c>
      <c r="J506">
        <f>IF(A506&gt;=Quarterly!B$2,Quarterly!C$2,IF(COUNTIFS(Quarterly!B:B,"&gt;="&amp;A506-92,Quarterly!B:B,"&lt;="&amp;A506)&gt;1,SUMIFS(Quarterly!C:C,Quarterly!B:B,"&gt;="&amp;A506-88,Quarterly!B:B,"&lt;="&amp;A506),SUMIFS(Quarterly!C:C,Quarterly!B:B,"&gt;="&amp;A506-92,Quarterly!B:B,"&lt;="&amp;A506)))</f>
        <v>14843</v>
      </c>
      <c r="K506" s="13">
        <f t="shared" si="267"/>
        <v>5.9799999999999999E-2</v>
      </c>
      <c r="L506">
        <f t="shared" si="269"/>
        <v>887.88</v>
      </c>
      <c r="M506">
        <f>IF(A506&gt;=Quarterly!B$2,Quarterly!D$2,IF(COUNTIFS(Quarterly!B:B,"&gt;="&amp;A506-92,Quarterly!B:B,"&lt;="&amp;A506)&gt;1,SUMIFS(Quarterly!D:D,Quarterly!B:B,"&gt;="&amp;A506-88,Quarterly!B:B,"&lt;="&amp;A506),SUMIFS(Quarterly!D:D,Quarterly!B:B,"&gt;="&amp;A506-92,Quarterly!B:B,"&lt;="&amp;A506)))</f>
        <v>1188.8230000000001</v>
      </c>
      <c r="N506" s="13">
        <f t="shared" si="270"/>
        <v>7.4690000000000006E-2</v>
      </c>
      <c r="O506">
        <f t="shared" si="258"/>
        <v>887.88</v>
      </c>
      <c r="P506" s="56">
        <f>VLOOKUP(EOMONTH(A506,-1),Economic!A:I,7,FALSE)</f>
        <v>1193687</v>
      </c>
      <c r="Q506" s="13">
        <f t="shared" si="259"/>
        <v>7.4399999999999994E-2</v>
      </c>
      <c r="R506" s="41">
        <v>1.39</v>
      </c>
      <c r="S506">
        <f t="shared" si="260"/>
        <v>0.61</v>
      </c>
      <c r="T506" s="30">
        <f t="shared" si="261"/>
        <v>236.78</v>
      </c>
      <c r="U506" s="30">
        <f t="shared" si="268"/>
        <v>227.44</v>
      </c>
    </row>
    <row r="507" spans="1:21" ht="15" customHeight="1" x14ac:dyDescent="0.25">
      <c r="A507" s="5">
        <v>39796</v>
      </c>
      <c r="B507" s="5">
        <f t="shared" si="262"/>
        <v>39813</v>
      </c>
      <c r="C507">
        <v>879.73</v>
      </c>
      <c r="D507" s="29">
        <f t="shared" si="263"/>
        <v>2.1299999999999999E-2</v>
      </c>
      <c r="E507" s="39">
        <f t="shared" si="264"/>
        <v>962.2476923076922</v>
      </c>
      <c r="F507" s="39">
        <f t="shared" si="265"/>
        <v>1202.8438461538462</v>
      </c>
      <c r="G507" s="29">
        <f t="shared" si="257"/>
        <v>-8.5800000000000001E-2</v>
      </c>
      <c r="H507" s="29">
        <f t="shared" si="257"/>
        <v>-0.26860000000000001</v>
      </c>
      <c r="I507">
        <f t="shared" si="266"/>
        <v>879.73</v>
      </c>
      <c r="J507">
        <f>IF(A507&gt;=Quarterly!B$2,Quarterly!C$2,IF(COUNTIFS(Quarterly!B:B,"&gt;="&amp;A507-92,Quarterly!B:B,"&lt;="&amp;A507)&gt;1,SUMIFS(Quarterly!C:C,Quarterly!B:B,"&gt;="&amp;A507-88,Quarterly!B:B,"&lt;="&amp;A507),SUMIFS(Quarterly!C:C,Quarterly!B:B,"&gt;="&amp;A507-92,Quarterly!B:B,"&lt;="&amp;A507)))</f>
        <v>14843</v>
      </c>
      <c r="K507" s="13">
        <f t="shared" si="267"/>
        <v>5.9299999999999999E-2</v>
      </c>
      <c r="L507">
        <f t="shared" si="269"/>
        <v>879.73</v>
      </c>
      <c r="M507">
        <f>IF(A507&gt;=Quarterly!B$2,Quarterly!D$2,IF(COUNTIFS(Quarterly!B:B,"&gt;="&amp;A507-92,Quarterly!B:B,"&lt;="&amp;A507)&gt;1,SUMIFS(Quarterly!D:D,Quarterly!B:B,"&gt;="&amp;A507-88,Quarterly!B:B,"&lt;="&amp;A507),SUMIFS(Quarterly!D:D,Quarterly!B:B,"&gt;="&amp;A507-92,Quarterly!B:B,"&lt;="&amp;A507)))</f>
        <v>1188.8230000000001</v>
      </c>
      <c r="N507" s="13">
        <f t="shared" si="270"/>
        <v>7.3999999999999996E-2</v>
      </c>
      <c r="O507">
        <f t="shared" si="258"/>
        <v>879.73</v>
      </c>
      <c r="P507" s="56">
        <f>VLOOKUP(EOMONTH(A507,-1),Economic!A:I,7,FALSE)</f>
        <v>1193687</v>
      </c>
      <c r="Q507" s="13">
        <f t="shared" si="259"/>
        <v>7.3700000000000002E-2</v>
      </c>
      <c r="R507" s="41">
        <v>1.82</v>
      </c>
      <c r="S507">
        <f t="shared" si="260"/>
        <v>0.47</v>
      </c>
      <c r="T507" s="30">
        <f t="shared" si="261"/>
        <v>224.59</v>
      </c>
      <c r="U507" s="30">
        <f t="shared" si="268"/>
        <v>220.75</v>
      </c>
    </row>
    <row r="508" spans="1:21" ht="15" customHeight="1" x14ac:dyDescent="0.25">
      <c r="A508" s="5">
        <v>39789</v>
      </c>
      <c r="B508" s="5">
        <f t="shared" si="262"/>
        <v>39813</v>
      </c>
      <c r="C508">
        <v>876.07</v>
      </c>
      <c r="D508" s="29">
        <f t="shared" si="263"/>
        <v>1.1000000000000001E-3</v>
      </c>
      <c r="E508" s="39">
        <f t="shared" si="264"/>
        <v>990.86076923076928</v>
      </c>
      <c r="F508" s="39">
        <f t="shared" si="265"/>
        <v>1213.3158974358976</v>
      </c>
      <c r="G508" s="29">
        <f t="shared" si="257"/>
        <v>-0.1158</v>
      </c>
      <c r="H508" s="29">
        <f t="shared" si="257"/>
        <v>-0.27800000000000002</v>
      </c>
      <c r="I508">
        <f t="shared" si="266"/>
        <v>876.07</v>
      </c>
      <c r="J508">
        <f>IF(A508&gt;=Quarterly!B$2,Quarterly!C$2,IF(COUNTIFS(Quarterly!B:B,"&gt;="&amp;A508-92,Quarterly!B:B,"&lt;="&amp;A508)&gt;1,SUMIFS(Quarterly!C:C,Quarterly!B:B,"&gt;="&amp;A508-88,Quarterly!B:B,"&lt;="&amp;A508),SUMIFS(Quarterly!C:C,Quarterly!B:B,"&gt;="&amp;A508-92,Quarterly!B:B,"&lt;="&amp;A508)))</f>
        <v>14843</v>
      </c>
      <c r="K508" s="13">
        <f t="shared" si="267"/>
        <v>5.8999999999999997E-2</v>
      </c>
      <c r="L508">
        <f t="shared" si="269"/>
        <v>876.07</v>
      </c>
      <c r="M508">
        <f>IF(A508&gt;=Quarterly!B$2,Quarterly!D$2,IF(COUNTIFS(Quarterly!B:B,"&gt;="&amp;A508-92,Quarterly!B:B,"&lt;="&amp;A508)&gt;1,SUMIFS(Quarterly!D:D,Quarterly!B:B,"&gt;="&amp;A508-88,Quarterly!B:B,"&lt;="&amp;A508),SUMIFS(Quarterly!D:D,Quarterly!B:B,"&gt;="&amp;A508-92,Quarterly!B:B,"&lt;="&amp;A508)))</f>
        <v>1188.8230000000001</v>
      </c>
      <c r="N508" s="13">
        <f t="shared" si="270"/>
        <v>7.3690000000000005E-2</v>
      </c>
      <c r="O508">
        <f t="shared" si="258"/>
        <v>876.07</v>
      </c>
      <c r="P508" s="56">
        <f>VLOOKUP(EOMONTH(A508,-1),Economic!A:I,7,FALSE)</f>
        <v>1193687</v>
      </c>
      <c r="Q508" s="13">
        <f t="shared" si="259"/>
        <v>7.3399999999999993E-2</v>
      </c>
      <c r="R508" s="41">
        <v>1.74</v>
      </c>
      <c r="S508">
        <f t="shared" si="260"/>
        <v>0.56999999999999995</v>
      </c>
      <c r="T508" s="30">
        <f t="shared" si="261"/>
        <v>220.94</v>
      </c>
      <c r="U508" s="30">
        <f t="shared" si="268"/>
        <v>214.94</v>
      </c>
    </row>
    <row r="509" spans="1:21" ht="15" customHeight="1" x14ac:dyDescent="0.25">
      <c r="A509" s="5">
        <v>39782</v>
      </c>
      <c r="B509" s="5">
        <f t="shared" si="262"/>
        <v>39782</v>
      </c>
      <c r="C509">
        <v>896.24</v>
      </c>
      <c r="D509" s="29">
        <f t="shared" si="263"/>
        <v>3.3E-3</v>
      </c>
      <c r="E509" s="39">
        <f t="shared" si="264"/>
        <v>1019.0330769230769</v>
      </c>
      <c r="F509" s="39">
        <f t="shared" si="265"/>
        <v>1224.0158974358976</v>
      </c>
      <c r="G509" s="29">
        <f t="shared" si="257"/>
        <v>-0.1205</v>
      </c>
      <c r="H509" s="29">
        <f t="shared" si="257"/>
        <v>-0.26779999999999998</v>
      </c>
      <c r="I509">
        <f t="shared" si="266"/>
        <v>896.24</v>
      </c>
      <c r="J509">
        <f>IF(A509&gt;=Quarterly!B$2,Quarterly!C$2,IF(COUNTIFS(Quarterly!B:B,"&gt;="&amp;A509-92,Quarterly!B:B,"&lt;="&amp;A509)&gt;1,SUMIFS(Quarterly!C:C,Quarterly!B:B,"&gt;="&amp;A509-88,Quarterly!B:B,"&lt;="&amp;A509),SUMIFS(Quarterly!C:C,Quarterly!B:B,"&gt;="&amp;A509-92,Quarterly!B:B,"&lt;="&amp;A509)))</f>
        <v>14843</v>
      </c>
      <c r="K509" s="13">
        <f t="shared" si="267"/>
        <v>6.0400000000000002E-2</v>
      </c>
      <c r="L509">
        <f t="shared" si="269"/>
        <v>896.24</v>
      </c>
      <c r="M509">
        <f>IF(A509&gt;=Quarterly!B$2,Quarterly!D$2,IF(COUNTIFS(Quarterly!B:B,"&gt;="&amp;A509-92,Quarterly!B:B,"&lt;="&amp;A509)&gt;1,SUMIFS(Quarterly!D:D,Quarterly!B:B,"&gt;="&amp;A509-88,Quarterly!B:B,"&lt;="&amp;A509),SUMIFS(Quarterly!D:D,Quarterly!B:B,"&gt;="&amp;A509-92,Quarterly!B:B,"&lt;="&amp;A509)))</f>
        <v>1188.8230000000001</v>
      </c>
      <c r="N509" s="13">
        <f t="shared" si="270"/>
        <v>7.5390000000000013E-2</v>
      </c>
      <c r="O509">
        <f t="shared" si="258"/>
        <v>896.24</v>
      </c>
      <c r="P509" s="56">
        <f>VLOOKUP(EOMONTH(A509,-1),Economic!A:I,7,FALSE)</f>
        <v>1212699</v>
      </c>
      <c r="Q509" s="13">
        <f t="shared" si="259"/>
        <v>7.3899999999999993E-2</v>
      </c>
      <c r="R509" s="41">
        <v>1.93</v>
      </c>
      <c r="S509">
        <f t="shared" si="260"/>
        <v>0.62</v>
      </c>
      <c r="T509" s="30">
        <f t="shared" si="261"/>
        <v>216.71</v>
      </c>
      <c r="U509" s="30">
        <f t="shared" si="268"/>
        <v>206.65</v>
      </c>
    </row>
    <row r="510" spans="1:21" ht="15" customHeight="1" x14ac:dyDescent="0.25">
      <c r="A510" s="5">
        <v>39775</v>
      </c>
      <c r="B510" s="5">
        <f t="shared" si="262"/>
        <v>39782</v>
      </c>
      <c r="C510">
        <v>800.03</v>
      </c>
      <c r="D510" s="29">
        <f t="shared" si="263"/>
        <v>-0.1232</v>
      </c>
      <c r="E510" s="39">
        <f t="shared" si="264"/>
        <v>1048.7707692307692</v>
      </c>
      <c r="F510" s="39">
        <f t="shared" si="265"/>
        <v>1235.1541025641029</v>
      </c>
      <c r="G510" s="29">
        <f t="shared" si="257"/>
        <v>-0.23719999999999999</v>
      </c>
      <c r="H510" s="29">
        <f t="shared" si="257"/>
        <v>-0.3523</v>
      </c>
      <c r="I510">
        <f t="shared" si="266"/>
        <v>800.03</v>
      </c>
      <c r="J510">
        <f>IF(A510&gt;=Quarterly!B$2,Quarterly!C$2,IF(COUNTIFS(Quarterly!B:B,"&gt;="&amp;A510-92,Quarterly!B:B,"&lt;="&amp;A510)&gt;1,SUMIFS(Quarterly!C:C,Quarterly!B:B,"&gt;="&amp;A510-88,Quarterly!B:B,"&lt;="&amp;A510),SUMIFS(Quarterly!C:C,Quarterly!B:B,"&gt;="&amp;A510-92,Quarterly!B:B,"&lt;="&amp;A510)))</f>
        <v>14843</v>
      </c>
      <c r="K510" s="13">
        <f t="shared" si="267"/>
        <v>5.3900000000000003E-2</v>
      </c>
      <c r="L510">
        <f t="shared" si="269"/>
        <v>800.03</v>
      </c>
      <c r="M510">
        <f>IF(A510&gt;=Quarterly!B$2,Quarterly!D$2,IF(COUNTIFS(Quarterly!B:B,"&gt;="&amp;A510-92,Quarterly!B:B,"&lt;="&amp;A510)&gt;1,SUMIFS(Quarterly!D:D,Quarterly!B:B,"&gt;="&amp;A510-88,Quarterly!B:B,"&lt;="&amp;A510),SUMIFS(Quarterly!D:D,Quarterly!B:B,"&gt;="&amp;A510-92,Quarterly!B:B,"&lt;="&amp;A510)))</f>
        <v>1188.8230000000001</v>
      </c>
      <c r="N510" s="13">
        <f t="shared" si="270"/>
        <v>6.7300000000000013E-2</v>
      </c>
      <c r="O510">
        <f t="shared" si="258"/>
        <v>800.03</v>
      </c>
      <c r="P510" s="56">
        <f>VLOOKUP(EOMONTH(A510,-1),Economic!A:I,7,FALSE)</f>
        <v>1212699</v>
      </c>
      <c r="Q510" s="13">
        <f t="shared" si="259"/>
        <v>6.6000000000000003E-2</v>
      </c>
      <c r="R510" s="41">
        <v>2.11</v>
      </c>
      <c r="S510">
        <f t="shared" si="260"/>
        <v>0.57999999999999996</v>
      </c>
      <c r="T510" s="30">
        <f t="shared" si="261"/>
        <v>207.16</v>
      </c>
      <c r="U510" s="30">
        <f t="shared" si="268"/>
        <v>198.45</v>
      </c>
    </row>
    <row r="511" spans="1:21" ht="15" customHeight="1" x14ac:dyDescent="0.25">
      <c r="A511" s="5">
        <v>39768</v>
      </c>
      <c r="B511" s="5">
        <f t="shared" si="262"/>
        <v>39782</v>
      </c>
      <c r="C511">
        <v>873.29</v>
      </c>
      <c r="D511" s="29">
        <f t="shared" si="263"/>
        <v>-6.0199999999999997E-2</v>
      </c>
      <c r="E511" s="39">
        <f t="shared" si="264"/>
        <v>1086.6300000000001</v>
      </c>
      <c r="F511" s="39">
        <f t="shared" si="265"/>
        <v>1249.3356410256413</v>
      </c>
      <c r="G511" s="29">
        <f t="shared" si="257"/>
        <v>-0.1963</v>
      </c>
      <c r="H511" s="29">
        <f t="shared" si="257"/>
        <v>-0.30099999999999999</v>
      </c>
      <c r="I511">
        <f t="shared" si="266"/>
        <v>873.29</v>
      </c>
      <c r="J511">
        <f>IF(A511&gt;=Quarterly!B$2,Quarterly!C$2,IF(COUNTIFS(Quarterly!B:B,"&gt;="&amp;A511-92,Quarterly!B:B,"&lt;="&amp;A511)&gt;1,SUMIFS(Quarterly!C:C,Quarterly!B:B,"&gt;="&amp;A511-88,Quarterly!B:B,"&lt;="&amp;A511),SUMIFS(Quarterly!C:C,Quarterly!B:B,"&gt;="&amp;A511-92,Quarterly!B:B,"&lt;="&amp;A511)))</f>
        <v>14843</v>
      </c>
      <c r="K511" s="13">
        <f t="shared" si="267"/>
        <v>5.8799999999999998E-2</v>
      </c>
      <c r="L511">
        <f t="shared" si="269"/>
        <v>873.29</v>
      </c>
      <c r="M511">
        <f>IF(A511&gt;=Quarterly!B$2,Quarterly!D$2,IF(COUNTIFS(Quarterly!B:B,"&gt;="&amp;A511-92,Quarterly!B:B,"&lt;="&amp;A511)&gt;1,SUMIFS(Quarterly!D:D,Quarterly!B:B,"&gt;="&amp;A511-88,Quarterly!B:B,"&lt;="&amp;A511),SUMIFS(Quarterly!D:D,Quarterly!B:B,"&gt;="&amp;A511-92,Quarterly!B:B,"&lt;="&amp;A511)))</f>
        <v>1188.8230000000001</v>
      </c>
      <c r="N511" s="13">
        <f t="shared" si="270"/>
        <v>7.3460000000000011E-2</v>
      </c>
      <c r="O511">
        <f t="shared" si="258"/>
        <v>873.29</v>
      </c>
      <c r="P511" s="56">
        <f>VLOOKUP(EOMONTH(A511,-1),Economic!A:I,7,FALSE)</f>
        <v>1212699</v>
      </c>
      <c r="Q511" s="13">
        <f t="shared" si="259"/>
        <v>7.2000000000000008E-2</v>
      </c>
      <c r="R511" s="41">
        <v>2.5</v>
      </c>
      <c r="S511">
        <f t="shared" si="260"/>
        <v>0.42</v>
      </c>
      <c r="T511" s="30">
        <f t="shared" si="261"/>
        <v>196.07</v>
      </c>
      <c r="U511" s="30">
        <f t="shared" si="268"/>
        <v>190.68</v>
      </c>
    </row>
    <row r="512" spans="1:21" ht="15" customHeight="1" x14ac:dyDescent="0.25">
      <c r="A512" s="5">
        <v>39761</v>
      </c>
      <c r="B512" s="5">
        <f t="shared" si="262"/>
        <v>39782</v>
      </c>
      <c r="C512">
        <v>930.99</v>
      </c>
      <c r="D512" s="29">
        <f t="shared" si="263"/>
        <v>1.0500000000000001E-2</v>
      </c>
      <c r="E512" s="39">
        <f t="shared" si="264"/>
        <v>1119.3153846153848</v>
      </c>
      <c r="F512" s="39">
        <f t="shared" si="265"/>
        <v>1261.5587179487181</v>
      </c>
      <c r="G512" s="29">
        <f t="shared" si="257"/>
        <v>-0.16830000000000001</v>
      </c>
      <c r="H512" s="29">
        <f t="shared" si="257"/>
        <v>-0.26200000000000001</v>
      </c>
      <c r="I512">
        <f t="shared" si="266"/>
        <v>930.99</v>
      </c>
      <c r="J512">
        <f>IF(A512&gt;=Quarterly!B$2,Quarterly!C$2,IF(COUNTIFS(Quarterly!B:B,"&gt;="&amp;A512-92,Quarterly!B:B,"&lt;="&amp;A512)&gt;1,SUMIFS(Quarterly!C:C,Quarterly!B:B,"&gt;="&amp;A512-88,Quarterly!B:B,"&lt;="&amp;A512),SUMIFS(Quarterly!C:C,Quarterly!B:B,"&gt;="&amp;A512-92,Quarterly!B:B,"&lt;="&amp;A512)))</f>
        <v>14843</v>
      </c>
      <c r="K512" s="13">
        <f t="shared" si="267"/>
        <v>6.2700000000000006E-2</v>
      </c>
      <c r="L512">
        <f t="shared" si="269"/>
        <v>930.99</v>
      </c>
      <c r="M512">
        <f>IF(A512&gt;=Quarterly!B$2,Quarterly!D$2,IF(COUNTIFS(Quarterly!B:B,"&gt;="&amp;A512-92,Quarterly!B:B,"&lt;="&amp;A512)&gt;1,SUMIFS(Quarterly!D:D,Quarterly!B:B,"&gt;="&amp;A512-88,Quarterly!B:B,"&lt;="&amp;A512),SUMIFS(Quarterly!D:D,Quarterly!B:B,"&gt;="&amp;A512-92,Quarterly!B:B,"&lt;="&amp;A512)))</f>
        <v>1188.8230000000001</v>
      </c>
      <c r="N512" s="13">
        <f t="shared" si="270"/>
        <v>7.8310000000000005E-2</v>
      </c>
      <c r="O512">
        <f t="shared" si="258"/>
        <v>930.99</v>
      </c>
      <c r="P512" s="56">
        <f>VLOOKUP(EOMONTH(A512,-1),Economic!A:I,7,FALSE)</f>
        <v>1212699</v>
      </c>
      <c r="Q512" s="13">
        <f t="shared" si="259"/>
        <v>7.6800000000000007E-2</v>
      </c>
      <c r="R512" s="41">
        <v>2.5</v>
      </c>
      <c r="S512">
        <f t="shared" si="260"/>
        <v>0.48</v>
      </c>
      <c r="T512" s="30">
        <f t="shared" si="261"/>
        <v>192.12</v>
      </c>
      <c r="U512" s="30">
        <f t="shared" si="268"/>
        <v>184.97</v>
      </c>
    </row>
    <row r="513" spans="1:21" ht="15" customHeight="1" x14ac:dyDescent="0.25">
      <c r="A513" s="5">
        <v>39754</v>
      </c>
      <c r="B513" s="5">
        <f t="shared" si="262"/>
        <v>39782</v>
      </c>
      <c r="C513">
        <v>968.75</v>
      </c>
      <c r="D513" s="29">
        <f t="shared" si="263"/>
        <v>1.55E-2</v>
      </c>
      <c r="E513" s="39">
        <f t="shared" si="264"/>
        <v>1147.4176923076925</v>
      </c>
      <c r="F513" s="39">
        <f t="shared" si="265"/>
        <v>1271.8228205128205</v>
      </c>
      <c r="G513" s="29">
        <f t="shared" si="257"/>
        <v>-0.15570000000000001</v>
      </c>
      <c r="H513" s="29">
        <f t="shared" si="257"/>
        <v>-0.23830000000000001</v>
      </c>
      <c r="I513">
        <f t="shared" si="266"/>
        <v>968.75</v>
      </c>
      <c r="J513">
        <f>IF(A513&gt;=Quarterly!B$2,Quarterly!C$2,IF(COUNTIFS(Quarterly!B:B,"&gt;="&amp;A513-92,Quarterly!B:B,"&lt;="&amp;A513)&gt;1,SUMIFS(Quarterly!C:C,Quarterly!B:B,"&gt;="&amp;A513-88,Quarterly!B:B,"&lt;="&amp;A513),SUMIFS(Quarterly!C:C,Quarterly!B:B,"&gt;="&amp;A513-92,Quarterly!B:B,"&lt;="&amp;A513)))</f>
        <v>14843</v>
      </c>
      <c r="K513" s="13">
        <f t="shared" si="267"/>
        <v>6.5299999999999997E-2</v>
      </c>
      <c r="L513">
        <f t="shared" si="269"/>
        <v>968.75</v>
      </c>
      <c r="M513">
        <f>IF(A513&gt;=Quarterly!B$2,Quarterly!D$2,IF(COUNTIFS(Quarterly!B:B,"&gt;="&amp;A513-92,Quarterly!B:B,"&lt;="&amp;A513)&gt;1,SUMIFS(Quarterly!D:D,Quarterly!B:B,"&gt;="&amp;A513-88,Quarterly!B:B,"&lt;="&amp;A513),SUMIFS(Quarterly!D:D,Quarterly!B:B,"&gt;="&amp;A513-92,Quarterly!B:B,"&lt;="&amp;A513)))</f>
        <v>1188.8230000000001</v>
      </c>
      <c r="N513" s="13">
        <f t="shared" si="270"/>
        <v>8.1490000000000007E-2</v>
      </c>
      <c r="O513">
        <f t="shared" si="258"/>
        <v>968.75</v>
      </c>
      <c r="P513" s="56">
        <f>VLOOKUP(EOMONTH(A513,-1),Economic!A:I,7,FALSE)</f>
        <v>1212699</v>
      </c>
      <c r="Q513" s="13">
        <f t="shared" si="259"/>
        <v>7.9899999999999999E-2</v>
      </c>
      <c r="R513" s="41">
        <v>2.4500000000000002</v>
      </c>
      <c r="S513">
        <f t="shared" si="260"/>
        <v>0.39</v>
      </c>
      <c r="T513" s="30">
        <f t="shared" si="261"/>
        <v>183.84</v>
      </c>
      <c r="U513" s="30">
        <f t="shared" si="268"/>
        <v>180.61</v>
      </c>
    </row>
    <row r="514" spans="1:21" ht="15" customHeight="1" x14ac:dyDescent="0.25">
      <c r="A514" s="5">
        <v>39747</v>
      </c>
      <c r="B514" s="5">
        <f t="shared" si="262"/>
        <v>39752</v>
      </c>
      <c r="C514">
        <v>876.77</v>
      </c>
      <c r="D514" s="29">
        <f t="shared" si="263"/>
        <v>-0.15540000000000001</v>
      </c>
      <c r="E514" s="39">
        <f t="shared" si="264"/>
        <v>1169.8453846153845</v>
      </c>
      <c r="F514" s="39">
        <f t="shared" si="265"/>
        <v>1282.7630769230771</v>
      </c>
      <c r="G514" s="29">
        <f t="shared" ref="G514:H577" si="271">ROUND(($C514-E514)/E514,4)</f>
        <v>-0.2505</v>
      </c>
      <c r="H514" s="29">
        <f t="shared" si="271"/>
        <v>-0.3165</v>
      </c>
      <c r="I514">
        <f t="shared" si="266"/>
        <v>876.77</v>
      </c>
      <c r="J514">
        <f>IF(A514&gt;=Quarterly!B$2,Quarterly!C$2,IF(COUNTIFS(Quarterly!B:B,"&gt;="&amp;A514-92,Quarterly!B:B,"&lt;="&amp;A514)&gt;1,SUMIFS(Quarterly!C:C,Quarterly!B:B,"&gt;="&amp;A514-88,Quarterly!B:B,"&lt;="&amp;A514),SUMIFS(Quarterly!C:C,Quarterly!B:B,"&gt;="&amp;A514-92,Quarterly!B:B,"&lt;="&amp;A514)))</f>
        <v>14813</v>
      </c>
      <c r="K514" s="13">
        <f t="shared" si="267"/>
        <v>5.9200000000000003E-2</v>
      </c>
      <c r="L514">
        <f t="shared" si="269"/>
        <v>876.77</v>
      </c>
      <c r="M514">
        <f>IF(A514&gt;=Quarterly!B$2,Quarterly!D$2,IF(COUNTIFS(Quarterly!B:B,"&gt;="&amp;A514-92,Quarterly!B:B,"&lt;="&amp;A514)&gt;1,SUMIFS(Quarterly!D:D,Quarterly!B:B,"&gt;="&amp;A514-88,Quarterly!B:B,"&lt;="&amp;A514),SUMIFS(Quarterly!D:D,Quarterly!B:B,"&gt;="&amp;A514-92,Quarterly!B:B,"&lt;="&amp;A514)))</f>
        <v>1229.6189999999999</v>
      </c>
      <c r="N514" s="13">
        <f t="shared" si="270"/>
        <v>7.1300000000000002E-2</v>
      </c>
      <c r="O514">
        <f t="shared" si="258"/>
        <v>876.77</v>
      </c>
      <c r="P514" s="56">
        <f>VLOOKUP(EOMONTH(A514,-1),Economic!A:I,7,FALSE)</f>
        <v>1215736</v>
      </c>
      <c r="Q514" s="13">
        <f t="shared" si="259"/>
        <v>7.2099999999999997E-2</v>
      </c>
      <c r="R514" s="41">
        <v>2.19</v>
      </c>
      <c r="S514">
        <f t="shared" si="260"/>
        <v>0.33</v>
      </c>
      <c r="T514" s="30">
        <f t="shared" si="261"/>
        <v>178.94</v>
      </c>
      <c r="U514" s="30">
        <f t="shared" si="268"/>
        <v>176.2</v>
      </c>
    </row>
    <row r="515" spans="1:21" ht="15" customHeight="1" x14ac:dyDescent="0.25">
      <c r="A515" s="5">
        <v>39740</v>
      </c>
      <c r="B515" s="5">
        <f t="shared" si="262"/>
        <v>39752</v>
      </c>
      <c r="C515">
        <v>940.55</v>
      </c>
      <c r="D515" s="29">
        <f t="shared" si="263"/>
        <v>-0.15770000000000001</v>
      </c>
      <c r="E515" s="39">
        <f t="shared" si="264"/>
        <v>1199.1523076923079</v>
      </c>
      <c r="F515" s="39">
        <f t="shared" si="265"/>
        <v>1294.4000000000001</v>
      </c>
      <c r="G515" s="29">
        <f t="shared" si="271"/>
        <v>-0.2157</v>
      </c>
      <c r="H515" s="29">
        <f t="shared" si="271"/>
        <v>-0.27339999999999998</v>
      </c>
      <c r="I515">
        <f t="shared" si="266"/>
        <v>940.55</v>
      </c>
      <c r="J515">
        <f>IF(A515&gt;=Quarterly!B$2,Quarterly!C$2,IF(COUNTIFS(Quarterly!B:B,"&gt;="&amp;A515-92,Quarterly!B:B,"&lt;="&amp;A515)&gt;1,SUMIFS(Quarterly!C:C,Quarterly!B:B,"&gt;="&amp;A515-88,Quarterly!B:B,"&lt;="&amp;A515),SUMIFS(Quarterly!C:C,Quarterly!B:B,"&gt;="&amp;A515-92,Quarterly!B:B,"&lt;="&amp;A515)))</f>
        <v>14813</v>
      </c>
      <c r="K515" s="13">
        <f t="shared" si="267"/>
        <v>6.3500000000000001E-2</v>
      </c>
      <c r="L515">
        <f t="shared" si="269"/>
        <v>940.55</v>
      </c>
      <c r="M515">
        <f>IF(A515&gt;=Quarterly!B$2,Quarterly!D$2,IF(COUNTIFS(Quarterly!B:B,"&gt;="&amp;A515-92,Quarterly!B:B,"&lt;="&amp;A515)&gt;1,SUMIFS(Quarterly!D:D,Quarterly!B:B,"&gt;="&amp;A515-88,Quarterly!B:B,"&lt;="&amp;A515),SUMIFS(Quarterly!D:D,Quarterly!B:B,"&gt;="&amp;A515-92,Quarterly!B:B,"&lt;="&amp;A515)))</f>
        <v>1229.6189999999999</v>
      </c>
      <c r="N515" s="13">
        <f t="shared" si="270"/>
        <v>7.6490000000000002E-2</v>
      </c>
      <c r="O515">
        <f t="shared" si="258"/>
        <v>940.55</v>
      </c>
      <c r="P515" s="56">
        <f>VLOOKUP(EOMONTH(A515,-1),Economic!A:I,7,FALSE)</f>
        <v>1215736</v>
      </c>
      <c r="Q515" s="13">
        <f t="shared" si="259"/>
        <v>7.7399999999999997E-2</v>
      </c>
      <c r="R515" s="41">
        <v>2.34</v>
      </c>
      <c r="S515">
        <f t="shared" si="260"/>
        <v>0.5</v>
      </c>
      <c r="T515" s="30">
        <f t="shared" si="261"/>
        <v>179.05</v>
      </c>
      <c r="U515" s="30">
        <f t="shared" si="268"/>
        <v>169.92</v>
      </c>
    </row>
    <row r="516" spans="1:21" ht="15" customHeight="1" x14ac:dyDescent="0.25">
      <c r="A516" s="5">
        <v>39733</v>
      </c>
      <c r="B516" s="5">
        <f t="shared" si="262"/>
        <v>39752</v>
      </c>
      <c r="C516">
        <v>899.22</v>
      </c>
      <c r="D516" s="29">
        <f t="shared" si="263"/>
        <v>-0.25359999999999999</v>
      </c>
      <c r="E516" s="39">
        <f t="shared" si="264"/>
        <v>1223.7776923076924</v>
      </c>
      <c r="F516" s="39">
        <f t="shared" si="265"/>
        <v>1304.2625641025645</v>
      </c>
      <c r="G516" s="29">
        <f t="shared" si="271"/>
        <v>-0.26519999999999999</v>
      </c>
      <c r="H516" s="29">
        <f t="shared" si="271"/>
        <v>-0.31059999999999999</v>
      </c>
      <c r="I516">
        <f t="shared" si="266"/>
        <v>899.22</v>
      </c>
      <c r="J516">
        <f>IF(A516&gt;=Quarterly!B$2,Quarterly!C$2,IF(COUNTIFS(Quarterly!B:B,"&gt;="&amp;A516-92,Quarterly!B:B,"&lt;="&amp;A516)&gt;1,SUMIFS(Quarterly!C:C,Quarterly!B:B,"&gt;="&amp;A516-88,Quarterly!B:B,"&lt;="&amp;A516),SUMIFS(Quarterly!C:C,Quarterly!B:B,"&gt;="&amp;A516-92,Quarterly!B:B,"&lt;="&amp;A516)))</f>
        <v>14813</v>
      </c>
      <c r="K516" s="13">
        <f t="shared" si="267"/>
        <v>6.0699999999999997E-2</v>
      </c>
      <c r="L516">
        <f t="shared" si="269"/>
        <v>899.22</v>
      </c>
      <c r="M516">
        <f>IF(A516&gt;=Quarterly!B$2,Quarterly!D$2,IF(COUNTIFS(Quarterly!B:B,"&gt;="&amp;A516-92,Quarterly!B:B,"&lt;="&amp;A516)&gt;1,SUMIFS(Quarterly!D:D,Quarterly!B:B,"&gt;="&amp;A516-88,Quarterly!B:B,"&lt;="&amp;A516),SUMIFS(Quarterly!D:D,Quarterly!B:B,"&gt;="&amp;A516-92,Quarterly!B:B,"&lt;="&amp;A516)))</f>
        <v>1229.6189999999999</v>
      </c>
      <c r="N516" s="13">
        <f t="shared" si="270"/>
        <v>7.3130000000000001E-2</v>
      </c>
      <c r="O516">
        <f t="shared" si="258"/>
        <v>899.22</v>
      </c>
      <c r="P516" s="56">
        <f>VLOOKUP(EOMONTH(A516,-1),Economic!A:I,7,FALSE)</f>
        <v>1215736</v>
      </c>
      <c r="Q516" s="13">
        <f t="shared" si="259"/>
        <v>7.3999999999999996E-2</v>
      </c>
      <c r="R516" s="41">
        <v>2.27</v>
      </c>
      <c r="S516">
        <f t="shared" si="260"/>
        <v>0.34</v>
      </c>
      <c r="T516" s="30">
        <f t="shared" si="261"/>
        <v>170.61</v>
      </c>
      <c r="U516" s="30">
        <f t="shared" si="268"/>
        <v>162.01</v>
      </c>
    </row>
    <row r="517" spans="1:21" ht="15" customHeight="1" x14ac:dyDescent="0.25">
      <c r="A517" s="5">
        <v>39726</v>
      </c>
      <c r="B517" s="5">
        <f t="shared" si="262"/>
        <v>39752</v>
      </c>
      <c r="C517">
        <v>1099.23</v>
      </c>
      <c r="D517" s="29">
        <f t="shared" si="263"/>
        <v>-0.1139</v>
      </c>
      <c r="E517" s="39">
        <f t="shared" si="264"/>
        <v>1249.9523076923078</v>
      </c>
      <c r="F517" s="39">
        <f t="shared" si="265"/>
        <v>1317.1292307692311</v>
      </c>
      <c r="G517" s="29">
        <f t="shared" si="271"/>
        <v>-0.1206</v>
      </c>
      <c r="H517" s="29">
        <f t="shared" si="271"/>
        <v>-0.16539999999999999</v>
      </c>
      <c r="I517">
        <f t="shared" si="266"/>
        <v>1099.23</v>
      </c>
      <c r="J517">
        <f>IF(A517&gt;=Quarterly!B$2,Quarterly!C$2,IF(COUNTIFS(Quarterly!B:B,"&gt;="&amp;A517-92,Quarterly!B:B,"&lt;="&amp;A517)&gt;1,SUMIFS(Quarterly!C:C,Quarterly!B:B,"&gt;="&amp;A517-88,Quarterly!B:B,"&lt;="&amp;A517),SUMIFS(Quarterly!C:C,Quarterly!B:B,"&gt;="&amp;A517-92,Quarterly!B:B,"&lt;="&amp;A517)))</f>
        <v>14813</v>
      </c>
      <c r="K517" s="13">
        <f t="shared" si="267"/>
        <v>7.4200000000000002E-2</v>
      </c>
      <c r="L517">
        <f t="shared" si="269"/>
        <v>1099.23</v>
      </c>
      <c r="M517">
        <f>IF(A517&gt;=Quarterly!B$2,Quarterly!D$2,IF(COUNTIFS(Quarterly!B:B,"&gt;="&amp;A517-92,Quarterly!B:B,"&lt;="&amp;A517)&gt;1,SUMIFS(Quarterly!D:D,Quarterly!B:B,"&gt;="&amp;A517-88,Quarterly!B:B,"&lt;="&amp;A517),SUMIFS(Quarterly!D:D,Quarterly!B:B,"&gt;="&amp;A517-92,Quarterly!B:B,"&lt;="&amp;A517)))</f>
        <v>1229.6189999999999</v>
      </c>
      <c r="N517" s="13">
        <f t="shared" si="270"/>
        <v>8.9400000000000007E-2</v>
      </c>
      <c r="O517">
        <f t="shared" si="258"/>
        <v>1099.23</v>
      </c>
      <c r="P517" s="56">
        <f>VLOOKUP(EOMONTH(A517,-1),Economic!A:I,7,FALSE)</f>
        <v>1215736</v>
      </c>
      <c r="Q517" s="13">
        <f t="shared" si="259"/>
        <v>9.0399999999999994E-2</v>
      </c>
      <c r="R517" s="41">
        <v>2.0299999999999998</v>
      </c>
      <c r="S517">
        <f t="shared" si="260"/>
        <v>0.25</v>
      </c>
      <c r="T517" s="30">
        <f t="shared" si="261"/>
        <v>160.11000000000001</v>
      </c>
      <c r="U517" s="30">
        <f t="shared" si="268"/>
        <v>155.63999999999999</v>
      </c>
    </row>
    <row r="518" spans="1:21" ht="15" customHeight="1" x14ac:dyDescent="0.25">
      <c r="A518" s="5">
        <v>39719</v>
      </c>
      <c r="B518" s="5">
        <f t="shared" si="262"/>
        <v>39721</v>
      </c>
      <c r="C518">
        <v>1213.27</v>
      </c>
      <c r="D518" s="29">
        <f t="shared" si="263"/>
        <v>-3.5499999999999997E-2</v>
      </c>
      <c r="E518" s="39">
        <f t="shared" si="264"/>
        <v>1262.5423076923075</v>
      </c>
      <c r="F518" s="39">
        <f t="shared" si="265"/>
        <v>1325.1394871794873</v>
      </c>
      <c r="G518" s="29">
        <f t="shared" si="271"/>
        <v>-3.9E-2</v>
      </c>
      <c r="H518" s="29">
        <f t="shared" si="271"/>
        <v>-8.4400000000000003E-2</v>
      </c>
      <c r="I518">
        <f t="shared" si="266"/>
        <v>1213.27</v>
      </c>
      <c r="J518">
        <f>IF(A518&gt;=Quarterly!B$2,Quarterly!C$2,IF(COUNTIFS(Quarterly!B:B,"&gt;="&amp;A518-92,Quarterly!B:B,"&lt;="&amp;A518)&gt;1,SUMIFS(Quarterly!C:C,Quarterly!B:B,"&gt;="&amp;A518-88,Quarterly!B:B,"&lt;="&amp;A518),SUMIFS(Quarterly!C:C,Quarterly!B:B,"&gt;="&amp;A518-92,Quarterly!B:B,"&lt;="&amp;A518)))</f>
        <v>14813</v>
      </c>
      <c r="K518" s="13">
        <f t="shared" si="267"/>
        <v>8.1900000000000001E-2</v>
      </c>
      <c r="L518">
        <f t="shared" si="269"/>
        <v>1213.27</v>
      </c>
      <c r="M518">
        <f>IF(A518&gt;=Quarterly!B$2,Quarterly!D$2,IF(COUNTIFS(Quarterly!B:B,"&gt;="&amp;A518-92,Quarterly!B:B,"&lt;="&amp;A518)&gt;1,SUMIFS(Quarterly!D:D,Quarterly!B:B,"&gt;="&amp;A518-88,Quarterly!B:B,"&lt;="&amp;A518),SUMIFS(Quarterly!D:D,Quarterly!B:B,"&gt;="&amp;A518-92,Quarterly!B:B,"&lt;="&amp;A518)))</f>
        <v>1229.6189999999999</v>
      </c>
      <c r="N518" s="13">
        <f t="shared" si="270"/>
        <v>9.8670000000000008E-2</v>
      </c>
      <c r="O518">
        <f t="shared" ref="O518:O581" si="272">C518</f>
        <v>1213.27</v>
      </c>
      <c r="P518" s="56">
        <f>VLOOKUP(EOMONTH(A518,-1),Economic!A:I,7,FALSE)</f>
        <v>1208424</v>
      </c>
      <c r="Q518" s="13">
        <f t="shared" ref="Q518:Q581" si="273">ROUND(O518/P518,6)*100</f>
        <v>0.10039999999999999</v>
      </c>
      <c r="R518" s="41">
        <v>1.74</v>
      </c>
      <c r="S518">
        <f t="shared" ref="S518:S581" si="274">R579</f>
        <v>0.24</v>
      </c>
      <c r="T518" s="30">
        <f t="shared" ref="T518:T581" si="275">IF((ROUND((S518*40)+(G518*350)-(H518*100)-((N518-0.15)*350)-(((K518*10.5)-1)*270)-(Q518*100),2)+144)*0.8&lt;0,0,ROUND((ROUND((S518*40)+(G518*350)-(H518*100)-((N518-0.15)*350)-(((K518*10.5)-1)*270)-(Q518*100),2)+144)*0.8,2))</f>
        <v>155.30000000000001</v>
      </c>
      <c r="U518" s="30">
        <f t="shared" si="268"/>
        <v>152.54</v>
      </c>
    </row>
    <row r="519" spans="1:21" ht="15" customHeight="1" x14ac:dyDescent="0.25">
      <c r="A519" s="5">
        <v>39712</v>
      </c>
      <c r="B519" s="5">
        <f t="shared" si="262"/>
        <v>39721</v>
      </c>
      <c r="C519">
        <v>1255.08</v>
      </c>
      <c r="D519" s="29">
        <f t="shared" si="263"/>
        <v>-9.5999999999999992E-3</v>
      </c>
      <c r="E519" s="39">
        <f t="shared" si="264"/>
        <v>1267.5507692307692</v>
      </c>
      <c r="F519" s="39">
        <f t="shared" si="265"/>
        <v>1331.9399999999998</v>
      </c>
      <c r="G519" s="29">
        <f t="shared" si="271"/>
        <v>-9.7999999999999997E-3</v>
      </c>
      <c r="H519" s="29">
        <f t="shared" si="271"/>
        <v>-5.7700000000000001E-2</v>
      </c>
      <c r="I519">
        <f t="shared" si="266"/>
        <v>1255.08</v>
      </c>
      <c r="J519">
        <f>IF(A519&gt;=Quarterly!B$2,Quarterly!C$2,IF(COUNTIFS(Quarterly!B:B,"&gt;="&amp;A519-92,Quarterly!B:B,"&lt;="&amp;A519)&gt;1,SUMIFS(Quarterly!C:C,Quarterly!B:B,"&gt;="&amp;A519-88,Quarterly!B:B,"&lt;="&amp;A519),SUMIFS(Quarterly!C:C,Quarterly!B:B,"&gt;="&amp;A519-92,Quarterly!B:B,"&lt;="&amp;A519)))</f>
        <v>14813</v>
      </c>
      <c r="K519" s="13">
        <f t="shared" si="267"/>
        <v>8.4699999999999998E-2</v>
      </c>
      <c r="L519">
        <f t="shared" si="269"/>
        <v>1255.08</v>
      </c>
      <c r="M519">
        <f>IF(A519&gt;=Quarterly!B$2,Quarterly!D$2,IF(COUNTIFS(Quarterly!B:B,"&gt;="&amp;A519-92,Quarterly!B:B,"&lt;="&amp;A519)&gt;1,SUMIFS(Quarterly!D:D,Quarterly!B:B,"&gt;="&amp;A519-88,Quarterly!B:B,"&lt;="&amp;A519),SUMIFS(Quarterly!D:D,Quarterly!B:B,"&gt;="&amp;A519-92,Quarterly!B:B,"&lt;="&amp;A519)))</f>
        <v>1229.6189999999999</v>
      </c>
      <c r="N519" s="13">
        <f t="shared" si="270"/>
        <v>0.10206999999999999</v>
      </c>
      <c r="O519">
        <f t="shared" si="272"/>
        <v>1255.08</v>
      </c>
      <c r="P519" s="56">
        <f>VLOOKUP(EOMONTH(A519,-1),Economic!A:I,7,FALSE)</f>
        <v>1208424</v>
      </c>
      <c r="Q519" s="13">
        <f t="shared" si="273"/>
        <v>0.10389999999999999</v>
      </c>
      <c r="R519" s="41">
        <v>1.62</v>
      </c>
      <c r="S519">
        <f t="shared" si="274"/>
        <v>0.17</v>
      </c>
      <c r="T519" s="30">
        <f t="shared" si="275"/>
        <v>151.52000000000001</v>
      </c>
      <c r="U519" s="30">
        <f t="shared" si="268"/>
        <v>150.91</v>
      </c>
    </row>
    <row r="520" spans="1:21" ht="15" customHeight="1" x14ac:dyDescent="0.25">
      <c r="A520" s="5">
        <v>39705</v>
      </c>
      <c r="B520" s="5">
        <f t="shared" si="262"/>
        <v>39721</v>
      </c>
      <c r="C520">
        <v>1251.7</v>
      </c>
      <c r="D520" s="29">
        <f t="shared" si="263"/>
        <v>-2.1299999999999999E-2</v>
      </c>
      <c r="E520" s="39">
        <f t="shared" si="264"/>
        <v>1272.3853846153845</v>
      </c>
      <c r="F520" s="39">
        <f t="shared" si="265"/>
        <v>1337.8215384615382</v>
      </c>
      <c r="G520" s="29">
        <f t="shared" si="271"/>
        <v>-1.6299999999999999E-2</v>
      </c>
      <c r="H520" s="29">
        <f t="shared" si="271"/>
        <v>-6.4399999999999999E-2</v>
      </c>
      <c r="I520">
        <f t="shared" si="266"/>
        <v>1251.7</v>
      </c>
      <c r="J520">
        <f>IF(A520&gt;=Quarterly!B$2,Quarterly!C$2,IF(COUNTIFS(Quarterly!B:B,"&gt;="&amp;A520-92,Quarterly!B:B,"&lt;="&amp;A520)&gt;1,SUMIFS(Quarterly!C:C,Quarterly!B:B,"&gt;="&amp;A520-88,Quarterly!B:B,"&lt;="&amp;A520),SUMIFS(Quarterly!C:C,Quarterly!B:B,"&gt;="&amp;A520-92,Quarterly!B:B,"&lt;="&amp;A520)))</f>
        <v>14813</v>
      </c>
      <c r="K520" s="13">
        <f t="shared" si="267"/>
        <v>8.4500000000000006E-2</v>
      </c>
      <c r="L520">
        <f t="shared" si="269"/>
        <v>1251.7</v>
      </c>
      <c r="M520">
        <f>IF(A520&gt;=Quarterly!B$2,Quarterly!D$2,IF(COUNTIFS(Quarterly!B:B,"&gt;="&amp;A520-92,Quarterly!B:B,"&lt;="&amp;A520)&gt;1,SUMIFS(Quarterly!D:D,Quarterly!B:B,"&gt;="&amp;A520-88,Quarterly!B:B,"&lt;="&amp;A520),SUMIFS(Quarterly!D:D,Quarterly!B:B,"&gt;="&amp;A520-92,Quarterly!B:B,"&lt;="&amp;A520)))</f>
        <v>1229.6189999999999</v>
      </c>
      <c r="N520" s="13">
        <f t="shared" si="270"/>
        <v>0.1018</v>
      </c>
      <c r="O520">
        <f t="shared" si="272"/>
        <v>1251.7</v>
      </c>
      <c r="P520" s="56">
        <f>VLOOKUP(EOMONTH(A520,-1),Economic!A:I,7,FALSE)</f>
        <v>1208424</v>
      </c>
      <c r="Q520" s="13">
        <f t="shared" si="273"/>
        <v>0.1036</v>
      </c>
      <c r="R520" s="41">
        <v>1.51</v>
      </c>
      <c r="S520">
        <f t="shared" si="274"/>
        <v>0.17</v>
      </c>
      <c r="T520" s="30">
        <f t="shared" si="275"/>
        <v>150.79</v>
      </c>
      <c r="U520" s="30">
        <f t="shared" si="268"/>
        <v>149.26</v>
      </c>
    </row>
    <row r="521" spans="1:21" ht="15" customHeight="1" x14ac:dyDescent="0.25">
      <c r="A521" s="5">
        <v>39698</v>
      </c>
      <c r="B521" s="5">
        <f t="shared" si="262"/>
        <v>39721</v>
      </c>
      <c r="C521">
        <v>1242.31</v>
      </c>
      <c r="D521" s="29">
        <f t="shared" si="263"/>
        <v>-3.8699999999999998E-2</v>
      </c>
      <c r="E521" s="39">
        <f t="shared" si="264"/>
        <v>1280.7184615384615</v>
      </c>
      <c r="F521" s="39">
        <f t="shared" si="265"/>
        <v>1343.3664102564101</v>
      </c>
      <c r="G521" s="29">
        <f t="shared" si="271"/>
        <v>-0.03</v>
      </c>
      <c r="H521" s="29">
        <f t="shared" si="271"/>
        <v>-7.5200000000000003E-2</v>
      </c>
      <c r="I521">
        <f t="shared" si="266"/>
        <v>1242.31</v>
      </c>
      <c r="J521">
        <f>IF(A521&gt;=Quarterly!B$2,Quarterly!C$2,IF(COUNTIFS(Quarterly!B:B,"&gt;="&amp;A521-92,Quarterly!B:B,"&lt;="&amp;A521)&gt;1,SUMIFS(Quarterly!C:C,Quarterly!B:B,"&gt;="&amp;A521-88,Quarterly!B:B,"&lt;="&amp;A521),SUMIFS(Quarterly!C:C,Quarterly!B:B,"&gt;="&amp;A521-92,Quarterly!B:B,"&lt;="&amp;A521)))</f>
        <v>14813</v>
      </c>
      <c r="K521" s="13">
        <f t="shared" si="267"/>
        <v>8.3900000000000002E-2</v>
      </c>
      <c r="L521">
        <f t="shared" si="269"/>
        <v>1242.31</v>
      </c>
      <c r="M521">
        <f>IF(A521&gt;=Quarterly!B$2,Quarterly!D$2,IF(COUNTIFS(Quarterly!B:B,"&gt;="&amp;A521-92,Quarterly!B:B,"&lt;="&amp;A521)&gt;1,SUMIFS(Quarterly!D:D,Quarterly!B:B,"&gt;="&amp;A521-88,Quarterly!B:B,"&lt;="&amp;A521),SUMIFS(Quarterly!D:D,Quarterly!B:B,"&gt;="&amp;A521-92,Quarterly!B:B,"&lt;="&amp;A521)))</f>
        <v>1229.6189999999999</v>
      </c>
      <c r="N521" s="13">
        <f t="shared" si="270"/>
        <v>0.10103000000000001</v>
      </c>
      <c r="O521">
        <f t="shared" si="272"/>
        <v>1242.31</v>
      </c>
      <c r="P521" s="56">
        <f>VLOOKUP(EOMONTH(A521,-1),Economic!A:I,7,FALSE)</f>
        <v>1208424</v>
      </c>
      <c r="Q521" s="13">
        <f t="shared" si="273"/>
        <v>0.1028</v>
      </c>
      <c r="R521" s="41">
        <v>1.43</v>
      </c>
      <c r="S521">
        <f t="shared" si="274"/>
        <v>0.2</v>
      </c>
      <c r="T521" s="30">
        <f t="shared" si="275"/>
        <v>150.41999999999999</v>
      </c>
      <c r="U521" s="30">
        <f t="shared" si="268"/>
        <v>147.88</v>
      </c>
    </row>
    <row r="522" spans="1:21" ht="15" customHeight="1" x14ac:dyDescent="0.25">
      <c r="A522" s="5">
        <v>39691</v>
      </c>
      <c r="B522" s="5">
        <f t="shared" si="262"/>
        <v>39691</v>
      </c>
      <c r="C522">
        <v>1282.83</v>
      </c>
      <c r="D522" s="29">
        <f t="shared" si="263"/>
        <v>-3.0999999999999999E-3</v>
      </c>
      <c r="E522" s="39">
        <f t="shared" si="264"/>
        <v>1289.823846153846</v>
      </c>
      <c r="F522" s="39">
        <f t="shared" si="265"/>
        <v>1350.0933333333332</v>
      </c>
      <c r="G522" s="29">
        <f t="shared" si="271"/>
        <v>-5.4000000000000003E-3</v>
      </c>
      <c r="H522" s="29">
        <f t="shared" si="271"/>
        <v>-4.9799999999999997E-2</v>
      </c>
      <c r="I522">
        <f t="shared" si="266"/>
        <v>1282.83</v>
      </c>
      <c r="J522">
        <f>IF(A522&gt;=Quarterly!B$2,Quarterly!C$2,IF(COUNTIFS(Quarterly!B:B,"&gt;="&amp;A522-92,Quarterly!B:B,"&lt;="&amp;A522)&gt;1,SUMIFS(Quarterly!C:C,Quarterly!B:B,"&gt;="&amp;A522-88,Quarterly!B:B,"&lt;="&amp;A522),SUMIFS(Quarterly!C:C,Quarterly!B:B,"&gt;="&amp;A522-92,Quarterly!B:B,"&lt;="&amp;A522)))</f>
        <v>14813</v>
      </c>
      <c r="K522" s="13">
        <f t="shared" si="267"/>
        <v>8.6599999999999996E-2</v>
      </c>
      <c r="L522">
        <f t="shared" si="269"/>
        <v>1282.83</v>
      </c>
      <c r="M522">
        <f>IF(A522&gt;=Quarterly!B$2,Quarterly!D$2,IF(COUNTIFS(Quarterly!B:B,"&gt;="&amp;A522-92,Quarterly!B:B,"&lt;="&amp;A522)&gt;1,SUMIFS(Quarterly!D:D,Quarterly!B:B,"&gt;="&amp;A522-88,Quarterly!B:B,"&lt;="&amp;A522),SUMIFS(Quarterly!D:D,Quarterly!B:B,"&gt;="&amp;A522-92,Quarterly!B:B,"&lt;="&amp;A522)))</f>
        <v>1229.6189999999999</v>
      </c>
      <c r="N522" s="13">
        <f t="shared" si="270"/>
        <v>0.10432999999999999</v>
      </c>
      <c r="O522">
        <f t="shared" si="272"/>
        <v>1282.83</v>
      </c>
      <c r="P522" s="56">
        <f>VLOOKUP(EOMONTH(A522,-1),Economic!A:I,7,FALSE)</f>
        <v>1191966</v>
      </c>
      <c r="Q522" s="13">
        <f t="shared" si="273"/>
        <v>0.10759999999999999</v>
      </c>
      <c r="R522" s="41">
        <v>1.47</v>
      </c>
      <c r="S522">
        <f t="shared" si="274"/>
        <v>0.16</v>
      </c>
      <c r="T522" s="30">
        <f t="shared" si="275"/>
        <v>146.56</v>
      </c>
      <c r="U522" s="30">
        <f t="shared" si="268"/>
        <v>145.02000000000001</v>
      </c>
    </row>
    <row r="523" spans="1:21" ht="15" customHeight="1" x14ac:dyDescent="0.25">
      <c r="A523" s="5">
        <v>39684</v>
      </c>
      <c r="B523" s="5">
        <f t="shared" si="262"/>
        <v>39691</v>
      </c>
      <c r="C523">
        <v>1292.2</v>
      </c>
      <c r="D523" s="29">
        <f t="shared" si="263"/>
        <v>1.0999999999999999E-2</v>
      </c>
      <c r="E523" s="39">
        <f t="shared" si="264"/>
        <v>1298.866153846154</v>
      </c>
      <c r="F523" s="39">
        <f t="shared" si="265"/>
        <v>1355.1782051282048</v>
      </c>
      <c r="G523" s="29">
        <f t="shared" si="271"/>
        <v>-5.1000000000000004E-3</v>
      </c>
      <c r="H523" s="29">
        <f t="shared" si="271"/>
        <v>-4.65E-2</v>
      </c>
      <c r="I523">
        <f t="shared" si="266"/>
        <v>1292.2</v>
      </c>
      <c r="J523">
        <f>IF(A523&gt;=Quarterly!B$2,Quarterly!C$2,IF(COUNTIFS(Quarterly!B:B,"&gt;="&amp;A523-92,Quarterly!B:B,"&lt;="&amp;A523)&gt;1,SUMIFS(Quarterly!C:C,Quarterly!B:B,"&gt;="&amp;A523-88,Quarterly!B:B,"&lt;="&amp;A523),SUMIFS(Quarterly!C:C,Quarterly!B:B,"&gt;="&amp;A523-92,Quarterly!B:B,"&lt;="&amp;A523)))</f>
        <v>14813</v>
      </c>
      <c r="K523" s="13">
        <f t="shared" si="267"/>
        <v>8.72E-2</v>
      </c>
      <c r="L523">
        <f t="shared" si="269"/>
        <v>1292.2</v>
      </c>
      <c r="M523">
        <f>IF(A523&gt;=Quarterly!B$2,Quarterly!D$2,IF(COUNTIFS(Quarterly!B:B,"&gt;="&amp;A523-92,Quarterly!B:B,"&lt;="&amp;A523)&gt;1,SUMIFS(Quarterly!D:D,Quarterly!B:B,"&gt;="&amp;A523-88,Quarterly!B:B,"&lt;="&amp;A523),SUMIFS(Quarterly!D:D,Quarterly!B:B,"&gt;="&amp;A523-92,Quarterly!B:B,"&lt;="&amp;A523)))</f>
        <v>1229.6189999999999</v>
      </c>
      <c r="N523" s="13">
        <f t="shared" si="270"/>
        <v>0.10509</v>
      </c>
      <c r="O523">
        <f t="shared" si="272"/>
        <v>1292.2</v>
      </c>
      <c r="P523" s="56">
        <f>VLOOKUP(EOMONTH(A523,-1),Economic!A:I,7,FALSE)</f>
        <v>1191966</v>
      </c>
      <c r="Q523" s="13">
        <f t="shared" si="273"/>
        <v>0.1084</v>
      </c>
      <c r="R523" s="41">
        <v>1.45</v>
      </c>
      <c r="S523">
        <f t="shared" si="274"/>
        <v>0.22</v>
      </c>
      <c r="T523" s="30">
        <f t="shared" si="275"/>
        <v>146.66</v>
      </c>
      <c r="U523" s="30">
        <f t="shared" si="268"/>
        <v>142.82</v>
      </c>
    </row>
    <row r="524" spans="1:21" ht="15" customHeight="1" x14ac:dyDescent="0.25">
      <c r="A524" s="5">
        <v>39677</v>
      </c>
      <c r="B524" s="5">
        <f t="shared" si="262"/>
        <v>39691</v>
      </c>
      <c r="C524">
        <v>1298.2</v>
      </c>
      <c r="D524" s="29">
        <f t="shared" si="263"/>
        <v>2.3199999999999998E-2</v>
      </c>
      <c r="E524" s="39">
        <f t="shared" si="264"/>
        <v>1305.3069230769231</v>
      </c>
      <c r="F524" s="39">
        <f t="shared" si="265"/>
        <v>1358.9858974358972</v>
      </c>
      <c r="G524" s="29">
        <f t="shared" si="271"/>
        <v>-5.4000000000000003E-3</v>
      </c>
      <c r="H524" s="29">
        <f t="shared" si="271"/>
        <v>-4.4699999999999997E-2</v>
      </c>
      <c r="I524">
        <f t="shared" si="266"/>
        <v>1298.2</v>
      </c>
      <c r="J524">
        <f>IF(A524&gt;=Quarterly!B$2,Quarterly!C$2,IF(COUNTIFS(Quarterly!B:B,"&gt;="&amp;A524-92,Quarterly!B:B,"&lt;="&amp;A524)&gt;1,SUMIFS(Quarterly!C:C,Quarterly!B:B,"&gt;="&amp;A524-88,Quarterly!B:B,"&lt;="&amp;A524),SUMIFS(Quarterly!C:C,Quarterly!B:B,"&gt;="&amp;A524-92,Quarterly!B:B,"&lt;="&amp;A524)))</f>
        <v>14813</v>
      </c>
      <c r="K524" s="13">
        <f t="shared" si="267"/>
        <v>8.7599999999999997E-2</v>
      </c>
      <c r="L524">
        <f t="shared" si="269"/>
        <v>1298.2</v>
      </c>
      <c r="M524">
        <f>IF(A524&gt;=Quarterly!B$2,Quarterly!D$2,IF(COUNTIFS(Quarterly!B:B,"&gt;="&amp;A524-92,Quarterly!B:B,"&lt;="&amp;A524)&gt;1,SUMIFS(Quarterly!D:D,Quarterly!B:B,"&gt;="&amp;A524-88,Quarterly!B:B,"&lt;="&amp;A524),SUMIFS(Quarterly!D:D,Quarterly!B:B,"&gt;="&amp;A524-92,Quarterly!B:B,"&lt;="&amp;A524)))</f>
        <v>1229.6189999999999</v>
      </c>
      <c r="N524" s="13">
        <f t="shared" si="270"/>
        <v>0.10558000000000001</v>
      </c>
      <c r="O524">
        <f t="shared" si="272"/>
        <v>1298.2</v>
      </c>
      <c r="P524" s="56">
        <f>VLOOKUP(EOMONTH(A524,-1),Economic!A:I,7,FALSE)</f>
        <v>1191966</v>
      </c>
      <c r="Q524" s="13">
        <f t="shared" si="273"/>
        <v>0.1089</v>
      </c>
      <c r="R524" s="41">
        <v>1.44</v>
      </c>
      <c r="S524">
        <f t="shared" si="274"/>
        <v>0.11</v>
      </c>
      <c r="T524" s="30">
        <f t="shared" si="275"/>
        <v>141.83000000000001</v>
      </c>
      <c r="U524" s="30">
        <f t="shared" si="268"/>
        <v>139.11000000000001</v>
      </c>
    </row>
    <row r="525" spans="1:21" ht="15" customHeight="1" x14ac:dyDescent="0.25">
      <c r="A525" s="5">
        <v>39670</v>
      </c>
      <c r="B525" s="5">
        <f t="shared" si="262"/>
        <v>39691</v>
      </c>
      <c r="C525">
        <v>1296.32</v>
      </c>
      <c r="D525" s="29">
        <f t="shared" si="263"/>
        <v>3.3300000000000003E-2</v>
      </c>
      <c r="E525" s="39">
        <f t="shared" si="264"/>
        <v>1315.0876923076924</v>
      </c>
      <c r="F525" s="39">
        <f t="shared" si="265"/>
        <v>1363.1023076923072</v>
      </c>
      <c r="G525" s="29">
        <f t="shared" si="271"/>
        <v>-1.43E-2</v>
      </c>
      <c r="H525" s="29">
        <f t="shared" si="271"/>
        <v>-4.9000000000000002E-2</v>
      </c>
      <c r="I525">
        <f t="shared" si="266"/>
        <v>1296.32</v>
      </c>
      <c r="J525">
        <f>IF(A525&gt;=Quarterly!B$2,Quarterly!C$2,IF(COUNTIFS(Quarterly!B:B,"&gt;="&amp;A525-92,Quarterly!B:B,"&lt;="&amp;A525)&gt;1,SUMIFS(Quarterly!C:C,Quarterly!B:B,"&gt;="&amp;A525-88,Quarterly!B:B,"&lt;="&amp;A525),SUMIFS(Quarterly!C:C,Quarterly!B:B,"&gt;="&amp;A525-92,Quarterly!B:B,"&lt;="&amp;A525)))</f>
        <v>14813</v>
      </c>
      <c r="K525" s="13">
        <f t="shared" si="267"/>
        <v>8.7499999999999994E-2</v>
      </c>
      <c r="L525">
        <f t="shared" si="269"/>
        <v>1296.32</v>
      </c>
      <c r="M525">
        <f>IF(A525&gt;=Quarterly!B$2,Quarterly!D$2,IF(COUNTIFS(Quarterly!B:B,"&gt;="&amp;A525-92,Quarterly!B:B,"&lt;="&amp;A525)&gt;1,SUMIFS(Quarterly!D:D,Quarterly!B:B,"&gt;="&amp;A525-88,Quarterly!B:B,"&lt;="&amp;A525),SUMIFS(Quarterly!D:D,Quarterly!B:B,"&gt;="&amp;A525-92,Quarterly!B:B,"&lt;="&amp;A525)))</f>
        <v>1229.6189999999999</v>
      </c>
      <c r="N525" s="13">
        <f t="shared" si="270"/>
        <v>0.10542000000000001</v>
      </c>
      <c r="O525">
        <f t="shared" si="272"/>
        <v>1296.32</v>
      </c>
      <c r="P525" s="56">
        <f>VLOOKUP(EOMONTH(A525,-1),Economic!A:I,7,FALSE)</f>
        <v>1191966</v>
      </c>
      <c r="Q525" s="13">
        <f t="shared" si="273"/>
        <v>0.10879999999999999</v>
      </c>
      <c r="R525" s="41">
        <v>1.43</v>
      </c>
      <c r="S525">
        <f t="shared" si="274"/>
        <v>0.11</v>
      </c>
      <c r="T525" s="30">
        <f t="shared" si="275"/>
        <v>139.97</v>
      </c>
      <c r="U525" s="30">
        <f t="shared" si="268"/>
        <v>135.88</v>
      </c>
    </row>
    <row r="526" spans="1:21" ht="15" customHeight="1" x14ac:dyDescent="0.25">
      <c r="A526" s="5">
        <v>39663</v>
      </c>
      <c r="B526" s="5">
        <f t="shared" si="262"/>
        <v>39691</v>
      </c>
      <c r="C526">
        <v>1260.31</v>
      </c>
      <c r="D526" s="29">
        <f t="shared" si="263"/>
        <v>4.1000000000000003E-3</v>
      </c>
      <c r="E526" s="39">
        <f t="shared" si="264"/>
        <v>1322.1615384615386</v>
      </c>
      <c r="F526" s="39">
        <f t="shared" si="265"/>
        <v>1367.1376923076921</v>
      </c>
      <c r="G526" s="29">
        <f t="shared" si="271"/>
        <v>-4.6800000000000001E-2</v>
      </c>
      <c r="H526" s="29">
        <f t="shared" si="271"/>
        <v>-7.8100000000000003E-2</v>
      </c>
      <c r="I526">
        <f t="shared" si="266"/>
        <v>1260.31</v>
      </c>
      <c r="J526">
        <f>IF(A526&gt;=Quarterly!B$2,Quarterly!C$2,IF(COUNTIFS(Quarterly!B:B,"&gt;="&amp;A526-92,Quarterly!B:B,"&lt;="&amp;A526)&gt;1,SUMIFS(Quarterly!C:C,Quarterly!B:B,"&gt;="&amp;A526-88,Quarterly!B:B,"&lt;="&amp;A526),SUMIFS(Quarterly!C:C,Quarterly!B:B,"&gt;="&amp;A526-92,Quarterly!B:B,"&lt;="&amp;A526)))</f>
        <v>14813</v>
      </c>
      <c r="K526" s="13">
        <f t="shared" si="267"/>
        <v>8.5099999999999995E-2</v>
      </c>
      <c r="L526">
        <f t="shared" si="269"/>
        <v>1260.31</v>
      </c>
      <c r="M526">
        <f>IF(A526&gt;=Quarterly!B$2,Quarterly!D$2,IF(COUNTIFS(Quarterly!B:B,"&gt;="&amp;A526-92,Quarterly!B:B,"&lt;="&amp;A526)&gt;1,SUMIFS(Quarterly!D:D,Quarterly!B:B,"&gt;="&amp;A526-88,Quarterly!B:B,"&lt;="&amp;A526),SUMIFS(Quarterly!D:D,Quarterly!B:B,"&gt;="&amp;A526-92,Quarterly!B:B,"&lt;="&amp;A526)))</f>
        <v>1229.6189999999999</v>
      </c>
      <c r="N526" s="13">
        <f t="shared" si="270"/>
        <v>0.10249999999999999</v>
      </c>
      <c r="O526">
        <f t="shared" si="272"/>
        <v>1260.31</v>
      </c>
      <c r="P526" s="56">
        <f>VLOOKUP(EOMONTH(A526,-1),Economic!A:I,7,FALSE)</f>
        <v>1191966</v>
      </c>
      <c r="Q526" s="13">
        <f t="shared" si="273"/>
        <v>0.1057</v>
      </c>
      <c r="R526" s="41">
        <v>1.46</v>
      </c>
      <c r="S526">
        <f t="shared" si="274"/>
        <v>-0.02</v>
      </c>
      <c r="T526" s="30">
        <f t="shared" si="275"/>
        <v>135.54</v>
      </c>
      <c r="U526" s="30">
        <f t="shared" si="268"/>
        <v>132.44</v>
      </c>
    </row>
    <row r="527" spans="1:21" ht="15" customHeight="1" x14ac:dyDescent="0.25">
      <c r="A527" s="5">
        <v>39656</v>
      </c>
      <c r="B527" s="5">
        <f t="shared" si="262"/>
        <v>39660</v>
      </c>
      <c r="C527">
        <v>1257.76</v>
      </c>
      <c r="D527" s="29">
        <f t="shared" si="263"/>
        <v>-2.0999999999999999E-3</v>
      </c>
      <c r="E527" s="39">
        <f t="shared" si="264"/>
        <v>1333.9761538461539</v>
      </c>
      <c r="F527" s="39">
        <f t="shared" si="265"/>
        <v>1373.5310256410255</v>
      </c>
      <c r="G527" s="29">
        <f t="shared" si="271"/>
        <v>-5.7099999999999998E-2</v>
      </c>
      <c r="H527" s="29">
        <f t="shared" si="271"/>
        <v>-8.43E-2</v>
      </c>
      <c r="I527">
        <f t="shared" si="266"/>
        <v>1257.76</v>
      </c>
      <c r="J527">
        <f>IF(A527&gt;=Quarterly!B$2,Quarterly!C$2,IF(COUNTIFS(Quarterly!B:B,"&gt;="&amp;A527-92,Quarterly!B:B,"&lt;="&amp;A527)&gt;1,SUMIFS(Quarterly!C:C,Quarterly!B:B,"&gt;="&amp;A527-88,Quarterly!B:B,"&lt;="&amp;A527),SUMIFS(Quarterly!C:C,Quarterly!B:B,"&gt;="&amp;A527-92,Quarterly!B:B,"&lt;="&amp;A527)))</f>
        <v>14668.4</v>
      </c>
      <c r="K527" s="13">
        <f t="shared" si="267"/>
        <v>8.5699999999999998E-2</v>
      </c>
      <c r="L527">
        <f t="shared" si="269"/>
        <v>1257.76</v>
      </c>
      <c r="M527">
        <f>IF(A527&gt;=Quarterly!B$2,Quarterly!D$2,IF(COUNTIFS(Quarterly!B:B,"&gt;="&amp;A527-92,Quarterly!B:B,"&lt;="&amp;A527)&gt;1,SUMIFS(Quarterly!D:D,Quarterly!B:B,"&gt;="&amp;A527-88,Quarterly!B:B,"&lt;="&amp;A527),SUMIFS(Quarterly!D:D,Quarterly!B:B,"&gt;="&amp;A527-92,Quarterly!B:B,"&lt;="&amp;A527)))</f>
        <v>1203.491</v>
      </c>
      <c r="N527" s="13">
        <f t="shared" si="270"/>
        <v>0.10450999999999999</v>
      </c>
      <c r="O527">
        <f t="shared" si="272"/>
        <v>1257.76</v>
      </c>
      <c r="P527" s="56">
        <f>VLOOKUP(EOMONTH(A527,-1),Economic!A:I,7,FALSE)</f>
        <v>1181063</v>
      </c>
      <c r="Q527" s="13">
        <f t="shared" si="273"/>
        <v>0.1065</v>
      </c>
      <c r="R527" s="41">
        <v>1.43</v>
      </c>
      <c r="S527">
        <f t="shared" si="274"/>
        <v>0.01</v>
      </c>
      <c r="T527" s="30">
        <f t="shared" si="275"/>
        <v>132.13</v>
      </c>
      <c r="U527" s="30">
        <f t="shared" si="268"/>
        <v>129.83000000000001</v>
      </c>
    </row>
    <row r="528" spans="1:21" ht="15" customHeight="1" x14ac:dyDescent="0.25">
      <c r="A528" s="5">
        <v>39649</v>
      </c>
      <c r="B528" s="5">
        <f t="shared" si="262"/>
        <v>39660</v>
      </c>
      <c r="C528">
        <v>1260.68</v>
      </c>
      <c r="D528" s="29">
        <f t="shared" si="263"/>
        <v>-1.0999999999999999E-2</v>
      </c>
      <c r="E528" s="39">
        <f t="shared" si="264"/>
        <v>1344.7515384615385</v>
      </c>
      <c r="F528" s="39">
        <f t="shared" si="265"/>
        <v>1380.6469230769228</v>
      </c>
      <c r="G528" s="29">
        <f t="shared" si="271"/>
        <v>-6.25E-2</v>
      </c>
      <c r="H528" s="29">
        <f t="shared" si="271"/>
        <v>-8.6900000000000005E-2</v>
      </c>
      <c r="I528">
        <f t="shared" si="266"/>
        <v>1260.68</v>
      </c>
      <c r="J528">
        <f>IF(A528&gt;=Quarterly!B$2,Quarterly!C$2,IF(COUNTIFS(Quarterly!B:B,"&gt;="&amp;A528-92,Quarterly!B:B,"&lt;="&amp;A528)&gt;1,SUMIFS(Quarterly!C:C,Quarterly!B:B,"&gt;="&amp;A528-88,Quarterly!B:B,"&lt;="&amp;A528),SUMIFS(Quarterly!C:C,Quarterly!B:B,"&gt;="&amp;A528-92,Quarterly!B:B,"&lt;="&amp;A528)))</f>
        <v>14668.4</v>
      </c>
      <c r="K528" s="13">
        <f t="shared" si="267"/>
        <v>8.5900000000000004E-2</v>
      </c>
      <c r="L528">
        <f t="shared" si="269"/>
        <v>1260.68</v>
      </c>
      <c r="M528">
        <f>IF(A528&gt;=Quarterly!B$2,Quarterly!D$2,IF(COUNTIFS(Quarterly!B:B,"&gt;="&amp;A528-92,Quarterly!B:B,"&lt;="&amp;A528)&gt;1,SUMIFS(Quarterly!D:D,Quarterly!B:B,"&gt;="&amp;A528-88,Quarterly!B:B,"&lt;="&amp;A528),SUMIFS(Quarterly!D:D,Quarterly!B:B,"&gt;="&amp;A528-92,Quarterly!B:B,"&lt;="&amp;A528)))</f>
        <v>1203.491</v>
      </c>
      <c r="N528" s="13">
        <f t="shared" si="270"/>
        <v>0.10475000000000001</v>
      </c>
      <c r="O528">
        <f t="shared" si="272"/>
        <v>1260.68</v>
      </c>
      <c r="P528" s="56">
        <f>VLOOKUP(EOMONTH(A528,-1),Economic!A:I,7,FALSE)</f>
        <v>1181063</v>
      </c>
      <c r="Q528" s="13">
        <f t="shared" si="273"/>
        <v>0.1067</v>
      </c>
      <c r="R528" s="41">
        <v>1.45</v>
      </c>
      <c r="S528">
        <f t="shared" si="274"/>
        <v>-0.01</v>
      </c>
      <c r="T528" s="30">
        <f t="shared" si="275"/>
        <v>129.65</v>
      </c>
      <c r="U528" s="30">
        <f t="shared" si="268"/>
        <v>127.87</v>
      </c>
    </row>
    <row r="529" spans="1:21" ht="15" customHeight="1" x14ac:dyDescent="0.25">
      <c r="A529" s="5">
        <v>39642</v>
      </c>
      <c r="B529" s="5">
        <f t="shared" si="262"/>
        <v>39660</v>
      </c>
      <c r="C529">
        <v>1239.49</v>
      </c>
      <c r="D529" s="29">
        <f t="shared" si="263"/>
        <v>-5.0099999999999999E-2</v>
      </c>
      <c r="E529" s="39">
        <f t="shared" si="264"/>
        <v>1354.7246153846156</v>
      </c>
      <c r="F529" s="39">
        <f t="shared" si="265"/>
        <v>1386.7994871794867</v>
      </c>
      <c r="G529" s="29">
        <f t="shared" si="271"/>
        <v>-8.5099999999999995E-2</v>
      </c>
      <c r="H529" s="29">
        <f t="shared" si="271"/>
        <v>-0.1062</v>
      </c>
      <c r="I529">
        <f t="shared" si="266"/>
        <v>1239.49</v>
      </c>
      <c r="J529">
        <f>IF(A529&gt;=Quarterly!B$2,Quarterly!C$2,IF(COUNTIFS(Quarterly!B:B,"&gt;="&amp;A529-92,Quarterly!B:B,"&lt;="&amp;A529)&gt;1,SUMIFS(Quarterly!C:C,Quarterly!B:B,"&gt;="&amp;A529-88,Quarterly!B:B,"&lt;="&amp;A529),SUMIFS(Quarterly!C:C,Quarterly!B:B,"&gt;="&amp;A529-92,Quarterly!B:B,"&lt;="&amp;A529)))</f>
        <v>14668.4</v>
      </c>
      <c r="K529" s="13">
        <f t="shared" si="267"/>
        <v>8.4500000000000006E-2</v>
      </c>
      <c r="L529">
        <f t="shared" si="269"/>
        <v>1239.49</v>
      </c>
      <c r="M529">
        <f>IF(A529&gt;=Quarterly!B$2,Quarterly!D$2,IF(COUNTIFS(Quarterly!B:B,"&gt;="&amp;A529-92,Quarterly!B:B,"&lt;="&amp;A529)&gt;1,SUMIFS(Quarterly!D:D,Quarterly!B:B,"&gt;="&amp;A529-88,Quarterly!B:B,"&lt;="&amp;A529),SUMIFS(Quarterly!D:D,Quarterly!B:B,"&gt;="&amp;A529-92,Quarterly!B:B,"&lt;="&amp;A529)))</f>
        <v>1203.491</v>
      </c>
      <c r="N529" s="13">
        <f t="shared" si="270"/>
        <v>0.10299000000000001</v>
      </c>
      <c r="O529">
        <f t="shared" si="272"/>
        <v>1239.49</v>
      </c>
      <c r="P529" s="56">
        <f>VLOOKUP(EOMONTH(A529,-1),Economic!A:I,7,FALSE)</f>
        <v>1181063</v>
      </c>
      <c r="Q529" s="13">
        <f t="shared" si="273"/>
        <v>0.10490000000000001</v>
      </c>
      <c r="R529" s="41">
        <v>1.37</v>
      </c>
      <c r="S529">
        <f t="shared" si="274"/>
        <v>-0.04</v>
      </c>
      <c r="T529" s="30">
        <f t="shared" si="275"/>
        <v>127.71</v>
      </c>
      <c r="U529" s="30">
        <f t="shared" si="268"/>
        <v>126.85</v>
      </c>
    </row>
    <row r="530" spans="1:21" ht="15" customHeight="1" x14ac:dyDescent="0.25">
      <c r="A530" s="5">
        <v>39635</v>
      </c>
      <c r="B530" s="5">
        <f t="shared" ref="B530:B593" si="276">EOMONTH(A530,0)</f>
        <v>39660</v>
      </c>
      <c r="C530">
        <v>1262.9000000000001</v>
      </c>
      <c r="D530" s="29">
        <f t="shared" ref="D530:D593" si="277">ROUND((C530-AVERAGE(C531:C534))/AVERAGE(C531:C534),4)</f>
        <v>-4.99E-2</v>
      </c>
      <c r="E530" s="39">
        <f t="shared" ref="E530:E593" si="278">AVERAGE(C530:C542)</f>
        <v>1361.9046153846155</v>
      </c>
      <c r="F530" s="39">
        <f t="shared" ref="F530:F593" si="279">AVERAGE(C530:C568)</f>
        <v>1395.0638461538458</v>
      </c>
      <c r="G530" s="29">
        <f t="shared" si="271"/>
        <v>-7.2700000000000001E-2</v>
      </c>
      <c r="H530" s="29">
        <f t="shared" si="271"/>
        <v>-9.4700000000000006E-2</v>
      </c>
      <c r="I530">
        <f t="shared" ref="I530:I593" si="280">C530</f>
        <v>1262.9000000000001</v>
      </c>
      <c r="J530">
        <f>IF(A530&gt;=Quarterly!B$2,Quarterly!C$2,IF(COUNTIFS(Quarterly!B:B,"&gt;="&amp;A530-92,Quarterly!B:B,"&lt;="&amp;A530)&gt;1,SUMIFS(Quarterly!C:C,Quarterly!B:B,"&gt;="&amp;A530-88,Quarterly!B:B,"&lt;="&amp;A530),SUMIFS(Quarterly!C:C,Quarterly!B:B,"&gt;="&amp;A530-92,Quarterly!B:B,"&lt;="&amp;A530)))</f>
        <v>14668.4</v>
      </c>
      <c r="K530" s="13">
        <f t="shared" ref="K530:K593" si="281">ROUND(I530/J530,4)</f>
        <v>8.6099999999999996E-2</v>
      </c>
      <c r="L530">
        <f t="shared" si="269"/>
        <v>1262.9000000000001</v>
      </c>
      <c r="M530">
        <f>IF(A530&gt;=Quarterly!B$2,Quarterly!D$2,IF(COUNTIFS(Quarterly!B:B,"&gt;="&amp;A530-92,Quarterly!B:B,"&lt;="&amp;A530)&gt;1,SUMIFS(Quarterly!D:D,Quarterly!B:B,"&gt;="&amp;A530-88,Quarterly!B:B,"&lt;="&amp;A530),SUMIFS(Quarterly!D:D,Quarterly!B:B,"&gt;="&amp;A530-92,Quarterly!B:B,"&lt;="&amp;A530)))</f>
        <v>1203.491</v>
      </c>
      <c r="N530" s="13">
        <f t="shared" si="270"/>
        <v>0.10494000000000002</v>
      </c>
      <c r="O530">
        <f t="shared" si="272"/>
        <v>1262.9000000000001</v>
      </c>
      <c r="P530" s="56">
        <f>VLOOKUP(EOMONTH(A530,-1),Economic!A:I,7,FALSE)</f>
        <v>1181063</v>
      </c>
      <c r="Q530" s="13">
        <f t="shared" si="273"/>
        <v>0.10690000000000001</v>
      </c>
      <c r="R530" s="41">
        <v>1.45</v>
      </c>
      <c r="S530">
        <f t="shared" si="274"/>
        <v>-0.03</v>
      </c>
      <c r="T530" s="30">
        <f t="shared" si="275"/>
        <v>126.25</v>
      </c>
      <c r="U530" s="30">
        <f t="shared" ref="U530:U593" si="282">ROUND(AVERAGE(T530:T532),2)</f>
        <v>125.98</v>
      </c>
    </row>
    <row r="531" spans="1:21" ht="15" customHeight="1" x14ac:dyDescent="0.25">
      <c r="A531" s="5">
        <v>39628</v>
      </c>
      <c r="B531" s="5">
        <f t="shared" si="276"/>
        <v>39629</v>
      </c>
      <c r="C531">
        <v>1278.3800000000001</v>
      </c>
      <c r="D531" s="29">
        <f t="shared" si="277"/>
        <v>-5.9799999999999999E-2</v>
      </c>
      <c r="E531" s="39">
        <f t="shared" si="278"/>
        <v>1370.1738461538464</v>
      </c>
      <c r="F531" s="39">
        <f t="shared" si="279"/>
        <v>1402.6199999999997</v>
      </c>
      <c r="G531" s="29">
        <f t="shared" si="271"/>
        <v>-6.7000000000000004E-2</v>
      </c>
      <c r="H531" s="29">
        <f t="shared" si="271"/>
        <v>-8.8599999999999998E-2</v>
      </c>
      <c r="I531">
        <f t="shared" si="280"/>
        <v>1278.3800000000001</v>
      </c>
      <c r="J531">
        <f>IF(A531&gt;=Quarterly!B$2,Quarterly!C$2,IF(COUNTIFS(Quarterly!B:B,"&gt;="&amp;A531-92,Quarterly!B:B,"&lt;="&amp;A531)&gt;1,SUMIFS(Quarterly!C:C,Quarterly!B:B,"&gt;="&amp;A531-88,Quarterly!B:B,"&lt;="&amp;A531),SUMIFS(Quarterly!C:C,Quarterly!B:B,"&gt;="&amp;A531-92,Quarterly!B:B,"&lt;="&amp;A531)))</f>
        <v>14668.4</v>
      </c>
      <c r="K531" s="13">
        <f t="shared" si="281"/>
        <v>8.72E-2</v>
      </c>
      <c r="L531">
        <f t="shared" si="269"/>
        <v>1278.3800000000001</v>
      </c>
      <c r="M531">
        <f>IF(A531&gt;=Quarterly!B$2,Quarterly!D$2,IF(COUNTIFS(Quarterly!B:B,"&gt;="&amp;A531-92,Quarterly!B:B,"&lt;="&amp;A531)&gt;1,SUMIFS(Quarterly!D:D,Quarterly!B:B,"&gt;="&amp;A531-88,Quarterly!B:B,"&lt;="&amp;A531),SUMIFS(Quarterly!D:D,Quarterly!B:B,"&gt;="&amp;A531-92,Quarterly!B:B,"&lt;="&amp;A531)))</f>
        <v>1203.491</v>
      </c>
      <c r="N531" s="13">
        <f t="shared" si="270"/>
        <v>0.10622000000000001</v>
      </c>
      <c r="O531">
        <f t="shared" si="272"/>
        <v>1278.3800000000001</v>
      </c>
      <c r="P531" s="56">
        <f>VLOOKUP(EOMONTH(A531,-1),Economic!A:I,7,FALSE)</f>
        <v>1174970</v>
      </c>
      <c r="Q531" s="13">
        <f t="shared" si="273"/>
        <v>0.10879999999999999</v>
      </c>
      <c r="R531" s="41">
        <v>1.34</v>
      </c>
      <c r="S531">
        <f t="shared" si="274"/>
        <v>0.04</v>
      </c>
      <c r="T531" s="30">
        <f t="shared" si="275"/>
        <v>126.59</v>
      </c>
      <c r="U531" s="30">
        <f t="shared" si="282"/>
        <v>124.67</v>
      </c>
    </row>
    <row r="532" spans="1:21" ht="15" customHeight="1" x14ac:dyDescent="0.25">
      <c r="A532" s="5">
        <v>39621</v>
      </c>
      <c r="B532" s="5">
        <f t="shared" si="276"/>
        <v>39629</v>
      </c>
      <c r="C532">
        <v>1317.93</v>
      </c>
      <c r="D532" s="29">
        <f t="shared" si="277"/>
        <v>-4.1000000000000002E-2</v>
      </c>
      <c r="E532" s="39">
        <f t="shared" si="278"/>
        <v>1373.0076923076924</v>
      </c>
      <c r="F532" s="39">
        <f t="shared" si="279"/>
        <v>1408.9884615384613</v>
      </c>
      <c r="G532" s="29">
        <f t="shared" si="271"/>
        <v>-4.0099999999999997E-2</v>
      </c>
      <c r="H532" s="29">
        <f t="shared" si="271"/>
        <v>-6.4600000000000005E-2</v>
      </c>
      <c r="I532">
        <f t="shared" si="280"/>
        <v>1317.93</v>
      </c>
      <c r="J532">
        <f>IF(A532&gt;=Quarterly!B$2,Quarterly!C$2,IF(COUNTIFS(Quarterly!B:B,"&gt;="&amp;A532-92,Quarterly!B:B,"&lt;="&amp;A532)&gt;1,SUMIFS(Quarterly!C:C,Quarterly!B:B,"&gt;="&amp;A532-88,Quarterly!B:B,"&lt;="&amp;A532),SUMIFS(Quarterly!C:C,Quarterly!B:B,"&gt;="&amp;A532-92,Quarterly!B:B,"&lt;="&amp;A532)))</f>
        <v>14668.4</v>
      </c>
      <c r="K532" s="13">
        <f t="shared" si="281"/>
        <v>8.9800000000000005E-2</v>
      </c>
      <c r="L532">
        <f t="shared" si="269"/>
        <v>1317.93</v>
      </c>
      <c r="M532">
        <f>IF(A532&gt;=Quarterly!B$2,Quarterly!D$2,IF(COUNTIFS(Quarterly!B:B,"&gt;="&amp;A532-92,Quarterly!B:B,"&lt;="&amp;A532)&gt;1,SUMIFS(Quarterly!D:D,Quarterly!B:B,"&gt;="&amp;A532-88,Quarterly!B:B,"&lt;="&amp;A532),SUMIFS(Quarterly!D:D,Quarterly!B:B,"&gt;="&amp;A532-92,Quarterly!B:B,"&lt;="&amp;A532)))</f>
        <v>1203.491</v>
      </c>
      <c r="N532" s="13">
        <f t="shared" si="270"/>
        <v>0.10951</v>
      </c>
      <c r="O532">
        <f t="shared" si="272"/>
        <v>1317.93</v>
      </c>
      <c r="P532" s="56">
        <f>VLOOKUP(EOMONTH(A532,-1),Economic!A:I,7,FALSE)</f>
        <v>1174970</v>
      </c>
      <c r="Q532" s="13">
        <f t="shared" si="273"/>
        <v>0.11219999999999999</v>
      </c>
      <c r="R532" s="41">
        <v>1.28</v>
      </c>
      <c r="S532">
        <f t="shared" si="274"/>
        <v>0.04</v>
      </c>
      <c r="T532" s="30">
        <f t="shared" si="275"/>
        <v>125.11</v>
      </c>
      <c r="U532" s="30">
        <f t="shared" si="282"/>
        <v>123.73</v>
      </c>
    </row>
    <row r="533" spans="1:21" ht="15" customHeight="1" x14ac:dyDescent="0.25">
      <c r="A533" s="5">
        <v>39614</v>
      </c>
      <c r="B533" s="5">
        <f t="shared" si="276"/>
        <v>39629</v>
      </c>
      <c r="C533">
        <v>1360.03</v>
      </c>
      <c r="D533" s="29">
        <f t="shared" si="277"/>
        <v>-2.1999999999999999E-2</v>
      </c>
      <c r="E533" s="39">
        <f t="shared" si="278"/>
        <v>1373.8984615384616</v>
      </c>
      <c r="F533" s="39">
        <f t="shared" si="279"/>
        <v>1414.3171794871794</v>
      </c>
      <c r="G533" s="29">
        <f t="shared" si="271"/>
        <v>-1.01E-2</v>
      </c>
      <c r="H533" s="29">
        <f t="shared" si="271"/>
        <v>-3.8399999999999997E-2</v>
      </c>
      <c r="I533">
        <f t="shared" si="280"/>
        <v>1360.03</v>
      </c>
      <c r="J533">
        <f>IF(A533&gt;=Quarterly!B$2,Quarterly!C$2,IF(COUNTIFS(Quarterly!B:B,"&gt;="&amp;A533-92,Quarterly!B:B,"&lt;="&amp;A533)&gt;1,SUMIFS(Quarterly!C:C,Quarterly!B:B,"&gt;="&amp;A533-88,Quarterly!B:B,"&lt;="&amp;A533),SUMIFS(Quarterly!C:C,Quarterly!B:B,"&gt;="&amp;A533-92,Quarterly!B:B,"&lt;="&amp;A533)))</f>
        <v>14668.4</v>
      </c>
      <c r="K533" s="13">
        <f t="shared" si="281"/>
        <v>9.2700000000000005E-2</v>
      </c>
      <c r="L533">
        <f t="shared" si="269"/>
        <v>1360.03</v>
      </c>
      <c r="M533">
        <f>IF(A533&gt;=Quarterly!B$2,Quarterly!D$2,IF(COUNTIFS(Quarterly!B:B,"&gt;="&amp;A533-92,Quarterly!B:B,"&lt;="&amp;A533)&gt;1,SUMIFS(Quarterly!D:D,Quarterly!B:B,"&gt;="&amp;A533-88,Quarterly!B:B,"&lt;="&amp;A533),SUMIFS(Quarterly!D:D,Quarterly!B:B,"&gt;="&amp;A533-92,Quarterly!B:B,"&lt;="&amp;A533)))</f>
        <v>1203.491</v>
      </c>
      <c r="N533" s="13">
        <f t="shared" si="270"/>
        <v>0.11301000000000001</v>
      </c>
      <c r="O533">
        <f t="shared" si="272"/>
        <v>1360.03</v>
      </c>
      <c r="P533" s="56">
        <f>VLOOKUP(EOMONTH(A533,-1),Economic!A:I,7,FALSE)</f>
        <v>1174970</v>
      </c>
      <c r="Q533" s="13">
        <f t="shared" si="273"/>
        <v>0.1158</v>
      </c>
      <c r="R533" s="41">
        <v>1.22</v>
      </c>
      <c r="S533">
        <f t="shared" si="274"/>
        <v>0</v>
      </c>
      <c r="T533" s="30">
        <f t="shared" si="275"/>
        <v>122.3</v>
      </c>
      <c r="U533" s="30">
        <f t="shared" si="282"/>
        <v>123.85</v>
      </c>
    </row>
    <row r="534" spans="1:21" ht="15" customHeight="1" x14ac:dyDescent="0.25">
      <c r="A534" s="5">
        <v>39607</v>
      </c>
      <c r="B534" s="5">
        <f t="shared" si="276"/>
        <v>39629</v>
      </c>
      <c r="C534">
        <v>1360.68</v>
      </c>
      <c r="D534" s="29">
        <f t="shared" si="277"/>
        <v>-2.63E-2</v>
      </c>
      <c r="E534" s="39">
        <f t="shared" si="278"/>
        <v>1368.3684615384614</v>
      </c>
      <c r="F534" s="39">
        <f t="shared" si="279"/>
        <v>1417.5023076923073</v>
      </c>
      <c r="G534" s="29">
        <f t="shared" si="271"/>
        <v>-5.5999999999999999E-3</v>
      </c>
      <c r="H534" s="29">
        <f t="shared" si="271"/>
        <v>-4.0099999999999997E-2</v>
      </c>
      <c r="I534">
        <f t="shared" si="280"/>
        <v>1360.68</v>
      </c>
      <c r="J534">
        <f>IF(A534&gt;=Quarterly!B$2,Quarterly!C$2,IF(COUNTIFS(Quarterly!B:B,"&gt;="&amp;A534-92,Quarterly!B:B,"&lt;="&amp;A534)&gt;1,SUMIFS(Quarterly!C:C,Quarterly!B:B,"&gt;="&amp;A534-88,Quarterly!B:B,"&lt;="&amp;A534),SUMIFS(Quarterly!C:C,Quarterly!B:B,"&gt;="&amp;A534-92,Quarterly!B:B,"&lt;="&amp;A534)))</f>
        <v>14668.4</v>
      </c>
      <c r="K534" s="13">
        <f t="shared" si="281"/>
        <v>9.2799999999999994E-2</v>
      </c>
      <c r="L534">
        <f t="shared" si="269"/>
        <v>1360.68</v>
      </c>
      <c r="M534">
        <f>IF(A534&gt;=Quarterly!B$2,Quarterly!D$2,IF(COUNTIFS(Quarterly!B:B,"&gt;="&amp;A534-92,Quarterly!B:B,"&lt;="&amp;A534)&gt;1,SUMIFS(Quarterly!D:D,Quarterly!B:B,"&gt;="&amp;A534-88,Quarterly!B:B,"&lt;="&amp;A534),SUMIFS(Quarterly!D:D,Quarterly!B:B,"&gt;="&amp;A534-92,Quarterly!B:B,"&lt;="&amp;A534)))</f>
        <v>1203.491</v>
      </c>
      <c r="N534" s="13">
        <f t="shared" si="270"/>
        <v>0.11306000000000001</v>
      </c>
      <c r="O534">
        <f t="shared" si="272"/>
        <v>1360.68</v>
      </c>
      <c r="P534" s="56">
        <f>VLOOKUP(EOMONTH(A534,-1),Economic!A:I,7,FALSE)</f>
        <v>1174970</v>
      </c>
      <c r="Q534" s="13">
        <f t="shared" si="273"/>
        <v>0.1158</v>
      </c>
      <c r="R534" s="41">
        <v>1.54</v>
      </c>
      <c r="S534">
        <f t="shared" si="274"/>
        <v>0.01</v>
      </c>
      <c r="T534" s="30">
        <f t="shared" si="275"/>
        <v>123.77</v>
      </c>
      <c r="U534" s="30">
        <f t="shared" si="282"/>
        <v>125.08</v>
      </c>
    </row>
    <row r="535" spans="1:21" ht="15" customHeight="1" x14ac:dyDescent="0.25">
      <c r="A535" s="5">
        <v>39600</v>
      </c>
      <c r="B535" s="5">
        <f t="shared" si="276"/>
        <v>39629</v>
      </c>
      <c r="C535">
        <v>1400.38</v>
      </c>
      <c r="D535" s="29">
        <f t="shared" si="277"/>
        <v>-2.9999999999999997E-4</v>
      </c>
      <c r="E535" s="39">
        <f t="shared" si="278"/>
        <v>1363.1907692307691</v>
      </c>
      <c r="F535" s="39">
        <f t="shared" si="279"/>
        <v>1419.8835897435897</v>
      </c>
      <c r="G535" s="29">
        <f t="shared" si="271"/>
        <v>2.7300000000000001E-2</v>
      </c>
      <c r="H535" s="29">
        <f t="shared" si="271"/>
        <v>-1.37E-2</v>
      </c>
      <c r="I535">
        <f t="shared" si="280"/>
        <v>1400.38</v>
      </c>
      <c r="J535">
        <f>IF(A535&gt;=Quarterly!B$2,Quarterly!C$2,IF(COUNTIFS(Quarterly!B:B,"&gt;="&amp;A535-92,Quarterly!B:B,"&lt;="&amp;A535)&gt;1,SUMIFS(Quarterly!C:C,Quarterly!B:B,"&gt;="&amp;A535-88,Quarterly!B:B,"&lt;="&amp;A535),SUMIFS(Quarterly!C:C,Quarterly!B:B,"&gt;="&amp;A535-92,Quarterly!B:B,"&lt;="&amp;A535)))</f>
        <v>14668.4</v>
      </c>
      <c r="K535" s="13">
        <f t="shared" si="281"/>
        <v>9.5500000000000002E-2</v>
      </c>
      <c r="L535">
        <f t="shared" ref="L535:L598" si="283">C535</f>
        <v>1400.38</v>
      </c>
      <c r="M535">
        <f>IF(A535&gt;=Quarterly!B$2,Quarterly!D$2,IF(COUNTIFS(Quarterly!B:B,"&gt;="&amp;A535-92,Quarterly!B:B,"&lt;="&amp;A535)&gt;1,SUMIFS(Quarterly!D:D,Quarterly!B:B,"&gt;="&amp;A535-88,Quarterly!B:B,"&lt;="&amp;A535),SUMIFS(Quarterly!D:D,Quarterly!B:B,"&gt;="&amp;A535-92,Quarterly!B:B,"&lt;="&amp;A535)))</f>
        <v>1203.491</v>
      </c>
      <c r="N535" s="13">
        <f t="shared" ref="N535:N598" si="284">ROUND(L535/M535,4)*0.1</f>
        <v>0.11636000000000001</v>
      </c>
      <c r="O535">
        <f t="shared" si="272"/>
        <v>1400.38</v>
      </c>
      <c r="P535" s="56">
        <f>VLOOKUP(EOMONTH(A535,-1),Economic!A:I,7,FALSE)</f>
        <v>1174970</v>
      </c>
      <c r="Q535" s="13">
        <f t="shared" si="273"/>
        <v>0.11919999999999999</v>
      </c>
      <c r="R535" s="41">
        <v>1.4</v>
      </c>
      <c r="S535">
        <f t="shared" si="274"/>
        <v>7.0000000000000007E-2</v>
      </c>
      <c r="T535" s="30">
        <f t="shared" si="275"/>
        <v>125.47</v>
      </c>
      <c r="U535" s="30">
        <f t="shared" si="282"/>
        <v>124.87</v>
      </c>
    </row>
    <row r="536" spans="1:21" ht="15" customHeight="1" x14ac:dyDescent="0.25">
      <c r="A536" s="5">
        <v>39593</v>
      </c>
      <c r="B536" s="5">
        <f t="shared" si="276"/>
        <v>39599</v>
      </c>
      <c r="C536">
        <v>1375.93</v>
      </c>
      <c r="D536" s="29">
        <f t="shared" si="277"/>
        <v>-2.1600000000000001E-2</v>
      </c>
      <c r="E536" s="39">
        <f t="shared" si="278"/>
        <v>1357.8253846153846</v>
      </c>
      <c r="F536" s="39">
        <f t="shared" si="279"/>
        <v>1421.7710256410255</v>
      </c>
      <c r="G536" s="29">
        <f t="shared" si="271"/>
        <v>1.3299999999999999E-2</v>
      </c>
      <c r="H536" s="29">
        <f t="shared" si="271"/>
        <v>-3.2199999999999999E-2</v>
      </c>
      <c r="I536">
        <f t="shared" si="280"/>
        <v>1375.93</v>
      </c>
      <c r="J536">
        <f>IF(A536&gt;=Quarterly!B$2,Quarterly!C$2,IF(COUNTIFS(Quarterly!B:B,"&gt;="&amp;A536-92,Quarterly!B:B,"&lt;="&amp;A536)&gt;1,SUMIFS(Quarterly!C:C,Quarterly!B:B,"&gt;="&amp;A536-88,Quarterly!B:B,"&lt;="&amp;A536),SUMIFS(Quarterly!C:C,Quarterly!B:B,"&gt;="&amp;A536-92,Quarterly!B:B,"&lt;="&amp;A536)))</f>
        <v>14668.4</v>
      </c>
      <c r="K536" s="13">
        <f t="shared" si="281"/>
        <v>9.3799999999999994E-2</v>
      </c>
      <c r="L536">
        <f t="shared" si="283"/>
        <v>1375.93</v>
      </c>
      <c r="M536">
        <f>IF(A536&gt;=Quarterly!B$2,Quarterly!D$2,IF(COUNTIFS(Quarterly!B:B,"&gt;="&amp;A536-92,Quarterly!B:B,"&lt;="&amp;A536)&gt;1,SUMIFS(Quarterly!D:D,Quarterly!B:B,"&gt;="&amp;A536-88,Quarterly!B:B,"&lt;="&amp;A536),SUMIFS(Quarterly!D:D,Quarterly!B:B,"&gt;="&amp;A536-92,Quarterly!B:B,"&lt;="&amp;A536)))</f>
        <v>1203.491</v>
      </c>
      <c r="N536" s="13">
        <f t="shared" si="284"/>
        <v>0.11433</v>
      </c>
      <c r="O536">
        <f t="shared" si="272"/>
        <v>1375.93</v>
      </c>
      <c r="P536" s="56">
        <f>VLOOKUP(EOMONTH(A536,-1),Economic!A:I,7,FALSE)</f>
        <v>1171663</v>
      </c>
      <c r="Q536" s="13">
        <f t="shared" si="273"/>
        <v>0.11739999999999999</v>
      </c>
      <c r="R536" s="41">
        <v>1.39</v>
      </c>
      <c r="S536">
        <f t="shared" si="274"/>
        <v>0.02</v>
      </c>
      <c r="T536" s="30">
        <f t="shared" si="275"/>
        <v>126</v>
      </c>
      <c r="U536" s="30">
        <f t="shared" si="282"/>
        <v>124.56</v>
      </c>
    </row>
    <row r="537" spans="1:21" ht="15" customHeight="1" x14ac:dyDescent="0.25">
      <c r="A537" s="5">
        <v>39586</v>
      </c>
      <c r="B537" s="5">
        <f t="shared" si="276"/>
        <v>39599</v>
      </c>
      <c r="C537">
        <v>1425.35</v>
      </c>
      <c r="D537" s="29">
        <f t="shared" si="277"/>
        <v>1.9900000000000001E-2</v>
      </c>
      <c r="E537" s="39">
        <f t="shared" si="278"/>
        <v>1356.07</v>
      </c>
      <c r="F537" s="39">
        <f t="shared" si="279"/>
        <v>1424.4233333333332</v>
      </c>
      <c r="G537" s="29">
        <f t="shared" si="271"/>
        <v>5.11E-2</v>
      </c>
      <c r="H537" s="29">
        <f t="shared" si="271"/>
        <v>6.9999999999999999E-4</v>
      </c>
      <c r="I537">
        <f t="shared" si="280"/>
        <v>1425.35</v>
      </c>
      <c r="J537">
        <f>IF(A537&gt;=Quarterly!B$2,Quarterly!C$2,IF(COUNTIFS(Quarterly!B:B,"&gt;="&amp;A537-92,Quarterly!B:B,"&lt;="&amp;A537)&gt;1,SUMIFS(Quarterly!C:C,Quarterly!B:B,"&gt;="&amp;A537-88,Quarterly!B:B,"&lt;="&amp;A537),SUMIFS(Quarterly!C:C,Quarterly!B:B,"&gt;="&amp;A537-92,Quarterly!B:B,"&lt;="&amp;A537)))</f>
        <v>14668.4</v>
      </c>
      <c r="K537" s="13">
        <f t="shared" si="281"/>
        <v>9.7199999999999995E-2</v>
      </c>
      <c r="L537">
        <f t="shared" si="283"/>
        <v>1425.35</v>
      </c>
      <c r="M537">
        <f>IF(A537&gt;=Quarterly!B$2,Quarterly!D$2,IF(COUNTIFS(Quarterly!B:B,"&gt;="&amp;A537-92,Quarterly!B:B,"&lt;="&amp;A537)&gt;1,SUMIFS(Quarterly!D:D,Quarterly!B:B,"&gt;="&amp;A537-88,Quarterly!B:B,"&lt;="&amp;A537),SUMIFS(Quarterly!D:D,Quarterly!B:B,"&gt;="&amp;A537-92,Quarterly!B:B,"&lt;="&amp;A537)))</f>
        <v>1203.491</v>
      </c>
      <c r="N537" s="13">
        <f t="shared" si="284"/>
        <v>0.11842999999999999</v>
      </c>
      <c r="O537">
        <f t="shared" si="272"/>
        <v>1425.35</v>
      </c>
      <c r="P537" s="56">
        <f>VLOOKUP(EOMONTH(A537,-1),Economic!A:I,7,FALSE)</f>
        <v>1171663</v>
      </c>
      <c r="Q537" s="13">
        <f t="shared" si="273"/>
        <v>0.1217</v>
      </c>
      <c r="R537" s="41">
        <v>1.38</v>
      </c>
      <c r="S537">
        <f t="shared" si="274"/>
        <v>-0.03</v>
      </c>
      <c r="T537" s="30">
        <f t="shared" si="275"/>
        <v>123.14</v>
      </c>
      <c r="U537" s="30">
        <f t="shared" si="282"/>
        <v>124.42</v>
      </c>
    </row>
    <row r="538" spans="1:21" ht="15" customHeight="1" x14ac:dyDescent="0.25">
      <c r="A538" s="5">
        <v>39579</v>
      </c>
      <c r="B538" s="5">
        <f t="shared" si="276"/>
        <v>39599</v>
      </c>
      <c r="C538">
        <v>1388.28</v>
      </c>
      <c r="D538" s="29">
        <f t="shared" si="277"/>
        <v>3.3E-3</v>
      </c>
      <c r="E538" s="39">
        <f t="shared" si="278"/>
        <v>1350.273076923077</v>
      </c>
      <c r="F538" s="39">
        <f t="shared" si="279"/>
        <v>1424.9512820512821</v>
      </c>
      <c r="G538" s="29">
        <f t="shared" si="271"/>
        <v>2.81E-2</v>
      </c>
      <c r="H538" s="29">
        <f t="shared" si="271"/>
        <v>-2.5700000000000001E-2</v>
      </c>
      <c r="I538">
        <f t="shared" si="280"/>
        <v>1388.28</v>
      </c>
      <c r="J538">
        <f>IF(A538&gt;=Quarterly!B$2,Quarterly!C$2,IF(COUNTIFS(Quarterly!B:B,"&gt;="&amp;A538-92,Quarterly!B:B,"&lt;="&amp;A538)&gt;1,SUMIFS(Quarterly!C:C,Quarterly!B:B,"&gt;="&amp;A538-88,Quarterly!B:B,"&lt;="&amp;A538),SUMIFS(Quarterly!C:C,Quarterly!B:B,"&gt;="&amp;A538-92,Quarterly!B:B,"&lt;="&amp;A538)))</f>
        <v>14668.4</v>
      </c>
      <c r="K538" s="13">
        <f t="shared" si="281"/>
        <v>9.4600000000000004E-2</v>
      </c>
      <c r="L538">
        <f t="shared" si="283"/>
        <v>1388.28</v>
      </c>
      <c r="M538">
        <f>IF(A538&gt;=Quarterly!B$2,Quarterly!D$2,IF(COUNTIFS(Quarterly!B:B,"&gt;="&amp;A538-92,Quarterly!B:B,"&lt;="&amp;A538)&gt;1,SUMIFS(Quarterly!D:D,Quarterly!B:B,"&gt;="&amp;A538-88,Quarterly!B:B,"&lt;="&amp;A538),SUMIFS(Quarterly!D:D,Quarterly!B:B,"&gt;="&amp;A538-92,Quarterly!B:B,"&lt;="&amp;A538)))</f>
        <v>1203.491</v>
      </c>
      <c r="N538" s="13">
        <f t="shared" si="284"/>
        <v>0.11535000000000001</v>
      </c>
      <c r="O538">
        <f t="shared" si="272"/>
        <v>1388.28</v>
      </c>
      <c r="P538" s="56">
        <f>VLOOKUP(EOMONTH(A538,-1),Economic!A:I,7,FALSE)</f>
        <v>1171663</v>
      </c>
      <c r="Q538" s="13">
        <f t="shared" si="273"/>
        <v>0.11850000000000001</v>
      </c>
      <c r="R538" s="41">
        <v>1.52</v>
      </c>
      <c r="S538">
        <f t="shared" si="274"/>
        <v>-7.0000000000000007E-2</v>
      </c>
      <c r="T538" s="30">
        <f t="shared" si="275"/>
        <v>124.55</v>
      </c>
      <c r="U538" s="30">
        <f t="shared" si="282"/>
        <v>125.45</v>
      </c>
    </row>
    <row r="539" spans="1:21" ht="15" customHeight="1" x14ac:dyDescent="0.25">
      <c r="A539" s="5">
        <v>39572</v>
      </c>
      <c r="B539" s="5">
        <f t="shared" si="276"/>
        <v>39599</v>
      </c>
      <c r="C539">
        <v>1413.9</v>
      </c>
      <c r="D539" s="29">
        <f t="shared" si="277"/>
        <v>2.9899999999999999E-2</v>
      </c>
      <c r="E539" s="39">
        <f t="shared" si="278"/>
        <v>1345.8892307692306</v>
      </c>
      <c r="F539" s="39">
        <f t="shared" si="279"/>
        <v>1426.6271794871793</v>
      </c>
      <c r="G539" s="29">
        <f t="shared" si="271"/>
        <v>5.0500000000000003E-2</v>
      </c>
      <c r="H539" s="29">
        <f t="shared" si="271"/>
        <v>-8.8999999999999999E-3</v>
      </c>
      <c r="I539">
        <f t="shared" si="280"/>
        <v>1413.9</v>
      </c>
      <c r="J539">
        <f>IF(A539&gt;=Quarterly!B$2,Quarterly!C$2,IF(COUNTIFS(Quarterly!B:B,"&gt;="&amp;A539-92,Quarterly!B:B,"&lt;="&amp;A539)&gt;1,SUMIFS(Quarterly!C:C,Quarterly!B:B,"&gt;="&amp;A539-88,Quarterly!B:B,"&lt;="&amp;A539),SUMIFS(Quarterly!C:C,Quarterly!B:B,"&gt;="&amp;A539-92,Quarterly!B:B,"&lt;="&amp;A539)))</f>
        <v>14668.4</v>
      </c>
      <c r="K539" s="13">
        <f t="shared" si="281"/>
        <v>9.64E-2</v>
      </c>
      <c r="L539">
        <f t="shared" si="283"/>
        <v>1413.9</v>
      </c>
      <c r="M539">
        <f>IF(A539&gt;=Quarterly!B$2,Quarterly!D$2,IF(COUNTIFS(Quarterly!B:B,"&gt;="&amp;A539-92,Quarterly!B:B,"&lt;="&amp;A539)&gt;1,SUMIFS(Quarterly!D:D,Quarterly!B:B,"&gt;="&amp;A539-88,Quarterly!B:B,"&lt;="&amp;A539),SUMIFS(Quarterly!D:D,Quarterly!B:B,"&gt;="&amp;A539-92,Quarterly!B:B,"&lt;="&amp;A539)))</f>
        <v>1203.491</v>
      </c>
      <c r="N539" s="13">
        <f t="shared" si="284"/>
        <v>0.11748000000000001</v>
      </c>
      <c r="O539">
        <f t="shared" si="272"/>
        <v>1413.9</v>
      </c>
      <c r="P539" s="56">
        <f>VLOOKUP(EOMONTH(A539,-1),Economic!A:I,7,FALSE)</f>
        <v>1171663</v>
      </c>
      <c r="Q539" s="13">
        <f t="shared" si="273"/>
        <v>0.1207</v>
      </c>
      <c r="R539" s="41">
        <v>1.42</v>
      </c>
      <c r="S539">
        <f t="shared" si="274"/>
        <v>-0.04</v>
      </c>
      <c r="T539" s="30">
        <f t="shared" si="275"/>
        <v>125.58</v>
      </c>
      <c r="U539" s="30">
        <f t="shared" si="282"/>
        <v>126.48</v>
      </c>
    </row>
    <row r="540" spans="1:21" ht="15" customHeight="1" x14ac:dyDescent="0.25">
      <c r="A540" s="5">
        <v>39565</v>
      </c>
      <c r="B540" s="5">
        <f t="shared" si="276"/>
        <v>39568</v>
      </c>
      <c r="C540">
        <v>1397.84</v>
      </c>
      <c r="D540" s="29">
        <f t="shared" si="277"/>
        <v>3.3799999999999997E-2</v>
      </c>
      <c r="E540" s="39">
        <f t="shared" si="278"/>
        <v>1344.4676923076925</v>
      </c>
      <c r="F540" s="39">
        <f t="shared" si="279"/>
        <v>1427.1184615384616</v>
      </c>
      <c r="G540" s="29">
        <f t="shared" si="271"/>
        <v>3.9699999999999999E-2</v>
      </c>
      <c r="H540" s="29">
        <f t="shared" si="271"/>
        <v>-2.0500000000000001E-2</v>
      </c>
      <c r="I540">
        <f t="shared" si="280"/>
        <v>1397.84</v>
      </c>
      <c r="J540">
        <f>IF(A540&gt;=Quarterly!B$2,Quarterly!C$2,IF(COUNTIFS(Quarterly!B:B,"&gt;="&amp;A540-92,Quarterly!B:B,"&lt;="&amp;A540)&gt;1,SUMIFS(Quarterly!C:C,Quarterly!B:B,"&gt;="&amp;A540-88,Quarterly!B:B,"&lt;="&amp;A540),SUMIFS(Quarterly!C:C,Quarterly!B:B,"&gt;="&amp;A540-92,Quarterly!B:B,"&lt;="&amp;A540)))</f>
        <v>14685.3</v>
      </c>
      <c r="K540" s="13">
        <f t="shared" si="281"/>
        <v>9.5200000000000007E-2</v>
      </c>
      <c r="L540">
        <f t="shared" si="283"/>
        <v>1397.84</v>
      </c>
      <c r="M540">
        <f>IF(A540&gt;=Quarterly!B$2,Quarterly!D$2,IF(COUNTIFS(Quarterly!B:B,"&gt;="&amp;A540-92,Quarterly!B:B,"&lt;="&amp;A540)&gt;1,SUMIFS(Quarterly!D:D,Quarterly!B:B,"&gt;="&amp;A540-88,Quarterly!B:B,"&lt;="&amp;A540),SUMIFS(Quarterly!D:D,Quarterly!B:B,"&gt;="&amp;A540-92,Quarterly!B:B,"&lt;="&amp;A540)))</f>
        <v>1313.691</v>
      </c>
      <c r="N540" s="13">
        <f t="shared" si="284"/>
        <v>0.10641</v>
      </c>
      <c r="O540">
        <f t="shared" si="272"/>
        <v>1397.84</v>
      </c>
      <c r="P540" s="56">
        <f>VLOOKUP(EOMONTH(A540,-1),Economic!A:I,7,FALSE)</f>
        <v>1171842</v>
      </c>
      <c r="Q540" s="13">
        <f t="shared" si="273"/>
        <v>0.1193</v>
      </c>
      <c r="R540" s="41">
        <v>1.47</v>
      </c>
      <c r="S540">
        <f t="shared" si="274"/>
        <v>-0.14000000000000001</v>
      </c>
      <c r="T540" s="30">
        <f t="shared" si="275"/>
        <v>126.22</v>
      </c>
      <c r="U540" s="30">
        <f t="shared" si="282"/>
        <v>128.24</v>
      </c>
    </row>
    <row r="541" spans="1:21" ht="15" customHeight="1" x14ac:dyDescent="0.25">
      <c r="A541" s="5">
        <v>39558</v>
      </c>
      <c r="B541" s="5">
        <f t="shared" si="276"/>
        <v>39568</v>
      </c>
      <c r="C541">
        <v>1390.33</v>
      </c>
      <c r="D541" s="29">
        <f t="shared" si="277"/>
        <v>3.9899999999999998E-2</v>
      </c>
      <c r="E541" s="39">
        <f t="shared" si="278"/>
        <v>1339.2961538461536</v>
      </c>
      <c r="F541" s="39">
        <f t="shared" si="279"/>
        <v>1428.6853846153845</v>
      </c>
      <c r="G541" s="29">
        <f t="shared" si="271"/>
        <v>3.8100000000000002E-2</v>
      </c>
      <c r="H541" s="29">
        <f t="shared" si="271"/>
        <v>-2.6800000000000001E-2</v>
      </c>
      <c r="I541">
        <f t="shared" si="280"/>
        <v>1390.33</v>
      </c>
      <c r="J541">
        <f>IF(A541&gt;=Quarterly!B$2,Quarterly!C$2,IF(COUNTIFS(Quarterly!B:B,"&gt;="&amp;A541-92,Quarterly!B:B,"&lt;="&amp;A541)&gt;1,SUMIFS(Quarterly!C:C,Quarterly!B:B,"&gt;="&amp;A541-88,Quarterly!B:B,"&lt;="&amp;A541),SUMIFS(Quarterly!C:C,Quarterly!B:B,"&gt;="&amp;A541-92,Quarterly!B:B,"&lt;="&amp;A541)))</f>
        <v>14685.3</v>
      </c>
      <c r="K541" s="13">
        <f t="shared" si="281"/>
        <v>9.4700000000000006E-2</v>
      </c>
      <c r="L541">
        <f t="shared" si="283"/>
        <v>1390.33</v>
      </c>
      <c r="M541">
        <f>IF(A541&gt;=Quarterly!B$2,Quarterly!D$2,IF(COUNTIFS(Quarterly!B:B,"&gt;="&amp;A541-92,Quarterly!B:B,"&lt;="&amp;A541)&gt;1,SUMIFS(Quarterly!D:D,Quarterly!B:B,"&gt;="&amp;A541-88,Quarterly!B:B,"&lt;="&amp;A541),SUMIFS(Quarterly!D:D,Quarterly!B:B,"&gt;="&amp;A541-92,Quarterly!B:B,"&lt;="&amp;A541)))</f>
        <v>1313.691</v>
      </c>
      <c r="N541" s="13">
        <f t="shared" si="284"/>
        <v>0.10583000000000001</v>
      </c>
      <c r="O541">
        <f t="shared" si="272"/>
        <v>1390.33</v>
      </c>
      <c r="P541" s="56">
        <f>VLOOKUP(EOMONTH(A541,-1),Economic!A:I,7,FALSE)</f>
        <v>1171842</v>
      </c>
      <c r="Q541" s="13">
        <f t="shared" si="273"/>
        <v>0.1186</v>
      </c>
      <c r="R541" s="41">
        <v>1.58</v>
      </c>
      <c r="S541">
        <f t="shared" si="274"/>
        <v>-0.14000000000000001</v>
      </c>
      <c r="T541" s="30">
        <f t="shared" si="275"/>
        <v>127.63</v>
      </c>
      <c r="U541" s="30">
        <f t="shared" si="282"/>
        <v>129.4</v>
      </c>
    </row>
    <row r="542" spans="1:21" ht="15" customHeight="1" x14ac:dyDescent="0.25">
      <c r="A542" s="5">
        <v>39551</v>
      </c>
      <c r="B542" s="5">
        <f t="shared" si="276"/>
        <v>39568</v>
      </c>
      <c r="C542">
        <v>1332.83</v>
      </c>
      <c r="D542" s="29">
        <f t="shared" si="277"/>
        <v>5.3E-3</v>
      </c>
      <c r="E542" s="39">
        <f t="shared" si="278"/>
        <v>1334.2853846153848</v>
      </c>
      <c r="F542" s="39">
        <f t="shared" si="279"/>
        <v>1432.3717948717949</v>
      </c>
      <c r="G542" s="29">
        <f t="shared" si="271"/>
        <v>-1.1000000000000001E-3</v>
      </c>
      <c r="H542" s="29">
        <f t="shared" si="271"/>
        <v>-6.9500000000000006E-2</v>
      </c>
      <c r="I542">
        <f t="shared" si="280"/>
        <v>1332.83</v>
      </c>
      <c r="J542">
        <f>IF(A542&gt;=Quarterly!B$2,Quarterly!C$2,IF(COUNTIFS(Quarterly!B:B,"&gt;="&amp;A542-92,Quarterly!B:B,"&lt;="&amp;A542)&gt;1,SUMIFS(Quarterly!C:C,Quarterly!B:B,"&gt;="&amp;A542-88,Quarterly!B:B,"&lt;="&amp;A542),SUMIFS(Quarterly!C:C,Quarterly!B:B,"&gt;="&amp;A542-92,Quarterly!B:B,"&lt;="&amp;A542)))</f>
        <v>14685.3</v>
      </c>
      <c r="K542" s="13">
        <f t="shared" si="281"/>
        <v>9.0800000000000006E-2</v>
      </c>
      <c r="L542">
        <f t="shared" si="283"/>
        <v>1332.83</v>
      </c>
      <c r="M542">
        <f>IF(A542&gt;=Quarterly!B$2,Quarterly!D$2,IF(COUNTIFS(Quarterly!B:B,"&gt;="&amp;A542-92,Quarterly!B:B,"&lt;="&amp;A542)&gt;1,SUMIFS(Quarterly!D:D,Quarterly!B:B,"&gt;="&amp;A542-88,Quarterly!B:B,"&lt;="&amp;A542),SUMIFS(Quarterly!D:D,Quarterly!B:B,"&gt;="&amp;A542-92,Quarterly!B:B,"&lt;="&amp;A542)))</f>
        <v>1313.691</v>
      </c>
      <c r="N542" s="13">
        <f t="shared" si="284"/>
        <v>0.10145999999999999</v>
      </c>
      <c r="O542">
        <f t="shared" si="272"/>
        <v>1332.83</v>
      </c>
      <c r="P542" s="56">
        <f>VLOOKUP(EOMONTH(A542,-1),Economic!A:I,7,FALSE)</f>
        <v>1171842</v>
      </c>
      <c r="Q542" s="13">
        <f t="shared" si="273"/>
        <v>0.1137</v>
      </c>
      <c r="R542" s="41">
        <v>1.73</v>
      </c>
      <c r="S542">
        <f t="shared" si="274"/>
        <v>-0.13</v>
      </c>
      <c r="T542" s="30">
        <f t="shared" si="275"/>
        <v>130.86000000000001</v>
      </c>
      <c r="U542" s="30">
        <f t="shared" si="282"/>
        <v>130.41999999999999</v>
      </c>
    </row>
    <row r="543" spans="1:21" ht="15" customHeight="1" x14ac:dyDescent="0.25">
      <c r="A543" s="5">
        <v>39544</v>
      </c>
      <c r="B543" s="5">
        <f t="shared" si="276"/>
        <v>39568</v>
      </c>
      <c r="C543">
        <v>1370.4</v>
      </c>
      <c r="D543" s="29">
        <f t="shared" si="277"/>
        <v>4.8899999999999999E-2</v>
      </c>
      <c r="E543" s="39">
        <f t="shared" si="278"/>
        <v>1339.5307692307692</v>
      </c>
      <c r="F543" s="39">
        <f t="shared" si="279"/>
        <v>1438.0043589743591</v>
      </c>
      <c r="G543" s="29">
        <f t="shared" si="271"/>
        <v>2.3E-2</v>
      </c>
      <c r="H543" s="29">
        <f t="shared" si="271"/>
        <v>-4.7E-2</v>
      </c>
      <c r="I543">
        <f t="shared" si="280"/>
        <v>1370.4</v>
      </c>
      <c r="J543">
        <f>IF(A543&gt;=Quarterly!B$2,Quarterly!C$2,IF(COUNTIFS(Quarterly!B:B,"&gt;="&amp;A543-92,Quarterly!B:B,"&lt;="&amp;A543)&gt;1,SUMIFS(Quarterly!C:C,Quarterly!B:B,"&gt;="&amp;A543-88,Quarterly!B:B,"&lt;="&amp;A543),SUMIFS(Quarterly!C:C,Quarterly!B:B,"&gt;="&amp;A543-92,Quarterly!B:B,"&lt;="&amp;A543)))</f>
        <v>14685.3</v>
      </c>
      <c r="K543" s="13">
        <f t="shared" si="281"/>
        <v>9.3299999999999994E-2</v>
      </c>
      <c r="L543">
        <f t="shared" si="283"/>
        <v>1370.4</v>
      </c>
      <c r="M543">
        <f>IF(A543&gt;=Quarterly!B$2,Quarterly!D$2,IF(COUNTIFS(Quarterly!B:B,"&gt;="&amp;A543-92,Quarterly!B:B,"&lt;="&amp;A543)&gt;1,SUMIFS(Quarterly!D:D,Quarterly!B:B,"&gt;="&amp;A543-88,Quarterly!B:B,"&lt;="&amp;A543),SUMIFS(Quarterly!D:D,Quarterly!B:B,"&gt;="&amp;A543-92,Quarterly!B:B,"&lt;="&amp;A543)))</f>
        <v>1313.691</v>
      </c>
      <c r="N543" s="13">
        <f t="shared" si="284"/>
        <v>0.10432</v>
      </c>
      <c r="O543">
        <f t="shared" si="272"/>
        <v>1370.4</v>
      </c>
      <c r="P543" s="56">
        <f>VLOOKUP(EOMONTH(A543,-1),Economic!A:I,7,FALSE)</f>
        <v>1171842</v>
      </c>
      <c r="Q543" s="13">
        <f t="shared" si="273"/>
        <v>0.11689999999999999</v>
      </c>
      <c r="R543" s="41">
        <v>1.67</v>
      </c>
      <c r="S543">
        <f t="shared" si="274"/>
        <v>-0.11</v>
      </c>
      <c r="T543" s="30">
        <f t="shared" si="275"/>
        <v>129.71</v>
      </c>
      <c r="U543" s="30">
        <f t="shared" si="282"/>
        <v>129.08000000000001</v>
      </c>
    </row>
    <row r="544" spans="1:21" ht="15" customHeight="1" x14ac:dyDescent="0.25">
      <c r="A544" s="5">
        <v>39537</v>
      </c>
      <c r="B544" s="5">
        <f t="shared" si="276"/>
        <v>39538</v>
      </c>
      <c r="C544">
        <v>1315.22</v>
      </c>
      <c r="D544" s="29">
        <f t="shared" si="277"/>
        <v>3.7000000000000002E-3</v>
      </c>
      <c r="E544" s="39">
        <f t="shared" si="278"/>
        <v>1342.7023076923078</v>
      </c>
      <c r="F544" s="39">
        <f t="shared" si="279"/>
        <v>1442.1079487179488</v>
      </c>
      <c r="G544" s="29">
        <f t="shared" si="271"/>
        <v>-2.0500000000000001E-2</v>
      </c>
      <c r="H544" s="29">
        <f t="shared" si="271"/>
        <v>-8.7999999999999995E-2</v>
      </c>
      <c r="I544">
        <f t="shared" si="280"/>
        <v>1315.22</v>
      </c>
      <c r="J544">
        <f>IF(A544&gt;=Quarterly!B$2,Quarterly!C$2,IF(COUNTIFS(Quarterly!B:B,"&gt;="&amp;A544-92,Quarterly!B:B,"&lt;="&amp;A544)&gt;1,SUMIFS(Quarterly!C:C,Quarterly!B:B,"&gt;="&amp;A544-88,Quarterly!B:B,"&lt;="&amp;A544),SUMIFS(Quarterly!C:C,Quarterly!B:B,"&gt;="&amp;A544-92,Quarterly!B:B,"&lt;="&amp;A544)))</f>
        <v>14685.3</v>
      </c>
      <c r="K544" s="13">
        <f t="shared" si="281"/>
        <v>8.9599999999999999E-2</v>
      </c>
      <c r="L544">
        <f t="shared" si="283"/>
        <v>1315.22</v>
      </c>
      <c r="M544">
        <f>IF(A544&gt;=Quarterly!B$2,Quarterly!D$2,IF(COUNTIFS(Quarterly!B:B,"&gt;="&amp;A544-92,Quarterly!B:B,"&lt;="&amp;A544)&gt;1,SUMIFS(Quarterly!D:D,Quarterly!B:B,"&gt;="&amp;A544-88,Quarterly!B:B,"&lt;="&amp;A544),SUMIFS(Quarterly!D:D,Quarterly!B:B,"&gt;="&amp;A544-92,Quarterly!B:B,"&lt;="&amp;A544)))</f>
        <v>1313.691</v>
      </c>
      <c r="N544" s="13">
        <f t="shared" si="284"/>
        <v>0.10012000000000001</v>
      </c>
      <c r="O544">
        <f t="shared" si="272"/>
        <v>1315.22</v>
      </c>
      <c r="P544" s="56">
        <f>VLOOKUP(EOMONTH(A544,-1),Economic!A:I,7,FALSE)</f>
        <v>1163350</v>
      </c>
      <c r="Q544" s="13">
        <f t="shared" si="273"/>
        <v>0.11310000000000001</v>
      </c>
      <c r="R544" s="41">
        <v>1.8</v>
      </c>
      <c r="S544">
        <f t="shared" si="274"/>
        <v>-0.11</v>
      </c>
      <c r="T544" s="30">
        <f t="shared" si="275"/>
        <v>130.69</v>
      </c>
      <c r="U544" s="30">
        <f t="shared" si="282"/>
        <v>128.27000000000001</v>
      </c>
    </row>
    <row r="545" spans="1:21" ht="15" customHeight="1" x14ac:dyDescent="0.25">
      <c r="A545" s="5">
        <v>39530</v>
      </c>
      <c r="B545" s="5">
        <f t="shared" si="276"/>
        <v>39538</v>
      </c>
      <c r="C545">
        <v>1329.51</v>
      </c>
      <c r="D545" s="29">
        <f t="shared" si="277"/>
        <v>0.01</v>
      </c>
      <c r="E545" s="39">
        <f t="shared" si="278"/>
        <v>1355.2615384615385</v>
      </c>
      <c r="F545" s="39">
        <f t="shared" si="279"/>
        <v>1446.9317948717949</v>
      </c>
      <c r="G545" s="29">
        <f t="shared" si="271"/>
        <v>-1.9E-2</v>
      </c>
      <c r="H545" s="29">
        <f t="shared" si="271"/>
        <v>-8.1199999999999994E-2</v>
      </c>
      <c r="I545">
        <f t="shared" si="280"/>
        <v>1329.51</v>
      </c>
      <c r="J545">
        <f>IF(A545&gt;=Quarterly!B$2,Quarterly!C$2,IF(COUNTIFS(Quarterly!B:B,"&gt;="&amp;A545-92,Quarterly!B:B,"&lt;="&amp;A545)&gt;1,SUMIFS(Quarterly!C:C,Quarterly!B:B,"&gt;="&amp;A545-88,Quarterly!B:B,"&lt;="&amp;A545),SUMIFS(Quarterly!C:C,Quarterly!B:B,"&gt;="&amp;A545-92,Quarterly!B:B,"&lt;="&amp;A545)))</f>
        <v>14685.3</v>
      </c>
      <c r="K545" s="13">
        <f t="shared" si="281"/>
        <v>9.0499999999999997E-2</v>
      </c>
      <c r="L545">
        <f t="shared" si="283"/>
        <v>1329.51</v>
      </c>
      <c r="M545">
        <f>IF(A545&gt;=Quarterly!B$2,Quarterly!D$2,IF(COUNTIFS(Quarterly!B:B,"&gt;="&amp;A545-92,Quarterly!B:B,"&lt;="&amp;A545)&gt;1,SUMIFS(Quarterly!D:D,Quarterly!B:B,"&gt;="&amp;A545-88,Quarterly!B:B,"&lt;="&amp;A545),SUMIFS(Quarterly!D:D,Quarterly!B:B,"&gt;="&amp;A545-92,Quarterly!B:B,"&lt;="&amp;A545)))</f>
        <v>1313.691</v>
      </c>
      <c r="N545" s="13">
        <f t="shared" si="284"/>
        <v>0.10120000000000001</v>
      </c>
      <c r="O545">
        <f t="shared" si="272"/>
        <v>1329.51</v>
      </c>
      <c r="P545" s="56">
        <f>VLOOKUP(EOMONTH(A545,-1),Economic!A:I,7,FALSE)</f>
        <v>1163350</v>
      </c>
      <c r="Q545" s="13">
        <f t="shared" si="273"/>
        <v>0.11429999999999998</v>
      </c>
      <c r="R545" s="41">
        <v>1.75</v>
      </c>
      <c r="S545">
        <f t="shared" si="274"/>
        <v>-0.15</v>
      </c>
      <c r="T545" s="30">
        <f t="shared" si="275"/>
        <v>126.84</v>
      </c>
      <c r="U545" s="30">
        <f t="shared" si="282"/>
        <v>126.25</v>
      </c>
    </row>
    <row r="546" spans="1:21" ht="15" customHeight="1" x14ac:dyDescent="0.25">
      <c r="A546" s="5">
        <v>39523</v>
      </c>
      <c r="B546" s="5">
        <f t="shared" si="276"/>
        <v>39538</v>
      </c>
      <c r="C546">
        <v>1288.1400000000001</v>
      </c>
      <c r="D546" s="29">
        <f t="shared" si="277"/>
        <v>-3.2800000000000003E-2</v>
      </c>
      <c r="E546" s="39">
        <f t="shared" si="278"/>
        <v>1367.1807692307693</v>
      </c>
      <c r="F546" s="39">
        <f t="shared" si="279"/>
        <v>1451.3689743589744</v>
      </c>
      <c r="G546" s="29">
        <f t="shared" si="271"/>
        <v>-5.7799999999999997E-2</v>
      </c>
      <c r="H546" s="29">
        <f t="shared" si="271"/>
        <v>-0.1125</v>
      </c>
      <c r="I546">
        <f t="shared" si="280"/>
        <v>1288.1400000000001</v>
      </c>
      <c r="J546">
        <f>IF(A546&gt;=Quarterly!B$2,Quarterly!C$2,IF(COUNTIFS(Quarterly!B:B,"&gt;="&amp;A546-92,Quarterly!B:B,"&lt;="&amp;A546)&gt;1,SUMIFS(Quarterly!C:C,Quarterly!B:B,"&gt;="&amp;A546-88,Quarterly!B:B,"&lt;="&amp;A546),SUMIFS(Quarterly!C:C,Quarterly!B:B,"&gt;="&amp;A546-92,Quarterly!B:B,"&lt;="&amp;A546)))</f>
        <v>14685.3</v>
      </c>
      <c r="K546" s="13">
        <f t="shared" si="281"/>
        <v>8.77E-2</v>
      </c>
      <c r="L546">
        <f t="shared" si="283"/>
        <v>1288.1400000000001</v>
      </c>
      <c r="M546">
        <f>IF(A546&gt;=Quarterly!B$2,Quarterly!D$2,IF(COUNTIFS(Quarterly!B:B,"&gt;="&amp;A546-92,Quarterly!B:B,"&lt;="&amp;A546)&gt;1,SUMIFS(Quarterly!D:D,Quarterly!B:B,"&gt;="&amp;A546-88,Quarterly!B:B,"&lt;="&amp;A546),SUMIFS(Quarterly!D:D,Quarterly!B:B,"&gt;="&amp;A546-92,Quarterly!B:B,"&lt;="&amp;A546)))</f>
        <v>1313.691</v>
      </c>
      <c r="N546" s="13">
        <f t="shared" si="284"/>
        <v>9.8060000000000008E-2</v>
      </c>
      <c r="O546">
        <f t="shared" si="272"/>
        <v>1288.1400000000001</v>
      </c>
      <c r="P546" s="56">
        <f>VLOOKUP(EOMONTH(A546,-1),Economic!A:I,7,FALSE)</f>
        <v>1163350</v>
      </c>
      <c r="Q546" s="13">
        <f t="shared" si="273"/>
        <v>0.11069999999999999</v>
      </c>
      <c r="R546" s="41">
        <v>1.97</v>
      </c>
      <c r="S546">
        <f t="shared" si="274"/>
        <v>-0.11</v>
      </c>
      <c r="T546" s="30">
        <f t="shared" si="275"/>
        <v>127.28</v>
      </c>
      <c r="U546" s="30">
        <f t="shared" si="282"/>
        <v>124.17</v>
      </c>
    </row>
    <row r="547" spans="1:21" ht="15" customHeight="1" x14ac:dyDescent="0.25">
      <c r="A547" s="5">
        <v>39516</v>
      </c>
      <c r="B547" s="5">
        <f t="shared" si="276"/>
        <v>39538</v>
      </c>
      <c r="C547">
        <v>1293.3699999999999</v>
      </c>
      <c r="D547" s="29">
        <f t="shared" si="277"/>
        <v>-3.5700000000000003E-2</v>
      </c>
      <c r="E547" s="39">
        <f t="shared" si="278"/>
        <v>1381.012307692308</v>
      </c>
      <c r="F547" s="39">
        <f t="shared" si="279"/>
        <v>1457.6451282051282</v>
      </c>
      <c r="G547" s="29">
        <f t="shared" si="271"/>
        <v>-6.3500000000000001E-2</v>
      </c>
      <c r="H547" s="29">
        <f t="shared" si="271"/>
        <v>-0.11269999999999999</v>
      </c>
      <c r="I547">
        <f t="shared" si="280"/>
        <v>1293.3699999999999</v>
      </c>
      <c r="J547">
        <f>IF(A547&gt;=Quarterly!B$2,Quarterly!C$2,IF(COUNTIFS(Quarterly!B:B,"&gt;="&amp;A547-92,Quarterly!B:B,"&lt;="&amp;A547)&gt;1,SUMIFS(Quarterly!C:C,Quarterly!B:B,"&gt;="&amp;A547-88,Quarterly!B:B,"&lt;="&amp;A547),SUMIFS(Quarterly!C:C,Quarterly!B:B,"&gt;="&amp;A547-92,Quarterly!B:B,"&lt;="&amp;A547)))</f>
        <v>14685.3</v>
      </c>
      <c r="K547" s="13">
        <f t="shared" si="281"/>
        <v>8.8099999999999998E-2</v>
      </c>
      <c r="L547">
        <f t="shared" si="283"/>
        <v>1293.3699999999999</v>
      </c>
      <c r="M547">
        <f>IF(A547&gt;=Quarterly!B$2,Quarterly!D$2,IF(COUNTIFS(Quarterly!B:B,"&gt;="&amp;A547-92,Quarterly!B:B,"&lt;="&amp;A547)&gt;1,SUMIFS(Quarterly!D:D,Quarterly!B:B,"&gt;="&amp;A547-88,Quarterly!B:B,"&lt;="&amp;A547),SUMIFS(Quarterly!D:D,Quarterly!B:B,"&gt;="&amp;A547-92,Quarterly!B:B,"&lt;="&amp;A547)))</f>
        <v>1313.691</v>
      </c>
      <c r="N547" s="13">
        <f t="shared" si="284"/>
        <v>9.845000000000001E-2</v>
      </c>
      <c r="O547">
        <f t="shared" si="272"/>
        <v>1293.3699999999999</v>
      </c>
      <c r="P547" s="56">
        <f>VLOOKUP(EOMONTH(A547,-1),Economic!A:I,7,FALSE)</f>
        <v>1163350</v>
      </c>
      <c r="Q547" s="13">
        <f t="shared" si="273"/>
        <v>0.11119999999999999</v>
      </c>
      <c r="R547" s="41">
        <v>2.0299999999999998</v>
      </c>
      <c r="S547">
        <f t="shared" si="274"/>
        <v>-0.11</v>
      </c>
      <c r="T547" s="30">
        <f t="shared" si="275"/>
        <v>124.64</v>
      </c>
      <c r="U547" s="30">
        <f t="shared" si="282"/>
        <v>121.32</v>
      </c>
    </row>
    <row r="548" spans="1:21" ht="15" customHeight="1" x14ac:dyDescent="0.25">
      <c r="A548" s="5">
        <v>39509</v>
      </c>
      <c r="B548" s="5">
        <f t="shared" si="276"/>
        <v>39538</v>
      </c>
      <c r="C548">
        <v>1330.63</v>
      </c>
      <c r="D548" s="29">
        <f t="shared" si="277"/>
        <v>-1.9800000000000002E-2</v>
      </c>
      <c r="E548" s="39">
        <f t="shared" si="278"/>
        <v>1397.2653846153846</v>
      </c>
      <c r="F548" s="39">
        <f t="shared" si="279"/>
        <v>1463.14</v>
      </c>
      <c r="G548" s="29">
        <f t="shared" si="271"/>
        <v>-4.7699999999999999E-2</v>
      </c>
      <c r="H548" s="29">
        <f t="shared" si="271"/>
        <v>-9.06E-2</v>
      </c>
      <c r="I548">
        <f t="shared" si="280"/>
        <v>1330.63</v>
      </c>
      <c r="J548">
        <f>IF(A548&gt;=Quarterly!B$2,Quarterly!C$2,IF(COUNTIFS(Quarterly!B:B,"&gt;="&amp;A548-92,Quarterly!B:B,"&lt;="&amp;A548)&gt;1,SUMIFS(Quarterly!C:C,Quarterly!B:B,"&gt;="&amp;A548-88,Quarterly!B:B,"&lt;="&amp;A548),SUMIFS(Quarterly!C:C,Quarterly!B:B,"&gt;="&amp;A548-92,Quarterly!B:B,"&lt;="&amp;A548)))</f>
        <v>14685.3</v>
      </c>
      <c r="K548" s="13">
        <f t="shared" si="281"/>
        <v>9.06E-2</v>
      </c>
      <c r="L548">
        <f t="shared" si="283"/>
        <v>1330.63</v>
      </c>
      <c r="M548">
        <f>IF(A548&gt;=Quarterly!B$2,Quarterly!D$2,IF(COUNTIFS(Quarterly!B:B,"&gt;="&amp;A548-92,Quarterly!B:B,"&lt;="&amp;A548)&gt;1,SUMIFS(Quarterly!D:D,Quarterly!B:B,"&gt;="&amp;A548-88,Quarterly!B:B,"&lt;="&amp;A548),SUMIFS(Quarterly!D:D,Quarterly!B:B,"&gt;="&amp;A548-92,Quarterly!B:B,"&lt;="&amp;A548)))</f>
        <v>1313.691</v>
      </c>
      <c r="N548" s="13">
        <f t="shared" si="284"/>
        <v>0.10128999999999999</v>
      </c>
      <c r="O548">
        <f t="shared" si="272"/>
        <v>1330.63</v>
      </c>
      <c r="P548" s="56">
        <f>VLOOKUP(EOMONTH(A548,-1),Economic!A:I,7,FALSE)</f>
        <v>1163350</v>
      </c>
      <c r="Q548" s="13">
        <f t="shared" si="273"/>
        <v>0.1144</v>
      </c>
      <c r="R548" s="41">
        <v>1.88</v>
      </c>
      <c r="S548">
        <f t="shared" si="274"/>
        <v>-0.11</v>
      </c>
      <c r="T548" s="30">
        <f t="shared" si="275"/>
        <v>120.58</v>
      </c>
      <c r="U548" s="30">
        <f t="shared" si="282"/>
        <v>118.5</v>
      </c>
    </row>
    <row r="549" spans="1:21" ht="15" customHeight="1" x14ac:dyDescent="0.25">
      <c r="A549" s="5">
        <v>39502</v>
      </c>
      <c r="B549" s="5">
        <f t="shared" si="276"/>
        <v>39507</v>
      </c>
      <c r="C549">
        <v>1353.11</v>
      </c>
      <c r="D549" s="29">
        <f t="shared" si="277"/>
        <v>8.9999999999999998E-4</v>
      </c>
      <c r="E549" s="39">
        <f t="shared" si="278"/>
        <v>1408.8430769230768</v>
      </c>
      <c r="F549" s="39">
        <f t="shared" si="279"/>
        <v>1468.4146153846154</v>
      </c>
      <c r="G549" s="29">
        <f t="shared" si="271"/>
        <v>-3.9600000000000003E-2</v>
      </c>
      <c r="H549" s="29">
        <f t="shared" si="271"/>
        <v>-7.85E-2</v>
      </c>
      <c r="I549">
        <f t="shared" si="280"/>
        <v>1353.11</v>
      </c>
      <c r="J549">
        <f>IF(A549&gt;=Quarterly!B$2,Quarterly!C$2,IF(COUNTIFS(Quarterly!B:B,"&gt;="&amp;A549-92,Quarterly!B:B,"&lt;="&amp;A549)&gt;1,SUMIFS(Quarterly!C:C,Quarterly!B:B,"&gt;="&amp;A549-88,Quarterly!B:B,"&lt;="&amp;A549),SUMIFS(Quarterly!C:C,Quarterly!B:B,"&gt;="&amp;A549-92,Quarterly!B:B,"&lt;="&amp;A549)))</f>
        <v>14685.3</v>
      </c>
      <c r="K549" s="13">
        <f t="shared" si="281"/>
        <v>9.2100000000000001E-2</v>
      </c>
      <c r="L549">
        <f t="shared" si="283"/>
        <v>1353.11</v>
      </c>
      <c r="M549">
        <f>IF(A549&gt;=Quarterly!B$2,Quarterly!D$2,IF(COUNTIFS(Quarterly!B:B,"&gt;="&amp;A549-92,Quarterly!B:B,"&lt;="&amp;A549)&gt;1,SUMIFS(Quarterly!D:D,Quarterly!B:B,"&gt;="&amp;A549-88,Quarterly!B:B,"&lt;="&amp;A549),SUMIFS(Quarterly!D:D,Quarterly!B:B,"&gt;="&amp;A549-92,Quarterly!B:B,"&lt;="&amp;A549)))</f>
        <v>1313.691</v>
      </c>
      <c r="N549" s="13">
        <f t="shared" si="284"/>
        <v>0.10300000000000001</v>
      </c>
      <c r="O549">
        <f t="shared" si="272"/>
        <v>1353.11</v>
      </c>
      <c r="P549" s="56">
        <f>VLOOKUP(EOMONTH(A549,-1),Economic!A:I,7,FALSE)</f>
        <v>1155832</v>
      </c>
      <c r="Q549" s="13">
        <f t="shared" si="273"/>
        <v>0.1171</v>
      </c>
      <c r="R549" s="41">
        <v>1.81</v>
      </c>
      <c r="S549">
        <f t="shared" si="274"/>
        <v>-0.08</v>
      </c>
      <c r="T549" s="30">
        <f t="shared" si="275"/>
        <v>118.74</v>
      </c>
      <c r="U549" s="30">
        <f t="shared" si="282"/>
        <v>116.89</v>
      </c>
    </row>
    <row r="550" spans="1:21" ht="15" customHeight="1" x14ac:dyDescent="0.25">
      <c r="A550" s="5">
        <v>39495</v>
      </c>
      <c r="B550" s="5">
        <f t="shared" si="276"/>
        <v>39507</v>
      </c>
      <c r="C550">
        <v>1349.99</v>
      </c>
      <c r="D550" s="29">
        <f t="shared" si="277"/>
        <v>3.2000000000000002E-3</v>
      </c>
      <c r="E550" s="39">
        <f t="shared" si="278"/>
        <v>1415.5807692307694</v>
      </c>
      <c r="F550" s="39">
        <f t="shared" si="279"/>
        <v>1472.584358974359</v>
      </c>
      <c r="G550" s="29">
        <f t="shared" si="271"/>
        <v>-4.6300000000000001E-2</v>
      </c>
      <c r="H550" s="29">
        <f t="shared" si="271"/>
        <v>-8.3299999999999999E-2</v>
      </c>
      <c r="I550">
        <f t="shared" si="280"/>
        <v>1349.99</v>
      </c>
      <c r="J550">
        <f>IF(A550&gt;=Quarterly!B$2,Quarterly!C$2,IF(COUNTIFS(Quarterly!B:B,"&gt;="&amp;A550-92,Quarterly!B:B,"&lt;="&amp;A550)&gt;1,SUMIFS(Quarterly!C:C,Quarterly!B:B,"&gt;="&amp;A550-88,Quarterly!B:B,"&lt;="&amp;A550),SUMIFS(Quarterly!C:C,Quarterly!B:B,"&gt;="&amp;A550-92,Quarterly!B:B,"&lt;="&amp;A550)))</f>
        <v>14685.3</v>
      </c>
      <c r="K550" s="13">
        <f t="shared" si="281"/>
        <v>9.1899999999999996E-2</v>
      </c>
      <c r="L550">
        <f t="shared" si="283"/>
        <v>1349.99</v>
      </c>
      <c r="M550">
        <f>IF(A550&gt;=Quarterly!B$2,Quarterly!D$2,IF(COUNTIFS(Quarterly!B:B,"&gt;="&amp;A550-92,Quarterly!B:B,"&lt;="&amp;A550)&gt;1,SUMIFS(Quarterly!D:D,Quarterly!B:B,"&gt;="&amp;A550-88,Quarterly!B:B,"&lt;="&amp;A550),SUMIFS(Quarterly!D:D,Quarterly!B:B,"&gt;="&amp;A550-92,Quarterly!B:B,"&lt;="&amp;A550)))</f>
        <v>1313.691</v>
      </c>
      <c r="N550" s="13">
        <f t="shared" si="284"/>
        <v>0.10276000000000002</v>
      </c>
      <c r="O550">
        <f t="shared" si="272"/>
        <v>1349.99</v>
      </c>
      <c r="P550" s="56">
        <f>VLOOKUP(EOMONTH(A550,-1),Economic!A:I,7,FALSE)</f>
        <v>1155832</v>
      </c>
      <c r="Q550" s="13">
        <f t="shared" si="273"/>
        <v>0.1168</v>
      </c>
      <c r="R550" s="41">
        <v>1.85</v>
      </c>
      <c r="S550">
        <f t="shared" si="274"/>
        <v>-0.13</v>
      </c>
      <c r="T550" s="30">
        <f t="shared" si="275"/>
        <v>116.19</v>
      </c>
      <c r="U550" s="30">
        <f t="shared" si="282"/>
        <v>114.87</v>
      </c>
    </row>
    <row r="551" spans="1:21" ht="15" customHeight="1" x14ac:dyDescent="0.25">
      <c r="A551" s="5">
        <v>39488</v>
      </c>
      <c r="B551" s="5">
        <f t="shared" si="276"/>
        <v>39507</v>
      </c>
      <c r="C551">
        <v>1331.29</v>
      </c>
      <c r="D551" s="29">
        <f t="shared" si="277"/>
        <v>-2.3300000000000001E-2</v>
      </c>
      <c r="E551" s="39">
        <f t="shared" si="278"/>
        <v>1423.9461538461542</v>
      </c>
      <c r="F551" s="39">
        <f t="shared" si="279"/>
        <v>1477.0141025641026</v>
      </c>
      <c r="G551" s="29">
        <f t="shared" si="271"/>
        <v>-6.5100000000000005E-2</v>
      </c>
      <c r="H551" s="29">
        <f t="shared" si="271"/>
        <v>-9.8699999999999996E-2</v>
      </c>
      <c r="I551">
        <f t="shared" si="280"/>
        <v>1331.29</v>
      </c>
      <c r="J551">
        <f>IF(A551&gt;=Quarterly!B$2,Quarterly!C$2,IF(COUNTIFS(Quarterly!B:B,"&gt;="&amp;A551-92,Quarterly!B:B,"&lt;="&amp;A551)&gt;1,SUMIFS(Quarterly!C:C,Quarterly!B:B,"&gt;="&amp;A551-88,Quarterly!B:B,"&lt;="&amp;A551),SUMIFS(Quarterly!C:C,Quarterly!B:B,"&gt;="&amp;A551-92,Quarterly!B:B,"&lt;="&amp;A551)))</f>
        <v>14685.3</v>
      </c>
      <c r="K551" s="13">
        <f t="shared" si="281"/>
        <v>9.0700000000000003E-2</v>
      </c>
      <c r="L551">
        <f t="shared" si="283"/>
        <v>1331.29</v>
      </c>
      <c r="M551">
        <f>IF(A551&gt;=Quarterly!B$2,Quarterly!D$2,IF(COUNTIFS(Quarterly!B:B,"&gt;="&amp;A551-92,Quarterly!B:B,"&lt;="&amp;A551)&gt;1,SUMIFS(Quarterly!D:D,Quarterly!B:B,"&gt;="&amp;A551-88,Quarterly!B:B,"&lt;="&amp;A551),SUMIFS(Quarterly!D:D,Quarterly!B:B,"&gt;="&amp;A551-92,Quarterly!B:B,"&lt;="&amp;A551)))</f>
        <v>1313.691</v>
      </c>
      <c r="N551" s="13">
        <f t="shared" si="284"/>
        <v>0.10134000000000001</v>
      </c>
      <c r="O551">
        <f t="shared" si="272"/>
        <v>1331.29</v>
      </c>
      <c r="P551" s="56">
        <f>VLOOKUP(EOMONTH(A551,-1),Economic!A:I,7,FALSE)</f>
        <v>1155832</v>
      </c>
      <c r="Q551" s="13">
        <f t="shared" si="273"/>
        <v>0.1152</v>
      </c>
      <c r="R551" s="41">
        <v>1.71</v>
      </c>
      <c r="S551">
        <f t="shared" si="274"/>
        <v>-0.12</v>
      </c>
      <c r="T551" s="30">
        <f t="shared" si="275"/>
        <v>115.73</v>
      </c>
      <c r="U551" s="30">
        <f t="shared" si="282"/>
        <v>112.38</v>
      </c>
    </row>
    <row r="552" spans="1:21" ht="15" customHeight="1" x14ac:dyDescent="0.25">
      <c r="A552" s="5">
        <v>39481</v>
      </c>
      <c r="B552" s="5">
        <f t="shared" si="276"/>
        <v>39507</v>
      </c>
      <c r="C552">
        <v>1395.42</v>
      </c>
      <c r="D552" s="29">
        <f t="shared" si="277"/>
        <v>2.07E-2</v>
      </c>
      <c r="E552" s="39">
        <f t="shared" si="278"/>
        <v>1433.3623076923079</v>
      </c>
      <c r="F552" s="39">
        <f t="shared" si="279"/>
        <v>1481.49</v>
      </c>
      <c r="G552" s="29">
        <f t="shared" si="271"/>
        <v>-2.6499999999999999E-2</v>
      </c>
      <c r="H552" s="29">
        <f t="shared" si="271"/>
        <v>-5.8099999999999999E-2</v>
      </c>
      <c r="I552">
        <f t="shared" si="280"/>
        <v>1395.42</v>
      </c>
      <c r="J552">
        <f>IF(A552&gt;=Quarterly!B$2,Quarterly!C$2,IF(COUNTIFS(Quarterly!B:B,"&gt;="&amp;A552-92,Quarterly!B:B,"&lt;="&amp;A552)&gt;1,SUMIFS(Quarterly!C:C,Quarterly!B:B,"&gt;="&amp;A552-88,Quarterly!B:B,"&lt;="&amp;A552),SUMIFS(Quarterly!C:C,Quarterly!B:B,"&gt;="&amp;A552-92,Quarterly!B:B,"&lt;="&amp;A552)))</f>
        <v>14685.3</v>
      </c>
      <c r="K552" s="13">
        <f t="shared" si="281"/>
        <v>9.5000000000000001E-2</v>
      </c>
      <c r="L552">
        <f t="shared" si="283"/>
        <v>1395.42</v>
      </c>
      <c r="M552">
        <f>IF(A552&gt;=Quarterly!B$2,Quarterly!D$2,IF(COUNTIFS(Quarterly!B:B,"&gt;="&amp;A552-92,Quarterly!B:B,"&lt;="&amp;A552)&gt;1,SUMIFS(Quarterly!D:D,Quarterly!B:B,"&gt;="&amp;A552-88,Quarterly!B:B,"&lt;="&amp;A552),SUMIFS(Quarterly!D:D,Quarterly!B:B,"&gt;="&amp;A552-92,Quarterly!B:B,"&lt;="&amp;A552)))</f>
        <v>1313.691</v>
      </c>
      <c r="N552" s="13">
        <f t="shared" si="284"/>
        <v>0.10622000000000001</v>
      </c>
      <c r="O552">
        <f t="shared" si="272"/>
        <v>1395.42</v>
      </c>
      <c r="P552" s="56">
        <f>VLOOKUP(EOMONTH(A552,-1),Economic!A:I,7,FALSE)</f>
        <v>1155832</v>
      </c>
      <c r="Q552" s="13">
        <f t="shared" si="273"/>
        <v>0.1207</v>
      </c>
      <c r="R552" s="41">
        <v>1.53</v>
      </c>
      <c r="S552">
        <f t="shared" si="274"/>
        <v>-0.09</v>
      </c>
      <c r="T552" s="30">
        <f t="shared" si="275"/>
        <v>112.69</v>
      </c>
      <c r="U552" s="30">
        <f t="shared" si="282"/>
        <v>109.52</v>
      </c>
    </row>
    <row r="553" spans="1:21" ht="15" customHeight="1" x14ac:dyDescent="0.25">
      <c r="A553" s="5">
        <v>39474</v>
      </c>
      <c r="B553" s="5">
        <f t="shared" si="276"/>
        <v>39478</v>
      </c>
      <c r="C553">
        <v>1330.61</v>
      </c>
      <c r="D553" s="29">
        <f t="shared" si="277"/>
        <v>-5.2299999999999999E-2</v>
      </c>
      <c r="E553" s="39">
        <f t="shared" si="278"/>
        <v>1442.1492307692311</v>
      </c>
      <c r="F553" s="39">
        <f t="shared" si="279"/>
        <v>1484.3156410256411</v>
      </c>
      <c r="G553" s="29">
        <f t="shared" si="271"/>
        <v>-7.7299999999999994E-2</v>
      </c>
      <c r="H553" s="29">
        <f t="shared" si="271"/>
        <v>-0.1036</v>
      </c>
      <c r="I553">
        <f t="shared" si="280"/>
        <v>1330.61</v>
      </c>
      <c r="J553">
        <f>IF(A553&gt;=Quarterly!B$2,Quarterly!C$2,IF(COUNTIFS(Quarterly!B:B,"&gt;="&amp;A553-92,Quarterly!B:B,"&lt;="&amp;A553)&gt;1,SUMIFS(Quarterly!C:C,Quarterly!B:B,"&gt;="&amp;A553-88,Quarterly!B:B,"&lt;="&amp;A553),SUMIFS(Quarterly!C:C,Quarterly!B:B,"&gt;="&amp;A553-92,Quarterly!B:B,"&lt;="&amp;A553)))</f>
        <v>14569.7</v>
      </c>
      <c r="K553" s="13">
        <f t="shared" si="281"/>
        <v>9.1300000000000006E-2</v>
      </c>
      <c r="L553">
        <f t="shared" si="283"/>
        <v>1330.61</v>
      </c>
      <c r="M553">
        <f>IF(A553&gt;=Quarterly!B$2,Quarterly!D$2,IF(COUNTIFS(Quarterly!B:B,"&gt;="&amp;A553-92,Quarterly!B:B,"&lt;="&amp;A553)&gt;1,SUMIFS(Quarterly!D:D,Quarterly!B:B,"&gt;="&amp;A553-88,Quarterly!B:B,"&lt;="&amp;A553),SUMIFS(Quarterly!D:D,Quarterly!B:B,"&gt;="&amp;A553-92,Quarterly!B:B,"&lt;="&amp;A553)))</f>
        <v>1285.345</v>
      </c>
      <c r="N553" s="13">
        <f t="shared" si="284"/>
        <v>0.10352</v>
      </c>
      <c r="O553">
        <f t="shared" si="272"/>
        <v>1330.61</v>
      </c>
      <c r="P553" s="56">
        <f>VLOOKUP(EOMONTH(A553,-1),Economic!A:I,7,FALSE)</f>
        <v>1141909</v>
      </c>
      <c r="Q553" s="13">
        <f t="shared" si="273"/>
        <v>0.11650000000000001</v>
      </c>
      <c r="R553" s="41">
        <v>1.38</v>
      </c>
      <c r="S553">
        <f t="shared" si="274"/>
        <v>-0.18</v>
      </c>
      <c r="T553" s="30">
        <f t="shared" si="275"/>
        <v>108.71</v>
      </c>
      <c r="U553" s="30">
        <f t="shared" si="282"/>
        <v>105.86</v>
      </c>
    </row>
    <row r="554" spans="1:21" ht="15" customHeight="1" x14ac:dyDescent="0.25">
      <c r="A554" s="5">
        <v>39467</v>
      </c>
      <c r="B554" s="5">
        <f t="shared" si="276"/>
        <v>39478</v>
      </c>
      <c r="C554">
        <v>1325.19</v>
      </c>
      <c r="D554" s="29">
        <f t="shared" si="277"/>
        <v>-8.2199999999999995E-2</v>
      </c>
      <c r="E554" s="39">
        <f t="shared" si="278"/>
        <v>1457.8930769230769</v>
      </c>
      <c r="F554" s="39">
        <f t="shared" si="279"/>
        <v>1488.5069230769229</v>
      </c>
      <c r="G554" s="29">
        <f t="shared" si="271"/>
        <v>-9.0999999999999998E-2</v>
      </c>
      <c r="H554" s="29">
        <f t="shared" si="271"/>
        <v>-0.10970000000000001</v>
      </c>
      <c r="I554">
        <f t="shared" si="280"/>
        <v>1325.19</v>
      </c>
      <c r="J554">
        <f>IF(A554&gt;=Quarterly!B$2,Quarterly!C$2,IF(COUNTIFS(Quarterly!B:B,"&gt;="&amp;A554-92,Quarterly!B:B,"&lt;="&amp;A554)&gt;1,SUMIFS(Quarterly!C:C,Quarterly!B:B,"&gt;="&amp;A554-88,Quarterly!B:B,"&lt;="&amp;A554),SUMIFS(Quarterly!C:C,Quarterly!B:B,"&gt;="&amp;A554-92,Quarterly!B:B,"&lt;="&amp;A554)))</f>
        <v>14569.7</v>
      </c>
      <c r="K554" s="13">
        <f t="shared" si="281"/>
        <v>9.0999999999999998E-2</v>
      </c>
      <c r="L554">
        <f t="shared" si="283"/>
        <v>1325.19</v>
      </c>
      <c r="M554">
        <f>IF(A554&gt;=Quarterly!B$2,Quarterly!D$2,IF(COUNTIFS(Quarterly!B:B,"&gt;="&amp;A554-92,Quarterly!B:B,"&lt;="&amp;A554)&gt;1,SUMIFS(Quarterly!D:D,Quarterly!B:B,"&gt;="&amp;A554-88,Quarterly!B:B,"&lt;="&amp;A554),SUMIFS(Quarterly!D:D,Quarterly!B:B,"&gt;="&amp;A554-92,Quarterly!B:B,"&lt;="&amp;A554)))</f>
        <v>1285.345</v>
      </c>
      <c r="N554" s="13">
        <f t="shared" si="284"/>
        <v>0.1031</v>
      </c>
      <c r="O554">
        <f t="shared" si="272"/>
        <v>1325.19</v>
      </c>
      <c r="P554" s="56">
        <f>VLOOKUP(EOMONTH(A554,-1),Economic!A:I,7,FALSE)</f>
        <v>1141909</v>
      </c>
      <c r="Q554" s="13">
        <f t="shared" si="273"/>
        <v>0.11609999999999999</v>
      </c>
      <c r="R554" s="41">
        <v>1.3</v>
      </c>
      <c r="S554">
        <f t="shared" si="274"/>
        <v>-0.15</v>
      </c>
      <c r="T554" s="30">
        <f t="shared" si="275"/>
        <v>107.15</v>
      </c>
      <c r="U554" s="30">
        <f t="shared" si="282"/>
        <v>103.09</v>
      </c>
    </row>
    <row r="555" spans="1:21" ht="15" customHeight="1" x14ac:dyDescent="0.25">
      <c r="A555" s="5">
        <v>39460</v>
      </c>
      <c r="B555" s="5">
        <f t="shared" si="276"/>
        <v>39478</v>
      </c>
      <c r="C555">
        <v>1401.02</v>
      </c>
      <c r="D555" s="29">
        <f t="shared" si="277"/>
        <v>-4.0800000000000003E-2</v>
      </c>
      <c r="E555" s="39">
        <f t="shared" si="278"/>
        <v>1471.3884615384618</v>
      </c>
      <c r="F555" s="39">
        <f t="shared" si="279"/>
        <v>1492.5879487179486</v>
      </c>
      <c r="G555" s="29">
        <f t="shared" si="271"/>
        <v>-4.7800000000000002E-2</v>
      </c>
      <c r="H555" s="29">
        <f t="shared" si="271"/>
        <v>-6.13E-2</v>
      </c>
      <c r="I555">
        <f t="shared" si="280"/>
        <v>1401.02</v>
      </c>
      <c r="J555">
        <f>IF(A555&gt;=Quarterly!B$2,Quarterly!C$2,IF(COUNTIFS(Quarterly!B:B,"&gt;="&amp;A555-92,Quarterly!B:B,"&lt;="&amp;A555)&gt;1,SUMIFS(Quarterly!C:C,Quarterly!B:B,"&gt;="&amp;A555-88,Quarterly!B:B,"&lt;="&amp;A555),SUMIFS(Quarterly!C:C,Quarterly!B:B,"&gt;="&amp;A555-92,Quarterly!B:B,"&lt;="&amp;A555)))</f>
        <v>14569.7</v>
      </c>
      <c r="K555" s="13">
        <f t="shared" si="281"/>
        <v>9.6199999999999994E-2</v>
      </c>
      <c r="L555">
        <f t="shared" si="283"/>
        <v>1401.02</v>
      </c>
      <c r="M555">
        <f>IF(A555&gt;=Quarterly!B$2,Quarterly!D$2,IF(COUNTIFS(Quarterly!B:B,"&gt;="&amp;A555-92,Quarterly!B:B,"&lt;="&amp;A555)&gt;1,SUMIFS(Quarterly!D:D,Quarterly!B:B,"&gt;="&amp;A555-88,Quarterly!B:B,"&lt;="&amp;A555),SUMIFS(Quarterly!D:D,Quarterly!B:B,"&gt;="&amp;A555-92,Quarterly!B:B,"&lt;="&amp;A555)))</f>
        <v>1285.345</v>
      </c>
      <c r="N555" s="13">
        <f t="shared" si="284"/>
        <v>0.10900000000000001</v>
      </c>
      <c r="O555">
        <f t="shared" si="272"/>
        <v>1401.02</v>
      </c>
      <c r="P555" s="56">
        <f>VLOOKUP(EOMONTH(A555,-1),Economic!A:I,7,FALSE)</f>
        <v>1141909</v>
      </c>
      <c r="Q555" s="13">
        <f t="shared" si="273"/>
        <v>0.1227</v>
      </c>
      <c r="R555" s="41">
        <v>1.23</v>
      </c>
      <c r="S555">
        <f t="shared" si="274"/>
        <v>-0.14000000000000001</v>
      </c>
      <c r="T555" s="30">
        <f t="shared" si="275"/>
        <v>101.72</v>
      </c>
      <c r="U555" s="30">
        <f t="shared" si="282"/>
        <v>99.23</v>
      </c>
    </row>
    <row r="556" spans="1:21" ht="15" customHeight="1" x14ac:dyDescent="0.25">
      <c r="A556" s="5">
        <v>39453</v>
      </c>
      <c r="B556" s="5">
        <f t="shared" si="276"/>
        <v>39478</v>
      </c>
      <c r="C556">
        <v>1411.63</v>
      </c>
      <c r="D556" s="29">
        <f t="shared" si="277"/>
        <v>-4.87E-2</v>
      </c>
      <c r="E556" s="39">
        <f t="shared" si="278"/>
        <v>1483.7561538461539</v>
      </c>
      <c r="F556" s="39">
        <f t="shared" si="279"/>
        <v>1493.916923076923</v>
      </c>
      <c r="G556" s="29">
        <f t="shared" si="271"/>
        <v>-4.8599999999999997E-2</v>
      </c>
      <c r="H556" s="29">
        <f t="shared" si="271"/>
        <v>-5.5100000000000003E-2</v>
      </c>
      <c r="I556">
        <f t="shared" si="280"/>
        <v>1411.63</v>
      </c>
      <c r="J556">
        <f>IF(A556&gt;=Quarterly!B$2,Quarterly!C$2,IF(COUNTIFS(Quarterly!B:B,"&gt;="&amp;A556-92,Quarterly!B:B,"&lt;="&amp;A556)&gt;1,SUMIFS(Quarterly!C:C,Quarterly!B:B,"&gt;="&amp;A556-88,Quarterly!B:B,"&lt;="&amp;A556),SUMIFS(Quarterly!C:C,Quarterly!B:B,"&gt;="&amp;A556-92,Quarterly!B:B,"&lt;="&amp;A556)))</f>
        <v>14569.7</v>
      </c>
      <c r="K556" s="13">
        <f t="shared" si="281"/>
        <v>9.69E-2</v>
      </c>
      <c r="L556">
        <f t="shared" si="283"/>
        <v>1411.63</v>
      </c>
      <c r="M556">
        <f>IF(A556&gt;=Quarterly!B$2,Quarterly!D$2,IF(COUNTIFS(Quarterly!B:B,"&gt;="&amp;A556-92,Quarterly!B:B,"&lt;="&amp;A556)&gt;1,SUMIFS(Quarterly!D:D,Quarterly!B:B,"&gt;="&amp;A556-88,Quarterly!B:B,"&lt;="&amp;A556),SUMIFS(Quarterly!D:D,Quarterly!B:B,"&gt;="&amp;A556-92,Quarterly!B:B,"&lt;="&amp;A556)))</f>
        <v>1285.345</v>
      </c>
      <c r="N556" s="13">
        <f t="shared" si="284"/>
        <v>0.10982000000000001</v>
      </c>
      <c r="O556">
        <f t="shared" si="272"/>
        <v>1411.63</v>
      </c>
      <c r="P556" s="56">
        <f>VLOOKUP(EOMONTH(A556,-1),Economic!A:I,7,FALSE)</f>
        <v>1141909</v>
      </c>
      <c r="Q556" s="13">
        <f t="shared" si="273"/>
        <v>0.12359999999999999</v>
      </c>
      <c r="R556" s="41">
        <v>1.1399999999999999</v>
      </c>
      <c r="S556">
        <f t="shared" si="274"/>
        <v>-0.1</v>
      </c>
      <c r="T556" s="30">
        <f t="shared" si="275"/>
        <v>100.39</v>
      </c>
      <c r="U556" s="30">
        <f t="shared" si="282"/>
        <v>96.83</v>
      </c>
    </row>
    <row r="557" spans="1:21" ht="15" customHeight="1" x14ac:dyDescent="0.25">
      <c r="A557" s="5">
        <v>39446</v>
      </c>
      <c r="B557" s="5">
        <f t="shared" si="276"/>
        <v>39447</v>
      </c>
      <c r="C557">
        <v>1478.49</v>
      </c>
      <c r="D557" s="29">
        <f t="shared" si="277"/>
        <v>-4.1000000000000003E-3</v>
      </c>
      <c r="E557" s="39">
        <f t="shared" si="278"/>
        <v>1494.9838461538461</v>
      </c>
      <c r="F557" s="39">
        <f t="shared" si="279"/>
        <v>1494.7407692307693</v>
      </c>
      <c r="G557" s="29">
        <f t="shared" si="271"/>
        <v>-1.0999999999999999E-2</v>
      </c>
      <c r="H557" s="29">
        <f t="shared" si="271"/>
        <v>-1.09E-2</v>
      </c>
      <c r="I557">
        <f t="shared" si="280"/>
        <v>1478.49</v>
      </c>
      <c r="J557">
        <f>IF(A557&gt;=Quarterly!B$2,Quarterly!C$2,IF(COUNTIFS(Quarterly!B:B,"&gt;="&amp;A557-92,Quarterly!B:B,"&lt;="&amp;A557)&gt;1,SUMIFS(Quarterly!C:C,Quarterly!B:B,"&gt;="&amp;A557-88,Quarterly!B:B,"&lt;="&amp;A557),SUMIFS(Quarterly!C:C,Quarterly!B:B,"&gt;="&amp;A557-92,Quarterly!B:B,"&lt;="&amp;A557)))</f>
        <v>14569.7</v>
      </c>
      <c r="K557" s="13">
        <f t="shared" si="281"/>
        <v>0.10150000000000001</v>
      </c>
      <c r="L557">
        <f t="shared" si="283"/>
        <v>1478.49</v>
      </c>
      <c r="M557">
        <f>IF(A557&gt;=Quarterly!B$2,Quarterly!D$2,IF(COUNTIFS(Quarterly!B:B,"&gt;="&amp;A557-92,Quarterly!B:B,"&lt;="&amp;A557)&gt;1,SUMIFS(Quarterly!D:D,Quarterly!B:B,"&gt;="&amp;A557-88,Quarterly!B:B,"&lt;="&amp;A557),SUMIFS(Quarterly!D:D,Quarterly!B:B,"&gt;="&amp;A557-92,Quarterly!B:B,"&lt;="&amp;A557)))</f>
        <v>1285.345</v>
      </c>
      <c r="N557" s="13">
        <f t="shared" si="284"/>
        <v>0.11503000000000002</v>
      </c>
      <c r="O557">
        <f t="shared" si="272"/>
        <v>1478.49</v>
      </c>
      <c r="P557" s="56">
        <f>VLOOKUP(EOMONTH(A557,-1),Economic!A:I,7,FALSE)</f>
        <v>1132706</v>
      </c>
      <c r="Q557" s="13">
        <f t="shared" si="273"/>
        <v>0.1305</v>
      </c>
      <c r="R557" s="41">
        <v>0.99</v>
      </c>
      <c r="S557">
        <f t="shared" si="274"/>
        <v>-0.08</v>
      </c>
      <c r="T557" s="30">
        <f t="shared" si="275"/>
        <v>95.58</v>
      </c>
      <c r="U557" s="30">
        <f t="shared" si="282"/>
        <v>95.13</v>
      </c>
    </row>
    <row r="558" spans="1:21" ht="15" customHeight="1" x14ac:dyDescent="0.25">
      <c r="A558" s="5">
        <v>39439</v>
      </c>
      <c r="B558" s="5">
        <f t="shared" si="276"/>
        <v>39447</v>
      </c>
      <c r="C558">
        <v>1484.46</v>
      </c>
      <c r="D558" s="29">
        <f t="shared" si="277"/>
        <v>7.4000000000000003E-3</v>
      </c>
      <c r="E558" s="39">
        <f t="shared" si="278"/>
        <v>1498.6961538461537</v>
      </c>
      <c r="F558" s="39">
        <f t="shared" si="279"/>
        <v>1493.2630769230771</v>
      </c>
      <c r="G558" s="29">
        <f t="shared" si="271"/>
        <v>-9.4999999999999998E-3</v>
      </c>
      <c r="H558" s="29">
        <f t="shared" si="271"/>
        <v>-5.8999999999999999E-3</v>
      </c>
      <c r="I558">
        <f t="shared" si="280"/>
        <v>1484.46</v>
      </c>
      <c r="J558">
        <f>IF(A558&gt;=Quarterly!B$2,Quarterly!C$2,IF(COUNTIFS(Quarterly!B:B,"&gt;="&amp;A558-92,Quarterly!B:B,"&lt;="&amp;A558)&gt;1,SUMIFS(Quarterly!C:C,Quarterly!B:B,"&gt;="&amp;A558-88,Quarterly!B:B,"&lt;="&amp;A558),SUMIFS(Quarterly!C:C,Quarterly!B:B,"&gt;="&amp;A558-92,Quarterly!B:B,"&lt;="&amp;A558)))</f>
        <v>14569.7</v>
      </c>
      <c r="K558" s="13">
        <f t="shared" si="281"/>
        <v>0.1019</v>
      </c>
      <c r="L558">
        <f t="shared" si="283"/>
        <v>1484.46</v>
      </c>
      <c r="M558">
        <f>IF(A558&gt;=Quarterly!B$2,Quarterly!D$2,IF(COUNTIFS(Quarterly!B:B,"&gt;="&amp;A558-92,Quarterly!B:B,"&lt;="&amp;A558)&gt;1,SUMIFS(Quarterly!D:D,Quarterly!B:B,"&gt;="&amp;A558-88,Quarterly!B:B,"&lt;="&amp;A558),SUMIFS(Quarterly!D:D,Quarterly!B:B,"&gt;="&amp;A558-92,Quarterly!B:B,"&lt;="&amp;A558)))</f>
        <v>1285.345</v>
      </c>
      <c r="N558" s="13">
        <f t="shared" si="284"/>
        <v>0.11549000000000001</v>
      </c>
      <c r="O558">
        <f t="shared" si="272"/>
        <v>1484.46</v>
      </c>
      <c r="P558" s="56">
        <f>VLOOKUP(EOMONTH(A558,-1),Economic!A:I,7,FALSE)</f>
        <v>1132706</v>
      </c>
      <c r="Q558" s="13">
        <f t="shared" si="273"/>
        <v>0.13110000000000002</v>
      </c>
      <c r="R558" s="41">
        <v>0.99</v>
      </c>
      <c r="S558">
        <f t="shared" si="274"/>
        <v>-0.08</v>
      </c>
      <c r="T558" s="30">
        <f t="shared" si="275"/>
        <v>94.52</v>
      </c>
      <c r="U558" s="30">
        <f t="shared" si="282"/>
        <v>94.51</v>
      </c>
    </row>
    <row r="559" spans="1:21" ht="15" customHeight="1" x14ac:dyDescent="0.25">
      <c r="A559" s="5">
        <v>39432</v>
      </c>
      <c r="B559" s="5">
        <f t="shared" si="276"/>
        <v>39447</v>
      </c>
      <c r="C559">
        <v>1467.95</v>
      </c>
      <c r="D559" s="29">
        <f t="shared" si="277"/>
        <v>-2.3E-3</v>
      </c>
      <c r="E559" s="39">
        <f t="shared" si="278"/>
        <v>1501.8723076923077</v>
      </c>
      <c r="F559" s="39">
        <f t="shared" si="279"/>
        <v>1492.0233333333333</v>
      </c>
      <c r="G559" s="29">
        <f t="shared" si="271"/>
        <v>-2.2599999999999999E-2</v>
      </c>
      <c r="H559" s="29">
        <f t="shared" si="271"/>
        <v>-1.61E-2</v>
      </c>
      <c r="I559">
        <f t="shared" si="280"/>
        <v>1467.95</v>
      </c>
      <c r="J559">
        <f>IF(A559&gt;=Quarterly!B$2,Quarterly!C$2,IF(COUNTIFS(Quarterly!B:B,"&gt;="&amp;A559-92,Quarterly!B:B,"&lt;="&amp;A559)&gt;1,SUMIFS(Quarterly!C:C,Quarterly!B:B,"&gt;="&amp;A559-88,Quarterly!B:B,"&lt;="&amp;A559),SUMIFS(Quarterly!C:C,Quarterly!B:B,"&gt;="&amp;A559-92,Quarterly!B:B,"&lt;="&amp;A559)))</f>
        <v>14569.7</v>
      </c>
      <c r="K559" s="13">
        <f t="shared" si="281"/>
        <v>0.1008</v>
      </c>
      <c r="L559">
        <f t="shared" si="283"/>
        <v>1467.95</v>
      </c>
      <c r="M559">
        <f>IF(A559&gt;=Quarterly!B$2,Quarterly!D$2,IF(COUNTIFS(Quarterly!B:B,"&gt;="&amp;A559-92,Quarterly!B:B,"&lt;="&amp;A559)&gt;1,SUMIFS(Quarterly!D:D,Quarterly!B:B,"&gt;="&amp;A559-88,Quarterly!B:B,"&lt;="&amp;A559),SUMIFS(Quarterly!D:D,Quarterly!B:B,"&gt;="&amp;A559-92,Quarterly!B:B,"&lt;="&amp;A559)))</f>
        <v>1285.345</v>
      </c>
      <c r="N559" s="13">
        <f t="shared" si="284"/>
        <v>0.11420999999999999</v>
      </c>
      <c r="O559">
        <f t="shared" si="272"/>
        <v>1467.95</v>
      </c>
      <c r="P559" s="56">
        <f>VLOOKUP(EOMONTH(A559,-1),Economic!A:I,7,FALSE)</f>
        <v>1132706</v>
      </c>
      <c r="Q559" s="13">
        <f t="shared" si="273"/>
        <v>0.12959999999999999</v>
      </c>
      <c r="R559" s="41">
        <v>0.93</v>
      </c>
      <c r="S559">
        <f t="shared" si="274"/>
        <v>-0.06</v>
      </c>
      <c r="T559" s="30">
        <f t="shared" si="275"/>
        <v>95.28</v>
      </c>
      <c r="U559" s="30">
        <f t="shared" si="282"/>
        <v>94.52</v>
      </c>
    </row>
    <row r="560" spans="1:21" ht="15" customHeight="1" x14ac:dyDescent="0.25">
      <c r="A560" s="5">
        <v>39425</v>
      </c>
      <c r="B560" s="5">
        <f t="shared" si="276"/>
        <v>39447</v>
      </c>
      <c r="C560">
        <v>1504.66</v>
      </c>
      <c r="D560" s="29">
        <f t="shared" si="277"/>
        <v>3.1600000000000003E-2</v>
      </c>
      <c r="E560" s="39">
        <f t="shared" si="278"/>
        <v>1503.1261538461538</v>
      </c>
      <c r="F560" s="39">
        <f t="shared" si="279"/>
        <v>1489.9464102564102</v>
      </c>
      <c r="G560" s="29">
        <f t="shared" si="271"/>
        <v>1E-3</v>
      </c>
      <c r="H560" s="29">
        <f t="shared" si="271"/>
        <v>9.9000000000000008E-3</v>
      </c>
      <c r="I560">
        <f t="shared" si="280"/>
        <v>1504.66</v>
      </c>
      <c r="J560">
        <f>IF(A560&gt;=Quarterly!B$2,Quarterly!C$2,IF(COUNTIFS(Quarterly!B:B,"&gt;="&amp;A560-92,Quarterly!B:B,"&lt;="&amp;A560)&gt;1,SUMIFS(Quarterly!C:C,Quarterly!B:B,"&gt;="&amp;A560-88,Quarterly!B:B,"&lt;="&amp;A560),SUMIFS(Quarterly!C:C,Quarterly!B:B,"&gt;="&amp;A560-92,Quarterly!B:B,"&lt;="&amp;A560)))</f>
        <v>14569.7</v>
      </c>
      <c r="K560" s="13">
        <f t="shared" si="281"/>
        <v>0.1033</v>
      </c>
      <c r="L560">
        <f t="shared" si="283"/>
        <v>1504.66</v>
      </c>
      <c r="M560">
        <f>IF(A560&gt;=Quarterly!B$2,Quarterly!D$2,IF(COUNTIFS(Quarterly!B:B,"&gt;="&amp;A560-92,Quarterly!B:B,"&lt;="&amp;A560)&gt;1,SUMIFS(Quarterly!D:D,Quarterly!B:B,"&gt;="&amp;A560-88,Quarterly!B:B,"&lt;="&amp;A560),SUMIFS(Quarterly!D:D,Quarterly!B:B,"&gt;="&amp;A560-92,Quarterly!B:B,"&lt;="&amp;A560)))</f>
        <v>1285.345</v>
      </c>
      <c r="N560" s="13">
        <f t="shared" si="284"/>
        <v>0.11706000000000001</v>
      </c>
      <c r="O560">
        <f t="shared" si="272"/>
        <v>1504.66</v>
      </c>
      <c r="P560" s="56">
        <f>VLOOKUP(EOMONTH(A560,-1),Economic!A:I,7,FALSE)</f>
        <v>1132706</v>
      </c>
      <c r="Q560" s="13">
        <f t="shared" si="273"/>
        <v>0.1328</v>
      </c>
      <c r="R560" s="41">
        <v>1</v>
      </c>
      <c r="S560">
        <f t="shared" si="274"/>
        <v>-0.04</v>
      </c>
      <c r="T560" s="30">
        <f t="shared" si="275"/>
        <v>93.72</v>
      </c>
      <c r="U560" s="30">
        <f t="shared" si="282"/>
        <v>94.95</v>
      </c>
    </row>
    <row r="561" spans="1:21" ht="15" customHeight="1" x14ac:dyDescent="0.25">
      <c r="A561" s="5">
        <v>39418</v>
      </c>
      <c r="B561" s="5">
        <f t="shared" si="276"/>
        <v>39447</v>
      </c>
      <c r="C561">
        <v>1481.14</v>
      </c>
      <c r="D561" s="29">
        <f t="shared" si="277"/>
        <v>1.0500000000000001E-2</v>
      </c>
      <c r="E561" s="39">
        <f t="shared" si="278"/>
        <v>1499.1946153846152</v>
      </c>
      <c r="F561" s="39">
        <f t="shared" si="279"/>
        <v>1487.3356410256408</v>
      </c>
      <c r="G561" s="29">
        <f t="shared" si="271"/>
        <v>-1.2E-2</v>
      </c>
      <c r="H561" s="29">
        <f t="shared" si="271"/>
        <v>-4.1999999999999997E-3</v>
      </c>
      <c r="I561">
        <f t="shared" si="280"/>
        <v>1481.14</v>
      </c>
      <c r="J561">
        <f>IF(A561&gt;=Quarterly!B$2,Quarterly!C$2,IF(COUNTIFS(Quarterly!B:B,"&gt;="&amp;A561-92,Quarterly!B:B,"&lt;="&amp;A561)&gt;1,SUMIFS(Quarterly!C:C,Quarterly!B:B,"&gt;="&amp;A561-88,Quarterly!B:B,"&lt;="&amp;A561),SUMIFS(Quarterly!C:C,Quarterly!B:B,"&gt;="&amp;A561-92,Quarterly!B:B,"&lt;="&amp;A561)))</f>
        <v>14569.7</v>
      </c>
      <c r="K561" s="13">
        <f t="shared" si="281"/>
        <v>0.1017</v>
      </c>
      <c r="L561">
        <f t="shared" si="283"/>
        <v>1481.14</v>
      </c>
      <c r="M561">
        <f>IF(A561&gt;=Quarterly!B$2,Quarterly!D$2,IF(COUNTIFS(Quarterly!B:B,"&gt;="&amp;A561-92,Quarterly!B:B,"&lt;="&amp;A561)&gt;1,SUMIFS(Quarterly!D:D,Quarterly!B:B,"&gt;="&amp;A561-88,Quarterly!B:B,"&lt;="&amp;A561),SUMIFS(Quarterly!D:D,Quarterly!B:B,"&gt;="&amp;A561-92,Quarterly!B:B,"&lt;="&amp;A561)))</f>
        <v>1285.345</v>
      </c>
      <c r="N561" s="13">
        <f t="shared" si="284"/>
        <v>0.11523000000000001</v>
      </c>
      <c r="O561">
        <f t="shared" si="272"/>
        <v>1481.14</v>
      </c>
      <c r="P561" s="56">
        <f>VLOOKUP(EOMONTH(A561,-1),Economic!A:I,7,FALSE)</f>
        <v>1132706</v>
      </c>
      <c r="Q561" s="13">
        <f t="shared" si="273"/>
        <v>0.1308</v>
      </c>
      <c r="R561" s="41">
        <v>0.93</v>
      </c>
      <c r="S561">
        <f t="shared" si="274"/>
        <v>-7.0000000000000007E-2</v>
      </c>
      <c r="T561" s="30">
        <f t="shared" si="275"/>
        <v>94.55</v>
      </c>
      <c r="U561" s="30">
        <f t="shared" si="282"/>
        <v>95.45</v>
      </c>
    </row>
    <row r="562" spans="1:21" ht="15" customHeight="1" x14ac:dyDescent="0.25">
      <c r="A562" s="5">
        <v>39411</v>
      </c>
      <c r="B562" s="5">
        <f t="shared" si="276"/>
        <v>39416</v>
      </c>
      <c r="C562">
        <v>1440.7</v>
      </c>
      <c r="D562" s="29">
        <f t="shared" si="277"/>
        <v>-3.27E-2</v>
      </c>
      <c r="E562" s="39">
        <f t="shared" si="278"/>
        <v>1498.6446153846155</v>
      </c>
      <c r="F562" s="39">
        <f t="shared" si="279"/>
        <v>1484.9261538461535</v>
      </c>
      <c r="G562" s="29">
        <f t="shared" si="271"/>
        <v>-3.8699999999999998E-2</v>
      </c>
      <c r="H562" s="29">
        <f t="shared" si="271"/>
        <v>-2.98E-2</v>
      </c>
      <c r="I562">
        <f t="shared" si="280"/>
        <v>1440.7</v>
      </c>
      <c r="J562">
        <f>IF(A562&gt;=Quarterly!B$2,Quarterly!C$2,IF(COUNTIFS(Quarterly!B:B,"&gt;="&amp;A562-92,Quarterly!B:B,"&lt;="&amp;A562)&gt;1,SUMIFS(Quarterly!C:C,Quarterly!B:B,"&gt;="&amp;A562-88,Quarterly!B:B,"&lt;="&amp;A562),SUMIFS(Quarterly!C:C,Quarterly!B:B,"&gt;="&amp;A562-92,Quarterly!B:B,"&lt;="&amp;A562)))</f>
        <v>14569.7</v>
      </c>
      <c r="K562" s="13">
        <f t="shared" si="281"/>
        <v>9.8900000000000002E-2</v>
      </c>
      <c r="L562">
        <f t="shared" si="283"/>
        <v>1440.7</v>
      </c>
      <c r="M562">
        <f>IF(A562&gt;=Quarterly!B$2,Quarterly!D$2,IF(COUNTIFS(Quarterly!B:B,"&gt;="&amp;A562-92,Quarterly!B:B,"&lt;="&amp;A562)&gt;1,SUMIFS(Quarterly!D:D,Quarterly!B:B,"&gt;="&amp;A562-88,Quarterly!B:B,"&lt;="&amp;A562),SUMIFS(Quarterly!D:D,Quarterly!B:B,"&gt;="&amp;A562-92,Quarterly!B:B,"&lt;="&amp;A562)))</f>
        <v>1285.345</v>
      </c>
      <c r="N562" s="13">
        <f t="shared" si="284"/>
        <v>0.11209000000000001</v>
      </c>
      <c r="O562">
        <f t="shared" si="272"/>
        <v>1440.7</v>
      </c>
      <c r="P562" s="56">
        <f>VLOOKUP(EOMONTH(A562,-1),Economic!A:I,7,FALSE)</f>
        <v>1127680</v>
      </c>
      <c r="Q562" s="13">
        <f t="shared" si="273"/>
        <v>0.1278</v>
      </c>
      <c r="R562" s="41">
        <v>0.94</v>
      </c>
      <c r="S562">
        <f t="shared" si="274"/>
        <v>-7.0000000000000007E-2</v>
      </c>
      <c r="T562" s="30">
        <f t="shared" si="275"/>
        <v>96.59</v>
      </c>
      <c r="U562" s="30">
        <f t="shared" si="282"/>
        <v>96.33</v>
      </c>
    </row>
    <row r="563" spans="1:21" ht="15" customHeight="1" x14ac:dyDescent="0.25">
      <c r="A563" s="5">
        <v>39404</v>
      </c>
      <c r="B563" s="5">
        <f t="shared" si="276"/>
        <v>39416</v>
      </c>
      <c r="C563">
        <v>1458.74</v>
      </c>
      <c r="D563" s="29">
        <f t="shared" si="277"/>
        <v>-2.7400000000000001E-2</v>
      </c>
      <c r="E563" s="39">
        <f t="shared" si="278"/>
        <v>1501.6192307692306</v>
      </c>
      <c r="F563" s="39">
        <f t="shared" si="279"/>
        <v>1485.195128205128</v>
      </c>
      <c r="G563" s="29">
        <f t="shared" si="271"/>
        <v>-2.86E-2</v>
      </c>
      <c r="H563" s="29">
        <f t="shared" si="271"/>
        <v>-1.78E-2</v>
      </c>
      <c r="I563">
        <f t="shared" si="280"/>
        <v>1458.74</v>
      </c>
      <c r="J563">
        <f>IF(A563&gt;=Quarterly!B$2,Quarterly!C$2,IF(COUNTIFS(Quarterly!B:B,"&gt;="&amp;A563-92,Quarterly!B:B,"&lt;="&amp;A563)&gt;1,SUMIFS(Quarterly!C:C,Quarterly!B:B,"&gt;="&amp;A563-88,Quarterly!B:B,"&lt;="&amp;A563),SUMIFS(Quarterly!C:C,Quarterly!B:B,"&gt;="&amp;A563-92,Quarterly!B:B,"&lt;="&amp;A563)))</f>
        <v>14569.7</v>
      </c>
      <c r="K563" s="13">
        <f t="shared" si="281"/>
        <v>0.10009999999999999</v>
      </c>
      <c r="L563">
        <f t="shared" si="283"/>
        <v>1458.74</v>
      </c>
      <c r="M563">
        <f>IF(A563&gt;=Quarterly!B$2,Quarterly!D$2,IF(COUNTIFS(Quarterly!B:B,"&gt;="&amp;A563-92,Quarterly!B:B,"&lt;="&amp;A563)&gt;1,SUMIFS(Quarterly!D:D,Quarterly!B:B,"&gt;="&amp;A563-88,Quarterly!B:B,"&lt;="&amp;A563),SUMIFS(Quarterly!D:D,Quarterly!B:B,"&gt;="&amp;A563-92,Quarterly!B:B,"&lt;="&amp;A563)))</f>
        <v>1285.345</v>
      </c>
      <c r="N563" s="13">
        <f t="shared" si="284"/>
        <v>0.11349000000000001</v>
      </c>
      <c r="O563">
        <f t="shared" si="272"/>
        <v>1458.74</v>
      </c>
      <c r="P563" s="56">
        <f>VLOOKUP(EOMONTH(A563,-1),Economic!A:I,7,FALSE)</f>
        <v>1127680</v>
      </c>
      <c r="Q563" s="13">
        <f t="shared" si="273"/>
        <v>0.12940000000000002</v>
      </c>
      <c r="R563" s="41">
        <v>0.82</v>
      </c>
      <c r="S563">
        <f t="shared" si="274"/>
        <v>-7.0000000000000007E-2</v>
      </c>
      <c r="T563" s="30">
        <f t="shared" si="275"/>
        <v>95.22</v>
      </c>
      <c r="U563" s="30">
        <f t="shared" si="282"/>
        <v>95.36</v>
      </c>
    </row>
    <row r="564" spans="1:21" ht="15" customHeight="1" x14ac:dyDescent="0.25">
      <c r="A564" s="5">
        <v>39397</v>
      </c>
      <c r="B564" s="5">
        <f t="shared" si="276"/>
        <v>39416</v>
      </c>
      <c r="C564">
        <v>1453.7</v>
      </c>
      <c r="D564" s="29">
        <f t="shared" si="277"/>
        <v>-4.7899999999999998E-2</v>
      </c>
      <c r="E564" s="39">
        <f t="shared" si="278"/>
        <v>1500.634615384615</v>
      </c>
      <c r="F564" s="39">
        <f t="shared" si="279"/>
        <v>1485.1130769230767</v>
      </c>
      <c r="G564" s="29">
        <f t="shared" si="271"/>
        <v>-3.1300000000000001E-2</v>
      </c>
      <c r="H564" s="29">
        <f t="shared" si="271"/>
        <v>-2.12E-2</v>
      </c>
      <c r="I564">
        <f t="shared" si="280"/>
        <v>1453.7</v>
      </c>
      <c r="J564">
        <f>IF(A564&gt;=Quarterly!B$2,Quarterly!C$2,IF(COUNTIFS(Quarterly!B:B,"&gt;="&amp;A564-92,Quarterly!B:B,"&lt;="&amp;A564)&gt;1,SUMIFS(Quarterly!C:C,Quarterly!B:B,"&gt;="&amp;A564-88,Quarterly!B:B,"&lt;="&amp;A564),SUMIFS(Quarterly!C:C,Quarterly!B:B,"&gt;="&amp;A564-92,Quarterly!B:B,"&lt;="&amp;A564)))</f>
        <v>14569.7</v>
      </c>
      <c r="K564" s="13">
        <f t="shared" si="281"/>
        <v>9.98E-2</v>
      </c>
      <c r="L564">
        <f t="shared" si="283"/>
        <v>1453.7</v>
      </c>
      <c r="M564">
        <f>IF(A564&gt;=Quarterly!B$2,Quarterly!D$2,IF(COUNTIFS(Quarterly!B:B,"&gt;="&amp;A564-92,Quarterly!B:B,"&lt;="&amp;A564)&gt;1,SUMIFS(Quarterly!D:D,Quarterly!B:B,"&gt;="&amp;A564-88,Quarterly!B:B,"&lt;="&amp;A564),SUMIFS(Quarterly!D:D,Quarterly!B:B,"&gt;="&amp;A564-92,Quarterly!B:B,"&lt;="&amp;A564)))</f>
        <v>1285.345</v>
      </c>
      <c r="N564" s="13">
        <f t="shared" si="284"/>
        <v>0.11310000000000001</v>
      </c>
      <c r="O564">
        <f t="shared" si="272"/>
        <v>1453.7</v>
      </c>
      <c r="P564" s="56">
        <f>VLOOKUP(EOMONTH(A564,-1),Economic!A:I,7,FALSE)</f>
        <v>1127680</v>
      </c>
      <c r="Q564" s="13">
        <f t="shared" si="273"/>
        <v>0.12889999999999999</v>
      </c>
      <c r="R564" s="41">
        <v>0.81</v>
      </c>
      <c r="S564">
        <f t="shared" si="274"/>
        <v>-0.02</v>
      </c>
      <c r="T564" s="30">
        <f t="shared" si="275"/>
        <v>97.17</v>
      </c>
      <c r="U564" s="30">
        <f t="shared" si="282"/>
        <v>94.04</v>
      </c>
    </row>
    <row r="565" spans="1:21" ht="15" customHeight="1" x14ac:dyDescent="0.25">
      <c r="A565" s="5">
        <v>39390</v>
      </c>
      <c r="B565" s="5">
        <f t="shared" si="276"/>
        <v>39416</v>
      </c>
      <c r="C565">
        <v>1509.65</v>
      </c>
      <c r="D565" s="29">
        <f t="shared" si="277"/>
        <v>-1.9E-2</v>
      </c>
      <c r="E565" s="39">
        <f t="shared" si="278"/>
        <v>1500.6299999999999</v>
      </c>
      <c r="F565" s="39">
        <f t="shared" si="279"/>
        <v>1484.7120512820511</v>
      </c>
      <c r="G565" s="29">
        <f t="shared" si="271"/>
        <v>6.0000000000000001E-3</v>
      </c>
      <c r="H565" s="29">
        <f t="shared" si="271"/>
        <v>1.6799999999999999E-2</v>
      </c>
      <c r="I565">
        <f t="shared" si="280"/>
        <v>1509.65</v>
      </c>
      <c r="J565">
        <f>IF(A565&gt;=Quarterly!B$2,Quarterly!C$2,IF(COUNTIFS(Quarterly!B:B,"&gt;="&amp;A565-92,Quarterly!B:B,"&lt;="&amp;A565)&gt;1,SUMIFS(Quarterly!C:C,Quarterly!B:B,"&gt;="&amp;A565-88,Quarterly!B:B,"&lt;="&amp;A565),SUMIFS(Quarterly!C:C,Quarterly!B:B,"&gt;="&amp;A565-92,Quarterly!B:B,"&lt;="&amp;A565)))</f>
        <v>14569.7</v>
      </c>
      <c r="K565" s="13">
        <f t="shared" si="281"/>
        <v>0.1036</v>
      </c>
      <c r="L565">
        <f t="shared" si="283"/>
        <v>1509.65</v>
      </c>
      <c r="M565">
        <f>IF(A565&gt;=Quarterly!B$2,Quarterly!D$2,IF(COUNTIFS(Quarterly!B:B,"&gt;="&amp;A565-92,Quarterly!B:B,"&lt;="&amp;A565)&gt;1,SUMIFS(Quarterly!D:D,Quarterly!B:B,"&gt;="&amp;A565-88,Quarterly!B:B,"&lt;="&amp;A565),SUMIFS(Quarterly!D:D,Quarterly!B:B,"&gt;="&amp;A565-92,Quarterly!B:B,"&lt;="&amp;A565)))</f>
        <v>1285.345</v>
      </c>
      <c r="N565" s="13">
        <f t="shared" si="284"/>
        <v>0.11745000000000001</v>
      </c>
      <c r="O565">
        <f t="shared" si="272"/>
        <v>1509.65</v>
      </c>
      <c r="P565" s="56">
        <f>VLOOKUP(EOMONTH(A565,-1),Economic!A:I,7,FALSE)</f>
        <v>1127680</v>
      </c>
      <c r="Q565" s="13">
        <f t="shared" si="273"/>
        <v>0.13389999999999999</v>
      </c>
      <c r="R565" s="41">
        <v>0.65</v>
      </c>
      <c r="S565">
        <f t="shared" si="274"/>
        <v>-0.04</v>
      </c>
      <c r="T565" s="30">
        <f t="shared" si="275"/>
        <v>93.7</v>
      </c>
      <c r="U565" s="30">
        <f t="shared" si="282"/>
        <v>93.48</v>
      </c>
    </row>
    <row r="566" spans="1:21" ht="15" customHeight="1" x14ac:dyDescent="0.25">
      <c r="A566" s="5">
        <v>39383</v>
      </c>
      <c r="B566" s="5">
        <f t="shared" si="276"/>
        <v>39386</v>
      </c>
      <c r="C566">
        <v>1535.28</v>
      </c>
      <c r="D566" s="29">
        <f t="shared" si="277"/>
        <v>-8.9999999999999998E-4</v>
      </c>
      <c r="E566" s="39">
        <f t="shared" si="278"/>
        <v>1494.7384615384615</v>
      </c>
      <c r="F566" s="39">
        <f t="shared" si="279"/>
        <v>1483.1412820512817</v>
      </c>
      <c r="G566" s="29">
        <f t="shared" si="271"/>
        <v>2.7099999999999999E-2</v>
      </c>
      <c r="H566" s="29">
        <f t="shared" si="271"/>
        <v>3.5200000000000002E-2</v>
      </c>
      <c r="I566">
        <f t="shared" si="280"/>
        <v>1535.28</v>
      </c>
      <c r="J566">
        <f>IF(A566&gt;=Quarterly!B$2,Quarterly!C$2,IF(COUNTIFS(Quarterly!B:B,"&gt;="&amp;A566-92,Quarterly!B:B,"&lt;="&amp;A566)&gt;1,SUMIFS(Quarterly!C:C,Quarterly!B:B,"&gt;="&amp;A566-88,Quarterly!B:B,"&lt;="&amp;A566),SUMIFS(Quarterly!C:C,Quarterly!B:B,"&gt;="&amp;A566-92,Quarterly!B:B,"&lt;="&amp;A566)))</f>
        <v>14422.3</v>
      </c>
      <c r="K566" s="13">
        <f t="shared" si="281"/>
        <v>0.1065</v>
      </c>
      <c r="L566">
        <f t="shared" si="283"/>
        <v>1535.28</v>
      </c>
      <c r="M566">
        <f>IF(A566&gt;=Quarterly!B$2,Quarterly!D$2,IF(COUNTIFS(Quarterly!B:B,"&gt;="&amp;A566-92,Quarterly!B:B,"&lt;="&amp;A566)&gt;1,SUMIFS(Quarterly!D:D,Quarterly!B:B,"&gt;="&amp;A566-88,Quarterly!B:B,"&lt;="&amp;A566),SUMIFS(Quarterly!D:D,Quarterly!B:B,"&gt;="&amp;A566-92,Quarterly!B:B,"&lt;="&amp;A566)))</f>
        <v>1341.6980000000001</v>
      </c>
      <c r="N566" s="13">
        <f t="shared" si="284"/>
        <v>0.11443000000000002</v>
      </c>
      <c r="O566">
        <f t="shared" si="272"/>
        <v>1535.28</v>
      </c>
      <c r="P566" s="56">
        <f>VLOOKUP(EOMONTH(A566,-1),Economic!A:I,7,FALSE)</f>
        <v>1126310</v>
      </c>
      <c r="Q566" s="13">
        <f t="shared" si="273"/>
        <v>0.1363</v>
      </c>
      <c r="R566" s="41">
        <v>0.64</v>
      </c>
      <c r="S566">
        <f t="shared" si="274"/>
        <v>-7.0000000000000007E-2</v>
      </c>
      <c r="T566" s="30">
        <f t="shared" si="275"/>
        <v>91.25</v>
      </c>
      <c r="U566" s="30">
        <f t="shared" si="282"/>
        <v>93.22</v>
      </c>
    </row>
    <row r="567" spans="1:21" ht="15" customHeight="1" x14ac:dyDescent="0.25">
      <c r="A567" s="5">
        <v>39376</v>
      </c>
      <c r="B567" s="5">
        <f t="shared" si="276"/>
        <v>39386</v>
      </c>
      <c r="C567">
        <v>1500.63</v>
      </c>
      <c r="D567" s="29">
        <f t="shared" si="277"/>
        <v>-2.7400000000000001E-2</v>
      </c>
      <c r="E567" s="39">
        <f t="shared" si="278"/>
        <v>1488.8669230769233</v>
      </c>
      <c r="F567" s="39">
        <f t="shared" si="279"/>
        <v>1480.241282051282</v>
      </c>
      <c r="G567" s="29">
        <f t="shared" si="271"/>
        <v>7.9000000000000008E-3</v>
      </c>
      <c r="H567" s="29">
        <f t="shared" si="271"/>
        <v>1.38E-2</v>
      </c>
      <c r="I567">
        <f t="shared" si="280"/>
        <v>1500.63</v>
      </c>
      <c r="J567">
        <f>IF(A567&gt;=Quarterly!B$2,Quarterly!C$2,IF(COUNTIFS(Quarterly!B:B,"&gt;="&amp;A567-92,Quarterly!B:B,"&lt;="&amp;A567)&gt;1,SUMIFS(Quarterly!C:C,Quarterly!B:B,"&gt;="&amp;A567-88,Quarterly!B:B,"&lt;="&amp;A567),SUMIFS(Quarterly!C:C,Quarterly!B:B,"&gt;="&amp;A567-92,Quarterly!B:B,"&lt;="&amp;A567)))</f>
        <v>14422.3</v>
      </c>
      <c r="K567" s="13">
        <f t="shared" si="281"/>
        <v>0.104</v>
      </c>
      <c r="L567">
        <f t="shared" si="283"/>
        <v>1500.63</v>
      </c>
      <c r="M567">
        <f>IF(A567&gt;=Quarterly!B$2,Quarterly!D$2,IF(COUNTIFS(Quarterly!B:B,"&gt;="&amp;A567-92,Quarterly!B:B,"&lt;="&amp;A567)&gt;1,SUMIFS(Quarterly!D:D,Quarterly!B:B,"&gt;="&amp;A567-88,Quarterly!B:B,"&lt;="&amp;A567),SUMIFS(Quarterly!D:D,Quarterly!B:B,"&gt;="&amp;A567-92,Quarterly!B:B,"&lt;="&amp;A567)))</f>
        <v>1341.6980000000001</v>
      </c>
      <c r="N567" s="13">
        <f t="shared" si="284"/>
        <v>0.11185</v>
      </c>
      <c r="O567">
        <f t="shared" si="272"/>
        <v>1500.63</v>
      </c>
      <c r="P567" s="56">
        <f>VLOOKUP(EOMONTH(A567,-1),Economic!A:I,7,FALSE)</f>
        <v>1126310</v>
      </c>
      <c r="Q567" s="13">
        <f t="shared" si="273"/>
        <v>0.13320000000000001</v>
      </c>
      <c r="R567" s="41">
        <v>0.61</v>
      </c>
      <c r="S567">
        <f t="shared" si="274"/>
        <v>-0.03</v>
      </c>
      <c r="T567" s="30">
        <f t="shared" si="275"/>
        <v>95.5</v>
      </c>
      <c r="U567" s="30">
        <f t="shared" si="282"/>
        <v>93.73</v>
      </c>
    </row>
    <row r="568" spans="1:21" ht="15" customHeight="1" x14ac:dyDescent="0.25">
      <c r="A568" s="5">
        <v>39369</v>
      </c>
      <c r="B568" s="5">
        <f t="shared" si="276"/>
        <v>39386</v>
      </c>
      <c r="C568">
        <v>1561.8</v>
      </c>
      <c r="D568" s="29">
        <f t="shared" si="277"/>
        <v>2.5100000000000001E-2</v>
      </c>
      <c r="E568" s="39">
        <f t="shared" si="278"/>
        <v>1491.4415384615384</v>
      </c>
      <c r="F568" s="39">
        <f t="shared" si="279"/>
        <v>1478.4430769230767</v>
      </c>
      <c r="G568" s="29">
        <f t="shared" si="271"/>
        <v>4.7199999999999999E-2</v>
      </c>
      <c r="H568" s="29">
        <f t="shared" si="271"/>
        <v>5.6399999999999999E-2</v>
      </c>
      <c r="I568">
        <f t="shared" si="280"/>
        <v>1561.8</v>
      </c>
      <c r="J568">
        <f>IF(A568&gt;=Quarterly!B$2,Quarterly!C$2,IF(COUNTIFS(Quarterly!B:B,"&gt;="&amp;A568-92,Quarterly!B:B,"&lt;="&amp;A568)&gt;1,SUMIFS(Quarterly!C:C,Quarterly!B:B,"&gt;="&amp;A568-88,Quarterly!B:B,"&lt;="&amp;A568),SUMIFS(Quarterly!C:C,Quarterly!B:B,"&gt;="&amp;A568-92,Quarterly!B:B,"&lt;="&amp;A568)))</f>
        <v>14422.3</v>
      </c>
      <c r="K568" s="13">
        <f t="shared" si="281"/>
        <v>0.10829999999999999</v>
      </c>
      <c r="L568">
        <f t="shared" si="283"/>
        <v>1561.8</v>
      </c>
      <c r="M568">
        <f>IF(A568&gt;=Quarterly!B$2,Quarterly!D$2,IF(COUNTIFS(Quarterly!B:B,"&gt;="&amp;A568-92,Quarterly!B:B,"&lt;="&amp;A568)&gt;1,SUMIFS(Quarterly!D:D,Quarterly!B:B,"&gt;="&amp;A568-88,Quarterly!B:B,"&lt;="&amp;A568),SUMIFS(Quarterly!D:D,Quarterly!B:B,"&gt;="&amp;A568-92,Quarterly!B:B,"&lt;="&amp;A568)))</f>
        <v>1341.6980000000001</v>
      </c>
      <c r="N568" s="13">
        <f t="shared" si="284"/>
        <v>0.1164</v>
      </c>
      <c r="O568">
        <f t="shared" si="272"/>
        <v>1561.8</v>
      </c>
      <c r="P568" s="56">
        <f>VLOOKUP(EOMONTH(A568,-1),Economic!A:I,7,FALSE)</f>
        <v>1126310</v>
      </c>
      <c r="Q568" s="13">
        <f t="shared" si="273"/>
        <v>0.13869999999999999</v>
      </c>
      <c r="R568" s="41">
        <v>0.47</v>
      </c>
      <c r="S568">
        <f t="shared" si="274"/>
        <v>0.01</v>
      </c>
      <c r="T568" s="30">
        <f t="shared" si="275"/>
        <v>92.91</v>
      </c>
      <c r="U568" s="30">
        <f t="shared" si="282"/>
        <v>93.59</v>
      </c>
    </row>
    <row r="569" spans="1:21" ht="15" customHeight="1" x14ac:dyDescent="0.25">
      <c r="A569" s="5">
        <v>39362</v>
      </c>
      <c r="B569" s="5">
        <f t="shared" si="276"/>
        <v>39386</v>
      </c>
      <c r="C569">
        <v>1557.59</v>
      </c>
      <c r="D569" s="29">
        <f t="shared" si="277"/>
        <v>4.0099999999999997E-2</v>
      </c>
      <c r="E569" s="39">
        <f t="shared" si="278"/>
        <v>1490.7261538461537</v>
      </c>
      <c r="F569" s="39">
        <f t="shared" si="279"/>
        <v>1475.0823076923075</v>
      </c>
      <c r="G569" s="29">
        <f t="shared" si="271"/>
        <v>4.4900000000000002E-2</v>
      </c>
      <c r="H569" s="29">
        <f t="shared" si="271"/>
        <v>5.5899999999999998E-2</v>
      </c>
      <c r="I569">
        <f t="shared" si="280"/>
        <v>1557.59</v>
      </c>
      <c r="J569">
        <f>IF(A569&gt;=Quarterly!B$2,Quarterly!C$2,IF(COUNTIFS(Quarterly!B:B,"&gt;="&amp;A569-92,Quarterly!B:B,"&lt;="&amp;A569)&gt;1,SUMIFS(Quarterly!C:C,Quarterly!B:B,"&gt;="&amp;A569-88,Quarterly!B:B,"&lt;="&amp;A569),SUMIFS(Quarterly!C:C,Quarterly!B:B,"&gt;="&amp;A569-92,Quarterly!B:B,"&lt;="&amp;A569)))</f>
        <v>14422.3</v>
      </c>
      <c r="K569" s="13">
        <f t="shared" si="281"/>
        <v>0.108</v>
      </c>
      <c r="L569">
        <f t="shared" si="283"/>
        <v>1557.59</v>
      </c>
      <c r="M569">
        <f>IF(A569&gt;=Quarterly!B$2,Quarterly!D$2,IF(COUNTIFS(Quarterly!B:B,"&gt;="&amp;A569-92,Quarterly!B:B,"&lt;="&amp;A569)&gt;1,SUMIFS(Quarterly!D:D,Quarterly!B:B,"&gt;="&amp;A569-88,Quarterly!B:B,"&lt;="&amp;A569),SUMIFS(Quarterly!D:D,Quarterly!B:B,"&gt;="&amp;A569-92,Quarterly!B:B,"&lt;="&amp;A569)))</f>
        <v>1341.6980000000001</v>
      </c>
      <c r="N569" s="13">
        <f t="shared" si="284"/>
        <v>0.11609000000000001</v>
      </c>
      <c r="O569">
        <f t="shared" si="272"/>
        <v>1557.59</v>
      </c>
      <c r="P569" s="56">
        <f>VLOOKUP(EOMONTH(A569,-1),Economic!A:I,7,FALSE)</f>
        <v>1126310</v>
      </c>
      <c r="Q569" s="13">
        <f t="shared" si="273"/>
        <v>0.13829999999999998</v>
      </c>
      <c r="R569" s="41">
        <v>0.56999999999999995</v>
      </c>
      <c r="S569">
        <f t="shared" si="274"/>
        <v>0</v>
      </c>
      <c r="T569" s="30">
        <f t="shared" si="275"/>
        <v>92.78</v>
      </c>
      <c r="U569" s="30">
        <f t="shared" si="282"/>
        <v>93.88</v>
      </c>
    </row>
    <row r="570" spans="1:21" ht="15" customHeight="1" x14ac:dyDescent="0.25">
      <c r="A570" s="5">
        <v>39355</v>
      </c>
      <c r="B570" s="5">
        <f t="shared" si="276"/>
        <v>39355</v>
      </c>
      <c r="C570">
        <v>1526.75</v>
      </c>
      <c r="D570" s="29">
        <f t="shared" si="277"/>
        <v>2.8500000000000001E-2</v>
      </c>
      <c r="E570" s="39">
        <f t="shared" si="278"/>
        <v>1488.6376923076921</v>
      </c>
      <c r="F570" s="39">
        <f t="shared" si="279"/>
        <v>1471.2905128205127</v>
      </c>
      <c r="G570" s="29">
        <f t="shared" si="271"/>
        <v>2.5600000000000001E-2</v>
      </c>
      <c r="H570" s="29">
        <f t="shared" si="271"/>
        <v>3.7699999999999997E-2</v>
      </c>
      <c r="I570">
        <f t="shared" si="280"/>
        <v>1526.75</v>
      </c>
      <c r="J570">
        <f>IF(A570&gt;=Quarterly!B$2,Quarterly!C$2,IF(COUNTIFS(Quarterly!B:B,"&gt;="&amp;A570-92,Quarterly!B:B,"&lt;="&amp;A570)&gt;1,SUMIFS(Quarterly!C:C,Quarterly!B:B,"&gt;="&amp;A570-88,Quarterly!B:B,"&lt;="&amp;A570),SUMIFS(Quarterly!C:C,Quarterly!B:B,"&gt;="&amp;A570-92,Quarterly!B:B,"&lt;="&amp;A570)))</f>
        <v>14422.3</v>
      </c>
      <c r="K570" s="13">
        <f t="shared" si="281"/>
        <v>0.10589999999999999</v>
      </c>
      <c r="L570">
        <f t="shared" si="283"/>
        <v>1526.75</v>
      </c>
      <c r="M570">
        <f>IF(A570&gt;=Quarterly!B$2,Quarterly!D$2,IF(COUNTIFS(Quarterly!B:B,"&gt;="&amp;A570-92,Quarterly!B:B,"&lt;="&amp;A570)&gt;1,SUMIFS(Quarterly!D:D,Quarterly!B:B,"&gt;="&amp;A570-88,Quarterly!B:B,"&lt;="&amp;A570),SUMIFS(Quarterly!D:D,Quarterly!B:B,"&gt;="&amp;A570-92,Quarterly!B:B,"&lt;="&amp;A570)))</f>
        <v>1341.6980000000001</v>
      </c>
      <c r="N570" s="13">
        <f t="shared" si="284"/>
        <v>0.11379</v>
      </c>
      <c r="O570">
        <f t="shared" si="272"/>
        <v>1526.75</v>
      </c>
      <c r="P570" s="56">
        <f>VLOOKUP(EOMONTH(A570,-1),Economic!A:I,7,FALSE)</f>
        <v>1122695</v>
      </c>
      <c r="Q570" s="13">
        <f t="shared" si="273"/>
        <v>0.13600000000000001</v>
      </c>
      <c r="R570" s="41">
        <v>0.62</v>
      </c>
      <c r="S570">
        <f t="shared" si="274"/>
        <v>0.02</v>
      </c>
      <c r="T570" s="30">
        <f t="shared" si="275"/>
        <v>95.07</v>
      </c>
      <c r="U570" s="30">
        <f t="shared" si="282"/>
        <v>95.21</v>
      </c>
    </row>
    <row r="571" spans="1:21" ht="15" customHeight="1" x14ac:dyDescent="0.25">
      <c r="A571" s="5">
        <v>39348</v>
      </c>
      <c r="B571" s="5">
        <f t="shared" si="276"/>
        <v>39355</v>
      </c>
      <c r="C571">
        <v>1525.75</v>
      </c>
      <c r="D571" s="29">
        <f t="shared" si="277"/>
        <v>3.5999999999999997E-2</v>
      </c>
      <c r="E571" s="39">
        <f t="shared" si="278"/>
        <v>1486.8376923076924</v>
      </c>
      <c r="F571" s="39">
        <f t="shared" si="279"/>
        <v>1468.5097435897435</v>
      </c>
      <c r="G571" s="29">
        <f t="shared" si="271"/>
        <v>2.6200000000000001E-2</v>
      </c>
      <c r="H571" s="29">
        <f t="shared" si="271"/>
        <v>3.9E-2</v>
      </c>
      <c r="I571">
        <f t="shared" si="280"/>
        <v>1525.75</v>
      </c>
      <c r="J571">
        <f>IF(A571&gt;=Quarterly!B$2,Quarterly!C$2,IF(COUNTIFS(Quarterly!B:B,"&gt;="&amp;A571-92,Quarterly!B:B,"&lt;="&amp;A571)&gt;1,SUMIFS(Quarterly!C:C,Quarterly!B:B,"&gt;="&amp;A571-88,Quarterly!B:B,"&lt;="&amp;A571),SUMIFS(Quarterly!C:C,Quarterly!B:B,"&gt;="&amp;A571-92,Quarterly!B:B,"&lt;="&amp;A571)))</f>
        <v>14422.3</v>
      </c>
      <c r="K571" s="13">
        <f t="shared" si="281"/>
        <v>0.10580000000000001</v>
      </c>
      <c r="L571">
        <f t="shared" si="283"/>
        <v>1525.75</v>
      </c>
      <c r="M571">
        <f>IF(A571&gt;=Quarterly!B$2,Quarterly!D$2,IF(COUNTIFS(Quarterly!B:B,"&gt;="&amp;A571-92,Quarterly!B:B,"&lt;="&amp;A571)&gt;1,SUMIFS(Quarterly!D:D,Quarterly!B:B,"&gt;="&amp;A571-88,Quarterly!B:B,"&lt;="&amp;A571),SUMIFS(Quarterly!D:D,Quarterly!B:B,"&gt;="&amp;A571-92,Quarterly!B:B,"&lt;="&amp;A571)))</f>
        <v>1341.6980000000001</v>
      </c>
      <c r="N571" s="13">
        <f t="shared" si="284"/>
        <v>0.11372</v>
      </c>
      <c r="O571">
        <f t="shared" si="272"/>
        <v>1525.75</v>
      </c>
      <c r="P571" s="56">
        <f>VLOOKUP(EOMONTH(A571,-1),Economic!A:I,7,FALSE)</f>
        <v>1122695</v>
      </c>
      <c r="Q571" s="13">
        <f t="shared" si="273"/>
        <v>0.13589999999999999</v>
      </c>
      <c r="R571" s="41">
        <v>0.57999999999999996</v>
      </c>
      <c r="S571">
        <f t="shared" si="274"/>
        <v>-0.03</v>
      </c>
      <c r="T571" s="30">
        <f t="shared" si="275"/>
        <v>93.78</v>
      </c>
      <c r="U571" s="30">
        <f t="shared" si="282"/>
        <v>95.81</v>
      </c>
    </row>
    <row r="572" spans="1:21" ht="15" customHeight="1" x14ac:dyDescent="0.25">
      <c r="A572" s="5">
        <v>39341</v>
      </c>
      <c r="B572" s="5">
        <f t="shared" si="276"/>
        <v>39355</v>
      </c>
      <c r="C572">
        <v>1484.25</v>
      </c>
      <c r="D572" s="29">
        <f t="shared" si="277"/>
        <v>1.44E-2</v>
      </c>
      <c r="E572" s="39">
        <f t="shared" si="278"/>
        <v>1485.0538461538463</v>
      </c>
      <c r="F572" s="39">
        <f t="shared" si="279"/>
        <v>1465.561282051282</v>
      </c>
      <c r="G572" s="29">
        <f t="shared" si="271"/>
        <v>-5.0000000000000001E-4</v>
      </c>
      <c r="H572" s="29">
        <f t="shared" si="271"/>
        <v>1.2800000000000001E-2</v>
      </c>
      <c r="I572">
        <f t="shared" si="280"/>
        <v>1484.25</v>
      </c>
      <c r="J572">
        <f>IF(A572&gt;=Quarterly!B$2,Quarterly!C$2,IF(COUNTIFS(Quarterly!B:B,"&gt;="&amp;A572-92,Quarterly!B:B,"&lt;="&amp;A572)&gt;1,SUMIFS(Quarterly!C:C,Quarterly!B:B,"&gt;="&amp;A572-88,Quarterly!B:B,"&lt;="&amp;A572),SUMIFS(Quarterly!C:C,Quarterly!B:B,"&gt;="&amp;A572-92,Quarterly!B:B,"&lt;="&amp;A572)))</f>
        <v>14422.3</v>
      </c>
      <c r="K572" s="13">
        <f t="shared" si="281"/>
        <v>0.10290000000000001</v>
      </c>
      <c r="L572">
        <f t="shared" si="283"/>
        <v>1484.25</v>
      </c>
      <c r="M572">
        <f>IF(A572&gt;=Quarterly!B$2,Quarterly!D$2,IF(COUNTIFS(Quarterly!B:B,"&gt;="&amp;A572-92,Quarterly!B:B,"&lt;="&amp;A572)&gt;1,SUMIFS(Quarterly!D:D,Quarterly!B:B,"&gt;="&amp;A572-88,Quarterly!B:B,"&lt;="&amp;A572),SUMIFS(Quarterly!D:D,Quarterly!B:B,"&gt;="&amp;A572-92,Quarterly!B:B,"&lt;="&amp;A572)))</f>
        <v>1341.6980000000001</v>
      </c>
      <c r="N572" s="13">
        <f t="shared" si="284"/>
        <v>0.11062000000000001</v>
      </c>
      <c r="O572">
        <f t="shared" si="272"/>
        <v>1484.25</v>
      </c>
      <c r="P572" s="56">
        <f>VLOOKUP(EOMONTH(A572,-1),Economic!A:I,7,FALSE)</f>
        <v>1122695</v>
      </c>
      <c r="Q572" s="13">
        <f t="shared" si="273"/>
        <v>0.13220000000000001</v>
      </c>
      <c r="R572" s="41">
        <v>0.42</v>
      </c>
      <c r="S572">
        <f t="shared" si="274"/>
        <v>-0.01</v>
      </c>
      <c r="T572" s="30">
        <f t="shared" si="275"/>
        <v>96.79</v>
      </c>
      <c r="U572" s="30">
        <f t="shared" si="282"/>
        <v>96.44</v>
      </c>
    </row>
    <row r="573" spans="1:21" ht="15" customHeight="1" x14ac:dyDescent="0.25">
      <c r="A573" s="5">
        <v>39334</v>
      </c>
      <c r="B573" s="5">
        <f t="shared" si="276"/>
        <v>39355</v>
      </c>
      <c r="C573">
        <v>1453.55</v>
      </c>
      <c r="D573" s="29">
        <f t="shared" si="277"/>
        <v>-6.6E-3</v>
      </c>
      <c r="E573" s="39">
        <f t="shared" si="278"/>
        <v>1488.7969230769233</v>
      </c>
      <c r="F573" s="39">
        <f t="shared" si="279"/>
        <v>1464.095641025641</v>
      </c>
      <c r="G573" s="29">
        <f t="shared" si="271"/>
        <v>-2.3699999999999999E-2</v>
      </c>
      <c r="H573" s="29">
        <f t="shared" si="271"/>
        <v>-7.1999999999999998E-3</v>
      </c>
      <c r="I573">
        <f t="shared" si="280"/>
        <v>1453.55</v>
      </c>
      <c r="J573">
        <f>IF(A573&gt;=Quarterly!B$2,Quarterly!C$2,IF(COUNTIFS(Quarterly!B:B,"&gt;="&amp;A573-92,Quarterly!B:B,"&lt;="&amp;A573)&gt;1,SUMIFS(Quarterly!C:C,Quarterly!B:B,"&gt;="&amp;A573-88,Quarterly!B:B,"&lt;="&amp;A573),SUMIFS(Quarterly!C:C,Quarterly!B:B,"&gt;="&amp;A573-92,Quarterly!B:B,"&lt;="&amp;A573)))</f>
        <v>14422.3</v>
      </c>
      <c r="K573" s="13">
        <f t="shared" si="281"/>
        <v>0.1008</v>
      </c>
      <c r="L573">
        <f t="shared" si="283"/>
        <v>1453.55</v>
      </c>
      <c r="M573">
        <f>IF(A573&gt;=Quarterly!B$2,Quarterly!D$2,IF(COUNTIFS(Quarterly!B:B,"&gt;="&amp;A573-92,Quarterly!B:B,"&lt;="&amp;A573)&gt;1,SUMIFS(Quarterly!D:D,Quarterly!B:B,"&gt;="&amp;A573-88,Quarterly!B:B,"&lt;="&amp;A573),SUMIFS(Quarterly!D:D,Quarterly!B:B,"&gt;="&amp;A573-92,Quarterly!B:B,"&lt;="&amp;A573)))</f>
        <v>1341.6980000000001</v>
      </c>
      <c r="N573" s="13">
        <f t="shared" si="284"/>
        <v>0.10833999999999999</v>
      </c>
      <c r="O573">
        <f t="shared" si="272"/>
        <v>1453.55</v>
      </c>
      <c r="P573" s="56">
        <f>VLOOKUP(EOMONTH(A573,-1),Economic!A:I,7,FALSE)</f>
        <v>1122695</v>
      </c>
      <c r="Q573" s="13">
        <f t="shared" si="273"/>
        <v>0.1295</v>
      </c>
      <c r="R573" s="41">
        <v>0.48</v>
      </c>
      <c r="S573">
        <f t="shared" si="274"/>
        <v>-0.03</v>
      </c>
      <c r="T573" s="30">
        <f t="shared" si="275"/>
        <v>96.87</v>
      </c>
      <c r="U573" s="30">
        <f t="shared" si="282"/>
        <v>95.28</v>
      </c>
    </row>
    <row r="574" spans="1:21" ht="15" customHeight="1" x14ac:dyDescent="0.25">
      <c r="A574" s="5">
        <v>39327</v>
      </c>
      <c r="B574" s="5">
        <f t="shared" si="276"/>
        <v>39355</v>
      </c>
      <c r="C574">
        <v>1473.99</v>
      </c>
      <c r="D574" s="29">
        <f t="shared" si="277"/>
        <v>1.44E-2</v>
      </c>
      <c r="E574" s="39">
        <f t="shared" si="278"/>
        <v>1492.9600000000003</v>
      </c>
      <c r="F574" s="39">
        <f t="shared" si="279"/>
        <v>1462.9748717948714</v>
      </c>
      <c r="G574" s="29">
        <f t="shared" si="271"/>
        <v>-1.2699999999999999E-2</v>
      </c>
      <c r="H574" s="29">
        <f t="shared" si="271"/>
        <v>7.4999999999999997E-3</v>
      </c>
      <c r="I574">
        <f t="shared" si="280"/>
        <v>1473.99</v>
      </c>
      <c r="J574">
        <f>IF(A574&gt;=Quarterly!B$2,Quarterly!C$2,IF(COUNTIFS(Quarterly!B:B,"&gt;="&amp;A574-92,Quarterly!B:B,"&lt;="&amp;A574)&gt;1,SUMIFS(Quarterly!C:C,Quarterly!B:B,"&gt;="&amp;A574-88,Quarterly!B:B,"&lt;="&amp;A574),SUMIFS(Quarterly!C:C,Quarterly!B:B,"&gt;="&amp;A574-92,Quarterly!B:B,"&lt;="&amp;A574)))</f>
        <v>14422.3</v>
      </c>
      <c r="K574" s="13">
        <f t="shared" si="281"/>
        <v>0.1022</v>
      </c>
      <c r="L574">
        <f t="shared" si="283"/>
        <v>1473.99</v>
      </c>
      <c r="M574">
        <f>IF(A574&gt;=Quarterly!B$2,Quarterly!D$2,IF(COUNTIFS(Quarterly!B:B,"&gt;="&amp;A574-92,Quarterly!B:B,"&lt;="&amp;A574)&gt;1,SUMIFS(Quarterly!D:D,Quarterly!B:B,"&gt;="&amp;A574-88,Quarterly!B:B,"&lt;="&amp;A574),SUMIFS(Quarterly!D:D,Quarterly!B:B,"&gt;="&amp;A574-92,Quarterly!B:B,"&lt;="&amp;A574)))</f>
        <v>1341.6980000000001</v>
      </c>
      <c r="N574" s="13">
        <f t="shared" si="284"/>
        <v>0.10986000000000001</v>
      </c>
      <c r="O574">
        <f t="shared" si="272"/>
        <v>1473.99</v>
      </c>
      <c r="P574" s="56">
        <f>VLOOKUP(EOMONTH(A574,-1),Economic!A:I,7,FALSE)</f>
        <v>1122695</v>
      </c>
      <c r="Q574" s="13">
        <f t="shared" si="273"/>
        <v>0.1313</v>
      </c>
      <c r="R574" s="41">
        <v>0.39</v>
      </c>
      <c r="S574">
        <f t="shared" si="274"/>
        <v>-0.01</v>
      </c>
      <c r="T574" s="30">
        <f t="shared" si="275"/>
        <v>95.67</v>
      </c>
      <c r="U574" s="30">
        <f t="shared" si="282"/>
        <v>94.57</v>
      </c>
    </row>
    <row r="575" spans="1:21" ht="15" customHeight="1" x14ac:dyDescent="0.25">
      <c r="A575" s="5">
        <v>39320</v>
      </c>
      <c r="B575" s="5">
        <f t="shared" si="276"/>
        <v>39325</v>
      </c>
      <c r="C575">
        <v>1479.37</v>
      </c>
      <c r="D575" s="29">
        <f t="shared" si="277"/>
        <v>2.1700000000000001E-2</v>
      </c>
      <c r="E575" s="39">
        <f t="shared" si="278"/>
        <v>1497.7561538461537</v>
      </c>
      <c r="F575" s="39">
        <f t="shared" si="279"/>
        <v>1460.9933333333329</v>
      </c>
      <c r="G575" s="29">
        <f t="shared" si="271"/>
        <v>-1.23E-2</v>
      </c>
      <c r="H575" s="29">
        <f t="shared" si="271"/>
        <v>1.26E-2</v>
      </c>
      <c r="I575">
        <f t="shared" si="280"/>
        <v>1479.37</v>
      </c>
      <c r="J575">
        <f>IF(A575&gt;=Quarterly!B$2,Quarterly!C$2,IF(COUNTIFS(Quarterly!B:B,"&gt;="&amp;A575-92,Quarterly!B:B,"&lt;="&amp;A575)&gt;1,SUMIFS(Quarterly!C:C,Quarterly!B:B,"&gt;="&amp;A575-88,Quarterly!B:B,"&lt;="&amp;A575),SUMIFS(Quarterly!C:C,Quarterly!B:B,"&gt;="&amp;A575-92,Quarterly!B:B,"&lt;="&amp;A575)))</f>
        <v>14422.3</v>
      </c>
      <c r="K575" s="13">
        <f t="shared" si="281"/>
        <v>0.1026</v>
      </c>
      <c r="L575">
        <f t="shared" si="283"/>
        <v>1479.37</v>
      </c>
      <c r="M575">
        <f>IF(A575&gt;=Quarterly!B$2,Quarterly!D$2,IF(COUNTIFS(Quarterly!B:B,"&gt;="&amp;A575-92,Quarterly!B:B,"&lt;="&amp;A575)&gt;1,SUMIFS(Quarterly!D:D,Quarterly!B:B,"&gt;="&amp;A575-88,Quarterly!B:B,"&lt;="&amp;A575),SUMIFS(Quarterly!D:D,Quarterly!B:B,"&gt;="&amp;A575-92,Quarterly!B:B,"&lt;="&amp;A575)))</f>
        <v>1341.6980000000001</v>
      </c>
      <c r="N575" s="13">
        <f t="shared" si="284"/>
        <v>0.11026000000000001</v>
      </c>
      <c r="O575">
        <f t="shared" si="272"/>
        <v>1479.37</v>
      </c>
      <c r="P575" s="56">
        <f>VLOOKUP(EOMONTH(A575,-1),Economic!A:I,7,FALSE)</f>
        <v>1116363</v>
      </c>
      <c r="Q575" s="13">
        <f t="shared" si="273"/>
        <v>0.13250000000000001</v>
      </c>
      <c r="R575" s="41">
        <v>0.33</v>
      </c>
      <c r="S575">
        <f t="shared" si="274"/>
        <v>-0.04</v>
      </c>
      <c r="T575" s="30">
        <f t="shared" si="275"/>
        <v>93.3</v>
      </c>
      <c r="U575" s="30">
        <f t="shared" si="282"/>
        <v>93.77</v>
      </c>
    </row>
    <row r="576" spans="1:21" ht="15" customHeight="1" x14ac:dyDescent="0.25">
      <c r="A576" s="5">
        <v>39313</v>
      </c>
      <c r="B576" s="5">
        <f t="shared" si="276"/>
        <v>39325</v>
      </c>
      <c r="C576">
        <v>1445.94</v>
      </c>
      <c r="D576" s="29">
        <f t="shared" si="277"/>
        <v>-1.6299999999999999E-2</v>
      </c>
      <c r="E576" s="39">
        <f t="shared" si="278"/>
        <v>1500.5530769230768</v>
      </c>
      <c r="F576" s="39">
        <f t="shared" si="279"/>
        <v>1458.9825641025636</v>
      </c>
      <c r="G576" s="29">
        <f t="shared" si="271"/>
        <v>-3.6400000000000002E-2</v>
      </c>
      <c r="H576" s="29">
        <f t="shared" si="271"/>
        <v>-8.8999999999999999E-3</v>
      </c>
      <c r="I576">
        <f t="shared" si="280"/>
        <v>1445.94</v>
      </c>
      <c r="J576">
        <f>IF(A576&gt;=Quarterly!B$2,Quarterly!C$2,IF(COUNTIFS(Quarterly!B:B,"&gt;="&amp;A576-92,Quarterly!B:B,"&lt;="&amp;A576)&gt;1,SUMIFS(Quarterly!C:C,Quarterly!B:B,"&gt;="&amp;A576-88,Quarterly!B:B,"&lt;="&amp;A576),SUMIFS(Quarterly!C:C,Quarterly!B:B,"&gt;="&amp;A576-92,Quarterly!B:B,"&lt;="&amp;A576)))</f>
        <v>14422.3</v>
      </c>
      <c r="K576" s="13">
        <f t="shared" si="281"/>
        <v>0.1003</v>
      </c>
      <c r="L576">
        <f t="shared" si="283"/>
        <v>1445.94</v>
      </c>
      <c r="M576">
        <f>IF(A576&gt;=Quarterly!B$2,Quarterly!D$2,IF(COUNTIFS(Quarterly!B:B,"&gt;="&amp;A576-92,Quarterly!B:B,"&lt;="&amp;A576)&gt;1,SUMIFS(Quarterly!D:D,Quarterly!B:B,"&gt;="&amp;A576-88,Quarterly!B:B,"&lt;="&amp;A576),SUMIFS(Quarterly!D:D,Quarterly!B:B,"&gt;="&amp;A576-92,Quarterly!B:B,"&lt;="&amp;A576)))</f>
        <v>1341.6980000000001</v>
      </c>
      <c r="N576" s="13">
        <f t="shared" si="284"/>
        <v>0.10777000000000002</v>
      </c>
      <c r="O576">
        <f t="shared" si="272"/>
        <v>1445.94</v>
      </c>
      <c r="P576" s="56">
        <f>VLOOKUP(EOMONTH(A576,-1),Economic!A:I,7,FALSE)</f>
        <v>1116363</v>
      </c>
      <c r="Q576" s="13">
        <f t="shared" si="273"/>
        <v>0.1295</v>
      </c>
      <c r="R576" s="41">
        <v>0.5</v>
      </c>
      <c r="S576">
        <f t="shared" si="274"/>
        <v>-0.03</v>
      </c>
      <c r="T576" s="30">
        <f t="shared" si="275"/>
        <v>94.74</v>
      </c>
      <c r="U576" s="30">
        <f t="shared" si="282"/>
        <v>95.02</v>
      </c>
    </row>
    <row r="577" spans="1:21" ht="15" customHeight="1" x14ac:dyDescent="0.25">
      <c r="A577" s="5">
        <v>39306</v>
      </c>
      <c r="B577" s="5">
        <f t="shared" si="276"/>
        <v>39325</v>
      </c>
      <c r="C577">
        <v>1453.64</v>
      </c>
      <c r="D577" s="29">
        <f t="shared" si="277"/>
        <v>-2.7400000000000001E-2</v>
      </c>
      <c r="E577" s="39">
        <f t="shared" si="278"/>
        <v>1506.4615384615386</v>
      </c>
      <c r="F577" s="39">
        <f t="shared" si="279"/>
        <v>1457.8353846153843</v>
      </c>
      <c r="G577" s="29">
        <f t="shared" si="271"/>
        <v>-3.5099999999999999E-2</v>
      </c>
      <c r="H577" s="29">
        <f t="shared" si="271"/>
        <v>-2.8999999999999998E-3</v>
      </c>
      <c r="I577">
        <f t="shared" si="280"/>
        <v>1453.64</v>
      </c>
      <c r="J577">
        <f>IF(A577&gt;=Quarterly!B$2,Quarterly!C$2,IF(COUNTIFS(Quarterly!B:B,"&gt;="&amp;A577-92,Quarterly!B:B,"&lt;="&amp;A577)&gt;1,SUMIFS(Quarterly!C:C,Quarterly!B:B,"&gt;="&amp;A577-88,Quarterly!B:B,"&lt;="&amp;A577),SUMIFS(Quarterly!C:C,Quarterly!B:B,"&gt;="&amp;A577-92,Quarterly!B:B,"&lt;="&amp;A577)))</f>
        <v>14422.3</v>
      </c>
      <c r="K577" s="13">
        <f t="shared" si="281"/>
        <v>0.1008</v>
      </c>
      <c r="L577">
        <f t="shared" si="283"/>
        <v>1453.64</v>
      </c>
      <c r="M577">
        <f>IF(A577&gt;=Quarterly!B$2,Quarterly!D$2,IF(COUNTIFS(Quarterly!B:B,"&gt;="&amp;A577-92,Quarterly!B:B,"&lt;="&amp;A577)&gt;1,SUMIFS(Quarterly!D:D,Quarterly!B:B,"&gt;="&amp;A577-88,Quarterly!B:B,"&lt;="&amp;A577),SUMIFS(Quarterly!D:D,Quarterly!B:B,"&gt;="&amp;A577-92,Quarterly!B:B,"&lt;="&amp;A577)))</f>
        <v>1341.6980000000001</v>
      </c>
      <c r="N577" s="13">
        <f t="shared" si="284"/>
        <v>0.10833999999999999</v>
      </c>
      <c r="O577">
        <f t="shared" si="272"/>
        <v>1453.64</v>
      </c>
      <c r="P577" s="56">
        <f>VLOOKUP(EOMONTH(A577,-1),Economic!A:I,7,FALSE)</f>
        <v>1116363</v>
      </c>
      <c r="Q577" s="13">
        <f t="shared" si="273"/>
        <v>0.13020000000000001</v>
      </c>
      <c r="R577" s="41">
        <v>0.34</v>
      </c>
      <c r="S577">
        <f t="shared" si="274"/>
        <v>-0.03</v>
      </c>
      <c r="T577" s="30">
        <f t="shared" si="275"/>
        <v>93.28</v>
      </c>
      <c r="U577" s="30">
        <f t="shared" si="282"/>
        <v>93.58</v>
      </c>
    </row>
    <row r="578" spans="1:21" ht="15" customHeight="1" x14ac:dyDescent="0.25">
      <c r="A578" s="5">
        <v>39299</v>
      </c>
      <c r="B578" s="5">
        <f t="shared" si="276"/>
        <v>39325</v>
      </c>
      <c r="C578">
        <v>1433.06</v>
      </c>
      <c r="D578" s="29">
        <f t="shared" si="277"/>
        <v>-5.6599999999999998E-2</v>
      </c>
      <c r="E578" s="39">
        <f t="shared" si="278"/>
        <v>1510.4776923076922</v>
      </c>
      <c r="F578" s="39">
        <f t="shared" si="279"/>
        <v>1455.9702564102561</v>
      </c>
      <c r="G578" s="29">
        <f t="shared" ref="G578:H641" si="285">ROUND(($C578-E578)/E578,4)</f>
        <v>-5.1299999999999998E-2</v>
      </c>
      <c r="H578" s="29">
        <f t="shared" si="285"/>
        <v>-1.5699999999999999E-2</v>
      </c>
      <c r="I578">
        <f t="shared" si="280"/>
        <v>1433.06</v>
      </c>
      <c r="J578">
        <f>IF(A578&gt;=Quarterly!B$2,Quarterly!C$2,IF(COUNTIFS(Quarterly!B:B,"&gt;="&amp;A578-92,Quarterly!B:B,"&lt;="&amp;A578)&gt;1,SUMIFS(Quarterly!C:C,Quarterly!B:B,"&gt;="&amp;A578-88,Quarterly!B:B,"&lt;="&amp;A578),SUMIFS(Quarterly!C:C,Quarterly!B:B,"&gt;="&amp;A578-92,Quarterly!B:B,"&lt;="&amp;A578)))</f>
        <v>14422.3</v>
      </c>
      <c r="K578" s="13">
        <f t="shared" si="281"/>
        <v>9.9400000000000002E-2</v>
      </c>
      <c r="L578">
        <f t="shared" si="283"/>
        <v>1433.06</v>
      </c>
      <c r="M578">
        <f>IF(A578&gt;=Quarterly!B$2,Quarterly!D$2,IF(COUNTIFS(Quarterly!B:B,"&gt;="&amp;A578-92,Quarterly!B:B,"&lt;="&amp;A578)&gt;1,SUMIFS(Quarterly!D:D,Quarterly!B:B,"&gt;="&amp;A578-88,Quarterly!B:B,"&lt;="&amp;A578),SUMIFS(Quarterly!D:D,Quarterly!B:B,"&gt;="&amp;A578-92,Quarterly!B:B,"&lt;="&amp;A578)))</f>
        <v>1341.6980000000001</v>
      </c>
      <c r="N578" s="13">
        <f t="shared" si="284"/>
        <v>0.10681000000000002</v>
      </c>
      <c r="O578">
        <f t="shared" si="272"/>
        <v>1433.06</v>
      </c>
      <c r="P578" s="56">
        <f>VLOOKUP(EOMONTH(A578,-1),Economic!A:I,7,FALSE)</f>
        <v>1116363</v>
      </c>
      <c r="Q578" s="13">
        <f t="shared" si="273"/>
        <v>0.12839999999999999</v>
      </c>
      <c r="R578" s="41">
        <v>0.25</v>
      </c>
      <c r="S578">
        <f t="shared" si="274"/>
        <v>0.08</v>
      </c>
      <c r="T578" s="30">
        <f t="shared" si="275"/>
        <v>97.03</v>
      </c>
      <c r="U578" s="30">
        <f t="shared" si="282"/>
        <v>90.82</v>
      </c>
    </row>
    <row r="579" spans="1:21" ht="15" customHeight="1" x14ac:dyDescent="0.25">
      <c r="A579" s="5">
        <v>39292</v>
      </c>
      <c r="B579" s="5">
        <f t="shared" si="276"/>
        <v>39294</v>
      </c>
      <c r="C579">
        <v>1458.95</v>
      </c>
      <c r="D579" s="29">
        <f t="shared" si="277"/>
        <v>-4.65E-2</v>
      </c>
      <c r="E579" s="39">
        <f t="shared" si="278"/>
        <v>1516.0592307692305</v>
      </c>
      <c r="F579" s="39">
        <f t="shared" si="279"/>
        <v>1454.2071794871792</v>
      </c>
      <c r="G579" s="29">
        <f t="shared" si="285"/>
        <v>-3.7699999999999997E-2</v>
      </c>
      <c r="H579" s="29">
        <f t="shared" si="285"/>
        <v>3.3E-3</v>
      </c>
      <c r="I579">
        <f t="shared" si="280"/>
        <v>1458.95</v>
      </c>
      <c r="J579">
        <f>IF(A579&gt;=Quarterly!B$2,Quarterly!C$2,IF(COUNTIFS(Quarterly!B:B,"&gt;="&amp;A579-92,Quarterly!B:B,"&lt;="&amp;A579)&gt;1,SUMIFS(Quarterly!C:C,Quarterly!B:B,"&gt;="&amp;A579-88,Quarterly!B:B,"&lt;="&amp;A579),SUMIFS(Quarterly!C:C,Quarterly!B:B,"&gt;="&amp;A579-92,Quarterly!B:B,"&lt;="&amp;A579)))</f>
        <v>14233.2</v>
      </c>
      <c r="K579" s="13">
        <f t="shared" si="281"/>
        <v>0.10249999999999999</v>
      </c>
      <c r="L579">
        <f t="shared" si="283"/>
        <v>1458.95</v>
      </c>
      <c r="M579">
        <f>IF(A579&gt;=Quarterly!B$2,Quarterly!D$2,IF(COUNTIFS(Quarterly!B:B,"&gt;="&amp;A579-92,Quarterly!B:B,"&lt;="&amp;A579)&gt;1,SUMIFS(Quarterly!D:D,Quarterly!B:B,"&gt;="&amp;A579-88,Quarterly!B:B,"&lt;="&amp;A579),SUMIFS(Quarterly!D:D,Quarterly!B:B,"&gt;="&amp;A579-92,Quarterly!B:B,"&lt;="&amp;A579)))</f>
        <v>1270.8119999999999</v>
      </c>
      <c r="N579" s="13">
        <f t="shared" si="284"/>
        <v>0.1148</v>
      </c>
      <c r="O579">
        <f t="shared" si="272"/>
        <v>1458.95</v>
      </c>
      <c r="P579" s="56">
        <f>VLOOKUP(EOMONTH(A579,-1),Economic!A:I,7,FALSE)</f>
        <v>1105757</v>
      </c>
      <c r="Q579" s="13">
        <f t="shared" si="273"/>
        <v>0.13190000000000002</v>
      </c>
      <c r="R579" s="41">
        <v>0.24</v>
      </c>
      <c r="S579">
        <f t="shared" si="274"/>
        <v>0.1</v>
      </c>
      <c r="T579" s="30">
        <f t="shared" si="275"/>
        <v>90.42</v>
      </c>
      <c r="U579" s="30">
        <f t="shared" si="282"/>
        <v>87.55</v>
      </c>
    </row>
    <row r="580" spans="1:21" ht="15" customHeight="1" x14ac:dyDescent="0.25">
      <c r="A580" s="5">
        <v>39285</v>
      </c>
      <c r="B580" s="5">
        <f t="shared" si="276"/>
        <v>39294</v>
      </c>
      <c r="C580">
        <v>1534.1</v>
      </c>
      <c r="D580" s="29">
        <f t="shared" si="277"/>
        <v>7.7999999999999996E-3</v>
      </c>
      <c r="E580" s="39">
        <f t="shared" si="278"/>
        <v>1518.7607692307688</v>
      </c>
      <c r="F580" s="39">
        <f t="shared" si="279"/>
        <v>1452.1146153846148</v>
      </c>
      <c r="G580" s="29">
        <f t="shared" si="285"/>
        <v>1.01E-2</v>
      </c>
      <c r="H580" s="29">
        <f t="shared" si="285"/>
        <v>5.6500000000000002E-2</v>
      </c>
      <c r="I580">
        <f t="shared" si="280"/>
        <v>1534.1</v>
      </c>
      <c r="J580">
        <f>IF(A580&gt;=Quarterly!B$2,Quarterly!C$2,IF(COUNTIFS(Quarterly!B:B,"&gt;="&amp;A580-92,Quarterly!B:B,"&lt;="&amp;A580)&gt;1,SUMIFS(Quarterly!C:C,Quarterly!B:B,"&gt;="&amp;A580-88,Quarterly!B:B,"&lt;="&amp;A580),SUMIFS(Quarterly!C:C,Quarterly!B:B,"&gt;="&amp;A580-92,Quarterly!B:B,"&lt;="&amp;A580)))</f>
        <v>14233.2</v>
      </c>
      <c r="K580" s="13">
        <f t="shared" si="281"/>
        <v>0.10780000000000001</v>
      </c>
      <c r="L580">
        <f t="shared" si="283"/>
        <v>1534.1</v>
      </c>
      <c r="M580">
        <f>IF(A580&gt;=Quarterly!B$2,Quarterly!D$2,IF(COUNTIFS(Quarterly!B:B,"&gt;="&amp;A580-92,Quarterly!B:B,"&lt;="&amp;A580)&gt;1,SUMIFS(Quarterly!D:D,Quarterly!B:B,"&gt;="&amp;A580-88,Quarterly!B:B,"&lt;="&amp;A580),SUMIFS(Quarterly!D:D,Quarterly!B:B,"&gt;="&amp;A580-92,Quarterly!B:B,"&lt;="&amp;A580)))</f>
        <v>1270.8119999999999</v>
      </c>
      <c r="N580" s="13">
        <f t="shared" si="284"/>
        <v>0.12072000000000001</v>
      </c>
      <c r="O580">
        <f t="shared" si="272"/>
        <v>1534.1</v>
      </c>
      <c r="P580" s="56">
        <f>VLOOKUP(EOMONTH(A580,-1),Economic!A:I,7,FALSE)</f>
        <v>1105757</v>
      </c>
      <c r="Q580" s="13">
        <f t="shared" si="273"/>
        <v>0.13869999999999999</v>
      </c>
      <c r="R580" s="41">
        <v>0.17</v>
      </c>
      <c r="S580">
        <f t="shared" si="274"/>
        <v>0.09</v>
      </c>
      <c r="T580" s="30">
        <f t="shared" si="275"/>
        <v>85</v>
      </c>
      <c r="U580" s="30">
        <f t="shared" si="282"/>
        <v>87.36</v>
      </c>
    </row>
    <row r="581" spans="1:21" ht="15" customHeight="1" x14ac:dyDescent="0.25">
      <c r="A581" s="5">
        <v>39278</v>
      </c>
      <c r="B581" s="5">
        <f t="shared" si="276"/>
        <v>39294</v>
      </c>
      <c r="C581">
        <v>1552.5</v>
      </c>
      <c r="D581" s="29">
        <f t="shared" si="277"/>
        <v>2.3199999999999998E-2</v>
      </c>
      <c r="E581" s="39">
        <f t="shared" si="278"/>
        <v>1514.9338461538462</v>
      </c>
      <c r="F581" s="39">
        <f t="shared" si="279"/>
        <v>1447.8710256410254</v>
      </c>
      <c r="G581" s="29">
        <f t="shared" si="285"/>
        <v>2.4799999999999999E-2</v>
      </c>
      <c r="H581" s="29">
        <f t="shared" si="285"/>
        <v>7.2300000000000003E-2</v>
      </c>
      <c r="I581">
        <f t="shared" si="280"/>
        <v>1552.5</v>
      </c>
      <c r="J581">
        <f>IF(A581&gt;=Quarterly!B$2,Quarterly!C$2,IF(COUNTIFS(Quarterly!B:B,"&gt;="&amp;A581-92,Quarterly!B:B,"&lt;="&amp;A581)&gt;1,SUMIFS(Quarterly!C:C,Quarterly!B:B,"&gt;="&amp;A581-88,Quarterly!B:B,"&lt;="&amp;A581),SUMIFS(Quarterly!C:C,Quarterly!B:B,"&gt;="&amp;A581-92,Quarterly!B:B,"&lt;="&amp;A581)))</f>
        <v>14233.2</v>
      </c>
      <c r="K581" s="13">
        <f t="shared" si="281"/>
        <v>0.1091</v>
      </c>
      <c r="L581">
        <f t="shared" si="283"/>
        <v>1552.5</v>
      </c>
      <c r="M581">
        <f>IF(A581&gt;=Quarterly!B$2,Quarterly!D$2,IF(COUNTIFS(Quarterly!B:B,"&gt;="&amp;A581-92,Quarterly!B:B,"&lt;="&amp;A581)&gt;1,SUMIFS(Quarterly!D:D,Quarterly!B:B,"&gt;="&amp;A581-88,Quarterly!B:B,"&lt;="&amp;A581),SUMIFS(Quarterly!D:D,Quarterly!B:B,"&gt;="&amp;A581-92,Quarterly!B:B,"&lt;="&amp;A581)))</f>
        <v>1270.8119999999999</v>
      </c>
      <c r="N581" s="13">
        <f t="shared" si="284"/>
        <v>0.12217</v>
      </c>
      <c r="O581">
        <f t="shared" si="272"/>
        <v>1552.5</v>
      </c>
      <c r="P581" s="56">
        <f>VLOOKUP(EOMONTH(A581,-1),Economic!A:I,7,FALSE)</f>
        <v>1105757</v>
      </c>
      <c r="Q581" s="13">
        <f t="shared" si="273"/>
        <v>0.1404</v>
      </c>
      <c r="R581" s="41">
        <v>0.17</v>
      </c>
      <c r="S581">
        <f t="shared" si="274"/>
        <v>0.18</v>
      </c>
      <c r="T581" s="30">
        <f t="shared" si="275"/>
        <v>87.24</v>
      </c>
      <c r="U581" s="30">
        <f t="shared" si="282"/>
        <v>90.02</v>
      </c>
    </row>
    <row r="582" spans="1:21" ht="15" customHeight="1" x14ac:dyDescent="0.25">
      <c r="A582" s="5">
        <v>39271</v>
      </c>
      <c r="B582" s="5">
        <f t="shared" si="276"/>
        <v>39294</v>
      </c>
      <c r="C582">
        <v>1530.44</v>
      </c>
      <c r="D582" s="29">
        <f t="shared" si="277"/>
        <v>1.24E-2</v>
      </c>
      <c r="E582" s="39">
        <f t="shared" si="278"/>
        <v>1507.2684615384615</v>
      </c>
      <c r="F582" s="39">
        <f t="shared" si="279"/>
        <v>1443.0792307692307</v>
      </c>
      <c r="G582" s="29">
        <f t="shared" si="285"/>
        <v>1.54E-2</v>
      </c>
      <c r="H582" s="29">
        <f t="shared" si="285"/>
        <v>6.0499999999999998E-2</v>
      </c>
      <c r="I582">
        <f t="shared" si="280"/>
        <v>1530.44</v>
      </c>
      <c r="J582">
        <f>IF(A582&gt;=Quarterly!B$2,Quarterly!C$2,IF(COUNTIFS(Quarterly!B:B,"&gt;="&amp;A582-92,Quarterly!B:B,"&lt;="&amp;A582)&gt;1,SUMIFS(Quarterly!C:C,Quarterly!B:B,"&gt;="&amp;A582-88,Quarterly!B:B,"&lt;="&amp;A582),SUMIFS(Quarterly!C:C,Quarterly!B:B,"&gt;="&amp;A582-92,Quarterly!B:B,"&lt;="&amp;A582)))</f>
        <v>14233.2</v>
      </c>
      <c r="K582" s="13">
        <f t="shared" si="281"/>
        <v>0.1075</v>
      </c>
      <c r="L582">
        <f t="shared" si="283"/>
        <v>1530.44</v>
      </c>
      <c r="M582">
        <f>IF(A582&gt;=Quarterly!B$2,Quarterly!D$2,IF(COUNTIFS(Quarterly!B:B,"&gt;="&amp;A582-92,Quarterly!B:B,"&lt;="&amp;A582)&gt;1,SUMIFS(Quarterly!D:D,Quarterly!B:B,"&gt;="&amp;A582-88,Quarterly!B:B,"&lt;="&amp;A582),SUMIFS(Quarterly!D:D,Quarterly!B:B,"&gt;="&amp;A582-92,Quarterly!B:B,"&lt;="&amp;A582)))</f>
        <v>1270.8119999999999</v>
      </c>
      <c r="N582" s="13">
        <f t="shared" si="284"/>
        <v>0.12043</v>
      </c>
      <c r="O582">
        <f t="shared" ref="O582:O645" si="286">C582</f>
        <v>1530.44</v>
      </c>
      <c r="P582" s="56">
        <f>VLOOKUP(EOMONTH(A582,-1),Economic!A:I,7,FALSE)</f>
        <v>1105757</v>
      </c>
      <c r="Q582" s="13">
        <f t="shared" ref="Q582:Q645" si="287">ROUND(O582/P582,6)*100</f>
        <v>0.1384</v>
      </c>
      <c r="R582" s="41">
        <v>0.2</v>
      </c>
      <c r="S582">
        <f t="shared" ref="S582:S645" si="288">R643</f>
        <v>0.18</v>
      </c>
      <c r="T582" s="30">
        <f t="shared" ref="T582:T645" si="289">IF((ROUND((S582*40)+(G582*350)-(H582*100)-((N582-0.15)*350)-(((K582*10.5)-1)*270)-(Q582*100),2)+144)*0.8&lt;0,0,ROUND((ROUND((S582*40)+(G582*350)-(H582*100)-((N582-0.15)*350)-(((K582*10.5)-1)*270)-(Q582*100),2)+144)*0.8,2))</f>
        <v>89.83</v>
      </c>
      <c r="U582" s="30">
        <f t="shared" si="282"/>
        <v>91.23</v>
      </c>
    </row>
    <row r="583" spans="1:21" ht="15" customHeight="1" x14ac:dyDescent="0.25">
      <c r="A583" s="5">
        <v>39264</v>
      </c>
      <c r="B583" s="5">
        <f t="shared" si="276"/>
        <v>39294</v>
      </c>
      <c r="C583">
        <v>1503.35</v>
      </c>
      <c r="D583" s="29">
        <f t="shared" si="277"/>
        <v>-1.09E-2</v>
      </c>
      <c r="E583" s="39">
        <f t="shared" si="278"/>
        <v>1500.6007692307687</v>
      </c>
      <c r="F583" s="39">
        <f t="shared" si="279"/>
        <v>1438.4420512820511</v>
      </c>
      <c r="G583" s="29">
        <f t="shared" si="285"/>
        <v>1.8E-3</v>
      </c>
      <c r="H583" s="29">
        <f t="shared" si="285"/>
        <v>4.5100000000000001E-2</v>
      </c>
      <c r="I583">
        <f t="shared" si="280"/>
        <v>1503.35</v>
      </c>
      <c r="J583">
        <f>IF(A583&gt;=Quarterly!B$2,Quarterly!C$2,IF(COUNTIFS(Quarterly!B:B,"&gt;="&amp;A583-92,Quarterly!B:B,"&lt;="&amp;A583)&gt;1,SUMIFS(Quarterly!C:C,Quarterly!B:B,"&gt;="&amp;A583-88,Quarterly!B:B,"&lt;="&amp;A583),SUMIFS(Quarterly!C:C,Quarterly!B:B,"&gt;="&amp;A583-92,Quarterly!B:B,"&lt;="&amp;A583)))</f>
        <v>14233.2</v>
      </c>
      <c r="K583" s="13">
        <f t="shared" si="281"/>
        <v>0.1056</v>
      </c>
      <c r="L583">
        <f t="shared" si="283"/>
        <v>1503.35</v>
      </c>
      <c r="M583">
        <f>IF(A583&gt;=Quarterly!B$2,Quarterly!D$2,IF(COUNTIFS(Quarterly!B:B,"&gt;="&amp;A583-92,Quarterly!B:B,"&lt;="&amp;A583)&gt;1,SUMIFS(Quarterly!D:D,Quarterly!B:B,"&gt;="&amp;A583-88,Quarterly!B:B,"&lt;="&amp;A583),SUMIFS(Quarterly!D:D,Quarterly!B:B,"&gt;="&amp;A583-92,Quarterly!B:B,"&lt;="&amp;A583)))</f>
        <v>1270.8119999999999</v>
      </c>
      <c r="N583" s="13">
        <f t="shared" si="284"/>
        <v>0.11830000000000002</v>
      </c>
      <c r="O583">
        <f t="shared" si="286"/>
        <v>1503.35</v>
      </c>
      <c r="P583" s="56">
        <f>VLOOKUP(EOMONTH(A583,-1),Economic!A:I,7,FALSE)</f>
        <v>1105757</v>
      </c>
      <c r="Q583" s="13">
        <f t="shared" si="287"/>
        <v>0.13600000000000001</v>
      </c>
      <c r="R583" s="41">
        <v>0.16</v>
      </c>
      <c r="S583">
        <f t="shared" si="288"/>
        <v>0.2</v>
      </c>
      <c r="T583" s="30">
        <f t="shared" si="289"/>
        <v>92.99</v>
      </c>
      <c r="U583" s="30">
        <f t="shared" si="282"/>
        <v>91.04</v>
      </c>
    </row>
    <row r="584" spans="1:21" ht="15" customHeight="1" x14ac:dyDescent="0.25">
      <c r="A584" s="5">
        <v>39257</v>
      </c>
      <c r="B584" s="5">
        <f t="shared" si="276"/>
        <v>39263</v>
      </c>
      <c r="C584">
        <v>1502.56</v>
      </c>
      <c r="D584" s="29">
        <f t="shared" si="277"/>
        <v>-1.35E-2</v>
      </c>
      <c r="E584" s="39">
        <f t="shared" si="278"/>
        <v>1494.2553846153846</v>
      </c>
      <c r="F584" s="39">
        <f t="shared" si="279"/>
        <v>1434.1471794871793</v>
      </c>
      <c r="G584" s="29">
        <f t="shared" si="285"/>
        <v>5.5999999999999999E-3</v>
      </c>
      <c r="H584" s="29">
        <f t="shared" si="285"/>
        <v>4.7699999999999999E-2</v>
      </c>
      <c r="I584">
        <f t="shared" si="280"/>
        <v>1502.56</v>
      </c>
      <c r="J584">
        <f>IF(A584&gt;=Quarterly!B$2,Quarterly!C$2,IF(COUNTIFS(Quarterly!B:B,"&gt;="&amp;A584-92,Quarterly!B:B,"&lt;="&amp;A584)&gt;1,SUMIFS(Quarterly!C:C,Quarterly!B:B,"&gt;="&amp;A584-88,Quarterly!B:B,"&lt;="&amp;A584),SUMIFS(Quarterly!C:C,Quarterly!B:B,"&gt;="&amp;A584-92,Quarterly!B:B,"&lt;="&amp;A584)))</f>
        <v>14233.2</v>
      </c>
      <c r="K584" s="13">
        <f t="shared" si="281"/>
        <v>0.1056</v>
      </c>
      <c r="L584">
        <f t="shared" si="283"/>
        <v>1502.56</v>
      </c>
      <c r="M584">
        <f>IF(A584&gt;=Quarterly!B$2,Quarterly!D$2,IF(COUNTIFS(Quarterly!B:B,"&gt;="&amp;A584-92,Quarterly!B:B,"&lt;="&amp;A584)&gt;1,SUMIFS(Quarterly!D:D,Quarterly!B:B,"&gt;="&amp;A584-88,Quarterly!B:B,"&lt;="&amp;A584),SUMIFS(Quarterly!D:D,Quarterly!B:B,"&gt;="&amp;A584-92,Quarterly!B:B,"&lt;="&amp;A584)))</f>
        <v>1270.8119999999999</v>
      </c>
      <c r="N584" s="13">
        <f t="shared" si="284"/>
        <v>0.11824</v>
      </c>
      <c r="O584">
        <f t="shared" si="286"/>
        <v>1502.56</v>
      </c>
      <c r="P584" s="56">
        <f>VLOOKUP(EOMONTH(A584,-1),Economic!A:I,7,FALSE)</f>
        <v>1094223</v>
      </c>
      <c r="Q584" s="13">
        <f t="shared" si="287"/>
        <v>0.13730000000000001</v>
      </c>
      <c r="R584" s="41">
        <v>0.22</v>
      </c>
      <c r="S584">
        <f t="shared" si="288"/>
        <v>0.11</v>
      </c>
      <c r="T584" s="30">
        <f t="shared" si="289"/>
        <v>90.88</v>
      </c>
      <c r="U584" s="30">
        <f t="shared" si="282"/>
        <v>90.8</v>
      </c>
    </row>
    <row r="585" spans="1:21" ht="15" customHeight="1" x14ac:dyDescent="0.25">
      <c r="A585" s="5">
        <v>39250</v>
      </c>
      <c r="B585" s="5">
        <f t="shared" si="276"/>
        <v>39263</v>
      </c>
      <c r="C585">
        <v>1532.91</v>
      </c>
      <c r="D585" s="29">
        <f t="shared" si="277"/>
        <v>8.0999999999999996E-3</v>
      </c>
      <c r="E585" s="39">
        <f t="shared" si="278"/>
        <v>1489.143846153846</v>
      </c>
      <c r="F585" s="39">
        <f t="shared" si="279"/>
        <v>1429.3323076923075</v>
      </c>
      <c r="G585" s="29">
        <f t="shared" si="285"/>
        <v>2.9399999999999999E-2</v>
      </c>
      <c r="H585" s="29">
        <f t="shared" si="285"/>
        <v>7.2499999999999995E-2</v>
      </c>
      <c r="I585">
        <f t="shared" si="280"/>
        <v>1532.91</v>
      </c>
      <c r="J585">
        <f>IF(A585&gt;=Quarterly!B$2,Quarterly!C$2,IF(COUNTIFS(Quarterly!B:B,"&gt;="&amp;A585-92,Quarterly!B:B,"&lt;="&amp;A585)&gt;1,SUMIFS(Quarterly!C:C,Quarterly!B:B,"&gt;="&amp;A585-88,Quarterly!B:B,"&lt;="&amp;A585),SUMIFS(Quarterly!C:C,Quarterly!B:B,"&gt;="&amp;A585-92,Quarterly!B:B,"&lt;="&amp;A585)))</f>
        <v>14233.2</v>
      </c>
      <c r="K585" s="13">
        <f t="shared" si="281"/>
        <v>0.1077</v>
      </c>
      <c r="L585">
        <f t="shared" si="283"/>
        <v>1532.91</v>
      </c>
      <c r="M585">
        <f>IF(A585&gt;=Quarterly!B$2,Quarterly!D$2,IF(COUNTIFS(Quarterly!B:B,"&gt;="&amp;A585-92,Quarterly!B:B,"&lt;="&amp;A585)&gt;1,SUMIFS(Quarterly!D:D,Quarterly!B:B,"&gt;="&amp;A585-88,Quarterly!B:B,"&lt;="&amp;A585),SUMIFS(Quarterly!D:D,Quarterly!B:B,"&gt;="&amp;A585-92,Quarterly!B:B,"&lt;="&amp;A585)))</f>
        <v>1270.8119999999999</v>
      </c>
      <c r="N585" s="13">
        <f t="shared" si="284"/>
        <v>0.12062</v>
      </c>
      <c r="O585">
        <f t="shared" si="286"/>
        <v>1532.91</v>
      </c>
      <c r="P585" s="56">
        <f>VLOOKUP(EOMONTH(A585,-1),Economic!A:I,7,FALSE)</f>
        <v>1094223</v>
      </c>
      <c r="Q585" s="13">
        <f t="shared" si="287"/>
        <v>0.1401</v>
      </c>
      <c r="R585" s="41">
        <v>0.11</v>
      </c>
      <c r="S585">
        <f t="shared" si="288"/>
        <v>0.09</v>
      </c>
      <c r="T585" s="30">
        <f t="shared" si="289"/>
        <v>89.26</v>
      </c>
      <c r="U585" s="30">
        <f t="shared" si="282"/>
        <v>90.73</v>
      </c>
    </row>
    <row r="586" spans="1:21" ht="15" customHeight="1" x14ac:dyDescent="0.25">
      <c r="A586" s="5">
        <v>39243</v>
      </c>
      <c r="B586" s="5">
        <f t="shared" si="276"/>
        <v>39263</v>
      </c>
      <c r="C586">
        <v>1507.67</v>
      </c>
      <c r="D586" s="29">
        <f t="shared" si="277"/>
        <v>-8.2000000000000007E-3</v>
      </c>
      <c r="E586" s="39">
        <f t="shared" si="278"/>
        <v>1477.9161538461537</v>
      </c>
      <c r="F586" s="39">
        <f t="shared" si="279"/>
        <v>1423.8643589743588</v>
      </c>
      <c r="G586" s="29">
        <f t="shared" si="285"/>
        <v>2.01E-2</v>
      </c>
      <c r="H586" s="29">
        <f t="shared" si="285"/>
        <v>5.8900000000000001E-2</v>
      </c>
      <c r="I586">
        <f t="shared" si="280"/>
        <v>1507.67</v>
      </c>
      <c r="J586">
        <f>IF(A586&gt;=Quarterly!B$2,Quarterly!C$2,IF(COUNTIFS(Quarterly!B:B,"&gt;="&amp;A586-92,Quarterly!B:B,"&lt;="&amp;A586)&gt;1,SUMIFS(Quarterly!C:C,Quarterly!B:B,"&gt;="&amp;A586-88,Quarterly!B:B,"&lt;="&amp;A586),SUMIFS(Quarterly!C:C,Quarterly!B:B,"&gt;="&amp;A586-92,Quarterly!B:B,"&lt;="&amp;A586)))</f>
        <v>14233.2</v>
      </c>
      <c r="K586" s="13">
        <f t="shared" si="281"/>
        <v>0.10589999999999999</v>
      </c>
      <c r="L586">
        <f t="shared" si="283"/>
        <v>1507.67</v>
      </c>
      <c r="M586">
        <f>IF(A586&gt;=Quarterly!B$2,Quarterly!D$2,IF(COUNTIFS(Quarterly!B:B,"&gt;="&amp;A586-92,Quarterly!B:B,"&lt;="&amp;A586)&gt;1,SUMIFS(Quarterly!D:D,Quarterly!B:B,"&gt;="&amp;A586-88,Quarterly!B:B,"&lt;="&amp;A586),SUMIFS(Quarterly!D:D,Quarterly!B:B,"&gt;="&amp;A586-92,Quarterly!B:B,"&lt;="&amp;A586)))</f>
        <v>1270.8119999999999</v>
      </c>
      <c r="N586" s="13">
        <f t="shared" si="284"/>
        <v>0.11864</v>
      </c>
      <c r="O586">
        <f t="shared" si="286"/>
        <v>1507.67</v>
      </c>
      <c r="P586" s="56">
        <f>VLOOKUP(EOMONTH(A586,-1),Economic!A:I,7,FALSE)</f>
        <v>1094223</v>
      </c>
      <c r="Q586" s="13">
        <f t="shared" si="287"/>
        <v>0.13780000000000001</v>
      </c>
      <c r="R586" s="41">
        <v>0.11</v>
      </c>
      <c r="S586">
        <f t="shared" si="288"/>
        <v>0.08</v>
      </c>
      <c r="T586" s="30">
        <f t="shared" si="289"/>
        <v>92.25</v>
      </c>
      <c r="U586" s="30">
        <f t="shared" si="282"/>
        <v>91.22</v>
      </c>
    </row>
    <row r="587" spans="1:21" ht="15" customHeight="1" x14ac:dyDescent="0.25">
      <c r="A587" s="5">
        <v>39236</v>
      </c>
      <c r="B587" s="5">
        <f t="shared" si="276"/>
        <v>39263</v>
      </c>
      <c r="C587">
        <v>1536.34</v>
      </c>
      <c r="D587" s="29">
        <f t="shared" si="277"/>
        <v>1.5800000000000002E-2</v>
      </c>
      <c r="E587" s="39">
        <f t="shared" si="278"/>
        <v>1469.8523076923079</v>
      </c>
      <c r="F587" s="39">
        <f t="shared" si="279"/>
        <v>1418.5117948717946</v>
      </c>
      <c r="G587" s="29">
        <f t="shared" si="285"/>
        <v>4.5199999999999997E-2</v>
      </c>
      <c r="H587" s="29">
        <f t="shared" si="285"/>
        <v>8.3099999999999993E-2</v>
      </c>
      <c r="I587">
        <f t="shared" si="280"/>
        <v>1536.34</v>
      </c>
      <c r="J587">
        <f>IF(A587&gt;=Quarterly!B$2,Quarterly!C$2,IF(COUNTIFS(Quarterly!B:B,"&gt;="&amp;A587-92,Quarterly!B:B,"&lt;="&amp;A587)&gt;1,SUMIFS(Quarterly!C:C,Quarterly!B:B,"&gt;="&amp;A587-88,Quarterly!B:B,"&lt;="&amp;A587),SUMIFS(Quarterly!C:C,Quarterly!B:B,"&gt;="&amp;A587-92,Quarterly!B:B,"&lt;="&amp;A587)))</f>
        <v>14233.2</v>
      </c>
      <c r="K587" s="13">
        <f t="shared" si="281"/>
        <v>0.1079</v>
      </c>
      <c r="L587">
        <f t="shared" si="283"/>
        <v>1536.34</v>
      </c>
      <c r="M587">
        <f>IF(A587&gt;=Quarterly!B$2,Quarterly!D$2,IF(COUNTIFS(Quarterly!B:B,"&gt;="&amp;A587-92,Quarterly!B:B,"&lt;="&amp;A587)&gt;1,SUMIFS(Quarterly!D:D,Quarterly!B:B,"&gt;="&amp;A587-88,Quarterly!B:B,"&lt;="&amp;A587),SUMIFS(Quarterly!D:D,Quarterly!B:B,"&gt;="&amp;A587-92,Quarterly!B:B,"&lt;="&amp;A587)))</f>
        <v>1270.8119999999999</v>
      </c>
      <c r="N587" s="13">
        <f t="shared" si="284"/>
        <v>0.12089000000000001</v>
      </c>
      <c r="O587">
        <f t="shared" si="286"/>
        <v>1536.34</v>
      </c>
      <c r="P587" s="56">
        <f>VLOOKUP(EOMONTH(A587,-1),Economic!A:I,7,FALSE)</f>
        <v>1094223</v>
      </c>
      <c r="Q587" s="13">
        <f t="shared" si="287"/>
        <v>0.1404</v>
      </c>
      <c r="R587" s="41">
        <v>-0.02</v>
      </c>
      <c r="S587">
        <f t="shared" si="288"/>
        <v>0.04</v>
      </c>
      <c r="T587" s="30">
        <f t="shared" si="289"/>
        <v>90.69</v>
      </c>
      <c r="U587" s="30">
        <f t="shared" si="282"/>
        <v>91.65</v>
      </c>
    </row>
    <row r="588" spans="1:21" ht="15" customHeight="1" x14ac:dyDescent="0.25">
      <c r="A588" s="5">
        <v>39229</v>
      </c>
      <c r="B588" s="5">
        <f t="shared" si="276"/>
        <v>39233</v>
      </c>
      <c r="C588">
        <v>1515.73</v>
      </c>
      <c r="D588" s="29">
        <f t="shared" si="277"/>
        <v>5.7000000000000002E-3</v>
      </c>
      <c r="E588" s="39">
        <f t="shared" si="278"/>
        <v>1458.3776923076925</v>
      </c>
      <c r="F588" s="39">
        <f t="shared" si="279"/>
        <v>1412.7341025641024</v>
      </c>
      <c r="G588" s="29">
        <f t="shared" si="285"/>
        <v>3.9300000000000002E-2</v>
      </c>
      <c r="H588" s="29">
        <f t="shared" si="285"/>
        <v>7.2900000000000006E-2</v>
      </c>
      <c r="I588">
        <f t="shared" si="280"/>
        <v>1515.73</v>
      </c>
      <c r="J588">
        <f>IF(A588&gt;=Quarterly!B$2,Quarterly!C$2,IF(COUNTIFS(Quarterly!B:B,"&gt;="&amp;A588-92,Quarterly!B:B,"&lt;="&amp;A588)&gt;1,SUMIFS(Quarterly!C:C,Quarterly!B:B,"&gt;="&amp;A588-88,Quarterly!B:B,"&lt;="&amp;A588),SUMIFS(Quarterly!C:C,Quarterly!B:B,"&gt;="&amp;A588-92,Quarterly!B:B,"&lt;="&amp;A588)))</f>
        <v>14233.2</v>
      </c>
      <c r="K588" s="13">
        <f t="shared" si="281"/>
        <v>0.1065</v>
      </c>
      <c r="L588">
        <f t="shared" si="283"/>
        <v>1515.73</v>
      </c>
      <c r="M588">
        <f>IF(A588&gt;=Quarterly!B$2,Quarterly!D$2,IF(COUNTIFS(Quarterly!B:B,"&gt;="&amp;A588-92,Quarterly!B:B,"&lt;="&amp;A588)&gt;1,SUMIFS(Quarterly!D:D,Quarterly!B:B,"&gt;="&amp;A588-88,Quarterly!B:B,"&lt;="&amp;A588),SUMIFS(Quarterly!D:D,Quarterly!B:B,"&gt;="&amp;A588-92,Quarterly!B:B,"&lt;="&amp;A588)))</f>
        <v>1270.8119999999999</v>
      </c>
      <c r="N588" s="13">
        <f t="shared" si="284"/>
        <v>0.11927000000000001</v>
      </c>
      <c r="O588">
        <f t="shared" si="286"/>
        <v>1515.73</v>
      </c>
      <c r="P588" s="56">
        <f>VLOOKUP(EOMONTH(A588,-1),Economic!A:I,7,FALSE)</f>
        <v>1090672</v>
      </c>
      <c r="Q588" s="13">
        <f t="shared" si="287"/>
        <v>0.13899999999999998</v>
      </c>
      <c r="R588" s="41">
        <v>0.01</v>
      </c>
      <c r="S588">
        <f t="shared" si="288"/>
        <v>-0.05</v>
      </c>
      <c r="T588" s="30">
        <f t="shared" si="289"/>
        <v>90.71</v>
      </c>
      <c r="U588" s="30">
        <f t="shared" si="282"/>
        <v>93.03</v>
      </c>
    </row>
    <row r="589" spans="1:21" ht="15" customHeight="1" x14ac:dyDescent="0.25">
      <c r="A589" s="5">
        <v>39222</v>
      </c>
      <c r="B589" s="5">
        <f t="shared" si="276"/>
        <v>39233</v>
      </c>
      <c r="C589">
        <v>1522.75</v>
      </c>
      <c r="D589" s="29">
        <f t="shared" si="277"/>
        <v>1.6899999999999998E-2</v>
      </c>
      <c r="E589" s="39">
        <f t="shared" si="278"/>
        <v>1453.4130769230769</v>
      </c>
      <c r="F589" s="39">
        <f t="shared" si="279"/>
        <v>1407.0766666666661</v>
      </c>
      <c r="G589" s="29">
        <f t="shared" si="285"/>
        <v>4.7699999999999999E-2</v>
      </c>
      <c r="H589" s="29">
        <f t="shared" si="285"/>
        <v>8.2199999999999995E-2</v>
      </c>
      <c r="I589">
        <f t="shared" si="280"/>
        <v>1522.75</v>
      </c>
      <c r="J589">
        <f>IF(A589&gt;=Quarterly!B$2,Quarterly!C$2,IF(COUNTIFS(Quarterly!B:B,"&gt;="&amp;A589-92,Quarterly!B:B,"&lt;="&amp;A589)&gt;1,SUMIFS(Quarterly!C:C,Quarterly!B:B,"&gt;="&amp;A589-88,Quarterly!B:B,"&lt;="&amp;A589),SUMIFS(Quarterly!C:C,Quarterly!B:B,"&gt;="&amp;A589-92,Quarterly!B:B,"&lt;="&amp;A589)))</f>
        <v>14233.2</v>
      </c>
      <c r="K589" s="13">
        <f t="shared" si="281"/>
        <v>0.107</v>
      </c>
      <c r="L589">
        <f t="shared" si="283"/>
        <v>1522.75</v>
      </c>
      <c r="M589">
        <f>IF(A589&gt;=Quarterly!B$2,Quarterly!D$2,IF(COUNTIFS(Quarterly!B:B,"&gt;="&amp;A589-92,Quarterly!B:B,"&lt;="&amp;A589)&gt;1,SUMIFS(Quarterly!D:D,Quarterly!B:B,"&gt;="&amp;A589-88,Quarterly!B:B,"&lt;="&amp;A589),SUMIFS(Quarterly!D:D,Quarterly!B:B,"&gt;="&amp;A589-92,Quarterly!B:B,"&lt;="&amp;A589)))</f>
        <v>1270.8119999999999</v>
      </c>
      <c r="N589" s="13">
        <f t="shared" si="284"/>
        <v>0.11982</v>
      </c>
      <c r="O589">
        <f t="shared" si="286"/>
        <v>1522.75</v>
      </c>
      <c r="P589" s="56">
        <f>VLOOKUP(EOMONTH(A589,-1),Economic!A:I,7,FALSE)</f>
        <v>1090672</v>
      </c>
      <c r="Q589" s="13">
        <f t="shared" si="287"/>
        <v>0.1396</v>
      </c>
      <c r="R589" s="41">
        <v>-0.01</v>
      </c>
      <c r="S589">
        <f t="shared" si="288"/>
        <v>0.03</v>
      </c>
      <c r="T589" s="30">
        <f t="shared" si="289"/>
        <v>93.54</v>
      </c>
      <c r="U589" s="30">
        <f t="shared" si="282"/>
        <v>93.56</v>
      </c>
    </row>
    <row r="590" spans="1:21" ht="15" customHeight="1" x14ac:dyDescent="0.25">
      <c r="A590" s="5">
        <v>39215</v>
      </c>
      <c r="B590" s="5">
        <f t="shared" si="276"/>
        <v>39233</v>
      </c>
      <c r="C590">
        <v>1505.85</v>
      </c>
      <c r="D590" s="29">
        <f t="shared" si="277"/>
        <v>1.46E-2</v>
      </c>
      <c r="E590" s="39">
        <f t="shared" si="278"/>
        <v>1448.2430769230773</v>
      </c>
      <c r="F590" s="39">
        <f t="shared" si="279"/>
        <v>1401.4241025641024</v>
      </c>
      <c r="G590" s="29">
        <f t="shared" si="285"/>
        <v>3.9800000000000002E-2</v>
      </c>
      <c r="H590" s="29">
        <f t="shared" si="285"/>
        <v>7.4499999999999997E-2</v>
      </c>
      <c r="I590">
        <f t="shared" si="280"/>
        <v>1505.85</v>
      </c>
      <c r="J590">
        <f>IF(A590&gt;=Quarterly!B$2,Quarterly!C$2,IF(COUNTIFS(Quarterly!B:B,"&gt;="&amp;A590-92,Quarterly!B:B,"&lt;="&amp;A590)&gt;1,SUMIFS(Quarterly!C:C,Quarterly!B:B,"&gt;="&amp;A590-88,Quarterly!B:B,"&lt;="&amp;A590),SUMIFS(Quarterly!C:C,Quarterly!B:B,"&gt;="&amp;A590-92,Quarterly!B:B,"&lt;="&amp;A590)))</f>
        <v>14233.2</v>
      </c>
      <c r="K590" s="13">
        <f t="shared" si="281"/>
        <v>0.10580000000000001</v>
      </c>
      <c r="L590">
        <f t="shared" si="283"/>
        <v>1505.85</v>
      </c>
      <c r="M590">
        <f>IF(A590&gt;=Quarterly!B$2,Quarterly!D$2,IF(COUNTIFS(Quarterly!B:B,"&gt;="&amp;A590-92,Quarterly!B:B,"&lt;="&amp;A590)&gt;1,SUMIFS(Quarterly!D:D,Quarterly!B:B,"&gt;="&amp;A590-88,Quarterly!B:B,"&lt;="&amp;A590),SUMIFS(Quarterly!D:D,Quarterly!B:B,"&gt;="&amp;A590-92,Quarterly!B:B,"&lt;="&amp;A590)))</f>
        <v>1270.8119999999999</v>
      </c>
      <c r="N590" s="13">
        <f t="shared" si="284"/>
        <v>0.11850000000000001</v>
      </c>
      <c r="O590">
        <f t="shared" si="286"/>
        <v>1505.85</v>
      </c>
      <c r="P590" s="56">
        <f>VLOOKUP(EOMONTH(A590,-1),Economic!A:I,7,FALSE)</f>
        <v>1090672</v>
      </c>
      <c r="Q590" s="13">
        <f t="shared" si="287"/>
        <v>0.1381</v>
      </c>
      <c r="R590" s="41">
        <v>-0.04</v>
      </c>
      <c r="S590">
        <f t="shared" si="288"/>
        <v>0.02</v>
      </c>
      <c r="T590" s="30">
        <f t="shared" si="289"/>
        <v>94.84</v>
      </c>
      <c r="U590" s="30">
        <f t="shared" si="282"/>
        <v>92.43</v>
      </c>
    </row>
    <row r="591" spans="1:21" ht="15" customHeight="1" x14ac:dyDescent="0.25">
      <c r="A591" s="5">
        <v>39208</v>
      </c>
      <c r="B591" s="5">
        <f t="shared" si="276"/>
        <v>39233</v>
      </c>
      <c r="C591">
        <v>1505.62</v>
      </c>
      <c r="D591" s="29">
        <f t="shared" si="277"/>
        <v>2.5100000000000001E-2</v>
      </c>
      <c r="E591" s="39">
        <f t="shared" si="278"/>
        <v>1443.0284615384617</v>
      </c>
      <c r="F591" s="39">
        <f t="shared" si="279"/>
        <v>1395.2930769230768</v>
      </c>
      <c r="G591" s="29">
        <f t="shared" si="285"/>
        <v>4.3400000000000001E-2</v>
      </c>
      <c r="H591" s="29">
        <f t="shared" si="285"/>
        <v>7.9100000000000004E-2</v>
      </c>
      <c r="I591">
        <f t="shared" si="280"/>
        <v>1505.62</v>
      </c>
      <c r="J591">
        <f>IF(A591&gt;=Quarterly!B$2,Quarterly!C$2,IF(COUNTIFS(Quarterly!B:B,"&gt;="&amp;A591-92,Quarterly!B:B,"&lt;="&amp;A591)&gt;1,SUMIFS(Quarterly!C:C,Quarterly!B:B,"&gt;="&amp;A591-88,Quarterly!B:B,"&lt;="&amp;A591),SUMIFS(Quarterly!C:C,Quarterly!B:B,"&gt;="&amp;A591-92,Quarterly!B:B,"&lt;="&amp;A591)))</f>
        <v>14233.2</v>
      </c>
      <c r="K591" s="13">
        <f t="shared" si="281"/>
        <v>0.10580000000000001</v>
      </c>
      <c r="L591">
        <f t="shared" si="283"/>
        <v>1505.62</v>
      </c>
      <c r="M591">
        <f>IF(A591&gt;=Quarterly!B$2,Quarterly!D$2,IF(COUNTIFS(Quarterly!B:B,"&gt;="&amp;A591-92,Quarterly!B:B,"&lt;="&amp;A591)&gt;1,SUMIFS(Quarterly!D:D,Quarterly!B:B,"&gt;="&amp;A591-88,Quarterly!B:B,"&lt;="&amp;A591),SUMIFS(Quarterly!D:D,Quarterly!B:B,"&gt;="&amp;A591-92,Quarterly!B:B,"&lt;="&amp;A591)))</f>
        <v>1270.8119999999999</v>
      </c>
      <c r="N591" s="13">
        <f t="shared" si="284"/>
        <v>0.11848000000000002</v>
      </c>
      <c r="O591">
        <f t="shared" si="286"/>
        <v>1505.62</v>
      </c>
      <c r="P591" s="56">
        <f>VLOOKUP(EOMONTH(A591,-1),Economic!A:I,7,FALSE)</f>
        <v>1090672</v>
      </c>
      <c r="Q591" s="13">
        <f t="shared" si="287"/>
        <v>0.13799999999999998</v>
      </c>
      <c r="R591" s="41">
        <v>-0.03</v>
      </c>
      <c r="S591">
        <f t="shared" si="288"/>
        <v>-0.08</v>
      </c>
      <c r="T591" s="30">
        <f t="shared" si="289"/>
        <v>92.3</v>
      </c>
      <c r="U591" s="30">
        <f t="shared" si="282"/>
        <v>91.73</v>
      </c>
    </row>
    <row r="592" spans="1:21" ht="15" customHeight="1" x14ac:dyDescent="0.25">
      <c r="A592" s="5">
        <v>39201</v>
      </c>
      <c r="B592" s="5">
        <f t="shared" si="276"/>
        <v>39202</v>
      </c>
      <c r="C592">
        <v>1494.07</v>
      </c>
      <c r="D592" s="29">
        <f t="shared" si="277"/>
        <v>3.0099999999999998E-2</v>
      </c>
      <c r="E592" s="39">
        <f t="shared" si="278"/>
        <v>1438.626153846154</v>
      </c>
      <c r="F592" s="39">
        <f t="shared" si="279"/>
        <v>1389.4915384615383</v>
      </c>
      <c r="G592" s="29">
        <f t="shared" si="285"/>
        <v>3.85E-2</v>
      </c>
      <c r="H592" s="29">
        <f t="shared" si="285"/>
        <v>7.5300000000000006E-2</v>
      </c>
      <c r="I592">
        <f t="shared" si="280"/>
        <v>1494.07</v>
      </c>
      <c r="J592">
        <f>IF(A592&gt;=Quarterly!B$2,Quarterly!C$2,IF(COUNTIFS(Quarterly!B:B,"&gt;="&amp;A592-92,Quarterly!B:B,"&lt;="&amp;A592)&gt;1,SUMIFS(Quarterly!C:C,Quarterly!B:B,"&gt;="&amp;A592-88,Quarterly!B:B,"&lt;="&amp;A592),SUMIFS(Quarterly!C:C,Quarterly!B:B,"&gt;="&amp;A592-92,Quarterly!B:B,"&lt;="&amp;A592)))</f>
        <v>14066.4</v>
      </c>
      <c r="K592" s="13">
        <f t="shared" si="281"/>
        <v>0.1062</v>
      </c>
      <c r="L592">
        <f t="shared" si="283"/>
        <v>1494.07</v>
      </c>
      <c r="M592">
        <f>IF(A592&gt;=Quarterly!B$2,Quarterly!D$2,IF(COUNTIFS(Quarterly!B:B,"&gt;="&amp;A592-92,Quarterly!B:B,"&lt;="&amp;A592)&gt;1,SUMIFS(Quarterly!D:D,Quarterly!B:B,"&gt;="&amp;A592-88,Quarterly!B:B,"&lt;="&amp;A592),SUMIFS(Quarterly!D:D,Quarterly!B:B,"&gt;="&amp;A592-92,Quarterly!B:B,"&lt;="&amp;A592)))</f>
        <v>1358.655</v>
      </c>
      <c r="N592" s="13">
        <f t="shared" si="284"/>
        <v>0.10997</v>
      </c>
      <c r="O592">
        <f t="shared" si="286"/>
        <v>1494.07</v>
      </c>
      <c r="P592" s="56">
        <f>VLOOKUP(EOMONTH(A592,-1),Economic!A:I,7,FALSE)</f>
        <v>1082212</v>
      </c>
      <c r="Q592" s="13">
        <f t="shared" si="287"/>
        <v>0.1381</v>
      </c>
      <c r="R592" s="41">
        <v>0.04</v>
      </c>
      <c r="S592">
        <f t="shared" si="288"/>
        <v>-0.16</v>
      </c>
      <c r="T592" s="30">
        <f t="shared" si="289"/>
        <v>90.14</v>
      </c>
      <c r="U592" s="30">
        <f t="shared" si="282"/>
        <v>92.74</v>
      </c>
    </row>
    <row r="593" spans="1:21" ht="15" customHeight="1" x14ac:dyDescent="0.25">
      <c r="A593" s="5">
        <v>39194</v>
      </c>
      <c r="B593" s="5">
        <f t="shared" si="276"/>
        <v>39202</v>
      </c>
      <c r="C593">
        <v>1484.35</v>
      </c>
      <c r="D593" s="29">
        <f t="shared" si="277"/>
        <v>3.1899999999999998E-2</v>
      </c>
      <c r="E593" s="39">
        <f t="shared" si="278"/>
        <v>1433.0961538461538</v>
      </c>
      <c r="F593" s="39">
        <f t="shared" si="279"/>
        <v>1383.9653846153844</v>
      </c>
      <c r="G593" s="29">
        <f t="shared" si="285"/>
        <v>3.5799999999999998E-2</v>
      </c>
      <c r="H593" s="29">
        <f t="shared" si="285"/>
        <v>7.2499999999999995E-2</v>
      </c>
      <c r="I593">
        <f t="shared" si="280"/>
        <v>1484.35</v>
      </c>
      <c r="J593">
        <f>IF(A593&gt;=Quarterly!B$2,Quarterly!C$2,IF(COUNTIFS(Quarterly!B:B,"&gt;="&amp;A593-92,Quarterly!B:B,"&lt;="&amp;A593)&gt;1,SUMIFS(Quarterly!C:C,Quarterly!B:B,"&gt;="&amp;A593-88,Quarterly!B:B,"&lt;="&amp;A593),SUMIFS(Quarterly!C:C,Quarterly!B:B,"&gt;="&amp;A593-92,Quarterly!B:B,"&lt;="&amp;A593)))</f>
        <v>14066.4</v>
      </c>
      <c r="K593" s="13">
        <f t="shared" si="281"/>
        <v>0.1055</v>
      </c>
      <c r="L593">
        <f t="shared" si="283"/>
        <v>1484.35</v>
      </c>
      <c r="M593">
        <f>IF(A593&gt;=Quarterly!B$2,Quarterly!D$2,IF(COUNTIFS(Quarterly!B:B,"&gt;="&amp;A593-92,Quarterly!B:B,"&lt;="&amp;A593)&gt;1,SUMIFS(Quarterly!D:D,Quarterly!B:B,"&gt;="&amp;A593-88,Quarterly!B:B,"&lt;="&amp;A593),SUMIFS(Quarterly!D:D,Quarterly!B:B,"&gt;="&amp;A593-92,Quarterly!B:B,"&lt;="&amp;A593)))</f>
        <v>1358.655</v>
      </c>
      <c r="N593" s="13">
        <f t="shared" si="284"/>
        <v>0.10925000000000001</v>
      </c>
      <c r="O593">
        <f t="shared" si="286"/>
        <v>1484.35</v>
      </c>
      <c r="P593" s="56">
        <f>VLOOKUP(EOMONTH(A593,-1),Economic!A:I,7,FALSE)</f>
        <v>1082212</v>
      </c>
      <c r="Q593" s="13">
        <f t="shared" si="287"/>
        <v>0.13719999999999999</v>
      </c>
      <c r="R593" s="41">
        <v>0.04</v>
      </c>
      <c r="S593">
        <f t="shared" si="288"/>
        <v>-0.12</v>
      </c>
      <c r="T593" s="30">
        <f t="shared" si="289"/>
        <v>92.74</v>
      </c>
      <c r="U593" s="30">
        <f t="shared" si="282"/>
        <v>95.21</v>
      </c>
    </row>
    <row r="594" spans="1:21" ht="15" customHeight="1" x14ac:dyDescent="0.25">
      <c r="A594" s="5">
        <v>39187</v>
      </c>
      <c r="B594" s="5">
        <f t="shared" ref="B594:B657" si="290">EOMONTH(A594,0)</f>
        <v>39202</v>
      </c>
      <c r="C594">
        <v>1452.85</v>
      </c>
      <c r="D594" s="29">
        <f t="shared" ref="D594:D657" si="291">ROUND((C594-AVERAGE(C595:C598))/AVERAGE(C595:C598),4)</f>
        <v>2.18E-2</v>
      </c>
      <c r="E594" s="39">
        <f t="shared" ref="E594:E657" si="292">AVERAGE(C594:C606)</f>
        <v>1428.9538461538459</v>
      </c>
      <c r="F594" s="39">
        <f t="shared" ref="F594:F657" si="293">AVERAGE(C594:C632)</f>
        <v>1377.7074358974357</v>
      </c>
      <c r="G594" s="29">
        <f t="shared" si="285"/>
        <v>1.67E-2</v>
      </c>
      <c r="H594" s="29">
        <f t="shared" si="285"/>
        <v>5.45E-2</v>
      </c>
      <c r="I594">
        <f t="shared" ref="I594:I657" si="294">C594</f>
        <v>1452.85</v>
      </c>
      <c r="J594">
        <f>IF(A594&gt;=Quarterly!B$2,Quarterly!C$2,IF(COUNTIFS(Quarterly!B:B,"&gt;="&amp;A594-92,Quarterly!B:B,"&lt;="&amp;A594)&gt;1,SUMIFS(Quarterly!C:C,Quarterly!B:B,"&gt;="&amp;A594-88,Quarterly!B:B,"&lt;="&amp;A594),SUMIFS(Quarterly!C:C,Quarterly!B:B,"&gt;="&amp;A594-92,Quarterly!B:B,"&lt;="&amp;A594)))</f>
        <v>14066.4</v>
      </c>
      <c r="K594" s="13">
        <f t="shared" ref="K594:K657" si="295">ROUND(I594/J594,4)</f>
        <v>0.1033</v>
      </c>
      <c r="L594">
        <f t="shared" si="283"/>
        <v>1452.85</v>
      </c>
      <c r="M594">
        <f>IF(A594&gt;=Quarterly!B$2,Quarterly!D$2,IF(COUNTIFS(Quarterly!B:B,"&gt;="&amp;A594-92,Quarterly!B:B,"&lt;="&amp;A594)&gt;1,SUMIFS(Quarterly!D:D,Quarterly!B:B,"&gt;="&amp;A594-88,Quarterly!B:B,"&lt;="&amp;A594),SUMIFS(Quarterly!D:D,Quarterly!B:B,"&gt;="&amp;A594-92,Quarterly!B:B,"&lt;="&amp;A594)))</f>
        <v>1358.655</v>
      </c>
      <c r="N594" s="13">
        <f t="shared" si="284"/>
        <v>0.10693</v>
      </c>
      <c r="O594">
        <f t="shared" si="286"/>
        <v>1452.85</v>
      </c>
      <c r="P594" s="56">
        <f>VLOOKUP(EOMONTH(A594,-1),Economic!A:I,7,FALSE)</f>
        <v>1082212</v>
      </c>
      <c r="Q594" s="13">
        <f t="shared" si="287"/>
        <v>0.13420000000000001</v>
      </c>
      <c r="R594" s="41">
        <v>0</v>
      </c>
      <c r="S594">
        <f t="shared" si="288"/>
        <v>-0.1</v>
      </c>
      <c r="T594" s="30">
        <f t="shared" si="289"/>
        <v>95.35</v>
      </c>
      <c r="U594" s="30">
        <f t="shared" ref="U594:U657" si="296">ROUND(AVERAGE(T594:T596),2)</f>
        <v>97.91</v>
      </c>
    </row>
    <row r="595" spans="1:21" ht="15" customHeight="1" x14ac:dyDescent="0.25">
      <c r="A595" s="5">
        <v>39180</v>
      </c>
      <c r="B595" s="5">
        <f t="shared" si="290"/>
        <v>39202</v>
      </c>
      <c r="C595">
        <v>1443.76</v>
      </c>
      <c r="D595" s="29">
        <f t="shared" si="291"/>
        <v>2.2700000000000001E-2</v>
      </c>
      <c r="E595" s="39">
        <f t="shared" si="292"/>
        <v>1427.2523076923073</v>
      </c>
      <c r="F595" s="39">
        <f t="shared" si="293"/>
        <v>1372.1523076923074</v>
      </c>
      <c r="G595" s="29">
        <f t="shared" si="285"/>
        <v>1.1599999999999999E-2</v>
      </c>
      <c r="H595" s="29">
        <f t="shared" si="285"/>
        <v>5.2200000000000003E-2</v>
      </c>
      <c r="I595">
        <f t="shared" si="294"/>
        <v>1443.76</v>
      </c>
      <c r="J595">
        <f>IF(A595&gt;=Quarterly!B$2,Quarterly!C$2,IF(COUNTIFS(Quarterly!B:B,"&gt;="&amp;A595-92,Quarterly!B:B,"&lt;="&amp;A595)&gt;1,SUMIFS(Quarterly!C:C,Quarterly!B:B,"&gt;="&amp;A595-88,Quarterly!B:B,"&lt;="&amp;A595),SUMIFS(Quarterly!C:C,Quarterly!B:B,"&gt;="&amp;A595-92,Quarterly!B:B,"&lt;="&amp;A595)))</f>
        <v>14066.4</v>
      </c>
      <c r="K595" s="13">
        <f t="shared" si="295"/>
        <v>0.1026</v>
      </c>
      <c r="L595">
        <f t="shared" si="283"/>
        <v>1443.76</v>
      </c>
      <c r="M595">
        <f>IF(A595&gt;=Quarterly!B$2,Quarterly!D$2,IF(COUNTIFS(Quarterly!B:B,"&gt;="&amp;A595-92,Quarterly!B:B,"&lt;="&amp;A595)&gt;1,SUMIFS(Quarterly!D:D,Quarterly!B:B,"&gt;="&amp;A595-88,Quarterly!B:B,"&lt;="&amp;A595),SUMIFS(Quarterly!D:D,Quarterly!B:B,"&gt;="&amp;A595-92,Quarterly!B:B,"&lt;="&amp;A595)))</f>
        <v>1358.655</v>
      </c>
      <c r="N595" s="13">
        <f t="shared" si="284"/>
        <v>0.10626000000000001</v>
      </c>
      <c r="O595">
        <f t="shared" si="286"/>
        <v>1443.76</v>
      </c>
      <c r="P595" s="56">
        <f>VLOOKUP(EOMONTH(A595,-1),Economic!A:I,7,FALSE)</f>
        <v>1082212</v>
      </c>
      <c r="Q595" s="13">
        <f t="shared" si="287"/>
        <v>0.13339999999999999</v>
      </c>
      <c r="R595" s="41">
        <v>0.01</v>
      </c>
      <c r="S595">
        <f t="shared" si="288"/>
        <v>-0.05</v>
      </c>
      <c r="T595" s="30">
        <f t="shared" si="289"/>
        <v>97.55</v>
      </c>
      <c r="U595" s="30">
        <f t="shared" si="296"/>
        <v>99.26</v>
      </c>
    </row>
    <row r="596" spans="1:21" ht="15" customHeight="1" x14ac:dyDescent="0.25">
      <c r="A596" s="5">
        <v>39173</v>
      </c>
      <c r="B596" s="5">
        <f t="shared" si="290"/>
        <v>39202</v>
      </c>
      <c r="C596">
        <v>1420.86</v>
      </c>
      <c r="D596" s="29">
        <f t="shared" si="291"/>
        <v>1.2500000000000001E-2</v>
      </c>
      <c r="E596" s="39">
        <f t="shared" si="292"/>
        <v>1424.6330769230769</v>
      </c>
      <c r="F596" s="39">
        <f t="shared" si="293"/>
        <v>1367.5810256410257</v>
      </c>
      <c r="G596" s="29">
        <f t="shared" si="285"/>
        <v>-2.5999999999999999E-3</v>
      </c>
      <c r="H596" s="29">
        <f t="shared" si="285"/>
        <v>3.9E-2</v>
      </c>
      <c r="I596">
        <f t="shared" si="294"/>
        <v>1420.86</v>
      </c>
      <c r="J596">
        <f>IF(A596&gt;=Quarterly!B$2,Quarterly!C$2,IF(COUNTIFS(Quarterly!B:B,"&gt;="&amp;A596-92,Quarterly!B:B,"&lt;="&amp;A596)&gt;1,SUMIFS(Quarterly!C:C,Quarterly!B:B,"&gt;="&amp;A596-88,Quarterly!B:B,"&lt;="&amp;A596),SUMIFS(Quarterly!C:C,Quarterly!B:B,"&gt;="&amp;A596-92,Quarterly!B:B,"&lt;="&amp;A596)))</f>
        <v>14066.4</v>
      </c>
      <c r="K596" s="13">
        <f t="shared" si="295"/>
        <v>0.10100000000000001</v>
      </c>
      <c r="L596">
        <f t="shared" si="283"/>
        <v>1420.86</v>
      </c>
      <c r="M596">
        <f>IF(A596&gt;=Quarterly!B$2,Quarterly!D$2,IF(COUNTIFS(Quarterly!B:B,"&gt;="&amp;A596-92,Quarterly!B:B,"&lt;="&amp;A596)&gt;1,SUMIFS(Quarterly!D:D,Quarterly!B:B,"&gt;="&amp;A596-88,Quarterly!B:B,"&lt;="&amp;A596),SUMIFS(Quarterly!D:D,Quarterly!B:B,"&gt;="&amp;A596-92,Quarterly!B:B,"&lt;="&amp;A596)))</f>
        <v>1358.655</v>
      </c>
      <c r="N596" s="13">
        <f t="shared" si="284"/>
        <v>0.10458000000000001</v>
      </c>
      <c r="O596">
        <f t="shared" si="286"/>
        <v>1420.86</v>
      </c>
      <c r="P596" s="56">
        <f>VLOOKUP(EOMONTH(A596,-1),Economic!A:I,7,FALSE)</f>
        <v>1082212</v>
      </c>
      <c r="Q596" s="13">
        <f t="shared" si="287"/>
        <v>0.1313</v>
      </c>
      <c r="R596" s="41">
        <v>7.0000000000000007E-2</v>
      </c>
      <c r="S596">
        <f t="shared" si="288"/>
        <v>0.01</v>
      </c>
      <c r="T596" s="30">
        <f t="shared" si="289"/>
        <v>100.82</v>
      </c>
      <c r="U596" s="30">
        <f t="shared" si="296"/>
        <v>100.97</v>
      </c>
    </row>
    <row r="597" spans="1:21" ht="15" customHeight="1" x14ac:dyDescent="0.25">
      <c r="A597" s="5">
        <v>39166</v>
      </c>
      <c r="B597" s="5">
        <f t="shared" si="290"/>
        <v>39172</v>
      </c>
      <c r="C597">
        <v>1436.11</v>
      </c>
      <c r="D597" s="29">
        <f t="shared" si="291"/>
        <v>2.07E-2</v>
      </c>
      <c r="E597" s="39">
        <f t="shared" si="292"/>
        <v>1424.4361538461537</v>
      </c>
      <c r="F597" s="39">
        <f t="shared" si="293"/>
        <v>1363.7179487179485</v>
      </c>
      <c r="G597" s="29">
        <f t="shared" si="285"/>
        <v>8.2000000000000007E-3</v>
      </c>
      <c r="H597" s="29">
        <f t="shared" si="285"/>
        <v>5.3100000000000001E-2</v>
      </c>
      <c r="I597">
        <f t="shared" si="294"/>
        <v>1436.11</v>
      </c>
      <c r="J597">
        <f>IF(A597&gt;=Quarterly!B$2,Quarterly!C$2,IF(COUNTIFS(Quarterly!B:B,"&gt;="&amp;A597-92,Quarterly!B:B,"&lt;="&amp;A597)&gt;1,SUMIFS(Quarterly!C:C,Quarterly!B:B,"&gt;="&amp;A597-88,Quarterly!B:B,"&lt;="&amp;A597),SUMIFS(Quarterly!C:C,Quarterly!B:B,"&gt;="&amp;A597-92,Quarterly!B:B,"&lt;="&amp;A597)))</f>
        <v>14066.4</v>
      </c>
      <c r="K597" s="13">
        <f t="shared" si="295"/>
        <v>0.1021</v>
      </c>
      <c r="L597">
        <f t="shared" si="283"/>
        <v>1436.11</v>
      </c>
      <c r="M597">
        <f>IF(A597&gt;=Quarterly!B$2,Quarterly!D$2,IF(COUNTIFS(Quarterly!B:B,"&gt;="&amp;A597-92,Quarterly!B:B,"&lt;="&amp;A597)&gt;1,SUMIFS(Quarterly!D:D,Quarterly!B:B,"&gt;="&amp;A597-88,Quarterly!B:B,"&lt;="&amp;A597),SUMIFS(Quarterly!D:D,Quarterly!B:B,"&gt;="&amp;A597-92,Quarterly!B:B,"&lt;="&amp;A597)))</f>
        <v>1358.655</v>
      </c>
      <c r="N597" s="13">
        <f t="shared" si="284"/>
        <v>0.1057</v>
      </c>
      <c r="O597">
        <f t="shared" si="286"/>
        <v>1436.11</v>
      </c>
      <c r="P597" s="56">
        <f>VLOOKUP(EOMONTH(A597,-1),Economic!A:I,7,FALSE)</f>
        <v>1077165</v>
      </c>
      <c r="Q597" s="13">
        <f t="shared" si="287"/>
        <v>0.1333</v>
      </c>
      <c r="R597" s="41">
        <v>0.02</v>
      </c>
      <c r="S597">
        <f t="shared" si="288"/>
        <v>0</v>
      </c>
      <c r="T597" s="30">
        <f t="shared" si="289"/>
        <v>99.42</v>
      </c>
      <c r="U597" s="30">
        <f t="shared" si="296"/>
        <v>101.08</v>
      </c>
    </row>
    <row r="598" spans="1:21" ht="15" customHeight="1" x14ac:dyDescent="0.25">
      <c r="A598" s="5">
        <v>39159</v>
      </c>
      <c r="B598" s="5">
        <f t="shared" si="290"/>
        <v>39172</v>
      </c>
      <c r="C598">
        <v>1386.95</v>
      </c>
      <c r="D598" s="29">
        <f t="shared" si="291"/>
        <v>-2.6100000000000002E-2</v>
      </c>
      <c r="E598" s="39">
        <f t="shared" si="292"/>
        <v>1422.4861538461535</v>
      </c>
      <c r="F598" s="39">
        <f t="shared" si="293"/>
        <v>1358.8048717948716</v>
      </c>
      <c r="G598" s="29">
        <f t="shared" si="285"/>
        <v>-2.5000000000000001E-2</v>
      </c>
      <c r="H598" s="29">
        <f t="shared" si="285"/>
        <v>2.07E-2</v>
      </c>
      <c r="I598">
        <f t="shared" si="294"/>
        <v>1386.95</v>
      </c>
      <c r="J598">
        <f>IF(A598&gt;=Quarterly!B$2,Quarterly!C$2,IF(COUNTIFS(Quarterly!B:B,"&gt;="&amp;A598-92,Quarterly!B:B,"&lt;="&amp;A598)&gt;1,SUMIFS(Quarterly!C:C,Quarterly!B:B,"&gt;="&amp;A598-88,Quarterly!B:B,"&lt;="&amp;A598),SUMIFS(Quarterly!C:C,Quarterly!B:B,"&gt;="&amp;A598-92,Quarterly!B:B,"&lt;="&amp;A598)))</f>
        <v>14066.4</v>
      </c>
      <c r="K598" s="13">
        <f t="shared" si="295"/>
        <v>9.8599999999999993E-2</v>
      </c>
      <c r="L598">
        <f t="shared" si="283"/>
        <v>1386.95</v>
      </c>
      <c r="M598">
        <f>IF(A598&gt;=Quarterly!B$2,Quarterly!D$2,IF(COUNTIFS(Quarterly!B:B,"&gt;="&amp;A598-92,Quarterly!B:B,"&lt;="&amp;A598)&gt;1,SUMIFS(Quarterly!D:D,Quarterly!B:B,"&gt;="&amp;A598-88,Quarterly!B:B,"&lt;="&amp;A598),SUMIFS(Quarterly!D:D,Quarterly!B:B,"&gt;="&amp;A598-92,Quarterly!B:B,"&lt;="&amp;A598)))</f>
        <v>1358.655</v>
      </c>
      <c r="N598" s="13">
        <f t="shared" si="284"/>
        <v>0.10208</v>
      </c>
      <c r="O598">
        <f t="shared" si="286"/>
        <v>1386.95</v>
      </c>
      <c r="P598" s="56">
        <f>VLOOKUP(EOMONTH(A598,-1),Economic!A:I,7,FALSE)</f>
        <v>1077165</v>
      </c>
      <c r="Q598" s="13">
        <f t="shared" si="287"/>
        <v>0.1288</v>
      </c>
      <c r="R598" s="41">
        <v>-0.03</v>
      </c>
      <c r="S598">
        <f t="shared" si="288"/>
        <v>0.02</v>
      </c>
      <c r="T598" s="30">
        <f t="shared" si="289"/>
        <v>102.67</v>
      </c>
      <c r="U598" s="30">
        <f t="shared" si="296"/>
        <v>101.37</v>
      </c>
    </row>
    <row r="599" spans="1:21" ht="15" customHeight="1" x14ac:dyDescent="0.25">
      <c r="A599" s="5">
        <v>39152</v>
      </c>
      <c r="B599" s="5">
        <f t="shared" si="290"/>
        <v>39172</v>
      </c>
      <c r="C599">
        <v>1402.84</v>
      </c>
      <c r="D599" s="29">
        <f t="shared" si="291"/>
        <v>-2.1000000000000001E-2</v>
      </c>
      <c r="E599" s="39">
        <f t="shared" si="292"/>
        <v>1425.573846153846</v>
      </c>
      <c r="F599" s="39">
        <f t="shared" si="293"/>
        <v>1355.3328205128205</v>
      </c>
      <c r="G599" s="29">
        <f t="shared" si="285"/>
        <v>-1.5900000000000001E-2</v>
      </c>
      <c r="H599" s="29">
        <f t="shared" si="285"/>
        <v>3.5099999999999999E-2</v>
      </c>
      <c r="I599">
        <f t="shared" si="294"/>
        <v>1402.84</v>
      </c>
      <c r="J599">
        <f>IF(A599&gt;=Quarterly!B$2,Quarterly!C$2,IF(COUNTIFS(Quarterly!B:B,"&gt;="&amp;A599-92,Quarterly!B:B,"&lt;="&amp;A599)&gt;1,SUMIFS(Quarterly!C:C,Quarterly!B:B,"&gt;="&amp;A599-88,Quarterly!B:B,"&lt;="&amp;A599),SUMIFS(Quarterly!C:C,Quarterly!B:B,"&gt;="&amp;A599-92,Quarterly!B:B,"&lt;="&amp;A599)))</f>
        <v>14066.4</v>
      </c>
      <c r="K599" s="13">
        <f t="shared" si="295"/>
        <v>9.9699999999999997E-2</v>
      </c>
      <c r="L599">
        <f t="shared" ref="L599:L662" si="297">C599</f>
        <v>1402.84</v>
      </c>
      <c r="M599">
        <f>IF(A599&gt;=Quarterly!B$2,Quarterly!D$2,IF(COUNTIFS(Quarterly!B:B,"&gt;="&amp;A599-92,Quarterly!B:B,"&lt;="&amp;A599)&gt;1,SUMIFS(Quarterly!D:D,Quarterly!B:B,"&gt;="&amp;A599-88,Quarterly!B:B,"&lt;="&amp;A599),SUMIFS(Quarterly!D:D,Quarterly!B:B,"&gt;="&amp;A599-92,Quarterly!B:B,"&lt;="&amp;A599)))</f>
        <v>1358.655</v>
      </c>
      <c r="N599" s="13">
        <f t="shared" ref="N599:N662" si="298">ROUND(L599/M599,4)*0.1</f>
        <v>0.10325000000000001</v>
      </c>
      <c r="O599">
        <f t="shared" si="286"/>
        <v>1402.84</v>
      </c>
      <c r="P599" s="56">
        <f>VLOOKUP(EOMONTH(A599,-1),Economic!A:I,7,FALSE)</f>
        <v>1077165</v>
      </c>
      <c r="Q599" s="13">
        <f t="shared" si="287"/>
        <v>0.13020000000000001</v>
      </c>
      <c r="R599" s="41">
        <v>-7.0000000000000007E-2</v>
      </c>
      <c r="S599">
        <f t="shared" si="288"/>
        <v>0.02</v>
      </c>
      <c r="T599" s="30">
        <f t="shared" si="289"/>
        <v>101.14</v>
      </c>
      <c r="U599" s="30">
        <f t="shared" si="296"/>
        <v>99.61</v>
      </c>
    </row>
    <row r="600" spans="1:21" ht="15" customHeight="1" x14ac:dyDescent="0.25">
      <c r="A600" s="5">
        <v>39145</v>
      </c>
      <c r="B600" s="5">
        <f t="shared" si="290"/>
        <v>39172</v>
      </c>
      <c r="C600">
        <v>1387.17</v>
      </c>
      <c r="D600" s="29">
        <f t="shared" si="291"/>
        <v>-4.2200000000000001E-2</v>
      </c>
      <c r="E600" s="39">
        <f t="shared" si="292"/>
        <v>1426.1123076923072</v>
      </c>
      <c r="F600" s="39">
        <f t="shared" si="293"/>
        <v>1351.4728205128206</v>
      </c>
      <c r="G600" s="29">
        <f t="shared" si="285"/>
        <v>-2.7300000000000001E-2</v>
      </c>
      <c r="H600" s="29">
        <f t="shared" si="285"/>
        <v>2.64E-2</v>
      </c>
      <c r="I600">
        <f t="shared" si="294"/>
        <v>1387.17</v>
      </c>
      <c r="J600">
        <f>IF(A600&gt;=Quarterly!B$2,Quarterly!C$2,IF(COUNTIFS(Quarterly!B:B,"&gt;="&amp;A600-92,Quarterly!B:B,"&lt;="&amp;A600)&gt;1,SUMIFS(Quarterly!C:C,Quarterly!B:B,"&gt;="&amp;A600-88,Quarterly!B:B,"&lt;="&amp;A600),SUMIFS(Quarterly!C:C,Quarterly!B:B,"&gt;="&amp;A600-92,Quarterly!B:B,"&lt;="&amp;A600)))</f>
        <v>14066.4</v>
      </c>
      <c r="K600" s="13">
        <f t="shared" si="295"/>
        <v>9.8599999999999993E-2</v>
      </c>
      <c r="L600">
        <f t="shared" si="297"/>
        <v>1387.17</v>
      </c>
      <c r="M600">
        <f>IF(A600&gt;=Quarterly!B$2,Quarterly!D$2,IF(COUNTIFS(Quarterly!B:B,"&gt;="&amp;A600-92,Quarterly!B:B,"&lt;="&amp;A600)&gt;1,SUMIFS(Quarterly!D:D,Quarterly!B:B,"&gt;="&amp;A600-88,Quarterly!B:B,"&lt;="&amp;A600),SUMIFS(Quarterly!D:D,Quarterly!B:B,"&gt;="&amp;A600-92,Quarterly!B:B,"&lt;="&amp;A600)))</f>
        <v>1358.655</v>
      </c>
      <c r="N600" s="13">
        <f t="shared" si="298"/>
        <v>0.1021</v>
      </c>
      <c r="O600">
        <f t="shared" si="286"/>
        <v>1387.17</v>
      </c>
      <c r="P600" s="56">
        <f>VLOOKUP(EOMONTH(A600,-1),Economic!A:I,7,FALSE)</f>
        <v>1077165</v>
      </c>
      <c r="Q600" s="13">
        <f t="shared" si="287"/>
        <v>0.1288</v>
      </c>
      <c r="R600" s="41">
        <v>-0.04</v>
      </c>
      <c r="S600">
        <f t="shared" si="288"/>
        <v>-0.02</v>
      </c>
      <c r="T600" s="30">
        <f t="shared" si="289"/>
        <v>100.29</v>
      </c>
      <c r="U600" s="30">
        <f t="shared" si="296"/>
        <v>99.21</v>
      </c>
    </row>
    <row r="601" spans="1:21" ht="15" customHeight="1" x14ac:dyDescent="0.25">
      <c r="A601" s="5">
        <v>39138</v>
      </c>
      <c r="B601" s="5">
        <f t="shared" si="290"/>
        <v>39141</v>
      </c>
      <c r="C601">
        <v>1451.19</v>
      </c>
      <c r="D601" s="29">
        <f t="shared" si="291"/>
        <v>7.0000000000000001E-3</v>
      </c>
      <c r="E601" s="39">
        <f t="shared" si="292"/>
        <v>1426.8461538461536</v>
      </c>
      <c r="F601" s="39">
        <f t="shared" si="293"/>
        <v>1348.935641025641</v>
      </c>
      <c r="G601" s="29">
        <f t="shared" si="285"/>
        <v>1.7100000000000001E-2</v>
      </c>
      <c r="H601" s="29">
        <f t="shared" si="285"/>
        <v>7.5800000000000006E-2</v>
      </c>
      <c r="I601">
        <f t="shared" si="294"/>
        <v>1451.19</v>
      </c>
      <c r="J601">
        <f>IF(A601&gt;=Quarterly!B$2,Quarterly!C$2,IF(COUNTIFS(Quarterly!B:B,"&gt;="&amp;A601-92,Quarterly!B:B,"&lt;="&amp;A601)&gt;1,SUMIFS(Quarterly!C:C,Quarterly!B:B,"&gt;="&amp;A601-88,Quarterly!B:B,"&lt;="&amp;A601),SUMIFS(Quarterly!C:C,Quarterly!B:B,"&gt;="&amp;A601-92,Quarterly!B:B,"&lt;="&amp;A601)))</f>
        <v>14066.4</v>
      </c>
      <c r="K601" s="13">
        <f t="shared" si="295"/>
        <v>0.1032</v>
      </c>
      <c r="L601">
        <f t="shared" si="297"/>
        <v>1451.19</v>
      </c>
      <c r="M601">
        <f>IF(A601&gt;=Quarterly!B$2,Quarterly!D$2,IF(COUNTIFS(Quarterly!B:B,"&gt;="&amp;A601-92,Quarterly!B:B,"&lt;="&amp;A601)&gt;1,SUMIFS(Quarterly!D:D,Quarterly!B:B,"&gt;="&amp;A601-88,Quarterly!B:B,"&lt;="&amp;A601),SUMIFS(Quarterly!D:D,Quarterly!B:B,"&gt;="&amp;A601-92,Quarterly!B:B,"&lt;="&amp;A601)))</f>
        <v>1358.655</v>
      </c>
      <c r="N601" s="13">
        <f t="shared" si="298"/>
        <v>0.10681000000000002</v>
      </c>
      <c r="O601">
        <f t="shared" si="286"/>
        <v>1451.19</v>
      </c>
      <c r="P601" s="56">
        <f>VLOOKUP(EOMONTH(A601,-1),Economic!A:I,7,FALSE)</f>
        <v>1068167</v>
      </c>
      <c r="Q601" s="13">
        <f t="shared" si="287"/>
        <v>0.13589999999999999</v>
      </c>
      <c r="R601" s="41">
        <v>-0.14000000000000001</v>
      </c>
      <c r="S601">
        <f t="shared" si="288"/>
        <v>0.01</v>
      </c>
      <c r="T601" s="30">
        <f t="shared" si="289"/>
        <v>97.41</v>
      </c>
      <c r="U601" s="30">
        <f t="shared" si="296"/>
        <v>99.94</v>
      </c>
    </row>
    <row r="602" spans="1:21" ht="15" customHeight="1" x14ac:dyDescent="0.25">
      <c r="A602" s="5">
        <v>39131</v>
      </c>
      <c r="B602" s="5">
        <f t="shared" si="290"/>
        <v>39141</v>
      </c>
      <c r="C602">
        <v>1455.54</v>
      </c>
      <c r="D602" s="29">
        <f t="shared" si="291"/>
        <v>1.4500000000000001E-2</v>
      </c>
      <c r="E602" s="39">
        <f t="shared" si="292"/>
        <v>1422.9815384615385</v>
      </c>
      <c r="F602" s="39">
        <f t="shared" si="293"/>
        <v>1344.5502564102567</v>
      </c>
      <c r="G602" s="29">
        <f t="shared" si="285"/>
        <v>2.29E-2</v>
      </c>
      <c r="H602" s="29">
        <f t="shared" si="285"/>
        <v>8.2500000000000004E-2</v>
      </c>
      <c r="I602">
        <f t="shared" si="294"/>
        <v>1455.54</v>
      </c>
      <c r="J602">
        <f>IF(A602&gt;=Quarterly!B$2,Quarterly!C$2,IF(COUNTIFS(Quarterly!B:B,"&gt;="&amp;A602-92,Quarterly!B:B,"&lt;="&amp;A602)&gt;1,SUMIFS(Quarterly!C:C,Quarterly!B:B,"&gt;="&amp;A602-88,Quarterly!B:B,"&lt;="&amp;A602),SUMIFS(Quarterly!C:C,Quarterly!B:B,"&gt;="&amp;A602-92,Quarterly!B:B,"&lt;="&amp;A602)))</f>
        <v>14066.4</v>
      </c>
      <c r="K602" s="13">
        <f t="shared" si="295"/>
        <v>0.10349999999999999</v>
      </c>
      <c r="L602">
        <f t="shared" si="297"/>
        <v>1455.54</v>
      </c>
      <c r="M602">
        <f>IF(A602&gt;=Quarterly!B$2,Quarterly!D$2,IF(COUNTIFS(Quarterly!B:B,"&gt;="&amp;A602-92,Quarterly!B:B,"&lt;="&amp;A602)&gt;1,SUMIFS(Quarterly!D:D,Quarterly!B:B,"&gt;="&amp;A602-88,Quarterly!B:B,"&lt;="&amp;A602),SUMIFS(Quarterly!D:D,Quarterly!B:B,"&gt;="&amp;A602-92,Quarterly!B:B,"&lt;="&amp;A602)))</f>
        <v>1358.655</v>
      </c>
      <c r="N602" s="13">
        <f t="shared" si="298"/>
        <v>0.10713</v>
      </c>
      <c r="O602">
        <f t="shared" si="286"/>
        <v>1455.54</v>
      </c>
      <c r="P602" s="56">
        <f>VLOOKUP(EOMONTH(A602,-1),Economic!A:I,7,FALSE)</f>
        <v>1068167</v>
      </c>
      <c r="Q602" s="13">
        <f t="shared" si="287"/>
        <v>0.1363</v>
      </c>
      <c r="R602" s="41">
        <v>-0.14000000000000001</v>
      </c>
      <c r="S602">
        <f t="shared" si="288"/>
        <v>0.08</v>
      </c>
      <c r="T602" s="30">
        <f t="shared" si="289"/>
        <v>99.94</v>
      </c>
      <c r="U602" s="30">
        <f t="shared" si="296"/>
        <v>101.39</v>
      </c>
    </row>
    <row r="603" spans="1:21" ht="15" customHeight="1" x14ac:dyDescent="0.25">
      <c r="A603" s="5">
        <v>39124</v>
      </c>
      <c r="B603" s="5">
        <f t="shared" si="290"/>
        <v>39141</v>
      </c>
      <c r="C603">
        <v>1438.06</v>
      </c>
      <c r="D603" s="29">
        <f t="shared" si="291"/>
        <v>3.5999999999999999E-3</v>
      </c>
      <c r="E603" s="39">
        <f t="shared" si="292"/>
        <v>1418.8015384615387</v>
      </c>
      <c r="F603" s="39">
        <f t="shared" si="293"/>
        <v>1339.7166666666667</v>
      </c>
      <c r="G603" s="29">
        <f t="shared" si="285"/>
        <v>1.3599999999999999E-2</v>
      </c>
      <c r="H603" s="29">
        <f t="shared" si="285"/>
        <v>7.3400000000000007E-2</v>
      </c>
      <c r="I603">
        <f t="shared" si="294"/>
        <v>1438.06</v>
      </c>
      <c r="J603">
        <f>IF(A603&gt;=Quarterly!B$2,Quarterly!C$2,IF(COUNTIFS(Quarterly!B:B,"&gt;="&amp;A603-92,Quarterly!B:B,"&lt;="&amp;A603)&gt;1,SUMIFS(Quarterly!C:C,Quarterly!B:B,"&gt;="&amp;A603-88,Quarterly!B:B,"&lt;="&amp;A603),SUMIFS(Quarterly!C:C,Quarterly!B:B,"&gt;="&amp;A603-92,Quarterly!B:B,"&lt;="&amp;A603)))</f>
        <v>14066.4</v>
      </c>
      <c r="K603" s="13">
        <f t="shared" si="295"/>
        <v>0.1022</v>
      </c>
      <c r="L603">
        <f t="shared" si="297"/>
        <v>1438.06</v>
      </c>
      <c r="M603">
        <f>IF(A603&gt;=Quarterly!B$2,Quarterly!D$2,IF(COUNTIFS(Quarterly!B:B,"&gt;="&amp;A603-92,Quarterly!B:B,"&lt;="&amp;A603)&gt;1,SUMIFS(Quarterly!D:D,Quarterly!B:B,"&gt;="&amp;A603-88,Quarterly!B:B,"&lt;="&amp;A603),SUMIFS(Quarterly!D:D,Quarterly!B:B,"&gt;="&amp;A603-92,Quarterly!B:B,"&lt;="&amp;A603)))</f>
        <v>1358.655</v>
      </c>
      <c r="N603" s="13">
        <f t="shared" si="298"/>
        <v>0.10584</v>
      </c>
      <c r="O603">
        <f t="shared" si="286"/>
        <v>1438.06</v>
      </c>
      <c r="P603" s="56">
        <f>VLOOKUP(EOMONTH(A603,-1),Economic!A:I,7,FALSE)</f>
        <v>1068167</v>
      </c>
      <c r="Q603" s="13">
        <f t="shared" si="287"/>
        <v>0.1346</v>
      </c>
      <c r="R603" s="41">
        <v>-0.13</v>
      </c>
      <c r="S603">
        <f t="shared" si="288"/>
        <v>0.11</v>
      </c>
      <c r="T603" s="30">
        <f t="shared" si="289"/>
        <v>102.46</v>
      </c>
      <c r="U603" s="30">
        <f t="shared" si="296"/>
        <v>102.4</v>
      </c>
    </row>
    <row r="604" spans="1:21" ht="15" customHeight="1" x14ac:dyDescent="0.25">
      <c r="A604" s="5">
        <v>39117</v>
      </c>
      <c r="B604" s="5">
        <f t="shared" si="290"/>
        <v>39141</v>
      </c>
      <c r="C604">
        <v>1448.39</v>
      </c>
      <c r="D604" s="29">
        <f t="shared" si="291"/>
        <v>1.7600000000000001E-2</v>
      </c>
      <c r="E604" s="39">
        <f t="shared" si="292"/>
        <v>1414.4046153846155</v>
      </c>
      <c r="F604" s="39">
        <f t="shared" si="293"/>
        <v>1335.9520512820513</v>
      </c>
      <c r="G604" s="29">
        <f t="shared" si="285"/>
        <v>2.4E-2</v>
      </c>
      <c r="H604" s="29">
        <f t="shared" si="285"/>
        <v>8.4199999999999997E-2</v>
      </c>
      <c r="I604">
        <f t="shared" si="294"/>
        <v>1448.39</v>
      </c>
      <c r="J604">
        <f>IF(A604&gt;=Quarterly!B$2,Quarterly!C$2,IF(COUNTIFS(Quarterly!B:B,"&gt;="&amp;A604-92,Quarterly!B:B,"&lt;="&amp;A604)&gt;1,SUMIFS(Quarterly!C:C,Quarterly!B:B,"&gt;="&amp;A604-88,Quarterly!B:B,"&lt;="&amp;A604),SUMIFS(Quarterly!C:C,Quarterly!B:B,"&gt;="&amp;A604-92,Quarterly!B:B,"&lt;="&amp;A604)))</f>
        <v>14066.4</v>
      </c>
      <c r="K604" s="13">
        <f t="shared" si="295"/>
        <v>0.10299999999999999</v>
      </c>
      <c r="L604">
        <f t="shared" si="297"/>
        <v>1448.39</v>
      </c>
      <c r="M604">
        <f>IF(A604&gt;=Quarterly!B$2,Quarterly!D$2,IF(COUNTIFS(Quarterly!B:B,"&gt;="&amp;A604-92,Quarterly!B:B,"&lt;="&amp;A604)&gt;1,SUMIFS(Quarterly!D:D,Quarterly!B:B,"&gt;="&amp;A604-88,Quarterly!B:B,"&lt;="&amp;A604),SUMIFS(Quarterly!D:D,Quarterly!B:B,"&gt;="&amp;A604-92,Quarterly!B:B,"&lt;="&amp;A604)))</f>
        <v>1358.655</v>
      </c>
      <c r="N604" s="13">
        <f t="shared" si="298"/>
        <v>0.10660000000000001</v>
      </c>
      <c r="O604">
        <f t="shared" si="286"/>
        <v>1448.39</v>
      </c>
      <c r="P604" s="56">
        <f>VLOOKUP(EOMONTH(A604,-1),Economic!A:I,7,FALSE)</f>
        <v>1068167</v>
      </c>
      <c r="Q604" s="13">
        <f t="shared" si="287"/>
        <v>0.1356</v>
      </c>
      <c r="R604" s="41">
        <v>-0.11</v>
      </c>
      <c r="S604">
        <f t="shared" si="288"/>
        <v>0.09</v>
      </c>
      <c r="T604" s="30">
        <f t="shared" si="289"/>
        <v>101.76</v>
      </c>
      <c r="U604" s="30">
        <f t="shared" si="296"/>
        <v>102.6</v>
      </c>
    </row>
    <row r="605" spans="1:21" ht="15" customHeight="1" x14ac:dyDescent="0.25">
      <c r="A605" s="5">
        <v>39110</v>
      </c>
      <c r="B605" s="5">
        <f t="shared" si="290"/>
        <v>39113</v>
      </c>
      <c r="C605">
        <v>1422.18</v>
      </c>
      <c r="D605" s="29">
        <f t="shared" si="291"/>
        <v>-1E-4</v>
      </c>
      <c r="E605" s="39">
        <f t="shared" si="292"/>
        <v>1407.936153846154</v>
      </c>
      <c r="F605" s="39">
        <f t="shared" si="293"/>
        <v>1332.8076923076926</v>
      </c>
      <c r="G605" s="29">
        <f t="shared" si="285"/>
        <v>1.01E-2</v>
      </c>
      <c r="H605" s="29">
        <f t="shared" si="285"/>
        <v>6.7100000000000007E-2</v>
      </c>
      <c r="I605">
        <f t="shared" si="294"/>
        <v>1422.18</v>
      </c>
      <c r="J605">
        <f>IF(A605&gt;=Quarterly!B$2,Quarterly!C$2,IF(COUNTIFS(Quarterly!B:B,"&gt;="&amp;A605-92,Quarterly!B:B,"&lt;="&amp;A605)&gt;1,SUMIFS(Quarterly!C:C,Quarterly!B:B,"&gt;="&amp;A605-88,Quarterly!B:B,"&lt;="&amp;A605),SUMIFS(Quarterly!C:C,Quarterly!B:B,"&gt;="&amp;A605-92,Quarterly!B:B,"&lt;="&amp;A605)))</f>
        <v>13908.5</v>
      </c>
      <c r="K605" s="13">
        <f t="shared" si="295"/>
        <v>0.1023</v>
      </c>
      <c r="L605">
        <f t="shared" si="297"/>
        <v>1422.18</v>
      </c>
      <c r="M605">
        <f>IF(A605&gt;=Quarterly!B$2,Quarterly!D$2,IF(COUNTIFS(Quarterly!B:B,"&gt;="&amp;A605-92,Quarterly!B:B,"&lt;="&amp;A605)&gt;1,SUMIFS(Quarterly!D:D,Quarterly!B:B,"&gt;="&amp;A605-88,Quarterly!B:B,"&lt;="&amp;A605),SUMIFS(Quarterly!D:D,Quarterly!B:B,"&gt;="&amp;A605-92,Quarterly!B:B,"&lt;="&amp;A605)))</f>
        <v>1409.0440000000001</v>
      </c>
      <c r="N605" s="13">
        <f t="shared" si="298"/>
        <v>0.10093000000000002</v>
      </c>
      <c r="O605">
        <f t="shared" si="286"/>
        <v>1422.18</v>
      </c>
      <c r="P605" s="56">
        <f>VLOOKUP(EOMONTH(A605,-1),Economic!A:I,7,FALSE)</f>
        <v>1072660</v>
      </c>
      <c r="Q605" s="13">
        <f t="shared" si="287"/>
        <v>0.1326</v>
      </c>
      <c r="R605" s="41">
        <v>-0.11</v>
      </c>
      <c r="S605">
        <f t="shared" si="288"/>
        <v>0.1</v>
      </c>
      <c r="T605" s="30">
        <f t="shared" si="289"/>
        <v>102.98</v>
      </c>
      <c r="U605" s="30">
        <f t="shared" si="296"/>
        <v>103.41</v>
      </c>
    </row>
    <row r="606" spans="1:21" ht="15" customHeight="1" x14ac:dyDescent="0.25">
      <c r="A606" s="5">
        <v>39103</v>
      </c>
      <c r="B606" s="5">
        <f t="shared" si="290"/>
        <v>39113</v>
      </c>
      <c r="C606">
        <v>1430.5</v>
      </c>
      <c r="D606" s="29">
        <f t="shared" si="291"/>
        <v>9.2999999999999992E-3</v>
      </c>
      <c r="E606" s="39">
        <f t="shared" si="292"/>
        <v>1404.4869230769232</v>
      </c>
      <c r="F606" s="39">
        <f t="shared" si="293"/>
        <v>1329.9469230769232</v>
      </c>
      <c r="G606" s="29">
        <f t="shared" si="285"/>
        <v>1.8499999999999999E-2</v>
      </c>
      <c r="H606" s="29">
        <f t="shared" si="285"/>
        <v>7.5600000000000001E-2</v>
      </c>
      <c r="I606">
        <f t="shared" si="294"/>
        <v>1430.5</v>
      </c>
      <c r="J606">
        <f>IF(A606&gt;=Quarterly!B$2,Quarterly!C$2,IF(COUNTIFS(Quarterly!B:B,"&gt;="&amp;A606-92,Quarterly!B:B,"&lt;="&amp;A606)&gt;1,SUMIFS(Quarterly!C:C,Quarterly!B:B,"&gt;="&amp;A606-88,Quarterly!B:B,"&lt;="&amp;A606),SUMIFS(Quarterly!C:C,Quarterly!B:B,"&gt;="&amp;A606-92,Quarterly!B:B,"&lt;="&amp;A606)))</f>
        <v>13908.5</v>
      </c>
      <c r="K606" s="13">
        <f t="shared" si="295"/>
        <v>0.10290000000000001</v>
      </c>
      <c r="L606">
        <f t="shared" si="297"/>
        <v>1430.5</v>
      </c>
      <c r="M606">
        <f>IF(A606&gt;=Quarterly!B$2,Quarterly!D$2,IF(COUNTIFS(Quarterly!B:B,"&gt;="&amp;A606-92,Quarterly!B:B,"&lt;="&amp;A606)&gt;1,SUMIFS(Quarterly!D:D,Quarterly!B:B,"&gt;="&amp;A606-88,Quarterly!B:B,"&lt;="&amp;A606),SUMIFS(Quarterly!D:D,Quarterly!B:B,"&gt;="&amp;A606-92,Quarterly!B:B,"&lt;="&amp;A606)))</f>
        <v>1409.0440000000001</v>
      </c>
      <c r="N606" s="13">
        <f t="shared" si="298"/>
        <v>0.10152000000000001</v>
      </c>
      <c r="O606">
        <f t="shared" si="286"/>
        <v>1430.5</v>
      </c>
      <c r="P606" s="56">
        <f>VLOOKUP(EOMONTH(A606,-1),Economic!A:I,7,FALSE)</f>
        <v>1072660</v>
      </c>
      <c r="Q606" s="13">
        <f t="shared" si="287"/>
        <v>0.13339999999999999</v>
      </c>
      <c r="R606" s="41">
        <v>-0.15</v>
      </c>
      <c r="S606">
        <f t="shared" si="288"/>
        <v>0.1</v>
      </c>
      <c r="T606" s="30">
        <f t="shared" si="289"/>
        <v>103.06</v>
      </c>
      <c r="U606" s="30">
        <f t="shared" si="296"/>
        <v>105.27</v>
      </c>
    </row>
    <row r="607" spans="1:21" ht="15" customHeight="1" x14ac:dyDescent="0.25">
      <c r="A607" s="5">
        <v>39096</v>
      </c>
      <c r="B607" s="5">
        <f t="shared" si="290"/>
        <v>39113</v>
      </c>
      <c r="C607">
        <v>1430.73</v>
      </c>
      <c r="D607" s="29">
        <f t="shared" si="291"/>
        <v>1.01E-2</v>
      </c>
      <c r="E607" s="39">
        <f t="shared" si="292"/>
        <v>1399.7253846153844</v>
      </c>
      <c r="F607" s="39">
        <f t="shared" si="293"/>
        <v>1326.8899999999999</v>
      </c>
      <c r="G607" s="29">
        <f t="shared" si="285"/>
        <v>2.2200000000000001E-2</v>
      </c>
      <c r="H607" s="29">
        <f t="shared" si="285"/>
        <v>7.8299999999999995E-2</v>
      </c>
      <c r="I607">
        <f t="shared" si="294"/>
        <v>1430.73</v>
      </c>
      <c r="J607">
        <f>IF(A607&gt;=Quarterly!B$2,Quarterly!C$2,IF(COUNTIFS(Quarterly!B:B,"&gt;="&amp;A607-92,Quarterly!B:B,"&lt;="&amp;A607)&gt;1,SUMIFS(Quarterly!C:C,Quarterly!B:B,"&gt;="&amp;A607-88,Quarterly!B:B,"&lt;="&amp;A607),SUMIFS(Quarterly!C:C,Quarterly!B:B,"&gt;="&amp;A607-92,Quarterly!B:B,"&lt;="&amp;A607)))</f>
        <v>13908.5</v>
      </c>
      <c r="K607" s="13">
        <f t="shared" si="295"/>
        <v>0.10290000000000001</v>
      </c>
      <c r="L607">
        <f t="shared" si="297"/>
        <v>1430.73</v>
      </c>
      <c r="M607">
        <f>IF(A607&gt;=Quarterly!B$2,Quarterly!D$2,IF(COUNTIFS(Quarterly!B:B,"&gt;="&amp;A607-92,Quarterly!B:B,"&lt;="&amp;A607)&gt;1,SUMIFS(Quarterly!D:D,Quarterly!B:B,"&gt;="&amp;A607-88,Quarterly!B:B,"&lt;="&amp;A607),SUMIFS(Quarterly!D:D,Quarterly!B:B,"&gt;="&amp;A607-92,Quarterly!B:B,"&lt;="&amp;A607)))</f>
        <v>1409.0440000000001</v>
      </c>
      <c r="N607" s="13">
        <f t="shared" si="298"/>
        <v>0.10154000000000002</v>
      </c>
      <c r="O607">
        <f t="shared" si="286"/>
        <v>1430.73</v>
      </c>
      <c r="P607" s="56">
        <f>VLOOKUP(EOMONTH(A607,-1),Economic!A:I,7,FALSE)</f>
        <v>1072660</v>
      </c>
      <c r="Q607" s="13">
        <f t="shared" si="287"/>
        <v>0.13339999999999999</v>
      </c>
      <c r="R607" s="41">
        <v>-0.11</v>
      </c>
      <c r="S607">
        <f t="shared" si="288"/>
        <v>0.11</v>
      </c>
      <c r="T607" s="30">
        <f t="shared" si="289"/>
        <v>104.19</v>
      </c>
      <c r="U607" s="30">
        <f t="shared" si="296"/>
        <v>107.12</v>
      </c>
    </row>
    <row r="608" spans="1:21" ht="15" customHeight="1" x14ac:dyDescent="0.25">
      <c r="A608" s="5">
        <v>39089</v>
      </c>
      <c r="B608" s="5">
        <f t="shared" si="290"/>
        <v>39113</v>
      </c>
      <c r="C608">
        <v>1409.71</v>
      </c>
      <c r="D608" s="29">
        <f t="shared" si="291"/>
        <v>-4.7999999999999996E-3</v>
      </c>
      <c r="E608" s="39">
        <f t="shared" si="292"/>
        <v>1394.716923076923</v>
      </c>
      <c r="F608" s="39">
        <f t="shared" si="293"/>
        <v>1323.2589743589742</v>
      </c>
      <c r="G608" s="29">
        <f t="shared" si="285"/>
        <v>1.0699999999999999E-2</v>
      </c>
      <c r="H608" s="29">
        <f t="shared" si="285"/>
        <v>6.5299999999999997E-2</v>
      </c>
      <c r="I608">
        <f t="shared" si="294"/>
        <v>1409.71</v>
      </c>
      <c r="J608">
        <f>IF(A608&gt;=Quarterly!B$2,Quarterly!C$2,IF(COUNTIFS(Quarterly!B:B,"&gt;="&amp;A608-92,Quarterly!B:B,"&lt;="&amp;A608)&gt;1,SUMIFS(Quarterly!C:C,Quarterly!B:B,"&gt;="&amp;A608-88,Quarterly!B:B,"&lt;="&amp;A608),SUMIFS(Quarterly!C:C,Quarterly!B:B,"&gt;="&amp;A608-92,Quarterly!B:B,"&lt;="&amp;A608)))</f>
        <v>13908.5</v>
      </c>
      <c r="K608" s="13">
        <f t="shared" si="295"/>
        <v>0.1014</v>
      </c>
      <c r="L608">
        <f t="shared" si="297"/>
        <v>1409.71</v>
      </c>
      <c r="M608">
        <f>IF(A608&gt;=Quarterly!B$2,Quarterly!D$2,IF(COUNTIFS(Quarterly!B:B,"&gt;="&amp;A608-92,Quarterly!B:B,"&lt;="&amp;A608)&gt;1,SUMIFS(Quarterly!D:D,Quarterly!B:B,"&gt;="&amp;A608-88,Quarterly!B:B,"&lt;="&amp;A608),SUMIFS(Quarterly!D:D,Quarterly!B:B,"&gt;="&amp;A608-92,Quarterly!B:B,"&lt;="&amp;A608)))</f>
        <v>1409.0440000000001</v>
      </c>
      <c r="N608" s="13">
        <f t="shared" si="298"/>
        <v>0.10005</v>
      </c>
      <c r="O608">
        <f t="shared" si="286"/>
        <v>1409.71</v>
      </c>
      <c r="P608" s="56">
        <f>VLOOKUP(EOMONTH(A608,-1),Economic!A:I,7,FALSE)</f>
        <v>1072660</v>
      </c>
      <c r="Q608" s="13">
        <f t="shared" si="287"/>
        <v>0.13140000000000002</v>
      </c>
      <c r="R608" s="41">
        <v>-0.11</v>
      </c>
      <c r="S608">
        <f t="shared" si="288"/>
        <v>0.19</v>
      </c>
      <c r="T608" s="30">
        <f t="shared" si="289"/>
        <v>108.55</v>
      </c>
      <c r="U608" s="30">
        <f t="shared" si="296"/>
        <v>109.03</v>
      </c>
    </row>
    <row r="609" spans="1:21" ht="15" customHeight="1" x14ac:dyDescent="0.25">
      <c r="A609" s="5">
        <v>39082</v>
      </c>
      <c r="B609" s="5">
        <f t="shared" si="290"/>
        <v>39082</v>
      </c>
      <c r="C609">
        <v>1418.3</v>
      </c>
      <c r="D609" s="29">
        <f t="shared" si="291"/>
        <v>5.1000000000000004E-3</v>
      </c>
      <c r="E609" s="39">
        <f t="shared" si="292"/>
        <v>1390.0923076923077</v>
      </c>
      <c r="F609" s="39">
        <f t="shared" si="293"/>
        <v>1320.3305128205129</v>
      </c>
      <c r="G609" s="29">
        <f t="shared" si="285"/>
        <v>2.0299999999999999E-2</v>
      </c>
      <c r="H609" s="29">
        <f t="shared" si="285"/>
        <v>7.4200000000000002E-2</v>
      </c>
      <c r="I609">
        <f t="shared" si="294"/>
        <v>1418.3</v>
      </c>
      <c r="J609">
        <f>IF(A609&gt;=Quarterly!B$2,Quarterly!C$2,IF(COUNTIFS(Quarterly!B:B,"&gt;="&amp;A609-92,Quarterly!B:B,"&lt;="&amp;A609)&gt;1,SUMIFS(Quarterly!C:C,Quarterly!B:B,"&gt;="&amp;A609-88,Quarterly!B:B,"&lt;="&amp;A609),SUMIFS(Quarterly!C:C,Quarterly!B:B,"&gt;="&amp;A609-92,Quarterly!B:B,"&lt;="&amp;A609)))</f>
        <v>13908.5</v>
      </c>
      <c r="K609" s="13">
        <f t="shared" si="295"/>
        <v>0.10199999999999999</v>
      </c>
      <c r="L609">
        <f t="shared" si="297"/>
        <v>1418.3</v>
      </c>
      <c r="M609">
        <f>IF(A609&gt;=Quarterly!B$2,Quarterly!D$2,IF(COUNTIFS(Quarterly!B:B,"&gt;="&amp;A609-92,Quarterly!B:B,"&lt;="&amp;A609)&gt;1,SUMIFS(Quarterly!D:D,Quarterly!B:B,"&gt;="&amp;A609-88,Quarterly!B:B,"&lt;="&amp;A609),SUMIFS(Quarterly!D:D,Quarterly!B:B,"&gt;="&amp;A609-92,Quarterly!B:B,"&lt;="&amp;A609)))</f>
        <v>1409.0440000000001</v>
      </c>
      <c r="N609" s="13">
        <f t="shared" si="298"/>
        <v>0.10066</v>
      </c>
      <c r="O609">
        <f t="shared" si="286"/>
        <v>1418.3</v>
      </c>
      <c r="P609" s="56">
        <f>VLOOKUP(EOMONTH(A609,-1),Economic!A:I,7,FALSE)</f>
        <v>1075333</v>
      </c>
      <c r="Q609" s="13">
        <f t="shared" si="287"/>
        <v>0.13190000000000002</v>
      </c>
      <c r="R609" s="41">
        <v>-0.11</v>
      </c>
      <c r="S609">
        <f t="shared" si="288"/>
        <v>0.18</v>
      </c>
      <c r="T609" s="30">
        <f t="shared" si="289"/>
        <v>108.63</v>
      </c>
      <c r="U609" s="30">
        <f t="shared" si="296"/>
        <v>110.09</v>
      </c>
    </row>
    <row r="610" spans="1:21" ht="15" customHeight="1" x14ac:dyDescent="0.25">
      <c r="A610" s="5">
        <v>39075</v>
      </c>
      <c r="B610" s="5">
        <f t="shared" si="290"/>
        <v>39082</v>
      </c>
      <c r="C610">
        <v>1410.76</v>
      </c>
      <c r="D610" s="29">
        <f t="shared" si="291"/>
        <v>1.5E-3</v>
      </c>
      <c r="E610" s="39">
        <f t="shared" si="292"/>
        <v>1383.7499999999998</v>
      </c>
      <c r="F610" s="39">
        <f t="shared" si="293"/>
        <v>1317.1656410256412</v>
      </c>
      <c r="G610" s="29">
        <f t="shared" si="285"/>
        <v>1.95E-2</v>
      </c>
      <c r="H610" s="29">
        <f t="shared" si="285"/>
        <v>7.1099999999999997E-2</v>
      </c>
      <c r="I610">
        <f t="shared" si="294"/>
        <v>1410.76</v>
      </c>
      <c r="J610">
        <f>IF(A610&gt;=Quarterly!B$2,Quarterly!C$2,IF(COUNTIFS(Quarterly!B:B,"&gt;="&amp;A610-92,Quarterly!B:B,"&lt;="&amp;A610)&gt;1,SUMIFS(Quarterly!C:C,Quarterly!B:B,"&gt;="&amp;A610-88,Quarterly!B:B,"&lt;="&amp;A610),SUMIFS(Quarterly!C:C,Quarterly!B:B,"&gt;="&amp;A610-92,Quarterly!B:B,"&lt;="&amp;A610)))</f>
        <v>13908.5</v>
      </c>
      <c r="K610" s="13">
        <f t="shared" si="295"/>
        <v>0.1014</v>
      </c>
      <c r="L610">
        <f t="shared" si="297"/>
        <v>1410.76</v>
      </c>
      <c r="M610">
        <f>IF(A610&gt;=Quarterly!B$2,Quarterly!D$2,IF(COUNTIFS(Quarterly!B:B,"&gt;="&amp;A610-92,Quarterly!B:B,"&lt;="&amp;A610)&gt;1,SUMIFS(Quarterly!D:D,Quarterly!B:B,"&gt;="&amp;A610-88,Quarterly!B:B,"&lt;="&amp;A610),SUMIFS(Quarterly!D:D,Quarterly!B:B,"&gt;="&amp;A610-92,Quarterly!B:B,"&lt;="&amp;A610)))</f>
        <v>1409.0440000000001</v>
      </c>
      <c r="N610" s="13">
        <f t="shared" si="298"/>
        <v>0.10012000000000001</v>
      </c>
      <c r="O610">
        <f t="shared" si="286"/>
        <v>1410.76</v>
      </c>
      <c r="P610" s="56">
        <f>VLOOKUP(EOMONTH(A610,-1),Economic!A:I,7,FALSE)</f>
        <v>1075333</v>
      </c>
      <c r="Q610" s="13">
        <f t="shared" si="287"/>
        <v>0.13120000000000001</v>
      </c>
      <c r="R610" s="41">
        <v>-0.08</v>
      </c>
      <c r="S610">
        <f t="shared" si="288"/>
        <v>0.17</v>
      </c>
      <c r="T610" s="30">
        <f t="shared" si="289"/>
        <v>109.9</v>
      </c>
      <c r="U610" s="30">
        <f t="shared" si="296"/>
        <v>111.44</v>
      </c>
    </row>
    <row r="611" spans="1:21" ht="15" customHeight="1" x14ac:dyDescent="0.25">
      <c r="A611" s="5">
        <v>39068</v>
      </c>
      <c r="B611" s="5">
        <f t="shared" si="290"/>
        <v>39082</v>
      </c>
      <c r="C611">
        <v>1427.09</v>
      </c>
      <c r="D611" s="29">
        <f t="shared" si="291"/>
        <v>1.78E-2</v>
      </c>
      <c r="E611" s="39">
        <f t="shared" si="292"/>
        <v>1376.3669230769228</v>
      </c>
      <c r="F611" s="39">
        <f t="shared" si="293"/>
        <v>1314.4012820512824</v>
      </c>
      <c r="G611" s="29">
        <f t="shared" si="285"/>
        <v>3.6900000000000002E-2</v>
      </c>
      <c r="H611" s="29">
        <f t="shared" si="285"/>
        <v>8.5699999999999998E-2</v>
      </c>
      <c r="I611">
        <f t="shared" si="294"/>
        <v>1427.09</v>
      </c>
      <c r="J611">
        <f>IF(A611&gt;=Quarterly!B$2,Quarterly!C$2,IF(COUNTIFS(Quarterly!B:B,"&gt;="&amp;A611-92,Quarterly!B:B,"&lt;="&amp;A611)&gt;1,SUMIFS(Quarterly!C:C,Quarterly!B:B,"&gt;="&amp;A611-88,Quarterly!B:B,"&lt;="&amp;A611),SUMIFS(Quarterly!C:C,Quarterly!B:B,"&gt;="&amp;A611-92,Quarterly!B:B,"&lt;="&amp;A611)))</f>
        <v>13908.5</v>
      </c>
      <c r="K611" s="13">
        <f t="shared" si="295"/>
        <v>0.1026</v>
      </c>
      <c r="L611">
        <f t="shared" si="297"/>
        <v>1427.09</v>
      </c>
      <c r="M611">
        <f>IF(A611&gt;=Quarterly!B$2,Quarterly!D$2,IF(COUNTIFS(Quarterly!B:B,"&gt;="&amp;A611-92,Quarterly!B:B,"&lt;="&amp;A611)&gt;1,SUMIFS(Quarterly!D:D,Quarterly!B:B,"&gt;="&amp;A611-88,Quarterly!B:B,"&lt;="&amp;A611),SUMIFS(Quarterly!D:D,Quarterly!B:B,"&gt;="&amp;A611-92,Quarterly!B:B,"&lt;="&amp;A611)))</f>
        <v>1409.0440000000001</v>
      </c>
      <c r="N611" s="13">
        <f t="shared" si="298"/>
        <v>0.10128</v>
      </c>
      <c r="O611">
        <f t="shared" si="286"/>
        <v>1427.09</v>
      </c>
      <c r="P611" s="56">
        <f>VLOOKUP(EOMONTH(A611,-1),Economic!A:I,7,FALSE)</f>
        <v>1075333</v>
      </c>
      <c r="Q611" s="13">
        <f t="shared" si="287"/>
        <v>0.13270000000000001</v>
      </c>
      <c r="R611" s="41">
        <v>-0.13</v>
      </c>
      <c r="S611">
        <f t="shared" si="288"/>
        <v>0.21</v>
      </c>
      <c r="T611" s="30">
        <f t="shared" si="289"/>
        <v>111.73</v>
      </c>
      <c r="U611" s="30">
        <f t="shared" si="296"/>
        <v>113.04</v>
      </c>
    </row>
    <row r="612" spans="1:21" ht="15" customHeight="1" x14ac:dyDescent="0.25">
      <c r="A612" s="5">
        <v>39061</v>
      </c>
      <c r="B612" s="5">
        <f t="shared" si="290"/>
        <v>39082</v>
      </c>
      <c r="C612">
        <v>1409.84</v>
      </c>
      <c r="D612" s="29">
        <f t="shared" si="291"/>
        <v>1.0699999999999999E-2</v>
      </c>
      <c r="E612" s="39">
        <f t="shared" si="292"/>
        <v>1368.103076923077</v>
      </c>
      <c r="F612" s="39">
        <f t="shared" si="293"/>
        <v>1311.3284615384619</v>
      </c>
      <c r="G612" s="29">
        <f t="shared" si="285"/>
        <v>3.0499999999999999E-2</v>
      </c>
      <c r="H612" s="29">
        <f t="shared" si="285"/>
        <v>7.51E-2</v>
      </c>
      <c r="I612">
        <f t="shared" si="294"/>
        <v>1409.84</v>
      </c>
      <c r="J612">
        <f>IF(A612&gt;=Quarterly!B$2,Quarterly!C$2,IF(COUNTIFS(Quarterly!B:B,"&gt;="&amp;A612-92,Quarterly!B:B,"&lt;="&amp;A612)&gt;1,SUMIFS(Quarterly!C:C,Quarterly!B:B,"&gt;="&amp;A612-88,Quarterly!B:B,"&lt;="&amp;A612),SUMIFS(Quarterly!C:C,Quarterly!B:B,"&gt;="&amp;A612-92,Quarterly!B:B,"&lt;="&amp;A612)))</f>
        <v>13908.5</v>
      </c>
      <c r="K612" s="13">
        <f t="shared" si="295"/>
        <v>0.1014</v>
      </c>
      <c r="L612">
        <f t="shared" si="297"/>
        <v>1409.84</v>
      </c>
      <c r="M612">
        <f>IF(A612&gt;=Quarterly!B$2,Quarterly!D$2,IF(COUNTIFS(Quarterly!B:B,"&gt;="&amp;A612-92,Quarterly!B:B,"&lt;="&amp;A612)&gt;1,SUMIFS(Quarterly!D:D,Quarterly!B:B,"&gt;="&amp;A612-88,Quarterly!B:B,"&lt;="&amp;A612),SUMIFS(Quarterly!D:D,Quarterly!B:B,"&gt;="&amp;A612-92,Quarterly!B:B,"&lt;="&amp;A612)))</f>
        <v>1409.0440000000001</v>
      </c>
      <c r="N612" s="13">
        <f t="shared" si="298"/>
        <v>0.10006</v>
      </c>
      <c r="O612">
        <f t="shared" si="286"/>
        <v>1409.84</v>
      </c>
      <c r="P612" s="56">
        <f>VLOOKUP(EOMONTH(A612,-1),Economic!A:I,7,FALSE)</f>
        <v>1075333</v>
      </c>
      <c r="Q612" s="13">
        <f t="shared" si="287"/>
        <v>0.13110000000000002</v>
      </c>
      <c r="R612" s="41">
        <v>-0.12</v>
      </c>
      <c r="S612">
        <f t="shared" si="288"/>
        <v>0.17</v>
      </c>
      <c r="T612" s="30">
        <f t="shared" si="289"/>
        <v>112.7</v>
      </c>
      <c r="U612" s="30">
        <f t="shared" si="296"/>
        <v>115.13</v>
      </c>
    </row>
    <row r="613" spans="1:21" ht="15" customHeight="1" x14ac:dyDescent="0.25">
      <c r="A613" s="5">
        <v>39054</v>
      </c>
      <c r="B613" s="5">
        <f t="shared" si="290"/>
        <v>39082</v>
      </c>
      <c r="C613">
        <v>1396.71</v>
      </c>
      <c r="D613" s="29">
        <f t="shared" si="291"/>
        <v>7.1000000000000004E-3</v>
      </c>
      <c r="E613" s="39">
        <f t="shared" si="292"/>
        <v>1359.5707692307692</v>
      </c>
      <c r="F613" s="39">
        <f t="shared" si="293"/>
        <v>1308.0356410256411</v>
      </c>
      <c r="G613" s="29">
        <f t="shared" si="285"/>
        <v>2.7300000000000001E-2</v>
      </c>
      <c r="H613" s="29">
        <f t="shared" si="285"/>
        <v>6.7799999999999999E-2</v>
      </c>
      <c r="I613">
        <f t="shared" si="294"/>
        <v>1396.71</v>
      </c>
      <c r="J613">
        <f>IF(A613&gt;=Quarterly!B$2,Quarterly!C$2,IF(COUNTIFS(Quarterly!B:B,"&gt;="&amp;A613-92,Quarterly!B:B,"&lt;="&amp;A613)&gt;1,SUMIFS(Quarterly!C:C,Quarterly!B:B,"&gt;="&amp;A613-88,Quarterly!B:B,"&lt;="&amp;A613),SUMIFS(Quarterly!C:C,Quarterly!B:B,"&gt;="&amp;A613-92,Quarterly!B:B,"&lt;="&amp;A613)))</f>
        <v>13908.5</v>
      </c>
      <c r="K613" s="13">
        <f t="shared" si="295"/>
        <v>0.1004</v>
      </c>
      <c r="L613">
        <f t="shared" si="297"/>
        <v>1396.71</v>
      </c>
      <c r="M613">
        <f>IF(A613&gt;=Quarterly!B$2,Quarterly!D$2,IF(COUNTIFS(Quarterly!B:B,"&gt;="&amp;A613-92,Quarterly!B:B,"&lt;="&amp;A613)&gt;1,SUMIFS(Quarterly!D:D,Quarterly!B:B,"&gt;="&amp;A613-88,Quarterly!B:B,"&lt;="&amp;A613),SUMIFS(Quarterly!D:D,Quarterly!B:B,"&gt;="&amp;A613-92,Quarterly!B:B,"&lt;="&amp;A613)))</f>
        <v>1409.0440000000001</v>
      </c>
      <c r="N613" s="13">
        <f t="shared" si="298"/>
        <v>9.912E-2</v>
      </c>
      <c r="O613">
        <f t="shared" si="286"/>
        <v>1396.71</v>
      </c>
      <c r="P613" s="56">
        <f>VLOOKUP(EOMONTH(A613,-1),Economic!A:I,7,FALSE)</f>
        <v>1075333</v>
      </c>
      <c r="Q613" s="13">
        <f t="shared" si="287"/>
        <v>0.12990000000000002</v>
      </c>
      <c r="R613" s="41">
        <v>-0.09</v>
      </c>
      <c r="S613">
        <f t="shared" si="288"/>
        <v>0.16</v>
      </c>
      <c r="T613" s="30">
        <f t="shared" si="289"/>
        <v>114.69</v>
      </c>
      <c r="U613" s="30">
        <f t="shared" si="296"/>
        <v>118.06</v>
      </c>
    </row>
    <row r="614" spans="1:21" ht="15" customHeight="1" x14ac:dyDescent="0.25">
      <c r="A614" s="5">
        <v>39047</v>
      </c>
      <c r="B614" s="5">
        <f t="shared" si="290"/>
        <v>39051</v>
      </c>
      <c r="C614">
        <v>1400.95</v>
      </c>
      <c r="D614" s="29">
        <f t="shared" si="291"/>
        <v>1.4500000000000001E-2</v>
      </c>
      <c r="E614" s="39">
        <f t="shared" si="292"/>
        <v>1352.9784615384617</v>
      </c>
      <c r="F614" s="39">
        <f t="shared" si="293"/>
        <v>1305.2284615384617</v>
      </c>
      <c r="G614" s="29">
        <f t="shared" si="285"/>
        <v>3.5499999999999997E-2</v>
      </c>
      <c r="H614" s="29">
        <f t="shared" si="285"/>
        <v>7.3300000000000004E-2</v>
      </c>
      <c r="I614">
        <f t="shared" si="294"/>
        <v>1400.95</v>
      </c>
      <c r="J614">
        <f>IF(A614&gt;=Quarterly!B$2,Quarterly!C$2,IF(COUNTIFS(Quarterly!B:B,"&gt;="&amp;A614-92,Quarterly!B:B,"&lt;="&amp;A614)&gt;1,SUMIFS(Quarterly!C:C,Quarterly!B:B,"&gt;="&amp;A614-88,Quarterly!B:B,"&lt;="&amp;A614),SUMIFS(Quarterly!C:C,Quarterly!B:B,"&gt;="&amp;A614-92,Quarterly!B:B,"&lt;="&amp;A614)))</f>
        <v>13908.5</v>
      </c>
      <c r="K614" s="13">
        <f t="shared" si="295"/>
        <v>0.1007</v>
      </c>
      <c r="L614">
        <f t="shared" si="297"/>
        <v>1400.95</v>
      </c>
      <c r="M614">
        <f>IF(A614&gt;=Quarterly!B$2,Quarterly!D$2,IF(COUNTIFS(Quarterly!B:B,"&gt;="&amp;A614-92,Quarterly!B:B,"&lt;="&amp;A614)&gt;1,SUMIFS(Quarterly!D:D,Quarterly!B:B,"&gt;="&amp;A614-88,Quarterly!B:B,"&lt;="&amp;A614),SUMIFS(Quarterly!D:D,Quarterly!B:B,"&gt;="&amp;A614-92,Quarterly!B:B,"&lt;="&amp;A614)))</f>
        <v>1409.0440000000001</v>
      </c>
      <c r="N614" s="13">
        <f t="shared" si="298"/>
        <v>9.9430000000000004E-2</v>
      </c>
      <c r="O614">
        <f t="shared" si="286"/>
        <v>1400.95</v>
      </c>
      <c r="P614" s="56">
        <f>VLOOKUP(EOMONTH(A614,-1),Economic!A:I,7,FALSE)</f>
        <v>1077177</v>
      </c>
      <c r="Q614" s="13">
        <f t="shared" si="287"/>
        <v>0.13009999999999999</v>
      </c>
      <c r="R614" s="41">
        <v>-0.18</v>
      </c>
      <c r="S614">
        <f t="shared" si="288"/>
        <v>0.23</v>
      </c>
      <c r="T614" s="30">
        <f t="shared" si="289"/>
        <v>118</v>
      </c>
      <c r="U614" s="30">
        <f t="shared" si="296"/>
        <v>120.75</v>
      </c>
    </row>
    <row r="615" spans="1:21" ht="15" customHeight="1" x14ac:dyDescent="0.25">
      <c r="A615" s="5">
        <v>39040</v>
      </c>
      <c r="B615" s="5">
        <f t="shared" si="290"/>
        <v>39051</v>
      </c>
      <c r="C615">
        <v>1401.2</v>
      </c>
      <c r="D615" s="29">
        <f t="shared" si="291"/>
        <v>2.07E-2</v>
      </c>
      <c r="E615" s="39">
        <f t="shared" si="292"/>
        <v>1344.8353846153846</v>
      </c>
      <c r="F615" s="39">
        <f t="shared" si="293"/>
        <v>1302.3689743589746</v>
      </c>
      <c r="G615" s="29">
        <f t="shared" si="285"/>
        <v>4.19E-2</v>
      </c>
      <c r="H615" s="29">
        <f t="shared" si="285"/>
        <v>7.5899999999999995E-2</v>
      </c>
      <c r="I615">
        <f t="shared" si="294"/>
        <v>1401.2</v>
      </c>
      <c r="J615">
        <f>IF(A615&gt;=Quarterly!B$2,Quarterly!C$2,IF(COUNTIFS(Quarterly!B:B,"&gt;="&amp;A615-92,Quarterly!B:B,"&lt;="&amp;A615)&gt;1,SUMIFS(Quarterly!C:C,Quarterly!B:B,"&gt;="&amp;A615-88,Quarterly!B:B,"&lt;="&amp;A615),SUMIFS(Quarterly!C:C,Quarterly!B:B,"&gt;="&amp;A615-92,Quarterly!B:B,"&lt;="&amp;A615)))</f>
        <v>13908.5</v>
      </c>
      <c r="K615" s="13">
        <f t="shared" si="295"/>
        <v>0.1007</v>
      </c>
      <c r="L615">
        <f t="shared" si="297"/>
        <v>1401.2</v>
      </c>
      <c r="M615">
        <f>IF(A615&gt;=Quarterly!B$2,Quarterly!D$2,IF(COUNTIFS(Quarterly!B:B,"&gt;="&amp;A615-92,Quarterly!B:B,"&lt;="&amp;A615)&gt;1,SUMIFS(Quarterly!D:D,Quarterly!B:B,"&gt;="&amp;A615-88,Quarterly!B:B,"&lt;="&amp;A615),SUMIFS(Quarterly!D:D,Quarterly!B:B,"&gt;="&amp;A615-92,Quarterly!B:B,"&lt;="&amp;A615)))</f>
        <v>1409.0440000000001</v>
      </c>
      <c r="N615" s="13">
        <f t="shared" si="298"/>
        <v>9.9440000000000001E-2</v>
      </c>
      <c r="O615">
        <f t="shared" si="286"/>
        <v>1401.2</v>
      </c>
      <c r="P615" s="56">
        <f>VLOOKUP(EOMONTH(A615,-1),Economic!A:I,7,FALSE)</f>
        <v>1077177</v>
      </c>
      <c r="Q615" s="13">
        <f t="shared" si="287"/>
        <v>0.13009999999999999</v>
      </c>
      <c r="R615" s="41">
        <v>-0.15</v>
      </c>
      <c r="S615">
        <f t="shared" si="288"/>
        <v>0.28999999999999998</v>
      </c>
      <c r="T615" s="30">
        <f t="shared" si="289"/>
        <v>121.5</v>
      </c>
      <c r="U615" s="30">
        <f t="shared" si="296"/>
        <v>123.35</v>
      </c>
    </row>
    <row r="616" spans="1:21" ht="15" customHeight="1" x14ac:dyDescent="0.25">
      <c r="A616" s="5">
        <v>39033</v>
      </c>
      <c r="B616" s="5">
        <f t="shared" si="290"/>
        <v>39051</v>
      </c>
      <c r="C616">
        <v>1380.9</v>
      </c>
      <c r="D616" s="29">
        <f t="shared" si="291"/>
        <v>8.6999999999999994E-3</v>
      </c>
      <c r="E616" s="39">
        <f t="shared" si="292"/>
        <v>1337.2276923076922</v>
      </c>
      <c r="F616" s="39">
        <f t="shared" si="293"/>
        <v>1299.4469230769232</v>
      </c>
      <c r="G616" s="29">
        <f t="shared" si="285"/>
        <v>3.27E-2</v>
      </c>
      <c r="H616" s="29">
        <f t="shared" si="285"/>
        <v>6.2700000000000006E-2</v>
      </c>
      <c r="I616">
        <f t="shared" si="294"/>
        <v>1380.9</v>
      </c>
      <c r="J616">
        <f>IF(A616&gt;=Quarterly!B$2,Quarterly!C$2,IF(COUNTIFS(Quarterly!B:B,"&gt;="&amp;A616-92,Quarterly!B:B,"&lt;="&amp;A616)&gt;1,SUMIFS(Quarterly!C:C,Quarterly!B:B,"&gt;="&amp;A616-88,Quarterly!B:B,"&lt;="&amp;A616),SUMIFS(Quarterly!C:C,Quarterly!B:B,"&gt;="&amp;A616-92,Quarterly!B:B,"&lt;="&amp;A616)))</f>
        <v>13908.5</v>
      </c>
      <c r="K616" s="13">
        <f t="shared" si="295"/>
        <v>9.9299999999999999E-2</v>
      </c>
      <c r="L616">
        <f t="shared" si="297"/>
        <v>1380.9</v>
      </c>
      <c r="M616">
        <f>IF(A616&gt;=Quarterly!B$2,Quarterly!D$2,IF(COUNTIFS(Quarterly!B:B,"&gt;="&amp;A616-92,Quarterly!B:B,"&lt;="&amp;A616)&gt;1,SUMIFS(Quarterly!D:D,Quarterly!B:B,"&gt;="&amp;A616-88,Quarterly!B:B,"&lt;="&amp;A616),SUMIFS(Quarterly!D:D,Quarterly!B:B,"&gt;="&amp;A616-92,Quarterly!B:B,"&lt;="&amp;A616)))</f>
        <v>1409.0440000000001</v>
      </c>
      <c r="N616" s="13">
        <f t="shared" si="298"/>
        <v>9.8000000000000004E-2</v>
      </c>
      <c r="O616">
        <f t="shared" si="286"/>
        <v>1380.9</v>
      </c>
      <c r="P616" s="56">
        <f>VLOOKUP(EOMONTH(A616,-1),Economic!A:I,7,FALSE)</f>
        <v>1077177</v>
      </c>
      <c r="Q616" s="13">
        <f t="shared" si="287"/>
        <v>0.12819999999999998</v>
      </c>
      <c r="R616" s="41">
        <v>-0.14000000000000001</v>
      </c>
      <c r="S616">
        <f t="shared" si="288"/>
        <v>0.26</v>
      </c>
      <c r="T616" s="30">
        <f t="shared" si="289"/>
        <v>122.75</v>
      </c>
      <c r="U616" s="30">
        <f t="shared" si="296"/>
        <v>122.83</v>
      </c>
    </row>
    <row r="617" spans="1:21" ht="15" customHeight="1" x14ac:dyDescent="0.25">
      <c r="A617" s="5">
        <v>39026</v>
      </c>
      <c r="B617" s="5">
        <f t="shared" si="290"/>
        <v>39051</v>
      </c>
      <c r="C617">
        <v>1364.3</v>
      </c>
      <c r="D617" s="29">
        <f t="shared" si="291"/>
        <v>-6.9999999999999999E-4</v>
      </c>
      <c r="E617" s="39">
        <f t="shared" si="292"/>
        <v>1328.4461538461537</v>
      </c>
      <c r="F617" s="39">
        <f t="shared" si="293"/>
        <v>1296.5261538461539</v>
      </c>
      <c r="G617" s="29">
        <f t="shared" si="285"/>
        <v>2.7E-2</v>
      </c>
      <c r="H617" s="29">
        <f t="shared" si="285"/>
        <v>5.2299999999999999E-2</v>
      </c>
      <c r="I617">
        <f t="shared" si="294"/>
        <v>1364.3</v>
      </c>
      <c r="J617">
        <f>IF(A617&gt;=Quarterly!B$2,Quarterly!C$2,IF(COUNTIFS(Quarterly!B:B,"&gt;="&amp;A617-92,Quarterly!B:B,"&lt;="&amp;A617)&gt;1,SUMIFS(Quarterly!C:C,Quarterly!B:B,"&gt;="&amp;A617-88,Quarterly!B:B,"&lt;="&amp;A617),SUMIFS(Quarterly!C:C,Quarterly!B:B,"&gt;="&amp;A617-92,Quarterly!B:B,"&lt;="&amp;A617)))</f>
        <v>13908.5</v>
      </c>
      <c r="K617" s="13">
        <f t="shared" si="295"/>
        <v>9.8100000000000007E-2</v>
      </c>
      <c r="L617">
        <f t="shared" si="297"/>
        <v>1364.3</v>
      </c>
      <c r="M617">
        <f>IF(A617&gt;=Quarterly!B$2,Quarterly!D$2,IF(COUNTIFS(Quarterly!B:B,"&gt;="&amp;A617-92,Quarterly!B:B,"&lt;="&amp;A617)&gt;1,SUMIFS(Quarterly!D:D,Quarterly!B:B,"&gt;="&amp;A617-88,Quarterly!B:B,"&lt;="&amp;A617),SUMIFS(Quarterly!D:D,Quarterly!B:B,"&gt;="&amp;A617-92,Quarterly!B:B,"&lt;="&amp;A617)))</f>
        <v>1409.0440000000001</v>
      </c>
      <c r="N617" s="13">
        <f t="shared" si="298"/>
        <v>9.6820000000000003E-2</v>
      </c>
      <c r="O617">
        <f t="shared" si="286"/>
        <v>1364.3</v>
      </c>
      <c r="P617" s="56">
        <f>VLOOKUP(EOMONTH(A617,-1),Economic!A:I,7,FALSE)</f>
        <v>1077177</v>
      </c>
      <c r="Q617" s="13">
        <f t="shared" si="287"/>
        <v>0.12669999999999998</v>
      </c>
      <c r="R617" s="41">
        <v>-0.1</v>
      </c>
      <c r="S617">
        <f t="shared" si="288"/>
        <v>0.28000000000000003</v>
      </c>
      <c r="T617" s="30">
        <f t="shared" si="289"/>
        <v>125.8</v>
      </c>
      <c r="U617" s="30">
        <f t="shared" si="296"/>
        <v>122.92</v>
      </c>
    </row>
    <row r="618" spans="1:21" ht="15" customHeight="1" x14ac:dyDescent="0.25">
      <c r="A618" s="5">
        <v>39019</v>
      </c>
      <c r="B618" s="5">
        <f t="shared" si="290"/>
        <v>39021</v>
      </c>
      <c r="C618">
        <v>1377.34</v>
      </c>
      <c r="D618" s="29">
        <f t="shared" si="291"/>
        <v>1.66E-2</v>
      </c>
      <c r="E618" s="39">
        <f t="shared" si="292"/>
        <v>1321.9123076923076</v>
      </c>
      <c r="F618" s="39">
        <f t="shared" si="293"/>
        <v>1293.9551282051282</v>
      </c>
      <c r="G618" s="29">
        <f t="shared" si="285"/>
        <v>4.19E-2</v>
      </c>
      <c r="H618" s="29">
        <f t="shared" si="285"/>
        <v>6.4399999999999999E-2</v>
      </c>
      <c r="I618">
        <f t="shared" si="294"/>
        <v>1377.34</v>
      </c>
      <c r="J618">
        <f>IF(A618&gt;=Quarterly!B$2,Quarterly!C$2,IF(COUNTIFS(Quarterly!B:B,"&gt;="&amp;A618-92,Quarterly!B:B,"&lt;="&amp;A618)&gt;1,SUMIFS(Quarterly!C:C,Quarterly!B:B,"&gt;="&amp;A618-88,Quarterly!B:B,"&lt;="&amp;A618),SUMIFS(Quarterly!C:C,Quarterly!B:B,"&gt;="&amp;A618-92,Quarterly!B:B,"&lt;="&amp;A618)))</f>
        <v>13799.8</v>
      </c>
      <c r="K618" s="13">
        <f t="shared" si="295"/>
        <v>9.98E-2</v>
      </c>
      <c r="L618">
        <f t="shared" si="297"/>
        <v>1377.34</v>
      </c>
      <c r="M618">
        <f>IF(A618&gt;=Quarterly!B$2,Quarterly!D$2,IF(COUNTIFS(Quarterly!B:B,"&gt;="&amp;A618-92,Quarterly!B:B,"&lt;="&amp;A618)&gt;1,SUMIFS(Quarterly!D:D,Quarterly!B:B,"&gt;="&amp;A618-88,Quarterly!B:B,"&lt;="&amp;A618),SUMIFS(Quarterly!D:D,Quarterly!B:B,"&gt;="&amp;A618-92,Quarterly!B:B,"&lt;="&amp;A618)))</f>
        <v>1391.7049999999999</v>
      </c>
      <c r="N618" s="13">
        <f t="shared" si="298"/>
        <v>9.8970000000000002E-2</v>
      </c>
      <c r="O618">
        <f t="shared" si="286"/>
        <v>1377.34</v>
      </c>
      <c r="P618" s="56">
        <f>VLOOKUP(EOMONTH(A618,-1),Economic!A:I,7,FALSE)</f>
        <v>1073546</v>
      </c>
      <c r="Q618" s="13">
        <f t="shared" si="287"/>
        <v>0.1283</v>
      </c>
      <c r="R618" s="41">
        <v>-0.08</v>
      </c>
      <c r="S618">
        <f t="shared" si="288"/>
        <v>0.14000000000000001</v>
      </c>
      <c r="T618" s="30">
        <f t="shared" si="289"/>
        <v>119.94</v>
      </c>
      <c r="U618" s="30">
        <f t="shared" si="296"/>
        <v>122.81</v>
      </c>
    </row>
    <row r="619" spans="1:21" ht="15" customHeight="1" x14ac:dyDescent="0.25">
      <c r="A619" s="5">
        <v>39012</v>
      </c>
      <c r="B619" s="5">
        <f t="shared" si="290"/>
        <v>39021</v>
      </c>
      <c r="C619">
        <v>1368.6</v>
      </c>
      <c r="D619" s="29">
        <f t="shared" si="291"/>
        <v>2.0199999999999999E-2</v>
      </c>
      <c r="E619" s="39">
        <f t="shared" si="292"/>
        <v>1314.313076923077</v>
      </c>
      <c r="F619" s="39">
        <f t="shared" si="293"/>
        <v>1291.5546153846153</v>
      </c>
      <c r="G619" s="29">
        <f t="shared" si="285"/>
        <v>4.1300000000000003E-2</v>
      </c>
      <c r="H619" s="29">
        <f t="shared" si="285"/>
        <v>5.9700000000000003E-2</v>
      </c>
      <c r="I619">
        <f t="shared" si="294"/>
        <v>1368.6</v>
      </c>
      <c r="J619">
        <f>IF(A619&gt;=Quarterly!B$2,Quarterly!C$2,IF(COUNTIFS(Quarterly!B:B,"&gt;="&amp;A619-92,Quarterly!B:B,"&lt;="&amp;A619)&gt;1,SUMIFS(Quarterly!C:C,Quarterly!B:B,"&gt;="&amp;A619-88,Quarterly!B:B,"&lt;="&amp;A619),SUMIFS(Quarterly!C:C,Quarterly!B:B,"&gt;="&amp;A619-92,Quarterly!B:B,"&lt;="&amp;A619)))</f>
        <v>13799.8</v>
      </c>
      <c r="K619" s="13">
        <f t="shared" si="295"/>
        <v>9.9199999999999997E-2</v>
      </c>
      <c r="L619">
        <f t="shared" si="297"/>
        <v>1368.6</v>
      </c>
      <c r="M619">
        <f>IF(A619&gt;=Quarterly!B$2,Quarterly!D$2,IF(COUNTIFS(Quarterly!B:B,"&gt;="&amp;A619-92,Quarterly!B:B,"&lt;="&amp;A619)&gt;1,SUMIFS(Quarterly!D:D,Quarterly!B:B,"&gt;="&amp;A619-88,Quarterly!B:B,"&lt;="&amp;A619),SUMIFS(Quarterly!D:D,Quarterly!B:B,"&gt;="&amp;A619-92,Quarterly!B:B,"&lt;="&amp;A619)))</f>
        <v>1391.7049999999999</v>
      </c>
      <c r="N619" s="13">
        <f t="shared" si="298"/>
        <v>9.8340000000000011E-2</v>
      </c>
      <c r="O619">
        <f t="shared" si="286"/>
        <v>1368.6</v>
      </c>
      <c r="P619" s="56">
        <f>VLOOKUP(EOMONTH(A619,-1),Economic!A:I,7,FALSE)</f>
        <v>1073546</v>
      </c>
      <c r="Q619" s="13">
        <f t="shared" si="287"/>
        <v>0.1275</v>
      </c>
      <c r="R619" s="41">
        <v>-0.08</v>
      </c>
      <c r="S619">
        <f t="shared" si="288"/>
        <v>0.18</v>
      </c>
      <c r="T619" s="30">
        <f t="shared" si="289"/>
        <v>123.02</v>
      </c>
      <c r="U619" s="30">
        <f t="shared" si="296"/>
        <v>126.66</v>
      </c>
    </row>
    <row r="620" spans="1:21" ht="15" customHeight="1" x14ac:dyDescent="0.25">
      <c r="A620" s="5">
        <v>39005</v>
      </c>
      <c r="B620" s="5">
        <f t="shared" si="290"/>
        <v>39021</v>
      </c>
      <c r="C620">
        <v>1365.62</v>
      </c>
      <c r="D620" s="29">
        <f t="shared" si="291"/>
        <v>2.6800000000000001E-2</v>
      </c>
      <c r="E620" s="39">
        <f t="shared" si="292"/>
        <v>1304.4430769230769</v>
      </c>
      <c r="F620" s="39">
        <f t="shared" si="293"/>
        <v>1288.8082051282051</v>
      </c>
      <c r="G620" s="29">
        <f t="shared" si="285"/>
        <v>4.6899999999999997E-2</v>
      </c>
      <c r="H620" s="29">
        <f t="shared" si="285"/>
        <v>5.96E-2</v>
      </c>
      <c r="I620">
        <f t="shared" si="294"/>
        <v>1365.62</v>
      </c>
      <c r="J620">
        <f>IF(A620&gt;=Quarterly!B$2,Quarterly!C$2,IF(COUNTIFS(Quarterly!B:B,"&gt;="&amp;A620-92,Quarterly!B:B,"&lt;="&amp;A620)&gt;1,SUMIFS(Quarterly!C:C,Quarterly!B:B,"&gt;="&amp;A620-88,Quarterly!B:B,"&lt;="&amp;A620),SUMIFS(Quarterly!C:C,Quarterly!B:B,"&gt;="&amp;A620-92,Quarterly!B:B,"&lt;="&amp;A620)))</f>
        <v>13799.8</v>
      </c>
      <c r="K620" s="13">
        <f t="shared" si="295"/>
        <v>9.9000000000000005E-2</v>
      </c>
      <c r="L620">
        <f t="shared" si="297"/>
        <v>1365.62</v>
      </c>
      <c r="M620">
        <f>IF(A620&gt;=Quarterly!B$2,Quarterly!D$2,IF(COUNTIFS(Quarterly!B:B,"&gt;="&amp;A620-92,Quarterly!B:B,"&lt;="&amp;A620)&gt;1,SUMIFS(Quarterly!D:D,Quarterly!B:B,"&gt;="&amp;A620-88,Quarterly!B:B,"&lt;="&amp;A620),SUMIFS(Quarterly!D:D,Quarterly!B:B,"&gt;="&amp;A620-92,Quarterly!B:B,"&lt;="&amp;A620)))</f>
        <v>1391.7049999999999</v>
      </c>
      <c r="N620" s="13">
        <f t="shared" si="298"/>
        <v>9.8129999999999995E-2</v>
      </c>
      <c r="O620">
        <f t="shared" si="286"/>
        <v>1365.62</v>
      </c>
      <c r="P620" s="56">
        <f>VLOOKUP(EOMONTH(A620,-1),Economic!A:I,7,FALSE)</f>
        <v>1073546</v>
      </c>
      <c r="Q620" s="13">
        <f t="shared" si="287"/>
        <v>0.12719999999999998</v>
      </c>
      <c r="R620" s="41">
        <v>-0.06</v>
      </c>
      <c r="S620">
        <f t="shared" si="288"/>
        <v>0.19</v>
      </c>
      <c r="T620" s="30">
        <f t="shared" si="289"/>
        <v>125.46</v>
      </c>
      <c r="U620" s="30">
        <f t="shared" si="296"/>
        <v>129.78</v>
      </c>
    </row>
    <row r="621" spans="1:21" ht="15" customHeight="1" x14ac:dyDescent="0.25">
      <c r="A621" s="5">
        <v>38998</v>
      </c>
      <c r="B621" s="5">
        <f t="shared" si="290"/>
        <v>39021</v>
      </c>
      <c r="C621">
        <v>1349.59</v>
      </c>
      <c r="D621" s="29">
        <f t="shared" si="291"/>
        <v>2.4500000000000001E-2</v>
      </c>
      <c r="E621" s="39">
        <f t="shared" si="292"/>
        <v>1294.4876923076922</v>
      </c>
      <c r="F621" s="39">
        <f t="shared" si="293"/>
        <v>1286.8079487179486</v>
      </c>
      <c r="G621" s="29">
        <f t="shared" si="285"/>
        <v>4.2599999999999999E-2</v>
      </c>
      <c r="H621" s="29">
        <f t="shared" si="285"/>
        <v>4.8800000000000003E-2</v>
      </c>
      <c r="I621">
        <f t="shared" si="294"/>
        <v>1349.59</v>
      </c>
      <c r="J621">
        <f>IF(A621&gt;=Quarterly!B$2,Quarterly!C$2,IF(COUNTIFS(Quarterly!B:B,"&gt;="&amp;A621-92,Quarterly!B:B,"&lt;="&amp;A621)&gt;1,SUMIFS(Quarterly!C:C,Quarterly!B:B,"&gt;="&amp;A621-88,Quarterly!B:B,"&lt;="&amp;A621),SUMIFS(Quarterly!C:C,Quarterly!B:B,"&gt;="&amp;A621-92,Quarterly!B:B,"&lt;="&amp;A621)))</f>
        <v>13799.8</v>
      </c>
      <c r="K621" s="13">
        <f t="shared" si="295"/>
        <v>9.7799999999999998E-2</v>
      </c>
      <c r="L621">
        <f t="shared" si="297"/>
        <v>1349.59</v>
      </c>
      <c r="M621">
        <f>IF(A621&gt;=Quarterly!B$2,Quarterly!D$2,IF(COUNTIFS(Quarterly!B:B,"&gt;="&amp;A621-92,Quarterly!B:B,"&lt;="&amp;A621)&gt;1,SUMIFS(Quarterly!D:D,Quarterly!B:B,"&gt;="&amp;A621-88,Quarterly!B:B,"&lt;="&amp;A621),SUMIFS(Quarterly!D:D,Quarterly!B:B,"&gt;="&amp;A621-92,Quarterly!B:B,"&lt;="&amp;A621)))</f>
        <v>1391.7049999999999</v>
      </c>
      <c r="N621" s="13">
        <f t="shared" si="298"/>
        <v>9.6970000000000001E-2</v>
      </c>
      <c r="O621">
        <f t="shared" si="286"/>
        <v>1349.59</v>
      </c>
      <c r="P621" s="56">
        <f>VLOOKUP(EOMONTH(A621,-1),Economic!A:I,7,FALSE)</f>
        <v>1073546</v>
      </c>
      <c r="Q621" s="13">
        <f t="shared" si="287"/>
        <v>0.12570000000000001</v>
      </c>
      <c r="R621" s="41">
        <v>-0.04</v>
      </c>
      <c r="S621">
        <f t="shared" si="288"/>
        <v>0.28999999999999998</v>
      </c>
      <c r="T621" s="30">
        <f t="shared" si="289"/>
        <v>131.49</v>
      </c>
      <c r="U621" s="30">
        <f t="shared" si="296"/>
        <v>133.16999999999999</v>
      </c>
    </row>
    <row r="622" spans="1:21" ht="15" customHeight="1" x14ac:dyDescent="0.25">
      <c r="A622" s="5">
        <v>38991</v>
      </c>
      <c r="B622" s="5">
        <f t="shared" si="290"/>
        <v>39021</v>
      </c>
      <c r="C622">
        <v>1335.85</v>
      </c>
      <c r="D622" s="29">
        <f t="shared" si="291"/>
        <v>1.89E-2</v>
      </c>
      <c r="E622" s="39">
        <f t="shared" si="292"/>
        <v>1288.0176923076922</v>
      </c>
      <c r="F622" s="39">
        <f t="shared" si="293"/>
        <v>1285.1633333333332</v>
      </c>
      <c r="G622" s="29">
        <f t="shared" si="285"/>
        <v>3.7100000000000001E-2</v>
      </c>
      <c r="H622" s="29">
        <f t="shared" si="285"/>
        <v>3.9399999999999998E-2</v>
      </c>
      <c r="I622">
        <f t="shared" si="294"/>
        <v>1335.85</v>
      </c>
      <c r="J622">
        <f>IF(A622&gt;=Quarterly!B$2,Quarterly!C$2,IF(COUNTIFS(Quarterly!B:B,"&gt;="&amp;A622-92,Quarterly!B:B,"&lt;="&amp;A622)&gt;1,SUMIFS(Quarterly!C:C,Quarterly!B:B,"&gt;="&amp;A622-88,Quarterly!B:B,"&lt;="&amp;A622),SUMIFS(Quarterly!C:C,Quarterly!B:B,"&gt;="&amp;A622-92,Quarterly!B:B,"&lt;="&amp;A622)))</f>
        <v>13799.8</v>
      </c>
      <c r="K622" s="13">
        <f t="shared" si="295"/>
        <v>9.6799999999999997E-2</v>
      </c>
      <c r="L622">
        <f t="shared" si="297"/>
        <v>1335.85</v>
      </c>
      <c r="M622">
        <f>IF(A622&gt;=Quarterly!B$2,Quarterly!D$2,IF(COUNTIFS(Quarterly!B:B,"&gt;="&amp;A622-92,Quarterly!B:B,"&lt;="&amp;A622)&gt;1,SUMIFS(Quarterly!D:D,Quarterly!B:B,"&gt;="&amp;A622-88,Quarterly!B:B,"&lt;="&amp;A622),SUMIFS(Quarterly!D:D,Quarterly!B:B,"&gt;="&amp;A622-92,Quarterly!B:B,"&lt;="&amp;A622)))</f>
        <v>1391.7049999999999</v>
      </c>
      <c r="N622" s="13">
        <f t="shared" si="298"/>
        <v>9.5990000000000006E-2</v>
      </c>
      <c r="O622">
        <f t="shared" si="286"/>
        <v>1335.85</v>
      </c>
      <c r="P622" s="56">
        <f>VLOOKUP(EOMONTH(A622,-1),Economic!A:I,7,FALSE)</f>
        <v>1073546</v>
      </c>
      <c r="Q622" s="13">
        <f t="shared" si="287"/>
        <v>0.12440000000000001</v>
      </c>
      <c r="R622" s="41">
        <v>-7.0000000000000007E-2</v>
      </c>
      <c r="S622">
        <f t="shared" si="288"/>
        <v>0.26</v>
      </c>
      <c r="T622" s="30">
        <f t="shared" si="289"/>
        <v>132.38</v>
      </c>
      <c r="U622" s="30">
        <f t="shared" si="296"/>
        <v>135.03</v>
      </c>
    </row>
    <row r="623" spans="1:21" ht="15" customHeight="1" x14ac:dyDescent="0.25">
      <c r="A623" s="5">
        <v>38984</v>
      </c>
      <c r="B623" s="5">
        <f t="shared" si="290"/>
        <v>38990</v>
      </c>
      <c r="C623">
        <v>1314.78</v>
      </c>
      <c r="D623" s="29">
        <f t="shared" si="291"/>
        <v>6.6E-3</v>
      </c>
      <c r="E623" s="39">
        <f t="shared" si="292"/>
        <v>1282.9676923076925</v>
      </c>
      <c r="F623" s="39">
        <f t="shared" si="293"/>
        <v>1282.9182051282048</v>
      </c>
      <c r="G623" s="29">
        <f t="shared" si="285"/>
        <v>2.4799999999999999E-2</v>
      </c>
      <c r="H623" s="29">
        <f t="shared" si="285"/>
        <v>2.4799999999999999E-2</v>
      </c>
      <c r="I623">
        <f t="shared" si="294"/>
        <v>1314.78</v>
      </c>
      <c r="J623">
        <f>IF(A623&gt;=Quarterly!B$2,Quarterly!C$2,IF(COUNTIFS(Quarterly!B:B,"&gt;="&amp;A623-92,Quarterly!B:B,"&lt;="&amp;A623)&gt;1,SUMIFS(Quarterly!C:C,Quarterly!B:B,"&gt;="&amp;A623-88,Quarterly!B:B,"&lt;="&amp;A623),SUMIFS(Quarterly!C:C,Quarterly!B:B,"&gt;="&amp;A623-92,Quarterly!B:B,"&lt;="&amp;A623)))</f>
        <v>13799.8</v>
      </c>
      <c r="K623" s="13">
        <f t="shared" si="295"/>
        <v>9.5299999999999996E-2</v>
      </c>
      <c r="L623">
        <f t="shared" si="297"/>
        <v>1314.78</v>
      </c>
      <c r="M623">
        <f>IF(A623&gt;=Quarterly!B$2,Quarterly!D$2,IF(COUNTIFS(Quarterly!B:B,"&gt;="&amp;A623-92,Quarterly!B:B,"&lt;="&amp;A623)&gt;1,SUMIFS(Quarterly!D:D,Quarterly!B:B,"&gt;="&amp;A623-88,Quarterly!B:B,"&lt;="&amp;A623),SUMIFS(Quarterly!D:D,Quarterly!B:B,"&gt;="&amp;A623-92,Quarterly!B:B,"&lt;="&amp;A623)))</f>
        <v>1391.7049999999999</v>
      </c>
      <c r="N623" s="13">
        <f t="shared" si="298"/>
        <v>9.4469999999999998E-2</v>
      </c>
      <c r="O623">
        <f t="shared" si="286"/>
        <v>1314.78</v>
      </c>
      <c r="P623" s="56">
        <f>VLOOKUP(EOMONTH(A623,-1),Economic!A:I,7,FALSE)</f>
        <v>1069309</v>
      </c>
      <c r="Q623" s="13">
        <f t="shared" si="287"/>
        <v>0.123</v>
      </c>
      <c r="R623" s="41">
        <v>-7.0000000000000007E-2</v>
      </c>
      <c r="S623">
        <f t="shared" si="288"/>
        <v>0.31</v>
      </c>
      <c r="T623" s="30">
        <f t="shared" si="289"/>
        <v>135.65</v>
      </c>
      <c r="U623" s="30">
        <f t="shared" si="296"/>
        <v>137.30000000000001</v>
      </c>
    </row>
    <row r="624" spans="1:21" ht="15" customHeight="1" x14ac:dyDescent="0.25">
      <c r="A624" s="5">
        <v>38977</v>
      </c>
      <c r="B624" s="5">
        <f t="shared" si="290"/>
        <v>38990</v>
      </c>
      <c r="C624">
        <v>1319.66</v>
      </c>
      <c r="D624" s="29">
        <f t="shared" si="291"/>
        <v>1.37E-2</v>
      </c>
      <c r="E624" s="39">
        <f t="shared" si="292"/>
        <v>1277.5615384615385</v>
      </c>
      <c r="F624" s="39">
        <f t="shared" si="293"/>
        <v>1281.7356410256409</v>
      </c>
      <c r="G624" s="29">
        <f t="shared" si="285"/>
        <v>3.3000000000000002E-2</v>
      </c>
      <c r="H624" s="29">
        <f t="shared" si="285"/>
        <v>2.9600000000000001E-2</v>
      </c>
      <c r="I624">
        <f t="shared" si="294"/>
        <v>1319.66</v>
      </c>
      <c r="J624">
        <f>IF(A624&gt;=Quarterly!B$2,Quarterly!C$2,IF(COUNTIFS(Quarterly!B:B,"&gt;="&amp;A624-92,Quarterly!B:B,"&lt;="&amp;A624)&gt;1,SUMIFS(Quarterly!C:C,Quarterly!B:B,"&gt;="&amp;A624-88,Quarterly!B:B,"&lt;="&amp;A624),SUMIFS(Quarterly!C:C,Quarterly!B:B,"&gt;="&amp;A624-92,Quarterly!B:B,"&lt;="&amp;A624)))</f>
        <v>13799.8</v>
      </c>
      <c r="K624" s="13">
        <f t="shared" si="295"/>
        <v>9.5600000000000004E-2</v>
      </c>
      <c r="L624">
        <f t="shared" si="297"/>
        <v>1319.66</v>
      </c>
      <c r="M624">
        <f>IF(A624&gt;=Quarterly!B$2,Quarterly!D$2,IF(COUNTIFS(Quarterly!B:B,"&gt;="&amp;A624-92,Quarterly!B:B,"&lt;="&amp;A624)&gt;1,SUMIFS(Quarterly!D:D,Quarterly!B:B,"&gt;="&amp;A624-88,Quarterly!B:B,"&lt;="&amp;A624),SUMIFS(Quarterly!D:D,Quarterly!B:B,"&gt;="&amp;A624-92,Quarterly!B:B,"&lt;="&amp;A624)))</f>
        <v>1391.7049999999999</v>
      </c>
      <c r="N624" s="13">
        <f t="shared" si="298"/>
        <v>9.4820000000000015E-2</v>
      </c>
      <c r="O624">
        <f t="shared" si="286"/>
        <v>1319.66</v>
      </c>
      <c r="P624" s="56">
        <f>VLOOKUP(EOMONTH(A624,-1),Economic!A:I,7,FALSE)</f>
        <v>1069309</v>
      </c>
      <c r="Q624" s="13">
        <f t="shared" si="287"/>
        <v>0.12340000000000001</v>
      </c>
      <c r="R624" s="41">
        <v>-7.0000000000000007E-2</v>
      </c>
      <c r="S624">
        <f t="shared" si="288"/>
        <v>0.32</v>
      </c>
      <c r="T624" s="30">
        <f t="shared" si="289"/>
        <v>137.07</v>
      </c>
      <c r="U624" s="30">
        <f t="shared" si="296"/>
        <v>138.25</v>
      </c>
    </row>
    <row r="625" spans="1:21" ht="15" customHeight="1" x14ac:dyDescent="0.25">
      <c r="A625" s="5">
        <v>38970</v>
      </c>
      <c r="B625" s="5">
        <f t="shared" si="290"/>
        <v>38990</v>
      </c>
      <c r="C625">
        <v>1298.92</v>
      </c>
      <c r="D625" s="29">
        <f t="shared" si="291"/>
        <v>4.0000000000000001E-3</v>
      </c>
      <c r="E625" s="39">
        <f t="shared" si="292"/>
        <v>1272.3215384615385</v>
      </c>
      <c r="F625" s="39">
        <f t="shared" si="293"/>
        <v>1280.3935897435897</v>
      </c>
      <c r="G625" s="29">
        <f t="shared" si="285"/>
        <v>2.0899999999999998E-2</v>
      </c>
      <c r="H625" s="29">
        <f t="shared" si="285"/>
        <v>1.4500000000000001E-2</v>
      </c>
      <c r="I625">
        <f t="shared" si="294"/>
        <v>1298.92</v>
      </c>
      <c r="J625">
        <f>IF(A625&gt;=Quarterly!B$2,Quarterly!C$2,IF(COUNTIFS(Quarterly!B:B,"&gt;="&amp;A625-92,Quarterly!B:B,"&lt;="&amp;A625)&gt;1,SUMIFS(Quarterly!C:C,Quarterly!B:B,"&gt;="&amp;A625-88,Quarterly!B:B,"&lt;="&amp;A625),SUMIFS(Quarterly!C:C,Quarterly!B:B,"&gt;="&amp;A625-92,Quarterly!B:B,"&lt;="&amp;A625)))</f>
        <v>13799.8</v>
      </c>
      <c r="K625" s="13">
        <f t="shared" si="295"/>
        <v>9.4100000000000003E-2</v>
      </c>
      <c r="L625">
        <f t="shared" si="297"/>
        <v>1298.92</v>
      </c>
      <c r="M625">
        <f>IF(A625&gt;=Quarterly!B$2,Quarterly!D$2,IF(COUNTIFS(Quarterly!B:B,"&gt;="&amp;A625-92,Quarterly!B:B,"&lt;="&amp;A625)&gt;1,SUMIFS(Quarterly!D:D,Quarterly!B:B,"&gt;="&amp;A625-88,Quarterly!B:B,"&lt;="&amp;A625),SUMIFS(Quarterly!D:D,Quarterly!B:B,"&gt;="&amp;A625-92,Quarterly!B:B,"&lt;="&amp;A625)))</f>
        <v>1391.7049999999999</v>
      </c>
      <c r="N625" s="13">
        <f t="shared" si="298"/>
        <v>9.333000000000001E-2</v>
      </c>
      <c r="O625">
        <f t="shared" si="286"/>
        <v>1298.92</v>
      </c>
      <c r="P625" s="56">
        <f>VLOOKUP(EOMONTH(A625,-1),Economic!A:I,7,FALSE)</f>
        <v>1069309</v>
      </c>
      <c r="Q625" s="13">
        <f t="shared" si="287"/>
        <v>0.1215</v>
      </c>
      <c r="R625" s="41">
        <v>-0.02</v>
      </c>
      <c r="S625">
        <f t="shared" si="288"/>
        <v>0.33</v>
      </c>
      <c r="T625" s="30">
        <f t="shared" si="289"/>
        <v>139.18</v>
      </c>
      <c r="U625" s="30">
        <f t="shared" si="296"/>
        <v>139.36000000000001</v>
      </c>
    </row>
    <row r="626" spans="1:21" ht="15" customHeight="1" x14ac:dyDescent="0.25">
      <c r="A626" s="5">
        <v>38963</v>
      </c>
      <c r="B626" s="5">
        <f t="shared" si="290"/>
        <v>38990</v>
      </c>
      <c r="C626">
        <v>1311.01</v>
      </c>
      <c r="D626" s="29">
        <f t="shared" si="291"/>
        <v>1.95E-2</v>
      </c>
      <c r="E626" s="39">
        <f t="shared" si="292"/>
        <v>1268.7353846153846</v>
      </c>
      <c r="F626" s="39">
        <f t="shared" si="293"/>
        <v>1279.3794871794873</v>
      </c>
      <c r="G626" s="29">
        <f t="shared" si="285"/>
        <v>3.3300000000000003E-2</v>
      </c>
      <c r="H626" s="29">
        <f t="shared" si="285"/>
        <v>2.47E-2</v>
      </c>
      <c r="I626">
        <f t="shared" si="294"/>
        <v>1311.01</v>
      </c>
      <c r="J626">
        <f>IF(A626&gt;=Quarterly!B$2,Quarterly!C$2,IF(COUNTIFS(Quarterly!B:B,"&gt;="&amp;A626-92,Quarterly!B:B,"&lt;="&amp;A626)&gt;1,SUMIFS(Quarterly!C:C,Quarterly!B:B,"&gt;="&amp;A626-88,Quarterly!B:B,"&lt;="&amp;A626),SUMIFS(Quarterly!C:C,Quarterly!B:B,"&gt;="&amp;A626-92,Quarterly!B:B,"&lt;="&amp;A626)))</f>
        <v>13799.8</v>
      </c>
      <c r="K626" s="13">
        <f t="shared" si="295"/>
        <v>9.5000000000000001E-2</v>
      </c>
      <c r="L626">
        <f t="shared" si="297"/>
        <v>1311.01</v>
      </c>
      <c r="M626">
        <f>IF(A626&gt;=Quarterly!B$2,Quarterly!D$2,IF(COUNTIFS(Quarterly!B:B,"&gt;="&amp;A626-92,Quarterly!B:B,"&lt;="&amp;A626)&gt;1,SUMIFS(Quarterly!D:D,Quarterly!B:B,"&gt;="&amp;A626-88,Quarterly!B:B,"&lt;="&amp;A626),SUMIFS(Quarterly!D:D,Quarterly!B:B,"&gt;="&amp;A626-92,Quarterly!B:B,"&lt;="&amp;A626)))</f>
        <v>1391.7049999999999</v>
      </c>
      <c r="N626" s="13">
        <f t="shared" si="298"/>
        <v>9.4200000000000006E-2</v>
      </c>
      <c r="O626">
        <f t="shared" si="286"/>
        <v>1311.01</v>
      </c>
      <c r="P626" s="56">
        <f>VLOOKUP(EOMONTH(A626,-1),Economic!A:I,7,FALSE)</f>
        <v>1069309</v>
      </c>
      <c r="Q626" s="13">
        <f t="shared" si="287"/>
        <v>0.12260000000000001</v>
      </c>
      <c r="R626" s="41">
        <v>-0.04</v>
      </c>
      <c r="S626">
        <f t="shared" si="288"/>
        <v>0.3</v>
      </c>
      <c r="T626" s="30">
        <f t="shared" si="289"/>
        <v>138.5</v>
      </c>
      <c r="U626" s="30">
        <f t="shared" si="296"/>
        <v>140.12</v>
      </c>
    </row>
    <row r="627" spans="1:21" ht="15" customHeight="1" x14ac:dyDescent="0.25">
      <c r="A627" s="5">
        <v>38956</v>
      </c>
      <c r="B627" s="5">
        <f t="shared" si="290"/>
        <v>38960</v>
      </c>
      <c r="C627">
        <v>1295.0899999999999</v>
      </c>
      <c r="D627" s="29">
        <f t="shared" si="291"/>
        <v>1.04E-2</v>
      </c>
      <c r="E627" s="39">
        <f t="shared" si="292"/>
        <v>1266.9823076923078</v>
      </c>
      <c r="F627" s="39">
        <f t="shared" si="293"/>
        <v>1278.2017948717948</v>
      </c>
      <c r="G627" s="29">
        <f t="shared" si="285"/>
        <v>2.2200000000000001E-2</v>
      </c>
      <c r="H627" s="29">
        <f t="shared" si="285"/>
        <v>1.32E-2</v>
      </c>
      <c r="I627">
        <f t="shared" si="294"/>
        <v>1295.0899999999999</v>
      </c>
      <c r="J627">
        <f>IF(A627&gt;=Quarterly!B$2,Quarterly!C$2,IF(COUNTIFS(Quarterly!B:B,"&gt;="&amp;A627-92,Quarterly!B:B,"&lt;="&amp;A627)&gt;1,SUMIFS(Quarterly!C:C,Quarterly!B:B,"&gt;="&amp;A627-88,Quarterly!B:B,"&lt;="&amp;A627),SUMIFS(Quarterly!C:C,Quarterly!B:B,"&gt;="&amp;A627-92,Quarterly!B:B,"&lt;="&amp;A627)))</f>
        <v>13799.8</v>
      </c>
      <c r="K627" s="13">
        <f t="shared" si="295"/>
        <v>9.3799999999999994E-2</v>
      </c>
      <c r="L627">
        <f t="shared" si="297"/>
        <v>1295.0899999999999</v>
      </c>
      <c r="M627">
        <f>IF(A627&gt;=Quarterly!B$2,Quarterly!D$2,IF(COUNTIFS(Quarterly!B:B,"&gt;="&amp;A627-92,Quarterly!B:B,"&lt;="&amp;A627)&gt;1,SUMIFS(Quarterly!D:D,Quarterly!B:B,"&gt;="&amp;A627-88,Quarterly!B:B,"&lt;="&amp;A627),SUMIFS(Quarterly!D:D,Quarterly!B:B,"&gt;="&amp;A627-92,Quarterly!B:B,"&lt;="&amp;A627)))</f>
        <v>1391.7049999999999</v>
      </c>
      <c r="N627" s="13">
        <f t="shared" si="298"/>
        <v>9.3060000000000004E-2</v>
      </c>
      <c r="O627">
        <f t="shared" si="286"/>
        <v>1295.0899999999999</v>
      </c>
      <c r="P627" s="56">
        <f>VLOOKUP(EOMONTH(A627,-1),Economic!A:I,7,FALSE)</f>
        <v>1064428</v>
      </c>
      <c r="Q627" s="13">
        <f t="shared" si="287"/>
        <v>0.1217</v>
      </c>
      <c r="R627" s="41">
        <v>-7.0000000000000007E-2</v>
      </c>
      <c r="S627">
        <f t="shared" si="288"/>
        <v>0.33</v>
      </c>
      <c r="T627" s="30">
        <f t="shared" si="289"/>
        <v>140.38999999999999</v>
      </c>
      <c r="U627" s="30">
        <f t="shared" si="296"/>
        <v>141.38</v>
      </c>
    </row>
    <row r="628" spans="1:21" ht="15" customHeight="1" x14ac:dyDescent="0.25">
      <c r="A628" s="5">
        <v>38949</v>
      </c>
      <c r="B628" s="5">
        <f t="shared" si="290"/>
        <v>38960</v>
      </c>
      <c r="C628">
        <v>1302.3</v>
      </c>
      <c r="D628" s="29">
        <f t="shared" si="291"/>
        <v>2.8500000000000001E-2</v>
      </c>
      <c r="E628" s="39">
        <f t="shared" si="292"/>
        <v>1265.8338461538463</v>
      </c>
      <c r="F628" s="39">
        <f t="shared" si="293"/>
        <v>1277.5135897435896</v>
      </c>
      <c r="G628" s="29">
        <f t="shared" si="285"/>
        <v>2.8799999999999999E-2</v>
      </c>
      <c r="H628" s="29">
        <f t="shared" si="285"/>
        <v>1.9400000000000001E-2</v>
      </c>
      <c r="I628">
        <f t="shared" si="294"/>
        <v>1302.3</v>
      </c>
      <c r="J628">
        <f>IF(A628&gt;=Quarterly!B$2,Quarterly!C$2,IF(COUNTIFS(Quarterly!B:B,"&gt;="&amp;A628-92,Quarterly!B:B,"&lt;="&amp;A628)&gt;1,SUMIFS(Quarterly!C:C,Quarterly!B:B,"&gt;="&amp;A628-88,Quarterly!B:B,"&lt;="&amp;A628),SUMIFS(Quarterly!C:C,Quarterly!B:B,"&gt;="&amp;A628-92,Quarterly!B:B,"&lt;="&amp;A628)))</f>
        <v>13799.8</v>
      </c>
      <c r="K628" s="13">
        <f t="shared" si="295"/>
        <v>9.4399999999999998E-2</v>
      </c>
      <c r="L628">
        <f t="shared" si="297"/>
        <v>1302.3</v>
      </c>
      <c r="M628">
        <f>IF(A628&gt;=Quarterly!B$2,Quarterly!D$2,IF(COUNTIFS(Quarterly!B:B,"&gt;="&amp;A628-92,Quarterly!B:B,"&lt;="&amp;A628)&gt;1,SUMIFS(Quarterly!D:D,Quarterly!B:B,"&gt;="&amp;A628-88,Quarterly!B:B,"&lt;="&amp;A628),SUMIFS(Quarterly!D:D,Quarterly!B:B,"&gt;="&amp;A628-92,Quarterly!B:B,"&lt;="&amp;A628)))</f>
        <v>1391.7049999999999</v>
      </c>
      <c r="N628" s="13">
        <f t="shared" si="298"/>
        <v>9.3579999999999997E-2</v>
      </c>
      <c r="O628">
        <f t="shared" si="286"/>
        <v>1302.3</v>
      </c>
      <c r="P628" s="56">
        <f>VLOOKUP(EOMONTH(A628,-1),Economic!A:I,7,FALSE)</f>
        <v>1064428</v>
      </c>
      <c r="Q628" s="13">
        <f t="shared" si="287"/>
        <v>0.12229999999999999</v>
      </c>
      <c r="R628" s="41">
        <v>-0.03</v>
      </c>
      <c r="S628">
        <f t="shared" si="288"/>
        <v>0.37</v>
      </c>
      <c r="T628" s="30">
        <f t="shared" si="289"/>
        <v>141.46</v>
      </c>
      <c r="U628" s="30">
        <f t="shared" si="296"/>
        <v>142.46</v>
      </c>
    </row>
    <row r="629" spans="1:21" ht="15" customHeight="1" x14ac:dyDescent="0.25">
      <c r="A629" s="5">
        <v>38942</v>
      </c>
      <c r="B629" s="5">
        <f t="shared" si="290"/>
        <v>38960</v>
      </c>
      <c r="C629">
        <v>1266.74</v>
      </c>
      <c r="D629" s="29">
        <f t="shared" si="291"/>
        <v>6.4999999999999997E-3</v>
      </c>
      <c r="E629" s="39">
        <f t="shared" si="292"/>
        <v>1263.1207692307692</v>
      </c>
      <c r="F629" s="39">
        <f t="shared" si="293"/>
        <v>1276.1282051282051</v>
      </c>
      <c r="G629" s="29">
        <f t="shared" si="285"/>
        <v>2.8999999999999998E-3</v>
      </c>
      <c r="H629" s="29">
        <f t="shared" si="285"/>
        <v>-7.4000000000000003E-3</v>
      </c>
      <c r="I629">
        <f t="shared" si="294"/>
        <v>1266.74</v>
      </c>
      <c r="J629">
        <f>IF(A629&gt;=Quarterly!B$2,Quarterly!C$2,IF(COUNTIFS(Quarterly!B:B,"&gt;="&amp;A629-92,Quarterly!B:B,"&lt;="&amp;A629)&gt;1,SUMIFS(Quarterly!C:C,Quarterly!B:B,"&gt;="&amp;A629-88,Quarterly!B:B,"&lt;="&amp;A629),SUMIFS(Quarterly!C:C,Quarterly!B:B,"&gt;="&amp;A629-92,Quarterly!B:B,"&lt;="&amp;A629)))</f>
        <v>13799.8</v>
      </c>
      <c r="K629" s="13">
        <f t="shared" si="295"/>
        <v>9.1800000000000007E-2</v>
      </c>
      <c r="L629">
        <f t="shared" si="297"/>
        <v>1266.74</v>
      </c>
      <c r="M629">
        <f>IF(A629&gt;=Quarterly!B$2,Quarterly!D$2,IF(COUNTIFS(Quarterly!B:B,"&gt;="&amp;A629-92,Quarterly!B:B,"&lt;="&amp;A629)&gt;1,SUMIFS(Quarterly!D:D,Quarterly!B:B,"&gt;="&amp;A629-88,Quarterly!B:B,"&lt;="&amp;A629),SUMIFS(Quarterly!D:D,Quarterly!B:B,"&gt;="&amp;A629-92,Quarterly!B:B,"&lt;="&amp;A629)))</f>
        <v>1391.7049999999999</v>
      </c>
      <c r="N629" s="13">
        <f t="shared" si="298"/>
        <v>9.1020000000000004E-2</v>
      </c>
      <c r="O629">
        <f t="shared" si="286"/>
        <v>1266.74</v>
      </c>
      <c r="P629" s="56">
        <f>VLOOKUP(EOMONTH(A629,-1),Economic!A:I,7,FALSE)</f>
        <v>1064428</v>
      </c>
      <c r="Q629" s="13">
        <f t="shared" si="287"/>
        <v>0.11900000000000001</v>
      </c>
      <c r="R629" s="41">
        <v>0.01</v>
      </c>
      <c r="S629">
        <f t="shared" si="288"/>
        <v>0.34</v>
      </c>
      <c r="T629" s="30">
        <f t="shared" si="289"/>
        <v>142.28</v>
      </c>
      <c r="U629" s="30">
        <f t="shared" si="296"/>
        <v>142.16</v>
      </c>
    </row>
    <row r="630" spans="1:21" ht="15" customHeight="1" x14ac:dyDescent="0.25">
      <c r="A630" s="5">
        <v>38935</v>
      </c>
      <c r="B630" s="5">
        <f t="shared" si="290"/>
        <v>38960</v>
      </c>
      <c r="C630">
        <v>1279.3599999999999</v>
      </c>
      <c r="D630" s="29">
        <f t="shared" si="291"/>
        <v>1.9300000000000001E-2</v>
      </c>
      <c r="E630" s="39">
        <f t="shared" si="292"/>
        <v>1265.0053846153846</v>
      </c>
      <c r="F630" s="39">
        <f t="shared" si="293"/>
        <v>1275.3071794871794</v>
      </c>
      <c r="G630" s="29">
        <f t="shared" si="285"/>
        <v>1.1299999999999999E-2</v>
      </c>
      <c r="H630" s="29">
        <f t="shared" si="285"/>
        <v>3.2000000000000002E-3</v>
      </c>
      <c r="I630">
        <f t="shared" si="294"/>
        <v>1279.3599999999999</v>
      </c>
      <c r="J630">
        <f>IF(A630&gt;=Quarterly!B$2,Quarterly!C$2,IF(COUNTIFS(Quarterly!B:B,"&gt;="&amp;A630-92,Quarterly!B:B,"&lt;="&amp;A630)&gt;1,SUMIFS(Quarterly!C:C,Quarterly!B:B,"&gt;="&amp;A630-88,Quarterly!B:B,"&lt;="&amp;A630),SUMIFS(Quarterly!C:C,Quarterly!B:B,"&gt;="&amp;A630-92,Quarterly!B:B,"&lt;="&amp;A630)))</f>
        <v>13799.8</v>
      </c>
      <c r="K630" s="13">
        <f t="shared" si="295"/>
        <v>9.2700000000000005E-2</v>
      </c>
      <c r="L630">
        <f t="shared" si="297"/>
        <v>1279.3599999999999</v>
      </c>
      <c r="M630">
        <f>IF(A630&gt;=Quarterly!B$2,Quarterly!D$2,IF(COUNTIFS(Quarterly!B:B,"&gt;="&amp;A630-92,Quarterly!B:B,"&lt;="&amp;A630)&gt;1,SUMIFS(Quarterly!D:D,Quarterly!B:B,"&gt;="&amp;A630-88,Quarterly!B:B,"&lt;="&amp;A630),SUMIFS(Quarterly!D:D,Quarterly!B:B,"&gt;="&amp;A630-92,Quarterly!B:B,"&lt;="&amp;A630)))</f>
        <v>1391.7049999999999</v>
      </c>
      <c r="N630" s="13">
        <f t="shared" si="298"/>
        <v>9.1930000000000012E-2</v>
      </c>
      <c r="O630">
        <f t="shared" si="286"/>
        <v>1279.3599999999999</v>
      </c>
      <c r="P630" s="56">
        <f>VLOOKUP(EOMONTH(A630,-1),Economic!A:I,7,FALSE)</f>
        <v>1064428</v>
      </c>
      <c r="Q630" s="13">
        <f t="shared" si="287"/>
        <v>0.1202</v>
      </c>
      <c r="R630" s="41">
        <v>0</v>
      </c>
      <c r="S630">
        <f t="shared" si="288"/>
        <v>0.41</v>
      </c>
      <c r="T630" s="30">
        <f t="shared" si="289"/>
        <v>143.63</v>
      </c>
      <c r="U630" s="30">
        <f t="shared" si="296"/>
        <v>141.83000000000001</v>
      </c>
    </row>
    <row r="631" spans="1:21" ht="15" customHeight="1" x14ac:dyDescent="0.25">
      <c r="A631" s="5">
        <v>38928</v>
      </c>
      <c r="B631" s="5">
        <f t="shared" si="290"/>
        <v>38929</v>
      </c>
      <c r="C631">
        <v>1278.55</v>
      </c>
      <c r="D631" s="29">
        <f t="shared" si="291"/>
        <v>2.0400000000000001E-2</v>
      </c>
      <c r="E631" s="39">
        <f t="shared" si="292"/>
        <v>1268.5746153846153</v>
      </c>
      <c r="F631" s="39">
        <f t="shared" si="293"/>
        <v>1273.7887179487179</v>
      </c>
      <c r="G631" s="29">
        <f t="shared" si="285"/>
        <v>7.9000000000000008E-3</v>
      </c>
      <c r="H631" s="29">
        <f t="shared" si="285"/>
        <v>3.7000000000000002E-3</v>
      </c>
      <c r="I631">
        <f t="shared" si="294"/>
        <v>1278.55</v>
      </c>
      <c r="J631">
        <f>IF(A631&gt;=Quarterly!B$2,Quarterly!C$2,IF(COUNTIFS(Quarterly!B:B,"&gt;="&amp;A631-92,Quarterly!B:B,"&lt;="&amp;A631)&gt;1,SUMIFS(Quarterly!C:C,Quarterly!B:B,"&gt;="&amp;A631-88,Quarterly!B:B,"&lt;="&amp;A631),SUMIFS(Quarterly!C:C,Quarterly!B:B,"&gt;="&amp;A631-92,Quarterly!B:B,"&lt;="&amp;A631)))</f>
        <v>13648.9</v>
      </c>
      <c r="K631" s="13">
        <f t="shared" si="295"/>
        <v>9.3700000000000006E-2</v>
      </c>
      <c r="L631">
        <f t="shared" si="297"/>
        <v>1278.55</v>
      </c>
      <c r="M631">
        <f>IF(A631&gt;=Quarterly!B$2,Quarterly!D$2,IF(COUNTIFS(Quarterly!B:B,"&gt;="&amp;A631-92,Quarterly!B:B,"&lt;="&amp;A631)&gt;1,SUMIFS(Quarterly!D:D,Quarterly!B:B,"&gt;="&amp;A631-88,Quarterly!B:B,"&lt;="&amp;A631),SUMIFS(Quarterly!D:D,Quarterly!B:B,"&gt;="&amp;A631-92,Quarterly!B:B,"&lt;="&amp;A631)))</f>
        <v>1352.85</v>
      </c>
      <c r="N631" s="13">
        <f t="shared" si="298"/>
        <v>9.4510000000000011E-2</v>
      </c>
      <c r="O631">
        <f t="shared" si="286"/>
        <v>1278.55</v>
      </c>
      <c r="P631" s="56">
        <f>VLOOKUP(EOMONTH(A631,-1),Economic!A:I,7,FALSE)</f>
        <v>1059059</v>
      </c>
      <c r="Q631" s="13">
        <f t="shared" si="287"/>
        <v>0.1207</v>
      </c>
      <c r="R631" s="41">
        <v>0.02</v>
      </c>
      <c r="S631">
        <f t="shared" si="288"/>
        <v>0.44</v>
      </c>
      <c r="T631" s="30">
        <f t="shared" si="289"/>
        <v>140.57</v>
      </c>
      <c r="U631" s="30">
        <f t="shared" si="296"/>
        <v>141.41999999999999</v>
      </c>
    </row>
    <row r="632" spans="1:21" ht="15" customHeight="1" x14ac:dyDescent="0.25">
      <c r="A632" s="5">
        <v>38921</v>
      </c>
      <c r="B632" s="5">
        <f t="shared" si="290"/>
        <v>38929</v>
      </c>
      <c r="C632">
        <v>1240.29</v>
      </c>
      <c r="D632" s="29">
        <f t="shared" si="291"/>
        <v>-1.0999999999999999E-2</v>
      </c>
      <c r="E632" s="39">
        <f t="shared" si="292"/>
        <v>1271.0407692307692</v>
      </c>
      <c r="F632" s="39">
        <f t="shared" si="293"/>
        <v>1271.7338461538461</v>
      </c>
      <c r="G632" s="29">
        <f t="shared" si="285"/>
        <v>-2.4199999999999999E-2</v>
      </c>
      <c r="H632" s="29">
        <f t="shared" si="285"/>
        <v>-2.47E-2</v>
      </c>
      <c r="I632">
        <f t="shared" si="294"/>
        <v>1240.29</v>
      </c>
      <c r="J632">
        <f>IF(A632&gt;=Quarterly!B$2,Quarterly!C$2,IF(COUNTIFS(Quarterly!B:B,"&gt;="&amp;A632-92,Quarterly!B:B,"&lt;="&amp;A632)&gt;1,SUMIFS(Quarterly!C:C,Quarterly!B:B,"&gt;="&amp;A632-88,Quarterly!B:B,"&lt;="&amp;A632),SUMIFS(Quarterly!C:C,Quarterly!B:B,"&gt;="&amp;A632-92,Quarterly!B:B,"&lt;="&amp;A632)))</f>
        <v>13648.9</v>
      </c>
      <c r="K632" s="13">
        <f t="shared" si="295"/>
        <v>9.0899999999999995E-2</v>
      </c>
      <c r="L632">
        <f t="shared" si="297"/>
        <v>1240.29</v>
      </c>
      <c r="M632">
        <f>IF(A632&gt;=Quarterly!B$2,Quarterly!D$2,IF(COUNTIFS(Quarterly!B:B,"&gt;="&amp;A632-92,Quarterly!B:B,"&lt;="&amp;A632)&gt;1,SUMIFS(Quarterly!D:D,Quarterly!B:B,"&gt;="&amp;A632-88,Quarterly!B:B,"&lt;="&amp;A632),SUMIFS(Quarterly!D:D,Quarterly!B:B,"&gt;="&amp;A632-92,Quarterly!B:B,"&lt;="&amp;A632)))</f>
        <v>1352.85</v>
      </c>
      <c r="N632" s="13">
        <f t="shared" si="298"/>
        <v>9.1679999999999998E-2</v>
      </c>
      <c r="O632">
        <f t="shared" si="286"/>
        <v>1240.29</v>
      </c>
      <c r="P632" s="56">
        <f>VLOOKUP(EOMONTH(A632,-1),Economic!A:I,7,FALSE)</f>
        <v>1059059</v>
      </c>
      <c r="Q632" s="13">
        <f t="shared" si="287"/>
        <v>0.1171</v>
      </c>
      <c r="R632" s="41">
        <v>-0.03</v>
      </c>
      <c r="S632">
        <f t="shared" si="288"/>
        <v>0.44</v>
      </c>
      <c r="T632" s="30">
        <f t="shared" si="289"/>
        <v>141.28</v>
      </c>
      <c r="U632" s="30">
        <f t="shared" si="296"/>
        <v>141.81</v>
      </c>
    </row>
    <row r="633" spans="1:21" ht="15" customHeight="1" x14ac:dyDescent="0.25">
      <c r="A633" s="5">
        <v>38914</v>
      </c>
      <c r="B633" s="5">
        <f t="shared" si="290"/>
        <v>38929</v>
      </c>
      <c r="C633">
        <v>1236.2</v>
      </c>
      <c r="D633" s="29">
        <f t="shared" si="291"/>
        <v>-1.7299999999999999E-2</v>
      </c>
      <c r="E633" s="39">
        <f t="shared" si="292"/>
        <v>1276.5015384615385</v>
      </c>
      <c r="F633" s="39">
        <f t="shared" si="293"/>
        <v>1270.177435897436</v>
      </c>
      <c r="G633" s="29">
        <f t="shared" si="285"/>
        <v>-3.1600000000000003E-2</v>
      </c>
      <c r="H633" s="29">
        <f t="shared" si="285"/>
        <v>-2.6800000000000001E-2</v>
      </c>
      <c r="I633">
        <f t="shared" si="294"/>
        <v>1236.2</v>
      </c>
      <c r="J633">
        <f>IF(A633&gt;=Quarterly!B$2,Quarterly!C$2,IF(COUNTIFS(Quarterly!B:B,"&gt;="&amp;A633-92,Quarterly!B:B,"&lt;="&amp;A633)&gt;1,SUMIFS(Quarterly!C:C,Quarterly!B:B,"&gt;="&amp;A633-88,Quarterly!B:B,"&lt;="&amp;A633),SUMIFS(Quarterly!C:C,Quarterly!B:B,"&gt;="&amp;A633-92,Quarterly!B:B,"&lt;="&amp;A633)))</f>
        <v>13648.9</v>
      </c>
      <c r="K633" s="13">
        <f t="shared" si="295"/>
        <v>9.06E-2</v>
      </c>
      <c r="L633">
        <f t="shared" si="297"/>
        <v>1236.2</v>
      </c>
      <c r="M633">
        <f>IF(A633&gt;=Quarterly!B$2,Quarterly!D$2,IF(COUNTIFS(Quarterly!B:B,"&gt;="&amp;A633-92,Quarterly!B:B,"&lt;="&amp;A633)&gt;1,SUMIFS(Quarterly!D:D,Quarterly!B:B,"&gt;="&amp;A633-88,Quarterly!B:B,"&lt;="&amp;A633),SUMIFS(Quarterly!D:D,Quarterly!B:B,"&gt;="&amp;A633-92,Quarterly!B:B,"&lt;="&amp;A633)))</f>
        <v>1352.85</v>
      </c>
      <c r="N633" s="13">
        <f t="shared" si="298"/>
        <v>9.1380000000000003E-2</v>
      </c>
      <c r="O633">
        <f t="shared" si="286"/>
        <v>1236.2</v>
      </c>
      <c r="P633" s="56">
        <f>VLOOKUP(EOMONTH(A633,-1),Economic!A:I,7,FALSE)</f>
        <v>1059059</v>
      </c>
      <c r="Q633" s="13">
        <f t="shared" si="287"/>
        <v>0.11670000000000001</v>
      </c>
      <c r="R633" s="41">
        <v>-0.01</v>
      </c>
      <c r="S633">
        <f t="shared" si="288"/>
        <v>0.51</v>
      </c>
      <c r="T633" s="30">
        <f t="shared" si="289"/>
        <v>142.41999999999999</v>
      </c>
      <c r="U633" s="30">
        <f t="shared" si="296"/>
        <v>141.65</v>
      </c>
    </row>
    <row r="634" spans="1:21" ht="15" customHeight="1" x14ac:dyDescent="0.25">
      <c r="A634" s="5">
        <v>38907</v>
      </c>
      <c r="B634" s="5">
        <f t="shared" si="290"/>
        <v>38929</v>
      </c>
      <c r="C634">
        <v>1265.48</v>
      </c>
      <c r="D634" s="29">
        <f t="shared" si="291"/>
        <v>8.6E-3</v>
      </c>
      <c r="E634" s="39">
        <f t="shared" si="292"/>
        <v>1280.572307692308</v>
      </c>
      <c r="F634" s="39">
        <f t="shared" si="293"/>
        <v>1268.904871794872</v>
      </c>
      <c r="G634" s="29">
        <f t="shared" si="285"/>
        <v>-1.18E-2</v>
      </c>
      <c r="H634" s="29">
        <f t="shared" si="285"/>
        <v>-2.7000000000000001E-3</v>
      </c>
      <c r="I634">
        <f t="shared" si="294"/>
        <v>1265.48</v>
      </c>
      <c r="J634">
        <f>IF(A634&gt;=Quarterly!B$2,Quarterly!C$2,IF(COUNTIFS(Quarterly!B:B,"&gt;="&amp;A634-92,Quarterly!B:B,"&lt;="&amp;A634)&gt;1,SUMIFS(Quarterly!C:C,Quarterly!B:B,"&gt;="&amp;A634-88,Quarterly!B:B,"&lt;="&amp;A634),SUMIFS(Quarterly!C:C,Quarterly!B:B,"&gt;="&amp;A634-92,Quarterly!B:B,"&lt;="&amp;A634)))</f>
        <v>13648.9</v>
      </c>
      <c r="K634" s="13">
        <f t="shared" si="295"/>
        <v>9.2700000000000005E-2</v>
      </c>
      <c r="L634">
        <f t="shared" si="297"/>
        <v>1265.48</v>
      </c>
      <c r="M634">
        <f>IF(A634&gt;=Quarterly!B$2,Quarterly!D$2,IF(COUNTIFS(Quarterly!B:B,"&gt;="&amp;A634-92,Quarterly!B:B,"&lt;="&amp;A634)&gt;1,SUMIFS(Quarterly!D:D,Quarterly!B:B,"&gt;="&amp;A634-88,Quarterly!B:B,"&lt;="&amp;A634),SUMIFS(Quarterly!D:D,Quarterly!B:B,"&gt;="&amp;A634-92,Quarterly!B:B,"&lt;="&amp;A634)))</f>
        <v>1352.85</v>
      </c>
      <c r="N634" s="13">
        <f t="shared" si="298"/>
        <v>9.3540000000000012E-2</v>
      </c>
      <c r="O634">
        <f t="shared" si="286"/>
        <v>1265.48</v>
      </c>
      <c r="P634" s="56">
        <f>VLOOKUP(EOMONTH(A634,-1),Economic!A:I,7,FALSE)</f>
        <v>1059059</v>
      </c>
      <c r="Q634" s="13">
        <f t="shared" si="287"/>
        <v>0.11950000000000001</v>
      </c>
      <c r="R634" s="41">
        <v>-0.03</v>
      </c>
      <c r="S634">
        <f t="shared" si="288"/>
        <v>0.55000000000000004</v>
      </c>
      <c r="T634" s="30">
        <f t="shared" si="289"/>
        <v>141.72</v>
      </c>
      <c r="U634" s="30">
        <f t="shared" si="296"/>
        <v>142.26</v>
      </c>
    </row>
    <row r="635" spans="1:21" ht="15" customHeight="1" x14ac:dyDescent="0.25">
      <c r="A635" s="5">
        <v>38900</v>
      </c>
      <c r="B635" s="5">
        <f t="shared" si="290"/>
        <v>38929</v>
      </c>
      <c r="C635">
        <v>1270.2</v>
      </c>
      <c r="D635" s="29">
        <f t="shared" si="291"/>
        <v>8.8000000000000005E-3</v>
      </c>
      <c r="E635" s="39">
        <f t="shared" si="292"/>
        <v>1282.8815384615386</v>
      </c>
      <c r="F635" s="39">
        <f t="shared" si="293"/>
        <v>1267.1207692307696</v>
      </c>
      <c r="G635" s="29">
        <f t="shared" si="285"/>
        <v>-9.9000000000000008E-3</v>
      </c>
      <c r="H635" s="29">
        <f t="shared" si="285"/>
        <v>2.3999999999999998E-3</v>
      </c>
      <c r="I635">
        <f t="shared" si="294"/>
        <v>1270.2</v>
      </c>
      <c r="J635">
        <f>IF(A635&gt;=Quarterly!B$2,Quarterly!C$2,IF(COUNTIFS(Quarterly!B:B,"&gt;="&amp;A635-92,Quarterly!B:B,"&lt;="&amp;A635)&gt;1,SUMIFS(Quarterly!C:C,Quarterly!B:B,"&gt;="&amp;A635-88,Quarterly!B:B,"&lt;="&amp;A635),SUMIFS(Quarterly!C:C,Quarterly!B:B,"&gt;="&amp;A635-92,Quarterly!B:B,"&lt;="&amp;A635)))</f>
        <v>13648.9</v>
      </c>
      <c r="K635" s="13">
        <f t="shared" si="295"/>
        <v>9.3100000000000002E-2</v>
      </c>
      <c r="L635">
        <f t="shared" si="297"/>
        <v>1270.2</v>
      </c>
      <c r="M635">
        <f>IF(A635&gt;=Quarterly!B$2,Quarterly!D$2,IF(COUNTIFS(Quarterly!B:B,"&gt;="&amp;A635-92,Quarterly!B:B,"&lt;="&amp;A635)&gt;1,SUMIFS(Quarterly!D:D,Quarterly!B:B,"&gt;="&amp;A635-88,Quarterly!B:B,"&lt;="&amp;A635),SUMIFS(Quarterly!D:D,Quarterly!B:B,"&gt;="&amp;A635-92,Quarterly!B:B,"&lt;="&amp;A635)))</f>
        <v>1352.85</v>
      </c>
      <c r="N635" s="13">
        <f t="shared" si="298"/>
        <v>9.3890000000000001E-2</v>
      </c>
      <c r="O635">
        <f t="shared" si="286"/>
        <v>1270.2</v>
      </c>
      <c r="P635" s="56">
        <f>VLOOKUP(EOMONTH(A635,-1),Economic!A:I,7,FALSE)</f>
        <v>1059059</v>
      </c>
      <c r="Q635" s="13">
        <f t="shared" si="287"/>
        <v>0.11989999999999999</v>
      </c>
      <c r="R635" s="41">
        <v>-0.01</v>
      </c>
      <c r="S635">
        <f t="shared" si="288"/>
        <v>0.55000000000000004</v>
      </c>
      <c r="T635" s="30">
        <f t="shared" si="289"/>
        <v>140.81</v>
      </c>
      <c r="U635" s="30">
        <f t="shared" si="296"/>
        <v>143.65</v>
      </c>
    </row>
    <row r="636" spans="1:21" ht="15" customHeight="1" x14ac:dyDescent="0.25">
      <c r="A636" s="5">
        <v>38893</v>
      </c>
      <c r="B636" s="5">
        <f t="shared" si="290"/>
        <v>38898</v>
      </c>
      <c r="C636">
        <v>1244.5</v>
      </c>
      <c r="D636" s="29">
        <f t="shared" si="291"/>
        <v>-1.8599999999999998E-2</v>
      </c>
      <c r="E636" s="39">
        <f t="shared" si="292"/>
        <v>1284.7792307692309</v>
      </c>
      <c r="F636" s="39">
        <f t="shared" si="293"/>
        <v>1266.0594871794874</v>
      </c>
      <c r="G636" s="29">
        <f t="shared" si="285"/>
        <v>-3.1399999999999997E-2</v>
      </c>
      <c r="H636" s="29">
        <f t="shared" si="285"/>
        <v>-1.7000000000000001E-2</v>
      </c>
      <c r="I636">
        <f t="shared" si="294"/>
        <v>1244.5</v>
      </c>
      <c r="J636">
        <f>IF(A636&gt;=Quarterly!B$2,Quarterly!C$2,IF(COUNTIFS(Quarterly!B:B,"&gt;="&amp;A636-92,Quarterly!B:B,"&lt;="&amp;A636)&gt;1,SUMIFS(Quarterly!C:C,Quarterly!B:B,"&gt;="&amp;A636-88,Quarterly!B:B,"&lt;="&amp;A636),SUMIFS(Quarterly!C:C,Quarterly!B:B,"&gt;="&amp;A636-92,Quarterly!B:B,"&lt;="&amp;A636)))</f>
        <v>13648.9</v>
      </c>
      <c r="K636" s="13">
        <f t="shared" si="295"/>
        <v>9.1200000000000003E-2</v>
      </c>
      <c r="L636">
        <f t="shared" si="297"/>
        <v>1244.5</v>
      </c>
      <c r="M636">
        <f>IF(A636&gt;=Quarterly!B$2,Quarterly!D$2,IF(COUNTIFS(Quarterly!B:B,"&gt;="&amp;A636-92,Quarterly!B:B,"&lt;="&amp;A636)&gt;1,SUMIFS(Quarterly!D:D,Quarterly!B:B,"&gt;="&amp;A636-88,Quarterly!B:B,"&lt;="&amp;A636),SUMIFS(Quarterly!D:D,Quarterly!B:B,"&gt;="&amp;A636-92,Quarterly!B:B,"&lt;="&amp;A636)))</f>
        <v>1352.85</v>
      </c>
      <c r="N636" s="13">
        <f t="shared" si="298"/>
        <v>9.1990000000000016E-2</v>
      </c>
      <c r="O636">
        <f t="shared" si="286"/>
        <v>1244.5</v>
      </c>
      <c r="P636" s="56">
        <f>VLOOKUP(EOMONTH(A636,-1),Economic!A:I,7,FALSE)</f>
        <v>1058390</v>
      </c>
      <c r="Q636" s="13">
        <f t="shared" si="287"/>
        <v>0.1176</v>
      </c>
      <c r="R636" s="41">
        <v>-0.04</v>
      </c>
      <c r="S636">
        <f t="shared" si="288"/>
        <v>0.64</v>
      </c>
      <c r="T636" s="30">
        <f t="shared" si="289"/>
        <v>144.24</v>
      </c>
      <c r="U636" s="30">
        <f t="shared" si="296"/>
        <v>144.99</v>
      </c>
    </row>
    <row r="637" spans="1:21" ht="15" customHeight="1" x14ac:dyDescent="0.25">
      <c r="A637" s="5">
        <v>38886</v>
      </c>
      <c r="B637" s="5">
        <f t="shared" si="290"/>
        <v>38898</v>
      </c>
      <c r="C637">
        <v>1251.54</v>
      </c>
      <c r="D637" s="29">
        <f t="shared" si="291"/>
        <v>-1.6E-2</v>
      </c>
      <c r="E637" s="39">
        <f t="shared" si="292"/>
        <v>1289.2753846153848</v>
      </c>
      <c r="F637" s="39">
        <f t="shared" si="293"/>
        <v>1265.3105128205129</v>
      </c>
      <c r="G637" s="29">
        <f t="shared" si="285"/>
        <v>-2.93E-2</v>
      </c>
      <c r="H637" s="29">
        <f t="shared" si="285"/>
        <v>-1.09E-2</v>
      </c>
      <c r="I637">
        <f t="shared" si="294"/>
        <v>1251.54</v>
      </c>
      <c r="J637">
        <f>IF(A637&gt;=Quarterly!B$2,Quarterly!C$2,IF(COUNTIFS(Quarterly!B:B,"&gt;="&amp;A637-92,Quarterly!B:B,"&lt;="&amp;A637)&gt;1,SUMIFS(Quarterly!C:C,Quarterly!B:B,"&gt;="&amp;A637-88,Quarterly!B:B,"&lt;="&amp;A637),SUMIFS(Quarterly!C:C,Quarterly!B:B,"&gt;="&amp;A637-92,Quarterly!B:B,"&lt;="&amp;A637)))</f>
        <v>13648.9</v>
      </c>
      <c r="K637" s="13">
        <f t="shared" si="295"/>
        <v>9.1700000000000004E-2</v>
      </c>
      <c r="L637">
        <f t="shared" si="297"/>
        <v>1251.54</v>
      </c>
      <c r="M637">
        <f>IF(A637&gt;=Quarterly!B$2,Quarterly!D$2,IF(COUNTIFS(Quarterly!B:B,"&gt;="&amp;A637-92,Quarterly!B:B,"&lt;="&amp;A637)&gt;1,SUMIFS(Quarterly!D:D,Quarterly!B:B,"&gt;="&amp;A637-88,Quarterly!B:B,"&lt;="&amp;A637),SUMIFS(Quarterly!D:D,Quarterly!B:B,"&gt;="&amp;A637-92,Quarterly!B:B,"&lt;="&amp;A637)))</f>
        <v>1352.85</v>
      </c>
      <c r="N637" s="13">
        <f t="shared" si="298"/>
        <v>9.2510000000000009E-2</v>
      </c>
      <c r="O637">
        <f t="shared" si="286"/>
        <v>1251.54</v>
      </c>
      <c r="P637" s="56">
        <f>VLOOKUP(EOMONTH(A637,-1),Economic!A:I,7,FALSE)</f>
        <v>1058390</v>
      </c>
      <c r="Q637" s="13">
        <f t="shared" si="287"/>
        <v>0.11820000000000001</v>
      </c>
      <c r="R637" s="41">
        <v>-0.03</v>
      </c>
      <c r="S637">
        <f t="shared" si="288"/>
        <v>0.73</v>
      </c>
      <c r="T637" s="30">
        <f t="shared" si="289"/>
        <v>145.9</v>
      </c>
      <c r="U637" s="30">
        <f t="shared" si="296"/>
        <v>144.34</v>
      </c>
    </row>
    <row r="638" spans="1:21" ht="15" customHeight="1" x14ac:dyDescent="0.25">
      <c r="A638" s="5">
        <v>38879</v>
      </c>
      <c r="B638" s="5">
        <f t="shared" si="290"/>
        <v>38898</v>
      </c>
      <c r="C638">
        <v>1252.3</v>
      </c>
      <c r="D638" s="29">
        <f t="shared" si="291"/>
        <v>-2.29E-2</v>
      </c>
      <c r="E638" s="39">
        <f t="shared" si="292"/>
        <v>1293.5607692307692</v>
      </c>
      <c r="F638" s="39">
        <f t="shared" si="293"/>
        <v>1264.9610256410258</v>
      </c>
      <c r="G638" s="29">
        <f t="shared" si="285"/>
        <v>-3.1899999999999998E-2</v>
      </c>
      <c r="H638" s="29">
        <f t="shared" si="285"/>
        <v>-0.01</v>
      </c>
      <c r="I638">
        <f t="shared" si="294"/>
        <v>1252.3</v>
      </c>
      <c r="J638">
        <f>IF(A638&gt;=Quarterly!B$2,Quarterly!C$2,IF(COUNTIFS(Quarterly!B:B,"&gt;="&amp;A638-92,Quarterly!B:B,"&lt;="&amp;A638)&gt;1,SUMIFS(Quarterly!C:C,Quarterly!B:B,"&gt;="&amp;A638-88,Quarterly!B:B,"&lt;="&amp;A638),SUMIFS(Quarterly!C:C,Quarterly!B:B,"&gt;="&amp;A638-92,Quarterly!B:B,"&lt;="&amp;A638)))</f>
        <v>13648.9</v>
      </c>
      <c r="K638" s="13">
        <f t="shared" si="295"/>
        <v>9.1800000000000007E-2</v>
      </c>
      <c r="L638">
        <f t="shared" si="297"/>
        <v>1252.3</v>
      </c>
      <c r="M638">
        <f>IF(A638&gt;=Quarterly!B$2,Quarterly!D$2,IF(COUNTIFS(Quarterly!B:B,"&gt;="&amp;A638-92,Quarterly!B:B,"&lt;="&amp;A638)&gt;1,SUMIFS(Quarterly!D:D,Quarterly!B:B,"&gt;="&amp;A638-88,Quarterly!B:B,"&lt;="&amp;A638),SUMIFS(Quarterly!D:D,Quarterly!B:B,"&gt;="&amp;A638-92,Quarterly!B:B,"&lt;="&amp;A638)))</f>
        <v>1352.85</v>
      </c>
      <c r="N638" s="13">
        <f t="shared" si="298"/>
        <v>9.257E-2</v>
      </c>
      <c r="O638">
        <f t="shared" si="286"/>
        <v>1252.3</v>
      </c>
      <c r="P638" s="56">
        <f>VLOOKUP(EOMONTH(A638,-1),Economic!A:I,7,FALSE)</f>
        <v>1058390</v>
      </c>
      <c r="Q638" s="13">
        <f t="shared" si="287"/>
        <v>0.1183</v>
      </c>
      <c r="R638" s="41">
        <v>-0.03</v>
      </c>
      <c r="S638">
        <f t="shared" si="288"/>
        <v>0.73</v>
      </c>
      <c r="T638" s="30">
        <f t="shared" si="289"/>
        <v>144.84</v>
      </c>
      <c r="U638" s="30">
        <f t="shared" si="296"/>
        <v>143.32</v>
      </c>
    </row>
    <row r="639" spans="1:21" ht="15" customHeight="1" x14ac:dyDescent="0.25">
      <c r="A639" s="5">
        <v>38872</v>
      </c>
      <c r="B639" s="5">
        <f t="shared" si="290"/>
        <v>38898</v>
      </c>
      <c r="C639">
        <v>1288.22</v>
      </c>
      <c r="D639" s="29">
        <f t="shared" si="291"/>
        <v>-2.2000000000000001E-3</v>
      </c>
      <c r="E639" s="39">
        <f t="shared" si="292"/>
        <v>1295.800769230769</v>
      </c>
      <c r="F639" s="39">
        <f t="shared" si="293"/>
        <v>1264.6835897435901</v>
      </c>
      <c r="G639" s="29">
        <f t="shared" si="285"/>
        <v>-5.8999999999999999E-3</v>
      </c>
      <c r="H639" s="29">
        <f t="shared" si="285"/>
        <v>1.8599999999999998E-2</v>
      </c>
      <c r="I639">
        <f t="shared" si="294"/>
        <v>1288.22</v>
      </c>
      <c r="J639">
        <f>IF(A639&gt;=Quarterly!B$2,Quarterly!C$2,IF(COUNTIFS(Quarterly!B:B,"&gt;="&amp;A639-92,Quarterly!B:B,"&lt;="&amp;A639)&gt;1,SUMIFS(Quarterly!C:C,Quarterly!B:B,"&gt;="&amp;A639-88,Quarterly!B:B,"&lt;="&amp;A639),SUMIFS(Quarterly!C:C,Quarterly!B:B,"&gt;="&amp;A639-92,Quarterly!B:B,"&lt;="&amp;A639)))</f>
        <v>13648.9</v>
      </c>
      <c r="K639" s="13">
        <f t="shared" si="295"/>
        <v>9.4399999999999998E-2</v>
      </c>
      <c r="L639">
        <f t="shared" si="297"/>
        <v>1288.22</v>
      </c>
      <c r="M639">
        <f>IF(A639&gt;=Quarterly!B$2,Quarterly!D$2,IF(COUNTIFS(Quarterly!B:B,"&gt;="&amp;A639-92,Quarterly!B:B,"&lt;="&amp;A639)&gt;1,SUMIFS(Quarterly!D:D,Quarterly!B:B,"&gt;="&amp;A639-88,Quarterly!B:B,"&lt;="&amp;A639),SUMIFS(Quarterly!D:D,Quarterly!B:B,"&gt;="&amp;A639-92,Quarterly!B:B,"&lt;="&amp;A639)))</f>
        <v>1352.85</v>
      </c>
      <c r="N639" s="13">
        <f t="shared" si="298"/>
        <v>9.5220000000000013E-2</v>
      </c>
      <c r="O639">
        <f t="shared" si="286"/>
        <v>1288.22</v>
      </c>
      <c r="P639" s="56">
        <f>VLOOKUP(EOMONTH(A639,-1),Economic!A:I,7,FALSE)</f>
        <v>1058390</v>
      </c>
      <c r="Q639" s="13">
        <f t="shared" si="287"/>
        <v>0.1217</v>
      </c>
      <c r="R639" s="41">
        <v>0.08</v>
      </c>
      <c r="S639">
        <f t="shared" si="288"/>
        <v>0.71</v>
      </c>
      <c r="T639" s="30">
        <f t="shared" si="289"/>
        <v>142.28</v>
      </c>
      <c r="U639" s="30">
        <f t="shared" si="296"/>
        <v>143.51</v>
      </c>
    </row>
    <row r="640" spans="1:21" ht="15" customHeight="1" x14ac:dyDescent="0.25">
      <c r="A640" s="5">
        <v>38865</v>
      </c>
      <c r="B640" s="5">
        <f t="shared" si="290"/>
        <v>38868</v>
      </c>
      <c r="C640">
        <v>1280.1600000000001</v>
      </c>
      <c r="D640" s="29">
        <f t="shared" si="291"/>
        <v>-1.4200000000000001E-2</v>
      </c>
      <c r="E640" s="39">
        <f t="shared" si="292"/>
        <v>1295.7246153846156</v>
      </c>
      <c r="F640" s="39">
        <f t="shared" si="293"/>
        <v>1262.8835897435899</v>
      </c>
      <c r="G640" s="29">
        <f t="shared" si="285"/>
        <v>-1.2E-2</v>
      </c>
      <c r="H640" s="29">
        <f t="shared" si="285"/>
        <v>1.37E-2</v>
      </c>
      <c r="I640">
        <f t="shared" si="294"/>
        <v>1280.1600000000001</v>
      </c>
      <c r="J640">
        <f>IF(A640&gt;=Quarterly!B$2,Quarterly!C$2,IF(COUNTIFS(Quarterly!B:B,"&gt;="&amp;A640-92,Quarterly!B:B,"&lt;="&amp;A640)&gt;1,SUMIFS(Quarterly!C:C,Quarterly!B:B,"&gt;="&amp;A640-88,Quarterly!B:B,"&lt;="&amp;A640),SUMIFS(Quarterly!C:C,Quarterly!B:B,"&gt;="&amp;A640-92,Quarterly!B:B,"&lt;="&amp;A640)))</f>
        <v>13648.9</v>
      </c>
      <c r="K640" s="13">
        <f t="shared" si="295"/>
        <v>9.3799999999999994E-2</v>
      </c>
      <c r="L640">
        <f t="shared" si="297"/>
        <v>1280.1600000000001</v>
      </c>
      <c r="M640">
        <f>IF(A640&gt;=Quarterly!B$2,Quarterly!D$2,IF(COUNTIFS(Quarterly!B:B,"&gt;="&amp;A640-92,Quarterly!B:B,"&lt;="&amp;A640)&gt;1,SUMIFS(Quarterly!D:D,Quarterly!B:B,"&gt;="&amp;A640-88,Quarterly!B:B,"&lt;="&amp;A640),SUMIFS(Quarterly!D:D,Quarterly!B:B,"&gt;="&amp;A640-92,Quarterly!B:B,"&lt;="&amp;A640)))</f>
        <v>1352.85</v>
      </c>
      <c r="N640" s="13">
        <f t="shared" si="298"/>
        <v>9.4630000000000006E-2</v>
      </c>
      <c r="O640">
        <f t="shared" si="286"/>
        <v>1280.1600000000001</v>
      </c>
      <c r="P640" s="56">
        <f>VLOOKUP(EOMONTH(A640,-1),Economic!A:I,7,FALSE)</f>
        <v>1053407</v>
      </c>
      <c r="Q640" s="13">
        <f t="shared" si="287"/>
        <v>0.1215</v>
      </c>
      <c r="R640" s="41">
        <v>0.1</v>
      </c>
      <c r="S640">
        <f t="shared" si="288"/>
        <v>0.72</v>
      </c>
      <c r="T640" s="30">
        <f t="shared" si="289"/>
        <v>142.83000000000001</v>
      </c>
      <c r="U640" s="30">
        <f t="shared" si="296"/>
        <v>144.49</v>
      </c>
    </row>
    <row r="641" spans="1:21" ht="15" customHeight="1" x14ac:dyDescent="0.25">
      <c r="A641" s="5">
        <v>38858</v>
      </c>
      <c r="B641" s="5">
        <f t="shared" si="290"/>
        <v>38868</v>
      </c>
      <c r="C641">
        <v>1267.03</v>
      </c>
      <c r="D641" s="29">
        <f t="shared" si="291"/>
        <v>-3.2599999999999997E-2</v>
      </c>
      <c r="E641" s="39">
        <f t="shared" si="292"/>
        <v>1296.4376923076923</v>
      </c>
      <c r="F641" s="39">
        <f t="shared" si="293"/>
        <v>1260.9589743589745</v>
      </c>
      <c r="G641" s="29">
        <f t="shared" si="285"/>
        <v>-2.2700000000000001E-2</v>
      </c>
      <c r="H641" s="29">
        <f t="shared" si="285"/>
        <v>4.7999999999999996E-3</v>
      </c>
      <c r="I641">
        <f t="shared" si="294"/>
        <v>1267.03</v>
      </c>
      <c r="J641">
        <f>IF(A641&gt;=Quarterly!B$2,Quarterly!C$2,IF(COUNTIFS(Quarterly!B:B,"&gt;="&amp;A641-92,Quarterly!B:B,"&lt;="&amp;A641)&gt;1,SUMIFS(Quarterly!C:C,Quarterly!B:B,"&gt;="&amp;A641-88,Quarterly!B:B,"&lt;="&amp;A641),SUMIFS(Quarterly!C:C,Quarterly!B:B,"&gt;="&amp;A641-92,Quarterly!B:B,"&lt;="&amp;A641)))</f>
        <v>13648.9</v>
      </c>
      <c r="K641" s="13">
        <f t="shared" si="295"/>
        <v>9.2799999999999994E-2</v>
      </c>
      <c r="L641">
        <f t="shared" si="297"/>
        <v>1267.03</v>
      </c>
      <c r="M641">
        <f>IF(A641&gt;=Quarterly!B$2,Quarterly!D$2,IF(COUNTIFS(Quarterly!B:B,"&gt;="&amp;A641-92,Quarterly!B:B,"&lt;="&amp;A641)&gt;1,SUMIFS(Quarterly!D:D,Quarterly!B:B,"&gt;="&amp;A641-88,Quarterly!B:B,"&lt;="&amp;A641),SUMIFS(Quarterly!D:D,Quarterly!B:B,"&gt;="&amp;A641-92,Quarterly!B:B,"&lt;="&amp;A641)))</f>
        <v>1352.85</v>
      </c>
      <c r="N641" s="13">
        <f t="shared" si="298"/>
        <v>9.3660000000000007E-2</v>
      </c>
      <c r="O641">
        <f t="shared" si="286"/>
        <v>1267.03</v>
      </c>
      <c r="P641" s="56">
        <f>VLOOKUP(EOMONTH(A641,-1),Economic!A:I,7,FALSE)</f>
        <v>1053407</v>
      </c>
      <c r="Q641" s="13">
        <f t="shared" si="287"/>
        <v>0.1203</v>
      </c>
      <c r="R641" s="41">
        <v>0.09</v>
      </c>
      <c r="S641">
        <f t="shared" si="288"/>
        <v>0.79</v>
      </c>
      <c r="T641" s="30">
        <f t="shared" si="289"/>
        <v>145.41999999999999</v>
      </c>
      <c r="U641" s="30">
        <f t="shared" si="296"/>
        <v>144.07</v>
      </c>
    </row>
    <row r="642" spans="1:21" ht="15" customHeight="1" x14ac:dyDescent="0.25">
      <c r="A642" s="5">
        <v>38851</v>
      </c>
      <c r="B642" s="5">
        <f t="shared" si="290"/>
        <v>38868</v>
      </c>
      <c r="C642">
        <v>1291.24</v>
      </c>
      <c r="D642" s="29">
        <f t="shared" si="291"/>
        <v>-1.37E-2</v>
      </c>
      <c r="E642" s="39">
        <f t="shared" si="292"/>
        <v>1297.9923076923078</v>
      </c>
      <c r="F642" s="39">
        <f t="shared" si="293"/>
        <v>1259.7456410256411</v>
      </c>
      <c r="G642" s="29">
        <f t="shared" ref="G642:H705" si="299">ROUND(($C642-E642)/E642,4)</f>
        <v>-5.1999999999999998E-3</v>
      </c>
      <c r="H642" s="29">
        <f t="shared" si="299"/>
        <v>2.5000000000000001E-2</v>
      </c>
      <c r="I642">
        <f t="shared" si="294"/>
        <v>1291.24</v>
      </c>
      <c r="J642">
        <f>IF(A642&gt;=Quarterly!B$2,Quarterly!C$2,IF(COUNTIFS(Quarterly!B:B,"&gt;="&amp;A642-92,Quarterly!B:B,"&lt;="&amp;A642)&gt;1,SUMIFS(Quarterly!C:C,Quarterly!B:B,"&gt;="&amp;A642-88,Quarterly!B:B,"&lt;="&amp;A642),SUMIFS(Quarterly!C:C,Quarterly!B:B,"&gt;="&amp;A642-92,Quarterly!B:B,"&lt;="&amp;A642)))</f>
        <v>13648.9</v>
      </c>
      <c r="K642" s="13">
        <f t="shared" si="295"/>
        <v>9.4600000000000004E-2</v>
      </c>
      <c r="L642">
        <f t="shared" si="297"/>
        <v>1291.24</v>
      </c>
      <c r="M642">
        <f>IF(A642&gt;=Quarterly!B$2,Quarterly!D$2,IF(COUNTIFS(Quarterly!B:B,"&gt;="&amp;A642-92,Quarterly!B:B,"&lt;="&amp;A642)&gt;1,SUMIFS(Quarterly!D:D,Quarterly!B:B,"&gt;="&amp;A642-88,Quarterly!B:B,"&lt;="&amp;A642),SUMIFS(Quarterly!D:D,Quarterly!B:B,"&gt;="&amp;A642-92,Quarterly!B:B,"&lt;="&amp;A642)))</f>
        <v>1352.85</v>
      </c>
      <c r="N642" s="13">
        <f t="shared" si="298"/>
        <v>9.5450000000000007E-2</v>
      </c>
      <c r="O642">
        <f t="shared" si="286"/>
        <v>1291.24</v>
      </c>
      <c r="P642" s="56">
        <f>VLOOKUP(EOMONTH(A642,-1),Economic!A:I,7,FALSE)</f>
        <v>1053407</v>
      </c>
      <c r="Q642" s="13">
        <f t="shared" si="287"/>
        <v>0.12260000000000001</v>
      </c>
      <c r="R642" s="41">
        <v>0.18</v>
      </c>
      <c r="S642">
        <f t="shared" si="288"/>
        <v>0.83</v>
      </c>
      <c r="T642" s="30">
        <f t="shared" si="289"/>
        <v>145.22</v>
      </c>
      <c r="U642" s="30">
        <f t="shared" si="296"/>
        <v>143.05000000000001</v>
      </c>
    </row>
    <row r="643" spans="1:21" ht="15" customHeight="1" x14ac:dyDescent="0.25">
      <c r="A643" s="5">
        <v>38844</v>
      </c>
      <c r="B643" s="5">
        <f t="shared" si="290"/>
        <v>38868</v>
      </c>
      <c r="C643">
        <v>1325.76</v>
      </c>
      <c r="D643" s="29">
        <f t="shared" si="291"/>
        <v>1.8499999999999999E-2</v>
      </c>
      <c r="E643" s="39">
        <f t="shared" si="292"/>
        <v>1296.1269230769233</v>
      </c>
      <c r="F643" s="39">
        <f t="shared" si="293"/>
        <v>1258.1853846153847</v>
      </c>
      <c r="G643" s="29">
        <f t="shared" si="299"/>
        <v>2.29E-2</v>
      </c>
      <c r="H643" s="29">
        <f t="shared" si="299"/>
        <v>5.3699999999999998E-2</v>
      </c>
      <c r="I643">
        <f t="shared" si="294"/>
        <v>1325.76</v>
      </c>
      <c r="J643">
        <f>IF(A643&gt;=Quarterly!B$2,Quarterly!C$2,IF(COUNTIFS(Quarterly!B:B,"&gt;="&amp;A643-92,Quarterly!B:B,"&lt;="&amp;A643)&gt;1,SUMIFS(Quarterly!C:C,Quarterly!B:B,"&gt;="&amp;A643-88,Quarterly!B:B,"&lt;="&amp;A643),SUMIFS(Quarterly!C:C,Quarterly!B:B,"&gt;="&amp;A643-92,Quarterly!B:B,"&lt;="&amp;A643)))</f>
        <v>13648.9</v>
      </c>
      <c r="K643" s="13">
        <f t="shared" si="295"/>
        <v>9.7100000000000006E-2</v>
      </c>
      <c r="L643">
        <f t="shared" si="297"/>
        <v>1325.76</v>
      </c>
      <c r="M643">
        <f>IF(A643&gt;=Quarterly!B$2,Quarterly!D$2,IF(COUNTIFS(Quarterly!B:B,"&gt;="&amp;A643-92,Quarterly!B:B,"&lt;="&amp;A643)&gt;1,SUMIFS(Quarterly!D:D,Quarterly!B:B,"&gt;="&amp;A643-88,Quarterly!B:B,"&lt;="&amp;A643),SUMIFS(Quarterly!D:D,Quarterly!B:B,"&gt;="&amp;A643-92,Quarterly!B:B,"&lt;="&amp;A643)))</f>
        <v>1352.85</v>
      </c>
      <c r="N643" s="13">
        <f t="shared" si="298"/>
        <v>9.8000000000000004E-2</v>
      </c>
      <c r="O643">
        <f t="shared" si="286"/>
        <v>1325.76</v>
      </c>
      <c r="P643" s="56">
        <f>VLOOKUP(EOMONTH(A643,-1),Economic!A:I,7,FALSE)</f>
        <v>1053407</v>
      </c>
      <c r="Q643" s="13">
        <f t="shared" si="287"/>
        <v>0.12589999999999998</v>
      </c>
      <c r="R643" s="41">
        <v>0.18</v>
      </c>
      <c r="S643">
        <f t="shared" si="288"/>
        <v>0.75</v>
      </c>
      <c r="T643" s="30">
        <f t="shared" si="289"/>
        <v>141.58000000000001</v>
      </c>
      <c r="U643" s="30">
        <f t="shared" si="296"/>
        <v>141.44999999999999</v>
      </c>
    </row>
    <row r="644" spans="1:21" ht="15" customHeight="1" x14ac:dyDescent="0.25">
      <c r="A644" s="5">
        <v>38837</v>
      </c>
      <c r="B644" s="5">
        <f t="shared" si="290"/>
        <v>38837</v>
      </c>
      <c r="C644">
        <v>1310.6099999999999</v>
      </c>
      <c r="D644" s="29">
        <f t="shared" si="291"/>
        <v>0.01</v>
      </c>
      <c r="E644" s="39">
        <f t="shared" si="292"/>
        <v>1291.3784615384614</v>
      </c>
      <c r="F644" s="39">
        <f t="shared" si="293"/>
        <v>1255.6382051282053</v>
      </c>
      <c r="G644" s="29">
        <f t="shared" si="299"/>
        <v>1.49E-2</v>
      </c>
      <c r="H644" s="29">
        <f t="shared" si="299"/>
        <v>4.3799999999999999E-2</v>
      </c>
      <c r="I644">
        <f t="shared" si="294"/>
        <v>1310.6099999999999</v>
      </c>
      <c r="J644">
        <f>IF(A644&gt;=Quarterly!B$2,Quarterly!C$2,IF(COUNTIFS(Quarterly!B:B,"&gt;="&amp;A644-92,Quarterly!B:B,"&lt;="&amp;A644)&gt;1,SUMIFS(Quarterly!C:C,Quarterly!B:B,"&gt;="&amp;A644-88,Quarterly!B:B,"&lt;="&amp;A644),SUMIFS(Quarterly!C:C,Quarterly!B:B,"&gt;="&amp;A644-92,Quarterly!B:B,"&lt;="&amp;A644)))</f>
        <v>13648.9</v>
      </c>
      <c r="K644" s="13">
        <f t="shared" si="295"/>
        <v>9.6000000000000002E-2</v>
      </c>
      <c r="L644">
        <f t="shared" si="297"/>
        <v>1310.6099999999999</v>
      </c>
      <c r="M644">
        <f>IF(A644&gt;=Quarterly!B$2,Quarterly!D$2,IF(COUNTIFS(Quarterly!B:B,"&gt;="&amp;A644-92,Quarterly!B:B,"&lt;="&amp;A644)&gt;1,SUMIFS(Quarterly!D:D,Quarterly!B:B,"&gt;="&amp;A644-88,Quarterly!B:B,"&lt;="&amp;A644),SUMIFS(Quarterly!D:D,Quarterly!B:B,"&gt;="&amp;A644-92,Quarterly!B:B,"&lt;="&amp;A644)))</f>
        <v>1352.85</v>
      </c>
      <c r="N644" s="13">
        <f t="shared" si="298"/>
        <v>9.6880000000000008E-2</v>
      </c>
      <c r="O644">
        <f t="shared" si="286"/>
        <v>1310.6099999999999</v>
      </c>
      <c r="P644" s="56">
        <f>VLOOKUP(EOMONTH(A644,-1),Economic!A:I,7,FALSE)</f>
        <v>1046281</v>
      </c>
      <c r="Q644" s="13">
        <f t="shared" si="287"/>
        <v>0.12529999999999999</v>
      </c>
      <c r="R644" s="41">
        <v>0.2</v>
      </c>
      <c r="S644">
        <f t="shared" si="288"/>
        <v>0.73</v>
      </c>
      <c r="T644" s="30">
        <f t="shared" si="289"/>
        <v>142.35</v>
      </c>
      <c r="U644" s="30">
        <f t="shared" si="296"/>
        <v>141.02000000000001</v>
      </c>
    </row>
    <row r="645" spans="1:21" ht="15" customHeight="1" x14ac:dyDescent="0.25">
      <c r="A645" s="5">
        <v>38830</v>
      </c>
      <c r="B645" s="5">
        <f t="shared" si="290"/>
        <v>38837</v>
      </c>
      <c r="C645">
        <v>1311.28</v>
      </c>
      <c r="D645" s="29">
        <f t="shared" si="291"/>
        <v>1.21E-2</v>
      </c>
      <c r="E645" s="39">
        <f t="shared" si="292"/>
        <v>1289.31</v>
      </c>
      <c r="F645" s="39">
        <f t="shared" si="293"/>
        <v>1253.6784615384615</v>
      </c>
      <c r="G645" s="29">
        <f t="shared" si="299"/>
        <v>1.7000000000000001E-2</v>
      </c>
      <c r="H645" s="29">
        <f t="shared" si="299"/>
        <v>4.5900000000000003E-2</v>
      </c>
      <c r="I645">
        <f t="shared" si="294"/>
        <v>1311.28</v>
      </c>
      <c r="J645">
        <f>IF(A645&gt;=Quarterly!B$2,Quarterly!C$2,IF(COUNTIFS(Quarterly!B:B,"&gt;="&amp;A645-92,Quarterly!B:B,"&lt;="&amp;A645)&gt;1,SUMIFS(Quarterly!C:C,Quarterly!B:B,"&gt;="&amp;A645-88,Quarterly!B:B,"&lt;="&amp;A645),SUMIFS(Quarterly!C:C,Quarterly!B:B,"&gt;="&amp;A645-92,Quarterly!B:B,"&lt;="&amp;A645)))</f>
        <v>13381.6</v>
      </c>
      <c r="K645" s="13">
        <f t="shared" si="295"/>
        <v>9.8000000000000004E-2</v>
      </c>
      <c r="L645">
        <f t="shared" si="297"/>
        <v>1311.28</v>
      </c>
      <c r="M645">
        <f>IF(A645&gt;=Quarterly!B$2,Quarterly!D$2,IF(COUNTIFS(Quarterly!B:B,"&gt;="&amp;A645-92,Quarterly!B:B,"&lt;="&amp;A645)&gt;1,SUMIFS(Quarterly!D:D,Quarterly!B:B,"&gt;="&amp;A645-88,Quarterly!B:B,"&lt;="&amp;A645),SUMIFS(Quarterly!D:D,Quarterly!B:B,"&gt;="&amp;A645-92,Quarterly!B:B,"&lt;="&amp;A645)))</f>
        <v>1319.9570000000001</v>
      </c>
      <c r="N645" s="13">
        <f t="shared" si="298"/>
        <v>9.9339999999999998E-2</v>
      </c>
      <c r="O645">
        <f t="shared" si="286"/>
        <v>1311.28</v>
      </c>
      <c r="P645" s="56">
        <f>VLOOKUP(EOMONTH(A645,-1),Economic!A:I,7,FALSE)</f>
        <v>1046281</v>
      </c>
      <c r="Q645" s="13">
        <f t="shared" si="287"/>
        <v>0.12529999999999999</v>
      </c>
      <c r="R645" s="41">
        <v>0.11</v>
      </c>
      <c r="S645">
        <f t="shared" si="288"/>
        <v>0.82</v>
      </c>
      <c r="T645" s="30">
        <f t="shared" si="289"/>
        <v>140.41999999999999</v>
      </c>
      <c r="U645" s="30">
        <f t="shared" si="296"/>
        <v>140.63</v>
      </c>
    </row>
    <row r="646" spans="1:21" ht="15" customHeight="1" x14ac:dyDescent="0.25">
      <c r="A646" s="5">
        <v>38823</v>
      </c>
      <c r="B646" s="5">
        <f t="shared" si="290"/>
        <v>38837</v>
      </c>
      <c r="C646">
        <v>1289.1199999999999</v>
      </c>
      <c r="D646" s="29">
        <f t="shared" si="291"/>
        <v>-8.5000000000000006E-3</v>
      </c>
      <c r="E646" s="39">
        <f t="shared" si="292"/>
        <v>1285.48</v>
      </c>
      <c r="F646" s="39">
        <f t="shared" si="293"/>
        <v>1251.688717948718</v>
      </c>
      <c r="G646" s="29">
        <f t="shared" si="299"/>
        <v>2.8E-3</v>
      </c>
      <c r="H646" s="29">
        <f t="shared" si="299"/>
        <v>2.9899999999999999E-2</v>
      </c>
      <c r="I646">
        <f t="shared" si="294"/>
        <v>1289.1199999999999</v>
      </c>
      <c r="J646">
        <f>IF(A646&gt;=Quarterly!B$2,Quarterly!C$2,IF(COUNTIFS(Quarterly!B:B,"&gt;="&amp;A646-92,Quarterly!B:B,"&lt;="&amp;A646)&gt;1,SUMIFS(Quarterly!C:C,Quarterly!B:B,"&gt;="&amp;A646-88,Quarterly!B:B,"&lt;="&amp;A646),SUMIFS(Quarterly!C:C,Quarterly!B:B,"&gt;="&amp;A646-92,Quarterly!B:B,"&lt;="&amp;A646)))</f>
        <v>13381.6</v>
      </c>
      <c r="K646" s="13">
        <f t="shared" si="295"/>
        <v>9.6299999999999997E-2</v>
      </c>
      <c r="L646">
        <f t="shared" si="297"/>
        <v>1289.1199999999999</v>
      </c>
      <c r="M646">
        <f>IF(A646&gt;=Quarterly!B$2,Quarterly!D$2,IF(COUNTIFS(Quarterly!B:B,"&gt;="&amp;A646-92,Quarterly!B:B,"&lt;="&amp;A646)&gt;1,SUMIFS(Quarterly!D:D,Quarterly!B:B,"&gt;="&amp;A646-88,Quarterly!B:B,"&lt;="&amp;A646),SUMIFS(Quarterly!D:D,Quarterly!B:B,"&gt;="&amp;A646-92,Quarterly!B:B,"&lt;="&amp;A646)))</f>
        <v>1319.9570000000001</v>
      </c>
      <c r="N646" s="13">
        <f t="shared" si="298"/>
        <v>9.7660000000000011E-2</v>
      </c>
      <c r="O646">
        <f t="shared" ref="O646:O709" si="300">C646</f>
        <v>1289.1199999999999</v>
      </c>
      <c r="P646" s="56">
        <f>VLOOKUP(EOMONTH(A646,-1),Economic!A:I,7,FALSE)</f>
        <v>1046281</v>
      </c>
      <c r="Q646" s="13">
        <f t="shared" ref="Q646:Q709" si="301">ROUND(O646/P646,6)*100</f>
        <v>0.1232</v>
      </c>
      <c r="R646" s="41">
        <v>0.09</v>
      </c>
      <c r="S646">
        <f t="shared" ref="S646:S709" si="302">R707</f>
        <v>0.76</v>
      </c>
      <c r="T646" s="30">
        <f t="shared" ref="T646:T709" si="303">IF((ROUND((S646*40)+(G646*350)-(H646*100)-((N646-0.15)*350)-(((K646*10.5)-1)*270)-(Q646*100),2)+144)*0.8&lt;0,0,ROUND((ROUND((S646*40)+(G646*350)-(H646*100)-((N646-0.15)*350)-(((K646*10.5)-1)*270)-(Q646*100),2)+144)*0.8,2))</f>
        <v>140.30000000000001</v>
      </c>
      <c r="U646" s="30">
        <f t="shared" si="296"/>
        <v>142.04</v>
      </c>
    </row>
    <row r="647" spans="1:21" ht="15" customHeight="1" x14ac:dyDescent="0.25">
      <c r="A647" s="5">
        <v>38816</v>
      </c>
      <c r="B647" s="5">
        <f t="shared" si="290"/>
        <v>38837</v>
      </c>
      <c r="C647">
        <v>1295.5</v>
      </c>
      <c r="D647" s="29">
        <f t="shared" si="291"/>
        <v>-8.9999999999999998E-4</v>
      </c>
      <c r="E647" s="39">
        <f t="shared" si="292"/>
        <v>1285.3638461538462</v>
      </c>
      <c r="F647" s="39">
        <f t="shared" si="293"/>
        <v>1250.1194871794874</v>
      </c>
      <c r="G647" s="29">
        <f t="shared" si="299"/>
        <v>7.9000000000000008E-3</v>
      </c>
      <c r="H647" s="29">
        <f t="shared" si="299"/>
        <v>3.6299999999999999E-2</v>
      </c>
      <c r="I647">
        <f t="shared" si="294"/>
        <v>1295.5</v>
      </c>
      <c r="J647">
        <f>IF(A647&gt;=Quarterly!B$2,Quarterly!C$2,IF(COUNTIFS(Quarterly!B:B,"&gt;="&amp;A647-92,Quarterly!B:B,"&lt;="&amp;A647)&gt;1,SUMIFS(Quarterly!C:C,Quarterly!B:B,"&gt;="&amp;A647-88,Quarterly!B:B,"&lt;="&amp;A647),SUMIFS(Quarterly!C:C,Quarterly!B:B,"&gt;="&amp;A647-92,Quarterly!B:B,"&lt;="&amp;A647)))</f>
        <v>13381.6</v>
      </c>
      <c r="K647" s="13">
        <f t="shared" si="295"/>
        <v>9.6799999999999997E-2</v>
      </c>
      <c r="L647">
        <f t="shared" si="297"/>
        <v>1295.5</v>
      </c>
      <c r="M647">
        <f>IF(A647&gt;=Quarterly!B$2,Quarterly!D$2,IF(COUNTIFS(Quarterly!B:B,"&gt;="&amp;A647-92,Quarterly!B:B,"&lt;="&amp;A647)&gt;1,SUMIFS(Quarterly!D:D,Quarterly!B:B,"&gt;="&amp;A647-88,Quarterly!B:B,"&lt;="&amp;A647),SUMIFS(Quarterly!D:D,Quarterly!B:B,"&gt;="&amp;A647-92,Quarterly!B:B,"&lt;="&amp;A647)))</f>
        <v>1319.9570000000001</v>
      </c>
      <c r="N647" s="13">
        <f t="shared" si="298"/>
        <v>9.8150000000000015E-2</v>
      </c>
      <c r="O647">
        <f t="shared" si="300"/>
        <v>1295.5</v>
      </c>
      <c r="P647" s="56">
        <f>VLOOKUP(EOMONTH(A647,-1),Economic!A:I,7,FALSE)</f>
        <v>1046281</v>
      </c>
      <c r="Q647" s="13">
        <f t="shared" si="301"/>
        <v>0.12379999999999999</v>
      </c>
      <c r="R647" s="41">
        <v>0.08</v>
      </c>
      <c r="S647">
        <f t="shared" si="302"/>
        <v>0.8</v>
      </c>
      <c r="T647" s="30">
        <f t="shared" si="303"/>
        <v>141.18</v>
      </c>
      <c r="U647" s="30">
        <f t="shared" si="296"/>
        <v>144.51</v>
      </c>
    </row>
    <row r="648" spans="1:21" ht="15" customHeight="1" x14ac:dyDescent="0.25">
      <c r="A648" s="5">
        <v>38809</v>
      </c>
      <c r="B648" s="5">
        <f t="shared" si="290"/>
        <v>38837</v>
      </c>
      <c r="C648">
        <v>1294.8699999999999</v>
      </c>
      <c r="D648" s="29">
        <f t="shared" si="291"/>
        <v>1E-4</v>
      </c>
      <c r="E648" s="39">
        <f t="shared" si="292"/>
        <v>1284.5907692307692</v>
      </c>
      <c r="F648" s="39">
        <f t="shared" si="293"/>
        <v>1247.9748717948719</v>
      </c>
      <c r="G648" s="29">
        <f t="shared" si="299"/>
        <v>8.0000000000000002E-3</v>
      </c>
      <c r="H648" s="29">
        <f t="shared" si="299"/>
        <v>3.7600000000000001E-2</v>
      </c>
      <c r="I648">
        <f t="shared" si="294"/>
        <v>1294.8699999999999</v>
      </c>
      <c r="J648">
        <f>IF(A648&gt;=Quarterly!B$2,Quarterly!C$2,IF(COUNTIFS(Quarterly!B:B,"&gt;="&amp;A648-92,Quarterly!B:B,"&lt;="&amp;A648)&gt;1,SUMIFS(Quarterly!C:C,Quarterly!B:B,"&gt;="&amp;A648-88,Quarterly!B:B,"&lt;="&amp;A648),SUMIFS(Quarterly!C:C,Quarterly!B:B,"&gt;="&amp;A648-92,Quarterly!B:B,"&lt;="&amp;A648)))</f>
        <v>13381.6</v>
      </c>
      <c r="K648" s="13">
        <f t="shared" si="295"/>
        <v>9.6799999999999997E-2</v>
      </c>
      <c r="L648">
        <f t="shared" si="297"/>
        <v>1294.8699999999999</v>
      </c>
      <c r="M648">
        <f>IF(A648&gt;=Quarterly!B$2,Quarterly!D$2,IF(COUNTIFS(Quarterly!B:B,"&gt;="&amp;A648-92,Quarterly!B:B,"&lt;="&amp;A648)&gt;1,SUMIFS(Quarterly!D:D,Quarterly!B:B,"&gt;="&amp;A648-88,Quarterly!B:B,"&lt;="&amp;A648),SUMIFS(Quarterly!D:D,Quarterly!B:B,"&gt;="&amp;A648-92,Quarterly!B:B,"&lt;="&amp;A648)))</f>
        <v>1319.9570000000001</v>
      </c>
      <c r="N648" s="13">
        <f t="shared" si="298"/>
        <v>9.8100000000000007E-2</v>
      </c>
      <c r="O648">
        <f t="shared" si="300"/>
        <v>1294.8699999999999</v>
      </c>
      <c r="P648" s="56">
        <f>VLOOKUP(EOMONTH(A648,-1),Economic!A:I,7,FALSE)</f>
        <v>1046281</v>
      </c>
      <c r="Q648" s="13">
        <f t="shared" si="301"/>
        <v>0.12379999999999999</v>
      </c>
      <c r="R648" s="41">
        <v>0.04</v>
      </c>
      <c r="S648">
        <f t="shared" si="302"/>
        <v>0.91</v>
      </c>
      <c r="T648" s="30">
        <f t="shared" si="303"/>
        <v>144.63999999999999</v>
      </c>
      <c r="U648" s="30">
        <f t="shared" si="296"/>
        <v>146.66999999999999</v>
      </c>
    </row>
    <row r="649" spans="1:21" ht="15" customHeight="1" x14ac:dyDescent="0.25">
      <c r="A649" s="5">
        <v>38802</v>
      </c>
      <c r="B649" s="5">
        <f t="shared" si="290"/>
        <v>38807</v>
      </c>
      <c r="C649">
        <v>1302.95</v>
      </c>
      <c r="D649" s="29">
        <f t="shared" si="291"/>
        <v>8.9999999999999993E-3</v>
      </c>
      <c r="E649" s="39">
        <f t="shared" si="292"/>
        <v>1281.0076923076924</v>
      </c>
      <c r="F649" s="39">
        <f t="shared" si="293"/>
        <v>1245.3997435897436</v>
      </c>
      <c r="G649" s="29">
        <f t="shared" si="299"/>
        <v>1.7100000000000001E-2</v>
      </c>
      <c r="H649" s="29">
        <f t="shared" si="299"/>
        <v>4.6199999999999998E-2</v>
      </c>
      <c r="I649">
        <f t="shared" si="294"/>
        <v>1302.95</v>
      </c>
      <c r="J649">
        <f>IF(A649&gt;=Quarterly!B$2,Quarterly!C$2,IF(COUNTIFS(Quarterly!B:B,"&gt;="&amp;A649-92,Quarterly!B:B,"&lt;="&amp;A649)&gt;1,SUMIFS(Quarterly!C:C,Quarterly!B:B,"&gt;="&amp;A649-88,Quarterly!B:B,"&lt;="&amp;A649),SUMIFS(Quarterly!C:C,Quarterly!B:B,"&gt;="&amp;A649-92,Quarterly!B:B,"&lt;="&amp;A649)))</f>
        <v>13381.6</v>
      </c>
      <c r="K649" s="13">
        <f t="shared" si="295"/>
        <v>9.74E-2</v>
      </c>
      <c r="L649">
        <f t="shared" si="297"/>
        <v>1302.95</v>
      </c>
      <c r="M649">
        <f>IF(A649&gt;=Quarterly!B$2,Quarterly!D$2,IF(COUNTIFS(Quarterly!B:B,"&gt;="&amp;A649-92,Quarterly!B:B,"&lt;="&amp;A649)&gt;1,SUMIFS(Quarterly!D:D,Quarterly!B:B,"&gt;="&amp;A649-88,Quarterly!B:B,"&lt;="&amp;A649),SUMIFS(Quarterly!D:D,Quarterly!B:B,"&gt;="&amp;A649-92,Quarterly!B:B,"&lt;="&amp;A649)))</f>
        <v>1319.9570000000001</v>
      </c>
      <c r="N649" s="13">
        <f t="shared" si="298"/>
        <v>9.8710000000000006E-2</v>
      </c>
      <c r="O649">
        <f t="shared" si="300"/>
        <v>1302.95</v>
      </c>
      <c r="P649" s="56">
        <f>VLOOKUP(EOMONTH(A649,-1),Economic!A:I,7,FALSE)</f>
        <v>1038924</v>
      </c>
      <c r="Q649" s="13">
        <f t="shared" si="301"/>
        <v>0.12539999999999998</v>
      </c>
      <c r="R649" s="41">
        <v>-0.05</v>
      </c>
      <c r="S649">
        <f t="shared" si="302"/>
        <v>1</v>
      </c>
      <c r="T649" s="30">
        <f t="shared" si="303"/>
        <v>147.72</v>
      </c>
      <c r="U649" s="30">
        <f t="shared" si="296"/>
        <v>149.28</v>
      </c>
    </row>
    <row r="650" spans="1:21" ht="15" customHeight="1" x14ac:dyDescent="0.25">
      <c r="A650" s="5">
        <v>38795</v>
      </c>
      <c r="B650" s="5">
        <f t="shared" si="290"/>
        <v>38807</v>
      </c>
      <c r="C650">
        <v>1307.25</v>
      </c>
      <c r="D650" s="29">
        <f t="shared" si="291"/>
        <v>1.6299999999999999E-2</v>
      </c>
      <c r="E650" s="39">
        <f t="shared" si="292"/>
        <v>1278.3700000000001</v>
      </c>
      <c r="F650" s="39">
        <f t="shared" si="293"/>
        <v>1242.5438461538463</v>
      </c>
      <c r="G650" s="29">
        <f t="shared" si="299"/>
        <v>2.2599999999999999E-2</v>
      </c>
      <c r="H650" s="29">
        <f t="shared" si="299"/>
        <v>5.21E-2</v>
      </c>
      <c r="I650">
        <f t="shared" si="294"/>
        <v>1307.25</v>
      </c>
      <c r="J650">
        <f>IF(A650&gt;=Quarterly!B$2,Quarterly!C$2,IF(COUNTIFS(Quarterly!B:B,"&gt;="&amp;A650-92,Quarterly!B:B,"&lt;="&amp;A650)&gt;1,SUMIFS(Quarterly!C:C,Quarterly!B:B,"&gt;="&amp;A650-88,Quarterly!B:B,"&lt;="&amp;A650),SUMIFS(Quarterly!C:C,Quarterly!B:B,"&gt;="&amp;A650-92,Quarterly!B:B,"&lt;="&amp;A650)))</f>
        <v>13381.6</v>
      </c>
      <c r="K650" s="13">
        <f t="shared" si="295"/>
        <v>9.7699999999999995E-2</v>
      </c>
      <c r="L650">
        <f t="shared" si="297"/>
        <v>1307.25</v>
      </c>
      <c r="M650">
        <f>IF(A650&gt;=Quarterly!B$2,Quarterly!D$2,IF(COUNTIFS(Quarterly!B:B,"&gt;="&amp;A650-92,Quarterly!B:B,"&lt;="&amp;A650)&gt;1,SUMIFS(Quarterly!D:D,Quarterly!B:B,"&gt;="&amp;A650-88,Quarterly!B:B,"&lt;="&amp;A650),SUMIFS(Quarterly!D:D,Quarterly!B:B,"&gt;="&amp;A650-92,Quarterly!B:B,"&lt;="&amp;A650)))</f>
        <v>1319.9570000000001</v>
      </c>
      <c r="N650" s="13">
        <f t="shared" si="298"/>
        <v>9.9040000000000003E-2</v>
      </c>
      <c r="O650">
        <f t="shared" si="300"/>
        <v>1307.25</v>
      </c>
      <c r="P650" s="56">
        <f>VLOOKUP(EOMONTH(A650,-1),Economic!A:I,7,FALSE)</f>
        <v>1038924</v>
      </c>
      <c r="Q650" s="13">
        <f t="shared" si="301"/>
        <v>0.1258</v>
      </c>
      <c r="R650" s="41">
        <v>0.03</v>
      </c>
      <c r="S650">
        <f t="shared" si="302"/>
        <v>0.99</v>
      </c>
      <c r="T650" s="30">
        <f t="shared" si="303"/>
        <v>147.66</v>
      </c>
      <c r="U650" s="30">
        <f t="shared" si="296"/>
        <v>151.62</v>
      </c>
    </row>
    <row r="651" spans="1:21" ht="15" customHeight="1" x14ac:dyDescent="0.25">
      <c r="A651" s="5">
        <v>38788</v>
      </c>
      <c r="B651" s="5">
        <f t="shared" si="290"/>
        <v>38807</v>
      </c>
      <c r="C651">
        <v>1281.42</v>
      </c>
      <c r="D651" s="29">
        <f t="shared" si="291"/>
        <v>-1E-3</v>
      </c>
      <c r="E651" s="39">
        <f t="shared" si="292"/>
        <v>1275.2984615384617</v>
      </c>
      <c r="F651" s="39">
        <f t="shared" si="293"/>
        <v>1240.228717948718</v>
      </c>
      <c r="G651" s="29">
        <f t="shared" si="299"/>
        <v>4.7999999999999996E-3</v>
      </c>
      <c r="H651" s="29">
        <f t="shared" si="299"/>
        <v>3.32E-2</v>
      </c>
      <c r="I651">
        <f t="shared" si="294"/>
        <v>1281.42</v>
      </c>
      <c r="J651">
        <f>IF(A651&gt;=Quarterly!B$2,Quarterly!C$2,IF(COUNTIFS(Quarterly!B:B,"&gt;="&amp;A651-92,Quarterly!B:B,"&lt;="&amp;A651)&gt;1,SUMIFS(Quarterly!C:C,Quarterly!B:B,"&gt;="&amp;A651-88,Quarterly!B:B,"&lt;="&amp;A651),SUMIFS(Quarterly!C:C,Quarterly!B:B,"&gt;="&amp;A651-92,Quarterly!B:B,"&lt;="&amp;A651)))</f>
        <v>13381.6</v>
      </c>
      <c r="K651" s="13">
        <f t="shared" si="295"/>
        <v>9.5799999999999996E-2</v>
      </c>
      <c r="L651">
        <f t="shared" si="297"/>
        <v>1281.42</v>
      </c>
      <c r="M651">
        <f>IF(A651&gt;=Quarterly!B$2,Quarterly!D$2,IF(COUNTIFS(Quarterly!B:B,"&gt;="&amp;A651-92,Quarterly!B:B,"&lt;="&amp;A651)&gt;1,SUMIFS(Quarterly!D:D,Quarterly!B:B,"&gt;="&amp;A651-88,Quarterly!B:B,"&lt;="&amp;A651),SUMIFS(Quarterly!D:D,Quarterly!B:B,"&gt;="&amp;A651-92,Quarterly!B:B,"&lt;="&amp;A651)))</f>
        <v>1319.9570000000001</v>
      </c>
      <c r="N651" s="13">
        <f t="shared" si="298"/>
        <v>9.708E-2</v>
      </c>
      <c r="O651">
        <f t="shared" si="300"/>
        <v>1281.42</v>
      </c>
      <c r="P651" s="56">
        <f>VLOOKUP(EOMONTH(A651,-1),Economic!A:I,7,FALSE)</f>
        <v>1038924</v>
      </c>
      <c r="Q651" s="13">
        <f t="shared" si="301"/>
        <v>0.12329999999999999</v>
      </c>
      <c r="R651" s="41">
        <v>0.02</v>
      </c>
      <c r="S651">
        <f t="shared" si="302"/>
        <v>1.0900000000000001</v>
      </c>
      <c r="T651" s="30">
        <f t="shared" si="303"/>
        <v>152.44999999999999</v>
      </c>
      <c r="U651" s="30">
        <f t="shared" si="296"/>
        <v>154.51</v>
      </c>
    </row>
    <row r="652" spans="1:21" ht="15" customHeight="1" x14ac:dyDescent="0.25">
      <c r="A652" s="5">
        <v>38781</v>
      </c>
      <c r="B652" s="5">
        <f t="shared" si="290"/>
        <v>38807</v>
      </c>
      <c r="C652">
        <v>1287.23</v>
      </c>
      <c r="D652" s="29">
        <f t="shared" si="291"/>
        <v>8.0999999999999996E-3</v>
      </c>
      <c r="E652" s="39">
        <f t="shared" si="292"/>
        <v>1273.6023076923075</v>
      </c>
      <c r="F652" s="39">
        <f t="shared" si="293"/>
        <v>1238.092564102564</v>
      </c>
      <c r="G652" s="29">
        <f t="shared" si="299"/>
        <v>1.0699999999999999E-2</v>
      </c>
      <c r="H652" s="29">
        <f t="shared" si="299"/>
        <v>3.9699999999999999E-2</v>
      </c>
      <c r="I652">
        <f t="shared" si="294"/>
        <v>1287.23</v>
      </c>
      <c r="J652">
        <f>IF(A652&gt;=Quarterly!B$2,Quarterly!C$2,IF(COUNTIFS(Quarterly!B:B,"&gt;="&amp;A652-92,Quarterly!B:B,"&lt;="&amp;A652)&gt;1,SUMIFS(Quarterly!C:C,Quarterly!B:B,"&gt;="&amp;A652-88,Quarterly!B:B,"&lt;="&amp;A652),SUMIFS(Quarterly!C:C,Quarterly!B:B,"&gt;="&amp;A652-92,Quarterly!B:B,"&lt;="&amp;A652)))</f>
        <v>13381.6</v>
      </c>
      <c r="K652" s="13">
        <f t="shared" si="295"/>
        <v>9.6199999999999994E-2</v>
      </c>
      <c r="L652">
        <f t="shared" si="297"/>
        <v>1287.23</v>
      </c>
      <c r="M652">
        <f>IF(A652&gt;=Quarterly!B$2,Quarterly!D$2,IF(COUNTIFS(Quarterly!B:B,"&gt;="&amp;A652-92,Quarterly!B:B,"&lt;="&amp;A652)&gt;1,SUMIFS(Quarterly!D:D,Quarterly!B:B,"&gt;="&amp;A652-88,Quarterly!B:B,"&lt;="&amp;A652),SUMIFS(Quarterly!D:D,Quarterly!B:B,"&gt;="&amp;A652-92,Quarterly!B:B,"&lt;="&amp;A652)))</f>
        <v>1319.9570000000001</v>
      </c>
      <c r="N652" s="13">
        <f t="shared" si="298"/>
        <v>9.7519999999999996E-2</v>
      </c>
      <c r="O652">
        <f t="shared" si="300"/>
        <v>1287.23</v>
      </c>
      <c r="P652" s="56">
        <f>VLOOKUP(EOMONTH(A652,-1),Economic!A:I,7,FALSE)</f>
        <v>1038924</v>
      </c>
      <c r="Q652" s="13">
        <f t="shared" si="301"/>
        <v>0.12390000000000001</v>
      </c>
      <c r="R652" s="41">
        <v>-0.08</v>
      </c>
      <c r="S652">
        <f t="shared" si="302"/>
        <v>1.1599999999999999</v>
      </c>
      <c r="T652" s="30">
        <f t="shared" si="303"/>
        <v>154.74</v>
      </c>
      <c r="U652" s="30">
        <f t="shared" si="296"/>
        <v>155.62</v>
      </c>
    </row>
    <row r="653" spans="1:21" ht="15" customHeight="1" x14ac:dyDescent="0.25">
      <c r="A653" s="5">
        <v>38774</v>
      </c>
      <c r="B653" s="5">
        <f t="shared" si="290"/>
        <v>38776</v>
      </c>
      <c r="C653">
        <v>1289.43</v>
      </c>
      <c r="D653" s="29">
        <f t="shared" si="291"/>
        <v>1.09E-2</v>
      </c>
      <c r="E653" s="39">
        <f t="shared" si="292"/>
        <v>1271.8984615384616</v>
      </c>
      <c r="F653" s="39">
        <f t="shared" si="293"/>
        <v>1235.7538461538461</v>
      </c>
      <c r="G653" s="29">
        <f t="shared" si="299"/>
        <v>1.38E-2</v>
      </c>
      <c r="H653" s="29">
        <f t="shared" si="299"/>
        <v>4.3400000000000001E-2</v>
      </c>
      <c r="I653">
        <f t="shared" si="294"/>
        <v>1289.43</v>
      </c>
      <c r="J653">
        <f>IF(A653&gt;=Quarterly!B$2,Quarterly!C$2,IF(COUNTIFS(Quarterly!B:B,"&gt;="&amp;A653-92,Quarterly!B:B,"&lt;="&amp;A653)&gt;1,SUMIFS(Quarterly!C:C,Quarterly!B:B,"&gt;="&amp;A653-88,Quarterly!B:B,"&lt;="&amp;A653),SUMIFS(Quarterly!C:C,Quarterly!B:B,"&gt;="&amp;A653-92,Quarterly!B:B,"&lt;="&amp;A653)))</f>
        <v>13381.6</v>
      </c>
      <c r="K653" s="13">
        <f t="shared" si="295"/>
        <v>9.64E-2</v>
      </c>
      <c r="L653">
        <f t="shared" si="297"/>
        <v>1289.43</v>
      </c>
      <c r="M653">
        <f>IF(A653&gt;=Quarterly!B$2,Quarterly!D$2,IF(COUNTIFS(Quarterly!B:B,"&gt;="&amp;A653-92,Quarterly!B:B,"&lt;="&amp;A653)&gt;1,SUMIFS(Quarterly!D:D,Quarterly!B:B,"&gt;="&amp;A653-88,Quarterly!B:B,"&lt;="&amp;A653),SUMIFS(Quarterly!D:D,Quarterly!B:B,"&gt;="&amp;A653-92,Quarterly!B:B,"&lt;="&amp;A653)))</f>
        <v>1319.9570000000001</v>
      </c>
      <c r="N653" s="13">
        <f t="shared" si="298"/>
        <v>9.7689999999999999E-2</v>
      </c>
      <c r="O653">
        <f t="shared" si="300"/>
        <v>1289.43</v>
      </c>
      <c r="P653" s="56">
        <f>VLOOKUP(EOMONTH(A653,-1),Economic!A:I,7,FALSE)</f>
        <v>1033048</v>
      </c>
      <c r="Q653" s="13">
        <f t="shared" si="301"/>
        <v>0.12479999999999999</v>
      </c>
      <c r="R653" s="41">
        <v>-0.16</v>
      </c>
      <c r="S653">
        <f t="shared" si="302"/>
        <v>1.21</v>
      </c>
      <c r="T653" s="30">
        <f t="shared" si="303"/>
        <v>156.34</v>
      </c>
      <c r="U653" s="30">
        <f t="shared" si="296"/>
        <v>156.72</v>
      </c>
    </row>
    <row r="654" spans="1:21" ht="15" customHeight="1" x14ac:dyDescent="0.25">
      <c r="A654" s="5">
        <v>38767</v>
      </c>
      <c r="B654" s="5">
        <f t="shared" si="290"/>
        <v>38776</v>
      </c>
      <c r="C654">
        <v>1287.24</v>
      </c>
      <c r="D654" s="29">
        <f t="shared" si="291"/>
        <v>1.43E-2</v>
      </c>
      <c r="E654" s="39">
        <f t="shared" si="292"/>
        <v>1270.2692307692307</v>
      </c>
      <c r="F654" s="39">
        <f t="shared" si="293"/>
        <v>1233.4294871794871</v>
      </c>
      <c r="G654" s="29">
        <f t="shared" si="299"/>
        <v>1.34E-2</v>
      </c>
      <c r="H654" s="29">
        <f t="shared" si="299"/>
        <v>4.36E-2</v>
      </c>
      <c r="I654">
        <f t="shared" si="294"/>
        <v>1287.24</v>
      </c>
      <c r="J654">
        <f>IF(A654&gt;=Quarterly!B$2,Quarterly!C$2,IF(COUNTIFS(Quarterly!B:B,"&gt;="&amp;A654-92,Quarterly!B:B,"&lt;="&amp;A654)&gt;1,SUMIFS(Quarterly!C:C,Quarterly!B:B,"&gt;="&amp;A654-88,Quarterly!B:B,"&lt;="&amp;A654),SUMIFS(Quarterly!C:C,Quarterly!B:B,"&gt;="&amp;A654-92,Quarterly!B:B,"&lt;="&amp;A654)))</f>
        <v>13381.6</v>
      </c>
      <c r="K654" s="13">
        <f t="shared" si="295"/>
        <v>9.6199999999999994E-2</v>
      </c>
      <c r="L654">
        <f t="shared" si="297"/>
        <v>1287.24</v>
      </c>
      <c r="M654">
        <f>IF(A654&gt;=Quarterly!B$2,Quarterly!D$2,IF(COUNTIFS(Quarterly!B:B,"&gt;="&amp;A654-92,Quarterly!B:B,"&lt;="&amp;A654)&gt;1,SUMIFS(Quarterly!D:D,Quarterly!B:B,"&gt;="&amp;A654-88,Quarterly!B:B,"&lt;="&amp;A654),SUMIFS(Quarterly!D:D,Quarterly!B:B,"&gt;="&amp;A654-92,Quarterly!B:B,"&lt;="&amp;A654)))</f>
        <v>1319.9570000000001</v>
      </c>
      <c r="N654" s="13">
        <f t="shared" si="298"/>
        <v>9.7519999999999996E-2</v>
      </c>
      <c r="O654">
        <f t="shared" si="300"/>
        <v>1287.24</v>
      </c>
      <c r="P654" s="56">
        <f>VLOOKUP(EOMONTH(A654,-1),Economic!A:I,7,FALSE)</f>
        <v>1033048</v>
      </c>
      <c r="Q654" s="13">
        <f t="shared" si="301"/>
        <v>0.12459999999999999</v>
      </c>
      <c r="R654" s="41">
        <v>-0.12</v>
      </c>
      <c r="S654">
        <f t="shared" si="302"/>
        <v>1.18</v>
      </c>
      <c r="T654" s="30">
        <f t="shared" si="303"/>
        <v>155.77000000000001</v>
      </c>
      <c r="U654" s="30">
        <f t="shared" si="296"/>
        <v>158.72</v>
      </c>
    </row>
    <row r="655" spans="1:21" ht="15" customHeight="1" x14ac:dyDescent="0.25">
      <c r="A655" s="5">
        <v>38760</v>
      </c>
      <c r="B655" s="5">
        <f t="shared" si="290"/>
        <v>38776</v>
      </c>
      <c r="C655">
        <v>1266.99</v>
      </c>
      <c r="D655" s="29">
        <f t="shared" si="291"/>
        <v>-5.7000000000000002E-3</v>
      </c>
      <c r="E655" s="39">
        <f t="shared" si="292"/>
        <v>1267.2715384615381</v>
      </c>
      <c r="F655" s="39">
        <f t="shared" si="293"/>
        <v>1230.9176923076921</v>
      </c>
      <c r="G655" s="29">
        <f t="shared" si="299"/>
        <v>-2.0000000000000001E-4</v>
      </c>
      <c r="H655" s="29">
        <f t="shared" si="299"/>
        <v>2.93E-2</v>
      </c>
      <c r="I655">
        <f t="shared" si="294"/>
        <v>1266.99</v>
      </c>
      <c r="J655">
        <f>IF(A655&gt;=Quarterly!B$2,Quarterly!C$2,IF(COUNTIFS(Quarterly!B:B,"&gt;="&amp;A655-92,Quarterly!B:B,"&lt;="&amp;A655)&gt;1,SUMIFS(Quarterly!C:C,Quarterly!B:B,"&gt;="&amp;A655-88,Quarterly!B:B,"&lt;="&amp;A655),SUMIFS(Quarterly!C:C,Quarterly!B:B,"&gt;="&amp;A655-92,Quarterly!B:B,"&lt;="&amp;A655)))</f>
        <v>13381.6</v>
      </c>
      <c r="K655" s="13">
        <f t="shared" si="295"/>
        <v>9.4700000000000006E-2</v>
      </c>
      <c r="L655">
        <f t="shared" si="297"/>
        <v>1266.99</v>
      </c>
      <c r="M655">
        <f>IF(A655&gt;=Quarterly!B$2,Quarterly!D$2,IF(COUNTIFS(Quarterly!B:B,"&gt;="&amp;A655-92,Quarterly!B:B,"&lt;="&amp;A655)&gt;1,SUMIFS(Quarterly!D:D,Quarterly!B:B,"&gt;="&amp;A655-88,Quarterly!B:B,"&lt;="&amp;A655),SUMIFS(Quarterly!D:D,Quarterly!B:B,"&gt;="&amp;A655-92,Quarterly!B:B,"&lt;="&amp;A655)))</f>
        <v>1319.9570000000001</v>
      </c>
      <c r="N655" s="13">
        <f t="shared" si="298"/>
        <v>9.5990000000000006E-2</v>
      </c>
      <c r="O655">
        <f t="shared" si="300"/>
        <v>1266.99</v>
      </c>
      <c r="P655" s="56">
        <f>VLOOKUP(EOMONTH(A655,-1),Economic!A:I,7,FALSE)</f>
        <v>1033048</v>
      </c>
      <c r="Q655" s="13">
        <f t="shared" si="301"/>
        <v>0.12260000000000001</v>
      </c>
      <c r="R655" s="41">
        <v>-0.1</v>
      </c>
      <c r="S655">
        <f t="shared" si="302"/>
        <v>1.21</v>
      </c>
      <c r="T655" s="30">
        <f t="shared" si="303"/>
        <v>158.06</v>
      </c>
      <c r="U655" s="30">
        <f t="shared" si="296"/>
        <v>158.1</v>
      </c>
    </row>
    <row r="656" spans="1:21" ht="15" customHeight="1" x14ac:dyDescent="0.25">
      <c r="A656" s="5">
        <v>38753</v>
      </c>
      <c r="B656" s="5">
        <f t="shared" si="290"/>
        <v>38776</v>
      </c>
      <c r="C656">
        <v>1264.03</v>
      </c>
      <c r="D656" s="29">
        <f t="shared" si="291"/>
        <v>-1.21E-2</v>
      </c>
      <c r="E656" s="39">
        <f t="shared" si="292"/>
        <v>1264.7892307692307</v>
      </c>
      <c r="F656" s="39">
        <f t="shared" si="293"/>
        <v>1228.0217948717948</v>
      </c>
      <c r="G656" s="29">
        <f t="shared" si="299"/>
        <v>-5.9999999999999995E-4</v>
      </c>
      <c r="H656" s="29">
        <f t="shared" si="299"/>
        <v>2.93E-2</v>
      </c>
      <c r="I656">
        <f t="shared" si="294"/>
        <v>1264.03</v>
      </c>
      <c r="J656">
        <f>IF(A656&gt;=Quarterly!B$2,Quarterly!C$2,IF(COUNTIFS(Quarterly!B:B,"&gt;="&amp;A656-92,Quarterly!B:B,"&lt;="&amp;A656)&gt;1,SUMIFS(Quarterly!C:C,Quarterly!B:B,"&gt;="&amp;A656-88,Quarterly!B:B,"&lt;="&amp;A656),SUMIFS(Quarterly!C:C,Quarterly!B:B,"&gt;="&amp;A656-92,Quarterly!B:B,"&lt;="&amp;A656)))</f>
        <v>13381.6</v>
      </c>
      <c r="K656" s="13">
        <f t="shared" si="295"/>
        <v>9.4500000000000001E-2</v>
      </c>
      <c r="L656">
        <f t="shared" si="297"/>
        <v>1264.03</v>
      </c>
      <c r="M656">
        <f>IF(A656&gt;=Quarterly!B$2,Quarterly!D$2,IF(COUNTIFS(Quarterly!B:B,"&gt;="&amp;A656-92,Quarterly!B:B,"&lt;="&amp;A656)&gt;1,SUMIFS(Quarterly!D:D,Quarterly!B:B,"&gt;="&amp;A656-88,Quarterly!B:B,"&lt;="&amp;A656),SUMIFS(Quarterly!D:D,Quarterly!B:B,"&gt;="&amp;A656-92,Quarterly!B:B,"&lt;="&amp;A656)))</f>
        <v>1319.9570000000001</v>
      </c>
      <c r="N656" s="13">
        <f t="shared" si="298"/>
        <v>9.5760000000000012E-2</v>
      </c>
      <c r="O656">
        <f t="shared" si="300"/>
        <v>1264.03</v>
      </c>
      <c r="P656" s="56">
        <f>VLOOKUP(EOMONTH(A656,-1),Economic!A:I,7,FALSE)</f>
        <v>1033048</v>
      </c>
      <c r="Q656" s="13">
        <f t="shared" si="301"/>
        <v>0.12240000000000001</v>
      </c>
      <c r="R656" s="41">
        <v>-0.05</v>
      </c>
      <c r="S656">
        <f t="shared" si="302"/>
        <v>1.33</v>
      </c>
      <c r="T656" s="30">
        <f t="shared" si="303"/>
        <v>162.32</v>
      </c>
      <c r="U656" s="30">
        <f t="shared" si="296"/>
        <v>157.9</v>
      </c>
    </row>
    <row r="657" spans="1:21" ht="15" customHeight="1" x14ac:dyDescent="0.25">
      <c r="A657" s="5">
        <v>38746</v>
      </c>
      <c r="B657" s="5">
        <f t="shared" si="290"/>
        <v>38748</v>
      </c>
      <c r="C657">
        <v>1283.72</v>
      </c>
      <c r="D657" s="29">
        <f t="shared" si="291"/>
        <v>1.0200000000000001E-2</v>
      </c>
      <c r="E657" s="39">
        <f t="shared" si="292"/>
        <v>1261.4130769230769</v>
      </c>
      <c r="F657" s="39">
        <f t="shared" si="293"/>
        <v>1225.6453846153845</v>
      </c>
      <c r="G657" s="29">
        <f t="shared" si="299"/>
        <v>1.77E-2</v>
      </c>
      <c r="H657" s="29">
        <f t="shared" si="299"/>
        <v>4.7399999999999998E-2</v>
      </c>
      <c r="I657">
        <f t="shared" si="294"/>
        <v>1283.72</v>
      </c>
      <c r="J657">
        <f>IF(A657&gt;=Quarterly!B$2,Quarterly!C$2,IF(COUNTIFS(Quarterly!B:B,"&gt;="&amp;A657-92,Quarterly!B:B,"&lt;="&amp;A657)&gt;1,SUMIFS(Quarterly!C:C,Quarterly!B:B,"&gt;="&amp;A657-88,Quarterly!B:B,"&lt;="&amp;A657),SUMIFS(Quarterly!C:C,Quarterly!B:B,"&gt;="&amp;A657-92,Quarterly!B:B,"&lt;="&amp;A657)))</f>
        <v>13205.4</v>
      </c>
      <c r="K657" s="13">
        <f t="shared" si="295"/>
        <v>9.7199999999999995E-2</v>
      </c>
      <c r="L657">
        <f t="shared" si="297"/>
        <v>1283.72</v>
      </c>
      <c r="M657">
        <f>IF(A657&gt;=Quarterly!B$2,Quarterly!D$2,IF(COUNTIFS(Quarterly!B:B,"&gt;="&amp;A657-92,Quarterly!B:B,"&lt;="&amp;A657)&gt;1,SUMIFS(Quarterly!D:D,Quarterly!B:B,"&gt;="&amp;A657-88,Quarterly!B:B,"&lt;="&amp;A657),SUMIFS(Quarterly!D:D,Quarterly!B:B,"&gt;="&amp;A657-92,Quarterly!B:B,"&lt;="&amp;A657)))</f>
        <v>1251.723</v>
      </c>
      <c r="N657" s="13">
        <f t="shared" si="298"/>
        <v>0.10256000000000001</v>
      </c>
      <c r="O657">
        <f t="shared" si="300"/>
        <v>1283.72</v>
      </c>
      <c r="P657" s="56">
        <f>VLOOKUP(EOMONTH(A657,-1),Economic!A:I,7,FALSE)</f>
        <v>1025976</v>
      </c>
      <c r="Q657" s="13">
        <f t="shared" si="301"/>
        <v>0.12509999999999999</v>
      </c>
      <c r="R657" s="41">
        <v>0.01</v>
      </c>
      <c r="S657">
        <f t="shared" si="302"/>
        <v>1.21</v>
      </c>
      <c r="T657" s="30">
        <f t="shared" si="303"/>
        <v>153.91</v>
      </c>
      <c r="U657" s="30">
        <f t="shared" si="296"/>
        <v>157.26</v>
      </c>
    </row>
    <row r="658" spans="1:21" ht="15" customHeight="1" x14ac:dyDescent="0.25">
      <c r="A658" s="5">
        <v>38739</v>
      </c>
      <c r="B658" s="5">
        <f t="shared" ref="B658:B721" si="304">EOMONTH(A658,0)</f>
        <v>38748</v>
      </c>
      <c r="C658">
        <v>1261.49</v>
      </c>
      <c r="D658" s="29">
        <f t="shared" ref="D658:D721" si="305">ROUND((C658-AVERAGE(C659:C662))/AVERAGE(C659:C662),4)</f>
        <v>-8.6999999999999994E-3</v>
      </c>
      <c r="E658" s="39">
        <f t="shared" ref="E658:E721" si="306">AVERAGE(C658:C670)</f>
        <v>1254.8507692307689</v>
      </c>
      <c r="F658" s="39">
        <f t="shared" ref="F658:F721" si="307">AVERAGE(C658:C696)</f>
        <v>1222.3923076923077</v>
      </c>
      <c r="G658" s="29">
        <f t="shared" si="299"/>
        <v>5.3E-3</v>
      </c>
      <c r="H658" s="29">
        <f t="shared" si="299"/>
        <v>3.2000000000000001E-2</v>
      </c>
      <c r="I658">
        <f t="shared" ref="I658:I721" si="308">C658</f>
        <v>1261.49</v>
      </c>
      <c r="J658">
        <f>IF(A658&gt;=Quarterly!B$2,Quarterly!C$2,IF(COUNTIFS(Quarterly!B:B,"&gt;="&amp;A658-92,Quarterly!B:B,"&lt;="&amp;A658)&gt;1,SUMIFS(Quarterly!C:C,Quarterly!B:B,"&gt;="&amp;A658-88,Quarterly!B:B,"&lt;="&amp;A658),SUMIFS(Quarterly!C:C,Quarterly!B:B,"&gt;="&amp;A658-92,Quarterly!B:B,"&lt;="&amp;A658)))</f>
        <v>13205.4</v>
      </c>
      <c r="K658" s="13">
        <f t="shared" ref="K658:K721" si="309">ROUND(I658/J658,4)</f>
        <v>9.5500000000000002E-2</v>
      </c>
      <c r="L658">
        <f t="shared" si="297"/>
        <v>1261.49</v>
      </c>
      <c r="M658">
        <f>IF(A658&gt;=Quarterly!B$2,Quarterly!D$2,IF(COUNTIFS(Quarterly!B:B,"&gt;="&amp;A658-92,Quarterly!B:B,"&lt;="&amp;A658)&gt;1,SUMIFS(Quarterly!D:D,Quarterly!B:B,"&gt;="&amp;A658-88,Quarterly!B:B,"&lt;="&amp;A658),SUMIFS(Quarterly!D:D,Quarterly!B:B,"&gt;="&amp;A658-92,Quarterly!B:B,"&lt;="&amp;A658)))</f>
        <v>1251.723</v>
      </c>
      <c r="N658" s="13">
        <f t="shared" si="298"/>
        <v>0.10078000000000001</v>
      </c>
      <c r="O658">
        <f t="shared" si="300"/>
        <v>1261.49</v>
      </c>
      <c r="P658" s="56">
        <f>VLOOKUP(EOMONTH(A658,-1),Economic!A:I,7,FALSE)</f>
        <v>1025976</v>
      </c>
      <c r="Q658" s="13">
        <f t="shared" si="301"/>
        <v>0.123</v>
      </c>
      <c r="R658" s="41">
        <v>0</v>
      </c>
      <c r="S658">
        <f t="shared" si="302"/>
        <v>1.25</v>
      </c>
      <c r="T658" s="30">
        <f t="shared" si="303"/>
        <v>157.47</v>
      </c>
      <c r="U658" s="30">
        <f t="shared" ref="U658:U721" si="310">ROUND(AVERAGE(T658:T660),2)</f>
        <v>160.75</v>
      </c>
    </row>
    <row r="659" spans="1:21" ht="15" customHeight="1" x14ac:dyDescent="0.25">
      <c r="A659" s="5">
        <v>38732</v>
      </c>
      <c r="B659" s="5">
        <f t="shared" si="304"/>
        <v>38748</v>
      </c>
      <c r="C659">
        <v>1287.6099999999999</v>
      </c>
      <c r="D659" s="29">
        <f t="shared" si="305"/>
        <v>1.5900000000000001E-2</v>
      </c>
      <c r="E659" s="39">
        <f t="shared" si="306"/>
        <v>1248.550769230769</v>
      </c>
      <c r="F659" s="39">
        <f t="shared" si="307"/>
        <v>1219.5879487179486</v>
      </c>
      <c r="G659" s="29">
        <f t="shared" si="299"/>
        <v>3.1300000000000001E-2</v>
      </c>
      <c r="H659" s="29">
        <f t="shared" si="299"/>
        <v>5.5800000000000002E-2</v>
      </c>
      <c r="I659">
        <f t="shared" si="308"/>
        <v>1287.6099999999999</v>
      </c>
      <c r="J659">
        <f>IF(A659&gt;=Quarterly!B$2,Quarterly!C$2,IF(COUNTIFS(Quarterly!B:B,"&gt;="&amp;A659-92,Quarterly!B:B,"&lt;="&amp;A659)&gt;1,SUMIFS(Quarterly!C:C,Quarterly!B:B,"&gt;="&amp;A659-88,Quarterly!B:B,"&lt;="&amp;A659),SUMIFS(Quarterly!C:C,Quarterly!B:B,"&gt;="&amp;A659-92,Quarterly!B:B,"&lt;="&amp;A659)))</f>
        <v>13205.4</v>
      </c>
      <c r="K659" s="13">
        <f t="shared" si="309"/>
        <v>9.7500000000000003E-2</v>
      </c>
      <c r="L659">
        <f t="shared" si="297"/>
        <v>1287.6099999999999</v>
      </c>
      <c r="M659">
        <f>IF(A659&gt;=Quarterly!B$2,Quarterly!D$2,IF(COUNTIFS(Quarterly!B:B,"&gt;="&amp;A659-92,Quarterly!B:B,"&lt;="&amp;A659)&gt;1,SUMIFS(Quarterly!D:D,Quarterly!B:B,"&gt;="&amp;A659-88,Quarterly!B:B,"&lt;="&amp;A659),SUMIFS(Quarterly!D:D,Quarterly!B:B,"&gt;="&amp;A659-92,Quarterly!B:B,"&lt;="&amp;A659)))</f>
        <v>1251.723</v>
      </c>
      <c r="N659" s="13">
        <f t="shared" si="298"/>
        <v>0.10287</v>
      </c>
      <c r="O659">
        <f t="shared" si="300"/>
        <v>1287.6099999999999</v>
      </c>
      <c r="P659" s="56">
        <f>VLOOKUP(EOMONTH(A659,-1),Economic!A:I,7,FALSE)</f>
        <v>1025976</v>
      </c>
      <c r="Q659" s="13">
        <f t="shared" si="301"/>
        <v>0.1255</v>
      </c>
      <c r="R659" s="41">
        <v>0.02</v>
      </c>
      <c r="S659">
        <f t="shared" si="302"/>
        <v>1.34</v>
      </c>
      <c r="T659" s="30">
        <f t="shared" si="303"/>
        <v>160.41</v>
      </c>
      <c r="U659" s="30">
        <f t="shared" si="310"/>
        <v>164.88</v>
      </c>
    </row>
    <row r="660" spans="1:21" ht="15" customHeight="1" x14ac:dyDescent="0.25">
      <c r="A660" s="5">
        <v>38725</v>
      </c>
      <c r="B660" s="5">
        <f t="shared" si="304"/>
        <v>38748</v>
      </c>
      <c r="C660">
        <v>1285.45</v>
      </c>
      <c r="D660" s="29">
        <f t="shared" si="305"/>
        <v>1.95E-2</v>
      </c>
      <c r="E660" s="39">
        <f t="shared" si="306"/>
        <v>1240.7784615384612</v>
      </c>
      <c r="F660" s="39">
        <f t="shared" si="307"/>
        <v>1215.8702564102564</v>
      </c>
      <c r="G660" s="29">
        <f t="shared" si="299"/>
        <v>3.5999999999999997E-2</v>
      </c>
      <c r="H660" s="29">
        <f t="shared" si="299"/>
        <v>5.7200000000000001E-2</v>
      </c>
      <c r="I660">
        <f t="shared" si="308"/>
        <v>1285.45</v>
      </c>
      <c r="J660">
        <f>IF(A660&gt;=Quarterly!B$2,Quarterly!C$2,IF(COUNTIFS(Quarterly!B:B,"&gt;="&amp;A660-92,Quarterly!B:B,"&lt;="&amp;A660)&gt;1,SUMIFS(Quarterly!C:C,Quarterly!B:B,"&gt;="&amp;A660-88,Quarterly!B:B,"&lt;="&amp;A660),SUMIFS(Quarterly!C:C,Quarterly!B:B,"&gt;="&amp;A660-92,Quarterly!B:B,"&lt;="&amp;A660)))</f>
        <v>13205.4</v>
      </c>
      <c r="K660" s="13">
        <f t="shared" si="309"/>
        <v>9.7299999999999998E-2</v>
      </c>
      <c r="L660">
        <f t="shared" si="297"/>
        <v>1285.45</v>
      </c>
      <c r="M660">
        <f>IF(A660&gt;=Quarterly!B$2,Quarterly!D$2,IF(COUNTIFS(Quarterly!B:B,"&gt;="&amp;A660-92,Quarterly!B:B,"&lt;="&amp;A660)&gt;1,SUMIFS(Quarterly!D:D,Quarterly!B:B,"&gt;="&amp;A660-88,Quarterly!B:B,"&lt;="&amp;A660),SUMIFS(Quarterly!D:D,Quarterly!B:B,"&gt;="&amp;A660-92,Quarterly!B:B,"&lt;="&amp;A660)))</f>
        <v>1251.723</v>
      </c>
      <c r="N660" s="13">
        <f t="shared" si="298"/>
        <v>0.10269</v>
      </c>
      <c r="O660">
        <f t="shared" si="300"/>
        <v>1285.45</v>
      </c>
      <c r="P660" s="56">
        <f>VLOOKUP(EOMONTH(A660,-1),Economic!A:I,7,FALSE)</f>
        <v>1025976</v>
      </c>
      <c r="Q660" s="13">
        <f t="shared" si="301"/>
        <v>0.12529999999999999</v>
      </c>
      <c r="R660" s="41">
        <v>0.02</v>
      </c>
      <c r="S660">
        <f t="shared" si="302"/>
        <v>1.41</v>
      </c>
      <c r="T660" s="30">
        <f t="shared" si="303"/>
        <v>164.37</v>
      </c>
      <c r="U660" s="30">
        <f t="shared" si="310"/>
        <v>167.31</v>
      </c>
    </row>
    <row r="661" spans="1:21" ht="15" customHeight="1" x14ac:dyDescent="0.25">
      <c r="A661" s="5">
        <v>38718</v>
      </c>
      <c r="B661" s="5">
        <f t="shared" si="304"/>
        <v>38748</v>
      </c>
      <c r="C661">
        <v>1248.29</v>
      </c>
      <c r="D661" s="29">
        <f t="shared" si="305"/>
        <v>-1.3299999999999999E-2</v>
      </c>
      <c r="E661" s="39">
        <f t="shared" si="306"/>
        <v>1233.8899999999999</v>
      </c>
      <c r="F661" s="39">
        <f t="shared" si="307"/>
        <v>1213.1971794871793</v>
      </c>
      <c r="G661" s="29">
        <f t="shared" si="299"/>
        <v>1.17E-2</v>
      </c>
      <c r="H661" s="29">
        <f t="shared" si="299"/>
        <v>2.8899999999999999E-2</v>
      </c>
      <c r="I661">
        <f t="shared" si="308"/>
        <v>1248.29</v>
      </c>
      <c r="J661">
        <f>IF(A661&gt;=Quarterly!B$2,Quarterly!C$2,IF(COUNTIFS(Quarterly!B:B,"&gt;="&amp;A661-92,Quarterly!B:B,"&lt;="&amp;A661)&gt;1,SUMIFS(Quarterly!C:C,Quarterly!B:B,"&gt;="&amp;A661-88,Quarterly!B:B,"&lt;="&amp;A661),SUMIFS(Quarterly!C:C,Quarterly!B:B,"&gt;="&amp;A661-92,Quarterly!B:B,"&lt;="&amp;A661)))</f>
        <v>13205.4</v>
      </c>
      <c r="K661" s="13">
        <f t="shared" si="309"/>
        <v>9.4500000000000001E-2</v>
      </c>
      <c r="L661">
        <f t="shared" si="297"/>
        <v>1248.29</v>
      </c>
      <c r="M661">
        <f>IF(A661&gt;=Quarterly!B$2,Quarterly!D$2,IF(COUNTIFS(Quarterly!B:B,"&gt;="&amp;A661-92,Quarterly!B:B,"&lt;="&amp;A661)&gt;1,SUMIFS(Quarterly!D:D,Quarterly!B:B,"&gt;="&amp;A661-88,Quarterly!B:B,"&lt;="&amp;A661),SUMIFS(Quarterly!D:D,Quarterly!B:B,"&gt;="&amp;A661-92,Quarterly!B:B,"&lt;="&amp;A661)))</f>
        <v>1251.723</v>
      </c>
      <c r="N661" s="13">
        <f t="shared" si="298"/>
        <v>9.9729999999999999E-2</v>
      </c>
      <c r="O661">
        <f t="shared" si="300"/>
        <v>1248.29</v>
      </c>
      <c r="P661" s="56">
        <f>VLOOKUP(EOMONTH(A661,-1),Economic!A:I,7,FALSE)</f>
        <v>1025976</v>
      </c>
      <c r="Q661" s="13">
        <f t="shared" si="301"/>
        <v>0.1217</v>
      </c>
      <c r="R661" s="41">
        <v>-0.02</v>
      </c>
      <c r="S661">
        <f t="shared" si="302"/>
        <v>1.49</v>
      </c>
      <c r="T661" s="30">
        <f t="shared" si="303"/>
        <v>169.86</v>
      </c>
      <c r="U661" s="30">
        <f t="shared" si="310"/>
        <v>169.67</v>
      </c>
    </row>
    <row r="662" spans="1:21" ht="15" customHeight="1" x14ac:dyDescent="0.25">
      <c r="A662" s="5">
        <v>38711</v>
      </c>
      <c r="B662" s="5">
        <f t="shared" si="304"/>
        <v>38717</v>
      </c>
      <c r="C662">
        <v>1268.6600000000001</v>
      </c>
      <c r="D662" s="29">
        <f t="shared" si="305"/>
        <v>2.8999999999999998E-3</v>
      </c>
      <c r="E662" s="39">
        <f t="shared" si="306"/>
        <v>1232.3915384615384</v>
      </c>
      <c r="F662" s="39">
        <f t="shared" si="307"/>
        <v>1211.2646153846151</v>
      </c>
      <c r="G662" s="29">
        <f t="shared" si="299"/>
        <v>2.9399999999999999E-2</v>
      </c>
      <c r="H662" s="29">
        <f t="shared" si="299"/>
        <v>4.7399999999999998E-2</v>
      </c>
      <c r="I662">
        <f t="shared" si="308"/>
        <v>1268.6600000000001</v>
      </c>
      <c r="J662">
        <f>IF(A662&gt;=Quarterly!B$2,Quarterly!C$2,IF(COUNTIFS(Quarterly!B:B,"&gt;="&amp;A662-92,Quarterly!B:B,"&lt;="&amp;A662)&gt;1,SUMIFS(Quarterly!C:C,Quarterly!B:B,"&gt;="&amp;A662-88,Quarterly!B:B,"&lt;="&amp;A662),SUMIFS(Quarterly!C:C,Quarterly!B:B,"&gt;="&amp;A662-92,Quarterly!B:B,"&lt;="&amp;A662)))</f>
        <v>13205.4</v>
      </c>
      <c r="K662" s="13">
        <f t="shared" si="309"/>
        <v>9.6100000000000005E-2</v>
      </c>
      <c r="L662">
        <f t="shared" si="297"/>
        <v>1268.6600000000001</v>
      </c>
      <c r="M662">
        <f>IF(A662&gt;=Quarterly!B$2,Quarterly!D$2,IF(COUNTIFS(Quarterly!B:B,"&gt;="&amp;A662-92,Quarterly!B:B,"&lt;="&amp;A662)&gt;1,SUMIFS(Quarterly!D:D,Quarterly!B:B,"&gt;="&amp;A662-88,Quarterly!B:B,"&lt;="&amp;A662),SUMIFS(Quarterly!D:D,Quarterly!B:B,"&gt;="&amp;A662-92,Quarterly!B:B,"&lt;="&amp;A662)))</f>
        <v>1251.723</v>
      </c>
      <c r="N662" s="13">
        <f t="shared" si="298"/>
        <v>0.10135000000000001</v>
      </c>
      <c r="O662">
        <f t="shared" si="300"/>
        <v>1268.6600000000001</v>
      </c>
      <c r="P662" s="56">
        <f>VLOOKUP(EOMONTH(A662,-1),Economic!A:I,7,FALSE)</f>
        <v>1015872</v>
      </c>
      <c r="Q662" s="13">
        <f t="shared" si="301"/>
        <v>0.12489999999999998</v>
      </c>
      <c r="R662" s="41">
        <v>0.01</v>
      </c>
      <c r="S662">
        <f t="shared" si="302"/>
        <v>1.45</v>
      </c>
      <c r="T662" s="30">
        <f t="shared" si="303"/>
        <v>167.71</v>
      </c>
      <c r="U662" s="30">
        <f t="shared" si="310"/>
        <v>170.44</v>
      </c>
    </row>
    <row r="663" spans="1:21" ht="15" customHeight="1" x14ac:dyDescent="0.25">
      <c r="A663" s="5">
        <v>38704</v>
      </c>
      <c r="B663" s="5">
        <f t="shared" si="304"/>
        <v>38717</v>
      </c>
      <c r="C663">
        <v>1267.32</v>
      </c>
      <c r="D663" s="29">
        <f t="shared" si="305"/>
        <v>5.5999999999999999E-3</v>
      </c>
      <c r="E663" s="39">
        <f t="shared" si="306"/>
        <v>1228.2861538461536</v>
      </c>
      <c r="F663" s="39">
        <f t="shared" si="307"/>
        <v>1208.7712820512818</v>
      </c>
      <c r="G663" s="29">
        <f t="shared" si="299"/>
        <v>3.1800000000000002E-2</v>
      </c>
      <c r="H663" s="29">
        <f t="shared" si="299"/>
        <v>4.8399999999999999E-2</v>
      </c>
      <c r="I663">
        <f t="shared" si="308"/>
        <v>1267.32</v>
      </c>
      <c r="J663">
        <f>IF(A663&gt;=Quarterly!B$2,Quarterly!C$2,IF(COUNTIFS(Quarterly!B:B,"&gt;="&amp;A663-92,Quarterly!B:B,"&lt;="&amp;A663)&gt;1,SUMIFS(Quarterly!C:C,Quarterly!B:B,"&gt;="&amp;A663-88,Quarterly!B:B,"&lt;="&amp;A663),SUMIFS(Quarterly!C:C,Quarterly!B:B,"&gt;="&amp;A663-92,Quarterly!B:B,"&lt;="&amp;A663)))</f>
        <v>13205.4</v>
      </c>
      <c r="K663" s="13">
        <f t="shared" si="309"/>
        <v>9.6000000000000002E-2</v>
      </c>
      <c r="L663">
        <f t="shared" ref="L663:L726" si="311">C663</f>
        <v>1267.32</v>
      </c>
      <c r="M663">
        <f>IF(A663&gt;=Quarterly!B$2,Quarterly!D$2,IF(COUNTIFS(Quarterly!B:B,"&gt;="&amp;A663-92,Quarterly!B:B,"&lt;="&amp;A663)&gt;1,SUMIFS(Quarterly!D:D,Quarterly!B:B,"&gt;="&amp;A663-88,Quarterly!B:B,"&lt;="&amp;A663),SUMIFS(Quarterly!D:D,Quarterly!B:B,"&gt;="&amp;A663-92,Quarterly!B:B,"&lt;="&amp;A663)))</f>
        <v>1251.723</v>
      </c>
      <c r="N663" s="13">
        <f t="shared" ref="N663:N726" si="312">ROUND(L663/M663,4)*0.1</f>
        <v>0.10125000000000001</v>
      </c>
      <c r="O663">
        <f t="shared" si="300"/>
        <v>1267.32</v>
      </c>
      <c r="P663" s="56">
        <f>VLOOKUP(EOMONTH(A663,-1),Economic!A:I,7,FALSE)</f>
        <v>1015872</v>
      </c>
      <c r="Q663" s="13">
        <f t="shared" si="301"/>
        <v>0.12479999999999999</v>
      </c>
      <c r="R663" s="41">
        <v>0.08</v>
      </c>
      <c r="S663">
        <f t="shared" si="302"/>
        <v>1.54</v>
      </c>
      <c r="T663" s="30">
        <f t="shared" si="303"/>
        <v>171.45</v>
      </c>
      <c r="U663" s="30">
        <f t="shared" si="310"/>
        <v>172.37</v>
      </c>
    </row>
    <row r="664" spans="1:21" ht="15" customHeight="1" x14ac:dyDescent="0.25">
      <c r="A664" s="5">
        <v>38697</v>
      </c>
      <c r="B664" s="5">
        <f t="shared" si="304"/>
        <v>38717</v>
      </c>
      <c r="C664">
        <v>1259.3699999999999</v>
      </c>
      <c r="D664" s="29">
        <f t="shared" si="305"/>
        <v>4.1999999999999997E-3</v>
      </c>
      <c r="E664" s="39">
        <f t="shared" si="306"/>
        <v>1226.0238461538461</v>
      </c>
      <c r="F664" s="39">
        <f t="shared" si="307"/>
        <v>1206.779743589743</v>
      </c>
      <c r="G664" s="29">
        <f t="shared" si="299"/>
        <v>2.7199999999999998E-2</v>
      </c>
      <c r="H664" s="29">
        <f t="shared" si="299"/>
        <v>4.36E-2</v>
      </c>
      <c r="I664">
        <f t="shared" si="308"/>
        <v>1259.3699999999999</v>
      </c>
      <c r="J664">
        <f>IF(A664&gt;=Quarterly!B$2,Quarterly!C$2,IF(COUNTIFS(Quarterly!B:B,"&gt;="&amp;A664-92,Quarterly!B:B,"&lt;="&amp;A664)&gt;1,SUMIFS(Quarterly!C:C,Quarterly!B:B,"&gt;="&amp;A664-88,Quarterly!B:B,"&lt;="&amp;A664),SUMIFS(Quarterly!C:C,Quarterly!B:B,"&gt;="&amp;A664-92,Quarterly!B:B,"&lt;="&amp;A664)))</f>
        <v>13205.4</v>
      </c>
      <c r="K664" s="13">
        <f t="shared" si="309"/>
        <v>9.5399999999999999E-2</v>
      </c>
      <c r="L664">
        <f t="shared" si="311"/>
        <v>1259.3699999999999</v>
      </c>
      <c r="M664">
        <f>IF(A664&gt;=Quarterly!B$2,Quarterly!D$2,IF(COUNTIFS(Quarterly!B:B,"&gt;="&amp;A664-92,Quarterly!B:B,"&lt;="&amp;A664)&gt;1,SUMIFS(Quarterly!D:D,Quarterly!B:B,"&gt;="&amp;A664-88,Quarterly!B:B,"&lt;="&amp;A664),SUMIFS(Quarterly!D:D,Quarterly!B:B,"&gt;="&amp;A664-92,Quarterly!B:B,"&lt;="&amp;A664)))</f>
        <v>1251.723</v>
      </c>
      <c r="N664" s="13">
        <f t="shared" si="312"/>
        <v>0.10061</v>
      </c>
      <c r="O664">
        <f t="shared" si="300"/>
        <v>1259.3699999999999</v>
      </c>
      <c r="P664" s="56">
        <f>VLOOKUP(EOMONTH(A664,-1),Economic!A:I,7,FALSE)</f>
        <v>1015872</v>
      </c>
      <c r="Q664" s="13">
        <f t="shared" si="301"/>
        <v>0.124</v>
      </c>
      <c r="R664" s="41">
        <v>0.11</v>
      </c>
      <c r="S664">
        <f t="shared" si="302"/>
        <v>1.54</v>
      </c>
      <c r="T664" s="30">
        <f t="shared" si="303"/>
        <v>172.15</v>
      </c>
      <c r="U664" s="30">
        <f t="shared" si="310"/>
        <v>171.56</v>
      </c>
    </row>
    <row r="665" spans="1:21" ht="15" customHeight="1" x14ac:dyDescent="0.25">
      <c r="A665" s="5">
        <v>38690</v>
      </c>
      <c r="B665" s="5">
        <f t="shared" si="304"/>
        <v>38717</v>
      </c>
      <c r="C665">
        <v>1265.08</v>
      </c>
      <c r="D665" s="29">
        <f t="shared" si="305"/>
        <v>1.7899999999999999E-2</v>
      </c>
      <c r="E665" s="39">
        <f t="shared" si="306"/>
        <v>1224.6476923076921</v>
      </c>
      <c r="F665" s="39">
        <f t="shared" si="307"/>
        <v>1205.259487179487</v>
      </c>
      <c r="G665" s="29">
        <f t="shared" si="299"/>
        <v>3.3000000000000002E-2</v>
      </c>
      <c r="H665" s="29">
        <f t="shared" si="299"/>
        <v>4.9599999999999998E-2</v>
      </c>
      <c r="I665">
        <f t="shared" si="308"/>
        <v>1265.08</v>
      </c>
      <c r="J665">
        <f>IF(A665&gt;=Quarterly!B$2,Quarterly!C$2,IF(COUNTIFS(Quarterly!B:B,"&gt;="&amp;A665-92,Quarterly!B:B,"&lt;="&amp;A665)&gt;1,SUMIFS(Quarterly!C:C,Quarterly!B:B,"&gt;="&amp;A665-88,Quarterly!B:B,"&lt;="&amp;A665),SUMIFS(Quarterly!C:C,Quarterly!B:B,"&gt;="&amp;A665-92,Quarterly!B:B,"&lt;="&amp;A665)))</f>
        <v>13205.4</v>
      </c>
      <c r="K665" s="13">
        <f t="shared" si="309"/>
        <v>9.5799999999999996E-2</v>
      </c>
      <c r="L665">
        <f t="shared" si="311"/>
        <v>1265.08</v>
      </c>
      <c r="M665">
        <f>IF(A665&gt;=Quarterly!B$2,Quarterly!D$2,IF(COUNTIFS(Quarterly!B:B,"&gt;="&amp;A665-92,Quarterly!B:B,"&lt;="&amp;A665)&gt;1,SUMIFS(Quarterly!D:D,Quarterly!B:B,"&gt;="&amp;A665-88,Quarterly!B:B,"&lt;="&amp;A665),SUMIFS(Quarterly!D:D,Quarterly!B:B,"&gt;="&amp;A665-92,Quarterly!B:B,"&lt;="&amp;A665)))</f>
        <v>1251.723</v>
      </c>
      <c r="N665" s="13">
        <f t="shared" si="312"/>
        <v>0.10106999999999999</v>
      </c>
      <c r="O665">
        <f t="shared" si="300"/>
        <v>1265.08</v>
      </c>
      <c r="P665" s="56">
        <f>VLOOKUP(EOMONTH(A665,-1),Economic!A:I,7,FALSE)</f>
        <v>1015872</v>
      </c>
      <c r="Q665" s="13">
        <f t="shared" si="301"/>
        <v>0.1245</v>
      </c>
      <c r="R665" s="41">
        <v>0.09</v>
      </c>
      <c r="S665">
        <f t="shared" si="302"/>
        <v>1.58</v>
      </c>
      <c r="T665" s="30">
        <f t="shared" si="303"/>
        <v>173.5</v>
      </c>
      <c r="U665" s="30">
        <f t="shared" si="310"/>
        <v>173.14</v>
      </c>
    </row>
    <row r="666" spans="1:21" ht="15" customHeight="1" x14ac:dyDescent="0.25">
      <c r="A666" s="5">
        <v>38683</v>
      </c>
      <c r="B666" s="5">
        <f t="shared" si="304"/>
        <v>38686</v>
      </c>
      <c r="C666">
        <v>1268.25</v>
      </c>
      <c r="D666" s="29">
        <f t="shared" si="305"/>
        <v>3.5000000000000003E-2</v>
      </c>
      <c r="E666" s="39">
        <f t="shared" si="306"/>
        <v>1221.0276923076924</v>
      </c>
      <c r="F666" s="39">
        <f t="shared" si="307"/>
        <v>1204.1579487179486</v>
      </c>
      <c r="G666" s="29">
        <f t="shared" si="299"/>
        <v>3.8699999999999998E-2</v>
      </c>
      <c r="H666" s="29">
        <f t="shared" si="299"/>
        <v>5.3199999999999997E-2</v>
      </c>
      <c r="I666">
        <f t="shared" si="308"/>
        <v>1268.25</v>
      </c>
      <c r="J666">
        <f>IF(A666&gt;=Quarterly!B$2,Quarterly!C$2,IF(COUNTIFS(Quarterly!B:B,"&gt;="&amp;A666-92,Quarterly!B:B,"&lt;="&amp;A666)&gt;1,SUMIFS(Quarterly!C:C,Quarterly!B:B,"&gt;="&amp;A666-88,Quarterly!B:B,"&lt;="&amp;A666),SUMIFS(Quarterly!C:C,Quarterly!B:B,"&gt;="&amp;A666-92,Quarterly!B:B,"&lt;="&amp;A666)))</f>
        <v>13205.4</v>
      </c>
      <c r="K666" s="13">
        <f t="shared" si="309"/>
        <v>9.6000000000000002E-2</v>
      </c>
      <c r="L666">
        <f t="shared" si="311"/>
        <v>1268.25</v>
      </c>
      <c r="M666">
        <f>IF(A666&gt;=Quarterly!B$2,Quarterly!D$2,IF(COUNTIFS(Quarterly!B:B,"&gt;="&amp;A666-92,Quarterly!B:B,"&lt;="&amp;A666)&gt;1,SUMIFS(Quarterly!D:D,Quarterly!B:B,"&gt;="&amp;A666-88,Quarterly!B:B,"&lt;="&amp;A666),SUMIFS(Quarterly!D:D,Quarterly!B:B,"&gt;="&amp;A666-92,Quarterly!B:B,"&lt;="&amp;A666)))</f>
        <v>1251.723</v>
      </c>
      <c r="N666" s="13">
        <f t="shared" si="312"/>
        <v>0.10132000000000002</v>
      </c>
      <c r="O666">
        <f t="shared" si="300"/>
        <v>1268.25</v>
      </c>
      <c r="P666" s="56">
        <f>VLOOKUP(EOMONTH(A666,-1),Economic!A:I,7,FALSE)</f>
        <v>1006048</v>
      </c>
      <c r="Q666" s="13">
        <f t="shared" si="301"/>
        <v>0.12609999999999999</v>
      </c>
      <c r="R666" s="41">
        <v>0.1</v>
      </c>
      <c r="S666">
        <f t="shared" si="302"/>
        <v>1.42</v>
      </c>
      <c r="T666" s="30">
        <f t="shared" si="303"/>
        <v>169.03</v>
      </c>
      <c r="U666" s="30">
        <f t="shared" si="310"/>
        <v>175.43</v>
      </c>
    </row>
    <row r="667" spans="1:21" ht="15" customHeight="1" x14ac:dyDescent="0.25">
      <c r="A667" s="5">
        <v>38676</v>
      </c>
      <c r="B667" s="5">
        <f t="shared" si="304"/>
        <v>38686</v>
      </c>
      <c r="C667">
        <v>1248.27</v>
      </c>
      <c r="D667" s="29">
        <f t="shared" si="305"/>
        <v>3.32E-2</v>
      </c>
      <c r="E667" s="39">
        <f t="shared" si="306"/>
        <v>1216.17</v>
      </c>
      <c r="F667" s="39">
        <f t="shared" si="307"/>
        <v>1202.6994871794873</v>
      </c>
      <c r="G667" s="29">
        <f t="shared" si="299"/>
        <v>2.64E-2</v>
      </c>
      <c r="H667" s="29">
        <f t="shared" si="299"/>
        <v>3.7900000000000003E-2</v>
      </c>
      <c r="I667">
        <f t="shared" si="308"/>
        <v>1248.27</v>
      </c>
      <c r="J667">
        <f>IF(A667&gt;=Quarterly!B$2,Quarterly!C$2,IF(COUNTIFS(Quarterly!B:B,"&gt;="&amp;A667-92,Quarterly!B:B,"&lt;="&amp;A667)&gt;1,SUMIFS(Quarterly!C:C,Quarterly!B:B,"&gt;="&amp;A667-88,Quarterly!B:B,"&lt;="&amp;A667),SUMIFS(Quarterly!C:C,Quarterly!B:B,"&gt;="&amp;A667-92,Quarterly!B:B,"&lt;="&amp;A667)))</f>
        <v>13205.4</v>
      </c>
      <c r="K667" s="13">
        <f t="shared" si="309"/>
        <v>9.4500000000000001E-2</v>
      </c>
      <c r="L667">
        <f t="shared" si="311"/>
        <v>1248.27</v>
      </c>
      <c r="M667">
        <f>IF(A667&gt;=Quarterly!B$2,Quarterly!D$2,IF(COUNTIFS(Quarterly!B:B,"&gt;="&amp;A667-92,Quarterly!B:B,"&lt;="&amp;A667)&gt;1,SUMIFS(Quarterly!D:D,Quarterly!B:B,"&gt;="&amp;A667-88,Quarterly!B:B,"&lt;="&amp;A667),SUMIFS(Quarterly!D:D,Quarterly!B:B,"&gt;="&amp;A667-92,Quarterly!B:B,"&lt;="&amp;A667)))</f>
        <v>1251.723</v>
      </c>
      <c r="N667" s="13">
        <f t="shared" si="312"/>
        <v>9.9720000000000003E-2</v>
      </c>
      <c r="O667">
        <f t="shared" si="300"/>
        <v>1248.27</v>
      </c>
      <c r="P667" s="56">
        <f>VLOOKUP(EOMONTH(A667,-1),Economic!A:I,7,FALSE)</f>
        <v>1006048</v>
      </c>
      <c r="Q667" s="13">
        <f t="shared" si="301"/>
        <v>0.12409999999999999</v>
      </c>
      <c r="R667" s="41">
        <v>0.1</v>
      </c>
      <c r="S667">
        <f t="shared" si="302"/>
        <v>1.61</v>
      </c>
      <c r="T667" s="30">
        <f t="shared" si="303"/>
        <v>176.9</v>
      </c>
      <c r="U667" s="30">
        <f t="shared" si="310"/>
        <v>179.4</v>
      </c>
    </row>
    <row r="668" spans="1:21" ht="15" customHeight="1" x14ac:dyDescent="0.25">
      <c r="A668" s="5">
        <v>38669</v>
      </c>
      <c r="B668" s="5">
        <f t="shared" si="304"/>
        <v>38686</v>
      </c>
      <c r="C668">
        <v>1234.72</v>
      </c>
      <c r="D668" s="29">
        <f t="shared" si="305"/>
        <v>3.2199999999999999E-2</v>
      </c>
      <c r="E668" s="39">
        <f t="shared" si="306"/>
        <v>1213.9730769230771</v>
      </c>
      <c r="F668" s="39">
        <f t="shared" si="307"/>
        <v>1201.5025641025641</v>
      </c>
      <c r="G668" s="29">
        <f t="shared" si="299"/>
        <v>1.7100000000000001E-2</v>
      </c>
      <c r="H668" s="29">
        <f t="shared" si="299"/>
        <v>2.76E-2</v>
      </c>
      <c r="I668">
        <f t="shared" si="308"/>
        <v>1234.72</v>
      </c>
      <c r="J668">
        <f>IF(A668&gt;=Quarterly!B$2,Quarterly!C$2,IF(COUNTIFS(Quarterly!B:B,"&gt;="&amp;A668-92,Quarterly!B:B,"&lt;="&amp;A668)&gt;1,SUMIFS(Quarterly!C:C,Quarterly!B:B,"&gt;="&amp;A668-88,Quarterly!B:B,"&lt;="&amp;A668),SUMIFS(Quarterly!C:C,Quarterly!B:B,"&gt;="&amp;A668-92,Quarterly!B:B,"&lt;="&amp;A668)))</f>
        <v>13205.4</v>
      </c>
      <c r="K668" s="13">
        <f t="shared" si="309"/>
        <v>9.35E-2</v>
      </c>
      <c r="L668">
        <f t="shared" si="311"/>
        <v>1234.72</v>
      </c>
      <c r="M668">
        <f>IF(A668&gt;=Quarterly!B$2,Quarterly!D$2,IF(COUNTIFS(Quarterly!B:B,"&gt;="&amp;A668-92,Quarterly!B:B,"&lt;="&amp;A668)&gt;1,SUMIFS(Quarterly!D:D,Quarterly!B:B,"&gt;="&amp;A668-88,Quarterly!B:B,"&lt;="&amp;A668),SUMIFS(Quarterly!D:D,Quarterly!B:B,"&gt;="&amp;A668-92,Quarterly!B:B,"&lt;="&amp;A668)))</f>
        <v>1251.723</v>
      </c>
      <c r="N668" s="13">
        <f t="shared" si="312"/>
        <v>9.8640000000000005E-2</v>
      </c>
      <c r="O668">
        <f t="shared" si="300"/>
        <v>1234.72</v>
      </c>
      <c r="P668" s="56">
        <f>VLOOKUP(EOMONTH(A668,-1),Economic!A:I,7,FALSE)</f>
        <v>1006048</v>
      </c>
      <c r="Q668" s="13">
        <f t="shared" si="301"/>
        <v>0.1227</v>
      </c>
      <c r="R668" s="41">
        <v>0.11</v>
      </c>
      <c r="S668">
        <f t="shared" si="302"/>
        <v>1.69</v>
      </c>
      <c r="T668" s="30">
        <f t="shared" si="303"/>
        <v>180.37</v>
      </c>
      <c r="U668" s="30">
        <f t="shared" si="310"/>
        <v>180.01</v>
      </c>
    </row>
    <row r="669" spans="1:21" ht="15" customHeight="1" x14ac:dyDescent="0.25">
      <c r="A669" s="5">
        <v>38662</v>
      </c>
      <c r="B669" s="5">
        <f t="shared" si="304"/>
        <v>38686</v>
      </c>
      <c r="C669">
        <v>1220.1400000000001</v>
      </c>
      <c r="D669" s="29">
        <f t="shared" si="305"/>
        <v>2.52E-2</v>
      </c>
      <c r="E669" s="39">
        <f t="shared" si="306"/>
        <v>1213.6399999999999</v>
      </c>
      <c r="F669" s="39">
        <f t="shared" si="307"/>
        <v>1200.7482051282052</v>
      </c>
      <c r="G669" s="29">
        <f t="shared" si="299"/>
        <v>5.4000000000000003E-3</v>
      </c>
      <c r="H669" s="29">
        <f t="shared" si="299"/>
        <v>1.61E-2</v>
      </c>
      <c r="I669">
        <f t="shared" si="308"/>
        <v>1220.1400000000001</v>
      </c>
      <c r="J669">
        <f>IF(A669&gt;=Quarterly!B$2,Quarterly!C$2,IF(COUNTIFS(Quarterly!B:B,"&gt;="&amp;A669-92,Quarterly!B:B,"&lt;="&amp;A669)&gt;1,SUMIFS(Quarterly!C:C,Quarterly!B:B,"&gt;="&amp;A669-88,Quarterly!B:B,"&lt;="&amp;A669),SUMIFS(Quarterly!C:C,Quarterly!B:B,"&gt;="&amp;A669-92,Quarterly!B:B,"&lt;="&amp;A669)))</f>
        <v>13205.4</v>
      </c>
      <c r="K669" s="13">
        <f t="shared" si="309"/>
        <v>9.2399999999999996E-2</v>
      </c>
      <c r="L669">
        <f t="shared" si="311"/>
        <v>1220.1400000000001</v>
      </c>
      <c r="M669">
        <f>IF(A669&gt;=Quarterly!B$2,Quarterly!D$2,IF(COUNTIFS(Quarterly!B:B,"&gt;="&amp;A669-92,Quarterly!B:B,"&lt;="&amp;A669)&gt;1,SUMIFS(Quarterly!D:D,Quarterly!B:B,"&gt;="&amp;A669-88,Quarterly!B:B,"&lt;="&amp;A669),SUMIFS(Quarterly!D:D,Quarterly!B:B,"&gt;="&amp;A669-92,Quarterly!B:B,"&lt;="&amp;A669)))</f>
        <v>1251.723</v>
      </c>
      <c r="N669" s="13">
        <f t="shared" si="312"/>
        <v>9.7480000000000011E-2</v>
      </c>
      <c r="O669">
        <f t="shared" si="300"/>
        <v>1220.1400000000001</v>
      </c>
      <c r="P669" s="56">
        <f>VLOOKUP(EOMONTH(A669,-1),Economic!A:I,7,FALSE)</f>
        <v>1006048</v>
      </c>
      <c r="Q669" s="13">
        <f t="shared" si="301"/>
        <v>0.12130000000000001</v>
      </c>
      <c r="R669" s="41">
        <v>0.19</v>
      </c>
      <c r="S669">
        <f t="shared" si="302"/>
        <v>1.69</v>
      </c>
      <c r="T669" s="30">
        <f t="shared" si="303"/>
        <v>180.94</v>
      </c>
      <c r="U669" s="30">
        <f t="shared" si="310"/>
        <v>179.86</v>
      </c>
    </row>
    <row r="670" spans="1:21" ht="15" customHeight="1" x14ac:dyDescent="0.25">
      <c r="A670" s="5">
        <v>38655</v>
      </c>
      <c r="B670" s="5">
        <f t="shared" si="304"/>
        <v>38656</v>
      </c>
      <c r="C670">
        <v>1198.4100000000001</v>
      </c>
      <c r="D670" s="29">
        <f t="shared" si="305"/>
        <v>5.9999999999999995E-4</v>
      </c>
      <c r="E670" s="39">
        <f t="shared" si="306"/>
        <v>1214.123076923077</v>
      </c>
      <c r="F670" s="39">
        <f t="shared" si="307"/>
        <v>1200.309487179487</v>
      </c>
      <c r="G670" s="29">
        <f t="shared" si="299"/>
        <v>-1.29E-2</v>
      </c>
      <c r="H670" s="29">
        <f t="shared" si="299"/>
        <v>-1.6000000000000001E-3</v>
      </c>
      <c r="I670">
        <f t="shared" si="308"/>
        <v>1198.4100000000001</v>
      </c>
      <c r="J670">
        <f>IF(A670&gt;=Quarterly!B$2,Quarterly!C$2,IF(COUNTIFS(Quarterly!B:B,"&gt;="&amp;A670-92,Quarterly!B:B,"&lt;="&amp;A670)&gt;1,SUMIFS(Quarterly!C:C,Quarterly!B:B,"&gt;="&amp;A670-88,Quarterly!B:B,"&lt;="&amp;A670),SUMIFS(Quarterly!C:C,Quarterly!B:B,"&gt;="&amp;A670-92,Quarterly!B:B,"&lt;="&amp;A670)))</f>
        <v>12974.1</v>
      </c>
      <c r="K670" s="13">
        <f t="shared" si="309"/>
        <v>9.2399999999999996E-2</v>
      </c>
      <c r="L670">
        <f t="shared" si="311"/>
        <v>1198.4100000000001</v>
      </c>
      <c r="M670">
        <f>IF(A670&gt;=Quarterly!B$2,Quarterly!D$2,IF(COUNTIFS(Quarterly!B:B,"&gt;="&amp;A670-92,Quarterly!B:B,"&lt;="&amp;A670)&gt;1,SUMIFS(Quarterly!D:D,Quarterly!B:B,"&gt;="&amp;A670-88,Quarterly!B:B,"&lt;="&amp;A670),SUMIFS(Quarterly!D:D,Quarterly!B:B,"&gt;="&amp;A670-92,Quarterly!B:B,"&lt;="&amp;A670)))</f>
        <v>1206.249</v>
      </c>
      <c r="N670" s="13">
        <f t="shared" si="312"/>
        <v>9.9350000000000008E-2</v>
      </c>
      <c r="O670">
        <f t="shared" si="300"/>
        <v>1198.4100000000001</v>
      </c>
      <c r="P670" s="56">
        <f>VLOOKUP(EOMONTH(A670,-1),Economic!A:I,7,FALSE)</f>
        <v>997091</v>
      </c>
      <c r="Q670" s="13">
        <f t="shared" si="301"/>
        <v>0.1202</v>
      </c>
      <c r="R670" s="41">
        <v>0.18</v>
      </c>
      <c r="S670">
        <f t="shared" si="302"/>
        <v>1.75</v>
      </c>
      <c r="T670" s="30">
        <f t="shared" si="303"/>
        <v>178.72</v>
      </c>
      <c r="U670" s="30">
        <f t="shared" si="310"/>
        <v>178.74</v>
      </c>
    </row>
    <row r="671" spans="1:21" ht="15" customHeight="1" x14ac:dyDescent="0.25">
      <c r="A671" s="5">
        <v>38648</v>
      </c>
      <c r="B671" s="5">
        <f t="shared" si="304"/>
        <v>38656</v>
      </c>
      <c r="C671">
        <v>1179.5899999999999</v>
      </c>
      <c r="D671" s="29">
        <f t="shared" si="305"/>
        <v>-2.24E-2</v>
      </c>
      <c r="E671" s="39">
        <f t="shared" si="306"/>
        <v>1216.8746153846155</v>
      </c>
      <c r="F671" s="39">
        <f t="shared" si="307"/>
        <v>1199.6158974358973</v>
      </c>
      <c r="G671" s="29">
        <f t="shared" si="299"/>
        <v>-3.0599999999999999E-2</v>
      </c>
      <c r="H671" s="29">
        <f t="shared" si="299"/>
        <v>-1.67E-2</v>
      </c>
      <c r="I671">
        <f t="shared" si="308"/>
        <v>1179.5899999999999</v>
      </c>
      <c r="J671">
        <f>IF(A671&gt;=Quarterly!B$2,Quarterly!C$2,IF(COUNTIFS(Quarterly!B:B,"&gt;="&amp;A671-92,Quarterly!B:B,"&lt;="&amp;A671)&gt;1,SUMIFS(Quarterly!C:C,Quarterly!B:B,"&gt;="&amp;A671-88,Quarterly!B:B,"&lt;="&amp;A671),SUMIFS(Quarterly!C:C,Quarterly!B:B,"&gt;="&amp;A671-92,Quarterly!B:B,"&lt;="&amp;A671)))</f>
        <v>12974.1</v>
      </c>
      <c r="K671" s="13">
        <f t="shared" si="309"/>
        <v>9.0899999999999995E-2</v>
      </c>
      <c r="L671">
        <f t="shared" si="311"/>
        <v>1179.5899999999999</v>
      </c>
      <c r="M671">
        <f>IF(A671&gt;=Quarterly!B$2,Quarterly!D$2,IF(COUNTIFS(Quarterly!B:B,"&gt;="&amp;A671-92,Quarterly!B:B,"&lt;="&amp;A671)&gt;1,SUMIFS(Quarterly!D:D,Quarterly!B:B,"&gt;="&amp;A671-88,Quarterly!B:B,"&lt;="&amp;A671),SUMIFS(Quarterly!D:D,Quarterly!B:B,"&gt;="&amp;A671-92,Quarterly!B:B,"&lt;="&amp;A671)))</f>
        <v>1206.249</v>
      </c>
      <c r="N671" s="13">
        <f t="shared" si="312"/>
        <v>9.7790000000000002E-2</v>
      </c>
      <c r="O671">
        <f t="shared" si="300"/>
        <v>1179.5899999999999</v>
      </c>
      <c r="P671" s="56">
        <f>VLOOKUP(EOMONTH(A671,-1),Economic!A:I,7,FALSE)</f>
        <v>997091</v>
      </c>
      <c r="Q671" s="13">
        <f t="shared" si="301"/>
        <v>0.1183</v>
      </c>
      <c r="R671" s="41">
        <v>0.17</v>
      </c>
      <c r="S671">
        <f t="shared" si="302"/>
        <v>1.78</v>
      </c>
      <c r="T671" s="30">
        <f t="shared" si="303"/>
        <v>179.92</v>
      </c>
      <c r="U671" s="30">
        <f t="shared" si="310"/>
        <v>178.96</v>
      </c>
    </row>
    <row r="672" spans="1:21" ht="15" customHeight="1" x14ac:dyDescent="0.25">
      <c r="A672" s="5">
        <v>38641</v>
      </c>
      <c r="B672" s="5">
        <f t="shared" si="304"/>
        <v>38656</v>
      </c>
      <c r="C672">
        <v>1186.57</v>
      </c>
      <c r="D672" s="29">
        <f t="shared" si="305"/>
        <v>-2.7E-2</v>
      </c>
      <c r="E672" s="39">
        <f t="shared" si="306"/>
        <v>1221.0353846153846</v>
      </c>
      <c r="F672" s="39">
        <f t="shared" si="307"/>
        <v>1199.3153846153846</v>
      </c>
      <c r="G672" s="29">
        <f t="shared" si="299"/>
        <v>-2.8199999999999999E-2</v>
      </c>
      <c r="H672" s="29">
        <f t="shared" si="299"/>
        <v>-1.06E-2</v>
      </c>
      <c r="I672">
        <f t="shared" si="308"/>
        <v>1186.57</v>
      </c>
      <c r="J672">
        <f>IF(A672&gt;=Quarterly!B$2,Quarterly!C$2,IF(COUNTIFS(Quarterly!B:B,"&gt;="&amp;A672-92,Quarterly!B:B,"&lt;="&amp;A672)&gt;1,SUMIFS(Quarterly!C:C,Quarterly!B:B,"&gt;="&amp;A672-88,Quarterly!B:B,"&lt;="&amp;A672),SUMIFS(Quarterly!C:C,Quarterly!B:B,"&gt;="&amp;A672-92,Quarterly!B:B,"&lt;="&amp;A672)))</f>
        <v>12974.1</v>
      </c>
      <c r="K672" s="13">
        <f t="shared" si="309"/>
        <v>9.1499999999999998E-2</v>
      </c>
      <c r="L672">
        <f t="shared" si="311"/>
        <v>1186.57</v>
      </c>
      <c r="M672">
        <f>IF(A672&gt;=Quarterly!B$2,Quarterly!D$2,IF(COUNTIFS(Quarterly!B:B,"&gt;="&amp;A672-92,Quarterly!B:B,"&lt;="&amp;A672)&gt;1,SUMIFS(Quarterly!D:D,Quarterly!B:B,"&gt;="&amp;A672-88,Quarterly!B:B,"&lt;="&amp;A672),SUMIFS(Quarterly!D:D,Quarterly!B:B,"&gt;="&amp;A672-92,Quarterly!B:B,"&lt;="&amp;A672)))</f>
        <v>1206.249</v>
      </c>
      <c r="N672" s="13">
        <f t="shared" si="312"/>
        <v>9.8370000000000013E-2</v>
      </c>
      <c r="O672">
        <f t="shared" si="300"/>
        <v>1186.57</v>
      </c>
      <c r="P672" s="56">
        <f>VLOOKUP(EOMONTH(A672,-1),Economic!A:I,7,FALSE)</f>
        <v>997091</v>
      </c>
      <c r="Q672" s="13">
        <f t="shared" si="301"/>
        <v>0.11900000000000001</v>
      </c>
      <c r="R672" s="41">
        <v>0.21</v>
      </c>
      <c r="S672">
        <f t="shared" si="302"/>
        <v>1.75</v>
      </c>
      <c r="T672" s="30">
        <f t="shared" si="303"/>
        <v>177.57</v>
      </c>
      <c r="U672" s="30">
        <f t="shared" si="310"/>
        <v>178</v>
      </c>
    </row>
    <row r="673" spans="1:21" ht="15" customHeight="1" x14ac:dyDescent="0.25">
      <c r="A673" s="5">
        <v>38634</v>
      </c>
      <c r="B673" s="5">
        <f t="shared" si="304"/>
        <v>38656</v>
      </c>
      <c r="C673">
        <v>1195.9000000000001</v>
      </c>
      <c r="D673" s="29">
        <f t="shared" si="305"/>
        <v>-2.8400000000000002E-2</v>
      </c>
      <c r="E673" s="39">
        <f t="shared" si="306"/>
        <v>1224.2161538461539</v>
      </c>
      <c r="F673" s="39">
        <f t="shared" si="307"/>
        <v>1199.2628205128206</v>
      </c>
      <c r="G673" s="29">
        <f t="shared" si="299"/>
        <v>-2.3099999999999999E-2</v>
      </c>
      <c r="H673" s="29">
        <f t="shared" si="299"/>
        <v>-2.8E-3</v>
      </c>
      <c r="I673">
        <f t="shared" si="308"/>
        <v>1195.9000000000001</v>
      </c>
      <c r="J673">
        <f>IF(A673&gt;=Quarterly!B$2,Quarterly!C$2,IF(COUNTIFS(Quarterly!B:B,"&gt;="&amp;A673-92,Quarterly!B:B,"&lt;="&amp;A673)&gt;1,SUMIFS(Quarterly!C:C,Quarterly!B:B,"&gt;="&amp;A673-88,Quarterly!B:B,"&lt;="&amp;A673),SUMIFS(Quarterly!C:C,Quarterly!B:B,"&gt;="&amp;A673-92,Quarterly!B:B,"&lt;="&amp;A673)))</f>
        <v>12974.1</v>
      </c>
      <c r="K673" s="13">
        <f t="shared" si="309"/>
        <v>9.2200000000000004E-2</v>
      </c>
      <c r="L673">
        <f t="shared" si="311"/>
        <v>1195.9000000000001</v>
      </c>
      <c r="M673">
        <f>IF(A673&gt;=Quarterly!B$2,Quarterly!D$2,IF(COUNTIFS(Quarterly!B:B,"&gt;="&amp;A673-92,Quarterly!B:B,"&lt;="&amp;A673)&gt;1,SUMIFS(Quarterly!D:D,Quarterly!B:B,"&gt;="&amp;A673-88,Quarterly!B:B,"&lt;="&amp;A673),SUMIFS(Quarterly!D:D,Quarterly!B:B,"&gt;="&amp;A673-92,Quarterly!B:B,"&lt;="&amp;A673)))</f>
        <v>1206.249</v>
      </c>
      <c r="N673" s="13">
        <f t="shared" si="312"/>
        <v>9.9140000000000006E-2</v>
      </c>
      <c r="O673">
        <f t="shared" si="300"/>
        <v>1195.9000000000001</v>
      </c>
      <c r="P673" s="56">
        <f>VLOOKUP(EOMONTH(A673,-1),Economic!A:I,7,FALSE)</f>
        <v>997091</v>
      </c>
      <c r="Q673" s="13">
        <f t="shared" si="301"/>
        <v>0.11989999999999999</v>
      </c>
      <c r="R673" s="41">
        <v>0.17</v>
      </c>
      <c r="S673">
        <f t="shared" si="302"/>
        <v>1.84</v>
      </c>
      <c r="T673" s="30">
        <f t="shared" si="303"/>
        <v>179.38</v>
      </c>
      <c r="U673" s="30">
        <f t="shared" si="310"/>
        <v>177.54</v>
      </c>
    </row>
    <row r="674" spans="1:21" ht="15" customHeight="1" x14ac:dyDescent="0.25">
      <c r="A674" s="5">
        <v>38627</v>
      </c>
      <c r="B674" s="5">
        <f t="shared" si="304"/>
        <v>38656</v>
      </c>
      <c r="C674">
        <v>1228.81</v>
      </c>
      <c r="D674" s="29">
        <f t="shared" si="305"/>
        <v>5.0000000000000001E-4</v>
      </c>
      <c r="E674" s="39">
        <f t="shared" si="306"/>
        <v>1225.4438461538462</v>
      </c>
      <c r="F674" s="39">
        <f t="shared" si="307"/>
        <v>1199.0138461538461</v>
      </c>
      <c r="G674" s="29">
        <f t="shared" si="299"/>
        <v>2.7000000000000001E-3</v>
      </c>
      <c r="H674" s="29">
        <f t="shared" si="299"/>
        <v>2.4899999999999999E-2</v>
      </c>
      <c r="I674">
        <f t="shared" si="308"/>
        <v>1228.81</v>
      </c>
      <c r="J674">
        <f>IF(A674&gt;=Quarterly!B$2,Quarterly!C$2,IF(COUNTIFS(Quarterly!B:B,"&gt;="&amp;A674-92,Quarterly!B:B,"&lt;="&amp;A674)&gt;1,SUMIFS(Quarterly!C:C,Quarterly!B:B,"&gt;="&amp;A674-88,Quarterly!B:B,"&lt;="&amp;A674),SUMIFS(Quarterly!C:C,Quarterly!B:B,"&gt;="&amp;A674-92,Quarterly!B:B,"&lt;="&amp;A674)))</f>
        <v>12974.1</v>
      </c>
      <c r="K674" s="13">
        <f t="shared" si="309"/>
        <v>9.4700000000000006E-2</v>
      </c>
      <c r="L674">
        <f t="shared" si="311"/>
        <v>1228.81</v>
      </c>
      <c r="M674">
        <f>IF(A674&gt;=Quarterly!B$2,Quarterly!D$2,IF(COUNTIFS(Quarterly!B:B,"&gt;="&amp;A674-92,Quarterly!B:B,"&lt;="&amp;A674)&gt;1,SUMIFS(Quarterly!D:D,Quarterly!B:B,"&gt;="&amp;A674-88,Quarterly!B:B,"&lt;="&amp;A674),SUMIFS(Quarterly!D:D,Quarterly!B:B,"&gt;="&amp;A674-92,Quarterly!B:B,"&lt;="&amp;A674)))</f>
        <v>1206.249</v>
      </c>
      <c r="N674" s="13">
        <f t="shared" si="312"/>
        <v>0.10187</v>
      </c>
      <c r="O674">
        <f t="shared" si="300"/>
        <v>1228.81</v>
      </c>
      <c r="P674" s="56">
        <f>VLOOKUP(EOMONTH(A674,-1),Economic!A:I,7,FALSE)</f>
        <v>997091</v>
      </c>
      <c r="Q674" s="13">
        <f t="shared" si="301"/>
        <v>0.1232</v>
      </c>
      <c r="R674" s="41">
        <v>0.16</v>
      </c>
      <c r="S674">
        <f t="shared" si="302"/>
        <v>1.82</v>
      </c>
      <c r="T674" s="30">
        <f t="shared" si="303"/>
        <v>177.05</v>
      </c>
      <c r="U674" s="30">
        <f t="shared" si="310"/>
        <v>177.17</v>
      </c>
    </row>
    <row r="675" spans="1:21" ht="15" customHeight="1" x14ac:dyDescent="0.25">
      <c r="A675" s="5">
        <v>38620</v>
      </c>
      <c r="B675" s="5">
        <f t="shared" si="304"/>
        <v>38625</v>
      </c>
      <c r="C675">
        <v>1215.29</v>
      </c>
      <c r="D675" s="29">
        <f t="shared" si="305"/>
        <v>-8.3999999999999995E-3</v>
      </c>
      <c r="E675" s="39">
        <f t="shared" si="306"/>
        <v>1222.8000000000002</v>
      </c>
      <c r="F675" s="39">
        <f t="shared" si="307"/>
        <v>1198.5807692307692</v>
      </c>
      <c r="G675" s="29">
        <f t="shared" si="299"/>
        <v>-6.1000000000000004E-3</v>
      </c>
      <c r="H675" s="29">
        <f t="shared" si="299"/>
        <v>1.3899999999999999E-2</v>
      </c>
      <c r="I675">
        <f t="shared" si="308"/>
        <v>1215.29</v>
      </c>
      <c r="J675">
        <f>IF(A675&gt;=Quarterly!B$2,Quarterly!C$2,IF(COUNTIFS(Quarterly!B:B,"&gt;="&amp;A675-92,Quarterly!B:B,"&lt;="&amp;A675)&gt;1,SUMIFS(Quarterly!C:C,Quarterly!B:B,"&gt;="&amp;A675-88,Quarterly!B:B,"&lt;="&amp;A675),SUMIFS(Quarterly!C:C,Quarterly!B:B,"&gt;="&amp;A675-92,Quarterly!B:B,"&lt;="&amp;A675)))</f>
        <v>12974.1</v>
      </c>
      <c r="K675" s="13">
        <f t="shared" si="309"/>
        <v>9.3700000000000006E-2</v>
      </c>
      <c r="L675">
        <f t="shared" si="311"/>
        <v>1215.29</v>
      </c>
      <c r="M675">
        <f>IF(A675&gt;=Quarterly!B$2,Quarterly!D$2,IF(COUNTIFS(Quarterly!B:B,"&gt;="&amp;A675-92,Quarterly!B:B,"&lt;="&amp;A675)&gt;1,SUMIFS(Quarterly!D:D,Quarterly!B:B,"&gt;="&amp;A675-88,Quarterly!B:B,"&lt;="&amp;A675),SUMIFS(Quarterly!D:D,Quarterly!B:B,"&gt;="&amp;A675-92,Quarterly!B:B,"&lt;="&amp;A675)))</f>
        <v>1206.249</v>
      </c>
      <c r="N675" s="13">
        <f t="shared" si="312"/>
        <v>0.10075000000000001</v>
      </c>
      <c r="O675">
        <f t="shared" si="300"/>
        <v>1215.29</v>
      </c>
      <c r="P675" s="56">
        <f>VLOOKUP(EOMONTH(A675,-1),Economic!A:I,7,FALSE)</f>
        <v>993550</v>
      </c>
      <c r="Q675" s="13">
        <f t="shared" si="301"/>
        <v>0.12229999999999999</v>
      </c>
      <c r="R675" s="41">
        <v>0.23</v>
      </c>
      <c r="S675">
        <f t="shared" si="302"/>
        <v>1.76</v>
      </c>
      <c r="T675" s="30">
        <f t="shared" si="303"/>
        <v>176.19</v>
      </c>
      <c r="U675" s="30">
        <f t="shared" si="310"/>
        <v>178.66</v>
      </c>
    </row>
    <row r="676" spans="1:21" ht="15" customHeight="1" x14ac:dyDescent="0.25">
      <c r="A676" s="5">
        <v>38613</v>
      </c>
      <c r="B676" s="5">
        <f t="shared" si="304"/>
        <v>38625</v>
      </c>
      <c r="C676">
        <v>1237.9100000000001</v>
      </c>
      <c r="D676" s="29">
        <f t="shared" si="305"/>
        <v>1.38E-2</v>
      </c>
      <c r="E676" s="39">
        <f t="shared" si="306"/>
        <v>1220.9753846153849</v>
      </c>
      <c r="F676" s="39">
        <f t="shared" si="307"/>
        <v>1198.4484615384615</v>
      </c>
      <c r="G676" s="29">
        <f t="shared" si="299"/>
        <v>1.3899999999999999E-2</v>
      </c>
      <c r="H676" s="29">
        <f t="shared" si="299"/>
        <v>3.2899999999999999E-2</v>
      </c>
      <c r="I676">
        <f t="shared" si="308"/>
        <v>1237.9100000000001</v>
      </c>
      <c r="J676">
        <f>IF(A676&gt;=Quarterly!B$2,Quarterly!C$2,IF(COUNTIFS(Quarterly!B:B,"&gt;="&amp;A676-92,Quarterly!B:B,"&lt;="&amp;A676)&gt;1,SUMIFS(Quarterly!C:C,Quarterly!B:B,"&gt;="&amp;A676-88,Quarterly!B:B,"&lt;="&amp;A676),SUMIFS(Quarterly!C:C,Quarterly!B:B,"&gt;="&amp;A676-92,Quarterly!B:B,"&lt;="&amp;A676)))</f>
        <v>12974.1</v>
      </c>
      <c r="K676" s="13">
        <f t="shared" si="309"/>
        <v>9.5399999999999999E-2</v>
      </c>
      <c r="L676">
        <f t="shared" si="311"/>
        <v>1237.9100000000001</v>
      </c>
      <c r="M676">
        <f>IF(A676&gt;=Quarterly!B$2,Quarterly!D$2,IF(COUNTIFS(Quarterly!B:B,"&gt;="&amp;A676-92,Quarterly!B:B,"&lt;="&amp;A676)&gt;1,SUMIFS(Quarterly!D:D,Quarterly!B:B,"&gt;="&amp;A676-88,Quarterly!B:B,"&lt;="&amp;A676),SUMIFS(Quarterly!D:D,Quarterly!B:B,"&gt;="&amp;A676-92,Quarterly!B:B,"&lt;="&amp;A676)))</f>
        <v>1206.249</v>
      </c>
      <c r="N676" s="13">
        <f t="shared" si="312"/>
        <v>0.10262</v>
      </c>
      <c r="O676">
        <f t="shared" si="300"/>
        <v>1237.9100000000001</v>
      </c>
      <c r="P676" s="56">
        <f>VLOOKUP(EOMONTH(A676,-1),Economic!A:I,7,FALSE)</f>
        <v>993550</v>
      </c>
      <c r="Q676" s="13">
        <f t="shared" si="301"/>
        <v>0.12459999999999999</v>
      </c>
      <c r="R676" s="41">
        <v>0.28999999999999998</v>
      </c>
      <c r="S676">
        <f t="shared" si="302"/>
        <v>1.84</v>
      </c>
      <c r="T676" s="30">
        <f t="shared" si="303"/>
        <v>178.27</v>
      </c>
      <c r="U676" s="30">
        <f t="shared" si="310"/>
        <v>181</v>
      </c>
    </row>
    <row r="677" spans="1:21" ht="15" customHeight="1" x14ac:dyDescent="0.25">
      <c r="A677" s="5">
        <v>38606</v>
      </c>
      <c r="B677" s="5">
        <f t="shared" si="304"/>
        <v>38625</v>
      </c>
      <c r="C677">
        <v>1241.48</v>
      </c>
      <c r="D677" s="29">
        <f t="shared" si="305"/>
        <v>1.9E-2</v>
      </c>
      <c r="E677" s="39">
        <f t="shared" si="306"/>
        <v>1219.3638461538462</v>
      </c>
      <c r="F677" s="39">
        <f t="shared" si="307"/>
        <v>1197.3276923076921</v>
      </c>
      <c r="G677" s="29">
        <f t="shared" si="299"/>
        <v>1.8100000000000002E-2</v>
      </c>
      <c r="H677" s="29">
        <f t="shared" si="299"/>
        <v>3.6900000000000002E-2</v>
      </c>
      <c r="I677">
        <f t="shared" si="308"/>
        <v>1241.48</v>
      </c>
      <c r="J677">
        <f>IF(A677&gt;=Quarterly!B$2,Quarterly!C$2,IF(COUNTIFS(Quarterly!B:B,"&gt;="&amp;A677-92,Quarterly!B:B,"&lt;="&amp;A677)&gt;1,SUMIFS(Quarterly!C:C,Quarterly!B:B,"&gt;="&amp;A677-88,Quarterly!B:B,"&lt;="&amp;A677),SUMIFS(Quarterly!C:C,Quarterly!B:B,"&gt;="&amp;A677-92,Quarterly!B:B,"&lt;="&amp;A677)))</f>
        <v>12974.1</v>
      </c>
      <c r="K677" s="13">
        <f t="shared" si="309"/>
        <v>9.5699999999999993E-2</v>
      </c>
      <c r="L677">
        <f t="shared" si="311"/>
        <v>1241.48</v>
      </c>
      <c r="M677">
        <f>IF(A677&gt;=Quarterly!B$2,Quarterly!D$2,IF(COUNTIFS(Quarterly!B:B,"&gt;="&amp;A677-92,Quarterly!B:B,"&lt;="&amp;A677)&gt;1,SUMIFS(Quarterly!D:D,Quarterly!B:B,"&gt;="&amp;A677-88,Quarterly!B:B,"&lt;="&amp;A677),SUMIFS(Quarterly!D:D,Quarterly!B:B,"&gt;="&amp;A677-92,Quarterly!B:B,"&lt;="&amp;A677)))</f>
        <v>1206.249</v>
      </c>
      <c r="N677" s="13">
        <f t="shared" si="312"/>
        <v>0.10292</v>
      </c>
      <c r="O677">
        <f t="shared" si="300"/>
        <v>1241.48</v>
      </c>
      <c r="P677" s="56">
        <f>VLOOKUP(EOMONTH(A677,-1),Economic!A:I,7,FALSE)</f>
        <v>993550</v>
      </c>
      <c r="Q677" s="13">
        <f t="shared" si="301"/>
        <v>0.125</v>
      </c>
      <c r="R677" s="41">
        <v>0.26</v>
      </c>
      <c r="S677">
        <f t="shared" si="302"/>
        <v>1.94</v>
      </c>
      <c r="T677" s="30">
        <f t="shared" si="303"/>
        <v>181.53</v>
      </c>
      <c r="U677" s="30">
        <f t="shared" si="310"/>
        <v>182.72</v>
      </c>
    </row>
    <row r="678" spans="1:21" ht="15" customHeight="1" x14ac:dyDescent="0.25">
      <c r="A678" s="5">
        <v>38599</v>
      </c>
      <c r="B678" s="5">
        <f t="shared" si="304"/>
        <v>38625</v>
      </c>
      <c r="C678">
        <v>1218.02</v>
      </c>
      <c r="D678" s="29">
        <f t="shared" si="305"/>
        <v>-2E-3</v>
      </c>
      <c r="E678" s="39">
        <f t="shared" si="306"/>
        <v>1216.0276923076924</v>
      </c>
      <c r="F678" s="39">
        <f t="shared" si="307"/>
        <v>1195.95641025641</v>
      </c>
      <c r="G678" s="29">
        <f t="shared" si="299"/>
        <v>1.6000000000000001E-3</v>
      </c>
      <c r="H678" s="29">
        <f t="shared" si="299"/>
        <v>1.84E-2</v>
      </c>
      <c r="I678">
        <f t="shared" si="308"/>
        <v>1218.02</v>
      </c>
      <c r="J678">
        <f>IF(A678&gt;=Quarterly!B$2,Quarterly!C$2,IF(COUNTIFS(Quarterly!B:B,"&gt;="&amp;A678-92,Quarterly!B:B,"&lt;="&amp;A678)&gt;1,SUMIFS(Quarterly!C:C,Quarterly!B:B,"&gt;="&amp;A678-88,Quarterly!B:B,"&lt;="&amp;A678),SUMIFS(Quarterly!C:C,Quarterly!B:B,"&gt;="&amp;A678-92,Quarterly!B:B,"&lt;="&amp;A678)))</f>
        <v>12974.1</v>
      </c>
      <c r="K678" s="13">
        <f t="shared" si="309"/>
        <v>9.3899999999999997E-2</v>
      </c>
      <c r="L678">
        <f t="shared" si="311"/>
        <v>1218.02</v>
      </c>
      <c r="M678">
        <f>IF(A678&gt;=Quarterly!B$2,Quarterly!D$2,IF(COUNTIFS(Quarterly!B:B,"&gt;="&amp;A678-92,Quarterly!B:B,"&lt;="&amp;A678)&gt;1,SUMIFS(Quarterly!D:D,Quarterly!B:B,"&gt;="&amp;A678-88,Quarterly!B:B,"&lt;="&amp;A678),SUMIFS(Quarterly!D:D,Quarterly!B:B,"&gt;="&amp;A678-92,Quarterly!B:B,"&lt;="&amp;A678)))</f>
        <v>1206.249</v>
      </c>
      <c r="N678" s="13">
        <f t="shared" si="312"/>
        <v>0.10098000000000001</v>
      </c>
      <c r="O678">
        <f t="shared" si="300"/>
        <v>1218.02</v>
      </c>
      <c r="P678" s="56">
        <f>VLOOKUP(EOMONTH(A678,-1),Economic!A:I,7,FALSE)</f>
        <v>993550</v>
      </c>
      <c r="Q678" s="13">
        <f t="shared" si="301"/>
        <v>0.12260000000000001</v>
      </c>
      <c r="R678" s="41">
        <v>0.28000000000000003</v>
      </c>
      <c r="S678">
        <f t="shared" si="302"/>
        <v>1.94</v>
      </c>
      <c r="T678" s="30">
        <f t="shared" si="303"/>
        <v>183.21</v>
      </c>
      <c r="U678" s="30">
        <f t="shared" si="310"/>
        <v>183.07</v>
      </c>
    </row>
    <row r="679" spans="1:21" ht="15" customHeight="1" x14ac:dyDescent="0.25">
      <c r="A679" s="5">
        <v>38592</v>
      </c>
      <c r="B679" s="5">
        <f t="shared" si="304"/>
        <v>38595</v>
      </c>
      <c r="C679">
        <v>1205.0999999999999</v>
      </c>
      <c r="D679" s="29">
        <f t="shared" si="305"/>
        <v>-1.84E-2</v>
      </c>
      <c r="E679" s="39">
        <f t="shared" si="306"/>
        <v>1214.335384615385</v>
      </c>
      <c r="F679" s="39">
        <f t="shared" si="307"/>
        <v>1195.2679487179485</v>
      </c>
      <c r="G679" s="29">
        <f t="shared" si="299"/>
        <v>-7.6E-3</v>
      </c>
      <c r="H679" s="29">
        <f t="shared" si="299"/>
        <v>8.2000000000000007E-3</v>
      </c>
      <c r="I679">
        <f t="shared" si="308"/>
        <v>1205.0999999999999</v>
      </c>
      <c r="J679">
        <f>IF(A679&gt;=Quarterly!B$2,Quarterly!C$2,IF(COUNTIFS(Quarterly!B:B,"&gt;="&amp;A679-92,Quarterly!B:B,"&lt;="&amp;A679)&gt;1,SUMIFS(Quarterly!C:C,Quarterly!B:B,"&gt;="&amp;A679-88,Quarterly!B:B,"&lt;="&amp;A679),SUMIFS(Quarterly!C:C,Quarterly!B:B,"&gt;="&amp;A679-92,Quarterly!B:B,"&lt;="&amp;A679)))</f>
        <v>12974.1</v>
      </c>
      <c r="K679" s="13">
        <f t="shared" si="309"/>
        <v>9.2899999999999996E-2</v>
      </c>
      <c r="L679">
        <f t="shared" si="311"/>
        <v>1205.0999999999999</v>
      </c>
      <c r="M679">
        <f>IF(A679&gt;=Quarterly!B$2,Quarterly!D$2,IF(COUNTIFS(Quarterly!B:B,"&gt;="&amp;A679-92,Quarterly!B:B,"&lt;="&amp;A679)&gt;1,SUMIFS(Quarterly!D:D,Quarterly!B:B,"&gt;="&amp;A679-88,Quarterly!B:B,"&lt;="&amp;A679),SUMIFS(Quarterly!D:D,Quarterly!B:B,"&gt;="&amp;A679-92,Quarterly!B:B,"&lt;="&amp;A679)))</f>
        <v>1206.249</v>
      </c>
      <c r="N679" s="13">
        <f t="shared" si="312"/>
        <v>9.9900000000000003E-2</v>
      </c>
      <c r="O679">
        <f t="shared" si="300"/>
        <v>1205.0999999999999</v>
      </c>
      <c r="P679" s="56">
        <f>VLOOKUP(EOMONTH(A679,-1),Economic!A:I,7,FALSE)</f>
        <v>986295</v>
      </c>
      <c r="Q679" s="13">
        <f t="shared" si="301"/>
        <v>0.1222</v>
      </c>
      <c r="R679" s="41">
        <v>0.14000000000000001</v>
      </c>
      <c r="S679">
        <f t="shared" si="302"/>
        <v>1.92</v>
      </c>
      <c r="T679" s="30">
        <f t="shared" si="303"/>
        <v>183.41</v>
      </c>
      <c r="U679" s="30">
        <f t="shared" si="310"/>
        <v>183.85</v>
      </c>
    </row>
    <row r="680" spans="1:21" ht="15" customHeight="1" x14ac:dyDescent="0.25">
      <c r="A680" s="5">
        <v>38585</v>
      </c>
      <c r="B680" s="5">
        <f t="shared" si="304"/>
        <v>38595</v>
      </c>
      <c r="C680">
        <v>1219.71</v>
      </c>
      <c r="D680" s="29">
        <f t="shared" si="305"/>
        <v>-9.2999999999999992E-3</v>
      </c>
      <c r="E680" s="39">
        <f t="shared" si="306"/>
        <v>1213.8492307692309</v>
      </c>
      <c r="F680" s="39">
        <f t="shared" si="307"/>
        <v>1194.6923076923074</v>
      </c>
      <c r="G680" s="29">
        <f t="shared" si="299"/>
        <v>4.7999999999999996E-3</v>
      </c>
      <c r="H680" s="29">
        <f t="shared" si="299"/>
        <v>2.0899999999999998E-2</v>
      </c>
      <c r="I680">
        <f t="shared" si="308"/>
        <v>1219.71</v>
      </c>
      <c r="J680">
        <f>IF(A680&gt;=Quarterly!B$2,Quarterly!C$2,IF(COUNTIFS(Quarterly!B:B,"&gt;="&amp;A680-92,Quarterly!B:B,"&lt;="&amp;A680)&gt;1,SUMIFS(Quarterly!C:C,Quarterly!B:B,"&gt;="&amp;A680-88,Quarterly!B:B,"&lt;="&amp;A680),SUMIFS(Quarterly!C:C,Quarterly!B:B,"&gt;="&amp;A680-92,Quarterly!B:B,"&lt;="&amp;A680)))</f>
        <v>12974.1</v>
      </c>
      <c r="K680" s="13">
        <f t="shared" si="309"/>
        <v>9.4E-2</v>
      </c>
      <c r="L680">
        <f t="shared" si="311"/>
        <v>1219.71</v>
      </c>
      <c r="M680">
        <f>IF(A680&gt;=Quarterly!B$2,Quarterly!D$2,IF(COUNTIFS(Quarterly!B:B,"&gt;="&amp;A680-92,Quarterly!B:B,"&lt;="&amp;A680)&gt;1,SUMIFS(Quarterly!D:D,Quarterly!B:B,"&gt;="&amp;A680-88,Quarterly!B:B,"&lt;="&amp;A680),SUMIFS(Quarterly!D:D,Quarterly!B:B,"&gt;="&amp;A680-92,Quarterly!B:B,"&lt;="&amp;A680)))</f>
        <v>1206.249</v>
      </c>
      <c r="N680" s="13">
        <f t="shared" si="312"/>
        <v>0.10112000000000002</v>
      </c>
      <c r="O680">
        <f t="shared" si="300"/>
        <v>1219.71</v>
      </c>
      <c r="P680" s="56">
        <f>VLOOKUP(EOMONTH(A680,-1),Economic!A:I,7,FALSE)</f>
        <v>986295</v>
      </c>
      <c r="Q680" s="13">
        <f t="shared" si="301"/>
        <v>0.1237</v>
      </c>
      <c r="R680" s="41">
        <v>0.18</v>
      </c>
      <c r="S680">
        <f t="shared" si="302"/>
        <v>1.91</v>
      </c>
      <c r="T680" s="30">
        <f t="shared" si="303"/>
        <v>182.59</v>
      </c>
      <c r="U680" s="30">
        <f t="shared" si="310"/>
        <v>185.89</v>
      </c>
    </row>
    <row r="681" spans="1:21" ht="15" customHeight="1" x14ac:dyDescent="0.25">
      <c r="A681" s="5">
        <v>38578</v>
      </c>
      <c r="B681" s="5">
        <f t="shared" si="304"/>
        <v>38595</v>
      </c>
      <c r="C681">
        <v>1230.3900000000001</v>
      </c>
      <c r="D681" s="29">
        <f t="shared" si="305"/>
        <v>-1E-4</v>
      </c>
      <c r="E681" s="39">
        <f t="shared" si="306"/>
        <v>1211.5084615384619</v>
      </c>
      <c r="F681" s="39">
        <f t="shared" si="307"/>
        <v>1193.42641025641</v>
      </c>
      <c r="G681" s="29">
        <f t="shared" si="299"/>
        <v>1.5599999999999999E-2</v>
      </c>
      <c r="H681" s="29">
        <f t="shared" si="299"/>
        <v>3.1E-2</v>
      </c>
      <c r="I681">
        <f t="shared" si="308"/>
        <v>1230.3900000000001</v>
      </c>
      <c r="J681">
        <f>IF(A681&gt;=Quarterly!B$2,Quarterly!C$2,IF(COUNTIFS(Quarterly!B:B,"&gt;="&amp;A681-92,Quarterly!B:B,"&lt;="&amp;A681)&gt;1,SUMIFS(Quarterly!C:C,Quarterly!B:B,"&gt;="&amp;A681-88,Quarterly!B:B,"&lt;="&amp;A681),SUMIFS(Quarterly!C:C,Quarterly!B:B,"&gt;="&amp;A681-92,Quarterly!B:B,"&lt;="&amp;A681)))</f>
        <v>12974.1</v>
      </c>
      <c r="K681" s="13">
        <f t="shared" si="309"/>
        <v>9.4799999999999995E-2</v>
      </c>
      <c r="L681">
        <f t="shared" si="311"/>
        <v>1230.3900000000001</v>
      </c>
      <c r="M681">
        <f>IF(A681&gt;=Quarterly!B$2,Quarterly!D$2,IF(COUNTIFS(Quarterly!B:B,"&gt;="&amp;A681-92,Quarterly!B:B,"&lt;="&amp;A681)&gt;1,SUMIFS(Quarterly!D:D,Quarterly!B:B,"&gt;="&amp;A681-88,Quarterly!B:B,"&lt;="&amp;A681),SUMIFS(Quarterly!D:D,Quarterly!B:B,"&gt;="&amp;A681-92,Quarterly!B:B,"&lt;="&amp;A681)))</f>
        <v>1206.249</v>
      </c>
      <c r="N681" s="13">
        <f t="shared" si="312"/>
        <v>0.10200000000000001</v>
      </c>
      <c r="O681">
        <f t="shared" si="300"/>
        <v>1230.3900000000001</v>
      </c>
      <c r="P681" s="56">
        <f>VLOOKUP(EOMONTH(A681,-1),Economic!A:I,7,FALSE)</f>
        <v>986295</v>
      </c>
      <c r="Q681" s="13">
        <f t="shared" si="301"/>
        <v>0.12470000000000001</v>
      </c>
      <c r="R681" s="41">
        <v>0.19</v>
      </c>
      <c r="S681">
        <f t="shared" si="302"/>
        <v>2</v>
      </c>
      <c r="T681" s="30">
        <f t="shared" si="303"/>
        <v>185.54</v>
      </c>
      <c r="U681" s="30">
        <f t="shared" si="310"/>
        <v>188.82</v>
      </c>
    </row>
    <row r="682" spans="1:21" ht="15" customHeight="1" x14ac:dyDescent="0.25">
      <c r="A682" s="5">
        <v>38571</v>
      </c>
      <c r="B682" s="5">
        <f t="shared" si="304"/>
        <v>38595</v>
      </c>
      <c r="C682">
        <v>1226.42</v>
      </c>
      <c r="D682" s="29">
        <f t="shared" si="305"/>
        <v>-4.0000000000000002E-4</v>
      </c>
      <c r="E682" s="39">
        <f t="shared" si="306"/>
        <v>1205.6361538461538</v>
      </c>
      <c r="F682" s="39">
        <f t="shared" si="307"/>
        <v>1192.2412820512816</v>
      </c>
      <c r="G682" s="29">
        <f t="shared" si="299"/>
        <v>1.72E-2</v>
      </c>
      <c r="H682" s="29">
        <f t="shared" si="299"/>
        <v>2.87E-2</v>
      </c>
      <c r="I682">
        <f t="shared" si="308"/>
        <v>1226.42</v>
      </c>
      <c r="J682">
        <f>IF(A682&gt;=Quarterly!B$2,Quarterly!C$2,IF(COUNTIFS(Quarterly!B:B,"&gt;="&amp;A682-92,Quarterly!B:B,"&lt;="&amp;A682)&gt;1,SUMIFS(Quarterly!C:C,Quarterly!B:B,"&gt;="&amp;A682-88,Quarterly!B:B,"&lt;="&amp;A682),SUMIFS(Quarterly!C:C,Quarterly!B:B,"&gt;="&amp;A682-92,Quarterly!B:B,"&lt;="&amp;A682)))</f>
        <v>12974.1</v>
      </c>
      <c r="K682" s="13">
        <f t="shared" si="309"/>
        <v>9.4500000000000001E-2</v>
      </c>
      <c r="L682">
        <f t="shared" si="311"/>
        <v>1226.42</v>
      </c>
      <c r="M682">
        <f>IF(A682&gt;=Quarterly!B$2,Quarterly!D$2,IF(COUNTIFS(Quarterly!B:B,"&gt;="&amp;A682-92,Quarterly!B:B,"&lt;="&amp;A682)&gt;1,SUMIFS(Quarterly!D:D,Quarterly!B:B,"&gt;="&amp;A682-88,Quarterly!B:B,"&lt;="&amp;A682),SUMIFS(Quarterly!D:D,Quarterly!B:B,"&gt;="&amp;A682-92,Quarterly!B:B,"&lt;="&amp;A682)))</f>
        <v>1206.249</v>
      </c>
      <c r="N682" s="13">
        <f t="shared" si="312"/>
        <v>0.10167</v>
      </c>
      <c r="O682">
        <f t="shared" si="300"/>
        <v>1226.42</v>
      </c>
      <c r="P682" s="56">
        <f>VLOOKUP(EOMONTH(A682,-1),Economic!A:I,7,FALSE)</f>
        <v>986295</v>
      </c>
      <c r="Q682" s="13">
        <f t="shared" si="301"/>
        <v>0.12429999999999999</v>
      </c>
      <c r="R682" s="41">
        <v>0.28999999999999998</v>
      </c>
      <c r="S682">
        <f t="shared" si="302"/>
        <v>2.08</v>
      </c>
      <c r="T682" s="30">
        <f t="shared" si="303"/>
        <v>189.54</v>
      </c>
      <c r="U682" s="30">
        <f t="shared" si="310"/>
        <v>190.52</v>
      </c>
    </row>
    <row r="683" spans="1:21" ht="15" customHeight="1" x14ac:dyDescent="0.25">
      <c r="A683" s="5">
        <v>38564</v>
      </c>
      <c r="B683" s="5">
        <f t="shared" si="304"/>
        <v>38564</v>
      </c>
      <c r="C683">
        <v>1234.18</v>
      </c>
      <c r="D683" s="29">
        <f t="shared" si="305"/>
        <v>1.41E-2</v>
      </c>
      <c r="E683" s="39">
        <f t="shared" si="306"/>
        <v>1201.4000000000001</v>
      </c>
      <c r="F683" s="39">
        <f t="shared" si="307"/>
        <v>1190.69641025641</v>
      </c>
      <c r="G683" s="29">
        <f t="shared" si="299"/>
        <v>2.7300000000000001E-2</v>
      </c>
      <c r="H683" s="29">
        <f t="shared" si="299"/>
        <v>3.6499999999999998E-2</v>
      </c>
      <c r="I683">
        <f t="shared" si="308"/>
        <v>1234.18</v>
      </c>
      <c r="J683">
        <f>IF(A683&gt;=Quarterly!B$2,Quarterly!C$2,IF(COUNTIFS(Quarterly!B:B,"&gt;="&amp;A683-92,Quarterly!B:B,"&lt;="&amp;A683)&gt;1,SUMIFS(Quarterly!C:C,Quarterly!B:B,"&gt;="&amp;A683-88,Quarterly!B:B,"&lt;="&amp;A683),SUMIFS(Quarterly!C:C,Quarterly!B:B,"&gt;="&amp;A683-92,Quarterly!B:B,"&lt;="&amp;A683)))</f>
        <v>12974.1</v>
      </c>
      <c r="K683" s="13">
        <f t="shared" si="309"/>
        <v>9.5100000000000004E-2</v>
      </c>
      <c r="L683">
        <f t="shared" si="311"/>
        <v>1234.18</v>
      </c>
      <c r="M683">
        <f>IF(A683&gt;=Quarterly!B$2,Quarterly!D$2,IF(COUNTIFS(Quarterly!B:B,"&gt;="&amp;A683-92,Quarterly!B:B,"&lt;="&amp;A683)&gt;1,SUMIFS(Quarterly!D:D,Quarterly!B:B,"&gt;="&amp;A683-88,Quarterly!B:B,"&lt;="&amp;A683),SUMIFS(Quarterly!D:D,Quarterly!B:B,"&gt;="&amp;A683-92,Quarterly!B:B,"&lt;="&amp;A683)))</f>
        <v>1206.249</v>
      </c>
      <c r="N683" s="13">
        <f t="shared" si="312"/>
        <v>0.10232000000000002</v>
      </c>
      <c r="O683">
        <f t="shared" si="300"/>
        <v>1234.18</v>
      </c>
      <c r="P683" s="56">
        <f>VLOOKUP(EOMONTH(A683,-1),Economic!A:I,7,FALSE)</f>
        <v>983369</v>
      </c>
      <c r="Q683" s="13">
        <f t="shared" si="301"/>
        <v>0.1255</v>
      </c>
      <c r="R683" s="41">
        <v>0.26</v>
      </c>
      <c r="S683">
        <f t="shared" si="302"/>
        <v>2.12</v>
      </c>
      <c r="T683" s="30">
        <f t="shared" si="303"/>
        <v>191.38</v>
      </c>
      <c r="U683" s="30">
        <f t="shared" si="310"/>
        <v>191.85</v>
      </c>
    </row>
    <row r="684" spans="1:21" ht="15" customHeight="1" x14ac:dyDescent="0.25">
      <c r="A684" s="5">
        <v>38557</v>
      </c>
      <c r="B684" s="5">
        <f t="shared" si="304"/>
        <v>38564</v>
      </c>
      <c r="C684">
        <v>1233.68</v>
      </c>
      <c r="D684" s="29">
        <f t="shared" si="305"/>
        <v>2.2599999999999999E-2</v>
      </c>
      <c r="E684" s="39">
        <f t="shared" si="306"/>
        <v>1195.4515384615386</v>
      </c>
      <c r="F684" s="39">
        <f t="shared" si="307"/>
        <v>1188.030256410256</v>
      </c>
      <c r="G684" s="29">
        <f t="shared" si="299"/>
        <v>3.2000000000000001E-2</v>
      </c>
      <c r="H684" s="29">
        <f t="shared" si="299"/>
        <v>3.8399999999999997E-2</v>
      </c>
      <c r="I684">
        <f t="shared" si="308"/>
        <v>1233.68</v>
      </c>
      <c r="J684">
        <f>IF(A684&gt;=Quarterly!B$2,Quarterly!C$2,IF(COUNTIFS(Quarterly!B:B,"&gt;="&amp;A684-92,Quarterly!B:B,"&lt;="&amp;A684)&gt;1,SUMIFS(Quarterly!C:C,Quarterly!B:B,"&gt;="&amp;A684-88,Quarterly!B:B,"&lt;="&amp;A684),SUMIFS(Quarterly!C:C,Quarterly!B:B,"&gt;="&amp;A684-92,Quarterly!B:B,"&lt;="&amp;A684)))</f>
        <v>12813.7</v>
      </c>
      <c r="K684" s="13">
        <f t="shared" si="309"/>
        <v>9.6299999999999997E-2</v>
      </c>
      <c r="L684">
        <f t="shared" si="311"/>
        <v>1233.68</v>
      </c>
      <c r="M684">
        <f>IF(A684&gt;=Quarterly!B$2,Quarterly!D$2,IF(COUNTIFS(Quarterly!B:B,"&gt;="&amp;A684-92,Quarterly!B:B,"&lt;="&amp;A684)&gt;1,SUMIFS(Quarterly!D:D,Quarterly!B:B,"&gt;="&amp;A684-88,Quarterly!B:B,"&lt;="&amp;A684),SUMIFS(Quarterly!D:D,Quarterly!B:B,"&gt;="&amp;A684-92,Quarterly!B:B,"&lt;="&amp;A684)))</f>
        <v>1185.827</v>
      </c>
      <c r="N684" s="13">
        <f t="shared" si="312"/>
        <v>0.10404000000000001</v>
      </c>
      <c r="O684">
        <f t="shared" si="300"/>
        <v>1233.68</v>
      </c>
      <c r="P684" s="56">
        <f>VLOOKUP(EOMONTH(A684,-1),Economic!A:I,7,FALSE)</f>
        <v>983369</v>
      </c>
      <c r="Q684" s="13">
        <f t="shared" si="301"/>
        <v>0.1255</v>
      </c>
      <c r="R684" s="41">
        <v>0.31</v>
      </c>
      <c r="S684">
        <f t="shared" si="302"/>
        <v>2.16</v>
      </c>
      <c r="T684" s="30">
        <f t="shared" si="303"/>
        <v>190.63</v>
      </c>
      <c r="U684" s="30">
        <f t="shared" si="310"/>
        <v>192.66</v>
      </c>
    </row>
    <row r="685" spans="1:21" ht="15" customHeight="1" x14ac:dyDescent="0.25">
      <c r="A685" s="5">
        <v>38550</v>
      </c>
      <c r="B685" s="5">
        <f t="shared" si="304"/>
        <v>38564</v>
      </c>
      <c r="C685">
        <v>1227.92</v>
      </c>
      <c r="D685" s="29">
        <f t="shared" si="305"/>
        <v>2.01E-2</v>
      </c>
      <c r="E685" s="39">
        <f t="shared" si="306"/>
        <v>1189.1776923076925</v>
      </c>
      <c r="F685" s="39">
        <f t="shared" si="307"/>
        <v>1184.4933333333329</v>
      </c>
      <c r="G685" s="29">
        <f t="shared" si="299"/>
        <v>3.2599999999999997E-2</v>
      </c>
      <c r="H685" s="29">
        <f t="shared" si="299"/>
        <v>3.6700000000000003E-2</v>
      </c>
      <c r="I685">
        <f t="shared" si="308"/>
        <v>1227.92</v>
      </c>
      <c r="J685">
        <f>IF(A685&gt;=Quarterly!B$2,Quarterly!C$2,IF(COUNTIFS(Quarterly!B:B,"&gt;="&amp;A685-92,Quarterly!B:B,"&lt;="&amp;A685)&gt;1,SUMIFS(Quarterly!C:C,Quarterly!B:B,"&gt;="&amp;A685-88,Quarterly!B:B,"&lt;="&amp;A685),SUMIFS(Quarterly!C:C,Quarterly!B:B,"&gt;="&amp;A685-92,Quarterly!B:B,"&lt;="&amp;A685)))</f>
        <v>12813.7</v>
      </c>
      <c r="K685" s="13">
        <f t="shared" si="309"/>
        <v>9.5799999999999996E-2</v>
      </c>
      <c r="L685">
        <f t="shared" si="311"/>
        <v>1227.92</v>
      </c>
      <c r="M685">
        <f>IF(A685&gt;=Quarterly!B$2,Quarterly!D$2,IF(COUNTIFS(Quarterly!B:B,"&gt;="&amp;A685-92,Quarterly!B:B,"&lt;="&amp;A685)&gt;1,SUMIFS(Quarterly!D:D,Quarterly!B:B,"&gt;="&amp;A685-88,Quarterly!B:B,"&lt;="&amp;A685),SUMIFS(Quarterly!D:D,Quarterly!B:B,"&gt;="&amp;A685-92,Quarterly!B:B,"&lt;="&amp;A685)))</f>
        <v>1185.827</v>
      </c>
      <c r="N685" s="13">
        <f t="shared" si="312"/>
        <v>0.10355000000000002</v>
      </c>
      <c r="O685">
        <f t="shared" si="300"/>
        <v>1227.92</v>
      </c>
      <c r="P685" s="56">
        <f>VLOOKUP(EOMONTH(A685,-1),Economic!A:I,7,FALSE)</f>
        <v>983369</v>
      </c>
      <c r="Q685" s="13">
        <f t="shared" si="301"/>
        <v>0.12489999999999998</v>
      </c>
      <c r="R685" s="41">
        <v>0.32</v>
      </c>
      <c r="S685">
        <f t="shared" si="302"/>
        <v>2.2000000000000002</v>
      </c>
      <c r="T685" s="30">
        <f t="shared" si="303"/>
        <v>193.53</v>
      </c>
      <c r="U685" s="30">
        <f t="shared" si="310"/>
        <v>194.87</v>
      </c>
    </row>
    <row r="686" spans="1:21" ht="15" customHeight="1" x14ac:dyDescent="0.25">
      <c r="A686" s="5">
        <v>38543</v>
      </c>
      <c r="B686" s="5">
        <f t="shared" si="304"/>
        <v>38564</v>
      </c>
      <c r="C686">
        <v>1211.8599999999999</v>
      </c>
      <c r="D686" s="29">
        <f t="shared" si="305"/>
        <v>9.7000000000000003E-3</v>
      </c>
      <c r="E686" s="39">
        <f t="shared" si="306"/>
        <v>1182.6161538461538</v>
      </c>
      <c r="F686" s="39">
        <f t="shared" si="307"/>
        <v>1181.423589743589</v>
      </c>
      <c r="G686" s="29">
        <f t="shared" si="299"/>
        <v>2.47E-2</v>
      </c>
      <c r="H686" s="29">
        <f t="shared" si="299"/>
        <v>2.58E-2</v>
      </c>
      <c r="I686">
        <f t="shared" si="308"/>
        <v>1211.8599999999999</v>
      </c>
      <c r="J686">
        <f>IF(A686&gt;=Quarterly!B$2,Quarterly!C$2,IF(COUNTIFS(Quarterly!B:B,"&gt;="&amp;A686-92,Quarterly!B:B,"&lt;="&amp;A686)&gt;1,SUMIFS(Quarterly!C:C,Quarterly!B:B,"&gt;="&amp;A686-88,Quarterly!B:B,"&lt;="&amp;A686),SUMIFS(Quarterly!C:C,Quarterly!B:B,"&gt;="&amp;A686-92,Quarterly!B:B,"&lt;="&amp;A686)))</f>
        <v>12813.7</v>
      </c>
      <c r="K686" s="13">
        <f t="shared" si="309"/>
        <v>9.4600000000000004E-2</v>
      </c>
      <c r="L686">
        <f t="shared" si="311"/>
        <v>1211.8599999999999</v>
      </c>
      <c r="M686">
        <f>IF(A686&gt;=Quarterly!B$2,Quarterly!D$2,IF(COUNTIFS(Quarterly!B:B,"&gt;="&amp;A686-92,Quarterly!B:B,"&lt;="&amp;A686)&gt;1,SUMIFS(Quarterly!D:D,Quarterly!B:B,"&gt;="&amp;A686-88,Quarterly!B:B,"&lt;="&amp;A686),SUMIFS(Quarterly!D:D,Quarterly!B:B,"&gt;="&amp;A686-92,Quarterly!B:B,"&lt;="&amp;A686)))</f>
        <v>1185.827</v>
      </c>
      <c r="N686" s="13">
        <f t="shared" si="312"/>
        <v>0.10220000000000001</v>
      </c>
      <c r="O686">
        <f t="shared" si="300"/>
        <v>1211.8599999999999</v>
      </c>
      <c r="P686" s="56">
        <f>VLOOKUP(EOMONTH(A686,-1),Economic!A:I,7,FALSE)</f>
        <v>983369</v>
      </c>
      <c r="Q686" s="13">
        <f t="shared" si="301"/>
        <v>0.1232</v>
      </c>
      <c r="R686" s="41">
        <v>0.33</v>
      </c>
      <c r="S686">
        <f t="shared" si="302"/>
        <v>2.15</v>
      </c>
      <c r="T686" s="30">
        <f t="shared" si="303"/>
        <v>193.82</v>
      </c>
      <c r="U686" s="30">
        <f t="shared" si="310"/>
        <v>195.89</v>
      </c>
    </row>
    <row r="687" spans="1:21" ht="15" customHeight="1" x14ac:dyDescent="0.25">
      <c r="A687" s="5">
        <v>38536</v>
      </c>
      <c r="B687" s="5">
        <f t="shared" si="304"/>
        <v>38564</v>
      </c>
      <c r="C687">
        <v>1194.44</v>
      </c>
      <c r="D687" s="29">
        <f t="shared" si="305"/>
        <v>-5.1999999999999998E-3</v>
      </c>
      <c r="E687" s="39">
        <f t="shared" si="306"/>
        <v>1180.2576923076922</v>
      </c>
      <c r="F687" s="39">
        <f t="shared" si="307"/>
        <v>1179.1230769230763</v>
      </c>
      <c r="G687" s="29">
        <f t="shared" si="299"/>
        <v>1.2E-2</v>
      </c>
      <c r="H687" s="29">
        <f t="shared" si="299"/>
        <v>1.2999999999999999E-2</v>
      </c>
      <c r="I687">
        <f t="shared" si="308"/>
        <v>1194.44</v>
      </c>
      <c r="J687">
        <f>IF(A687&gt;=Quarterly!B$2,Quarterly!C$2,IF(COUNTIFS(Quarterly!B:B,"&gt;="&amp;A687-92,Quarterly!B:B,"&lt;="&amp;A687)&gt;1,SUMIFS(Quarterly!C:C,Quarterly!B:B,"&gt;="&amp;A687-88,Quarterly!B:B,"&lt;="&amp;A687),SUMIFS(Quarterly!C:C,Quarterly!B:B,"&gt;="&amp;A687-92,Quarterly!B:B,"&lt;="&amp;A687)))</f>
        <v>12813.7</v>
      </c>
      <c r="K687" s="13">
        <f t="shared" si="309"/>
        <v>9.3200000000000005E-2</v>
      </c>
      <c r="L687">
        <f t="shared" si="311"/>
        <v>1194.44</v>
      </c>
      <c r="M687">
        <f>IF(A687&gt;=Quarterly!B$2,Quarterly!D$2,IF(COUNTIFS(Quarterly!B:B,"&gt;="&amp;A687-92,Quarterly!B:B,"&lt;="&amp;A687)&gt;1,SUMIFS(Quarterly!D:D,Quarterly!B:B,"&gt;="&amp;A687-88,Quarterly!B:B,"&lt;="&amp;A687),SUMIFS(Quarterly!D:D,Quarterly!B:B,"&gt;="&amp;A687-92,Quarterly!B:B,"&lt;="&amp;A687)))</f>
        <v>1185.827</v>
      </c>
      <c r="N687" s="13">
        <f t="shared" si="312"/>
        <v>0.10073000000000001</v>
      </c>
      <c r="O687">
        <f t="shared" si="300"/>
        <v>1194.44</v>
      </c>
      <c r="P687" s="56">
        <f>VLOOKUP(EOMONTH(A687,-1),Economic!A:I,7,FALSE)</f>
        <v>983369</v>
      </c>
      <c r="Q687" s="13">
        <f t="shared" si="301"/>
        <v>0.1215</v>
      </c>
      <c r="R687" s="41">
        <v>0.3</v>
      </c>
      <c r="S687">
        <f t="shared" si="302"/>
        <v>2.2200000000000002</v>
      </c>
      <c r="T687" s="30">
        <f t="shared" si="303"/>
        <v>197.26</v>
      </c>
      <c r="U687" s="30">
        <f t="shared" si="310"/>
        <v>198.14</v>
      </c>
    </row>
    <row r="688" spans="1:21" ht="15" customHeight="1" x14ac:dyDescent="0.25">
      <c r="A688" s="5">
        <v>38529</v>
      </c>
      <c r="B688" s="5">
        <f t="shared" si="304"/>
        <v>38533</v>
      </c>
      <c r="C688">
        <v>1191.57</v>
      </c>
      <c r="D688" s="29">
        <f t="shared" si="305"/>
        <v>-9.1000000000000004E-3</v>
      </c>
      <c r="E688" s="39">
        <f t="shared" si="306"/>
        <v>1178.6023076923077</v>
      </c>
      <c r="F688" s="39">
        <f t="shared" si="307"/>
        <v>1177.5092307692305</v>
      </c>
      <c r="G688" s="29">
        <f t="shared" si="299"/>
        <v>1.0999999999999999E-2</v>
      </c>
      <c r="H688" s="29">
        <f t="shared" si="299"/>
        <v>1.1900000000000001E-2</v>
      </c>
      <c r="I688">
        <f t="shared" si="308"/>
        <v>1191.57</v>
      </c>
      <c r="J688">
        <f>IF(A688&gt;=Quarterly!B$2,Quarterly!C$2,IF(COUNTIFS(Quarterly!B:B,"&gt;="&amp;A688-92,Quarterly!B:B,"&lt;="&amp;A688)&gt;1,SUMIFS(Quarterly!C:C,Quarterly!B:B,"&gt;="&amp;A688-88,Quarterly!B:B,"&lt;="&amp;A688),SUMIFS(Quarterly!C:C,Quarterly!B:B,"&gt;="&amp;A688-92,Quarterly!B:B,"&lt;="&amp;A688)))</f>
        <v>12813.7</v>
      </c>
      <c r="K688" s="13">
        <f t="shared" si="309"/>
        <v>9.2999999999999999E-2</v>
      </c>
      <c r="L688">
        <f t="shared" si="311"/>
        <v>1191.57</v>
      </c>
      <c r="M688">
        <f>IF(A688&gt;=Quarterly!B$2,Quarterly!D$2,IF(COUNTIFS(Quarterly!B:B,"&gt;="&amp;A688-92,Quarterly!B:B,"&lt;="&amp;A688)&gt;1,SUMIFS(Quarterly!D:D,Quarterly!B:B,"&gt;="&amp;A688-88,Quarterly!B:B,"&lt;="&amp;A688),SUMIFS(Quarterly!D:D,Quarterly!B:B,"&gt;="&amp;A688-92,Quarterly!B:B,"&lt;="&amp;A688)))</f>
        <v>1185.827</v>
      </c>
      <c r="N688" s="13">
        <f t="shared" si="312"/>
        <v>0.10048</v>
      </c>
      <c r="O688">
        <f t="shared" si="300"/>
        <v>1191.57</v>
      </c>
      <c r="P688" s="56">
        <f>VLOOKUP(EOMONTH(A688,-1),Economic!A:I,7,FALSE)</f>
        <v>976079</v>
      </c>
      <c r="Q688" s="13">
        <f t="shared" si="301"/>
        <v>0.12210000000000001</v>
      </c>
      <c r="R688" s="41">
        <v>0.33</v>
      </c>
      <c r="S688">
        <f t="shared" si="302"/>
        <v>2.19</v>
      </c>
      <c r="T688" s="30">
        <f t="shared" si="303"/>
        <v>196.58</v>
      </c>
      <c r="U688" s="30">
        <f t="shared" si="310"/>
        <v>199.52</v>
      </c>
    </row>
    <row r="689" spans="1:21" ht="15" customHeight="1" x14ac:dyDescent="0.25">
      <c r="A689" s="5">
        <v>38522</v>
      </c>
      <c r="B689" s="5">
        <f t="shared" si="304"/>
        <v>38533</v>
      </c>
      <c r="C689">
        <v>1216.96</v>
      </c>
      <c r="D689" s="29">
        <f t="shared" si="305"/>
        <v>1.7899999999999999E-2</v>
      </c>
      <c r="E689" s="39">
        <f t="shared" si="306"/>
        <v>1177.0523076923077</v>
      </c>
      <c r="F689" s="39">
        <f t="shared" si="307"/>
        <v>1175.4205128205124</v>
      </c>
      <c r="G689" s="29">
        <f t="shared" si="299"/>
        <v>3.39E-2</v>
      </c>
      <c r="H689" s="29">
        <f t="shared" si="299"/>
        <v>3.5299999999999998E-2</v>
      </c>
      <c r="I689">
        <f t="shared" si="308"/>
        <v>1216.96</v>
      </c>
      <c r="J689">
        <f>IF(A689&gt;=Quarterly!B$2,Quarterly!C$2,IF(COUNTIFS(Quarterly!B:B,"&gt;="&amp;A689-92,Quarterly!B:B,"&lt;="&amp;A689)&gt;1,SUMIFS(Quarterly!C:C,Quarterly!B:B,"&gt;="&amp;A689-88,Quarterly!B:B,"&lt;="&amp;A689),SUMIFS(Quarterly!C:C,Quarterly!B:B,"&gt;="&amp;A689-92,Quarterly!B:B,"&lt;="&amp;A689)))</f>
        <v>12813.7</v>
      </c>
      <c r="K689" s="13">
        <f t="shared" si="309"/>
        <v>9.5000000000000001E-2</v>
      </c>
      <c r="L689">
        <f t="shared" si="311"/>
        <v>1216.96</v>
      </c>
      <c r="M689">
        <f>IF(A689&gt;=Quarterly!B$2,Quarterly!D$2,IF(COUNTIFS(Quarterly!B:B,"&gt;="&amp;A689-92,Quarterly!B:B,"&lt;="&amp;A689)&gt;1,SUMIFS(Quarterly!D:D,Quarterly!B:B,"&gt;="&amp;A689-88,Quarterly!B:B,"&lt;="&amp;A689),SUMIFS(Quarterly!D:D,Quarterly!B:B,"&gt;="&amp;A689-92,Quarterly!B:B,"&lt;="&amp;A689)))</f>
        <v>1185.827</v>
      </c>
      <c r="N689" s="13">
        <f t="shared" si="312"/>
        <v>0.10263</v>
      </c>
      <c r="O689">
        <f t="shared" si="300"/>
        <v>1216.96</v>
      </c>
      <c r="P689" s="56">
        <f>VLOOKUP(EOMONTH(A689,-1),Economic!A:I,7,FALSE)</f>
        <v>976079</v>
      </c>
      <c r="Q689" s="13">
        <f t="shared" si="301"/>
        <v>0.12470000000000001</v>
      </c>
      <c r="R689" s="41">
        <v>0.37</v>
      </c>
      <c r="S689">
        <f t="shared" si="302"/>
        <v>2.34</v>
      </c>
      <c r="T689" s="30">
        <f t="shared" si="303"/>
        <v>200.58</v>
      </c>
      <c r="U689" s="30">
        <f t="shared" si="310"/>
        <v>200.71</v>
      </c>
    </row>
    <row r="690" spans="1:21" ht="15" customHeight="1" x14ac:dyDescent="0.25">
      <c r="A690" s="5">
        <v>38515</v>
      </c>
      <c r="B690" s="5">
        <f t="shared" si="304"/>
        <v>38533</v>
      </c>
      <c r="C690">
        <v>1198.1099999999999</v>
      </c>
      <c r="D690" s="29">
        <f t="shared" si="305"/>
        <v>1.15E-2</v>
      </c>
      <c r="E690" s="39">
        <f t="shared" si="306"/>
        <v>1174.9515384615386</v>
      </c>
      <c r="F690" s="39">
        <f t="shared" si="307"/>
        <v>1173.1535897435892</v>
      </c>
      <c r="G690" s="29">
        <f t="shared" si="299"/>
        <v>1.9699999999999999E-2</v>
      </c>
      <c r="H690" s="29">
        <f t="shared" si="299"/>
        <v>2.1299999999999999E-2</v>
      </c>
      <c r="I690">
        <f t="shared" si="308"/>
        <v>1198.1099999999999</v>
      </c>
      <c r="J690">
        <f>IF(A690&gt;=Quarterly!B$2,Quarterly!C$2,IF(COUNTIFS(Quarterly!B:B,"&gt;="&amp;A690-92,Quarterly!B:B,"&lt;="&amp;A690)&gt;1,SUMIFS(Quarterly!C:C,Quarterly!B:B,"&gt;="&amp;A690-88,Quarterly!B:B,"&lt;="&amp;A690),SUMIFS(Quarterly!C:C,Quarterly!B:B,"&gt;="&amp;A690-92,Quarterly!B:B,"&lt;="&amp;A690)))</f>
        <v>12813.7</v>
      </c>
      <c r="K690" s="13">
        <f t="shared" si="309"/>
        <v>9.35E-2</v>
      </c>
      <c r="L690">
        <f t="shared" si="311"/>
        <v>1198.1099999999999</v>
      </c>
      <c r="M690">
        <f>IF(A690&gt;=Quarterly!B$2,Quarterly!D$2,IF(COUNTIFS(Quarterly!B:B,"&gt;="&amp;A690-92,Quarterly!B:B,"&lt;="&amp;A690)&gt;1,SUMIFS(Quarterly!D:D,Quarterly!B:B,"&gt;="&amp;A690-88,Quarterly!B:B,"&lt;="&amp;A690),SUMIFS(Quarterly!D:D,Quarterly!B:B,"&gt;="&amp;A690-92,Quarterly!B:B,"&lt;="&amp;A690)))</f>
        <v>1185.827</v>
      </c>
      <c r="N690" s="13">
        <f t="shared" si="312"/>
        <v>0.10104</v>
      </c>
      <c r="O690">
        <f t="shared" si="300"/>
        <v>1198.1099999999999</v>
      </c>
      <c r="P690" s="56">
        <f>VLOOKUP(EOMONTH(A690,-1),Economic!A:I,7,FALSE)</f>
        <v>976079</v>
      </c>
      <c r="Q690" s="13">
        <f t="shared" si="301"/>
        <v>0.1227</v>
      </c>
      <c r="R690" s="41">
        <v>0.34</v>
      </c>
      <c r="S690">
        <f t="shared" si="302"/>
        <v>2.33</v>
      </c>
      <c r="T690" s="30">
        <f t="shared" si="303"/>
        <v>201.41</v>
      </c>
      <c r="U690" s="30">
        <f t="shared" si="310"/>
        <v>199.91</v>
      </c>
    </row>
    <row r="691" spans="1:21" ht="15" customHeight="1" x14ac:dyDescent="0.25">
      <c r="A691" s="5">
        <v>38508</v>
      </c>
      <c r="B691" s="5">
        <f t="shared" si="304"/>
        <v>38533</v>
      </c>
      <c r="C691">
        <v>1196.02</v>
      </c>
      <c r="D691" s="29">
        <f t="shared" si="305"/>
        <v>1.4999999999999999E-2</v>
      </c>
      <c r="E691" s="39">
        <f t="shared" si="306"/>
        <v>1175.103076923077</v>
      </c>
      <c r="F691" s="39">
        <f t="shared" si="307"/>
        <v>1171.2512820512816</v>
      </c>
      <c r="G691" s="29">
        <f t="shared" si="299"/>
        <v>1.78E-2</v>
      </c>
      <c r="H691" s="29">
        <f t="shared" si="299"/>
        <v>2.1100000000000001E-2</v>
      </c>
      <c r="I691">
        <f t="shared" si="308"/>
        <v>1196.02</v>
      </c>
      <c r="J691">
        <f>IF(A691&gt;=Quarterly!B$2,Quarterly!C$2,IF(COUNTIFS(Quarterly!B:B,"&gt;="&amp;A691-92,Quarterly!B:B,"&lt;="&amp;A691)&gt;1,SUMIFS(Quarterly!C:C,Quarterly!B:B,"&gt;="&amp;A691-88,Quarterly!B:B,"&lt;="&amp;A691),SUMIFS(Quarterly!C:C,Quarterly!B:B,"&gt;="&amp;A691-92,Quarterly!B:B,"&lt;="&amp;A691)))</f>
        <v>12813.7</v>
      </c>
      <c r="K691" s="13">
        <f t="shared" si="309"/>
        <v>9.3299999999999994E-2</v>
      </c>
      <c r="L691">
        <f t="shared" si="311"/>
        <v>1196.02</v>
      </c>
      <c r="M691">
        <f>IF(A691&gt;=Quarterly!B$2,Quarterly!D$2,IF(COUNTIFS(Quarterly!B:B,"&gt;="&amp;A691-92,Quarterly!B:B,"&lt;="&amp;A691)&gt;1,SUMIFS(Quarterly!D:D,Quarterly!B:B,"&gt;="&amp;A691-88,Quarterly!B:B,"&lt;="&amp;A691),SUMIFS(Quarterly!D:D,Quarterly!B:B,"&gt;="&amp;A691-92,Quarterly!B:B,"&lt;="&amp;A691)))</f>
        <v>1185.827</v>
      </c>
      <c r="N691" s="13">
        <f t="shared" si="312"/>
        <v>0.10086000000000001</v>
      </c>
      <c r="O691">
        <f t="shared" si="300"/>
        <v>1196.02</v>
      </c>
      <c r="P691" s="56">
        <f>VLOOKUP(EOMONTH(A691,-1),Economic!A:I,7,FALSE)</f>
        <v>976079</v>
      </c>
      <c r="Q691" s="13">
        <f t="shared" si="301"/>
        <v>0.1225</v>
      </c>
      <c r="R691" s="41">
        <v>0.41</v>
      </c>
      <c r="S691">
        <f t="shared" si="302"/>
        <v>2.29</v>
      </c>
      <c r="T691" s="30">
        <f t="shared" si="303"/>
        <v>200.13</v>
      </c>
      <c r="U691" s="30">
        <f t="shared" si="310"/>
        <v>198.66</v>
      </c>
    </row>
    <row r="692" spans="1:21" ht="15" customHeight="1" x14ac:dyDescent="0.25">
      <c r="A692" s="5">
        <v>38501</v>
      </c>
      <c r="B692" s="5">
        <f t="shared" si="304"/>
        <v>38503</v>
      </c>
      <c r="C692">
        <v>1198.78</v>
      </c>
      <c r="D692" s="29">
        <f t="shared" si="305"/>
        <v>2.6499999999999999E-2</v>
      </c>
      <c r="E692" s="39">
        <f t="shared" si="306"/>
        <v>1177.1107692307692</v>
      </c>
      <c r="F692" s="39">
        <f t="shared" si="307"/>
        <v>1169.1387179487174</v>
      </c>
      <c r="G692" s="29">
        <f t="shared" si="299"/>
        <v>1.84E-2</v>
      </c>
      <c r="H692" s="29">
        <f t="shared" si="299"/>
        <v>2.5399999999999999E-2</v>
      </c>
      <c r="I692">
        <f t="shared" si="308"/>
        <v>1198.78</v>
      </c>
      <c r="J692">
        <f>IF(A692&gt;=Quarterly!B$2,Quarterly!C$2,IF(COUNTIFS(Quarterly!B:B,"&gt;="&amp;A692-92,Quarterly!B:B,"&lt;="&amp;A692)&gt;1,SUMIFS(Quarterly!C:C,Quarterly!B:B,"&gt;="&amp;A692-88,Quarterly!B:B,"&lt;="&amp;A692),SUMIFS(Quarterly!C:C,Quarterly!B:B,"&gt;="&amp;A692-92,Quarterly!B:B,"&lt;="&amp;A692)))</f>
        <v>12813.7</v>
      </c>
      <c r="K692" s="13">
        <f t="shared" si="309"/>
        <v>9.3600000000000003E-2</v>
      </c>
      <c r="L692">
        <f t="shared" si="311"/>
        <v>1198.78</v>
      </c>
      <c r="M692">
        <f>IF(A692&gt;=Quarterly!B$2,Quarterly!D$2,IF(COUNTIFS(Quarterly!B:B,"&gt;="&amp;A692-92,Quarterly!B:B,"&lt;="&amp;A692)&gt;1,SUMIFS(Quarterly!D:D,Quarterly!B:B,"&gt;="&amp;A692-88,Quarterly!B:B,"&lt;="&amp;A692),SUMIFS(Quarterly!D:D,Quarterly!B:B,"&gt;="&amp;A692-92,Quarterly!B:B,"&lt;="&amp;A692)))</f>
        <v>1185.827</v>
      </c>
      <c r="N692" s="13">
        <f t="shared" si="312"/>
        <v>0.10109</v>
      </c>
      <c r="O692">
        <f t="shared" si="300"/>
        <v>1198.78</v>
      </c>
      <c r="P692" s="56">
        <f>VLOOKUP(EOMONTH(A692,-1),Economic!A:I,7,FALSE)</f>
        <v>972896</v>
      </c>
      <c r="Q692" s="13">
        <f t="shared" si="301"/>
        <v>0.1232</v>
      </c>
      <c r="R692" s="41">
        <v>0.44</v>
      </c>
      <c r="S692">
        <f t="shared" si="302"/>
        <v>2.2599999999999998</v>
      </c>
      <c r="T692" s="30">
        <f t="shared" si="303"/>
        <v>198.19</v>
      </c>
      <c r="U692" s="30">
        <f t="shared" si="310"/>
        <v>198.15</v>
      </c>
    </row>
    <row r="693" spans="1:21" ht="15" customHeight="1" x14ac:dyDescent="0.25">
      <c r="A693" s="5">
        <v>38494</v>
      </c>
      <c r="B693" s="5">
        <f t="shared" si="304"/>
        <v>38503</v>
      </c>
      <c r="C693">
        <v>1189.28</v>
      </c>
      <c r="D693" s="29">
        <f t="shared" si="305"/>
        <v>2.6499999999999999E-2</v>
      </c>
      <c r="E693" s="39">
        <f t="shared" si="306"/>
        <v>1178.0792307692307</v>
      </c>
      <c r="F693" s="39">
        <f t="shared" si="307"/>
        <v>1166.8051282051279</v>
      </c>
      <c r="G693" s="29">
        <f t="shared" si="299"/>
        <v>9.4999999999999998E-3</v>
      </c>
      <c r="H693" s="29">
        <f t="shared" si="299"/>
        <v>1.9300000000000001E-2</v>
      </c>
      <c r="I693">
        <f t="shared" si="308"/>
        <v>1189.28</v>
      </c>
      <c r="J693">
        <f>IF(A693&gt;=Quarterly!B$2,Quarterly!C$2,IF(COUNTIFS(Quarterly!B:B,"&gt;="&amp;A693-92,Quarterly!B:B,"&lt;="&amp;A693)&gt;1,SUMIFS(Quarterly!C:C,Quarterly!B:B,"&gt;="&amp;A693-88,Quarterly!B:B,"&lt;="&amp;A693),SUMIFS(Quarterly!C:C,Quarterly!B:B,"&gt;="&amp;A693-92,Quarterly!B:B,"&lt;="&amp;A693)))</f>
        <v>12813.7</v>
      </c>
      <c r="K693" s="13">
        <f t="shared" si="309"/>
        <v>9.2799999999999994E-2</v>
      </c>
      <c r="L693">
        <f t="shared" si="311"/>
        <v>1189.28</v>
      </c>
      <c r="M693">
        <f>IF(A693&gt;=Quarterly!B$2,Quarterly!D$2,IF(COUNTIFS(Quarterly!B:B,"&gt;="&amp;A693-92,Quarterly!B:B,"&lt;="&amp;A693)&gt;1,SUMIFS(Quarterly!D:D,Quarterly!B:B,"&gt;="&amp;A693-88,Quarterly!B:B,"&lt;="&amp;A693),SUMIFS(Quarterly!D:D,Quarterly!B:B,"&gt;="&amp;A693-92,Quarterly!B:B,"&lt;="&amp;A693)))</f>
        <v>1185.827</v>
      </c>
      <c r="N693" s="13">
        <f t="shared" si="312"/>
        <v>0.10028999999999999</v>
      </c>
      <c r="O693">
        <f t="shared" si="300"/>
        <v>1189.28</v>
      </c>
      <c r="P693" s="56">
        <f>VLOOKUP(EOMONTH(A693,-1),Economic!A:I,7,FALSE)</f>
        <v>972896</v>
      </c>
      <c r="Q693" s="13">
        <f t="shared" si="301"/>
        <v>0.1222</v>
      </c>
      <c r="R693" s="41">
        <v>0.44</v>
      </c>
      <c r="S693">
        <f t="shared" si="302"/>
        <v>2.2400000000000002</v>
      </c>
      <c r="T693" s="30">
        <f t="shared" si="303"/>
        <v>197.67</v>
      </c>
      <c r="U693" s="30">
        <f t="shared" si="310"/>
        <v>198.15</v>
      </c>
    </row>
    <row r="694" spans="1:21" ht="15" customHeight="1" x14ac:dyDescent="0.25">
      <c r="A694" s="5">
        <v>38487</v>
      </c>
      <c r="B694" s="5">
        <f t="shared" si="304"/>
        <v>38503</v>
      </c>
      <c r="C694">
        <v>1154.05</v>
      </c>
      <c r="D694" s="29">
        <f t="shared" si="305"/>
        <v>-1.5E-3</v>
      </c>
      <c r="E694" s="39">
        <f t="shared" si="306"/>
        <v>1179.0261538461536</v>
      </c>
      <c r="F694" s="39">
        <f t="shared" si="307"/>
        <v>1164.4735897435892</v>
      </c>
      <c r="G694" s="29">
        <f t="shared" si="299"/>
        <v>-2.12E-2</v>
      </c>
      <c r="H694" s="29">
        <f t="shared" si="299"/>
        <v>-8.9999999999999993E-3</v>
      </c>
      <c r="I694">
        <f t="shared" si="308"/>
        <v>1154.05</v>
      </c>
      <c r="J694">
        <f>IF(A694&gt;=Quarterly!B$2,Quarterly!C$2,IF(COUNTIFS(Quarterly!B:B,"&gt;="&amp;A694-92,Quarterly!B:B,"&lt;="&amp;A694)&gt;1,SUMIFS(Quarterly!C:C,Quarterly!B:B,"&gt;="&amp;A694-88,Quarterly!B:B,"&lt;="&amp;A694),SUMIFS(Quarterly!C:C,Quarterly!B:B,"&gt;="&amp;A694-92,Quarterly!B:B,"&lt;="&amp;A694)))</f>
        <v>12813.7</v>
      </c>
      <c r="K694" s="13">
        <f t="shared" si="309"/>
        <v>9.01E-2</v>
      </c>
      <c r="L694">
        <f t="shared" si="311"/>
        <v>1154.05</v>
      </c>
      <c r="M694">
        <f>IF(A694&gt;=Quarterly!B$2,Quarterly!D$2,IF(COUNTIFS(Quarterly!B:B,"&gt;="&amp;A694-92,Quarterly!B:B,"&lt;="&amp;A694)&gt;1,SUMIFS(Quarterly!D:D,Quarterly!B:B,"&gt;="&amp;A694-88,Quarterly!B:B,"&lt;="&amp;A694),SUMIFS(Quarterly!D:D,Quarterly!B:B,"&gt;="&amp;A694-92,Quarterly!B:B,"&lt;="&amp;A694)))</f>
        <v>1185.827</v>
      </c>
      <c r="N694" s="13">
        <f t="shared" si="312"/>
        <v>9.7320000000000004E-2</v>
      </c>
      <c r="O694">
        <f t="shared" si="300"/>
        <v>1154.05</v>
      </c>
      <c r="P694" s="56">
        <f>VLOOKUP(EOMONTH(A694,-1),Economic!A:I,7,FALSE)</f>
        <v>972896</v>
      </c>
      <c r="Q694" s="13">
        <f t="shared" si="301"/>
        <v>0.1186</v>
      </c>
      <c r="R694" s="41">
        <v>0.51</v>
      </c>
      <c r="S694">
        <f t="shared" si="302"/>
        <v>2.2400000000000002</v>
      </c>
      <c r="T694" s="30">
        <f t="shared" si="303"/>
        <v>198.58</v>
      </c>
      <c r="U694" s="30">
        <f t="shared" si="310"/>
        <v>198.78</v>
      </c>
    </row>
    <row r="695" spans="1:21" ht="15" customHeight="1" x14ac:dyDescent="0.25">
      <c r="A695" s="5">
        <v>38480</v>
      </c>
      <c r="B695" s="5">
        <f t="shared" si="304"/>
        <v>38503</v>
      </c>
      <c r="C695">
        <v>1171.3499999999999</v>
      </c>
      <c r="D695" s="29">
        <f t="shared" si="305"/>
        <v>1.14E-2</v>
      </c>
      <c r="E695" s="39">
        <f t="shared" si="306"/>
        <v>1182.9684615384613</v>
      </c>
      <c r="F695" s="39">
        <f t="shared" si="307"/>
        <v>1162.185128205128</v>
      </c>
      <c r="G695" s="29">
        <f t="shared" si="299"/>
        <v>-9.7999999999999997E-3</v>
      </c>
      <c r="H695" s="29">
        <f t="shared" si="299"/>
        <v>7.9000000000000008E-3</v>
      </c>
      <c r="I695">
        <f t="shared" si="308"/>
        <v>1171.3499999999999</v>
      </c>
      <c r="J695">
        <f>IF(A695&gt;=Quarterly!B$2,Quarterly!C$2,IF(COUNTIFS(Quarterly!B:B,"&gt;="&amp;A695-92,Quarterly!B:B,"&lt;="&amp;A695)&gt;1,SUMIFS(Quarterly!C:C,Quarterly!B:B,"&gt;="&amp;A695-88,Quarterly!B:B,"&lt;="&amp;A695),SUMIFS(Quarterly!C:C,Quarterly!B:B,"&gt;="&amp;A695-92,Quarterly!B:B,"&lt;="&amp;A695)))</f>
        <v>12813.7</v>
      </c>
      <c r="K695" s="13">
        <f t="shared" si="309"/>
        <v>9.1399999999999995E-2</v>
      </c>
      <c r="L695">
        <f t="shared" si="311"/>
        <v>1171.3499999999999</v>
      </c>
      <c r="M695">
        <f>IF(A695&gt;=Quarterly!B$2,Quarterly!D$2,IF(COUNTIFS(Quarterly!B:B,"&gt;="&amp;A695-92,Quarterly!B:B,"&lt;="&amp;A695)&gt;1,SUMIFS(Quarterly!D:D,Quarterly!B:B,"&gt;="&amp;A695-88,Quarterly!B:B,"&lt;="&amp;A695),SUMIFS(Quarterly!D:D,Quarterly!B:B,"&gt;="&amp;A695-92,Quarterly!B:B,"&lt;="&amp;A695)))</f>
        <v>1185.827</v>
      </c>
      <c r="N695" s="13">
        <f t="shared" si="312"/>
        <v>9.8780000000000007E-2</v>
      </c>
      <c r="O695">
        <f t="shared" si="300"/>
        <v>1171.3499999999999</v>
      </c>
      <c r="P695" s="56">
        <f>VLOOKUP(EOMONTH(A695,-1),Economic!A:I,7,FALSE)</f>
        <v>972896</v>
      </c>
      <c r="Q695" s="13">
        <f t="shared" si="301"/>
        <v>0.12039999999999999</v>
      </c>
      <c r="R695" s="41">
        <v>0.55000000000000004</v>
      </c>
      <c r="S695">
        <f t="shared" si="302"/>
        <v>2.2799999999999998</v>
      </c>
      <c r="T695" s="30">
        <f t="shared" si="303"/>
        <v>198.2</v>
      </c>
      <c r="U695" s="30">
        <f t="shared" si="310"/>
        <v>195.93</v>
      </c>
    </row>
    <row r="696" spans="1:21" ht="15" customHeight="1" x14ac:dyDescent="0.25">
      <c r="A696" s="5">
        <v>38473</v>
      </c>
      <c r="B696" s="5">
        <f t="shared" si="304"/>
        <v>38503</v>
      </c>
      <c r="C696">
        <v>1156.8499999999999</v>
      </c>
      <c r="D696" s="29">
        <f t="shared" si="305"/>
        <v>-4.5999999999999999E-3</v>
      </c>
      <c r="E696" s="39">
        <f t="shared" si="306"/>
        <v>1185.4053846153845</v>
      </c>
      <c r="F696" s="39">
        <f t="shared" si="307"/>
        <v>1159.4317948717949</v>
      </c>
      <c r="G696" s="29">
        <f t="shared" si="299"/>
        <v>-2.41E-2</v>
      </c>
      <c r="H696" s="29">
        <f t="shared" si="299"/>
        <v>-2.2000000000000001E-3</v>
      </c>
      <c r="I696">
        <f t="shared" si="308"/>
        <v>1156.8499999999999</v>
      </c>
      <c r="J696">
        <f>IF(A696&gt;=Quarterly!B$2,Quarterly!C$2,IF(COUNTIFS(Quarterly!B:B,"&gt;="&amp;A696-92,Quarterly!B:B,"&lt;="&amp;A696)&gt;1,SUMIFS(Quarterly!C:C,Quarterly!B:B,"&gt;="&amp;A696-88,Quarterly!B:B,"&lt;="&amp;A696),SUMIFS(Quarterly!C:C,Quarterly!B:B,"&gt;="&amp;A696-92,Quarterly!B:B,"&lt;="&amp;A696)))</f>
        <v>12813.7</v>
      </c>
      <c r="K696" s="13">
        <f t="shared" si="309"/>
        <v>9.0300000000000005E-2</v>
      </c>
      <c r="L696">
        <f t="shared" si="311"/>
        <v>1156.8499999999999</v>
      </c>
      <c r="M696">
        <f>IF(A696&gt;=Quarterly!B$2,Quarterly!D$2,IF(COUNTIFS(Quarterly!B:B,"&gt;="&amp;A696-92,Quarterly!B:B,"&lt;="&amp;A696)&gt;1,SUMIFS(Quarterly!D:D,Quarterly!B:B,"&gt;="&amp;A696-88,Quarterly!B:B,"&lt;="&amp;A696),SUMIFS(Quarterly!D:D,Quarterly!B:B,"&gt;="&amp;A696-92,Quarterly!B:B,"&lt;="&amp;A696)))</f>
        <v>1185.827</v>
      </c>
      <c r="N696" s="13">
        <f t="shared" si="312"/>
        <v>9.7560000000000008E-2</v>
      </c>
      <c r="O696">
        <f t="shared" si="300"/>
        <v>1156.8499999999999</v>
      </c>
      <c r="P696" s="56">
        <f>VLOOKUP(EOMONTH(A696,-1),Economic!A:I,7,FALSE)</f>
        <v>972896</v>
      </c>
      <c r="Q696" s="13">
        <f t="shared" si="301"/>
        <v>0.11889999999999999</v>
      </c>
      <c r="R696" s="41">
        <v>0.55000000000000004</v>
      </c>
      <c r="S696">
        <f t="shared" si="302"/>
        <v>2.33</v>
      </c>
      <c r="T696" s="30">
        <f t="shared" si="303"/>
        <v>199.56</v>
      </c>
      <c r="U696" s="30">
        <f t="shared" si="310"/>
        <v>193.2</v>
      </c>
    </row>
    <row r="697" spans="1:21" ht="15" customHeight="1" x14ac:dyDescent="0.25">
      <c r="A697" s="5">
        <v>38466</v>
      </c>
      <c r="B697" s="5">
        <f t="shared" si="304"/>
        <v>38472</v>
      </c>
      <c r="C697">
        <v>1152.1199999999999</v>
      </c>
      <c r="D697" s="29">
        <f t="shared" si="305"/>
        <v>-1.2800000000000001E-2</v>
      </c>
      <c r="E697" s="39">
        <f t="shared" si="306"/>
        <v>1186.5215384615385</v>
      </c>
      <c r="F697" s="39">
        <f t="shared" si="307"/>
        <v>1158.0182051282052</v>
      </c>
      <c r="G697" s="29">
        <f t="shared" si="299"/>
        <v>-2.9000000000000001E-2</v>
      </c>
      <c r="H697" s="29">
        <f t="shared" si="299"/>
        <v>-5.1000000000000004E-3</v>
      </c>
      <c r="I697">
        <f t="shared" si="308"/>
        <v>1152.1199999999999</v>
      </c>
      <c r="J697">
        <f>IF(A697&gt;=Quarterly!B$2,Quarterly!C$2,IF(COUNTIFS(Quarterly!B:B,"&gt;="&amp;A697-92,Quarterly!B:B,"&lt;="&amp;A697)&gt;1,SUMIFS(Quarterly!C:C,Quarterly!B:B,"&gt;="&amp;A697-88,Quarterly!B:B,"&lt;="&amp;A697),SUMIFS(Quarterly!C:C,Quarterly!B:B,"&gt;="&amp;A697-92,Quarterly!B:B,"&lt;="&amp;A697)))</f>
        <v>12562.2</v>
      </c>
      <c r="K697" s="13">
        <f t="shared" si="309"/>
        <v>9.1700000000000004E-2</v>
      </c>
      <c r="L697">
        <f t="shared" si="311"/>
        <v>1152.1199999999999</v>
      </c>
      <c r="M697">
        <f>IF(A697&gt;=Quarterly!B$2,Quarterly!D$2,IF(COUNTIFS(Quarterly!B:B,"&gt;="&amp;A697-92,Quarterly!B:B,"&lt;="&amp;A697)&gt;1,SUMIFS(Quarterly!D:D,Quarterly!B:B,"&gt;="&amp;A697-88,Quarterly!B:B,"&lt;="&amp;A697),SUMIFS(Quarterly!D:D,Quarterly!B:B,"&gt;="&amp;A697-92,Quarterly!B:B,"&lt;="&amp;A697)))</f>
        <v>973.69899999999996</v>
      </c>
      <c r="N697" s="13">
        <f t="shared" si="312"/>
        <v>0.11832000000000001</v>
      </c>
      <c r="O697">
        <f t="shared" si="300"/>
        <v>1152.1199999999999</v>
      </c>
      <c r="P697" s="56">
        <f>VLOOKUP(EOMONTH(A697,-1),Economic!A:I,7,FALSE)</f>
        <v>965423</v>
      </c>
      <c r="Q697" s="13">
        <f t="shared" si="301"/>
        <v>0.1193</v>
      </c>
      <c r="R697" s="41">
        <v>0.64</v>
      </c>
      <c r="S697">
        <f t="shared" si="302"/>
        <v>2.35</v>
      </c>
      <c r="T697" s="30">
        <f t="shared" si="303"/>
        <v>190.04</v>
      </c>
      <c r="U697" s="30">
        <f t="shared" si="310"/>
        <v>189.13</v>
      </c>
    </row>
    <row r="698" spans="1:21" ht="15" customHeight="1" x14ac:dyDescent="0.25">
      <c r="A698" s="5">
        <v>38459</v>
      </c>
      <c r="B698" s="5">
        <f t="shared" si="304"/>
        <v>38472</v>
      </c>
      <c r="C698">
        <v>1142.6199999999999</v>
      </c>
      <c r="D698" s="29">
        <f t="shared" si="305"/>
        <v>-3.0700000000000002E-2</v>
      </c>
      <c r="E698" s="39">
        <f t="shared" si="306"/>
        <v>1187.7330769230769</v>
      </c>
      <c r="F698" s="39">
        <f t="shared" si="307"/>
        <v>1156.3279487179486</v>
      </c>
      <c r="G698" s="29">
        <f t="shared" si="299"/>
        <v>-3.7999999999999999E-2</v>
      </c>
      <c r="H698" s="29">
        <f t="shared" si="299"/>
        <v>-1.1900000000000001E-2</v>
      </c>
      <c r="I698">
        <f t="shared" si="308"/>
        <v>1142.6199999999999</v>
      </c>
      <c r="J698">
        <f>IF(A698&gt;=Quarterly!B$2,Quarterly!C$2,IF(COUNTIFS(Quarterly!B:B,"&gt;="&amp;A698-92,Quarterly!B:B,"&lt;="&amp;A698)&gt;1,SUMIFS(Quarterly!C:C,Quarterly!B:B,"&gt;="&amp;A698-88,Quarterly!B:B,"&lt;="&amp;A698),SUMIFS(Quarterly!C:C,Quarterly!B:B,"&gt;="&amp;A698-92,Quarterly!B:B,"&lt;="&amp;A698)))</f>
        <v>12562.2</v>
      </c>
      <c r="K698" s="13">
        <f t="shared" si="309"/>
        <v>9.0999999999999998E-2</v>
      </c>
      <c r="L698">
        <f t="shared" si="311"/>
        <v>1142.6199999999999</v>
      </c>
      <c r="M698">
        <f>IF(A698&gt;=Quarterly!B$2,Quarterly!D$2,IF(COUNTIFS(Quarterly!B:B,"&gt;="&amp;A698-92,Quarterly!B:B,"&lt;="&amp;A698)&gt;1,SUMIFS(Quarterly!D:D,Quarterly!B:B,"&gt;="&amp;A698-88,Quarterly!B:B,"&lt;="&amp;A698),SUMIFS(Quarterly!D:D,Quarterly!B:B,"&gt;="&amp;A698-92,Quarterly!B:B,"&lt;="&amp;A698)))</f>
        <v>973.69899999999996</v>
      </c>
      <c r="N698" s="13">
        <f t="shared" si="312"/>
        <v>0.11735000000000001</v>
      </c>
      <c r="O698">
        <f t="shared" si="300"/>
        <v>1142.6199999999999</v>
      </c>
      <c r="P698" s="56">
        <f>VLOOKUP(EOMONTH(A698,-1),Economic!A:I,7,FALSE)</f>
        <v>965423</v>
      </c>
      <c r="Q698" s="13">
        <f t="shared" si="301"/>
        <v>0.11839999999999999</v>
      </c>
      <c r="R698" s="41">
        <v>0.73</v>
      </c>
      <c r="S698">
        <f t="shared" si="302"/>
        <v>2.35</v>
      </c>
      <c r="T698" s="30">
        <f t="shared" si="303"/>
        <v>189.99</v>
      </c>
      <c r="U698" s="30">
        <f t="shared" si="310"/>
        <v>187.94</v>
      </c>
    </row>
    <row r="699" spans="1:21" ht="15" customHeight="1" x14ac:dyDescent="0.25">
      <c r="A699" s="5">
        <v>38452</v>
      </c>
      <c r="B699" s="5">
        <f t="shared" si="304"/>
        <v>38472</v>
      </c>
      <c r="C699">
        <v>1181.2</v>
      </c>
      <c r="D699" s="29">
        <f t="shared" si="305"/>
        <v>-2E-3</v>
      </c>
      <c r="E699" s="39">
        <f t="shared" si="306"/>
        <v>1190.9561538461539</v>
      </c>
      <c r="F699" s="39">
        <f t="shared" si="307"/>
        <v>1155.2707692307692</v>
      </c>
      <c r="G699" s="29">
        <f t="shared" si="299"/>
        <v>-8.2000000000000007E-3</v>
      </c>
      <c r="H699" s="29">
        <f t="shared" si="299"/>
        <v>2.24E-2</v>
      </c>
      <c r="I699">
        <f t="shared" si="308"/>
        <v>1181.2</v>
      </c>
      <c r="J699">
        <f>IF(A699&gt;=Quarterly!B$2,Quarterly!C$2,IF(COUNTIFS(Quarterly!B:B,"&gt;="&amp;A699-92,Quarterly!B:B,"&lt;="&amp;A699)&gt;1,SUMIFS(Quarterly!C:C,Quarterly!B:B,"&gt;="&amp;A699-88,Quarterly!B:B,"&lt;="&amp;A699),SUMIFS(Quarterly!C:C,Quarterly!B:B,"&gt;="&amp;A699-92,Quarterly!B:B,"&lt;="&amp;A699)))</f>
        <v>12562.2</v>
      </c>
      <c r="K699" s="13">
        <f t="shared" si="309"/>
        <v>9.4E-2</v>
      </c>
      <c r="L699">
        <f t="shared" si="311"/>
        <v>1181.2</v>
      </c>
      <c r="M699">
        <f>IF(A699&gt;=Quarterly!B$2,Quarterly!D$2,IF(COUNTIFS(Quarterly!B:B,"&gt;="&amp;A699-92,Quarterly!B:B,"&lt;="&amp;A699)&gt;1,SUMIFS(Quarterly!D:D,Quarterly!B:B,"&gt;="&amp;A699-88,Quarterly!B:B,"&lt;="&amp;A699),SUMIFS(Quarterly!D:D,Quarterly!B:B,"&gt;="&amp;A699-92,Quarterly!B:B,"&lt;="&amp;A699)))</f>
        <v>973.69899999999996</v>
      </c>
      <c r="N699" s="13">
        <f t="shared" si="312"/>
        <v>0.12131000000000002</v>
      </c>
      <c r="O699">
        <f t="shared" si="300"/>
        <v>1181.2</v>
      </c>
      <c r="P699" s="56">
        <f>VLOOKUP(EOMONTH(A699,-1),Economic!A:I,7,FALSE)</f>
        <v>965423</v>
      </c>
      <c r="Q699" s="13">
        <f t="shared" si="301"/>
        <v>0.12240000000000001</v>
      </c>
      <c r="R699" s="41">
        <v>0.73</v>
      </c>
      <c r="S699">
        <f t="shared" si="302"/>
        <v>2.35</v>
      </c>
      <c r="T699" s="30">
        <f t="shared" si="303"/>
        <v>187.36</v>
      </c>
      <c r="U699" s="30">
        <f t="shared" si="310"/>
        <v>187.22</v>
      </c>
    </row>
    <row r="700" spans="1:21" ht="15" customHeight="1" x14ac:dyDescent="0.25">
      <c r="A700" s="5">
        <v>38445</v>
      </c>
      <c r="B700" s="5">
        <f t="shared" si="304"/>
        <v>38472</v>
      </c>
      <c r="C700">
        <v>1172.92</v>
      </c>
      <c r="D700" s="29">
        <f t="shared" si="305"/>
        <v>-1.9099999999999999E-2</v>
      </c>
      <c r="E700" s="39">
        <f t="shared" si="306"/>
        <v>1191.3399999999999</v>
      </c>
      <c r="F700" s="39">
        <f t="shared" si="307"/>
        <v>1153.5171794871794</v>
      </c>
      <c r="G700" s="29">
        <f t="shared" si="299"/>
        <v>-1.55E-2</v>
      </c>
      <c r="H700" s="29">
        <f t="shared" si="299"/>
        <v>1.6799999999999999E-2</v>
      </c>
      <c r="I700">
        <f t="shared" si="308"/>
        <v>1172.92</v>
      </c>
      <c r="J700">
        <f>IF(A700&gt;=Quarterly!B$2,Quarterly!C$2,IF(COUNTIFS(Quarterly!B:B,"&gt;="&amp;A700-92,Quarterly!B:B,"&lt;="&amp;A700)&gt;1,SUMIFS(Quarterly!C:C,Quarterly!B:B,"&gt;="&amp;A700-88,Quarterly!B:B,"&lt;="&amp;A700),SUMIFS(Quarterly!C:C,Quarterly!B:B,"&gt;="&amp;A700-92,Quarterly!B:B,"&lt;="&amp;A700)))</f>
        <v>12562.2</v>
      </c>
      <c r="K700" s="13">
        <f t="shared" si="309"/>
        <v>9.3399999999999997E-2</v>
      </c>
      <c r="L700">
        <f t="shared" si="311"/>
        <v>1172.92</v>
      </c>
      <c r="M700">
        <f>IF(A700&gt;=Quarterly!B$2,Quarterly!D$2,IF(COUNTIFS(Quarterly!B:B,"&gt;="&amp;A700-92,Quarterly!B:B,"&lt;="&amp;A700)&gt;1,SUMIFS(Quarterly!D:D,Quarterly!B:B,"&gt;="&amp;A700-88,Quarterly!B:B,"&lt;="&amp;A700),SUMIFS(Quarterly!D:D,Quarterly!B:B,"&gt;="&amp;A700-92,Quarterly!B:B,"&lt;="&amp;A700)))</f>
        <v>973.69899999999996</v>
      </c>
      <c r="N700" s="13">
        <f t="shared" si="312"/>
        <v>0.12046</v>
      </c>
      <c r="O700">
        <f t="shared" si="300"/>
        <v>1172.92</v>
      </c>
      <c r="P700" s="56">
        <f>VLOOKUP(EOMONTH(A700,-1),Economic!A:I,7,FALSE)</f>
        <v>965423</v>
      </c>
      <c r="Q700" s="13">
        <f t="shared" si="301"/>
        <v>0.1215</v>
      </c>
      <c r="R700" s="41">
        <v>0.71</v>
      </c>
      <c r="S700">
        <f t="shared" si="302"/>
        <v>2.3199999999999998</v>
      </c>
      <c r="T700" s="30">
        <f t="shared" si="303"/>
        <v>186.48</v>
      </c>
      <c r="U700" s="30">
        <f t="shared" si="310"/>
        <v>186.33</v>
      </c>
    </row>
    <row r="701" spans="1:21" ht="15" customHeight="1" x14ac:dyDescent="0.25">
      <c r="A701" s="5">
        <v>38438</v>
      </c>
      <c r="B701" s="5">
        <f t="shared" si="304"/>
        <v>38442</v>
      </c>
      <c r="C701">
        <v>1171.42</v>
      </c>
      <c r="D701" s="29">
        <f t="shared" si="305"/>
        <v>-2.8500000000000001E-2</v>
      </c>
      <c r="E701" s="39">
        <f t="shared" si="306"/>
        <v>1194.3400000000001</v>
      </c>
      <c r="F701" s="39">
        <f t="shared" si="307"/>
        <v>1152.2982051282052</v>
      </c>
      <c r="G701" s="29">
        <f t="shared" si="299"/>
        <v>-1.9199999999999998E-2</v>
      </c>
      <c r="H701" s="29">
        <f t="shared" si="299"/>
        <v>1.66E-2</v>
      </c>
      <c r="I701">
        <f t="shared" si="308"/>
        <v>1171.42</v>
      </c>
      <c r="J701">
        <f>IF(A701&gt;=Quarterly!B$2,Quarterly!C$2,IF(COUNTIFS(Quarterly!B:B,"&gt;="&amp;A701-92,Quarterly!B:B,"&lt;="&amp;A701)&gt;1,SUMIFS(Quarterly!C:C,Quarterly!B:B,"&gt;="&amp;A701-88,Quarterly!B:B,"&lt;="&amp;A701),SUMIFS(Quarterly!C:C,Quarterly!B:B,"&gt;="&amp;A701-92,Quarterly!B:B,"&lt;="&amp;A701)))</f>
        <v>12562.2</v>
      </c>
      <c r="K701" s="13">
        <f t="shared" si="309"/>
        <v>9.3200000000000005E-2</v>
      </c>
      <c r="L701">
        <f t="shared" si="311"/>
        <v>1171.42</v>
      </c>
      <c r="M701">
        <f>IF(A701&gt;=Quarterly!B$2,Quarterly!D$2,IF(COUNTIFS(Quarterly!B:B,"&gt;="&amp;A701-92,Quarterly!B:B,"&lt;="&amp;A701)&gt;1,SUMIFS(Quarterly!D:D,Quarterly!B:B,"&gt;="&amp;A701-88,Quarterly!B:B,"&lt;="&amp;A701),SUMIFS(Quarterly!D:D,Quarterly!B:B,"&gt;="&amp;A701-92,Quarterly!B:B,"&lt;="&amp;A701)))</f>
        <v>973.69899999999996</v>
      </c>
      <c r="N701" s="13">
        <f t="shared" si="312"/>
        <v>0.12031000000000001</v>
      </c>
      <c r="O701">
        <f t="shared" si="300"/>
        <v>1171.42</v>
      </c>
      <c r="P701" s="56">
        <f>VLOOKUP(EOMONTH(A701,-1),Economic!A:I,7,FALSE)</f>
        <v>957841</v>
      </c>
      <c r="Q701" s="13">
        <f t="shared" si="301"/>
        <v>0.12229999999999999</v>
      </c>
      <c r="R701" s="41">
        <v>0.72</v>
      </c>
      <c r="S701">
        <f t="shared" si="302"/>
        <v>2.38</v>
      </c>
      <c r="T701" s="30">
        <f t="shared" si="303"/>
        <v>187.81</v>
      </c>
      <c r="U701" s="30">
        <f t="shared" si="310"/>
        <v>186.47</v>
      </c>
    </row>
    <row r="702" spans="1:21" ht="15" customHeight="1" x14ac:dyDescent="0.25">
      <c r="A702" s="5">
        <v>38431</v>
      </c>
      <c r="B702" s="5">
        <f t="shared" si="304"/>
        <v>38442</v>
      </c>
      <c r="C702">
        <v>1189.6500000000001</v>
      </c>
      <c r="D702" s="29">
        <f t="shared" si="305"/>
        <v>-1.5800000000000002E-2</v>
      </c>
      <c r="E702" s="39">
        <f t="shared" si="306"/>
        <v>1197.3176923076924</v>
      </c>
      <c r="F702" s="39">
        <f t="shared" si="307"/>
        <v>1151.3497435897434</v>
      </c>
      <c r="G702" s="29">
        <f t="shared" si="299"/>
        <v>-6.4000000000000003E-3</v>
      </c>
      <c r="H702" s="29">
        <f t="shared" si="299"/>
        <v>3.3300000000000003E-2</v>
      </c>
      <c r="I702">
        <f t="shared" si="308"/>
        <v>1189.6500000000001</v>
      </c>
      <c r="J702">
        <f>IF(A702&gt;=Quarterly!B$2,Quarterly!C$2,IF(COUNTIFS(Quarterly!B:B,"&gt;="&amp;A702-92,Quarterly!B:B,"&lt;="&amp;A702)&gt;1,SUMIFS(Quarterly!C:C,Quarterly!B:B,"&gt;="&amp;A702-88,Quarterly!B:B,"&lt;="&amp;A702),SUMIFS(Quarterly!C:C,Quarterly!B:B,"&gt;="&amp;A702-92,Quarterly!B:B,"&lt;="&amp;A702)))</f>
        <v>12562.2</v>
      </c>
      <c r="K702" s="13">
        <f t="shared" si="309"/>
        <v>9.4700000000000006E-2</v>
      </c>
      <c r="L702">
        <f t="shared" si="311"/>
        <v>1189.6500000000001</v>
      </c>
      <c r="M702">
        <f>IF(A702&gt;=Quarterly!B$2,Quarterly!D$2,IF(COUNTIFS(Quarterly!B:B,"&gt;="&amp;A702-92,Quarterly!B:B,"&lt;="&amp;A702)&gt;1,SUMIFS(Quarterly!D:D,Quarterly!B:B,"&gt;="&amp;A702-88,Quarterly!B:B,"&lt;="&amp;A702),SUMIFS(Quarterly!D:D,Quarterly!B:B,"&gt;="&amp;A702-92,Quarterly!B:B,"&lt;="&amp;A702)))</f>
        <v>973.69899999999996</v>
      </c>
      <c r="N702" s="13">
        <f t="shared" si="312"/>
        <v>0.12218000000000001</v>
      </c>
      <c r="O702">
        <f t="shared" si="300"/>
        <v>1189.6500000000001</v>
      </c>
      <c r="P702" s="56">
        <f>VLOOKUP(EOMONTH(A702,-1),Economic!A:I,7,FALSE)</f>
        <v>957841</v>
      </c>
      <c r="Q702" s="13">
        <f t="shared" si="301"/>
        <v>0.1242</v>
      </c>
      <c r="R702" s="41">
        <v>0.79</v>
      </c>
      <c r="S702">
        <f t="shared" si="302"/>
        <v>2.34</v>
      </c>
      <c r="T702" s="30">
        <f t="shared" si="303"/>
        <v>184.7</v>
      </c>
      <c r="U702" s="30">
        <f t="shared" si="310"/>
        <v>185.88</v>
      </c>
    </row>
    <row r="703" spans="1:21" ht="15" customHeight="1" x14ac:dyDescent="0.25">
      <c r="A703" s="5">
        <v>38424</v>
      </c>
      <c r="B703" s="5">
        <f t="shared" si="304"/>
        <v>38442</v>
      </c>
      <c r="C703">
        <v>1200.08</v>
      </c>
      <c r="D703" s="29">
        <f t="shared" si="305"/>
        <v>-8.3000000000000001E-3</v>
      </c>
      <c r="E703" s="39">
        <f t="shared" si="306"/>
        <v>1197.6676923076925</v>
      </c>
      <c r="F703" s="39">
        <f t="shared" si="307"/>
        <v>1149.9489743589745</v>
      </c>
      <c r="G703" s="29">
        <f t="shared" si="299"/>
        <v>2E-3</v>
      </c>
      <c r="H703" s="29">
        <f t="shared" si="299"/>
        <v>4.36E-2</v>
      </c>
      <c r="I703">
        <f t="shared" si="308"/>
        <v>1200.08</v>
      </c>
      <c r="J703">
        <f>IF(A703&gt;=Quarterly!B$2,Quarterly!C$2,IF(COUNTIFS(Quarterly!B:B,"&gt;="&amp;A703-92,Quarterly!B:B,"&lt;="&amp;A703)&gt;1,SUMIFS(Quarterly!C:C,Quarterly!B:B,"&gt;="&amp;A703-88,Quarterly!B:B,"&lt;="&amp;A703),SUMIFS(Quarterly!C:C,Quarterly!B:B,"&gt;="&amp;A703-92,Quarterly!B:B,"&lt;="&amp;A703)))</f>
        <v>12562.2</v>
      </c>
      <c r="K703" s="13">
        <f t="shared" si="309"/>
        <v>9.5500000000000002E-2</v>
      </c>
      <c r="L703">
        <f t="shared" si="311"/>
        <v>1200.08</v>
      </c>
      <c r="M703">
        <f>IF(A703&gt;=Quarterly!B$2,Quarterly!D$2,IF(COUNTIFS(Quarterly!B:B,"&gt;="&amp;A703-92,Quarterly!B:B,"&lt;="&amp;A703)&gt;1,SUMIFS(Quarterly!D:D,Quarterly!B:B,"&gt;="&amp;A703-88,Quarterly!B:B,"&lt;="&amp;A703),SUMIFS(Quarterly!D:D,Quarterly!B:B,"&gt;="&amp;A703-92,Quarterly!B:B,"&lt;="&amp;A703)))</f>
        <v>973.69899999999996</v>
      </c>
      <c r="N703" s="13">
        <f t="shared" si="312"/>
        <v>0.12325</v>
      </c>
      <c r="O703">
        <f t="shared" si="300"/>
        <v>1200.08</v>
      </c>
      <c r="P703" s="56">
        <f>VLOOKUP(EOMONTH(A703,-1),Economic!A:I,7,FALSE)</f>
        <v>957841</v>
      </c>
      <c r="Q703" s="13">
        <f t="shared" si="301"/>
        <v>0.12529999999999999</v>
      </c>
      <c r="R703" s="41">
        <v>0.83</v>
      </c>
      <c r="S703">
        <f t="shared" si="302"/>
        <v>2.4300000000000002</v>
      </c>
      <c r="T703" s="30">
        <f t="shared" si="303"/>
        <v>186.9</v>
      </c>
      <c r="U703" s="30">
        <f t="shared" si="310"/>
        <v>185.68</v>
      </c>
    </row>
    <row r="704" spans="1:21" ht="15" customHeight="1" x14ac:dyDescent="0.25">
      <c r="A704" s="5">
        <v>38417</v>
      </c>
      <c r="B704" s="5">
        <f t="shared" si="304"/>
        <v>38442</v>
      </c>
      <c r="C704">
        <v>1222.1199999999999</v>
      </c>
      <c r="D704" s="29">
        <f t="shared" si="305"/>
        <v>1.3899999999999999E-2</v>
      </c>
      <c r="E704" s="39">
        <f t="shared" si="306"/>
        <v>1196.7384615384617</v>
      </c>
      <c r="F704" s="39">
        <f t="shared" si="307"/>
        <v>1148.3179487179489</v>
      </c>
      <c r="G704" s="29">
        <f t="shared" si="299"/>
        <v>2.12E-2</v>
      </c>
      <c r="H704" s="29">
        <f t="shared" si="299"/>
        <v>6.4299999999999996E-2</v>
      </c>
      <c r="I704">
        <f t="shared" si="308"/>
        <v>1222.1199999999999</v>
      </c>
      <c r="J704">
        <f>IF(A704&gt;=Quarterly!B$2,Quarterly!C$2,IF(COUNTIFS(Quarterly!B:B,"&gt;="&amp;A704-92,Quarterly!B:B,"&lt;="&amp;A704)&gt;1,SUMIFS(Quarterly!C:C,Quarterly!B:B,"&gt;="&amp;A704-88,Quarterly!B:B,"&lt;="&amp;A704),SUMIFS(Quarterly!C:C,Quarterly!B:B,"&gt;="&amp;A704-92,Quarterly!B:B,"&lt;="&amp;A704)))</f>
        <v>12562.2</v>
      </c>
      <c r="K704" s="13">
        <f t="shared" si="309"/>
        <v>9.7299999999999998E-2</v>
      </c>
      <c r="L704">
        <f t="shared" si="311"/>
        <v>1222.1199999999999</v>
      </c>
      <c r="M704">
        <f>IF(A704&gt;=Quarterly!B$2,Quarterly!D$2,IF(COUNTIFS(Quarterly!B:B,"&gt;="&amp;A704-92,Quarterly!B:B,"&lt;="&amp;A704)&gt;1,SUMIFS(Quarterly!D:D,Quarterly!B:B,"&gt;="&amp;A704-88,Quarterly!B:B,"&lt;="&amp;A704),SUMIFS(Quarterly!D:D,Quarterly!B:B,"&gt;="&amp;A704-92,Quarterly!B:B,"&lt;="&amp;A704)))</f>
        <v>973.69899999999996</v>
      </c>
      <c r="N704" s="13">
        <f t="shared" si="312"/>
        <v>0.12551000000000001</v>
      </c>
      <c r="O704">
        <f t="shared" si="300"/>
        <v>1222.1199999999999</v>
      </c>
      <c r="P704" s="56">
        <f>VLOOKUP(EOMONTH(A704,-1),Economic!A:I,7,FALSE)</f>
        <v>957841</v>
      </c>
      <c r="Q704" s="13">
        <f t="shared" si="301"/>
        <v>0.12759999999999999</v>
      </c>
      <c r="R704" s="41">
        <v>0.75</v>
      </c>
      <c r="S704">
        <f t="shared" si="302"/>
        <v>2.44</v>
      </c>
      <c r="T704" s="30">
        <f t="shared" si="303"/>
        <v>186.05</v>
      </c>
      <c r="U704" s="30">
        <f t="shared" si="310"/>
        <v>184.77</v>
      </c>
    </row>
    <row r="705" spans="1:21" ht="15" customHeight="1" x14ac:dyDescent="0.25">
      <c r="A705" s="5">
        <v>38410</v>
      </c>
      <c r="B705" s="5">
        <f t="shared" si="304"/>
        <v>38411</v>
      </c>
      <c r="C705">
        <v>1211.3699999999999</v>
      </c>
      <c r="D705" s="29">
        <f t="shared" si="305"/>
        <v>1.34E-2</v>
      </c>
      <c r="E705" s="39">
        <f t="shared" si="306"/>
        <v>1194.3576923076923</v>
      </c>
      <c r="F705" s="39">
        <f t="shared" si="307"/>
        <v>1145.7635897435896</v>
      </c>
      <c r="G705" s="29">
        <f t="shared" si="299"/>
        <v>1.4200000000000001E-2</v>
      </c>
      <c r="H705" s="29">
        <f t="shared" si="299"/>
        <v>5.7299999999999997E-2</v>
      </c>
      <c r="I705">
        <f t="shared" si="308"/>
        <v>1211.3699999999999</v>
      </c>
      <c r="J705">
        <f>IF(A705&gt;=Quarterly!B$2,Quarterly!C$2,IF(COUNTIFS(Quarterly!B:B,"&gt;="&amp;A705-92,Quarterly!B:B,"&lt;="&amp;A705)&gt;1,SUMIFS(Quarterly!C:C,Quarterly!B:B,"&gt;="&amp;A705-88,Quarterly!B:B,"&lt;="&amp;A705),SUMIFS(Quarterly!C:C,Quarterly!B:B,"&gt;="&amp;A705-92,Quarterly!B:B,"&lt;="&amp;A705)))</f>
        <v>12562.2</v>
      </c>
      <c r="K705" s="13">
        <f t="shared" si="309"/>
        <v>9.64E-2</v>
      </c>
      <c r="L705">
        <f t="shared" si="311"/>
        <v>1211.3699999999999</v>
      </c>
      <c r="M705">
        <f>IF(A705&gt;=Quarterly!B$2,Quarterly!D$2,IF(COUNTIFS(Quarterly!B:B,"&gt;="&amp;A705-92,Quarterly!B:B,"&lt;="&amp;A705)&gt;1,SUMIFS(Quarterly!D:D,Quarterly!B:B,"&gt;="&amp;A705-88,Quarterly!B:B,"&lt;="&amp;A705),SUMIFS(Quarterly!D:D,Quarterly!B:B,"&gt;="&amp;A705-92,Quarterly!B:B,"&lt;="&amp;A705)))</f>
        <v>973.69899999999996</v>
      </c>
      <c r="N705" s="13">
        <f t="shared" si="312"/>
        <v>0.12441000000000001</v>
      </c>
      <c r="O705">
        <f t="shared" si="300"/>
        <v>1211.3699999999999</v>
      </c>
      <c r="P705" s="56">
        <f>VLOOKUP(EOMONTH(A705,-1),Economic!A:I,7,FALSE)</f>
        <v>947707</v>
      </c>
      <c r="Q705" s="13">
        <f t="shared" si="301"/>
        <v>0.1278</v>
      </c>
      <c r="R705" s="41">
        <v>0.73</v>
      </c>
      <c r="S705">
        <f t="shared" si="302"/>
        <v>2.35</v>
      </c>
      <c r="T705" s="30">
        <f t="shared" si="303"/>
        <v>184.1</v>
      </c>
      <c r="U705" s="30">
        <f t="shared" si="310"/>
        <v>185.23</v>
      </c>
    </row>
    <row r="706" spans="1:21" ht="15" customHeight="1" x14ac:dyDescent="0.25">
      <c r="A706" s="5">
        <v>38403</v>
      </c>
      <c r="B706" s="5">
        <f t="shared" si="304"/>
        <v>38411</v>
      </c>
      <c r="C706">
        <v>1201.5899999999999</v>
      </c>
      <c r="D706" s="29">
        <f t="shared" si="305"/>
        <v>1.24E-2</v>
      </c>
      <c r="E706" s="39">
        <f t="shared" si="306"/>
        <v>1192.1484615384616</v>
      </c>
      <c r="F706" s="39">
        <f t="shared" si="307"/>
        <v>1143.4382051282048</v>
      </c>
      <c r="G706" s="29">
        <f t="shared" ref="G706:H769" si="313">ROUND(($C706-E706)/E706,4)</f>
        <v>7.9000000000000008E-3</v>
      </c>
      <c r="H706" s="29">
        <f t="shared" si="313"/>
        <v>5.0900000000000001E-2</v>
      </c>
      <c r="I706">
        <f t="shared" si="308"/>
        <v>1201.5899999999999</v>
      </c>
      <c r="J706">
        <f>IF(A706&gt;=Quarterly!B$2,Quarterly!C$2,IF(COUNTIFS(Quarterly!B:B,"&gt;="&amp;A706-92,Quarterly!B:B,"&lt;="&amp;A706)&gt;1,SUMIFS(Quarterly!C:C,Quarterly!B:B,"&gt;="&amp;A706-88,Quarterly!B:B,"&lt;="&amp;A706),SUMIFS(Quarterly!C:C,Quarterly!B:B,"&gt;="&amp;A706-92,Quarterly!B:B,"&lt;="&amp;A706)))</f>
        <v>12562.2</v>
      </c>
      <c r="K706" s="13">
        <f t="shared" si="309"/>
        <v>9.5699999999999993E-2</v>
      </c>
      <c r="L706">
        <f t="shared" si="311"/>
        <v>1201.5899999999999</v>
      </c>
      <c r="M706">
        <f>IF(A706&gt;=Quarterly!B$2,Quarterly!D$2,IF(COUNTIFS(Quarterly!B:B,"&gt;="&amp;A706-92,Quarterly!B:B,"&lt;="&amp;A706)&gt;1,SUMIFS(Quarterly!D:D,Quarterly!B:B,"&gt;="&amp;A706-88,Quarterly!B:B,"&lt;="&amp;A706),SUMIFS(Quarterly!D:D,Quarterly!B:B,"&gt;="&amp;A706-92,Quarterly!B:B,"&lt;="&amp;A706)))</f>
        <v>973.69899999999996</v>
      </c>
      <c r="N706" s="13">
        <f t="shared" si="312"/>
        <v>0.12340000000000001</v>
      </c>
      <c r="O706">
        <f t="shared" si="300"/>
        <v>1201.5899999999999</v>
      </c>
      <c r="P706" s="56">
        <f>VLOOKUP(EOMONTH(A706,-1),Economic!A:I,7,FALSE)</f>
        <v>947707</v>
      </c>
      <c r="Q706" s="13">
        <f t="shared" si="301"/>
        <v>0.1268</v>
      </c>
      <c r="R706" s="41">
        <v>0.82</v>
      </c>
      <c r="S706">
        <f t="shared" si="302"/>
        <v>2.33</v>
      </c>
      <c r="T706" s="30">
        <f t="shared" si="303"/>
        <v>184.16</v>
      </c>
      <c r="U706" s="30">
        <f t="shared" si="310"/>
        <v>185.63</v>
      </c>
    </row>
    <row r="707" spans="1:21" ht="15" customHeight="1" x14ac:dyDescent="0.25">
      <c r="A707" s="5">
        <v>38396</v>
      </c>
      <c r="B707" s="5">
        <f t="shared" si="304"/>
        <v>38411</v>
      </c>
      <c r="C707">
        <v>1205.3</v>
      </c>
      <c r="D707" s="29">
        <f t="shared" si="305"/>
        <v>0.02</v>
      </c>
      <c r="E707" s="39">
        <f t="shared" si="306"/>
        <v>1189.7446153846154</v>
      </c>
      <c r="F707" s="39">
        <f t="shared" si="307"/>
        <v>1140.6682051282046</v>
      </c>
      <c r="G707" s="29">
        <f t="shared" si="313"/>
        <v>1.3100000000000001E-2</v>
      </c>
      <c r="H707" s="29">
        <f t="shared" si="313"/>
        <v>5.67E-2</v>
      </c>
      <c r="I707">
        <f t="shared" si="308"/>
        <v>1205.3</v>
      </c>
      <c r="J707">
        <f>IF(A707&gt;=Quarterly!B$2,Quarterly!C$2,IF(COUNTIFS(Quarterly!B:B,"&gt;="&amp;A707-92,Quarterly!B:B,"&lt;="&amp;A707)&gt;1,SUMIFS(Quarterly!C:C,Quarterly!B:B,"&gt;="&amp;A707-88,Quarterly!B:B,"&lt;="&amp;A707),SUMIFS(Quarterly!C:C,Quarterly!B:B,"&gt;="&amp;A707-92,Quarterly!B:B,"&lt;="&amp;A707)))</f>
        <v>12562.2</v>
      </c>
      <c r="K707" s="13">
        <f t="shared" si="309"/>
        <v>9.5899999999999999E-2</v>
      </c>
      <c r="L707">
        <f t="shared" si="311"/>
        <v>1205.3</v>
      </c>
      <c r="M707">
        <f>IF(A707&gt;=Quarterly!B$2,Quarterly!D$2,IF(COUNTIFS(Quarterly!B:B,"&gt;="&amp;A707-92,Quarterly!B:B,"&lt;="&amp;A707)&gt;1,SUMIFS(Quarterly!D:D,Quarterly!B:B,"&gt;="&amp;A707-88,Quarterly!B:B,"&lt;="&amp;A707),SUMIFS(Quarterly!D:D,Quarterly!B:B,"&gt;="&amp;A707-92,Quarterly!B:B,"&lt;="&amp;A707)))</f>
        <v>973.69899999999996</v>
      </c>
      <c r="N707" s="13">
        <f t="shared" si="312"/>
        <v>0.12379000000000001</v>
      </c>
      <c r="O707">
        <f t="shared" si="300"/>
        <v>1205.3</v>
      </c>
      <c r="P707" s="56">
        <f>VLOOKUP(EOMONTH(A707,-1),Economic!A:I,7,FALSE)</f>
        <v>947707</v>
      </c>
      <c r="Q707" s="13">
        <f t="shared" si="301"/>
        <v>0.12719999999999998</v>
      </c>
      <c r="R707" s="41">
        <v>0.76</v>
      </c>
      <c r="S707">
        <f t="shared" si="302"/>
        <v>2.42</v>
      </c>
      <c r="T707" s="30">
        <f t="shared" si="303"/>
        <v>187.43</v>
      </c>
      <c r="U707" s="30">
        <f t="shared" si="310"/>
        <v>184.93</v>
      </c>
    </row>
    <row r="708" spans="1:21" ht="15" customHeight="1" x14ac:dyDescent="0.25">
      <c r="A708" s="5">
        <v>38389</v>
      </c>
      <c r="B708" s="5">
        <f t="shared" si="304"/>
        <v>38411</v>
      </c>
      <c r="C708">
        <v>1203.03</v>
      </c>
      <c r="D708" s="29">
        <f t="shared" si="305"/>
        <v>2.1700000000000001E-2</v>
      </c>
      <c r="E708" s="39">
        <f t="shared" si="306"/>
        <v>1188.1192307692309</v>
      </c>
      <c r="F708" s="39">
        <f t="shared" si="307"/>
        <v>1137.8579487179486</v>
      </c>
      <c r="G708" s="29">
        <f t="shared" si="313"/>
        <v>1.2500000000000001E-2</v>
      </c>
      <c r="H708" s="29">
        <f t="shared" si="313"/>
        <v>5.7299999999999997E-2</v>
      </c>
      <c r="I708">
        <f t="shared" si="308"/>
        <v>1203.03</v>
      </c>
      <c r="J708">
        <f>IF(A708&gt;=Quarterly!B$2,Quarterly!C$2,IF(COUNTIFS(Quarterly!B:B,"&gt;="&amp;A708-92,Quarterly!B:B,"&lt;="&amp;A708)&gt;1,SUMIFS(Quarterly!C:C,Quarterly!B:B,"&gt;="&amp;A708-88,Quarterly!B:B,"&lt;="&amp;A708),SUMIFS(Quarterly!C:C,Quarterly!B:B,"&gt;="&amp;A708-92,Quarterly!B:B,"&lt;="&amp;A708)))</f>
        <v>12562.2</v>
      </c>
      <c r="K708" s="13">
        <f t="shared" si="309"/>
        <v>9.5799999999999996E-2</v>
      </c>
      <c r="L708">
        <f t="shared" si="311"/>
        <v>1203.03</v>
      </c>
      <c r="M708">
        <f>IF(A708&gt;=Quarterly!B$2,Quarterly!D$2,IF(COUNTIFS(Quarterly!B:B,"&gt;="&amp;A708-92,Quarterly!B:B,"&lt;="&amp;A708)&gt;1,SUMIFS(Quarterly!D:D,Quarterly!B:B,"&gt;="&amp;A708-88,Quarterly!B:B,"&lt;="&amp;A708),SUMIFS(Quarterly!D:D,Quarterly!B:B,"&gt;="&amp;A708-92,Quarterly!B:B,"&lt;="&amp;A708)))</f>
        <v>973.69899999999996</v>
      </c>
      <c r="N708" s="13">
        <f t="shared" si="312"/>
        <v>0.12355000000000001</v>
      </c>
      <c r="O708">
        <f t="shared" si="300"/>
        <v>1203.03</v>
      </c>
      <c r="P708" s="56">
        <f>VLOOKUP(EOMONTH(A708,-1),Economic!A:I,7,FALSE)</f>
        <v>947707</v>
      </c>
      <c r="Q708" s="13">
        <f t="shared" si="301"/>
        <v>0.12689999999999999</v>
      </c>
      <c r="R708" s="41">
        <v>0.8</v>
      </c>
      <c r="S708">
        <f t="shared" si="302"/>
        <v>2.35</v>
      </c>
      <c r="T708" s="30">
        <f t="shared" si="303"/>
        <v>185.3</v>
      </c>
      <c r="U708" s="30">
        <f t="shared" si="310"/>
        <v>183.74</v>
      </c>
    </row>
    <row r="709" spans="1:21" ht="15" customHeight="1" x14ac:dyDescent="0.25">
      <c r="A709" s="5">
        <v>38382</v>
      </c>
      <c r="B709" s="5">
        <f t="shared" si="304"/>
        <v>38383</v>
      </c>
      <c r="C709">
        <v>1171.3599999999999</v>
      </c>
      <c r="D709" s="29">
        <f t="shared" si="305"/>
        <v>-1.37E-2</v>
      </c>
      <c r="E709" s="39">
        <f t="shared" si="306"/>
        <v>1185.2838461538463</v>
      </c>
      <c r="F709" s="39">
        <f t="shared" si="307"/>
        <v>1135.1828205128202</v>
      </c>
      <c r="G709" s="29">
        <f t="shared" si="313"/>
        <v>-1.17E-2</v>
      </c>
      <c r="H709" s="29">
        <f t="shared" si="313"/>
        <v>3.1899999999999998E-2</v>
      </c>
      <c r="I709">
        <f t="shared" si="308"/>
        <v>1171.3599999999999</v>
      </c>
      <c r="J709">
        <f>IF(A709&gt;=Quarterly!B$2,Quarterly!C$2,IF(COUNTIFS(Quarterly!B:B,"&gt;="&amp;A709-92,Quarterly!B:B,"&lt;="&amp;A709)&gt;1,SUMIFS(Quarterly!C:C,Quarterly!B:B,"&gt;="&amp;A709-88,Quarterly!B:B,"&lt;="&amp;A709),SUMIFS(Quarterly!C:C,Quarterly!B:B,"&gt;="&amp;A709-92,Quarterly!B:B,"&lt;="&amp;A709)))</f>
        <v>12367.7</v>
      </c>
      <c r="K709" s="13">
        <f t="shared" si="309"/>
        <v>9.4700000000000006E-2</v>
      </c>
      <c r="L709">
        <f t="shared" si="311"/>
        <v>1171.3599999999999</v>
      </c>
      <c r="M709">
        <f>IF(A709&gt;=Quarterly!B$2,Quarterly!D$2,IF(COUNTIFS(Quarterly!B:B,"&gt;="&amp;A709-92,Quarterly!B:B,"&lt;="&amp;A709)&gt;1,SUMIFS(Quarterly!D:D,Quarterly!B:B,"&gt;="&amp;A709-88,Quarterly!B:B,"&lt;="&amp;A709),SUMIFS(Quarterly!D:D,Quarterly!B:B,"&gt;="&amp;A709-92,Quarterly!B:B,"&lt;="&amp;A709)))</f>
        <v>978.78800000000001</v>
      </c>
      <c r="N709" s="13">
        <f t="shared" si="312"/>
        <v>0.11967000000000001</v>
      </c>
      <c r="O709">
        <f t="shared" si="300"/>
        <v>1171.3599999999999</v>
      </c>
      <c r="P709" s="56">
        <f>VLOOKUP(EOMONTH(A709,-1),Economic!A:I,7,FALSE)</f>
        <v>938752</v>
      </c>
      <c r="Q709" s="13">
        <f t="shared" si="301"/>
        <v>0.12479999999999999</v>
      </c>
      <c r="R709" s="41">
        <v>0.91</v>
      </c>
      <c r="S709">
        <f t="shared" si="302"/>
        <v>2.2799999999999998</v>
      </c>
      <c r="T709" s="30">
        <f t="shared" si="303"/>
        <v>182.06</v>
      </c>
      <c r="U709" s="30">
        <f t="shared" si="310"/>
        <v>184.09</v>
      </c>
    </row>
    <row r="710" spans="1:21" ht="15" customHeight="1" x14ac:dyDescent="0.25">
      <c r="A710" s="5">
        <v>38375</v>
      </c>
      <c r="B710" s="5">
        <f t="shared" si="304"/>
        <v>38383</v>
      </c>
      <c r="C710">
        <v>1167.8699999999999</v>
      </c>
      <c r="D710" s="29">
        <f t="shared" si="305"/>
        <v>-2.53E-2</v>
      </c>
      <c r="E710" s="39">
        <f t="shared" si="306"/>
        <v>1182.1176923076923</v>
      </c>
      <c r="F710" s="39">
        <f t="shared" si="307"/>
        <v>1133.5402564102562</v>
      </c>
      <c r="G710" s="29">
        <f t="shared" si="313"/>
        <v>-1.21E-2</v>
      </c>
      <c r="H710" s="29">
        <f t="shared" si="313"/>
        <v>3.0300000000000001E-2</v>
      </c>
      <c r="I710">
        <f t="shared" si="308"/>
        <v>1167.8699999999999</v>
      </c>
      <c r="J710">
        <f>IF(A710&gt;=Quarterly!B$2,Quarterly!C$2,IF(COUNTIFS(Quarterly!B:B,"&gt;="&amp;A710-92,Quarterly!B:B,"&lt;="&amp;A710)&gt;1,SUMIFS(Quarterly!C:C,Quarterly!B:B,"&gt;="&amp;A710-88,Quarterly!B:B,"&lt;="&amp;A710),SUMIFS(Quarterly!C:C,Quarterly!B:B,"&gt;="&amp;A710-92,Quarterly!B:B,"&lt;="&amp;A710)))</f>
        <v>12367.7</v>
      </c>
      <c r="K710" s="13">
        <f t="shared" si="309"/>
        <v>9.4399999999999998E-2</v>
      </c>
      <c r="L710">
        <f t="shared" si="311"/>
        <v>1167.8699999999999</v>
      </c>
      <c r="M710">
        <f>IF(A710&gt;=Quarterly!B$2,Quarterly!D$2,IF(COUNTIFS(Quarterly!B:B,"&gt;="&amp;A710-92,Quarterly!B:B,"&lt;="&amp;A710)&gt;1,SUMIFS(Quarterly!D:D,Quarterly!B:B,"&gt;="&amp;A710-88,Quarterly!B:B,"&lt;="&amp;A710),SUMIFS(Quarterly!D:D,Quarterly!B:B,"&gt;="&amp;A710-92,Quarterly!B:B,"&lt;="&amp;A710)))</f>
        <v>978.78800000000001</v>
      </c>
      <c r="N710" s="13">
        <f t="shared" si="312"/>
        <v>0.11932000000000001</v>
      </c>
      <c r="O710">
        <f t="shared" ref="O710:O773" si="314">C710</f>
        <v>1167.8699999999999</v>
      </c>
      <c r="P710" s="56">
        <f>VLOOKUP(EOMONTH(A710,-1),Economic!A:I,7,FALSE)</f>
        <v>938752</v>
      </c>
      <c r="Q710" s="13">
        <f t="shared" ref="Q710:Q773" si="315">ROUND(O710/P710,6)*100</f>
        <v>0.12440000000000001</v>
      </c>
      <c r="R710" s="41">
        <v>1</v>
      </c>
      <c r="S710">
        <f t="shared" ref="S710:S773" si="316">R771</f>
        <v>2.31</v>
      </c>
      <c r="T710" s="30">
        <f t="shared" ref="T710:T773" si="317">IF((ROUND((S710*40)+(G710*350)-(H710*100)-((N710-0.15)*350)-(((K710*10.5)-1)*270)-(Q710*100),2)+144)*0.8&lt;0,0,ROUND((ROUND((S710*40)+(G710*350)-(H710*100)-((N710-0.15)*350)-(((K710*10.5)-1)*270)-(Q710*100),2)+144)*0.8,2))</f>
        <v>183.85</v>
      </c>
      <c r="U710" s="30">
        <f t="shared" si="310"/>
        <v>186.59</v>
      </c>
    </row>
    <row r="711" spans="1:21" ht="15" customHeight="1" x14ac:dyDescent="0.25">
      <c r="A711" s="5">
        <v>38368</v>
      </c>
      <c r="B711" s="5">
        <f t="shared" si="304"/>
        <v>38383</v>
      </c>
      <c r="C711">
        <v>1184.52</v>
      </c>
      <c r="D711" s="29">
        <f t="shared" si="305"/>
        <v>-1.34E-2</v>
      </c>
      <c r="E711" s="39">
        <f t="shared" si="306"/>
        <v>1176.5692307692309</v>
      </c>
      <c r="F711" s="39">
        <f t="shared" si="307"/>
        <v>1132.8410256410255</v>
      </c>
      <c r="G711" s="29">
        <f t="shared" si="313"/>
        <v>6.7999999999999996E-3</v>
      </c>
      <c r="H711" s="29">
        <f t="shared" si="313"/>
        <v>4.5600000000000002E-2</v>
      </c>
      <c r="I711">
        <f t="shared" si="308"/>
        <v>1184.52</v>
      </c>
      <c r="J711">
        <f>IF(A711&gt;=Quarterly!B$2,Quarterly!C$2,IF(COUNTIFS(Quarterly!B:B,"&gt;="&amp;A711-92,Quarterly!B:B,"&lt;="&amp;A711)&gt;1,SUMIFS(Quarterly!C:C,Quarterly!B:B,"&gt;="&amp;A711-88,Quarterly!B:B,"&lt;="&amp;A711),SUMIFS(Quarterly!C:C,Quarterly!B:B,"&gt;="&amp;A711-92,Quarterly!B:B,"&lt;="&amp;A711)))</f>
        <v>12367.7</v>
      </c>
      <c r="K711" s="13">
        <f t="shared" si="309"/>
        <v>9.5799999999999996E-2</v>
      </c>
      <c r="L711">
        <f t="shared" si="311"/>
        <v>1184.52</v>
      </c>
      <c r="M711">
        <f>IF(A711&gt;=Quarterly!B$2,Quarterly!D$2,IF(COUNTIFS(Quarterly!B:B,"&gt;="&amp;A711-92,Quarterly!B:B,"&lt;="&amp;A711)&gt;1,SUMIFS(Quarterly!D:D,Quarterly!B:B,"&gt;="&amp;A711-88,Quarterly!B:B,"&lt;="&amp;A711),SUMIFS(Quarterly!D:D,Quarterly!B:B,"&gt;="&amp;A711-92,Quarterly!B:B,"&lt;="&amp;A711)))</f>
        <v>978.78800000000001</v>
      </c>
      <c r="N711" s="13">
        <f t="shared" si="312"/>
        <v>0.12102</v>
      </c>
      <c r="O711">
        <f t="shared" si="314"/>
        <v>1184.52</v>
      </c>
      <c r="P711" s="56">
        <f>VLOOKUP(EOMONTH(A711,-1),Economic!A:I,7,FALSE)</f>
        <v>938752</v>
      </c>
      <c r="Q711" s="13">
        <f t="shared" si="315"/>
        <v>0.12620000000000001</v>
      </c>
      <c r="R711" s="41">
        <v>0.99</v>
      </c>
      <c r="S711">
        <f t="shared" si="316"/>
        <v>2.38</v>
      </c>
      <c r="T711" s="30">
        <f t="shared" si="317"/>
        <v>186.36</v>
      </c>
      <c r="U711" s="30">
        <f t="shared" si="310"/>
        <v>188.85</v>
      </c>
    </row>
    <row r="712" spans="1:21" ht="15" customHeight="1" x14ac:dyDescent="0.25">
      <c r="A712" s="5">
        <v>38361</v>
      </c>
      <c r="B712" s="5">
        <f t="shared" si="304"/>
        <v>38383</v>
      </c>
      <c r="C712">
        <v>1186.19</v>
      </c>
      <c r="D712" s="29">
        <f t="shared" si="305"/>
        <v>-1.24E-2</v>
      </c>
      <c r="E712" s="39">
        <f t="shared" si="306"/>
        <v>1170.6984615384617</v>
      </c>
      <c r="F712" s="39">
        <f t="shared" si="307"/>
        <v>1131.561282051282</v>
      </c>
      <c r="G712" s="29">
        <f t="shared" si="313"/>
        <v>1.32E-2</v>
      </c>
      <c r="H712" s="29">
        <f t="shared" si="313"/>
        <v>4.8300000000000003E-2</v>
      </c>
      <c r="I712">
        <f t="shared" si="308"/>
        <v>1186.19</v>
      </c>
      <c r="J712">
        <f>IF(A712&gt;=Quarterly!B$2,Quarterly!C$2,IF(COUNTIFS(Quarterly!B:B,"&gt;="&amp;A712-92,Quarterly!B:B,"&lt;="&amp;A712)&gt;1,SUMIFS(Quarterly!C:C,Quarterly!B:B,"&gt;="&amp;A712-88,Quarterly!B:B,"&lt;="&amp;A712),SUMIFS(Quarterly!C:C,Quarterly!B:B,"&gt;="&amp;A712-92,Quarterly!B:B,"&lt;="&amp;A712)))</f>
        <v>12367.7</v>
      </c>
      <c r="K712" s="13">
        <f t="shared" si="309"/>
        <v>9.5899999999999999E-2</v>
      </c>
      <c r="L712">
        <f t="shared" si="311"/>
        <v>1186.19</v>
      </c>
      <c r="M712">
        <f>IF(A712&gt;=Quarterly!B$2,Quarterly!D$2,IF(COUNTIFS(Quarterly!B:B,"&gt;="&amp;A712-92,Quarterly!B:B,"&lt;="&amp;A712)&gt;1,SUMIFS(Quarterly!D:D,Quarterly!B:B,"&gt;="&amp;A712-88,Quarterly!B:B,"&lt;="&amp;A712),SUMIFS(Quarterly!D:D,Quarterly!B:B,"&gt;="&amp;A712-92,Quarterly!B:B,"&lt;="&amp;A712)))</f>
        <v>978.78800000000001</v>
      </c>
      <c r="N712" s="13">
        <f t="shared" si="312"/>
        <v>0.12119000000000001</v>
      </c>
      <c r="O712">
        <f t="shared" si="314"/>
        <v>1186.19</v>
      </c>
      <c r="P712" s="56">
        <f>VLOOKUP(EOMONTH(A712,-1),Economic!A:I,7,FALSE)</f>
        <v>938752</v>
      </c>
      <c r="Q712" s="13">
        <f t="shared" si="315"/>
        <v>0.12639999999999998</v>
      </c>
      <c r="R712" s="41">
        <v>1.0900000000000001</v>
      </c>
      <c r="S712">
        <f t="shared" si="316"/>
        <v>2.44</v>
      </c>
      <c r="T712" s="30">
        <f t="shared" si="317"/>
        <v>189.57</v>
      </c>
      <c r="U712" s="30">
        <f t="shared" si="310"/>
        <v>190.77</v>
      </c>
    </row>
    <row r="713" spans="1:21" ht="15" customHeight="1" x14ac:dyDescent="0.25">
      <c r="A713" s="5">
        <v>38354</v>
      </c>
      <c r="B713" s="5">
        <f t="shared" si="304"/>
        <v>38383</v>
      </c>
      <c r="C713">
        <v>1211.92</v>
      </c>
      <c r="D713" s="29">
        <f t="shared" si="305"/>
        <v>1.34E-2</v>
      </c>
      <c r="E713" s="39">
        <f t="shared" si="306"/>
        <v>1165.7715384615385</v>
      </c>
      <c r="F713" s="39">
        <f t="shared" si="307"/>
        <v>1130.3594871794871</v>
      </c>
      <c r="G713" s="29">
        <f t="shared" si="313"/>
        <v>3.9600000000000003E-2</v>
      </c>
      <c r="H713" s="29">
        <f t="shared" si="313"/>
        <v>7.22E-2</v>
      </c>
      <c r="I713">
        <f t="shared" si="308"/>
        <v>1211.92</v>
      </c>
      <c r="J713">
        <f>IF(A713&gt;=Quarterly!B$2,Quarterly!C$2,IF(COUNTIFS(Quarterly!B:B,"&gt;="&amp;A713-92,Quarterly!B:B,"&lt;="&amp;A713)&gt;1,SUMIFS(Quarterly!C:C,Quarterly!B:B,"&gt;="&amp;A713-88,Quarterly!B:B,"&lt;="&amp;A713),SUMIFS(Quarterly!C:C,Quarterly!B:B,"&gt;="&amp;A713-92,Quarterly!B:B,"&lt;="&amp;A713)))</f>
        <v>12367.7</v>
      </c>
      <c r="K713" s="13">
        <f t="shared" si="309"/>
        <v>9.8000000000000004E-2</v>
      </c>
      <c r="L713">
        <f t="shared" si="311"/>
        <v>1211.92</v>
      </c>
      <c r="M713">
        <f>IF(A713&gt;=Quarterly!B$2,Quarterly!D$2,IF(COUNTIFS(Quarterly!B:B,"&gt;="&amp;A713-92,Quarterly!B:B,"&lt;="&amp;A713)&gt;1,SUMIFS(Quarterly!D:D,Quarterly!B:B,"&gt;="&amp;A713-88,Quarterly!B:B,"&lt;="&amp;A713),SUMIFS(Quarterly!D:D,Quarterly!B:B,"&gt;="&amp;A713-92,Quarterly!B:B,"&lt;="&amp;A713)))</f>
        <v>978.78800000000001</v>
      </c>
      <c r="N713" s="13">
        <f t="shared" si="312"/>
        <v>0.12382</v>
      </c>
      <c r="O713">
        <f t="shared" si="314"/>
        <v>1211.92</v>
      </c>
      <c r="P713" s="56">
        <f>VLOOKUP(EOMONTH(A713,-1),Economic!A:I,7,FALSE)</f>
        <v>938752</v>
      </c>
      <c r="Q713" s="13">
        <f t="shared" si="315"/>
        <v>0.12909999999999999</v>
      </c>
      <c r="R713" s="41">
        <v>1.1599999999999999</v>
      </c>
      <c r="S713">
        <f t="shared" si="316"/>
        <v>2.48</v>
      </c>
      <c r="T713" s="30">
        <f t="shared" si="317"/>
        <v>190.61</v>
      </c>
      <c r="U713" s="30">
        <f t="shared" si="310"/>
        <v>192.71</v>
      </c>
    </row>
    <row r="714" spans="1:21" ht="15" customHeight="1" x14ac:dyDescent="0.25">
      <c r="A714" s="5">
        <v>38347</v>
      </c>
      <c r="B714" s="5">
        <f t="shared" si="304"/>
        <v>38352</v>
      </c>
      <c r="C714">
        <v>1210.1300000000001</v>
      </c>
      <c r="D714" s="29">
        <f t="shared" si="305"/>
        <v>1.78E-2</v>
      </c>
      <c r="E714" s="39">
        <f t="shared" si="306"/>
        <v>1159.5853846153846</v>
      </c>
      <c r="F714" s="39">
        <f t="shared" si="307"/>
        <v>1128.5617948717947</v>
      </c>
      <c r="G714" s="29">
        <f t="shared" si="313"/>
        <v>4.36E-2</v>
      </c>
      <c r="H714" s="29">
        <f t="shared" si="313"/>
        <v>7.2300000000000003E-2</v>
      </c>
      <c r="I714">
        <f t="shared" si="308"/>
        <v>1210.1300000000001</v>
      </c>
      <c r="J714">
        <f>IF(A714&gt;=Quarterly!B$2,Quarterly!C$2,IF(COUNTIFS(Quarterly!B:B,"&gt;="&amp;A714-92,Quarterly!B:B,"&lt;="&amp;A714)&gt;1,SUMIFS(Quarterly!C:C,Quarterly!B:B,"&gt;="&amp;A714-88,Quarterly!B:B,"&lt;="&amp;A714),SUMIFS(Quarterly!C:C,Quarterly!B:B,"&gt;="&amp;A714-92,Quarterly!B:B,"&lt;="&amp;A714)))</f>
        <v>12367.7</v>
      </c>
      <c r="K714" s="13">
        <f t="shared" si="309"/>
        <v>9.7799999999999998E-2</v>
      </c>
      <c r="L714">
        <f t="shared" si="311"/>
        <v>1210.1300000000001</v>
      </c>
      <c r="M714">
        <f>IF(A714&gt;=Quarterly!B$2,Quarterly!D$2,IF(COUNTIFS(Quarterly!B:B,"&gt;="&amp;A714-92,Quarterly!B:B,"&lt;="&amp;A714)&gt;1,SUMIFS(Quarterly!D:D,Quarterly!B:B,"&gt;="&amp;A714-88,Quarterly!B:B,"&lt;="&amp;A714),SUMIFS(Quarterly!D:D,Quarterly!B:B,"&gt;="&amp;A714-92,Quarterly!B:B,"&lt;="&amp;A714)))</f>
        <v>978.78800000000001</v>
      </c>
      <c r="N714" s="13">
        <f t="shared" si="312"/>
        <v>0.12364</v>
      </c>
      <c r="O714">
        <f t="shared" si="314"/>
        <v>1210.1300000000001</v>
      </c>
      <c r="P714" s="56">
        <f>VLOOKUP(EOMONTH(A714,-1),Economic!A:I,7,FALSE)</f>
        <v>928141</v>
      </c>
      <c r="Q714" s="13">
        <f t="shared" si="315"/>
        <v>0.13040000000000002</v>
      </c>
      <c r="R714" s="41">
        <v>1.21</v>
      </c>
      <c r="S714">
        <f t="shared" si="316"/>
        <v>2.48</v>
      </c>
      <c r="T714" s="30">
        <f t="shared" si="317"/>
        <v>192.12</v>
      </c>
      <c r="U714" s="30">
        <f t="shared" si="310"/>
        <v>196.17</v>
      </c>
    </row>
    <row r="715" spans="1:21" ht="15" customHeight="1" x14ac:dyDescent="0.25">
      <c r="A715" s="5">
        <v>38340</v>
      </c>
      <c r="B715" s="5">
        <f t="shared" si="304"/>
        <v>38352</v>
      </c>
      <c r="C715">
        <v>1194.2</v>
      </c>
      <c r="D715" s="29">
        <f t="shared" si="305"/>
        <v>9.4000000000000004E-3</v>
      </c>
      <c r="E715" s="39">
        <f t="shared" si="306"/>
        <v>1151.8915384615386</v>
      </c>
      <c r="F715" s="39">
        <f t="shared" si="307"/>
        <v>1125.9446153846152</v>
      </c>
      <c r="G715" s="29">
        <f t="shared" si="313"/>
        <v>3.6700000000000003E-2</v>
      </c>
      <c r="H715" s="29">
        <f t="shared" si="313"/>
        <v>6.0600000000000001E-2</v>
      </c>
      <c r="I715">
        <f t="shared" si="308"/>
        <v>1194.2</v>
      </c>
      <c r="J715">
        <f>IF(A715&gt;=Quarterly!B$2,Quarterly!C$2,IF(COUNTIFS(Quarterly!B:B,"&gt;="&amp;A715-92,Quarterly!B:B,"&lt;="&amp;A715)&gt;1,SUMIFS(Quarterly!C:C,Quarterly!B:B,"&gt;="&amp;A715-88,Quarterly!B:B,"&lt;="&amp;A715),SUMIFS(Quarterly!C:C,Quarterly!B:B,"&gt;="&amp;A715-92,Quarterly!B:B,"&lt;="&amp;A715)))</f>
        <v>12367.7</v>
      </c>
      <c r="K715" s="13">
        <f t="shared" si="309"/>
        <v>9.6600000000000005E-2</v>
      </c>
      <c r="L715">
        <f t="shared" si="311"/>
        <v>1194.2</v>
      </c>
      <c r="M715">
        <f>IF(A715&gt;=Quarterly!B$2,Quarterly!D$2,IF(COUNTIFS(Quarterly!B:B,"&gt;="&amp;A715-92,Quarterly!B:B,"&lt;="&amp;A715)&gt;1,SUMIFS(Quarterly!D:D,Quarterly!B:B,"&gt;="&amp;A715-88,Quarterly!B:B,"&lt;="&amp;A715),SUMIFS(Quarterly!D:D,Quarterly!B:B,"&gt;="&amp;A715-92,Quarterly!B:B,"&lt;="&amp;A715)))</f>
        <v>978.78800000000001</v>
      </c>
      <c r="N715" s="13">
        <f t="shared" si="312"/>
        <v>0.12201000000000001</v>
      </c>
      <c r="O715">
        <f t="shared" si="314"/>
        <v>1194.2</v>
      </c>
      <c r="P715" s="56">
        <f>VLOOKUP(EOMONTH(A715,-1),Economic!A:I,7,FALSE)</f>
        <v>928141</v>
      </c>
      <c r="Q715" s="13">
        <f t="shared" si="315"/>
        <v>0.12869999999999998</v>
      </c>
      <c r="R715" s="41">
        <v>1.18</v>
      </c>
      <c r="S715">
        <f t="shared" si="316"/>
        <v>2.5099999999999998</v>
      </c>
      <c r="T715" s="30">
        <f t="shared" si="317"/>
        <v>195.4</v>
      </c>
      <c r="U715" s="30">
        <f t="shared" si="310"/>
        <v>198.63</v>
      </c>
    </row>
    <row r="716" spans="1:21" ht="15" customHeight="1" x14ac:dyDescent="0.25">
      <c r="A716" s="5">
        <v>38333</v>
      </c>
      <c r="B716" s="5">
        <f t="shared" si="304"/>
        <v>38352</v>
      </c>
      <c r="C716">
        <v>1188</v>
      </c>
      <c r="D716" s="29">
        <f t="shared" si="305"/>
        <v>5.0000000000000001E-3</v>
      </c>
      <c r="E716" s="39">
        <f t="shared" si="306"/>
        <v>1146.8415384615384</v>
      </c>
      <c r="F716" s="39">
        <f t="shared" si="307"/>
        <v>1123.78</v>
      </c>
      <c r="G716" s="29">
        <f t="shared" si="313"/>
        <v>3.5900000000000001E-2</v>
      </c>
      <c r="H716" s="29">
        <f t="shared" si="313"/>
        <v>5.7099999999999998E-2</v>
      </c>
      <c r="I716">
        <f t="shared" si="308"/>
        <v>1188</v>
      </c>
      <c r="J716">
        <f>IF(A716&gt;=Quarterly!B$2,Quarterly!C$2,IF(COUNTIFS(Quarterly!B:B,"&gt;="&amp;A716-92,Quarterly!B:B,"&lt;="&amp;A716)&gt;1,SUMIFS(Quarterly!C:C,Quarterly!B:B,"&gt;="&amp;A716-88,Quarterly!B:B,"&lt;="&amp;A716),SUMIFS(Quarterly!C:C,Quarterly!B:B,"&gt;="&amp;A716-92,Quarterly!B:B,"&lt;="&amp;A716)))</f>
        <v>12367.7</v>
      </c>
      <c r="K716" s="13">
        <f t="shared" si="309"/>
        <v>9.6100000000000005E-2</v>
      </c>
      <c r="L716">
        <f t="shared" si="311"/>
        <v>1188</v>
      </c>
      <c r="M716">
        <f>IF(A716&gt;=Quarterly!B$2,Quarterly!D$2,IF(COUNTIFS(Quarterly!B:B,"&gt;="&amp;A716-92,Quarterly!B:B,"&lt;="&amp;A716)&gt;1,SUMIFS(Quarterly!D:D,Quarterly!B:B,"&gt;="&amp;A716-88,Quarterly!B:B,"&lt;="&amp;A716),SUMIFS(Quarterly!D:D,Quarterly!B:B,"&gt;="&amp;A716-92,Quarterly!B:B,"&lt;="&amp;A716)))</f>
        <v>978.78800000000001</v>
      </c>
      <c r="N716" s="13">
        <f t="shared" si="312"/>
        <v>0.12137000000000001</v>
      </c>
      <c r="O716">
        <f t="shared" si="314"/>
        <v>1188</v>
      </c>
      <c r="P716" s="56">
        <f>VLOOKUP(EOMONTH(A716,-1),Economic!A:I,7,FALSE)</f>
        <v>928141</v>
      </c>
      <c r="Q716" s="13">
        <f t="shared" si="315"/>
        <v>0.128</v>
      </c>
      <c r="R716" s="41">
        <v>1.21</v>
      </c>
      <c r="S716">
        <f t="shared" si="316"/>
        <v>2.64</v>
      </c>
      <c r="T716" s="30">
        <f t="shared" si="317"/>
        <v>200.98</v>
      </c>
      <c r="U716" s="30">
        <f t="shared" si="310"/>
        <v>199.32</v>
      </c>
    </row>
    <row r="717" spans="1:21" ht="15" customHeight="1" x14ac:dyDescent="0.25">
      <c r="A717" s="5">
        <v>38326</v>
      </c>
      <c r="B717" s="5">
        <f t="shared" si="304"/>
        <v>38352</v>
      </c>
      <c r="C717">
        <v>1191.17</v>
      </c>
      <c r="D717" s="29">
        <f t="shared" si="305"/>
        <v>1.2999999999999999E-2</v>
      </c>
      <c r="E717" s="39">
        <f t="shared" si="306"/>
        <v>1141.9123076923076</v>
      </c>
      <c r="F717" s="39">
        <f t="shared" si="307"/>
        <v>1122.0510256410255</v>
      </c>
      <c r="G717" s="29">
        <f t="shared" si="313"/>
        <v>4.3099999999999999E-2</v>
      </c>
      <c r="H717" s="29">
        <f t="shared" si="313"/>
        <v>6.1600000000000002E-2</v>
      </c>
      <c r="I717">
        <f t="shared" si="308"/>
        <v>1191.17</v>
      </c>
      <c r="J717">
        <f>IF(A717&gt;=Quarterly!B$2,Quarterly!C$2,IF(COUNTIFS(Quarterly!B:B,"&gt;="&amp;A717-92,Quarterly!B:B,"&lt;="&amp;A717)&gt;1,SUMIFS(Quarterly!C:C,Quarterly!B:B,"&gt;="&amp;A717-88,Quarterly!B:B,"&lt;="&amp;A717),SUMIFS(Quarterly!C:C,Quarterly!B:B,"&gt;="&amp;A717-92,Quarterly!B:B,"&lt;="&amp;A717)))</f>
        <v>12367.7</v>
      </c>
      <c r="K717" s="13">
        <f t="shared" si="309"/>
        <v>9.6299999999999997E-2</v>
      </c>
      <c r="L717">
        <f t="shared" si="311"/>
        <v>1191.17</v>
      </c>
      <c r="M717">
        <f>IF(A717&gt;=Quarterly!B$2,Quarterly!D$2,IF(COUNTIFS(Quarterly!B:B,"&gt;="&amp;A717-92,Quarterly!B:B,"&lt;="&amp;A717)&gt;1,SUMIFS(Quarterly!D:D,Quarterly!B:B,"&gt;="&amp;A717-88,Quarterly!B:B,"&lt;="&amp;A717),SUMIFS(Quarterly!D:D,Quarterly!B:B,"&gt;="&amp;A717-92,Quarterly!B:B,"&lt;="&amp;A717)))</f>
        <v>978.78800000000001</v>
      </c>
      <c r="N717" s="13">
        <f t="shared" si="312"/>
        <v>0.12170000000000002</v>
      </c>
      <c r="O717">
        <f t="shared" si="314"/>
        <v>1191.17</v>
      </c>
      <c r="P717" s="56">
        <f>VLOOKUP(EOMONTH(A717,-1),Economic!A:I,7,FALSE)</f>
        <v>928141</v>
      </c>
      <c r="Q717" s="13">
        <f t="shared" si="315"/>
        <v>0.1283</v>
      </c>
      <c r="R717" s="41">
        <v>1.33</v>
      </c>
      <c r="S717">
        <f t="shared" si="316"/>
        <v>2.56</v>
      </c>
      <c r="T717" s="30">
        <f t="shared" si="317"/>
        <v>199.51</v>
      </c>
      <c r="U717" s="30">
        <f t="shared" si="310"/>
        <v>199.13</v>
      </c>
    </row>
    <row r="718" spans="1:21" ht="15" customHeight="1" x14ac:dyDescent="0.25">
      <c r="A718" s="5">
        <v>38319</v>
      </c>
      <c r="B718" s="5">
        <f t="shared" si="304"/>
        <v>38321</v>
      </c>
      <c r="C718">
        <v>1182.6500000000001</v>
      </c>
      <c r="D718" s="29">
        <f t="shared" si="305"/>
        <v>1.7100000000000001E-2</v>
      </c>
      <c r="E718" s="39">
        <f t="shared" si="306"/>
        <v>1135.9476923076923</v>
      </c>
      <c r="F718" s="39">
        <f t="shared" si="307"/>
        <v>1121.1712820512821</v>
      </c>
      <c r="G718" s="29">
        <f t="shared" si="313"/>
        <v>4.1099999999999998E-2</v>
      </c>
      <c r="H718" s="29">
        <f t="shared" si="313"/>
        <v>5.4800000000000001E-2</v>
      </c>
      <c r="I718">
        <f t="shared" si="308"/>
        <v>1182.6500000000001</v>
      </c>
      <c r="J718">
        <f>IF(A718&gt;=Quarterly!B$2,Quarterly!C$2,IF(COUNTIFS(Quarterly!B:B,"&gt;="&amp;A718-92,Quarterly!B:B,"&lt;="&amp;A718)&gt;1,SUMIFS(Quarterly!C:C,Quarterly!B:B,"&gt;="&amp;A718-88,Quarterly!B:B,"&lt;="&amp;A718),SUMIFS(Quarterly!C:C,Quarterly!B:B,"&gt;="&amp;A718-92,Quarterly!B:B,"&lt;="&amp;A718)))</f>
        <v>12367.7</v>
      </c>
      <c r="K718" s="13">
        <f t="shared" si="309"/>
        <v>9.5600000000000004E-2</v>
      </c>
      <c r="L718">
        <f t="shared" si="311"/>
        <v>1182.6500000000001</v>
      </c>
      <c r="M718">
        <f>IF(A718&gt;=Quarterly!B$2,Quarterly!D$2,IF(COUNTIFS(Quarterly!B:B,"&gt;="&amp;A718-92,Quarterly!B:B,"&lt;="&amp;A718)&gt;1,SUMIFS(Quarterly!D:D,Quarterly!B:B,"&gt;="&amp;A718-88,Quarterly!B:B,"&lt;="&amp;A718),SUMIFS(Quarterly!D:D,Quarterly!B:B,"&gt;="&amp;A718-92,Quarterly!B:B,"&lt;="&amp;A718)))</f>
        <v>978.78800000000001</v>
      </c>
      <c r="N718" s="13">
        <f t="shared" si="312"/>
        <v>0.12082999999999999</v>
      </c>
      <c r="O718">
        <f t="shared" si="314"/>
        <v>1182.6500000000001</v>
      </c>
      <c r="P718" s="56">
        <f>VLOOKUP(EOMONTH(A718,-1),Economic!A:I,7,FALSE)</f>
        <v>920838</v>
      </c>
      <c r="Q718" s="13">
        <f t="shared" si="315"/>
        <v>0.12839999999999999</v>
      </c>
      <c r="R718" s="41">
        <v>1.21</v>
      </c>
      <c r="S718">
        <f t="shared" si="316"/>
        <v>2.44</v>
      </c>
      <c r="T718" s="30">
        <f t="shared" si="317"/>
        <v>197.48</v>
      </c>
      <c r="U718" s="30">
        <f t="shared" si="310"/>
        <v>201.19</v>
      </c>
    </row>
    <row r="719" spans="1:21" ht="15" customHeight="1" x14ac:dyDescent="0.25">
      <c r="A719" s="5">
        <v>38312</v>
      </c>
      <c r="B719" s="5">
        <f t="shared" si="304"/>
        <v>38321</v>
      </c>
      <c r="C719">
        <v>1170.3399999999999</v>
      </c>
      <c r="D719" s="29">
        <f t="shared" si="305"/>
        <v>2.3E-2</v>
      </c>
      <c r="E719" s="39">
        <f t="shared" si="306"/>
        <v>1130.1876923076923</v>
      </c>
      <c r="F719" s="39">
        <f t="shared" si="307"/>
        <v>1120.2043589743591</v>
      </c>
      <c r="G719" s="29">
        <f t="shared" si="313"/>
        <v>3.5499999999999997E-2</v>
      </c>
      <c r="H719" s="29">
        <f t="shared" si="313"/>
        <v>4.48E-2</v>
      </c>
      <c r="I719">
        <f t="shared" si="308"/>
        <v>1170.3399999999999</v>
      </c>
      <c r="J719">
        <f>IF(A719&gt;=Quarterly!B$2,Quarterly!C$2,IF(COUNTIFS(Quarterly!B:B,"&gt;="&amp;A719-92,Quarterly!B:B,"&lt;="&amp;A719)&gt;1,SUMIFS(Quarterly!C:C,Quarterly!B:B,"&gt;="&amp;A719-88,Quarterly!B:B,"&lt;="&amp;A719),SUMIFS(Quarterly!C:C,Quarterly!B:B,"&gt;="&amp;A719-92,Quarterly!B:B,"&lt;="&amp;A719)))</f>
        <v>12367.7</v>
      </c>
      <c r="K719" s="13">
        <f t="shared" si="309"/>
        <v>9.4600000000000004E-2</v>
      </c>
      <c r="L719">
        <f t="shared" si="311"/>
        <v>1170.3399999999999</v>
      </c>
      <c r="M719">
        <f>IF(A719&gt;=Quarterly!B$2,Quarterly!D$2,IF(COUNTIFS(Quarterly!B:B,"&gt;="&amp;A719-92,Quarterly!B:B,"&lt;="&amp;A719)&gt;1,SUMIFS(Quarterly!D:D,Quarterly!B:B,"&gt;="&amp;A719-88,Quarterly!B:B,"&lt;="&amp;A719),SUMIFS(Quarterly!D:D,Quarterly!B:B,"&gt;="&amp;A719-92,Quarterly!B:B,"&lt;="&amp;A719)))</f>
        <v>978.78800000000001</v>
      </c>
      <c r="N719" s="13">
        <f t="shared" si="312"/>
        <v>0.11957000000000001</v>
      </c>
      <c r="O719">
        <f t="shared" si="314"/>
        <v>1170.3399999999999</v>
      </c>
      <c r="P719" s="56">
        <f>VLOOKUP(EOMONTH(A719,-1),Economic!A:I,7,FALSE)</f>
        <v>920838</v>
      </c>
      <c r="Q719" s="13">
        <f t="shared" si="315"/>
        <v>0.12709999999999999</v>
      </c>
      <c r="R719" s="41">
        <v>1.25</v>
      </c>
      <c r="S719">
        <f t="shared" si="316"/>
        <v>2.4700000000000002</v>
      </c>
      <c r="T719" s="30">
        <f t="shared" si="317"/>
        <v>200.39</v>
      </c>
      <c r="U719" s="30">
        <f t="shared" si="310"/>
        <v>205.14</v>
      </c>
    </row>
    <row r="720" spans="1:21" ht="15" customHeight="1" x14ac:dyDescent="0.25">
      <c r="A720" s="5">
        <v>38305</v>
      </c>
      <c r="B720" s="5">
        <f t="shared" si="304"/>
        <v>38321</v>
      </c>
      <c r="C720">
        <v>1184.17</v>
      </c>
      <c r="D720" s="29">
        <f t="shared" si="305"/>
        <v>5.2499999999999998E-2</v>
      </c>
      <c r="E720" s="39">
        <f t="shared" si="306"/>
        <v>1124.6499999999999</v>
      </c>
      <c r="F720" s="39">
        <f t="shared" si="307"/>
        <v>1119.531794871795</v>
      </c>
      <c r="G720" s="29">
        <f t="shared" si="313"/>
        <v>5.2900000000000003E-2</v>
      </c>
      <c r="H720" s="29">
        <f t="shared" si="313"/>
        <v>5.7700000000000001E-2</v>
      </c>
      <c r="I720">
        <f t="shared" si="308"/>
        <v>1184.17</v>
      </c>
      <c r="J720">
        <f>IF(A720&gt;=Quarterly!B$2,Quarterly!C$2,IF(COUNTIFS(Quarterly!B:B,"&gt;="&amp;A720-92,Quarterly!B:B,"&lt;="&amp;A720)&gt;1,SUMIFS(Quarterly!C:C,Quarterly!B:B,"&gt;="&amp;A720-88,Quarterly!B:B,"&lt;="&amp;A720),SUMIFS(Quarterly!C:C,Quarterly!B:B,"&gt;="&amp;A720-92,Quarterly!B:B,"&lt;="&amp;A720)))</f>
        <v>12367.7</v>
      </c>
      <c r="K720" s="13">
        <f t="shared" si="309"/>
        <v>9.5699999999999993E-2</v>
      </c>
      <c r="L720">
        <f t="shared" si="311"/>
        <v>1184.17</v>
      </c>
      <c r="M720">
        <f>IF(A720&gt;=Quarterly!B$2,Quarterly!D$2,IF(COUNTIFS(Quarterly!B:B,"&gt;="&amp;A720-92,Quarterly!B:B,"&lt;="&amp;A720)&gt;1,SUMIFS(Quarterly!D:D,Quarterly!B:B,"&gt;="&amp;A720-88,Quarterly!B:B,"&lt;="&amp;A720),SUMIFS(Quarterly!D:D,Quarterly!B:B,"&gt;="&amp;A720-92,Quarterly!B:B,"&lt;="&amp;A720)))</f>
        <v>978.78800000000001</v>
      </c>
      <c r="N720" s="13">
        <f t="shared" si="312"/>
        <v>0.12098</v>
      </c>
      <c r="O720">
        <f t="shared" si="314"/>
        <v>1184.17</v>
      </c>
      <c r="P720" s="56">
        <f>VLOOKUP(EOMONTH(A720,-1),Economic!A:I,7,FALSE)</f>
        <v>920838</v>
      </c>
      <c r="Q720" s="13">
        <f t="shared" si="315"/>
        <v>0.12859999999999999</v>
      </c>
      <c r="R720" s="41">
        <v>1.34</v>
      </c>
      <c r="S720">
        <f t="shared" si="316"/>
        <v>2.61</v>
      </c>
      <c r="T720" s="30">
        <f t="shared" si="317"/>
        <v>205.7</v>
      </c>
      <c r="U720" s="30">
        <f t="shared" si="310"/>
        <v>207.86</v>
      </c>
    </row>
    <row r="721" spans="1:21" ht="15" customHeight="1" x14ac:dyDescent="0.25">
      <c r="A721" s="5">
        <v>38298</v>
      </c>
      <c r="B721" s="5">
        <f t="shared" si="304"/>
        <v>38321</v>
      </c>
      <c r="C721">
        <v>1166.17</v>
      </c>
      <c r="D721" s="29">
        <f t="shared" si="305"/>
        <v>4.6800000000000001E-2</v>
      </c>
      <c r="E721" s="39">
        <f t="shared" si="306"/>
        <v>1115.4676923076922</v>
      </c>
      <c r="F721" s="39">
        <f t="shared" si="307"/>
        <v>1118.5482051282052</v>
      </c>
      <c r="G721" s="29">
        <f t="shared" si="313"/>
        <v>4.5499999999999999E-2</v>
      </c>
      <c r="H721" s="29">
        <f t="shared" si="313"/>
        <v>4.2599999999999999E-2</v>
      </c>
      <c r="I721">
        <f t="shared" si="308"/>
        <v>1166.17</v>
      </c>
      <c r="J721">
        <f>IF(A721&gt;=Quarterly!B$2,Quarterly!C$2,IF(COUNTIFS(Quarterly!B:B,"&gt;="&amp;A721-92,Quarterly!B:B,"&lt;="&amp;A721)&gt;1,SUMIFS(Quarterly!C:C,Quarterly!B:B,"&gt;="&amp;A721-88,Quarterly!B:B,"&lt;="&amp;A721),SUMIFS(Quarterly!C:C,Quarterly!B:B,"&gt;="&amp;A721-92,Quarterly!B:B,"&lt;="&amp;A721)))</f>
        <v>12367.7</v>
      </c>
      <c r="K721" s="13">
        <f t="shared" si="309"/>
        <v>9.4299999999999995E-2</v>
      </c>
      <c r="L721">
        <f t="shared" si="311"/>
        <v>1166.17</v>
      </c>
      <c r="M721">
        <f>IF(A721&gt;=Quarterly!B$2,Quarterly!D$2,IF(COUNTIFS(Quarterly!B:B,"&gt;="&amp;A721-92,Quarterly!B:B,"&lt;="&amp;A721)&gt;1,SUMIFS(Quarterly!D:D,Quarterly!B:B,"&gt;="&amp;A721-88,Quarterly!B:B,"&lt;="&amp;A721),SUMIFS(Quarterly!D:D,Quarterly!B:B,"&gt;="&amp;A721-92,Quarterly!B:B,"&lt;="&amp;A721)))</f>
        <v>978.78800000000001</v>
      </c>
      <c r="N721" s="13">
        <f t="shared" si="312"/>
        <v>0.11914000000000001</v>
      </c>
      <c r="O721">
        <f t="shared" si="314"/>
        <v>1166.17</v>
      </c>
      <c r="P721" s="56">
        <f>VLOOKUP(EOMONTH(A721,-1),Economic!A:I,7,FALSE)</f>
        <v>920838</v>
      </c>
      <c r="Q721" s="13">
        <f t="shared" si="315"/>
        <v>0.12659999999999999</v>
      </c>
      <c r="R721" s="41">
        <v>1.41</v>
      </c>
      <c r="S721">
        <f t="shared" si="316"/>
        <v>2.63</v>
      </c>
      <c r="T721" s="30">
        <f t="shared" si="317"/>
        <v>209.34</v>
      </c>
      <c r="U721" s="30">
        <f t="shared" si="310"/>
        <v>208.06</v>
      </c>
    </row>
    <row r="722" spans="1:21" ht="15" customHeight="1" x14ac:dyDescent="0.25">
      <c r="A722" s="5">
        <v>38291</v>
      </c>
      <c r="B722" s="5">
        <f t="shared" ref="B722:B785" si="318">EOMONTH(A722,0)</f>
        <v>38291</v>
      </c>
      <c r="C722">
        <v>1130.2</v>
      </c>
      <c r="D722" s="29">
        <f t="shared" ref="D722:D785" si="319">ROUND((C722-AVERAGE(C723:C726))/AVERAGE(C723:C726),4)</f>
        <v>1.4200000000000001E-2</v>
      </c>
      <c r="E722" s="39">
        <f t="shared" ref="E722:E785" si="320">AVERAGE(C722:C734)</f>
        <v>1107.606153846154</v>
      </c>
      <c r="F722" s="39">
        <f t="shared" ref="F722:F785" si="321">AVERAGE(C722:C760)</f>
        <v>1117.9479487179487</v>
      </c>
      <c r="G722" s="29">
        <f t="shared" si="313"/>
        <v>2.0400000000000001E-2</v>
      </c>
      <c r="H722" s="29">
        <f t="shared" si="313"/>
        <v>1.0999999999999999E-2</v>
      </c>
      <c r="I722">
        <f t="shared" ref="I722:I785" si="322">C722</f>
        <v>1130.2</v>
      </c>
      <c r="J722">
        <f>IF(A722&gt;=Quarterly!B$2,Quarterly!C$2,IF(COUNTIFS(Quarterly!B:B,"&gt;="&amp;A722-92,Quarterly!B:B,"&lt;="&amp;A722)&gt;1,SUMIFS(Quarterly!C:C,Quarterly!B:B,"&gt;="&amp;A722-88,Quarterly!B:B,"&lt;="&amp;A722),SUMIFS(Quarterly!C:C,Quarterly!B:B,"&gt;="&amp;A722-92,Quarterly!B:B,"&lt;="&amp;A722)))</f>
        <v>12367.7</v>
      </c>
      <c r="K722" s="13">
        <f t="shared" ref="K722:K785" si="323">ROUND(I722/J722,4)</f>
        <v>9.1399999999999995E-2</v>
      </c>
      <c r="L722">
        <f t="shared" si="311"/>
        <v>1130.2</v>
      </c>
      <c r="M722">
        <f>IF(A722&gt;=Quarterly!B$2,Quarterly!D$2,IF(COUNTIFS(Quarterly!B:B,"&gt;="&amp;A722-92,Quarterly!B:B,"&lt;="&amp;A722)&gt;1,SUMIFS(Quarterly!D:D,Quarterly!B:B,"&gt;="&amp;A722-88,Quarterly!B:B,"&lt;="&amp;A722),SUMIFS(Quarterly!D:D,Quarterly!B:B,"&gt;="&amp;A722-92,Quarterly!B:B,"&lt;="&amp;A722)))</f>
        <v>978.78800000000001</v>
      </c>
      <c r="N722" s="13">
        <f t="shared" si="312"/>
        <v>0.11547000000000002</v>
      </c>
      <c r="O722">
        <f t="shared" si="314"/>
        <v>1130.2</v>
      </c>
      <c r="P722" s="56">
        <f>VLOOKUP(EOMONTH(A722,-1),Economic!A:I,7,FALSE)</f>
        <v>916419</v>
      </c>
      <c r="Q722" s="13">
        <f t="shared" si="315"/>
        <v>0.12329999999999999</v>
      </c>
      <c r="R722" s="41">
        <v>1.49</v>
      </c>
      <c r="S722">
        <f t="shared" si="316"/>
        <v>2.5</v>
      </c>
      <c r="T722" s="30">
        <f t="shared" si="317"/>
        <v>208.54</v>
      </c>
      <c r="U722" s="30">
        <f t="shared" ref="U722:U785" si="324">ROUND(AVERAGE(T722:T724),2)</f>
        <v>209.02</v>
      </c>
    </row>
    <row r="723" spans="1:21" ht="15" customHeight="1" x14ac:dyDescent="0.25">
      <c r="A723" s="5">
        <v>38284</v>
      </c>
      <c r="B723" s="5">
        <f t="shared" si="318"/>
        <v>38291</v>
      </c>
      <c r="C723">
        <v>1095.74</v>
      </c>
      <c r="D723" s="29">
        <f t="shared" si="319"/>
        <v>-1.9900000000000001E-2</v>
      </c>
      <c r="E723" s="39">
        <f t="shared" si="320"/>
        <v>1105.4153846153845</v>
      </c>
      <c r="F723" s="39">
        <f t="shared" si="321"/>
        <v>1117.9717948717948</v>
      </c>
      <c r="G723" s="29">
        <f t="shared" si="313"/>
        <v>-8.8000000000000005E-3</v>
      </c>
      <c r="H723" s="29">
        <f t="shared" si="313"/>
        <v>-1.9900000000000001E-2</v>
      </c>
      <c r="I723">
        <f t="shared" si="322"/>
        <v>1095.74</v>
      </c>
      <c r="J723">
        <f>IF(A723&gt;=Quarterly!B$2,Quarterly!C$2,IF(COUNTIFS(Quarterly!B:B,"&gt;="&amp;A723-92,Quarterly!B:B,"&lt;="&amp;A723)&gt;1,SUMIFS(Quarterly!C:C,Quarterly!B:B,"&gt;="&amp;A723-88,Quarterly!B:B,"&lt;="&amp;A723),SUMIFS(Quarterly!C:C,Quarterly!B:B,"&gt;="&amp;A723-92,Quarterly!B:B,"&lt;="&amp;A723)))</f>
        <v>12181.4</v>
      </c>
      <c r="K723" s="13">
        <f t="shared" si="323"/>
        <v>0.09</v>
      </c>
      <c r="L723">
        <f t="shared" si="311"/>
        <v>1095.74</v>
      </c>
      <c r="M723">
        <f>IF(A723&gt;=Quarterly!B$2,Quarterly!D$2,IF(COUNTIFS(Quarterly!B:B,"&gt;="&amp;A723-92,Quarterly!B:B,"&lt;="&amp;A723)&gt;1,SUMIFS(Quarterly!D:D,Quarterly!B:B,"&gt;="&amp;A723-88,Quarterly!B:B,"&lt;="&amp;A723),SUMIFS(Quarterly!D:D,Quarterly!B:B,"&gt;="&amp;A723-92,Quarterly!B:B,"&lt;="&amp;A723)))</f>
        <v>939.71</v>
      </c>
      <c r="N723" s="13">
        <f t="shared" si="312"/>
        <v>0.1166</v>
      </c>
      <c r="O723">
        <f t="shared" si="314"/>
        <v>1095.74</v>
      </c>
      <c r="P723" s="56">
        <f>VLOOKUP(EOMONTH(A723,-1),Economic!A:I,7,FALSE)</f>
        <v>916419</v>
      </c>
      <c r="Q723" s="13">
        <f t="shared" si="315"/>
        <v>0.1196</v>
      </c>
      <c r="R723" s="41">
        <v>1.45</v>
      </c>
      <c r="S723">
        <f t="shared" si="316"/>
        <v>2.5099999999999998</v>
      </c>
      <c r="T723" s="30">
        <f t="shared" si="317"/>
        <v>206.31</v>
      </c>
      <c r="U723" s="30">
        <f t="shared" si="324"/>
        <v>208.54</v>
      </c>
    </row>
    <row r="724" spans="1:21" ht="15" customHeight="1" x14ac:dyDescent="0.25">
      <c r="A724" s="5">
        <v>38277</v>
      </c>
      <c r="B724" s="5">
        <f t="shared" si="318"/>
        <v>38291</v>
      </c>
      <c r="C724">
        <v>1108.2</v>
      </c>
      <c r="D724" s="29">
        <f t="shared" si="319"/>
        <v>-1.32E-2</v>
      </c>
      <c r="E724" s="39">
        <f t="shared" si="320"/>
        <v>1104.6815384615384</v>
      </c>
      <c r="F724" s="39">
        <f t="shared" si="321"/>
        <v>1119.1464102564105</v>
      </c>
      <c r="G724" s="29">
        <f t="shared" si="313"/>
        <v>3.2000000000000002E-3</v>
      </c>
      <c r="H724" s="29">
        <f t="shared" si="313"/>
        <v>-9.7999999999999997E-3</v>
      </c>
      <c r="I724">
        <f t="shared" si="322"/>
        <v>1108.2</v>
      </c>
      <c r="J724">
        <f>IF(A724&gt;=Quarterly!B$2,Quarterly!C$2,IF(COUNTIFS(Quarterly!B:B,"&gt;="&amp;A724-92,Quarterly!B:B,"&lt;="&amp;A724)&gt;1,SUMIFS(Quarterly!C:C,Quarterly!B:B,"&gt;="&amp;A724-88,Quarterly!B:B,"&lt;="&amp;A724),SUMIFS(Quarterly!C:C,Quarterly!B:B,"&gt;="&amp;A724-92,Quarterly!B:B,"&lt;="&amp;A724)))</f>
        <v>12181.4</v>
      </c>
      <c r="K724" s="13">
        <f t="shared" si="323"/>
        <v>9.0999999999999998E-2</v>
      </c>
      <c r="L724">
        <f t="shared" si="311"/>
        <v>1108.2</v>
      </c>
      <c r="M724">
        <f>IF(A724&gt;=Quarterly!B$2,Quarterly!D$2,IF(COUNTIFS(Quarterly!B:B,"&gt;="&amp;A724-92,Quarterly!B:B,"&lt;="&amp;A724)&gt;1,SUMIFS(Quarterly!D:D,Quarterly!B:B,"&gt;="&amp;A724-88,Quarterly!B:B,"&lt;="&amp;A724),SUMIFS(Quarterly!D:D,Quarterly!B:B,"&gt;="&amp;A724-92,Quarterly!B:B,"&lt;="&amp;A724)))</f>
        <v>939.71</v>
      </c>
      <c r="N724" s="13">
        <f t="shared" si="312"/>
        <v>0.11793000000000001</v>
      </c>
      <c r="O724">
        <f t="shared" si="314"/>
        <v>1108.2</v>
      </c>
      <c r="P724" s="56">
        <f>VLOOKUP(EOMONTH(A724,-1),Economic!A:I,7,FALSE)</f>
        <v>916419</v>
      </c>
      <c r="Q724" s="13">
        <f t="shared" si="315"/>
        <v>0.12090000000000001</v>
      </c>
      <c r="R724" s="41">
        <v>1.54</v>
      </c>
      <c r="S724">
        <f t="shared" si="316"/>
        <v>2.7</v>
      </c>
      <c r="T724" s="30">
        <f t="shared" si="317"/>
        <v>212.2</v>
      </c>
      <c r="U724" s="30">
        <f t="shared" si="324"/>
        <v>209.13</v>
      </c>
    </row>
    <row r="725" spans="1:21" ht="15" customHeight="1" x14ac:dyDescent="0.25">
      <c r="A725" s="5">
        <v>38270</v>
      </c>
      <c r="B725" s="5">
        <f t="shared" si="318"/>
        <v>38291</v>
      </c>
      <c r="C725">
        <v>1122.1400000000001</v>
      </c>
      <c r="D725" s="29">
        <f t="shared" si="319"/>
        <v>-1.1999999999999999E-3</v>
      </c>
      <c r="E725" s="39">
        <f t="shared" si="320"/>
        <v>1104.1576923076923</v>
      </c>
      <c r="F725" s="39">
        <f t="shared" si="321"/>
        <v>1119.9574358974362</v>
      </c>
      <c r="G725" s="29">
        <f t="shared" si="313"/>
        <v>1.6299999999999999E-2</v>
      </c>
      <c r="H725" s="29">
        <f t="shared" si="313"/>
        <v>1.9E-3</v>
      </c>
      <c r="I725">
        <f t="shared" si="322"/>
        <v>1122.1400000000001</v>
      </c>
      <c r="J725">
        <f>IF(A725&gt;=Quarterly!B$2,Quarterly!C$2,IF(COUNTIFS(Quarterly!B:B,"&gt;="&amp;A725-92,Quarterly!B:B,"&lt;="&amp;A725)&gt;1,SUMIFS(Quarterly!C:C,Quarterly!B:B,"&gt;="&amp;A725-88,Quarterly!B:B,"&lt;="&amp;A725),SUMIFS(Quarterly!C:C,Quarterly!B:B,"&gt;="&amp;A725-92,Quarterly!B:B,"&lt;="&amp;A725)))</f>
        <v>12181.4</v>
      </c>
      <c r="K725" s="13">
        <f t="shared" si="323"/>
        <v>9.2100000000000001E-2</v>
      </c>
      <c r="L725">
        <f t="shared" si="311"/>
        <v>1122.1400000000001</v>
      </c>
      <c r="M725">
        <f>IF(A725&gt;=Quarterly!B$2,Quarterly!D$2,IF(COUNTIFS(Quarterly!B:B,"&gt;="&amp;A725-92,Quarterly!B:B,"&lt;="&amp;A725)&gt;1,SUMIFS(Quarterly!D:D,Quarterly!B:B,"&gt;="&amp;A725-88,Quarterly!B:B,"&lt;="&amp;A725),SUMIFS(Quarterly!D:D,Quarterly!B:B,"&gt;="&amp;A725-92,Quarterly!B:B,"&lt;="&amp;A725)))</f>
        <v>939.71</v>
      </c>
      <c r="N725" s="13">
        <f t="shared" si="312"/>
        <v>0.11941</v>
      </c>
      <c r="O725">
        <f t="shared" si="314"/>
        <v>1122.1400000000001</v>
      </c>
      <c r="P725" s="56">
        <f>VLOOKUP(EOMONTH(A725,-1),Economic!A:I,7,FALSE)</f>
        <v>916419</v>
      </c>
      <c r="Q725" s="13">
        <f t="shared" si="315"/>
        <v>0.12240000000000001</v>
      </c>
      <c r="R725" s="41">
        <v>1.54</v>
      </c>
      <c r="S725">
        <f t="shared" si="316"/>
        <v>2.5499999999999998</v>
      </c>
      <c r="T725" s="30">
        <f t="shared" si="317"/>
        <v>207.1</v>
      </c>
      <c r="U725" s="30">
        <f t="shared" si="324"/>
        <v>209.28</v>
      </c>
    </row>
    <row r="726" spans="1:21" ht="15" customHeight="1" x14ac:dyDescent="0.25">
      <c r="A726" s="5">
        <v>38263</v>
      </c>
      <c r="B726" s="5">
        <f t="shared" si="318"/>
        <v>38291</v>
      </c>
      <c r="C726">
        <v>1131.5</v>
      </c>
      <c r="D726" s="29">
        <f t="shared" si="319"/>
        <v>1.11E-2</v>
      </c>
      <c r="E726" s="39">
        <f t="shared" si="320"/>
        <v>1103.4399999999998</v>
      </c>
      <c r="F726" s="39">
        <f t="shared" si="321"/>
        <v>1119.9502564102568</v>
      </c>
      <c r="G726" s="29">
        <f t="shared" si="313"/>
        <v>2.5399999999999999E-2</v>
      </c>
      <c r="H726" s="29">
        <f t="shared" si="313"/>
        <v>1.03E-2</v>
      </c>
      <c r="I726">
        <f t="shared" si="322"/>
        <v>1131.5</v>
      </c>
      <c r="J726">
        <f>IF(A726&gt;=Quarterly!B$2,Quarterly!C$2,IF(COUNTIFS(Quarterly!B:B,"&gt;="&amp;A726-92,Quarterly!B:B,"&lt;="&amp;A726)&gt;1,SUMIFS(Quarterly!C:C,Quarterly!B:B,"&gt;="&amp;A726-88,Quarterly!B:B,"&lt;="&amp;A726),SUMIFS(Quarterly!C:C,Quarterly!B:B,"&gt;="&amp;A726-92,Quarterly!B:B,"&lt;="&amp;A726)))</f>
        <v>12181.4</v>
      </c>
      <c r="K726" s="13">
        <f t="shared" si="323"/>
        <v>9.2899999999999996E-2</v>
      </c>
      <c r="L726">
        <f t="shared" si="311"/>
        <v>1131.5</v>
      </c>
      <c r="M726">
        <f>IF(A726&gt;=Quarterly!B$2,Quarterly!D$2,IF(COUNTIFS(Quarterly!B:B,"&gt;="&amp;A726-92,Quarterly!B:B,"&lt;="&amp;A726)&gt;1,SUMIFS(Quarterly!D:D,Quarterly!B:B,"&gt;="&amp;A726-88,Quarterly!B:B,"&lt;="&amp;A726),SUMIFS(Quarterly!D:D,Quarterly!B:B,"&gt;="&amp;A726-92,Quarterly!B:B,"&lt;="&amp;A726)))</f>
        <v>939.71</v>
      </c>
      <c r="N726" s="13">
        <f t="shared" si="312"/>
        <v>0.12041</v>
      </c>
      <c r="O726">
        <f t="shared" si="314"/>
        <v>1131.5</v>
      </c>
      <c r="P726" s="56">
        <f>VLOOKUP(EOMONTH(A726,-1),Economic!A:I,7,FALSE)</f>
        <v>916419</v>
      </c>
      <c r="Q726" s="13">
        <f t="shared" si="315"/>
        <v>0.1235</v>
      </c>
      <c r="R726" s="41">
        <v>1.58</v>
      </c>
      <c r="S726">
        <f t="shared" si="316"/>
        <v>2.59</v>
      </c>
      <c r="T726" s="30">
        <f t="shared" si="317"/>
        <v>208.08</v>
      </c>
      <c r="U726" s="30">
        <f t="shared" si="324"/>
        <v>208.47</v>
      </c>
    </row>
    <row r="727" spans="1:21" ht="15" customHeight="1" x14ac:dyDescent="0.25">
      <c r="A727" s="5">
        <v>38256</v>
      </c>
      <c r="B727" s="5">
        <f t="shared" si="318"/>
        <v>38260</v>
      </c>
      <c r="C727">
        <v>1110.1099999999999</v>
      </c>
      <c r="D727" s="29">
        <f t="shared" si="319"/>
        <v>-7.4999999999999997E-3</v>
      </c>
      <c r="E727" s="39">
        <f t="shared" si="320"/>
        <v>1102.9692307692308</v>
      </c>
      <c r="F727" s="39">
        <f t="shared" si="321"/>
        <v>1119.3600000000001</v>
      </c>
      <c r="G727" s="29">
        <f t="shared" si="313"/>
        <v>6.4999999999999997E-3</v>
      </c>
      <c r="H727" s="29">
        <f t="shared" si="313"/>
        <v>-8.3000000000000001E-3</v>
      </c>
      <c r="I727">
        <f t="shared" si="322"/>
        <v>1110.1099999999999</v>
      </c>
      <c r="J727">
        <f>IF(A727&gt;=Quarterly!B$2,Quarterly!C$2,IF(COUNTIFS(Quarterly!B:B,"&gt;="&amp;A727-92,Quarterly!B:B,"&lt;="&amp;A727)&gt;1,SUMIFS(Quarterly!C:C,Quarterly!B:B,"&gt;="&amp;A727-88,Quarterly!B:B,"&lt;="&amp;A727),SUMIFS(Quarterly!C:C,Quarterly!B:B,"&gt;="&amp;A727-92,Quarterly!B:B,"&lt;="&amp;A727)))</f>
        <v>12181.4</v>
      </c>
      <c r="K727" s="13">
        <f t="shared" si="323"/>
        <v>9.11E-2</v>
      </c>
      <c r="L727">
        <f t="shared" ref="L727:L790" si="325">C727</f>
        <v>1110.1099999999999</v>
      </c>
      <c r="M727">
        <f>IF(A727&gt;=Quarterly!B$2,Quarterly!D$2,IF(COUNTIFS(Quarterly!B:B,"&gt;="&amp;A727-92,Quarterly!B:B,"&lt;="&amp;A727)&gt;1,SUMIFS(Quarterly!D:D,Quarterly!B:B,"&gt;="&amp;A727-88,Quarterly!B:B,"&lt;="&amp;A727),SUMIFS(Quarterly!D:D,Quarterly!B:B,"&gt;="&amp;A727-92,Quarterly!B:B,"&lt;="&amp;A727)))</f>
        <v>939.71</v>
      </c>
      <c r="N727" s="13">
        <f t="shared" ref="N727:N790" si="326">ROUND(L727/M727,4)*0.1</f>
        <v>0.11813000000000001</v>
      </c>
      <c r="O727">
        <f t="shared" si="314"/>
        <v>1110.1099999999999</v>
      </c>
      <c r="P727" s="56">
        <f>VLOOKUP(EOMONTH(A727,-1),Economic!A:I,7,FALSE)</f>
        <v>912308</v>
      </c>
      <c r="Q727" s="13">
        <f t="shared" si="315"/>
        <v>0.1217</v>
      </c>
      <c r="R727" s="41">
        <v>1.42</v>
      </c>
      <c r="S727">
        <f t="shared" si="316"/>
        <v>2.7</v>
      </c>
      <c r="T727" s="30">
        <f t="shared" si="317"/>
        <v>212.66</v>
      </c>
      <c r="U727" s="30">
        <f t="shared" si="324"/>
        <v>205.99</v>
      </c>
    </row>
    <row r="728" spans="1:21" ht="15" customHeight="1" x14ac:dyDescent="0.25">
      <c r="A728" s="5">
        <v>38249</v>
      </c>
      <c r="B728" s="5">
        <f t="shared" si="318"/>
        <v>38260</v>
      </c>
      <c r="C728">
        <v>1128.55</v>
      </c>
      <c r="D728" s="29">
        <f t="shared" si="319"/>
        <v>1.5900000000000001E-2</v>
      </c>
      <c r="E728" s="39">
        <f t="shared" si="320"/>
        <v>1104.8400000000001</v>
      </c>
      <c r="F728" s="39">
        <f t="shared" si="321"/>
        <v>1118.9953846153851</v>
      </c>
      <c r="G728" s="29">
        <f t="shared" si="313"/>
        <v>2.1499999999999998E-2</v>
      </c>
      <c r="H728" s="29">
        <f t="shared" si="313"/>
        <v>8.5000000000000006E-3</v>
      </c>
      <c r="I728">
        <f t="shared" si="322"/>
        <v>1128.55</v>
      </c>
      <c r="J728">
        <f>IF(A728&gt;=Quarterly!B$2,Quarterly!C$2,IF(COUNTIFS(Quarterly!B:B,"&gt;="&amp;A728-92,Quarterly!B:B,"&lt;="&amp;A728)&gt;1,SUMIFS(Quarterly!C:C,Quarterly!B:B,"&gt;="&amp;A728-88,Quarterly!B:B,"&lt;="&amp;A728),SUMIFS(Quarterly!C:C,Quarterly!B:B,"&gt;="&amp;A728-92,Quarterly!B:B,"&lt;="&amp;A728)))</f>
        <v>12181.4</v>
      </c>
      <c r="K728" s="13">
        <f t="shared" si="323"/>
        <v>9.2600000000000002E-2</v>
      </c>
      <c r="L728">
        <f t="shared" si="325"/>
        <v>1128.55</v>
      </c>
      <c r="M728">
        <f>IF(A728&gt;=Quarterly!B$2,Quarterly!D$2,IF(COUNTIFS(Quarterly!B:B,"&gt;="&amp;A728-92,Quarterly!B:B,"&lt;="&amp;A728)&gt;1,SUMIFS(Quarterly!D:D,Quarterly!B:B,"&gt;="&amp;A728-88,Quarterly!B:B,"&lt;="&amp;A728),SUMIFS(Quarterly!D:D,Quarterly!B:B,"&gt;="&amp;A728-92,Quarterly!B:B,"&lt;="&amp;A728)))</f>
        <v>939.71</v>
      </c>
      <c r="N728" s="13">
        <f t="shared" si="326"/>
        <v>0.12010000000000001</v>
      </c>
      <c r="O728">
        <f t="shared" si="314"/>
        <v>1128.55</v>
      </c>
      <c r="P728" s="56">
        <f>VLOOKUP(EOMONTH(A728,-1),Economic!A:I,7,FALSE)</f>
        <v>912308</v>
      </c>
      <c r="Q728" s="13">
        <f t="shared" si="315"/>
        <v>0.1237</v>
      </c>
      <c r="R728" s="41">
        <v>1.61</v>
      </c>
      <c r="S728">
        <f t="shared" si="316"/>
        <v>2.4900000000000002</v>
      </c>
      <c r="T728" s="30">
        <f t="shared" si="317"/>
        <v>204.68</v>
      </c>
      <c r="U728" s="30">
        <f t="shared" si="324"/>
        <v>201.85</v>
      </c>
    </row>
    <row r="729" spans="1:21" ht="15" customHeight="1" x14ac:dyDescent="0.25">
      <c r="A729" s="5">
        <v>38242</v>
      </c>
      <c r="B729" s="5">
        <f t="shared" si="318"/>
        <v>38260</v>
      </c>
      <c r="C729">
        <v>1123.92</v>
      </c>
      <c r="D729" s="29">
        <f t="shared" si="319"/>
        <v>2.53E-2</v>
      </c>
      <c r="E729" s="39">
        <f t="shared" si="320"/>
        <v>1105.3376923076924</v>
      </c>
      <c r="F729" s="39">
        <f t="shared" si="321"/>
        <v>1117.9725641025643</v>
      </c>
      <c r="G729" s="29">
        <f t="shared" si="313"/>
        <v>1.6799999999999999E-2</v>
      </c>
      <c r="H729" s="29">
        <f t="shared" si="313"/>
        <v>5.3E-3</v>
      </c>
      <c r="I729">
        <f t="shared" si="322"/>
        <v>1123.92</v>
      </c>
      <c r="J729">
        <f>IF(A729&gt;=Quarterly!B$2,Quarterly!C$2,IF(COUNTIFS(Quarterly!B:B,"&gt;="&amp;A729-92,Quarterly!B:B,"&lt;="&amp;A729)&gt;1,SUMIFS(Quarterly!C:C,Quarterly!B:B,"&gt;="&amp;A729-88,Quarterly!B:B,"&lt;="&amp;A729),SUMIFS(Quarterly!C:C,Quarterly!B:B,"&gt;="&amp;A729-92,Quarterly!B:B,"&lt;="&amp;A729)))</f>
        <v>12181.4</v>
      </c>
      <c r="K729" s="13">
        <f t="shared" si="323"/>
        <v>9.2299999999999993E-2</v>
      </c>
      <c r="L729">
        <f t="shared" si="325"/>
        <v>1123.92</v>
      </c>
      <c r="M729">
        <f>IF(A729&gt;=Quarterly!B$2,Quarterly!D$2,IF(COUNTIFS(Quarterly!B:B,"&gt;="&amp;A729-92,Quarterly!B:B,"&lt;="&amp;A729)&gt;1,SUMIFS(Quarterly!D:D,Quarterly!B:B,"&gt;="&amp;A729-88,Quarterly!B:B,"&lt;="&amp;A729),SUMIFS(Quarterly!D:D,Quarterly!B:B,"&gt;="&amp;A729-92,Quarterly!B:B,"&lt;="&amp;A729)))</f>
        <v>939.71</v>
      </c>
      <c r="N729" s="13">
        <f t="shared" si="326"/>
        <v>0.1196</v>
      </c>
      <c r="O729">
        <f t="shared" si="314"/>
        <v>1123.92</v>
      </c>
      <c r="P729" s="56">
        <f>VLOOKUP(EOMONTH(A729,-1),Economic!A:I,7,FALSE)</f>
        <v>912308</v>
      </c>
      <c r="Q729" s="13">
        <f t="shared" si="315"/>
        <v>0.1232</v>
      </c>
      <c r="R729" s="41">
        <v>1.69</v>
      </c>
      <c r="S729">
        <f t="shared" si="316"/>
        <v>2.37</v>
      </c>
      <c r="T729" s="30">
        <f t="shared" si="317"/>
        <v>200.64</v>
      </c>
      <c r="U729" s="30">
        <f t="shared" si="324"/>
        <v>198.77</v>
      </c>
    </row>
    <row r="730" spans="1:21" ht="15" customHeight="1" x14ac:dyDescent="0.25">
      <c r="A730" s="5">
        <v>38235</v>
      </c>
      <c r="B730" s="5">
        <f t="shared" si="318"/>
        <v>38260</v>
      </c>
      <c r="C730">
        <v>1113.6300000000001</v>
      </c>
      <c r="D730" s="29">
        <f t="shared" si="319"/>
        <v>2.76E-2</v>
      </c>
      <c r="E730" s="39">
        <f t="shared" si="320"/>
        <v>1106.303076923077</v>
      </c>
      <c r="F730" s="39">
        <f t="shared" si="321"/>
        <v>1116.6961538461542</v>
      </c>
      <c r="G730" s="29">
        <f t="shared" si="313"/>
        <v>6.6E-3</v>
      </c>
      <c r="H730" s="29">
        <f t="shared" si="313"/>
        <v>-2.7000000000000001E-3</v>
      </c>
      <c r="I730">
        <f t="shared" si="322"/>
        <v>1113.6300000000001</v>
      </c>
      <c r="J730">
        <f>IF(A730&gt;=Quarterly!B$2,Quarterly!C$2,IF(COUNTIFS(Quarterly!B:B,"&gt;="&amp;A730-92,Quarterly!B:B,"&lt;="&amp;A730)&gt;1,SUMIFS(Quarterly!C:C,Quarterly!B:B,"&gt;="&amp;A730-88,Quarterly!B:B,"&lt;="&amp;A730),SUMIFS(Quarterly!C:C,Quarterly!B:B,"&gt;="&amp;A730-92,Quarterly!B:B,"&lt;="&amp;A730)))</f>
        <v>12181.4</v>
      </c>
      <c r="K730" s="13">
        <f t="shared" si="323"/>
        <v>9.1399999999999995E-2</v>
      </c>
      <c r="L730">
        <f t="shared" si="325"/>
        <v>1113.6300000000001</v>
      </c>
      <c r="M730">
        <f>IF(A730&gt;=Quarterly!B$2,Quarterly!D$2,IF(COUNTIFS(Quarterly!B:B,"&gt;="&amp;A730-92,Quarterly!B:B,"&lt;="&amp;A730)&gt;1,SUMIFS(Quarterly!D:D,Quarterly!B:B,"&gt;="&amp;A730-88,Quarterly!B:B,"&lt;="&amp;A730),SUMIFS(Quarterly!D:D,Quarterly!B:B,"&gt;="&amp;A730-92,Quarterly!B:B,"&lt;="&amp;A730)))</f>
        <v>939.71</v>
      </c>
      <c r="N730" s="13">
        <f t="shared" si="326"/>
        <v>0.11851</v>
      </c>
      <c r="O730">
        <f t="shared" si="314"/>
        <v>1113.6300000000001</v>
      </c>
      <c r="P730" s="56">
        <f>VLOOKUP(EOMONTH(A730,-1),Economic!A:I,7,FALSE)</f>
        <v>912308</v>
      </c>
      <c r="Q730" s="13">
        <f t="shared" si="315"/>
        <v>0.12210000000000001</v>
      </c>
      <c r="R730" s="41">
        <v>1.69</v>
      </c>
      <c r="S730">
        <f t="shared" si="316"/>
        <v>2.35</v>
      </c>
      <c r="T730" s="30">
        <f t="shared" si="317"/>
        <v>200.22</v>
      </c>
      <c r="U730" s="30">
        <f t="shared" si="324"/>
        <v>196.79</v>
      </c>
    </row>
    <row r="731" spans="1:21" ht="15" customHeight="1" x14ac:dyDescent="0.25">
      <c r="A731" s="5">
        <v>38228</v>
      </c>
      <c r="B731" s="5">
        <f t="shared" si="318"/>
        <v>38230</v>
      </c>
      <c r="C731">
        <v>1107.77</v>
      </c>
      <c r="D731" s="29">
        <f t="shared" si="319"/>
        <v>2.3599999999999999E-2</v>
      </c>
      <c r="E731" s="39">
        <f t="shared" si="320"/>
        <v>1106.9853846153846</v>
      </c>
      <c r="F731" s="39">
        <f t="shared" si="321"/>
        <v>1115.3594871794874</v>
      </c>
      <c r="G731" s="29">
        <f t="shared" si="313"/>
        <v>6.9999999999999999E-4</v>
      </c>
      <c r="H731" s="29">
        <f t="shared" si="313"/>
        <v>-6.7999999999999996E-3</v>
      </c>
      <c r="I731">
        <f t="shared" si="322"/>
        <v>1107.77</v>
      </c>
      <c r="J731">
        <f>IF(A731&gt;=Quarterly!B$2,Quarterly!C$2,IF(COUNTIFS(Quarterly!B:B,"&gt;="&amp;A731-92,Quarterly!B:B,"&lt;="&amp;A731)&gt;1,SUMIFS(Quarterly!C:C,Quarterly!B:B,"&gt;="&amp;A731-88,Quarterly!B:B,"&lt;="&amp;A731),SUMIFS(Quarterly!C:C,Quarterly!B:B,"&gt;="&amp;A731-92,Quarterly!B:B,"&lt;="&amp;A731)))</f>
        <v>12181.4</v>
      </c>
      <c r="K731" s="13">
        <f t="shared" si="323"/>
        <v>9.0899999999999995E-2</v>
      </c>
      <c r="L731">
        <f t="shared" si="325"/>
        <v>1107.77</v>
      </c>
      <c r="M731">
        <f>IF(A731&gt;=Quarterly!B$2,Quarterly!D$2,IF(COUNTIFS(Quarterly!B:B,"&gt;="&amp;A731-92,Quarterly!B:B,"&lt;="&amp;A731)&gt;1,SUMIFS(Quarterly!D:D,Quarterly!B:B,"&gt;="&amp;A731-88,Quarterly!B:B,"&lt;="&amp;A731),SUMIFS(Quarterly!D:D,Quarterly!B:B,"&gt;="&amp;A731-92,Quarterly!B:B,"&lt;="&amp;A731)))</f>
        <v>939.71</v>
      </c>
      <c r="N731" s="13">
        <f t="shared" si="326"/>
        <v>0.11788000000000001</v>
      </c>
      <c r="O731">
        <f t="shared" si="314"/>
        <v>1107.77</v>
      </c>
      <c r="P731" s="56">
        <f>VLOOKUP(EOMONTH(A731,-1),Economic!A:I,7,FALSE)</f>
        <v>910984</v>
      </c>
      <c r="Q731" s="13">
        <f t="shared" si="315"/>
        <v>0.12160000000000001</v>
      </c>
      <c r="R731" s="41">
        <v>1.75</v>
      </c>
      <c r="S731">
        <f t="shared" si="316"/>
        <v>2.2000000000000002</v>
      </c>
      <c r="T731" s="30">
        <f t="shared" si="317"/>
        <v>195.45</v>
      </c>
      <c r="U731" s="30">
        <f t="shared" si="324"/>
        <v>193.87</v>
      </c>
    </row>
    <row r="732" spans="1:21" ht="15" customHeight="1" x14ac:dyDescent="0.25">
      <c r="A732" s="5">
        <v>38221</v>
      </c>
      <c r="B732" s="5">
        <f t="shared" si="318"/>
        <v>38230</v>
      </c>
      <c r="C732">
        <v>1098.3499999999999</v>
      </c>
      <c r="D732" s="29">
        <f t="shared" si="319"/>
        <v>1.78E-2</v>
      </c>
      <c r="E732" s="39">
        <f t="shared" si="320"/>
        <v>1107.9784615384615</v>
      </c>
      <c r="F732" s="39">
        <f t="shared" si="321"/>
        <v>1114.0884615384616</v>
      </c>
      <c r="G732" s="29">
        <f t="shared" si="313"/>
        <v>-8.6999999999999994E-3</v>
      </c>
      <c r="H732" s="29">
        <f t="shared" si="313"/>
        <v>-1.41E-2</v>
      </c>
      <c r="I732">
        <f t="shared" si="322"/>
        <v>1098.3499999999999</v>
      </c>
      <c r="J732">
        <f>IF(A732&gt;=Quarterly!B$2,Quarterly!C$2,IF(COUNTIFS(Quarterly!B:B,"&gt;="&amp;A732-92,Quarterly!B:B,"&lt;="&amp;A732)&gt;1,SUMIFS(Quarterly!C:C,Quarterly!B:B,"&gt;="&amp;A732-88,Quarterly!B:B,"&lt;="&amp;A732),SUMIFS(Quarterly!C:C,Quarterly!B:B,"&gt;="&amp;A732-92,Quarterly!B:B,"&lt;="&amp;A732)))</f>
        <v>12181.4</v>
      </c>
      <c r="K732" s="13">
        <f t="shared" si="323"/>
        <v>9.0200000000000002E-2</v>
      </c>
      <c r="L732">
        <f t="shared" si="325"/>
        <v>1098.3499999999999</v>
      </c>
      <c r="M732">
        <f>IF(A732&gt;=Quarterly!B$2,Quarterly!D$2,IF(COUNTIFS(Quarterly!B:B,"&gt;="&amp;A732-92,Quarterly!B:B,"&lt;="&amp;A732)&gt;1,SUMIFS(Quarterly!D:D,Quarterly!B:B,"&gt;="&amp;A732-88,Quarterly!B:B,"&lt;="&amp;A732),SUMIFS(Quarterly!D:D,Quarterly!B:B,"&gt;="&amp;A732-92,Quarterly!B:B,"&lt;="&amp;A732)))</f>
        <v>939.71</v>
      </c>
      <c r="N732" s="13">
        <f t="shared" si="326"/>
        <v>0.11688000000000001</v>
      </c>
      <c r="O732">
        <f t="shared" si="314"/>
        <v>1098.3499999999999</v>
      </c>
      <c r="P732" s="56">
        <f>VLOOKUP(EOMONTH(A732,-1),Economic!A:I,7,FALSE)</f>
        <v>910984</v>
      </c>
      <c r="Q732" s="13">
        <f t="shared" si="315"/>
        <v>0.1206</v>
      </c>
      <c r="R732" s="41">
        <v>1.78</v>
      </c>
      <c r="S732">
        <f t="shared" si="316"/>
        <v>2.1800000000000002</v>
      </c>
      <c r="T732" s="30">
        <f t="shared" si="317"/>
        <v>194.7</v>
      </c>
      <c r="U732" s="30">
        <f t="shared" si="324"/>
        <v>193.12</v>
      </c>
    </row>
    <row r="733" spans="1:21" ht="15" customHeight="1" x14ac:dyDescent="0.25">
      <c r="A733" s="5">
        <v>38214</v>
      </c>
      <c r="B733" s="5">
        <f t="shared" si="318"/>
        <v>38230</v>
      </c>
      <c r="C733">
        <v>1064.8</v>
      </c>
      <c r="D733" s="29">
        <f t="shared" si="319"/>
        <v>-2.1600000000000001E-2</v>
      </c>
      <c r="E733" s="39">
        <f t="shared" si="320"/>
        <v>1107.6099999999999</v>
      </c>
      <c r="F733" s="39">
        <f t="shared" si="321"/>
        <v>1112.4712820512821</v>
      </c>
      <c r="G733" s="29">
        <f t="shared" si="313"/>
        <v>-3.8699999999999998E-2</v>
      </c>
      <c r="H733" s="29">
        <f t="shared" si="313"/>
        <v>-4.2900000000000001E-2</v>
      </c>
      <c r="I733">
        <f t="shared" si="322"/>
        <v>1064.8</v>
      </c>
      <c r="J733">
        <f>IF(A733&gt;=Quarterly!B$2,Quarterly!C$2,IF(COUNTIFS(Quarterly!B:B,"&gt;="&amp;A733-92,Quarterly!B:B,"&lt;="&amp;A733)&gt;1,SUMIFS(Quarterly!C:C,Quarterly!B:B,"&gt;="&amp;A733-88,Quarterly!B:B,"&lt;="&amp;A733),SUMIFS(Quarterly!C:C,Quarterly!B:B,"&gt;="&amp;A733-92,Quarterly!B:B,"&lt;="&amp;A733)))</f>
        <v>12181.4</v>
      </c>
      <c r="K733" s="13">
        <f t="shared" si="323"/>
        <v>8.7400000000000005E-2</v>
      </c>
      <c r="L733">
        <f t="shared" si="325"/>
        <v>1064.8</v>
      </c>
      <c r="M733">
        <f>IF(A733&gt;=Quarterly!B$2,Quarterly!D$2,IF(COUNTIFS(Quarterly!B:B,"&gt;="&amp;A733-92,Quarterly!B:B,"&lt;="&amp;A733)&gt;1,SUMIFS(Quarterly!D:D,Quarterly!B:B,"&gt;="&amp;A733-88,Quarterly!B:B,"&lt;="&amp;A733),SUMIFS(Quarterly!D:D,Quarterly!B:B,"&gt;="&amp;A733-92,Quarterly!B:B,"&lt;="&amp;A733)))</f>
        <v>939.71</v>
      </c>
      <c r="N733" s="13">
        <f t="shared" si="326"/>
        <v>0.11331000000000001</v>
      </c>
      <c r="O733">
        <f t="shared" si="314"/>
        <v>1064.8</v>
      </c>
      <c r="P733" s="56">
        <f>VLOOKUP(EOMONTH(A733,-1),Economic!A:I,7,FALSE)</f>
        <v>910984</v>
      </c>
      <c r="Q733" s="13">
        <f t="shared" si="315"/>
        <v>0.11689999999999999</v>
      </c>
      <c r="R733" s="41">
        <v>1.75</v>
      </c>
      <c r="S733">
        <f t="shared" si="316"/>
        <v>2.0299999999999998</v>
      </c>
      <c r="T733" s="30">
        <f t="shared" si="317"/>
        <v>191.46</v>
      </c>
      <c r="U733" s="30">
        <f t="shared" si="324"/>
        <v>191.2</v>
      </c>
    </row>
    <row r="734" spans="1:21" ht="15" customHeight="1" x14ac:dyDescent="0.25">
      <c r="A734" s="5">
        <v>38207</v>
      </c>
      <c r="B734" s="5">
        <f t="shared" si="318"/>
        <v>38230</v>
      </c>
      <c r="C734">
        <v>1063.97</v>
      </c>
      <c r="D734" s="29">
        <f t="shared" si="319"/>
        <v>-3.32E-2</v>
      </c>
      <c r="E734" s="39">
        <f t="shared" si="320"/>
        <v>1109.9869230769232</v>
      </c>
      <c r="F734" s="39">
        <f t="shared" si="321"/>
        <v>1112.1007692307692</v>
      </c>
      <c r="G734" s="29">
        <f t="shared" si="313"/>
        <v>-4.1500000000000002E-2</v>
      </c>
      <c r="H734" s="29">
        <f t="shared" si="313"/>
        <v>-4.3299999999999998E-2</v>
      </c>
      <c r="I734">
        <f t="shared" si="322"/>
        <v>1063.97</v>
      </c>
      <c r="J734">
        <f>IF(A734&gt;=Quarterly!B$2,Quarterly!C$2,IF(COUNTIFS(Quarterly!B:B,"&gt;="&amp;A734-92,Quarterly!B:B,"&lt;="&amp;A734)&gt;1,SUMIFS(Quarterly!C:C,Quarterly!B:B,"&gt;="&amp;A734-88,Quarterly!B:B,"&lt;="&amp;A734),SUMIFS(Quarterly!C:C,Quarterly!B:B,"&gt;="&amp;A734-92,Quarterly!B:B,"&lt;="&amp;A734)))</f>
        <v>12181.4</v>
      </c>
      <c r="K734" s="13">
        <f t="shared" si="323"/>
        <v>8.7300000000000003E-2</v>
      </c>
      <c r="L734">
        <f t="shared" si="325"/>
        <v>1063.97</v>
      </c>
      <c r="M734">
        <f>IF(A734&gt;=Quarterly!B$2,Quarterly!D$2,IF(COUNTIFS(Quarterly!B:B,"&gt;="&amp;A734-92,Quarterly!B:B,"&lt;="&amp;A734)&gt;1,SUMIFS(Quarterly!D:D,Quarterly!B:B,"&gt;="&amp;A734-88,Quarterly!B:B,"&lt;="&amp;A734),SUMIFS(Quarterly!D:D,Quarterly!B:B,"&gt;="&amp;A734-92,Quarterly!B:B,"&lt;="&amp;A734)))</f>
        <v>939.71</v>
      </c>
      <c r="N734" s="13">
        <f t="shared" si="326"/>
        <v>0.11322000000000002</v>
      </c>
      <c r="O734">
        <f t="shared" si="314"/>
        <v>1063.97</v>
      </c>
      <c r="P734" s="56">
        <f>VLOOKUP(EOMONTH(A734,-1),Economic!A:I,7,FALSE)</f>
        <v>910984</v>
      </c>
      <c r="Q734" s="13">
        <f t="shared" si="315"/>
        <v>0.1168</v>
      </c>
      <c r="R734" s="41">
        <v>1.84</v>
      </c>
      <c r="S734">
        <f t="shared" si="316"/>
        <v>2.1</v>
      </c>
      <c r="T734" s="30">
        <f t="shared" si="317"/>
        <v>193.2</v>
      </c>
      <c r="U734" s="30">
        <f t="shared" si="324"/>
        <v>188.07</v>
      </c>
    </row>
    <row r="735" spans="1:21" ht="15" customHeight="1" x14ac:dyDescent="0.25">
      <c r="A735" s="5">
        <v>38200</v>
      </c>
      <c r="B735" s="5">
        <f t="shared" si="318"/>
        <v>38230</v>
      </c>
      <c r="C735">
        <v>1101.72</v>
      </c>
      <c r="D735" s="29">
        <f t="shared" si="319"/>
        <v>-4.3E-3</v>
      </c>
      <c r="E735" s="39">
        <f t="shared" si="320"/>
        <v>1112.6584615384616</v>
      </c>
      <c r="F735" s="39">
        <f t="shared" si="321"/>
        <v>1111.8248717948718</v>
      </c>
      <c r="G735" s="29">
        <f t="shared" si="313"/>
        <v>-9.7999999999999997E-3</v>
      </c>
      <c r="H735" s="29">
        <f t="shared" si="313"/>
        <v>-9.1000000000000004E-3</v>
      </c>
      <c r="I735">
        <f t="shared" si="322"/>
        <v>1101.72</v>
      </c>
      <c r="J735">
        <f>IF(A735&gt;=Quarterly!B$2,Quarterly!C$2,IF(COUNTIFS(Quarterly!B:B,"&gt;="&amp;A735-92,Quarterly!B:B,"&lt;="&amp;A735)&gt;1,SUMIFS(Quarterly!C:C,Quarterly!B:B,"&gt;="&amp;A735-88,Quarterly!B:B,"&lt;="&amp;A735),SUMIFS(Quarterly!C:C,Quarterly!B:B,"&gt;="&amp;A735-92,Quarterly!B:B,"&lt;="&amp;A735)))</f>
        <v>12181.4</v>
      </c>
      <c r="K735" s="13">
        <f t="shared" si="323"/>
        <v>9.0399999999999994E-2</v>
      </c>
      <c r="L735">
        <f t="shared" si="325"/>
        <v>1101.72</v>
      </c>
      <c r="M735">
        <f>IF(A735&gt;=Quarterly!B$2,Quarterly!D$2,IF(COUNTIFS(Quarterly!B:B,"&gt;="&amp;A735-92,Quarterly!B:B,"&lt;="&amp;A735)&gt;1,SUMIFS(Quarterly!D:D,Quarterly!B:B,"&gt;="&amp;A735-88,Quarterly!B:B,"&lt;="&amp;A735),SUMIFS(Quarterly!D:D,Quarterly!B:B,"&gt;="&amp;A735-92,Quarterly!B:B,"&lt;="&amp;A735)))</f>
        <v>939.71</v>
      </c>
      <c r="N735" s="13">
        <f t="shared" si="326"/>
        <v>0.11724000000000001</v>
      </c>
      <c r="O735">
        <f t="shared" si="314"/>
        <v>1101.72</v>
      </c>
      <c r="P735" s="56">
        <f>VLOOKUP(EOMONTH(A735,-1),Economic!A:I,7,FALSE)</f>
        <v>910984</v>
      </c>
      <c r="Q735" s="13">
        <f t="shared" si="315"/>
        <v>0.12090000000000001</v>
      </c>
      <c r="R735" s="41">
        <v>1.82</v>
      </c>
      <c r="S735">
        <f t="shared" si="316"/>
        <v>2.04</v>
      </c>
      <c r="T735" s="30">
        <f t="shared" si="317"/>
        <v>188.94</v>
      </c>
      <c r="U735" s="30">
        <f t="shared" si="324"/>
        <v>184.98</v>
      </c>
    </row>
    <row r="736" spans="1:21" ht="15" customHeight="1" x14ac:dyDescent="0.25">
      <c r="A736" s="5">
        <v>38193</v>
      </c>
      <c r="B736" s="5">
        <f t="shared" si="318"/>
        <v>38199</v>
      </c>
      <c r="C736">
        <v>1086.2</v>
      </c>
      <c r="D736" s="29">
        <f t="shared" si="319"/>
        <v>-2.8899999999999999E-2</v>
      </c>
      <c r="E736" s="39">
        <f t="shared" si="320"/>
        <v>1113.0876923076924</v>
      </c>
      <c r="F736" s="39">
        <f t="shared" si="321"/>
        <v>1110.5169230769231</v>
      </c>
      <c r="G736" s="29">
        <f t="shared" si="313"/>
        <v>-2.4199999999999999E-2</v>
      </c>
      <c r="H736" s="29">
        <f t="shared" si="313"/>
        <v>-2.1899999999999999E-2</v>
      </c>
      <c r="I736">
        <f t="shared" si="322"/>
        <v>1086.2</v>
      </c>
      <c r="J736">
        <f>IF(A736&gt;=Quarterly!B$2,Quarterly!C$2,IF(COUNTIFS(Quarterly!B:B,"&gt;="&amp;A736-92,Quarterly!B:B,"&lt;="&amp;A736)&gt;1,SUMIFS(Quarterly!C:C,Quarterly!B:B,"&gt;="&amp;A736-88,Quarterly!B:B,"&lt;="&amp;A736),SUMIFS(Quarterly!C:C,Quarterly!B:B,"&gt;="&amp;A736-92,Quarterly!B:B,"&lt;="&amp;A736)))</f>
        <v>11988.4</v>
      </c>
      <c r="K736" s="13">
        <f t="shared" si="323"/>
        <v>9.06E-2</v>
      </c>
      <c r="L736">
        <f t="shared" si="325"/>
        <v>1086.2</v>
      </c>
      <c r="M736">
        <f>IF(A736&gt;=Quarterly!B$2,Quarterly!D$2,IF(COUNTIFS(Quarterly!B:B,"&gt;="&amp;A736-92,Quarterly!B:B,"&lt;="&amp;A736)&gt;1,SUMIFS(Quarterly!D:D,Quarterly!B:B,"&gt;="&amp;A736-88,Quarterly!B:B,"&lt;="&amp;A736),SUMIFS(Quarterly!D:D,Quarterly!B:B,"&gt;="&amp;A736-92,Quarterly!B:B,"&lt;="&amp;A736)))</f>
        <v>901.86699999999996</v>
      </c>
      <c r="N736" s="13">
        <f t="shared" si="326"/>
        <v>0.12043999999999999</v>
      </c>
      <c r="O736">
        <f t="shared" si="314"/>
        <v>1086.2</v>
      </c>
      <c r="P736" s="56">
        <f>VLOOKUP(EOMONTH(A736,-1),Economic!A:I,7,FALSE)</f>
        <v>901323</v>
      </c>
      <c r="Q736" s="13">
        <f t="shared" si="315"/>
        <v>0.1205</v>
      </c>
      <c r="R736" s="41">
        <v>1.76</v>
      </c>
      <c r="S736">
        <f t="shared" si="316"/>
        <v>1.96</v>
      </c>
      <c r="T736" s="30">
        <f t="shared" si="317"/>
        <v>182.06</v>
      </c>
      <c r="U736" s="30">
        <f t="shared" si="324"/>
        <v>184.61</v>
      </c>
    </row>
    <row r="737" spans="1:21" ht="15" customHeight="1" x14ac:dyDescent="0.25">
      <c r="A737" s="5">
        <v>38186</v>
      </c>
      <c r="B737" s="5">
        <f t="shared" si="318"/>
        <v>38199</v>
      </c>
      <c r="C737">
        <v>1101.3900000000001</v>
      </c>
      <c r="D737" s="29">
        <f t="shared" si="319"/>
        <v>-2.2599999999999999E-2</v>
      </c>
      <c r="E737" s="39">
        <f t="shared" si="320"/>
        <v>1117.2723076923078</v>
      </c>
      <c r="F737" s="39">
        <f t="shared" si="321"/>
        <v>1109.0479487179489</v>
      </c>
      <c r="G737" s="29">
        <f t="shared" si="313"/>
        <v>-1.4200000000000001E-2</v>
      </c>
      <c r="H737" s="29">
        <f t="shared" si="313"/>
        <v>-6.8999999999999999E-3</v>
      </c>
      <c r="I737">
        <f t="shared" si="322"/>
        <v>1101.3900000000001</v>
      </c>
      <c r="J737">
        <f>IF(A737&gt;=Quarterly!B$2,Quarterly!C$2,IF(COUNTIFS(Quarterly!B:B,"&gt;="&amp;A737-92,Quarterly!B:B,"&lt;="&amp;A737)&gt;1,SUMIFS(Quarterly!C:C,Quarterly!B:B,"&gt;="&amp;A737-88,Quarterly!B:B,"&lt;="&amp;A737),SUMIFS(Quarterly!C:C,Quarterly!B:B,"&gt;="&amp;A737-92,Quarterly!B:B,"&lt;="&amp;A737)))</f>
        <v>11988.4</v>
      </c>
      <c r="K737" s="13">
        <f t="shared" si="323"/>
        <v>9.1899999999999996E-2</v>
      </c>
      <c r="L737">
        <f t="shared" si="325"/>
        <v>1101.3900000000001</v>
      </c>
      <c r="M737">
        <f>IF(A737&gt;=Quarterly!B$2,Quarterly!D$2,IF(COUNTIFS(Quarterly!B:B,"&gt;="&amp;A737-92,Quarterly!B:B,"&lt;="&amp;A737)&gt;1,SUMIFS(Quarterly!D:D,Quarterly!B:B,"&gt;="&amp;A737-88,Quarterly!B:B,"&lt;="&amp;A737),SUMIFS(Quarterly!D:D,Quarterly!B:B,"&gt;="&amp;A737-92,Quarterly!B:B,"&lt;="&amp;A737)))</f>
        <v>901.86699999999996</v>
      </c>
      <c r="N737" s="13">
        <f t="shared" si="326"/>
        <v>0.12212000000000001</v>
      </c>
      <c r="O737">
        <f t="shared" si="314"/>
        <v>1101.3900000000001</v>
      </c>
      <c r="P737" s="56">
        <f>VLOOKUP(EOMONTH(A737,-1),Economic!A:I,7,FALSE)</f>
        <v>901323</v>
      </c>
      <c r="Q737" s="13">
        <f t="shared" si="315"/>
        <v>0.1222</v>
      </c>
      <c r="R737" s="41">
        <v>1.84</v>
      </c>
      <c r="S737">
        <f t="shared" si="316"/>
        <v>2.08</v>
      </c>
      <c r="T737" s="30">
        <f t="shared" si="317"/>
        <v>183.94</v>
      </c>
      <c r="U737" s="30">
        <f t="shared" si="324"/>
        <v>187.56</v>
      </c>
    </row>
    <row r="738" spans="1:21" ht="15" customHeight="1" x14ac:dyDescent="0.25">
      <c r="A738" s="5">
        <v>38179</v>
      </c>
      <c r="B738" s="5">
        <f t="shared" si="318"/>
        <v>38199</v>
      </c>
      <c r="C738">
        <v>1112.81</v>
      </c>
      <c r="D738" s="29">
        <f t="shared" si="319"/>
        <v>-1.77E-2</v>
      </c>
      <c r="E738" s="39">
        <f t="shared" si="320"/>
        <v>1119.8276923076924</v>
      </c>
      <c r="F738" s="39">
        <f t="shared" si="321"/>
        <v>1107.4564102564102</v>
      </c>
      <c r="G738" s="29">
        <f t="shared" si="313"/>
        <v>-6.3E-3</v>
      </c>
      <c r="H738" s="29">
        <f t="shared" si="313"/>
        <v>4.7999999999999996E-3</v>
      </c>
      <c r="I738">
        <f t="shared" si="322"/>
        <v>1112.81</v>
      </c>
      <c r="J738">
        <f>IF(A738&gt;=Quarterly!B$2,Quarterly!C$2,IF(COUNTIFS(Quarterly!B:B,"&gt;="&amp;A738-92,Quarterly!B:B,"&lt;="&amp;A738)&gt;1,SUMIFS(Quarterly!C:C,Quarterly!B:B,"&gt;="&amp;A738-88,Quarterly!B:B,"&lt;="&amp;A738),SUMIFS(Quarterly!C:C,Quarterly!B:B,"&gt;="&amp;A738-92,Quarterly!B:B,"&lt;="&amp;A738)))</f>
        <v>11988.4</v>
      </c>
      <c r="K738" s="13">
        <f t="shared" si="323"/>
        <v>9.2799999999999994E-2</v>
      </c>
      <c r="L738">
        <f t="shared" si="325"/>
        <v>1112.81</v>
      </c>
      <c r="M738">
        <f>IF(A738&gt;=Quarterly!B$2,Quarterly!D$2,IF(COUNTIFS(Quarterly!B:B,"&gt;="&amp;A738-92,Quarterly!B:B,"&lt;="&amp;A738)&gt;1,SUMIFS(Quarterly!D:D,Quarterly!B:B,"&gt;="&amp;A738-88,Quarterly!B:B,"&lt;="&amp;A738),SUMIFS(Quarterly!D:D,Quarterly!B:B,"&gt;="&amp;A738-92,Quarterly!B:B,"&lt;="&amp;A738)))</f>
        <v>901.86699999999996</v>
      </c>
      <c r="N738" s="13">
        <f t="shared" si="326"/>
        <v>0.12339</v>
      </c>
      <c r="O738">
        <f t="shared" si="314"/>
        <v>1112.81</v>
      </c>
      <c r="P738" s="56">
        <f>VLOOKUP(EOMONTH(A738,-1),Economic!A:I,7,FALSE)</f>
        <v>901323</v>
      </c>
      <c r="Q738" s="13">
        <f t="shared" si="315"/>
        <v>0.1235</v>
      </c>
      <c r="R738" s="41">
        <v>1.94</v>
      </c>
      <c r="S738">
        <f t="shared" si="316"/>
        <v>2.2400000000000002</v>
      </c>
      <c r="T738" s="30">
        <f t="shared" si="317"/>
        <v>187.83</v>
      </c>
      <c r="U738" s="30">
        <f t="shared" si="324"/>
        <v>189.14</v>
      </c>
    </row>
    <row r="739" spans="1:21" ht="15" customHeight="1" x14ac:dyDescent="0.25">
      <c r="A739" s="5">
        <v>38172</v>
      </c>
      <c r="B739" s="5">
        <f t="shared" si="318"/>
        <v>38199</v>
      </c>
      <c r="C739">
        <v>1125.3800000000001</v>
      </c>
      <c r="D739" s="29">
        <f t="shared" si="319"/>
        <v>-5.8999999999999999E-3</v>
      </c>
      <c r="E739" s="39">
        <f t="shared" si="320"/>
        <v>1121.8669230769233</v>
      </c>
      <c r="F739" s="39">
        <f t="shared" si="321"/>
        <v>1105.5397435897435</v>
      </c>
      <c r="G739" s="29">
        <f t="shared" si="313"/>
        <v>3.0999999999999999E-3</v>
      </c>
      <c r="H739" s="29">
        <f t="shared" si="313"/>
        <v>1.7899999999999999E-2</v>
      </c>
      <c r="I739">
        <f t="shared" si="322"/>
        <v>1125.3800000000001</v>
      </c>
      <c r="J739">
        <f>IF(A739&gt;=Quarterly!B$2,Quarterly!C$2,IF(COUNTIFS(Quarterly!B:B,"&gt;="&amp;A739-92,Quarterly!B:B,"&lt;="&amp;A739)&gt;1,SUMIFS(Quarterly!C:C,Quarterly!B:B,"&gt;="&amp;A739-88,Quarterly!B:B,"&lt;="&amp;A739),SUMIFS(Quarterly!C:C,Quarterly!B:B,"&gt;="&amp;A739-92,Quarterly!B:B,"&lt;="&amp;A739)))</f>
        <v>11988.4</v>
      </c>
      <c r="K739" s="13">
        <f t="shared" si="323"/>
        <v>9.3899999999999997E-2</v>
      </c>
      <c r="L739">
        <f t="shared" si="325"/>
        <v>1125.3800000000001</v>
      </c>
      <c r="M739">
        <f>IF(A739&gt;=Quarterly!B$2,Quarterly!D$2,IF(COUNTIFS(Quarterly!B:B,"&gt;="&amp;A739-92,Quarterly!B:B,"&lt;="&amp;A739)&gt;1,SUMIFS(Quarterly!D:D,Quarterly!B:B,"&gt;="&amp;A739-88,Quarterly!B:B,"&lt;="&amp;A739),SUMIFS(Quarterly!D:D,Quarterly!B:B,"&gt;="&amp;A739-92,Quarterly!B:B,"&lt;="&amp;A739)))</f>
        <v>901.86699999999996</v>
      </c>
      <c r="N739" s="13">
        <f t="shared" si="326"/>
        <v>0.12478</v>
      </c>
      <c r="O739">
        <f t="shared" si="314"/>
        <v>1125.3800000000001</v>
      </c>
      <c r="P739" s="56">
        <f>VLOOKUP(EOMONTH(A739,-1),Economic!A:I,7,FALSE)</f>
        <v>901323</v>
      </c>
      <c r="Q739" s="13">
        <f t="shared" si="315"/>
        <v>0.12489999999999998</v>
      </c>
      <c r="R739" s="41">
        <v>1.94</v>
      </c>
      <c r="S739">
        <f t="shared" si="316"/>
        <v>2.38</v>
      </c>
      <c r="T739" s="30">
        <f t="shared" si="317"/>
        <v>190.9</v>
      </c>
      <c r="U739" s="30">
        <f t="shared" si="324"/>
        <v>188.71</v>
      </c>
    </row>
    <row r="740" spans="1:21" ht="15" customHeight="1" x14ac:dyDescent="0.25">
      <c r="A740" s="5">
        <v>38165</v>
      </c>
      <c r="B740" s="5">
        <f t="shared" si="318"/>
        <v>38168</v>
      </c>
      <c r="C740">
        <v>1134.43</v>
      </c>
      <c r="D740" s="29">
        <f t="shared" si="319"/>
        <v>5.1000000000000004E-3</v>
      </c>
      <c r="E740" s="39">
        <f t="shared" si="320"/>
        <v>1123.1307692307691</v>
      </c>
      <c r="F740" s="39">
        <f t="shared" si="321"/>
        <v>1103.0902564102562</v>
      </c>
      <c r="G740" s="29">
        <f t="shared" si="313"/>
        <v>1.01E-2</v>
      </c>
      <c r="H740" s="29">
        <f t="shared" si="313"/>
        <v>2.8400000000000002E-2</v>
      </c>
      <c r="I740">
        <f t="shared" si="322"/>
        <v>1134.43</v>
      </c>
      <c r="J740">
        <f>IF(A740&gt;=Quarterly!B$2,Quarterly!C$2,IF(COUNTIFS(Quarterly!B:B,"&gt;="&amp;A740-92,Quarterly!B:B,"&lt;="&amp;A740)&gt;1,SUMIFS(Quarterly!C:C,Quarterly!B:B,"&gt;="&amp;A740-88,Quarterly!B:B,"&lt;="&amp;A740),SUMIFS(Quarterly!C:C,Quarterly!B:B,"&gt;="&amp;A740-92,Quarterly!B:B,"&lt;="&amp;A740)))</f>
        <v>11988.4</v>
      </c>
      <c r="K740" s="13">
        <f t="shared" si="323"/>
        <v>9.4600000000000004E-2</v>
      </c>
      <c r="L740">
        <f t="shared" si="325"/>
        <v>1134.43</v>
      </c>
      <c r="M740">
        <f>IF(A740&gt;=Quarterly!B$2,Quarterly!D$2,IF(COUNTIFS(Quarterly!B:B,"&gt;="&amp;A740-92,Quarterly!B:B,"&lt;="&amp;A740)&gt;1,SUMIFS(Quarterly!D:D,Quarterly!B:B,"&gt;="&amp;A740-88,Quarterly!B:B,"&lt;="&amp;A740),SUMIFS(Quarterly!D:D,Quarterly!B:B,"&gt;="&amp;A740-92,Quarterly!B:B,"&lt;="&amp;A740)))</f>
        <v>901.86699999999996</v>
      </c>
      <c r="N740" s="13">
        <f t="shared" si="326"/>
        <v>0.12579000000000001</v>
      </c>
      <c r="O740">
        <f t="shared" si="314"/>
        <v>1134.43</v>
      </c>
      <c r="P740" s="56">
        <f>VLOOKUP(EOMONTH(A740,-1),Economic!A:I,7,FALSE)</f>
        <v>891541</v>
      </c>
      <c r="Q740" s="13">
        <f t="shared" si="315"/>
        <v>0.12719999999999998</v>
      </c>
      <c r="R740" s="41">
        <v>1.92</v>
      </c>
      <c r="S740">
        <f t="shared" si="316"/>
        <v>2.34</v>
      </c>
      <c r="T740" s="30">
        <f t="shared" si="317"/>
        <v>188.69</v>
      </c>
      <c r="U740" s="30">
        <f t="shared" si="324"/>
        <v>188.2</v>
      </c>
    </row>
    <row r="741" spans="1:21" ht="15" customHeight="1" x14ac:dyDescent="0.25">
      <c r="A741" s="5">
        <v>38158</v>
      </c>
      <c r="B741" s="5">
        <f t="shared" si="318"/>
        <v>38168</v>
      </c>
      <c r="C741">
        <v>1135.02</v>
      </c>
      <c r="D741" s="29">
        <f t="shared" si="319"/>
        <v>1.49E-2</v>
      </c>
      <c r="E741" s="39">
        <f t="shared" si="320"/>
        <v>1121.1023076923075</v>
      </c>
      <c r="F741" s="39">
        <f t="shared" si="321"/>
        <v>1099.5625641025638</v>
      </c>
      <c r="G741" s="29">
        <f t="shared" si="313"/>
        <v>1.24E-2</v>
      </c>
      <c r="H741" s="29">
        <f t="shared" si="313"/>
        <v>3.2199999999999999E-2</v>
      </c>
      <c r="I741">
        <f t="shared" si="322"/>
        <v>1135.02</v>
      </c>
      <c r="J741">
        <f>IF(A741&gt;=Quarterly!B$2,Quarterly!C$2,IF(COUNTIFS(Quarterly!B:B,"&gt;="&amp;A741-92,Quarterly!B:B,"&lt;="&amp;A741)&gt;1,SUMIFS(Quarterly!C:C,Quarterly!B:B,"&gt;="&amp;A741-88,Quarterly!B:B,"&lt;="&amp;A741),SUMIFS(Quarterly!C:C,Quarterly!B:B,"&gt;="&amp;A741-92,Quarterly!B:B,"&lt;="&amp;A741)))</f>
        <v>11988.4</v>
      </c>
      <c r="K741" s="13">
        <f t="shared" si="323"/>
        <v>9.4700000000000006E-2</v>
      </c>
      <c r="L741">
        <f t="shared" si="325"/>
        <v>1135.02</v>
      </c>
      <c r="M741">
        <f>IF(A741&gt;=Quarterly!B$2,Quarterly!D$2,IF(COUNTIFS(Quarterly!B:B,"&gt;="&amp;A741-92,Quarterly!B:B,"&lt;="&amp;A741)&gt;1,SUMIFS(Quarterly!D:D,Quarterly!B:B,"&gt;="&amp;A741-88,Quarterly!B:B,"&lt;="&amp;A741),SUMIFS(Quarterly!D:D,Quarterly!B:B,"&gt;="&amp;A741-92,Quarterly!B:B,"&lt;="&amp;A741)))</f>
        <v>901.86699999999996</v>
      </c>
      <c r="N741" s="13">
        <f t="shared" si="326"/>
        <v>0.12584999999999999</v>
      </c>
      <c r="O741">
        <f t="shared" si="314"/>
        <v>1135.02</v>
      </c>
      <c r="P741" s="56">
        <f>VLOOKUP(EOMONTH(A741,-1),Economic!A:I,7,FALSE)</f>
        <v>891541</v>
      </c>
      <c r="Q741" s="13">
        <f t="shared" si="315"/>
        <v>0.1273</v>
      </c>
      <c r="R741" s="41">
        <v>1.91</v>
      </c>
      <c r="S741">
        <f t="shared" si="316"/>
        <v>2.27</v>
      </c>
      <c r="T741" s="30">
        <f t="shared" si="317"/>
        <v>186.54</v>
      </c>
      <c r="U741" s="30">
        <f t="shared" si="324"/>
        <v>189.36</v>
      </c>
    </row>
    <row r="742" spans="1:21" ht="15" customHeight="1" x14ac:dyDescent="0.25">
      <c r="A742" s="5">
        <v>38151</v>
      </c>
      <c r="B742" s="5">
        <f t="shared" si="318"/>
        <v>38168</v>
      </c>
      <c r="C742">
        <v>1136.47</v>
      </c>
      <c r="D742" s="29">
        <f t="shared" si="319"/>
        <v>2.5600000000000001E-2</v>
      </c>
      <c r="E742" s="39">
        <f t="shared" si="320"/>
        <v>1119.1607692307693</v>
      </c>
      <c r="F742" s="39">
        <f t="shared" si="321"/>
        <v>1097.031282051282</v>
      </c>
      <c r="G742" s="29">
        <f t="shared" si="313"/>
        <v>1.55E-2</v>
      </c>
      <c r="H742" s="29">
        <f t="shared" si="313"/>
        <v>3.5999999999999997E-2</v>
      </c>
      <c r="I742">
        <f t="shared" si="322"/>
        <v>1136.47</v>
      </c>
      <c r="J742">
        <f>IF(A742&gt;=Quarterly!B$2,Quarterly!C$2,IF(COUNTIFS(Quarterly!B:B,"&gt;="&amp;A742-92,Quarterly!B:B,"&lt;="&amp;A742)&gt;1,SUMIFS(Quarterly!C:C,Quarterly!B:B,"&gt;="&amp;A742-88,Quarterly!B:B,"&lt;="&amp;A742),SUMIFS(Quarterly!C:C,Quarterly!B:B,"&gt;="&amp;A742-92,Quarterly!B:B,"&lt;="&amp;A742)))</f>
        <v>11988.4</v>
      </c>
      <c r="K742" s="13">
        <f t="shared" si="323"/>
        <v>9.4799999999999995E-2</v>
      </c>
      <c r="L742">
        <f t="shared" si="325"/>
        <v>1136.47</v>
      </c>
      <c r="M742">
        <f>IF(A742&gt;=Quarterly!B$2,Quarterly!D$2,IF(COUNTIFS(Quarterly!B:B,"&gt;="&amp;A742-92,Quarterly!B:B,"&lt;="&amp;A742)&gt;1,SUMIFS(Quarterly!D:D,Quarterly!B:B,"&gt;="&amp;A742-88,Quarterly!B:B,"&lt;="&amp;A742),SUMIFS(Quarterly!D:D,Quarterly!B:B,"&gt;="&amp;A742-92,Quarterly!B:B,"&lt;="&amp;A742)))</f>
        <v>901.86699999999996</v>
      </c>
      <c r="N742" s="13">
        <f t="shared" si="326"/>
        <v>0.12601000000000001</v>
      </c>
      <c r="O742">
        <f t="shared" si="314"/>
        <v>1136.47</v>
      </c>
      <c r="P742" s="56">
        <f>VLOOKUP(EOMONTH(A742,-1),Economic!A:I,7,FALSE)</f>
        <v>891541</v>
      </c>
      <c r="Q742" s="13">
        <f t="shared" si="315"/>
        <v>0.1275</v>
      </c>
      <c r="R742" s="41">
        <v>2</v>
      </c>
      <c r="S742">
        <f t="shared" si="316"/>
        <v>2.35</v>
      </c>
      <c r="T742" s="30">
        <f t="shared" si="317"/>
        <v>189.37</v>
      </c>
      <c r="U742" s="30">
        <f t="shared" si="324"/>
        <v>190.37</v>
      </c>
    </row>
    <row r="743" spans="1:21" ht="15" customHeight="1" x14ac:dyDescent="0.25">
      <c r="A743" s="5">
        <v>38144</v>
      </c>
      <c r="B743" s="5">
        <f t="shared" si="318"/>
        <v>38168</v>
      </c>
      <c r="C743">
        <v>1122.5</v>
      </c>
      <c r="D743" s="29">
        <f t="shared" si="319"/>
        <v>1.8499999999999999E-2</v>
      </c>
      <c r="E743" s="39">
        <f t="shared" si="320"/>
        <v>1117.9376923076923</v>
      </c>
      <c r="F743" s="39">
        <f t="shared" si="321"/>
        <v>1094.0097435897435</v>
      </c>
      <c r="G743" s="29">
        <f t="shared" si="313"/>
        <v>4.1000000000000003E-3</v>
      </c>
      <c r="H743" s="29">
        <f t="shared" si="313"/>
        <v>2.5999999999999999E-2</v>
      </c>
      <c r="I743">
        <f t="shared" si="322"/>
        <v>1122.5</v>
      </c>
      <c r="J743">
        <f>IF(A743&gt;=Quarterly!B$2,Quarterly!C$2,IF(COUNTIFS(Quarterly!B:B,"&gt;="&amp;A743-92,Quarterly!B:B,"&lt;="&amp;A743)&gt;1,SUMIFS(Quarterly!C:C,Quarterly!B:B,"&gt;="&amp;A743-88,Quarterly!B:B,"&lt;="&amp;A743),SUMIFS(Quarterly!C:C,Quarterly!B:B,"&gt;="&amp;A743-92,Quarterly!B:B,"&lt;="&amp;A743)))</f>
        <v>11988.4</v>
      </c>
      <c r="K743" s="13">
        <f t="shared" si="323"/>
        <v>9.3600000000000003E-2</v>
      </c>
      <c r="L743">
        <f t="shared" si="325"/>
        <v>1122.5</v>
      </c>
      <c r="M743">
        <f>IF(A743&gt;=Quarterly!B$2,Quarterly!D$2,IF(COUNTIFS(Quarterly!B:B,"&gt;="&amp;A743-92,Quarterly!B:B,"&lt;="&amp;A743)&gt;1,SUMIFS(Quarterly!D:D,Quarterly!B:B,"&gt;="&amp;A743-88,Quarterly!B:B,"&lt;="&amp;A743),SUMIFS(Quarterly!D:D,Quarterly!B:B,"&gt;="&amp;A743-92,Quarterly!B:B,"&lt;="&amp;A743)))</f>
        <v>901.86699999999996</v>
      </c>
      <c r="N743" s="13">
        <f t="shared" si="326"/>
        <v>0.12446</v>
      </c>
      <c r="O743">
        <f t="shared" si="314"/>
        <v>1122.5</v>
      </c>
      <c r="P743" s="56">
        <f>VLOOKUP(EOMONTH(A743,-1),Economic!A:I,7,FALSE)</f>
        <v>891541</v>
      </c>
      <c r="Q743" s="13">
        <f t="shared" si="315"/>
        <v>0.12589999999999998</v>
      </c>
      <c r="R743" s="41">
        <v>2.08</v>
      </c>
      <c r="S743">
        <f t="shared" si="316"/>
        <v>2.41</v>
      </c>
      <c r="T743" s="30">
        <f t="shared" si="317"/>
        <v>192.18</v>
      </c>
      <c r="U743" s="30">
        <f t="shared" si="324"/>
        <v>190.19</v>
      </c>
    </row>
    <row r="744" spans="1:21" ht="15" customHeight="1" x14ac:dyDescent="0.25">
      <c r="A744" s="5">
        <v>38137</v>
      </c>
      <c r="B744" s="5">
        <f t="shared" si="318"/>
        <v>38138</v>
      </c>
      <c r="C744">
        <v>1120.68</v>
      </c>
      <c r="D744" s="29">
        <f t="shared" si="319"/>
        <v>1.9900000000000001E-2</v>
      </c>
      <c r="E744" s="39">
        <f t="shared" si="320"/>
        <v>1120.5807692307692</v>
      </c>
      <c r="F744" s="39">
        <f t="shared" si="321"/>
        <v>1091.4171794871795</v>
      </c>
      <c r="G744" s="29">
        <f t="shared" si="313"/>
        <v>1E-4</v>
      </c>
      <c r="H744" s="29">
        <f t="shared" si="313"/>
        <v>2.6800000000000001E-2</v>
      </c>
      <c r="I744">
        <f t="shared" si="322"/>
        <v>1120.68</v>
      </c>
      <c r="J744">
        <f>IF(A744&gt;=Quarterly!B$2,Quarterly!C$2,IF(COUNTIFS(Quarterly!B:B,"&gt;="&amp;A744-92,Quarterly!B:B,"&lt;="&amp;A744)&gt;1,SUMIFS(Quarterly!C:C,Quarterly!B:B,"&gt;="&amp;A744-88,Quarterly!B:B,"&lt;="&amp;A744),SUMIFS(Quarterly!C:C,Quarterly!B:B,"&gt;="&amp;A744-92,Quarterly!B:B,"&lt;="&amp;A744)))</f>
        <v>11988.4</v>
      </c>
      <c r="K744" s="13">
        <f t="shared" si="323"/>
        <v>9.35E-2</v>
      </c>
      <c r="L744">
        <f t="shared" si="325"/>
        <v>1120.68</v>
      </c>
      <c r="M744">
        <f>IF(A744&gt;=Quarterly!B$2,Quarterly!D$2,IF(COUNTIFS(Quarterly!B:B,"&gt;="&amp;A744-92,Quarterly!B:B,"&lt;="&amp;A744)&gt;1,SUMIFS(Quarterly!D:D,Quarterly!B:B,"&gt;="&amp;A744-88,Quarterly!B:B,"&lt;="&amp;A744),SUMIFS(Quarterly!D:D,Quarterly!B:B,"&gt;="&amp;A744-92,Quarterly!B:B,"&lt;="&amp;A744)))</f>
        <v>901.86699999999996</v>
      </c>
      <c r="N744" s="13">
        <f t="shared" si="326"/>
        <v>0.12426</v>
      </c>
      <c r="O744">
        <f t="shared" si="314"/>
        <v>1120.68</v>
      </c>
      <c r="P744" s="56">
        <f>VLOOKUP(EOMONTH(A744,-1),Economic!A:I,7,FALSE)</f>
        <v>879891</v>
      </c>
      <c r="Q744" s="13">
        <f t="shared" si="315"/>
        <v>0.12739999999999999</v>
      </c>
      <c r="R744" s="41">
        <v>2.12</v>
      </c>
      <c r="S744">
        <f t="shared" si="316"/>
        <v>2.36</v>
      </c>
      <c r="T744" s="30">
        <f t="shared" si="317"/>
        <v>189.56</v>
      </c>
      <c r="U744" s="30">
        <f t="shared" si="324"/>
        <v>187.03</v>
      </c>
    </row>
    <row r="745" spans="1:21" ht="15" customHeight="1" x14ac:dyDescent="0.25">
      <c r="A745" s="5">
        <v>38130</v>
      </c>
      <c r="B745" s="5">
        <f t="shared" si="318"/>
        <v>38138</v>
      </c>
      <c r="C745">
        <v>1093.56</v>
      </c>
      <c r="D745" s="29">
        <f t="shared" si="319"/>
        <v>-1.5299999999999999E-2</v>
      </c>
      <c r="E745" s="39">
        <f t="shared" si="320"/>
        <v>1122.4469230769232</v>
      </c>
      <c r="F745" s="39">
        <f t="shared" si="321"/>
        <v>1088.5282051282052</v>
      </c>
      <c r="G745" s="29">
        <f t="shared" si="313"/>
        <v>-2.5700000000000001E-2</v>
      </c>
      <c r="H745" s="29">
        <f t="shared" si="313"/>
        <v>4.5999999999999999E-3</v>
      </c>
      <c r="I745">
        <f t="shared" si="322"/>
        <v>1093.56</v>
      </c>
      <c r="J745">
        <f>IF(A745&gt;=Quarterly!B$2,Quarterly!C$2,IF(COUNTIFS(Quarterly!B:B,"&gt;="&amp;A745-92,Quarterly!B:B,"&lt;="&amp;A745)&gt;1,SUMIFS(Quarterly!C:C,Quarterly!B:B,"&gt;="&amp;A745-88,Quarterly!B:B,"&lt;="&amp;A745),SUMIFS(Quarterly!C:C,Quarterly!B:B,"&gt;="&amp;A745-92,Quarterly!B:B,"&lt;="&amp;A745)))</f>
        <v>11988.4</v>
      </c>
      <c r="K745" s="13">
        <f t="shared" si="323"/>
        <v>9.1200000000000003E-2</v>
      </c>
      <c r="L745">
        <f t="shared" si="325"/>
        <v>1093.56</v>
      </c>
      <c r="M745">
        <f>IF(A745&gt;=Quarterly!B$2,Quarterly!D$2,IF(COUNTIFS(Quarterly!B:B,"&gt;="&amp;A745-92,Quarterly!B:B,"&lt;="&amp;A745)&gt;1,SUMIFS(Quarterly!D:D,Quarterly!B:B,"&gt;="&amp;A745-88,Quarterly!B:B,"&lt;="&amp;A745),SUMIFS(Quarterly!D:D,Quarterly!B:B,"&gt;="&amp;A745-92,Quarterly!B:B,"&lt;="&amp;A745)))</f>
        <v>901.86699999999996</v>
      </c>
      <c r="N745" s="13">
        <f t="shared" si="326"/>
        <v>0.12125999999999999</v>
      </c>
      <c r="O745">
        <f t="shared" si="314"/>
        <v>1093.56</v>
      </c>
      <c r="P745" s="56">
        <f>VLOOKUP(EOMONTH(A745,-1),Economic!A:I,7,FALSE)</f>
        <v>879891</v>
      </c>
      <c r="Q745" s="13">
        <f t="shared" si="315"/>
        <v>0.12429999999999999</v>
      </c>
      <c r="R745" s="41">
        <v>2.16</v>
      </c>
      <c r="S745">
        <f t="shared" si="316"/>
        <v>2.31</v>
      </c>
      <c r="T745" s="30">
        <f t="shared" si="317"/>
        <v>188.82</v>
      </c>
      <c r="U745" s="30">
        <f t="shared" si="324"/>
        <v>185.2</v>
      </c>
    </row>
    <row r="746" spans="1:21" ht="15" customHeight="1" x14ac:dyDescent="0.25">
      <c r="A746" s="5">
        <v>38123</v>
      </c>
      <c r="B746" s="5">
        <f t="shared" si="318"/>
        <v>38138</v>
      </c>
      <c r="C746">
        <v>1095.7</v>
      </c>
      <c r="D746" s="29">
        <f t="shared" si="319"/>
        <v>-2.1999999999999999E-2</v>
      </c>
      <c r="E746" s="39">
        <f t="shared" si="320"/>
        <v>1126.3353846153846</v>
      </c>
      <c r="F746" s="39">
        <f t="shared" si="321"/>
        <v>1085.9512820512819</v>
      </c>
      <c r="G746" s="29">
        <f t="shared" si="313"/>
        <v>-2.7199999999999998E-2</v>
      </c>
      <c r="H746" s="29">
        <f t="shared" si="313"/>
        <v>8.9999999999999993E-3</v>
      </c>
      <c r="I746">
        <f t="shared" si="322"/>
        <v>1095.7</v>
      </c>
      <c r="J746">
        <f>IF(A746&gt;=Quarterly!B$2,Quarterly!C$2,IF(COUNTIFS(Quarterly!B:B,"&gt;="&amp;A746-92,Quarterly!B:B,"&lt;="&amp;A746)&gt;1,SUMIFS(Quarterly!C:C,Quarterly!B:B,"&gt;="&amp;A746-88,Quarterly!B:B,"&lt;="&amp;A746),SUMIFS(Quarterly!C:C,Quarterly!B:B,"&gt;="&amp;A746-92,Quarterly!B:B,"&lt;="&amp;A746)))</f>
        <v>11988.4</v>
      </c>
      <c r="K746" s="13">
        <f t="shared" si="323"/>
        <v>9.1399999999999995E-2</v>
      </c>
      <c r="L746">
        <f t="shared" si="325"/>
        <v>1095.7</v>
      </c>
      <c r="M746">
        <f>IF(A746&gt;=Quarterly!B$2,Quarterly!D$2,IF(COUNTIFS(Quarterly!B:B,"&gt;="&amp;A746-92,Quarterly!B:B,"&lt;="&amp;A746)&gt;1,SUMIFS(Quarterly!D:D,Quarterly!B:B,"&gt;="&amp;A746-88,Quarterly!B:B,"&lt;="&amp;A746),SUMIFS(Quarterly!D:D,Quarterly!B:B,"&gt;="&amp;A746-92,Quarterly!B:B,"&lt;="&amp;A746)))</f>
        <v>901.86699999999996</v>
      </c>
      <c r="N746" s="13">
        <f t="shared" si="326"/>
        <v>0.12149000000000001</v>
      </c>
      <c r="O746">
        <f t="shared" si="314"/>
        <v>1095.7</v>
      </c>
      <c r="P746" s="56">
        <f>VLOOKUP(EOMONTH(A746,-1),Economic!A:I,7,FALSE)</f>
        <v>879891</v>
      </c>
      <c r="Q746" s="13">
        <f t="shared" si="315"/>
        <v>0.1245</v>
      </c>
      <c r="R746" s="41">
        <v>2.2000000000000002</v>
      </c>
      <c r="S746">
        <f t="shared" si="316"/>
        <v>2.16</v>
      </c>
      <c r="T746" s="30">
        <f t="shared" si="317"/>
        <v>182.71</v>
      </c>
      <c r="U746" s="30">
        <f t="shared" si="324"/>
        <v>182.41</v>
      </c>
    </row>
    <row r="747" spans="1:21" ht="15" customHeight="1" x14ac:dyDescent="0.25">
      <c r="A747" s="5">
        <v>38116</v>
      </c>
      <c r="B747" s="5">
        <f t="shared" si="318"/>
        <v>38138</v>
      </c>
      <c r="C747">
        <v>1098.7</v>
      </c>
      <c r="D747" s="29">
        <f t="shared" si="319"/>
        <v>-2.81E-2</v>
      </c>
      <c r="E747" s="39">
        <f t="shared" si="320"/>
        <v>1130.19</v>
      </c>
      <c r="F747" s="39">
        <f t="shared" si="321"/>
        <v>1083.2582051282047</v>
      </c>
      <c r="G747" s="29">
        <f t="shared" si="313"/>
        <v>-2.7900000000000001E-2</v>
      </c>
      <c r="H747" s="29">
        <f t="shared" si="313"/>
        <v>1.43E-2</v>
      </c>
      <c r="I747">
        <f t="shared" si="322"/>
        <v>1098.7</v>
      </c>
      <c r="J747">
        <f>IF(A747&gt;=Quarterly!B$2,Quarterly!C$2,IF(COUNTIFS(Quarterly!B:B,"&gt;="&amp;A747-92,Quarterly!B:B,"&lt;="&amp;A747)&gt;1,SUMIFS(Quarterly!C:C,Quarterly!B:B,"&gt;="&amp;A747-88,Quarterly!B:B,"&lt;="&amp;A747),SUMIFS(Quarterly!C:C,Quarterly!B:B,"&gt;="&amp;A747-92,Quarterly!B:B,"&lt;="&amp;A747)))</f>
        <v>11988.4</v>
      </c>
      <c r="K747" s="13">
        <f t="shared" si="323"/>
        <v>9.1600000000000001E-2</v>
      </c>
      <c r="L747">
        <f t="shared" si="325"/>
        <v>1098.7</v>
      </c>
      <c r="M747">
        <f>IF(A747&gt;=Quarterly!B$2,Quarterly!D$2,IF(COUNTIFS(Quarterly!B:B,"&gt;="&amp;A747-92,Quarterly!B:B,"&lt;="&amp;A747)&gt;1,SUMIFS(Quarterly!D:D,Quarterly!B:B,"&gt;="&amp;A747-88,Quarterly!B:B,"&lt;="&amp;A747),SUMIFS(Quarterly!D:D,Quarterly!B:B,"&gt;="&amp;A747-92,Quarterly!B:B,"&lt;="&amp;A747)))</f>
        <v>901.86699999999996</v>
      </c>
      <c r="N747" s="13">
        <f t="shared" si="326"/>
        <v>0.12182999999999999</v>
      </c>
      <c r="O747">
        <f t="shared" si="314"/>
        <v>1098.7</v>
      </c>
      <c r="P747" s="56">
        <f>VLOOKUP(EOMONTH(A747,-1),Economic!A:I,7,FALSE)</f>
        <v>879891</v>
      </c>
      <c r="Q747" s="13">
        <f t="shared" si="315"/>
        <v>0.12489999999999998</v>
      </c>
      <c r="R747" s="41">
        <v>2.15</v>
      </c>
      <c r="S747">
        <f t="shared" si="316"/>
        <v>2.2400000000000002</v>
      </c>
      <c r="T747" s="30">
        <f t="shared" si="317"/>
        <v>184.07</v>
      </c>
      <c r="U747" s="30">
        <f t="shared" si="324"/>
        <v>179.02</v>
      </c>
    </row>
    <row r="748" spans="1:21" ht="15" customHeight="1" x14ac:dyDescent="0.25">
      <c r="A748" s="5">
        <v>38109</v>
      </c>
      <c r="B748" s="5">
        <f t="shared" si="318"/>
        <v>38138</v>
      </c>
      <c r="C748">
        <v>1107.3</v>
      </c>
      <c r="D748" s="29">
        <f t="shared" si="319"/>
        <v>-2.7900000000000001E-2</v>
      </c>
      <c r="E748" s="39">
        <f t="shared" si="320"/>
        <v>1133.5792307692309</v>
      </c>
      <c r="F748" s="39">
        <f t="shared" si="321"/>
        <v>1080.1528205128202</v>
      </c>
      <c r="G748" s="29">
        <f t="shared" si="313"/>
        <v>-2.3199999999999998E-2</v>
      </c>
      <c r="H748" s="29">
        <f t="shared" si="313"/>
        <v>2.5100000000000001E-2</v>
      </c>
      <c r="I748">
        <f t="shared" si="322"/>
        <v>1107.3</v>
      </c>
      <c r="J748">
        <f>IF(A748&gt;=Quarterly!B$2,Quarterly!C$2,IF(COUNTIFS(Quarterly!B:B,"&gt;="&amp;A748-92,Quarterly!B:B,"&lt;="&amp;A748)&gt;1,SUMIFS(Quarterly!C:C,Quarterly!B:B,"&gt;="&amp;A748-88,Quarterly!B:B,"&lt;="&amp;A748),SUMIFS(Quarterly!C:C,Quarterly!B:B,"&gt;="&amp;A748-92,Quarterly!B:B,"&lt;="&amp;A748)))</f>
        <v>11988.4</v>
      </c>
      <c r="K748" s="13">
        <f t="shared" si="323"/>
        <v>9.2399999999999996E-2</v>
      </c>
      <c r="L748">
        <f t="shared" si="325"/>
        <v>1107.3</v>
      </c>
      <c r="M748">
        <f>IF(A748&gt;=Quarterly!B$2,Quarterly!D$2,IF(COUNTIFS(Quarterly!B:B,"&gt;="&amp;A748-92,Quarterly!B:B,"&lt;="&amp;A748)&gt;1,SUMIFS(Quarterly!D:D,Quarterly!B:B,"&gt;="&amp;A748-88,Quarterly!B:B,"&lt;="&amp;A748),SUMIFS(Quarterly!D:D,Quarterly!B:B,"&gt;="&amp;A748-92,Quarterly!B:B,"&lt;="&amp;A748)))</f>
        <v>901.86699999999996</v>
      </c>
      <c r="N748" s="13">
        <f t="shared" si="326"/>
        <v>0.12278</v>
      </c>
      <c r="O748">
        <f t="shared" si="314"/>
        <v>1107.3</v>
      </c>
      <c r="P748" s="56">
        <f>VLOOKUP(EOMONTH(A748,-1),Economic!A:I,7,FALSE)</f>
        <v>879891</v>
      </c>
      <c r="Q748" s="13">
        <f t="shared" si="315"/>
        <v>0.1258</v>
      </c>
      <c r="R748" s="41">
        <v>2.2200000000000002</v>
      </c>
      <c r="S748">
        <f t="shared" si="316"/>
        <v>2.1800000000000002</v>
      </c>
      <c r="T748" s="30">
        <f t="shared" si="317"/>
        <v>180.45</v>
      </c>
      <c r="U748" s="30">
        <f t="shared" si="324"/>
        <v>175.84</v>
      </c>
    </row>
    <row r="749" spans="1:21" ht="15" customHeight="1" x14ac:dyDescent="0.25">
      <c r="A749" s="5">
        <v>38102</v>
      </c>
      <c r="B749" s="5">
        <f t="shared" si="318"/>
        <v>38107</v>
      </c>
      <c r="C749">
        <v>1140.5999999999999</v>
      </c>
      <c r="D749" s="29">
        <f t="shared" si="319"/>
        <v>8.5000000000000006E-3</v>
      </c>
      <c r="E749" s="39">
        <f t="shared" si="320"/>
        <v>1135.4123076923076</v>
      </c>
      <c r="F749" s="39">
        <f t="shared" si="321"/>
        <v>1076.8925641025639</v>
      </c>
      <c r="G749" s="29">
        <f t="shared" si="313"/>
        <v>4.5999999999999999E-3</v>
      </c>
      <c r="H749" s="29">
        <f t="shared" si="313"/>
        <v>5.9200000000000003E-2</v>
      </c>
      <c r="I749">
        <f t="shared" si="322"/>
        <v>1140.5999999999999</v>
      </c>
      <c r="J749">
        <f>IF(A749&gt;=Quarterly!B$2,Quarterly!C$2,IF(COUNTIFS(Quarterly!B:B,"&gt;="&amp;A749-92,Quarterly!B:B,"&lt;="&amp;A749)&gt;1,SUMIFS(Quarterly!C:C,Quarterly!B:B,"&gt;="&amp;A749-88,Quarterly!B:B,"&lt;="&amp;A749),SUMIFS(Quarterly!C:C,Quarterly!B:B,"&gt;="&amp;A749-92,Quarterly!B:B,"&lt;="&amp;A749)))</f>
        <v>11816.8</v>
      </c>
      <c r="K749" s="13">
        <f t="shared" si="323"/>
        <v>9.6500000000000002E-2</v>
      </c>
      <c r="L749">
        <f t="shared" si="325"/>
        <v>1140.5999999999999</v>
      </c>
      <c r="M749">
        <f>IF(A749&gt;=Quarterly!B$2,Quarterly!D$2,IF(COUNTIFS(Quarterly!B:B,"&gt;="&amp;A749-92,Quarterly!B:B,"&lt;="&amp;A749)&gt;1,SUMIFS(Quarterly!D:D,Quarterly!B:B,"&gt;="&amp;A749-88,Quarterly!B:B,"&lt;="&amp;A749),SUMIFS(Quarterly!D:D,Quarterly!B:B,"&gt;="&amp;A749-92,Quarterly!B:B,"&lt;="&amp;A749)))</f>
        <v>787.36699999999996</v>
      </c>
      <c r="N749" s="13">
        <f t="shared" si="326"/>
        <v>0.14486000000000002</v>
      </c>
      <c r="O749">
        <f t="shared" si="314"/>
        <v>1140.5999999999999</v>
      </c>
      <c r="P749" s="56">
        <f>VLOOKUP(EOMONTH(A749,-1),Economic!A:I,7,FALSE)</f>
        <v>875881</v>
      </c>
      <c r="Q749" s="13">
        <f t="shared" si="315"/>
        <v>0.13020000000000001</v>
      </c>
      <c r="R749" s="41">
        <v>2.19</v>
      </c>
      <c r="S749">
        <f t="shared" si="316"/>
        <v>2.27</v>
      </c>
      <c r="T749" s="30">
        <f t="shared" si="317"/>
        <v>172.55</v>
      </c>
      <c r="U749" s="30">
        <f t="shared" si="324"/>
        <v>173.63</v>
      </c>
    </row>
    <row r="750" spans="1:21" ht="15" customHeight="1" x14ac:dyDescent="0.25">
      <c r="A750" s="5">
        <v>38095</v>
      </c>
      <c r="B750" s="5">
        <f t="shared" si="318"/>
        <v>38107</v>
      </c>
      <c r="C750">
        <v>1134.6099999999999</v>
      </c>
      <c r="D750" s="29">
        <f t="shared" si="319"/>
        <v>8.8000000000000005E-3</v>
      </c>
      <c r="E750" s="39">
        <f t="shared" si="320"/>
        <v>1135.4853846153844</v>
      </c>
      <c r="F750" s="39">
        <f t="shared" si="321"/>
        <v>1073.2535897435894</v>
      </c>
      <c r="G750" s="29">
        <f t="shared" si="313"/>
        <v>-8.0000000000000004E-4</v>
      </c>
      <c r="H750" s="29">
        <f t="shared" si="313"/>
        <v>5.7200000000000001E-2</v>
      </c>
      <c r="I750">
        <f t="shared" si="322"/>
        <v>1134.6099999999999</v>
      </c>
      <c r="J750">
        <f>IF(A750&gt;=Quarterly!B$2,Quarterly!C$2,IF(COUNTIFS(Quarterly!B:B,"&gt;="&amp;A750-92,Quarterly!B:B,"&lt;="&amp;A750)&gt;1,SUMIFS(Quarterly!C:C,Quarterly!B:B,"&gt;="&amp;A750-88,Quarterly!B:B,"&lt;="&amp;A750),SUMIFS(Quarterly!C:C,Quarterly!B:B,"&gt;="&amp;A750-92,Quarterly!B:B,"&lt;="&amp;A750)))</f>
        <v>11816.8</v>
      </c>
      <c r="K750" s="13">
        <f t="shared" si="323"/>
        <v>9.6000000000000002E-2</v>
      </c>
      <c r="L750">
        <f t="shared" si="325"/>
        <v>1134.6099999999999</v>
      </c>
      <c r="M750">
        <f>IF(A750&gt;=Quarterly!B$2,Quarterly!D$2,IF(COUNTIFS(Quarterly!B:B,"&gt;="&amp;A750-92,Quarterly!B:B,"&lt;="&amp;A750)&gt;1,SUMIFS(Quarterly!D:D,Quarterly!B:B,"&gt;="&amp;A750-88,Quarterly!B:B,"&lt;="&amp;A750),SUMIFS(Quarterly!D:D,Quarterly!B:B,"&gt;="&amp;A750-92,Quarterly!B:B,"&lt;="&amp;A750)))</f>
        <v>787.36699999999996</v>
      </c>
      <c r="N750" s="13">
        <f t="shared" si="326"/>
        <v>0.14410000000000001</v>
      </c>
      <c r="O750">
        <f t="shared" si="314"/>
        <v>1134.6099999999999</v>
      </c>
      <c r="P750" s="56">
        <f>VLOOKUP(EOMONTH(A750,-1),Economic!A:I,7,FALSE)</f>
        <v>875881</v>
      </c>
      <c r="Q750" s="13">
        <f t="shared" si="315"/>
        <v>0.1295</v>
      </c>
      <c r="R750" s="41">
        <v>2.34</v>
      </c>
      <c r="S750">
        <f t="shared" si="316"/>
        <v>2.33</v>
      </c>
      <c r="T750" s="30">
        <f t="shared" si="317"/>
        <v>174.53</v>
      </c>
      <c r="U750" s="30">
        <f t="shared" si="324"/>
        <v>173.5</v>
      </c>
    </row>
    <row r="751" spans="1:21" ht="15" customHeight="1" x14ac:dyDescent="0.25">
      <c r="A751" s="5">
        <v>38088</v>
      </c>
      <c r="B751" s="5">
        <f t="shared" si="318"/>
        <v>38107</v>
      </c>
      <c r="C751">
        <v>1139.32</v>
      </c>
      <c r="D751" s="29">
        <f t="shared" si="319"/>
        <v>1.72E-2</v>
      </c>
      <c r="E751" s="39">
        <f t="shared" si="320"/>
        <v>1135.886923076923</v>
      </c>
      <c r="F751" s="39">
        <f t="shared" si="321"/>
        <v>1069.6307692307689</v>
      </c>
      <c r="G751" s="29">
        <f t="shared" si="313"/>
        <v>3.0000000000000001E-3</v>
      </c>
      <c r="H751" s="29">
        <f t="shared" si="313"/>
        <v>6.5199999999999994E-2</v>
      </c>
      <c r="I751">
        <f t="shared" si="322"/>
        <v>1139.32</v>
      </c>
      <c r="J751">
        <f>IF(A751&gt;=Quarterly!B$2,Quarterly!C$2,IF(COUNTIFS(Quarterly!B:B,"&gt;="&amp;A751-92,Quarterly!B:B,"&lt;="&amp;A751)&gt;1,SUMIFS(Quarterly!C:C,Quarterly!B:B,"&gt;="&amp;A751-88,Quarterly!B:B,"&lt;="&amp;A751),SUMIFS(Quarterly!C:C,Quarterly!B:B,"&gt;="&amp;A751-92,Quarterly!B:B,"&lt;="&amp;A751)))</f>
        <v>11816.8</v>
      </c>
      <c r="K751" s="13">
        <f t="shared" si="323"/>
        <v>9.64E-2</v>
      </c>
      <c r="L751">
        <f t="shared" si="325"/>
        <v>1139.32</v>
      </c>
      <c r="M751">
        <f>IF(A751&gt;=Quarterly!B$2,Quarterly!D$2,IF(COUNTIFS(Quarterly!B:B,"&gt;="&amp;A751-92,Quarterly!B:B,"&lt;="&amp;A751)&gt;1,SUMIFS(Quarterly!D:D,Quarterly!B:B,"&gt;="&amp;A751-88,Quarterly!B:B,"&lt;="&amp;A751),SUMIFS(Quarterly!D:D,Quarterly!B:B,"&gt;="&amp;A751-92,Quarterly!B:B,"&lt;="&amp;A751)))</f>
        <v>787.36699999999996</v>
      </c>
      <c r="N751" s="13">
        <f t="shared" si="326"/>
        <v>0.14470000000000002</v>
      </c>
      <c r="O751">
        <f t="shared" si="314"/>
        <v>1139.32</v>
      </c>
      <c r="P751" s="56">
        <f>VLOOKUP(EOMONTH(A751,-1),Economic!A:I,7,FALSE)</f>
        <v>875881</v>
      </c>
      <c r="Q751" s="13">
        <f t="shared" si="315"/>
        <v>0.13009999999999999</v>
      </c>
      <c r="R751" s="41">
        <v>2.33</v>
      </c>
      <c r="S751">
        <f t="shared" si="316"/>
        <v>2.33</v>
      </c>
      <c r="T751" s="30">
        <f t="shared" si="317"/>
        <v>173.82</v>
      </c>
      <c r="U751" s="30">
        <f t="shared" si="324"/>
        <v>173.48</v>
      </c>
    </row>
    <row r="752" spans="1:21" ht="15" customHeight="1" x14ac:dyDescent="0.25">
      <c r="A752" s="5">
        <v>38081</v>
      </c>
      <c r="B752" s="5">
        <f t="shared" si="318"/>
        <v>38107</v>
      </c>
      <c r="C752">
        <v>1141.81</v>
      </c>
      <c r="D752" s="29">
        <f t="shared" si="319"/>
        <v>1.6E-2</v>
      </c>
      <c r="E752" s="39">
        <f t="shared" si="320"/>
        <v>1134.5438461538461</v>
      </c>
      <c r="F752" s="39">
        <f t="shared" si="321"/>
        <v>1066.010769230769</v>
      </c>
      <c r="G752" s="29">
        <f t="shared" si="313"/>
        <v>6.4000000000000003E-3</v>
      </c>
      <c r="H752" s="29">
        <f t="shared" si="313"/>
        <v>7.1099999999999997E-2</v>
      </c>
      <c r="I752">
        <f t="shared" si="322"/>
        <v>1141.81</v>
      </c>
      <c r="J752">
        <f>IF(A752&gt;=Quarterly!B$2,Quarterly!C$2,IF(COUNTIFS(Quarterly!B:B,"&gt;="&amp;A752-92,Quarterly!B:B,"&lt;="&amp;A752)&gt;1,SUMIFS(Quarterly!C:C,Quarterly!B:B,"&gt;="&amp;A752-88,Quarterly!B:B,"&lt;="&amp;A752),SUMIFS(Quarterly!C:C,Quarterly!B:B,"&gt;="&amp;A752-92,Quarterly!B:B,"&lt;="&amp;A752)))</f>
        <v>11816.8</v>
      </c>
      <c r="K752" s="13">
        <f t="shared" si="323"/>
        <v>9.6600000000000005E-2</v>
      </c>
      <c r="L752">
        <f t="shared" si="325"/>
        <v>1141.81</v>
      </c>
      <c r="M752">
        <f>IF(A752&gt;=Quarterly!B$2,Quarterly!D$2,IF(COUNTIFS(Quarterly!B:B,"&gt;="&amp;A752-92,Quarterly!B:B,"&lt;="&amp;A752)&gt;1,SUMIFS(Quarterly!D:D,Quarterly!B:B,"&gt;="&amp;A752-88,Quarterly!B:B,"&lt;="&amp;A752),SUMIFS(Quarterly!D:D,Quarterly!B:B,"&gt;="&amp;A752-92,Quarterly!B:B,"&lt;="&amp;A752)))</f>
        <v>787.36699999999996</v>
      </c>
      <c r="N752" s="13">
        <f t="shared" si="326"/>
        <v>0.14502000000000001</v>
      </c>
      <c r="O752">
        <f t="shared" si="314"/>
        <v>1141.81</v>
      </c>
      <c r="P752" s="56">
        <f>VLOOKUP(EOMONTH(A752,-1),Economic!A:I,7,FALSE)</f>
        <v>875881</v>
      </c>
      <c r="Q752" s="13">
        <f t="shared" si="315"/>
        <v>0.13040000000000002</v>
      </c>
      <c r="R752" s="41">
        <v>2.29</v>
      </c>
      <c r="S752">
        <f t="shared" si="316"/>
        <v>2.2799999999999998</v>
      </c>
      <c r="T752" s="30">
        <f t="shared" si="317"/>
        <v>172.14</v>
      </c>
      <c r="U752" s="30">
        <f t="shared" si="324"/>
        <v>174.43</v>
      </c>
    </row>
    <row r="753" spans="1:21" ht="15" customHeight="1" x14ac:dyDescent="0.25">
      <c r="A753" s="5">
        <v>38074</v>
      </c>
      <c r="B753" s="5">
        <f t="shared" si="318"/>
        <v>38077</v>
      </c>
      <c r="C753">
        <v>1108.06</v>
      </c>
      <c r="D753" s="29">
        <f t="shared" si="319"/>
        <v>-2.1999999999999999E-2</v>
      </c>
      <c r="E753" s="39">
        <f t="shared" si="320"/>
        <v>1131.98</v>
      </c>
      <c r="F753" s="39">
        <f t="shared" si="321"/>
        <v>1062.0079487179482</v>
      </c>
      <c r="G753" s="29">
        <f t="shared" si="313"/>
        <v>-2.1100000000000001E-2</v>
      </c>
      <c r="H753" s="29">
        <f t="shared" si="313"/>
        <v>4.3400000000000001E-2</v>
      </c>
      <c r="I753">
        <f t="shared" si="322"/>
        <v>1108.06</v>
      </c>
      <c r="J753">
        <f>IF(A753&gt;=Quarterly!B$2,Quarterly!C$2,IF(COUNTIFS(Quarterly!B:B,"&gt;="&amp;A753-92,Quarterly!B:B,"&lt;="&amp;A753)&gt;1,SUMIFS(Quarterly!C:C,Quarterly!B:B,"&gt;="&amp;A753-88,Quarterly!B:B,"&lt;="&amp;A753),SUMIFS(Quarterly!C:C,Quarterly!B:B,"&gt;="&amp;A753-92,Quarterly!B:B,"&lt;="&amp;A753)))</f>
        <v>11816.8</v>
      </c>
      <c r="K753" s="13">
        <f t="shared" si="323"/>
        <v>9.3799999999999994E-2</v>
      </c>
      <c r="L753">
        <f t="shared" si="325"/>
        <v>1108.06</v>
      </c>
      <c r="M753">
        <f>IF(A753&gt;=Quarterly!B$2,Quarterly!D$2,IF(COUNTIFS(Quarterly!B:B,"&gt;="&amp;A753-92,Quarterly!B:B,"&lt;="&amp;A753)&gt;1,SUMIFS(Quarterly!D:D,Quarterly!B:B,"&gt;="&amp;A753-88,Quarterly!B:B,"&lt;="&amp;A753),SUMIFS(Quarterly!D:D,Quarterly!B:B,"&gt;="&amp;A753-92,Quarterly!B:B,"&lt;="&amp;A753)))</f>
        <v>787.36699999999996</v>
      </c>
      <c r="N753" s="13">
        <f t="shared" si="326"/>
        <v>0.14072999999999999</v>
      </c>
      <c r="O753">
        <f t="shared" si="314"/>
        <v>1108.06</v>
      </c>
      <c r="P753" s="56">
        <f>VLOOKUP(EOMONTH(A753,-1),Economic!A:I,7,FALSE)</f>
        <v>873197</v>
      </c>
      <c r="Q753" s="13">
        <f t="shared" si="315"/>
        <v>0.12689999999999999</v>
      </c>
      <c r="R753" s="41">
        <v>2.2599999999999998</v>
      </c>
      <c r="S753">
        <f t="shared" si="316"/>
        <v>2.2799999999999998</v>
      </c>
      <c r="T753" s="30">
        <f t="shared" si="317"/>
        <v>174.49</v>
      </c>
      <c r="U753" s="30">
        <f t="shared" si="324"/>
        <v>175.99</v>
      </c>
    </row>
    <row r="754" spans="1:21" ht="15" customHeight="1" x14ac:dyDescent="0.25">
      <c r="A754" s="5">
        <v>38067</v>
      </c>
      <c r="B754" s="5">
        <f t="shared" si="318"/>
        <v>38077</v>
      </c>
      <c r="C754">
        <v>1109.78</v>
      </c>
      <c r="D754" s="29">
        <f t="shared" si="319"/>
        <v>-2.7900000000000001E-2</v>
      </c>
      <c r="E754" s="39">
        <f t="shared" si="320"/>
        <v>1131.0438461538461</v>
      </c>
      <c r="F754" s="39">
        <f t="shared" si="321"/>
        <v>1058.6274358974356</v>
      </c>
      <c r="G754" s="29">
        <f t="shared" si="313"/>
        <v>-1.8800000000000001E-2</v>
      </c>
      <c r="H754" s="29">
        <f t="shared" si="313"/>
        <v>4.8300000000000003E-2</v>
      </c>
      <c r="I754">
        <f t="shared" si="322"/>
        <v>1109.78</v>
      </c>
      <c r="J754">
        <f>IF(A754&gt;=Quarterly!B$2,Quarterly!C$2,IF(COUNTIFS(Quarterly!B:B,"&gt;="&amp;A754-92,Quarterly!B:B,"&lt;="&amp;A754)&gt;1,SUMIFS(Quarterly!C:C,Quarterly!B:B,"&gt;="&amp;A754-88,Quarterly!B:B,"&lt;="&amp;A754),SUMIFS(Quarterly!C:C,Quarterly!B:B,"&gt;="&amp;A754-92,Quarterly!B:B,"&lt;="&amp;A754)))</f>
        <v>11816.8</v>
      </c>
      <c r="K754" s="13">
        <f t="shared" si="323"/>
        <v>9.3899999999999997E-2</v>
      </c>
      <c r="L754">
        <f t="shared" si="325"/>
        <v>1109.78</v>
      </c>
      <c r="M754">
        <f>IF(A754&gt;=Quarterly!B$2,Quarterly!D$2,IF(COUNTIFS(Quarterly!B:B,"&gt;="&amp;A754-92,Quarterly!B:B,"&lt;="&amp;A754)&gt;1,SUMIFS(Quarterly!D:D,Quarterly!B:B,"&gt;="&amp;A754-88,Quarterly!B:B,"&lt;="&amp;A754),SUMIFS(Quarterly!D:D,Quarterly!B:B,"&gt;="&amp;A754-92,Quarterly!B:B,"&lt;="&amp;A754)))</f>
        <v>787.36699999999996</v>
      </c>
      <c r="N754" s="13">
        <f t="shared" si="326"/>
        <v>0.14094999999999999</v>
      </c>
      <c r="O754">
        <f t="shared" si="314"/>
        <v>1109.78</v>
      </c>
      <c r="P754" s="56">
        <f>VLOOKUP(EOMONTH(A754,-1),Economic!A:I,7,FALSE)</f>
        <v>873197</v>
      </c>
      <c r="Q754" s="13">
        <f t="shared" si="315"/>
        <v>0.12709999999999999</v>
      </c>
      <c r="R754" s="41">
        <v>2.2400000000000002</v>
      </c>
      <c r="S754">
        <f t="shared" si="316"/>
        <v>2.35</v>
      </c>
      <c r="T754" s="30">
        <f t="shared" si="317"/>
        <v>176.67</v>
      </c>
      <c r="U754" s="30">
        <f t="shared" si="324"/>
        <v>175</v>
      </c>
    </row>
    <row r="755" spans="1:21" ht="15" customHeight="1" x14ac:dyDescent="0.25">
      <c r="A755" s="5">
        <v>38060</v>
      </c>
      <c r="B755" s="5">
        <f t="shared" si="318"/>
        <v>38077</v>
      </c>
      <c r="C755">
        <v>1120.57</v>
      </c>
      <c r="D755" s="29">
        <f t="shared" si="319"/>
        <v>-2.3800000000000002E-2</v>
      </c>
      <c r="E755" s="39">
        <f t="shared" si="320"/>
        <v>1129.4192307692306</v>
      </c>
      <c r="F755" s="39">
        <f t="shared" si="321"/>
        <v>1055.7020512820511</v>
      </c>
      <c r="G755" s="29">
        <f t="shared" si="313"/>
        <v>-7.7999999999999996E-3</v>
      </c>
      <c r="H755" s="29">
        <f t="shared" si="313"/>
        <v>6.1400000000000003E-2</v>
      </c>
      <c r="I755">
        <f t="shared" si="322"/>
        <v>1120.57</v>
      </c>
      <c r="J755">
        <f>IF(A755&gt;=Quarterly!B$2,Quarterly!C$2,IF(COUNTIFS(Quarterly!B:B,"&gt;="&amp;A755-92,Quarterly!B:B,"&lt;="&amp;A755)&gt;1,SUMIFS(Quarterly!C:C,Quarterly!B:B,"&gt;="&amp;A755-88,Quarterly!B:B,"&lt;="&amp;A755),SUMIFS(Quarterly!C:C,Quarterly!B:B,"&gt;="&amp;A755-92,Quarterly!B:B,"&lt;="&amp;A755)))</f>
        <v>11816.8</v>
      </c>
      <c r="K755" s="13">
        <f t="shared" si="323"/>
        <v>9.4799999999999995E-2</v>
      </c>
      <c r="L755">
        <f t="shared" si="325"/>
        <v>1120.57</v>
      </c>
      <c r="M755">
        <f>IF(A755&gt;=Quarterly!B$2,Quarterly!D$2,IF(COUNTIFS(Quarterly!B:B,"&gt;="&amp;A755-92,Quarterly!B:B,"&lt;="&amp;A755)&gt;1,SUMIFS(Quarterly!D:D,Quarterly!B:B,"&gt;="&amp;A755-88,Quarterly!B:B,"&lt;="&amp;A755),SUMIFS(Quarterly!D:D,Quarterly!B:B,"&gt;="&amp;A755-92,Quarterly!B:B,"&lt;="&amp;A755)))</f>
        <v>787.36699999999996</v>
      </c>
      <c r="N755" s="13">
        <f t="shared" si="326"/>
        <v>0.14232</v>
      </c>
      <c r="O755">
        <f t="shared" si="314"/>
        <v>1120.57</v>
      </c>
      <c r="P755" s="56">
        <f>VLOOKUP(EOMONTH(A755,-1),Economic!A:I,7,FALSE)</f>
        <v>873197</v>
      </c>
      <c r="Q755" s="13">
        <f t="shared" si="315"/>
        <v>0.1283</v>
      </c>
      <c r="R755" s="41">
        <v>2.2400000000000002</v>
      </c>
      <c r="S755">
        <f t="shared" si="316"/>
        <v>2.37</v>
      </c>
      <c r="T755" s="30">
        <f t="shared" si="317"/>
        <v>176.82</v>
      </c>
      <c r="U755" s="30">
        <f t="shared" si="324"/>
        <v>173.69</v>
      </c>
    </row>
    <row r="756" spans="1:21" ht="15" customHeight="1" x14ac:dyDescent="0.25">
      <c r="A756" s="5">
        <v>38053</v>
      </c>
      <c r="B756" s="5">
        <f t="shared" si="318"/>
        <v>38077</v>
      </c>
      <c r="C756">
        <v>1156.8599999999999</v>
      </c>
      <c r="D756" s="29">
        <f t="shared" si="319"/>
        <v>1.09E-2</v>
      </c>
      <c r="E756" s="39">
        <f t="shared" si="320"/>
        <v>1125.8476923076921</v>
      </c>
      <c r="F756" s="39">
        <f t="shared" si="321"/>
        <v>1052.3184615384614</v>
      </c>
      <c r="G756" s="29">
        <f t="shared" si="313"/>
        <v>2.75E-2</v>
      </c>
      <c r="H756" s="29">
        <f t="shared" si="313"/>
        <v>9.9299999999999999E-2</v>
      </c>
      <c r="I756">
        <f t="shared" si="322"/>
        <v>1156.8599999999999</v>
      </c>
      <c r="J756">
        <f>IF(A756&gt;=Quarterly!B$2,Quarterly!C$2,IF(COUNTIFS(Quarterly!B:B,"&gt;="&amp;A756-92,Quarterly!B:B,"&lt;="&amp;A756)&gt;1,SUMIFS(Quarterly!C:C,Quarterly!B:B,"&gt;="&amp;A756-88,Quarterly!B:B,"&lt;="&amp;A756),SUMIFS(Quarterly!C:C,Quarterly!B:B,"&gt;="&amp;A756-92,Quarterly!B:B,"&lt;="&amp;A756)))</f>
        <v>11816.8</v>
      </c>
      <c r="K756" s="13">
        <f t="shared" si="323"/>
        <v>9.7900000000000001E-2</v>
      </c>
      <c r="L756">
        <f t="shared" si="325"/>
        <v>1156.8599999999999</v>
      </c>
      <c r="M756">
        <f>IF(A756&gt;=Quarterly!B$2,Quarterly!D$2,IF(COUNTIFS(Quarterly!B:B,"&gt;="&amp;A756-92,Quarterly!B:B,"&lt;="&amp;A756)&gt;1,SUMIFS(Quarterly!D:D,Quarterly!B:B,"&gt;="&amp;A756-88,Quarterly!B:B,"&lt;="&amp;A756),SUMIFS(Quarterly!D:D,Quarterly!B:B,"&gt;="&amp;A756-92,Quarterly!B:B,"&lt;="&amp;A756)))</f>
        <v>787.36699999999996</v>
      </c>
      <c r="N756" s="13">
        <f t="shared" si="326"/>
        <v>0.14693000000000001</v>
      </c>
      <c r="O756">
        <f t="shared" si="314"/>
        <v>1156.8599999999999</v>
      </c>
      <c r="P756" s="56">
        <f>VLOOKUP(EOMONTH(A756,-1),Economic!A:I,7,FALSE)</f>
        <v>873197</v>
      </c>
      <c r="Q756" s="13">
        <f t="shared" si="315"/>
        <v>0.13250000000000001</v>
      </c>
      <c r="R756" s="41">
        <v>2.2799999999999998</v>
      </c>
      <c r="S756">
        <f t="shared" si="316"/>
        <v>2.2599999999999998</v>
      </c>
      <c r="T756" s="30">
        <f t="shared" si="317"/>
        <v>171.5</v>
      </c>
      <c r="U756" s="30">
        <f t="shared" si="324"/>
        <v>172.6</v>
      </c>
    </row>
    <row r="757" spans="1:21" ht="15" customHeight="1" x14ac:dyDescent="0.25">
      <c r="A757" s="5">
        <v>38046</v>
      </c>
      <c r="B757" s="5">
        <f t="shared" si="318"/>
        <v>38046</v>
      </c>
      <c r="C757">
        <v>1144.94</v>
      </c>
      <c r="D757" s="29">
        <f t="shared" si="319"/>
        <v>3.5000000000000001E-3</v>
      </c>
      <c r="E757" s="39">
        <f t="shared" si="320"/>
        <v>1118.5123076923076</v>
      </c>
      <c r="F757" s="39">
        <f t="shared" si="321"/>
        <v>1047.9825641025639</v>
      </c>
      <c r="G757" s="29">
        <f t="shared" si="313"/>
        <v>2.3599999999999999E-2</v>
      </c>
      <c r="H757" s="29">
        <f t="shared" si="313"/>
        <v>9.2499999999999999E-2</v>
      </c>
      <c r="I757">
        <f t="shared" si="322"/>
        <v>1144.94</v>
      </c>
      <c r="J757">
        <f>IF(A757&gt;=Quarterly!B$2,Quarterly!C$2,IF(COUNTIFS(Quarterly!B:B,"&gt;="&amp;A757-92,Quarterly!B:B,"&lt;="&amp;A757)&gt;1,SUMIFS(Quarterly!C:C,Quarterly!B:B,"&gt;="&amp;A757-88,Quarterly!B:B,"&lt;="&amp;A757),SUMIFS(Quarterly!C:C,Quarterly!B:B,"&gt;="&amp;A757-92,Quarterly!B:B,"&lt;="&amp;A757)))</f>
        <v>11816.8</v>
      </c>
      <c r="K757" s="13">
        <f t="shared" si="323"/>
        <v>9.69E-2</v>
      </c>
      <c r="L757">
        <f t="shared" si="325"/>
        <v>1144.94</v>
      </c>
      <c r="M757">
        <f>IF(A757&gt;=Quarterly!B$2,Quarterly!D$2,IF(COUNTIFS(Quarterly!B:B,"&gt;="&amp;A757-92,Quarterly!B:B,"&lt;="&amp;A757)&gt;1,SUMIFS(Quarterly!D:D,Quarterly!B:B,"&gt;="&amp;A757-88,Quarterly!B:B,"&lt;="&amp;A757),SUMIFS(Quarterly!D:D,Quarterly!B:B,"&gt;="&amp;A757-92,Quarterly!B:B,"&lt;="&amp;A757)))</f>
        <v>787.36699999999996</v>
      </c>
      <c r="N757" s="13">
        <f t="shared" si="326"/>
        <v>0.14541000000000001</v>
      </c>
      <c r="O757">
        <f t="shared" si="314"/>
        <v>1144.94</v>
      </c>
      <c r="P757" s="56">
        <f>VLOOKUP(EOMONTH(A757,-1),Economic!A:I,7,FALSE)</f>
        <v>869652</v>
      </c>
      <c r="Q757" s="13">
        <f t="shared" si="315"/>
        <v>0.13170000000000001</v>
      </c>
      <c r="R757" s="41">
        <v>2.33</v>
      </c>
      <c r="S757">
        <f t="shared" si="316"/>
        <v>2.23</v>
      </c>
      <c r="T757" s="30">
        <f t="shared" si="317"/>
        <v>172.75</v>
      </c>
      <c r="U757" s="30">
        <f t="shared" si="324"/>
        <v>173.68</v>
      </c>
    </row>
    <row r="758" spans="1:21" ht="15" customHeight="1" x14ac:dyDescent="0.25">
      <c r="A758" s="5">
        <v>38039</v>
      </c>
      <c r="B758" s="5">
        <f t="shared" si="318"/>
        <v>38046</v>
      </c>
      <c r="C758">
        <v>1144.1099999999999</v>
      </c>
      <c r="D758" s="29">
        <f t="shared" si="319"/>
        <v>3.3E-3</v>
      </c>
      <c r="E758" s="39">
        <f t="shared" si="320"/>
        <v>1111.8399999999999</v>
      </c>
      <c r="F758" s="39">
        <f t="shared" si="321"/>
        <v>1043.332564102564</v>
      </c>
      <c r="G758" s="29">
        <f t="shared" si="313"/>
        <v>2.9000000000000001E-2</v>
      </c>
      <c r="H758" s="29">
        <f t="shared" si="313"/>
        <v>9.6600000000000005E-2</v>
      </c>
      <c r="I758">
        <f t="shared" si="322"/>
        <v>1144.1099999999999</v>
      </c>
      <c r="J758">
        <f>IF(A758&gt;=Quarterly!B$2,Quarterly!C$2,IF(COUNTIFS(Quarterly!B:B,"&gt;="&amp;A758-92,Quarterly!B:B,"&lt;="&amp;A758)&gt;1,SUMIFS(Quarterly!C:C,Quarterly!B:B,"&gt;="&amp;A758-88,Quarterly!B:B,"&lt;="&amp;A758),SUMIFS(Quarterly!C:C,Quarterly!B:B,"&gt;="&amp;A758-92,Quarterly!B:B,"&lt;="&amp;A758)))</f>
        <v>11816.8</v>
      </c>
      <c r="K758" s="13">
        <f t="shared" si="323"/>
        <v>9.6799999999999997E-2</v>
      </c>
      <c r="L758">
        <f t="shared" si="325"/>
        <v>1144.1099999999999</v>
      </c>
      <c r="M758">
        <f>IF(A758&gt;=Quarterly!B$2,Quarterly!D$2,IF(COUNTIFS(Quarterly!B:B,"&gt;="&amp;A758-92,Quarterly!B:B,"&lt;="&amp;A758)&gt;1,SUMIFS(Quarterly!D:D,Quarterly!B:B,"&gt;="&amp;A758-88,Quarterly!B:B,"&lt;="&amp;A758),SUMIFS(Quarterly!D:D,Quarterly!B:B,"&gt;="&amp;A758-92,Quarterly!B:B,"&lt;="&amp;A758)))</f>
        <v>787.36699999999996</v>
      </c>
      <c r="N758" s="13">
        <f t="shared" si="326"/>
        <v>0.14531000000000002</v>
      </c>
      <c r="O758">
        <f t="shared" si="314"/>
        <v>1144.1099999999999</v>
      </c>
      <c r="P758" s="56">
        <f>VLOOKUP(EOMONTH(A758,-1),Economic!A:I,7,FALSE)</f>
        <v>869652</v>
      </c>
      <c r="Q758" s="13">
        <f t="shared" si="315"/>
        <v>0.13159999999999999</v>
      </c>
      <c r="R758" s="41">
        <v>2.35</v>
      </c>
      <c r="S758">
        <f t="shared" si="316"/>
        <v>2.21</v>
      </c>
      <c r="T758" s="30">
        <f t="shared" si="317"/>
        <v>173.55</v>
      </c>
      <c r="U758" s="30">
        <f t="shared" si="324"/>
        <v>174.94</v>
      </c>
    </row>
    <row r="759" spans="1:21" ht="15" customHeight="1" x14ac:dyDescent="0.25">
      <c r="A759" s="5">
        <v>38032</v>
      </c>
      <c r="B759" s="5">
        <f t="shared" si="318"/>
        <v>38046</v>
      </c>
      <c r="C759">
        <v>1145.81</v>
      </c>
      <c r="D759" s="29">
        <f t="shared" si="319"/>
        <v>6.1000000000000004E-3</v>
      </c>
      <c r="E759" s="39">
        <f t="shared" si="320"/>
        <v>1103.4684615384615</v>
      </c>
      <c r="F759" s="39">
        <f t="shared" si="321"/>
        <v>1037.9251282051282</v>
      </c>
      <c r="G759" s="29">
        <f t="shared" si="313"/>
        <v>3.8399999999999997E-2</v>
      </c>
      <c r="H759" s="29">
        <f t="shared" si="313"/>
        <v>0.10390000000000001</v>
      </c>
      <c r="I759">
        <f t="shared" si="322"/>
        <v>1145.81</v>
      </c>
      <c r="J759">
        <f>IF(A759&gt;=Quarterly!B$2,Quarterly!C$2,IF(COUNTIFS(Quarterly!B:B,"&gt;="&amp;A759-92,Quarterly!B:B,"&lt;="&amp;A759)&gt;1,SUMIFS(Quarterly!C:C,Quarterly!B:B,"&gt;="&amp;A759-88,Quarterly!B:B,"&lt;="&amp;A759),SUMIFS(Quarterly!C:C,Quarterly!B:B,"&gt;="&amp;A759-92,Quarterly!B:B,"&lt;="&amp;A759)))</f>
        <v>11816.8</v>
      </c>
      <c r="K759" s="13">
        <f t="shared" si="323"/>
        <v>9.7000000000000003E-2</v>
      </c>
      <c r="L759">
        <f t="shared" si="325"/>
        <v>1145.81</v>
      </c>
      <c r="M759">
        <f>IF(A759&gt;=Quarterly!B$2,Quarterly!D$2,IF(COUNTIFS(Quarterly!B:B,"&gt;="&amp;A759-92,Quarterly!B:B,"&lt;="&amp;A759)&gt;1,SUMIFS(Quarterly!D:D,Quarterly!B:B,"&gt;="&amp;A759-88,Quarterly!B:B,"&lt;="&amp;A759),SUMIFS(Quarterly!D:D,Quarterly!B:B,"&gt;="&amp;A759-92,Quarterly!B:B,"&lt;="&amp;A759)))</f>
        <v>787.36699999999996</v>
      </c>
      <c r="N759" s="13">
        <f t="shared" si="326"/>
        <v>0.14552000000000001</v>
      </c>
      <c r="O759">
        <f t="shared" si="314"/>
        <v>1145.81</v>
      </c>
      <c r="P759" s="56">
        <f>VLOOKUP(EOMONTH(A759,-1),Economic!A:I,7,FALSE)</f>
        <v>869652</v>
      </c>
      <c r="Q759" s="13">
        <f t="shared" si="315"/>
        <v>0.1318</v>
      </c>
      <c r="R759" s="41">
        <v>2.35</v>
      </c>
      <c r="S759">
        <f t="shared" si="316"/>
        <v>2.2000000000000002</v>
      </c>
      <c r="T759" s="30">
        <f t="shared" si="317"/>
        <v>174.75</v>
      </c>
      <c r="U759" s="30">
        <f t="shared" si="324"/>
        <v>175.99</v>
      </c>
    </row>
    <row r="760" spans="1:21" ht="15" customHeight="1" x14ac:dyDescent="0.25">
      <c r="A760" s="5">
        <v>38025</v>
      </c>
      <c r="B760" s="5">
        <f t="shared" si="318"/>
        <v>38046</v>
      </c>
      <c r="C760">
        <v>1142.76</v>
      </c>
      <c r="D760" s="29">
        <f t="shared" si="319"/>
        <v>8.0999999999999996E-3</v>
      </c>
      <c r="E760" s="39">
        <f t="shared" si="320"/>
        <v>1096.1253846153847</v>
      </c>
      <c r="F760" s="39">
        <f t="shared" si="321"/>
        <v>1032.7582051282054</v>
      </c>
      <c r="G760" s="29">
        <f t="shared" si="313"/>
        <v>4.2500000000000003E-2</v>
      </c>
      <c r="H760" s="29">
        <f t="shared" si="313"/>
        <v>0.1065</v>
      </c>
      <c r="I760">
        <f t="shared" si="322"/>
        <v>1142.76</v>
      </c>
      <c r="J760">
        <f>IF(A760&gt;=Quarterly!B$2,Quarterly!C$2,IF(COUNTIFS(Quarterly!B:B,"&gt;="&amp;A760-92,Quarterly!B:B,"&lt;="&amp;A760)&gt;1,SUMIFS(Quarterly!C:C,Quarterly!B:B,"&gt;="&amp;A760-88,Quarterly!B:B,"&lt;="&amp;A760),SUMIFS(Quarterly!C:C,Quarterly!B:B,"&gt;="&amp;A760-92,Quarterly!B:B,"&lt;="&amp;A760)))</f>
        <v>11816.8</v>
      </c>
      <c r="K760" s="13">
        <f t="shared" si="323"/>
        <v>9.6699999999999994E-2</v>
      </c>
      <c r="L760">
        <f t="shared" si="325"/>
        <v>1142.76</v>
      </c>
      <c r="M760">
        <f>IF(A760&gt;=Quarterly!B$2,Quarterly!D$2,IF(COUNTIFS(Quarterly!B:B,"&gt;="&amp;A760-92,Quarterly!B:B,"&lt;="&amp;A760)&gt;1,SUMIFS(Quarterly!D:D,Quarterly!B:B,"&gt;="&amp;A760-88,Quarterly!B:B,"&lt;="&amp;A760),SUMIFS(Quarterly!D:D,Quarterly!B:B,"&gt;="&amp;A760-92,Quarterly!B:B,"&lt;="&amp;A760)))</f>
        <v>787.36699999999996</v>
      </c>
      <c r="N760" s="13">
        <f t="shared" si="326"/>
        <v>0.14514000000000002</v>
      </c>
      <c r="O760">
        <f t="shared" si="314"/>
        <v>1142.76</v>
      </c>
      <c r="P760" s="56">
        <f>VLOOKUP(EOMONTH(A760,-1),Economic!A:I,7,FALSE)</f>
        <v>869652</v>
      </c>
      <c r="Q760" s="13">
        <f t="shared" si="315"/>
        <v>0.13140000000000002</v>
      </c>
      <c r="R760" s="41">
        <v>2.35</v>
      </c>
      <c r="S760">
        <f t="shared" si="316"/>
        <v>2.2000000000000002</v>
      </c>
      <c r="T760" s="30">
        <f t="shared" si="317"/>
        <v>176.51</v>
      </c>
      <c r="U760" s="30">
        <f t="shared" si="324"/>
        <v>173.97</v>
      </c>
    </row>
    <row r="761" spans="1:21" ht="15" customHeight="1" x14ac:dyDescent="0.25">
      <c r="A761" s="5">
        <v>38018</v>
      </c>
      <c r="B761" s="5">
        <f t="shared" si="318"/>
        <v>38046</v>
      </c>
      <c r="C761">
        <v>1131.1300000000001</v>
      </c>
      <c r="D761" s="29">
        <f t="shared" si="319"/>
        <v>2.8E-3</v>
      </c>
      <c r="E761" s="39">
        <f t="shared" si="320"/>
        <v>1089.2369230769232</v>
      </c>
      <c r="F761" s="39">
        <f t="shared" si="321"/>
        <v>1027.3902564102566</v>
      </c>
      <c r="G761" s="29">
        <f t="shared" si="313"/>
        <v>3.85E-2</v>
      </c>
      <c r="H761" s="29">
        <f t="shared" si="313"/>
        <v>0.10100000000000001</v>
      </c>
      <c r="I761">
        <f t="shared" si="322"/>
        <v>1131.1300000000001</v>
      </c>
      <c r="J761">
        <f>IF(A761&gt;=Quarterly!B$2,Quarterly!C$2,IF(COUNTIFS(Quarterly!B:B,"&gt;="&amp;A761-92,Quarterly!B:B,"&lt;="&amp;A761)&gt;1,SUMIFS(Quarterly!C:C,Quarterly!B:B,"&gt;="&amp;A761-88,Quarterly!B:B,"&lt;="&amp;A761),SUMIFS(Quarterly!C:C,Quarterly!B:B,"&gt;="&amp;A761-92,Quarterly!B:B,"&lt;="&amp;A761)))</f>
        <v>11816.8</v>
      </c>
      <c r="K761" s="13">
        <f t="shared" si="323"/>
        <v>9.5699999999999993E-2</v>
      </c>
      <c r="L761">
        <f t="shared" si="325"/>
        <v>1131.1300000000001</v>
      </c>
      <c r="M761">
        <f>IF(A761&gt;=Quarterly!B$2,Quarterly!D$2,IF(COUNTIFS(Quarterly!B:B,"&gt;="&amp;A761-92,Quarterly!B:B,"&lt;="&amp;A761)&gt;1,SUMIFS(Quarterly!D:D,Quarterly!B:B,"&gt;="&amp;A761-88,Quarterly!B:B,"&lt;="&amp;A761),SUMIFS(Quarterly!D:D,Quarterly!B:B,"&gt;="&amp;A761-92,Quarterly!B:B,"&lt;="&amp;A761)))</f>
        <v>787.36699999999996</v>
      </c>
      <c r="N761" s="13">
        <f t="shared" si="326"/>
        <v>0.14366000000000001</v>
      </c>
      <c r="O761">
        <f t="shared" si="314"/>
        <v>1131.1300000000001</v>
      </c>
      <c r="P761" s="56">
        <f>VLOOKUP(EOMONTH(A761,-1),Economic!A:I,7,FALSE)</f>
        <v>869652</v>
      </c>
      <c r="Q761" s="13">
        <f t="shared" si="315"/>
        <v>0.13009999999999999</v>
      </c>
      <c r="R761" s="41">
        <v>2.3199999999999998</v>
      </c>
      <c r="S761">
        <f t="shared" si="316"/>
        <v>2.14</v>
      </c>
      <c r="T761" s="30">
        <f t="shared" si="317"/>
        <v>176.7</v>
      </c>
      <c r="U761" s="30">
        <f t="shared" si="324"/>
        <v>172.68</v>
      </c>
    </row>
    <row r="762" spans="1:21" ht="15" customHeight="1" x14ac:dyDescent="0.25">
      <c r="A762" s="5">
        <v>38011</v>
      </c>
      <c r="B762" s="5">
        <f t="shared" si="318"/>
        <v>38017</v>
      </c>
      <c r="C762">
        <v>1141.55</v>
      </c>
      <c r="D762" s="29">
        <f t="shared" si="319"/>
        <v>2.24E-2</v>
      </c>
      <c r="E762" s="39">
        <f t="shared" si="320"/>
        <v>1083.0507692307692</v>
      </c>
      <c r="F762" s="39">
        <f t="shared" si="321"/>
        <v>1022.2351282051284</v>
      </c>
      <c r="G762" s="29">
        <f t="shared" si="313"/>
        <v>5.3999999999999999E-2</v>
      </c>
      <c r="H762" s="29">
        <f t="shared" si="313"/>
        <v>0.1167</v>
      </c>
      <c r="I762">
        <f t="shared" si="322"/>
        <v>1141.55</v>
      </c>
      <c r="J762">
        <f>IF(A762&gt;=Quarterly!B$2,Quarterly!C$2,IF(COUNTIFS(Quarterly!B:B,"&gt;="&amp;A762-92,Quarterly!B:B,"&lt;="&amp;A762)&gt;1,SUMIFS(Quarterly!C:C,Quarterly!B:B,"&gt;="&amp;A762-88,Quarterly!B:B,"&lt;="&amp;A762),SUMIFS(Quarterly!C:C,Quarterly!B:B,"&gt;="&amp;A762-92,Quarterly!B:B,"&lt;="&amp;A762)))</f>
        <v>11625.1</v>
      </c>
      <c r="K762" s="13">
        <f t="shared" si="323"/>
        <v>9.8199999999999996E-2</v>
      </c>
      <c r="L762">
        <f t="shared" si="325"/>
        <v>1141.55</v>
      </c>
      <c r="M762">
        <f>IF(A762&gt;=Quarterly!B$2,Quarterly!D$2,IF(COUNTIFS(Quarterly!B:B,"&gt;="&amp;A762-92,Quarterly!B:B,"&lt;="&amp;A762)&gt;1,SUMIFS(Quarterly!D:D,Quarterly!B:B,"&gt;="&amp;A762-88,Quarterly!B:B,"&lt;="&amp;A762),SUMIFS(Quarterly!D:D,Quarterly!B:B,"&gt;="&amp;A762-92,Quarterly!B:B,"&lt;="&amp;A762)))</f>
        <v>733.41800000000001</v>
      </c>
      <c r="N762" s="13">
        <f t="shared" si="326"/>
        <v>0.15565000000000001</v>
      </c>
      <c r="O762">
        <f t="shared" si="314"/>
        <v>1141.55</v>
      </c>
      <c r="P762" s="56">
        <f>VLOOKUP(EOMONTH(A762,-1),Economic!A:I,7,FALSE)</f>
        <v>864615</v>
      </c>
      <c r="Q762" s="13">
        <f t="shared" si="315"/>
        <v>0.13200000000000001</v>
      </c>
      <c r="R762" s="41">
        <v>2.38</v>
      </c>
      <c r="S762">
        <f t="shared" si="316"/>
        <v>2.08</v>
      </c>
      <c r="T762" s="30">
        <f t="shared" si="317"/>
        <v>168.69</v>
      </c>
      <c r="U762" s="30">
        <f t="shared" si="324"/>
        <v>170.48</v>
      </c>
    </row>
    <row r="763" spans="1:21" ht="15" customHeight="1" x14ac:dyDescent="0.25">
      <c r="A763" s="5">
        <v>38004</v>
      </c>
      <c r="B763" s="5">
        <f t="shared" si="318"/>
        <v>38017</v>
      </c>
      <c r="C763">
        <v>1139.83</v>
      </c>
      <c r="D763" s="29">
        <f t="shared" si="319"/>
        <v>3.27E-2</v>
      </c>
      <c r="E763" s="39">
        <f t="shared" si="320"/>
        <v>1074.3861538461538</v>
      </c>
      <c r="F763" s="39">
        <f t="shared" si="321"/>
        <v>1016.0110256410256</v>
      </c>
      <c r="G763" s="29">
        <f t="shared" si="313"/>
        <v>6.0900000000000003E-2</v>
      </c>
      <c r="H763" s="29">
        <f t="shared" si="313"/>
        <v>0.12189999999999999</v>
      </c>
      <c r="I763">
        <f t="shared" si="322"/>
        <v>1139.83</v>
      </c>
      <c r="J763">
        <f>IF(A763&gt;=Quarterly!B$2,Quarterly!C$2,IF(COUNTIFS(Quarterly!B:B,"&gt;="&amp;A763-92,Quarterly!B:B,"&lt;="&amp;A763)&gt;1,SUMIFS(Quarterly!C:C,Quarterly!B:B,"&gt;="&amp;A763-88,Quarterly!B:B,"&lt;="&amp;A763),SUMIFS(Quarterly!C:C,Quarterly!B:B,"&gt;="&amp;A763-92,Quarterly!B:B,"&lt;="&amp;A763)))</f>
        <v>11625.1</v>
      </c>
      <c r="K763" s="13">
        <f t="shared" si="323"/>
        <v>9.8000000000000004E-2</v>
      </c>
      <c r="L763">
        <f t="shared" si="325"/>
        <v>1139.83</v>
      </c>
      <c r="M763">
        <f>IF(A763&gt;=Quarterly!B$2,Quarterly!D$2,IF(COUNTIFS(Quarterly!B:B,"&gt;="&amp;A763-92,Quarterly!B:B,"&lt;="&amp;A763)&gt;1,SUMIFS(Quarterly!D:D,Quarterly!B:B,"&gt;="&amp;A763-88,Quarterly!B:B,"&lt;="&amp;A763),SUMIFS(Quarterly!D:D,Quarterly!B:B,"&gt;="&amp;A763-92,Quarterly!B:B,"&lt;="&amp;A763)))</f>
        <v>733.41800000000001</v>
      </c>
      <c r="N763" s="13">
        <f t="shared" si="326"/>
        <v>0.15541000000000002</v>
      </c>
      <c r="O763">
        <f t="shared" si="314"/>
        <v>1139.83</v>
      </c>
      <c r="P763" s="56">
        <f>VLOOKUP(EOMONTH(A763,-1),Economic!A:I,7,FALSE)</f>
        <v>864615</v>
      </c>
      <c r="Q763" s="13">
        <f t="shared" si="315"/>
        <v>0.1318</v>
      </c>
      <c r="R763" s="41">
        <v>2.34</v>
      </c>
      <c r="S763">
        <f t="shared" si="316"/>
        <v>2.14</v>
      </c>
      <c r="T763" s="30">
        <f t="shared" si="317"/>
        <v>172.66</v>
      </c>
      <c r="U763" s="30">
        <f t="shared" si="324"/>
        <v>174.46</v>
      </c>
    </row>
    <row r="764" spans="1:21" ht="15" customHeight="1" x14ac:dyDescent="0.25">
      <c r="A764" s="5">
        <v>37997</v>
      </c>
      <c r="B764" s="5">
        <f t="shared" si="318"/>
        <v>38017</v>
      </c>
      <c r="C764">
        <v>1121.8599999999999</v>
      </c>
      <c r="D764" s="29">
        <f t="shared" si="319"/>
        <v>2.75E-2</v>
      </c>
      <c r="E764" s="39">
        <f t="shared" si="320"/>
        <v>1066.6546153846152</v>
      </c>
      <c r="F764" s="39">
        <f t="shared" si="321"/>
        <v>1009.6969230769231</v>
      </c>
      <c r="G764" s="29">
        <f t="shared" si="313"/>
        <v>5.1799999999999999E-2</v>
      </c>
      <c r="H764" s="29">
        <f t="shared" si="313"/>
        <v>0.1111</v>
      </c>
      <c r="I764">
        <f t="shared" si="322"/>
        <v>1121.8599999999999</v>
      </c>
      <c r="J764">
        <f>IF(A764&gt;=Quarterly!B$2,Quarterly!C$2,IF(COUNTIFS(Quarterly!B:B,"&gt;="&amp;A764-92,Quarterly!B:B,"&lt;="&amp;A764)&gt;1,SUMIFS(Quarterly!C:C,Quarterly!B:B,"&gt;="&amp;A764-88,Quarterly!B:B,"&lt;="&amp;A764),SUMIFS(Quarterly!C:C,Quarterly!B:B,"&gt;="&amp;A764-92,Quarterly!B:B,"&lt;="&amp;A764)))</f>
        <v>11625.1</v>
      </c>
      <c r="K764" s="13">
        <f t="shared" si="323"/>
        <v>9.6500000000000002E-2</v>
      </c>
      <c r="L764">
        <f t="shared" si="325"/>
        <v>1121.8599999999999</v>
      </c>
      <c r="M764">
        <f>IF(A764&gt;=Quarterly!B$2,Quarterly!D$2,IF(COUNTIFS(Quarterly!B:B,"&gt;="&amp;A764-92,Quarterly!B:B,"&lt;="&amp;A764)&gt;1,SUMIFS(Quarterly!D:D,Quarterly!B:B,"&gt;="&amp;A764-88,Quarterly!B:B,"&lt;="&amp;A764),SUMIFS(Quarterly!D:D,Quarterly!B:B,"&gt;="&amp;A764-92,Quarterly!B:B,"&lt;="&amp;A764)))</f>
        <v>733.41800000000001</v>
      </c>
      <c r="N764" s="13">
        <f t="shared" si="326"/>
        <v>0.15296000000000001</v>
      </c>
      <c r="O764">
        <f t="shared" si="314"/>
        <v>1121.8599999999999</v>
      </c>
      <c r="P764" s="56">
        <f>VLOOKUP(EOMONTH(A764,-1),Economic!A:I,7,FALSE)</f>
        <v>864615</v>
      </c>
      <c r="Q764" s="13">
        <f t="shared" si="315"/>
        <v>0.1298</v>
      </c>
      <c r="R764" s="41">
        <v>2.4300000000000002</v>
      </c>
      <c r="S764">
        <f t="shared" si="316"/>
        <v>1.98</v>
      </c>
      <c r="T764" s="30">
        <f t="shared" si="317"/>
        <v>170.1</v>
      </c>
      <c r="U764" s="30">
        <f t="shared" si="324"/>
        <v>176.56</v>
      </c>
    </row>
    <row r="765" spans="1:21" ht="15" customHeight="1" x14ac:dyDescent="0.25">
      <c r="A765" s="5">
        <v>37990</v>
      </c>
      <c r="B765" s="5">
        <f t="shared" si="318"/>
        <v>38017</v>
      </c>
      <c r="C765">
        <v>1108.48</v>
      </c>
      <c r="D765" s="29">
        <f t="shared" si="319"/>
        <v>2.63E-2</v>
      </c>
      <c r="E765" s="39">
        <f t="shared" si="320"/>
        <v>1060.2084615384613</v>
      </c>
      <c r="F765" s="39">
        <f t="shared" si="321"/>
        <v>1003.1953846153849</v>
      </c>
      <c r="G765" s="29">
        <f t="shared" si="313"/>
        <v>4.5499999999999999E-2</v>
      </c>
      <c r="H765" s="29">
        <f t="shared" si="313"/>
        <v>0.10489999999999999</v>
      </c>
      <c r="I765">
        <f t="shared" si="322"/>
        <v>1108.48</v>
      </c>
      <c r="J765">
        <f>IF(A765&gt;=Quarterly!B$2,Quarterly!C$2,IF(COUNTIFS(Quarterly!B:B,"&gt;="&amp;A765-92,Quarterly!B:B,"&lt;="&amp;A765)&gt;1,SUMIFS(Quarterly!C:C,Quarterly!B:B,"&gt;="&amp;A765-88,Quarterly!B:B,"&lt;="&amp;A765),SUMIFS(Quarterly!C:C,Quarterly!B:B,"&gt;="&amp;A765-92,Quarterly!B:B,"&lt;="&amp;A765)))</f>
        <v>11625.1</v>
      </c>
      <c r="K765" s="13">
        <f t="shared" si="323"/>
        <v>9.5399999999999999E-2</v>
      </c>
      <c r="L765">
        <f t="shared" si="325"/>
        <v>1108.48</v>
      </c>
      <c r="M765">
        <f>IF(A765&gt;=Quarterly!B$2,Quarterly!D$2,IF(COUNTIFS(Quarterly!B:B,"&gt;="&amp;A765-92,Quarterly!B:B,"&lt;="&amp;A765)&gt;1,SUMIFS(Quarterly!D:D,Quarterly!B:B,"&gt;="&amp;A765-88,Quarterly!B:B,"&lt;="&amp;A765),SUMIFS(Quarterly!D:D,Quarterly!B:B,"&gt;="&amp;A765-92,Quarterly!B:B,"&lt;="&amp;A765)))</f>
        <v>733.41800000000001</v>
      </c>
      <c r="N765" s="13">
        <f t="shared" si="326"/>
        <v>0.15114000000000002</v>
      </c>
      <c r="O765">
        <f t="shared" si="314"/>
        <v>1108.48</v>
      </c>
      <c r="P765" s="56">
        <f>VLOOKUP(EOMONTH(A765,-1),Economic!A:I,7,FALSE)</f>
        <v>864615</v>
      </c>
      <c r="Q765" s="13">
        <f t="shared" si="315"/>
        <v>0.12819999999999998</v>
      </c>
      <c r="R765" s="41">
        <v>2.44</v>
      </c>
      <c r="S765">
        <f t="shared" si="316"/>
        <v>2.25</v>
      </c>
      <c r="T765" s="30">
        <f t="shared" si="317"/>
        <v>180.61</v>
      </c>
      <c r="U765" s="30">
        <f t="shared" si="324"/>
        <v>179.27</v>
      </c>
    </row>
    <row r="766" spans="1:21" ht="15" customHeight="1" x14ac:dyDescent="0.25">
      <c r="A766" s="5">
        <v>37983</v>
      </c>
      <c r="B766" s="5">
        <f t="shared" si="318"/>
        <v>37986</v>
      </c>
      <c r="C766">
        <v>1095.8900000000001</v>
      </c>
      <c r="D766" s="29">
        <f t="shared" si="319"/>
        <v>2.3599999999999999E-2</v>
      </c>
      <c r="E766" s="39">
        <f t="shared" si="320"/>
        <v>1054.1599999999999</v>
      </c>
      <c r="F766" s="39">
        <f t="shared" si="321"/>
        <v>997.30743589743599</v>
      </c>
      <c r="G766" s="29">
        <f t="shared" si="313"/>
        <v>3.9600000000000003E-2</v>
      </c>
      <c r="H766" s="29">
        <f t="shared" si="313"/>
        <v>9.8799999999999999E-2</v>
      </c>
      <c r="I766">
        <f t="shared" si="322"/>
        <v>1095.8900000000001</v>
      </c>
      <c r="J766">
        <f>IF(A766&gt;=Quarterly!B$2,Quarterly!C$2,IF(COUNTIFS(Quarterly!B:B,"&gt;="&amp;A766-92,Quarterly!B:B,"&lt;="&amp;A766)&gt;1,SUMIFS(Quarterly!C:C,Quarterly!B:B,"&gt;="&amp;A766-88,Quarterly!B:B,"&lt;="&amp;A766),SUMIFS(Quarterly!C:C,Quarterly!B:B,"&gt;="&amp;A766-92,Quarterly!B:B,"&lt;="&amp;A766)))</f>
        <v>11625.1</v>
      </c>
      <c r="K766" s="13">
        <f t="shared" si="323"/>
        <v>9.4299999999999995E-2</v>
      </c>
      <c r="L766">
        <f t="shared" si="325"/>
        <v>1095.8900000000001</v>
      </c>
      <c r="M766">
        <f>IF(A766&gt;=Quarterly!B$2,Quarterly!D$2,IF(COUNTIFS(Quarterly!B:B,"&gt;="&amp;A766-92,Quarterly!B:B,"&lt;="&amp;A766)&gt;1,SUMIFS(Quarterly!D:D,Quarterly!B:B,"&gt;="&amp;A766-88,Quarterly!B:B,"&lt;="&amp;A766),SUMIFS(Quarterly!D:D,Quarterly!B:B,"&gt;="&amp;A766-92,Quarterly!B:B,"&lt;="&amp;A766)))</f>
        <v>733.41800000000001</v>
      </c>
      <c r="N766" s="13">
        <f t="shared" si="326"/>
        <v>0.14942</v>
      </c>
      <c r="O766">
        <f t="shared" si="314"/>
        <v>1095.8900000000001</v>
      </c>
      <c r="P766" s="56">
        <f>VLOOKUP(EOMONTH(A766,-1),Economic!A:I,7,FALSE)</f>
        <v>860588</v>
      </c>
      <c r="Q766" s="13">
        <f t="shared" si="315"/>
        <v>0.1273</v>
      </c>
      <c r="R766" s="41">
        <v>2.35</v>
      </c>
      <c r="S766">
        <f t="shared" si="316"/>
        <v>2.14</v>
      </c>
      <c r="T766" s="30">
        <f t="shared" si="317"/>
        <v>178.97</v>
      </c>
      <c r="U766" s="30">
        <f t="shared" si="324"/>
        <v>178.19</v>
      </c>
    </row>
    <row r="767" spans="1:21" ht="15" customHeight="1" x14ac:dyDescent="0.25">
      <c r="A767" s="5">
        <v>37976</v>
      </c>
      <c r="B767" s="5">
        <f t="shared" si="318"/>
        <v>37986</v>
      </c>
      <c r="C767">
        <v>1088.6600000000001</v>
      </c>
      <c r="D767" s="29">
        <f t="shared" si="319"/>
        <v>2.9700000000000001E-2</v>
      </c>
      <c r="E767" s="39">
        <f t="shared" si="320"/>
        <v>1046.5415384615385</v>
      </c>
      <c r="F767" s="39">
        <f t="shared" si="321"/>
        <v>991.34871794871788</v>
      </c>
      <c r="G767" s="29">
        <f t="shared" si="313"/>
        <v>4.02E-2</v>
      </c>
      <c r="H767" s="29">
        <f t="shared" si="313"/>
        <v>9.8199999999999996E-2</v>
      </c>
      <c r="I767">
        <f t="shared" si="322"/>
        <v>1088.6600000000001</v>
      </c>
      <c r="J767">
        <f>IF(A767&gt;=Quarterly!B$2,Quarterly!C$2,IF(COUNTIFS(Quarterly!B:B,"&gt;="&amp;A767-92,Quarterly!B:B,"&lt;="&amp;A767)&gt;1,SUMIFS(Quarterly!C:C,Quarterly!B:B,"&gt;="&amp;A767-88,Quarterly!B:B,"&lt;="&amp;A767),SUMIFS(Quarterly!C:C,Quarterly!B:B,"&gt;="&amp;A767-92,Quarterly!B:B,"&lt;="&amp;A767)))</f>
        <v>11625.1</v>
      </c>
      <c r="K767" s="13">
        <f t="shared" si="323"/>
        <v>9.3600000000000003E-2</v>
      </c>
      <c r="L767">
        <f t="shared" si="325"/>
        <v>1088.6600000000001</v>
      </c>
      <c r="M767">
        <f>IF(A767&gt;=Quarterly!B$2,Quarterly!D$2,IF(COUNTIFS(Quarterly!B:B,"&gt;="&amp;A767-92,Quarterly!B:B,"&lt;="&amp;A767)&gt;1,SUMIFS(Quarterly!D:D,Quarterly!B:B,"&gt;="&amp;A767-88,Quarterly!B:B,"&lt;="&amp;A767),SUMIFS(Quarterly!D:D,Quarterly!B:B,"&gt;="&amp;A767-92,Quarterly!B:B,"&lt;="&amp;A767)))</f>
        <v>733.41800000000001</v>
      </c>
      <c r="N767" s="13">
        <f t="shared" si="326"/>
        <v>0.14843999999999999</v>
      </c>
      <c r="O767">
        <f t="shared" si="314"/>
        <v>1088.6600000000001</v>
      </c>
      <c r="P767" s="56">
        <f>VLOOKUP(EOMONTH(A767,-1),Economic!A:I,7,FALSE)</f>
        <v>860588</v>
      </c>
      <c r="Q767" s="13">
        <f t="shared" si="315"/>
        <v>0.1265</v>
      </c>
      <c r="R767" s="41">
        <v>2.33</v>
      </c>
      <c r="S767">
        <f t="shared" si="316"/>
        <v>2.0499999999999998</v>
      </c>
      <c r="T767" s="30">
        <f t="shared" si="317"/>
        <v>178.23</v>
      </c>
      <c r="U767" s="30">
        <f t="shared" si="324"/>
        <v>177.37</v>
      </c>
    </row>
    <row r="768" spans="1:21" ht="15" customHeight="1" x14ac:dyDescent="0.25">
      <c r="A768" s="5">
        <v>37969</v>
      </c>
      <c r="B768" s="5">
        <f t="shared" si="318"/>
        <v>37986</v>
      </c>
      <c r="C768">
        <v>1074.1400000000001</v>
      </c>
      <c r="D768" s="29">
        <f t="shared" si="319"/>
        <v>2.1700000000000001E-2</v>
      </c>
      <c r="E768" s="39">
        <f t="shared" si="320"/>
        <v>1042.5138461538461</v>
      </c>
      <c r="F768" s="39">
        <f t="shared" si="321"/>
        <v>986.40333333333319</v>
      </c>
      <c r="G768" s="29">
        <f t="shared" si="313"/>
        <v>3.0300000000000001E-2</v>
      </c>
      <c r="H768" s="29">
        <f t="shared" si="313"/>
        <v>8.8900000000000007E-2</v>
      </c>
      <c r="I768">
        <f t="shared" si="322"/>
        <v>1074.1400000000001</v>
      </c>
      <c r="J768">
        <f>IF(A768&gt;=Quarterly!B$2,Quarterly!C$2,IF(COUNTIFS(Quarterly!B:B,"&gt;="&amp;A768-92,Quarterly!B:B,"&lt;="&amp;A768)&gt;1,SUMIFS(Quarterly!C:C,Quarterly!B:B,"&gt;="&amp;A768-88,Quarterly!B:B,"&lt;="&amp;A768),SUMIFS(Quarterly!C:C,Quarterly!B:B,"&gt;="&amp;A768-92,Quarterly!B:B,"&lt;="&amp;A768)))</f>
        <v>11625.1</v>
      </c>
      <c r="K768" s="13">
        <f t="shared" si="323"/>
        <v>9.2399999999999996E-2</v>
      </c>
      <c r="L768">
        <f t="shared" si="325"/>
        <v>1074.1400000000001</v>
      </c>
      <c r="M768">
        <f>IF(A768&gt;=Quarterly!B$2,Quarterly!D$2,IF(COUNTIFS(Quarterly!B:B,"&gt;="&amp;A768-92,Quarterly!B:B,"&lt;="&amp;A768)&gt;1,SUMIFS(Quarterly!D:D,Quarterly!B:B,"&gt;="&amp;A768-88,Quarterly!B:B,"&lt;="&amp;A768),SUMIFS(Quarterly!D:D,Quarterly!B:B,"&gt;="&amp;A768-92,Quarterly!B:B,"&lt;="&amp;A768)))</f>
        <v>733.41800000000001</v>
      </c>
      <c r="N768" s="13">
        <f t="shared" si="326"/>
        <v>0.14646000000000001</v>
      </c>
      <c r="O768">
        <f t="shared" si="314"/>
        <v>1074.1400000000001</v>
      </c>
      <c r="P768" s="56">
        <f>VLOOKUP(EOMONTH(A768,-1),Economic!A:I,7,FALSE)</f>
        <v>860588</v>
      </c>
      <c r="Q768" s="13">
        <f t="shared" si="315"/>
        <v>0.12479999999999999</v>
      </c>
      <c r="R768" s="41">
        <v>2.42</v>
      </c>
      <c r="S768">
        <f t="shared" si="316"/>
        <v>1.98</v>
      </c>
      <c r="T768" s="30">
        <f t="shared" si="317"/>
        <v>177.38</v>
      </c>
      <c r="U768" s="30">
        <f t="shared" si="324"/>
        <v>176.53</v>
      </c>
    </row>
    <row r="769" spans="1:21" ht="15" customHeight="1" x14ac:dyDescent="0.25">
      <c r="A769" s="5">
        <v>37962</v>
      </c>
      <c r="B769" s="5">
        <f t="shared" si="318"/>
        <v>37986</v>
      </c>
      <c r="C769">
        <v>1061.5</v>
      </c>
      <c r="D769" s="29">
        <f t="shared" si="319"/>
        <v>1.17E-2</v>
      </c>
      <c r="E769" s="39">
        <f t="shared" si="320"/>
        <v>1038.2438461538461</v>
      </c>
      <c r="F769" s="39">
        <f t="shared" si="321"/>
        <v>980.22717948717946</v>
      </c>
      <c r="G769" s="29">
        <f t="shared" si="313"/>
        <v>2.24E-2</v>
      </c>
      <c r="H769" s="29">
        <f t="shared" si="313"/>
        <v>8.2900000000000001E-2</v>
      </c>
      <c r="I769">
        <f t="shared" si="322"/>
        <v>1061.5</v>
      </c>
      <c r="J769">
        <f>IF(A769&gt;=Quarterly!B$2,Quarterly!C$2,IF(COUNTIFS(Quarterly!B:B,"&gt;="&amp;A769-92,Quarterly!B:B,"&lt;="&amp;A769)&gt;1,SUMIFS(Quarterly!C:C,Quarterly!B:B,"&gt;="&amp;A769-88,Quarterly!B:B,"&lt;="&amp;A769),SUMIFS(Quarterly!C:C,Quarterly!B:B,"&gt;="&amp;A769-92,Quarterly!B:B,"&lt;="&amp;A769)))</f>
        <v>11625.1</v>
      </c>
      <c r="K769" s="13">
        <f t="shared" si="323"/>
        <v>9.1300000000000006E-2</v>
      </c>
      <c r="L769">
        <f t="shared" si="325"/>
        <v>1061.5</v>
      </c>
      <c r="M769">
        <f>IF(A769&gt;=Quarterly!B$2,Quarterly!D$2,IF(COUNTIFS(Quarterly!B:B,"&gt;="&amp;A769-92,Quarterly!B:B,"&lt;="&amp;A769)&gt;1,SUMIFS(Quarterly!D:D,Quarterly!B:B,"&gt;="&amp;A769-88,Quarterly!B:B,"&lt;="&amp;A769),SUMIFS(Quarterly!D:D,Quarterly!B:B,"&gt;="&amp;A769-92,Quarterly!B:B,"&lt;="&amp;A769)))</f>
        <v>733.41800000000001</v>
      </c>
      <c r="N769" s="13">
        <f t="shared" si="326"/>
        <v>0.14473</v>
      </c>
      <c r="O769">
        <f t="shared" si="314"/>
        <v>1061.5</v>
      </c>
      <c r="P769" s="56">
        <f>VLOOKUP(EOMONTH(A769,-1),Economic!A:I,7,FALSE)</f>
        <v>860588</v>
      </c>
      <c r="Q769" s="13">
        <f t="shared" si="315"/>
        <v>0.12329999999999999</v>
      </c>
      <c r="R769" s="41">
        <v>2.35</v>
      </c>
      <c r="S769">
        <f t="shared" si="316"/>
        <v>1.91</v>
      </c>
      <c r="T769" s="30">
        <f t="shared" si="317"/>
        <v>176.5</v>
      </c>
      <c r="U769" s="30">
        <f t="shared" si="324"/>
        <v>176.3</v>
      </c>
    </row>
    <row r="770" spans="1:21" ht="15" customHeight="1" x14ac:dyDescent="0.25">
      <c r="A770" s="5">
        <v>37955</v>
      </c>
      <c r="B770" s="5">
        <f t="shared" si="318"/>
        <v>37955</v>
      </c>
      <c r="C770">
        <v>1058.2</v>
      </c>
      <c r="D770" s="29">
        <f t="shared" si="319"/>
        <v>1.03E-2</v>
      </c>
      <c r="E770" s="39">
        <f t="shared" si="320"/>
        <v>1035.1584615384613</v>
      </c>
      <c r="F770" s="39">
        <f t="shared" si="321"/>
        <v>974.26282051282055</v>
      </c>
      <c r="G770" s="29">
        <f t="shared" ref="G770:H833" si="327">ROUND(($C770-E770)/E770,4)</f>
        <v>2.23E-2</v>
      </c>
      <c r="H770" s="29">
        <f t="shared" si="327"/>
        <v>8.6199999999999999E-2</v>
      </c>
      <c r="I770">
        <f t="shared" si="322"/>
        <v>1058.2</v>
      </c>
      <c r="J770">
        <f>IF(A770&gt;=Quarterly!B$2,Quarterly!C$2,IF(COUNTIFS(Quarterly!B:B,"&gt;="&amp;A770-92,Quarterly!B:B,"&lt;="&amp;A770)&gt;1,SUMIFS(Quarterly!C:C,Quarterly!B:B,"&gt;="&amp;A770-88,Quarterly!B:B,"&lt;="&amp;A770),SUMIFS(Quarterly!C:C,Quarterly!B:B,"&gt;="&amp;A770-92,Quarterly!B:B,"&lt;="&amp;A770)))</f>
        <v>11625.1</v>
      </c>
      <c r="K770" s="13">
        <f t="shared" si="323"/>
        <v>9.0999999999999998E-2</v>
      </c>
      <c r="L770">
        <f t="shared" si="325"/>
        <v>1058.2</v>
      </c>
      <c r="M770">
        <f>IF(A770&gt;=Quarterly!B$2,Quarterly!D$2,IF(COUNTIFS(Quarterly!B:B,"&gt;="&amp;A770-92,Quarterly!B:B,"&lt;="&amp;A770)&gt;1,SUMIFS(Quarterly!D:D,Quarterly!B:B,"&gt;="&amp;A770-88,Quarterly!B:B,"&lt;="&amp;A770),SUMIFS(Quarterly!D:D,Quarterly!B:B,"&gt;="&amp;A770-92,Quarterly!B:B,"&lt;="&amp;A770)))</f>
        <v>733.41800000000001</v>
      </c>
      <c r="N770" s="13">
        <f t="shared" si="326"/>
        <v>0.14428000000000002</v>
      </c>
      <c r="O770">
        <f t="shared" si="314"/>
        <v>1058.2</v>
      </c>
      <c r="P770" s="56">
        <f>VLOOKUP(EOMONTH(A770,-1),Economic!A:I,7,FALSE)</f>
        <v>854887</v>
      </c>
      <c r="Q770" s="13">
        <f t="shared" si="315"/>
        <v>0.12379999999999999</v>
      </c>
      <c r="R770" s="41">
        <v>2.2799999999999998</v>
      </c>
      <c r="S770">
        <f t="shared" si="316"/>
        <v>1.87</v>
      </c>
      <c r="T770" s="30">
        <f t="shared" si="317"/>
        <v>175.7</v>
      </c>
      <c r="U770" s="30">
        <f t="shared" si="324"/>
        <v>176.25</v>
      </c>
    </row>
    <row r="771" spans="1:21" ht="15" customHeight="1" x14ac:dyDescent="0.25">
      <c r="A771" s="5">
        <v>37948</v>
      </c>
      <c r="B771" s="5">
        <f t="shared" si="318"/>
        <v>37955</v>
      </c>
      <c r="C771">
        <v>1035.28</v>
      </c>
      <c r="D771" s="29">
        <f t="shared" si="319"/>
        <v>-1.01E-2</v>
      </c>
      <c r="E771" s="39">
        <f t="shared" si="320"/>
        <v>1031.2976923076922</v>
      </c>
      <c r="F771" s="39">
        <f t="shared" si="321"/>
        <v>968.69743589743598</v>
      </c>
      <c r="G771" s="29">
        <f t="shared" si="327"/>
        <v>3.8999999999999998E-3</v>
      </c>
      <c r="H771" s="29">
        <f t="shared" si="327"/>
        <v>6.8699999999999997E-2</v>
      </c>
      <c r="I771">
        <f t="shared" si="322"/>
        <v>1035.28</v>
      </c>
      <c r="J771">
        <f>IF(A771&gt;=Quarterly!B$2,Quarterly!C$2,IF(COUNTIFS(Quarterly!B:B,"&gt;="&amp;A771-92,Quarterly!B:B,"&lt;="&amp;A771)&gt;1,SUMIFS(Quarterly!C:C,Quarterly!B:B,"&gt;="&amp;A771-88,Quarterly!B:B,"&lt;="&amp;A771),SUMIFS(Quarterly!C:C,Quarterly!B:B,"&gt;="&amp;A771-92,Quarterly!B:B,"&lt;="&amp;A771)))</f>
        <v>11625.1</v>
      </c>
      <c r="K771" s="13">
        <f t="shared" si="323"/>
        <v>8.9099999999999999E-2</v>
      </c>
      <c r="L771">
        <f t="shared" si="325"/>
        <v>1035.28</v>
      </c>
      <c r="M771">
        <f>IF(A771&gt;=Quarterly!B$2,Quarterly!D$2,IF(COUNTIFS(Quarterly!B:B,"&gt;="&amp;A771-92,Quarterly!B:B,"&lt;="&amp;A771)&gt;1,SUMIFS(Quarterly!D:D,Quarterly!B:B,"&gt;="&amp;A771-88,Quarterly!B:B,"&lt;="&amp;A771),SUMIFS(Quarterly!D:D,Quarterly!B:B,"&gt;="&amp;A771-92,Quarterly!B:B,"&lt;="&amp;A771)))</f>
        <v>733.41800000000001</v>
      </c>
      <c r="N771" s="13">
        <f t="shared" si="326"/>
        <v>0.14116000000000001</v>
      </c>
      <c r="O771">
        <f t="shared" si="314"/>
        <v>1035.28</v>
      </c>
      <c r="P771" s="56">
        <f>VLOOKUP(EOMONTH(A771,-1),Economic!A:I,7,FALSE)</f>
        <v>854887</v>
      </c>
      <c r="Q771" s="13">
        <f t="shared" si="315"/>
        <v>0.1211</v>
      </c>
      <c r="R771" s="41">
        <v>2.31</v>
      </c>
      <c r="S771">
        <f t="shared" si="316"/>
        <v>1.85</v>
      </c>
      <c r="T771" s="30">
        <f t="shared" si="317"/>
        <v>176.7</v>
      </c>
      <c r="U771" s="30">
        <f t="shared" si="324"/>
        <v>177.99</v>
      </c>
    </row>
    <row r="772" spans="1:21" ht="15" customHeight="1" x14ac:dyDescent="0.25">
      <c r="A772" s="5">
        <v>37941</v>
      </c>
      <c r="B772" s="5">
        <f t="shared" si="318"/>
        <v>37955</v>
      </c>
      <c r="C772">
        <v>1050.3499999999999</v>
      </c>
      <c r="D772" s="29">
        <f t="shared" si="319"/>
        <v>7.0000000000000001E-3</v>
      </c>
      <c r="E772" s="39">
        <f t="shared" si="320"/>
        <v>1028.0499999999997</v>
      </c>
      <c r="F772" s="39">
        <f t="shared" si="321"/>
        <v>963.89974358974348</v>
      </c>
      <c r="G772" s="29">
        <f t="shared" si="327"/>
        <v>2.1700000000000001E-2</v>
      </c>
      <c r="H772" s="29">
        <f t="shared" si="327"/>
        <v>8.9700000000000002E-2</v>
      </c>
      <c r="I772">
        <f t="shared" si="322"/>
        <v>1050.3499999999999</v>
      </c>
      <c r="J772">
        <f>IF(A772&gt;=Quarterly!B$2,Quarterly!C$2,IF(COUNTIFS(Quarterly!B:B,"&gt;="&amp;A772-92,Quarterly!B:B,"&lt;="&amp;A772)&gt;1,SUMIFS(Quarterly!C:C,Quarterly!B:B,"&gt;="&amp;A772-88,Quarterly!B:B,"&lt;="&amp;A772),SUMIFS(Quarterly!C:C,Quarterly!B:B,"&gt;="&amp;A772-92,Quarterly!B:B,"&lt;="&amp;A772)))</f>
        <v>11625.1</v>
      </c>
      <c r="K772" s="13">
        <f t="shared" si="323"/>
        <v>9.0399999999999994E-2</v>
      </c>
      <c r="L772">
        <f t="shared" si="325"/>
        <v>1050.3499999999999</v>
      </c>
      <c r="M772">
        <f>IF(A772&gt;=Quarterly!B$2,Quarterly!D$2,IF(COUNTIFS(Quarterly!B:B,"&gt;="&amp;A772-92,Quarterly!B:B,"&lt;="&amp;A772)&gt;1,SUMIFS(Quarterly!D:D,Quarterly!B:B,"&gt;="&amp;A772-88,Quarterly!B:B,"&lt;="&amp;A772),SUMIFS(Quarterly!D:D,Quarterly!B:B,"&gt;="&amp;A772-92,Quarterly!B:B,"&lt;="&amp;A772)))</f>
        <v>733.41800000000001</v>
      </c>
      <c r="N772" s="13">
        <f t="shared" si="326"/>
        <v>0.14321</v>
      </c>
      <c r="O772">
        <f t="shared" si="314"/>
        <v>1050.3499999999999</v>
      </c>
      <c r="P772" s="56">
        <f>VLOOKUP(EOMONTH(A772,-1),Economic!A:I,7,FALSE)</f>
        <v>854887</v>
      </c>
      <c r="Q772" s="13">
        <f t="shared" si="315"/>
        <v>0.12290000000000001</v>
      </c>
      <c r="R772" s="41">
        <v>2.38</v>
      </c>
      <c r="S772">
        <f t="shared" si="316"/>
        <v>1.85</v>
      </c>
      <c r="T772" s="30">
        <f t="shared" si="317"/>
        <v>176.34</v>
      </c>
      <c r="U772" s="30">
        <f t="shared" si="324"/>
        <v>180.12</v>
      </c>
    </row>
    <row r="773" spans="1:21" ht="15" customHeight="1" x14ac:dyDescent="0.25">
      <c r="A773" s="5">
        <v>37934</v>
      </c>
      <c r="B773" s="5">
        <f t="shared" si="318"/>
        <v>37955</v>
      </c>
      <c r="C773">
        <v>1053.21</v>
      </c>
      <c r="D773" s="29">
        <f t="shared" si="319"/>
        <v>1.34E-2</v>
      </c>
      <c r="E773" s="39">
        <f t="shared" si="320"/>
        <v>1023.4592307692305</v>
      </c>
      <c r="F773" s="39">
        <f t="shared" si="321"/>
        <v>958.37512820512814</v>
      </c>
      <c r="G773" s="29">
        <f t="shared" si="327"/>
        <v>2.9100000000000001E-2</v>
      </c>
      <c r="H773" s="29">
        <f t="shared" si="327"/>
        <v>9.9000000000000005E-2</v>
      </c>
      <c r="I773">
        <f t="shared" si="322"/>
        <v>1053.21</v>
      </c>
      <c r="J773">
        <f>IF(A773&gt;=Quarterly!B$2,Quarterly!C$2,IF(COUNTIFS(Quarterly!B:B,"&gt;="&amp;A773-92,Quarterly!B:B,"&lt;="&amp;A773)&gt;1,SUMIFS(Quarterly!C:C,Quarterly!B:B,"&gt;="&amp;A773-88,Quarterly!B:B,"&lt;="&amp;A773),SUMIFS(Quarterly!C:C,Quarterly!B:B,"&gt;="&amp;A773-92,Quarterly!B:B,"&lt;="&amp;A773)))</f>
        <v>11625.1</v>
      </c>
      <c r="K773" s="13">
        <f t="shared" si="323"/>
        <v>9.06E-2</v>
      </c>
      <c r="L773">
        <f t="shared" si="325"/>
        <v>1053.21</v>
      </c>
      <c r="M773">
        <f>IF(A773&gt;=Quarterly!B$2,Quarterly!D$2,IF(COUNTIFS(Quarterly!B:B,"&gt;="&amp;A773-92,Quarterly!B:B,"&lt;="&amp;A773)&gt;1,SUMIFS(Quarterly!D:D,Quarterly!B:B,"&gt;="&amp;A773-88,Quarterly!B:B,"&lt;="&amp;A773),SUMIFS(Quarterly!D:D,Quarterly!B:B,"&gt;="&amp;A773-92,Quarterly!B:B,"&lt;="&amp;A773)))</f>
        <v>733.41800000000001</v>
      </c>
      <c r="N773" s="13">
        <f t="shared" si="326"/>
        <v>0.14360000000000001</v>
      </c>
      <c r="O773">
        <f t="shared" si="314"/>
        <v>1053.21</v>
      </c>
      <c r="P773" s="56">
        <f>VLOOKUP(EOMONTH(A773,-1),Economic!A:I,7,FALSE)</f>
        <v>854887</v>
      </c>
      <c r="Q773" s="13">
        <f t="shared" si="315"/>
        <v>0.1232</v>
      </c>
      <c r="R773" s="41">
        <v>2.44</v>
      </c>
      <c r="S773">
        <f t="shared" si="316"/>
        <v>1.97</v>
      </c>
      <c r="T773" s="30">
        <f t="shared" si="317"/>
        <v>180.92</v>
      </c>
      <c r="U773" s="30">
        <f t="shared" si="324"/>
        <v>181.43</v>
      </c>
    </row>
    <row r="774" spans="1:21" ht="15" customHeight="1" x14ac:dyDescent="0.25">
      <c r="A774" s="5">
        <v>37927</v>
      </c>
      <c r="B774" s="5">
        <f t="shared" si="318"/>
        <v>37955</v>
      </c>
      <c r="C774">
        <v>1050.71</v>
      </c>
      <c r="D774" s="29">
        <f t="shared" si="319"/>
        <v>1.61E-2</v>
      </c>
      <c r="E774" s="39">
        <f t="shared" si="320"/>
        <v>1017.6423076923077</v>
      </c>
      <c r="F774" s="39">
        <f t="shared" si="321"/>
        <v>952.6438461538462</v>
      </c>
      <c r="G774" s="29">
        <f t="shared" si="327"/>
        <v>3.2500000000000001E-2</v>
      </c>
      <c r="H774" s="29">
        <f t="shared" si="327"/>
        <v>0.10290000000000001</v>
      </c>
      <c r="I774">
        <f t="shared" si="322"/>
        <v>1050.71</v>
      </c>
      <c r="J774">
        <f>IF(A774&gt;=Quarterly!B$2,Quarterly!C$2,IF(COUNTIFS(Quarterly!B:B,"&gt;="&amp;A774-92,Quarterly!B:B,"&lt;="&amp;A774)&gt;1,SUMIFS(Quarterly!C:C,Quarterly!B:B,"&gt;="&amp;A774-88,Quarterly!B:B,"&lt;="&amp;A774),SUMIFS(Quarterly!C:C,Quarterly!B:B,"&gt;="&amp;A774-92,Quarterly!B:B,"&lt;="&amp;A774)))</f>
        <v>11625.1</v>
      </c>
      <c r="K774" s="13">
        <f t="shared" si="323"/>
        <v>9.0399999999999994E-2</v>
      </c>
      <c r="L774">
        <f t="shared" si="325"/>
        <v>1050.71</v>
      </c>
      <c r="M774">
        <f>IF(A774&gt;=Quarterly!B$2,Quarterly!D$2,IF(COUNTIFS(Quarterly!B:B,"&gt;="&amp;A774-92,Quarterly!B:B,"&lt;="&amp;A774)&gt;1,SUMIFS(Quarterly!D:D,Quarterly!B:B,"&gt;="&amp;A774-88,Quarterly!B:B,"&lt;="&amp;A774),SUMIFS(Quarterly!D:D,Quarterly!B:B,"&gt;="&amp;A774-92,Quarterly!B:B,"&lt;="&amp;A774)))</f>
        <v>733.41800000000001</v>
      </c>
      <c r="N774" s="13">
        <f t="shared" si="326"/>
        <v>0.14326000000000003</v>
      </c>
      <c r="O774">
        <f t="shared" ref="O774:O837" si="328">C774</f>
        <v>1050.71</v>
      </c>
      <c r="P774" s="56">
        <f>VLOOKUP(EOMONTH(A774,-1),Economic!A:I,7,FALSE)</f>
        <v>854887</v>
      </c>
      <c r="Q774" s="13">
        <f t="shared" ref="Q774:Q837" si="329">ROUND(O774/P774,6)*100</f>
        <v>0.12290000000000001</v>
      </c>
      <c r="R774" s="41">
        <v>2.48</v>
      </c>
      <c r="S774">
        <f t="shared" ref="S774:S837" si="330">R835</f>
        <v>2</v>
      </c>
      <c r="T774" s="30">
        <f t="shared" ref="T774:T837" si="331">IF((ROUND((S774*40)+(G774*350)-(H774*100)-((N774-0.15)*350)-(((K774*10.5)-1)*270)-(Q774*100),2)+144)*0.8&lt;0,0,ROUND((ROUND((S774*40)+(G774*350)-(H774*100)-((N774-0.15)*350)-(((K774*10.5)-1)*270)-(Q774*100),2)+144)*0.8,2))</f>
        <v>183.1</v>
      </c>
      <c r="U774" s="30">
        <f t="shared" si="324"/>
        <v>180.9</v>
      </c>
    </row>
    <row r="775" spans="1:21" ht="15" customHeight="1" x14ac:dyDescent="0.25">
      <c r="A775" s="5">
        <v>37920</v>
      </c>
      <c r="B775" s="5">
        <f t="shared" si="318"/>
        <v>37925</v>
      </c>
      <c r="C775">
        <v>1028.9100000000001</v>
      </c>
      <c r="D775" s="29">
        <f t="shared" si="319"/>
        <v>2.8E-3</v>
      </c>
      <c r="E775" s="39">
        <f t="shared" si="320"/>
        <v>1012.2146153846153</v>
      </c>
      <c r="F775" s="39">
        <f t="shared" si="321"/>
        <v>947.6435897435897</v>
      </c>
      <c r="G775" s="29">
        <f t="shared" si="327"/>
        <v>1.6500000000000001E-2</v>
      </c>
      <c r="H775" s="29">
        <f t="shared" si="327"/>
        <v>8.5800000000000001E-2</v>
      </c>
      <c r="I775">
        <f t="shared" si="322"/>
        <v>1028.9100000000001</v>
      </c>
      <c r="J775">
        <f>IF(A775&gt;=Quarterly!B$2,Quarterly!C$2,IF(COUNTIFS(Quarterly!B:B,"&gt;="&amp;A775-92,Quarterly!B:B,"&lt;="&amp;A775)&gt;1,SUMIFS(Quarterly!C:C,Quarterly!B:B,"&gt;="&amp;A775-88,Quarterly!B:B,"&lt;="&amp;A775),SUMIFS(Quarterly!C:C,Quarterly!B:B,"&gt;="&amp;A775-92,Quarterly!B:B,"&lt;="&amp;A775)))</f>
        <v>11370.7</v>
      </c>
      <c r="K775" s="13">
        <f t="shared" si="323"/>
        <v>9.0499999999999997E-2</v>
      </c>
      <c r="L775">
        <f t="shared" si="325"/>
        <v>1028.9100000000001</v>
      </c>
      <c r="M775">
        <f>IF(A775&gt;=Quarterly!B$2,Quarterly!D$2,IF(COUNTIFS(Quarterly!B:B,"&gt;="&amp;A775-92,Quarterly!B:B,"&lt;="&amp;A775)&gt;1,SUMIFS(Quarterly!D:D,Quarterly!B:B,"&gt;="&amp;A775-88,Quarterly!B:B,"&lt;="&amp;A775),SUMIFS(Quarterly!D:D,Quarterly!B:B,"&gt;="&amp;A775-92,Quarterly!B:B,"&lt;="&amp;A775)))</f>
        <v>692.00400000000002</v>
      </c>
      <c r="N775" s="13">
        <f t="shared" si="326"/>
        <v>0.14869000000000002</v>
      </c>
      <c r="O775">
        <f t="shared" si="328"/>
        <v>1028.9100000000001</v>
      </c>
      <c r="P775" s="56">
        <f>VLOOKUP(EOMONTH(A775,-1),Economic!A:I,7,FALSE)</f>
        <v>847378</v>
      </c>
      <c r="Q775" s="13">
        <f t="shared" si="329"/>
        <v>0.12140000000000001</v>
      </c>
      <c r="R775" s="41">
        <v>2.48</v>
      </c>
      <c r="S775">
        <f t="shared" si="330"/>
        <v>2.06</v>
      </c>
      <c r="T775" s="30">
        <f t="shared" si="331"/>
        <v>180.28</v>
      </c>
      <c r="U775" s="30">
        <f t="shared" si="324"/>
        <v>181.28</v>
      </c>
    </row>
    <row r="776" spans="1:21" ht="15" customHeight="1" x14ac:dyDescent="0.25">
      <c r="A776" s="5">
        <v>37913</v>
      </c>
      <c r="B776" s="5">
        <f t="shared" si="318"/>
        <v>37925</v>
      </c>
      <c r="C776">
        <v>1039.32</v>
      </c>
      <c r="D776" s="29">
        <f t="shared" si="319"/>
        <v>1.37E-2</v>
      </c>
      <c r="E776" s="39">
        <f t="shared" si="320"/>
        <v>1009.8892307692308</v>
      </c>
      <c r="F776" s="39">
        <f t="shared" si="321"/>
        <v>943.34846153846161</v>
      </c>
      <c r="G776" s="29">
        <f t="shared" si="327"/>
        <v>2.9100000000000001E-2</v>
      </c>
      <c r="H776" s="29">
        <f t="shared" si="327"/>
        <v>0.1017</v>
      </c>
      <c r="I776">
        <f t="shared" si="322"/>
        <v>1039.32</v>
      </c>
      <c r="J776">
        <f>IF(A776&gt;=Quarterly!B$2,Quarterly!C$2,IF(COUNTIFS(Quarterly!B:B,"&gt;="&amp;A776-92,Quarterly!B:B,"&lt;="&amp;A776)&gt;1,SUMIFS(Quarterly!C:C,Quarterly!B:B,"&gt;="&amp;A776-88,Quarterly!B:B,"&lt;="&amp;A776),SUMIFS(Quarterly!C:C,Quarterly!B:B,"&gt;="&amp;A776-92,Quarterly!B:B,"&lt;="&amp;A776)))</f>
        <v>11370.7</v>
      </c>
      <c r="K776" s="13">
        <f t="shared" si="323"/>
        <v>9.1399999999999995E-2</v>
      </c>
      <c r="L776">
        <f t="shared" si="325"/>
        <v>1039.32</v>
      </c>
      <c r="M776">
        <f>IF(A776&gt;=Quarterly!B$2,Quarterly!D$2,IF(COUNTIFS(Quarterly!B:B,"&gt;="&amp;A776-92,Quarterly!B:B,"&lt;="&amp;A776)&gt;1,SUMIFS(Quarterly!D:D,Quarterly!B:B,"&gt;="&amp;A776-88,Quarterly!B:B,"&lt;="&amp;A776),SUMIFS(Quarterly!D:D,Quarterly!B:B,"&gt;="&amp;A776-92,Quarterly!B:B,"&lt;="&amp;A776)))</f>
        <v>692.00400000000002</v>
      </c>
      <c r="N776" s="13">
        <f t="shared" si="326"/>
        <v>0.15019000000000002</v>
      </c>
      <c r="O776">
        <f t="shared" si="328"/>
        <v>1039.32</v>
      </c>
      <c r="P776" s="56">
        <f>VLOOKUP(EOMONTH(A776,-1),Economic!A:I,7,FALSE)</f>
        <v>847378</v>
      </c>
      <c r="Q776" s="13">
        <f t="shared" si="329"/>
        <v>0.1227</v>
      </c>
      <c r="R776" s="41">
        <v>2.5099999999999998</v>
      </c>
      <c r="S776">
        <f t="shared" si="330"/>
        <v>2.04</v>
      </c>
      <c r="T776" s="30">
        <f t="shared" si="331"/>
        <v>179.33</v>
      </c>
      <c r="U776" s="30">
        <f t="shared" si="324"/>
        <v>184.75</v>
      </c>
    </row>
    <row r="777" spans="1:21" ht="15" customHeight="1" x14ac:dyDescent="0.25">
      <c r="A777" s="5">
        <v>37906</v>
      </c>
      <c r="B777" s="5">
        <f t="shared" si="318"/>
        <v>37925</v>
      </c>
      <c r="C777">
        <v>1038.06</v>
      </c>
      <c r="D777" s="29">
        <f t="shared" si="319"/>
        <v>1.7299999999999999E-2</v>
      </c>
      <c r="E777" s="39">
        <f t="shared" si="320"/>
        <v>1006.3507692307692</v>
      </c>
      <c r="F777" s="39">
        <f t="shared" si="321"/>
        <v>939.82179487179496</v>
      </c>
      <c r="G777" s="29">
        <f t="shared" si="327"/>
        <v>3.15E-2</v>
      </c>
      <c r="H777" s="29">
        <f t="shared" si="327"/>
        <v>0.1045</v>
      </c>
      <c r="I777">
        <f t="shared" si="322"/>
        <v>1038.06</v>
      </c>
      <c r="J777">
        <f>IF(A777&gt;=Quarterly!B$2,Quarterly!C$2,IF(COUNTIFS(Quarterly!B:B,"&gt;="&amp;A777-92,Quarterly!B:B,"&lt;="&amp;A777)&gt;1,SUMIFS(Quarterly!C:C,Quarterly!B:B,"&gt;="&amp;A777-88,Quarterly!B:B,"&lt;="&amp;A777),SUMIFS(Quarterly!C:C,Quarterly!B:B,"&gt;="&amp;A777-92,Quarterly!B:B,"&lt;="&amp;A777)))</f>
        <v>11370.7</v>
      </c>
      <c r="K777" s="13">
        <f t="shared" si="323"/>
        <v>9.1300000000000006E-2</v>
      </c>
      <c r="L777">
        <f t="shared" si="325"/>
        <v>1038.06</v>
      </c>
      <c r="M777">
        <f>IF(A777&gt;=Quarterly!B$2,Quarterly!D$2,IF(COUNTIFS(Quarterly!B:B,"&gt;="&amp;A777-92,Quarterly!B:B,"&lt;="&amp;A777)&gt;1,SUMIFS(Quarterly!D:D,Quarterly!B:B,"&gt;="&amp;A777-88,Quarterly!B:B,"&lt;="&amp;A777),SUMIFS(Quarterly!D:D,Quarterly!B:B,"&gt;="&amp;A777-92,Quarterly!B:B,"&lt;="&amp;A777)))</f>
        <v>692.00400000000002</v>
      </c>
      <c r="N777" s="13">
        <f t="shared" si="326"/>
        <v>0.15001</v>
      </c>
      <c r="O777">
        <f t="shared" si="328"/>
        <v>1038.06</v>
      </c>
      <c r="P777" s="56">
        <f>VLOOKUP(EOMONTH(A777,-1),Economic!A:I,7,FALSE)</f>
        <v>847378</v>
      </c>
      <c r="Q777" s="13">
        <f t="shared" si="329"/>
        <v>0.1225</v>
      </c>
      <c r="R777" s="41">
        <v>2.64</v>
      </c>
      <c r="S777">
        <f t="shared" si="330"/>
        <v>2.17</v>
      </c>
      <c r="T777" s="30">
        <f t="shared" si="331"/>
        <v>184.23</v>
      </c>
      <c r="U777" s="30">
        <f t="shared" si="324"/>
        <v>188.18</v>
      </c>
    </row>
    <row r="778" spans="1:21" ht="15" customHeight="1" x14ac:dyDescent="0.25">
      <c r="A778" s="5">
        <v>37899</v>
      </c>
      <c r="B778" s="5">
        <f t="shared" si="318"/>
        <v>37925</v>
      </c>
      <c r="C778">
        <v>1029.8499999999999</v>
      </c>
      <c r="D778" s="29">
        <f t="shared" si="319"/>
        <v>1.1299999999999999E-2</v>
      </c>
      <c r="E778" s="39">
        <f t="shared" si="320"/>
        <v>1003.28</v>
      </c>
      <c r="F778" s="39">
        <f t="shared" si="321"/>
        <v>936.98871794871786</v>
      </c>
      <c r="G778" s="29">
        <f t="shared" si="327"/>
        <v>2.6499999999999999E-2</v>
      </c>
      <c r="H778" s="29">
        <f t="shared" si="327"/>
        <v>9.9099999999999994E-2</v>
      </c>
      <c r="I778">
        <f t="shared" si="322"/>
        <v>1029.8499999999999</v>
      </c>
      <c r="J778">
        <f>IF(A778&gt;=Quarterly!B$2,Quarterly!C$2,IF(COUNTIFS(Quarterly!B:B,"&gt;="&amp;A778-92,Quarterly!B:B,"&lt;="&amp;A778)&gt;1,SUMIFS(Quarterly!C:C,Quarterly!B:B,"&gt;="&amp;A778-88,Quarterly!B:B,"&lt;="&amp;A778),SUMIFS(Quarterly!C:C,Quarterly!B:B,"&gt;="&amp;A778-92,Quarterly!B:B,"&lt;="&amp;A778)))</f>
        <v>11370.7</v>
      </c>
      <c r="K778" s="13">
        <f t="shared" si="323"/>
        <v>9.06E-2</v>
      </c>
      <c r="L778">
        <f t="shared" si="325"/>
        <v>1029.8499999999999</v>
      </c>
      <c r="M778">
        <f>IF(A778&gt;=Quarterly!B$2,Quarterly!D$2,IF(COUNTIFS(Quarterly!B:B,"&gt;="&amp;A778-92,Quarterly!B:B,"&lt;="&amp;A778)&gt;1,SUMIFS(Quarterly!D:D,Quarterly!B:B,"&gt;="&amp;A778-88,Quarterly!B:B,"&lt;="&amp;A778),SUMIFS(Quarterly!D:D,Quarterly!B:B,"&gt;="&amp;A778-92,Quarterly!B:B,"&lt;="&amp;A778)))</f>
        <v>692.00400000000002</v>
      </c>
      <c r="N778" s="13">
        <f t="shared" si="326"/>
        <v>0.14882000000000001</v>
      </c>
      <c r="O778">
        <f t="shared" si="328"/>
        <v>1029.8499999999999</v>
      </c>
      <c r="P778" s="56">
        <f>VLOOKUP(EOMONTH(A778,-1),Economic!A:I,7,FALSE)</f>
        <v>847378</v>
      </c>
      <c r="Q778" s="13">
        <f t="shared" si="329"/>
        <v>0.1215</v>
      </c>
      <c r="R778" s="41">
        <v>2.56</v>
      </c>
      <c r="S778">
        <f t="shared" si="330"/>
        <v>2.34</v>
      </c>
      <c r="T778" s="30">
        <f t="shared" si="331"/>
        <v>190.7</v>
      </c>
      <c r="U778" s="30">
        <f t="shared" si="324"/>
        <v>188.28</v>
      </c>
    </row>
    <row r="779" spans="1:21" ht="15" customHeight="1" x14ac:dyDescent="0.25">
      <c r="A779" s="5">
        <v>37892</v>
      </c>
      <c r="B779" s="5">
        <f t="shared" si="318"/>
        <v>37894</v>
      </c>
      <c r="C779">
        <v>996.85</v>
      </c>
      <c r="D779" s="29">
        <f t="shared" si="319"/>
        <v>-2.3699999999999999E-2</v>
      </c>
      <c r="E779" s="39">
        <f t="shared" si="320"/>
        <v>999.88384615384609</v>
      </c>
      <c r="F779" s="39">
        <f t="shared" si="321"/>
        <v>933.87948717948711</v>
      </c>
      <c r="G779" s="29">
        <f t="shared" si="327"/>
        <v>-3.0000000000000001E-3</v>
      </c>
      <c r="H779" s="29">
        <f t="shared" si="327"/>
        <v>6.7400000000000002E-2</v>
      </c>
      <c r="I779">
        <f t="shared" si="322"/>
        <v>996.85</v>
      </c>
      <c r="J779">
        <f>IF(A779&gt;=Quarterly!B$2,Quarterly!C$2,IF(COUNTIFS(Quarterly!B:B,"&gt;="&amp;A779-92,Quarterly!B:B,"&lt;="&amp;A779)&gt;1,SUMIFS(Quarterly!C:C,Quarterly!B:B,"&gt;="&amp;A779-88,Quarterly!B:B,"&lt;="&amp;A779),SUMIFS(Quarterly!C:C,Quarterly!B:B,"&gt;="&amp;A779-92,Quarterly!B:B,"&lt;="&amp;A779)))</f>
        <v>11370.7</v>
      </c>
      <c r="K779" s="13">
        <f t="shared" si="323"/>
        <v>8.77E-2</v>
      </c>
      <c r="L779">
        <f t="shared" si="325"/>
        <v>996.85</v>
      </c>
      <c r="M779">
        <f>IF(A779&gt;=Quarterly!B$2,Quarterly!D$2,IF(COUNTIFS(Quarterly!B:B,"&gt;="&amp;A779-92,Quarterly!B:B,"&lt;="&amp;A779)&gt;1,SUMIFS(Quarterly!D:D,Quarterly!B:B,"&gt;="&amp;A779-88,Quarterly!B:B,"&lt;="&amp;A779),SUMIFS(Quarterly!D:D,Quarterly!B:B,"&gt;="&amp;A779-92,Quarterly!B:B,"&lt;="&amp;A779)))</f>
        <v>692.00400000000002</v>
      </c>
      <c r="N779" s="13">
        <f t="shared" si="326"/>
        <v>0.14404999999999998</v>
      </c>
      <c r="O779">
        <f t="shared" si="328"/>
        <v>996.85</v>
      </c>
      <c r="P779" s="56">
        <f>VLOOKUP(EOMONTH(A779,-1),Economic!A:I,7,FALSE)</f>
        <v>840376</v>
      </c>
      <c r="Q779" s="13">
        <f t="shared" si="329"/>
        <v>0.1186</v>
      </c>
      <c r="R779" s="41">
        <v>2.44</v>
      </c>
      <c r="S779">
        <f t="shared" si="330"/>
        <v>2.23</v>
      </c>
      <c r="T779" s="30">
        <f t="shared" si="331"/>
        <v>189.6</v>
      </c>
      <c r="U779" s="30">
        <f t="shared" si="324"/>
        <v>186.05</v>
      </c>
    </row>
    <row r="780" spans="1:21" ht="15" customHeight="1" x14ac:dyDescent="0.25">
      <c r="A780" s="5">
        <v>37885</v>
      </c>
      <c r="B780" s="5">
        <f t="shared" si="318"/>
        <v>37894</v>
      </c>
      <c r="C780">
        <v>1036.3</v>
      </c>
      <c r="D780" s="29">
        <f t="shared" si="319"/>
        <v>2.58E-2</v>
      </c>
      <c r="E780" s="39">
        <f t="shared" si="320"/>
        <v>998.29692307692301</v>
      </c>
      <c r="F780" s="39">
        <f t="shared" si="321"/>
        <v>930.76538461538462</v>
      </c>
      <c r="G780" s="29">
        <f t="shared" si="327"/>
        <v>3.8100000000000002E-2</v>
      </c>
      <c r="H780" s="29">
        <f t="shared" si="327"/>
        <v>0.1134</v>
      </c>
      <c r="I780">
        <f t="shared" si="322"/>
        <v>1036.3</v>
      </c>
      <c r="J780">
        <f>IF(A780&gt;=Quarterly!B$2,Quarterly!C$2,IF(COUNTIFS(Quarterly!B:B,"&gt;="&amp;A780-92,Quarterly!B:B,"&lt;="&amp;A780)&gt;1,SUMIFS(Quarterly!C:C,Quarterly!B:B,"&gt;="&amp;A780-88,Quarterly!B:B,"&lt;="&amp;A780),SUMIFS(Quarterly!C:C,Quarterly!B:B,"&gt;="&amp;A780-92,Quarterly!B:B,"&lt;="&amp;A780)))</f>
        <v>11370.7</v>
      </c>
      <c r="K780" s="13">
        <f t="shared" si="323"/>
        <v>9.11E-2</v>
      </c>
      <c r="L780">
        <f t="shared" si="325"/>
        <v>1036.3</v>
      </c>
      <c r="M780">
        <f>IF(A780&gt;=Quarterly!B$2,Quarterly!D$2,IF(COUNTIFS(Quarterly!B:B,"&gt;="&amp;A780-92,Quarterly!B:B,"&lt;="&amp;A780)&gt;1,SUMIFS(Quarterly!D:D,Quarterly!B:B,"&gt;="&amp;A780-88,Quarterly!B:B,"&lt;="&amp;A780),SUMIFS(Quarterly!D:D,Quarterly!B:B,"&gt;="&amp;A780-92,Quarterly!B:B,"&lt;="&amp;A780)))</f>
        <v>692.00400000000002</v>
      </c>
      <c r="N780" s="13">
        <f t="shared" si="326"/>
        <v>0.14975000000000002</v>
      </c>
      <c r="O780">
        <f t="shared" si="328"/>
        <v>1036.3</v>
      </c>
      <c r="P780" s="56">
        <f>VLOOKUP(EOMONTH(A780,-1),Economic!A:I,7,FALSE)</f>
        <v>840376</v>
      </c>
      <c r="Q780" s="13">
        <f t="shared" si="329"/>
        <v>0.12329999999999999</v>
      </c>
      <c r="R780" s="41">
        <v>2.4700000000000002</v>
      </c>
      <c r="S780">
        <f t="shared" si="330"/>
        <v>2.13</v>
      </c>
      <c r="T780" s="30">
        <f t="shared" si="331"/>
        <v>184.54</v>
      </c>
      <c r="U780" s="30">
        <f t="shared" si="324"/>
        <v>183.54</v>
      </c>
    </row>
    <row r="781" spans="1:21" ht="15" customHeight="1" x14ac:dyDescent="0.25">
      <c r="A781" s="5">
        <v>37878</v>
      </c>
      <c r="B781" s="5">
        <f t="shared" si="318"/>
        <v>37894</v>
      </c>
      <c r="C781">
        <v>1018.63</v>
      </c>
      <c r="D781" s="29">
        <f t="shared" si="319"/>
        <v>1.5299999999999999E-2</v>
      </c>
      <c r="E781" s="39">
        <f t="shared" si="320"/>
        <v>995.17307692307691</v>
      </c>
      <c r="F781" s="39">
        <f t="shared" si="321"/>
        <v>927.161794871795</v>
      </c>
      <c r="G781" s="29">
        <f t="shared" si="327"/>
        <v>2.3599999999999999E-2</v>
      </c>
      <c r="H781" s="29">
        <f t="shared" si="327"/>
        <v>9.8699999999999996E-2</v>
      </c>
      <c r="I781">
        <f t="shared" si="322"/>
        <v>1018.63</v>
      </c>
      <c r="J781">
        <f>IF(A781&gt;=Quarterly!B$2,Quarterly!C$2,IF(COUNTIFS(Quarterly!B:B,"&gt;="&amp;A781-92,Quarterly!B:B,"&lt;="&amp;A781)&gt;1,SUMIFS(Quarterly!C:C,Quarterly!B:B,"&gt;="&amp;A781-88,Quarterly!B:B,"&lt;="&amp;A781),SUMIFS(Quarterly!C:C,Quarterly!B:B,"&gt;="&amp;A781-92,Quarterly!B:B,"&lt;="&amp;A781)))</f>
        <v>11370.7</v>
      </c>
      <c r="K781" s="13">
        <f t="shared" si="323"/>
        <v>8.9599999999999999E-2</v>
      </c>
      <c r="L781">
        <f t="shared" si="325"/>
        <v>1018.63</v>
      </c>
      <c r="M781">
        <f>IF(A781&gt;=Quarterly!B$2,Quarterly!D$2,IF(COUNTIFS(Quarterly!B:B,"&gt;="&amp;A781-92,Quarterly!B:B,"&lt;="&amp;A781)&gt;1,SUMIFS(Quarterly!D:D,Quarterly!B:B,"&gt;="&amp;A781-88,Quarterly!B:B,"&lt;="&amp;A781),SUMIFS(Quarterly!D:D,Quarterly!B:B,"&gt;="&amp;A781-92,Quarterly!B:B,"&lt;="&amp;A781)))</f>
        <v>692.00400000000002</v>
      </c>
      <c r="N781" s="13">
        <f t="shared" si="326"/>
        <v>0.1472</v>
      </c>
      <c r="O781">
        <f t="shared" si="328"/>
        <v>1018.63</v>
      </c>
      <c r="P781" s="56">
        <f>VLOOKUP(EOMONTH(A781,-1),Economic!A:I,7,FALSE)</f>
        <v>840376</v>
      </c>
      <c r="Q781" s="13">
        <f t="shared" si="329"/>
        <v>0.1212</v>
      </c>
      <c r="R781" s="41">
        <v>2.61</v>
      </c>
      <c r="S781">
        <f t="shared" si="330"/>
        <v>2.0699999999999998</v>
      </c>
      <c r="T781" s="30">
        <f t="shared" si="331"/>
        <v>184.02</v>
      </c>
      <c r="U781" s="30">
        <f t="shared" si="324"/>
        <v>182.72</v>
      </c>
    </row>
    <row r="782" spans="1:21" ht="15" customHeight="1" x14ac:dyDescent="0.25">
      <c r="A782" s="5">
        <v>37871</v>
      </c>
      <c r="B782" s="5">
        <f t="shared" si="318"/>
        <v>37894</v>
      </c>
      <c r="C782">
        <v>1021.39</v>
      </c>
      <c r="D782" s="29">
        <f t="shared" si="319"/>
        <v>2.93E-2</v>
      </c>
      <c r="E782" s="39">
        <f t="shared" si="320"/>
        <v>992.86384615384623</v>
      </c>
      <c r="F782" s="39">
        <f t="shared" si="321"/>
        <v>923.85025641025663</v>
      </c>
      <c r="G782" s="29">
        <f t="shared" si="327"/>
        <v>2.87E-2</v>
      </c>
      <c r="H782" s="29">
        <f t="shared" si="327"/>
        <v>0.1056</v>
      </c>
      <c r="I782">
        <f t="shared" si="322"/>
        <v>1021.39</v>
      </c>
      <c r="J782">
        <f>IF(A782&gt;=Quarterly!B$2,Quarterly!C$2,IF(COUNTIFS(Quarterly!B:B,"&gt;="&amp;A782-92,Quarterly!B:B,"&lt;="&amp;A782)&gt;1,SUMIFS(Quarterly!C:C,Quarterly!B:B,"&gt;="&amp;A782-88,Quarterly!B:B,"&lt;="&amp;A782),SUMIFS(Quarterly!C:C,Quarterly!B:B,"&gt;="&amp;A782-92,Quarterly!B:B,"&lt;="&amp;A782)))</f>
        <v>11370.7</v>
      </c>
      <c r="K782" s="13">
        <f t="shared" si="323"/>
        <v>8.9800000000000005E-2</v>
      </c>
      <c r="L782">
        <f t="shared" si="325"/>
        <v>1021.39</v>
      </c>
      <c r="M782">
        <f>IF(A782&gt;=Quarterly!B$2,Quarterly!D$2,IF(COUNTIFS(Quarterly!B:B,"&gt;="&amp;A782-92,Quarterly!B:B,"&lt;="&amp;A782)&gt;1,SUMIFS(Quarterly!D:D,Quarterly!B:B,"&gt;="&amp;A782-88,Quarterly!B:B,"&lt;="&amp;A782),SUMIFS(Quarterly!D:D,Quarterly!B:B,"&gt;="&amp;A782-92,Quarterly!B:B,"&lt;="&amp;A782)))</f>
        <v>692.00400000000002</v>
      </c>
      <c r="N782" s="13">
        <f t="shared" si="326"/>
        <v>0.14760000000000001</v>
      </c>
      <c r="O782">
        <f t="shared" si="328"/>
        <v>1021.39</v>
      </c>
      <c r="P782" s="56">
        <f>VLOOKUP(EOMONTH(A782,-1),Economic!A:I,7,FALSE)</f>
        <v>840376</v>
      </c>
      <c r="Q782" s="13">
        <f t="shared" si="329"/>
        <v>0.1215</v>
      </c>
      <c r="R782" s="41">
        <v>2.63</v>
      </c>
      <c r="S782">
        <f t="shared" si="330"/>
        <v>2</v>
      </c>
      <c r="T782" s="30">
        <f t="shared" si="331"/>
        <v>182.07</v>
      </c>
      <c r="U782" s="30">
        <f t="shared" si="324"/>
        <v>182.05</v>
      </c>
    </row>
    <row r="783" spans="1:21" ht="15" customHeight="1" x14ac:dyDescent="0.25">
      <c r="A783" s="5">
        <v>37864</v>
      </c>
      <c r="B783" s="5">
        <f t="shared" si="318"/>
        <v>37864</v>
      </c>
      <c r="C783">
        <v>1008.01</v>
      </c>
      <c r="D783" s="29">
        <f t="shared" si="319"/>
        <v>2.3E-2</v>
      </c>
      <c r="E783" s="39">
        <f t="shared" si="320"/>
        <v>990.27692307692314</v>
      </c>
      <c r="F783" s="39">
        <f t="shared" si="321"/>
        <v>921.05128205128221</v>
      </c>
      <c r="G783" s="29">
        <f t="shared" si="327"/>
        <v>1.7899999999999999E-2</v>
      </c>
      <c r="H783" s="29">
        <f t="shared" si="327"/>
        <v>9.4399999999999998E-2</v>
      </c>
      <c r="I783">
        <f t="shared" si="322"/>
        <v>1008.01</v>
      </c>
      <c r="J783">
        <f>IF(A783&gt;=Quarterly!B$2,Quarterly!C$2,IF(COUNTIFS(Quarterly!B:B,"&gt;="&amp;A783-92,Quarterly!B:B,"&lt;="&amp;A783)&gt;1,SUMIFS(Quarterly!C:C,Quarterly!B:B,"&gt;="&amp;A783-88,Quarterly!B:B,"&lt;="&amp;A783),SUMIFS(Quarterly!C:C,Quarterly!B:B,"&gt;="&amp;A783-92,Quarterly!B:B,"&lt;="&amp;A783)))</f>
        <v>11370.7</v>
      </c>
      <c r="K783" s="13">
        <f t="shared" si="323"/>
        <v>8.8599999999999998E-2</v>
      </c>
      <c r="L783">
        <f t="shared" si="325"/>
        <v>1008.01</v>
      </c>
      <c r="M783">
        <f>IF(A783&gt;=Quarterly!B$2,Quarterly!D$2,IF(COUNTIFS(Quarterly!B:B,"&gt;="&amp;A783-92,Quarterly!B:B,"&lt;="&amp;A783)&gt;1,SUMIFS(Quarterly!D:D,Quarterly!B:B,"&gt;="&amp;A783-88,Quarterly!B:B,"&lt;="&amp;A783),SUMIFS(Quarterly!D:D,Quarterly!B:B,"&gt;="&amp;A783-92,Quarterly!B:B,"&lt;="&amp;A783)))</f>
        <v>692.00400000000002</v>
      </c>
      <c r="N783" s="13">
        <f t="shared" si="326"/>
        <v>0.14567000000000002</v>
      </c>
      <c r="O783">
        <f t="shared" si="328"/>
        <v>1008.01</v>
      </c>
      <c r="P783" s="56">
        <f>VLOOKUP(EOMONTH(A783,-1),Economic!A:I,7,FALSE)</f>
        <v>841159</v>
      </c>
      <c r="Q783" s="13">
        <f t="shared" si="329"/>
        <v>0.1198</v>
      </c>
      <c r="R783" s="41">
        <v>2.5</v>
      </c>
      <c r="S783">
        <f t="shared" si="330"/>
        <v>1.96</v>
      </c>
      <c r="T783" s="30">
        <f t="shared" si="331"/>
        <v>182.06</v>
      </c>
      <c r="U783" s="30">
        <f t="shared" si="324"/>
        <v>182.47</v>
      </c>
    </row>
    <row r="784" spans="1:21" ht="15" customHeight="1" x14ac:dyDescent="0.25">
      <c r="A784" s="5">
        <v>37857</v>
      </c>
      <c r="B784" s="5">
        <f t="shared" si="318"/>
        <v>37864</v>
      </c>
      <c r="C784">
        <v>993.06</v>
      </c>
      <c r="D784" s="29">
        <f t="shared" si="319"/>
        <v>6.4000000000000003E-3</v>
      </c>
      <c r="E784" s="39">
        <f t="shared" si="320"/>
        <v>986.86000000000013</v>
      </c>
      <c r="F784" s="39">
        <f t="shared" si="321"/>
        <v>919.21282051282083</v>
      </c>
      <c r="G784" s="29">
        <f t="shared" si="327"/>
        <v>6.3E-3</v>
      </c>
      <c r="H784" s="29">
        <f t="shared" si="327"/>
        <v>8.0299999999999996E-2</v>
      </c>
      <c r="I784">
        <f t="shared" si="322"/>
        <v>993.06</v>
      </c>
      <c r="J784">
        <f>IF(A784&gt;=Quarterly!B$2,Quarterly!C$2,IF(COUNTIFS(Quarterly!B:B,"&gt;="&amp;A784-92,Quarterly!B:B,"&lt;="&amp;A784)&gt;1,SUMIFS(Quarterly!C:C,Quarterly!B:B,"&gt;="&amp;A784-88,Quarterly!B:B,"&lt;="&amp;A784),SUMIFS(Quarterly!C:C,Quarterly!B:B,"&gt;="&amp;A784-92,Quarterly!B:B,"&lt;="&amp;A784)))</f>
        <v>11370.7</v>
      </c>
      <c r="K784" s="13">
        <f t="shared" si="323"/>
        <v>8.7300000000000003E-2</v>
      </c>
      <c r="L784">
        <f t="shared" si="325"/>
        <v>993.06</v>
      </c>
      <c r="M784">
        <f>IF(A784&gt;=Quarterly!B$2,Quarterly!D$2,IF(COUNTIFS(Quarterly!B:B,"&gt;="&amp;A784-92,Quarterly!B:B,"&lt;="&amp;A784)&gt;1,SUMIFS(Quarterly!D:D,Quarterly!B:B,"&gt;="&amp;A784-88,Quarterly!B:B,"&lt;="&amp;A784),SUMIFS(Quarterly!D:D,Quarterly!B:B,"&gt;="&amp;A784-92,Quarterly!B:B,"&lt;="&amp;A784)))</f>
        <v>692.00400000000002</v>
      </c>
      <c r="N784" s="13">
        <f t="shared" si="326"/>
        <v>0.14350000000000002</v>
      </c>
      <c r="O784">
        <f t="shared" si="328"/>
        <v>993.06</v>
      </c>
      <c r="P784" s="56">
        <f>VLOOKUP(EOMONTH(A784,-1),Economic!A:I,7,FALSE)</f>
        <v>841159</v>
      </c>
      <c r="Q784" s="13">
        <f t="shared" si="329"/>
        <v>0.1181</v>
      </c>
      <c r="R784" s="41">
        <v>2.5099999999999998</v>
      </c>
      <c r="S784">
        <f t="shared" si="330"/>
        <v>1.91</v>
      </c>
      <c r="T784" s="30">
        <f t="shared" si="331"/>
        <v>182.03</v>
      </c>
      <c r="U784" s="30">
        <f t="shared" si="324"/>
        <v>183.66</v>
      </c>
    </row>
    <row r="785" spans="1:21" ht="15" customHeight="1" x14ac:dyDescent="0.25">
      <c r="A785" s="5">
        <v>37850</v>
      </c>
      <c r="B785" s="5">
        <f t="shared" si="318"/>
        <v>37864</v>
      </c>
      <c r="C785">
        <v>990.67</v>
      </c>
      <c r="D785" s="29">
        <f t="shared" si="319"/>
        <v>3.3E-3</v>
      </c>
      <c r="E785" s="39">
        <f t="shared" si="320"/>
        <v>982.25692307692304</v>
      </c>
      <c r="F785" s="39">
        <f t="shared" si="321"/>
        <v>917.61</v>
      </c>
      <c r="G785" s="29">
        <f t="shared" si="327"/>
        <v>8.6E-3</v>
      </c>
      <c r="H785" s="29">
        <f t="shared" si="327"/>
        <v>7.9600000000000004E-2</v>
      </c>
      <c r="I785">
        <f t="shared" si="322"/>
        <v>990.67</v>
      </c>
      <c r="J785">
        <f>IF(A785&gt;=Quarterly!B$2,Quarterly!C$2,IF(COUNTIFS(Quarterly!B:B,"&gt;="&amp;A785-92,Quarterly!B:B,"&lt;="&amp;A785)&gt;1,SUMIFS(Quarterly!C:C,Quarterly!B:B,"&gt;="&amp;A785-88,Quarterly!B:B,"&lt;="&amp;A785),SUMIFS(Quarterly!C:C,Quarterly!B:B,"&gt;="&amp;A785-92,Quarterly!B:B,"&lt;="&amp;A785)))</f>
        <v>11370.7</v>
      </c>
      <c r="K785" s="13">
        <f t="shared" si="323"/>
        <v>8.7099999999999997E-2</v>
      </c>
      <c r="L785">
        <f t="shared" si="325"/>
        <v>990.67</v>
      </c>
      <c r="M785">
        <f>IF(A785&gt;=Quarterly!B$2,Quarterly!D$2,IF(COUNTIFS(Quarterly!B:B,"&gt;="&amp;A785-92,Quarterly!B:B,"&lt;="&amp;A785)&gt;1,SUMIFS(Quarterly!D:D,Quarterly!B:B,"&gt;="&amp;A785-88,Quarterly!B:B,"&lt;="&amp;A785),SUMIFS(Quarterly!D:D,Quarterly!B:B,"&gt;="&amp;A785-92,Quarterly!B:B,"&lt;="&amp;A785)))</f>
        <v>692.00400000000002</v>
      </c>
      <c r="N785" s="13">
        <f t="shared" si="326"/>
        <v>0.14316000000000001</v>
      </c>
      <c r="O785">
        <f t="shared" si="328"/>
        <v>990.67</v>
      </c>
      <c r="P785" s="56">
        <f>VLOOKUP(EOMONTH(A785,-1),Economic!A:I,7,FALSE)</f>
        <v>841159</v>
      </c>
      <c r="Q785" s="13">
        <f t="shared" si="329"/>
        <v>0.1178</v>
      </c>
      <c r="R785" s="41">
        <v>2.7</v>
      </c>
      <c r="S785">
        <f t="shared" si="330"/>
        <v>1.91</v>
      </c>
      <c r="T785" s="30">
        <f t="shared" si="331"/>
        <v>183.31</v>
      </c>
      <c r="U785" s="30">
        <f t="shared" si="324"/>
        <v>184.25</v>
      </c>
    </row>
    <row r="786" spans="1:21" ht="15" customHeight="1" x14ac:dyDescent="0.25">
      <c r="A786" s="5">
        <v>37843</v>
      </c>
      <c r="B786" s="5">
        <f t="shared" ref="B786:B849" si="332">EOMONTH(A786,0)</f>
        <v>37864</v>
      </c>
      <c r="C786">
        <v>977.59</v>
      </c>
      <c r="D786" s="29">
        <f t="shared" ref="D786:D849" si="333">ROUND((C786-AVERAGE(C787:C790))/AVERAGE(C787:C790),4)</f>
        <v>-1.5100000000000001E-2</v>
      </c>
      <c r="E786" s="39">
        <f t="shared" ref="E786:E849" si="334">AVERAGE(C786:C798)</f>
        <v>978.68999999999994</v>
      </c>
      <c r="F786" s="39">
        <f t="shared" ref="F786:F849" si="335">AVERAGE(C786:C824)</f>
        <v>915.5371794871794</v>
      </c>
      <c r="G786" s="29">
        <f t="shared" si="327"/>
        <v>-1.1000000000000001E-3</v>
      </c>
      <c r="H786" s="29">
        <f t="shared" si="327"/>
        <v>6.7799999999999999E-2</v>
      </c>
      <c r="I786">
        <f t="shared" ref="I786:I849" si="336">C786</f>
        <v>977.59</v>
      </c>
      <c r="J786">
        <f>IF(A786&gt;=Quarterly!B$2,Quarterly!C$2,IF(COUNTIFS(Quarterly!B:B,"&gt;="&amp;A786-92,Quarterly!B:B,"&lt;="&amp;A786)&gt;1,SUMIFS(Quarterly!C:C,Quarterly!B:B,"&gt;="&amp;A786-88,Quarterly!B:B,"&lt;="&amp;A786),SUMIFS(Quarterly!C:C,Quarterly!B:B,"&gt;="&amp;A786-92,Quarterly!B:B,"&lt;="&amp;A786)))</f>
        <v>11370.7</v>
      </c>
      <c r="K786" s="13">
        <f t="shared" ref="K786:K849" si="337">ROUND(I786/J786,4)</f>
        <v>8.5999999999999993E-2</v>
      </c>
      <c r="L786">
        <f t="shared" si="325"/>
        <v>977.59</v>
      </c>
      <c r="M786">
        <f>IF(A786&gt;=Quarterly!B$2,Quarterly!D$2,IF(COUNTIFS(Quarterly!B:B,"&gt;="&amp;A786-92,Quarterly!B:B,"&lt;="&amp;A786)&gt;1,SUMIFS(Quarterly!D:D,Quarterly!B:B,"&gt;="&amp;A786-88,Quarterly!B:B,"&lt;="&amp;A786),SUMIFS(Quarterly!D:D,Quarterly!B:B,"&gt;="&amp;A786-92,Quarterly!B:B,"&lt;="&amp;A786)))</f>
        <v>692.00400000000002</v>
      </c>
      <c r="N786" s="13">
        <f t="shared" si="326"/>
        <v>0.14127000000000001</v>
      </c>
      <c r="O786">
        <f t="shared" si="328"/>
        <v>977.59</v>
      </c>
      <c r="P786" s="56">
        <f>VLOOKUP(EOMONTH(A786,-1),Economic!A:I,7,FALSE)</f>
        <v>841159</v>
      </c>
      <c r="Q786" s="13">
        <f t="shared" si="329"/>
        <v>0.11620000000000001</v>
      </c>
      <c r="R786" s="41">
        <v>2.5499999999999998</v>
      </c>
      <c r="S786">
        <f t="shared" si="330"/>
        <v>1.94</v>
      </c>
      <c r="T786" s="30">
        <f t="shared" si="331"/>
        <v>185.65</v>
      </c>
      <c r="U786" s="30">
        <f t="shared" ref="U786:U849" si="338">ROUND(AVERAGE(T786:T788),2)</f>
        <v>183.78</v>
      </c>
    </row>
    <row r="787" spans="1:21" ht="15" customHeight="1" x14ac:dyDescent="0.25">
      <c r="A787" s="5">
        <v>37836</v>
      </c>
      <c r="B787" s="5">
        <f t="shared" si="332"/>
        <v>37864</v>
      </c>
      <c r="C787">
        <v>980.15</v>
      </c>
      <c r="D787" s="29">
        <f t="shared" si="333"/>
        <v>-1.3899999999999999E-2</v>
      </c>
      <c r="E787" s="39">
        <f t="shared" si="334"/>
        <v>975.29153846153827</v>
      </c>
      <c r="F787" s="39">
        <f t="shared" si="335"/>
        <v>913.41282051282053</v>
      </c>
      <c r="G787" s="29">
        <f t="shared" si="327"/>
        <v>5.0000000000000001E-3</v>
      </c>
      <c r="H787" s="29">
        <f t="shared" si="327"/>
        <v>7.3099999999999998E-2</v>
      </c>
      <c r="I787">
        <f t="shared" si="336"/>
        <v>980.15</v>
      </c>
      <c r="J787">
        <f>IF(A787&gt;=Quarterly!B$2,Quarterly!C$2,IF(COUNTIFS(Quarterly!B:B,"&gt;="&amp;A787-92,Quarterly!B:B,"&lt;="&amp;A787)&gt;1,SUMIFS(Quarterly!C:C,Quarterly!B:B,"&gt;="&amp;A787-88,Quarterly!B:B,"&lt;="&amp;A787),SUMIFS(Quarterly!C:C,Quarterly!B:B,"&gt;="&amp;A787-92,Quarterly!B:B,"&lt;="&amp;A787)))</f>
        <v>11370.7</v>
      </c>
      <c r="K787" s="13">
        <f t="shared" si="337"/>
        <v>8.6199999999999999E-2</v>
      </c>
      <c r="L787">
        <f t="shared" si="325"/>
        <v>980.15</v>
      </c>
      <c r="M787">
        <f>IF(A787&gt;=Quarterly!B$2,Quarterly!D$2,IF(COUNTIFS(Quarterly!B:B,"&gt;="&amp;A787-92,Quarterly!B:B,"&lt;="&amp;A787)&gt;1,SUMIFS(Quarterly!D:D,Quarterly!B:B,"&gt;="&amp;A787-88,Quarterly!B:B,"&lt;="&amp;A787),SUMIFS(Quarterly!D:D,Quarterly!B:B,"&gt;="&amp;A787-92,Quarterly!B:B,"&lt;="&amp;A787)))</f>
        <v>692.00400000000002</v>
      </c>
      <c r="N787" s="13">
        <f t="shared" si="326"/>
        <v>0.14164000000000002</v>
      </c>
      <c r="O787">
        <f t="shared" si="328"/>
        <v>980.15</v>
      </c>
      <c r="P787" s="56">
        <f>VLOOKUP(EOMONTH(A787,-1),Economic!A:I,7,FALSE)</f>
        <v>841159</v>
      </c>
      <c r="Q787" s="13">
        <f t="shared" si="329"/>
        <v>0.11650000000000001</v>
      </c>
      <c r="R787" s="41">
        <v>2.59</v>
      </c>
      <c r="S787">
        <f t="shared" si="330"/>
        <v>1.86</v>
      </c>
      <c r="T787" s="30">
        <f t="shared" si="331"/>
        <v>183.79</v>
      </c>
      <c r="U787" s="30">
        <f t="shared" si="338"/>
        <v>183.04</v>
      </c>
    </row>
    <row r="788" spans="1:21" ht="15" customHeight="1" x14ac:dyDescent="0.25">
      <c r="A788" s="5">
        <v>37829</v>
      </c>
      <c r="B788" s="5">
        <f t="shared" si="332"/>
        <v>37833</v>
      </c>
      <c r="C788">
        <v>998.68</v>
      </c>
      <c r="D788" s="29">
        <f t="shared" si="333"/>
        <v>1.0500000000000001E-2</v>
      </c>
      <c r="E788" s="39">
        <f t="shared" si="334"/>
        <v>971.43999999999983</v>
      </c>
      <c r="F788" s="39">
        <f t="shared" si="335"/>
        <v>911.38230769230756</v>
      </c>
      <c r="G788" s="29">
        <f t="shared" si="327"/>
        <v>2.8000000000000001E-2</v>
      </c>
      <c r="H788" s="29">
        <f t="shared" si="327"/>
        <v>9.5799999999999996E-2</v>
      </c>
      <c r="I788">
        <f t="shared" si="336"/>
        <v>998.68</v>
      </c>
      <c r="J788">
        <f>IF(A788&gt;=Quarterly!B$2,Quarterly!C$2,IF(COUNTIFS(Quarterly!B:B,"&gt;="&amp;A788-92,Quarterly!B:B,"&lt;="&amp;A788)&gt;1,SUMIFS(Quarterly!C:C,Quarterly!B:B,"&gt;="&amp;A788-88,Quarterly!B:B,"&lt;="&amp;A788),SUMIFS(Quarterly!C:C,Quarterly!B:B,"&gt;="&amp;A788-92,Quarterly!B:B,"&lt;="&amp;A788)))</f>
        <v>11230.1</v>
      </c>
      <c r="K788" s="13">
        <f t="shared" si="337"/>
        <v>8.8900000000000007E-2</v>
      </c>
      <c r="L788">
        <f t="shared" si="325"/>
        <v>998.68</v>
      </c>
      <c r="M788">
        <f>IF(A788&gt;=Quarterly!B$2,Quarterly!D$2,IF(COUNTIFS(Quarterly!B:B,"&gt;="&amp;A788-92,Quarterly!B:B,"&lt;="&amp;A788)&gt;1,SUMIFS(Quarterly!D:D,Quarterly!B:B,"&gt;="&amp;A788-88,Quarterly!B:B,"&lt;="&amp;A788),SUMIFS(Quarterly!D:D,Quarterly!B:B,"&gt;="&amp;A788-92,Quarterly!B:B,"&lt;="&amp;A788)))</f>
        <v>689.94899999999996</v>
      </c>
      <c r="N788" s="13">
        <f t="shared" si="326"/>
        <v>0.14475000000000002</v>
      </c>
      <c r="O788">
        <f t="shared" si="328"/>
        <v>998.68</v>
      </c>
      <c r="P788" s="56">
        <f>VLOOKUP(EOMONTH(A788,-1),Economic!A:I,7,FALSE)</f>
        <v>842587</v>
      </c>
      <c r="Q788" s="13">
        <f t="shared" si="329"/>
        <v>0.11850000000000001</v>
      </c>
      <c r="R788" s="41">
        <v>2.7</v>
      </c>
      <c r="S788">
        <f t="shared" si="330"/>
        <v>1.88</v>
      </c>
      <c r="T788" s="30">
        <f t="shared" si="331"/>
        <v>181.9</v>
      </c>
      <c r="U788" s="30">
        <f t="shared" si="338"/>
        <v>184.6</v>
      </c>
    </row>
    <row r="789" spans="1:21" ht="15" customHeight="1" x14ac:dyDescent="0.25">
      <c r="A789" s="5">
        <v>37822</v>
      </c>
      <c r="B789" s="5">
        <f t="shared" si="332"/>
        <v>37833</v>
      </c>
      <c r="C789">
        <v>993.32</v>
      </c>
      <c r="D789" s="29">
        <f t="shared" si="333"/>
        <v>4.4000000000000003E-3</v>
      </c>
      <c r="E789" s="39">
        <f t="shared" si="334"/>
        <v>963.7576923076922</v>
      </c>
      <c r="F789" s="39">
        <f t="shared" si="335"/>
        <v>908.79179487179476</v>
      </c>
      <c r="G789" s="29">
        <f t="shared" si="327"/>
        <v>3.0700000000000002E-2</v>
      </c>
      <c r="H789" s="29">
        <f t="shared" si="327"/>
        <v>9.2999999999999999E-2</v>
      </c>
      <c r="I789">
        <f t="shared" si="336"/>
        <v>993.32</v>
      </c>
      <c r="J789">
        <f>IF(A789&gt;=Quarterly!B$2,Quarterly!C$2,IF(COUNTIFS(Quarterly!B:B,"&gt;="&amp;A789-92,Quarterly!B:B,"&lt;="&amp;A789)&gt;1,SUMIFS(Quarterly!C:C,Quarterly!B:B,"&gt;="&amp;A789-88,Quarterly!B:B,"&lt;="&amp;A789),SUMIFS(Quarterly!C:C,Quarterly!B:B,"&gt;="&amp;A789-92,Quarterly!B:B,"&lt;="&amp;A789)))</f>
        <v>11230.1</v>
      </c>
      <c r="K789" s="13">
        <f t="shared" si="337"/>
        <v>8.8499999999999995E-2</v>
      </c>
      <c r="L789">
        <f t="shared" si="325"/>
        <v>993.32</v>
      </c>
      <c r="M789">
        <f>IF(A789&gt;=Quarterly!B$2,Quarterly!D$2,IF(COUNTIFS(Quarterly!B:B,"&gt;="&amp;A789-92,Quarterly!B:B,"&lt;="&amp;A789)&gt;1,SUMIFS(Quarterly!D:D,Quarterly!B:B,"&gt;="&amp;A789-88,Quarterly!B:B,"&lt;="&amp;A789),SUMIFS(Quarterly!D:D,Quarterly!B:B,"&gt;="&amp;A789-92,Quarterly!B:B,"&lt;="&amp;A789)))</f>
        <v>689.94899999999996</v>
      </c>
      <c r="N789" s="13">
        <f t="shared" si="326"/>
        <v>0.14397000000000001</v>
      </c>
      <c r="O789">
        <f t="shared" si="328"/>
        <v>993.32</v>
      </c>
      <c r="P789" s="56">
        <f>VLOOKUP(EOMONTH(A789,-1),Economic!A:I,7,FALSE)</f>
        <v>842587</v>
      </c>
      <c r="Q789" s="13">
        <f t="shared" si="329"/>
        <v>0.11789999999999999</v>
      </c>
      <c r="R789" s="41">
        <v>2.4900000000000002</v>
      </c>
      <c r="S789">
        <f t="shared" si="330"/>
        <v>1.86</v>
      </c>
      <c r="T789" s="30">
        <f t="shared" si="331"/>
        <v>183.42</v>
      </c>
      <c r="U789" s="30">
        <f t="shared" si="338"/>
        <v>187.34</v>
      </c>
    </row>
    <row r="790" spans="1:21" ht="15" customHeight="1" x14ac:dyDescent="0.25">
      <c r="A790" s="5">
        <v>37815</v>
      </c>
      <c r="B790" s="5">
        <f t="shared" si="332"/>
        <v>37833</v>
      </c>
      <c r="C790">
        <v>998.14</v>
      </c>
      <c r="D790" s="29">
        <f t="shared" si="333"/>
        <v>1.17E-2</v>
      </c>
      <c r="E790" s="39">
        <f t="shared" si="334"/>
        <v>956.08538461538467</v>
      </c>
      <c r="F790" s="39">
        <f t="shared" si="335"/>
        <v>905.99871794871808</v>
      </c>
      <c r="G790" s="29">
        <f t="shared" si="327"/>
        <v>4.3999999999999997E-2</v>
      </c>
      <c r="H790" s="29">
        <f t="shared" si="327"/>
        <v>0.1017</v>
      </c>
      <c r="I790">
        <f t="shared" si="336"/>
        <v>998.14</v>
      </c>
      <c r="J790">
        <f>IF(A790&gt;=Quarterly!B$2,Quarterly!C$2,IF(COUNTIFS(Quarterly!B:B,"&gt;="&amp;A790-92,Quarterly!B:B,"&lt;="&amp;A790)&gt;1,SUMIFS(Quarterly!C:C,Quarterly!B:B,"&gt;="&amp;A790-88,Quarterly!B:B,"&lt;="&amp;A790),SUMIFS(Quarterly!C:C,Quarterly!B:B,"&gt;="&amp;A790-92,Quarterly!B:B,"&lt;="&amp;A790)))</f>
        <v>11230.1</v>
      </c>
      <c r="K790" s="13">
        <f t="shared" si="337"/>
        <v>8.8900000000000007E-2</v>
      </c>
      <c r="L790">
        <f t="shared" si="325"/>
        <v>998.14</v>
      </c>
      <c r="M790">
        <f>IF(A790&gt;=Quarterly!B$2,Quarterly!D$2,IF(COUNTIFS(Quarterly!B:B,"&gt;="&amp;A790-92,Quarterly!B:B,"&lt;="&amp;A790)&gt;1,SUMIFS(Quarterly!D:D,Quarterly!B:B,"&gt;="&amp;A790-88,Quarterly!B:B,"&lt;="&amp;A790),SUMIFS(Quarterly!D:D,Quarterly!B:B,"&gt;="&amp;A790-92,Quarterly!B:B,"&lt;="&amp;A790)))</f>
        <v>689.94899999999996</v>
      </c>
      <c r="N790" s="13">
        <f t="shared" si="326"/>
        <v>0.14467000000000002</v>
      </c>
      <c r="O790">
        <f t="shared" si="328"/>
        <v>998.14</v>
      </c>
      <c r="P790" s="56">
        <f>VLOOKUP(EOMONTH(A790,-1),Economic!A:I,7,FALSE)</f>
        <v>842587</v>
      </c>
      <c r="Q790" s="13">
        <f t="shared" si="329"/>
        <v>0.11850000000000001</v>
      </c>
      <c r="R790" s="41">
        <v>2.37</v>
      </c>
      <c r="S790">
        <f t="shared" si="330"/>
        <v>1.96</v>
      </c>
      <c r="T790" s="30">
        <f t="shared" si="331"/>
        <v>188.49</v>
      </c>
      <c r="U790" s="30">
        <f t="shared" si="338"/>
        <v>189.92</v>
      </c>
    </row>
    <row r="791" spans="1:21" ht="15" customHeight="1" x14ac:dyDescent="0.25">
      <c r="A791" s="5">
        <v>37808</v>
      </c>
      <c r="B791" s="5">
        <f t="shared" si="332"/>
        <v>37833</v>
      </c>
      <c r="C791">
        <v>985.7</v>
      </c>
      <c r="D791" s="29">
        <f t="shared" si="333"/>
        <v>-1.4E-3</v>
      </c>
      <c r="E791" s="39">
        <f t="shared" si="334"/>
        <v>946.09769230769234</v>
      </c>
      <c r="F791" s="39">
        <f t="shared" si="335"/>
        <v>901.82384615384603</v>
      </c>
      <c r="G791" s="29">
        <f t="shared" si="327"/>
        <v>4.19E-2</v>
      </c>
      <c r="H791" s="29">
        <f t="shared" si="327"/>
        <v>9.2999999999999999E-2</v>
      </c>
      <c r="I791">
        <f t="shared" si="336"/>
        <v>985.7</v>
      </c>
      <c r="J791">
        <f>IF(A791&gt;=Quarterly!B$2,Quarterly!C$2,IF(COUNTIFS(Quarterly!B:B,"&gt;="&amp;A791-92,Quarterly!B:B,"&lt;="&amp;A791)&gt;1,SUMIFS(Quarterly!C:C,Quarterly!B:B,"&gt;="&amp;A791-88,Quarterly!B:B,"&lt;="&amp;A791),SUMIFS(Quarterly!C:C,Quarterly!B:B,"&gt;="&amp;A791-92,Quarterly!B:B,"&lt;="&amp;A791)))</f>
        <v>11230.1</v>
      </c>
      <c r="K791" s="13">
        <f t="shared" si="337"/>
        <v>8.7800000000000003E-2</v>
      </c>
      <c r="L791">
        <f t="shared" ref="L791:L854" si="339">C791</f>
        <v>985.7</v>
      </c>
      <c r="M791">
        <f>IF(A791&gt;=Quarterly!B$2,Quarterly!D$2,IF(COUNTIFS(Quarterly!B:B,"&gt;="&amp;A791-92,Quarterly!B:B,"&lt;="&amp;A791)&gt;1,SUMIFS(Quarterly!D:D,Quarterly!B:B,"&gt;="&amp;A791-88,Quarterly!B:B,"&lt;="&amp;A791),SUMIFS(Quarterly!D:D,Quarterly!B:B,"&gt;="&amp;A791-92,Quarterly!B:B,"&lt;="&amp;A791)))</f>
        <v>689.94899999999996</v>
      </c>
      <c r="N791" s="13">
        <f t="shared" ref="N791:N854" si="340">ROUND(L791/M791,4)*0.1</f>
        <v>0.14287000000000002</v>
      </c>
      <c r="O791">
        <f t="shared" si="328"/>
        <v>985.7</v>
      </c>
      <c r="P791" s="56">
        <f>VLOOKUP(EOMONTH(A791,-1),Economic!A:I,7,FALSE)</f>
        <v>842587</v>
      </c>
      <c r="Q791" s="13">
        <f t="shared" si="329"/>
        <v>0.11700000000000001</v>
      </c>
      <c r="R791" s="41">
        <v>2.35</v>
      </c>
      <c r="S791">
        <f t="shared" si="330"/>
        <v>1.91</v>
      </c>
      <c r="T791" s="30">
        <f t="shared" si="331"/>
        <v>190.12</v>
      </c>
      <c r="U791" s="30">
        <f t="shared" si="338"/>
        <v>191.17</v>
      </c>
    </row>
    <row r="792" spans="1:21" ht="15" customHeight="1" x14ac:dyDescent="0.25">
      <c r="A792" s="5">
        <v>37801</v>
      </c>
      <c r="B792" s="5">
        <f t="shared" si="332"/>
        <v>37802</v>
      </c>
      <c r="C792">
        <v>976.22</v>
      </c>
      <c r="D792" s="29">
        <f t="shared" si="333"/>
        <v>-7.7999999999999996E-3</v>
      </c>
      <c r="E792" s="39">
        <f t="shared" si="334"/>
        <v>937.87846153846158</v>
      </c>
      <c r="F792" s="39">
        <f t="shared" si="335"/>
        <v>897.07717948717959</v>
      </c>
      <c r="G792" s="29">
        <f t="shared" si="327"/>
        <v>4.0899999999999999E-2</v>
      </c>
      <c r="H792" s="29">
        <f t="shared" si="327"/>
        <v>8.8200000000000001E-2</v>
      </c>
      <c r="I792">
        <f t="shared" si="336"/>
        <v>976.22</v>
      </c>
      <c r="J792">
        <f>IF(A792&gt;=Quarterly!B$2,Quarterly!C$2,IF(COUNTIFS(Quarterly!B:B,"&gt;="&amp;A792-92,Quarterly!B:B,"&lt;="&amp;A792)&gt;1,SUMIFS(Quarterly!C:C,Quarterly!B:B,"&gt;="&amp;A792-88,Quarterly!B:B,"&lt;="&amp;A792),SUMIFS(Quarterly!C:C,Quarterly!B:B,"&gt;="&amp;A792-92,Quarterly!B:B,"&lt;="&amp;A792)))</f>
        <v>11230.1</v>
      </c>
      <c r="K792" s="13">
        <f t="shared" si="337"/>
        <v>8.6900000000000005E-2</v>
      </c>
      <c r="L792">
        <f t="shared" si="339"/>
        <v>976.22</v>
      </c>
      <c r="M792">
        <f>IF(A792&gt;=Quarterly!B$2,Quarterly!D$2,IF(COUNTIFS(Quarterly!B:B,"&gt;="&amp;A792-92,Quarterly!B:B,"&lt;="&amp;A792)&gt;1,SUMIFS(Quarterly!D:D,Quarterly!B:B,"&gt;="&amp;A792-88,Quarterly!B:B,"&lt;="&amp;A792),SUMIFS(Quarterly!D:D,Quarterly!B:B,"&gt;="&amp;A792-92,Quarterly!B:B,"&lt;="&amp;A792)))</f>
        <v>689.94899999999996</v>
      </c>
      <c r="N792" s="13">
        <f t="shared" si="340"/>
        <v>0.14149</v>
      </c>
      <c r="O792">
        <f t="shared" si="328"/>
        <v>976.22</v>
      </c>
      <c r="P792" s="56">
        <f>VLOOKUP(EOMONTH(A792,-1),Economic!A:I,7,FALSE)</f>
        <v>844359</v>
      </c>
      <c r="Q792" s="13">
        <f t="shared" si="329"/>
        <v>0.11559999999999999</v>
      </c>
      <c r="R792" s="41">
        <v>2.2000000000000002</v>
      </c>
      <c r="S792">
        <f t="shared" si="330"/>
        <v>1.86</v>
      </c>
      <c r="T792" s="30">
        <f t="shared" si="331"/>
        <v>191.16</v>
      </c>
      <c r="U792" s="30">
        <f t="shared" si="338"/>
        <v>191.87</v>
      </c>
    </row>
    <row r="793" spans="1:21" ht="15" customHeight="1" x14ac:dyDescent="0.25">
      <c r="A793" s="5">
        <v>37794</v>
      </c>
      <c r="B793" s="5">
        <f t="shared" si="332"/>
        <v>37802</v>
      </c>
      <c r="C793">
        <v>995.69</v>
      </c>
      <c r="D793" s="29">
        <f t="shared" si="333"/>
        <v>2.8299999999999999E-2</v>
      </c>
      <c r="E793" s="39">
        <f t="shared" si="334"/>
        <v>929.20769230769235</v>
      </c>
      <c r="F793" s="39">
        <f t="shared" si="335"/>
        <v>893.2605128205131</v>
      </c>
      <c r="G793" s="29">
        <f t="shared" si="327"/>
        <v>7.1499999999999994E-2</v>
      </c>
      <c r="H793" s="29">
        <f t="shared" si="327"/>
        <v>0.1147</v>
      </c>
      <c r="I793">
        <f t="shared" si="336"/>
        <v>995.69</v>
      </c>
      <c r="J793">
        <f>IF(A793&gt;=Quarterly!B$2,Quarterly!C$2,IF(COUNTIFS(Quarterly!B:B,"&gt;="&amp;A793-92,Quarterly!B:B,"&lt;="&amp;A793)&gt;1,SUMIFS(Quarterly!C:C,Quarterly!B:B,"&gt;="&amp;A793-88,Quarterly!B:B,"&lt;="&amp;A793),SUMIFS(Quarterly!C:C,Quarterly!B:B,"&gt;="&amp;A793-92,Quarterly!B:B,"&lt;="&amp;A793)))</f>
        <v>11230.1</v>
      </c>
      <c r="K793" s="13">
        <f t="shared" si="337"/>
        <v>8.8700000000000001E-2</v>
      </c>
      <c r="L793">
        <f t="shared" si="339"/>
        <v>995.69</v>
      </c>
      <c r="M793">
        <f>IF(A793&gt;=Quarterly!B$2,Quarterly!D$2,IF(COUNTIFS(Quarterly!B:B,"&gt;="&amp;A793-92,Quarterly!B:B,"&lt;="&amp;A793)&gt;1,SUMIFS(Quarterly!D:D,Quarterly!B:B,"&gt;="&amp;A793-88,Quarterly!B:B,"&lt;="&amp;A793),SUMIFS(Quarterly!D:D,Quarterly!B:B,"&gt;="&amp;A793-92,Quarterly!B:B,"&lt;="&amp;A793)))</f>
        <v>689.94899999999996</v>
      </c>
      <c r="N793" s="13">
        <f t="shared" si="340"/>
        <v>0.14431000000000002</v>
      </c>
      <c r="O793">
        <f t="shared" si="328"/>
        <v>995.69</v>
      </c>
      <c r="P793" s="56">
        <f>VLOOKUP(EOMONTH(A793,-1),Economic!A:I,7,FALSE)</f>
        <v>844359</v>
      </c>
      <c r="Q793" s="13">
        <f t="shared" si="329"/>
        <v>0.11789999999999999</v>
      </c>
      <c r="R793" s="41">
        <v>2.1800000000000002</v>
      </c>
      <c r="S793">
        <f t="shared" si="330"/>
        <v>1.85</v>
      </c>
      <c r="T793" s="30">
        <f t="shared" si="331"/>
        <v>192.23</v>
      </c>
      <c r="U793" s="30">
        <f t="shared" si="338"/>
        <v>192.99</v>
      </c>
    </row>
    <row r="794" spans="1:21" ht="15" customHeight="1" x14ac:dyDescent="0.25">
      <c r="A794" s="5">
        <v>37787</v>
      </c>
      <c r="B794" s="5">
        <f t="shared" si="332"/>
        <v>37802</v>
      </c>
      <c r="C794">
        <v>988.61</v>
      </c>
      <c r="D794" s="29">
        <f t="shared" si="333"/>
        <v>3.2800000000000003E-2</v>
      </c>
      <c r="E794" s="39">
        <f t="shared" si="334"/>
        <v>921.52307692307681</v>
      </c>
      <c r="F794" s="39">
        <f t="shared" si="335"/>
        <v>889.40666666666664</v>
      </c>
      <c r="G794" s="29">
        <f t="shared" si="327"/>
        <v>7.2800000000000004E-2</v>
      </c>
      <c r="H794" s="29">
        <f t="shared" si="327"/>
        <v>0.1115</v>
      </c>
      <c r="I794">
        <f t="shared" si="336"/>
        <v>988.61</v>
      </c>
      <c r="J794">
        <f>IF(A794&gt;=Quarterly!B$2,Quarterly!C$2,IF(COUNTIFS(Quarterly!B:B,"&gt;="&amp;A794-92,Quarterly!B:B,"&lt;="&amp;A794)&gt;1,SUMIFS(Quarterly!C:C,Quarterly!B:B,"&gt;="&amp;A794-88,Quarterly!B:B,"&lt;="&amp;A794),SUMIFS(Quarterly!C:C,Quarterly!B:B,"&gt;="&amp;A794-92,Quarterly!B:B,"&lt;="&amp;A794)))</f>
        <v>11230.1</v>
      </c>
      <c r="K794" s="13">
        <f t="shared" si="337"/>
        <v>8.7999999999999995E-2</v>
      </c>
      <c r="L794">
        <f t="shared" si="339"/>
        <v>988.61</v>
      </c>
      <c r="M794">
        <f>IF(A794&gt;=Quarterly!B$2,Quarterly!D$2,IF(COUNTIFS(Quarterly!B:B,"&gt;="&amp;A794-92,Quarterly!B:B,"&lt;="&amp;A794)&gt;1,SUMIFS(Quarterly!D:D,Quarterly!B:B,"&gt;="&amp;A794-88,Quarterly!B:B,"&lt;="&amp;A794),SUMIFS(Quarterly!D:D,Quarterly!B:B,"&gt;="&amp;A794-92,Quarterly!B:B,"&lt;="&amp;A794)))</f>
        <v>689.94899999999996</v>
      </c>
      <c r="N794" s="13">
        <f t="shared" si="340"/>
        <v>0.14329</v>
      </c>
      <c r="O794">
        <f t="shared" si="328"/>
        <v>988.61</v>
      </c>
      <c r="P794" s="56">
        <f>VLOOKUP(EOMONTH(A794,-1),Economic!A:I,7,FALSE)</f>
        <v>844359</v>
      </c>
      <c r="Q794" s="13">
        <f t="shared" si="329"/>
        <v>0.1171</v>
      </c>
      <c r="R794" s="41">
        <v>2.0299999999999998</v>
      </c>
      <c r="S794">
        <f t="shared" si="330"/>
        <v>1.77</v>
      </c>
      <c r="T794" s="30">
        <f t="shared" si="331"/>
        <v>192.23</v>
      </c>
      <c r="U794" s="30">
        <f t="shared" si="338"/>
        <v>195</v>
      </c>
    </row>
    <row r="795" spans="1:21" ht="15" customHeight="1" x14ac:dyDescent="0.25">
      <c r="A795" s="5">
        <v>37780</v>
      </c>
      <c r="B795" s="5">
        <f t="shared" si="332"/>
        <v>37802</v>
      </c>
      <c r="C795">
        <v>987.76</v>
      </c>
      <c r="D795" s="29">
        <f t="shared" si="333"/>
        <v>4.6800000000000001E-2</v>
      </c>
      <c r="E795" s="39">
        <f t="shared" si="334"/>
        <v>909.57384615384603</v>
      </c>
      <c r="F795" s="39">
        <f t="shared" si="335"/>
        <v>886.87333333333322</v>
      </c>
      <c r="G795" s="29">
        <f t="shared" si="327"/>
        <v>8.5999999999999993E-2</v>
      </c>
      <c r="H795" s="29">
        <f t="shared" si="327"/>
        <v>0.1138</v>
      </c>
      <c r="I795">
        <f t="shared" si="336"/>
        <v>987.76</v>
      </c>
      <c r="J795">
        <f>IF(A795&gt;=Quarterly!B$2,Quarterly!C$2,IF(COUNTIFS(Quarterly!B:B,"&gt;="&amp;A795-92,Quarterly!B:B,"&lt;="&amp;A795)&gt;1,SUMIFS(Quarterly!C:C,Quarterly!B:B,"&gt;="&amp;A795-88,Quarterly!B:B,"&lt;="&amp;A795),SUMIFS(Quarterly!C:C,Quarterly!B:B,"&gt;="&amp;A795-92,Quarterly!B:B,"&lt;="&amp;A795)))</f>
        <v>11230.1</v>
      </c>
      <c r="K795" s="13">
        <f t="shared" si="337"/>
        <v>8.7999999999999995E-2</v>
      </c>
      <c r="L795">
        <f t="shared" si="339"/>
        <v>987.76</v>
      </c>
      <c r="M795">
        <f>IF(A795&gt;=Quarterly!B$2,Quarterly!D$2,IF(COUNTIFS(Quarterly!B:B,"&gt;="&amp;A795-92,Quarterly!B:B,"&lt;="&amp;A795)&gt;1,SUMIFS(Quarterly!D:D,Quarterly!B:B,"&gt;="&amp;A795-88,Quarterly!B:B,"&lt;="&amp;A795),SUMIFS(Quarterly!D:D,Quarterly!B:B,"&gt;="&amp;A795-92,Quarterly!B:B,"&lt;="&amp;A795)))</f>
        <v>689.94899999999996</v>
      </c>
      <c r="N795" s="13">
        <f t="shared" si="340"/>
        <v>0.14316000000000001</v>
      </c>
      <c r="O795">
        <f t="shared" si="328"/>
        <v>987.76</v>
      </c>
      <c r="P795" s="56">
        <f>VLOOKUP(EOMONTH(A795,-1),Economic!A:I,7,FALSE)</f>
        <v>844359</v>
      </c>
      <c r="Q795" s="13">
        <f t="shared" si="329"/>
        <v>0.11700000000000001</v>
      </c>
      <c r="R795" s="41">
        <v>2.1</v>
      </c>
      <c r="S795">
        <f t="shared" si="330"/>
        <v>1.73</v>
      </c>
      <c r="T795" s="30">
        <f t="shared" si="331"/>
        <v>194.5</v>
      </c>
      <c r="U795" s="30">
        <f t="shared" si="338"/>
        <v>197.55</v>
      </c>
    </row>
    <row r="796" spans="1:21" ht="15" customHeight="1" x14ac:dyDescent="0.25">
      <c r="A796" s="5">
        <v>37773</v>
      </c>
      <c r="B796" s="5">
        <f t="shared" si="332"/>
        <v>37802</v>
      </c>
      <c r="C796">
        <v>963.59</v>
      </c>
      <c r="D796" s="29">
        <f t="shared" si="333"/>
        <v>3.0300000000000001E-2</v>
      </c>
      <c r="E796" s="39">
        <f t="shared" si="334"/>
        <v>897.35307692307697</v>
      </c>
      <c r="F796" s="39">
        <f t="shared" si="335"/>
        <v>884.46717948717946</v>
      </c>
      <c r="G796" s="29">
        <f t="shared" si="327"/>
        <v>7.3800000000000004E-2</v>
      </c>
      <c r="H796" s="29">
        <f t="shared" si="327"/>
        <v>8.9499999999999996E-2</v>
      </c>
      <c r="I796">
        <f t="shared" si="336"/>
        <v>963.59</v>
      </c>
      <c r="J796">
        <f>IF(A796&gt;=Quarterly!B$2,Quarterly!C$2,IF(COUNTIFS(Quarterly!B:B,"&gt;="&amp;A796-92,Quarterly!B:B,"&lt;="&amp;A796)&gt;1,SUMIFS(Quarterly!C:C,Quarterly!B:B,"&gt;="&amp;A796-88,Quarterly!B:B,"&lt;="&amp;A796),SUMIFS(Quarterly!C:C,Quarterly!B:B,"&gt;="&amp;A796-92,Quarterly!B:B,"&lt;="&amp;A796)))</f>
        <v>11230.1</v>
      </c>
      <c r="K796" s="13">
        <f t="shared" si="337"/>
        <v>8.5800000000000001E-2</v>
      </c>
      <c r="L796">
        <f t="shared" si="339"/>
        <v>963.59</v>
      </c>
      <c r="M796">
        <f>IF(A796&gt;=Quarterly!B$2,Quarterly!D$2,IF(COUNTIFS(Quarterly!B:B,"&gt;="&amp;A796-92,Quarterly!B:B,"&lt;="&amp;A796)&gt;1,SUMIFS(Quarterly!D:D,Quarterly!B:B,"&gt;="&amp;A796-88,Quarterly!B:B,"&lt;="&amp;A796),SUMIFS(Quarterly!D:D,Quarterly!B:B,"&gt;="&amp;A796-92,Quarterly!B:B,"&lt;="&amp;A796)))</f>
        <v>689.94899999999996</v>
      </c>
      <c r="N796" s="13">
        <f t="shared" si="340"/>
        <v>0.13966000000000001</v>
      </c>
      <c r="O796">
        <f t="shared" si="328"/>
        <v>963.59</v>
      </c>
      <c r="P796" s="56">
        <f>VLOOKUP(EOMONTH(A796,-1),Economic!A:I,7,FALSE)</f>
        <v>844359</v>
      </c>
      <c r="Q796" s="13">
        <f t="shared" si="329"/>
        <v>0.11410000000000001</v>
      </c>
      <c r="R796" s="41">
        <v>2.04</v>
      </c>
      <c r="S796">
        <f t="shared" si="330"/>
        <v>1.7</v>
      </c>
      <c r="T796" s="30">
        <f t="shared" si="331"/>
        <v>198.28</v>
      </c>
      <c r="U796" s="30">
        <f t="shared" si="338"/>
        <v>200.92</v>
      </c>
    </row>
    <row r="797" spans="1:21" ht="15" customHeight="1" x14ac:dyDescent="0.25">
      <c r="A797" s="5">
        <v>37766</v>
      </c>
      <c r="B797" s="5">
        <f t="shared" si="332"/>
        <v>37772</v>
      </c>
      <c r="C797">
        <v>933.22</v>
      </c>
      <c r="D797" s="29">
        <f t="shared" si="333"/>
        <v>7.1000000000000004E-3</v>
      </c>
      <c r="E797" s="39">
        <f t="shared" si="334"/>
        <v>887.93461538461531</v>
      </c>
      <c r="F797" s="39">
        <f t="shared" si="335"/>
        <v>883.24871794871808</v>
      </c>
      <c r="G797" s="29">
        <f t="shared" si="327"/>
        <v>5.0999999999999997E-2</v>
      </c>
      <c r="H797" s="29">
        <f t="shared" si="327"/>
        <v>5.6599999999999998E-2</v>
      </c>
      <c r="I797">
        <f t="shared" si="336"/>
        <v>933.22</v>
      </c>
      <c r="J797">
        <f>IF(A797&gt;=Quarterly!B$2,Quarterly!C$2,IF(COUNTIFS(Quarterly!B:B,"&gt;="&amp;A797-92,Quarterly!B:B,"&lt;="&amp;A797)&gt;1,SUMIFS(Quarterly!C:C,Quarterly!B:B,"&gt;="&amp;A797-88,Quarterly!B:B,"&lt;="&amp;A797),SUMIFS(Quarterly!C:C,Quarterly!B:B,"&gt;="&amp;A797-92,Quarterly!B:B,"&lt;="&amp;A797)))</f>
        <v>11230.1</v>
      </c>
      <c r="K797" s="13">
        <f t="shared" si="337"/>
        <v>8.3099999999999993E-2</v>
      </c>
      <c r="L797">
        <f t="shared" si="339"/>
        <v>933.22</v>
      </c>
      <c r="M797">
        <f>IF(A797&gt;=Quarterly!B$2,Quarterly!D$2,IF(COUNTIFS(Quarterly!B:B,"&gt;="&amp;A797-92,Quarterly!B:B,"&lt;="&amp;A797)&gt;1,SUMIFS(Quarterly!D:D,Quarterly!B:B,"&gt;="&amp;A797-88,Quarterly!B:B,"&lt;="&amp;A797),SUMIFS(Quarterly!D:D,Quarterly!B:B,"&gt;="&amp;A797-92,Quarterly!B:B,"&lt;="&amp;A797)))</f>
        <v>689.94899999999996</v>
      </c>
      <c r="N797" s="13">
        <f t="shared" si="340"/>
        <v>0.13526000000000002</v>
      </c>
      <c r="O797">
        <f t="shared" si="328"/>
        <v>933.22</v>
      </c>
      <c r="P797" s="56">
        <f>VLOOKUP(EOMONTH(A797,-1),Economic!A:I,7,FALSE)</f>
        <v>837490</v>
      </c>
      <c r="Q797" s="13">
        <f t="shared" si="329"/>
        <v>0.1114</v>
      </c>
      <c r="R797" s="41">
        <v>1.96</v>
      </c>
      <c r="S797">
        <f t="shared" si="330"/>
        <v>1.63</v>
      </c>
      <c r="T797" s="30">
        <f t="shared" si="331"/>
        <v>199.86</v>
      </c>
      <c r="U797" s="30">
        <f t="shared" si="338"/>
        <v>204.2</v>
      </c>
    </row>
    <row r="798" spans="1:21" ht="15" customHeight="1" x14ac:dyDescent="0.25">
      <c r="A798" s="5">
        <v>37759</v>
      </c>
      <c r="B798" s="5">
        <f t="shared" si="332"/>
        <v>37772</v>
      </c>
      <c r="C798">
        <v>944.3</v>
      </c>
      <c r="D798" s="29">
        <f t="shared" si="333"/>
        <v>3.32E-2</v>
      </c>
      <c r="E798" s="39">
        <f t="shared" si="334"/>
        <v>881.39230769230767</v>
      </c>
      <c r="F798" s="39">
        <f t="shared" si="335"/>
        <v>883.44461538461553</v>
      </c>
      <c r="G798" s="29">
        <f t="shared" si="327"/>
        <v>7.1400000000000005E-2</v>
      </c>
      <c r="H798" s="29">
        <f t="shared" si="327"/>
        <v>6.8900000000000003E-2</v>
      </c>
      <c r="I798">
        <f t="shared" si="336"/>
        <v>944.3</v>
      </c>
      <c r="J798">
        <f>IF(A798&gt;=Quarterly!B$2,Quarterly!C$2,IF(COUNTIFS(Quarterly!B:B,"&gt;="&amp;A798-92,Quarterly!B:B,"&lt;="&amp;A798)&gt;1,SUMIFS(Quarterly!C:C,Quarterly!B:B,"&gt;="&amp;A798-88,Quarterly!B:B,"&lt;="&amp;A798),SUMIFS(Quarterly!C:C,Quarterly!B:B,"&gt;="&amp;A798-92,Quarterly!B:B,"&lt;="&amp;A798)))</f>
        <v>11230.1</v>
      </c>
      <c r="K798" s="13">
        <f t="shared" si="337"/>
        <v>8.4099999999999994E-2</v>
      </c>
      <c r="L798">
        <f t="shared" si="339"/>
        <v>944.3</v>
      </c>
      <c r="M798">
        <f>IF(A798&gt;=Quarterly!B$2,Quarterly!D$2,IF(COUNTIFS(Quarterly!B:B,"&gt;="&amp;A798-92,Quarterly!B:B,"&lt;="&amp;A798)&gt;1,SUMIFS(Quarterly!D:D,Quarterly!B:B,"&gt;="&amp;A798-88,Quarterly!B:B,"&lt;="&amp;A798),SUMIFS(Quarterly!D:D,Quarterly!B:B,"&gt;="&amp;A798-92,Quarterly!B:B,"&lt;="&amp;A798)))</f>
        <v>689.94899999999996</v>
      </c>
      <c r="N798" s="13">
        <f t="shared" si="340"/>
        <v>0.13687000000000002</v>
      </c>
      <c r="O798">
        <f t="shared" si="328"/>
        <v>944.3</v>
      </c>
      <c r="P798" s="56">
        <f>VLOOKUP(EOMONTH(A798,-1),Economic!A:I,7,FALSE)</f>
        <v>837490</v>
      </c>
      <c r="Q798" s="13">
        <f t="shared" si="329"/>
        <v>0.11280000000000001</v>
      </c>
      <c r="R798" s="41">
        <v>2.08</v>
      </c>
      <c r="S798">
        <f t="shared" si="330"/>
        <v>1.72</v>
      </c>
      <c r="T798" s="30">
        <f t="shared" si="331"/>
        <v>204.63</v>
      </c>
      <c r="U798" s="30">
        <f t="shared" si="338"/>
        <v>208.61</v>
      </c>
    </row>
    <row r="799" spans="1:21" ht="15" customHeight="1" x14ac:dyDescent="0.25">
      <c r="A799" s="5">
        <v>37752</v>
      </c>
      <c r="B799" s="5">
        <f t="shared" si="332"/>
        <v>37772</v>
      </c>
      <c r="C799">
        <v>933.41</v>
      </c>
      <c r="D799" s="29">
        <f t="shared" si="333"/>
        <v>3.9800000000000002E-2</v>
      </c>
      <c r="E799" s="39">
        <f t="shared" si="334"/>
        <v>872.97615384615369</v>
      </c>
      <c r="F799" s="39">
        <f t="shared" si="335"/>
        <v>883.04641025641024</v>
      </c>
      <c r="G799" s="29">
        <f t="shared" si="327"/>
        <v>6.9199999999999998E-2</v>
      </c>
      <c r="H799" s="29">
        <f t="shared" si="327"/>
        <v>5.7000000000000002E-2</v>
      </c>
      <c r="I799">
        <f t="shared" si="336"/>
        <v>933.41</v>
      </c>
      <c r="J799">
        <f>IF(A799&gt;=Quarterly!B$2,Quarterly!C$2,IF(COUNTIFS(Quarterly!B:B,"&gt;="&amp;A799-92,Quarterly!B:B,"&lt;="&amp;A799)&gt;1,SUMIFS(Quarterly!C:C,Quarterly!B:B,"&gt;="&amp;A799-88,Quarterly!B:B,"&lt;="&amp;A799),SUMIFS(Quarterly!C:C,Quarterly!B:B,"&gt;="&amp;A799-92,Quarterly!B:B,"&lt;="&amp;A799)))</f>
        <v>11230.1</v>
      </c>
      <c r="K799" s="13">
        <f t="shared" si="337"/>
        <v>8.3099999999999993E-2</v>
      </c>
      <c r="L799">
        <f t="shared" si="339"/>
        <v>933.41</v>
      </c>
      <c r="M799">
        <f>IF(A799&gt;=Quarterly!B$2,Quarterly!D$2,IF(COUNTIFS(Quarterly!B:B,"&gt;="&amp;A799-92,Quarterly!B:B,"&lt;="&amp;A799)&gt;1,SUMIFS(Quarterly!D:D,Quarterly!B:B,"&gt;="&amp;A799-88,Quarterly!B:B,"&lt;="&amp;A799),SUMIFS(Quarterly!D:D,Quarterly!B:B,"&gt;="&amp;A799-92,Quarterly!B:B,"&lt;="&amp;A799)))</f>
        <v>689.94899999999996</v>
      </c>
      <c r="N799" s="13">
        <f t="shared" si="340"/>
        <v>0.13528999999999999</v>
      </c>
      <c r="O799">
        <f t="shared" si="328"/>
        <v>933.41</v>
      </c>
      <c r="P799" s="56">
        <f>VLOOKUP(EOMONTH(A799,-1),Economic!A:I,7,FALSE)</f>
        <v>837490</v>
      </c>
      <c r="Q799" s="13">
        <f t="shared" si="329"/>
        <v>0.11150000000000002</v>
      </c>
      <c r="R799" s="41">
        <v>2.2400000000000002</v>
      </c>
      <c r="S799">
        <f t="shared" si="330"/>
        <v>1.73</v>
      </c>
      <c r="T799" s="30">
        <f t="shared" si="331"/>
        <v>208.1</v>
      </c>
      <c r="U799" s="30">
        <f t="shared" si="338"/>
        <v>212.4</v>
      </c>
    </row>
    <row r="800" spans="1:21" ht="15" customHeight="1" x14ac:dyDescent="0.25">
      <c r="A800" s="5">
        <v>37745</v>
      </c>
      <c r="B800" s="5">
        <f t="shared" si="332"/>
        <v>37772</v>
      </c>
      <c r="C800">
        <v>930.08</v>
      </c>
      <c r="D800" s="29">
        <f t="shared" si="333"/>
        <v>5.11E-2</v>
      </c>
      <c r="E800" s="39">
        <f t="shared" si="334"/>
        <v>864.99769230769243</v>
      </c>
      <c r="F800" s="39">
        <f t="shared" si="335"/>
        <v>882.41128205128211</v>
      </c>
      <c r="G800" s="29">
        <f t="shared" si="327"/>
        <v>7.5200000000000003E-2</v>
      </c>
      <c r="H800" s="29">
        <f t="shared" si="327"/>
        <v>5.3999999999999999E-2</v>
      </c>
      <c r="I800">
        <f t="shared" si="336"/>
        <v>930.08</v>
      </c>
      <c r="J800">
        <f>IF(A800&gt;=Quarterly!B$2,Quarterly!C$2,IF(COUNTIFS(Quarterly!B:B,"&gt;="&amp;A800-92,Quarterly!B:B,"&lt;="&amp;A800)&gt;1,SUMIFS(Quarterly!C:C,Quarterly!B:B,"&gt;="&amp;A800-88,Quarterly!B:B,"&lt;="&amp;A800),SUMIFS(Quarterly!C:C,Quarterly!B:B,"&gt;="&amp;A800-92,Quarterly!B:B,"&lt;="&amp;A800)))</f>
        <v>11230.1</v>
      </c>
      <c r="K800" s="13">
        <f t="shared" si="337"/>
        <v>8.2799999999999999E-2</v>
      </c>
      <c r="L800">
        <f t="shared" si="339"/>
        <v>930.08</v>
      </c>
      <c r="M800">
        <f>IF(A800&gt;=Quarterly!B$2,Quarterly!D$2,IF(COUNTIFS(Quarterly!B:B,"&gt;="&amp;A800-92,Quarterly!B:B,"&lt;="&amp;A800)&gt;1,SUMIFS(Quarterly!D:D,Quarterly!B:B,"&gt;="&amp;A800-88,Quarterly!B:B,"&lt;="&amp;A800),SUMIFS(Quarterly!D:D,Quarterly!B:B,"&gt;="&amp;A800-92,Quarterly!B:B,"&lt;="&amp;A800)))</f>
        <v>689.94899999999996</v>
      </c>
      <c r="N800" s="13">
        <f t="shared" si="340"/>
        <v>0.1348</v>
      </c>
      <c r="O800">
        <f t="shared" si="328"/>
        <v>930.08</v>
      </c>
      <c r="P800" s="56">
        <f>VLOOKUP(EOMONTH(A800,-1),Economic!A:I,7,FALSE)</f>
        <v>837490</v>
      </c>
      <c r="Q800" s="13">
        <f t="shared" si="329"/>
        <v>0.1111</v>
      </c>
      <c r="R800" s="41">
        <v>2.38</v>
      </c>
      <c r="S800">
        <f t="shared" si="330"/>
        <v>1.8</v>
      </c>
      <c r="T800" s="30">
        <f t="shared" si="331"/>
        <v>213.11</v>
      </c>
      <c r="U800" s="30">
        <f t="shared" si="338"/>
        <v>215.51</v>
      </c>
    </row>
    <row r="801" spans="1:21" ht="15" customHeight="1" x14ac:dyDescent="0.25">
      <c r="A801" s="5">
        <v>37738</v>
      </c>
      <c r="B801" s="5">
        <f t="shared" si="332"/>
        <v>37741</v>
      </c>
      <c r="C801">
        <v>898.81</v>
      </c>
      <c r="D801" s="29">
        <f t="shared" si="333"/>
        <v>2.5999999999999999E-2</v>
      </c>
      <c r="E801" s="39">
        <f t="shared" si="334"/>
        <v>859.27615384615376</v>
      </c>
      <c r="F801" s="39">
        <f t="shared" si="335"/>
        <v>880.72307692307686</v>
      </c>
      <c r="G801" s="29">
        <f t="shared" si="327"/>
        <v>4.5999999999999999E-2</v>
      </c>
      <c r="H801" s="29">
        <f t="shared" si="327"/>
        <v>2.0500000000000001E-2</v>
      </c>
      <c r="I801">
        <f t="shared" si="336"/>
        <v>898.81</v>
      </c>
      <c r="J801">
        <f>IF(A801&gt;=Quarterly!B$2,Quarterly!C$2,IF(COUNTIFS(Quarterly!B:B,"&gt;="&amp;A801-92,Quarterly!B:B,"&lt;="&amp;A801)&gt;1,SUMIFS(Quarterly!C:C,Quarterly!B:B,"&gt;="&amp;A801-88,Quarterly!B:B,"&lt;="&amp;A801),SUMIFS(Quarterly!C:C,Quarterly!B:B,"&gt;="&amp;A801-92,Quarterly!B:B,"&lt;="&amp;A801)))</f>
        <v>11103.8</v>
      </c>
      <c r="K801" s="13">
        <f t="shared" si="337"/>
        <v>8.09E-2</v>
      </c>
      <c r="L801">
        <f t="shared" si="339"/>
        <v>898.81</v>
      </c>
      <c r="M801">
        <f>IF(A801&gt;=Quarterly!B$2,Quarterly!D$2,IF(COUNTIFS(Quarterly!B:B,"&gt;="&amp;A801-92,Quarterly!B:B,"&lt;="&amp;A801)&gt;1,SUMIFS(Quarterly!D:D,Quarterly!B:B,"&gt;="&amp;A801-88,Quarterly!B:B,"&lt;="&amp;A801),SUMIFS(Quarterly!D:D,Quarterly!B:B,"&gt;="&amp;A801-92,Quarterly!B:B,"&lt;="&amp;A801)))</f>
        <v>695.08699999999999</v>
      </c>
      <c r="N801" s="13">
        <f t="shared" si="340"/>
        <v>0.12931000000000001</v>
      </c>
      <c r="O801">
        <f t="shared" si="328"/>
        <v>898.81</v>
      </c>
      <c r="P801" s="56">
        <f>VLOOKUP(EOMONTH(A801,-1),Economic!A:I,7,FALSE)</f>
        <v>836086</v>
      </c>
      <c r="Q801" s="13">
        <f t="shared" si="329"/>
        <v>0.1075</v>
      </c>
      <c r="R801" s="41">
        <v>2.34</v>
      </c>
      <c r="S801">
        <f t="shared" si="330"/>
        <v>1.87</v>
      </c>
      <c r="T801" s="30">
        <f t="shared" si="331"/>
        <v>215.99</v>
      </c>
      <c r="U801" s="30">
        <f t="shared" si="338"/>
        <v>217.66</v>
      </c>
    </row>
    <row r="802" spans="1:21" ht="15" customHeight="1" x14ac:dyDescent="0.25">
      <c r="A802" s="5">
        <v>37731</v>
      </c>
      <c r="B802" s="5">
        <f t="shared" si="332"/>
        <v>37741</v>
      </c>
      <c r="C802">
        <v>893.58</v>
      </c>
      <c r="D802" s="29">
        <f t="shared" si="333"/>
        <v>1.9400000000000001E-2</v>
      </c>
      <c r="E802" s="39">
        <f t="shared" si="334"/>
        <v>856.39846153846167</v>
      </c>
      <c r="F802" s="39">
        <f t="shared" si="335"/>
        <v>879.54435897435906</v>
      </c>
      <c r="G802" s="29">
        <f t="shared" si="327"/>
        <v>4.3400000000000001E-2</v>
      </c>
      <c r="H802" s="29">
        <f t="shared" si="327"/>
        <v>1.6E-2</v>
      </c>
      <c r="I802">
        <f t="shared" si="336"/>
        <v>893.58</v>
      </c>
      <c r="J802">
        <f>IF(A802&gt;=Quarterly!B$2,Quarterly!C$2,IF(COUNTIFS(Quarterly!B:B,"&gt;="&amp;A802-92,Quarterly!B:B,"&lt;="&amp;A802)&gt;1,SUMIFS(Quarterly!C:C,Quarterly!B:B,"&gt;="&amp;A802-88,Quarterly!B:B,"&lt;="&amp;A802),SUMIFS(Quarterly!C:C,Quarterly!B:B,"&gt;="&amp;A802-92,Quarterly!B:B,"&lt;="&amp;A802)))</f>
        <v>11103.8</v>
      </c>
      <c r="K802" s="13">
        <f t="shared" si="337"/>
        <v>8.0500000000000002E-2</v>
      </c>
      <c r="L802">
        <f t="shared" si="339"/>
        <v>893.58</v>
      </c>
      <c r="M802">
        <f>IF(A802&gt;=Quarterly!B$2,Quarterly!D$2,IF(COUNTIFS(Quarterly!B:B,"&gt;="&amp;A802-92,Quarterly!B:B,"&lt;="&amp;A802)&gt;1,SUMIFS(Quarterly!D:D,Quarterly!B:B,"&gt;="&amp;A802-88,Quarterly!B:B,"&lt;="&amp;A802),SUMIFS(Quarterly!D:D,Quarterly!B:B,"&gt;="&amp;A802-92,Quarterly!B:B,"&lt;="&amp;A802)))</f>
        <v>695.08699999999999</v>
      </c>
      <c r="N802" s="13">
        <f t="shared" si="340"/>
        <v>0.12856000000000001</v>
      </c>
      <c r="O802">
        <f t="shared" si="328"/>
        <v>893.58</v>
      </c>
      <c r="P802" s="56">
        <f>VLOOKUP(EOMONTH(A802,-1),Economic!A:I,7,FALSE)</f>
        <v>836086</v>
      </c>
      <c r="Q802" s="13">
        <f t="shared" si="329"/>
        <v>0.10690000000000001</v>
      </c>
      <c r="R802" s="41">
        <v>2.27</v>
      </c>
      <c r="S802">
        <f t="shared" si="330"/>
        <v>1.89</v>
      </c>
      <c r="T802" s="30">
        <f t="shared" si="331"/>
        <v>217.43</v>
      </c>
      <c r="U802" s="30">
        <f t="shared" si="338"/>
        <v>218.25</v>
      </c>
    </row>
    <row r="803" spans="1:21" ht="15" customHeight="1" x14ac:dyDescent="0.25">
      <c r="A803" s="5">
        <v>37724</v>
      </c>
      <c r="B803" s="5">
        <f t="shared" si="332"/>
        <v>37741</v>
      </c>
      <c r="C803">
        <v>868.3</v>
      </c>
      <c r="D803" s="29">
        <f t="shared" si="333"/>
        <v>5.0000000000000001E-4</v>
      </c>
      <c r="E803" s="39">
        <f t="shared" si="334"/>
        <v>857.02923076923082</v>
      </c>
      <c r="F803" s="39">
        <f t="shared" si="335"/>
        <v>878.36923076923085</v>
      </c>
      <c r="G803" s="29">
        <f t="shared" si="327"/>
        <v>1.32E-2</v>
      </c>
      <c r="H803" s="29">
        <f t="shared" si="327"/>
        <v>-1.15E-2</v>
      </c>
      <c r="I803">
        <f t="shared" si="336"/>
        <v>868.3</v>
      </c>
      <c r="J803">
        <f>IF(A803&gt;=Quarterly!B$2,Quarterly!C$2,IF(COUNTIFS(Quarterly!B:B,"&gt;="&amp;A803-92,Quarterly!B:B,"&lt;="&amp;A803)&gt;1,SUMIFS(Quarterly!C:C,Quarterly!B:B,"&gt;="&amp;A803-88,Quarterly!B:B,"&lt;="&amp;A803),SUMIFS(Quarterly!C:C,Quarterly!B:B,"&gt;="&amp;A803-92,Quarterly!B:B,"&lt;="&amp;A803)))</f>
        <v>11103.8</v>
      </c>
      <c r="K803" s="13">
        <f t="shared" si="337"/>
        <v>7.8200000000000006E-2</v>
      </c>
      <c r="L803">
        <f t="shared" si="339"/>
        <v>868.3</v>
      </c>
      <c r="M803">
        <f>IF(A803&gt;=Quarterly!B$2,Quarterly!D$2,IF(COUNTIFS(Quarterly!B:B,"&gt;="&amp;A803-92,Quarterly!B:B,"&lt;="&amp;A803)&gt;1,SUMIFS(Quarterly!D:D,Quarterly!B:B,"&gt;="&amp;A803-88,Quarterly!B:B,"&lt;="&amp;A803),SUMIFS(Quarterly!D:D,Quarterly!B:B,"&gt;="&amp;A803-92,Quarterly!B:B,"&lt;="&amp;A803)))</f>
        <v>695.08699999999999</v>
      </c>
      <c r="N803" s="13">
        <f t="shared" si="340"/>
        <v>0.12492000000000002</v>
      </c>
      <c r="O803">
        <f t="shared" si="328"/>
        <v>868.3</v>
      </c>
      <c r="P803" s="56">
        <f>VLOOKUP(EOMONTH(A803,-1),Economic!A:I,7,FALSE)</f>
        <v>836086</v>
      </c>
      <c r="Q803" s="13">
        <f t="shared" si="329"/>
        <v>0.10389999999999999</v>
      </c>
      <c r="R803" s="41">
        <v>2.35</v>
      </c>
      <c r="S803">
        <f t="shared" si="330"/>
        <v>1.95</v>
      </c>
      <c r="T803" s="30">
        <f t="shared" si="331"/>
        <v>219.57</v>
      </c>
      <c r="U803" s="30">
        <f t="shared" si="338"/>
        <v>218.12</v>
      </c>
    </row>
    <row r="804" spans="1:21" ht="15" customHeight="1" x14ac:dyDescent="0.25">
      <c r="A804" s="5">
        <v>37717</v>
      </c>
      <c r="B804" s="5">
        <f t="shared" si="332"/>
        <v>37741</v>
      </c>
      <c r="C804">
        <v>878.85</v>
      </c>
      <c r="D804" s="29">
        <f t="shared" si="333"/>
        <v>2.75E-2</v>
      </c>
      <c r="E804" s="39">
        <f t="shared" si="334"/>
        <v>861.58846153846162</v>
      </c>
      <c r="F804" s="39">
        <f t="shared" si="335"/>
        <v>879.7305128205129</v>
      </c>
      <c r="G804" s="29">
        <f t="shared" si="327"/>
        <v>0.02</v>
      </c>
      <c r="H804" s="29">
        <f t="shared" si="327"/>
        <v>-1E-3</v>
      </c>
      <c r="I804">
        <f t="shared" si="336"/>
        <v>878.85</v>
      </c>
      <c r="J804">
        <f>IF(A804&gt;=Quarterly!B$2,Quarterly!C$2,IF(COUNTIFS(Quarterly!B:B,"&gt;="&amp;A804-92,Quarterly!B:B,"&lt;="&amp;A804)&gt;1,SUMIFS(Quarterly!C:C,Quarterly!B:B,"&gt;="&amp;A804-88,Quarterly!B:B,"&lt;="&amp;A804),SUMIFS(Quarterly!C:C,Quarterly!B:B,"&gt;="&amp;A804-92,Quarterly!B:B,"&lt;="&amp;A804)))</f>
        <v>11103.8</v>
      </c>
      <c r="K804" s="13">
        <f t="shared" si="337"/>
        <v>7.9100000000000004E-2</v>
      </c>
      <c r="L804">
        <f t="shared" si="339"/>
        <v>878.85</v>
      </c>
      <c r="M804">
        <f>IF(A804&gt;=Quarterly!B$2,Quarterly!D$2,IF(COUNTIFS(Quarterly!B:B,"&gt;="&amp;A804-92,Quarterly!B:B,"&lt;="&amp;A804)&gt;1,SUMIFS(Quarterly!D:D,Quarterly!B:B,"&gt;="&amp;A804-88,Quarterly!B:B,"&lt;="&amp;A804),SUMIFS(Quarterly!D:D,Quarterly!B:B,"&gt;="&amp;A804-92,Quarterly!B:B,"&lt;="&amp;A804)))</f>
        <v>695.08699999999999</v>
      </c>
      <c r="N804" s="13">
        <f t="shared" si="340"/>
        <v>0.12644</v>
      </c>
      <c r="O804">
        <f t="shared" si="328"/>
        <v>878.85</v>
      </c>
      <c r="P804" s="56">
        <f>VLOOKUP(EOMONTH(A804,-1),Economic!A:I,7,FALSE)</f>
        <v>836086</v>
      </c>
      <c r="Q804" s="13">
        <f t="shared" si="329"/>
        <v>0.10510000000000001</v>
      </c>
      <c r="R804" s="41">
        <v>2.41</v>
      </c>
      <c r="S804">
        <f t="shared" si="330"/>
        <v>1.94</v>
      </c>
      <c r="T804" s="30">
        <f t="shared" si="331"/>
        <v>217.75</v>
      </c>
      <c r="U804" s="30">
        <f t="shared" si="338"/>
        <v>218.12</v>
      </c>
    </row>
    <row r="805" spans="1:21" ht="15" customHeight="1" x14ac:dyDescent="0.25">
      <c r="A805" s="5">
        <v>37710</v>
      </c>
      <c r="B805" s="5">
        <f t="shared" si="332"/>
        <v>37711</v>
      </c>
      <c r="C805">
        <v>863.5</v>
      </c>
      <c r="D805" s="29">
        <f t="shared" si="333"/>
        <v>1.6199999999999999E-2</v>
      </c>
      <c r="E805" s="39">
        <f t="shared" si="334"/>
        <v>863.8761538461539</v>
      </c>
      <c r="F805" s="39">
        <f t="shared" si="335"/>
        <v>882.55564102564119</v>
      </c>
      <c r="G805" s="29">
        <f t="shared" si="327"/>
        <v>-4.0000000000000002E-4</v>
      </c>
      <c r="H805" s="29">
        <f t="shared" si="327"/>
        <v>-2.1600000000000001E-2</v>
      </c>
      <c r="I805">
        <f t="shared" si="336"/>
        <v>863.5</v>
      </c>
      <c r="J805">
        <f>IF(A805&gt;=Quarterly!B$2,Quarterly!C$2,IF(COUNTIFS(Quarterly!B:B,"&gt;="&amp;A805-92,Quarterly!B:B,"&lt;="&amp;A805)&gt;1,SUMIFS(Quarterly!C:C,Quarterly!B:B,"&gt;="&amp;A805-88,Quarterly!B:B,"&lt;="&amp;A805),SUMIFS(Quarterly!C:C,Quarterly!B:B,"&gt;="&amp;A805-92,Quarterly!B:B,"&lt;="&amp;A805)))</f>
        <v>11103.8</v>
      </c>
      <c r="K805" s="13">
        <f t="shared" si="337"/>
        <v>7.7799999999999994E-2</v>
      </c>
      <c r="L805">
        <f t="shared" si="339"/>
        <v>863.5</v>
      </c>
      <c r="M805">
        <f>IF(A805&gt;=Quarterly!B$2,Quarterly!D$2,IF(COUNTIFS(Quarterly!B:B,"&gt;="&amp;A805-92,Quarterly!B:B,"&lt;="&amp;A805)&gt;1,SUMIFS(Quarterly!D:D,Quarterly!B:B,"&gt;="&amp;A805-88,Quarterly!B:B,"&lt;="&amp;A805),SUMIFS(Quarterly!D:D,Quarterly!B:B,"&gt;="&amp;A805-92,Quarterly!B:B,"&lt;="&amp;A805)))</f>
        <v>695.08699999999999</v>
      </c>
      <c r="N805" s="13">
        <f t="shared" si="340"/>
        <v>0.12423000000000001</v>
      </c>
      <c r="O805">
        <f t="shared" si="328"/>
        <v>863.5</v>
      </c>
      <c r="P805" s="56">
        <f>VLOOKUP(EOMONTH(A805,-1),Economic!A:I,7,FALSE)</f>
        <v>832452</v>
      </c>
      <c r="Q805" s="13">
        <f t="shared" si="329"/>
        <v>0.1037</v>
      </c>
      <c r="R805" s="41">
        <v>2.36</v>
      </c>
      <c r="S805">
        <f t="shared" si="330"/>
        <v>1.93</v>
      </c>
      <c r="T805" s="30">
        <f t="shared" si="331"/>
        <v>217.05</v>
      </c>
      <c r="U805" s="30">
        <f t="shared" si="338"/>
        <v>220.67</v>
      </c>
    </row>
    <row r="806" spans="1:21" ht="15" customHeight="1" x14ac:dyDescent="0.25">
      <c r="A806" s="5">
        <v>37703</v>
      </c>
      <c r="B806" s="5">
        <f t="shared" si="332"/>
        <v>37711</v>
      </c>
      <c r="C806">
        <v>895.79</v>
      </c>
      <c r="D806" s="29">
        <f t="shared" si="333"/>
        <v>6.9099999999999995E-2</v>
      </c>
      <c r="E806" s="39">
        <f t="shared" si="334"/>
        <v>864.79153846153838</v>
      </c>
      <c r="F806" s="39">
        <f t="shared" si="335"/>
        <v>885.79461538461533</v>
      </c>
      <c r="G806" s="29">
        <f t="shared" si="327"/>
        <v>3.5799999999999998E-2</v>
      </c>
      <c r="H806" s="29">
        <f t="shared" si="327"/>
        <v>1.1299999999999999E-2</v>
      </c>
      <c r="I806">
        <f t="shared" si="336"/>
        <v>895.79</v>
      </c>
      <c r="J806">
        <f>IF(A806&gt;=Quarterly!B$2,Quarterly!C$2,IF(COUNTIFS(Quarterly!B:B,"&gt;="&amp;A806-92,Quarterly!B:B,"&lt;="&amp;A806)&gt;1,SUMIFS(Quarterly!C:C,Quarterly!B:B,"&gt;="&amp;A806-88,Quarterly!B:B,"&lt;="&amp;A806),SUMIFS(Quarterly!C:C,Quarterly!B:B,"&gt;="&amp;A806-92,Quarterly!B:B,"&lt;="&amp;A806)))</f>
        <v>11103.8</v>
      </c>
      <c r="K806" s="13">
        <f t="shared" si="337"/>
        <v>8.0699999999999994E-2</v>
      </c>
      <c r="L806">
        <f t="shared" si="339"/>
        <v>895.79</v>
      </c>
      <c r="M806">
        <f>IF(A806&gt;=Quarterly!B$2,Quarterly!D$2,IF(COUNTIFS(Quarterly!B:B,"&gt;="&amp;A806-92,Quarterly!B:B,"&lt;="&amp;A806)&gt;1,SUMIFS(Quarterly!D:D,Quarterly!B:B,"&gt;="&amp;A806-88,Quarterly!B:B,"&lt;="&amp;A806),SUMIFS(Quarterly!D:D,Quarterly!B:B,"&gt;="&amp;A806-92,Quarterly!B:B,"&lt;="&amp;A806)))</f>
        <v>695.08699999999999</v>
      </c>
      <c r="N806" s="13">
        <f t="shared" si="340"/>
        <v>0.12887000000000001</v>
      </c>
      <c r="O806">
        <f t="shared" si="328"/>
        <v>895.79</v>
      </c>
      <c r="P806" s="56">
        <f>VLOOKUP(EOMONTH(A806,-1),Economic!A:I,7,FALSE)</f>
        <v>832452</v>
      </c>
      <c r="Q806" s="13">
        <f t="shared" si="329"/>
        <v>0.10759999999999999</v>
      </c>
      <c r="R806" s="41">
        <v>2.31</v>
      </c>
      <c r="S806">
        <f t="shared" si="330"/>
        <v>2.0299999999999998</v>
      </c>
      <c r="T806" s="30">
        <f t="shared" si="331"/>
        <v>219.56</v>
      </c>
      <c r="U806" s="30">
        <f t="shared" si="338"/>
        <v>221.35</v>
      </c>
    </row>
    <row r="807" spans="1:21" ht="15" customHeight="1" x14ac:dyDescent="0.25">
      <c r="A807" s="5">
        <v>37696</v>
      </c>
      <c r="B807" s="5">
        <f t="shared" si="332"/>
        <v>37711</v>
      </c>
      <c r="C807">
        <v>833.27</v>
      </c>
      <c r="D807" s="29">
        <f t="shared" si="333"/>
        <v>-6.0000000000000001E-3</v>
      </c>
      <c r="E807" s="39">
        <f t="shared" si="334"/>
        <v>864.7892307692307</v>
      </c>
      <c r="F807" s="39">
        <f t="shared" si="335"/>
        <v>888.18820512820503</v>
      </c>
      <c r="G807" s="29">
        <f t="shared" si="327"/>
        <v>-3.6400000000000002E-2</v>
      </c>
      <c r="H807" s="29">
        <f t="shared" si="327"/>
        <v>-6.1800000000000001E-2</v>
      </c>
      <c r="I807">
        <f t="shared" si="336"/>
        <v>833.27</v>
      </c>
      <c r="J807">
        <f>IF(A807&gt;=Quarterly!B$2,Quarterly!C$2,IF(COUNTIFS(Quarterly!B:B,"&gt;="&amp;A807-92,Quarterly!B:B,"&lt;="&amp;A807)&gt;1,SUMIFS(Quarterly!C:C,Quarterly!B:B,"&gt;="&amp;A807-88,Quarterly!B:B,"&lt;="&amp;A807),SUMIFS(Quarterly!C:C,Quarterly!B:B,"&gt;="&amp;A807-92,Quarterly!B:B,"&lt;="&amp;A807)))</f>
        <v>11103.8</v>
      </c>
      <c r="K807" s="13">
        <f t="shared" si="337"/>
        <v>7.4999999999999997E-2</v>
      </c>
      <c r="L807">
        <f t="shared" si="339"/>
        <v>833.27</v>
      </c>
      <c r="M807">
        <f>IF(A807&gt;=Quarterly!B$2,Quarterly!D$2,IF(COUNTIFS(Quarterly!B:B,"&gt;="&amp;A807-92,Quarterly!B:B,"&lt;="&amp;A807)&gt;1,SUMIFS(Quarterly!D:D,Quarterly!B:B,"&gt;="&amp;A807-88,Quarterly!B:B,"&lt;="&amp;A807),SUMIFS(Quarterly!D:D,Quarterly!B:B,"&gt;="&amp;A807-92,Quarterly!B:B,"&lt;="&amp;A807)))</f>
        <v>695.08699999999999</v>
      </c>
      <c r="N807" s="13">
        <f t="shared" si="340"/>
        <v>0.11988000000000001</v>
      </c>
      <c r="O807">
        <f t="shared" si="328"/>
        <v>833.27</v>
      </c>
      <c r="P807" s="56">
        <f>VLOOKUP(EOMONTH(A807,-1),Economic!A:I,7,FALSE)</f>
        <v>832452</v>
      </c>
      <c r="Q807" s="13">
        <f t="shared" si="329"/>
        <v>0.10009999999999999</v>
      </c>
      <c r="R807" s="41">
        <v>2.16</v>
      </c>
      <c r="S807">
        <f t="shared" si="330"/>
        <v>2.16</v>
      </c>
      <c r="T807" s="30">
        <f t="shared" si="331"/>
        <v>225.4</v>
      </c>
      <c r="U807" s="30">
        <f t="shared" si="338"/>
        <v>220.51</v>
      </c>
    </row>
    <row r="808" spans="1:21" ht="15" customHeight="1" x14ac:dyDescent="0.25">
      <c r="A808" s="5">
        <v>37689</v>
      </c>
      <c r="B808" s="5">
        <f t="shared" si="332"/>
        <v>37711</v>
      </c>
      <c r="C808">
        <v>828.89</v>
      </c>
      <c r="D808" s="29">
        <f t="shared" si="333"/>
        <v>-1.14E-2</v>
      </c>
      <c r="E808" s="39">
        <f t="shared" si="334"/>
        <v>869.11307692307673</v>
      </c>
      <c r="F808" s="39">
        <f t="shared" si="335"/>
        <v>892.64974358974348</v>
      </c>
      <c r="G808" s="29">
        <f t="shared" si="327"/>
        <v>-4.6300000000000001E-2</v>
      </c>
      <c r="H808" s="29">
        <f t="shared" si="327"/>
        <v>-7.1400000000000005E-2</v>
      </c>
      <c r="I808">
        <f t="shared" si="336"/>
        <v>828.89</v>
      </c>
      <c r="J808">
        <f>IF(A808&gt;=Quarterly!B$2,Quarterly!C$2,IF(COUNTIFS(Quarterly!B:B,"&gt;="&amp;A808-92,Quarterly!B:B,"&lt;="&amp;A808)&gt;1,SUMIFS(Quarterly!C:C,Quarterly!B:B,"&gt;="&amp;A808-88,Quarterly!B:B,"&lt;="&amp;A808),SUMIFS(Quarterly!C:C,Quarterly!B:B,"&gt;="&amp;A808-92,Quarterly!B:B,"&lt;="&amp;A808)))</f>
        <v>11103.8</v>
      </c>
      <c r="K808" s="13">
        <f t="shared" si="337"/>
        <v>7.46E-2</v>
      </c>
      <c r="L808">
        <f t="shared" si="339"/>
        <v>828.89</v>
      </c>
      <c r="M808">
        <f>IF(A808&gt;=Quarterly!B$2,Quarterly!D$2,IF(COUNTIFS(Quarterly!B:B,"&gt;="&amp;A808-92,Quarterly!B:B,"&lt;="&amp;A808)&gt;1,SUMIFS(Quarterly!D:D,Quarterly!B:B,"&gt;="&amp;A808-88,Quarterly!B:B,"&lt;="&amp;A808),SUMIFS(Quarterly!D:D,Quarterly!B:B,"&gt;="&amp;A808-92,Quarterly!B:B,"&lt;="&amp;A808)))</f>
        <v>695.08699999999999</v>
      </c>
      <c r="N808" s="13">
        <f t="shared" si="340"/>
        <v>0.11924999999999999</v>
      </c>
      <c r="O808">
        <f t="shared" si="328"/>
        <v>828.89</v>
      </c>
      <c r="P808" s="56">
        <f>VLOOKUP(EOMONTH(A808,-1),Economic!A:I,7,FALSE)</f>
        <v>832452</v>
      </c>
      <c r="Q808" s="13">
        <f t="shared" si="329"/>
        <v>9.9599999999999994E-2</v>
      </c>
      <c r="R808" s="41">
        <v>2.2400000000000002</v>
      </c>
      <c r="S808">
        <f t="shared" si="330"/>
        <v>1.99</v>
      </c>
      <c r="T808" s="30">
        <f t="shared" si="331"/>
        <v>219.08</v>
      </c>
      <c r="U808" s="30">
        <f t="shared" si="338"/>
        <v>216.68</v>
      </c>
    </row>
    <row r="809" spans="1:21" ht="15" customHeight="1" x14ac:dyDescent="0.25">
      <c r="A809" s="5">
        <v>37682</v>
      </c>
      <c r="B809" s="5">
        <f t="shared" si="332"/>
        <v>37711</v>
      </c>
      <c r="C809">
        <v>841.15</v>
      </c>
      <c r="D809" s="29">
        <f t="shared" si="333"/>
        <v>-1.1000000000000001E-3</v>
      </c>
      <c r="E809" s="39">
        <f t="shared" si="334"/>
        <v>875.52384615384608</v>
      </c>
      <c r="F809" s="39">
        <f t="shared" si="335"/>
        <v>897.74307692307684</v>
      </c>
      <c r="G809" s="29">
        <f t="shared" si="327"/>
        <v>-3.9300000000000002E-2</v>
      </c>
      <c r="H809" s="29">
        <f t="shared" si="327"/>
        <v>-6.3E-2</v>
      </c>
      <c r="I809">
        <f t="shared" si="336"/>
        <v>841.15</v>
      </c>
      <c r="J809">
        <f>IF(A809&gt;=Quarterly!B$2,Quarterly!C$2,IF(COUNTIFS(Quarterly!B:B,"&gt;="&amp;A809-92,Quarterly!B:B,"&lt;="&amp;A809)&gt;1,SUMIFS(Quarterly!C:C,Quarterly!B:B,"&gt;="&amp;A809-88,Quarterly!B:B,"&lt;="&amp;A809),SUMIFS(Quarterly!C:C,Quarterly!B:B,"&gt;="&amp;A809-92,Quarterly!B:B,"&lt;="&amp;A809)))</f>
        <v>11103.8</v>
      </c>
      <c r="K809" s="13">
        <f t="shared" si="337"/>
        <v>7.5800000000000006E-2</v>
      </c>
      <c r="L809">
        <f t="shared" si="339"/>
        <v>841.15</v>
      </c>
      <c r="M809">
        <f>IF(A809&gt;=Quarterly!B$2,Quarterly!D$2,IF(COUNTIFS(Quarterly!B:B,"&gt;="&amp;A809-92,Quarterly!B:B,"&lt;="&amp;A809)&gt;1,SUMIFS(Quarterly!D:D,Quarterly!B:B,"&gt;="&amp;A809-88,Quarterly!B:B,"&lt;="&amp;A809),SUMIFS(Quarterly!D:D,Quarterly!B:B,"&gt;="&amp;A809-92,Quarterly!B:B,"&lt;="&amp;A809)))</f>
        <v>695.08699999999999</v>
      </c>
      <c r="N809" s="13">
        <f t="shared" si="340"/>
        <v>0.12101000000000001</v>
      </c>
      <c r="O809">
        <f t="shared" si="328"/>
        <v>841.15</v>
      </c>
      <c r="P809" s="56">
        <f>VLOOKUP(EOMONTH(A809,-1),Economic!A:I,7,FALSE)</f>
        <v>832452</v>
      </c>
      <c r="Q809" s="13">
        <f t="shared" si="329"/>
        <v>0.10100000000000001</v>
      </c>
      <c r="R809" s="41">
        <v>2.1800000000000002</v>
      </c>
      <c r="S809">
        <f t="shared" si="330"/>
        <v>1.99</v>
      </c>
      <c r="T809" s="30">
        <f t="shared" si="331"/>
        <v>217.04</v>
      </c>
      <c r="U809" s="30">
        <f t="shared" si="338"/>
        <v>215.56</v>
      </c>
    </row>
    <row r="810" spans="1:21" ht="15" customHeight="1" x14ac:dyDescent="0.25">
      <c r="A810" s="5">
        <v>37675</v>
      </c>
      <c r="B810" s="5">
        <f t="shared" si="332"/>
        <v>37680</v>
      </c>
      <c r="C810">
        <v>848.17</v>
      </c>
      <c r="D810" s="29">
        <f t="shared" si="333"/>
        <v>3.3E-3</v>
      </c>
      <c r="E810" s="39">
        <f t="shared" si="334"/>
        <v>882.84384615384602</v>
      </c>
      <c r="F810" s="39">
        <f t="shared" si="335"/>
        <v>903.53769230769217</v>
      </c>
      <c r="G810" s="29">
        <f t="shared" si="327"/>
        <v>-3.9300000000000002E-2</v>
      </c>
      <c r="H810" s="29">
        <f t="shared" si="327"/>
        <v>-6.13E-2</v>
      </c>
      <c r="I810">
        <f t="shared" si="336"/>
        <v>848.17</v>
      </c>
      <c r="J810">
        <f>IF(A810&gt;=Quarterly!B$2,Quarterly!C$2,IF(COUNTIFS(Quarterly!B:B,"&gt;="&amp;A810-92,Quarterly!B:B,"&lt;="&amp;A810)&gt;1,SUMIFS(Quarterly!C:C,Quarterly!B:B,"&gt;="&amp;A810-88,Quarterly!B:B,"&lt;="&amp;A810),SUMIFS(Quarterly!C:C,Quarterly!B:B,"&gt;="&amp;A810-92,Quarterly!B:B,"&lt;="&amp;A810)))</f>
        <v>11103.8</v>
      </c>
      <c r="K810" s="13">
        <f t="shared" si="337"/>
        <v>7.6399999999999996E-2</v>
      </c>
      <c r="L810">
        <f t="shared" si="339"/>
        <v>848.17</v>
      </c>
      <c r="M810">
        <f>IF(A810&gt;=Quarterly!B$2,Quarterly!D$2,IF(COUNTIFS(Quarterly!B:B,"&gt;="&amp;A810-92,Quarterly!B:B,"&lt;="&amp;A810)&gt;1,SUMIFS(Quarterly!D:D,Quarterly!B:B,"&gt;="&amp;A810-88,Quarterly!B:B,"&lt;="&amp;A810),SUMIFS(Quarterly!D:D,Quarterly!B:B,"&gt;="&amp;A810-92,Quarterly!B:B,"&lt;="&amp;A810)))</f>
        <v>695.08699999999999</v>
      </c>
      <c r="N810" s="13">
        <f t="shared" si="340"/>
        <v>0.12202</v>
      </c>
      <c r="O810">
        <f t="shared" si="328"/>
        <v>848.17</v>
      </c>
      <c r="P810" s="56">
        <f>VLOOKUP(EOMONTH(A810,-1),Economic!A:I,7,FALSE)</f>
        <v>833012</v>
      </c>
      <c r="Q810" s="13">
        <f t="shared" si="329"/>
        <v>0.1018</v>
      </c>
      <c r="R810" s="41">
        <v>2.27</v>
      </c>
      <c r="S810">
        <f t="shared" si="330"/>
        <v>1.95</v>
      </c>
      <c r="T810" s="30">
        <f t="shared" si="331"/>
        <v>213.91</v>
      </c>
      <c r="U810" s="30">
        <f t="shared" si="338"/>
        <v>214.51</v>
      </c>
    </row>
    <row r="811" spans="1:21" ht="15" customHeight="1" x14ac:dyDescent="0.25">
      <c r="A811" s="5">
        <v>37668</v>
      </c>
      <c r="B811" s="5">
        <f t="shared" si="332"/>
        <v>37680</v>
      </c>
      <c r="C811">
        <v>834.89</v>
      </c>
      <c r="D811" s="29">
        <f t="shared" si="333"/>
        <v>-3.1600000000000003E-2</v>
      </c>
      <c r="E811" s="39">
        <f t="shared" si="334"/>
        <v>889.1807692307691</v>
      </c>
      <c r="F811" s="39">
        <f t="shared" si="335"/>
        <v>909.57999999999993</v>
      </c>
      <c r="G811" s="29">
        <f t="shared" si="327"/>
        <v>-6.1100000000000002E-2</v>
      </c>
      <c r="H811" s="29">
        <f t="shared" si="327"/>
        <v>-8.2100000000000006E-2</v>
      </c>
      <c r="I811">
        <f t="shared" si="336"/>
        <v>834.89</v>
      </c>
      <c r="J811">
        <f>IF(A811&gt;=Quarterly!B$2,Quarterly!C$2,IF(COUNTIFS(Quarterly!B:B,"&gt;="&amp;A811-92,Quarterly!B:B,"&lt;="&amp;A811)&gt;1,SUMIFS(Quarterly!C:C,Quarterly!B:B,"&gt;="&amp;A811-88,Quarterly!B:B,"&lt;="&amp;A811),SUMIFS(Quarterly!C:C,Quarterly!B:B,"&gt;="&amp;A811-92,Quarterly!B:B,"&lt;="&amp;A811)))</f>
        <v>11103.8</v>
      </c>
      <c r="K811" s="13">
        <f t="shared" si="337"/>
        <v>7.5200000000000003E-2</v>
      </c>
      <c r="L811">
        <f t="shared" si="339"/>
        <v>834.89</v>
      </c>
      <c r="M811">
        <f>IF(A811&gt;=Quarterly!B$2,Quarterly!D$2,IF(COUNTIFS(Quarterly!B:B,"&gt;="&amp;A811-92,Quarterly!B:B,"&lt;="&amp;A811)&gt;1,SUMIFS(Quarterly!D:D,Quarterly!B:B,"&gt;="&amp;A811-88,Quarterly!B:B,"&lt;="&amp;A811),SUMIFS(Quarterly!D:D,Quarterly!B:B,"&gt;="&amp;A811-92,Quarterly!B:B,"&lt;="&amp;A811)))</f>
        <v>695.08699999999999</v>
      </c>
      <c r="N811" s="13">
        <f t="shared" si="340"/>
        <v>0.12011000000000001</v>
      </c>
      <c r="O811">
        <f t="shared" si="328"/>
        <v>834.89</v>
      </c>
      <c r="P811" s="56">
        <f>VLOOKUP(EOMONTH(A811,-1),Economic!A:I,7,FALSE)</f>
        <v>833012</v>
      </c>
      <c r="Q811" s="13">
        <f t="shared" si="329"/>
        <v>0.10020000000000001</v>
      </c>
      <c r="R811" s="41">
        <v>2.33</v>
      </c>
      <c r="S811">
        <f t="shared" si="330"/>
        <v>2.04</v>
      </c>
      <c r="T811" s="30">
        <f t="shared" si="331"/>
        <v>215.74</v>
      </c>
      <c r="U811" s="30">
        <f t="shared" si="338"/>
        <v>213.12</v>
      </c>
    </row>
    <row r="812" spans="1:21" ht="15" customHeight="1" x14ac:dyDescent="0.25">
      <c r="A812" s="5">
        <v>37661</v>
      </c>
      <c r="B812" s="5">
        <f t="shared" si="332"/>
        <v>37680</v>
      </c>
      <c r="C812">
        <v>829.69</v>
      </c>
      <c r="D812" s="29">
        <f t="shared" si="333"/>
        <v>-6.4199999999999993E-2</v>
      </c>
      <c r="E812" s="39">
        <f t="shared" si="334"/>
        <v>894.94538461538446</v>
      </c>
      <c r="F812" s="39">
        <f t="shared" si="335"/>
        <v>916.54666666666651</v>
      </c>
      <c r="G812" s="29">
        <f t="shared" si="327"/>
        <v>-7.2900000000000006E-2</v>
      </c>
      <c r="H812" s="29">
        <f t="shared" si="327"/>
        <v>-9.4799999999999995E-2</v>
      </c>
      <c r="I812">
        <f t="shared" si="336"/>
        <v>829.69</v>
      </c>
      <c r="J812">
        <f>IF(A812&gt;=Quarterly!B$2,Quarterly!C$2,IF(COUNTIFS(Quarterly!B:B,"&gt;="&amp;A812-92,Quarterly!B:B,"&lt;="&amp;A812)&gt;1,SUMIFS(Quarterly!C:C,Quarterly!B:B,"&gt;="&amp;A812-88,Quarterly!B:B,"&lt;="&amp;A812),SUMIFS(Quarterly!C:C,Quarterly!B:B,"&gt;="&amp;A812-92,Quarterly!B:B,"&lt;="&amp;A812)))</f>
        <v>11103.8</v>
      </c>
      <c r="K812" s="13">
        <f t="shared" si="337"/>
        <v>7.4700000000000003E-2</v>
      </c>
      <c r="L812">
        <f t="shared" si="339"/>
        <v>829.69</v>
      </c>
      <c r="M812">
        <f>IF(A812&gt;=Quarterly!B$2,Quarterly!D$2,IF(COUNTIFS(Quarterly!B:B,"&gt;="&amp;A812-92,Quarterly!B:B,"&lt;="&amp;A812)&gt;1,SUMIFS(Quarterly!D:D,Quarterly!B:B,"&gt;="&amp;A812-88,Quarterly!B:B,"&lt;="&amp;A812),SUMIFS(Quarterly!D:D,Quarterly!B:B,"&gt;="&amp;A812-92,Quarterly!B:B,"&lt;="&amp;A812)))</f>
        <v>695.08699999999999</v>
      </c>
      <c r="N812" s="13">
        <f t="shared" si="340"/>
        <v>0.11936000000000001</v>
      </c>
      <c r="O812">
        <f t="shared" si="328"/>
        <v>829.69</v>
      </c>
      <c r="P812" s="56">
        <f>VLOOKUP(EOMONTH(A812,-1),Economic!A:I,7,FALSE)</f>
        <v>833012</v>
      </c>
      <c r="Q812" s="13">
        <f t="shared" si="329"/>
        <v>9.9599999999999994E-2</v>
      </c>
      <c r="R812" s="41">
        <v>2.33</v>
      </c>
      <c r="S812">
        <f t="shared" si="330"/>
        <v>2.0099999999999998</v>
      </c>
      <c r="T812" s="30">
        <f t="shared" si="331"/>
        <v>213.88</v>
      </c>
      <c r="U812" s="30">
        <f t="shared" si="338"/>
        <v>208.12</v>
      </c>
    </row>
    <row r="813" spans="1:21" ht="15" customHeight="1" x14ac:dyDescent="0.25">
      <c r="A813" s="5">
        <v>37654</v>
      </c>
      <c r="B813" s="5">
        <f t="shared" si="332"/>
        <v>37680</v>
      </c>
      <c r="C813">
        <v>855.7</v>
      </c>
      <c r="D813" s="29">
        <f t="shared" si="333"/>
        <v>-4.9000000000000002E-2</v>
      </c>
      <c r="E813" s="39">
        <f t="shared" si="334"/>
        <v>899.94923076923067</v>
      </c>
      <c r="F813" s="39">
        <f t="shared" si="335"/>
        <v>922.32358974358942</v>
      </c>
      <c r="G813" s="29">
        <f t="shared" si="327"/>
        <v>-4.9200000000000001E-2</v>
      </c>
      <c r="H813" s="29">
        <f t="shared" si="327"/>
        <v>-7.22E-2</v>
      </c>
      <c r="I813">
        <f t="shared" si="336"/>
        <v>855.7</v>
      </c>
      <c r="J813">
        <f>IF(A813&gt;=Quarterly!B$2,Quarterly!C$2,IF(COUNTIFS(Quarterly!B:B,"&gt;="&amp;A813-92,Quarterly!B:B,"&lt;="&amp;A813)&gt;1,SUMIFS(Quarterly!C:C,Quarterly!B:B,"&gt;="&amp;A813-88,Quarterly!B:B,"&lt;="&amp;A813),SUMIFS(Quarterly!C:C,Quarterly!B:B,"&gt;="&amp;A813-92,Quarterly!B:B,"&lt;="&amp;A813)))</f>
        <v>11103.8</v>
      </c>
      <c r="K813" s="13">
        <f t="shared" si="337"/>
        <v>7.7100000000000002E-2</v>
      </c>
      <c r="L813">
        <f t="shared" si="339"/>
        <v>855.7</v>
      </c>
      <c r="M813">
        <f>IF(A813&gt;=Quarterly!B$2,Quarterly!D$2,IF(COUNTIFS(Quarterly!B:B,"&gt;="&amp;A813-92,Quarterly!B:B,"&lt;="&amp;A813)&gt;1,SUMIFS(Quarterly!D:D,Quarterly!B:B,"&gt;="&amp;A813-88,Quarterly!B:B,"&lt;="&amp;A813),SUMIFS(Quarterly!D:D,Quarterly!B:B,"&gt;="&amp;A813-92,Quarterly!B:B,"&lt;="&amp;A813)))</f>
        <v>695.08699999999999</v>
      </c>
      <c r="N813" s="13">
        <f t="shared" si="340"/>
        <v>0.12311000000000001</v>
      </c>
      <c r="O813">
        <f t="shared" si="328"/>
        <v>855.7</v>
      </c>
      <c r="P813" s="56">
        <f>VLOOKUP(EOMONTH(A813,-1),Economic!A:I,7,FALSE)</f>
        <v>833012</v>
      </c>
      <c r="Q813" s="13">
        <f t="shared" si="329"/>
        <v>0.10269999999999999</v>
      </c>
      <c r="R813" s="41">
        <v>2.2799999999999998</v>
      </c>
      <c r="S813">
        <f t="shared" si="330"/>
        <v>1.94</v>
      </c>
      <c r="T813" s="30">
        <f t="shared" si="331"/>
        <v>209.73</v>
      </c>
      <c r="U813" s="30">
        <f t="shared" si="338"/>
        <v>202.86</v>
      </c>
    </row>
    <row r="814" spans="1:21" ht="15" customHeight="1" x14ac:dyDescent="0.25">
      <c r="A814" s="5">
        <v>37647</v>
      </c>
      <c r="B814" s="5">
        <f t="shared" si="332"/>
        <v>37652</v>
      </c>
      <c r="C814">
        <v>861.4</v>
      </c>
      <c r="D814" s="29">
        <f t="shared" si="333"/>
        <v>-4.6399999999999997E-2</v>
      </c>
      <c r="E814" s="39">
        <f t="shared" si="334"/>
        <v>903.4307692307691</v>
      </c>
      <c r="F814" s="39">
        <f t="shared" si="335"/>
        <v>927.90641025641003</v>
      </c>
      <c r="G814" s="29">
        <f t="shared" si="327"/>
        <v>-4.65E-2</v>
      </c>
      <c r="H814" s="29">
        <f t="shared" si="327"/>
        <v>-7.17E-2</v>
      </c>
      <c r="I814">
        <f t="shared" si="336"/>
        <v>861.4</v>
      </c>
      <c r="J814">
        <f>IF(A814&gt;=Quarterly!B$2,Quarterly!C$2,IF(COUNTIFS(Quarterly!B:B,"&gt;="&amp;A814-92,Quarterly!B:B,"&lt;="&amp;A814)&gt;1,SUMIFS(Quarterly!C:C,Quarterly!B:B,"&gt;="&amp;A814-88,Quarterly!B:B,"&lt;="&amp;A814),SUMIFS(Quarterly!C:C,Quarterly!B:B,"&gt;="&amp;A814-92,Quarterly!B:B,"&lt;="&amp;A814)))</f>
        <v>11037.1</v>
      </c>
      <c r="K814" s="13">
        <f t="shared" si="337"/>
        <v>7.8E-2</v>
      </c>
      <c r="L814">
        <f t="shared" si="339"/>
        <v>861.4</v>
      </c>
      <c r="M814">
        <f>IF(A814&gt;=Quarterly!B$2,Quarterly!D$2,IF(COUNTIFS(Quarterly!B:B,"&gt;="&amp;A814-92,Quarterly!B:B,"&lt;="&amp;A814)&gt;1,SUMIFS(Quarterly!D:D,Quarterly!B:B,"&gt;="&amp;A814-88,Quarterly!B:B,"&lt;="&amp;A814),SUMIFS(Quarterly!D:D,Quarterly!B:B,"&gt;="&amp;A814-92,Quarterly!B:B,"&lt;="&amp;A814)))</f>
        <v>620.40899999999999</v>
      </c>
      <c r="N814" s="13">
        <f t="shared" si="340"/>
        <v>0.13884000000000002</v>
      </c>
      <c r="O814">
        <f t="shared" si="328"/>
        <v>861.4</v>
      </c>
      <c r="P814" s="56">
        <f>VLOOKUP(EOMONTH(A814,-1),Economic!A:I,7,FALSE)</f>
        <v>832133</v>
      </c>
      <c r="Q814" s="13">
        <f t="shared" si="329"/>
        <v>0.10349999999999999</v>
      </c>
      <c r="R814" s="41">
        <v>2.2799999999999998</v>
      </c>
      <c r="S814">
        <f t="shared" si="330"/>
        <v>1.84</v>
      </c>
      <c r="T814" s="30">
        <f t="shared" si="331"/>
        <v>200.74</v>
      </c>
      <c r="U814" s="30">
        <f t="shared" si="338"/>
        <v>199.75</v>
      </c>
    </row>
    <row r="815" spans="1:21" ht="15" customHeight="1" x14ac:dyDescent="0.25">
      <c r="A815" s="5">
        <v>37640</v>
      </c>
      <c r="B815" s="5">
        <f t="shared" si="332"/>
        <v>37652</v>
      </c>
      <c r="C815">
        <v>901.78</v>
      </c>
      <c r="D815" s="29">
        <f t="shared" si="333"/>
        <v>-1E-4</v>
      </c>
      <c r="E815" s="39">
        <f t="shared" si="334"/>
        <v>906.21923076923076</v>
      </c>
      <c r="F815" s="39">
        <f t="shared" si="335"/>
        <v>933.41717948717917</v>
      </c>
      <c r="G815" s="29">
        <f t="shared" si="327"/>
        <v>-4.8999999999999998E-3</v>
      </c>
      <c r="H815" s="29">
        <f t="shared" si="327"/>
        <v>-3.39E-2</v>
      </c>
      <c r="I815">
        <f t="shared" si="336"/>
        <v>901.78</v>
      </c>
      <c r="J815">
        <f>IF(A815&gt;=Quarterly!B$2,Quarterly!C$2,IF(COUNTIFS(Quarterly!B:B,"&gt;="&amp;A815-92,Quarterly!B:B,"&lt;="&amp;A815)&gt;1,SUMIFS(Quarterly!C:C,Quarterly!B:B,"&gt;="&amp;A815-88,Quarterly!B:B,"&lt;="&amp;A815),SUMIFS(Quarterly!C:C,Quarterly!B:B,"&gt;="&amp;A815-92,Quarterly!B:B,"&lt;="&amp;A815)))</f>
        <v>11037.1</v>
      </c>
      <c r="K815" s="13">
        <f t="shared" si="337"/>
        <v>8.1699999999999995E-2</v>
      </c>
      <c r="L815">
        <f t="shared" si="339"/>
        <v>901.78</v>
      </c>
      <c r="M815">
        <f>IF(A815&gt;=Quarterly!B$2,Quarterly!D$2,IF(COUNTIFS(Quarterly!B:B,"&gt;="&amp;A815-92,Quarterly!B:B,"&lt;="&amp;A815)&gt;1,SUMIFS(Quarterly!D:D,Quarterly!B:B,"&gt;="&amp;A815-88,Quarterly!B:B,"&lt;="&amp;A815),SUMIFS(Quarterly!D:D,Quarterly!B:B,"&gt;="&amp;A815-92,Quarterly!B:B,"&lt;="&amp;A815)))</f>
        <v>620.40899999999999</v>
      </c>
      <c r="N815" s="13">
        <f t="shared" si="340"/>
        <v>0.14535000000000001</v>
      </c>
      <c r="O815">
        <f t="shared" si="328"/>
        <v>901.78</v>
      </c>
      <c r="P815" s="56">
        <f>VLOOKUP(EOMONTH(A815,-1),Economic!A:I,7,FALSE)</f>
        <v>832133</v>
      </c>
      <c r="Q815" s="13">
        <f t="shared" si="329"/>
        <v>0.1084</v>
      </c>
      <c r="R815" s="41">
        <v>2.35</v>
      </c>
      <c r="S815">
        <f t="shared" si="330"/>
        <v>1.82</v>
      </c>
      <c r="T815" s="30">
        <f t="shared" si="331"/>
        <v>198.11</v>
      </c>
      <c r="U815" s="30">
        <f t="shared" si="338"/>
        <v>200.71</v>
      </c>
    </row>
    <row r="816" spans="1:21" ht="15" customHeight="1" x14ac:dyDescent="0.25">
      <c r="A816" s="5">
        <v>37633</v>
      </c>
      <c r="B816" s="5">
        <f t="shared" si="332"/>
        <v>37652</v>
      </c>
      <c r="C816">
        <v>927.57</v>
      </c>
      <c r="D816" s="29">
        <f t="shared" si="333"/>
        <v>3.95E-2</v>
      </c>
      <c r="E816" s="39">
        <f t="shared" si="334"/>
        <v>904.8815384615383</v>
      </c>
      <c r="F816" s="39">
        <f t="shared" si="335"/>
        <v>939.14512820512789</v>
      </c>
      <c r="G816" s="29">
        <f t="shared" si="327"/>
        <v>2.5100000000000001E-2</v>
      </c>
      <c r="H816" s="29">
        <f t="shared" si="327"/>
        <v>-1.23E-2</v>
      </c>
      <c r="I816">
        <f t="shared" si="336"/>
        <v>927.57</v>
      </c>
      <c r="J816">
        <f>IF(A816&gt;=Quarterly!B$2,Quarterly!C$2,IF(COUNTIFS(Quarterly!B:B,"&gt;="&amp;A816-92,Quarterly!B:B,"&lt;="&amp;A816)&gt;1,SUMIFS(Quarterly!C:C,Quarterly!B:B,"&gt;="&amp;A816-88,Quarterly!B:B,"&lt;="&amp;A816),SUMIFS(Quarterly!C:C,Quarterly!B:B,"&gt;="&amp;A816-92,Quarterly!B:B,"&lt;="&amp;A816)))</f>
        <v>11037.1</v>
      </c>
      <c r="K816" s="13">
        <f t="shared" si="337"/>
        <v>8.4000000000000005E-2</v>
      </c>
      <c r="L816">
        <f t="shared" si="339"/>
        <v>927.57</v>
      </c>
      <c r="M816">
        <f>IF(A816&gt;=Quarterly!B$2,Quarterly!D$2,IF(COUNTIFS(Quarterly!B:B,"&gt;="&amp;A816-92,Quarterly!B:B,"&lt;="&amp;A816)&gt;1,SUMIFS(Quarterly!D:D,Quarterly!B:B,"&gt;="&amp;A816-88,Quarterly!B:B,"&lt;="&amp;A816),SUMIFS(Quarterly!D:D,Quarterly!B:B,"&gt;="&amp;A816-92,Quarterly!B:B,"&lt;="&amp;A816)))</f>
        <v>620.40899999999999</v>
      </c>
      <c r="N816" s="13">
        <f t="shared" si="340"/>
        <v>0.14951</v>
      </c>
      <c r="O816">
        <f t="shared" si="328"/>
        <v>927.57</v>
      </c>
      <c r="P816" s="56">
        <f>VLOOKUP(EOMONTH(A816,-1),Economic!A:I,7,FALSE)</f>
        <v>832133</v>
      </c>
      <c r="Q816" s="13">
        <f t="shared" si="329"/>
        <v>0.11150000000000002</v>
      </c>
      <c r="R816" s="41">
        <v>2.37</v>
      </c>
      <c r="S816">
        <f t="shared" si="330"/>
        <v>1.89</v>
      </c>
      <c r="T816" s="30">
        <f t="shared" si="331"/>
        <v>200.4</v>
      </c>
      <c r="U816" s="30">
        <f t="shared" si="338"/>
        <v>204.02</v>
      </c>
    </row>
    <row r="817" spans="1:21" ht="15" customHeight="1" x14ac:dyDescent="0.25">
      <c r="A817" s="5">
        <v>37626</v>
      </c>
      <c r="B817" s="5">
        <f t="shared" si="332"/>
        <v>37652</v>
      </c>
      <c r="C817">
        <v>908.59</v>
      </c>
      <c r="D817" s="29">
        <f t="shared" si="333"/>
        <v>1.72E-2</v>
      </c>
      <c r="E817" s="39">
        <f t="shared" si="334"/>
        <v>897.7853846153846</v>
      </c>
      <c r="F817" s="39">
        <f t="shared" si="335"/>
        <v>943.84871794871788</v>
      </c>
      <c r="G817" s="29">
        <f t="shared" si="327"/>
        <v>1.2E-2</v>
      </c>
      <c r="H817" s="29">
        <f t="shared" si="327"/>
        <v>-3.7400000000000003E-2</v>
      </c>
      <c r="I817">
        <f t="shared" si="336"/>
        <v>908.59</v>
      </c>
      <c r="J817">
        <f>IF(A817&gt;=Quarterly!B$2,Quarterly!C$2,IF(COUNTIFS(Quarterly!B:B,"&gt;="&amp;A817-92,Quarterly!B:B,"&lt;="&amp;A817)&gt;1,SUMIFS(Quarterly!C:C,Quarterly!B:B,"&gt;="&amp;A817-88,Quarterly!B:B,"&lt;="&amp;A817),SUMIFS(Quarterly!C:C,Quarterly!B:B,"&gt;="&amp;A817-92,Quarterly!B:B,"&lt;="&amp;A817)))</f>
        <v>11037.1</v>
      </c>
      <c r="K817" s="13">
        <f t="shared" si="337"/>
        <v>8.2299999999999998E-2</v>
      </c>
      <c r="L817">
        <f t="shared" si="339"/>
        <v>908.59</v>
      </c>
      <c r="M817">
        <f>IF(A817&gt;=Quarterly!B$2,Quarterly!D$2,IF(COUNTIFS(Quarterly!B:B,"&gt;="&amp;A817-92,Quarterly!B:B,"&lt;="&amp;A817)&gt;1,SUMIFS(Quarterly!D:D,Quarterly!B:B,"&gt;="&amp;A817-88,Quarterly!B:B,"&lt;="&amp;A817),SUMIFS(Quarterly!D:D,Quarterly!B:B,"&gt;="&amp;A817-92,Quarterly!B:B,"&lt;="&amp;A817)))</f>
        <v>620.40899999999999</v>
      </c>
      <c r="N817" s="13">
        <f t="shared" si="340"/>
        <v>0.14645</v>
      </c>
      <c r="O817">
        <f t="shared" si="328"/>
        <v>908.59</v>
      </c>
      <c r="P817" s="56">
        <f>VLOOKUP(EOMONTH(A817,-1),Economic!A:I,7,FALSE)</f>
        <v>832133</v>
      </c>
      <c r="Q817" s="13">
        <f t="shared" si="329"/>
        <v>0.10920000000000001</v>
      </c>
      <c r="R817" s="41">
        <v>2.2599999999999998</v>
      </c>
      <c r="S817">
        <f t="shared" si="330"/>
        <v>1.89</v>
      </c>
      <c r="T817" s="30">
        <f t="shared" si="331"/>
        <v>203.63</v>
      </c>
      <c r="U817" s="30">
        <f t="shared" si="338"/>
        <v>206.46</v>
      </c>
    </row>
    <row r="818" spans="1:21" ht="15" customHeight="1" x14ac:dyDescent="0.25">
      <c r="A818" s="5">
        <v>37619</v>
      </c>
      <c r="B818" s="5">
        <f t="shared" si="332"/>
        <v>37621</v>
      </c>
      <c r="C818">
        <v>875.4</v>
      </c>
      <c r="D818" s="29">
        <f t="shared" si="333"/>
        <v>-3.6400000000000002E-2</v>
      </c>
      <c r="E818" s="39">
        <f t="shared" si="334"/>
        <v>889.47692307692296</v>
      </c>
      <c r="F818" s="39">
        <f t="shared" si="335"/>
        <v>949.33948717948726</v>
      </c>
      <c r="G818" s="29">
        <f t="shared" si="327"/>
        <v>-1.5800000000000002E-2</v>
      </c>
      <c r="H818" s="29">
        <f t="shared" si="327"/>
        <v>-7.7899999999999997E-2</v>
      </c>
      <c r="I818">
        <f t="shared" si="336"/>
        <v>875.4</v>
      </c>
      <c r="J818">
        <f>IF(A818&gt;=Quarterly!B$2,Quarterly!C$2,IF(COUNTIFS(Quarterly!B:B,"&gt;="&amp;A818-92,Quarterly!B:B,"&lt;="&amp;A818)&gt;1,SUMIFS(Quarterly!C:C,Quarterly!B:B,"&gt;="&amp;A818-88,Quarterly!B:B,"&lt;="&amp;A818),SUMIFS(Quarterly!C:C,Quarterly!B:B,"&gt;="&amp;A818-92,Quarterly!B:B,"&lt;="&amp;A818)))</f>
        <v>11037.1</v>
      </c>
      <c r="K818" s="13">
        <f t="shared" si="337"/>
        <v>7.9299999999999995E-2</v>
      </c>
      <c r="L818">
        <f t="shared" si="339"/>
        <v>875.4</v>
      </c>
      <c r="M818">
        <f>IF(A818&gt;=Quarterly!B$2,Quarterly!D$2,IF(COUNTIFS(Quarterly!B:B,"&gt;="&amp;A818-92,Quarterly!B:B,"&lt;="&amp;A818)&gt;1,SUMIFS(Quarterly!D:D,Quarterly!B:B,"&gt;="&amp;A818-88,Quarterly!B:B,"&lt;="&amp;A818),SUMIFS(Quarterly!D:D,Quarterly!B:B,"&gt;="&amp;A818-92,Quarterly!B:B,"&lt;="&amp;A818)))</f>
        <v>620.40899999999999</v>
      </c>
      <c r="N818" s="13">
        <f t="shared" si="340"/>
        <v>0.1411</v>
      </c>
      <c r="O818">
        <f t="shared" si="328"/>
        <v>875.4</v>
      </c>
      <c r="P818" s="56">
        <f>VLOOKUP(EOMONTH(A818,-1),Economic!A:I,7,FALSE)</f>
        <v>830717</v>
      </c>
      <c r="Q818" s="13">
        <f t="shared" si="329"/>
        <v>0.10540000000000001</v>
      </c>
      <c r="R818" s="41">
        <v>2.23</v>
      </c>
      <c r="S818">
        <f t="shared" si="330"/>
        <v>1.9</v>
      </c>
      <c r="T818" s="30">
        <f t="shared" si="331"/>
        <v>208.02</v>
      </c>
      <c r="U818" s="30">
        <f t="shared" si="338"/>
        <v>208.6</v>
      </c>
    </row>
    <row r="819" spans="1:21" ht="15" customHeight="1" x14ac:dyDescent="0.25">
      <c r="A819" s="5">
        <v>37612</v>
      </c>
      <c r="B819" s="5">
        <f t="shared" si="332"/>
        <v>37621</v>
      </c>
      <c r="C819">
        <v>895.76</v>
      </c>
      <c r="D819" s="29">
        <f t="shared" si="333"/>
        <v>-2.3300000000000001E-2</v>
      </c>
      <c r="E819" s="39">
        <f t="shared" si="334"/>
        <v>885.78230769230765</v>
      </c>
      <c r="F819" s="39">
        <f t="shared" si="335"/>
        <v>956.31358974358977</v>
      </c>
      <c r="G819" s="29">
        <f t="shared" si="327"/>
        <v>1.1299999999999999E-2</v>
      </c>
      <c r="H819" s="29">
        <f t="shared" si="327"/>
        <v>-6.3299999999999995E-2</v>
      </c>
      <c r="I819">
        <f t="shared" si="336"/>
        <v>895.76</v>
      </c>
      <c r="J819">
        <f>IF(A819&gt;=Quarterly!B$2,Quarterly!C$2,IF(COUNTIFS(Quarterly!B:B,"&gt;="&amp;A819-92,Quarterly!B:B,"&lt;="&amp;A819)&gt;1,SUMIFS(Quarterly!C:C,Quarterly!B:B,"&gt;="&amp;A819-88,Quarterly!B:B,"&lt;="&amp;A819),SUMIFS(Quarterly!C:C,Quarterly!B:B,"&gt;="&amp;A819-92,Quarterly!B:B,"&lt;="&amp;A819)))</f>
        <v>11037.1</v>
      </c>
      <c r="K819" s="13">
        <f t="shared" si="337"/>
        <v>8.1199999999999994E-2</v>
      </c>
      <c r="L819">
        <f t="shared" si="339"/>
        <v>895.76</v>
      </c>
      <c r="M819">
        <f>IF(A819&gt;=Quarterly!B$2,Quarterly!D$2,IF(COUNTIFS(Quarterly!B:B,"&gt;="&amp;A819-92,Quarterly!B:B,"&lt;="&amp;A819)&gt;1,SUMIFS(Quarterly!D:D,Quarterly!B:B,"&gt;="&amp;A819-88,Quarterly!B:B,"&lt;="&amp;A819),SUMIFS(Quarterly!D:D,Quarterly!B:B,"&gt;="&amp;A819-92,Quarterly!B:B,"&lt;="&amp;A819)))</f>
        <v>620.40899999999999</v>
      </c>
      <c r="N819" s="13">
        <f t="shared" si="340"/>
        <v>0.14438000000000001</v>
      </c>
      <c r="O819">
        <f t="shared" si="328"/>
        <v>895.76</v>
      </c>
      <c r="P819" s="56">
        <f>VLOOKUP(EOMONTH(A819,-1),Economic!A:I,7,FALSE)</f>
        <v>830717</v>
      </c>
      <c r="Q819" s="13">
        <f t="shared" si="329"/>
        <v>0.10779999999999999</v>
      </c>
      <c r="R819" s="41">
        <v>2.21</v>
      </c>
      <c r="S819">
        <f t="shared" si="330"/>
        <v>1.86</v>
      </c>
      <c r="T819" s="30">
        <f t="shared" si="331"/>
        <v>207.74</v>
      </c>
      <c r="U819" s="30">
        <f t="shared" si="338"/>
        <v>208.59</v>
      </c>
    </row>
    <row r="820" spans="1:21" ht="15" customHeight="1" x14ac:dyDescent="0.25">
      <c r="A820" s="5">
        <v>37605</v>
      </c>
      <c r="B820" s="5">
        <f t="shared" si="332"/>
        <v>37621</v>
      </c>
      <c r="C820">
        <v>889.48</v>
      </c>
      <c r="D820" s="29">
        <f t="shared" si="333"/>
        <v>-3.5499999999999997E-2</v>
      </c>
      <c r="E820" s="39">
        <f t="shared" si="334"/>
        <v>881.90769230769229</v>
      </c>
      <c r="F820" s="39">
        <f t="shared" si="335"/>
        <v>962.79923076923069</v>
      </c>
      <c r="G820" s="29">
        <f t="shared" si="327"/>
        <v>8.6E-3</v>
      </c>
      <c r="H820" s="29">
        <f t="shared" si="327"/>
        <v>-7.6200000000000004E-2</v>
      </c>
      <c r="I820">
        <f t="shared" si="336"/>
        <v>889.48</v>
      </c>
      <c r="J820">
        <f>IF(A820&gt;=Quarterly!B$2,Quarterly!C$2,IF(COUNTIFS(Quarterly!B:B,"&gt;="&amp;A820-92,Quarterly!B:B,"&lt;="&amp;A820)&gt;1,SUMIFS(Quarterly!C:C,Quarterly!B:B,"&gt;="&amp;A820-88,Quarterly!B:B,"&lt;="&amp;A820),SUMIFS(Quarterly!C:C,Quarterly!B:B,"&gt;="&amp;A820-92,Quarterly!B:B,"&lt;="&amp;A820)))</f>
        <v>11037.1</v>
      </c>
      <c r="K820" s="13">
        <f t="shared" si="337"/>
        <v>8.0600000000000005E-2</v>
      </c>
      <c r="L820">
        <f t="shared" si="339"/>
        <v>889.48</v>
      </c>
      <c r="M820">
        <f>IF(A820&gt;=Quarterly!B$2,Quarterly!D$2,IF(COUNTIFS(Quarterly!B:B,"&gt;="&amp;A820-92,Quarterly!B:B,"&lt;="&amp;A820)&gt;1,SUMIFS(Quarterly!D:D,Quarterly!B:B,"&gt;="&amp;A820-88,Quarterly!B:B,"&lt;="&amp;A820),SUMIFS(Quarterly!D:D,Quarterly!B:B,"&gt;="&amp;A820-92,Quarterly!B:B,"&lt;="&amp;A820)))</f>
        <v>620.40899999999999</v>
      </c>
      <c r="N820" s="13">
        <f t="shared" si="340"/>
        <v>0.14337</v>
      </c>
      <c r="O820">
        <f t="shared" si="328"/>
        <v>889.48</v>
      </c>
      <c r="P820" s="56">
        <f>VLOOKUP(EOMONTH(A820,-1),Economic!A:I,7,FALSE)</f>
        <v>830717</v>
      </c>
      <c r="Q820" s="13">
        <f t="shared" si="329"/>
        <v>0.10709999999999999</v>
      </c>
      <c r="R820" s="41">
        <v>2.2000000000000002</v>
      </c>
      <c r="S820">
        <f t="shared" si="330"/>
        <v>1.87</v>
      </c>
      <c r="T820" s="30">
        <f t="shared" si="331"/>
        <v>210.03</v>
      </c>
      <c r="U820" s="30">
        <f t="shared" si="338"/>
        <v>208.11</v>
      </c>
    </row>
    <row r="821" spans="1:21" ht="15" customHeight="1" x14ac:dyDescent="0.25">
      <c r="A821" s="5">
        <v>37598</v>
      </c>
      <c r="B821" s="5">
        <f t="shared" si="332"/>
        <v>37621</v>
      </c>
      <c r="C821">
        <v>912.23</v>
      </c>
      <c r="D821" s="29">
        <f t="shared" si="333"/>
        <v>-6.1000000000000004E-3</v>
      </c>
      <c r="E821" s="39">
        <f t="shared" si="334"/>
        <v>881.9330769230769</v>
      </c>
      <c r="F821" s="39">
        <f t="shared" si="335"/>
        <v>969.89358974358993</v>
      </c>
      <c r="G821" s="29">
        <f t="shared" si="327"/>
        <v>3.44E-2</v>
      </c>
      <c r="H821" s="29">
        <f t="shared" si="327"/>
        <v>-5.9499999999999997E-2</v>
      </c>
      <c r="I821">
        <f t="shared" si="336"/>
        <v>912.23</v>
      </c>
      <c r="J821">
        <f>IF(A821&gt;=Quarterly!B$2,Quarterly!C$2,IF(COUNTIFS(Quarterly!B:B,"&gt;="&amp;A821-92,Quarterly!B:B,"&lt;="&amp;A821)&gt;1,SUMIFS(Quarterly!C:C,Quarterly!B:B,"&gt;="&amp;A821-88,Quarterly!B:B,"&lt;="&amp;A821),SUMIFS(Quarterly!C:C,Quarterly!B:B,"&gt;="&amp;A821-92,Quarterly!B:B,"&lt;="&amp;A821)))</f>
        <v>11037.1</v>
      </c>
      <c r="K821" s="13">
        <f t="shared" si="337"/>
        <v>8.2699999999999996E-2</v>
      </c>
      <c r="L821">
        <f t="shared" si="339"/>
        <v>912.23</v>
      </c>
      <c r="M821">
        <f>IF(A821&gt;=Quarterly!B$2,Quarterly!D$2,IF(COUNTIFS(Quarterly!B:B,"&gt;="&amp;A821-92,Quarterly!B:B,"&lt;="&amp;A821)&gt;1,SUMIFS(Quarterly!D:D,Quarterly!B:B,"&gt;="&amp;A821-88,Quarterly!B:B,"&lt;="&amp;A821),SUMIFS(Quarterly!D:D,Quarterly!B:B,"&gt;="&amp;A821-92,Quarterly!B:B,"&lt;="&amp;A821)))</f>
        <v>620.40899999999999</v>
      </c>
      <c r="N821" s="13">
        <f t="shared" si="340"/>
        <v>0.14704</v>
      </c>
      <c r="O821">
        <f t="shared" si="328"/>
        <v>912.23</v>
      </c>
      <c r="P821" s="56">
        <f>VLOOKUP(EOMONTH(A821,-1),Economic!A:I,7,FALSE)</f>
        <v>830717</v>
      </c>
      <c r="Q821" s="13">
        <f t="shared" si="329"/>
        <v>0.10980000000000001</v>
      </c>
      <c r="R821" s="41">
        <v>2.2000000000000002</v>
      </c>
      <c r="S821">
        <f t="shared" si="330"/>
        <v>1.81</v>
      </c>
      <c r="T821" s="30">
        <f t="shared" si="331"/>
        <v>207.99</v>
      </c>
      <c r="U821" s="30">
        <f t="shared" si="338"/>
        <v>207.73</v>
      </c>
    </row>
    <row r="822" spans="1:21" ht="15" customHeight="1" x14ac:dyDescent="0.25">
      <c r="A822" s="5">
        <v>37591</v>
      </c>
      <c r="B822" s="5">
        <f t="shared" si="332"/>
        <v>37621</v>
      </c>
      <c r="C822">
        <v>936.31</v>
      </c>
      <c r="D822" s="29">
        <f t="shared" si="333"/>
        <v>0.03</v>
      </c>
      <c r="E822" s="39">
        <f t="shared" si="334"/>
        <v>880.52461538461534</v>
      </c>
      <c r="F822" s="39">
        <f t="shared" si="335"/>
        <v>976.35717948717934</v>
      </c>
      <c r="G822" s="29">
        <f t="shared" si="327"/>
        <v>6.3399999999999998E-2</v>
      </c>
      <c r="H822" s="29">
        <f t="shared" si="327"/>
        <v>-4.1000000000000002E-2</v>
      </c>
      <c r="I822">
        <f t="shared" si="336"/>
        <v>936.31</v>
      </c>
      <c r="J822">
        <f>IF(A822&gt;=Quarterly!B$2,Quarterly!C$2,IF(COUNTIFS(Quarterly!B:B,"&gt;="&amp;A822-92,Quarterly!B:B,"&lt;="&amp;A822)&gt;1,SUMIFS(Quarterly!C:C,Quarterly!B:B,"&gt;="&amp;A822-88,Quarterly!B:B,"&lt;="&amp;A822),SUMIFS(Quarterly!C:C,Quarterly!B:B,"&gt;="&amp;A822-92,Quarterly!B:B,"&lt;="&amp;A822)))</f>
        <v>11037.1</v>
      </c>
      <c r="K822" s="13">
        <f t="shared" si="337"/>
        <v>8.48E-2</v>
      </c>
      <c r="L822">
        <f t="shared" si="339"/>
        <v>936.31</v>
      </c>
      <c r="M822">
        <f>IF(A822&gt;=Quarterly!B$2,Quarterly!D$2,IF(COUNTIFS(Quarterly!B:B,"&gt;="&amp;A822-92,Quarterly!B:B,"&lt;="&amp;A822)&gt;1,SUMIFS(Quarterly!D:D,Quarterly!B:B,"&gt;="&amp;A822-88,Quarterly!B:B,"&lt;="&amp;A822),SUMIFS(Quarterly!D:D,Quarterly!B:B,"&gt;="&amp;A822-92,Quarterly!B:B,"&lt;="&amp;A822)))</f>
        <v>620.40899999999999</v>
      </c>
      <c r="N822" s="13">
        <f t="shared" si="340"/>
        <v>0.15092000000000003</v>
      </c>
      <c r="O822">
        <f t="shared" si="328"/>
        <v>936.31</v>
      </c>
      <c r="P822" s="56">
        <f>VLOOKUP(EOMONTH(A822,-1),Economic!A:I,7,FALSE)</f>
        <v>830717</v>
      </c>
      <c r="Q822" s="13">
        <f t="shared" si="329"/>
        <v>0.11269999999999999</v>
      </c>
      <c r="R822" s="41">
        <v>2.14</v>
      </c>
      <c r="S822">
        <f t="shared" si="330"/>
        <v>1.74</v>
      </c>
      <c r="T822" s="30">
        <f t="shared" si="331"/>
        <v>206.31</v>
      </c>
      <c r="U822" s="30">
        <f t="shared" si="338"/>
        <v>207.26</v>
      </c>
    </row>
    <row r="823" spans="1:21" ht="15" customHeight="1" x14ac:dyDescent="0.25">
      <c r="A823" s="5">
        <v>37584</v>
      </c>
      <c r="B823" s="5">
        <f t="shared" si="332"/>
        <v>37590</v>
      </c>
      <c r="C823">
        <v>930.55</v>
      </c>
      <c r="D823" s="29">
        <f t="shared" si="333"/>
        <v>3.3000000000000002E-2</v>
      </c>
      <c r="E823" s="39">
        <f t="shared" si="334"/>
        <v>878.96769230769212</v>
      </c>
      <c r="F823" s="39">
        <f t="shared" si="335"/>
        <v>981.36923076923063</v>
      </c>
      <c r="G823" s="29">
        <f t="shared" si="327"/>
        <v>5.8700000000000002E-2</v>
      </c>
      <c r="H823" s="29">
        <f t="shared" si="327"/>
        <v>-5.1799999999999999E-2</v>
      </c>
      <c r="I823">
        <f t="shared" si="336"/>
        <v>930.55</v>
      </c>
      <c r="J823">
        <f>IF(A823&gt;=Quarterly!B$2,Quarterly!C$2,IF(COUNTIFS(Quarterly!B:B,"&gt;="&amp;A823-92,Quarterly!B:B,"&lt;="&amp;A823)&gt;1,SUMIFS(Quarterly!C:C,Quarterly!B:B,"&gt;="&amp;A823-88,Quarterly!B:B,"&lt;="&amp;A823),SUMIFS(Quarterly!C:C,Quarterly!B:B,"&gt;="&amp;A823-92,Quarterly!B:B,"&lt;="&amp;A823)))</f>
        <v>11037.1</v>
      </c>
      <c r="K823" s="13">
        <f t="shared" si="337"/>
        <v>8.43E-2</v>
      </c>
      <c r="L823">
        <f t="shared" si="339"/>
        <v>930.55</v>
      </c>
      <c r="M823">
        <f>IF(A823&gt;=Quarterly!B$2,Quarterly!D$2,IF(COUNTIFS(Quarterly!B:B,"&gt;="&amp;A823-92,Quarterly!B:B,"&lt;="&amp;A823)&gt;1,SUMIFS(Quarterly!D:D,Quarterly!B:B,"&gt;="&amp;A823-88,Quarterly!B:B,"&lt;="&amp;A823),SUMIFS(Quarterly!D:D,Quarterly!B:B,"&gt;="&amp;A823-92,Quarterly!B:B,"&lt;="&amp;A823)))</f>
        <v>620.40899999999999</v>
      </c>
      <c r="N823" s="13">
        <f t="shared" si="340"/>
        <v>0.14999000000000001</v>
      </c>
      <c r="O823">
        <f t="shared" si="328"/>
        <v>930.55</v>
      </c>
      <c r="P823" s="56">
        <f>VLOOKUP(EOMONTH(A823,-1),Economic!A:I,7,FALSE)</f>
        <v>828679</v>
      </c>
      <c r="Q823" s="13">
        <f t="shared" si="329"/>
        <v>0.11230000000000001</v>
      </c>
      <c r="R823" s="41">
        <v>2.08</v>
      </c>
      <c r="S823">
        <f t="shared" si="330"/>
        <v>1.79</v>
      </c>
      <c r="T823" s="30">
        <f t="shared" si="331"/>
        <v>208.89</v>
      </c>
      <c r="U823" s="30">
        <f t="shared" si="338"/>
        <v>202.79</v>
      </c>
    </row>
    <row r="824" spans="1:21" ht="15" customHeight="1" x14ac:dyDescent="0.25">
      <c r="A824" s="5">
        <v>37577</v>
      </c>
      <c r="B824" s="5">
        <f t="shared" si="332"/>
        <v>37590</v>
      </c>
      <c r="C824">
        <v>909.83</v>
      </c>
      <c r="D824" s="29">
        <f t="shared" si="333"/>
        <v>1.72E-2</v>
      </c>
      <c r="E824" s="39">
        <f t="shared" si="334"/>
        <v>879.76076923076937</v>
      </c>
      <c r="F824" s="39">
        <f t="shared" si="335"/>
        <v>985.45358974358942</v>
      </c>
      <c r="G824" s="29">
        <f t="shared" si="327"/>
        <v>3.4200000000000001E-2</v>
      </c>
      <c r="H824" s="29">
        <f t="shared" si="327"/>
        <v>-7.6700000000000004E-2</v>
      </c>
      <c r="I824">
        <f t="shared" si="336"/>
        <v>909.83</v>
      </c>
      <c r="J824">
        <f>IF(A824&gt;=Quarterly!B$2,Quarterly!C$2,IF(COUNTIFS(Quarterly!B:B,"&gt;="&amp;A824-92,Quarterly!B:B,"&lt;="&amp;A824)&gt;1,SUMIFS(Quarterly!C:C,Quarterly!B:B,"&gt;="&amp;A824-88,Quarterly!B:B,"&lt;="&amp;A824),SUMIFS(Quarterly!C:C,Quarterly!B:B,"&gt;="&amp;A824-92,Quarterly!B:B,"&lt;="&amp;A824)))</f>
        <v>11037.1</v>
      </c>
      <c r="K824" s="13">
        <f t="shared" si="337"/>
        <v>8.2400000000000001E-2</v>
      </c>
      <c r="L824">
        <f t="shared" si="339"/>
        <v>909.83</v>
      </c>
      <c r="M824">
        <f>IF(A824&gt;=Quarterly!B$2,Quarterly!D$2,IF(COUNTIFS(Quarterly!B:B,"&gt;="&amp;A824-92,Quarterly!B:B,"&lt;="&amp;A824)&gt;1,SUMIFS(Quarterly!D:D,Quarterly!B:B,"&gt;="&amp;A824-88,Quarterly!B:B,"&lt;="&amp;A824),SUMIFS(Quarterly!D:D,Quarterly!B:B,"&gt;="&amp;A824-92,Quarterly!B:B,"&lt;="&amp;A824)))</f>
        <v>620.40899999999999</v>
      </c>
      <c r="N824" s="13">
        <f t="shared" si="340"/>
        <v>0.14665</v>
      </c>
      <c r="O824">
        <f t="shared" si="328"/>
        <v>909.83</v>
      </c>
      <c r="P824" s="56">
        <f>VLOOKUP(EOMONTH(A824,-1),Economic!A:I,7,FALSE)</f>
        <v>828679</v>
      </c>
      <c r="Q824" s="13">
        <f t="shared" si="329"/>
        <v>0.10980000000000001</v>
      </c>
      <c r="R824" s="41">
        <v>2.14</v>
      </c>
      <c r="S824">
        <f t="shared" si="330"/>
        <v>1.7</v>
      </c>
      <c r="T824" s="30">
        <f t="shared" si="331"/>
        <v>206.58</v>
      </c>
      <c r="U824" s="30">
        <f t="shared" si="338"/>
        <v>196.84</v>
      </c>
    </row>
    <row r="825" spans="1:21" ht="15" customHeight="1" x14ac:dyDescent="0.25">
      <c r="A825" s="5">
        <v>37570</v>
      </c>
      <c r="B825" s="5">
        <f t="shared" si="332"/>
        <v>37590</v>
      </c>
      <c r="C825">
        <v>894.74</v>
      </c>
      <c r="D825" s="29">
        <f t="shared" si="333"/>
        <v>1.72E-2</v>
      </c>
      <c r="E825" s="39">
        <f t="shared" si="334"/>
        <v>881.21769230769235</v>
      </c>
      <c r="F825" s="39">
        <f t="shared" si="335"/>
        <v>990.43692307692277</v>
      </c>
      <c r="G825" s="29">
        <f t="shared" si="327"/>
        <v>1.5299999999999999E-2</v>
      </c>
      <c r="H825" s="29">
        <f t="shared" si="327"/>
        <v>-9.6600000000000005E-2</v>
      </c>
      <c r="I825">
        <f t="shared" si="336"/>
        <v>894.74</v>
      </c>
      <c r="J825">
        <f>IF(A825&gt;=Quarterly!B$2,Quarterly!C$2,IF(COUNTIFS(Quarterly!B:B,"&gt;="&amp;A825-92,Quarterly!B:B,"&lt;="&amp;A825)&gt;1,SUMIFS(Quarterly!C:C,Quarterly!B:B,"&gt;="&amp;A825-88,Quarterly!B:B,"&lt;="&amp;A825),SUMIFS(Quarterly!C:C,Quarterly!B:B,"&gt;="&amp;A825-92,Quarterly!B:B,"&lt;="&amp;A825)))</f>
        <v>11037.1</v>
      </c>
      <c r="K825" s="13">
        <f t="shared" si="337"/>
        <v>8.1100000000000005E-2</v>
      </c>
      <c r="L825">
        <f t="shared" si="339"/>
        <v>894.74</v>
      </c>
      <c r="M825">
        <f>IF(A825&gt;=Quarterly!B$2,Quarterly!D$2,IF(COUNTIFS(Quarterly!B:B,"&gt;="&amp;A825-92,Quarterly!B:B,"&lt;="&amp;A825)&gt;1,SUMIFS(Quarterly!D:D,Quarterly!B:B,"&gt;="&amp;A825-88,Quarterly!B:B,"&lt;="&amp;A825),SUMIFS(Quarterly!D:D,Quarterly!B:B,"&gt;="&amp;A825-92,Quarterly!B:B,"&lt;="&amp;A825)))</f>
        <v>620.40899999999999</v>
      </c>
      <c r="N825" s="13">
        <f t="shared" si="340"/>
        <v>0.14421999999999999</v>
      </c>
      <c r="O825">
        <f t="shared" si="328"/>
        <v>894.74</v>
      </c>
      <c r="P825" s="56">
        <f>VLOOKUP(EOMONTH(A825,-1),Economic!A:I,7,FALSE)</f>
        <v>828679</v>
      </c>
      <c r="Q825" s="13">
        <f t="shared" si="329"/>
        <v>0.108</v>
      </c>
      <c r="R825" s="41">
        <v>1.98</v>
      </c>
      <c r="S825">
        <f t="shared" si="330"/>
        <v>1.27</v>
      </c>
      <c r="T825" s="30">
        <f t="shared" si="331"/>
        <v>192.9</v>
      </c>
      <c r="U825" s="30">
        <f t="shared" si="338"/>
        <v>189.73</v>
      </c>
    </row>
    <row r="826" spans="1:21" ht="15" customHeight="1" x14ac:dyDescent="0.25">
      <c r="A826" s="5">
        <v>37563</v>
      </c>
      <c r="B826" s="5">
        <f t="shared" si="332"/>
        <v>37590</v>
      </c>
      <c r="C826">
        <v>900.96</v>
      </c>
      <c r="D826" s="29">
        <f t="shared" si="333"/>
        <v>5.4399999999999997E-2</v>
      </c>
      <c r="E826" s="39">
        <f t="shared" si="334"/>
        <v>882.28692307692313</v>
      </c>
      <c r="F826" s="39">
        <f t="shared" si="335"/>
        <v>995.60307692307686</v>
      </c>
      <c r="G826" s="29">
        <f t="shared" si="327"/>
        <v>2.12E-2</v>
      </c>
      <c r="H826" s="29">
        <f t="shared" si="327"/>
        <v>-9.5100000000000004E-2</v>
      </c>
      <c r="I826">
        <f t="shared" si="336"/>
        <v>900.96</v>
      </c>
      <c r="J826">
        <f>IF(A826&gt;=Quarterly!B$2,Quarterly!C$2,IF(COUNTIFS(Quarterly!B:B,"&gt;="&amp;A826-92,Quarterly!B:B,"&lt;="&amp;A826)&gt;1,SUMIFS(Quarterly!C:C,Quarterly!B:B,"&gt;="&amp;A826-88,Quarterly!B:B,"&lt;="&amp;A826),SUMIFS(Quarterly!C:C,Quarterly!B:B,"&gt;="&amp;A826-92,Quarterly!B:B,"&lt;="&amp;A826)))</f>
        <v>11037.1</v>
      </c>
      <c r="K826" s="13">
        <f t="shared" si="337"/>
        <v>8.1600000000000006E-2</v>
      </c>
      <c r="L826">
        <f t="shared" si="339"/>
        <v>900.96</v>
      </c>
      <c r="M826">
        <f>IF(A826&gt;=Quarterly!B$2,Quarterly!D$2,IF(COUNTIFS(Quarterly!B:B,"&gt;="&amp;A826-92,Quarterly!B:B,"&lt;="&amp;A826)&gt;1,SUMIFS(Quarterly!D:D,Quarterly!B:B,"&gt;="&amp;A826-88,Quarterly!B:B,"&lt;="&amp;A826),SUMIFS(Quarterly!D:D,Quarterly!B:B,"&gt;="&amp;A826-92,Quarterly!B:B,"&lt;="&amp;A826)))</f>
        <v>620.40899999999999</v>
      </c>
      <c r="N826" s="13">
        <f t="shared" si="340"/>
        <v>0.14521999999999999</v>
      </c>
      <c r="O826">
        <f t="shared" si="328"/>
        <v>900.96</v>
      </c>
      <c r="P826" s="56">
        <f>VLOOKUP(EOMONTH(A826,-1),Economic!A:I,7,FALSE)</f>
        <v>828679</v>
      </c>
      <c r="Q826" s="13">
        <f t="shared" si="329"/>
        <v>0.1087</v>
      </c>
      <c r="R826" s="41">
        <v>2.25</v>
      </c>
      <c r="S826">
        <f t="shared" si="330"/>
        <v>1.21</v>
      </c>
      <c r="T826" s="30">
        <f t="shared" si="331"/>
        <v>191.04</v>
      </c>
      <c r="U826" s="30">
        <f t="shared" si="338"/>
        <v>187.81</v>
      </c>
    </row>
    <row r="827" spans="1:21" ht="15" customHeight="1" x14ac:dyDescent="0.25">
      <c r="A827" s="5">
        <v>37556</v>
      </c>
      <c r="B827" s="5">
        <f t="shared" si="332"/>
        <v>37560</v>
      </c>
      <c r="C827">
        <v>897.65</v>
      </c>
      <c r="D827" s="29">
        <f t="shared" si="333"/>
        <v>7.2599999999999998E-2</v>
      </c>
      <c r="E827" s="39">
        <f t="shared" si="334"/>
        <v>879.46230769230772</v>
      </c>
      <c r="F827" s="39">
        <f t="shared" si="335"/>
        <v>1001.2758974358971</v>
      </c>
      <c r="G827" s="29">
        <f t="shared" si="327"/>
        <v>2.07E-2</v>
      </c>
      <c r="H827" s="29">
        <f t="shared" si="327"/>
        <v>-0.10349999999999999</v>
      </c>
      <c r="I827">
        <f t="shared" si="336"/>
        <v>897.65</v>
      </c>
      <c r="J827">
        <f>IF(A827&gt;=Quarterly!B$2,Quarterly!C$2,IF(COUNTIFS(Quarterly!B:B,"&gt;="&amp;A827-92,Quarterly!B:B,"&lt;="&amp;A827)&gt;1,SUMIFS(Quarterly!C:C,Quarterly!B:B,"&gt;="&amp;A827-88,Quarterly!B:B,"&lt;="&amp;A827),SUMIFS(Quarterly!C:C,Quarterly!B:B,"&gt;="&amp;A827-92,Quarterly!B:B,"&lt;="&amp;A827)))</f>
        <v>10934.8</v>
      </c>
      <c r="K827" s="13">
        <f t="shared" si="337"/>
        <v>8.2100000000000006E-2</v>
      </c>
      <c r="L827">
        <f t="shared" si="339"/>
        <v>897.65</v>
      </c>
      <c r="M827">
        <f>IF(A827&gt;=Quarterly!B$2,Quarterly!D$2,IF(COUNTIFS(Quarterly!B:B,"&gt;="&amp;A827-92,Quarterly!B:B,"&lt;="&amp;A827)&gt;1,SUMIFS(Quarterly!D:D,Quarterly!B:B,"&gt;="&amp;A827-88,Quarterly!B:B,"&lt;="&amp;A827),SUMIFS(Quarterly!D:D,Quarterly!B:B,"&gt;="&amp;A827-92,Quarterly!B:B,"&lt;="&amp;A827)))</f>
        <v>564.12800000000004</v>
      </c>
      <c r="N827" s="13">
        <f t="shared" si="340"/>
        <v>0.15912000000000001</v>
      </c>
      <c r="O827">
        <f t="shared" si="328"/>
        <v>897.65</v>
      </c>
      <c r="P827" s="56">
        <f>VLOOKUP(EOMONTH(A827,-1),Economic!A:I,7,FALSE)</f>
        <v>824461</v>
      </c>
      <c r="Q827" s="13">
        <f t="shared" si="329"/>
        <v>0.1089</v>
      </c>
      <c r="R827" s="41">
        <v>2.14</v>
      </c>
      <c r="S827">
        <f t="shared" si="330"/>
        <v>1.17</v>
      </c>
      <c r="T827" s="30">
        <f t="shared" si="331"/>
        <v>185.25</v>
      </c>
      <c r="U827" s="30">
        <f t="shared" si="338"/>
        <v>188.32</v>
      </c>
    </row>
    <row r="828" spans="1:21" ht="15" customHeight="1" x14ac:dyDescent="0.25">
      <c r="A828" s="5">
        <v>37549</v>
      </c>
      <c r="B828" s="5">
        <f t="shared" si="332"/>
        <v>37560</v>
      </c>
      <c r="C828">
        <v>884.39</v>
      </c>
      <c r="D828" s="29">
        <f t="shared" si="333"/>
        <v>6.9199999999999998E-2</v>
      </c>
      <c r="E828" s="39">
        <f t="shared" si="334"/>
        <v>876.01538461538451</v>
      </c>
      <c r="F828" s="39">
        <f t="shared" si="335"/>
        <v>1007.3176923076921</v>
      </c>
      <c r="G828" s="29">
        <f t="shared" si="327"/>
        <v>9.5999999999999992E-3</v>
      </c>
      <c r="H828" s="29">
        <f t="shared" si="327"/>
        <v>-0.122</v>
      </c>
      <c r="I828">
        <f t="shared" si="336"/>
        <v>884.39</v>
      </c>
      <c r="J828">
        <f>IF(A828&gt;=Quarterly!B$2,Quarterly!C$2,IF(COUNTIFS(Quarterly!B:B,"&gt;="&amp;A828-92,Quarterly!B:B,"&lt;="&amp;A828)&gt;1,SUMIFS(Quarterly!C:C,Quarterly!B:B,"&gt;="&amp;A828-88,Quarterly!B:B,"&lt;="&amp;A828),SUMIFS(Quarterly!C:C,Quarterly!B:B,"&gt;="&amp;A828-92,Quarterly!B:B,"&lt;="&amp;A828)))</f>
        <v>10934.8</v>
      </c>
      <c r="K828" s="13">
        <f t="shared" si="337"/>
        <v>8.09E-2</v>
      </c>
      <c r="L828">
        <f t="shared" si="339"/>
        <v>884.39</v>
      </c>
      <c r="M828">
        <f>IF(A828&gt;=Quarterly!B$2,Quarterly!D$2,IF(COUNTIFS(Quarterly!B:B,"&gt;="&amp;A828-92,Quarterly!B:B,"&lt;="&amp;A828)&gt;1,SUMIFS(Quarterly!D:D,Quarterly!B:B,"&gt;="&amp;A828-88,Quarterly!B:B,"&lt;="&amp;A828),SUMIFS(Quarterly!D:D,Quarterly!B:B,"&gt;="&amp;A828-92,Quarterly!B:B,"&lt;="&amp;A828)))</f>
        <v>564.12800000000004</v>
      </c>
      <c r="N828" s="13">
        <f t="shared" si="340"/>
        <v>0.15677000000000002</v>
      </c>
      <c r="O828">
        <f t="shared" si="328"/>
        <v>884.39</v>
      </c>
      <c r="P828" s="56">
        <f>VLOOKUP(EOMONTH(A828,-1),Economic!A:I,7,FALSE)</f>
        <v>824461</v>
      </c>
      <c r="Q828" s="13">
        <f t="shared" si="329"/>
        <v>0.10729999999999999</v>
      </c>
      <c r="R828" s="41">
        <v>2.0499999999999998</v>
      </c>
      <c r="S828">
        <f t="shared" si="330"/>
        <v>1.17</v>
      </c>
      <c r="T828" s="30">
        <f t="shared" si="331"/>
        <v>187.13</v>
      </c>
      <c r="U828" s="30">
        <f t="shared" si="338"/>
        <v>190.92</v>
      </c>
    </row>
    <row r="829" spans="1:21" ht="15" customHeight="1" x14ac:dyDescent="0.25">
      <c r="A829" s="5">
        <v>37542</v>
      </c>
      <c r="B829" s="5">
        <f t="shared" si="332"/>
        <v>37560</v>
      </c>
      <c r="C829">
        <v>835.32</v>
      </c>
      <c r="D829" s="29">
        <f t="shared" si="333"/>
        <v>-6.4999999999999997E-3</v>
      </c>
      <c r="E829" s="39">
        <f t="shared" si="334"/>
        <v>873.19692307692287</v>
      </c>
      <c r="F829" s="39">
        <f t="shared" si="335"/>
        <v>1013.5533333333332</v>
      </c>
      <c r="G829" s="29">
        <f t="shared" si="327"/>
        <v>-4.3400000000000001E-2</v>
      </c>
      <c r="H829" s="29">
        <f t="shared" si="327"/>
        <v>-0.17580000000000001</v>
      </c>
      <c r="I829">
        <f t="shared" si="336"/>
        <v>835.32</v>
      </c>
      <c r="J829">
        <f>IF(A829&gt;=Quarterly!B$2,Quarterly!C$2,IF(COUNTIFS(Quarterly!B:B,"&gt;="&amp;A829-92,Quarterly!B:B,"&lt;="&amp;A829)&gt;1,SUMIFS(Quarterly!C:C,Quarterly!B:B,"&gt;="&amp;A829-88,Quarterly!B:B,"&lt;="&amp;A829),SUMIFS(Quarterly!C:C,Quarterly!B:B,"&gt;="&amp;A829-92,Quarterly!B:B,"&lt;="&amp;A829)))</f>
        <v>10934.8</v>
      </c>
      <c r="K829" s="13">
        <f t="shared" si="337"/>
        <v>7.6399999999999996E-2</v>
      </c>
      <c r="L829">
        <f t="shared" si="339"/>
        <v>835.32</v>
      </c>
      <c r="M829">
        <f>IF(A829&gt;=Quarterly!B$2,Quarterly!D$2,IF(COUNTIFS(Quarterly!B:B,"&gt;="&amp;A829-92,Quarterly!B:B,"&lt;="&amp;A829)&gt;1,SUMIFS(Quarterly!D:D,Quarterly!B:B,"&gt;="&amp;A829-88,Quarterly!B:B,"&lt;="&amp;A829),SUMIFS(Quarterly!D:D,Quarterly!B:B,"&gt;="&amp;A829-92,Quarterly!B:B,"&lt;="&amp;A829)))</f>
        <v>564.12800000000004</v>
      </c>
      <c r="N829" s="13">
        <f t="shared" si="340"/>
        <v>0.14807000000000001</v>
      </c>
      <c r="O829">
        <f t="shared" si="328"/>
        <v>835.32</v>
      </c>
      <c r="P829" s="56">
        <f>VLOOKUP(EOMONTH(A829,-1),Economic!A:I,7,FALSE)</f>
        <v>824461</v>
      </c>
      <c r="Q829" s="13">
        <f t="shared" si="329"/>
        <v>0.1013</v>
      </c>
      <c r="R829" s="41">
        <v>1.98</v>
      </c>
      <c r="S829">
        <f t="shared" si="330"/>
        <v>1.26</v>
      </c>
      <c r="T829" s="30">
        <f t="shared" si="331"/>
        <v>192.59</v>
      </c>
      <c r="U829" s="30">
        <f t="shared" si="338"/>
        <v>191.06</v>
      </c>
    </row>
    <row r="830" spans="1:21" ht="15" customHeight="1" x14ac:dyDescent="0.25">
      <c r="A830" s="5">
        <v>37535</v>
      </c>
      <c r="B830" s="5">
        <f t="shared" si="332"/>
        <v>37560</v>
      </c>
      <c r="C830">
        <v>800.58</v>
      </c>
      <c r="D830" s="29">
        <f t="shared" si="333"/>
        <v>-7.3499999999999996E-2</v>
      </c>
      <c r="E830" s="39">
        <f t="shared" si="334"/>
        <v>879.81769230769225</v>
      </c>
      <c r="F830" s="39">
        <f t="shared" si="335"/>
        <v>1021.5092307692306</v>
      </c>
      <c r="G830" s="29">
        <f t="shared" si="327"/>
        <v>-9.01E-2</v>
      </c>
      <c r="H830" s="29">
        <f t="shared" si="327"/>
        <v>-0.21629999999999999</v>
      </c>
      <c r="I830">
        <f t="shared" si="336"/>
        <v>800.58</v>
      </c>
      <c r="J830">
        <f>IF(A830&gt;=Quarterly!B$2,Quarterly!C$2,IF(COUNTIFS(Quarterly!B:B,"&gt;="&amp;A830-92,Quarterly!B:B,"&lt;="&amp;A830)&gt;1,SUMIFS(Quarterly!C:C,Quarterly!B:B,"&gt;="&amp;A830-88,Quarterly!B:B,"&lt;="&amp;A830),SUMIFS(Quarterly!C:C,Quarterly!B:B,"&gt;="&amp;A830-92,Quarterly!B:B,"&lt;="&amp;A830)))</f>
        <v>10934.8</v>
      </c>
      <c r="K830" s="13">
        <f t="shared" si="337"/>
        <v>7.3200000000000001E-2</v>
      </c>
      <c r="L830">
        <f t="shared" si="339"/>
        <v>800.58</v>
      </c>
      <c r="M830">
        <f>IF(A830&gt;=Quarterly!B$2,Quarterly!D$2,IF(COUNTIFS(Quarterly!B:B,"&gt;="&amp;A830-92,Quarterly!B:B,"&lt;="&amp;A830)&gt;1,SUMIFS(Quarterly!D:D,Quarterly!B:B,"&gt;="&amp;A830-88,Quarterly!B:B,"&lt;="&amp;A830),SUMIFS(Quarterly!D:D,Quarterly!B:B,"&gt;="&amp;A830-92,Quarterly!B:B,"&lt;="&amp;A830)))</f>
        <v>564.12800000000004</v>
      </c>
      <c r="N830" s="13">
        <f t="shared" si="340"/>
        <v>0.14191000000000001</v>
      </c>
      <c r="O830">
        <f t="shared" si="328"/>
        <v>800.58</v>
      </c>
      <c r="P830" s="56">
        <f>VLOOKUP(EOMONTH(A830,-1),Economic!A:I,7,FALSE)</f>
        <v>824461</v>
      </c>
      <c r="Q830" s="13">
        <f t="shared" si="329"/>
        <v>9.7099999999999992E-2</v>
      </c>
      <c r="R830" s="41">
        <v>1.91</v>
      </c>
      <c r="S830">
        <f t="shared" si="330"/>
        <v>1.29</v>
      </c>
      <c r="T830" s="30">
        <f t="shared" si="331"/>
        <v>193.03</v>
      </c>
      <c r="U830" s="30">
        <f t="shared" si="338"/>
        <v>187.24</v>
      </c>
    </row>
    <row r="831" spans="1:21" ht="15" customHeight="1" x14ac:dyDescent="0.25">
      <c r="A831" s="5">
        <v>37528</v>
      </c>
      <c r="B831" s="5">
        <f t="shared" si="332"/>
        <v>37529</v>
      </c>
      <c r="C831">
        <v>827.37</v>
      </c>
      <c r="D831" s="29">
        <f t="shared" si="333"/>
        <v>-6.6500000000000004E-2</v>
      </c>
      <c r="E831" s="39">
        <f t="shared" si="334"/>
        <v>894.31384615384604</v>
      </c>
      <c r="F831" s="39">
        <f t="shared" si="335"/>
        <v>1031.0458974358974</v>
      </c>
      <c r="G831" s="29">
        <f t="shared" si="327"/>
        <v>-7.4899999999999994E-2</v>
      </c>
      <c r="H831" s="29">
        <f t="shared" si="327"/>
        <v>-0.19750000000000001</v>
      </c>
      <c r="I831">
        <f t="shared" si="336"/>
        <v>827.37</v>
      </c>
      <c r="J831">
        <f>IF(A831&gt;=Quarterly!B$2,Quarterly!C$2,IF(COUNTIFS(Quarterly!B:B,"&gt;="&amp;A831-92,Quarterly!B:B,"&lt;="&amp;A831)&gt;1,SUMIFS(Quarterly!C:C,Quarterly!B:B,"&gt;="&amp;A831-88,Quarterly!B:B,"&lt;="&amp;A831),SUMIFS(Quarterly!C:C,Quarterly!B:B,"&gt;="&amp;A831-92,Quarterly!B:B,"&lt;="&amp;A831)))</f>
        <v>10934.8</v>
      </c>
      <c r="K831" s="13">
        <f t="shared" si="337"/>
        <v>7.5700000000000003E-2</v>
      </c>
      <c r="L831">
        <f t="shared" si="339"/>
        <v>827.37</v>
      </c>
      <c r="M831">
        <f>IF(A831&gt;=Quarterly!B$2,Quarterly!D$2,IF(COUNTIFS(Quarterly!B:B,"&gt;="&amp;A831-92,Quarterly!B:B,"&lt;="&amp;A831)&gt;1,SUMIFS(Quarterly!D:D,Quarterly!B:B,"&gt;="&amp;A831-88,Quarterly!B:B,"&lt;="&amp;A831),SUMIFS(Quarterly!D:D,Quarterly!B:B,"&gt;="&amp;A831-92,Quarterly!B:B,"&lt;="&amp;A831)))</f>
        <v>564.12800000000004</v>
      </c>
      <c r="N831" s="13">
        <f t="shared" si="340"/>
        <v>0.14665999999999998</v>
      </c>
      <c r="O831">
        <f t="shared" si="328"/>
        <v>827.37</v>
      </c>
      <c r="P831" s="56">
        <f>VLOOKUP(EOMONTH(A831,-1),Economic!A:I,7,FALSE)</f>
        <v>823185</v>
      </c>
      <c r="Q831" s="13">
        <f t="shared" si="329"/>
        <v>0.10050000000000001</v>
      </c>
      <c r="R831" s="41">
        <v>1.87</v>
      </c>
      <c r="S831">
        <f t="shared" si="330"/>
        <v>1.26</v>
      </c>
      <c r="T831" s="30">
        <f t="shared" si="331"/>
        <v>187.55</v>
      </c>
      <c r="U831" s="30">
        <f t="shared" si="338"/>
        <v>181.58</v>
      </c>
    </row>
    <row r="832" spans="1:21" ht="15" customHeight="1" x14ac:dyDescent="0.25">
      <c r="A832" s="5">
        <v>37521</v>
      </c>
      <c r="B832" s="5">
        <f t="shared" si="332"/>
        <v>37529</v>
      </c>
      <c r="C832">
        <v>845.39</v>
      </c>
      <c r="D832" s="29">
        <f t="shared" si="333"/>
        <v>-7.1199999999999999E-2</v>
      </c>
      <c r="E832" s="39">
        <f t="shared" si="334"/>
        <v>906.81000000000006</v>
      </c>
      <c r="F832" s="39">
        <f t="shared" si="335"/>
        <v>1039.6010256410254</v>
      </c>
      <c r="G832" s="29">
        <f t="shared" si="327"/>
        <v>-6.7699999999999996E-2</v>
      </c>
      <c r="H832" s="29">
        <f t="shared" si="327"/>
        <v>-0.18679999999999999</v>
      </c>
      <c r="I832">
        <f t="shared" si="336"/>
        <v>845.39</v>
      </c>
      <c r="J832">
        <f>IF(A832&gt;=Quarterly!B$2,Quarterly!C$2,IF(COUNTIFS(Quarterly!B:B,"&gt;="&amp;A832-92,Quarterly!B:B,"&lt;="&amp;A832)&gt;1,SUMIFS(Quarterly!C:C,Quarterly!B:B,"&gt;="&amp;A832-88,Quarterly!B:B,"&lt;="&amp;A832),SUMIFS(Quarterly!C:C,Quarterly!B:B,"&gt;="&amp;A832-92,Quarterly!B:B,"&lt;="&amp;A832)))</f>
        <v>10934.8</v>
      </c>
      <c r="K832" s="13">
        <f t="shared" si="337"/>
        <v>7.7299999999999994E-2</v>
      </c>
      <c r="L832">
        <f t="shared" si="339"/>
        <v>845.39</v>
      </c>
      <c r="M832">
        <f>IF(A832&gt;=Quarterly!B$2,Quarterly!D$2,IF(COUNTIFS(Quarterly!B:B,"&gt;="&amp;A832-92,Quarterly!B:B,"&lt;="&amp;A832)&gt;1,SUMIFS(Quarterly!D:D,Quarterly!B:B,"&gt;="&amp;A832-88,Quarterly!B:B,"&lt;="&amp;A832),SUMIFS(Quarterly!D:D,Quarterly!B:B,"&gt;="&amp;A832-92,Quarterly!B:B,"&lt;="&amp;A832)))</f>
        <v>564.12800000000004</v>
      </c>
      <c r="N832" s="13">
        <f t="shared" si="340"/>
        <v>0.14985999999999999</v>
      </c>
      <c r="O832">
        <f t="shared" si="328"/>
        <v>845.39</v>
      </c>
      <c r="P832" s="56">
        <f>VLOOKUP(EOMONTH(A832,-1),Economic!A:I,7,FALSE)</f>
        <v>823185</v>
      </c>
      <c r="Q832" s="13">
        <f t="shared" si="329"/>
        <v>0.10269999999999999</v>
      </c>
      <c r="R832" s="41">
        <v>1.85</v>
      </c>
      <c r="S832">
        <f t="shared" si="330"/>
        <v>1.17</v>
      </c>
      <c r="T832" s="30">
        <f t="shared" si="331"/>
        <v>181.14</v>
      </c>
      <c r="U832" s="30">
        <f t="shared" si="338"/>
        <v>177.98</v>
      </c>
    </row>
    <row r="833" spans="1:21" ht="15" customHeight="1" x14ac:dyDescent="0.25">
      <c r="A833" s="5">
        <v>37514</v>
      </c>
      <c r="B833" s="5">
        <f t="shared" si="332"/>
        <v>37529</v>
      </c>
      <c r="C833">
        <v>889.81</v>
      </c>
      <c r="D833" s="29">
        <f t="shared" si="333"/>
        <v>-3.27E-2</v>
      </c>
      <c r="E833" s="39">
        <f t="shared" si="334"/>
        <v>917.86769230769232</v>
      </c>
      <c r="F833" s="39">
        <f t="shared" si="335"/>
        <v>1047.2805128205127</v>
      </c>
      <c r="G833" s="29">
        <f t="shared" si="327"/>
        <v>-3.0599999999999999E-2</v>
      </c>
      <c r="H833" s="29">
        <f t="shared" si="327"/>
        <v>-0.15040000000000001</v>
      </c>
      <c r="I833">
        <f t="shared" si="336"/>
        <v>889.81</v>
      </c>
      <c r="J833">
        <f>IF(A833&gt;=Quarterly!B$2,Quarterly!C$2,IF(COUNTIFS(Quarterly!B:B,"&gt;="&amp;A833-92,Quarterly!B:B,"&lt;="&amp;A833)&gt;1,SUMIFS(Quarterly!C:C,Quarterly!B:B,"&gt;="&amp;A833-88,Quarterly!B:B,"&lt;="&amp;A833),SUMIFS(Quarterly!C:C,Quarterly!B:B,"&gt;="&amp;A833-92,Quarterly!B:B,"&lt;="&amp;A833)))</f>
        <v>10934.8</v>
      </c>
      <c r="K833" s="13">
        <f t="shared" si="337"/>
        <v>8.14E-2</v>
      </c>
      <c r="L833">
        <f t="shared" si="339"/>
        <v>889.81</v>
      </c>
      <c r="M833">
        <f>IF(A833&gt;=Quarterly!B$2,Quarterly!D$2,IF(COUNTIFS(Quarterly!B:B,"&gt;="&amp;A833-92,Quarterly!B:B,"&lt;="&amp;A833)&gt;1,SUMIFS(Quarterly!D:D,Quarterly!B:B,"&gt;="&amp;A833-88,Quarterly!B:B,"&lt;="&amp;A833),SUMIFS(Quarterly!D:D,Quarterly!B:B,"&gt;="&amp;A833-92,Quarterly!B:B,"&lt;="&amp;A833)))</f>
        <v>564.12800000000004</v>
      </c>
      <c r="N833" s="13">
        <f t="shared" si="340"/>
        <v>0.15773000000000001</v>
      </c>
      <c r="O833">
        <f t="shared" si="328"/>
        <v>889.81</v>
      </c>
      <c r="P833" s="56">
        <f>VLOOKUP(EOMONTH(A833,-1),Economic!A:I,7,FALSE)</f>
        <v>823185</v>
      </c>
      <c r="Q833" s="13">
        <f t="shared" si="329"/>
        <v>0.10809999999999999</v>
      </c>
      <c r="R833" s="41">
        <v>1.85</v>
      </c>
      <c r="S833">
        <f t="shared" si="330"/>
        <v>1.1499999999999999</v>
      </c>
      <c r="T833" s="30">
        <f t="shared" si="331"/>
        <v>176.04</v>
      </c>
      <c r="U833" s="30">
        <f t="shared" si="338"/>
        <v>174.53</v>
      </c>
    </row>
    <row r="834" spans="1:21" ht="15" customHeight="1" x14ac:dyDescent="0.25">
      <c r="A834" s="5">
        <v>37507</v>
      </c>
      <c r="B834" s="5">
        <f t="shared" si="332"/>
        <v>37529</v>
      </c>
      <c r="C834">
        <v>893.92</v>
      </c>
      <c r="D834" s="29">
        <f t="shared" si="333"/>
        <v>-3.2099999999999997E-2</v>
      </c>
      <c r="E834" s="39">
        <f t="shared" si="334"/>
        <v>926.90307692307692</v>
      </c>
      <c r="F834" s="39">
        <f t="shared" si="335"/>
        <v>1053.2620512820511</v>
      </c>
      <c r="G834" s="29">
        <f t="shared" ref="G834:H897" si="341">ROUND(($C834-E834)/E834,4)</f>
        <v>-3.56E-2</v>
      </c>
      <c r="H834" s="29">
        <f t="shared" si="341"/>
        <v>-0.15129999999999999</v>
      </c>
      <c r="I834">
        <f t="shared" si="336"/>
        <v>893.92</v>
      </c>
      <c r="J834">
        <f>IF(A834&gt;=Quarterly!B$2,Quarterly!C$2,IF(COUNTIFS(Quarterly!B:B,"&gt;="&amp;A834-92,Quarterly!B:B,"&lt;="&amp;A834)&gt;1,SUMIFS(Quarterly!C:C,Quarterly!B:B,"&gt;="&amp;A834-88,Quarterly!B:B,"&lt;="&amp;A834),SUMIFS(Quarterly!C:C,Quarterly!B:B,"&gt;="&amp;A834-92,Quarterly!B:B,"&lt;="&amp;A834)))</f>
        <v>10934.8</v>
      </c>
      <c r="K834" s="13">
        <f t="shared" si="337"/>
        <v>8.1799999999999998E-2</v>
      </c>
      <c r="L834">
        <f t="shared" si="339"/>
        <v>893.92</v>
      </c>
      <c r="M834">
        <f>IF(A834&gt;=Quarterly!B$2,Quarterly!D$2,IF(COUNTIFS(Quarterly!B:B,"&gt;="&amp;A834-92,Quarterly!B:B,"&lt;="&amp;A834)&gt;1,SUMIFS(Quarterly!D:D,Quarterly!B:B,"&gt;="&amp;A834-88,Quarterly!B:B,"&lt;="&amp;A834),SUMIFS(Quarterly!D:D,Quarterly!B:B,"&gt;="&amp;A834-92,Quarterly!B:B,"&lt;="&amp;A834)))</f>
        <v>564.12800000000004</v>
      </c>
      <c r="N834" s="13">
        <f t="shared" si="340"/>
        <v>0.15846000000000002</v>
      </c>
      <c r="O834">
        <f t="shared" si="328"/>
        <v>893.92</v>
      </c>
      <c r="P834" s="56">
        <f>VLOOKUP(EOMONTH(A834,-1),Economic!A:I,7,FALSE)</f>
        <v>823185</v>
      </c>
      <c r="Q834" s="13">
        <f t="shared" si="329"/>
        <v>0.10859999999999999</v>
      </c>
      <c r="R834" s="41">
        <v>1.97</v>
      </c>
      <c r="S834">
        <f t="shared" si="330"/>
        <v>1.25</v>
      </c>
      <c r="T834" s="30">
        <f t="shared" si="331"/>
        <v>176.76</v>
      </c>
      <c r="U834" s="30">
        <f t="shared" si="338"/>
        <v>171.84</v>
      </c>
    </row>
    <row r="835" spans="1:21" ht="15" customHeight="1" x14ac:dyDescent="0.25">
      <c r="A835" s="5">
        <v>37500</v>
      </c>
      <c r="B835" s="5">
        <f t="shared" si="332"/>
        <v>37529</v>
      </c>
      <c r="C835">
        <v>916.07</v>
      </c>
      <c r="D835" s="29">
        <f t="shared" si="333"/>
        <v>6.0000000000000001E-3</v>
      </c>
      <c r="E835" s="39">
        <f t="shared" si="334"/>
        <v>937.18076923076922</v>
      </c>
      <c r="F835" s="39">
        <f t="shared" si="335"/>
        <v>1060.0412820512818</v>
      </c>
      <c r="G835" s="29">
        <f t="shared" si="341"/>
        <v>-2.2499999999999999E-2</v>
      </c>
      <c r="H835" s="29">
        <f t="shared" si="341"/>
        <v>-0.1358</v>
      </c>
      <c r="I835">
        <f t="shared" si="336"/>
        <v>916.07</v>
      </c>
      <c r="J835">
        <f>IF(A835&gt;=Quarterly!B$2,Quarterly!C$2,IF(COUNTIFS(Quarterly!B:B,"&gt;="&amp;A835-92,Quarterly!B:B,"&lt;="&amp;A835)&gt;1,SUMIFS(Quarterly!C:C,Quarterly!B:B,"&gt;="&amp;A835-88,Quarterly!B:B,"&lt;="&amp;A835),SUMIFS(Quarterly!C:C,Quarterly!B:B,"&gt;="&amp;A835-92,Quarterly!B:B,"&lt;="&amp;A835)))</f>
        <v>10934.8</v>
      </c>
      <c r="K835" s="13">
        <f t="shared" si="337"/>
        <v>8.3799999999999999E-2</v>
      </c>
      <c r="L835">
        <f t="shared" si="339"/>
        <v>916.07</v>
      </c>
      <c r="M835">
        <f>IF(A835&gt;=Quarterly!B$2,Quarterly!D$2,IF(COUNTIFS(Quarterly!B:B,"&gt;="&amp;A835-92,Quarterly!B:B,"&lt;="&amp;A835)&gt;1,SUMIFS(Quarterly!D:D,Quarterly!B:B,"&gt;="&amp;A835-88,Quarterly!B:B,"&lt;="&amp;A835),SUMIFS(Quarterly!D:D,Quarterly!B:B,"&gt;="&amp;A835-92,Quarterly!B:B,"&lt;="&amp;A835)))</f>
        <v>564.12800000000004</v>
      </c>
      <c r="N835" s="13">
        <f t="shared" si="340"/>
        <v>0.16239000000000001</v>
      </c>
      <c r="O835">
        <f t="shared" si="328"/>
        <v>916.07</v>
      </c>
      <c r="P835" s="56">
        <f>VLOOKUP(EOMONTH(A835,-1),Economic!A:I,7,FALSE)</f>
        <v>823185</v>
      </c>
      <c r="Q835" s="13">
        <f t="shared" si="329"/>
        <v>0.11130000000000001</v>
      </c>
      <c r="R835" s="41">
        <v>2</v>
      </c>
      <c r="S835">
        <f t="shared" si="330"/>
        <v>1.17</v>
      </c>
      <c r="T835" s="30">
        <f t="shared" si="331"/>
        <v>170.78</v>
      </c>
      <c r="U835" s="30">
        <f t="shared" si="338"/>
        <v>168.71</v>
      </c>
    </row>
    <row r="836" spans="1:21" ht="15" customHeight="1" x14ac:dyDescent="0.25">
      <c r="A836" s="5">
        <v>37493</v>
      </c>
      <c r="B836" s="5">
        <f t="shared" si="332"/>
        <v>37499</v>
      </c>
      <c r="C836">
        <v>940.86</v>
      </c>
      <c r="D836" s="29">
        <f t="shared" si="333"/>
        <v>5.8799999999999998E-2</v>
      </c>
      <c r="E836" s="39">
        <f t="shared" si="334"/>
        <v>948.80153846153848</v>
      </c>
      <c r="F836" s="39">
        <f t="shared" si="335"/>
        <v>1065.768974358974</v>
      </c>
      <c r="G836" s="29">
        <f t="shared" si="341"/>
        <v>-8.3999999999999995E-3</v>
      </c>
      <c r="H836" s="29">
        <f t="shared" si="341"/>
        <v>-0.1172</v>
      </c>
      <c r="I836">
        <f t="shared" si="336"/>
        <v>940.86</v>
      </c>
      <c r="J836">
        <f>IF(A836&gt;=Quarterly!B$2,Quarterly!C$2,IF(COUNTIFS(Quarterly!B:B,"&gt;="&amp;A836-92,Quarterly!B:B,"&lt;="&amp;A836)&gt;1,SUMIFS(Quarterly!C:C,Quarterly!B:B,"&gt;="&amp;A836-88,Quarterly!B:B,"&lt;="&amp;A836),SUMIFS(Quarterly!C:C,Quarterly!B:B,"&gt;="&amp;A836-92,Quarterly!B:B,"&lt;="&amp;A836)))</f>
        <v>10934.8</v>
      </c>
      <c r="K836" s="13">
        <f t="shared" si="337"/>
        <v>8.5999999999999993E-2</v>
      </c>
      <c r="L836">
        <f t="shared" si="339"/>
        <v>940.86</v>
      </c>
      <c r="M836">
        <f>IF(A836&gt;=Quarterly!B$2,Quarterly!D$2,IF(COUNTIFS(Quarterly!B:B,"&gt;="&amp;A836-92,Quarterly!B:B,"&lt;="&amp;A836)&gt;1,SUMIFS(Quarterly!D:D,Quarterly!B:B,"&gt;="&amp;A836-88,Quarterly!B:B,"&lt;="&amp;A836),SUMIFS(Quarterly!D:D,Quarterly!B:B,"&gt;="&amp;A836-92,Quarterly!B:B,"&lt;="&amp;A836)))</f>
        <v>564.12800000000004</v>
      </c>
      <c r="N836" s="13">
        <f t="shared" si="340"/>
        <v>0.16678000000000001</v>
      </c>
      <c r="O836">
        <f t="shared" si="328"/>
        <v>940.86</v>
      </c>
      <c r="P836" s="56">
        <f>VLOOKUP(EOMONTH(A836,-1),Economic!A:I,7,FALSE)</f>
        <v>817670</v>
      </c>
      <c r="Q836" s="13">
        <f t="shared" si="329"/>
        <v>0.11509999999999999</v>
      </c>
      <c r="R836" s="41">
        <v>2.06</v>
      </c>
      <c r="S836">
        <f t="shared" si="330"/>
        <v>1.21</v>
      </c>
      <c r="T836" s="30">
        <f t="shared" si="331"/>
        <v>167.99</v>
      </c>
      <c r="U836" s="30">
        <f t="shared" si="338"/>
        <v>166.22</v>
      </c>
    </row>
    <row r="837" spans="1:21" ht="15" customHeight="1" x14ac:dyDescent="0.25">
      <c r="A837" s="5">
        <v>37486</v>
      </c>
      <c r="B837" s="5">
        <f t="shared" si="332"/>
        <v>37499</v>
      </c>
      <c r="C837">
        <v>928.77</v>
      </c>
      <c r="D837" s="29">
        <f t="shared" si="333"/>
        <v>6.9599999999999995E-2</v>
      </c>
      <c r="E837" s="39">
        <f t="shared" si="334"/>
        <v>959.79846153846142</v>
      </c>
      <c r="F837" s="39">
        <f t="shared" si="335"/>
        <v>1071.1402564102559</v>
      </c>
      <c r="G837" s="29">
        <f t="shared" si="341"/>
        <v>-3.2300000000000002E-2</v>
      </c>
      <c r="H837" s="29">
        <f t="shared" si="341"/>
        <v>-0.13289999999999999</v>
      </c>
      <c r="I837">
        <f t="shared" si="336"/>
        <v>928.77</v>
      </c>
      <c r="J837">
        <f>IF(A837&gt;=Quarterly!B$2,Quarterly!C$2,IF(COUNTIFS(Quarterly!B:B,"&gt;="&amp;A837-92,Quarterly!B:B,"&lt;="&amp;A837)&gt;1,SUMIFS(Quarterly!C:C,Quarterly!B:B,"&gt;="&amp;A837-88,Quarterly!B:B,"&lt;="&amp;A837),SUMIFS(Quarterly!C:C,Quarterly!B:B,"&gt;="&amp;A837-92,Quarterly!B:B,"&lt;="&amp;A837)))</f>
        <v>10934.8</v>
      </c>
      <c r="K837" s="13">
        <f t="shared" si="337"/>
        <v>8.4900000000000003E-2</v>
      </c>
      <c r="L837">
        <f t="shared" si="339"/>
        <v>928.77</v>
      </c>
      <c r="M837">
        <f>IF(A837&gt;=Quarterly!B$2,Quarterly!D$2,IF(COUNTIFS(Quarterly!B:B,"&gt;="&amp;A837-92,Quarterly!B:B,"&lt;="&amp;A837)&gt;1,SUMIFS(Quarterly!D:D,Quarterly!B:B,"&gt;="&amp;A837-88,Quarterly!B:B,"&lt;="&amp;A837),SUMIFS(Quarterly!D:D,Quarterly!B:B,"&gt;="&amp;A837-92,Quarterly!B:B,"&lt;="&amp;A837)))</f>
        <v>564.12800000000004</v>
      </c>
      <c r="N837" s="13">
        <f t="shared" si="340"/>
        <v>0.16464000000000001</v>
      </c>
      <c r="O837">
        <f t="shared" si="328"/>
        <v>928.77</v>
      </c>
      <c r="P837" s="56">
        <f>VLOOKUP(EOMONTH(A837,-1),Economic!A:I,7,FALSE)</f>
        <v>817670</v>
      </c>
      <c r="Q837" s="13">
        <f t="shared" si="329"/>
        <v>0.11360000000000001</v>
      </c>
      <c r="R837" s="41">
        <v>2.04</v>
      </c>
      <c r="S837">
        <f t="shared" si="330"/>
        <v>1.26</v>
      </c>
      <c r="T837" s="30">
        <f t="shared" si="331"/>
        <v>167.37</v>
      </c>
      <c r="U837" s="30">
        <f t="shared" si="338"/>
        <v>164.2</v>
      </c>
    </row>
    <row r="838" spans="1:21" ht="15" customHeight="1" x14ac:dyDescent="0.25">
      <c r="A838" s="5">
        <v>37479</v>
      </c>
      <c r="B838" s="5">
        <f t="shared" si="332"/>
        <v>37499</v>
      </c>
      <c r="C838">
        <v>908.64</v>
      </c>
      <c r="D838" s="29">
        <f t="shared" si="333"/>
        <v>4.2599999999999999E-2</v>
      </c>
      <c r="E838" s="39">
        <f t="shared" si="334"/>
        <v>973.47692307692319</v>
      </c>
      <c r="F838" s="39">
        <f t="shared" si="335"/>
        <v>1076.5217948717946</v>
      </c>
      <c r="G838" s="29">
        <f t="shared" si="341"/>
        <v>-6.6600000000000006E-2</v>
      </c>
      <c r="H838" s="29">
        <f t="shared" si="341"/>
        <v>-0.15590000000000001</v>
      </c>
      <c r="I838">
        <f t="shared" si="336"/>
        <v>908.64</v>
      </c>
      <c r="J838">
        <f>IF(A838&gt;=Quarterly!B$2,Quarterly!C$2,IF(COUNTIFS(Quarterly!B:B,"&gt;="&amp;A838-92,Quarterly!B:B,"&lt;="&amp;A838)&gt;1,SUMIFS(Quarterly!C:C,Quarterly!B:B,"&gt;="&amp;A838-88,Quarterly!B:B,"&lt;="&amp;A838),SUMIFS(Quarterly!C:C,Quarterly!B:B,"&gt;="&amp;A838-92,Quarterly!B:B,"&lt;="&amp;A838)))</f>
        <v>10934.8</v>
      </c>
      <c r="K838" s="13">
        <f t="shared" si="337"/>
        <v>8.3099999999999993E-2</v>
      </c>
      <c r="L838">
        <f t="shared" si="339"/>
        <v>908.64</v>
      </c>
      <c r="M838">
        <f>IF(A838&gt;=Quarterly!B$2,Quarterly!D$2,IF(COUNTIFS(Quarterly!B:B,"&gt;="&amp;A838-92,Quarterly!B:B,"&lt;="&amp;A838)&gt;1,SUMIFS(Quarterly!D:D,Quarterly!B:B,"&gt;="&amp;A838-88,Quarterly!B:B,"&lt;="&amp;A838),SUMIFS(Quarterly!D:D,Quarterly!B:B,"&gt;="&amp;A838-92,Quarterly!B:B,"&lt;="&amp;A838)))</f>
        <v>564.12800000000004</v>
      </c>
      <c r="N838" s="13">
        <f t="shared" si="340"/>
        <v>0.16107000000000002</v>
      </c>
      <c r="O838">
        <f t="shared" ref="O838:O901" si="342">C838</f>
        <v>908.64</v>
      </c>
      <c r="P838" s="56">
        <f>VLOOKUP(EOMONTH(A838,-1),Economic!A:I,7,FALSE)</f>
        <v>817670</v>
      </c>
      <c r="Q838" s="13">
        <f t="shared" ref="Q838:Q901" si="343">ROUND(O838/P838,6)*100</f>
        <v>0.1111</v>
      </c>
      <c r="R838" s="41">
        <v>2.17</v>
      </c>
      <c r="S838">
        <f t="shared" ref="S838:S901" si="344">R899</f>
        <v>1.21</v>
      </c>
      <c r="T838" s="30">
        <f t="shared" ref="T838:T901" si="345">IF((ROUND((S838*40)+(G838*350)-(H838*100)-((N838-0.15)*350)-(((K838*10.5)-1)*270)-(Q838*100),2)+144)*0.8&lt;0,0,ROUND((ROUND((S838*40)+(G838*350)-(H838*100)-((N838-0.15)*350)-(((K838*10.5)-1)*270)-(Q838*100),2)+144)*0.8,2))</f>
        <v>163.29</v>
      </c>
      <c r="U838" s="30">
        <f t="shared" si="338"/>
        <v>159.66999999999999</v>
      </c>
    </row>
    <row r="839" spans="1:21" ht="15" customHeight="1" x14ac:dyDescent="0.25">
      <c r="A839" s="5">
        <v>37472</v>
      </c>
      <c r="B839" s="5">
        <f t="shared" si="332"/>
        <v>37499</v>
      </c>
      <c r="C839">
        <v>864.24</v>
      </c>
      <c r="D839" s="29">
        <f t="shared" si="333"/>
        <v>-4.2700000000000002E-2</v>
      </c>
      <c r="E839" s="39">
        <f t="shared" si="334"/>
        <v>984.73461538461538</v>
      </c>
      <c r="F839" s="39">
        <f t="shared" si="335"/>
        <v>1081.9492307692303</v>
      </c>
      <c r="G839" s="29">
        <f t="shared" si="341"/>
        <v>-0.12239999999999999</v>
      </c>
      <c r="H839" s="29">
        <f t="shared" si="341"/>
        <v>-0.20119999999999999</v>
      </c>
      <c r="I839">
        <f t="shared" si="336"/>
        <v>864.24</v>
      </c>
      <c r="J839">
        <f>IF(A839&gt;=Quarterly!B$2,Quarterly!C$2,IF(COUNTIFS(Quarterly!B:B,"&gt;="&amp;A839-92,Quarterly!B:B,"&lt;="&amp;A839)&gt;1,SUMIFS(Quarterly!C:C,Quarterly!B:B,"&gt;="&amp;A839-88,Quarterly!B:B,"&lt;="&amp;A839),SUMIFS(Quarterly!C:C,Quarterly!B:B,"&gt;="&amp;A839-92,Quarterly!B:B,"&lt;="&amp;A839)))</f>
        <v>10934.8</v>
      </c>
      <c r="K839" s="13">
        <f t="shared" si="337"/>
        <v>7.9000000000000001E-2</v>
      </c>
      <c r="L839">
        <f t="shared" si="339"/>
        <v>864.24</v>
      </c>
      <c r="M839">
        <f>IF(A839&gt;=Quarterly!B$2,Quarterly!D$2,IF(COUNTIFS(Quarterly!B:B,"&gt;="&amp;A839-92,Quarterly!B:B,"&lt;="&amp;A839)&gt;1,SUMIFS(Quarterly!D:D,Quarterly!B:B,"&gt;="&amp;A839-88,Quarterly!B:B,"&lt;="&amp;A839),SUMIFS(Quarterly!D:D,Quarterly!B:B,"&gt;="&amp;A839-92,Quarterly!B:B,"&lt;="&amp;A839)))</f>
        <v>564.12800000000004</v>
      </c>
      <c r="N839" s="13">
        <f t="shared" si="340"/>
        <v>0.1532</v>
      </c>
      <c r="O839">
        <f t="shared" si="342"/>
        <v>864.24</v>
      </c>
      <c r="P839" s="56">
        <f>VLOOKUP(EOMONTH(A839,-1),Economic!A:I,7,FALSE)</f>
        <v>817670</v>
      </c>
      <c r="Q839" s="13">
        <f t="shared" si="343"/>
        <v>0.1057</v>
      </c>
      <c r="R839" s="41">
        <v>2.34</v>
      </c>
      <c r="S839">
        <f t="shared" si="344"/>
        <v>1.17</v>
      </c>
      <c r="T839" s="30">
        <f t="shared" si="345"/>
        <v>161.94</v>
      </c>
      <c r="U839" s="30">
        <f t="shared" si="338"/>
        <v>153.61000000000001</v>
      </c>
    </row>
    <row r="840" spans="1:21" ht="15" customHeight="1" x14ac:dyDescent="0.25">
      <c r="A840" s="5">
        <v>37465</v>
      </c>
      <c r="B840" s="5">
        <f t="shared" si="332"/>
        <v>37468</v>
      </c>
      <c r="C840">
        <v>852.84</v>
      </c>
      <c r="D840" s="29">
        <f t="shared" si="333"/>
        <v>-8.9800000000000005E-2</v>
      </c>
      <c r="E840" s="39">
        <f t="shared" si="334"/>
        <v>1000.8261538461538</v>
      </c>
      <c r="F840" s="39">
        <f t="shared" si="335"/>
        <v>1087.6661538461533</v>
      </c>
      <c r="G840" s="29">
        <f t="shared" si="341"/>
        <v>-0.1479</v>
      </c>
      <c r="H840" s="29">
        <f t="shared" si="341"/>
        <v>-0.21590000000000001</v>
      </c>
      <c r="I840">
        <f t="shared" si="336"/>
        <v>852.84</v>
      </c>
      <c r="J840">
        <f>IF(A840&gt;=Quarterly!B$2,Quarterly!C$2,IF(COUNTIFS(Quarterly!B:B,"&gt;="&amp;A840-92,Quarterly!B:B,"&lt;="&amp;A840)&gt;1,SUMIFS(Quarterly!C:C,Quarterly!B:B,"&gt;="&amp;A840-88,Quarterly!B:B,"&lt;="&amp;A840),SUMIFS(Quarterly!C:C,Quarterly!B:B,"&gt;="&amp;A840-92,Quarterly!B:B,"&lt;="&amp;A840)))</f>
        <v>10834.4</v>
      </c>
      <c r="K840" s="13">
        <f t="shared" si="337"/>
        <v>7.8700000000000006E-2</v>
      </c>
      <c r="L840">
        <f t="shared" si="339"/>
        <v>852.84</v>
      </c>
      <c r="M840">
        <f>IF(A840&gt;=Quarterly!B$2,Quarterly!D$2,IF(COUNTIFS(Quarterly!B:B,"&gt;="&amp;A840-92,Quarterly!B:B,"&lt;="&amp;A840)&gt;1,SUMIFS(Quarterly!D:D,Quarterly!B:B,"&gt;="&amp;A840-88,Quarterly!B:B,"&lt;="&amp;A840),SUMIFS(Quarterly!D:D,Quarterly!B:B,"&gt;="&amp;A840-92,Quarterly!B:B,"&lt;="&amp;A840)))</f>
        <v>506.78699999999998</v>
      </c>
      <c r="N840" s="13">
        <f t="shared" si="340"/>
        <v>0.16828000000000001</v>
      </c>
      <c r="O840">
        <f t="shared" si="342"/>
        <v>852.84</v>
      </c>
      <c r="P840" s="56">
        <f>VLOOKUP(EOMONTH(A840,-1),Economic!A:I,7,FALSE)</f>
        <v>813101</v>
      </c>
      <c r="Q840" s="13">
        <f t="shared" si="343"/>
        <v>0.10490000000000001</v>
      </c>
      <c r="R840" s="41">
        <v>2.23</v>
      </c>
      <c r="S840">
        <f t="shared" si="344"/>
        <v>1.21</v>
      </c>
      <c r="T840" s="30">
        <f t="shared" si="345"/>
        <v>153.78</v>
      </c>
      <c r="U840" s="30">
        <f t="shared" si="338"/>
        <v>145.78</v>
      </c>
    </row>
    <row r="841" spans="1:21" ht="15" customHeight="1" x14ac:dyDescent="0.25">
      <c r="A841" s="5">
        <v>37458</v>
      </c>
      <c r="B841" s="5">
        <f t="shared" si="332"/>
        <v>37468</v>
      </c>
      <c r="C841">
        <v>847.75</v>
      </c>
      <c r="D841" s="29">
        <f t="shared" si="333"/>
        <v>-0.12809999999999999</v>
      </c>
      <c r="E841" s="39">
        <f t="shared" si="334"/>
        <v>1018.016923076923</v>
      </c>
      <c r="F841" s="39">
        <f t="shared" si="335"/>
        <v>1094.1217948717945</v>
      </c>
      <c r="G841" s="29">
        <f t="shared" si="341"/>
        <v>-0.1673</v>
      </c>
      <c r="H841" s="29">
        <f t="shared" si="341"/>
        <v>-0.22520000000000001</v>
      </c>
      <c r="I841">
        <f t="shared" si="336"/>
        <v>847.75</v>
      </c>
      <c r="J841">
        <f>IF(A841&gt;=Quarterly!B$2,Quarterly!C$2,IF(COUNTIFS(Quarterly!B:B,"&gt;="&amp;A841-92,Quarterly!B:B,"&lt;="&amp;A841)&gt;1,SUMIFS(Quarterly!C:C,Quarterly!B:B,"&gt;="&amp;A841-88,Quarterly!B:B,"&lt;="&amp;A841),SUMIFS(Quarterly!C:C,Quarterly!B:B,"&gt;="&amp;A841-92,Quarterly!B:B,"&lt;="&amp;A841)))</f>
        <v>10834.4</v>
      </c>
      <c r="K841" s="13">
        <f t="shared" si="337"/>
        <v>7.8200000000000006E-2</v>
      </c>
      <c r="L841">
        <f t="shared" si="339"/>
        <v>847.75</v>
      </c>
      <c r="M841">
        <f>IF(A841&gt;=Quarterly!B$2,Quarterly!D$2,IF(COUNTIFS(Quarterly!B:B,"&gt;="&amp;A841-92,Quarterly!B:B,"&lt;="&amp;A841)&gt;1,SUMIFS(Quarterly!D:D,Quarterly!B:B,"&gt;="&amp;A841-88,Quarterly!B:B,"&lt;="&amp;A841),SUMIFS(Quarterly!D:D,Quarterly!B:B,"&gt;="&amp;A841-92,Quarterly!B:B,"&lt;="&amp;A841)))</f>
        <v>506.78699999999998</v>
      </c>
      <c r="N841" s="13">
        <f t="shared" si="340"/>
        <v>0.16728000000000001</v>
      </c>
      <c r="O841">
        <f t="shared" si="342"/>
        <v>847.75</v>
      </c>
      <c r="P841" s="56">
        <f>VLOOKUP(EOMONTH(A841,-1),Economic!A:I,7,FALSE)</f>
        <v>813101</v>
      </c>
      <c r="Q841" s="13">
        <f t="shared" si="343"/>
        <v>0.1043</v>
      </c>
      <c r="R841" s="41">
        <v>2.13</v>
      </c>
      <c r="S841">
        <f t="shared" si="344"/>
        <v>1.04</v>
      </c>
      <c r="T841" s="30">
        <f t="shared" si="345"/>
        <v>145.11000000000001</v>
      </c>
      <c r="U841" s="30">
        <f t="shared" si="338"/>
        <v>136.88999999999999</v>
      </c>
    </row>
    <row r="842" spans="1:21" ht="15" customHeight="1" x14ac:dyDescent="0.25">
      <c r="A842" s="5">
        <v>37451</v>
      </c>
      <c r="B842" s="5">
        <f t="shared" si="332"/>
        <v>37468</v>
      </c>
      <c r="C842">
        <v>921.39</v>
      </c>
      <c r="D842" s="29">
        <f t="shared" si="333"/>
        <v>-7.2900000000000006E-2</v>
      </c>
      <c r="E842" s="39">
        <f t="shared" si="334"/>
        <v>1039.3569230769231</v>
      </c>
      <c r="F842" s="39">
        <f t="shared" si="335"/>
        <v>1099.9097435897434</v>
      </c>
      <c r="G842" s="29">
        <f t="shared" si="341"/>
        <v>-0.1135</v>
      </c>
      <c r="H842" s="29">
        <f t="shared" si="341"/>
        <v>-0.1623</v>
      </c>
      <c r="I842">
        <f t="shared" si="336"/>
        <v>921.39</v>
      </c>
      <c r="J842">
        <f>IF(A842&gt;=Quarterly!B$2,Quarterly!C$2,IF(COUNTIFS(Quarterly!B:B,"&gt;="&amp;A842-92,Quarterly!B:B,"&lt;="&amp;A842)&gt;1,SUMIFS(Quarterly!C:C,Quarterly!B:B,"&gt;="&amp;A842-88,Quarterly!B:B,"&lt;="&amp;A842),SUMIFS(Quarterly!C:C,Quarterly!B:B,"&gt;="&amp;A842-92,Quarterly!B:B,"&lt;="&amp;A842)))</f>
        <v>10834.4</v>
      </c>
      <c r="K842" s="13">
        <f t="shared" si="337"/>
        <v>8.5000000000000006E-2</v>
      </c>
      <c r="L842">
        <f t="shared" si="339"/>
        <v>921.39</v>
      </c>
      <c r="M842">
        <f>IF(A842&gt;=Quarterly!B$2,Quarterly!D$2,IF(COUNTIFS(Quarterly!B:B,"&gt;="&amp;A842-92,Quarterly!B:B,"&lt;="&amp;A842)&gt;1,SUMIFS(Quarterly!D:D,Quarterly!B:B,"&gt;="&amp;A842-88,Quarterly!B:B,"&lt;="&amp;A842),SUMIFS(Quarterly!D:D,Quarterly!B:B,"&gt;="&amp;A842-92,Quarterly!B:B,"&lt;="&amp;A842)))</f>
        <v>506.78699999999998</v>
      </c>
      <c r="N842" s="13">
        <f t="shared" si="340"/>
        <v>0.18181000000000003</v>
      </c>
      <c r="O842">
        <f t="shared" si="342"/>
        <v>921.39</v>
      </c>
      <c r="P842" s="56">
        <f>VLOOKUP(EOMONTH(A842,-1),Economic!A:I,7,FALSE)</f>
        <v>813101</v>
      </c>
      <c r="Q842" s="13">
        <f t="shared" si="343"/>
        <v>0.11329999999999998</v>
      </c>
      <c r="R842" s="41">
        <v>2.0699999999999998</v>
      </c>
      <c r="S842">
        <f t="shared" si="344"/>
        <v>1.1499999999999999</v>
      </c>
      <c r="T842" s="30">
        <f t="shared" si="345"/>
        <v>138.46</v>
      </c>
      <c r="U842" s="30">
        <f t="shared" si="338"/>
        <v>129.91999999999999</v>
      </c>
    </row>
    <row r="843" spans="1:21" ht="15" customHeight="1" x14ac:dyDescent="0.25">
      <c r="A843" s="5">
        <v>37444</v>
      </c>
      <c r="B843" s="5">
        <f t="shared" si="332"/>
        <v>37468</v>
      </c>
      <c r="C843">
        <v>989.03</v>
      </c>
      <c r="D843" s="29">
        <f t="shared" si="333"/>
        <v>-1.44E-2</v>
      </c>
      <c r="E843" s="39">
        <f t="shared" si="334"/>
        <v>1053.9430769230769</v>
      </c>
      <c r="F843" s="39">
        <f t="shared" si="335"/>
        <v>1104.2753846153842</v>
      </c>
      <c r="G843" s="29">
        <f t="shared" si="341"/>
        <v>-6.1600000000000002E-2</v>
      </c>
      <c r="H843" s="29">
        <f t="shared" si="341"/>
        <v>-0.10440000000000001</v>
      </c>
      <c r="I843">
        <f t="shared" si="336"/>
        <v>989.03</v>
      </c>
      <c r="J843">
        <f>IF(A843&gt;=Quarterly!B$2,Quarterly!C$2,IF(COUNTIFS(Quarterly!B:B,"&gt;="&amp;A843-92,Quarterly!B:B,"&lt;="&amp;A843)&gt;1,SUMIFS(Quarterly!C:C,Quarterly!B:B,"&gt;="&amp;A843-88,Quarterly!B:B,"&lt;="&amp;A843),SUMIFS(Quarterly!C:C,Quarterly!B:B,"&gt;="&amp;A843-92,Quarterly!B:B,"&lt;="&amp;A843)))</f>
        <v>10834.4</v>
      </c>
      <c r="K843" s="13">
        <f t="shared" si="337"/>
        <v>9.1300000000000006E-2</v>
      </c>
      <c r="L843">
        <f t="shared" si="339"/>
        <v>989.03</v>
      </c>
      <c r="M843">
        <f>IF(A843&gt;=Quarterly!B$2,Quarterly!D$2,IF(COUNTIFS(Quarterly!B:B,"&gt;="&amp;A843-92,Quarterly!B:B,"&lt;="&amp;A843)&gt;1,SUMIFS(Quarterly!D:D,Quarterly!B:B,"&gt;="&amp;A843-88,Quarterly!B:B,"&lt;="&amp;A843),SUMIFS(Quarterly!D:D,Quarterly!B:B,"&gt;="&amp;A843-92,Quarterly!B:B,"&lt;="&amp;A843)))</f>
        <v>506.78699999999998</v>
      </c>
      <c r="N843" s="13">
        <f t="shared" si="340"/>
        <v>0.19516</v>
      </c>
      <c r="O843">
        <f t="shared" si="342"/>
        <v>989.03</v>
      </c>
      <c r="P843" s="56">
        <f>VLOOKUP(EOMONTH(A843,-1),Economic!A:I,7,FALSE)</f>
        <v>813101</v>
      </c>
      <c r="Q843" s="13">
        <f t="shared" si="343"/>
        <v>0.12160000000000001</v>
      </c>
      <c r="R843" s="41">
        <v>2</v>
      </c>
      <c r="S843">
        <f t="shared" si="344"/>
        <v>1.07</v>
      </c>
      <c r="T843" s="30">
        <f t="shared" si="345"/>
        <v>127.1</v>
      </c>
      <c r="U843" s="30">
        <f t="shared" si="338"/>
        <v>123.94</v>
      </c>
    </row>
    <row r="844" spans="1:21" ht="15" customHeight="1" x14ac:dyDescent="0.25">
      <c r="A844" s="5">
        <v>37437</v>
      </c>
      <c r="B844" s="5">
        <f t="shared" si="332"/>
        <v>37437</v>
      </c>
      <c r="C844">
        <v>989.82</v>
      </c>
      <c r="D844" s="29">
        <f t="shared" si="333"/>
        <v>-3.2199999999999999E-2</v>
      </c>
      <c r="E844" s="39">
        <f t="shared" si="334"/>
        <v>1064.2276923076925</v>
      </c>
      <c r="F844" s="39">
        <f t="shared" si="335"/>
        <v>1106.386923076923</v>
      </c>
      <c r="G844" s="29">
        <f t="shared" si="341"/>
        <v>-6.9900000000000004E-2</v>
      </c>
      <c r="H844" s="29">
        <f t="shared" si="341"/>
        <v>-0.10539999999999999</v>
      </c>
      <c r="I844">
        <f t="shared" si="336"/>
        <v>989.82</v>
      </c>
      <c r="J844">
        <f>IF(A844&gt;=Quarterly!B$2,Quarterly!C$2,IF(COUNTIFS(Quarterly!B:B,"&gt;="&amp;A844-92,Quarterly!B:B,"&lt;="&amp;A844)&gt;1,SUMIFS(Quarterly!C:C,Quarterly!B:B,"&gt;="&amp;A844-88,Quarterly!B:B,"&lt;="&amp;A844),SUMIFS(Quarterly!C:C,Quarterly!B:B,"&gt;="&amp;A844-92,Quarterly!B:B,"&lt;="&amp;A844)))</f>
        <v>10834.4</v>
      </c>
      <c r="K844" s="13">
        <f t="shared" si="337"/>
        <v>9.1399999999999995E-2</v>
      </c>
      <c r="L844">
        <f t="shared" si="339"/>
        <v>989.82</v>
      </c>
      <c r="M844">
        <f>IF(A844&gt;=Quarterly!B$2,Quarterly!D$2,IF(COUNTIFS(Quarterly!B:B,"&gt;="&amp;A844-92,Quarterly!B:B,"&lt;="&amp;A844)&gt;1,SUMIFS(Quarterly!D:D,Quarterly!B:B,"&gt;="&amp;A844-88,Quarterly!B:B,"&lt;="&amp;A844),SUMIFS(Quarterly!D:D,Quarterly!B:B,"&gt;="&amp;A844-92,Quarterly!B:B,"&lt;="&amp;A844)))</f>
        <v>506.78699999999998</v>
      </c>
      <c r="N844" s="13">
        <f t="shared" si="340"/>
        <v>0.19531000000000001</v>
      </c>
      <c r="O844">
        <f t="shared" si="342"/>
        <v>989.82</v>
      </c>
      <c r="P844" s="56">
        <f>VLOOKUP(EOMONTH(A844,-1),Economic!A:I,7,FALSE)</f>
        <v>807262</v>
      </c>
      <c r="Q844" s="13">
        <f t="shared" si="343"/>
        <v>0.12260000000000001</v>
      </c>
      <c r="R844" s="41">
        <v>1.96</v>
      </c>
      <c r="S844">
        <f t="shared" si="344"/>
        <v>1.06</v>
      </c>
      <c r="T844" s="30">
        <f t="shared" si="345"/>
        <v>124.19</v>
      </c>
      <c r="U844" s="30">
        <f t="shared" si="338"/>
        <v>117.86</v>
      </c>
    </row>
    <row r="845" spans="1:21" ht="15" customHeight="1" x14ac:dyDescent="0.25">
      <c r="A845" s="5">
        <v>37430</v>
      </c>
      <c r="B845" s="5">
        <f t="shared" si="332"/>
        <v>37437</v>
      </c>
      <c r="C845">
        <v>989.14</v>
      </c>
      <c r="D845" s="29">
        <f t="shared" si="333"/>
        <v>-5.4800000000000001E-2</v>
      </c>
      <c r="E845" s="39">
        <f t="shared" si="334"/>
        <v>1076.3484615384614</v>
      </c>
      <c r="F845" s="39">
        <f t="shared" si="335"/>
        <v>1107.697692307692</v>
      </c>
      <c r="G845" s="29">
        <f t="shared" si="341"/>
        <v>-8.1000000000000003E-2</v>
      </c>
      <c r="H845" s="29">
        <f t="shared" si="341"/>
        <v>-0.107</v>
      </c>
      <c r="I845">
        <f t="shared" si="336"/>
        <v>989.14</v>
      </c>
      <c r="J845">
        <f>IF(A845&gt;=Quarterly!B$2,Quarterly!C$2,IF(COUNTIFS(Quarterly!B:B,"&gt;="&amp;A845-92,Quarterly!B:B,"&lt;="&amp;A845)&gt;1,SUMIFS(Quarterly!C:C,Quarterly!B:B,"&gt;="&amp;A845-88,Quarterly!B:B,"&lt;="&amp;A845),SUMIFS(Quarterly!C:C,Quarterly!B:B,"&gt;="&amp;A845-92,Quarterly!B:B,"&lt;="&amp;A845)))</f>
        <v>10834.4</v>
      </c>
      <c r="K845" s="13">
        <f t="shared" si="337"/>
        <v>9.1300000000000006E-2</v>
      </c>
      <c r="L845">
        <f t="shared" si="339"/>
        <v>989.14</v>
      </c>
      <c r="M845">
        <f>IF(A845&gt;=Quarterly!B$2,Quarterly!D$2,IF(COUNTIFS(Quarterly!B:B,"&gt;="&amp;A845-92,Quarterly!B:B,"&lt;="&amp;A845)&gt;1,SUMIFS(Quarterly!D:D,Quarterly!B:B,"&gt;="&amp;A845-88,Quarterly!B:B,"&lt;="&amp;A845),SUMIFS(Quarterly!D:D,Quarterly!B:B,"&gt;="&amp;A845-92,Quarterly!B:B,"&lt;="&amp;A845)))</f>
        <v>506.78699999999998</v>
      </c>
      <c r="N845" s="13">
        <f t="shared" si="340"/>
        <v>0.19518000000000002</v>
      </c>
      <c r="O845">
        <f t="shared" si="342"/>
        <v>989.14</v>
      </c>
      <c r="P845" s="56">
        <f>VLOOKUP(EOMONTH(A845,-1),Economic!A:I,7,FALSE)</f>
        <v>807262</v>
      </c>
      <c r="Q845" s="13">
        <f t="shared" si="343"/>
        <v>0.1225</v>
      </c>
      <c r="R845" s="41">
        <v>1.91</v>
      </c>
      <c r="S845">
        <f t="shared" si="344"/>
        <v>1.03</v>
      </c>
      <c r="T845" s="30">
        <f t="shared" si="345"/>
        <v>120.52</v>
      </c>
      <c r="U845" s="30">
        <f t="shared" si="338"/>
        <v>111.37</v>
      </c>
    </row>
    <row r="846" spans="1:21" ht="15" customHeight="1" x14ac:dyDescent="0.25">
      <c r="A846" s="5">
        <v>37423</v>
      </c>
      <c r="B846" s="5">
        <f t="shared" si="332"/>
        <v>37437</v>
      </c>
      <c r="C846">
        <v>1007.27</v>
      </c>
      <c r="D846" s="29">
        <f t="shared" si="333"/>
        <v>-5.9700000000000003E-2</v>
      </c>
      <c r="E846" s="39">
        <f t="shared" si="334"/>
        <v>1088.6223076923077</v>
      </c>
      <c r="F846" s="39">
        <f t="shared" si="335"/>
        <v>1107.0992307692309</v>
      </c>
      <c r="G846" s="29">
        <f t="shared" si="341"/>
        <v>-7.4700000000000003E-2</v>
      </c>
      <c r="H846" s="29">
        <f t="shared" si="341"/>
        <v>-9.0200000000000002E-2</v>
      </c>
      <c r="I846">
        <f t="shared" si="336"/>
        <v>1007.27</v>
      </c>
      <c r="J846">
        <f>IF(A846&gt;=Quarterly!B$2,Quarterly!C$2,IF(COUNTIFS(Quarterly!B:B,"&gt;="&amp;A846-92,Quarterly!B:B,"&lt;="&amp;A846)&gt;1,SUMIFS(Quarterly!C:C,Quarterly!B:B,"&gt;="&amp;A846-88,Quarterly!B:B,"&lt;="&amp;A846),SUMIFS(Quarterly!C:C,Quarterly!B:B,"&gt;="&amp;A846-92,Quarterly!B:B,"&lt;="&amp;A846)))</f>
        <v>10834.4</v>
      </c>
      <c r="K846" s="13">
        <f t="shared" si="337"/>
        <v>9.2999999999999999E-2</v>
      </c>
      <c r="L846">
        <f t="shared" si="339"/>
        <v>1007.27</v>
      </c>
      <c r="M846">
        <f>IF(A846&gt;=Quarterly!B$2,Quarterly!D$2,IF(COUNTIFS(Quarterly!B:B,"&gt;="&amp;A846-92,Quarterly!B:B,"&lt;="&amp;A846)&gt;1,SUMIFS(Quarterly!D:D,Quarterly!B:B,"&gt;="&amp;A846-88,Quarterly!B:B,"&lt;="&amp;A846),SUMIFS(Quarterly!D:D,Quarterly!B:B,"&gt;="&amp;A846-92,Quarterly!B:B,"&lt;="&amp;A846)))</f>
        <v>506.78699999999998</v>
      </c>
      <c r="N846" s="13">
        <f t="shared" si="340"/>
        <v>0.19876000000000002</v>
      </c>
      <c r="O846">
        <f t="shared" si="342"/>
        <v>1007.27</v>
      </c>
      <c r="P846" s="56">
        <f>VLOOKUP(EOMONTH(A846,-1),Economic!A:I,7,FALSE)</f>
        <v>807262</v>
      </c>
      <c r="Q846" s="13">
        <f t="shared" si="343"/>
        <v>0.12479999999999999</v>
      </c>
      <c r="R846" s="41">
        <v>1.91</v>
      </c>
      <c r="S846">
        <f t="shared" si="344"/>
        <v>0.81</v>
      </c>
      <c r="T846" s="30">
        <f t="shared" si="345"/>
        <v>108.86</v>
      </c>
      <c r="U846" s="30">
        <f t="shared" si="338"/>
        <v>103.28</v>
      </c>
    </row>
    <row r="847" spans="1:21" ht="15" customHeight="1" x14ac:dyDescent="0.25">
      <c r="A847" s="5">
        <v>37416</v>
      </c>
      <c r="B847" s="5">
        <f t="shared" si="332"/>
        <v>37437</v>
      </c>
      <c r="C847">
        <v>1027.53</v>
      </c>
      <c r="D847" s="29">
        <f t="shared" si="333"/>
        <v>-4.6899999999999997E-2</v>
      </c>
      <c r="E847" s="39">
        <f t="shared" si="334"/>
        <v>1100.8446153846153</v>
      </c>
      <c r="F847" s="39">
        <f t="shared" si="335"/>
        <v>1109.2856410256411</v>
      </c>
      <c r="G847" s="29">
        <f t="shared" si="341"/>
        <v>-6.6600000000000006E-2</v>
      </c>
      <c r="H847" s="29">
        <f t="shared" si="341"/>
        <v>-7.3700000000000002E-2</v>
      </c>
      <c r="I847">
        <f t="shared" si="336"/>
        <v>1027.53</v>
      </c>
      <c r="J847">
        <f>IF(A847&gt;=Quarterly!B$2,Quarterly!C$2,IF(COUNTIFS(Quarterly!B:B,"&gt;="&amp;A847-92,Quarterly!B:B,"&lt;="&amp;A847)&gt;1,SUMIFS(Quarterly!C:C,Quarterly!B:B,"&gt;="&amp;A847-88,Quarterly!B:B,"&lt;="&amp;A847),SUMIFS(Quarterly!C:C,Quarterly!B:B,"&gt;="&amp;A847-92,Quarterly!B:B,"&lt;="&amp;A847)))</f>
        <v>10834.4</v>
      </c>
      <c r="K847" s="13">
        <f t="shared" si="337"/>
        <v>9.4799999999999995E-2</v>
      </c>
      <c r="L847">
        <f t="shared" si="339"/>
        <v>1027.53</v>
      </c>
      <c r="M847">
        <f>IF(A847&gt;=Quarterly!B$2,Quarterly!D$2,IF(COUNTIFS(Quarterly!B:B,"&gt;="&amp;A847-92,Quarterly!B:B,"&lt;="&amp;A847)&gt;1,SUMIFS(Quarterly!D:D,Quarterly!B:B,"&gt;="&amp;A847-88,Quarterly!B:B,"&lt;="&amp;A847),SUMIFS(Quarterly!D:D,Quarterly!B:B,"&gt;="&amp;A847-92,Quarterly!B:B,"&lt;="&amp;A847)))</f>
        <v>506.78699999999998</v>
      </c>
      <c r="N847" s="13">
        <f t="shared" si="340"/>
        <v>0.20274999999999999</v>
      </c>
      <c r="O847">
        <f t="shared" si="342"/>
        <v>1027.53</v>
      </c>
      <c r="P847" s="56">
        <f>VLOOKUP(EOMONTH(A847,-1),Economic!A:I,7,FALSE)</f>
        <v>807262</v>
      </c>
      <c r="Q847" s="13">
        <f t="shared" si="343"/>
        <v>0.1273</v>
      </c>
      <c r="R847" s="41">
        <v>1.94</v>
      </c>
      <c r="S847">
        <f t="shared" si="344"/>
        <v>0.82</v>
      </c>
      <c r="T847" s="30">
        <f t="shared" si="345"/>
        <v>104.73</v>
      </c>
      <c r="U847" s="30">
        <f t="shared" si="338"/>
        <v>96.2</v>
      </c>
    </row>
    <row r="848" spans="1:21" ht="15" customHeight="1" x14ac:dyDescent="0.25">
      <c r="A848" s="5">
        <v>37409</v>
      </c>
      <c r="B848" s="5">
        <f t="shared" si="332"/>
        <v>37437</v>
      </c>
      <c r="C848">
        <v>1067.1400000000001</v>
      </c>
      <c r="D848" s="29">
        <f t="shared" si="333"/>
        <v>-1.1599999999999999E-2</v>
      </c>
      <c r="E848" s="39">
        <f t="shared" si="334"/>
        <v>1111.3661538461538</v>
      </c>
      <c r="F848" s="39">
        <f t="shared" si="335"/>
        <v>1110.7792307692307</v>
      </c>
      <c r="G848" s="29">
        <f t="shared" si="341"/>
        <v>-3.9800000000000002E-2</v>
      </c>
      <c r="H848" s="29">
        <f t="shared" si="341"/>
        <v>-3.9300000000000002E-2</v>
      </c>
      <c r="I848">
        <f t="shared" si="336"/>
        <v>1067.1400000000001</v>
      </c>
      <c r="J848">
        <f>IF(A848&gt;=Quarterly!B$2,Quarterly!C$2,IF(COUNTIFS(Quarterly!B:B,"&gt;="&amp;A848-92,Quarterly!B:B,"&lt;="&amp;A848)&gt;1,SUMIFS(Quarterly!C:C,Quarterly!B:B,"&gt;="&amp;A848-88,Quarterly!B:B,"&lt;="&amp;A848),SUMIFS(Quarterly!C:C,Quarterly!B:B,"&gt;="&amp;A848-92,Quarterly!B:B,"&lt;="&amp;A848)))</f>
        <v>10834.4</v>
      </c>
      <c r="K848" s="13">
        <f t="shared" si="337"/>
        <v>9.8500000000000004E-2</v>
      </c>
      <c r="L848">
        <f t="shared" si="339"/>
        <v>1067.1400000000001</v>
      </c>
      <c r="M848">
        <f>IF(A848&gt;=Quarterly!B$2,Quarterly!D$2,IF(COUNTIFS(Quarterly!B:B,"&gt;="&amp;A848-92,Quarterly!B:B,"&lt;="&amp;A848)&gt;1,SUMIFS(Quarterly!D:D,Quarterly!B:B,"&gt;="&amp;A848-88,Quarterly!B:B,"&lt;="&amp;A848),SUMIFS(Quarterly!D:D,Quarterly!B:B,"&gt;="&amp;A848-92,Quarterly!B:B,"&lt;="&amp;A848)))</f>
        <v>506.78699999999998</v>
      </c>
      <c r="N848" s="13">
        <f t="shared" si="340"/>
        <v>0.21057000000000003</v>
      </c>
      <c r="O848">
        <f t="shared" si="342"/>
        <v>1067.1400000000001</v>
      </c>
      <c r="P848" s="56">
        <f>VLOOKUP(EOMONTH(A848,-1),Economic!A:I,7,FALSE)</f>
        <v>807262</v>
      </c>
      <c r="Q848" s="13">
        <f t="shared" si="343"/>
        <v>0.13220000000000001</v>
      </c>
      <c r="R848" s="41">
        <v>1.86</v>
      </c>
      <c r="S848">
        <f t="shared" si="344"/>
        <v>0.75</v>
      </c>
      <c r="T848" s="30">
        <f t="shared" si="345"/>
        <v>96.26</v>
      </c>
      <c r="U848" s="30">
        <f t="shared" si="338"/>
        <v>89.36</v>
      </c>
    </row>
    <row r="849" spans="1:21" ht="15" customHeight="1" x14ac:dyDescent="0.25">
      <c r="A849" s="5">
        <v>37402</v>
      </c>
      <c r="B849" s="5">
        <f t="shared" si="332"/>
        <v>37407</v>
      </c>
      <c r="C849">
        <v>1083.82</v>
      </c>
      <c r="D849" s="29">
        <f t="shared" si="333"/>
        <v>5.5999999999999999E-3</v>
      </c>
      <c r="E849" s="39">
        <f t="shared" si="334"/>
        <v>1116.3384615384616</v>
      </c>
      <c r="F849" s="39">
        <f t="shared" si="335"/>
        <v>1112.4828205128208</v>
      </c>
      <c r="G849" s="29">
        <f t="shared" si="341"/>
        <v>-2.9100000000000001E-2</v>
      </c>
      <c r="H849" s="29">
        <f t="shared" si="341"/>
        <v>-2.58E-2</v>
      </c>
      <c r="I849">
        <f t="shared" si="336"/>
        <v>1083.82</v>
      </c>
      <c r="J849">
        <f>IF(A849&gt;=Quarterly!B$2,Quarterly!C$2,IF(COUNTIFS(Quarterly!B:B,"&gt;="&amp;A849-92,Quarterly!B:B,"&lt;="&amp;A849)&gt;1,SUMIFS(Quarterly!C:C,Quarterly!B:B,"&gt;="&amp;A849-88,Quarterly!B:B,"&lt;="&amp;A849),SUMIFS(Quarterly!C:C,Quarterly!B:B,"&gt;="&amp;A849-92,Quarterly!B:B,"&lt;="&amp;A849)))</f>
        <v>10834.4</v>
      </c>
      <c r="K849" s="13">
        <f t="shared" si="337"/>
        <v>0.1</v>
      </c>
      <c r="L849">
        <f t="shared" si="339"/>
        <v>1083.82</v>
      </c>
      <c r="M849">
        <f>IF(A849&gt;=Quarterly!B$2,Quarterly!D$2,IF(COUNTIFS(Quarterly!B:B,"&gt;="&amp;A849-92,Quarterly!B:B,"&lt;="&amp;A849)&gt;1,SUMIFS(Quarterly!D:D,Quarterly!B:B,"&gt;="&amp;A849-88,Quarterly!B:B,"&lt;="&amp;A849),SUMIFS(Quarterly!D:D,Quarterly!B:B,"&gt;="&amp;A849-92,Quarterly!B:B,"&lt;="&amp;A849)))</f>
        <v>506.78699999999998</v>
      </c>
      <c r="N849" s="13">
        <f t="shared" si="340"/>
        <v>0.21385999999999999</v>
      </c>
      <c r="O849">
        <f t="shared" si="342"/>
        <v>1083.82</v>
      </c>
      <c r="P849" s="56">
        <f>VLOOKUP(EOMONTH(A849,-1),Economic!A:I,7,FALSE)</f>
        <v>806267</v>
      </c>
      <c r="Q849" s="13">
        <f t="shared" si="343"/>
        <v>0.13439999999999999</v>
      </c>
      <c r="R849" s="41">
        <v>1.88</v>
      </c>
      <c r="S849">
        <f t="shared" si="344"/>
        <v>0.56000000000000005</v>
      </c>
      <c r="T849" s="30">
        <f t="shared" si="345"/>
        <v>87.6</v>
      </c>
      <c r="U849" s="30">
        <f t="shared" si="338"/>
        <v>86.56</v>
      </c>
    </row>
    <row r="850" spans="1:21" ht="15" customHeight="1" x14ac:dyDescent="0.25">
      <c r="A850" s="5">
        <v>37395</v>
      </c>
      <c r="B850" s="5">
        <f t="shared" ref="B850:B913" si="346">EOMONTH(A850,0)</f>
        <v>37407</v>
      </c>
      <c r="C850">
        <v>1106.5899999999999</v>
      </c>
      <c r="D850" s="29">
        <f t="shared" ref="D850:D913" si="347">ROUND((C850-AVERAGE(C851:C854))/AVERAGE(C851:C854),4)</f>
        <v>2.23E-2</v>
      </c>
      <c r="E850" s="39">
        <f t="shared" ref="E850:E913" si="348">AVERAGE(C850:C862)</f>
        <v>1116.8015384615385</v>
      </c>
      <c r="F850" s="39">
        <f t="shared" ref="F850:F913" si="349">AVERAGE(C850:C888)</f>
        <v>1115.0753846153848</v>
      </c>
      <c r="G850" s="29">
        <f t="shared" si="341"/>
        <v>-9.1000000000000004E-3</v>
      </c>
      <c r="H850" s="29">
        <f t="shared" si="341"/>
        <v>-7.6E-3</v>
      </c>
      <c r="I850">
        <f t="shared" ref="I850:I913" si="350">C850</f>
        <v>1106.5899999999999</v>
      </c>
      <c r="J850">
        <f>IF(A850&gt;=Quarterly!B$2,Quarterly!C$2,IF(COUNTIFS(Quarterly!B:B,"&gt;="&amp;A850-92,Quarterly!B:B,"&lt;="&amp;A850)&gt;1,SUMIFS(Quarterly!C:C,Quarterly!B:B,"&gt;="&amp;A850-88,Quarterly!B:B,"&lt;="&amp;A850),SUMIFS(Quarterly!C:C,Quarterly!B:B,"&gt;="&amp;A850-92,Quarterly!B:B,"&lt;="&amp;A850)))</f>
        <v>10834.4</v>
      </c>
      <c r="K850" s="13">
        <f t="shared" ref="K850:K913" si="351">ROUND(I850/J850,4)</f>
        <v>0.1021</v>
      </c>
      <c r="L850">
        <f t="shared" si="339"/>
        <v>1106.5899999999999</v>
      </c>
      <c r="M850">
        <f>IF(A850&gt;=Quarterly!B$2,Quarterly!D$2,IF(COUNTIFS(Quarterly!B:B,"&gt;="&amp;A850-92,Quarterly!B:B,"&lt;="&amp;A850)&gt;1,SUMIFS(Quarterly!D:D,Quarterly!B:B,"&gt;="&amp;A850-88,Quarterly!B:B,"&lt;="&amp;A850),SUMIFS(Quarterly!D:D,Quarterly!B:B,"&gt;="&amp;A850-92,Quarterly!B:B,"&lt;="&amp;A850)))</f>
        <v>506.78699999999998</v>
      </c>
      <c r="N850" s="13">
        <f t="shared" si="340"/>
        <v>0.21835000000000002</v>
      </c>
      <c r="O850">
        <f t="shared" si="342"/>
        <v>1106.5899999999999</v>
      </c>
      <c r="P850" s="56">
        <f>VLOOKUP(EOMONTH(A850,-1),Economic!A:I,7,FALSE)</f>
        <v>806267</v>
      </c>
      <c r="Q850" s="13">
        <f t="shared" si="343"/>
        <v>0.13719999999999999</v>
      </c>
      <c r="R850" s="41">
        <v>1.86</v>
      </c>
      <c r="S850">
        <f t="shared" si="344"/>
        <v>0.52</v>
      </c>
      <c r="T850" s="30">
        <f t="shared" si="345"/>
        <v>84.22</v>
      </c>
      <c r="U850" s="30">
        <f t="shared" ref="U850:U913" si="352">ROUND(AVERAGE(T850:T852),2)</f>
        <v>85.78</v>
      </c>
    </row>
    <row r="851" spans="1:21" ht="15" customHeight="1" x14ac:dyDescent="0.25">
      <c r="A851" s="5">
        <v>37388</v>
      </c>
      <c r="B851" s="5">
        <f t="shared" si="346"/>
        <v>37407</v>
      </c>
      <c r="C851">
        <v>1054.99</v>
      </c>
      <c r="D851" s="29">
        <f t="shared" si="347"/>
        <v>-3.78E-2</v>
      </c>
      <c r="E851" s="39">
        <f t="shared" si="348"/>
        <v>1116.6161538461538</v>
      </c>
      <c r="F851" s="39">
        <f t="shared" si="349"/>
        <v>1116.4953846153851</v>
      </c>
      <c r="G851" s="29">
        <f t="shared" si="341"/>
        <v>-5.5199999999999999E-2</v>
      </c>
      <c r="H851" s="29">
        <f t="shared" si="341"/>
        <v>-5.5100000000000003E-2</v>
      </c>
      <c r="I851">
        <f t="shared" si="350"/>
        <v>1054.99</v>
      </c>
      <c r="J851">
        <f>IF(A851&gt;=Quarterly!B$2,Quarterly!C$2,IF(COUNTIFS(Quarterly!B:B,"&gt;="&amp;A851-92,Quarterly!B:B,"&lt;="&amp;A851)&gt;1,SUMIFS(Quarterly!C:C,Quarterly!B:B,"&gt;="&amp;A851-88,Quarterly!B:B,"&lt;="&amp;A851),SUMIFS(Quarterly!C:C,Quarterly!B:B,"&gt;="&amp;A851-92,Quarterly!B:B,"&lt;="&amp;A851)))</f>
        <v>10834.4</v>
      </c>
      <c r="K851" s="13">
        <f t="shared" si="351"/>
        <v>9.74E-2</v>
      </c>
      <c r="L851">
        <f t="shared" si="339"/>
        <v>1054.99</v>
      </c>
      <c r="M851">
        <f>IF(A851&gt;=Quarterly!B$2,Quarterly!D$2,IF(COUNTIFS(Quarterly!B:B,"&gt;="&amp;A851-92,Quarterly!B:B,"&lt;="&amp;A851)&gt;1,SUMIFS(Quarterly!D:D,Quarterly!B:B,"&gt;="&amp;A851-88,Quarterly!B:B,"&lt;="&amp;A851),SUMIFS(Quarterly!D:D,Quarterly!B:B,"&gt;="&amp;A851-92,Quarterly!B:B,"&lt;="&amp;A851)))</f>
        <v>506.78699999999998</v>
      </c>
      <c r="N851" s="13">
        <f t="shared" si="340"/>
        <v>0.20817000000000002</v>
      </c>
      <c r="O851">
        <f t="shared" si="342"/>
        <v>1054.99</v>
      </c>
      <c r="P851" s="56">
        <f>VLOOKUP(EOMONTH(A851,-1),Economic!A:I,7,FALSE)</f>
        <v>806267</v>
      </c>
      <c r="Q851" s="13">
        <f t="shared" si="343"/>
        <v>0.1308</v>
      </c>
      <c r="R851" s="41">
        <v>1.96</v>
      </c>
      <c r="S851">
        <f t="shared" si="344"/>
        <v>0.48</v>
      </c>
      <c r="T851" s="30">
        <f t="shared" si="345"/>
        <v>87.86</v>
      </c>
      <c r="U851" s="30">
        <f t="shared" si="352"/>
        <v>83.89</v>
      </c>
    </row>
    <row r="852" spans="1:21" ht="15" customHeight="1" x14ac:dyDescent="0.25">
      <c r="A852" s="5">
        <v>37381</v>
      </c>
      <c r="B852" s="5">
        <f t="shared" si="346"/>
        <v>37407</v>
      </c>
      <c r="C852">
        <v>1073.43</v>
      </c>
      <c r="D852" s="29">
        <f t="shared" si="347"/>
        <v>-3.1899999999999998E-2</v>
      </c>
      <c r="E852" s="39">
        <f t="shared" si="348"/>
        <v>1119.7876923076924</v>
      </c>
      <c r="F852" s="39">
        <f t="shared" si="349"/>
        <v>1119.9612820512823</v>
      </c>
      <c r="G852" s="29">
        <f t="shared" si="341"/>
        <v>-4.1399999999999999E-2</v>
      </c>
      <c r="H852" s="29">
        <f t="shared" si="341"/>
        <v>-4.1500000000000002E-2</v>
      </c>
      <c r="I852">
        <f t="shared" si="350"/>
        <v>1073.43</v>
      </c>
      <c r="J852">
        <f>IF(A852&gt;=Quarterly!B$2,Quarterly!C$2,IF(COUNTIFS(Quarterly!B:B,"&gt;="&amp;A852-92,Quarterly!B:B,"&lt;="&amp;A852)&gt;1,SUMIFS(Quarterly!C:C,Quarterly!B:B,"&gt;="&amp;A852-88,Quarterly!B:B,"&lt;="&amp;A852),SUMIFS(Quarterly!C:C,Quarterly!B:B,"&gt;="&amp;A852-92,Quarterly!B:B,"&lt;="&amp;A852)))</f>
        <v>10834.4</v>
      </c>
      <c r="K852" s="13">
        <f t="shared" si="351"/>
        <v>9.9099999999999994E-2</v>
      </c>
      <c r="L852">
        <f t="shared" si="339"/>
        <v>1073.43</v>
      </c>
      <c r="M852">
        <f>IF(A852&gt;=Quarterly!B$2,Quarterly!D$2,IF(COUNTIFS(Quarterly!B:B,"&gt;="&amp;A852-92,Quarterly!B:B,"&lt;="&amp;A852)&gt;1,SUMIFS(Quarterly!D:D,Quarterly!B:B,"&gt;="&amp;A852-88,Quarterly!B:B,"&lt;="&amp;A852),SUMIFS(Quarterly!D:D,Quarterly!B:B,"&gt;="&amp;A852-92,Quarterly!B:B,"&lt;="&amp;A852)))</f>
        <v>506.78699999999998</v>
      </c>
      <c r="N852" s="13">
        <f t="shared" si="340"/>
        <v>0.21181000000000003</v>
      </c>
      <c r="O852">
        <f t="shared" si="342"/>
        <v>1073.43</v>
      </c>
      <c r="P852" s="56">
        <f>VLOOKUP(EOMONTH(A852,-1),Economic!A:I,7,FALSE)</f>
        <v>806267</v>
      </c>
      <c r="Q852" s="13">
        <f t="shared" si="343"/>
        <v>0.1331</v>
      </c>
      <c r="R852" s="41">
        <v>1.91</v>
      </c>
      <c r="S852">
        <f t="shared" si="344"/>
        <v>0.47</v>
      </c>
      <c r="T852" s="30">
        <f t="shared" si="345"/>
        <v>85.26</v>
      </c>
      <c r="U852" s="30">
        <f t="shared" si="352"/>
        <v>76.59</v>
      </c>
    </row>
    <row r="853" spans="1:21" ht="15" customHeight="1" x14ac:dyDescent="0.25">
      <c r="A853" s="5">
        <v>37374</v>
      </c>
      <c r="B853" s="5">
        <f t="shared" si="346"/>
        <v>37376</v>
      </c>
      <c r="C853">
        <v>1076.32</v>
      </c>
      <c r="D853" s="29">
        <f t="shared" si="347"/>
        <v>-4.4600000000000001E-2</v>
      </c>
      <c r="E853" s="39">
        <f t="shared" si="348"/>
        <v>1123.5392307692307</v>
      </c>
      <c r="F853" s="39">
        <f t="shared" si="349"/>
        <v>1123.5746153846158</v>
      </c>
      <c r="G853" s="29">
        <f t="shared" si="341"/>
        <v>-4.2000000000000003E-2</v>
      </c>
      <c r="H853" s="29">
        <f t="shared" si="341"/>
        <v>-4.2099999999999999E-2</v>
      </c>
      <c r="I853">
        <f t="shared" si="350"/>
        <v>1076.32</v>
      </c>
      <c r="J853">
        <f>IF(A853&gt;=Quarterly!B$2,Quarterly!C$2,IF(COUNTIFS(Quarterly!B:B,"&gt;="&amp;A853-92,Quarterly!B:B,"&lt;="&amp;A853)&gt;1,SUMIFS(Quarterly!C:C,Quarterly!B:B,"&gt;="&amp;A853-88,Quarterly!B:B,"&lt;="&amp;A853),SUMIFS(Quarterly!C:C,Quarterly!B:B,"&gt;="&amp;A853-92,Quarterly!B:B,"&lt;="&amp;A853)))</f>
        <v>10701.3</v>
      </c>
      <c r="K853" s="13">
        <f t="shared" si="351"/>
        <v>0.10059999999999999</v>
      </c>
      <c r="L853">
        <f t="shared" si="339"/>
        <v>1076.32</v>
      </c>
      <c r="M853">
        <f>IF(A853&gt;=Quarterly!B$2,Quarterly!D$2,IF(COUNTIFS(Quarterly!B:B,"&gt;="&amp;A853-92,Quarterly!B:B,"&lt;="&amp;A853)&gt;1,SUMIFS(Quarterly!D:D,Quarterly!B:B,"&gt;="&amp;A853-88,Quarterly!B:B,"&lt;="&amp;A853),SUMIFS(Quarterly!D:D,Quarterly!B:B,"&gt;="&amp;A853-92,Quarterly!B:B,"&lt;="&amp;A853)))</f>
        <v>458.93799999999999</v>
      </c>
      <c r="N853" s="13">
        <f t="shared" si="340"/>
        <v>0.23452000000000003</v>
      </c>
      <c r="O853">
        <f t="shared" si="342"/>
        <v>1076.32</v>
      </c>
      <c r="P853" s="56">
        <f>VLOOKUP(EOMONTH(A853,-1),Economic!A:I,7,FALSE)</f>
        <v>806223</v>
      </c>
      <c r="Q853" s="13">
        <f t="shared" si="343"/>
        <v>0.13350000000000001</v>
      </c>
      <c r="R853" s="41">
        <v>1.86</v>
      </c>
      <c r="S853">
        <f t="shared" si="344"/>
        <v>0.56999999999999995</v>
      </c>
      <c r="T853" s="30">
        <f t="shared" si="345"/>
        <v>78.540000000000006</v>
      </c>
      <c r="U853" s="30">
        <f t="shared" si="352"/>
        <v>70.680000000000007</v>
      </c>
    </row>
    <row r="854" spans="1:21" ht="15" customHeight="1" x14ac:dyDescent="0.25">
      <c r="A854" s="5">
        <v>37367</v>
      </c>
      <c r="B854" s="5">
        <f t="shared" si="346"/>
        <v>37376</v>
      </c>
      <c r="C854">
        <v>1125.17</v>
      </c>
      <c r="D854" s="29">
        <f t="shared" si="347"/>
        <v>-6.4000000000000003E-3</v>
      </c>
      <c r="E854" s="39">
        <f t="shared" si="348"/>
        <v>1127.9207692307693</v>
      </c>
      <c r="F854" s="39">
        <f t="shared" si="349"/>
        <v>1126.8951282051287</v>
      </c>
      <c r="G854" s="29">
        <f t="shared" si="341"/>
        <v>-2.3999999999999998E-3</v>
      </c>
      <c r="H854" s="29">
        <f t="shared" si="341"/>
        <v>-1.5E-3</v>
      </c>
      <c r="I854">
        <f t="shared" si="350"/>
        <v>1125.17</v>
      </c>
      <c r="J854">
        <f>IF(A854&gt;=Quarterly!B$2,Quarterly!C$2,IF(COUNTIFS(Quarterly!B:B,"&gt;="&amp;A854-92,Quarterly!B:B,"&lt;="&amp;A854)&gt;1,SUMIFS(Quarterly!C:C,Quarterly!B:B,"&gt;="&amp;A854-88,Quarterly!B:B,"&lt;="&amp;A854),SUMIFS(Quarterly!C:C,Quarterly!B:B,"&gt;="&amp;A854-92,Quarterly!B:B,"&lt;="&amp;A854)))</f>
        <v>10701.3</v>
      </c>
      <c r="K854" s="13">
        <f t="shared" si="351"/>
        <v>0.1051</v>
      </c>
      <c r="L854">
        <f t="shared" si="339"/>
        <v>1125.17</v>
      </c>
      <c r="M854">
        <f>IF(A854&gt;=Quarterly!B$2,Quarterly!D$2,IF(COUNTIFS(Quarterly!B:B,"&gt;="&amp;A854-92,Quarterly!B:B,"&lt;="&amp;A854)&gt;1,SUMIFS(Quarterly!D:D,Quarterly!B:B,"&gt;="&amp;A854-88,Quarterly!B:B,"&lt;="&amp;A854),SUMIFS(Quarterly!D:D,Quarterly!B:B,"&gt;="&amp;A854-92,Quarterly!B:B,"&lt;="&amp;A854)))</f>
        <v>458.93799999999999</v>
      </c>
      <c r="N854" s="13">
        <f t="shared" si="340"/>
        <v>0.24517000000000003</v>
      </c>
      <c r="O854">
        <f t="shared" si="342"/>
        <v>1125.17</v>
      </c>
      <c r="P854" s="56">
        <f>VLOOKUP(EOMONTH(A854,-1),Economic!A:I,7,FALSE)</f>
        <v>806223</v>
      </c>
      <c r="Q854" s="13">
        <f t="shared" si="343"/>
        <v>0.1396</v>
      </c>
      <c r="R854" s="41">
        <v>1.85</v>
      </c>
      <c r="S854">
        <f t="shared" si="344"/>
        <v>0.36</v>
      </c>
      <c r="T854" s="30">
        <f t="shared" si="345"/>
        <v>65.98</v>
      </c>
      <c r="U854" s="30">
        <f t="shared" si="352"/>
        <v>68.150000000000006</v>
      </c>
    </row>
    <row r="855" spans="1:21" ht="15" customHeight="1" x14ac:dyDescent="0.25">
      <c r="A855" s="5">
        <v>37360</v>
      </c>
      <c r="B855" s="5">
        <f t="shared" si="346"/>
        <v>37376</v>
      </c>
      <c r="C855">
        <v>1111.01</v>
      </c>
      <c r="D855" s="29">
        <f t="shared" si="347"/>
        <v>-3.0700000000000002E-2</v>
      </c>
      <c r="E855" s="39">
        <f t="shared" si="348"/>
        <v>1128.1061538461538</v>
      </c>
      <c r="F855" s="39">
        <f t="shared" si="349"/>
        <v>1129.0920512820517</v>
      </c>
      <c r="G855" s="29">
        <f t="shared" si="341"/>
        <v>-1.52E-2</v>
      </c>
      <c r="H855" s="29">
        <f t="shared" si="341"/>
        <v>-1.6E-2</v>
      </c>
      <c r="I855">
        <f t="shared" si="350"/>
        <v>1111.01</v>
      </c>
      <c r="J855">
        <f>IF(A855&gt;=Quarterly!B$2,Quarterly!C$2,IF(COUNTIFS(Quarterly!B:B,"&gt;="&amp;A855-92,Quarterly!B:B,"&lt;="&amp;A855)&gt;1,SUMIFS(Quarterly!C:C,Quarterly!B:B,"&gt;="&amp;A855-88,Quarterly!B:B,"&lt;="&amp;A855),SUMIFS(Quarterly!C:C,Quarterly!B:B,"&gt;="&amp;A855-92,Quarterly!B:B,"&lt;="&amp;A855)))</f>
        <v>10701.3</v>
      </c>
      <c r="K855" s="13">
        <f t="shared" si="351"/>
        <v>0.1038</v>
      </c>
      <c r="L855">
        <f t="shared" ref="L855:L918" si="353">C855</f>
        <v>1111.01</v>
      </c>
      <c r="M855">
        <f>IF(A855&gt;=Quarterly!B$2,Quarterly!D$2,IF(COUNTIFS(Quarterly!B:B,"&gt;="&amp;A855-92,Quarterly!B:B,"&lt;="&amp;A855)&gt;1,SUMIFS(Quarterly!D:D,Quarterly!B:B,"&gt;="&amp;A855-88,Quarterly!B:B,"&lt;="&amp;A855),SUMIFS(Quarterly!D:D,Quarterly!B:B,"&gt;="&amp;A855-92,Quarterly!B:B,"&lt;="&amp;A855)))</f>
        <v>458.93799999999999</v>
      </c>
      <c r="N855" s="13">
        <f t="shared" ref="N855:N918" si="354">ROUND(L855/M855,4)*0.1</f>
        <v>0.24207999999999999</v>
      </c>
      <c r="O855">
        <f t="shared" si="342"/>
        <v>1111.01</v>
      </c>
      <c r="P855" s="56">
        <f>VLOOKUP(EOMONTH(A855,-1),Economic!A:I,7,FALSE)</f>
        <v>806223</v>
      </c>
      <c r="Q855" s="13">
        <f t="shared" si="343"/>
        <v>0.13780000000000001</v>
      </c>
      <c r="R855" s="41">
        <v>1.77</v>
      </c>
      <c r="S855">
        <f t="shared" si="344"/>
        <v>0.36</v>
      </c>
      <c r="T855" s="30">
        <f t="shared" si="345"/>
        <v>67.52</v>
      </c>
      <c r="U855" s="30">
        <f t="shared" si="352"/>
        <v>68.569999999999993</v>
      </c>
    </row>
    <row r="856" spans="1:21" ht="15" customHeight="1" x14ac:dyDescent="0.25">
      <c r="A856" s="5">
        <v>37353</v>
      </c>
      <c r="B856" s="5">
        <f t="shared" si="346"/>
        <v>37376</v>
      </c>
      <c r="C856">
        <v>1122.73</v>
      </c>
      <c r="D856" s="29">
        <f t="shared" si="347"/>
        <v>-2.93E-2</v>
      </c>
      <c r="E856" s="39">
        <f t="shared" si="348"/>
        <v>1130.7669230769229</v>
      </c>
      <c r="F856" s="39">
        <f t="shared" si="349"/>
        <v>1131.7758974358976</v>
      </c>
      <c r="G856" s="29">
        <f t="shared" si="341"/>
        <v>-7.1000000000000004E-3</v>
      </c>
      <c r="H856" s="29">
        <f t="shared" si="341"/>
        <v>-8.0000000000000002E-3</v>
      </c>
      <c r="I856">
        <f t="shared" si="350"/>
        <v>1122.73</v>
      </c>
      <c r="J856">
        <f>IF(A856&gt;=Quarterly!B$2,Quarterly!C$2,IF(COUNTIFS(Quarterly!B:B,"&gt;="&amp;A856-92,Quarterly!B:B,"&lt;="&amp;A856)&gt;1,SUMIFS(Quarterly!C:C,Quarterly!B:B,"&gt;="&amp;A856-88,Quarterly!B:B,"&lt;="&amp;A856),SUMIFS(Quarterly!C:C,Quarterly!B:B,"&gt;="&amp;A856-92,Quarterly!B:B,"&lt;="&amp;A856)))</f>
        <v>10701.3</v>
      </c>
      <c r="K856" s="13">
        <f t="shared" si="351"/>
        <v>0.10489999999999999</v>
      </c>
      <c r="L856">
        <f t="shared" si="353"/>
        <v>1122.73</v>
      </c>
      <c r="M856">
        <f>IF(A856&gt;=Quarterly!B$2,Quarterly!D$2,IF(COUNTIFS(Quarterly!B:B,"&gt;="&amp;A856-92,Quarterly!B:B,"&lt;="&amp;A856)&gt;1,SUMIFS(Quarterly!D:D,Quarterly!B:B,"&gt;="&amp;A856-88,Quarterly!B:B,"&lt;="&amp;A856),SUMIFS(Quarterly!D:D,Quarterly!B:B,"&gt;="&amp;A856-92,Quarterly!B:B,"&lt;="&amp;A856)))</f>
        <v>458.93799999999999</v>
      </c>
      <c r="N856" s="13">
        <f t="shared" si="354"/>
        <v>0.24464000000000002</v>
      </c>
      <c r="O856">
        <f t="shared" si="342"/>
        <v>1122.73</v>
      </c>
      <c r="P856" s="56">
        <f>VLOOKUP(EOMONTH(A856,-1),Economic!A:I,7,FALSE)</f>
        <v>806223</v>
      </c>
      <c r="Q856" s="13">
        <f t="shared" si="343"/>
        <v>0.13929999999999998</v>
      </c>
      <c r="R856" s="41">
        <v>1.73</v>
      </c>
      <c r="S856">
        <f t="shared" si="344"/>
        <v>0.52</v>
      </c>
      <c r="T856" s="30">
        <f t="shared" si="345"/>
        <v>70.94</v>
      </c>
      <c r="U856" s="30">
        <f t="shared" si="352"/>
        <v>67.650000000000006</v>
      </c>
    </row>
    <row r="857" spans="1:21" ht="15" customHeight="1" x14ac:dyDescent="0.25">
      <c r="A857" s="5">
        <v>37346</v>
      </c>
      <c r="B857" s="5">
        <f t="shared" si="346"/>
        <v>37346</v>
      </c>
      <c r="C857">
        <v>1147.3900000000001</v>
      </c>
      <c r="D857" s="29">
        <f t="shared" si="347"/>
        <v>-4.5999999999999999E-3</v>
      </c>
      <c r="E857" s="39">
        <f t="shared" si="348"/>
        <v>1134.596153846154</v>
      </c>
      <c r="F857" s="39">
        <f t="shared" si="349"/>
        <v>1133.5158974358976</v>
      </c>
      <c r="G857" s="29">
        <f t="shared" si="341"/>
        <v>1.1299999999999999E-2</v>
      </c>
      <c r="H857" s="29">
        <f t="shared" si="341"/>
        <v>1.2200000000000001E-2</v>
      </c>
      <c r="I857">
        <f t="shared" si="350"/>
        <v>1147.3900000000001</v>
      </c>
      <c r="J857">
        <f>IF(A857&gt;=Quarterly!B$2,Quarterly!C$2,IF(COUNTIFS(Quarterly!B:B,"&gt;="&amp;A857-92,Quarterly!B:B,"&lt;="&amp;A857)&gt;1,SUMIFS(Quarterly!C:C,Quarterly!B:B,"&gt;="&amp;A857-88,Quarterly!B:B,"&lt;="&amp;A857),SUMIFS(Quarterly!C:C,Quarterly!B:B,"&gt;="&amp;A857-92,Quarterly!B:B,"&lt;="&amp;A857)))</f>
        <v>10701.3</v>
      </c>
      <c r="K857" s="13">
        <f t="shared" si="351"/>
        <v>0.1072</v>
      </c>
      <c r="L857">
        <f t="shared" si="353"/>
        <v>1147.3900000000001</v>
      </c>
      <c r="M857">
        <f>IF(A857&gt;=Quarterly!B$2,Quarterly!D$2,IF(COUNTIFS(Quarterly!B:B,"&gt;="&amp;A857-92,Quarterly!B:B,"&lt;="&amp;A857)&gt;1,SUMIFS(Quarterly!D:D,Quarterly!B:B,"&gt;="&amp;A857-88,Quarterly!B:B,"&lt;="&amp;A857),SUMIFS(Quarterly!D:D,Quarterly!B:B,"&gt;="&amp;A857-92,Quarterly!B:B,"&lt;="&amp;A857)))</f>
        <v>458.93799999999999</v>
      </c>
      <c r="N857" s="13">
        <f t="shared" si="354"/>
        <v>0.25001000000000001</v>
      </c>
      <c r="O857">
        <f t="shared" si="342"/>
        <v>1147.3900000000001</v>
      </c>
      <c r="P857" s="56">
        <f>VLOOKUP(EOMONTH(A857,-1),Economic!A:I,7,FALSE)</f>
        <v>810008</v>
      </c>
      <c r="Q857" s="13">
        <f t="shared" si="343"/>
        <v>0.14170000000000002</v>
      </c>
      <c r="R857" s="41">
        <v>1.7</v>
      </c>
      <c r="S857">
        <f t="shared" si="344"/>
        <v>0.51</v>
      </c>
      <c r="T857" s="30">
        <f t="shared" si="345"/>
        <v>67.239999999999995</v>
      </c>
      <c r="U857" s="30">
        <f t="shared" si="352"/>
        <v>64.040000000000006</v>
      </c>
    </row>
    <row r="858" spans="1:21" ht="15" customHeight="1" x14ac:dyDescent="0.25">
      <c r="A858" s="5">
        <v>37339</v>
      </c>
      <c r="B858" s="5">
        <f t="shared" si="346"/>
        <v>37346</v>
      </c>
      <c r="C858">
        <v>1148.7</v>
      </c>
      <c r="D858" s="29">
        <f t="shared" si="347"/>
        <v>9.4000000000000004E-3</v>
      </c>
      <c r="E858" s="39">
        <f t="shared" si="348"/>
        <v>1135.6446153846157</v>
      </c>
      <c r="F858" s="39">
        <f t="shared" si="349"/>
        <v>1135.49</v>
      </c>
      <c r="G858" s="29">
        <f t="shared" si="341"/>
        <v>1.15E-2</v>
      </c>
      <c r="H858" s="29">
        <f t="shared" si="341"/>
        <v>1.1599999999999999E-2</v>
      </c>
      <c r="I858">
        <f t="shared" si="350"/>
        <v>1148.7</v>
      </c>
      <c r="J858">
        <f>IF(A858&gt;=Quarterly!B$2,Quarterly!C$2,IF(COUNTIFS(Quarterly!B:B,"&gt;="&amp;A858-92,Quarterly!B:B,"&lt;="&amp;A858)&gt;1,SUMIFS(Quarterly!C:C,Quarterly!B:B,"&gt;="&amp;A858-88,Quarterly!B:B,"&lt;="&amp;A858),SUMIFS(Quarterly!C:C,Quarterly!B:B,"&gt;="&amp;A858-92,Quarterly!B:B,"&lt;="&amp;A858)))</f>
        <v>10701.3</v>
      </c>
      <c r="K858" s="13">
        <f t="shared" si="351"/>
        <v>0.10730000000000001</v>
      </c>
      <c r="L858">
        <f t="shared" si="353"/>
        <v>1148.7</v>
      </c>
      <c r="M858">
        <f>IF(A858&gt;=Quarterly!B$2,Quarterly!D$2,IF(COUNTIFS(Quarterly!B:B,"&gt;="&amp;A858-92,Quarterly!B:B,"&lt;="&amp;A858)&gt;1,SUMIFS(Quarterly!D:D,Quarterly!B:B,"&gt;="&amp;A858-88,Quarterly!B:B,"&lt;="&amp;A858),SUMIFS(Quarterly!D:D,Quarterly!B:B,"&gt;="&amp;A858-92,Quarterly!B:B,"&lt;="&amp;A858)))</f>
        <v>458.93799999999999</v>
      </c>
      <c r="N858" s="13">
        <f t="shared" si="354"/>
        <v>0.25030000000000002</v>
      </c>
      <c r="O858">
        <f t="shared" si="342"/>
        <v>1148.7</v>
      </c>
      <c r="P858" s="56">
        <f>VLOOKUP(EOMONTH(A858,-1),Economic!A:I,7,FALSE)</f>
        <v>810008</v>
      </c>
      <c r="Q858" s="13">
        <f t="shared" si="343"/>
        <v>0.14180000000000001</v>
      </c>
      <c r="R858" s="41">
        <v>1.63</v>
      </c>
      <c r="S858">
        <f t="shared" si="344"/>
        <v>0.44</v>
      </c>
      <c r="T858" s="30">
        <f t="shared" si="345"/>
        <v>64.78</v>
      </c>
      <c r="U858" s="30">
        <f t="shared" si="352"/>
        <v>62.27</v>
      </c>
    </row>
    <row r="859" spans="1:21" ht="15" customHeight="1" x14ac:dyDescent="0.25">
      <c r="A859" s="5">
        <v>37332</v>
      </c>
      <c r="B859" s="5">
        <f t="shared" si="346"/>
        <v>37346</v>
      </c>
      <c r="C859">
        <v>1166.1600000000001</v>
      </c>
      <c r="D859" s="29">
        <f t="shared" si="347"/>
        <v>3.8899999999999997E-2</v>
      </c>
      <c r="E859" s="39">
        <f t="shared" si="348"/>
        <v>1135.3515384615387</v>
      </c>
      <c r="F859" s="39">
        <f t="shared" si="349"/>
        <v>1137.4553846153847</v>
      </c>
      <c r="G859" s="29">
        <f t="shared" si="341"/>
        <v>2.7099999999999999E-2</v>
      </c>
      <c r="H859" s="29">
        <f t="shared" si="341"/>
        <v>2.52E-2</v>
      </c>
      <c r="I859">
        <f t="shared" si="350"/>
        <v>1166.1600000000001</v>
      </c>
      <c r="J859">
        <f>IF(A859&gt;=Quarterly!B$2,Quarterly!C$2,IF(COUNTIFS(Quarterly!B:B,"&gt;="&amp;A859-92,Quarterly!B:B,"&lt;="&amp;A859)&gt;1,SUMIFS(Quarterly!C:C,Quarterly!B:B,"&gt;="&amp;A859-88,Quarterly!B:B,"&lt;="&amp;A859),SUMIFS(Quarterly!C:C,Quarterly!B:B,"&gt;="&amp;A859-92,Quarterly!B:B,"&lt;="&amp;A859)))</f>
        <v>10701.3</v>
      </c>
      <c r="K859" s="13">
        <f t="shared" si="351"/>
        <v>0.109</v>
      </c>
      <c r="L859">
        <f t="shared" si="353"/>
        <v>1166.1600000000001</v>
      </c>
      <c r="M859">
        <f>IF(A859&gt;=Quarterly!B$2,Quarterly!D$2,IF(COUNTIFS(Quarterly!B:B,"&gt;="&amp;A859-92,Quarterly!B:B,"&lt;="&amp;A859)&gt;1,SUMIFS(Quarterly!D:D,Quarterly!B:B,"&gt;="&amp;A859-88,Quarterly!B:B,"&lt;="&amp;A859),SUMIFS(Quarterly!D:D,Quarterly!B:B,"&gt;="&amp;A859-92,Quarterly!B:B,"&lt;="&amp;A859)))</f>
        <v>458.93799999999999</v>
      </c>
      <c r="N859" s="13">
        <f t="shared" si="354"/>
        <v>0.25409999999999999</v>
      </c>
      <c r="O859">
        <f t="shared" si="342"/>
        <v>1166.1600000000001</v>
      </c>
      <c r="P859" s="56">
        <f>VLOOKUP(EOMONTH(A859,-1),Economic!A:I,7,FALSE)</f>
        <v>810008</v>
      </c>
      <c r="Q859" s="13">
        <f t="shared" si="343"/>
        <v>0.14400000000000002</v>
      </c>
      <c r="R859" s="41">
        <v>1.72</v>
      </c>
      <c r="S859">
        <f t="shared" si="344"/>
        <v>0.35</v>
      </c>
      <c r="T859" s="30">
        <f t="shared" si="345"/>
        <v>60.09</v>
      </c>
      <c r="U859" s="30">
        <f t="shared" si="352"/>
        <v>58.69</v>
      </c>
    </row>
    <row r="860" spans="1:21" ht="15" customHeight="1" x14ac:dyDescent="0.25">
      <c r="A860" s="5">
        <v>37325</v>
      </c>
      <c r="B860" s="5">
        <f t="shared" si="346"/>
        <v>37346</v>
      </c>
      <c r="C860">
        <v>1164.31</v>
      </c>
      <c r="D860" s="29">
        <f t="shared" si="347"/>
        <v>5.3199999999999997E-2</v>
      </c>
      <c r="E860" s="39">
        <f t="shared" si="348"/>
        <v>1132.0384615384614</v>
      </c>
      <c r="F860" s="39">
        <f t="shared" si="349"/>
        <v>1138.6912820512821</v>
      </c>
      <c r="G860" s="29">
        <f t="shared" si="341"/>
        <v>2.8500000000000001E-2</v>
      </c>
      <c r="H860" s="29">
        <f t="shared" si="341"/>
        <v>2.2499999999999999E-2</v>
      </c>
      <c r="I860">
        <f t="shared" si="350"/>
        <v>1164.31</v>
      </c>
      <c r="J860">
        <f>IF(A860&gt;=Quarterly!B$2,Quarterly!C$2,IF(COUNTIFS(Quarterly!B:B,"&gt;="&amp;A860-92,Quarterly!B:B,"&lt;="&amp;A860)&gt;1,SUMIFS(Quarterly!C:C,Quarterly!B:B,"&gt;="&amp;A860-88,Quarterly!B:B,"&lt;="&amp;A860),SUMIFS(Quarterly!C:C,Quarterly!B:B,"&gt;="&amp;A860-92,Quarterly!B:B,"&lt;="&amp;A860)))</f>
        <v>10701.3</v>
      </c>
      <c r="K860" s="13">
        <f t="shared" si="351"/>
        <v>0.10879999999999999</v>
      </c>
      <c r="L860">
        <f t="shared" si="353"/>
        <v>1164.31</v>
      </c>
      <c r="M860">
        <f>IF(A860&gt;=Quarterly!B$2,Quarterly!D$2,IF(COUNTIFS(Quarterly!B:B,"&gt;="&amp;A860-92,Quarterly!B:B,"&lt;="&amp;A860)&gt;1,SUMIFS(Quarterly!D:D,Quarterly!B:B,"&gt;="&amp;A860-88,Quarterly!B:B,"&lt;="&amp;A860),SUMIFS(Quarterly!D:D,Quarterly!B:B,"&gt;="&amp;A860-92,Quarterly!B:B,"&lt;="&amp;A860)))</f>
        <v>458.93799999999999</v>
      </c>
      <c r="N860" s="13">
        <f t="shared" si="354"/>
        <v>0.25369999999999998</v>
      </c>
      <c r="O860">
        <f t="shared" si="342"/>
        <v>1164.31</v>
      </c>
      <c r="P860" s="56">
        <f>VLOOKUP(EOMONTH(A860,-1),Economic!A:I,7,FALSE)</f>
        <v>810008</v>
      </c>
      <c r="Q860" s="13">
        <f t="shared" si="343"/>
        <v>0.14369999999999999</v>
      </c>
      <c r="R860" s="41">
        <v>1.73</v>
      </c>
      <c r="S860">
        <f t="shared" si="344"/>
        <v>0.37</v>
      </c>
      <c r="T860" s="30">
        <f t="shared" si="345"/>
        <v>61.93</v>
      </c>
      <c r="U860" s="30">
        <f t="shared" si="352"/>
        <v>57.28</v>
      </c>
    </row>
    <row r="861" spans="1:21" ht="15" customHeight="1" x14ac:dyDescent="0.25">
      <c r="A861" s="5">
        <v>37318</v>
      </c>
      <c r="B861" s="5">
        <f t="shared" si="346"/>
        <v>37346</v>
      </c>
      <c r="C861">
        <v>1131.78</v>
      </c>
      <c r="D861" s="29">
        <f t="shared" si="347"/>
        <v>2.5999999999999999E-2</v>
      </c>
      <c r="E861" s="39">
        <f t="shared" si="348"/>
        <v>1131.5769230769231</v>
      </c>
      <c r="F861" s="39">
        <f t="shared" si="349"/>
        <v>1141.2720512820513</v>
      </c>
      <c r="G861" s="29">
        <f t="shared" si="341"/>
        <v>2.0000000000000001E-4</v>
      </c>
      <c r="H861" s="29">
        <f t="shared" si="341"/>
        <v>-8.3000000000000001E-3</v>
      </c>
      <c r="I861">
        <f t="shared" si="350"/>
        <v>1131.78</v>
      </c>
      <c r="J861">
        <f>IF(A861&gt;=Quarterly!B$2,Quarterly!C$2,IF(COUNTIFS(Quarterly!B:B,"&gt;="&amp;A861-92,Quarterly!B:B,"&lt;="&amp;A861)&gt;1,SUMIFS(Quarterly!C:C,Quarterly!B:B,"&gt;="&amp;A861-88,Quarterly!B:B,"&lt;="&amp;A861),SUMIFS(Quarterly!C:C,Quarterly!B:B,"&gt;="&amp;A861-92,Quarterly!B:B,"&lt;="&amp;A861)))</f>
        <v>10701.3</v>
      </c>
      <c r="K861" s="13">
        <f t="shared" si="351"/>
        <v>0.10580000000000001</v>
      </c>
      <c r="L861">
        <f t="shared" si="353"/>
        <v>1131.78</v>
      </c>
      <c r="M861">
        <f>IF(A861&gt;=Quarterly!B$2,Quarterly!D$2,IF(COUNTIFS(Quarterly!B:B,"&gt;="&amp;A861-92,Quarterly!B:B,"&lt;="&amp;A861)&gt;1,SUMIFS(Quarterly!D:D,Quarterly!B:B,"&gt;="&amp;A861-88,Quarterly!B:B,"&lt;="&amp;A861),SUMIFS(Quarterly!D:D,Quarterly!B:B,"&gt;="&amp;A861-92,Quarterly!B:B,"&lt;="&amp;A861)))</f>
        <v>458.93799999999999</v>
      </c>
      <c r="N861" s="13">
        <f t="shared" si="354"/>
        <v>0.24661</v>
      </c>
      <c r="O861">
        <f t="shared" si="342"/>
        <v>1131.78</v>
      </c>
      <c r="P861" s="56">
        <f>VLOOKUP(EOMONTH(A861,-1),Economic!A:I,7,FALSE)</f>
        <v>810008</v>
      </c>
      <c r="Q861" s="13">
        <f t="shared" si="343"/>
        <v>0.13969999999999999</v>
      </c>
      <c r="R861" s="41">
        <v>1.8</v>
      </c>
      <c r="S861">
        <f t="shared" si="344"/>
        <v>0.01</v>
      </c>
      <c r="T861" s="30">
        <f t="shared" si="345"/>
        <v>54.06</v>
      </c>
      <c r="U861" s="30">
        <f t="shared" si="352"/>
        <v>53.37</v>
      </c>
    </row>
    <row r="862" spans="1:21" ht="15" customHeight="1" x14ac:dyDescent="0.25">
      <c r="A862" s="5">
        <v>37311</v>
      </c>
      <c r="B862" s="5">
        <f t="shared" si="346"/>
        <v>37315</v>
      </c>
      <c r="C862">
        <v>1089.8399999999999</v>
      </c>
      <c r="D862" s="29">
        <f t="shared" si="347"/>
        <v>-2.1700000000000001E-2</v>
      </c>
      <c r="E862" s="39">
        <f t="shared" si="348"/>
        <v>1132.166923076923</v>
      </c>
      <c r="F862" s="39">
        <f t="shared" si="349"/>
        <v>1144.5769230769229</v>
      </c>
      <c r="G862" s="29">
        <f t="shared" si="341"/>
        <v>-3.7400000000000003E-2</v>
      </c>
      <c r="H862" s="29">
        <f t="shared" si="341"/>
        <v>-4.7800000000000002E-2</v>
      </c>
      <c r="I862">
        <f t="shared" si="350"/>
        <v>1089.8399999999999</v>
      </c>
      <c r="J862">
        <f>IF(A862&gt;=Quarterly!B$2,Quarterly!C$2,IF(COUNTIFS(Quarterly!B:B,"&gt;="&amp;A862-92,Quarterly!B:B,"&lt;="&amp;A862)&gt;1,SUMIFS(Quarterly!C:C,Quarterly!B:B,"&gt;="&amp;A862-88,Quarterly!B:B,"&lt;="&amp;A862),SUMIFS(Quarterly!C:C,Quarterly!B:B,"&gt;="&amp;A862-92,Quarterly!B:B,"&lt;="&amp;A862)))</f>
        <v>10701.3</v>
      </c>
      <c r="K862" s="13">
        <f t="shared" si="351"/>
        <v>0.1018</v>
      </c>
      <c r="L862">
        <f t="shared" si="353"/>
        <v>1089.8399999999999</v>
      </c>
      <c r="M862">
        <f>IF(A862&gt;=Quarterly!B$2,Quarterly!D$2,IF(COUNTIFS(Quarterly!B:B,"&gt;="&amp;A862-92,Quarterly!B:B,"&lt;="&amp;A862)&gt;1,SUMIFS(Quarterly!D:D,Quarterly!B:B,"&gt;="&amp;A862-88,Quarterly!B:B,"&lt;="&amp;A862),SUMIFS(Quarterly!D:D,Quarterly!B:B,"&gt;="&amp;A862-92,Quarterly!B:B,"&lt;="&amp;A862)))</f>
        <v>458.93799999999999</v>
      </c>
      <c r="N862" s="13">
        <f t="shared" si="354"/>
        <v>0.23746999999999999</v>
      </c>
      <c r="O862">
        <f t="shared" si="342"/>
        <v>1089.8399999999999</v>
      </c>
      <c r="P862" s="56">
        <f>VLOOKUP(EOMONTH(A862,-1),Economic!A:I,7,FALSE)</f>
        <v>809153</v>
      </c>
      <c r="Q862" s="13">
        <f t="shared" si="343"/>
        <v>0.13470000000000001</v>
      </c>
      <c r="R862" s="41">
        <v>1.87</v>
      </c>
      <c r="S862">
        <f t="shared" si="344"/>
        <v>-0.08</v>
      </c>
      <c r="T862" s="30">
        <f t="shared" si="345"/>
        <v>55.84</v>
      </c>
      <c r="U862" s="30">
        <f t="shared" si="352"/>
        <v>52.62</v>
      </c>
    </row>
    <row r="863" spans="1:21" ht="15" customHeight="1" x14ac:dyDescent="0.25">
      <c r="A863" s="5">
        <v>37304</v>
      </c>
      <c r="B863" s="5">
        <f t="shared" si="346"/>
        <v>37315</v>
      </c>
      <c r="C863">
        <v>1104.18</v>
      </c>
      <c r="D863" s="29">
        <f t="shared" si="347"/>
        <v>-1.4E-2</v>
      </c>
      <c r="E863" s="39">
        <f t="shared" si="348"/>
        <v>1136.8207692307692</v>
      </c>
      <c r="F863" s="39">
        <f t="shared" si="349"/>
        <v>1149.3987179487178</v>
      </c>
      <c r="G863" s="29">
        <f t="shared" si="341"/>
        <v>-2.87E-2</v>
      </c>
      <c r="H863" s="29">
        <f t="shared" si="341"/>
        <v>-3.9300000000000002E-2</v>
      </c>
      <c r="I863">
        <f t="shared" si="350"/>
        <v>1104.18</v>
      </c>
      <c r="J863">
        <f>IF(A863&gt;=Quarterly!B$2,Quarterly!C$2,IF(COUNTIFS(Quarterly!B:B,"&gt;="&amp;A863-92,Quarterly!B:B,"&lt;="&amp;A863)&gt;1,SUMIFS(Quarterly!C:C,Quarterly!B:B,"&gt;="&amp;A863-88,Quarterly!B:B,"&lt;="&amp;A863),SUMIFS(Quarterly!C:C,Quarterly!B:B,"&gt;="&amp;A863-92,Quarterly!B:B,"&lt;="&amp;A863)))</f>
        <v>10701.3</v>
      </c>
      <c r="K863" s="13">
        <f t="shared" si="351"/>
        <v>0.1032</v>
      </c>
      <c r="L863">
        <f t="shared" si="353"/>
        <v>1104.18</v>
      </c>
      <c r="M863">
        <f>IF(A863&gt;=Quarterly!B$2,Quarterly!D$2,IF(COUNTIFS(Quarterly!B:B,"&gt;="&amp;A863-92,Quarterly!B:B,"&lt;="&amp;A863)&gt;1,SUMIFS(Quarterly!D:D,Quarterly!B:B,"&gt;="&amp;A863-88,Quarterly!B:B,"&lt;="&amp;A863),SUMIFS(Quarterly!D:D,Quarterly!B:B,"&gt;="&amp;A863-92,Quarterly!B:B,"&lt;="&amp;A863)))</f>
        <v>458.93799999999999</v>
      </c>
      <c r="N863" s="13">
        <f t="shared" si="354"/>
        <v>0.24059</v>
      </c>
      <c r="O863">
        <f t="shared" si="342"/>
        <v>1104.18</v>
      </c>
      <c r="P863" s="56">
        <f>VLOOKUP(EOMONTH(A863,-1),Economic!A:I,7,FALSE)</f>
        <v>809153</v>
      </c>
      <c r="Q863" s="13">
        <f t="shared" si="343"/>
        <v>0.13649999999999998</v>
      </c>
      <c r="R863" s="41">
        <v>1.89</v>
      </c>
      <c r="S863">
        <f t="shared" si="344"/>
        <v>-0.18</v>
      </c>
      <c r="T863" s="30">
        <f t="shared" si="345"/>
        <v>50.21</v>
      </c>
      <c r="U863" s="30">
        <f t="shared" si="352"/>
        <v>50.77</v>
      </c>
    </row>
    <row r="864" spans="1:21" ht="15" customHeight="1" x14ac:dyDescent="0.25">
      <c r="A864" s="5">
        <v>37297</v>
      </c>
      <c r="B864" s="5">
        <f t="shared" si="346"/>
        <v>37315</v>
      </c>
      <c r="C864">
        <v>1096.22</v>
      </c>
      <c r="D864" s="29">
        <f t="shared" si="347"/>
        <v>-3.1699999999999999E-2</v>
      </c>
      <c r="E864" s="39">
        <f t="shared" si="348"/>
        <v>1139.4723076923076</v>
      </c>
      <c r="F864" s="39">
        <f t="shared" si="349"/>
        <v>1154.2135897435894</v>
      </c>
      <c r="G864" s="29">
        <f t="shared" si="341"/>
        <v>-3.7999999999999999E-2</v>
      </c>
      <c r="H864" s="29">
        <f t="shared" si="341"/>
        <v>-5.0200000000000002E-2</v>
      </c>
      <c r="I864">
        <f t="shared" si="350"/>
        <v>1096.22</v>
      </c>
      <c r="J864">
        <f>IF(A864&gt;=Quarterly!B$2,Quarterly!C$2,IF(COUNTIFS(Quarterly!B:B,"&gt;="&amp;A864-92,Quarterly!B:B,"&lt;="&amp;A864)&gt;1,SUMIFS(Quarterly!C:C,Quarterly!B:B,"&gt;="&amp;A864-88,Quarterly!B:B,"&lt;="&amp;A864),SUMIFS(Quarterly!C:C,Quarterly!B:B,"&gt;="&amp;A864-92,Quarterly!B:B,"&lt;="&amp;A864)))</f>
        <v>10701.3</v>
      </c>
      <c r="K864" s="13">
        <f t="shared" si="351"/>
        <v>0.1024</v>
      </c>
      <c r="L864">
        <f t="shared" si="353"/>
        <v>1096.22</v>
      </c>
      <c r="M864">
        <f>IF(A864&gt;=Quarterly!B$2,Quarterly!D$2,IF(COUNTIFS(Quarterly!B:B,"&gt;="&amp;A864-92,Quarterly!B:B,"&lt;="&amp;A864)&gt;1,SUMIFS(Quarterly!D:D,Quarterly!B:B,"&gt;="&amp;A864-88,Quarterly!B:B,"&lt;="&amp;A864),SUMIFS(Quarterly!D:D,Quarterly!B:B,"&gt;="&amp;A864-92,Quarterly!B:B,"&lt;="&amp;A864)))</f>
        <v>458.93799999999999</v>
      </c>
      <c r="N864" s="13">
        <f t="shared" si="354"/>
        <v>0.23885999999999999</v>
      </c>
      <c r="O864">
        <f t="shared" si="342"/>
        <v>1096.22</v>
      </c>
      <c r="P864" s="56">
        <f>VLOOKUP(EOMONTH(A864,-1),Economic!A:I,7,FALSE)</f>
        <v>809153</v>
      </c>
      <c r="Q864" s="13">
        <f t="shared" si="343"/>
        <v>0.13550000000000001</v>
      </c>
      <c r="R864" s="41">
        <v>1.95</v>
      </c>
      <c r="S864">
        <f t="shared" si="344"/>
        <v>-0.15</v>
      </c>
      <c r="T864" s="30">
        <f t="shared" si="345"/>
        <v>51.81</v>
      </c>
      <c r="U864" s="30">
        <f t="shared" si="352"/>
        <v>49.71</v>
      </c>
    </row>
    <row r="865" spans="1:21" ht="15" customHeight="1" x14ac:dyDescent="0.25">
      <c r="A865" s="5">
        <v>37290</v>
      </c>
      <c r="B865" s="5">
        <f t="shared" si="346"/>
        <v>37315</v>
      </c>
      <c r="C865">
        <v>1122.2</v>
      </c>
      <c r="D865" s="29">
        <f t="shared" si="347"/>
        <v>-1.9699999999999999E-2</v>
      </c>
      <c r="E865" s="39">
        <f t="shared" si="348"/>
        <v>1141.3253846153846</v>
      </c>
      <c r="F865" s="39">
        <f t="shared" si="349"/>
        <v>1158.0456410256406</v>
      </c>
      <c r="G865" s="29">
        <f t="shared" si="341"/>
        <v>-1.6799999999999999E-2</v>
      </c>
      <c r="H865" s="29">
        <f t="shared" si="341"/>
        <v>-3.1E-2</v>
      </c>
      <c r="I865">
        <f t="shared" si="350"/>
        <v>1122.2</v>
      </c>
      <c r="J865">
        <f>IF(A865&gt;=Quarterly!B$2,Quarterly!C$2,IF(COUNTIFS(Quarterly!B:B,"&gt;="&amp;A865-92,Quarterly!B:B,"&lt;="&amp;A865)&gt;1,SUMIFS(Quarterly!C:C,Quarterly!B:B,"&gt;="&amp;A865-88,Quarterly!B:B,"&lt;="&amp;A865),SUMIFS(Quarterly!C:C,Quarterly!B:B,"&gt;="&amp;A865-92,Quarterly!B:B,"&lt;="&amp;A865)))</f>
        <v>10701.3</v>
      </c>
      <c r="K865" s="13">
        <f t="shared" si="351"/>
        <v>0.10489999999999999</v>
      </c>
      <c r="L865">
        <f t="shared" si="353"/>
        <v>1122.2</v>
      </c>
      <c r="M865">
        <f>IF(A865&gt;=Quarterly!B$2,Quarterly!D$2,IF(COUNTIFS(Quarterly!B:B,"&gt;="&amp;A865-92,Quarterly!B:B,"&lt;="&amp;A865)&gt;1,SUMIFS(Quarterly!D:D,Quarterly!B:B,"&gt;="&amp;A865-88,Quarterly!B:B,"&lt;="&amp;A865),SUMIFS(Quarterly!D:D,Quarterly!B:B,"&gt;="&amp;A865-92,Quarterly!B:B,"&lt;="&amp;A865)))</f>
        <v>458.93799999999999</v>
      </c>
      <c r="N865" s="13">
        <f t="shared" si="354"/>
        <v>0.24451999999999999</v>
      </c>
      <c r="O865">
        <f t="shared" si="342"/>
        <v>1122.2</v>
      </c>
      <c r="P865" s="56">
        <f>VLOOKUP(EOMONTH(A865,-1),Economic!A:I,7,FALSE)</f>
        <v>809153</v>
      </c>
      <c r="Q865" s="13">
        <f t="shared" si="343"/>
        <v>0.13869999999999999</v>
      </c>
      <c r="R865" s="41">
        <v>1.94</v>
      </c>
      <c r="S865">
        <f t="shared" si="344"/>
        <v>-0.1</v>
      </c>
      <c r="T865" s="30">
        <f t="shared" si="345"/>
        <v>50.3</v>
      </c>
      <c r="U865" s="30">
        <f t="shared" si="352"/>
        <v>49.17</v>
      </c>
    </row>
    <row r="866" spans="1:21" ht="15" customHeight="1" x14ac:dyDescent="0.25">
      <c r="A866" s="5">
        <v>37283</v>
      </c>
      <c r="B866" s="5">
        <f t="shared" si="346"/>
        <v>37287</v>
      </c>
      <c r="C866">
        <v>1133.28</v>
      </c>
      <c r="D866" s="29">
        <f t="shared" si="347"/>
        <v>-1.6E-2</v>
      </c>
      <c r="E866" s="39">
        <f t="shared" si="348"/>
        <v>1138.6330769230769</v>
      </c>
      <c r="F866" s="39">
        <f t="shared" si="349"/>
        <v>1161.7484615384612</v>
      </c>
      <c r="G866" s="29">
        <f t="shared" si="341"/>
        <v>-4.7000000000000002E-3</v>
      </c>
      <c r="H866" s="29">
        <f t="shared" si="341"/>
        <v>-2.4500000000000001E-2</v>
      </c>
      <c r="I866">
        <f t="shared" si="350"/>
        <v>1133.28</v>
      </c>
      <c r="J866">
        <f>IF(A866&gt;=Quarterly!B$2,Quarterly!C$2,IF(COUNTIFS(Quarterly!B:B,"&gt;="&amp;A866-92,Quarterly!B:B,"&lt;="&amp;A866)&gt;1,SUMIFS(Quarterly!C:C,Quarterly!B:B,"&gt;="&amp;A866-88,Quarterly!B:B,"&lt;="&amp;A866),SUMIFS(Quarterly!C:C,Quarterly!B:B,"&gt;="&amp;A866-92,Quarterly!B:B,"&lt;="&amp;A866)))</f>
        <v>10639.5</v>
      </c>
      <c r="K866" s="13">
        <f t="shared" si="351"/>
        <v>0.1065</v>
      </c>
      <c r="L866">
        <f t="shared" si="353"/>
        <v>1133.28</v>
      </c>
      <c r="M866">
        <f>IF(A866&gt;=Quarterly!B$2,Quarterly!D$2,IF(COUNTIFS(Quarterly!B:B,"&gt;="&amp;A866-92,Quarterly!B:B,"&lt;="&amp;A866)&gt;1,SUMIFS(Quarterly!D:D,Quarterly!B:B,"&gt;="&amp;A866-88,Quarterly!B:B,"&lt;="&amp;A866),SUMIFS(Quarterly!D:D,Quarterly!B:B,"&gt;="&amp;A866-92,Quarterly!B:B,"&lt;="&amp;A866)))</f>
        <v>475.29599999999999</v>
      </c>
      <c r="N866" s="13">
        <f t="shared" si="354"/>
        <v>0.23843999999999999</v>
      </c>
      <c r="O866">
        <f t="shared" si="342"/>
        <v>1133.28</v>
      </c>
      <c r="P866" s="56">
        <f>VLOOKUP(EOMONTH(A866,-1),Economic!A:I,7,FALSE)</f>
        <v>812256</v>
      </c>
      <c r="Q866" s="13">
        <f t="shared" si="343"/>
        <v>0.13949999999999999</v>
      </c>
      <c r="R866" s="41">
        <v>1.93</v>
      </c>
      <c r="S866">
        <f t="shared" si="344"/>
        <v>-0.23</v>
      </c>
      <c r="T866" s="30">
        <f t="shared" si="345"/>
        <v>47.02</v>
      </c>
      <c r="U866" s="30">
        <f t="shared" si="352"/>
        <v>49.67</v>
      </c>
    </row>
    <row r="867" spans="1:21" ht="15" customHeight="1" x14ac:dyDescent="0.25">
      <c r="A867" s="5">
        <v>37276</v>
      </c>
      <c r="B867" s="5">
        <f t="shared" si="346"/>
        <v>37287</v>
      </c>
      <c r="C867">
        <v>1127.58</v>
      </c>
      <c r="D867" s="29">
        <f t="shared" si="347"/>
        <v>-2.46E-2</v>
      </c>
      <c r="E867" s="39">
        <f t="shared" si="348"/>
        <v>1136.4276923076925</v>
      </c>
      <c r="F867" s="39">
        <f t="shared" si="349"/>
        <v>1164.8194871794869</v>
      </c>
      <c r="G867" s="29">
        <f t="shared" si="341"/>
        <v>-7.7999999999999996E-3</v>
      </c>
      <c r="H867" s="29">
        <f t="shared" si="341"/>
        <v>-3.2000000000000001E-2</v>
      </c>
      <c r="I867">
        <f t="shared" si="350"/>
        <v>1127.58</v>
      </c>
      <c r="J867">
        <f>IF(A867&gt;=Quarterly!B$2,Quarterly!C$2,IF(COUNTIFS(Quarterly!B:B,"&gt;="&amp;A867-92,Quarterly!B:B,"&lt;="&amp;A867)&gt;1,SUMIFS(Quarterly!C:C,Quarterly!B:B,"&gt;="&amp;A867-88,Quarterly!B:B,"&lt;="&amp;A867),SUMIFS(Quarterly!C:C,Quarterly!B:B,"&gt;="&amp;A867-92,Quarterly!B:B,"&lt;="&amp;A867)))</f>
        <v>10639.5</v>
      </c>
      <c r="K867" s="13">
        <f t="shared" si="351"/>
        <v>0.106</v>
      </c>
      <c r="L867">
        <f t="shared" si="353"/>
        <v>1127.58</v>
      </c>
      <c r="M867">
        <f>IF(A867&gt;=Quarterly!B$2,Quarterly!D$2,IF(COUNTIFS(Quarterly!B:B,"&gt;="&amp;A867-92,Quarterly!B:B,"&lt;="&amp;A867)&gt;1,SUMIFS(Quarterly!D:D,Quarterly!B:B,"&gt;="&amp;A867-88,Quarterly!B:B,"&lt;="&amp;A867),SUMIFS(Quarterly!D:D,Quarterly!B:B,"&gt;="&amp;A867-92,Quarterly!B:B,"&lt;="&amp;A867)))</f>
        <v>475.29599999999999</v>
      </c>
      <c r="N867" s="13">
        <f t="shared" si="354"/>
        <v>0.23724000000000001</v>
      </c>
      <c r="O867">
        <f t="shared" si="342"/>
        <v>1127.58</v>
      </c>
      <c r="P867" s="56">
        <f>VLOOKUP(EOMONTH(A867,-1),Economic!A:I,7,FALSE)</f>
        <v>812256</v>
      </c>
      <c r="Q867" s="13">
        <f t="shared" si="343"/>
        <v>0.13879999999999998</v>
      </c>
      <c r="R867" s="41">
        <v>2.0299999999999998</v>
      </c>
      <c r="S867">
        <f t="shared" si="344"/>
        <v>-0.17</v>
      </c>
      <c r="T867" s="30">
        <f t="shared" si="345"/>
        <v>50.2</v>
      </c>
      <c r="U867" s="30">
        <f t="shared" si="352"/>
        <v>50.63</v>
      </c>
    </row>
    <row r="868" spans="1:21" ht="15" customHeight="1" x14ac:dyDescent="0.25">
      <c r="A868" s="5">
        <v>37269</v>
      </c>
      <c r="B868" s="5">
        <f t="shared" si="346"/>
        <v>37287</v>
      </c>
      <c r="C868">
        <v>1145.5999999999999</v>
      </c>
      <c r="D868" s="29">
        <f t="shared" si="347"/>
        <v>-4.1999999999999997E-3</v>
      </c>
      <c r="E868" s="39">
        <f t="shared" si="348"/>
        <v>1132.2661538461539</v>
      </c>
      <c r="F868" s="39">
        <f t="shared" si="349"/>
        <v>1167.7784615384614</v>
      </c>
      <c r="G868" s="29">
        <f t="shared" si="341"/>
        <v>1.18E-2</v>
      </c>
      <c r="H868" s="29">
        <f t="shared" si="341"/>
        <v>-1.9E-2</v>
      </c>
      <c r="I868">
        <f t="shared" si="350"/>
        <v>1145.5999999999999</v>
      </c>
      <c r="J868">
        <f>IF(A868&gt;=Quarterly!B$2,Quarterly!C$2,IF(COUNTIFS(Quarterly!B:B,"&gt;="&amp;A868-92,Quarterly!B:B,"&lt;="&amp;A868)&gt;1,SUMIFS(Quarterly!C:C,Quarterly!B:B,"&gt;="&amp;A868-88,Quarterly!B:B,"&lt;="&amp;A868),SUMIFS(Quarterly!C:C,Quarterly!B:B,"&gt;="&amp;A868-92,Quarterly!B:B,"&lt;="&amp;A868)))</f>
        <v>10639.5</v>
      </c>
      <c r="K868" s="13">
        <f t="shared" si="351"/>
        <v>0.1077</v>
      </c>
      <c r="L868">
        <f t="shared" si="353"/>
        <v>1145.5999999999999</v>
      </c>
      <c r="M868">
        <f>IF(A868&gt;=Quarterly!B$2,Quarterly!D$2,IF(COUNTIFS(Quarterly!B:B,"&gt;="&amp;A868-92,Quarterly!B:B,"&lt;="&amp;A868)&gt;1,SUMIFS(Quarterly!D:D,Quarterly!B:B,"&gt;="&amp;A868-88,Quarterly!B:B,"&lt;="&amp;A868),SUMIFS(Quarterly!D:D,Quarterly!B:B,"&gt;="&amp;A868-92,Quarterly!B:B,"&lt;="&amp;A868)))</f>
        <v>475.29599999999999</v>
      </c>
      <c r="N868" s="13">
        <f t="shared" si="354"/>
        <v>0.24102999999999999</v>
      </c>
      <c r="O868">
        <f t="shared" si="342"/>
        <v>1145.5999999999999</v>
      </c>
      <c r="P868" s="56">
        <f>VLOOKUP(EOMONTH(A868,-1),Economic!A:I,7,FALSE)</f>
        <v>812256</v>
      </c>
      <c r="Q868" s="13">
        <f t="shared" si="343"/>
        <v>0.14100000000000001</v>
      </c>
      <c r="R868" s="41">
        <v>2.16</v>
      </c>
      <c r="S868">
        <f t="shared" si="344"/>
        <v>-0.1</v>
      </c>
      <c r="T868" s="30">
        <f t="shared" si="345"/>
        <v>51.79</v>
      </c>
      <c r="U868" s="30">
        <f t="shared" si="352"/>
        <v>50.39</v>
      </c>
    </row>
    <row r="869" spans="1:21" ht="15" customHeight="1" x14ac:dyDescent="0.25">
      <c r="A869" s="5">
        <v>37262</v>
      </c>
      <c r="B869" s="5">
        <f t="shared" si="346"/>
        <v>37287</v>
      </c>
      <c r="C869">
        <v>1172.51</v>
      </c>
      <c r="D869" s="29">
        <f t="shared" si="347"/>
        <v>2.24E-2</v>
      </c>
      <c r="E869" s="39">
        <f t="shared" si="348"/>
        <v>1128.1161538461538</v>
      </c>
      <c r="F869" s="39">
        <f t="shared" si="349"/>
        <v>1168.7502564102565</v>
      </c>
      <c r="G869" s="29">
        <f t="shared" si="341"/>
        <v>3.9399999999999998E-2</v>
      </c>
      <c r="H869" s="29">
        <f t="shared" si="341"/>
        <v>3.2000000000000002E-3</v>
      </c>
      <c r="I869">
        <f t="shared" si="350"/>
        <v>1172.51</v>
      </c>
      <c r="J869">
        <f>IF(A869&gt;=Quarterly!B$2,Quarterly!C$2,IF(COUNTIFS(Quarterly!B:B,"&gt;="&amp;A869-92,Quarterly!B:B,"&lt;="&amp;A869)&gt;1,SUMIFS(Quarterly!C:C,Quarterly!B:B,"&gt;="&amp;A869-88,Quarterly!B:B,"&lt;="&amp;A869),SUMIFS(Quarterly!C:C,Quarterly!B:B,"&gt;="&amp;A869-92,Quarterly!B:B,"&lt;="&amp;A869)))</f>
        <v>10639.5</v>
      </c>
      <c r="K869" s="13">
        <f t="shared" si="351"/>
        <v>0.11020000000000001</v>
      </c>
      <c r="L869">
        <f t="shared" si="353"/>
        <v>1172.51</v>
      </c>
      <c r="M869">
        <f>IF(A869&gt;=Quarterly!B$2,Quarterly!D$2,IF(COUNTIFS(Quarterly!B:B,"&gt;="&amp;A869-92,Quarterly!B:B,"&lt;="&amp;A869)&gt;1,SUMIFS(Quarterly!D:D,Quarterly!B:B,"&gt;="&amp;A869-88,Quarterly!B:B,"&lt;="&amp;A869),SUMIFS(Quarterly!D:D,Quarterly!B:B,"&gt;="&amp;A869-92,Quarterly!B:B,"&lt;="&amp;A869)))</f>
        <v>475.29599999999999</v>
      </c>
      <c r="N869" s="13">
        <f t="shared" si="354"/>
        <v>0.24668999999999999</v>
      </c>
      <c r="O869">
        <f t="shared" si="342"/>
        <v>1172.51</v>
      </c>
      <c r="P869" s="56">
        <f>VLOOKUP(EOMONTH(A869,-1),Economic!A:I,7,FALSE)</f>
        <v>812256</v>
      </c>
      <c r="Q869" s="13">
        <f t="shared" si="343"/>
        <v>0.1444</v>
      </c>
      <c r="R869" s="41">
        <v>1.99</v>
      </c>
      <c r="S869">
        <f t="shared" si="344"/>
        <v>-0.11</v>
      </c>
      <c r="T869" s="30">
        <f t="shared" si="345"/>
        <v>49.9</v>
      </c>
      <c r="U869" s="30">
        <f t="shared" si="352"/>
        <v>51.16</v>
      </c>
    </row>
    <row r="870" spans="1:21" ht="15" customHeight="1" x14ac:dyDescent="0.25">
      <c r="A870" s="5">
        <v>37255</v>
      </c>
      <c r="B870" s="5">
        <f t="shared" si="346"/>
        <v>37256</v>
      </c>
      <c r="C870">
        <v>1161.02</v>
      </c>
      <c r="D870" s="29">
        <f t="shared" si="347"/>
        <v>1.72E-2</v>
      </c>
      <c r="E870" s="39">
        <f t="shared" si="348"/>
        <v>1120.3369230769231</v>
      </c>
      <c r="F870" s="39">
        <f t="shared" si="349"/>
        <v>1167.6200000000001</v>
      </c>
      <c r="G870" s="29">
        <f t="shared" si="341"/>
        <v>3.6299999999999999E-2</v>
      </c>
      <c r="H870" s="29">
        <f t="shared" si="341"/>
        <v>-5.7000000000000002E-3</v>
      </c>
      <c r="I870">
        <f t="shared" si="350"/>
        <v>1161.02</v>
      </c>
      <c r="J870">
        <f>IF(A870&gt;=Quarterly!B$2,Quarterly!C$2,IF(COUNTIFS(Quarterly!B:B,"&gt;="&amp;A870-92,Quarterly!B:B,"&lt;="&amp;A870)&gt;1,SUMIFS(Quarterly!C:C,Quarterly!B:B,"&gt;="&amp;A870-88,Quarterly!B:B,"&lt;="&amp;A870),SUMIFS(Quarterly!C:C,Quarterly!B:B,"&gt;="&amp;A870-92,Quarterly!B:B,"&lt;="&amp;A870)))</f>
        <v>10639.5</v>
      </c>
      <c r="K870" s="13">
        <f t="shared" si="351"/>
        <v>0.1091</v>
      </c>
      <c r="L870">
        <f t="shared" si="353"/>
        <v>1161.02</v>
      </c>
      <c r="M870">
        <f>IF(A870&gt;=Quarterly!B$2,Quarterly!D$2,IF(COUNTIFS(Quarterly!B:B,"&gt;="&amp;A870-92,Quarterly!B:B,"&lt;="&amp;A870)&gt;1,SUMIFS(Quarterly!D:D,Quarterly!B:B,"&gt;="&amp;A870-88,Quarterly!B:B,"&lt;="&amp;A870),SUMIFS(Quarterly!D:D,Quarterly!B:B,"&gt;="&amp;A870-92,Quarterly!B:B,"&lt;="&amp;A870)))</f>
        <v>475.29599999999999</v>
      </c>
      <c r="N870" s="13">
        <f t="shared" si="354"/>
        <v>0.24426999999999999</v>
      </c>
      <c r="O870">
        <f t="shared" si="342"/>
        <v>1161.02</v>
      </c>
      <c r="P870" s="56">
        <f>VLOOKUP(EOMONTH(A870,-1),Economic!A:I,7,FALSE)</f>
        <v>810985</v>
      </c>
      <c r="Q870" s="13">
        <f t="shared" si="343"/>
        <v>0.14319999999999999</v>
      </c>
      <c r="R870" s="41">
        <v>1.99</v>
      </c>
      <c r="S870">
        <f t="shared" si="344"/>
        <v>-0.22</v>
      </c>
      <c r="T870" s="30">
        <f t="shared" si="345"/>
        <v>49.49</v>
      </c>
      <c r="U870" s="30">
        <f t="shared" si="352"/>
        <v>55.38</v>
      </c>
    </row>
    <row r="871" spans="1:21" ht="15" customHeight="1" x14ac:dyDescent="0.25">
      <c r="A871" s="5">
        <v>37248</v>
      </c>
      <c r="B871" s="5">
        <f t="shared" si="346"/>
        <v>37256</v>
      </c>
      <c r="C871">
        <v>1144.8900000000001</v>
      </c>
      <c r="D871" s="29">
        <f t="shared" si="347"/>
        <v>1.8E-3</v>
      </c>
      <c r="E871" s="39">
        <f t="shared" si="348"/>
        <v>1111.1000000000001</v>
      </c>
      <c r="F871" s="39">
        <f t="shared" si="349"/>
        <v>1167.6023076923079</v>
      </c>
      <c r="G871" s="29">
        <f t="shared" si="341"/>
        <v>3.04E-2</v>
      </c>
      <c r="H871" s="29">
        <f t="shared" si="341"/>
        <v>-1.95E-2</v>
      </c>
      <c r="I871">
        <f t="shared" si="350"/>
        <v>1144.8900000000001</v>
      </c>
      <c r="J871">
        <f>IF(A871&gt;=Quarterly!B$2,Quarterly!C$2,IF(COUNTIFS(Quarterly!B:B,"&gt;="&amp;A871-92,Quarterly!B:B,"&lt;="&amp;A871)&gt;1,SUMIFS(Quarterly!C:C,Quarterly!B:B,"&gt;="&amp;A871-88,Quarterly!B:B,"&lt;="&amp;A871),SUMIFS(Quarterly!C:C,Quarterly!B:B,"&gt;="&amp;A871-92,Quarterly!B:B,"&lt;="&amp;A871)))</f>
        <v>10639.5</v>
      </c>
      <c r="K871" s="13">
        <f t="shared" si="351"/>
        <v>0.1076</v>
      </c>
      <c r="L871">
        <f t="shared" si="353"/>
        <v>1144.8900000000001</v>
      </c>
      <c r="M871">
        <f>IF(A871&gt;=Quarterly!B$2,Quarterly!D$2,IF(COUNTIFS(Quarterly!B:B,"&gt;="&amp;A871-92,Quarterly!B:B,"&lt;="&amp;A871)&gt;1,SUMIFS(Quarterly!D:D,Quarterly!B:B,"&gt;="&amp;A871-88,Quarterly!B:B,"&lt;="&amp;A871),SUMIFS(Quarterly!D:D,Quarterly!B:B,"&gt;="&amp;A871-92,Quarterly!B:B,"&lt;="&amp;A871)))</f>
        <v>475.29599999999999</v>
      </c>
      <c r="N871" s="13">
        <f t="shared" si="354"/>
        <v>0.24087999999999998</v>
      </c>
      <c r="O871">
        <f t="shared" si="342"/>
        <v>1144.8900000000001</v>
      </c>
      <c r="P871" s="56">
        <f>VLOOKUP(EOMONTH(A871,-1),Economic!A:I,7,FALSE)</f>
        <v>810985</v>
      </c>
      <c r="Q871" s="13">
        <f t="shared" si="343"/>
        <v>0.14119999999999999</v>
      </c>
      <c r="R871" s="41">
        <v>1.95</v>
      </c>
      <c r="S871">
        <f t="shared" si="344"/>
        <v>-0.2</v>
      </c>
      <c r="T871" s="30">
        <f t="shared" si="345"/>
        <v>54.1</v>
      </c>
      <c r="U871" s="30">
        <f t="shared" si="352"/>
        <v>58.32</v>
      </c>
    </row>
    <row r="872" spans="1:21" ht="15" customHeight="1" x14ac:dyDescent="0.25">
      <c r="A872" s="5">
        <v>37241</v>
      </c>
      <c r="B872" s="5">
        <f t="shared" si="346"/>
        <v>37256</v>
      </c>
      <c r="C872">
        <v>1123.0899999999999</v>
      </c>
      <c r="D872" s="29">
        <f t="shared" si="347"/>
        <v>-2.06E-2</v>
      </c>
      <c r="E872" s="39">
        <f t="shared" si="348"/>
        <v>1097.323846153846</v>
      </c>
      <c r="F872" s="39">
        <f t="shared" si="349"/>
        <v>1167.4725641025641</v>
      </c>
      <c r="G872" s="29">
        <f t="shared" si="341"/>
        <v>2.35E-2</v>
      </c>
      <c r="H872" s="29">
        <f t="shared" si="341"/>
        <v>-3.7999999999999999E-2</v>
      </c>
      <c r="I872">
        <f t="shared" si="350"/>
        <v>1123.0899999999999</v>
      </c>
      <c r="J872">
        <f>IF(A872&gt;=Quarterly!B$2,Quarterly!C$2,IF(COUNTIFS(Quarterly!B:B,"&gt;="&amp;A872-92,Quarterly!B:B,"&lt;="&amp;A872)&gt;1,SUMIFS(Quarterly!C:C,Quarterly!B:B,"&gt;="&amp;A872-88,Quarterly!B:B,"&lt;="&amp;A872),SUMIFS(Quarterly!C:C,Quarterly!B:B,"&gt;="&amp;A872-92,Quarterly!B:B,"&lt;="&amp;A872)))</f>
        <v>10639.5</v>
      </c>
      <c r="K872" s="13">
        <f t="shared" si="351"/>
        <v>0.1056</v>
      </c>
      <c r="L872">
        <f t="shared" si="353"/>
        <v>1123.0899999999999</v>
      </c>
      <c r="M872">
        <f>IF(A872&gt;=Quarterly!B$2,Quarterly!D$2,IF(COUNTIFS(Quarterly!B:B,"&gt;="&amp;A872-92,Quarterly!B:B,"&lt;="&amp;A872)&gt;1,SUMIFS(Quarterly!D:D,Quarterly!B:B,"&gt;="&amp;A872-88,Quarterly!B:B,"&lt;="&amp;A872),SUMIFS(Quarterly!D:D,Quarterly!B:B,"&gt;="&amp;A872-92,Quarterly!B:B,"&lt;="&amp;A872)))</f>
        <v>475.29599999999999</v>
      </c>
      <c r="N872" s="13">
        <f t="shared" si="354"/>
        <v>0.23629</v>
      </c>
      <c r="O872">
        <f t="shared" si="342"/>
        <v>1123.0899999999999</v>
      </c>
      <c r="P872" s="56">
        <f>VLOOKUP(EOMONTH(A872,-1),Economic!A:I,7,FALSE)</f>
        <v>810985</v>
      </c>
      <c r="Q872" s="13">
        <f t="shared" si="343"/>
        <v>0.13849999999999998</v>
      </c>
      <c r="R872" s="41">
        <v>2.04</v>
      </c>
      <c r="S872">
        <f t="shared" si="344"/>
        <v>-0.11</v>
      </c>
      <c r="T872" s="30">
        <f t="shared" si="345"/>
        <v>62.56</v>
      </c>
      <c r="U872" s="30">
        <f t="shared" si="352"/>
        <v>60.66</v>
      </c>
    </row>
    <row r="873" spans="1:21" ht="15" customHeight="1" x14ac:dyDescent="0.25">
      <c r="A873" s="5">
        <v>37234</v>
      </c>
      <c r="B873" s="5">
        <f t="shared" si="346"/>
        <v>37256</v>
      </c>
      <c r="C873">
        <v>1158.31</v>
      </c>
      <c r="D873" s="29">
        <f t="shared" si="347"/>
        <v>1.8599999999999998E-2</v>
      </c>
      <c r="E873" s="39">
        <f t="shared" si="348"/>
        <v>1094.9738461538459</v>
      </c>
      <c r="F873" s="39">
        <f t="shared" si="349"/>
        <v>1168.176153846154</v>
      </c>
      <c r="G873" s="29">
        <f t="shared" si="341"/>
        <v>5.7799999999999997E-2</v>
      </c>
      <c r="H873" s="29">
        <f t="shared" si="341"/>
        <v>-8.3999999999999995E-3</v>
      </c>
      <c r="I873">
        <f t="shared" si="350"/>
        <v>1158.31</v>
      </c>
      <c r="J873">
        <f>IF(A873&gt;=Quarterly!B$2,Quarterly!C$2,IF(COUNTIFS(Quarterly!B:B,"&gt;="&amp;A873-92,Quarterly!B:B,"&lt;="&amp;A873)&gt;1,SUMIFS(Quarterly!C:C,Quarterly!B:B,"&gt;="&amp;A873-88,Quarterly!B:B,"&lt;="&amp;A873),SUMIFS(Quarterly!C:C,Quarterly!B:B,"&gt;="&amp;A873-92,Quarterly!B:B,"&lt;="&amp;A873)))</f>
        <v>10639.5</v>
      </c>
      <c r="K873" s="13">
        <f t="shared" si="351"/>
        <v>0.1089</v>
      </c>
      <c r="L873">
        <f t="shared" si="353"/>
        <v>1158.31</v>
      </c>
      <c r="M873">
        <f>IF(A873&gt;=Quarterly!B$2,Quarterly!D$2,IF(COUNTIFS(Quarterly!B:B,"&gt;="&amp;A873-92,Quarterly!B:B,"&lt;="&amp;A873)&gt;1,SUMIFS(Quarterly!D:D,Quarterly!B:B,"&gt;="&amp;A873-88,Quarterly!B:B,"&lt;="&amp;A873),SUMIFS(Quarterly!D:D,Quarterly!B:B,"&gt;="&amp;A873-92,Quarterly!B:B,"&lt;="&amp;A873)))</f>
        <v>475.29599999999999</v>
      </c>
      <c r="N873" s="13">
        <f t="shared" si="354"/>
        <v>0.2437</v>
      </c>
      <c r="O873">
        <f t="shared" si="342"/>
        <v>1158.31</v>
      </c>
      <c r="P873" s="56">
        <f>VLOOKUP(EOMONTH(A873,-1),Economic!A:I,7,FALSE)</f>
        <v>810985</v>
      </c>
      <c r="Q873" s="13">
        <f t="shared" si="343"/>
        <v>0.14280000000000001</v>
      </c>
      <c r="R873" s="41">
        <v>2.0099999999999998</v>
      </c>
      <c r="S873">
        <f t="shared" si="344"/>
        <v>-0.16</v>
      </c>
      <c r="T873" s="30">
        <f t="shared" si="345"/>
        <v>58.29</v>
      </c>
      <c r="U873" s="30">
        <f t="shared" si="352"/>
        <v>59.33</v>
      </c>
    </row>
    <row r="874" spans="1:21" ht="15" customHeight="1" x14ac:dyDescent="0.25">
      <c r="A874" s="5">
        <v>37227</v>
      </c>
      <c r="B874" s="5">
        <f t="shared" si="346"/>
        <v>37256</v>
      </c>
      <c r="C874">
        <v>1139.45</v>
      </c>
      <c r="D874" s="29">
        <f t="shared" si="347"/>
        <v>1.3599999999999999E-2</v>
      </c>
      <c r="E874" s="39">
        <f t="shared" si="348"/>
        <v>1089.3946153846152</v>
      </c>
      <c r="F874" s="39">
        <f t="shared" si="349"/>
        <v>1170.1020512820514</v>
      </c>
      <c r="G874" s="29">
        <f t="shared" si="341"/>
        <v>4.5900000000000003E-2</v>
      </c>
      <c r="H874" s="29">
        <f t="shared" si="341"/>
        <v>-2.6200000000000001E-2</v>
      </c>
      <c r="I874">
        <f t="shared" si="350"/>
        <v>1139.45</v>
      </c>
      <c r="J874">
        <f>IF(A874&gt;=Quarterly!B$2,Quarterly!C$2,IF(COUNTIFS(Quarterly!B:B,"&gt;="&amp;A874-92,Quarterly!B:B,"&lt;="&amp;A874)&gt;1,SUMIFS(Quarterly!C:C,Quarterly!B:B,"&gt;="&amp;A874-88,Quarterly!B:B,"&lt;="&amp;A874),SUMIFS(Quarterly!C:C,Quarterly!B:B,"&gt;="&amp;A874-92,Quarterly!B:B,"&lt;="&amp;A874)))</f>
        <v>10639.5</v>
      </c>
      <c r="K874" s="13">
        <f t="shared" si="351"/>
        <v>0.1071</v>
      </c>
      <c r="L874">
        <f t="shared" si="353"/>
        <v>1139.45</v>
      </c>
      <c r="M874">
        <f>IF(A874&gt;=Quarterly!B$2,Quarterly!D$2,IF(COUNTIFS(Quarterly!B:B,"&gt;="&amp;A874-92,Quarterly!B:B,"&lt;="&amp;A874)&gt;1,SUMIFS(Quarterly!D:D,Quarterly!B:B,"&gt;="&amp;A874-88,Quarterly!B:B,"&lt;="&amp;A874),SUMIFS(Quarterly!D:D,Quarterly!B:B,"&gt;="&amp;A874-92,Quarterly!B:B,"&lt;="&amp;A874)))</f>
        <v>475.29599999999999</v>
      </c>
      <c r="N874" s="13">
        <f t="shared" si="354"/>
        <v>0.23973</v>
      </c>
      <c r="O874">
        <f t="shared" si="342"/>
        <v>1139.45</v>
      </c>
      <c r="P874" s="56">
        <f>VLOOKUP(EOMONTH(A874,-1),Economic!A:I,7,FALSE)</f>
        <v>810985</v>
      </c>
      <c r="Q874" s="13">
        <f t="shared" si="343"/>
        <v>0.14050000000000001</v>
      </c>
      <c r="R874" s="41">
        <v>1.94</v>
      </c>
      <c r="S874">
        <f t="shared" si="344"/>
        <v>-0.18</v>
      </c>
      <c r="T874" s="30">
        <f t="shared" si="345"/>
        <v>61.12</v>
      </c>
      <c r="U874" s="30">
        <f t="shared" si="352"/>
        <v>59.72</v>
      </c>
    </row>
    <row r="875" spans="1:21" ht="15" customHeight="1" x14ac:dyDescent="0.25">
      <c r="A875" s="5">
        <v>37220</v>
      </c>
      <c r="B875" s="5">
        <f t="shared" si="346"/>
        <v>37225</v>
      </c>
      <c r="C875">
        <v>1150.3399999999999</v>
      </c>
      <c r="D875" s="29">
        <f t="shared" si="347"/>
        <v>3.3799999999999997E-2</v>
      </c>
      <c r="E875" s="39">
        <f t="shared" si="348"/>
        <v>1088.9430769230769</v>
      </c>
      <c r="F875" s="39">
        <f t="shared" si="349"/>
        <v>1172.5310256410255</v>
      </c>
      <c r="G875" s="29">
        <f t="shared" si="341"/>
        <v>5.6399999999999999E-2</v>
      </c>
      <c r="H875" s="29">
        <f t="shared" si="341"/>
        <v>-1.89E-2</v>
      </c>
      <c r="I875">
        <f t="shared" si="350"/>
        <v>1150.3399999999999</v>
      </c>
      <c r="J875">
        <f>IF(A875&gt;=Quarterly!B$2,Quarterly!C$2,IF(COUNTIFS(Quarterly!B:B,"&gt;="&amp;A875-92,Quarterly!B:B,"&lt;="&amp;A875)&gt;1,SUMIFS(Quarterly!C:C,Quarterly!B:B,"&gt;="&amp;A875-88,Quarterly!B:B,"&lt;="&amp;A875),SUMIFS(Quarterly!C:C,Quarterly!B:B,"&gt;="&amp;A875-92,Quarterly!B:B,"&lt;="&amp;A875)))</f>
        <v>10639.5</v>
      </c>
      <c r="K875" s="13">
        <f t="shared" si="351"/>
        <v>0.1081</v>
      </c>
      <c r="L875">
        <f t="shared" si="353"/>
        <v>1150.3399999999999</v>
      </c>
      <c r="M875">
        <f>IF(A875&gt;=Quarterly!B$2,Quarterly!D$2,IF(COUNTIFS(Quarterly!B:B,"&gt;="&amp;A875-92,Quarterly!B:B,"&lt;="&amp;A875)&gt;1,SUMIFS(Quarterly!D:D,Quarterly!B:B,"&gt;="&amp;A875-88,Quarterly!B:B,"&lt;="&amp;A875),SUMIFS(Quarterly!D:D,Quarterly!B:B,"&gt;="&amp;A875-92,Quarterly!B:B,"&lt;="&amp;A875)))</f>
        <v>475.29599999999999</v>
      </c>
      <c r="N875" s="13">
        <f t="shared" si="354"/>
        <v>0.24203000000000002</v>
      </c>
      <c r="O875">
        <f t="shared" si="342"/>
        <v>1150.3399999999999</v>
      </c>
      <c r="P875" s="56">
        <f>VLOOKUP(EOMONTH(A875,-1),Economic!A:I,7,FALSE)</f>
        <v>814906</v>
      </c>
      <c r="Q875" s="13">
        <f t="shared" si="343"/>
        <v>0.14119999999999999</v>
      </c>
      <c r="R875" s="41">
        <v>1.84</v>
      </c>
      <c r="S875">
        <f t="shared" si="344"/>
        <v>-0.24</v>
      </c>
      <c r="T875" s="30">
        <f t="shared" si="345"/>
        <v>58.59</v>
      </c>
      <c r="U875" s="30">
        <f t="shared" si="352"/>
        <v>58.05</v>
      </c>
    </row>
    <row r="876" spans="1:21" ht="15" customHeight="1" x14ac:dyDescent="0.25">
      <c r="A876" s="5">
        <v>37213</v>
      </c>
      <c r="B876" s="5">
        <f t="shared" si="346"/>
        <v>37225</v>
      </c>
      <c r="C876">
        <v>1138.6500000000001</v>
      </c>
      <c r="D876" s="29">
        <f t="shared" si="347"/>
        <v>3.85E-2</v>
      </c>
      <c r="E876" s="39">
        <f t="shared" si="348"/>
        <v>1091.603846153846</v>
      </c>
      <c r="F876" s="39">
        <f t="shared" si="349"/>
        <v>1174.9802564102565</v>
      </c>
      <c r="G876" s="29">
        <f t="shared" si="341"/>
        <v>4.3099999999999999E-2</v>
      </c>
      <c r="H876" s="29">
        <f t="shared" si="341"/>
        <v>-3.09E-2</v>
      </c>
      <c r="I876">
        <f t="shared" si="350"/>
        <v>1138.6500000000001</v>
      </c>
      <c r="J876">
        <f>IF(A876&gt;=Quarterly!B$2,Quarterly!C$2,IF(COUNTIFS(Quarterly!B:B,"&gt;="&amp;A876-92,Quarterly!B:B,"&lt;="&amp;A876)&gt;1,SUMIFS(Quarterly!C:C,Quarterly!B:B,"&gt;="&amp;A876-88,Quarterly!B:B,"&lt;="&amp;A876),SUMIFS(Quarterly!C:C,Quarterly!B:B,"&gt;="&amp;A876-92,Quarterly!B:B,"&lt;="&amp;A876)))</f>
        <v>10639.5</v>
      </c>
      <c r="K876" s="13">
        <f t="shared" si="351"/>
        <v>0.107</v>
      </c>
      <c r="L876">
        <f t="shared" si="353"/>
        <v>1138.6500000000001</v>
      </c>
      <c r="M876">
        <f>IF(A876&gt;=Quarterly!B$2,Quarterly!D$2,IF(COUNTIFS(Quarterly!B:B,"&gt;="&amp;A876-92,Quarterly!B:B,"&lt;="&amp;A876)&gt;1,SUMIFS(Quarterly!D:D,Quarterly!B:B,"&gt;="&amp;A876-88,Quarterly!B:B,"&lt;="&amp;A876),SUMIFS(Quarterly!D:D,Quarterly!B:B,"&gt;="&amp;A876-92,Quarterly!B:B,"&lt;="&amp;A876)))</f>
        <v>475.29599999999999</v>
      </c>
      <c r="N876" s="13">
        <f t="shared" si="354"/>
        <v>0.23957000000000003</v>
      </c>
      <c r="O876">
        <f t="shared" si="342"/>
        <v>1138.6500000000001</v>
      </c>
      <c r="P876" s="56">
        <f>VLOOKUP(EOMONTH(A876,-1),Economic!A:I,7,FALSE)</f>
        <v>814906</v>
      </c>
      <c r="Q876" s="13">
        <f t="shared" si="343"/>
        <v>0.13969999999999999</v>
      </c>
      <c r="R876" s="41">
        <v>1.82</v>
      </c>
      <c r="S876">
        <f t="shared" si="344"/>
        <v>-0.23</v>
      </c>
      <c r="T876" s="30">
        <f t="shared" si="345"/>
        <v>59.45</v>
      </c>
      <c r="U876" s="30">
        <f t="shared" si="352"/>
        <v>57.58</v>
      </c>
    </row>
    <row r="877" spans="1:21" ht="15" customHeight="1" x14ac:dyDescent="0.25">
      <c r="A877" s="5">
        <v>37206</v>
      </c>
      <c r="B877" s="5">
        <f t="shared" si="346"/>
        <v>37225</v>
      </c>
      <c r="C877">
        <v>1120.31</v>
      </c>
      <c r="D877" s="29">
        <f t="shared" si="347"/>
        <v>2.8500000000000001E-2</v>
      </c>
      <c r="E877" s="39">
        <f t="shared" si="348"/>
        <v>1093.3976923076923</v>
      </c>
      <c r="F877" s="39">
        <f t="shared" si="349"/>
        <v>1179.1566666666668</v>
      </c>
      <c r="G877" s="29">
        <f t="shared" si="341"/>
        <v>2.46E-2</v>
      </c>
      <c r="H877" s="29">
        <f t="shared" si="341"/>
        <v>-4.99E-2</v>
      </c>
      <c r="I877">
        <f t="shared" si="350"/>
        <v>1120.31</v>
      </c>
      <c r="J877">
        <f>IF(A877&gt;=Quarterly!B$2,Quarterly!C$2,IF(COUNTIFS(Quarterly!B:B,"&gt;="&amp;A877-92,Quarterly!B:B,"&lt;="&amp;A877)&gt;1,SUMIFS(Quarterly!C:C,Quarterly!B:B,"&gt;="&amp;A877-88,Quarterly!B:B,"&lt;="&amp;A877),SUMIFS(Quarterly!C:C,Quarterly!B:B,"&gt;="&amp;A877-92,Quarterly!B:B,"&lt;="&amp;A877)))</f>
        <v>10639.5</v>
      </c>
      <c r="K877" s="13">
        <f t="shared" si="351"/>
        <v>0.1053</v>
      </c>
      <c r="L877">
        <f t="shared" si="353"/>
        <v>1120.31</v>
      </c>
      <c r="M877">
        <f>IF(A877&gt;=Quarterly!B$2,Quarterly!D$2,IF(COUNTIFS(Quarterly!B:B,"&gt;="&amp;A877-92,Quarterly!B:B,"&lt;="&amp;A877)&gt;1,SUMIFS(Quarterly!D:D,Quarterly!B:B,"&gt;="&amp;A877-88,Quarterly!B:B,"&lt;="&amp;A877),SUMIFS(Quarterly!D:D,Quarterly!B:B,"&gt;="&amp;A877-92,Quarterly!B:B,"&lt;="&amp;A877)))</f>
        <v>475.29599999999999</v>
      </c>
      <c r="N877" s="13">
        <f t="shared" si="354"/>
        <v>0.23571</v>
      </c>
      <c r="O877">
        <f t="shared" si="342"/>
        <v>1120.31</v>
      </c>
      <c r="P877" s="56">
        <f>VLOOKUP(EOMONTH(A877,-1),Economic!A:I,7,FALSE)</f>
        <v>814906</v>
      </c>
      <c r="Q877" s="13">
        <f t="shared" si="343"/>
        <v>0.13749999999999998</v>
      </c>
      <c r="R877" s="41">
        <v>1.89</v>
      </c>
      <c r="S877">
        <f t="shared" si="344"/>
        <v>-0.38</v>
      </c>
      <c r="T877" s="30">
        <f t="shared" si="345"/>
        <v>56.1</v>
      </c>
      <c r="U877" s="30">
        <f t="shared" si="352"/>
        <v>56.96</v>
      </c>
    </row>
    <row r="878" spans="1:21" ht="15" customHeight="1" x14ac:dyDescent="0.25">
      <c r="A878" s="5">
        <v>37199</v>
      </c>
      <c r="B878" s="5">
        <f t="shared" si="346"/>
        <v>37225</v>
      </c>
      <c r="C878">
        <v>1087.2</v>
      </c>
      <c r="D878" s="29">
        <f t="shared" si="347"/>
        <v>1.8E-3</v>
      </c>
      <c r="E878" s="39">
        <f t="shared" si="348"/>
        <v>1098.7707692307692</v>
      </c>
      <c r="F878" s="39">
        <f t="shared" si="349"/>
        <v>1184.1425641025642</v>
      </c>
      <c r="G878" s="29">
        <f t="shared" si="341"/>
        <v>-1.0500000000000001E-2</v>
      </c>
      <c r="H878" s="29">
        <f t="shared" si="341"/>
        <v>-8.1900000000000001E-2</v>
      </c>
      <c r="I878">
        <f t="shared" si="350"/>
        <v>1087.2</v>
      </c>
      <c r="J878">
        <f>IF(A878&gt;=Quarterly!B$2,Quarterly!C$2,IF(COUNTIFS(Quarterly!B:B,"&gt;="&amp;A878-92,Quarterly!B:B,"&lt;="&amp;A878)&gt;1,SUMIFS(Quarterly!C:C,Quarterly!B:B,"&gt;="&amp;A878-88,Quarterly!B:B,"&lt;="&amp;A878),SUMIFS(Quarterly!C:C,Quarterly!B:B,"&gt;="&amp;A878-92,Quarterly!B:B,"&lt;="&amp;A878)))</f>
        <v>10639.5</v>
      </c>
      <c r="K878" s="13">
        <f t="shared" si="351"/>
        <v>0.1022</v>
      </c>
      <c r="L878">
        <f t="shared" si="353"/>
        <v>1087.2</v>
      </c>
      <c r="M878">
        <f>IF(A878&gt;=Quarterly!B$2,Quarterly!D$2,IF(COUNTIFS(Quarterly!B:B,"&gt;="&amp;A878-92,Quarterly!B:B,"&lt;="&amp;A878)&gt;1,SUMIFS(Quarterly!D:D,Quarterly!B:B,"&gt;="&amp;A878-88,Quarterly!B:B,"&lt;="&amp;A878),SUMIFS(Quarterly!D:D,Quarterly!B:B,"&gt;="&amp;A878-92,Quarterly!B:B,"&lt;="&amp;A878)))</f>
        <v>475.29599999999999</v>
      </c>
      <c r="N878" s="13">
        <f t="shared" si="354"/>
        <v>0.22874</v>
      </c>
      <c r="O878">
        <f t="shared" si="342"/>
        <v>1087.2</v>
      </c>
      <c r="P878" s="56">
        <f>VLOOKUP(EOMONTH(A878,-1),Economic!A:I,7,FALSE)</f>
        <v>814906</v>
      </c>
      <c r="Q878" s="13">
        <f t="shared" si="343"/>
        <v>0.13339999999999999</v>
      </c>
      <c r="R878" s="41">
        <v>1.89</v>
      </c>
      <c r="S878">
        <f t="shared" si="344"/>
        <v>-0.41</v>
      </c>
      <c r="T878" s="30">
        <f t="shared" si="345"/>
        <v>57.18</v>
      </c>
      <c r="U878" s="30">
        <f t="shared" si="352"/>
        <v>57.57</v>
      </c>
    </row>
    <row r="879" spans="1:21" ht="15" customHeight="1" x14ac:dyDescent="0.25">
      <c r="A879" s="5">
        <v>37192</v>
      </c>
      <c r="B879" s="5">
        <f t="shared" si="346"/>
        <v>37195</v>
      </c>
      <c r="C879">
        <v>1104.6099999999999</v>
      </c>
      <c r="D879" s="29">
        <f t="shared" si="347"/>
        <v>3.3000000000000002E-2</v>
      </c>
      <c r="E879" s="39">
        <f t="shared" si="348"/>
        <v>1108.5515384615387</v>
      </c>
      <c r="F879" s="39">
        <f t="shared" si="349"/>
        <v>1190.8674358974361</v>
      </c>
      <c r="G879" s="29">
        <f t="shared" si="341"/>
        <v>-3.5999999999999999E-3</v>
      </c>
      <c r="H879" s="29">
        <f t="shared" si="341"/>
        <v>-7.2400000000000006E-2</v>
      </c>
      <c r="I879">
        <f t="shared" si="350"/>
        <v>1104.6099999999999</v>
      </c>
      <c r="J879">
        <f>IF(A879&gt;=Quarterly!B$2,Quarterly!C$2,IF(COUNTIFS(Quarterly!B:B,"&gt;="&amp;A879-92,Quarterly!B:B,"&lt;="&amp;A879)&gt;1,SUMIFS(Quarterly!C:C,Quarterly!B:B,"&gt;="&amp;A879-88,Quarterly!B:B,"&lt;="&amp;A879),SUMIFS(Quarterly!C:C,Quarterly!B:B,"&gt;="&amp;A879-92,Quarterly!B:B,"&lt;="&amp;A879)))</f>
        <v>10638.4</v>
      </c>
      <c r="K879" s="13">
        <f t="shared" si="351"/>
        <v>0.1038</v>
      </c>
      <c r="L879">
        <f t="shared" si="353"/>
        <v>1104.6099999999999</v>
      </c>
      <c r="M879">
        <f>IF(A879&gt;=Quarterly!B$2,Quarterly!D$2,IF(COUNTIFS(Quarterly!B:B,"&gt;="&amp;A879-92,Quarterly!B:B,"&lt;="&amp;A879)&gt;1,SUMIFS(Quarterly!D:D,Quarterly!B:B,"&gt;="&amp;A879-88,Quarterly!B:B,"&lt;="&amp;A879),SUMIFS(Quarterly!D:D,Quarterly!B:B,"&gt;="&amp;A879-92,Quarterly!B:B,"&lt;="&amp;A879)))</f>
        <v>520.23299999999995</v>
      </c>
      <c r="N879" s="13">
        <f t="shared" si="354"/>
        <v>0.21233000000000002</v>
      </c>
      <c r="O879">
        <f t="shared" si="342"/>
        <v>1104.6099999999999</v>
      </c>
      <c r="P879" s="56">
        <f>VLOOKUP(EOMONTH(A879,-1),Economic!A:I,7,FALSE)</f>
        <v>818193</v>
      </c>
      <c r="Q879" s="13">
        <f t="shared" si="343"/>
        <v>0.13500000000000001</v>
      </c>
      <c r="R879" s="41">
        <v>1.9</v>
      </c>
      <c r="S879">
        <f t="shared" si="344"/>
        <v>-0.46</v>
      </c>
      <c r="T879" s="30">
        <f t="shared" si="345"/>
        <v>57.59</v>
      </c>
      <c r="U879" s="30">
        <f t="shared" si="352"/>
        <v>56.86</v>
      </c>
    </row>
    <row r="880" spans="1:21" ht="15" customHeight="1" x14ac:dyDescent="0.25">
      <c r="A880" s="5">
        <v>37185</v>
      </c>
      <c r="B880" s="5">
        <f t="shared" si="346"/>
        <v>37195</v>
      </c>
      <c r="C880">
        <v>1073.48</v>
      </c>
      <c r="D880" s="29">
        <f t="shared" si="347"/>
        <v>2.98E-2</v>
      </c>
      <c r="E880" s="39">
        <f t="shared" si="348"/>
        <v>1116.3369230769231</v>
      </c>
      <c r="F880" s="39">
        <f t="shared" si="349"/>
        <v>1197.2864102564101</v>
      </c>
      <c r="G880" s="29">
        <f t="shared" si="341"/>
        <v>-3.8399999999999997E-2</v>
      </c>
      <c r="H880" s="29">
        <f t="shared" si="341"/>
        <v>-0.10340000000000001</v>
      </c>
      <c r="I880">
        <f t="shared" si="350"/>
        <v>1073.48</v>
      </c>
      <c r="J880">
        <f>IF(A880&gt;=Quarterly!B$2,Quarterly!C$2,IF(COUNTIFS(Quarterly!B:B,"&gt;="&amp;A880-92,Quarterly!B:B,"&lt;="&amp;A880)&gt;1,SUMIFS(Quarterly!C:C,Quarterly!B:B,"&gt;="&amp;A880-88,Quarterly!B:B,"&lt;="&amp;A880),SUMIFS(Quarterly!C:C,Quarterly!B:B,"&gt;="&amp;A880-92,Quarterly!B:B,"&lt;="&amp;A880)))</f>
        <v>10638.4</v>
      </c>
      <c r="K880" s="13">
        <f t="shared" si="351"/>
        <v>0.1009</v>
      </c>
      <c r="L880">
        <f t="shared" si="353"/>
        <v>1073.48</v>
      </c>
      <c r="M880">
        <f>IF(A880&gt;=Quarterly!B$2,Quarterly!D$2,IF(COUNTIFS(Quarterly!B:B,"&gt;="&amp;A880-92,Quarterly!B:B,"&lt;="&amp;A880)&gt;1,SUMIFS(Quarterly!D:D,Quarterly!B:B,"&gt;="&amp;A880-88,Quarterly!B:B,"&lt;="&amp;A880),SUMIFS(Quarterly!D:D,Quarterly!B:B,"&gt;="&amp;A880-92,Quarterly!B:B,"&lt;="&amp;A880)))</f>
        <v>520.23299999999995</v>
      </c>
      <c r="N880" s="13">
        <f t="shared" si="354"/>
        <v>0.20635000000000001</v>
      </c>
      <c r="O880">
        <f t="shared" si="342"/>
        <v>1073.48</v>
      </c>
      <c r="P880" s="56">
        <f>VLOOKUP(EOMONTH(A880,-1),Economic!A:I,7,FALSE)</f>
        <v>818193</v>
      </c>
      <c r="Q880" s="13">
        <f t="shared" si="343"/>
        <v>0.13120000000000001</v>
      </c>
      <c r="R880" s="41">
        <v>1.86</v>
      </c>
      <c r="S880">
        <f t="shared" si="344"/>
        <v>-0.49</v>
      </c>
      <c r="T880" s="30">
        <f t="shared" si="345"/>
        <v>57.93</v>
      </c>
      <c r="U880" s="30">
        <f t="shared" si="352"/>
        <v>58.37</v>
      </c>
    </row>
    <row r="881" spans="1:21" ht="15" customHeight="1" x14ac:dyDescent="0.25">
      <c r="A881" s="5">
        <v>37178</v>
      </c>
      <c r="B881" s="5">
        <f t="shared" si="346"/>
        <v>37195</v>
      </c>
      <c r="C881">
        <v>1091.6500000000001</v>
      </c>
      <c r="D881" s="29">
        <f t="shared" si="347"/>
        <v>4.7E-2</v>
      </c>
      <c r="E881" s="39">
        <f t="shared" si="348"/>
        <v>1126.9038461538462</v>
      </c>
      <c r="F881" s="39">
        <f t="shared" si="349"/>
        <v>1204.1853846153845</v>
      </c>
      <c r="G881" s="29">
        <f t="shared" si="341"/>
        <v>-3.1300000000000001E-2</v>
      </c>
      <c r="H881" s="29">
        <f t="shared" si="341"/>
        <v>-9.35E-2</v>
      </c>
      <c r="I881">
        <f t="shared" si="350"/>
        <v>1091.6500000000001</v>
      </c>
      <c r="J881">
        <f>IF(A881&gt;=Quarterly!B$2,Quarterly!C$2,IF(COUNTIFS(Quarterly!B:B,"&gt;="&amp;A881-92,Quarterly!B:B,"&lt;="&amp;A881)&gt;1,SUMIFS(Quarterly!C:C,Quarterly!B:B,"&gt;="&amp;A881-88,Quarterly!B:B,"&lt;="&amp;A881),SUMIFS(Quarterly!C:C,Quarterly!B:B,"&gt;="&amp;A881-92,Quarterly!B:B,"&lt;="&amp;A881)))</f>
        <v>10638.4</v>
      </c>
      <c r="K881" s="13">
        <f t="shared" si="351"/>
        <v>0.1026</v>
      </c>
      <c r="L881">
        <f t="shared" si="353"/>
        <v>1091.6500000000001</v>
      </c>
      <c r="M881">
        <f>IF(A881&gt;=Quarterly!B$2,Quarterly!D$2,IF(COUNTIFS(Quarterly!B:B,"&gt;="&amp;A881-92,Quarterly!B:B,"&lt;="&amp;A881)&gt;1,SUMIFS(Quarterly!D:D,Quarterly!B:B,"&gt;="&amp;A881-88,Quarterly!B:B,"&lt;="&amp;A881),SUMIFS(Quarterly!D:D,Quarterly!B:B,"&gt;="&amp;A881-92,Quarterly!B:B,"&lt;="&amp;A881)))</f>
        <v>520.23299999999995</v>
      </c>
      <c r="N881" s="13">
        <f t="shared" si="354"/>
        <v>0.20984</v>
      </c>
      <c r="O881">
        <f t="shared" si="342"/>
        <v>1091.6500000000001</v>
      </c>
      <c r="P881" s="56">
        <f>VLOOKUP(EOMONTH(A881,-1),Economic!A:I,7,FALSE)</f>
        <v>818193</v>
      </c>
      <c r="Q881" s="13">
        <f t="shared" si="343"/>
        <v>0.13339999999999999</v>
      </c>
      <c r="R881" s="41">
        <v>1.87</v>
      </c>
      <c r="S881">
        <f t="shared" si="344"/>
        <v>-0.46</v>
      </c>
      <c r="T881" s="30">
        <f t="shared" si="345"/>
        <v>55.07</v>
      </c>
      <c r="U881" s="30">
        <f t="shared" si="352"/>
        <v>60</v>
      </c>
    </row>
    <row r="882" spans="1:21" ht="15" customHeight="1" x14ac:dyDescent="0.25">
      <c r="A882" s="5">
        <v>37171</v>
      </c>
      <c r="B882" s="5">
        <f t="shared" si="346"/>
        <v>37195</v>
      </c>
      <c r="C882">
        <v>1071.3800000000001</v>
      </c>
      <c r="D882" s="29">
        <f t="shared" si="347"/>
        <v>2.4E-2</v>
      </c>
      <c r="E882" s="39">
        <f t="shared" si="348"/>
        <v>1136.4446153846154</v>
      </c>
      <c r="F882" s="39">
        <f t="shared" si="349"/>
        <v>1210.0033333333333</v>
      </c>
      <c r="G882" s="29">
        <f t="shared" si="341"/>
        <v>-5.7299999999999997E-2</v>
      </c>
      <c r="H882" s="29">
        <f t="shared" si="341"/>
        <v>-0.11459999999999999</v>
      </c>
      <c r="I882">
        <f t="shared" si="350"/>
        <v>1071.3800000000001</v>
      </c>
      <c r="J882">
        <f>IF(A882&gt;=Quarterly!B$2,Quarterly!C$2,IF(COUNTIFS(Quarterly!B:B,"&gt;="&amp;A882-92,Quarterly!B:B,"&lt;="&amp;A882)&gt;1,SUMIFS(Quarterly!C:C,Quarterly!B:B,"&gt;="&amp;A882-88,Quarterly!B:B,"&lt;="&amp;A882),SUMIFS(Quarterly!C:C,Quarterly!B:B,"&gt;="&amp;A882-92,Quarterly!B:B,"&lt;="&amp;A882)))</f>
        <v>10638.4</v>
      </c>
      <c r="K882" s="13">
        <f t="shared" si="351"/>
        <v>0.1007</v>
      </c>
      <c r="L882">
        <f t="shared" si="353"/>
        <v>1071.3800000000001</v>
      </c>
      <c r="M882">
        <f>IF(A882&gt;=Quarterly!B$2,Quarterly!D$2,IF(COUNTIFS(Quarterly!B:B,"&gt;="&amp;A882-92,Quarterly!B:B,"&lt;="&amp;A882)&gt;1,SUMIFS(Quarterly!D:D,Quarterly!B:B,"&gt;="&amp;A882-88,Quarterly!B:B,"&lt;="&amp;A882),SUMIFS(Quarterly!D:D,Quarterly!B:B,"&gt;="&amp;A882-92,Quarterly!B:B,"&lt;="&amp;A882)))</f>
        <v>520.23299999999995</v>
      </c>
      <c r="N882" s="13">
        <f t="shared" si="354"/>
        <v>0.20594000000000001</v>
      </c>
      <c r="O882">
        <f t="shared" si="342"/>
        <v>1071.3800000000001</v>
      </c>
      <c r="P882" s="56">
        <f>VLOOKUP(EOMONTH(A882,-1),Economic!A:I,7,FALSE)</f>
        <v>818193</v>
      </c>
      <c r="Q882" s="13">
        <f t="shared" si="343"/>
        <v>0.13090000000000002</v>
      </c>
      <c r="R882" s="41">
        <v>1.81</v>
      </c>
      <c r="S882">
        <f t="shared" si="344"/>
        <v>-0.24</v>
      </c>
      <c r="T882" s="30">
        <f t="shared" si="345"/>
        <v>62.12</v>
      </c>
      <c r="U882" s="30">
        <f t="shared" si="352"/>
        <v>63.63</v>
      </c>
    </row>
    <row r="883" spans="1:21" ht="15" customHeight="1" x14ac:dyDescent="0.25">
      <c r="A883" s="5">
        <v>37164</v>
      </c>
      <c r="B883" s="5">
        <f t="shared" si="346"/>
        <v>37164</v>
      </c>
      <c r="C883">
        <v>1040.94</v>
      </c>
      <c r="D883" s="29">
        <f t="shared" si="347"/>
        <v>-2.6599999999999999E-2</v>
      </c>
      <c r="E883" s="39">
        <f t="shared" si="348"/>
        <v>1145.6146153846155</v>
      </c>
      <c r="F883" s="39">
        <f t="shared" si="349"/>
        <v>1215.823076923077</v>
      </c>
      <c r="G883" s="29">
        <f t="shared" si="341"/>
        <v>-9.1399999999999995E-2</v>
      </c>
      <c r="H883" s="29">
        <f t="shared" si="341"/>
        <v>-0.14380000000000001</v>
      </c>
      <c r="I883">
        <f t="shared" si="350"/>
        <v>1040.94</v>
      </c>
      <c r="J883">
        <f>IF(A883&gt;=Quarterly!B$2,Quarterly!C$2,IF(COUNTIFS(Quarterly!B:B,"&gt;="&amp;A883-92,Quarterly!B:B,"&lt;="&amp;A883)&gt;1,SUMIFS(Quarterly!C:C,Quarterly!B:B,"&gt;="&amp;A883-88,Quarterly!B:B,"&lt;="&amp;A883),SUMIFS(Quarterly!C:C,Quarterly!B:B,"&gt;="&amp;A883-92,Quarterly!B:B,"&lt;="&amp;A883)))</f>
        <v>10638.4</v>
      </c>
      <c r="K883" s="13">
        <f t="shared" si="351"/>
        <v>9.7799999999999998E-2</v>
      </c>
      <c r="L883">
        <f t="shared" si="353"/>
        <v>1040.94</v>
      </c>
      <c r="M883">
        <f>IF(A883&gt;=Quarterly!B$2,Quarterly!D$2,IF(COUNTIFS(Quarterly!B:B,"&gt;="&amp;A883-92,Quarterly!B:B,"&lt;="&amp;A883)&gt;1,SUMIFS(Quarterly!D:D,Quarterly!B:B,"&gt;="&amp;A883-88,Quarterly!B:B,"&lt;="&amp;A883),SUMIFS(Quarterly!D:D,Quarterly!B:B,"&gt;="&amp;A883-92,Quarterly!B:B,"&lt;="&amp;A883)))</f>
        <v>520.23299999999995</v>
      </c>
      <c r="N883" s="13">
        <f t="shared" si="354"/>
        <v>0.20009000000000002</v>
      </c>
      <c r="O883">
        <f t="shared" si="342"/>
        <v>1040.94</v>
      </c>
      <c r="P883" s="56">
        <f>VLOOKUP(EOMONTH(A883,-1),Economic!A:I,7,FALSE)</f>
        <v>820494</v>
      </c>
      <c r="Q883" s="13">
        <f t="shared" si="343"/>
        <v>0.12689999999999999</v>
      </c>
      <c r="R883" s="41">
        <v>1.74</v>
      </c>
      <c r="S883">
        <f t="shared" si="344"/>
        <v>-0.26</v>
      </c>
      <c r="T883" s="30">
        <f t="shared" si="345"/>
        <v>62.81</v>
      </c>
      <c r="U883" s="30">
        <f t="shared" si="352"/>
        <v>59.34</v>
      </c>
    </row>
    <row r="884" spans="1:21" ht="15" customHeight="1" x14ac:dyDescent="0.25">
      <c r="A884" s="5">
        <v>37157</v>
      </c>
      <c r="B884" s="5">
        <f t="shared" si="346"/>
        <v>37164</v>
      </c>
      <c r="C884">
        <v>965.8</v>
      </c>
      <c r="D884" s="29">
        <f t="shared" si="347"/>
        <v>-0.1409</v>
      </c>
      <c r="E884" s="39">
        <f t="shared" si="348"/>
        <v>1159.7253846153847</v>
      </c>
      <c r="F884" s="39">
        <f t="shared" si="349"/>
        <v>1222.9856410256409</v>
      </c>
      <c r="G884" s="29">
        <f t="shared" si="341"/>
        <v>-0.16719999999999999</v>
      </c>
      <c r="H884" s="29">
        <f t="shared" si="341"/>
        <v>-0.21029999999999999</v>
      </c>
      <c r="I884">
        <f t="shared" si="350"/>
        <v>965.8</v>
      </c>
      <c r="J884">
        <f>IF(A884&gt;=Quarterly!B$2,Quarterly!C$2,IF(COUNTIFS(Quarterly!B:B,"&gt;="&amp;A884-92,Quarterly!B:B,"&lt;="&amp;A884)&gt;1,SUMIFS(Quarterly!C:C,Quarterly!B:B,"&gt;="&amp;A884-88,Quarterly!B:B,"&lt;="&amp;A884),SUMIFS(Quarterly!C:C,Quarterly!B:B,"&gt;="&amp;A884-92,Quarterly!B:B,"&lt;="&amp;A884)))</f>
        <v>10638.4</v>
      </c>
      <c r="K884" s="13">
        <f t="shared" si="351"/>
        <v>9.0800000000000006E-2</v>
      </c>
      <c r="L884">
        <f t="shared" si="353"/>
        <v>965.8</v>
      </c>
      <c r="M884">
        <f>IF(A884&gt;=Quarterly!B$2,Quarterly!D$2,IF(COUNTIFS(Quarterly!B:B,"&gt;="&amp;A884-92,Quarterly!B:B,"&lt;="&amp;A884)&gt;1,SUMIFS(Quarterly!D:D,Quarterly!B:B,"&gt;="&amp;A884-88,Quarterly!B:B,"&lt;="&amp;A884),SUMIFS(Quarterly!D:D,Quarterly!B:B,"&gt;="&amp;A884-92,Quarterly!B:B,"&lt;="&amp;A884)))</f>
        <v>520.23299999999995</v>
      </c>
      <c r="N884" s="13">
        <f t="shared" si="354"/>
        <v>0.18565000000000001</v>
      </c>
      <c r="O884">
        <f t="shared" si="342"/>
        <v>965.8</v>
      </c>
      <c r="P884" s="56">
        <f>VLOOKUP(EOMONTH(A884,-1),Economic!A:I,7,FALSE)</f>
        <v>820494</v>
      </c>
      <c r="Q884" s="13">
        <f t="shared" si="343"/>
        <v>0.11770000000000001</v>
      </c>
      <c r="R884" s="41">
        <v>1.79</v>
      </c>
      <c r="S884">
        <f t="shared" si="344"/>
        <v>-0.31</v>
      </c>
      <c r="T884" s="30">
        <f t="shared" si="345"/>
        <v>65.95</v>
      </c>
      <c r="U884" s="30">
        <f t="shared" si="352"/>
        <v>54.77</v>
      </c>
    </row>
    <row r="885" spans="1:21" ht="15" customHeight="1" x14ac:dyDescent="0.25">
      <c r="A885" s="5">
        <v>37150</v>
      </c>
      <c r="B885" s="5">
        <f t="shared" si="346"/>
        <v>37164</v>
      </c>
      <c r="C885">
        <v>1092.54</v>
      </c>
      <c r="D885" s="29">
        <f t="shared" si="347"/>
        <v>-4.2900000000000001E-2</v>
      </c>
      <c r="E885" s="39">
        <f t="shared" si="348"/>
        <v>1179.6907692307693</v>
      </c>
      <c r="F885" s="39">
        <f t="shared" si="349"/>
        <v>1231.7074358974357</v>
      </c>
      <c r="G885" s="29">
        <f t="shared" si="341"/>
        <v>-7.3899999999999993E-2</v>
      </c>
      <c r="H885" s="29">
        <f t="shared" si="341"/>
        <v>-0.113</v>
      </c>
      <c r="I885">
        <f t="shared" si="350"/>
        <v>1092.54</v>
      </c>
      <c r="J885">
        <f>IF(A885&gt;=Quarterly!B$2,Quarterly!C$2,IF(COUNTIFS(Quarterly!B:B,"&gt;="&amp;A885-92,Quarterly!B:B,"&lt;="&amp;A885)&gt;1,SUMIFS(Quarterly!C:C,Quarterly!B:B,"&gt;="&amp;A885-88,Quarterly!B:B,"&lt;="&amp;A885),SUMIFS(Quarterly!C:C,Quarterly!B:B,"&gt;="&amp;A885-92,Quarterly!B:B,"&lt;="&amp;A885)))</f>
        <v>10638.4</v>
      </c>
      <c r="K885" s="13">
        <f t="shared" si="351"/>
        <v>0.1027</v>
      </c>
      <c r="L885">
        <f t="shared" si="353"/>
        <v>1092.54</v>
      </c>
      <c r="M885">
        <f>IF(A885&gt;=Quarterly!B$2,Quarterly!D$2,IF(COUNTIFS(Quarterly!B:B,"&gt;="&amp;A885-92,Quarterly!B:B,"&lt;="&amp;A885)&gt;1,SUMIFS(Quarterly!D:D,Quarterly!B:B,"&gt;="&amp;A885-88,Quarterly!B:B,"&lt;="&amp;A885),SUMIFS(Quarterly!D:D,Quarterly!B:B,"&gt;="&amp;A885-92,Quarterly!B:B,"&lt;="&amp;A885)))</f>
        <v>520.23299999999995</v>
      </c>
      <c r="N885" s="13">
        <f t="shared" si="354"/>
        <v>0.21001</v>
      </c>
      <c r="O885">
        <f t="shared" si="342"/>
        <v>1092.54</v>
      </c>
      <c r="P885" s="56">
        <f>VLOOKUP(EOMONTH(A885,-1),Economic!A:I,7,FALSE)</f>
        <v>820494</v>
      </c>
      <c r="Q885" s="13">
        <f t="shared" si="343"/>
        <v>0.13320000000000001</v>
      </c>
      <c r="R885" s="41">
        <v>1.7</v>
      </c>
      <c r="S885">
        <f t="shared" si="344"/>
        <v>-0.31</v>
      </c>
      <c r="T885" s="30">
        <f t="shared" si="345"/>
        <v>49.25</v>
      </c>
      <c r="U885" s="30">
        <f t="shared" si="352"/>
        <v>45.85</v>
      </c>
    </row>
    <row r="886" spans="1:21" ht="15" customHeight="1" x14ac:dyDescent="0.25">
      <c r="A886" s="5">
        <v>37143</v>
      </c>
      <c r="B886" s="5">
        <f t="shared" si="346"/>
        <v>37164</v>
      </c>
      <c r="C886">
        <v>1085.78</v>
      </c>
      <c r="D886" s="29">
        <f t="shared" si="347"/>
        <v>-7.0099999999999996E-2</v>
      </c>
      <c r="E886" s="39">
        <f t="shared" si="348"/>
        <v>1189.0615384615385</v>
      </c>
      <c r="F886" s="39">
        <f t="shared" si="349"/>
        <v>1237.3384615384614</v>
      </c>
      <c r="G886" s="29">
        <f t="shared" si="341"/>
        <v>-8.6900000000000005E-2</v>
      </c>
      <c r="H886" s="29">
        <f t="shared" si="341"/>
        <v>-0.1225</v>
      </c>
      <c r="I886">
        <f t="shared" si="350"/>
        <v>1085.78</v>
      </c>
      <c r="J886">
        <f>IF(A886&gt;=Quarterly!B$2,Quarterly!C$2,IF(COUNTIFS(Quarterly!B:B,"&gt;="&amp;A886-92,Quarterly!B:B,"&lt;="&amp;A886)&gt;1,SUMIFS(Quarterly!C:C,Quarterly!B:B,"&gt;="&amp;A886-88,Quarterly!B:B,"&lt;="&amp;A886),SUMIFS(Quarterly!C:C,Quarterly!B:B,"&gt;="&amp;A886-92,Quarterly!B:B,"&lt;="&amp;A886)))</f>
        <v>10638.4</v>
      </c>
      <c r="K886" s="13">
        <f t="shared" si="351"/>
        <v>0.1021</v>
      </c>
      <c r="L886">
        <f t="shared" si="353"/>
        <v>1085.78</v>
      </c>
      <c r="M886">
        <f>IF(A886&gt;=Quarterly!B$2,Quarterly!D$2,IF(COUNTIFS(Quarterly!B:B,"&gt;="&amp;A886-92,Quarterly!B:B,"&lt;="&amp;A886)&gt;1,SUMIFS(Quarterly!D:D,Quarterly!B:B,"&gt;="&amp;A886-88,Quarterly!B:B,"&lt;="&amp;A886),SUMIFS(Quarterly!D:D,Quarterly!B:B,"&gt;="&amp;A886-92,Quarterly!B:B,"&lt;="&amp;A886)))</f>
        <v>520.23299999999995</v>
      </c>
      <c r="N886" s="13">
        <f t="shared" si="354"/>
        <v>0.20871000000000001</v>
      </c>
      <c r="O886">
        <f t="shared" si="342"/>
        <v>1085.78</v>
      </c>
      <c r="P886" s="56">
        <f>VLOOKUP(EOMONTH(A886,-1),Economic!A:I,7,FALSE)</f>
        <v>820494</v>
      </c>
      <c r="Q886" s="13">
        <f t="shared" si="343"/>
        <v>0.1323</v>
      </c>
      <c r="R886" s="41">
        <v>1.27</v>
      </c>
      <c r="S886">
        <f t="shared" si="344"/>
        <v>-0.28000000000000003</v>
      </c>
      <c r="T886" s="30">
        <f t="shared" si="345"/>
        <v>49.12</v>
      </c>
      <c r="U886" s="30">
        <f t="shared" si="352"/>
        <v>39.92</v>
      </c>
    </row>
    <row r="887" spans="1:21" ht="15" customHeight="1" x14ac:dyDescent="0.25">
      <c r="A887" s="5">
        <v>37136</v>
      </c>
      <c r="B887" s="5">
        <f t="shared" si="346"/>
        <v>37164</v>
      </c>
      <c r="C887">
        <v>1133.58</v>
      </c>
      <c r="D887" s="29">
        <f t="shared" si="347"/>
        <v>-4.5699999999999998E-2</v>
      </c>
      <c r="E887" s="39">
        <f t="shared" si="348"/>
        <v>1202.8446153846157</v>
      </c>
      <c r="F887" s="39">
        <f t="shared" si="349"/>
        <v>1244.6233333333332</v>
      </c>
      <c r="G887" s="29">
        <f t="shared" si="341"/>
        <v>-5.7599999999999998E-2</v>
      </c>
      <c r="H887" s="29">
        <f t="shared" si="341"/>
        <v>-8.9200000000000002E-2</v>
      </c>
      <c r="I887">
        <f t="shared" si="350"/>
        <v>1133.58</v>
      </c>
      <c r="J887">
        <f>IF(A887&gt;=Quarterly!B$2,Quarterly!C$2,IF(COUNTIFS(Quarterly!B:B,"&gt;="&amp;A887-92,Quarterly!B:B,"&lt;="&amp;A887)&gt;1,SUMIFS(Quarterly!C:C,Quarterly!B:B,"&gt;="&amp;A887-88,Quarterly!B:B,"&lt;="&amp;A887),SUMIFS(Quarterly!C:C,Quarterly!B:B,"&gt;="&amp;A887-92,Quarterly!B:B,"&lt;="&amp;A887)))</f>
        <v>10638.4</v>
      </c>
      <c r="K887" s="13">
        <f t="shared" si="351"/>
        <v>0.1066</v>
      </c>
      <c r="L887">
        <f t="shared" si="353"/>
        <v>1133.58</v>
      </c>
      <c r="M887">
        <f>IF(A887&gt;=Quarterly!B$2,Quarterly!D$2,IF(COUNTIFS(Quarterly!B:B,"&gt;="&amp;A887-92,Quarterly!B:B,"&lt;="&amp;A887)&gt;1,SUMIFS(Quarterly!D:D,Quarterly!B:B,"&gt;="&amp;A887-88,Quarterly!B:B,"&lt;="&amp;A887),SUMIFS(Quarterly!D:D,Quarterly!B:B,"&gt;="&amp;A887-92,Quarterly!B:B,"&lt;="&amp;A887)))</f>
        <v>520.23299999999995</v>
      </c>
      <c r="N887" s="13">
        <f t="shared" si="354"/>
        <v>0.21789999999999998</v>
      </c>
      <c r="O887">
        <f t="shared" si="342"/>
        <v>1133.58</v>
      </c>
      <c r="P887" s="56">
        <f>VLOOKUP(EOMONTH(A887,-1),Economic!A:I,7,FALSE)</f>
        <v>820494</v>
      </c>
      <c r="Q887" s="13">
        <f t="shared" si="343"/>
        <v>0.13819999999999999</v>
      </c>
      <c r="R887" s="41">
        <v>1.21</v>
      </c>
      <c r="S887">
        <f t="shared" si="344"/>
        <v>-0.35</v>
      </c>
      <c r="T887" s="30">
        <f t="shared" si="345"/>
        <v>39.17</v>
      </c>
      <c r="U887" s="30">
        <f t="shared" si="352"/>
        <v>34.14</v>
      </c>
    </row>
    <row r="888" spans="1:21" ht="15" customHeight="1" x14ac:dyDescent="0.25">
      <c r="A888" s="5">
        <v>37129</v>
      </c>
      <c r="B888" s="5">
        <f t="shared" si="346"/>
        <v>37134</v>
      </c>
      <c r="C888">
        <v>1184.93</v>
      </c>
      <c r="D888" s="29">
        <f t="shared" si="347"/>
        <v>-6.7999999999999996E-3</v>
      </c>
      <c r="E888" s="39">
        <f t="shared" si="348"/>
        <v>1212.6207692307694</v>
      </c>
      <c r="F888" s="39">
        <f t="shared" si="349"/>
        <v>1249.2810256410257</v>
      </c>
      <c r="G888" s="29">
        <f t="shared" si="341"/>
        <v>-2.2800000000000001E-2</v>
      </c>
      <c r="H888" s="29">
        <f t="shared" si="341"/>
        <v>-5.1499999999999997E-2</v>
      </c>
      <c r="I888">
        <f t="shared" si="350"/>
        <v>1184.93</v>
      </c>
      <c r="J888">
        <f>IF(A888&gt;=Quarterly!B$2,Quarterly!C$2,IF(COUNTIFS(Quarterly!B:B,"&gt;="&amp;A888-92,Quarterly!B:B,"&lt;="&amp;A888)&gt;1,SUMIFS(Quarterly!C:C,Quarterly!B:B,"&gt;="&amp;A888-88,Quarterly!B:B,"&lt;="&amp;A888),SUMIFS(Quarterly!C:C,Quarterly!B:B,"&gt;="&amp;A888-92,Quarterly!B:B,"&lt;="&amp;A888)))</f>
        <v>10638.4</v>
      </c>
      <c r="K888" s="13">
        <f t="shared" si="351"/>
        <v>0.1114</v>
      </c>
      <c r="L888">
        <f t="shared" si="353"/>
        <v>1184.93</v>
      </c>
      <c r="M888">
        <f>IF(A888&gt;=Quarterly!B$2,Quarterly!D$2,IF(COUNTIFS(Quarterly!B:B,"&gt;="&amp;A888-92,Quarterly!B:B,"&lt;="&amp;A888)&gt;1,SUMIFS(Quarterly!D:D,Quarterly!B:B,"&gt;="&amp;A888-88,Quarterly!B:B,"&lt;="&amp;A888),SUMIFS(Quarterly!D:D,Quarterly!B:B,"&gt;="&amp;A888-92,Quarterly!B:B,"&lt;="&amp;A888)))</f>
        <v>520.23299999999995</v>
      </c>
      <c r="N888" s="13">
        <f t="shared" si="354"/>
        <v>0.22777</v>
      </c>
      <c r="O888">
        <f t="shared" si="342"/>
        <v>1184.93</v>
      </c>
      <c r="P888" s="56">
        <f>VLOOKUP(EOMONTH(A888,-1),Economic!A:I,7,FALSE)</f>
        <v>823327</v>
      </c>
      <c r="Q888" s="13">
        <f t="shared" si="343"/>
        <v>0.1439</v>
      </c>
      <c r="R888" s="41">
        <v>1.17</v>
      </c>
      <c r="S888">
        <f t="shared" si="344"/>
        <v>-0.36</v>
      </c>
      <c r="T888" s="30">
        <f t="shared" si="345"/>
        <v>31.47</v>
      </c>
      <c r="U888" s="30">
        <f t="shared" si="352"/>
        <v>29.54</v>
      </c>
    </row>
    <row r="889" spans="1:21" ht="15" customHeight="1" x14ac:dyDescent="0.25">
      <c r="A889" s="5">
        <v>37122</v>
      </c>
      <c r="B889" s="5">
        <f t="shared" si="346"/>
        <v>37134</v>
      </c>
      <c r="C889">
        <v>1161.97</v>
      </c>
      <c r="D889" s="29">
        <f t="shared" si="347"/>
        <v>-3.5900000000000001E-2</v>
      </c>
      <c r="E889" s="39">
        <f t="shared" si="348"/>
        <v>1219.7715384615385</v>
      </c>
      <c r="F889" s="39">
        <f t="shared" si="349"/>
        <v>1253.3025641025642</v>
      </c>
      <c r="G889" s="29">
        <f t="shared" si="341"/>
        <v>-4.7399999999999998E-2</v>
      </c>
      <c r="H889" s="29">
        <f t="shared" si="341"/>
        <v>-7.2900000000000006E-2</v>
      </c>
      <c r="I889">
        <f t="shared" si="350"/>
        <v>1161.97</v>
      </c>
      <c r="J889">
        <f>IF(A889&gt;=Quarterly!B$2,Quarterly!C$2,IF(COUNTIFS(Quarterly!B:B,"&gt;="&amp;A889-92,Quarterly!B:B,"&lt;="&amp;A889)&gt;1,SUMIFS(Quarterly!C:C,Quarterly!B:B,"&gt;="&amp;A889-88,Quarterly!B:B,"&lt;="&amp;A889),SUMIFS(Quarterly!C:C,Quarterly!B:B,"&gt;="&amp;A889-92,Quarterly!B:B,"&lt;="&amp;A889)))</f>
        <v>10638.4</v>
      </c>
      <c r="K889" s="13">
        <f t="shared" si="351"/>
        <v>0.10920000000000001</v>
      </c>
      <c r="L889">
        <f t="shared" si="353"/>
        <v>1161.97</v>
      </c>
      <c r="M889">
        <f>IF(A889&gt;=Quarterly!B$2,Quarterly!D$2,IF(COUNTIFS(Quarterly!B:B,"&gt;="&amp;A889-92,Quarterly!B:B,"&lt;="&amp;A889)&gt;1,SUMIFS(Quarterly!D:D,Quarterly!B:B,"&gt;="&amp;A889-88,Quarterly!B:B,"&lt;="&amp;A889),SUMIFS(Quarterly!D:D,Quarterly!B:B,"&gt;="&amp;A889-92,Quarterly!B:B,"&lt;="&amp;A889)))</f>
        <v>520.23299999999995</v>
      </c>
      <c r="N889" s="13">
        <f t="shared" si="354"/>
        <v>0.22336</v>
      </c>
      <c r="O889">
        <f t="shared" si="342"/>
        <v>1161.97</v>
      </c>
      <c r="P889" s="56">
        <f>VLOOKUP(EOMONTH(A889,-1),Economic!A:I,7,FALSE)</f>
        <v>823327</v>
      </c>
      <c r="Q889" s="13">
        <f t="shared" si="343"/>
        <v>0.1411</v>
      </c>
      <c r="R889" s="41">
        <v>1.17</v>
      </c>
      <c r="S889">
        <f t="shared" si="344"/>
        <v>-0.39</v>
      </c>
      <c r="T889" s="30">
        <f t="shared" si="345"/>
        <v>31.78</v>
      </c>
      <c r="U889" s="30">
        <f t="shared" si="352"/>
        <v>27.06</v>
      </c>
    </row>
    <row r="890" spans="1:21" ht="15" customHeight="1" x14ac:dyDescent="0.25">
      <c r="A890" s="5">
        <v>37115</v>
      </c>
      <c r="B890" s="5">
        <f t="shared" si="346"/>
        <v>37134</v>
      </c>
      <c r="C890">
        <v>1190.1600000000001</v>
      </c>
      <c r="D890" s="29">
        <f t="shared" si="347"/>
        <v>-1.78E-2</v>
      </c>
      <c r="E890" s="39">
        <f t="shared" si="348"/>
        <v>1229.7707692307695</v>
      </c>
      <c r="F890" s="39">
        <f t="shared" si="349"/>
        <v>1258.5782051282051</v>
      </c>
      <c r="G890" s="29">
        <f t="shared" si="341"/>
        <v>-3.2199999999999999E-2</v>
      </c>
      <c r="H890" s="29">
        <f t="shared" si="341"/>
        <v>-5.4399999999999997E-2</v>
      </c>
      <c r="I890">
        <f t="shared" si="350"/>
        <v>1190.1600000000001</v>
      </c>
      <c r="J890">
        <f>IF(A890&gt;=Quarterly!B$2,Quarterly!C$2,IF(COUNTIFS(Quarterly!B:B,"&gt;="&amp;A890-92,Quarterly!B:B,"&lt;="&amp;A890)&gt;1,SUMIFS(Quarterly!C:C,Quarterly!B:B,"&gt;="&amp;A890-88,Quarterly!B:B,"&lt;="&amp;A890),SUMIFS(Quarterly!C:C,Quarterly!B:B,"&gt;="&amp;A890-92,Quarterly!B:B,"&lt;="&amp;A890)))</f>
        <v>10638.4</v>
      </c>
      <c r="K890" s="13">
        <f t="shared" si="351"/>
        <v>0.1119</v>
      </c>
      <c r="L890">
        <f t="shared" si="353"/>
        <v>1190.1600000000001</v>
      </c>
      <c r="M890">
        <f>IF(A890&gt;=Quarterly!B$2,Quarterly!D$2,IF(COUNTIFS(Quarterly!B:B,"&gt;="&amp;A890-92,Quarterly!B:B,"&lt;="&amp;A890)&gt;1,SUMIFS(Quarterly!D:D,Quarterly!B:B,"&gt;="&amp;A890-88,Quarterly!B:B,"&lt;="&amp;A890),SUMIFS(Quarterly!D:D,Quarterly!B:B,"&gt;="&amp;A890-92,Quarterly!B:B,"&lt;="&amp;A890)))</f>
        <v>520.23299999999995</v>
      </c>
      <c r="N890" s="13">
        <f t="shared" si="354"/>
        <v>0.22877000000000003</v>
      </c>
      <c r="O890">
        <f t="shared" si="342"/>
        <v>1190.1600000000001</v>
      </c>
      <c r="P890" s="56">
        <f>VLOOKUP(EOMONTH(A890,-1),Economic!A:I,7,FALSE)</f>
        <v>823327</v>
      </c>
      <c r="Q890" s="13">
        <f t="shared" si="343"/>
        <v>0.14460000000000001</v>
      </c>
      <c r="R890" s="41">
        <v>1.26</v>
      </c>
      <c r="S890">
        <f t="shared" si="344"/>
        <v>-0.43</v>
      </c>
      <c r="T890" s="30">
        <f t="shared" si="345"/>
        <v>25.36</v>
      </c>
      <c r="U890" s="30">
        <f t="shared" si="352"/>
        <v>22.49</v>
      </c>
    </row>
    <row r="891" spans="1:21" ht="15" customHeight="1" x14ac:dyDescent="0.25">
      <c r="A891" s="5">
        <v>37108</v>
      </c>
      <c r="B891" s="5">
        <f t="shared" si="346"/>
        <v>37134</v>
      </c>
      <c r="C891">
        <v>1214.3499999999999</v>
      </c>
      <c r="D891" s="29">
        <f t="shared" si="347"/>
        <v>7.1000000000000004E-3</v>
      </c>
      <c r="E891" s="39">
        <f t="shared" si="348"/>
        <v>1234.0407692307692</v>
      </c>
      <c r="F891" s="39">
        <f t="shared" si="349"/>
        <v>1263.0864102564101</v>
      </c>
      <c r="G891" s="29">
        <f t="shared" si="341"/>
        <v>-1.6E-2</v>
      </c>
      <c r="H891" s="29">
        <f t="shared" si="341"/>
        <v>-3.8600000000000002E-2</v>
      </c>
      <c r="I891">
        <f t="shared" si="350"/>
        <v>1214.3499999999999</v>
      </c>
      <c r="J891">
        <f>IF(A891&gt;=Quarterly!B$2,Quarterly!C$2,IF(COUNTIFS(Quarterly!B:B,"&gt;="&amp;A891-92,Quarterly!B:B,"&lt;="&amp;A891)&gt;1,SUMIFS(Quarterly!C:C,Quarterly!B:B,"&gt;="&amp;A891-88,Quarterly!B:B,"&lt;="&amp;A891),SUMIFS(Quarterly!C:C,Quarterly!B:B,"&gt;="&amp;A891-92,Quarterly!B:B,"&lt;="&amp;A891)))</f>
        <v>10638.4</v>
      </c>
      <c r="K891" s="13">
        <f t="shared" si="351"/>
        <v>0.11409999999999999</v>
      </c>
      <c r="L891">
        <f t="shared" si="353"/>
        <v>1214.3499999999999</v>
      </c>
      <c r="M891">
        <f>IF(A891&gt;=Quarterly!B$2,Quarterly!D$2,IF(COUNTIFS(Quarterly!B:B,"&gt;="&amp;A891-92,Quarterly!B:B,"&lt;="&amp;A891)&gt;1,SUMIFS(Quarterly!D:D,Quarterly!B:B,"&gt;="&amp;A891-88,Quarterly!B:B,"&lt;="&amp;A891),SUMIFS(Quarterly!D:D,Quarterly!B:B,"&gt;="&amp;A891-92,Quarterly!B:B,"&lt;="&amp;A891)))</f>
        <v>520.23299999999995</v>
      </c>
      <c r="N891" s="13">
        <f t="shared" si="354"/>
        <v>0.23342000000000002</v>
      </c>
      <c r="O891">
        <f t="shared" si="342"/>
        <v>1214.3499999999999</v>
      </c>
      <c r="P891" s="56">
        <f>VLOOKUP(EOMONTH(A891,-1),Economic!A:I,7,FALSE)</f>
        <v>823327</v>
      </c>
      <c r="Q891" s="13">
        <f t="shared" si="343"/>
        <v>0.14749999999999999</v>
      </c>
      <c r="R891" s="41">
        <v>1.29</v>
      </c>
      <c r="S891">
        <f t="shared" si="344"/>
        <v>-0.37</v>
      </c>
      <c r="T891" s="30">
        <f t="shared" si="345"/>
        <v>24.03</v>
      </c>
      <c r="U891" s="30">
        <f t="shared" si="352"/>
        <v>19.86</v>
      </c>
    </row>
    <row r="892" spans="1:21" ht="15" customHeight="1" x14ac:dyDescent="0.25">
      <c r="A892" s="5">
        <v>37101</v>
      </c>
      <c r="B892" s="5">
        <f t="shared" si="346"/>
        <v>37103</v>
      </c>
      <c r="C892">
        <v>1205.82</v>
      </c>
      <c r="D892" s="29">
        <f t="shared" si="347"/>
        <v>-3.8E-3</v>
      </c>
      <c r="E892" s="39">
        <f t="shared" si="348"/>
        <v>1238.0607692307694</v>
      </c>
      <c r="F892" s="39">
        <f t="shared" si="349"/>
        <v>1268.5310256410257</v>
      </c>
      <c r="G892" s="29">
        <f t="shared" si="341"/>
        <v>-2.5999999999999999E-2</v>
      </c>
      <c r="H892" s="29">
        <f t="shared" si="341"/>
        <v>-4.9399999999999999E-2</v>
      </c>
      <c r="I892">
        <f t="shared" si="350"/>
        <v>1205.82</v>
      </c>
      <c r="J892">
        <f>IF(A892&gt;=Quarterly!B$2,Quarterly!C$2,IF(COUNTIFS(Quarterly!B:B,"&gt;="&amp;A892-92,Quarterly!B:B,"&lt;="&amp;A892)&gt;1,SUMIFS(Quarterly!C:C,Quarterly!B:B,"&gt;="&amp;A892-88,Quarterly!B:B,"&lt;="&amp;A892),SUMIFS(Quarterly!C:C,Quarterly!B:B,"&gt;="&amp;A892-92,Quarterly!B:B,"&lt;="&amp;A892)))</f>
        <v>10508.1</v>
      </c>
      <c r="K892" s="13">
        <f t="shared" si="351"/>
        <v>0.1148</v>
      </c>
      <c r="L892">
        <f t="shared" si="353"/>
        <v>1205.82</v>
      </c>
      <c r="M892">
        <f>IF(A892&gt;=Quarterly!B$2,Quarterly!D$2,IF(COUNTIFS(Quarterly!B:B,"&gt;="&amp;A892-92,Quarterly!B:B,"&lt;="&amp;A892)&gt;1,SUMIFS(Quarterly!D:D,Quarterly!B:B,"&gt;="&amp;A892-88,Quarterly!B:B,"&lt;="&amp;A892),SUMIFS(Quarterly!D:D,Quarterly!B:B,"&gt;="&amp;A892-92,Quarterly!B:B,"&lt;="&amp;A892)))</f>
        <v>494.89299999999997</v>
      </c>
      <c r="N892" s="13">
        <f t="shared" si="354"/>
        <v>0.24365000000000003</v>
      </c>
      <c r="O892">
        <f t="shared" si="342"/>
        <v>1205.82</v>
      </c>
      <c r="P892" s="56">
        <f>VLOOKUP(EOMONTH(A892,-1),Economic!A:I,7,FALSE)</f>
        <v>826488</v>
      </c>
      <c r="Q892" s="13">
        <f t="shared" si="343"/>
        <v>0.1459</v>
      </c>
      <c r="R892" s="41">
        <v>1.26</v>
      </c>
      <c r="S892">
        <f t="shared" si="344"/>
        <v>-0.36</v>
      </c>
      <c r="T892" s="30">
        <f t="shared" si="345"/>
        <v>18.09</v>
      </c>
      <c r="U892" s="30">
        <f t="shared" si="352"/>
        <v>16.82</v>
      </c>
    </row>
    <row r="893" spans="1:21" ht="15" customHeight="1" x14ac:dyDescent="0.25">
      <c r="A893" s="5">
        <v>37094</v>
      </c>
      <c r="B893" s="5">
        <f t="shared" si="346"/>
        <v>37103</v>
      </c>
      <c r="C893">
        <v>1210.8499999999999</v>
      </c>
      <c r="D893" s="29">
        <f t="shared" si="347"/>
        <v>-2.5999999999999999E-3</v>
      </c>
      <c r="E893" s="39">
        <f t="shared" si="348"/>
        <v>1241.6938461538462</v>
      </c>
      <c r="F893" s="39">
        <f t="shared" si="349"/>
        <v>1272.9864102564104</v>
      </c>
      <c r="G893" s="29">
        <f t="shared" si="341"/>
        <v>-2.4799999999999999E-2</v>
      </c>
      <c r="H893" s="29">
        <f t="shared" si="341"/>
        <v>-4.8800000000000003E-2</v>
      </c>
      <c r="I893">
        <f t="shared" si="350"/>
        <v>1210.8499999999999</v>
      </c>
      <c r="J893">
        <f>IF(A893&gt;=Quarterly!B$2,Quarterly!C$2,IF(COUNTIFS(Quarterly!B:B,"&gt;="&amp;A893-92,Quarterly!B:B,"&lt;="&amp;A893)&gt;1,SUMIFS(Quarterly!C:C,Quarterly!B:B,"&gt;="&amp;A893-88,Quarterly!B:B,"&lt;="&amp;A893),SUMIFS(Quarterly!C:C,Quarterly!B:B,"&gt;="&amp;A893-92,Quarterly!B:B,"&lt;="&amp;A893)))</f>
        <v>10508.1</v>
      </c>
      <c r="K893" s="13">
        <f t="shared" si="351"/>
        <v>0.1152</v>
      </c>
      <c r="L893">
        <f t="shared" si="353"/>
        <v>1210.8499999999999</v>
      </c>
      <c r="M893">
        <f>IF(A893&gt;=Quarterly!B$2,Quarterly!D$2,IF(COUNTIFS(Quarterly!B:B,"&gt;="&amp;A893-92,Quarterly!B:B,"&lt;="&amp;A893)&gt;1,SUMIFS(Quarterly!D:D,Quarterly!B:B,"&gt;="&amp;A893-88,Quarterly!B:B,"&lt;="&amp;A893),SUMIFS(Quarterly!D:D,Quarterly!B:B,"&gt;="&amp;A893-92,Quarterly!B:B,"&lt;="&amp;A893)))</f>
        <v>494.89299999999997</v>
      </c>
      <c r="N893" s="13">
        <f t="shared" si="354"/>
        <v>0.24467</v>
      </c>
      <c r="O893">
        <f t="shared" si="342"/>
        <v>1210.8499999999999</v>
      </c>
      <c r="P893" s="56">
        <f>VLOOKUP(EOMONTH(A893,-1),Economic!A:I,7,FALSE)</f>
        <v>826488</v>
      </c>
      <c r="Q893" s="13">
        <f t="shared" si="343"/>
        <v>0.14649999999999999</v>
      </c>
      <c r="R893" s="41">
        <v>1.17</v>
      </c>
      <c r="S893">
        <f t="shared" si="344"/>
        <v>-0.35</v>
      </c>
      <c r="T893" s="30">
        <f t="shared" si="345"/>
        <v>17.46</v>
      </c>
      <c r="U893" s="30">
        <f t="shared" si="352"/>
        <v>17.77</v>
      </c>
    </row>
    <row r="894" spans="1:21" ht="15" customHeight="1" x14ac:dyDescent="0.25">
      <c r="A894" s="5">
        <v>37087</v>
      </c>
      <c r="B894" s="5">
        <f t="shared" si="346"/>
        <v>37103</v>
      </c>
      <c r="C894">
        <v>1215.68</v>
      </c>
      <c r="D894" s="29">
        <f t="shared" si="347"/>
        <v>1.6999999999999999E-3</v>
      </c>
      <c r="E894" s="39">
        <f t="shared" si="348"/>
        <v>1244.1653846153845</v>
      </c>
      <c r="F894" s="39">
        <f t="shared" si="349"/>
        <v>1277.7576923076927</v>
      </c>
      <c r="G894" s="29">
        <f t="shared" si="341"/>
        <v>-2.29E-2</v>
      </c>
      <c r="H894" s="29">
        <f t="shared" si="341"/>
        <v>-4.8599999999999997E-2</v>
      </c>
      <c r="I894">
        <f t="shared" si="350"/>
        <v>1215.68</v>
      </c>
      <c r="J894">
        <f>IF(A894&gt;=Quarterly!B$2,Quarterly!C$2,IF(COUNTIFS(Quarterly!B:B,"&gt;="&amp;A894-92,Quarterly!B:B,"&lt;="&amp;A894)&gt;1,SUMIFS(Quarterly!C:C,Quarterly!B:B,"&gt;="&amp;A894-88,Quarterly!B:B,"&lt;="&amp;A894),SUMIFS(Quarterly!C:C,Quarterly!B:B,"&gt;="&amp;A894-92,Quarterly!B:B,"&lt;="&amp;A894)))</f>
        <v>10508.1</v>
      </c>
      <c r="K894" s="13">
        <f t="shared" si="351"/>
        <v>0.1157</v>
      </c>
      <c r="L894">
        <f t="shared" si="353"/>
        <v>1215.68</v>
      </c>
      <c r="M894">
        <f>IF(A894&gt;=Quarterly!B$2,Quarterly!D$2,IF(COUNTIFS(Quarterly!B:B,"&gt;="&amp;A894-92,Quarterly!B:B,"&lt;="&amp;A894)&gt;1,SUMIFS(Quarterly!D:D,Quarterly!B:B,"&gt;="&amp;A894-88,Quarterly!B:B,"&lt;="&amp;A894),SUMIFS(Quarterly!D:D,Quarterly!B:B,"&gt;="&amp;A894-92,Quarterly!B:B,"&lt;="&amp;A894)))</f>
        <v>494.89299999999997</v>
      </c>
      <c r="N894" s="13">
        <f t="shared" si="354"/>
        <v>0.24565000000000003</v>
      </c>
      <c r="O894">
        <f t="shared" si="342"/>
        <v>1215.68</v>
      </c>
      <c r="P894" s="56">
        <f>VLOOKUP(EOMONTH(A894,-1),Economic!A:I,7,FALSE)</f>
        <v>826488</v>
      </c>
      <c r="Q894" s="13">
        <f t="shared" si="343"/>
        <v>0.14710000000000001</v>
      </c>
      <c r="R894" s="41">
        <v>1.1499999999999999</v>
      </c>
      <c r="S894">
        <f t="shared" si="344"/>
        <v>-0.4</v>
      </c>
      <c r="T894" s="30">
        <f t="shared" si="345"/>
        <v>14.92</v>
      </c>
      <c r="U894" s="30">
        <f t="shared" si="352"/>
        <v>16.8</v>
      </c>
    </row>
    <row r="895" spans="1:21" ht="15" customHeight="1" x14ac:dyDescent="0.25">
      <c r="A895" s="5">
        <v>37080</v>
      </c>
      <c r="B895" s="5">
        <f t="shared" si="346"/>
        <v>37103</v>
      </c>
      <c r="C895">
        <v>1190.5899999999999</v>
      </c>
      <c r="D895" s="29">
        <f t="shared" si="347"/>
        <v>-3.3799999999999997E-2</v>
      </c>
      <c r="E895" s="39">
        <f t="shared" si="348"/>
        <v>1241.69</v>
      </c>
      <c r="F895" s="39">
        <f t="shared" si="349"/>
        <v>1281.8215384615385</v>
      </c>
      <c r="G895" s="29">
        <f t="shared" si="341"/>
        <v>-4.1200000000000001E-2</v>
      </c>
      <c r="H895" s="29">
        <f t="shared" si="341"/>
        <v>-7.1199999999999999E-2</v>
      </c>
      <c r="I895">
        <f t="shared" si="350"/>
        <v>1190.5899999999999</v>
      </c>
      <c r="J895">
        <f>IF(A895&gt;=Quarterly!B$2,Quarterly!C$2,IF(COUNTIFS(Quarterly!B:B,"&gt;="&amp;A895-92,Quarterly!B:B,"&lt;="&amp;A895)&gt;1,SUMIFS(Quarterly!C:C,Quarterly!B:B,"&gt;="&amp;A895-88,Quarterly!B:B,"&lt;="&amp;A895),SUMIFS(Quarterly!C:C,Quarterly!B:B,"&gt;="&amp;A895-92,Quarterly!B:B,"&lt;="&amp;A895)))</f>
        <v>10508.1</v>
      </c>
      <c r="K895" s="13">
        <f t="shared" si="351"/>
        <v>0.1133</v>
      </c>
      <c r="L895">
        <f t="shared" si="353"/>
        <v>1190.5899999999999</v>
      </c>
      <c r="M895">
        <f>IF(A895&gt;=Quarterly!B$2,Quarterly!D$2,IF(COUNTIFS(Quarterly!B:B,"&gt;="&amp;A895-92,Quarterly!B:B,"&lt;="&amp;A895)&gt;1,SUMIFS(Quarterly!D:D,Quarterly!B:B,"&gt;="&amp;A895-88,Quarterly!B:B,"&lt;="&amp;A895),SUMIFS(Quarterly!D:D,Quarterly!B:B,"&gt;="&amp;A895-92,Quarterly!B:B,"&lt;="&amp;A895)))</f>
        <v>494.89299999999997</v>
      </c>
      <c r="N895" s="13">
        <f t="shared" si="354"/>
        <v>0.24058000000000002</v>
      </c>
      <c r="O895">
        <f t="shared" si="342"/>
        <v>1190.5899999999999</v>
      </c>
      <c r="P895" s="56">
        <f>VLOOKUP(EOMONTH(A895,-1),Economic!A:I,7,FALSE)</f>
        <v>826488</v>
      </c>
      <c r="Q895" s="13">
        <f t="shared" si="343"/>
        <v>0.14410000000000001</v>
      </c>
      <c r="R895" s="41">
        <v>1.25</v>
      </c>
      <c r="S895">
        <f t="shared" si="344"/>
        <v>-0.33</v>
      </c>
      <c r="T895" s="30">
        <f t="shared" si="345"/>
        <v>20.94</v>
      </c>
      <c r="U895" s="30">
        <f t="shared" si="352"/>
        <v>17.77</v>
      </c>
    </row>
    <row r="896" spans="1:21" ht="15" customHeight="1" x14ac:dyDescent="0.25">
      <c r="A896" s="5">
        <v>37073</v>
      </c>
      <c r="B896" s="5">
        <f t="shared" si="346"/>
        <v>37103</v>
      </c>
      <c r="C896">
        <v>1224.3800000000001</v>
      </c>
      <c r="D896" s="29">
        <f t="shared" si="347"/>
        <v>-1.37E-2</v>
      </c>
      <c r="E896" s="39">
        <f t="shared" si="348"/>
        <v>1236.9084615384616</v>
      </c>
      <c r="F896" s="39">
        <f t="shared" si="349"/>
        <v>1287.4215384615386</v>
      </c>
      <c r="G896" s="29">
        <f t="shared" si="341"/>
        <v>-1.01E-2</v>
      </c>
      <c r="H896" s="29">
        <f t="shared" si="341"/>
        <v>-4.9000000000000002E-2</v>
      </c>
      <c r="I896">
        <f t="shared" si="350"/>
        <v>1224.3800000000001</v>
      </c>
      <c r="J896">
        <f>IF(A896&gt;=Quarterly!B$2,Quarterly!C$2,IF(COUNTIFS(Quarterly!B:B,"&gt;="&amp;A896-92,Quarterly!B:B,"&lt;="&amp;A896)&gt;1,SUMIFS(Quarterly!C:C,Quarterly!B:B,"&gt;="&amp;A896-88,Quarterly!B:B,"&lt;="&amp;A896),SUMIFS(Quarterly!C:C,Quarterly!B:B,"&gt;="&amp;A896-92,Quarterly!B:B,"&lt;="&amp;A896)))</f>
        <v>10508.1</v>
      </c>
      <c r="K896" s="13">
        <f t="shared" si="351"/>
        <v>0.11650000000000001</v>
      </c>
      <c r="L896">
        <f t="shared" si="353"/>
        <v>1224.3800000000001</v>
      </c>
      <c r="M896">
        <f>IF(A896&gt;=Quarterly!B$2,Quarterly!D$2,IF(COUNTIFS(Quarterly!B:B,"&gt;="&amp;A896-92,Quarterly!B:B,"&lt;="&amp;A896)&gt;1,SUMIFS(Quarterly!D:D,Quarterly!B:B,"&gt;="&amp;A896-88,Quarterly!B:B,"&lt;="&amp;A896),SUMIFS(Quarterly!D:D,Quarterly!B:B,"&gt;="&amp;A896-92,Quarterly!B:B,"&lt;="&amp;A896)))</f>
        <v>494.89299999999997</v>
      </c>
      <c r="N896" s="13">
        <f t="shared" si="354"/>
        <v>0.24740000000000004</v>
      </c>
      <c r="O896">
        <f t="shared" si="342"/>
        <v>1224.3800000000001</v>
      </c>
      <c r="P896" s="56">
        <f>VLOOKUP(EOMONTH(A896,-1),Economic!A:I,7,FALSE)</f>
        <v>826488</v>
      </c>
      <c r="Q896" s="13">
        <f t="shared" si="343"/>
        <v>0.14809999999999998</v>
      </c>
      <c r="R896" s="41">
        <v>1.17</v>
      </c>
      <c r="S896">
        <f t="shared" si="344"/>
        <v>-0.45</v>
      </c>
      <c r="T896" s="30">
        <f t="shared" si="345"/>
        <v>14.55</v>
      </c>
      <c r="U896" s="30">
        <f t="shared" si="352"/>
        <v>17.41</v>
      </c>
    </row>
    <row r="897" spans="1:21" ht="15" customHeight="1" x14ac:dyDescent="0.25">
      <c r="A897" s="5">
        <v>37066</v>
      </c>
      <c r="B897" s="5">
        <f t="shared" si="346"/>
        <v>37072</v>
      </c>
      <c r="C897">
        <v>1225.3499999999999</v>
      </c>
      <c r="D897" s="29">
        <f t="shared" si="347"/>
        <v>-2.3199999999999998E-2</v>
      </c>
      <c r="E897" s="39">
        <f t="shared" si="348"/>
        <v>1231.9815384615385</v>
      </c>
      <c r="F897" s="39">
        <f t="shared" si="349"/>
        <v>1292.8607692307694</v>
      </c>
      <c r="G897" s="29">
        <f t="shared" si="341"/>
        <v>-5.4000000000000003E-3</v>
      </c>
      <c r="H897" s="29">
        <f t="shared" si="341"/>
        <v>-5.2200000000000003E-2</v>
      </c>
      <c r="I897">
        <f t="shared" si="350"/>
        <v>1225.3499999999999</v>
      </c>
      <c r="J897">
        <f>IF(A897&gt;=Quarterly!B$2,Quarterly!C$2,IF(COUNTIFS(Quarterly!B:B,"&gt;="&amp;A897-92,Quarterly!B:B,"&lt;="&amp;A897)&gt;1,SUMIFS(Quarterly!C:C,Quarterly!B:B,"&gt;="&amp;A897-88,Quarterly!B:B,"&lt;="&amp;A897),SUMIFS(Quarterly!C:C,Quarterly!B:B,"&gt;="&amp;A897-92,Quarterly!B:B,"&lt;="&amp;A897)))</f>
        <v>10508.1</v>
      </c>
      <c r="K897" s="13">
        <f t="shared" si="351"/>
        <v>0.1166</v>
      </c>
      <c r="L897">
        <f t="shared" si="353"/>
        <v>1225.3499999999999</v>
      </c>
      <c r="M897">
        <f>IF(A897&gt;=Quarterly!B$2,Quarterly!D$2,IF(COUNTIFS(Quarterly!B:B,"&gt;="&amp;A897-92,Quarterly!B:B,"&lt;="&amp;A897)&gt;1,SUMIFS(Quarterly!D:D,Quarterly!B:B,"&gt;="&amp;A897-88,Quarterly!B:B,"&lt;="&amp;A897),SUMIFS(Quarterly!D:D,Quarterly!B:B,"&gt;="&amp;A897-92,Quarterly!B:B,"&lt;="&amp;A897)))</f>
        <v>494.89299999999997</v>
      </c>
      <c r="N897" s="13">
        <f t="shared" si="354"/>
        <v>0.24760000000000001</v>
      </c>
      <c r="O897">
        <f t="shared" si="342"/>
        <v>1225.3499999999999</v>
      </c>
      <c r="P897" s="56">
        <f>VLOOKUP(EOMONTH(A897,-1),Economic!A:I,7,FALSE)</f>
        <v>831633</v>
      </c>
      <c r="Q897" s="13">
        <f t="shared" si="343"/>
        <v>0.14729999999999999</v>
      </c>
      <c r="R897" s="41">
        <v>1.21</v>
      </c>
      <c r="S897">
        <f t="shared" si="344"/>
        <v>-0.39</v>
      </c>
      <c r="T897" s="30">
        <f t="shared" si="345"/>
        <v>17.82</v>
      </c>
      <c r="U897" s="30">
        <f t="shared" si="352"/>
        <v>16.7</v>
      </c>
    </row>
    <row r="898" spans="1:21" ht="15" customHeight="1" x14ac:dyDescent="0.25">
      <c r="A898" s="5">
        <v>37059</v>
      </c>
      <c r="B898" s="5">
        <f t="shared" si="346"/>
        <v>37072</v>
      </c>
      <c r="C898">
        <v>1214.3599999999999</v>
      </c>
      <c r="D898" s="29">
        <f t="shared" si="347"/>
        <v>-4.6699999999999998E-2</v>
      </c>
      <c r="E898" s="39">
        <f t="shared" si="348"/>
        <v>1225.4030769230769</v>
      </c>
      <c r="F898" s="39">
        <f t="shared" si="349"/>
        <v>1298.5882051282053</v>
      </c>
      <c r="G898" s="29">
        <f t="shared" ref="G898:H961" si="355">ROUND(($C898-E898)/E898,4)</f>
        <v>-8.9999999999999993E-3</v>
      </c>
      <c r="H898" s="29">
        <f t="shared" si="355"/>
        <v>-6.4899999999999999E-2</v>
      </c>
      <c r="I898">
        <f t="shared" si="350"/>
        <v>1214.3599999999999</v>
      </c>
      <c r="J898">
        <f>IF(A898&gt;=Quarterly!B$2,Quarterly!C$2,IF(COUNTIFS(Quarterly!B:B,"&gt;="&amp;A898-92,Quarterly!B:B,"&lt;="&amp;A898)&gt;1,SUMIFS(Quarterly!C:C,Quarterly!B:B,"&gt;="&amp;A898-88,Quarterly!B:B,"&lt;="&amp;A898),SUMIFS(Quarterly!C:C,Quarterly!B:B,"&gt;="&amp;A898-92,Quarterly!B:B,"&lt;="&amp;A898)))</f>
        <v>10508.1</v>
      </c>
      <c r="K898" s="13">
        <f t="shared" si="351"/>
        <v>0.11559999999999999</v>
      </c>
      <c r="L898">
        <f t="shared" si="353"/>
        <v>1214.3599999999999</v>
      </c>
      <c r="M898">
        <f>IF(A898&gt;=Quarterly!B$2,Quarterly!D$2,IF(COUNTIFS(Quarterly!B:B,"&gt;="&amp;A898-92,Quarterly!B:B,"&lt;="&amp;A898)&gt;1,SUMIFS(Quarterly!D:D,Quarterly!B:B,"&gt;="&amp;A898-88,Quarterly!B:B,"&lt;="&amp;A898),SUMIFS(Quarterly!D:D,Quarterly!B:B,"&gt;="&amp;A898-92,Quarterly!B:B,"&lt;="&amp;A898)))</f>
        <v>494.89299999999997</v>
      </c>
      <c r="N898" s="13">
        <f t="shared" si="354"/>
        <v>0.24538000000000004</v>
      </c>
      <c r="O898">
        <f t="shared" si="342"/>
        <v>1214.3599999999999</v>
      </c>
      <c r="P898" s="56">
        <f>VLOOKUP(EOMONTH(A898,-1),Economic!A:I,7,FALSE)</f>
        <v>831633</v>
      </c>
      <c r="Q898" s="13">
        <f t="shared" si="343"/>
        <v>0.14599999999999999</v>
      </c>
      <c r="R898" s="41">
        <v>1.26</v>
      </c>
      <c r="S898">
        <f t="shared" si="344"/>
        <v>-0.42</v>
      </c>
      <c r="T898" s="30">
        <f t="shared" si="345"/>
        <v>19.86</v>
      </c>
      <c r="U898" s="30">
        <f t="shared" si="352"/>
        <v>15.89</v>
      </c>
    </row>
    <row r="899" spans="1:21" ht="15" customHeight="1" x14ac:dyDescent="0.25">
      <c r="A899" s="5">
        <v>37052</v>
      </c>
      <c r="B899" s="5">
        <f t="shared" si="346"/>
        <v>37072</v>
      </c>
      <c r="C899">
        <v>1264.96</v>
      </c>
      <c r="D899" s="29">
        <f t="shared" si="347"/>
        <v>-3.2000000000000002E-3</v>
      </c>
      <c r="E899" s="39">
        <f t="shared" si="348"/>
        <v>1220.4930769230768</v>
      </c>
      <c r="F899" s="39">
        <f t="shared" si="349"/>
        <v>1305.0356410256411</v>
      </c>
      <c r="G899" s="29">
        <f t="shared" si="355"/>
        <v>3.6400000000000002E-2</v>
      </c>
      <c r="H899" s="29">
        <f t="shared" si="355"/>
        <v>-3.0700000000000002E-2</v>
      </c>
      <c r="I899">
        <f t="shared" si="350"/>
        <v>1264.96</v>
      </c>
      <c r="J899">
        <f>IF(A899&gt;=Quarterly!B$2,Quarterly!C$2,IF(COUNTIFS(Quarterly!B:B,"&gt;="&amp;A899-92,Quarterly!B:B,"&lt;="&amp;A899)&gt;1,SUMIFS(Quarterly!C:C,Quarterly!B:B,"&gt;="&amp;A899-88,Quarterly!B:B,"&lt;="&amp;A899),SUMIFS(Quarterly!C:C,Quarterly!B:B,"&gt;="&amp;A899-92,Quarterly!B:B,"&lt;="&amp;A899)))</f>
        <v>10508.1</v>
      </c>
      <c r="K899" s="13">
        <f t="shared" si="351"/>
        <v>0.12039999999999999</v>
      </c>
      <c r="L899">
        <f t="shared" si="353"/>
        <v>1264.96</v>
      </c>
      <c r="M899">
        <f>IF(A899&gt;=Quarterly!B$2,Quarterly!D$2,IF(COUNTIFS(Quarterly!B:B,"&gt;="&amp;A899-92,Quarterly!B:B,"&lt;="&amp;A899)&gt;1,SUMIFS(Quarterly!D:D,Quarterly!B:B,"&gt;="&amp;A899-88,Quarterly!B:B,"&lt;="&amp;A899),SUMIFS(Quarterly!D:D,Quarterly!B:B,"&gt;="&amp;A899-92,Quarterly!B:B,"&lt;="&amp;A899)))</f>
        <v>494.89299999999997</v>
      </c>
      <c r="N899" s="13">
        <f t="shared" si="354"/>
        <v>0.25559999999999999</v>
      </c>
      <c r="O899">
        <f t="shared" si="342"/>
        <v>1264.96</v>
      </c>
      <c r="P899" s="56">
        <f>VLOOKUP(EOMONTH(A899,-1),Economic!A:I,7,FALSE)</f>
        <v>831633</v>
      </c>
      <c r="Q899" s="13">
        <f t="shared" si="343"/>
        <v>0.15210000000000001</v>
      </c>
      <c r="R899" s="41">
        <v>1.21</v>
      </c>
      <c r="S899">
        <f t="shared" si="344"/>
        <v>-0.52</v>
      </c>
      <c r="T899" s="30">
        <f t="shared" si="345"/>
        <v>12.41</v>
      </c>
      <c r="U899" s="30">
        <f t="shared" si="352"/>
        <v>14.43</v>
      </c>
    </row>
    <row r="900" spans="1:21" ht="15" customHeight="1" x14ac:dyDescent="0.25">
      <c r="A900" s="5">
        <v>37045</v>
      </c>
      <c r="B900" s="5">
        <f t="shared" si="346"/>
        <v>37072</v>
      </c>
      <c r="C900">
        <v>1260.67</v>
      </c>
      <c r="D900" s="29">
        <f t="shared" si="347"/>
        <v>-7.7999999999999996E-3</v>
      </c>
      <c r="E900" s="39">
        <f t="shared" si="348"/>
        <v>1218.0669230769231</v>
      </c>
      <c r="F900" s="39">
        <f t="shared" si="349"/>
        <v>1310.9212820512823</v>
      </c>
      <c r="G900" s="29">
        <f t="shared" si="355"/>
        <v>3.5000000000000003E-2</v>
      </c>
      <c r="H900" s="29">
        <f t="shared" si="355"/>
        <v>-3.8300000000000001E-2</v>
      </c>
      <c r="I900">
        <f t="shared" si="350"/>
        <v>1260.67</v>
      </c>
      <c r="J900">
        <f>IF(A900&gt;=Quarterly!B$2,Quarterly!C$2,IF(COUNTIFS(Quarterly!B:B,"&gt;="&amp;A900-92,Quarterly!B:B,"&lt;="&amp;A900)&gt;1,SUMIFS(Quarterly!C:C,Quarterly!B:B,"&gt;="&amp;A900-88,Quarterly!B:B,"&lt;="&amp;A900),SUMIFS(Quarterly!C:C,Quarterly!B:B,"&gt;="&amp;A900-92,Quarterly!B:B,"&lt;="&amp;A900)))</f>
        <v>10508.1</v>
      </c>
      <c r="K900" s="13">
        <f t="shared" si="351"/>
        <v>0.12</v>
      </c>
      <c r="L900">
        <f t="shared" si="353"/>
        <v>1260.67</v>
      </c>
      <c r="M900">
        <f>IF(A900&gt;=Quarterly!B$2,Quarterly!D$2,IF(COUNTIFS(Quarterly!B:B,"&gt;="&amp;A900-92,Quarterly!B:B,"&lt;="&amp;A900)&gt;1,SUMIFS(Quarterly!D:D,Quarterly!B:B,"&gt;="&amp;A900-88,Quarterly!B:B,"&lt;="&amp;A900),SUMIFS(Quarterly!D:D,Quarterly!B:B,"&gt;="&amp;A900-92,Quarterly!B:B,"&lt;="&amp;A900)))</f>
        <v>494.89299999999997</v>
      </c>
      <c r="N900" s="13">
        <f t="shared" si="354"/>
        <v>0.25474000000000002</v>
      </c>
      <c r="O900">
        <f t="shared" si="342"/>
        <v>1260.67</v>
      </c>
      <c r="P900" s="56">
        <f>VLOOKUP(EOMONTH(A900,-1),Economic!A:I,7,FALSE)</f>
        <v>831633</v>
      </c>
      <c r="Q900" s="13">
        <f t="shared" si="343"/>
        <v>0.15160000000000001</v>
      </c>
      <c r="R900" s="41">
        <v>1.17</v>
      </c>
      <c r="S900">
        <f t="shared" si="344"/>
        <v>-0.47</v>
      </c>
      <c r="T900" s="30">
        <f t="shared" si="345"/>
        <v>15.41</v>
      </c>
      <c r="U900" s="30">
        <f t="shared" si="352"/>
        <v>16.77</v>
      </c>
    </row>
    <row r="901" spans="1:21" ht="15" customHeight="1" x14ac:dyDescent="0.25">
      <c r="A901" s="5">
        <v>37038</v>
      </c>
      <c r="B901" s="5">
        <f t="shared" si="346"/>
        <v>37042</v>
      </c>
      <c r="C901">
        <v>1277.8900000000001</v>
      </c>
      <c r="D901" s="29">
        <f t="shared" si="347"/>
        <v>1.0699999999999999E-2</v>
      </c>
      <c r="E901" s="39">
        <f t="shared" si="348"/>
        <v>1216.0292307692309</v>
      </c>
      <c r="F901" s="39">
        <f t="shared" si="349"/>
        <v>1317.5905128205127</v>
      </c>
      <c r="G901" s="29">
        <f t="shared" si="355"/>
        <v>5.0900000000000001E-2</v>
      </c>
      <c r="H901" s="29">
        <f t="shared" si="355"/>
        <v>-3.0099999999999998E-2</v>
      </c>
      <c r="I901">
        <f t="shared" si="350"/>
        <v>1277.8900000000001</v>
      </c>
      <c r="J901">
        <f>IF(A901&gt;=Quarterly!B$2,Quarterly!C$2,IF(COUNTIFS(Quarterly!B:B,"&gt;="&amp;A901-92,Quarterly!B:B,"&lt;="&amp;A901)&gt;1,SUMIFS(Quarterly!C:C,Quarterly!B:B,"&gt;="&amp;A901-88,Quarterly!B:B,"&lt;="&amp;A901),SUMIFS(Quarterly!C:C,Quarterly!B:B,"&gt;="&amp;A901-92,Quarterly!B:B,"&lt;="&amp;A901)))</f>
        <v>10508.1</v>
      </c>
      <c r="K901" s="13">
        <f t="shared" si="351"/>
        <v>0.1216</v>
      </c>
      <c r="L901">
        <f t="shared" si="353"/>
        <v>1277.8900000000001</v>
      </c>
      <c r="M901">
        <f>IF(A901&gt;=Quarterly!B$2,Quarterly!D$2,IF(COUNTIFS(Quarterly!B:B,"&gt;="&amp;A901-92,Quarterly!B:B,"&lt;="&amp;A901)&gt;1,SUMIFS(Quarterly!D:D,Quarterly!B:B,"&gt;="&amp;A901-88,Quarterly!B:B,"&lt;="&amp;A901),SUMIFS(Quarterly!D:D,Quarterly!B:B,"&gt;="&amp;A901-92,Quarterly!B:B,"&lt;="&amp;A901)))</f>
        <v>494.89299999999997</v>
      </c>
      <c r="N901" s="13">
        <f t="shared" si="354"/>
        <v>0.25822000000000001</v>
      </c>
      <c r="O901">
        <f t="shared" si="342"/>
        <v>1277.8900000000001</v>
      </c>
      <c r="P901" s="56">
        <f>VLOOKUP(EOMONTH(A901,-1),Economic!A:I,7,FALSE)</f>
        <v>837634</v>
      </c>
      <c r="Q901" s="13">
        <f t="shared" si="343"/>
        <v>0.15260000000000001</v>
      </c>
      <c r="R901" s="41">
        <v>1.21</v>
      </c>
      <c r="S901">
        <f t="shared" si="344"/>
        <v>-0.44</v>
      </c>
      <c r="T901" s="30">
        <f t="shared" si="345"/>
        <v>15.48</v>
      </c>
      <c r="U901" s="30">
        <f t="shared" si="352"/>
        <v>21.36</v>
      </c>
    </row>
    <row r="902" spans="1:21" ht="15" customHeight="1" x14ac:dyDescent="0.25">
      <c r="A902" s="5">
        <v>37031</v>
      </c>
      <c r="B902" s="5">
        <f t="shared" si="346"/>
        <v>37042</v>
      </c>
      <c r="C902">
        <v>1291.96</v>
      </c>
      <c r="D902" s="29">
        <f t="shared" si="347"/>
        <v>3.1899999999999998E-2</v>
      </c>
      <c r="E902" s="39">
        <f t="shared" si="348"/>
        <v>1213.5653846153848</v>
      </c>
      <c r="F902" s="39">
        <f t="shared" si="349"/>
        <v>1323.4510256410256</v>
      </c>
      <c r="G902" s="29">
        <f t="shared" si="355"/>
        <v>6.4600000000000005E-2</v>
      </c>
      <c r="H902" s="29">
        <f t="shared" si="355"/>
        <v>-2.3800000000000002E-2</v>
      </c>
      <c r="I902">
        <f t="shared" si="350"/>
        <v>1291.96</v>
      </c>
      <c r="J902">
        <f>IF(A902&gt;=Quarterly!B$2,Quarterly!C$2,IF(COUNTIFS(Quarterly!B:B,"&gt;="&amp;A902-92,Quarterly!B:B,"&lt;="&amp;A902)&gt;1,SUMIFS(Quarterly!C:C,Quarterly!B:B,"&gt;="&amp;A902-88,Quarterly!B:B,"&lt;="&amp;A902),SUMIFS(Quarterly!C:C,Quarterly!B:B,"&gt;="&amp;A902-92,Quarterly!B:B,"&lt;="&amp;A902)))</f>
        <v>10508.1</v>
      </c>
      <c r="K902" s="13">
        <f t="shared" si="351"/>
        <v>0.1229</v>
      </c>
      <c r="L902">
        <f t="shared" si="353"/>
        <v>1291.96</v>
      </c>
      <c r="M902">
        <f>IF(A902&gt;=Quarterly!B$2,Quarterly!D$2,IF(COUNTIFS(Quarterly!B:B,"&gt;="&amp;A902-92,Quarterly!B:B,"&lt;="&amp;A902)&gt;1,SUMIFS(Quarterly!D:D,Quarterly!B:B,"&gt;="&amp;A902-88,Quarterly!B:B,"&lt;="&amp;A902),SUMIFS(Quarterly!D:D,Quarterly!B:B,"&gt;="&amp;A902-92,Quarterly!B:B,"&lt;="&amp;A902)))</f>
        <v>494.89299999999997</v>
      </c>
      <c r="N902" s="13">
        <f t="shared" si="354"/>
        <v>0.26106000000000001</v>
      </c>
      <c r="O902">
        <f t="shared" ref="O902:O965" si="356">C902</f>
        <v>1291.96</v>
      </c>
      <c r="P902" s="56">
        <f>VLOOKUP(EOMONTH(A902,-1),Economic!A:I,7,FALSE)</f>
        <v>837634</v>
      </c>
      <c r="Q902" s="13">
        <f t="shared" ref="Q902:Q965" si="357">ROUND(O902/P902,6)*100</f>
        <v>0.1542</v>
      </c>
      <c r="R902" s="41">
        <v>1.04</v>
      </c>
      <c r="S902">
        <f t="shared" ref="S902:S965" si="358">R963</f>
        <v>-0.3</v>
      </c>
      <c r="T902" s="30">
        <f t="shared" ref="T902:T965" si="359">IF((ROUND((S902*40)+(G902*350)-(H902*100)-((N902-0.15)*350)-(((K902*10.5)-1)*270)-(Q902*100),2)+144)*0.8&lt;0,0,ROUND((ROUND((S902*40)+(G902*350)-(H902*100)-((N902-0.15)*350)-(((K902*10.5)-1)*270)-(Q902*100),2)+144)*0.8,2))</f>
        <v>19.420000000000002</v>
      </c>
      <c r="U902" s="30">
        <f t="shared" si="352"/>
        <v>25.35</v>
      </c>
    </row>
    <row r="903" spans="1:21" ht="15" customHeight="1" x14ac:dyDescent="0.25">
      <c r="A903" s="5">
        <v>37024</v>
      </c>
      <c r="B903" s="5">
        <f t="shared" si="346"/>
        <v>37042</v>
      </c>
      <c r="C903">
        <v>1245.67</v>
      </c>
      <c r="D903" s="29">
        <f t="shared" si="347"/>
        <v>7.4000000000000003E-3</v>
      </c>
      <c r="E903" s="39">
        <f t="shared" si="348"/>
        <v>1214.3015384615387</v>
      </c>
      <c r="F903" s="39">
        <f t="shared" si="349"/>
        <v>1328.573076923077</v>
      </c>
      <c r="G903" s="29">
        <f t="shared" si="355"/>
        <v>2.58E-2</v>
      </c>
      <c r="H903" s="29">
        <f t="shared" si="355"/>
        <v>-6.2399999999999997E-2</v>
      </c>
      <c r="I903">
        <f t="shared" si="350"/>
        <v>1245.67</v>
      </c>
      <c r="J903">
        <f>IF(A903&gt;=Quarterly!B$2,Quarterly!C$2,IF(COUNTIFS(Quarterly!B:B,"&gt;="&amp;A903-92,Quarterly!B:B,"&lt;="&amp;A903)&gt;1,SUMIFS(Quarterly!C:C,Quarterly!B:B,"&gt;="&amp;A903-88,Quarterly!B:B,"&lt;="&amp;A903),SUMIFS(Quarterly!C:C,Quarterly!B:B,"&gt;="&amp;A903-92,Quarterly!B:B,"&lt;="&amp;A903)))</f>
        <v>10508.1</v>
      </c>
      <c r="K903" s="13">
        <f t="shared" si="351"/>
        <v>0.11849999999999999</v>
      </c>
      <c r="L903">
        <f t="shared" si="353"/>
        <v>1245.67</v>
      </c>
      <c r="M903">
        <f>IF(A903&gt;=Quarterly!B$2,Quarterly!D$2,IF(COUNTIFS(Quarterly!B:B,"&gt;="&amp;A903-92,Quarterly!B:B,"&lt;="&amp;A903)&gt;1,SUMIFS(Quarterly!D:D,Quarterly!B:B,"&gt;="&amp;A903-88,Quarterly!B:B,"&lt;="&amp;A903),SUMIFS(Quarterly!D:D,Quarterly!B:B,"&gt;="&amp;A903-92,Quarterly!B:B,"&lt;="&amp;A903)))</f>
        <v>494.89299999999997</v>
      </c>
      <c r="N903" s="13">
        <f t="shared" si="354"/>
        <v>0.25169999999999998</v>
      </c>
      <c r="O903">
        <f t="shared" si="356"/>
        <v>1245.67</v>
      </c>
      <c r="P903" s="56">
        <f>VLOOKUP(EOMONTH(A903,-1),Economic!A:I,7,FALSE)</f>
        <v>837634</v>
      </c>
      <c r="Q903" s="13">
        <f t="shared" si="357"/>
        <v>0.1487</v>
      </c>
      <c r="R903" s="41">
        <v>1.1499999999999999</v>
      </c>
      <c r="S903">
        <f t="shared" si="358"/>
        <v>-0.16</v>
      </c>
      <c r="T903" s="30">
        <f t="shared" si="359"/>
        <v>29.17</v>
      </c>
      <c r="U903" s="30">
        <f t="shared" si="352"/>
        <v>26.2</v>
      </c>
    </row>
    <row r="904" spans="1:21" ht="15" customHeight="1" x14ac:dyDescent="0.25">
      <c r="A904" s="5">
        <v>37017</v>
      </c>
      <c r="B904" s="5">
        <f t="shared" si="346"/>
        <v>37042</v>
      </c>
      <c r="C904">
        <v>1266.6099999999999</v>
      </c>
      <c r="D904" s="29">
        <f t="shared" si="347"/>
        <v>5.3800000000000001E-2</v>
      </c>
      <c r="E904" s="39">
        <f t="shared" si="348"/>
        <v>1219.616153846154</v>
      </c>
      <c r="F904" s="39">
        <f t="shared" si="349"/>
        <v>1334.3723076923077</v>
      </c>
      <c r="G904" s="29">
        <f t="shared" si="355"/>
        <v>3.85E-2</v>
      </c>
      <c r="H904" s="29">
        <f t="shared" si="355"/>
        <v>-5.0799999999999998E-2</v>
      </c>
      <c r="I904">
        <f t="shared" si="350"/>
        <v>1266.6099999999999</v>
      </c>
      <c r="J904">
        <f>IF(A904&gt;=Quarterly!B$2,Quarterly!C$2,IF(COUNTIFS(Quarterly!B:B,"&gt;="&amp;A904-92,Quarterly!B:B,"&lt;="&amp;A904)&gt;1,SUMIFS(Quarterly!C:C,Quarterly!B:B,"&gt;="&amp;A904-88,Quarterly!B:B,"&lt;="&amp;A904),SUMIFS(Quarterly!C:C,Quarterly!B:B,"&gt;="&amp;A904-92,Quarterly!B:B,"&lt;="&amp;A904)))</f>
        <v>10508.1</v>
      </c>
      <c r="K904" s="13">
        <f t="shared" si="351"/>
        <v>0.1205</v>
      </c>
      <c r="L904">
        <f t="shared" si="353"/>
        <v>1266.6099999999999</v>
      </c>
      <c r="M904">
        <f>IF(A904&gt;=Quarterly!B$2,Quarterly!D$2,IF(COUNTIFS(Quarterly!B:B,"&gt;="&amp;A904-92,Quarterly!B:B,"&lt;="&amp;A904)&gt;1,SUMIFS(Quarterly!D:D,Quarterly!B:B,"&gt;="&amp;A904-88,Quarterly!B:B,"&lt;="&amp;A904),SUMIFS(Quarterly!D:D,Quarterly!B:B,"&gt;="&amp;A904-92,Quarterly!B:B,"&lt;="&amp;A904)))</f>
        <v>494.89299999999997</v>
      </c>
      <c r="N904" s="13">
        <f t="shared" si="354"/>
        <v>0.25594</v>
      </c>
      <c r="O904">
        <f t="shared" si="356"/>
        <v>1266.6099999999999</v>
      </c>
      <c r="P904" s="56">
        <f>VLOOKUP(EOMONTH(A904,-1),Economic!A:I,7,FALSE)</f>
        <v>837634</v>
      </c>
      <c r="Q904" s="13">
        <f t="shared" si="357"/>
        <v>0.1512</v>
      </c>
      <c r="R904" s="41">
        <v>1.07</v>
      </c>
      <c r="S904">
        <f t="shared" si="358"/>
        <v>-0.11</v>
      </c>
      <c r="T904" s="30">
        <f t="shared" si="359"/>
        <v>27.47</v>
      </c>
      <c r="U904" s="30">
        <f t="shared" si="352"/>
        <v>22.85</v>
      </c>
    </row>
    <row r="905" spans="1:21" ht="15" customHeight="1" x14ac:dyDescent="0.25">
      <c r="A905" s="5">
        <v>37010</v>
      </c>
      <c r="B905" s="5">
        <f t="shared" si="346"/>
        <v>37011</v>
      </c>
      <c r="C905">
        <v>1253.05</v>
      </c>
      <c r="D905" s="29">
        <f t="shared" si="347"/>
        <v>6.3E-2</v>
      </c>
      <c r="E905" s="39">
        <f t="shared" si="348"/>
        <v>1225.99</v>
      </c>
      <c r="F905" s="39">
        <f t="shared" si="349"/>
        <v>1339.4061538461535</v>
      </c>
      <c r="G905" s="29">
        <f t="shared" si="355"/>
        <v>2.2100000000000002E-2</v>
      </c>
      <c r="H905" s="29">
        <f t="shared" si="355"/>
        <v>-6.4500000000000002E-2</v>
      </c>
      <c r="I905">
        <f t="shared" si="350"/>
        <v>1253.05</v>
      </c>
      <c r="J905">
        <f>IF(A905&gt;=Quarterly!B$2,Quarterly!C$2,IF(COUNTIFS(Quarterly!B:B,"&gt;="&amp;A905-92,Quarterly!B:B,"&lt;="&amp;A905)&gt;1,SUMIFS(Quarterly!C:C,Quarterly!B:B,"&gt;="&amp;A905-88,Quarterly!B:B,"&lt;="&amp;A905),SUMIFS(Quarterly!C:C,Quarterly!B:B,"&gt;="&amp;A905-92,Quarterly!B:B,"&lt;="&amp;A905)))</f>
        <v>10472.299999999999</v>
      </c>
      <c r="K905" s="13">
        <f t="shared" si="351"/>
        <v>0.1197</v>
      </c>
      <c r="L905">
        <f t="shared" si="353"/>
        <v>1253.05</v>
      </c>
      <c r="M905">
        <f>IF(A905&gt;=Quarterly!B$2,Quarterly!D$2,IF(COUNTIFS(Quarterly!B:B,"&gt;="&amp;A905-92,Quarterly!B:B,"&lt;="&amp;A905)&gt;1,SUMIFS(Quarterly!D:D,Quarterly!B:B,"&gt;="&amp;A905-88,Quarterly!B:B,"&lt;="&amp;A905),SUMIFS(Quarterly!D:D,Quarterly!B:B,"&gt;="&amp;A905-92,Quarterly!B:B,"&lt;="&amp;A905)))</f>
        <v>460.19299999999998</v>
      </c>
      <c r="N905" s="13">
        <f t="shared" si="354"/>
        <v>0.27229000000000003</v>
      </c>
      <c r="O905">
        <f t="shared" si="356"/>
        <v>1253.05</v>
      </c>
      <c r="P905" s="56">
        <f>VLOOKUP(EOMONTH(A905,-1),Economic!A:I,7,FALSE)</f>
        <v>836827</v>
      </c>
      <c r="Q905" s="13">
        <f t="shared" si="357"/>
        <v>0.1497</v>
      </c>
      <c r="R905" s="41">
        <v>1.06</v>
      </c>
      <c r="S905">
        <f t="shared" si="358"/>
        <v>-0.09</v>
      </c>
      <c r="T905" s="30">
        <f t="shared" si="359"/>
        <v>21.97</v>
      </c>
      <c r="U905" s="30">
        <f t="shared" si="352"/>
        <v>23.6</v>
      </c>
    </row>
    <row r="906" spans="1:21" ht="15" customHeight="1" x14ac:dyDescent="0.25">
      <c r="A906" s="5">
        <v>37003</v>
      </c>
      <c r="B906" s="5">
        <f t="shared" si="346"/>
        <v>37011</v>
      </c>
      <c r="C906">
        <v>1242.98</v>
      </c>
      <c r="D906" s="29">
        <f t="shared" si="347"/>
        <v>7.8E-2</v>
      </c>
      <c r="E906" s="39">
        <f t="shared" si="348"/>
        <v>1233.8284615384616</v>
      </c>
      <c r="F906" s="39">
        <f t="shared" si="349"/>
        <v>1343.6841025641022</v>
      </c>
      <c r="G906" s="29">
        <f t="shared" si="355"/>
        <v>7.4000000000000003E-3</v>
      </c>
      <c r="H906" s="29">
        <f t="shared" si="355"/>
        <v>-7.4899999999999994E-2</v>
      </c>
      <c r="I906">
        <f t="shared" si="350"/>
        <v>1242.98</v>
      </c>
      <c r="J906">
        <f>IF(A906&gt;=Quarterly!B$2,Quarterly!C$2,IF(COUNTIFS(Quarterly!B:B,"&gt;="&amp;A906-92,Quarterly!B:B,"&lt;="&amp;A906)&gt;1,SUMIFS(Quarterly!C:C,Quarterly!B:B,"&gt;="&amp;A906-88,Quarterly!B:B,"&lt;="&amp;A906),SUMIFS(Quarterly!C:C,Quarterly!B:B,"&gt;="&amp;A906-92,Quarterly!B:B,"&lt;="&amp;A906)))</f>
        <v>10472.299999999999</v>
      </c>
      <c r="K906" s="13">
        <f t="shared" si="351"/>
        <v>0.1187</v>
      </c>
      <c r="L906">
        <f t="shared" si="353"/>
        <v>1242.98</v>
      </c>
      <c r="M906">
        <f>IF(A906&gt;=Quarterly!B$2,Quarterly!D$2,IF(COUNTIFS(Quarterly!B:B,"&gt;="&amp;A906-92,Quarterly!B:B,"&lt;="&amp;A906)&gt;1,SUMIFS(Quarterly!D:D,Quarterly!B:B,"&gt;="&amp;A906-88,Quarterly!B:B,"&lt;="&amp;A906),SUMIFS(Quarterly!D:D,Quarterly!B:B,"&gt;="&amp;A906-92,Quarterly!B:B,"&lt;="&amp;A906)))</f>
        <v>460.19299999999998</v>
      </c>
      <c r="N906" s="13">
        <f t="shared" si="354"/>
        <v>0.27010000000000001</v>
      </c>
      <c r="O906">
        <f t="shared" si="356"/>
        <v>1242.98</v>
      </c>
      <c r="P906" s="56">
        <f>VLOOKUP(EOMONTH(A906,-1),Economic!A:I,7,FALSE)</f>
        <v>836827</v>
      </c>
      <c r="Q906" s="13">
        <f t="shared" si="357"/>
        <v>0.14849999999999999</v>
      </c>
      <c r="R906" s="41">
        <v>1.03</v>
      </c>
      <c r="S906">
        <f t="shared" si="358"/>
        <v>-0.17</v>
      </c>
      <c r="T906" s="30">
        <f t="shared" si="359"/>
        <v>19.100000000000001</v>
      </c>
      <c r="U906" s="30">
        <f t="shared" si="352"/>
        <v>26.94</v>
      </c>
    </row>
    <row r="907" spans="1:21" ht="15" customHeight="1" x14ac:dyDescent="0.25">
      <c r="A907" s="5">
        <v>36996</v>
      </c>
      <c r="B907" s="5">
        <f t="shared" si="346"/>
        <v>37011</v>
      </c>
      <c r="C907">
        <v>1183.5</v>
      </c>
      <c r="D907" s="29">
        <f t="shared" si="347"/>
        <v>3.3799999999999997E-2</v>
      </c>
      <c r="E907" s="39">
        <f t="shared" si="348"/>
        <v>1241.4869230769232</v>
      </c>
      <c r="F907" s="39">
        <f t="shared" si="349"/>
        <v>1349.7664102564102</v>
      </c>
      <c r="G907" s="29">
        <f t="shared" si="355"/>
        <v>-4.6699999999999998E-2</v>
      </c>
      <c r="H907" s="29">
        <f t="shared" si="355"/>
        <v>-0.1232</v>
      </c>
      <c r="I907">
        <f t="shared" si="350"/>
        <v>1183.5</v>
      </c>
      <c r="J907">
        <f>IF(A907&gt;=Quarterly!B$2,Quarterly!C$2,IF(COUNTIFS(Quarterly!B:B,"&gt;="&amp;A907-92,Quarterly!B:B,"&lt;="&amp;A907)&gt;1,SUMIFS(Quarterly!C:C,Quarterly!B:B,"&gt;="&amp;A907-88,Quarterly!B:B,"&lt;="&amp;A907),SUMIFS(Quarterly!C:C,Quarterly!B:B,"&gt;="&amp;A907-92,Quarterly!B:B,"&lt;="&amp;A907)))</f>
        <v>10472.299999999999</v>
      </c>
      <c r="K907" s="13">
        <f t="shared" si="351"/>
        <v>0.113</v>
      </c>
      <c r="L907">
        <f t="shared" si="353"/>
        <v>1183.5</v>
      </c>
      <c r="M907">
        <f>IF(A907&gt;=Quarterly!B$2,Quarterly!D$2,IF(COUNTIFS(Quarterly!B:B,"&gt;="&amp;A907-92,Quarterly!B:B,"&lt;="&amp;A907)&gt;1,SUMIFS(Quarterly!D:D,Quarterly!B:B,"&gt;="&amp;A907-88,Quarterly!B:B,"&lt;="&amp;A907),SUMIFS(Quarterly!D:D,Quarterly!B:B,"&gt;="&amp;A907-92,Quarterly!B:B,"&lt;="&amp;A907)))</f>
        <v>460.19299999999998</v>
      </c>
      <c r="N907" s="13">
        <f t="shared" si="354"/>
        <v>0.25717000000000001</v>
      </c>
      <c r="O907">
        <f t="shared" si="356"/>
        <v>1183.5</v>
      </c>
      <c r="P907" s="56">
        <f>VLOOKUP(EOMONTH(A907,-1),Economic!A:I,7,FALSE)</f>
        <v>836827</v>
      </c>
      <c r="Q907" s="13">
        <f t="shared" si="357"/>
        <v>0.1414</v>
      </c>
      <c r="R907" s="41">
        <v>0.81</v>
      </c>
      <c r="S907">
        <f t="shared" si="358"/>
        <v>-0.02</v>
      </c>
      <c r="T907" s="30">
        <f t="shared" si="359"/>
        <v>29.74</v>
      </c>
      <c r="U907" s="30">
        <f t="shared" si="352"/>
        <v>31.15</v>
      </c>
    </row>
    <row r="908" spans="1:21" ht="15" customHeight="1" x14ac:dyDescent="0.25">
      <c r="A908" s="5">
        <v>36989</v>
      </c>
      <c r="B908" s="5">
        <f t="shared" si="346"/>
        <v>37011</v>
      </c>
      <c r="C908">
        <v>1128.43</v>
      </c>
      <c r="D908" s="29">
        <f t="shared" si="347"/>
        <v>-3.6400000000000002E-2</v>
      </c>
      <c r="E908" s="39">
        <f t="shared" si="348"/>
        <v>1251.8753846153847</v>
      </c>
      <c r="F908" s="39">
        <f t="shared" si="349"/>
        <v>1358.1376923076921</v>
      </c>
      <c r="G908" s="29">
        <f t="shared" si="355"/>
        <v>-9.8599999999999993E-2</v>
      </c>
      <c r="H908" s="29">
        <f t="shared" si="355"/>
        <v>-0.1691</v>
      </c>
      <c r="I908">
        <f t="shared" si="350"/>
        <v>1128.43</v>
      </c>
      <c r="J908">
        <f>IF(A908&gt;=Quarterly!B$2,Quarterly!C$2,IF(COUNTIFS(Quarterly!B:B,"&gt;="&amp;A908-92,Quarterly!B:B,"&lt;="&amp;A908)&gt;1,SUMIFS(Quarterly!C:C,Quarterly!B:B,"&gt;="&amp;A908-88,Quarterly!B:B,"&lt;="&amp;A908),SUMIFS(Quarterly!C:C,Quarterly!B:B,"&gt;="&amp;A908-92,Quarterly!B:B,"&lt;="&amp;A908)))</f>
        <v>10472.299999999999</v>
      </c>
      <c r="K908" s="13">
        <f t="shared" si="351"/>
        <v>0.10780000000000001</v>
      </c>
      <c r="L908">
        <f t="shared" si="353"/>
        <v>1128.43</v>
      </c>
      <c r="M908">
        <f>IF(A908&gt;=Quarterly!B$2,Quarterly!D$2,IF(COUNTIFS(Quarterly!B:B,"&gt;="&amp;A908-92,Quarterly!B:B,"&lt;="&amp;A908)&gt;1,SUMIFS(Quarterly!D:D,Quarterly!B:B,"&gt;="&amp;A908-88,Quarterly!B:B,"&lt;="&amp;A908),SUMIFS(Quarterly!D:D,Quarterly!B:B,"&gt;="&amp;A908-92,Quarterly!B:B,"&lt;="&amp;A908)))</f>
        <v>460.19299999999998</v>
      </c>
      <c r="N908" s="13">
        <f t="shared" si="354"/>
        <v>0.24521000000000004</v>
      </c>
      <c r="O908">
        <f t="shared" si="356"/>
        <v>1128.43</v>
      </c>
      <c r="P908" s="56">
        <f>VLOOKUP(EOMONTH(A908,-1),Economic!A:I,7,FALSE)</f>
        <v>836827</v>
      </c>
      <c r="Q908" s="13">
        <f t="shared" si="357"/>
        <v>0.1348</v>
      </c>
      <c r="R908" s="41">
        <v>0.82</v>
      </c>
      <c r="S908">
        <f t="shared" si="358"/>
        <v>-0.1</v>
      </c>
      <c r="T908" s="30">
        <f t="shared" si="359"/>
        <v>31.98</v>
      </c>
      <c r="U908" s="30">
        <f t="shared" si="352"/>
        <v>34.450000000000003</v>
      </c>
    </row>
    <row r="909" spans="1:21" ht="15" customHeight="1" x14ac:dyDescent="0.25">
      <c r="A909" s="5">
        <v>36982</v>
      </c>
      <c r="B909" s="5">
        <f t="shared" si="346"/>
        <v>37011</v>
      </c>
      <c r="C909">
        <v>1160.33</v>
      </c>
      <c r="D909" s="29">
        <f t="shared" si="347"/>
        <v>-2.4500000000000001E-2</v>
      </c>
      <c r="E909" s="39">
        <f t="shared" si="348"/>
        <v>1264.9461538461537</v>
      </c>
      <c r="F909" s="39">
        <f t="shared" si="349"/>
        <v>1367.1241025641025</v>
      </c>
      <c r="G909" s="29">
        <f t="shared" si="355"/>
        <v>-8.2699999999999996E-2</v>
      </c>
      <c r="H909" s="29">
        <f t="shared" si="355"/>
        <v>-0.15129999999999999</v>
      </c>
      <c r="I909">
        <f t="shared" si="350"/>
        <v>1160.33</v>
      </c>
      <c r="J909">
        <f>IF(A909&gt;=Quarterly!B$2,Quarterly!C$2,IF(COUNTIFS(Quarterly!B:B,"&gt;="&amp;A909-92,Quarterly!B:B,"&lt;="&amp;A909)&gt;1,SUMIFS(Quarterly!C:C,Quarterly!B:B,"&gt;="&amp;A909-88,Quarterly!B:B,"&lt;="&amp;A909),SUMIFS(Quarterly!C:C,Quarterly!B:B,"&gt;="&amp;A909-92,Quarterly!B:B,"&lt;="&amp;A909)))</f>
        <v>10472.299999999999</v>
      </c>
      <c r="K909" s="13">
        <f t="shared" si="351"/>
        <v>0.1108</v>
      </c>
      <c r="L909">
        <f t="shared" si="353"/>
        <v>1160.33</v>
      </c>
      <c r="M909">
        <f>IF(A909&gt;=Quarterly!B$2,Quarterly!D$2,IF(COUNTIFS(Quarterly!B:B,"&gt;="&amp;A909-92,Quarterly!B:B,"&lt;="&amp;A909)&gt;1,SUMIFS(Quarterly!D:D,Quarterly!B:B,"&gt;="&amp;A909-88,Quarterly!B:B,"&lt;="&amp;A909),SUMIFS(Quarterly!D:D,Quarterly!B:B,"&gt;="&amp;A909-92,Quarterly!B:B,"&lt;="&amp;A909)))</f>
        <v>460.19299999999998</v>
      </c>
      <c r="N909" s="13">
        <f t="shared" si="354"/>
        <v>0.25213999999999998</v>
      </c>
      <c r="O909">
        <f t="shared" si="356"/>
        <v>1160.33</v>
      </c>
      <c r="P909" s="56">
        <f>VLOOKUP(EOMONTH(A909,-1),Economic!A:I,7,FALSE)</f>
        <v>836827</v>
      </c>
      <c r="Q909" s="13">
        <f t="shared" si="357"/>
        <v>0.13869999999999999</v>
      </c>
      <c r="R909" s="41">
        <v>0.75</v>
      </c>
      <c r="S909">
        <f t="shared" si="358"/>
        <v>0.08</v>
      </c>
      <c r="T909" s="30">
        <f t="shared" si="359"/>
        <v>31.72</v>
      </c>
      <c r="U909" s="30">
        <f t="shared" si="352"/>
        <v>35.159999999999997</v>
      </c>
    </row>
    <row r="910" spans="1:21" ht="15" customHeight="1" x14ac:dyDescent="0.25">
      <c r="A910" s="5">
        <v>36975</v>
      </c>
      <c r="B910" s="5">
        <f t="shared" si="346"/>
        <v>36981</v>
      </c>
      <c r="C910">
        <v>1139.83</v>
      </c>
      <c r="D910" s="29">
        <f t="shared" si="347"/>
        <v>-6.2600000000000003E-2</v>
      </c>
      <c r="E910" s="39">
        <f t="shared" si="348"/>
        <v>1277.25</v>
      </c>
      <c r="F910" s="39">
        <f t="shared" si="349"/>
        <v>1374.6694871794871</v>
      </c>
      <c r="G910" s="29">
        <f t="shared" si="355"/>
        <v>-0.1076</v>
      </c>
      <c r="H910" s="29">
        <f t="shared" si="355"/>
        <v>-0.17080000000000001</v>
      </c>
      <c r="I910">
        <f t="shared" si="350"/>
        <v>1139.83</v>
      </c>
      <c r="J910">
        <f>IF(A910&gt;=Quarterly!B$2,Quarterly!C$2,IF(COUNTIFS(Quarterly!B:B,"&gt;="&amp;A910-92,Quarterly!B:B,"&lt;="&amp;A910)&gt;1,SUMIFS(Quarterly!C:C,Quarterly!B:B,"&gt;="&amp;A910-88,Quarterly!B:B,"&lt;="&amp;A910),SUMIFS(Quarterly!C:C,Quarterly!B:B,"&gt;="&amp;A910-92,Quarterly!B:B,"&lt;="&amp;A910)))</f>
        <v>10472.299999999999</v>
      </c>
      <c r="K910" s="13">
        <f t="shared" si="351"/>
        <v>0.10879999999999999</v>
      </c>
      <c r="L910">
        <f t="shared" si="353"/>
        <v>1139.83</v>
      </c>
      <c r="M910">
        <f>IF(A910&gt;=Quarterly!B$2,Quarterly!D$2,IF(COUNTIFS(Quarterly!B:B,"&gt;="&amp;A910-92,Quarterly!B:B,"&lt;="&amp;A910)&gt;1,SUMIFS(Quarterly!D:D,Quarterly!B:B,"&gt;="&amp;A910-88,Quarterly!B:B,"&lt;="&amp;A910),SUMIFS(Quarterly!D:D,Quarterly!B:B,"&gt;="&amp;A910-92,Quarterly!B:B,"&lt;="&amp;A910)))</f>
        <v>460.19299999999998</v>
      </c>
      <c r="N910" s="13">
        <f t="shared" si="354"/>
        <v>0.24769000000000002</v>
      </c>
      <c r="O910">
        <f t="shared" si="356"/>
        <v>1139.83</v>
      </c>
      <c r="P910" s="56">
        <f>VLOOKUP(EOMONTH(A910,-1),Economic!A:I,7,FALSE)</f>
        <v>838206</v>
      </c>
      <c r="Q910" s="13">
        <f t="shared" si="357"/>
        <v>0.13600000000000001</v>
      </c>
      <c r="R910" s="41">
        <v>0.56000000000000005</v>
      </c>
      <c r="S910">
        <f t="shared" si="358"/>
        <v>0.31</v>
      </c>
      <c r="T910" s="30">
        <f t="shared" si="359"/>
        <v>39.659999999999997</v>
      </c>
      <c r="U910" s="30">
        <f t="shared" si="352"/>
        <v>31.3</v>
      </c>
    </row>
    <row r="911" spans="1:21" ht="15" customHeight="1" x14ac:dyDescent="0.25">
      <c r="A911" s="5">
        <v>36968</v>
      </c>
      <c r="B911" s="5">
        <f t="shared" si="346"/>
        <v>36981</v>
      </c>
      <c r="C911">
        <v>1150.53</v>
      </c>
      <c r="D911" s="29">
        <f t="shared" si="347"/>
        <v>-8.2299999999999998E-2</v>
      </c>
      <c r="E911" s="39">
        <f t="shared" si="348"/>
        <v>1290.0284615384617</v>
      </c>
      <c r="F911" s="39">
        <f t="shared" si="349"/>
        <v>1382.4041025641027</v>
      </c>
      <c r="G911" s="29">
        <f t="shared" si="355"/>
        <v>-0.1081</v>
      </c>
      <c r="H911" s="29">
        <f t="shared" si="355"/>
        <v>-0.16769999999999999</v>
      </c>
      <c r="I911">
        <f t="shared" si="350"/>
        <v>1150.53</v>
      </c>
      <c r="J911">
        <f>IF(A911&gt;=Quarterly!B$2,Quarterly!C$2,IF(COUNTIFS(Quarterly!B:B,"&gt;="&amp;A911-92,Quarterly!B:B,"&lt;="&amp;A911)&gt;1,SUMIFS(Quarterly!C:C,Quarterly!B:B,"&gt;="&amp;A911-88,Quarterly!B:B,"&lt;="&amp;A911),SUMIFS(Quarterly!C:C,Quarterly!B:B,"&gt;="&amp;A911-92,Quarterly!B:B,"&lt;="&amp;A911)))</f>
        <v>10472.299999999999</v>
      </c>
      <c r="K911" s="13">
        <f t="shared" si="351"/>
        <v>0.1099</v>
      </c>
      <c r="L911">
        <f t="shared" si="353"/>
        <v>1150.53</v>
      </c>
      <c r="M911">
        <f>IF(A911&gt;=Quarterly!B$2,Quarterly!D$2,IF(COUNTIFS(Quarterly!B:B,"&gt;="&amp;A911-92,Quarterly!B:B,"&lt;="&amp;A911)&gt;1,SUMIFS(Quarterly!D:D,Quarterly!B:B,"&gt;="&amp;A911-88,Quarterly!B:B,"&lt;="&amp;A911),SUMIFS(Quarterly!D:D,Quarterly!B:B,"&gt;="&amp;A911-92,Quarterly!B:B,"&lt;="&amp;A911)))</f>
        <v>460.19299999999998</v>
      </c>
      <c r="N911" s="13">
        <f t="shared" si="354"/>
        <v>0.25001000000000001</v>
      </c>
      <c r="O911">
        <f t="shared" si="356"/>
        <v>1150.53</v>
      </c>
      <c r="P911" s="56">
        <f>VLOOKUP(EOMONTH(A911,-1),Economic!A:I,7,FALSE)</f>
        <v>838206</v>
      </c>
      <c r="Q911" s="13">
        <f t="shared" si="357"/>
        <v>0.13730000000000001</v>
      </c>
      <c r="R911" s="41">
        <v>0.52</v>
      </c>
      <c r="S911">
        <f t="shared" si="358"/>
        <v>0.25</v>
      </c>
      <c r="T911" s="30">
        <f t="shared" si="359"/>
        <v>34.1</v>
      </c>
      <c r="U911" s="30">
        <f t="shared" si="352"/>
        <v>24.12</v>
      </c>
    </row>
    <row r="912" spans="1:21" ht="15" customHeight="1" x14ac:dyDescent="0.25">
      <c r="A912" s="5">
        <v>36961</v>
      </c>
      <c r="B912" s="5">
        <f t="shared" si="346"/>
        <v>36981</v>
      </c>
      <c r="C912">
        <v>1233.42</v>
      </c>
      <c r="D912" s="29">
        <f t="shared" si="347"/>
        <v>-3.1899999999999998E-2</v>
      </c>
      <c r="E912" s="39">
        <f t="shared" si="348"/>
        <v>1302.4607692307693</v>
      </c>
      <c r="F912" s="39">
        <f t="shared" si="349"/>
        <v>1390.4535897435896</v>
      </c>
      <c r="G912" s="29">
        <f t="shared" si="355"/>
        <v>-5.2999999999999999E-2</v>
      </c>
      <c r="H912" s="29">
        <f t="shared" si="355"/>
        <v>-0.1129</v>
      </c>
      <c r="I912">
        <f t="shared" si="350"/>
        <v>1233.42</v>
      </c>
      <c r="J912">
        <f>IF(A912&gt;=Quarterly!B$2,Quarterly!C$2,IF(COUNTIFS(Quarterly!B:B,"&gt;="&amp;A912-92,Quarterly!B:B,"&lt;="&amp;A912)&gt;1,SUMIFS(Quarterly!C:C,Quarterly!B:B,"&gt;="&amp;A912-88,Quarterly!B:B,"&lt;="&amp;A912),SUMIFS(Quarterly!C:C,Quarterly!B:B,"&gt;="&amp;A912-92,Quarterly!B:B,"&lt;="&amp;A912)))</f>
        <v>10472.299999999999</v>
      </c>
      <c r="K912" s="13">
        <f t="shared" si="351"/>
        <v>0.1178</v>
      </c>
      <c r="L912">
        <f t="shared" si="353"/>
        <v>1233.42</v>
      </c>
      <c r="M912">
        <f>IF(A912&gt;=Quarterly!B$2,Quarterly!D$2,IF(COUNTIFS(Quarterly!B:B,"&gt;="&amp;A912-92,Quarterly!B:B,"&lt;="&amp;A912)&gt;1,SUMIFS(Quarterly!D:D,Quarterly!B:B,"&gt;="&amp;A912-88,Quarterly!B:B,"&lt;="&amp;A912),SUMIFS(Quarterly!D:D,Quarterly!B:B,"&gt;="&amp;A912-92,Quarterly!B:B,"&lt;="&amp;A912)))</f>
        <v>460.19299999999998</v>
      </c>
      <c r="N912" s="13">
        <f t="shared" si="354"/>
        <v>0.26802000000000004</v>
      </c>
      <c r="O912">
        <f t="shared" si="356"/>
        <v>1233.42</v>
      </c>
      <c r="P912" s="56">
        <f>VLOOKUP(EOMONTH(A912,-1),Economic!A:I,7,FALSE)</f>
        <v>838206</v>
      </c>
      <c r="Q912" s="13">
        <f t="shared" si="357"/>
        <v>0.14710000000000001</v>
      </c>
      <c r="R912" s="41">
        <v>0.48</v>
      </c>
      <c r="S912">
        <f t="shared" si="358"/>
        <v>0.21</v>
      </c>
      <c r="T912" s="30">
        <f t="shared" si="359"/>
        <v>20.13</v>
      </c>
      <c r="U912" s="30">
        <f t="shared" si="352"/>
        <v>17.57</v>
      </c>
    </row>
    <row r="913" spans="1:21" ht="15" customHeight="1" x14ac:dyDescent="0.25">
      <c r="A913" s="5">
        <v>36954</v>
      </c>
      <c r="B913" s="5">
        <f t="shared" si="346"/>
        <v>36981</v>
      </c>
      <c r="C913">
        <v>1234.18</v>
      </c>
      <c r="D913" s="29">
        <f t="shared" si="347"/>
        <v>-5.2699999999999997E-2</v>
      </c>
      <c r="E913" s="39">
        <f t="shared" si="348"/>
        <v>1312.9584615384617</v>
      </c>
      <c r="F913" s="39">
        <f t="shared" si="349"/>
        <v>1396.185128205128</v>
      </c>
      <c r="G913" s="29">
        <f t="shared" si="355"/>
        <v>-0.06</v>
      </c>
      <c r="H913" s="29">
        <f t="shared" si="355"/>
        <v>-0.11600000000000001</v>
      </c>
      <c r="I913">
        <f t="shared" si="350"/>
        <v>1234.18</v>
      </c>
      <c r="J913">
        <f>IF(A913&gt;=Quarterly!B$2,Quarterly!C$2,IF(COUNTIFS(Quarterly!B:B,"&gt;="&amp;A913-92,Quarterly!B:B,"&lt;="&amp;A913)&gt;1,SUMIFS(Quarterly!C:C,Quarterly!B:B,"&gt;="&amp;A913-88,Quarterly!B:B,"&lt;="&amp;A913),SUMIFS(Quarterly!C:C,Quarterly!B:B,"&gt;="&amp;A913-92,Quarterly!B:B,"&lt;="&amp;A913)))</f>
        <v>10472.299999999999</v>
      </c>
      <c r="K913" s="13">
        <f t="shared" si="351"/>
        <v>0.1179</v>
      </c>
      <c r="L913">
        <f t="shared" si="353"/>
        <v>1234.18</v>
      </c>
      <c r="M913">
        <f>IF(A913&gt;=Quarterly!B$2,Quarterly!D$2,IF(COUNTIFS(Quarterly!B:B,"&gt;="&amp;A913-92,Quarterly!B:B,"&lt;="&amp;A913)&gt;1,SUMIFS(Quarterly!D:D,Quarterly!B:B,"&gt;="&amp;A913-88,Quarterly!B:B,"&lt;="&amp;A913),SUMIFS(Quarterly!D:D,Quarterly!B:B,"&gt;="&amp;A913-92,Quarterly!B:B,"&lt;="&amp;A913)))</f>
        <v>460.19299999999998</v>
      </c>
      <c r="N913" s="13">
        <f t="shared" si="354"/>
        <v>0.26819000000000004</v>
      </c>
      <c r="O913">
        <f t="shared" si="356"/>
        <v>1234.18</v>
      </c>
      <c r="P913" s="56">
        <f>VLOOKUP(EOMONTH(A913,-1),Economic!A:I,7,FALSE)</f>
        <v>838206</v>
      </c>
      <c r="Q913" s="13">
        <f t="shared" si="357"/>
        <v>0.1472</v>
      </c>
      <c r="R913" s="41">
        <v>0.47</v>
      </c>
      <c r="S913">
        <f t="shared" si="358"/>
        <v>0.21</v>
      </c>
      <c r="T913" s="30">
        <f t="shared" si="359"/>
        <v>18.14</v>
      </c>
      <c r="U913" s="30">
        <f t="shared" si="352"/>
        <v>12.57</v>
      </c>
    </row>
    <row r="914" spans="1:21" ht="15" customHeight="1" x14ac:dyDescent="0.25">
      <c r="A914" s="5">
        <v>36947</v>
      </c>
      <c r="B914" s="5">
        <f t="shared" ref="B914:B977" si="360">EOMONTH(A914,0)</f>
        <v>36950</v>
      </c>
      <c r="C914">
        <v>1245.8599999999999</v>
      </c>
      <c r="D914" s="29">
        <f t="shared" ref="D914:D977" si="361">ROUND((C914-AVERAGE(C915:C918))/AVERAGE(C915:C918),4)</f>
        <v>-6.3399999999999998E-2</v>
      </c>
      <c r="E914" s="39">
        <f t="shared" ref="E914:E977" si="362">AVERAGE(C914:C926)</f>
        <v>1319.1930769230771</v>
      </c>
      <c r="F914" s="39">
        <f t="shared" ref="F914:F977" si="363">AVERAGE(C914:C952)</f>
        <v>1402.4179487179488</v>
      </c>
      <c r="G914" s="29">
        <f t="shared" si="355"/>
        <v>-5.5599999999999997E-2</v>
      </c>
      <c r="H914" s="29">
        <f t="shared" si="355"/>
        <v>-0.1116</v>
      </c>
      <c r="I914">
        <f t="shared" ref="I914:I977" si="364">C914</f>
        <v>1245.8599999999999</v>
      </c>
      <c r="J914">
        <f>IF(A914&gt;=Quarterly!B$2,Quarterly!C$2,IF(COUNTIFS(Quarterly!B:B,"&gt;="&amp;A914-92,Quarterly!B:B,"&lt;="&amp;A914)&gt;1,SUMIFS(Quarterly!C:C,Quarterly!B:B,"&gt;="&amp;A914-88,Quarterly!B:B,"&lt;="&amp;A914),SUMIFS(Quarterly!C:C,Quarterly!B:B,"&gt;="&amp;A914-92,Quarterly!B:B,"&lt;="&amp;A914)))</f>
        <v>10472.299999999999</v>
      </c>
      <c r="K914" s="13">
        <f t="shared" ref="K914:K977" si="365">ROUND(I914/J914,4)</f>
        <v>0.11899999999999999</v>
      </c>
      <c r="L914">
        <f t="shared" si="353"/>
        <v>1245.8599999999999</v>
      </c>
      <c r="M914">
        <f>IF(A914&gt;=Quarterly!B$2,Quarterly!D$2,IF(COUNTIFS(Quarterly!B:B,"&gt;="&amp;A914-92,Quarterly!B:B,"&lt;="&amp;A914)&gt;1,SUMIFS(Quarterly!D:D,Quarterly!B:B,"&gt;="&amp;A914-88,Quarterly!B:B,"&lt;="&amp;A914),SUMIFS(Quarterly!D:D,Quarterly!B:B,"&gt;="&amp;A914-92,Quarterly!B:B,"&lt;="&amp;A914)))</f>
        <v>460.19299999999998</v>
      </c>
      <c r="N914" s="13">
        <f t="shared" si="354"/>
        <v>0.27073000000000003</v>
      </c>
      <c r="O914">
        <f t="shared" si="356"/>
        <v>1245.8599999999999</v>
      </c>
      <c r="P914" s="56">
        <f>VLOOKUP(EOMONTH(A914,-1),Economic!A:I,7,FALSE)</f>
        <v>839419</v>
      </c>
      <c r="Q914" s="13">
        <f t="shared" si="357"/>
        <v>0.1484</v>
      </c>
      <c r="R914" s="41">
        <v>0.56999999999999995</v>
      </c>
      <c r="S914">
        <f t="shared" si="358"/>
        <v>0.17</v>
      </c>
      <c r="T914" s="30">
        <f t="shared" si="359"/>
        <v>14.43</v>
      </c>
      <c r="U914" s="30">
        <f t="shared" ref="U914:U977" si="366">ROUND(AVERAGE(T914:T916),2)</f>
        <v>7.4</v>
      </c>
    </row>
    <row r="915" spans="1:21" ht="15" customHeight="1" x14ac:dyDescent="0.25">
      <c r="A915" s="5">
        <v>36940</v>
      </c>
      <c r="B915" s="5">
        <f t="shared" si="360"/>
        <v>36950</v>
      </c>
      <c r="C915">
        <v>1301.53</v>
      </c>
      <c r="D915" s="29">
        <f t="shared" si="361"/>
        <v>-2.9000000000000001E-2</v>
      </c>
      <c r="E915" s="39">
        <f t="shared" si="362"/>
        <v>1326.5707692307692</v>
      </c>
      <c r="F915" s="39">
        <f t="shared" si="363"/>
        <v>1405.8066666666666</v>
      </c>
      <c r="G915" s="29">
        <f t="shared" si="355"/>
        <v>-1.89E-2</v>
      </c>
      <c r="H915" s="29">
        <f t="shared" si="355"/>
        <v>-7.4200000000000002E-2</v>
      </c>
      <c r="I915">
        <f t="shared" si="364"/>
        <v>1301.53</v>
      </c>
      <c r="J915">
        <f>IF(A915&gt;=Quarterly!B$2,Quarterly!C$2,IF(COUNTIFS(Quarterly!B:B,"&gt;="&amp;A915-92,Quarterly!B:B,"&lt;="&amp;A915)&gt;1,SUMIFS(Quarterly!C:C,Quarterly!B:B,"&gt;="&amp;A915-88,Quarterly!B:B,"&lt;="&amp;A915),SUMIFS(Quarterly!C:C,Quarterly!B:B,"&gt;="&amp;A915-92,Quarterly!B:B,"&lt;="&amp;A915)))</f>
        <v>10472.299999999999</v>
      </c>
      <c r="K915" s="13">
        <f t="shared" si="365"/>
        <v>0.12429999999999999</v>
      </c>
      <c r="L915">
        <f t="shared" si="353"/>
        <v>1301.53</v>
      </c>
      <c r="M915">
        <f>IF(A915&gt;=Quarterly!B$2,Quarterly!D$2,IF(COUNTIFS(Quarterly!B:B,"&gt;="&amp;A915-92,Quarterly!B:B,"&lt;="&amp;A915)&gt;1,SUMIFS(Quarterly!D:D,Quarterly!B:B,"&gt;="&amp;A915-88,Quarterly!B:B,"&lt;="&amp;A915),SUMIFS(Quarterly!D:D,Quarterly!B:B,"&gt;="&amp;A915-92,Quarterly!B:B,"&lt;="&amp;A915)))</f>
        <v>460.19299999999998</v>
      </c>
      <c r="N915" s="13">
        <f t="shared" si="354"/>
        <v>0.28282000000000002</v>
      </c>
      <c r="O915">
        <f t="shared" si="356"/>
        <v>1301.53</v>
      </c>
      <c r="P915" s="56">
        <f>VLOOKUP(EOMONTH(A915,-1),Economic!A:I,7,FALSE)</f>
        <v>839419</v>
      </c>
      <c r="Q915" s="13">
        <f t="shared" si="357"/>
        <v>0.15510000000000002</v>
      </c>
      <c r="R915" s="41">
        <v>0.36</v>
      </c>
      <c r="S915">
        <f t="shared" si="358"/>
        <v>0.15</v>
      </c>
      <c r="T915" s="30">
        <f t="shared" si="359"/>
        <v>5.14</v>
      </c>
      <c r="U915" s="30">
        <f t="shared" si="366"/>
        <v>2.59</v>
      </c>
    </row>
    <row r="916" spans="1:21" ht="15" customHeight="1" x14ac:dyDescent="0.25">
      <c r="A916" s="5">
        <v>36933</v>
      </c>
      <c r="B916" s="5">
        <f t="shared" si="360"/>
        <v>36950</v>
      </c>
      <c r="C916">
        <v>1314.76</v>
      </c>
      <c r="D916" s="29">
        <f t="shared" si="361"/>
        <v>-1.9800000000000002E-2</v>
      </c>
      <c r="E916" s="39">
        <f t="shared" si="362"/>
        <v>1331.6623076923076</v>
      </c>
      <c r="F916" s="39">
        <f t="shared" si="363"/>
        <v>1408.5097435897435</v>
      </c>
      <c r="G916" s="29">
        <f t="shared" si="355"/>
        <v>-1.2699999999999999E-2</v>
      </c>
      <c r="H916" s="29">
        <f t="shared" si="355"/>
        <v>-6.6600000000000006E-2</v>
      </c>
      <c r="I916">
        <f t="shared" si="364"/>
        <v>1314.76</v>
      </c>
      <c r="J916">
        <f>IF(A916&gt;=Quarterly!B$2,Quarterly!C$2,IF(COUNTIFS(Quarterly!B:B,"&gt;="&amp;A916-92,Quarterly!B:B,"&lt;="&amp;A916)&gt;1,SUMIFS(Quarterly!C:C,Quarterly!B:B,"&gt;="&amp;A916-88,Quarterly!B:B,"&lt;="&amp;A916),SUMIFS(Quarterly!C:C,Quarterly!B:B,"&gt;="&amp;A916-92,Quarterly!B:B,"&lt;="&amp;A916)))</f>
        <v>10472.299999999999</v>
      </c>
      <c r="K916" s="13">
        <f t="shared" si="365"/>
        <v>0.1255</v>
      </c>
      <c r="L916">
        <f t="shared" si="353"/>
        <v>1314.76</v>
      </c>
      <c r="M916">
        <f>IF(A916&gt;=Quarterly!B$2,Quarterly!D$2,IF(COUNTIFS(Quarterly!B:B,"&gt;="&amp;A916-92,Quarterly!B:B,"&lt;="&amp;A916)&gt;1,SUMIFS(Quarterly!D:D,Quarterly!B:B,"&gt;="&amp;A916-88,Quarterly!B:B,"&lt;="&amp;A916),SUMIFS(Quarterly!D:D,Quarterly!B:B,"&gt;="&amp;A916-92,Quarterly!B:B,"&lt;="&amp;A916)))</f>
        <v>460.19299999999998</v>
      </c>
      <c r="N916" s="13">
        <f t="shared" si="354"/>
        <v>0.28570000000000001</v>
      </c>
      <c r="O916">
        <f t="shared" si="356"/>
        <v>1314.76</v>
      </c>
      <c r="P916" s="56">
        <f>VLOOKUP(EOMONTH(A916,-1),Economic!A:I,7,FALSE)</f>
        <v>839419</v>
      </c>
      <c r="Q916" s="13">
        <f t="shared" si="357"/>
        <v>0.15659999999999999</v>
      </c>
      <c r="R916" s="41">
        <v>0.36</v>
      </c>
      <c r="S916">
        <f t="shared" si="358"/>
        <v>0.15</v>
      </c>
      <c r="T916" s="30">
        <f t="shared" si="359"/>
        <v>2.62</v>
      </c>
      <c r="U916" s="30">
        <f t="shared" si="366"/>
        <v>0.87</v>
      </c>
    </row>
    <row r="917" spans="1:21" ht="15" customHeight="1" x14ac:dyDescent="0.25">
      <c r="A917" s="5">
        <v>36926</v>
      </c>
      <c r="B917" s="5">
        <f t="shared" si="360"/>
        <v>36950</v>
      </c>
      <c r="C917">
        <v>1349.47</v>
      </c>
      <c r="D917" s="29">
        <f t="shared" si="361"/>
        <v>1.5699999999999999E-2</v>
      </c>
      <c r="E917" s="39">
        <f t="shared" si="362"/>
        <v>1335.6023076923075</v>
      </c>
      <c r="F917" s="39">
        <f t="shared" si="363"/>
        <v>1411.2328205128204</v>
      </c>
      <c r="G917" s="29">
        <f t="shared" si="355"/>
        <v>1.04E-2</v>
      </c>
      <c r="H917" s="29">
        <f t="shared" si="355"/>
        <v>-4.3799999999999999E-2</v>
      </c>
      <c r="I917">
        <f t="shared" si="364"/>
        <v>1349.47</v>
      </c>
      <c r="J917">
        <f>IF(A917&gt;=Quarterly!B$2,Quarterly!C$2,IF(COUNTIFS(Quarterly!B:B,"&gt;="&amp;A917-92,Quarterly!B:B,"&lt;="&amp;A917)&gt;1,SUMIFS(Quarterly!C:C,Quarterly!B:B,"&gt;="&amp;A917-88,Quarterly!B:B,"&lt;="&amp;A917),SUMIFS(Quarterly!C:C,Quarterly!B:B,"&gt;="&amp;A917-92,Quarterly!B:B,"&lt;="&amp;A917)))</f>
        <v>10472.299999999999</v>
      </c>
      <c r="K917" s="13">
        <f t="shared" si="365"/>
        <v>0.12889999999999999</v>
      </c>
      <c r="L917">
        <f t="shared" si="353"/>
        <v>1349.47</v>
      </c>
      <c r="M917">
        <f>IF(A917&gt;=Quarterly!B$2,Quarterly!D$2,IF(COUNTIFS(Quarterly!B:B,"&gt;="&amp;A917-92,Quarterly!B:B,"&lt;="&amp;A917)&gt;1,SUMIFS(Quarterly!D:D,Quarterly!B:B,"&gt;="&amp;A917-88,Quarterly!B:B,"&lt;="&amp;A917),SUMIFS(Quarterly!D:D,Quarterly!B:B,"&gt;="&amp;A917-92,Quarterly!B:B,"&lt;="&amp;A917)))</f>
        <v>460.19299999999998</v>
      </c>
      <c r="N917" s="13">
        <f t="shared" si="354"/>
        <v>0.29324</v>
      </c>
      <c r="O917">
        <f t="shared" si="356"/>
        <v>1349.47</v>
      </c>
      <c r="P917" s="56">
        <f>VLOOKUP(EOMONTH(A917,-1),Economic!A:I,7,FALSE)</f>
        <v>839419</v>
      </c>
      <c r="Q917" s="13">
        <f t="shared" si="357"/>
        <v>0.1608</v>
      </c>
      <c r="R917" s="41">
        <v>0.52</v>
      </c>
      <c r="S917">
        <f t="shared" si="358"/>
        <v>0.18</v>
      </c>
      <c r="T917" s="30">
        <f t="shared" si="359"/>
        <v>0</v>
      </c>
      <c r="U917" s="30">
        <f t="shared" si="366"/>
        <v>0</v>
      </c>
    </row>
    <row r="918" spans="1:21" ht="15" customHeight="1" x14ac:dyDescent="0.25">
      <c r="A918" s="5">
        <v>36919</v>
      </c>
      <c r="B918" s="5">
        <f t="shared" si="360"/>
        <v>36922</v>
      </c>
      <c r="C918">
        <v>1354.95</v>
      </c>
      <c r="D918" s="29">
        <f t="shared" si="361"/>
        <v>2.6499999999999999E-2</v>
      </c>
      <c r="E918" s="39">
        <f t="shared" si="362"/>
        <v>1341.5423076923073</v>
      </c>
      <c r="F918" s="39">
        <f t="shared" si="363"/>
        <v>1413.365128205128</v>
      </c>
      <c r="G918" s="29">
        <f t="shared" si="355"/>
        <v>0.01</v>
      </c>
      <c r="H918" s="29">
        <f t="shared" si="355"/>
        <v>-4.1300000000000003E-2</v>
      </c>
      <c r="I918">
        <f t="shared" si="364"/>
        <v>1354.95</v>
      </c>
      <c r="J918">
        <f>IF(A918&gt;=Quarterly!B$2,Quarterly!C$2,IF(COUNTIFS(Quarterly!B:B,"&gt;="&amp;A918-92,Quarterly!B:B,"&lt;="&amp;A918)&gt;1,SUMIFS(Quarterly!C:C,Quarterly!B:B,"&gt;="&amp;A918-88,Quarterly!B:B,"&lt;="&amp;A918),SUMIFS(Quarterly!C:C,Quarterly!B:B,"&gt;="&amp;A918-92,Quarterly!B:B,"&lt;="&amp;A918)))</f>
        <v>10357.4</v>
      </c>
      <c r="K918" s="13">
        <f t="shared" si="365"/>
        <v>0.1308</v>
      </c>
      <c r="L918">
        <f t="shared" si="353"/>
        <v>1354.95</v>
      </c>
      <c r="M918">
        <f>IF(A918&gt;=Quarterly!B$2,Quarterly!D$2,IF(COUNTIFS(Quarterly!B:B,"&gt;="&amp;A918-92,Quarterly!B:B,"&lt;="&amp;A918)&gt;1,SUMIFS(Quarterly!D:D,Quarterly!B:B,"&gt;="&amp;A918-88,Quarterly!B:B,"&lt;="&amp;A918),SUMIFS(Quarterly!D:D,Quarterly!B:B,"&gt;="&amp;A918-92,Quarterly!B:B,"&lt;="&amp;A918)))</f>
        <v>481.94099999999997</v>
      </c>
      <c r="N918" s="13">
        <f t="shared" si="354"/>
        <v>0.28114</v>
      </c>
      <c r="O918">
        <f t="shared" si="356"/>
        <v>1354.95</v>
      </c>
      <c r="P918" s="56">
        <f>VLOOKUP(EOMONTH(A918,-1),Economic!A:I,7,FALSE)</f>
        <v>837743</v>
      </c>
      <c r="Q918" s="13">
        <f t="shared" si="357"/>
        <v>0.16169999999999998</v>
      </c>
      <c r="R918" s="41">
        <v>0.51</v>
      </c>
      <c r="S918">
        <f t="shared" si="358"/>
        <v>0.13</v>
      </c>
      <c r="T918" s="30">
        <f t="shared" si="359"/>
        <v>0</v>
      </c>
      <c r="U918" s="30">
        <f t="shared" si="366"/>
        <v>0</v>
      </c>
    </row>
    <row r="919" spans="1:21" ht="15" customHeight="1" x14ac:dyDescent="0.25">
      <c r="A919" s="5">
        <v>36912</v>
      </c>
      <c r="B919" s="5">
        <f t="shared" si="360"/>
        <v>36922</v>
      </c>
      <c r="C919">
        <v>1342.54</v>
      </c>
      <c r="D919" s="29">
        <f t="shared" si="361"/>
        <v>2.4199999999999999E-2</v>
      </c>
      <c r="E919" s="39">
        <f t="shared" si="362"/>
        <v>1343.436923076923</v>
      </c>
      <c r="F919" s="39">
        <f t="shared" si="363"/>
        <v>1415.8646153846155</v>
      </c>
      <c r="G919" s="29">
        <f t="shared" si="355"/>
        <v>-6.9999999999999999E-4</v>
      </c>
      <c r="H919" s="29">
        <f t="shared" si="355"/>
        <v>-5.1799999999999999E-2</v>
      </c>
      <c r="I919">
        <f t="shared" si="364"/>
        <v>1342.54</v>
      </c>
      <c r="J919">
        <f>IF(A919&gt;=Quarterly!B$2,Quarterly!C$2,IF(COUNTIFS(Quarterly!B:B,"&gt;="&amp;A919-92,Quarterly!B:B,"&lt;="&amp;A919)&gt;1,SUMIFS(Quarterly!C:C,Quarterly!B:B,"&gt;="&amp;A919-88,Quarterly!B:B,"&lt;="&amp;A919),SUMIFS(Quarterly!C:C,Quarterly!B:B,"&gt;="&amp;A919-92,Quarterly!B:B,"&lt;="&amp;A919)))</f>
        <v>10357.4</v>
      </c>
      <c r="K919" s="13">
        <f t="shared" si="365"/>
        <v>0.12959999999999999</v>
      </c>
      <c r="L919">
        <f t="shared" ref="L919:L982" si="367">C919</f>
        <v>1342.54</v>
      </c>
      <c r="M919">
        <f>IF(A919&gt;=Quarterly!B$2,Quarterly!D$2,IF(COUNTIFS(Quarterly!B:B,"&gt;="&amp;A919-92,Quarterly!B:B,"&lt;="&amp;A919)&gt;1,SUMIFS(Quarterly!D:D,Quarterly!B:B,"&gt;="&amp;A919-88,Quarterly!B:B,"&lt;="&amp;A919),SUMIFS(Quarterly!D:D,Quarterly!B:B,"&gt;="&amp;A919-92,Quarterly!B:B,"&lt;="&amp;A919)))</f>
        <v>481.94099999999997</v>
      </c>
      <c r="N919" s="13">
        <f t="shared" ref="N919:N982" si="368">ROUND(L919/M919,4)*0.1</f>
        <v>0.27856999999999998</v>
      </c>
      <c r="O919">
        <f t="shared" si="356"/>
        <v>1342.54</v>
      </c>
      <c r="P919" s="56">
        <f>VLOOKUP(EOMONTH(A919,-1),Economic!A:I,7,FALSE)</f>
        <v>837743</v>
      </c>
      <c r="Q919" s="13">
        <f t="shared" si="357"/>
        <v>0.1603</v>
      </c>
      <c r="R919" s="41">
        <v>0.44</v>
      </c>
      <c r="S919">
        <f t="shared" si="358"/>
        <v>0.15</v>
      </c>
      <c r="T919" s="30">
        <f t="shared" si="359"/>
        <v>0</v>
      </c>
      <c r="U919" s="30">
        <f t="shared" si="366"/>
        <v>1.03</v>
      </c>
    </row>
    <row r="920" spans="1:21" ht="15" customHeight="1" x14ac:dyDescent="0.25">
      <c r="A920" s="5">
        <v>36905</v>
      </c>
      <c r="B920" s="5">
        <f t="shared" si="360"/>
        <v>36922</v>
      </c>
      <c r="C920">
        <v>1318.55</v>
      </c>
      <c r="D920" s="29">
        <f t="shared" si="361"/>
        <v>7.1999999999999998E-3</v>
      </c>
      <c r="E920" s="39">
        <f t="shared" si="362"/>
        <v>1347.6207692307692</v>
      </c>
      <c r="F920" s="39">
        <f t="shared" si="363"/>
        <v>1418.2235897435899</v>
      </c>
      <c r="G920" s="29">
        <f t="shared" si="355"/>
        <v>-2.1600000000000001E-2</v>
      </c>
      <c r="H920" s="29">
        <f t="shared" si="355"/>
        <v>-7.0300000000000001E-2</v>
      </c>
      <c r="I920">
        <f t="shared" si="364"/>
        <v>1318.55</v>
      </c>
      <c r="J920">
        <f>IF(A920&gt;=Quarterly!B$2,Quarterly!C$2,IF(COUNTIFS(Quarterly!B:B,"&gt;="&amp;A920-92,Quarterly!B:B,"&lt;="&amp;A920)&gt;1,SUMIFS(Quarterly!C:C,Quarterly!B:B,"&gt;="&amp;A920-88,Quarterly!B:B,"&lt;="&amp;A920),SUMIFS(Quarterly!C:C,Quarterly!B:B,"&gt;="&amp;A920-92,Quarterly!B:B,"&lt;="&amp;A920)))</f>
        <v>10357.4</v>
      </c>
      <c r="K920" s="13">
        <f t="shared" si="365"/>
        <v>0.1273</v>
      </c>
      <c r="L920">
        <f t="shared" si="367"/>
        <v>1318.55</v>
      </c>
      <c r="M920">
        <f>IF(A920&gt;=Quarterly!B$2,Quarterly!D$2,IF(COUNTIFS(Quarterly!B:B,"&gt;="&amp;A920-92,Quarterly!B:B,"&lt;="&amp;A920)&gt;1,SUMIFS(Quarterly!D:D,Quarterly!B:B,"&gt;="&amp;A920-88,Quarterly!B:B,"&lt;="&amp;A920),SUMIFS(Quarterly!D:D,Quarterly!B:B,"&gt;="&amp;A920-92,Quarterly!B:B,"&lt;="&amp;A920)))</f>
        <v>481.94099999999997</v>
      </c>
      <c r="N920" s="13">
        <f t="shared" si="368"/>
        <v>0.27359</v>
      </c>
      <c r="O920">
        <f t="shared" si="356"/>
        <v>1318.55</v>
      </c>
      <c r="P920" s="56">
        <f>VLOOKUP(EOMONTH(A920,-1),Economic!A:I,7,FALSE)</f>
        <v>837743</v>
      </c>
      <c r="Q920" s="13">
        <f t="shared" si="357"/>
        <v>0.15740000000000001</v>
      </c>
      <c r="R920" s="41">
        <v>0.35</v>
      </c>
      <c r="S920">
        <f t="shared" si="358"/>
        <v>0.15</v>
      </c>
      <c r="T920" s="30">
        <f t="shared" si="359"/>
        <v>0</v>
      </c>
      <c r="U920" s="30">
        <f t="shared" si="366"/>
        <v>1.03</v>
      </c>
    </row>
    <row r="921" spans="1:21" ht="15" customHeight="1" x14ac:dyDescent="0.25">
      <c r="A921" s="5">
        <v>36898</v>
      </c>
      <c r="B921" s="5">
        <f t="shared" si="360"/>
        <v>36922</v>
      </c>
      <c r="C921">
        <v>1298.3499999999999</v>
      </c>
      <c r="D921" s="29">
        <f t="shared" si="361"/>
        <v>-2.1600000000000001E-2</v>
      </c>
      <c r="E921" s="39">
        <f t="shared" si="362"/>
        <v>1351.8992307692311</v>
      </c>
      <c r="F921" s="39">
        <f t="shared" si="363"/>
        <v>1419.1982051282052</v>
      </c>
      <c r="G921" s="29">
        <f t="shared" si="355"/>
        <v>-3.9600000000000003E-2</v>
      </c>
      <c r="H921" s="29">
        <f t="shared" si="355"/>
        <v>-8.5199999999999998E-2</v>
      </c>
      <c r="I921">
        <f t="shared" si="364"/>
        <v>1298.3499999999999</v>
      </c>
      <c r="J921">
        <f>IF(A921&gt;=Quarterly!B$2,Quarterly!C$2,IF(COUNTIFS(Quarterly!B:B,"&gt;="&amp;A921-92,Quarterly!B:B,"&lt;="&amp;A921)&gt;1,SUMIFS(Quarterly!C:C,Quarterly!B:B,"&gt;="&amp;A921-88,Quarterly!B:B,"&lt;="&amp;A921),SUMIFS(Quarterly!C:C,Quarterly!B:B,"&gt;="&amp;A921-92,Quarterly!B:B,"&lt;="&amp;A921)))</f>
        <v>10357.4</v>
      </c>
      <c r="K921" s="13">
        <f t="shared" si="365"/>
        <v>0.12540000000000001</v>
      </c>
      <c r="L921">
        <f t="shared" si="367"/>
        <v>1298.3499999999999</v>
      </c>
      <c r="M921">
        <f>IF(A921&gt;=Quarterly!B$2,Quarterly!D$2,IF(COUNTIFS(Quarterly!B:B,"&gt;="&amp;A921-92,Quarterly!B:B,"&lt;="&amp;A921)&gt;1,SUMIFS(Quarterly!D:D,Quarterly!B:B,"&gt;="&amp;A921-88,Quarterly!B:B,"&lt;="&amp;A921),SUMIFS(Quarterly!D:D,Quarterly!B:B,"&gt;="&amp;A921-92,Quarterly!B:B,"&lt;="&amp;A921)))</f>
        <v>481.94099999999997</v>
      </c>
      <c r="N921" s="13">
        <f t="shared" si="368"/>
        <v>0.26940000000000003</v>
      </c>
      <c r="O921">
        <f t="shared" si="356"/>
        <v>1298.3499999999999</v>
      </c>
      <c r="P921" s="56">
        <f>VLOOKUP(EOMONTH(A921,-1),Economic!A:I,7,FALSE)</f>
        <v>837743</v>
      </c>
      <c r="Q921" s="13">
        <f t="shared" si="357"/>
        <v>0.155</v>
      </c>
      <c r="R921" s="41">
        <v>0.37</v>
      </c>
      <c r="S921">
        <f t="shared" si="358"/>
        <v>0.2</v>
      </c>
      <c r="T921" s="30">
        <f t="shared" si="359"/>
        <v>3.09</v>
      </c>
      <c r="U921" s="30">
        <f t="shared" si="366"/>
        <v>1.29</v>
      </c>
    </row>
    <row r="922" spans="1:21" ht="15" customHeight="1" x14ac:dyDescent="0.25">
      <c r="A922" s="5">
        <v>36891</v>
      </c>
      <c r="B922" s="5">
        <f t="shared" si="360"/>
        <v>36891</v>
      </c>
      <c r="C922">
        <v>1320.28</v>
      </c>
      <c r="D922" s="29">
        <f t="shared" si="361"/>
        <v>-4.1999999999999997E-3</v>
      </c>
      <c r="E922" s="39">
        <f t="shared" si="362"/>
        <v>1360.41</v>
      </c>
      <c r="F922" s="39">
        <f t="shared" si="363"/>
        <v>1424.7879487179487</v>
      </c>
      <c r="G922" s="29">
        <f t="shared" si="355"/>
        <v>-2.9499999999999998E-2</v>
      </c>
      <c r="H922" s="29">
        <f t="shared" si="355"/>
        <v>-7.3300000000000004E-2</v>
      </c>
      <c r="I922">
        <f t="shared" si="364"/>
        <v>1320.28</v>
      </c>
      <c r="J922">
        <f>IF(A922&gt;=Quarterly!B$2,Quarterly!C$2,IF(COUNTIFS(Quarterly!B:B,"&gt;="&amp;A922-92,Quarterly!B:B,"&lt;="&amp;A922)&gt;1,SUMIFS(Quarterly!C:C,Quarterly!B:B,"&gt;="&amp;A922-88,Quarterly!B:B,"&lt;="&amp;A922),SUMIFS(Quarterly!C:C,Quarterly!B:B,"&gt;="&amp;A922-92,Quarterly!B:B,"&lt;="&amp;A922)))</f>
        <v>10357.4</v>
      </c>
      <c r="K922" s="13">
        <f t="shared" si="365"/>
        <v>0.1275</v>
      </c>
      <c r="L922">
        <f t="shared" si="367"/>
        <v>1320.28</v>
      </c>
      <c r="M922">
        <f>IF(A922&gt;=Quarterly!B$2,Quarterly!D$2,IF(COUNTIFS(Quarterly!B:B,"&gt;="&amp;A922-92,Quarterly!B:B,"&lt;="&amp;A922)&gt;1,SUMIFS(Quarterly!D:D,Quarterly!B:B,"&gt;="&amp;A922-88,Quarterly!B:B,"&lt;="&amp;A922),SUMIFS(Quarterly!D:D,Quarterly!B:B,"&gt;="&amp;A922-92,Quarterly!B:B,"&lt;="&amp;A922)))</f>
        <v>481.94099999999997</v>
      </c>
      <c r="N922" s="13">
        <f t="shared" si="368"/>
        <v>0.27395000000000003</v>
      </c>
      <c r="O922">
        <f t="shared" si="356"/>
        <v>1320.28</v>
      </c>
      <c r="P922" s="56">
        <f>VLOOKUP(EOMONTH(A922,-1),Economic!A:I,7,FALSE)</f>
        <v>836253</v>
      </c>
      <c r="Q922" s="13">
        <f t="shared" si="357"/>
        <v>0.15790000000000001</v>
      </c>
      <c r="R922" s="41">
        <v>0.01</v>
      </c>
      <c r="S922">
        <f t="shared" si="358"/>
        <v>0.23</v>
      </c>
      <c r="T922" s="30">
        <f t="shared" si="359"/>
        <v>0</v>
      </c>
      <c r="U922" s="30">
        <f t="shared" si="366"/>
        <v>0.26</v>
      </c>
    </row>
    <row r="923" spans="1:21" ht="15" customHeight="1" x14ac:dyDescent="0.25">
      <c r="A923" s="5">
        <v>36884</v>
      </c>
      <c r="B923" s="5">
        <f t="shared" si="360"/>
        <v>36891</v>
      </c>
      <c r="C923">
        <v>1305.95</v>
      </c>
      <c r="D923" s="29">
        <f t="shared" si="361"/>
        <v>-2.1600000000000001E-2</v>
      </c>
      <c r="E923" s="39">
        <f t="shared" si="362"/>
        <v>1369.3507692307694</v>
      </c>
      <c r="F923" s="39">
        <f t="shared" si="363"/>
        <v>1429.3597435897436</v>
      </c>
      <c r="G923" s="29">
        <f t="shared" si="355"/>
        <v>-4.6300000000000001E-2</v>
      </c>
      <c r="H923" s="29">
        <f t="shared" si="355"/>
        <v>-8.6300000000000002E-2</v>
      </c>
      <c r="I923">
        <f t="shared" si="364"/>
        <v>1305.95</v>
      </c>
      <c r="J923">
        <f>IF(A923&gt;=Quarterly!B$2,Quarterly!C$2,IF(COUNTIFS(Quarterly!B:B,"&gt;="&amp;A923-92,Quarterly!B:B,"&lt;="&amp;A923)&gt;1,SUMIFS(Quarterly!C:C,Quarterly!B:B,"&gt;="&amp;A923-88,Quarterly!B:B,"&lt;="&amp;A923),SUMIFS(Quarterly!C:C,Quarterly!B:B,"&gt;="&amp;A923-92,Quarterly!B:B,"&lt;="&amp;A923)))</f>
        <v>10357.4</v>
      </c>
      <c r="K923" s="13">
        <f t="shared" si="365"/>
        <v>0.12609999999999999</v>
      </c>
      <c r="L923">
        <f t="shared" si="367"/>
        <v>1305.95</v>
      </c>
      <c r="M923">
        <f>IF(A923&gt;=Quarterly!B$2,Quarterly!D$2,IF(COUNTIFS(Quarterly!B:B,"&gt;="&amp;A923-92,Quarterly!B:B,"&lt;="&amp;A923)&gt;1,SUMIFS(Quarterly!D:D,Quarterly!B:B,"&gt;="&amp;A923-88,Quarterly!B:B,"&lt;="&amp;A923),SUMIFS(Quarterly!D:D,Quarterly!B:B,"&gt;="&amp;A923-92,Quarterly!B:B,"&lt;="&amp;A923)))</f>
        <v>481.94099999999997</v>
      </c>
      <c r="N923" s="13">
        <f t="shared" si="368"/>
        <v>0.27098</v>
      </c>
      <c r="O923">
        <f t="shared" si="356"/>
        <v>1305.95</v>
      </c>
      <c r="P923" s="56">
        <f>VLOOKUP(EOMONTH(A923,-1),Economic!A:I,7,FALSE)</f>
        <v>836253</v>
      </c>
      <c r="Q923" s="13">
        <f t="shared" si="357"/>
        <v>0.15620000000000001</v>
      </c>
      <c r="R923" s="41">
        <v>-0.08</v>
      </c>
      <c r="S923">
        <f t="shared" si="358"/>
        <v>0.25</v>
      </c>
      <c r="T923" s="30">
        <f t="shared" si="359"/>
        <v>0.78</v>
      </c>
      <c r="U923" s="30">
        <f t="shared" si="366"/>
        <v>0.26</v>
      </c>
    </row>
    <row r="924" spans="1:21" ht="15" customHeight="1" x14ac:dyDescent="0.25">
      <c r="A924" s="5">
        <v>36877</v>
      </c>
      <c r="B924" s="5">
        <f t="shared" si="360"/>
        <v>36891</v>
      </c>
      <c r="C924">
        <v>1312.15</v>
      </c>
      <c r="D924" s="29">
        <f t="shared" si="361"/>
        <v>-2.7099999999999999E-2</v>
      </c>
      <c r="E924" s="39">
        <f t="shared" si="362"/>
        <v>1380.333076923077</v>
      </c>
      <c r="F924" s="39">
        <f t="shared" si="363"/>
        <v>1435.039487179487</v>
      </c>
      <c r="G924" s="29">
        <f t="shared" si="355"/>
        <v>-4.9399999999999999E-2</v>
      </c>
      <c r="H924" s="29">
        <f t="shared" si="355"/>
        <v>-8.5599999999999996E-2</v>
      </c>
      <c r="I924">
        <f t="shared" si="364"/>
        <v>1312.15</v>
      </c>
      <c r="J924">
        <f>IF(A924&gt;=Quarterly!B$2,Quarterly!C$2,IF(COUNTIFS(Quarterly!B:B,"&gt;="&amp;A924-92,Quarterly!B:B,"&lt;="&amp;A924)&gt;1,SUMIFS(Quarterly!C:C,Quarterly!B:B,"&gt;="&amp;A924-88,Quarterly!B:B,"&lt;="&amp;A924),SUMIFS(Quarterly!C:C,Quarterly!B:B,"&gt;="&amp;A924-92,Quarterly!B:B,"&lt;="&amp;A924)))</f>
        <v>10357.4</v>
      </c>
      <c r="K924" s="13">
        <f t="shared" si="365"/>
        <v>0.12670000000000001</v>
      </c>
      <c r="L924">
        <f t="shared" si="367"/>
        <v>1312.15</v>
      </c>
      <c r="M924">
        <f>IF(A924&gt;=Quarterly!B$2,Quarterly!D$2,IF(COUNTIFS(Quarterly!B:B,"&gt;="&amp;A924-92,Quarterly!B:B,"&lt;="&amp;A924)&gt;1,SUMIFS(Quarterly!D:D,Quarterly!B:B,"&gt;="&amp;A924-88,Quarterly!B:B,"&lt;="&amp;A924),SUMIFS(Quarterly!D:D,Quarterly!B:B,"&gt;="&amp;A924-92,Quarterly!B:B,"&lt;="&amp;A924)))</f>
        <v>481.94099999999997</v>
      </c>
      <c r="N924" s="13">
        <f t="shared" si="368"/>
        <v>0.27226</v>
      </c>
      <c r="O924">
        <f t="shared" si="356"/>
        <v>1312.15</v>
      </c>
      <c r="P924" s="56">
        <f>VLOOKUP(EOMONTH(A924,-1),Economic!A:I,7,FALSE)</f>
        <v>836253</v>
      </c>
      <c r="Q924" s="13">
        <f t="shared" si="357"/>
        <v>0.15690000000000001</v>
      </c>
      <c r="R924" s="41">
        <v>-0.18</v>
      </c>
      <c r="S924">
        <f t="shared" si="358"/>
        <v>0.27</v>
      </c>
      <c r="T924" s="30">
        <f t="shared" si="359"/>
        <v>0</v>
      </c>
      <c r="U924" s="30">
        <f t="shared" si="366"/>
        <v>0</v>
      </c>
    </row>
    <row r="925" spans="1:21" ht="15" customHeight="1" x14ac:dyDescent="0.25">
      <c r="A925" s="5">
        <v>36870</v>
      </c>
      <c r="B925" s="5">
        <f t="shared" si="360"/>
        <v>36891</v>
      </c>
      <c r="C925">
        <v>1369.89</v>
      </c>
      <c r="D925" s="29">
        <f t="shared" si="361"/>
        <v>1.6500000000000001E-2</v>
      </c>
      <c r="E925" s="39">
        <f t="shared" si="362"/>
        <v>1392.1530769230772</v>
      </c>
      <c r="F925" s="39">
        <f t="shared" si="363"/>
        <v>1438.945128205128</v>
      </c>
      <c r="G925" s="29">
        <f t="shared" si="355"/>
        <v>-1.6E-2</v>
      </c>
      <c r="H925" s="29">
        <f t="shared" si="355"/>
        <v>-4.8000000000000001E-2</v>
      </c>
      <c r="I925">
        <f t="shared" si="364"/>
        <v>1369.89</v>
      </c>
      <c r="J925">
        <f>IF(A925&gt;=Quarterly!B$2,Quarterly!C$2,IF(COUNTIFS(Quarterly!B:B,"&gt;="&amp;A925-92,Quarterly!B:B,"&lt;="&amp;A925)&gt;1,SUMIFS(Quarterly!C:C,Quarterly!B:B,"&gt;="&amp;A925-88,Quarterly!B:B,"&lt;="&amp;A925),SUMIFS(Quarterly!C:C,Quarterly!B:B,"&gt;="&amp;A925-92,Quarterly!B:B,"&lt;="&amp;A925)))</f>
        <v>10357.4</v>
      </c>
      <c r="K925" s="13">
        <f t="shared" si="365"/>
        <v>0.1323</v>
      </c>
      <c r="L925">
        <f t="shared" si="367"/>
        <v>1369.89</v>
      </c>
      <c r="M925">
        <f>IF(A925&gt;=Quarterly!B$2,Quarterly!D$2,IF(COUNTIFS(Quarterly!B:B,"&gt;="&amp;A925-92,Quarterly!B:B,"&lt;="&amp;A925)&gt;1,SUMIFS(Quarterly!D:D,Quarterly!B:B,"&gt;="&amp;A925-88,Quarterly!B:B,"&lt;="&amp;A925),SUMIFS(Quarterly!D:D,Quarterly!B:B,"&gt;="&amp;A925-92,Quarterly!B:B,"&lt;="&amp;A925)))</f>
        <v>481.94099999999997</v>
      </c>
      <c r="N925" s="13">
        <f t="shared" si="368"/>
        <v>0.28423999999999999</v>
      </c>
      <c r="O925">
        <f t="shared" si="356"/>
        <v>1369.89</v>
      </c>
      <c r="P925" s="56">
        <f>VLOOKUP(EOMONTH(A925,-1),Economic!A:I,7,FALSE)</f>
        <v>836253</v>
      </c>
      <c r="Q925" s="13">
        <f t="shared" si="357"/>
        <v>0.1638</v>
      </c>
      <c r="R925" s="41">
        <v>-0.15</v>
      </c>
      <c r="S925">
        <f t="shared" si="358"/>
        <v>0.24</v>
      </c>
      <c r="T925" s="30">
        <f t="shared" si="359"/>
        <v>0</v>
      </c>
      <c r="U925" s="30">
        <f t="shared" si="366"/>
        <v>0</v>
      </c>
    </row>
    <row r="926" spans="1:21" ht="15" customHeight="1" x14ac:dyDescent="0.25">
      <c r="A926" s="5">
        <v>36863</v>
      </c>
      <c r="B926" s="5">
        <f t="shared" si="360"/>
        <v>36891</v>
      </c>
      <c r="C926">
        <v>1315.23</v>
      </c>
      <c r="D926" s="29">
        <f t="shared" si="361"/>
        <v>-4.3799999999999999E-2</v>
      </c>
      <c r="E926" s="39">
        <f t="shared" si="362"/>
        <v>1401.7384615384617</v>
      </c>
      <c r="F926" s="39">
        <f t="shared" si="363"/>
        <v>1439.590769230769</v>
      </c>
      <c r="G926" s="29">
        <f t="shared" si="355"/>
        <v>-6.1699999999999998E-2</v>
      </c>
      <c r="H926" s="29">
        <f t="shared" si="355"/>
        <v>-8.6400000000000005E-2</v>
      </c>
      <c r="I926">
        <f t="shared" si="364"/>
        <v>1315.23</v>
      </c>
      <c r="J926">
        <f>IF(A926&gt;=Quarterly!B$2,Quarterly!C$2,IF(COUNTIFS(Quarterly!B:B,"&gt;="&amp;A926-92,Quarterly!B:B,"&lt;="&amp;A926)&gt;1,SUMIFS(Quarterly!C:C,Quarterly!B:B,"&gt;="&amp;A926-88,Quarterly!B:B,"&lt;="&amp;A926),SUMIFS(Quarterly!C:C,Quarterly!B:B,"&gt;="&amp;A926-92,Quarterly!B:B,"&lt;="&amp;A926)))</f>
        <v>10357.4</v>
      </c>
      <c r="K926" s="13">
        <f t="shared" si="365"/>
        <v>0.127</v>
      </c>
      <c r="L926">
        <f t="shared" si="367"/>
        <v>1315.23</v>
      </c>
      <c r="M926">
        <f>IF(A926&gt;=Quarterly!B$2,Quarterly!D$2,IF(COUNTIFS(Quarterly!B:B,"&gt;="&amp;A926-92,Quarterly!B:B,"&lt;="&amp;A926)&gt;1,SUMIFS(Quarterly!D:D,Quarterly!B:B,"&gt;="&amp;A926-88,Quarterly!B:B,"&lt;="&amp;A926),SUMIFS(Quarterly!D:D,Quarterly!B:B,"&gt;="&amp;A926-92,Quarterly!B:B,"&lt;="&amp;A926)))</f>
        <v>481.94099999999997</v>
      </c>
      <c r="N926" s="13">
        <f t="shared" si="368"/>
        <v>0.27290000000000003</v>
      </c>
      <c r="O926">
        <f t="shared" si="356"/>
        <v>1315.23</v>
      </c>
      <c r="P926" s="56">
        <f>VLOOKUP(EOMONTH(A926,-1),Economic!A:I,7,FALSE)</f>
        <v>836253</v>
      </c>
      <c r="Q926" s="13">
        <f t="shared" si="357"/>
        <v>0.1573</v>
      </c>
      <c r="R926" s="41">
        <v>-0.1</v>
      </c>
      <c r="S926">
        <f t="shared" si="358"/>
        <v>0.27</v>
      </c>
      <c r="T926" s="30">
        <f t="shared" si="359"/>
        <v>0</v>
      </c>
      <c r="U926" s="30">
        <f t="shared" si="366"/>
        <v>0</v>
      </c>
    </row>
    <row r="927" spans="1:21" ht="15" customHeight="1" x14ac:dyDescent="0.25">
      <c r="A927" s="5">
        <v>36856</v>
      </c>
      <c r="B927" s="5">
        <f t="shared" si="360"/>
        <v>36860</v>
      </c>
      <c r="C927">
        <v>1341.77</v>
      </c>
      <c r="D927" s="29">
        <f t="shared" si="361"/>
        <v>-3.1199999999999999E-2</v>
      </c>
      <c r="E927" s="39">
        <f t="shared" si="362"/>
        <v>1417.5492307692307</v>
      </c>
      <c r="F927" s="39">
        <f t="shared" si="363"/>
        <v>1441.9994871794868</v>
      </c>
      <c r="G927" s="29">
        <f t="shared" si="355"/>
        <v>-5.3499999999999999E-2</v>
      </c>
      <c r="H927" s="29">
        <f t="shared" si="355"/>
        <v>-6.9500000000000006E-2</v>
      </c>
      <c r="I927">
        <f t="shared" si="364"/>
        <v>1341.77</v>
      </c>
      <c r="J927">
        <f>IF(A927&gt;=Quarterly!B$2,Quarterly!C$2,IF(COUNTIFS(Quarterly!B:B,"&gt;="&amp;A927-92,Quarterly!B:B,"&lt;="&amp;A927)&gt;1,SUMIFS(Quarterly!C:C,Quarterly!B:B,"&gt;="&amp;A927-88,Quarterly!B:B,"&lt;="&amp;A927),SUMIFS(Quarterly!C:C,Quarterly!B:B,"&gt;="&amp;A927-92,Quarterly!B:B,"&lt;="&amp;A927)))</f>
        <v>10357.4</v>
      </c>
      <c r="K927" s="13">
        <f t="shared" si="365"/>
        <v>0.1295</v>
      </c>
      <c r="L927">
        <f t="shared" si="367"/>
        <v>1341.77</v>
      </c>
      <c r="M927">
        <f>IF(A927&gt;=Quarterly!B$2,Quarterly!D$2,IF(COUNTIFS(Quarterly!B:B,"&gt;="&amp;A927-92,Quarterly!B:B,"&lt;="&amp;A927)&gt;1,SUMIFS(Quarterly!D:D,Quarterly!B:B,"&gt;="&amp;A927-88,Quarterly!B:B,"&lt;="&amp;A927),SUMIFS(Quarterly!D:D,Quarterly!B:B,"&gt;="&amp;A927-92,Quarterly!B:B,"&lt;="&amp;A927)))</f>
        <v>481.94099999999997</v>
      </c>
      <c r="N927" s="13">
        <f t="shared" si="368"/>
        <v>0.27840999999999999</v>
      </c>
      <c r="O927">
        <f t="shared" si="356"/>
        <v>1341.77</v>
      </c>
      <c r="P927" s="56">
        <f>VLOOKUP(EOMONTH(A927,-1),Economic!A:I,7,FALSE)</f>
        <v>834208</v>
      </c>
      <c r="Q927" s="13">
        <f t="shared" si="357"/>
        <v>0.1608</v>
      </c>
      <c r="R927" s="41">
        <v>-0.23</v>
      </c>
      <c r="S927">
        <f t="shared" si="358"/>
        <v>0.2</v>
      </c>
      <c r="T927" s="30">
        <f t="shared" si="359"/>
        <v>0</v>
      </c>
      <c r="U927" s="30">
        <f t="shared" si="366"/>
        <v>0</v>
      </c>
    </row>
    <row r="928" spans="1:21" ht="15" customHeight="1" x14ac:dyDescent="0.25">
      <c r="A928" s="5">
        <v>36849</v>
      </c>
      <c r="B928" s="5">
        <f t="shared" si="360"/>
        <v>36860</v>
      </c>
      <c r="C928">
        <v>1367.72</v>
      </c>
      <c r="D928" s="29">
        <f t="shared" si="361"/>
        <v>-1.77E-2</v>
      </c>
      <c r="E928" s="39">
        <f t="shared" si="362"/>
        <v>1430.216923076923</v>
      </c>
      <c r="F928" s="39">
        <f t="shared" si="363"/>
        <v>1441.7838461538458</v>
      </c>
      <c r="G928" s="29">
        <f t="shared" si="355"/>
        <v>-4.3700000000000003E-2</v>
      </c>
      <c r="H928" s="29">
        <f t="shared" si="355"/>
        <v>-5.1400000000000001E-2</v>
      </c>
      <c r="I928">
        <f t="shared" si="364"/>
        <v>1367.72</v>
      </c>
      <c r="J928">
        <f>IF(A928&gt;=Quarterly!B$2,Quarterly!C$2,IF(COUNTIFS(Quarterly!B:B,"&gt;="&amp;A928-92,Quarterly!B:B,"&lt;="&amp;A928)&gt;1,SUMIFS(Quarterly!C:C,Quarterly!B:B,"&gt;="&amp;A928-88,Quarterly!B:B,"&lt;="&amp;A928),SUMIFS(Quarterly!C:C,Quarterly!B:B,"&gt;="&amp;A928-92,Quarterly!B:B,"&lt;="&amp;A928)))</f>
        <v>10357.4</v>
      </c>
      <c r="K928" s="13">
        <f t="shared" si="365"/>
        <v>0.1321</v>
      </c>
      <c r="L928">
        <f t="shared" si="367"/>
        <v>1367.72</v>
      </c>
      <c r="M928">
        <f>IF(A928&gt;=Quarterly!B$2,Quarterly!D$2,IF(COUNTIFS(Quarterly!B:B,"&gt;="&amp;A928-92,Quarterly!B:B,"&lt;="&amp;A928)&gt;1,SUMIFS(Quarterly!D:D,Quarterly!B:B,"&gt;="&amp;A928-88,Quarterly!B:B,"&lt;="&amp;A928),SUMIFS(Quarterly!D:D,Quarterly!B:B,"&gt;="&amp;A928-92,Quarterly!B:B,"&lt;="&amp;A928)))</f>
        <v>481.94099999999997</v>
      </c>
      <c r="N928" s="13">
        <f t="shared" si="368"/>
        <v>0.28378999999999999</v>
      </c>
      <c r="O928">
        <f t="shared" si="356"/>
        <v>1367.72</v>
      </c>
      <c r="P928" s="56">
        <f>VLOOKUP(EOMONTH(A928,-1),Economic!A:I,7,FALSE)</f>
        <v>834208</v>
      </c>
      <c r="Q928" s="13">
        <f t="shared" si="357"/>
        <v>0.16400000000000001</v>
      </c>
      <c r="R928" s="41">
        <v>-0.17</v>
      </c>
      <c r="S928">
        <f t="shared" si="358"/>
        <v>0.24</v>
      </c>
      <c r="T928" s="30">
        <f t="shared" si="359"/>
        <v>0</v>
      </c>
      <c r="U928" s="30">
        <f t="shared" si="366"/>
        <v>0</v>
      </c>
    </row>
    <row r="929" spans="1:21" ht="15" customHeight="1" x14ac:dyDescent="0.25">
      <c r="A929" s="5">
        <v>36842</v>
      </c>
      <c r="B929" s="5">
        <f t="shared" si="360"/>
        <v>36860</v>
      </c>
      <c r="C929">
        <v>1365.98</v>
      </c>
      <c r="D929" s="29">
        <f t="shared" si="361"/>
        <v>-2.0299999999999999E-2</v>
      </c>
      <c r="E929" s="39">
        <f t="shared" si="362"/>
        <v>1439.7553846153846</v>
      </c>
      <c r="F929" s="39">
        <f t="shared" si="363"/>
        <v>1441.2292307692303</v>
      </c>
      <c r="G929" s="29">
        <f t="shared" si="355"/>
        <v>-5.1200000000000002E-2</v>
      </c>
      <c r="H929" s="29">
        <f t="shared" si="355"/>
        <v>-5.2200000000000003E-2</v>
      </c>
      <c r="I929">
        <f t="shared" si="364"/>
        <v>1365.98</v>
      </c>
      <c r="J929">
        <f>IF(A929&gt;=Quarterly!B$2,Quarterly!C$2,IF(COUNTIFS(Quarterly!B:B,"&gt;="&amp;A929-92,Quarterly!B:B,"&lt;="&amp;A929)&gt;1,SUMIFS(Quarterly!C:C,Quarterly!B:B,"&gt;="&amp;A929-88,Quarterly!B:B,"&lt;="&amp;A929),SUMIFS(Quarterly!C:C,Quarterly!B:B,"&gt;="&amp;A929-92,Quarterly!B:B,"&lt;="&amp;A929)))</f>
        <v>10357.4</v>
      </c>
      <c r="K929" s="13">
        <f t="shared" si="365"/>
        <v>0.13189999999999999</v>
      </c>
      <c r="L929">
        <f t="shared" si="367"/>
        <v>1365.98</v>
      </c>
      <c r="M929">
        <f>IF(A929&gt;=Quarterly!B$2,Quarterly!D$2,IF(COUNTIFS(Quarterly!B:B,"&gt;="&amp;A929-92,Quarterly!B:B,"&lt;="&amp;A929)&gt;1,SUMIFS(Quarterly!D:D,Quarterly!B:B,"&gt;="&amp;A929-88,Quarterly!B:B,"&lt;="&amp;A929),SUMIFS(Quarterly!D:D,Quarterly!B:B,"&gt;="&amp;A929-92,Quarterly!B:B,"&lt;="&amp;A929)))</f>
        <v>481.94099999999997</v>
      </c>
      <c r="N929" s="13">
        <f t="shared" si="368"/>
        <v>0.28343000000000002</v>
      </c>
      <c r="O929">
        <f t="shared" si="356"/>
        <v>1365.98</v>
      </c>
      <c r="P929" s="56">
        <f>VLOOKUP(EOMONTH(A929,-1),Economic!A:I,7,FALSE)</f>
        <v>834208</v>
      </c>
      <c r="Q929" s="13">
        <f t="shared" si="357"/>
        <v>0.16370000000000001</v>
      </c>
      <c r="R929" s="41">
        <v>-0.1</v>
      </c>
      <c r="S929">
        <f t="shared" si="358"/>
        <v>0.25</v>
      </c>
      <c r="T929" s="30">
        <f t="shared" si="359"/>
        <v>0</v>
      </c>
      <c r="U929" s="30">
        <f t="shared" si="366"/>
        <v>0</v>
      </c>
    </row>
    <row r="930" spans="1:21" ht="15" customHeight="1" x14ac:dyDescent="0.25">
      <c r="A930" s="5">
        <v>36835</v>
      </c>
      <c r="B930" s="5">
        <f t="shared" si="360"/>
        <v>36860</v>
      </c>
      <c r="C930">
        <v>1426.69</v>
      </c>
      <c r="D930" s="29">
        <f t="shared" si="361"/>
        <v>2.6499999999999999E-2</v>
      </c>
      <c r="E930" s="39">
        <f t="shared" si="362"/>
        <v>1447.8984615384616</v>
      </c>
      <c r="F930" s="39">
        <f t="shared" si="363"/>
        <v>1441.7712820512818</v>
      </c>
      <c r="G930" s="29">
        <f t="shared" si="355"/>
        <v>-1.46E-2</v>
      </c>
      <c r="H930" s="29">
        <f t="shared" si="355"/>
        <v>-1.0500000000000001E-2</v>
      </c>
      <c r="I930">
        <f t="shared" si="364"/>
        <v>1426.69</v>
      </c>
      <c r="J930">
        <f>IF(A930&gt;=Quarterly!B$2,Quarterly!C$2,IF(COUNTIFS(Quarterly!B:B,"&gt;="&amp;A930-92,Quarterly!B:B,"&lt;="&amp;A930)&gt;1,SUMIFS(Quarterly!C:C,Quarterly!B:B,"&gt;="&amp;A930-88,Quarterly!B:B,"&lt;="&amp;A930),SUMIFS(Quarterly!C:C,Quarterly!B:B,"&gt;="&amp;A930-92,Quarterly!B:B,"&lt;="&amp;A930)))</f>
        <v>10357.4</v>
      </c>
      <c r="K930" s="13">
        <f t="shared" si="365"/>
        <v>0.13769999999999999</v>
      </c>
      <c r="L930">
        <f t="shared" si="367"/>
        <v>1426.69</v>
      </c>
      <c r="M930">
        <f>IF(A930&gt;=Quarterly!B$2,Quarterly!D$2,IF(COUNTIFS(Quarterly!B:B,"&gt;="&amp;A930-92,Quarterly!B:B,"&lt;="&amp;A930)&gt;1,SUMIFS(Quarterly!D:D,Quarterly!B:B,"&gt;="&amp;A930-88,Quarterly!B:B,"&lt;="&amp;A930),SUMIFS(Quarterly!D:D,Quarterly!B:B,"&gt;="&amp;A930-92,Quarterly!B:B,"&lt;="&amp;A930)))</f>
        <v>481.94099999999997</v>
      </c>
      <c r="N930" s="13">
        <f t="shared" si="368"/>
        <v>0.29603000000000002</v>
      </c>
      <c r="O930">
        <f t="shared" si="356"/>
        <v>1426.69</v>
      </c>
      <c r="P930" s="56">
        <f>VLOOKUP(EOMONTH(A930,-1),Economic!A:I,7,FALSE)</f>
        <v>834208</v>
      </c>
      <c r="Q930" s="13">
        <f t="shared" si="357"/>
        <v>0.17099999999999999</v>
      </c>
      <c r="R930" s="41">
        <v>-0.11</v>
      </c>
      <c r="S930">
        <f t="shared" si="358"/>
        <v>0.25</v>
      </c>
      <c r="T930" s="30">
        <f t="shared" si="359"/>
        <v>0</v>
      </c>
      <c r="U930" s="30">
        <f t="shared" si="366"/>
        <v>0</v>
      </c>
    </row>
    <row r="931" spans="1:21" ht="15" customHeight="1" x14ac:dyDescent="0.25">
      <c r="A931" s="5">
        <v>36828</v>
      </c>
      <c r="B931" s="5">
        <f t="shared" si="360"/>
        <v>36830</v>
      </c>
      <c r="C931">
        <v>1379.58</v>
      </c>
      <c r="D931" s="29">
        <f t="shared" si="361"/>
        <v>-1.7500000000000002E-2</v>
      </c>
      <c r="E931" s="39">
        <f t="shared" si="362"/>
        <v>1450.6861538461537</v>
      </c>
      <c r="F931" s="39">
        <f t="shared" si="363"/>
        <v>1441.7117948717946</v>
      </c>
      <c r="G931" s="29">
        <f t="shared" si="355"/>
        <v>-4.9000000000000002E-2</v>
      </c>
      <c r="H931" s="29">
        <f t="shared" si="355"/>
        <v>-4.3099999999999999E-2</v>
      </c>
      <c r="I931">
        <f t="shared" si="364"/>
        <v>1379.58</v>
      </c>
      <c r="J931">
        <f>IF(A931&gt;=Quarterly!B$2,Quarterly!C$2,IF(COUNTIFS(Quarterly!B:B,"&gt;="&amp;A931-92,Quarterly!B:B,"&lt;="&amp;A931)&gt;1,SUMIFS(Quarterly!C:C,Quarterly!B:B,"&gt;="&amp;A931-88,Quarterly!B:B,"&lt;="&amp;A931),SUMIFS(Quarterly!C:C,Quarterly!B:B,"&gt;="&amp;A931-92,Quarterly!B:B,"&lt;="&amp;A931)))</f>
        <v>10278.299999999999</v>
      </c>
      <c r="K931" s="13">
        <f t="shared" si="365"/>
        <v>0.13420000000000001</v>
      </c>
      <c r="L931">
        <f t="shared" si="367"/>
        <v>1379.58</v>
      </c>
      <c r="M931">
        <f>IF(A931&gt;=Quarterly!B$2,Quarterly!D$2,IF(COUNTIFS(Quarterly!B:B,"&gt;="&amp;A931-92,Quarterly!B:B,"&lt;="&amp;A931)&gt;1,SUMIFS(Quarterly!D:D,Quarterly!B:B,"&gt;="&amp;A931-88,Quarterly!B:B,"&lt;="&amp;A931),SUMIFS(Quarterly!D:D,Quarterly!B:B,"&gt;="&amp;A931-92,Quarterly!B:B,"&lt;="&amp;A931)))</f>
        <v>488.86099999999999</v>
      </c>
      <c r="N931" s="13">
        <f t="shared" si="368"/>
        <v>0.28220000000000001</v>
      </c>
      <c r="O931">
        <f t="shared" si="356"/>
        <v>1379.58</v>
      </c>
      <c r="P931" s="56">
        <f>VLOOKUP(EOMONTH(A931,-1),Economic!A:I,7,FALSE)</f>
        <v>834101</v>
      </c>
      <c r="Q931" s="13">
        <f t="shared" si="357"/>
        <v>0.16540000000000002</v>
      </c>
      <c r="R931" s="41">
        <v>-0.22</v>
      </c>
      <c r="S931">
        <f t="shared" si="358"/>
        <v>0.2</v>
      </c>
      <c r="T931" s="30">
        <f t="shared" si="359"/>
        <v>0</v>
      </c>
      <c r="U931" s="30">
        <f t="shared" si="366"/>
        <v>0</v>
      </c>
    </row>
    <row r="932" spans="1:21" ht="15" customHeight="1" x14ac:dyDescent="0.25">
      <c r="A932" s="5">
        <v>36821</v>
      </c>
      <c r="B932" s="5">
        <f t="shared" si="360"/>
        <v>36830</v>
      </c>
      <c r="C932">
        <v>1396.93</v>
      </c>
      <c r="D932" s="29">
        <f t="shared" si="361"/>
        <v>-1.4200000000000001E-2</v>
      </c>
      <c r="E932" s="39">
        <f t="shared" si="362"/>
        <v>1453.7869230769231</v>
      </c>
      <c r="F932" s="39">
        <f t="shared" si="363"/>
        <v>1441.2138461538461</v>
      </c>
      <c r="G932" s="29">
        <f t="shared" si="355"/>
        <v>-3.9100000000000003E-2</v>
      </c>
      <c r="H932" s="29">
        <f t="shared" si="355"/>
        <v>-3.0700000000000002E-2</v>
      </c>
      <c r="I932">
        <f t="shared" si="364"/>
        <v>1396.93</v>
      </c>
      <c r="J932">
        <f>IF(A932&gt;=Quarterly!B$2,Quarterly!C$2,IF(COUNTIFS(Quarterly!B:B,"&gt;="&amp;A932-92,Quarterly!B:B,"&lt;="&amp;A932)&gt;1,SUMIFS(Quarterly!C:C,Quarterly!B:B,"&gt;="&amp;A932-88,Quarterly!B:B,"&lt;="&amp;A932),SUMIFS(Quarterly!C:C,Quarterly!B:B,"&gt;="&amp;A932-92,Quarterly!B:B,"&lt;="&amp;A932)))</f>
        <v>10278.299999999999</v>
      </c>
      <c r="K932" s="13">
        <f t="shared" si="365"/>
        <v>0.13589999999999999</v>
      </c>
      <c r="L932">
        <f t="shared" si="367"/>
        <v>1396.93</v>
      </c>
      <c r="M932">
        <f>IF(A932&gt;=Quarterly!B$2,Quarterly!D$2,IF(COUNTIFS(Quarterly!B:B,"&gt;="&amp;A932-92,Quarterly!B:B,"&lt;="&amp;A932)&gt;1,SUMIFS(Quarterly!D:D,Quarterly!B:B,"&gt;="&amp;A932-88,Quarterly!B:B,"&lt;="&amp;A932),SUMIFS(Quarterly!D:D,Quarterly!B:B,"&gt;="&amp;A932-92,Quarterly!B:B,"&lt;="&amp;A932)))</f>
        <v>488.86099999999999</v>
      </c>
      <c r="N932" s="13">
        <f t="shared" si="368"/>
        <v>0.28575</v>
      </c>
      <c r="O932">
        <f t="shared" si="356"/>
        <v>1396.93</v>
      </c>
      <c r="P932" s="56">
        <f>VLOOKUP(EOMONTH(A932,-1),Economic!A:I,7,FALSE)</f>
        <v>834101</v>
      </c>
      <c r="Q932" s="13">
        <f t="shared" si="357"/>
        <v>0.16750000000000001</v>
      </c>
      <c r="R932" s="41">
        <v>-0.2</v>
      </c>
      <c r="S932">
        <f t="shared" si="358"/>
        <v>0.23</v>
      </c>
      <c r="T932" s="30">
        <f t="shared" si="359"/>
        <v>0</v>
      </c>
      <c r="U932" s="30">
        <f t="shared" si="366"/>
        <v>0</v>
      </c>
    </row>
    <row r="933" spans="1:21" ht="15" customHeight="1" x14ac:dyDescent="0.25">
      <c r="A933" s="5">
        <v>36814</v>
      </c>
      <c r="B933" s="5">
        <f t="shared" si="360"/>
        <v>36830</v>
      </c>
      <c r="C933">
        <v>1374.17</v>
      </c>
      <c r="D933" s="29">
        <f t="shared" si="361"/>
        <v>-4.5699999999999998E-2</v>
      </c>
      <c r="E933" s="39">
        <f t="shared" si="362"/>
        <v>1460.1915384615386</v>
      </c>
      <c r="F933" s="39">
        <f t="shared" si="363"/>
        <v>1442.353076923077</v>
      </c>
      <c r="G933" s="29">
        <f t="shared" si="355"/>
        <v>-5.8900000000000001E-2</v>
      </c>
      <c r="H933" s="29">
        <f t="shared" si="355"/>
        <v>-4.7300000000000002E-2</v>
      </c>
      <c r="I933">
        <f t="shared" si="364"/>
        <v>1374.17</v>
      </c>
      <c r="J933">
        <f>IF(A933&gt;=Quarterly!B$2,Quarterly!C$2,IF(COUNTIFS(Quarterly!B:B,"&gt;="&amp;A933-92,Quarterly!B:B,"&lt;="&amp;A933)&gt;1,SUMIFS(Quarterly!C:C,Quarterly!B:B,"&gt;="&amp;A933-88,Quarterly!B:B,"&lt;="&amp;A933),SUMIFS(Quarterly!C:C,Quarterly!B:B,"&gt;="&amp;A933-92,Quarterly!B:B,"&lt;="&amp;A933)))</f>
        <v>10278.299999999999</v>
      </c>
      <c r="K933" s="13">
        <f t="shared" si="365"/>
        <v>0.13370000000000001</v>
      </c>
      <c r="L933">
        <f t="shared" si="367"/>
        <v>1374.17</v>
      </c>
      <c r="M933">
        <f>IF(A933&gt;=Quarterly!B$2,Quarterly!D$2,IF(COUNTIFS(Quarterly!B:B,"&gt;="&amp;A933-92,Quarterly!B:B,"&lt;="&amp;A933)&gt;1,SUMIFS(Quarterly!D:D,Quarterly!B:B,"&gt;="&amp;A933-88,Quarterly!B:B,"&lt;="&amp;A933),SUMIFS(Quarterly!D:D,Quarterly!B:B,"&gt;="&amp;A933-92,Quarterly!B:B,"&lt;="&amp;A933)))</f>
        <v>488.86099999999999</v>
      </c>
      <c r="N933" s="13">
        <f t="shared" si="368"/>
        <v>0.28110000000000002</v>
      </c>
      <c r="O933">
        <f t="shared" si="356"/>
        <v>1374.17</v>
      </c>
      <c r="P933" s="56">
        <f>VLOOKUP(EOMONTH(A933,-1),Economic!A:I,7,FALSE)</f>
        <v>834101</v>
      </c>
      <c r="Q933" s="13">
        <f t="shared" si="357"/>
        <v>0.16470000000000001</v>
      </c>
      <c r="R933" s="41">
        <v>-0.11</v>
      </c>
      <c r="S933">
        <f t="shared" si="358"/>
        <v>0.27</v>
      </c>
      <c r="T933" s="30">
        <f t="shared" si="359"/>
        <v>0</v>
      </c>
      <c r="U933" s="30">
        <f t="shared" si="366"/>
        <v>0</v>
      </c>
    </row>
    <row r="934" spans="1:21" ht="15" customHeight="1" x14ac:dyDescent="0.25">
      <c r="A934" s="5">
        <v>36807</v>
      </c>
      <c r="B934" s="5">
        <f t="shared" si="360"/>
        <v>36830</v>
      </c>
      <c r="C934">
        <v>1408.99</v>
      </c>
      <c r="D934" s="29">
        <f t="shared" si="361"/>
        <v>-3.5900000000000001E-2</v>
      </c>
      <c r="E934" s="39">
        <f t="shared" si="362"/>
        <v>1470.6384615384616</v>
      </c>
      <c r="F934" s="39">
        <f t="shared" si="363"/>
        <v>1444.6858974358975</v>
      </c>
      <c r="G934" s="29">
        <f t="shared" si="355"/>
        <v>-4.19E-2</v>
      </c>
      <c r="H934" s="29">
        <f t="shared" si="355"/>
        <v>-2.47E-2</v>
      </c>
      <c r="I934">
        <f t="shared" si="364"/>
        <v>1408.99</v>
      </c>
      <c r="J934">
        <f>IF(A934&gt;=Quarterly!B$2,Quarterly!C$2,IF(COUNTIFS(Quarterly!B:B,"&gt;="&amp;A934-92,Quarterly!B:B,"&lt;="&amp;A934)&gt;1,SUMIFS(Quarterly!C:C,Quarterly!B:B,"&gt;="&amp;A934-88,Quarterly!B:B,"&lt;="&amp;A934),SUMIFS(Quarterly!C:C,Quarterly!B:B,"&gt;="&amp;A934-92,Quarterly!B:B,"&lt;="&amp;A934)))</f>
        <v>10278.299999999999</v>
      </c>
      <c r="K934" s="13">
        <f t="shared" si="365"/>
        <v>0.1371</v>
      </c>
      <c r="L934">
        <f t="shared" si="367"/>
        <v>1408.99</v>
      </c>
      <c r="M934">
        <f>IF(A934&gt;=Quarterly!B$2,Quarterly!D$2,IF(COUNTIFS(Quarterly!B:B,"&gt;="&amp;A934-92,Quarterly!B:B,"&lt;="&amp;A934)&gt;1,SUMIFS(Quarterly!D:D,Quarterly!B:B,"&gt;="&amp;A934-88,Quarterly!B:B,"&lt;="&amp;A934),SUMIFS(Quarterly!D:D,Quarterly!B:B,"&gt;="&amp;A934-92,Quarterly!B:B,"&lt;="&amp;A934)))</f>
        <v>488.86099999999999</v>
      </c>
      <c r="N934" s="13">
        <f t="shared" si="368"/>
        <v>0.28822000000000003</v>
      </c>
      <c r="O934">
        <f t="shared" si="356"/>
        <v>1408.99</v>
      </c>
      <c r="P934" s="56">
        <f>VLOOKUP(EOMONTH(A934,-1),Economic!A:I,7,FALSE)</f>
        <v>834101</v>
      </c>
      <c r="Q934" s="13">
        <f t="shared" si="357"/>
        <v>0.16889999999999999</v>
      </c>
      <c r="R934" s="41">
        <v>-0.16</v>
      </c>
      <c r="S934">
        <f t="shared" si="358"/>
        <v>0.33</v>
      </c>
      <c r="T934" s="30">
        <f t="shared" si="359"/>
        <v>0</v>
      </c>
      <c r="U934" s="30">
        <f t="shared" si="366"/>
        <v>0</v>
      </c>
    </row>
    <row r="935" spans="1:21" ht="15" customHeight="1" x14ac:dyDescent="0.25">
      <c r="A935" s="5">
        <v>36800</v>
      </c>
      <c r="B935" s="5">
        <f t="shared" si="360"/>
        <v>36830</v>
      </c>
      <c r="C935">
        <v>1436.51</v>
      </c>
      <c r="D935" s="29">
        <f t="shared" si="361"/>
        <v>-3.1E-2</v>
      </c>
      <c r="E935" s="39">
        <f t="shared" si="362"/>
        <v>1476.0161538461541</v>
      </c>
      <c r="F935" s="39">
        <f t="shared" si="363"/>
        <v>1445.5187179487179</v>
      </c>
      <c r="G935" s="29">
        <f t="shared" si="355"/>
        <v>-2.6800000000000001E-2</v>
      </c>
      <c r="H935" s="29">
        <f t="shared" si="355"/>
        <v>-6.1999999999999998E-3</v>
      </c>
      <c r="I935">
        <f t="shared" si="364"/>
        <v>1436.51</v>
      </c>
      <c r="J935">
        <f>IF(A935&gt;=Quarterly!B$2,Quarterly!C$2,IF(COUNTIFS(Quarterly!B:B,"&gt;="&amp;A935-92,Quarterly!B:B,"&lt;="&amp;A935)&gt;1,SUMIFS(Quarterly!C:C,Quarterly!B:B,"&gt;="&amp;A935-88,Quarterly!B:B,"&lt;="&amp;A935),SUMIFS(Quarterly!C:C,Quarterly!B:B,"&gt;="&amp;A935-92,Quarterly!B:B,"&lt;="&amp;A935)))</f>
        <v>10278.299999999999</v>
      </c>
      <c r="K935" s="13">
        <f t="shared" si="365"/>
        <v>0.13980000000000001</v>
      </c>
      <c r="L935">
        <f t="shared" si="367"/>
        <v>1436.51</v>
      </c>
      <c r="M935">
        <f>IF(A935&gt;=Quarterly!B$2,Quarterly!D$2,IF(COUNTIFS(Quarterly!B:B,"&gt;="&amp;A935-92,Quarterly!B:B,"&lt;="&amp;A935)&gt;1,SUMIFS(Quarterly!D:D,Quarterly!B:B,"&gt;="&amp;A935-88,Quarterly!B:B,"&lt;="&amp;A935),SUMIFS(Quarterly!D:D,Quarterly!B:B,"&gt;="&amp;A935-92,Quarterly!B:B,"&lt;="&amp;A935)))</f>
        <v>488.86099999999999</v>
      </c>
      <c r="N935" s="13">
        <f t="shared" si="368"/>
        <v>0.29385</v>
      </c>
      <c r="O935">
        <f t="shared" si="356"/>
        <v>1436.51</v>
      </c>
      <c r="P935" s="56">
        <f>VLOOKUP(EOMONTH(A935,-1),Economic!A:I,7,FALSE)</f>
        <v>834101</v>
      </c>
      <c r="Q935" s="13">
        <f t="shared" si="357"/>
        <v>0.17219999999999999</v>
      </c>
      <c r="R935" s="41">
        <v>-0.18</v>
      </c>
      <c r="S935">
        <f t="shared" si="358"/>
        <v>0.28999999999999998</v>
      </c>
      <c r="T935" s="30">
        <f t="shared" si="359"/>
        <v>0</v>
      </c>
      <c r="U935" s="30">
        <f t="shared" si="366"/>
        <v>0</v>
      </c>
    </row>
    <row r="936" spans="1:21" ht="15" customHeight="1" x14ac:dyDescent="0.25">
      <c r="A936" s="5">
        <v>36793</v>
      </c>
      <c r="B936" s="5">
        <f t="shared" si="360"/>
        <v>36799</v>
      </c>
      <c r="C936">
        <v>1448.72</v>
      </c>
      <c r="D936" s="29">
        <f t="shared" si="361"/>
        <v>-3.2199999999999999E-2</v>
      </c>
      <c r="E936" s="39">
        <f t="shared" si="362"/>
        <v>1477.4076923076923</v>
      </c>
      <c r="F936" s="39">
        <f t="shared" si="363"/>
        <v>1446.3582051282051</v>
      </c>
      <c r="G936" s="29">
        <f t="shared" si="355"/>
        <v>-1.9400000000000001E-2</v>
      </c>
      <c r="H936" s="29">
        <f t="shared" si="355"/>
        <v>1.6000000000000001E-3</v>
      </c>
      <c r="I936">
        <f t="shared" si="364"/>
        <v>1448.72</v>
      </c>
      <c r="J936">
        <f>IF(A936&gt;=Quarterly!B$2,Quarterly!C$2,IF(COUNTIFS(Quarterly!B:B,"&gt;="&amp;A936-92,Quarterly!B:B,"&lt;="&amp;A936)&gt;1,SUMIFS(Quarterly!C:C,Quarterly!B:B,"&gt;="&amp;A936-88,Quarterly!B:B,"&lt;="&amp;A936),SUMIFS(Quarterly!C:C,Quarterly!B:B,"&gt;="&amp;A936-92,Quarterly!B:B,"&lt;="&amp;A936)))</f>
        <v>10278.299999999999</v>
      </c>
      <c r="K936" s="13">
        <f t="shared" si="365"/>
        <v>0.1409</v>
      </c>
      <c r="L936">
        <f t="shared" si="367"/>
        <v>1448.72</v>
      </c>
      <c r="M936">
        <f>IF(A936&gt;=Quarterly!B$2,Quarterly!D$2,IF(COUNTIFS(Quarterly!B:B,"&gt;="&amp;A936-92,Quarterly!B:B,"&lt;="&amp;A936)&gt;1,SUMIFS(Quarterly!D:D,Quarterly!B:B,"&gt;="&amp;A936-88,Quarterly!B:B,"&lt;="&amp;A936),SUMIFS(Quarterly!D:D,Quarterly!B:B,"&gt;="&amp;A936-92,Quarterly!B:B,"&lt;="&amp;A936)))</f>
        <v>488.86099999999999</v>
      </c>
      <c r="N936" s="13">
        <f t="shared" si="368"/>
        <v>0.29635</v>
      </c>
      <c r="O936">
        <f t="shared" si="356"/>
        <v>1448.72</v>
      </c>
      <c r="P936" s="56">
        <f>VLOOKUP(EOMONTH(A936,-1),Economic!A:I,7,FALSE)</f>
        <v>834219</v>
      </c>
      <c r="Q936" s="13">
        <f t="shared" si="357"/>
        <v>0.17369999999999999</v>
      </c>
      <c r="R936" s="41">
        <v>-0.24</v>
      </c>
      <c r="S936">
        <f t="shared" si="358"/>
        <v>0.26</v>
      </c>
      <c r="T936" s="30">
        <f t="shared" si="359"/>
        <v>0</v>
      </c>
      <c r="U936" s="30">
        <f t="shared" si="366"/>
        <v>0</v>
      </c>
    </row>
    <row r="937" spans="1:21" ht="15" customHeight="1" x14ac:dyDescent="0.25">
      <c r="A937" s="5">
        <v>36786</v>
      </c>
      <c r="B937" s="5">
        <f t="shared" si="360"/>
        <v>36799</v>
      </c>
      <c r="C937">
        <v>1465.81</v>
      </c>
      <c r="D937" s="29">
        <f t="shared" si="361"/>
        <v>-2.5000000000000001E-2</v>
      </c>
      <c r="E937" s="39">
        <f t="shared" si="362"/>
        <v>1476.8507692307689</v>
      </c>
      <c r="F937" s="39">
        <f t="shared" si="363"/>
        <v>1446.604871794872</v>
      </c>
      <c r="G937" s="29">
        <f t="shared" si="355"/>
        <v>-7.4999999999999997E-3</v>
      </c>
      <c r="H937" s="29">
        <f t="shared" si="355"/>
        <v>1.3299999999999999E-2</v>
      </c>
      <c r="I937">
        <f t="shared" si="364"/>
        <v>1465.81</v>
      </c>
      <c r="J937">
        <f>IF(A937&gt;=Quarterly!B$2,Quarterly!C$2,IF(COUNTIFS(Quarterly!B:B,"&gt;="&amp;A937-92,Quarterly!B:B,"&lt;="&amp;A937)&gt;1,SUMIFS(Quarterly!C:C,Quarterly!B:B,"&gt;="&amp;A937-88,Quarterly!B:B,"&lt;="&amp;A937),SUMIFS(Quarterly!C:C,Quarterly!B:B,"&gt;="&amp;A937-92,Quarterly!B:B,"&lt;="&amp;A937)))</f>
        <v>10278.299999999999</v>
      </c>
      <c r="K937" s="13">
        <f t="shared" si="365"/>
        <v>0.1426</v>
      </c>
      <c r="L937">
        <f t="shared" si="367"/>
        <v>1465.81</v>
      </c>
      <c r="M937">
        <f>IF(A937&gt;=Quarterly!B$2,Quarterly!D$2,IF(COUNTIFS(Quarterly!B:B,"&gt;="&amp;A937-92,Quarterly!B:B,"&lt;="&amp;A937)&gt;1,SUMIFS(Quarterly!D:D,Quarterly!B:B,"&gt;="&amp;A937-88,Quarterly!B:B,"&lt;="&amp;A937),SUMIFS(Quarterly!D:D,Quarterly!B:B,"&gt;="&amp;A937-92,Quarterly!B:B,"&lt;="&amp;A937)))</f>
        <v>488.86099999999999</v>
      </c>
      <c r="N937" s="13">
        <f t="shared" si="368"/>
        <v>0.29984000000000005</v>
      </c>
      <c r="O937">
        <f t="shared" si="356"/>
        <v>1465.81</v>
      </c>
      <c r="P937" s="56">
        <f>VLOOKUP(EOMONTH(A937,-1),Economic!A:I,7,FALSE)</f>
        <v>834219</v>
      </c>
      <c r="Q937" s="13">
        <f t="shared" si="357"/>
        <v>0.17570000000000002</v>
      </c>
      <c r="R937" s="41">
        <v>-0.23</v>
      </c>
      <c r="S937">
        <f t="shared" si="358"/>
        <v>0.18</v>
      </c>
      <c r="T937" s="30">
        <f t="shared" si="359"/>
        <v>0</v>
      </c>
      <c r="U937" s="30">
        <f t="shared" si="366"/>
        <v>0</v>
      </c>
    </row>
    <row r="938" spans="1:21" ht="15" customHeight="1" x14ac:dyDescent="0.25">
      <c r="A938" s="5">
        <v>36779</v>
      </c>
      <c r="B938" s="5">
        <f t="shared" si="360"/>
        <v>36799</v>
      </c>
      <c r="C938">
        <v>1494.5</v>
      </c>
      <c r="D938" s="29">
        <f t="shared" si="361"/>
        <v>-2.0999999999999999E-3</v>
      </c>
      <c r="E938" s="39">
        <f t="shared" si="362"/>
        <v>1476.7469230769229</v>
      </c>
      <c r="F938" s="39">
        <f t="shared" si="363"/>
        <v>1445.4566666666667</v>
      </c>
      <c r="G938" s="29">
        <f t="shared" si="355"/>
        <v>1.2E-2</v>
      </c>
      <c r="H938" s="29">
        <f t="shared" si="355"/>
        <v>3.39E-2</v>
      </c>
      <c r="I938">
        <f t="shared" si="364"/>
        <v>1494.5</v>
      </c>
      <c r="J938">
        <f>IF(A938&gt;=Quarterly!B$2,Quarterly!C$2,IF(COUNTIFS(Quarterly!B:B,"&gt;="&amp;A938-92,Quarterly!B:B,"&lt;="&amp;A938)&gt;1,SUMIFS(Quarterly!C:C,Quarterly!B:B,"&gt;="&amp;A938-88,Quarterly!B:B,"&lt;="&amp;A938),SUMIFS(Quarterly!C:C,Quarterly!B:B,"&gt;="&amp;A938-92,Quarterly!B:B,"&lt;="&amp;A938)))</f>
        <v>10278.299999999999</v>
      </c>
      <c r="K938" s="13">
        <f t="shared" si="365"/>
        <v>0.1454</v>
      </c>
      <c r="L938">
        <f t="shared" si="367"/>
        <v>1494.5</v>
      </c>
      <c r="M938">
        <f>IF(A938&gt;=Quarterly!B$2,Quarterly!D$2,IF(COUNTIFS(Quarterly!B:B,"&gt;="&amp;A938-92,Quarterly!B:B,"&lt;="&amp;A938)&gt;1,SUMIFS(Quarterly!D:D,Quarterly!B:B,"&gt;="&amp;A938-88,Quarterly!B:B,"&lt;="&amp;A938),SUMIFS(Quarterly!D:D,Quarterly!B:B,"&gt;="&amp;A938-92,Quarterly!B:B,"&lt;="&amp;A938)))</f>
        <v>488.86099999999999</v>
      </c>
      <c r="N938" s="13">
        <f t="shared" si="368"/>
        <v>0.30571000000000004</v>
      </c>
      <c r="O938">
        <f t="shared" si="356"/>
        <v>1494.5</v>
      </c>
      <c r="P938" s="56">
        <f>VLOOKUP(EOMONTH(A938,-1),Economic!A:I,7,FALSE)</f>
        <v>834219</v>
      </c>
      <c r="Q938" s="13">
        <f t="shared" si="357"/>
        <v>0.17910000000000001</v>
      </c>
      <c r="R938" s="41">
        <v>-0.38</v>
      </c>
      <c r="S938">
        <f t="shared" si="358"/>
        <v>0.23</v>
      </c>
      <c r="T938" s="30">
        <f t="shared" si="359"/>
        <v>0</v>
      </c>
      <c r="U938" s="30">
        <f t="shared" si="366"/>
        <v>0</v>
      </c>
    </row>
    <row r="939" spans="1:21" ht="15" customHeight="1" x14ac:dyDescent="0.25">
      <c r="A939" s="5">
        <v>36772</v>
      </c>
      <c r="B939" s="5">
        <f t="shared" si="360"/>
        <v>36799</v>
      </c>
      <c r="C939">
        <v>1520.77</v>
      </c>
      <c r="D939" s="29">
        <f t="shared" si="361"/>
        <v>2.53E-2</v>
      </c>
      <c r="E939" s="39">
        <f t="shared" si="362"/>
        <v>1473.8584615384616</v>
      </c>
      <c r="F939" s="39">
        <f t="shared" si="363"/>
        <v>1443.470512820513</v>
      </c>
      <c r="G939" s="29">
        <f t="shared" si="355"/>
        <v>3.1800000000000002E-2</v>
      </c>
      <c r="H939" s="29">
        <f t="shared" si="355"/>
        <v>5.3600000000000002E-2</v>
      </c>
      <c r="I939">
        <f t="shared" si="364"/>
        <v>1520.77</v>
      </c>
      <c r="J939">
        <f>IF(A939&gt;=Quarterly!B$2,Quarterly!C$2,IF(COUNTIFS(Quarterly!B:B,"&gt;="&amp;A939-92,Quarterly!B:B,"&lt;="&amp;A939)&gt;1,SUMIFS(Quarterly!C:C,Quarterly!B:B,"&gt;="&amp;A939-88,Quarterly!B:B,"&lt;="&amp;A939),SUMIFS(Quarterly!C:C,Quarterly!B:B,"&gt;="&amp;A939-92,Quarterly!B:B,"&lt;="&amp;A939)))</f>
        <v>10278.299999999999</v>
      </c>
      <c r="K939" s="13">
        <f t="shared" si="365"/>
        <v>0.14799999999999999</v>
      </c>
      <c r="L939">
        <f t="shared" si="367"/>
        <v>1520.77</v>
      </c>
      <c r="M939">
        <f>IF(A939&gt;=Quarterly!B$2,Quarterly!D$2,IF(COUNTIFS(Quarterly!B:B,"&gt;="&amp;A939-92,Quarterly!B:B,"&lt;="&amp;A939)&gt;1,SUMIFS(Quarterly!D:D,Quarterly!B:B,"&gt;="&amp;A939-88,Quarterly!B:B,"&lt;="&amp;A939),SUMIFS(Quarterly!D:D,Quarterly!B:B,"&gt;="&amp;A939-92,Quarterly!B:B,"&lt;="&amp;A939)))</f>
        <v>488.86099999999999</v>
      </c>
      <c r="N939" s="13">
        <f t="shared" si="368"/>
        <v>0.31108000000000002</v>
      </c>
      <c r="O939">
        <f t="shared" si="356"/>
        <v>1520.77</v>
      </c>
      <c r="P939" s="56">
        <f>VLOOKUP(EOMONTH(A939,-1),Economic!A:I,7,FALSE)</f>
        <v>834219</v>
      </c>
      <c r="Q939" s="13">
        <f t="shared" si="357"/>
        <v>0.18229999999999999</v>
      </c>
      <c r="R939" s="41">
        <v>-0.41</v>
      </c>
      <c r="S939">
        <f t="shared" si="358"/>
        <v>0.24</v>
      </c>
      <c r="T939" s="30">
        <f t="shared" si="359"/>
        <v>0</v>
      </c>
      <c r="U939" s="30">
        <f t="shared" si="366"/>
        <v>0</v>
      </c>
    </row>
    <row r="940" spans="1:21" ht="15" customHeight="1" x14ac:dyDescent="0.25">
      <c r="A940" s="5">
        <v>36765</v>
      </c>
      <c r="B940" s="5">
        <f t="shared" si="360"/>
        <v>36769</v>
      </c>
      <c r="C940">
        <v>1506.45</v>
      </c>
      <c r="D940" s="29">
        <f t="shared" si="361"/>
        <v>3.0700000000000002E-2</v>
      </c>
      <c r="E940" s="39">
        <f t="shared" si="362"/>
        <v>1470.5115384615383</v>
      </c>
      <c r="F940" s="39">
        <f t="shared" si="363"/>
        <v>1441.2276923076925</v>
      </c>
      <c r="G940" s="29">
        <f t="shared" si="355"/>
        <v>2.4400000000000002E-2</v>
      </c>
      <c r="H940" s="29">
        <f t="shared" si="355"/>
        <v>4.53E-2</v>
      </c>
      <c r="I940">
        <f t="shared" si="364"/>
        <v>1506.45</v>
      </c>
      <c r="J940">
        <f>IF(A940&gt;=Quarterly!B$2,Quarterly!C$2,IF(COUNTIFS(Quarterly!B:B,"&gt;="&amp;A940-92,Quarterly!B:B,"&lt;="&amp;A940)&gt;1,SUMIFS(Quarterly!C:C,Quarterly!B:B,"&gt;="&amp;A940-88,Quarterly!B:B,"&lt;="&amp;A940),SUMIFS(Quarterly!C:C,Quarterly!B:B,"&gt;="&amp;A940-92,Quarterly!B:B,"&lt;="&amp;A940)))</f>
        <v>10278.299999999999</v>
      </c>
      <c r="K940" s="13">
        <f t="shared" si="365"/>
        <v>0.14660000000000001</v>
      </c>
      <c r="L940">
        <f t="shared" si="367"/>
        <v>1506.45</v>
      </c>
      <c r="M940">
        <f>IF(A940&gt;=Quarterly!B$2,Quarterly!D$2,IF(COUNTIFS(Quarterly!B:B,"&gt;="&amp;A940-92,Quarterly!B:B,"&lt;="&amp;A940)&gt;1,SUMIFS(Quarterly!D:D,Quarterly!B:B,"&gt;="&amp;A940-88,Quarterly!B:B,"&lt;="&amp;A940),SUMIFS(Quarterly!D:D,Quarterly!B:B,"&gt;="&amp;A940-92,Quarterly!B:B,"&lt;="&amp;A940)))</f>
        <v>488.86099999999999</v>
      </c>
      <c r="N940" s="13">
        <f t="shared" si="368"/>
        <v>0.30815999999999999</v>
      </c>
      <c r="O940">
        <f t="shared" si="356"/>
        <v>1506.45</v>
      </c>
      <c r="P940" s="56">
        <f>VLOOKUP(EOMONTH(A940,-1),Economic!A:I,7,FALSE)</f>
        <v>831457</v>
      </c>
      <c r="Q940" s="13">
        <f t="shared" si="357"/>
        <v>0.1812</v>
      </c>
      <c r="R940" s="41">
        <v>-0.46</v>
      </c>
      <c r="S940">
        <f t="shared" si="358"/>
        <v>0.28999999999999998</v>
      </c>
      <c r="T940" s="30">
        <f t="shared" si="359"/>
        <v>0</v>
      </c>
      <c r="U940" s="30">
        <f t="shared" si="366"/>
        <v>0</v>
      </c>
    </row>
    <row r="941" spans="1:21" ht="15" customHeight="1" x14ac:dyDescent="0.25">
      <c r="A941" s="5">
        <v>36758</v>
      </c>
      <c r="B941" s="5">
        <f t="shared" si="360"/>
        <v>36769</v>
      </c>
      <c r="C941">
        <v>1491.72</v>
      </c>
      <c r="D941" s="29">
        <f t="shared" si="361"/>
        <v>2.2599999999999999E-2</v>
      </c>
      <c r="E941" s="39">
        <f t="shared" si="362"/>
        <v>1460.6323076923074</v>
      </c>
      <c r="F941" s="39">
        <f t="shared" si="363"/>
        <v>1438.9243589743592</v>
      </c>
      <c r="G941" s="29">
        <f t="shared" si="355"/>
        <v>2.1299999999999999E-2</v>
      </c>
      <c r="H941" s="29">
        <f t="shared" si="355"/>
        <v>3.6700000000000003E-2</v>
      </c>
      <c r="I941">
        <f t="shared" si="364"/>
        <v>1491.72</v>
      </c>
      <c r="J941">
        <f>IF(A941&gt;=Quarterly!B$2,Quarterly!C$2,IF(COUNTIFS(Quarterly!B:B,"&gt;="&amp;A941-92,Quarterly!B:B,"&lt;="&amp;A941)&gt;1,SUMIFS(Quarterly!C:C,Quarterly!B:B,"&gt;="&amp;A941-88,Quarterly!B:B,"&lt;="&amp;A941),SUMIFS(Quarterly!C:C,Quarterly!B:B,"&gt;="&amp;A941-92,Quarterly!B:B,"&lt;="&amp;A941)))</f>
        <v>10278.299999999999</v>
      </c>
      <c r="K941" s="13">
        <f t="shared" si="365"/>
        <v>0.14510000000000001</v>
      </c>
      <c r="L941">
        <f t="shared" si="367"/>
        <v>1491.72</v>
      </c>
      <c r="M941">
        <f>IF(A941&gt;=Quarterly!B$2,Quarterly!D$2,IF(COUNTIFS(Quarterly!B:B,"&gt;="&amp;A941-92,Quarterly!B:B,"&lt;="&amp;A941)&gt;1,SUMIFS(Quarterly!D:D,Quarterly!B:B,"&gt;="&amp;A941-88,Quarterly!B:B,"&lt;="&amp;A941),SUMIFS(Quarterly!D:D,Quarterly!B:B,"&gt;="&amp;A941-92,Quarterly!B:B,"&lt;="&amp;A941)))</f>
        <v>488.86099999999999</v>
      </c>
      <c r="N941" s="13">
        <f t="shared" si="368"/>
        <v>0.30514000000000002</v>
      </c>
      <c r="O941">
        <f t="shared" si="356"/>
        <v>1491.72</v>
      </c>
      <c r="P941" s="56">
        <f>VLOOKUP(EOMONTH(A941,-1),Economic!A:I,7,FALSE)</f>
        <v>831457</v>
      </c>
      <c r="Q941" s="13">
        <f t="shared" si="357"/>
        <v>0.1794</v>
      </c>
      <c r="R941" s="41">
        <v>-0.49</v>
      </c>
      <c r="S941">
        <f t="shared" si="358"/>
        <v>0.28000000000000003</v>
      </c>
      <c r="T941" s="30">
        <f t="shared" si="359"/>
        <v>0</v>
      </c>
      <c r="U941" s="30">
        <f t="shared" si="366"/>
        <v>0</v>
      </c>
    </row>
    <row r="942" spans="1:21" ht="15" customHeight="1" x14ac:dyDescent="0.25">
      <c r="A942" s="5">
        <v>36751</v>
      </c>
      <c r="B942" s="5">
        <f t="shared" si="360"/>
        <v>36769</v>
      </c>
      <c r="C942">
        <v>1471.84</v>
      </c>
      <c r="D942" s="29">
        <f t="shared" si="361"/>
        <v>2.3999999999999998E-3</v>
      </c>
      <c r="E942" s="39">
        <f t="shared" si="362"/>
        <v>1454.1115384615384</v>
      </c>
      <c r="F942" s="39">
        <f t="shared" si="363"/>
        <v>1437.136666666667</v>
      </c>
      <c r="G942" s="29">
        <f t="shared" si="355"/>
        <v>1.2200000000000001E-2</v>
      </c>
      <c r="H942" s="29">
        <f t="shared" si="355"/>
        <v>2.41E-2</v>
      </c>
      <c r="I942">
        <f t="shared" si="364"/>
        <v>1471.84</v>
      </c>
      <c r="J942">
        <f>IF(A942&gt;=Quarterly!B$2,Quarterly!C$2,IF(COUNTIFS(Quarterly!B:B,"&gt;="&amp;A942-92,Quarterly!B:B,"&lt;="&amp;A942)&gt;1,SUMIFS(Quarterly!C:C,Quarterly!B:B,"&gt;="&amp;A942-88,Quarterly!B:B,"&lt;="&amp;A942),SUMIFS(Quarterly!C:C,Quarterly!B:B,"&gt;="&amp;A942-92,Quarterly!B:B,"&lt;="&amp;A942)))</f>
        <v>10278.299999999999</v>
      </c>
      <c r="K942" s="13">
        <f t="shared" si="365"/>
        <v>0.14319999999999999</v>
      </c>
      <c r="L942">
        <f t="shared" si="367"/>
        <v>1471.84</v>
      </c>
      <c r="M942">
        <f>IF(A942&gt;=Quarterly!B$2,Quarterly!D$2,IF(COUNTIFS(Quarterly!B:B,"&gt;="&amp;A942-92,Quarterly!B:B,"&lt;="&amp;A942)&gt;1,SUMIFS(Quarterly!D:D,Quarterly!B:B,"&gt;="&amp;A942-88,Quarterly!B:B,"&lt;="&amp;A942),SUMIFS(Quarterly!D:D,Quarterly!B:B,"&gt;="&amp;A942-92,Quarterly!B:B,"&lt;="&amp;A942)))</f>
        <v>488.86099999999999</v>
      </c>
      <c r="N942" s="13">
        <f t="shared" si="368"/>
        <v>0.30108000000000001</v>
      </c>
      <c r="O942">
        <f t="shared" si="356"/>
        <v>1471.84</v>
      </c>
      <c r="P942" s="56">
        <f>VLOOKUP(EOMONTH(A942,-1),Economic!A:I,7,FALSE)</f>
        <v>831457</v>
      </c>
      <c r="Q942" s="13">
        <f t="shared" si="357"/>
        <v>0.17700000000000002</v>
      </c>
      <c r="R942" s="41">
        <v>-0.46</v>
      </c>
      <c r="S942">
        <f t="shared" si="358"/>
        <v>0.32</v>
      </c>
      <c r="T942" s="30">
        <f t="shared" si="359"/>
        <v>0</v>
      </c>
      <c r="U942" s="30">
        <f t="shared" si="366"/>
        <v>0</v>
      </c>
    </row>
    <row r="943" spans="1:21" ht="15" customHeight="1" x14ac:dyDescent="0.25">
      <c r="A943" s="5">
        <v>36744</v>
      </c>
      <c r="B943" s="5">
        <f t="shared" si="360"/>
        <v>36769</v>
      </c>
      <c r="C943">
        <v>1462.93</v>
      </c>
      <c r="D943" s="29">
        <f t="shared" si="361"/>
        <v>-6.3E-3</v>
      </c>
      <c r="E943" s="39">
        <f t="shared" si="362"/>
        <v>1450.1976923076923</v>
      </c>
      <c r="F943" s="39">
        <f t="shared" si="363"/>
        <v>1435.1935897435901</v>
      </c>
      <c r="G943" s="29">
        <f t="shared" si="355"/>
        <v>8.8000000000000005E-3</v>
      </c>
      <c r="H943" s="29">
        <f t="shared" si="355"/>
        <v>1.9300000000000001E-2</v>
      </c>
      <c r="I943">
        <f t="shared" si="364"/>
        <v>1462.93</v>
      </c>
      <c r="J943">
        <f>IF(A943&gt;=Quarterly!B$2,Quarterly!C$2,IF(COUNTIFS(Quarterly!B:B,"&gt;="&amp;A943-92,Quarterly!B:B,"&lt;="&amp;A943)&gt;1,SUMIFS(Quarterly!C:C,Quarterly!B:B,"&gt;="&amp;A943-88,Quarterly!B:B,"&lt;="&amp;A943),SUMIFS(Quarterly!C:C,Quarterly!B:B,"&gt;="&amp;A943-92,Quarterly!B:B,"&lt;="&amp;A943)))</f>
        <v>10278.299999999999</v>
      </c>
      <c r="K943" s="13">
        <f t="shared" si="365"/>
        <v>0.14230000000000001</v>
      </c>
      <c r="L943">
        <f t="shared" si="367"/>
        <v>1462.93</v>
      </c>
      <c r="M943">
        <f>IF(A943&gt;=Quarterly!B$2,Quarterly!D$2,IF(COUNTIFS(Quarterly!B:B,"&gt;="&amp;A943-92,Quarterly!B:B,"&lt;="&amp;A943)&gt;1,SUMIFS(Quarterly!D:D,Quarterly!B:B,"&gt;="&amp;A943-88,Quarterly!B:B,"&lt;="&amp;A943),SUMIFS(Quarterly!D:D,Quarterly!B:B,"&gt;="&amp;A943-92,Quarterly!B:B,"&lt;="&amp;A943)))</f>
        <v>488.86099999999999</v>
      </c>
      <c r="N943" s="13">
        <f t="shared" si="368"/>
        <v>0.29925000000000002</v>
      </c>
      <c r="O943">
        <f t="shared" si="356"/>
        <v>1462.93</v>
      </c>
      <c r="P943" s="56">
        <f>VLOOKUP(EOMONTH(A943,-1),Economic!A:I,7,FALSE)</f>
        <v>831457</v>
      </c>
      <c r="Q943" s="13">
        <f t="shared" si="357"/>
        <v>0.1759</v>
      </c>
      <c r="R943" s="41">
        <v>-0.24</v>
      </c>
      <c r="S943">
        <f t="shared" si="358"/>
        <v>0.26</v>
      </c>
      <c r="T943" s="30">
        <f t="shared" si="359"/>
        <v>0</v>
      </c>
      <c r="U943" s="30">
        <f t="shared" si="366"/>
        <v>0</v>
      </c>
    </row>
    <row r="944" spans="1:21" ht="15" customHeight="1" x14ac:dyDescent="0.25">
      <c r="A944" s="5">
        <v>36737</v>
      </c>
      <c r="B944" s="5">
        <f t="shared" si="360"/>
        <v>36738</v>
      </c>
      <c r="C944">
        <v>1419.89</v>
      </c>
      <c r="D944" s="29">
        <f t="shared" si="361"/>
        <v>-4.1200000000000001E-2</v>
      </c>
      <c r="E944" s="39">
        <f t="shared" si="362"/>
        <v>1447.8669230769233</v>
      </c>
      <c r="F944" s="39">
        <f t="shared" si="363"/>
        <v>1432.8166666666671</v>
      </c>
      <c r="G944" s="29">
        <f t="shared" si="355"/>
        <v>-1.9300000000000001E-2</v>
      </c>
      <c r="H944" s="29">
        <f t="shared" si="355"/>
        <v>-8.9999999999999993E-3</v>
      </c>
      <c r="I944">
        <f t="shared" si="364"/>
        <v>1419.89</v>
      </c>
      <c r="J944">
        <f>IF(A944&gt;=Quarterly!B$2,Quarterly!C$2,IF(COUNTIFS(Quarterly!B:B,"&gt;="&amp;A944-92,Quarterly!B:B,"&lt;="&amp;A944)&gt;1,SUMIFS(Quarterly!C:C,Quarterly!B:B,"&gt;="&amp;A944-88,Quarterly!B:B,"&lt;="&amp;A944),SUMIFS(Quarterly!C:C,Quarterly!B:B,"&gt;="&amp;A944-92,Quarterly!B:B,"&lt;="&amp;A944)))</f>
        <v>10031</v>
      </c>
      <c r="K944" s="13">
        <f t="shared" si="365"/>
        <v>0.1416</v>
      </c>
      <c r="L944">
        <f t="shared" si="367"/>
        <v>1419.89</v>
      </c>
      <c r="M944">
        <f>IF(A944&gt;=Quarterly!B$2,Quarterly!D$2,IF(COUNTIFS(Quarterly!B:B,"&gt;="&amp;A944-92,Quarterly!B:B,"&lt;="&amp;A944)&gt;1,SUMIFS(Quarterly!D:D,Quarterly!B:B,"&gt;="&amp;A944-88,Quarterly!B:B,"&lt;="&amp;A944),SUMIFS(Quarterly!D:D,Quarterly!B:B,"&gt;="&amp;A944-92,Quarterly!B:B,"&lt;="&amp;A944)))</f>
        <v>496.983</v>
      </c>
      <c r="N944" s="13">
        <f t="shared" si="368"/>
        <v>0.28570000000000001</v>
      </c>
      <c r="O944">
        <f t="shared" si="356"/>
        <v>1419.89</v>
      </c>
      <c r="P944" s="56">
        <f>VLOOKUP(EOMONTH(A944,-1),Economic!A:I,7,FALSE)</f>
        <v>827109</v>
      </c>
      <c r="Q944" s="13">
        <f t="shared" si="357"/>
        <v>0.17169999999999999</v>
      </c>
      <c r="R944" s="41">
        <v>-0.26</v>
      </c>
      <c r="S944">
        <f t="shared" si="358"/>
        <v>0.22</v>
      </c>
      <c r="T944" s="30">
        <f t="shared" si="359"/>
        <v>0</v>
      </c>
      <c r="U944" s="30">
        <f t="shared" si="366"/>
        <v>0</v>
      </c>
    </row>
    <row r="945" spans="1:21" ht="15" customHeight="1" x14ac:dyDescent="0.25">
      <c r="A945" s="5">
        <v>36730</v>
      </c>
      <c r="B945" s="5">
        <f t="shared" si="360"/>
        <v>36738</v>
      </c>
      <c r="C945">
        <v>1480.19</v>
      </c>
      <c r="D945" s="29">
        <f t="shared" si="361"/>
        <v>6.1000000000000004E-3</v>
      </c>
      <c r="E945" s="39">
        <f t="shared" si="362"/>
        <v>1450.3700000000003</v>
      </c>
      <c r="F945" s="39">
        <f t="shared" si="363"/>
        <v>1431.3561538461543</v>
      </c>
      <c r="G945" s="29">
        <f t="shared" si="355"/>
        <v>2.06E-2</v>
      </c>
      <c r="H945" s="29">
        <f t="shared" si="355"/>
        <v>3.4099999999999998E-2</v>
      </c>
      <c r="I945">
        <f t="shared" si="364"/>
        <v>1480.19</v>
      </c>
      <c r="J945">
        <f>IF(A945&gt;=Quarterly!B$2,Quarterly!C$2,IF(COUNTIFS(Quarterly!B:B,"&gt;="&amp;A945-92,Quarterly!B:B,"&lt;="&amp;A945)&gt;1,SUMIFS(Quarterly!C:C,Quarterly!B:B,"&gt;="&amp;A945-88,Quarterly!B:B,"&lt;="&amp;A945),SUMIFS(Quarterly!C:C,Quarterly!B:B,"&gt;="&amp;A945-92,Quarterly!B:B,"&lt;="&amp;A945)))</f>
        <v>10031</v>
      </c>
      <c r="K945" s="13">
        <f t="shared" si="365"/>
        <v>0.14760000000000001</v>
      </c>
      <c r="L945">
        <f t="shared" si="367"/>
        <v>1480.19</v>
      </c>
      <c r="M945">
        <f>IF(A945&gt;=Quarterly!B$2,Quarterly!D$2,IF(COUNTIFS(Quarterly!B:B,"&gt;="&amp;A945-92,Quarterly!B:B,"&lt;="&amp;A945)&gt;1,SUMIFS(Quarterly!D:D,Quarterly!B:B,"&gt;="&amp;A945-88,Quarterly!B:B,"&lt;="&amp;A945),SUMIFS(Quarterly!D:D,Quarterly!B:B,"&gt;="&amp;A945-92,Quarterly!B:B,"&lt;="&amp;A945)))</f>
        <v>496.983</v>
      </c>
      <c r="N945" s="13">
        <f t="shared" si="368"/>
        <v>0.29784000000000005</v>
      </c>
      <c r="O945">
        <f t="shared" si="356"/>
        <v>1480.19</v>
      </c>
      <c r="P945" s="56">
        <f>VLOOKUP(EOMONTH(A945,-1),Economic!A:I,7,FALSE)</f>
        <v>827109</v>
      </c>
      <c r="Q945" s="13">
        <f t="shared" si="357"/>
        <v>0.17899999999999999</v>
      </c>
      <c r="R945" s="41">
        <v>-0.31</v>
      </c>
      <c r="S945">
        <f t="shared" si="358"/>
        <v>0.22</v>
      </c>
      <c r="T945" s="30">
        <f t="shared" si="359"/>
        <v>0</v>
      </c>
      <c r="U945" s="30">
        <f t="shared" si="366"/>
        <v>0</v>
      </c>
    </row>
    <row r="946" spans="1:21" ht="15" customHeight="1" x14ac:dyDescent="0.25">
      <c r="A946" s="5">
        <v>36723</v>
      </c>
      <c r="B946" s="5">
        <f t="shared" si="360"/>
        <v>36738</v>
      </c>
      <c r="C946">
        <v>1509.98</v>
      </c>
      <c r="D946" s="29">
        <f t="shared" si="361"/>
        <v>3.4299999999999997E-2</v>
      </c>
      <c r="E946" s="39">
        <f t="shared" si="362"/>
        <v>1446.8584615384618</v>
      </c>
      <c r="F946" s="39">
        <f t="shared" si="363"/>
        <v>1426.7782051282054</v>
      </c>
      <c r="G946" s="29">
        <f t="shared" si="355"/>
        <v>4.36E-2</v>
      </c>
      <c r="H946" s="29">
        <f t="shared" si="355"/>
        <v>5.8299999999999998E-2</v>
      </c>
      <c r="I946">
        <f t="shared" si="364"/>
        <v>1509.98</v>
      </c>
      <c r="J946">
        <f>IF(A946&gt;=Quarterly!B$2,Quarterly!C$2,IF(COUNTIFS(Quarterly!B:B,"&gt;="&amp;A946-92,Quarterly!B:B,"&lt;="&amp;A946)&gt;1,SUMIFS(Quarterly!C:C,Quarterly!B:B,"&gt;="&amp;A946-88,Quarterly!B:B,"&lt;="&amp;A946),SUMIFS(Quarterly!C:C,Quarterly!B:B,"&gt;="&amp;A946-92,Quarterly!B:B,"&lt;="&amp;A946)))</f>
        <v>10031</v>
      </c>
      <c r="K946" s="13">
        <f t="shared" si="365"/>
        <v>0.15049999999999999</v>
      </c>
      <c r="L946">
        <f t="shared" si="367"/>
        <v>1509.98</v>
      </c>
      <c r="M946">
        <f>IF(A946&gt;=Quarterly!B$2,Quarterly!D$2,IF(COUNTIFS(Quarterly!B:B,"&gt;="&amp;A946-92,Quarterly!B:B,"&lt;="&amp;A946)&gt;1,SUMIFS(Quarterly!D:D,Quarterly!B:B,"&gt;="&amp;A946-88,Quarterly!B:B,"&lt;="&amp;A946),SUMIFS(Quarterly!D:D,Quarterly!B:B,"&gt;="&amp;A946-92,Quarterly!B:B,"&lt;="&amp;A946)))</f>
        <v>496.983</v>
      </c>
      <c r="N946" s="13">
        <f t="shared" si="368"/>
        <v>0.30383000000000004</v>
      </c>
      <c r="O946">
        <f t="shared" si="356"/>
        <v>1509.98</v>
      </c>
      <c r="P946" s="56">
        <f>VLOOKUP(EOMONTH(A946,-1),Economic!A:I,7,FALSE)</f>
        <v>827109</v>
      </c>
      <c r="Q946" s="13">
        <f t="shared" si="357"/>
        <v>0.18259999999999998</v>
      </c>
      <c r="R946" s="41">
        <v>-0.31</v>
      </c>
      <c r="S946">
        <f t="shared" si="358"/>
        <v>0.32</v>
      </c>
      <c r="T946" s="30">
        <f t="shared" si="359"/>
        <v>0</v>
      </c>
      <c r="U946" s="30">
        <f t="shared" si="366"/>
        <v>0</v>
      </c>
    </row>
    <row r="947" spans="1:21" ht="15" customHeight="1" x14ac:dyDescent="0.25">
      <c r="A947" s="5">
        <v>36716</v>
      </c>
      <c r="B947" s="5">
        <f t="shared" si="360"/>
        <v>36738</v>
      </c>
      <c r="C947">
        <v>1478.9</v>
      </c>
      <c r="D947" s="29">
        <f t="shared" si="361"/>
        <v>1.6899999999999998E-2</v>
      </c>
      <c r="E947" s="39">
        <f t="shared" si="362"/>
        <v>1435.0569230769236</v>
      </c>
      <c r="F947" s="39">
        <f t="shared" si="363"/>
        <v>1420.0456410256415</v>
      </c>
      <c r="G947" s="29">
        <f t="shared" si="355"/>
        <v>3.0599999999999999E-2</v>
      </c>
      <c r="H947" s="29">
        <f t="shared" si="355"/>
        <v>4.1399999999999999E-2</v>
      </c>
      <c r="I947">
        <f t="shared" si="364"/>
        <v>1478.9</v>
      </c>
      <c r="J947">
        <f>IF(A947&gt;=Quarterly!B$2,Quarterly!C$2,IF(COUNTIFS(Quarterly!B:B,"&gt;="&amp;A947-92,Quarterly!B:B,"&lt;="&amp;A947)&gt;1,SUMIFS(Quarterly!C:C,Quarterly!B:B,"&gt;="&amp;A947-88,Quarterly!B:B,"&lt;="&amp;A947),SUMIFS(Quarterly!C:C,Quarterly!B:B,"&gt;="&amp;A947-92,Quarterly!B:B,"&lt;="&amp;A947)))</f>
        <v>10031</v>
      </c>
      <c r="K947" s="13">
        <f t="shared" si="365"/>
        <v>0.1474</v>
      </c>
      <c r="L947">
        <f t="shared" si="367"/>
        <v>1478.9</v>
      </c>
      <c r="M947">
        <f>IF(A947&gt;=Quarterly!B$2,Quarterly!D$2,IF(COUNTIFS(Quarterly!B:B,"&gt;="&amp;A947-92,Quarterly!B:B,"&lt;="&amp;A947)&gt;1,SUMIFS(Quarterly!D:D,Quarterly!B:B,"&gt;="&amp;A947-88,Quarterly!B:B,"&lt;="&amp;A947),SUMIFS(Quarterly!D:D,Quarterly!B:B,"&gt;="&amp;A947-92,Quarterly!B:B,"&lt;="&amp;A947)))</f>
        <v>496.983</v>
      </c>
      <c r="N947" s="13">
        <f t="shared" si="368"/>
        <v>0.29758000000000001</v>
      </c>
      <c r="O947">
        <f t="shared" si="356"/>
        <v>1478.9</v>
      </c>
      <c r="P947" s="56">
        <f>VLOOKUP(EOMONTH(A947,-1),Economic!A:I,7,FALSE)</f>
        <v>827109</v>
      </c>
      <c r="Q947" s="13">
        <f t="shared" si="357"/>
        <v>0.17880000000000001</v>
      </c>
      <c r="R947" s="41">
        <v>-0.28000000000000003</v>
      </c>
      <c r="S947">
        <f t="shared" si="358"/>
        <v>0.35</v>
      </c>
      <c r="T947" s="30">
        <f t="shared" si="359"/>
        <v>0</v>
      </c>
      <c r="U947" s="30">
        <f t="shared" si="366"/>
        <v>0</v>
      </c>
    </row>
    <row r="948" spans="1:21" ht="15" customHeight="1" x14ac:dyDescent="0.25">
      <c r="A948" s="5">
        <v>36709</v>
      </c>
      <c r="B948" s="5">
        <f t="shared" si="360"/>
        <v>36738</v>
      </c>
      <c r="C948">
        <v>1454.6</v>
      </c>
      <c r="D948" s="29">
        <f t="shared" si="361"/>
        <v>-3.7000000000000002E-3</v>
      </c>
      <c r="E948" s="39">
        <f t="shared" si="362"/>
        <v>1437.9376923076925</v>
      </c>
      <c r="F948" s="39">
        <f t="shared" si="363"/>
        <v>1416.3820512820514</v>
      </c>
      <c r="G948" s="29">
        <f t="shared" si="355"/>
        <v>1.1599999999999999E-2</v>
      </c>
      <c r="H948" s="29">
        <f t="shared" si="355"/>
        <v>2.7E-2</v>
      </c>
      <c r="I948">
        <f t="shared" si="364"/>
        <v>1454.6</v>
      </c>
      <c r="J948">
        <f>IF(A948&gt;=Quarterly!B$2,Quarterly!C$2,IF(COUNTIFS(Quarterly!B:B,"&gt;="&amp;A948-92,Quarterly!B:B,"&lt;="&amp;A948)&gt;1,SUMIFS(Quarterly!C:C,Quarterly!B:B,"&gt;="&amp;A948-88,Quarterly!B:B,"&lt;="&amp;A948),SUMIFS(Quarterly!C:C,Quarterly!B:B,"&gt;="&amp;A948-92,Quarterly!B:B,"&lt;="&amp;A948)))</f>
        <v>10031</v>
      </c>
      <c r="K948" s="13">
        <f t="shared" si="365"/>
        <v>0.14499999999999999</v>
      </c>
      <c r="L948">
        <f t="shared" si="367"/>
        <v>1454.6</v>
      </c>
      <c r="M948">
        <f>IF(A948&gt;=Quarterly!B$2,Quarterly!D$2,IF(COUNTIFS(Quarterly!B:B,"&gt;="&amp;A948-92,Quarterly!B:B,"&lt;="&amp;A948)&gt;1,SUMIFS(Quarterly!D:D,Quarterly!B:B,"&gt;="&amp;A948-88,Quarterly!B:B,"&lt;="&amp;A948),SUMIFS(Quarterly!D:D,Quarterly!B:B,"&gt;="&amp;A948-92,Quarterly!B:B,"&lt;="&amp;A948)))</f>
        <v>496.983</v>
      </c>
      <c r="N948" s="13">
        <f t="shared" si="368"/>
        <v>0.29269000000000001</v>
      </c>
      <c r="O948">
        <f t="shared" si="356"/>
        <v>1454.6</v>
      </c>
      <c r="P948" s="56">
        <f>VLOOKUP(EOMONTH(A948,-1),Economic!A:I,7,FALSE)</f>
        <v>827109</v>
      </c>
      <c r="Q948" s="13">
        <f t="shared" si="357"/>
        <v>0.1759</v>
      </c>
      <c r="R948" s="41">
        <v>-0.35</v>
      </c>
      <c r="S948">
        <f t="shared" si="358"/>
        <v>0.28000000000000003</v>
      </c>
      <c r="T948" s="30">
        <f t="shared" si="359"/>
        <v>0</v>
      </c>
      <c r="U948" s="30">
        <f t="shared" si="366"/>
        <v>0</v>
      </c>
    </row>
    <row r="949" spans="1:21" ht="15" customHeight="1" x14ac:dyDescent="0.25">
      <c r="A949" s="5">
        <v>36702</v>
      </c>
      <c r="B949" s="5">
        <f t="shared" si="360"/>
        <v>36707</v>
      </c>
      <c r="C949">
        <v>1441.48</v>
      </c>
      <c r="D949" s="29">
        <f t="shared" si="361"/>
        <v>-1.9E-3</v>
      </c>
      <c r="E949" s="39">
        <f t="shared" si="362"/>
        <v>1441.3207692307697</v>
      </c>
      <c r="F949" s="39">
        <f t="shared" si="363"/>
        <v>1411.9771794871797</v>
      </c>
      <c r="G949" s="29">
        <f t="shared" si="355"/>
        <v>1E-4</v>
      </c>
      <c r="H949" s="29">
        <f t="shared" si="355"/>
        <v>2.0899999999999998E-2</v>
      </c>
      <c r="I949">
        <f t="shared" si="364"/>
        <v>1441.48</v>
      </c>
      <c r="J949">
        <f>IF(A949&gt;=Quarterly!B$2,Quarterly!C$2,IF(COUNTIFS(Quarterly!B:B,"&gt;="&amp;A949-92,Quarterly!B:B,"&lt;="&amp;A949)&gt;1,SUMIFS(Quarterly!C:C,Quarterly!B:B,"&gt;="&amp;A949-88,Quarterly!B:B,"&lt;="&amp;A949),SUMIFS(Quarterly!C:C,Quarterly!B:B,"&gt;="&amp;A949-92,Quarterly!B:B,"&lt;="&amp;A949)))</f>
        <v>10031</v>
      </c>
      <c r="K949" s="13">
        <f t="shared" si="365"/>
        <v>0.14369999999999999</v>
      </c>
      <c r="L949">
        <f t="shared" si="367"/>
        <v>1441.48</v>
      </c>
      <c r="M949">
        <f>IF(A949&gt;=Quarterly!B$2,Quarterly!D$2,IF(COUNTIFS(Quarterly!B:B,"&gt;="&amp;A949-92,Quarterly!B:B,"&lt;="&amp;A949)&gt;1,SUMIFS(Quarterly!D:D,Quarterly!B:B,"&gt;="&amp;A949-88,Quarterly!B:B,"&lt;="&amp;A949),SUMIFS(Quarterly!D:D,Quarterly!B:B,"&gt;="&amp;A949-92,Quarterly!B:B,"&lt;="&amp;A949)))</f>
        <v>496.983</v>
      </c>
      <c r="N949" s="13">
        <f t="shared" si="368"/>
        <v>0.29005000000000003</v>
      </c>
      <c r="O949">
        <f t="shared" si="356"/>
        <v>1441.48</v>
      </c>
      <c r="P949" s="56">
        <f>VLOOKUP(EOMONTH(A949,-1),Economic!A:I,7,FALSE)</f>
        <v>824338</v>
      </c>
      <c r="Q949" s="13">
        <f t="shared" si="357"/>
        <v>0.1749</v>
      </c>
      <c r="R949" s="41">
        <v>-0.36</v>
      </c>
      <c r="S949">
        <f t="shared" si="358"/>
        <v>0.22</v>
      </c>
      <c r="T949" s="30">
        <f t="shared" si="359"/>
        <v>0</v>
      </c>
      <c r="U949" s="30">
        <f t="shared" si="366"/>
        <v>0</v>
      </c>
    </row>
    <row r="950" spans="1:21" ht="15" customHeight="1" x14ac:dyDescent="0.25">
      <c r="A950" s="5">
        <v>36695</v>
      </c>
      <c r="B950" s="5">
        <f t="shared" si="360"/>
        <v>36707</v>
      </c>
      <c r="C950">
        <v>1464.46</v>
      </c>
      <c r="D950" s="29">
        <f t="shared" si="361"/>
        <v>2.4199999999999999E-2</v>
      </c>
      <c r="E950" s="39">
        <f t="shared" si="362"/>
        <v>1447.9346153846154</v>
      </c>
      <c r="F950" s="39">
        <f t="shared" si="363"/>
        <v>1407.7689743589744</v>
      </c>
      <c r="G950" s="29">
        <f t="shared" si="355"/>
        <v>1.14E-2</v>
      </c>
      <c r="H950" s="29">
        <f t="shared" si="355"/>
        <v>4.0300000000000002E-2</v>
      </c>
      <c r="I950">
        <f t="shared" si="364"/>
        <v>1464.46</v>
      </c>
      <c r="J950">
        <f>IF(A950&gt;=Quarterly!B$2,Quarterly!C$2,IF(COUNTIFS(Quarterly!B:B,"&gt;="&amp;A950-92,Quarterly!B:B,"&lt;="&amp;A950)&gt;1,SUMIFS(Quarterly!C:C,Quarterly!B:B,"&gt;="&amp;A950-88,Quarterly!B:B,"&lt;="&amp;A950),SUMIFS(Quarterly!C:C,Quarterly!B:B,"&gt;="&amp;A950-92,Quarterly!B:B,"&lt;="&amp;A950)))</f>
        <v>10031</v>
      </c>
      <c r="K950" s="13">
        <f t="shared" si="365"/>
        <v>0.14599999999999999</v>
      </c>
      <c r="L950">
        <f t="shared" si="367"/>
        <v>1464.46</v>
      </c>
      <c r="M950">
        <f>IF(A950&gt;=Quarterly!B$2,Quarterly!D$2,IF(COUNTIFS(Quarterly!B:B,"&gt;="&amp;A950-92,Quarterly!B:B,"&lt;="&amp;A950)&gt;1,SUMIFS(Quarterly!D:D,Quarterly!B:B,"&gt;="&amp;A950-88,Quarterly!B:B,"&lt;="&amp;A950),SUMIFS(Quarterly!D:D,Quarterly!B:B,"&gt;="&amp;A950-92,Quarterly!B:B,"&lt;="&amp;A950)))</f>
        <v>496.983</v>
      </c>
      <c r="N950" s="13">
        <f t="shared" si="368"/>
        <v>0.29466999999999999</v>
      </c>
      <c r="O950">
        <f t="shared" si="356"/>
        <v>1464.46</v>
      </c>
      <c r="P950" s="56">
        <f>VLOOKUP(EOMONTH(A950,-1),Economic!A:I,7,FALSE)</f>
        <v>824338</v>
      </c>
      <c r="Q950" s="13">
        <f t="shared" si="357"/>
        <v>0.1777</v>
      </c>
      <c r="R950" s="41">
        <v>-0.39</v>
      </c>
      <c r="S950">
        <f t="shared" si="358"/>
        <v>0.21</v>
      </c>
      <c r="T950" s="30">
        <f t="shared" si="359"/>
        <v>0</v>
      </c>
      <c r="U950" s="30">
        <f t="shared" si="366"/>
        <v>0</v>
      </c>
    </row>
    <row r="951" spans="1:21" ht="15" customHeight="1" x14ac:dyDescent="0.25">
      <c r="A951" s="5">
        <v>36688</v>
      </c>
      <c r="B951" s="5">
        <f t="shared" si="360"/>
        <v>36707</v>
      </c>
      <c r="C951">
        <v>1456.95</v>
      </c>
      <c r="D951" s="29">
        <f t="shared" si="361"/>
        <v>2.5399999999999999E-2</v>
      </c>
      <c r="E951" s="39">
        <f t="shared" si="362"/>
        <v>1447.9353846153849</v>
      </c>
      <c r="F951" s="39">
        <f t="shared" si="363"/>
        <v>1404.4602564102565</v>
      </c>
      <c r="G951" s="29">
        <f t="shared" si="355"/>
        <v>6.1999999999999998E-3</v>
      </c>
      <c r="H951" s="29">
        <f t="shared" si="355"/>
        <v>3.7400000000000003E-2</v>
      </c>
      <c r="I951">
        <f t="shared" si="364"/>
        <v>1456.95</v>
      </c>
      <c r="J951">
        <f>IF(A951&gt;=Quarterly!B$2,Quarterly!C$2,IF(COUNTIFS(Quarterly!B:B,"&gt;="&amp;A951-92,Quarterly!B:B,"&lt;="&amp;A951)&gt;1,SUMIFS(Quarterly!C:C,Quarterly!B:B,"&gt;="&amp;A951-88,Quarterly!B:B,"&lt;="&amp;A951),SUMIFS(Quarterly!C:C,Quarterly!B:B,"&gt;="&amp;A951-92,Quarterly!B:B,"&lt;="&amp;A951)))</f>
        <v>10031</v>
      </c>
      <c r="K951" s="13">
        <f t="shared" si="365"/>
        <v>0.1452</v>
      </c>
      <c r="L951">
        <f t="shared" si="367"/>
        <v>1456.95</v>
      </c>
      <c r="M951">
        <f>IF(A951&gt;=Quarterly!B$2,Quarterly!D$2,IF(COUNTIFS(Quarterly!B:B,"&gt;="&amp;A951-92,Quarterly!B:B,"&lt;="&amp;A951)&gt;1,SUMIFS(Quarterly!D:D,Quarterly!B:B,"&gt;="&amp;A951-88,Quarterly!B:B,"&lt;="&amp;A951),SUMIFS(Quarterly!D:D,Quarterly!B:B,"&gt;="&amp;A951-92,Quarterly!B:B,"&lt;="&amp;A951)))</f>
        <v>496.983</v>
      </c>
      <c r="N951" s="13">
        <f t="shared" si="368"/>
        <v>0.29316000000000003</v>
      </c>
      <c r="O951">
        <f t="shared" si="356"/>
        <v>1456.95</v>
      </c>
      <c r="P951" s="56">
        <f>VLOOKUP(EOMONTH(A951,-1),Economic!A:I,7,FALSE)</f>
        <v>824338</v>
      </c>
      <c r="Q951" s="13">
        <f t="shared" si="357"/>
        <v>0.1767</v>
      </c>
      <c r="R951" s="41">
        <v>-0.43</v>
      </c>
      <c r="S951">
        <f t="shared" si="358"/>
        <v>0.17</v>
      </c>
      <c r="T951" s="30">
        <f t="shared" si="359"/>
        <v>0</v>
      </c>
      <c r="U951" s="30">
        <f t="shared" si="366"/>
        <v>0</v>
      </c>
    </row>
    <row r="952" spans="1:21" ht="15" customHeight="1" x14ac:dyDescent="0.25">
      <c r="A952" s="5">
        <v>36681</v>
      </c>
      <c r="B952" s="5">
        <f t="shared" si="360"/>
        <v>36707</v>
      </c>
      <c r="C952">
        <v>1477.26</v>
      </c>
      <c r="D952" s="29">
        <f t="shared" si="361"/>
        <v>4.8000000000000001E-2</v>
      </c>
      <c r="E952" s="39">
        <f t="shared" si="362"/>
        <v>1443.1753846153847</v>
      </c>
      <c r="F952" s="39">
        <f t="shared" si="363"/>
        <v>1401.760512820513</v>
      </c>
      <c r="G952" s="29">
        <f t="shared" si="355"/>
        <v>2.3599999999999999E-2</v>
      </c>
      <c r="H952" s="29">
        <f t="shared" si="355"/>
        <v>5.3900000000000003E-2</v>
      </c>
      <c r="I952">
        <f t="shared" si="364"/>
        <v>1477.26</v>
      </c>
      <c r="J952">
        <f>IF(A952&gt;=Quarterly!B$2,Quarterly!C$2,IF(COUNTIFS(Quarterly!B:B,"&gt;="&amp;A952-92,Quarterly!B:B,"&lt;="&amp;A952)&gt;1,SUMIFS(Quarterly!C:C,Quarterly!B:B,"&gt;="&amp;A952-88,Quarterly!B:B,"&lt;="&amp;A952),SUMIFS(Quarterly!C:C,Quarterly!B:B,"&gt;="&amp;A952-92,Quarterly!B:B,"&lt;="&amp;A952)))</f>
        <v>10031</v>
      </c>
      <c r="K952" s="13">
        <f t="shared" si="365"/>
        <v>0.14729999999999999</v>
      </c>
      <c r="L952">
        <f t="shared" si="367"/>
        <v>1477.26</v>
      </c>
      <c r="M952">
        <f>IF(A952&gt;=Quarterly!B$2,Quarterly!D$2,IF(COUNTIFS(Quarterly!B:B,"&gt;="&amp;A952-92,Quarterly!B:B,"&lt;="&amp;A952)&gt;1,SUMIFS(Quarterly!D:D,Quarterly!B:B,"&gt;="&amp;A952-88,Quarterly!B:B,"&lt;="&amp;A952),SUMIFS(Quarterly!D:D,Quarterly!B:B,"&gt;="&amp;A952-92,Quarterly!B:B,"&lt;="&amp;A952)))</f>
        <v>496.983</v>
      </c>
      <c r="N952" s="13">
        <f t="shared" si="368"/>
        <v>0.29725000000000001</v>
      </c>
      <c r="O952">
        <f t="shared" si="356"/>
        <v>1477.26</v>
      </c>
      <c r="P952" s="56">
        <f>VLOOKUP(EOMONTH(A952,-1),Economic!A:I,7,FALSE)</f>
        <v>824338</v>
      </c>
      <c r="Q952" s="13">
        <f t="shared" si="357"/>
        <v>0.1792</v>
      </c>
      <c r="R952" s="41">
        <v>-0.37</v>
      </c>
      <c r="S952">
        <f t="shared" si="358"/>
        <v>0.24</v>
      </c>
      <c r="T952" s="30">
        <f t="shared" si="359"/>
        <v>0</v>
      </c>
      <c r="U952" s="30">
        <f t="shared" si="366"/>
        <v>0</v>
      </c>
    </row>
    <row r="953" spans="1:21" ht="15" customHeight="1" x14ac:dyDescent="0.25">
      <c r="A953" s="5">
        <v>36674</v>
      </c>
      <c r="B953" s="5">
        <f t="shared" si="360"/>
        <v>36677</v>
      </c>
      <c r="C953">
        <v>1378.02</v>
      </c>
      <c r="D953" s="29">
        <f t="shared" si="361"/>
        <v>-3.5200000000000002E-2</v>
      </c>
      <c r="E953" s="39">
        <f t="shared" si="362"/>
        <v>1437.9376923076925</v>
      </c>
      <c r="F953" s="39">
        <f t="shared" si="363"/>
        <v>1398.6830769230771</v>
      </c>
      <c r="G953" s="29">
        <f t="shared" si="355"/>
        <v>-4.1700000000000001E-2</v>
      </c>
      <c r="H953" s="29">
        <f t="shared" si="355"/>
        <v>-1.4800000000000001E-2</v>
      </c>
      <c r="I953">
        <f t="shared" si="364"/>
        <v>1378.02</v>
      </c>
      <c r="J953">
        <f>IF(A953&gt;=Quarterly!B$2,Quarterly!C$2,IF(COUNTIFS(Quarterly!B:B,"&gt;="&amp;A953-92,Quarterly!B:B,"&lt;="&amp;A953)&gt;1,SUMIFS(Quarterly!C:C,Quarterly!B:B,"&gt;="&amp;A953-88,Quarterly!B:B,"&lt;="&amp;A953),SUMIFS(Quarterly!C:C,Quarterly!B:B,"&gt;="&amp;A953-92,Quarterly!B:B,"&lt;="&amp;A953)))</f>
        <v>10031</v>
      </c>
      <c r="K953" s="13">
        <f t="shared" si="365"/>
        <v>0.13739999999999999</v>
      </c>
      <c r="L953">
        <f t="shared" si="367"/>
        <v>1378.02</v>
      </c>
      <c r="M953">
        <f>IF(A953&gt;=Quarterly!B$2,Quarterly!D$2,IF(COUNTIFS(Quarterly!B:B,"&gt;="&amp;A953-92,Quarterly!B:B,"&lt;="&amp;A953)&gt;1,SUMIFS(Quarterly!D:D,Quarterly!B:B,"&gt;="&amp;A953-88,Quarterly!B:B,"&lt;="&amp;A953),SUMIFS(Quarterly!D:D,Quarterly!B:B,"&gt;="&amp;A953-92,Quarterly!B:B,"&lt;="&amp;A953)))</f>
        <v>496.983</v>
      </c>
      <c r="N953" s="13">
        <f t="shared" si="368"/>
        <v>0.27728000000000003</v>
      </c>
      <c r="O953">
        <f t="shared" si="356"/>
        <v>1378.02</v>
      </c>
      <c r="P953" s="56">
        <f>VLOOKUP(EOMONTH(A953,-1),Economic!A:I,7,FALSE)</f>
        <v>819866</v>
      </c>
      <c r="Q953" s="13">
        <f t="shared" si="357"/>
        <v>0.1681</v>
      </c>
      <c r="R953" s="41">
        <v>-0.36</v>
      </c>
      <c r="S953">
        <f t="shared" si="358"/>
        <v>0.22</v>
      </c>
      <c r="T953" s="30">
        <f t="shared" si="359"/>
        <v>0</v>
      </c>
      <c r="U953" s="30">
        <f t="shared" si="366"/>
        <v>0</v>
      </c>
    </row>
    <row r="954" spans="1:21" ht="15" customHeight="1" x14ac:dyDescent="0.25">
      <c r="A954" s="5">
        <v>36667</v>
      </c>
      <c r="B954" s="5">
        <f t="shared" si="360"/>
        <v>36677</v>
      </c>
      <c r="C954">
        <v>1406.95</v>
      </c>
      <c r="D954" s="29">
        <f t="shared" si="361"/>
        <v>-1.9599999999999999E-2</v>
      </c>
      <c r="E954" s="39">
        <f t="shared" si="362"/>
        <v>1434.5023076923076</v>
      </c>
      <c r="F954" s="39">
        <f t="shared" si="363"/>
        <v>1397.9202564102566</v>
      </c>
      <c r="G954" s="29">
        <f t="shared" si="355"/>
        <v>-1.9199999999999998E-2</v>
      </c>
      <c r="H954" s="29">
        <f t="shared" si="355"/>
        <v>6.4999999999999997E-3</v>
      </c>
      <c r="I954">
        <f t="shared" si="364"/>
        <v>1406.95</v>
      </c>
      <c r="J954">
        <f>IF(A954&gt;=Quarterly!B$2,Quarterly!C$2,IF(COUNTIFS(Quarterly!B:B,"&gt;="&amp;A954-92,Quarterly!B:B,"&lt;="&amp;A954)&gt;1,SUMIFS(Quarterly!C:C,Quarterly!B:B,"&gt;="&amp;A954-88,Quarterly!B:B,"&lt;="&amp;A954),SUMIFS(Quarterly!C:C,Quarterly!B:B,"&gt;="&amp;A954-92,Quarterly!B:B,"&lt;="&amp;A954)))</f>
        <v>10031</v>
      </c>
      <c r="K954" s="13">
        <f t="shared" si="365"/>
        <v>0.14030000000000001</v>
      </c>
      <c r="L954">
        <f t="shared" si="367"/>
        <v>1406.95</v>
      </c>
      <c r="M954">
        <f>IF(A954&gt;=Quarterly!B$2,Quarterly!D$2,IF(COUNTIFS(Quarterly!B:B,"&gt;="&amp;A954-92,Quarterly!B:B,"&lt;="&amp;A954)&gt;1,SUMIFS(Quarterly!D:D,Quarterly!B:B,"&gt;="&amp;A954-88,Quarterly!B:B,"&lt;="&amp;A954),SUMIFS(Quarterly!D:D,Quarterly!B:B,"&gt;="&amp;A954-92,Quarterly!B:B,"&lt;="&amp;A954)))</f>
        <v>496.983</v>
      </c>
      <c r="N954" s="13">
        <f t="shared" si="368"/>
        <v>0.28310000000000002</v>
      </c>
      <c r="O954">
        <f t="shared" si="356"/>
        <v>1406.95</v>
      </c>
      <c r="P954" s="56">
        <f>VLOOKUP(EOMONTH(A954,-1),Economic!A:I,7,FALSE)</f>
        <v>819866</v>
      </c>
      <c r="Q954" s="13">
        <f t="shared" si="357"/>
        <v>0.1716</v>
      </c>
      <c r="R954" s="41">
        <v>-0.35</v>
      </c>
      <c r="S954">
        <f t="shared" si="358"/>
        <v>0.13</v>
      </c>
      <c r="T954" s="30">
        <f t="shared" si="359"/>
        <v>0</v>
      </c>
      <c r="U954" s="30">
        <f t="shared" si="366"/>
        <v>0</v>
      </c>
    </row>
    <row r="955" spans="1:21" ht="15" customHeight="1" x14ac:dyDescent="0.25">
      <c r="A955" s="5">
        <v>36660</v>
      </c>
      <c r="B955" s="5">
        <f t="shared" si="360"/>
        <v>36677</v>
      </c>
      <c r="C955">
        <v>1420.96</v>
      </c>
      <c r="D955" s="29">
        <f t="shared" si="361"/>
        <v>1.4E-3</v>
      </c>
      <c r="E955" s="39">
        <f t="shared" si="362"/>
        <v>1429.8207692307694</v>
      </c>
      <c r="F955" s="39">
        <f t="shared" si="363"/>
        <v>1396.1166666666668</v>
      </c>
      <c r="G955" s="29">
        <f t="shared" si="355"/>
        <v>-6.1999999999999998E-3</v>
      </c>
      <c r="H955" s="29">
        <f t="shared" si="355"/>
        <v>1.78E-2</v>
      </c>
      <c r="I955">
        <f t="shared" si="364"/>
        <v>1420.96</v>
      </c>
      <c r="J955">
        <f>IF(A955&gt;=Quarterly!B$2,Quarterly!C$2,IF(COUNTIFS(Quarterly!B:B,"&gt;="&amp;A955-92,Quarterly!B:B,"&lt;="&amp;A955)&gt;1,SUMIFS(Quarterly!C:C,Quarterly!B:B,"&gt;="&amp;A955-88,Quarterly!B:B,"&lt;="&amp;A955),SUMIFS(Quarterly!C:C,Quarterly!B:B,"&gt;="&amp;A955-92,Quarterly!B:B,"&lt;="&amp;A955)))</f>
        <v>10031</v>
      </c>
      <c r="K955" s="13">
        <f t="shared" si="365"/>
        <v>0.14169999999999999</v>
      </c>
      <c r="L955">
        <f t="shared" si="367"/>
        <v>1420.96</v>
      </c>
      <c r="M955">
        <f>IF(A955&gt;=Quarterly!B$2,Quarterly!D$2,IF(COUNTIFS(Quarterly!B:B,"&gt;="&amp;A955-92,Quarterly!B:B,"&lt;="&amp;A955)&gt;1,SUMIFS(Quarterly!D:D,Quarterly!B:B,"&gt;="&amp;A955-88,Quarterly!B:B,"&lt;="&amp;A955),SUMIFS(Quarterly!D:D,Quarterly!B:B,"&gt;="&amp;A955-92,Quarterly!B:B,"&lt;="&amp;A955)))</f>
        <v>496.983</v>
      </c>
      <c r="N955" s="13">
        <f t="shared" si="368"/>
        <v>0.28592000000000001</v>
      </c>
      <c r="O955">
        <f t="shared" si="356"/>
        <v>1420.96</v>
      </c>
      <c r="P955" s="56">
        <f>VLOOKUP(EOMONTH(A955,-1),Economic!A:I,7,FALSE)</f>
        <v>819866</v>
      </c>
      <c r="Q955" s="13">
        <f t="shared" si="357"/>
        <v>0.17329999999999998</v>
      </c>
      <c r="R955" s="41">
        <v>-0.4</v>
      </c>
      <c r="S955">
        <f t="shared" si="358"/>
        <v>0.16</v>
      </c>
      <c r="T955" s="30">
        <f t="shared" si="359"/>
        <v>0</v>
      </c>
      <c r="U955" s="30">
        <f t="shared" si="366"/>
        <v>0</v>
      </c>
    </row>
    <row r="956" spans="1:21" ht="15" customHeight="1" x14ac:dyDescent="0.25">
      <c r="A956" s="5">
        <v>36653</v>
      </c>
      <c r="B956" s="5">
        <f t="shared" si="360"/>
        <v>36677</v>
      </c>
      <c r="C956">
        <v>1432.63</v>
      </c>
      <c r="D956" s="29">
        <f t="shared" si="361"/>
        <v>-5.1000000000000004E-3</v>
      </c>
      <c r="E956" s="39">
        <f t="shared" si="362"/>
        <v>1427.2176923076922</v>
      </c>
      <c r="F956" s="39">
        <f t="shared" si="363"/>
        <v>1393.7248717948719</v>
      </c>
      <c r="G956" s="29">
        <f t="shared" si="355"/>
        <v>3.8E-3</v>
      </c>
      <c r="H956" s="29">
        <f t="shared" si="355"/>
        <v>2.7900000000000001E-2</v>
      </c>
      <c r="I956">
        <f t="shared" si="364"/>
        <v>1432.63</v>
      </c>
      <c r="J956">
        <f>IF(A956&gt;=Quarterly!B$2,Quarterly!C$2,IF(COUNTIFS(Quarterly!B:B,"&gt;="&amp;A956-92,Quarterly!B:B,"&lt;="&amp;A956)&gt;1,SUMIFS(Quarterly!C:C,Quarterly!B:B,"&gt;="&amp;A956-88,Quarterly!B:B,"&lt;="&amp;A956),SUMIFS(Quarterly!C:C,Quarterly!B:B,"&gt;="&amp;A956-92,Quarterly!B:B,"&lt;="&amp;A956)))</f>
        <v>10031</v>
      </c>
      <c r="K956" s="13">
        <f t="shared" si="365"/>
        <v>0.14280000000000001</v>
      </c>
      <c r="L956">
        <f t="shared" si="367"/>
        <v>1432.63</v>
      </c>
      <c r="M956">
        <f>IF(A956&gt;=Quarterly!B$2,Quarterly!D$2,IF(COUNTIFS(Quarterly!B:B,"&gt;="&amp;A956-92,Quarterly!B:B,"&lt;="&amp;A956)&gt;1,SUMIFS(Quarterly!D:D,Quarterly!B:B,"&gt;="&amp;A956-88,Quarterly!B:B,"&lt;="&amp;A956),SUMIFS(Quarterly!D:D,Quarterly!B:B,"&gt;="&amp;A956-92,Quarterly!B:B,"&lt;="&amp;A956)))</f>
        <v>496.983</v>
      </c>
      <c r="N956" s="13">
        <f t="shared" si="368"/>
        <v>0.28826999999999997</v>
      </c>
      <c r="O956">
        <f t="shared" si="356"/>
        <v>1432.63</v>
      </c>
      <c r="P956" s="56">
        <f>VLOOKUP(EOMONTH(A956,-1),Economic!A:I,7,FALSE)</f>
        <v>819866</v>
      </c>
      <c r="Q956" s="13">
        <f t="shared" si="357"/>
        <v>0.17469999999999999</v>
      </c>
      <c r="R956" s="41">
        <v>-0.33</v>
      </c>
      <c r="S956">
        <f t="shared" si="358"/>
        <v>0.2</v>
      </c>
      <c r="T956" s="30">
        <f t="shared" si="359"/>
        <v>0</v>
      </c>
      <c r="U956" s="30">
        <f t="shared" si="366"/>
        <v>0</v>
      </c>
    </row>
    <row r="957" spans="1:21" ht="15" customHeight="1" x14ac:dyDescent="0.25">
      <c r="A957" s="5">
        <v>36646</v>
      </c>
      <c r="B957" s="5">
        <f t="shared" si="360"/>
        <v>36646</v>
      </c>
      <c r="C957">
        <v>1452.43</v>
      </c>
      <c r="D957" s="29">
        <f t="shared" si="361"/>
        <v>5.9999999999999995E-4</v>
      </c>
      <c r="E957" s="39">
        <f t="shared" si="362"/>
        <v>1426.5823076923077</v>
      </c>
      <c r="F957" s="39">
        <f t="shared" si="363"/>
        <v>1390.3315384615385</v>
      </c>
      <c r="G957" s="29">
        <f t="shared" si="355"/>
        <v>1.8100000000000002E-2</v>
      </c>
      <c r="H957" s="29">
        <f t="shared" si="355"/>
        <v>4.4699999999999997E-2</v>
      </c>
      <c r="I957">
        <f t="shared" si="364"/>
        <v>1452.43</v>
      </c>
      <c r="J957">
        <f>IF(A957&gt;=Quarterly!B$2,Quarterly!C$2,IF(COUNTIFS(Quarterly!B:B,"&gt;="&amp;A957-92,Quarterly!B:B,"&lt;="&amp;A957)&gt;1,SUMIFS(Quarterly!C:C,Quarterly!B:B,"&gt;="&amp;A957-88,Quarterly!B:B,"&lt;="&amp;A957),SUMIFS(Quarterly!C:C,Quarterly!B:B,"&gt;="&amp;A957-92,Quarterly!B:B,"&lt;="&amp;A957)))</f>
        <v>10031</v>
      </c>
      <c r="K957" s="13">
        <f t="shared" si="365"/>
        <v>0.14480000000000001</v>
      </c>
      <c r="L957">
        <f t="shared" si="367"/>
        <v>1452.43</v>
      </c>
      <c r="M957">
        <f>IF(A957&gt;=Quarterly!B$2,Quarterly!D$2,IF(COUNTIFS(Quarterly!B:B,"&gt;="&amp;A957-92,Quarterly!B:B,"&lt;="&amp;A957)&gt;1,SUMIFS(Quarterly!D:D,Quarterly!B:B,"&gt;="&amp;A957-88,Quarterly!B:B,"&lt;="&amp;A957),SUMIFS(Quarterly!D:D,Quarterly!B:B,"&gt;="&amp;A957-92,Quarterly!B:B,"&lt;="&amp;A957)))</f>
        <v>496.983</v>
      </c>
      <c r="N957" s="13">
        <f t="shared" si="368"/>
        <v>0.29225000000000001</v>
      </c>
      <c r="O957">
        <f t="shared" si="356"/>
        <v>1452.43</v>
      </c>
      <c r="P957" s="56">
        <f>VLOOKUP(EOMONTH(A957,-1),Economic!A:I,7,FALSE)</f>
        <v>817723</v>
      </c>
      <c r="Q957" s="13">
        <f t="shared" si="357"/>
        <v>0.17760000000000001</v>
      </c>
      <c r="R957" s="41">
        <v>-0.45</v>
      </c>
      <c r="S957">
        <f t="shared" si="358"/>
        <v>0.16</v>
      </c>
      <c r="T957" s="30">
        <f t="shared" si="359"/>
        <v>0</v>
      </c>
      <c r="U957" s="30">
        <f t="shared" si="366"/>
        <v>0</v>
      </c>
    </row>
    <row r="958" spans="1:21" ht="15" customHeight="1" x14ac:dyDescent="0.25">
      <c r="A958" s="5">
        <v>36639</v>
      </c>
      <c r="B958" s="5">
        <f t="shared" si="360"/>
        <v>36646</v>
      </c>
      <c r="C958">
        <v>1434.54</v>
      </c>
      <c r="D958" s="29">
        <f t="shared" si="361"/>
        <v>-2.7300000000000001E-2</v>
      </c>
      <c r="E958" s="39">
        <f t="shared" si="362"/>
        <v>1419.4846153846154</v>
      </c>
      <c r="F958" s="39">
        <f t="shared" si="363"/>
        <v>1387.1594871794873</v>
      </c>
      <c r="G958" s="29">
        <f t="shared" si="355"/>
        <v>1.06E-2</v>
      </c>
      <c r="H958" s="29">
        <f t="shared" si="355"/>
        <v>3.4200000000000001E-2</v>
      </c>
      <c r="I958">
        <f t="shared" si="364"/>
        <v>1434.54</v>
      </c>
      <c r="J958">
        <f>IF(A958&gt;=Quarterly!B$2,Quarterly!C$2,IF(COUNTIFS(Quarterly!B:B,"&gt;="&amp;A958-92,Quarterly!B:B,"&lt;="&amp;A958)&gt;1,SUMIFS(Quarterly!C:C,Quarterly!B:B,"&gt;="&amp;A958-88,Quarterly!B:B,"&lt;="&amp;A958),SUMIFS(Quarterly!C:C,Quarterly!B:B,"&gt;="&amp;A958-92,Quarterly!B:B,"&lt;="&amp;A958)))</f>
        <v>9926.1</v>
      </c>
      <c r="K958" s="13">
        <f t="shared" si="365"/>
        <v>0.14449999999999999</v>
      </c>
      <c r="L958">
        <f t="shared" si="367"/>
        <v>1434.54</v>
      </c>
      <c r="M958">
        <f>IF(A958&gt;=Quarterly!B$2,Quarterly!D$2,IF(COUNTIFS(Quarterly!B:B,"&gt;="&amp;A958-92,Quarterly!B:B,"&lt;="&amp;A958)&gt;1,SUMIFS(Quarterly!D:D,Quarterly!B:B,"&gt;="&amp;A958-88,Quarterly!B:B,"&lt;="&amp;A958),SUMIFS(Quarterly!D:D,Quarterly!B:B,"&gt;="&amp;A958-92,Quarterly!B:B,"&lt;="&amp;A958)))</f>
        <v>523.08699999999999</v>
      </c>
      <c r="N958" s="13">
        <f t="shared" si="368"/>
        <v>0.27425000000000005</v>
      </c>
      <c r="O958">
        <f t="shared" si="356"/>
        <v>1434.54</v>
      </c>
      <c r="P958" s="56">
        <f>VLOOKUP(EOMONTH(A958,-1),Economic!A:I,7,FALSE)</f>
        <v>817723</v>
      </c>
      <c r="Q958" s="13">
        <f t="shared" si="357"/>
        <v>0.1754</v>
      </c>
      <c r="R958" s="41">
        <v>-0.39</v>
      </c>
      <c r="S958">
        <f t="shared" si="358"/>
        <v>0.12</v>
      </c>
      <c r="T958" s="30">
        <f t="shared" si="359"/>
        <v>0</v>
      </c>
      <c r="U958" s="30">
        <f t="shared" si="366"/>
        <v>0</v>
      </c>
    </row>
    <row r="959" spans="1:21" ht="15" customHeight="1" x14ac:dyDescent="0.25">
      <c r="A959" s="5">
        <v>36632</v>
      </c>
      <c r="B959" s="5">
        <f t="shared" si="360"/>
        <v>36646</v>
      </c>
      <c r="C959">
        <v>1356.56</v>
      </c>
      <c r="D959" s="29">
        <f t="shared" si="361"/>
        <v>-9.6699999999999994E-2</v>
      </c>
      <c r="E959" s="39">
        <f t="shared" si="362"/>
        <v>1420.0092307692307</v>
      </c>
      <c r="F959" s="39">
        <f t="shared" si="363"/>
        <v>1385.1697435897436</v>
      </c>
      <c r="G959" s="29">
        <f t="shared" si="355"/>
        <v>-4.4699999999999997E-2</v>
      </c>
      <c r="H959" s="29">
        <f t="shared" si="355"/>
        <v>-2.07E-2</v>
      </c>
      <c r="I959">
        <f t="shared" si="364"/>
        <v>1356.56</v>
      </c>
      <c r="J959">
        <f>IF(A959&gt;=Quarterly!B$2,Quarterly!C$2,IF(COUNTIFS(Quarterly!B:B,"&gt;="&amp;A959-92,Quarterly!B:B,"&lt;="&amp;A959)&gt;1,SUMIFS(Quarterly!C:C,Quarterly!B:B,"&gt;="&amp;A959-88,Quarterly!B:B,"&lt;="&amp;A959),SUMIFS(Quarterly!C:C,Quarterly!B:B,"&gt;="&amp;A959-92,Quarterly!B:B,"&lt;="&amp;A959)))</f>
        <v>9926.1</v>
      </c>
      <c r="K959" s="13">
        <f t="shared" si="365"/>
        <v>0.13669999999999999</v>
      </c>
      <c r="L959">
        <f t="shared" si="367"/>
        <v>1356.56</v>
      </c>
      <c r="M959">
        <f>IF(A959&gt;=Quarterly!B$2,Quarterly!D$2,IF(COUNTIFS(Quarterly!B:B,"&gt;="&amp;A959-92,Quarterly!B:B,"&lt;="&amp;A959)&gt;1,SUMIFS(Quarterly!D:D,Quarterly!B:B,"&gt;="&amp;A959-88,Quarterly!B:B,"&lt;="&amp;A959),SUMIFS(Quarterly!D:D,Quarterly!B:B,"&gt;="&amp;A959-92,Quarterly!B:B,"&lt;="&amp;A959)))</f>
        <v>523.08699999999999</v>
      </c>
      <c r="N959" s="13">
        <f t="shared" si="368"/>
        <v>0.25934000000000001</v>
      </c>
      <c r="O959">
        <f t="shared" si="356"/>
        <v>1356.56</v>
      </c>
      <c r="P959" s="56">
        <f>VLOOKUP(EOMONTH(A959,-1),Economic!A:I,7,FALSE)</f>
        <v>817723</v>
      </c>
      <c r="Q959" s="13">
        <f t="shared" si="357"/>
        <v>0.16590000000000002</v>
      </c>
      <c r="R959" s="41">
        <v>-0.42</v>
      </c>
      <c r="S959">
        <f t="shared" si="358"/>
        <v>0.15</v>
      </c>
      <c r="T959" s="30">
        <f t="shared" si="359"/>
        <v>0</v>
      </c>
      <c r="U959" s="30">
        <f t="shared" si="366"/>
        <v>0</v>
      </c>
    </row>
    <row r="960" spans="1:21" ht="15" customHeight="1" x14ac:dyDescent="0.25">
      <c r="A960" s="5">
        <v>36625</v>
      </c>
      <c r="B960" s="5">
        <f t="shared" si="360"/>
        <v>36646</v>
      </c>
      <c r="C960">
        <v>1516.35</v>
      </c>
      <c r="D960" s="29">
        <f t="shared" si="361"/>
        <v>3.0599999999999999E-2</v>
      </c>
      <c r="E960" s="39">
        <f t="shared" si="362"/>
        <v>1428.3623076923077</v>
      </c>
      <c r="F960" s="39">
        <f t="shared" si="363"/>
        <v>1386.7651282051283</v>
      </c>
      <c r="G960" s="29">
        <f t="shared" si="355"/>
        <v>6.1600000000000002E-2</v>
      </c>
      <c r="H960" s="29">
        <f t="shared" si="355"/>
        <v>9.3399999999999997E-2</v>
      </c>
      <c r="I960">
        <f t="shared" si="364"/>
        <v>1516.35</v>
      </c>
      <c r="J960">
        <f>IF(A960&gt;=Quarterly!B$2,Quarterly!C$2,IF(COUNTIFS(Quarterly!B:B,"&gt;="&amp;A960-92,Quarterly!B:B,"&lt;="&amp;A960)&gt;1,SUMIFS(Quarterly!C:C,Quarterly!B:B,"&gt;="&amp;A960-88,Quarterly!B:B,"&lt;="&amp;A960),SUMIFS(Quarterly!C:C,Quarterly!B:B,"&gt;="&amp;A960-92,Quarterly!B:B,"&lt;="&amp;A960)))</f>
        <v>9926.1</v>
      </c>
      <c r="K960" s="13">
        <f t="shared" si="365"/>
        <v>0.15279999999999999</v>
      </c>
      <c r="L960">
        <f t="shared" si="367"/>
        <v>1516.35</v>
      </c>
      <c r="M960">
        <f>IF(A960&gt;=Quarterly!B$2,Quarterly!D$2,IF(COUNTIFS(Quarterly!B:B,"&gt;="&amp;A960-92,Quarterly!B:B,"&lt;="&amp;A960)&gt;1,SUMIFS(Quarterly!D:D,Quarterly!B:B,"&gt;="&amp;A960-88,Quarterly!B:B,"&lt;="&amp;A960),SUMIFS(Quarterly!D:D,Quarterly!B:B,"&gt;="&amp;A960-92,Quarterly!B:B,"&lt;="&amp;A960)))</f>
        <v>523.08699999999999</v>
      </c>
      <c r="N960" s="13">
        <f t="shared" si="368"/>
        <v>0.28988000000000003</v>
      </c>
      <c r="O960">
        <f t="shared" si="356"/>
        <v>1516.35</v>
      </c>
      <c r="P960" s="56">
        <f>VLOOKUP(EOMONTH(A960,-1),Economic!A:I,7,FALSE)</f>
        <v>817723</v>
      </c>
      <c r="Q960" s="13">
        <f t="shared" si="357"/>
        <v>0.18540000000000001</v>
      </c>
      <c r="R960" s="41">
        <v>-0.52</v>
      </c>
      <c r="S960">
        <f t="shared" si="358"/>
        <v>0.14000000000000001</v>
      </c>
      <c r="T960" s="30">
        <f t="shared" si="359"/>
        <v>0</v>
      </c>
      <c r="U960" s="30">
        <f t="shared" si="366"/>
        <v>0</v>
      </c>
    </row>
    <row r="961" spans="1:21" ht="15" customHeight="1" x14ac:dyDescent="0.25">
      <c r="A961" s="5">
        <v>36618</v>
      </c>
      <c r="B961" s="5">
        <f t="shared" si="360"/>
        <v>36646</v>
      </c>
      <c r="C961">
        <v>1498.58</v>
      </c>
      <c r="D961" s="29">
        <f t="shared" si="361"/>
        <v>3.4200000000000001E-2</v>
      </c>
      <c r="E961" s="39">
        <f t="shared" si="362"/>
        <v>1422.6023076923079</v>
      </c>
      <c r="F961" s="39">
        <f t="shared" si="363"/>
        <v>1383.8658974358973</v>
      </c>
      <c r="G961" s="29">
        <f t="shared" si="355"/>
        <v>5.3400000000000003E-2</v>
      </c>
      <c r="H961" s="29">
        <f t="shared" si="355"/>
        <v>8.2900000000000001E-2</v>
      </c>
      <c r="I961">
        <f t="shared" si="364"/>
        <v>1498.58</v>
      </c>
      <c r="J961">
        <f>IF(A961&gt;=Quarterly!B$2,Quarterly!C$2,IF(COUNTIFS(Quarterly!B:B,"&gt;="&amp;A961-92,Quarterly!B:B,"&lt;="&amp;A961)&gt;1,SUMIFS(Quarterly!C:C,Quarterly!B:B,"&gt;="&amp;A961-88,Quarterly!B:B,"&lt;="&amp;A961),SUMIFS(Quarterly!C:C,Quarterly!B:B,"&gt;="&amp;A961-92,Quarterly!B:B,"&lt;="&amp;A961)))</f>
        <v>9926.1</v>
      </c>
      <c r="K961" s="13">
        <f t="shared" si="365"/>
        <v>0.151</v>
      </c>
      <c r="L961">
        <f t="shared" si="367"/>
        <v>1498.58</v>
      </c>
      <c r="M961">
        <f>IF(A961&gt;=Quarterly!B$2,Quarterly!D$2,IF(COUNTIFS(Quarterly!B:B,"&gt;="&amp;A961-92,Quarterly!B:B,"&lt;="&amp;A961)&gt;1,SUMIFS(Quarterly!D:D,Quarterly!B:B,"&gt;="&amp;A961-88,Quarterly!B:B,"&lt;="&amp;A961),SUMIFS(Quarterly!D:D,Quarterly!B:B,"&gt;="&amp;A961-92,Quarterly!B:B,"&lt;="&amp;A961)))</f>
        <v>523.08699999999999</v>
      </c>
      <c r="N961" s="13">
        <f t="shared" si="368"/>
        <v>0.28649000000000002</v>
      </c>
      <c r="O961">
        <f t="shared" si="356"/>
        <v>1498.58</v>
      </c>
      <c r="P961" s="56">
        <f>VLOOKUP(EOMONTH(A961,-1),Economic!A:I,7,FALSE)</f>
        <v>817723</v>
      </c>
      <c r="Q961" s="13">
        <f t="shared" si="357"/>
        <v>0.18329999999999999</v>
      </c>
      <c r="R961" s="41">
        <v>-0.47</v>
      </c>
      <c r="S961">
        <f t="shared" si="358"/>
        <v>0.08</v>
      </c>
      <c r="T961" s="30">
        <f t="shared" si="359"/>
        <v>0</v>
      </c>
      <c r="U961" s="30">
        <f t="shared" si="366"/>
        <v>0</v>
      </c>
    </row>
    <row r="962" spans="1:21" ht="15" customHeight="1" x14ac:dyDescent="0.25">
      <c r="A962" s="5">
        <v>36611</v>
      </c>
      <c r="B962" s="5">
        <f t="shared" si="360"/>
        <v>36616</v>
      </c>
      <c r="C962">
        <v>1527.46</v>
      </c>
      <c r="D962" s="29">
        <f t="shared" si="361"/>
        <v>9.06E-2</v>
      </c>
      <c r="E962" s="39">
        <f t="shared" si="362"/>
        <v>1420.3461538461536</v>
      </c>
      <c r="F962" s="39">
        <f t="shared" si="363"/>
        <v>1381.1130769230767</v>
      </c>
      <c r="G962" s="29">
        <f t="shared" ref="G962:H1025" si="369">ROUND(($C962-E962)/E962,4)</f>
        <v>7.5399999999999995E-2</v>
      </c>
      <c r="H962" s="29">
        <f t="shared" si="369"/>
        <v>0.106</v>
      </c>
      <c r="I962">
        <f t="shared" si="364"/>
        <v>1527.46</v>
      </c>
      <c r="J962">
        <f>IF(A962&gt;=Quarterly!B$2,Quarterly!C$2,IF(COUNTIFS(Quarterly!B:B,"&gt;="&amp;A962-92,Quarterly!B:B,"&lt;="&amp;A962)&gt;1,SUMIFS(Quarterly!C:C,Quarterly!B:B,"&gt;="&amp;A962-88,Quarterly!B:B,"&lt;="&amp;A962),SUMIFS(Quarterly!C:C,Quarterly!B:B,"&gt;="&amp;A962-92,Quarterly!B:B,"&lt;="&amp;A962)))</f>
        <v>9926.1</v>
      </c>
      <c r="K962" s="13">
        <f t="shared" si="365"/>
        <v>0.15390000000000001</v>
      </c>
      <c r="L962">
        <f t="shared" si="367"/>
        <v>1527.46</v>
      </c>
      <c r="M962">
        <f>IF(A962&gt;=Quarterly!B$2,Quarterly!D$2,IF(COUNTIFS(Quarterly!B:B,"&gt;="&amp;A962-92,Quarterly!B:B,"&lt;="&amp;A962)&gt;1,SUMIFS(Quarterly!D:D,Quarterly!B:B,"&gt;="&amp;A962-88,Quarterly!B:B,"&lt;="&amp;A962),SUMIFS(Quarterly!D:D,Quarterly!B:B,"&gt;="&amp;A962-92,Quarterly!B:B,"&lt;="&amp;A962)))</f>
        <v>523.08699999999999</v>
      </c>
      <c r="N962" s="13">
        <f t="shared" si="368"/>
        <v>0.29201000000000005</v>
      </c>
      <c r="O962">
        <f t="shared" si="356"/>
        <v>1527.46</v>
      </c>
      <c r="P962" s="56">
        <f>VLOOKUP(EOMONTH(A962,-1),Economic!A:I,7,FALSE)</f>
        <v>810819</v>
      </c>
      <c r="Q962" s="13">
        <f t="shared" si="357"/>
        <v>0.18840000000000001</v>
      </c>
      <c r="R962" s="41">
        <v>-0.44</v>
      </c>
      <c r="S962">
        <f t="shared" si="358"/>
        <v>0.05</v>
      </c>
      <c r="T962" s="30">
        <f t="shared" si="359"/>
        <v>0</v>
      </c>
      <c r="U962" s="30">
        <f t="shared" si="366"/>
        <v>0</v>
      </c>
    </row>
    <row r="963" spans="1:21" ht="15" customHeight="1" x14ac:dyDescent="0.25">
      <c r="A963" s="5">
        <v>36604</v>
      </c>
      <c r="B963" s="5">
        <f t="shared" si="360"/>
        <v>36616</v>
      </c>
      <c r="C963">
        <v>1464.47</v>
      </c>
      <c r="D963" s="29">
        <f t="shared" si="361"/>
        <v>6.8199999999999997E-2</v>
      </c>
      <c r="E963" s="39">
        <f t="shared" si="362"/>
        <v>1415.0292307692305</v>
      </c>
      <c r="F963" s="39">
        <f t="shared" si="363"/>
        <v>1375.6733333333332</v>
      </c>
      <c r="G963" s="29">
        <f t="shared" si="369"/>
        <v>3.49E-2</v>
      </c>
      <c r="H963" s="29">
        <f t="shared" si="369"/>
        <v>6.4500000000000002E-2</v>
      </c>
      <c r="I963">
        <f t="shared" si="364"/>
        <v>1464.47</v>
      </c>
      <c r="J963">
        <f>IF(A963&gt;=Quarterly!B$2,Quarterly!C$2,IF(COUNTIFS(Quarterly!B:B,"&gt;="&amp;A963-92,Quarterly!B:B,"&lt;="&amp;A963)&gt;1,SUMIFS(Quarterly!C:C,Quarterly!B:B,"&gt;="&amp;A963-88,Quarterly!B:B,"&lt;="&amp;A963),SUMIFS(Quarterly!C:C,Quarterly!B:B,"&gt;="&amp;A963-92,Quarterly!B:B,"&lt;="&amp;A963)))</f>
        <v>9926.1</v>
      </c>
      <c r="K963" s="13">
        <f t="shared" si="365"/>
        <v>0.14749999999999999</v>
      </c>
      <c r="L963">
        <f t="shared" si="367"/>
        <v>1464.47</v>
      </c>
      <c r="M963">
        <f>IF(A963&gt;=Quarterly!B$2,Quarterly!D$2,IF(COUNTIFS(Quarterly!B:B,"&gt;="&amp;A963-92,Quarterly!B:B,"&lt;="&amp;A963)&gt;1,SUMIFS(Quarterly!D:D,Quarterly!B:B,"&gt;="&amp;A963-88,Quarterly!B:B,"&lt;="&amp;A963),SUMIFS(Quarterly!D:D,Quarterly!B:B,"&gt;="&amp;A963-92,Quarterly!B:B,"&lt;="&amp;A963)))</f>
        <v>523.08699999999999</v>
      </c>
      <c r="N963" s="13">
        <f t="shared" si="368"/>
        <v>0.27997</v>
      </c>
      <c r="O963">
        <f t="shared" si="356"/>
        <v>1464.47</v>
      </c>
      <c r="P963" s="56">
        <f>VLOOKUP(EOMONTH(A963,-1),Economic!A:I,7,FALSE)</f>
        <v>810819</v>
      </c>
      <c r="Q963" s="13">
        <f t="shared" si="357"/>
        <v>0.18060000000000001</v>
      </c>
      <c r="R963" s="41">
        <v>-0.3</v>
      </c>
      <c r="S963">
        <f t="shared" si="358"/>
        <v>0.1</v>
      </c>
      <c r="T963" s="30">
        <f t="shared" si="359"/>
        <v>0</v>
      </c>
      <c r="U963" s="30">
        <f t="shared" si="366"/>
        <v>0</v>
      </c>
    </row>
    <row r="964" spans="1:21" ht="15" customHeight="1" x14ac:dyDescent="0.25">
      <c r="A964" s="5">
        <v>36597</v>
      </c>
      <c r="B964" s="5">
        <f t="shared" si="360"/>
        <v>36616</v>
      </c>
      <c r="C964">
        <v>1395.07</v>
      </c>
      <c r="D964" s="29">
        <f t="shared" si="361"/>
        <v>1.9099999999999999E-2</v>
      </c>
      <c r="E964" s="39">
        <f t="shared" si="362"/>
        <v>1411.6876923076923</v>
      </c>
      <c r="F964" s="39">
        <f t="shared" si="363"/>
        <v>1372.5546153846153</v>
      </c>
      <c r="G964" s="29">
        <f t="shared" si="369"/>
        <v>-1.18E-2</v>
      </c>
      <c r="H964" s="29">
        <f t="shared" si="369"/>
        <v>1.6400000000000001E-2</v>
      </c>
      <c r="I964">
        <f t="shared" si="364"/>
        <v>1395.07</v>
      </c>
      <c r="J964">
        <f>IF(A964&gt;=Quarterly!B$2,Quarterly!C$2,IF(COUNTIFS(Quarterly!B:B,"&gt;="&amp;A964-92,Quarterly!B:B,"&lt;="&amp;A964)&gt;1,SUMIFS(Quarterly!C:C,Quarterly!B:B,"&gt;="&amp;A964-88,Quarterly!B:B,"&lt;="&amp;A964),SUMIFS(Quarterly!C:C,Quarterly!B:B,"&gt;="&amp;A964-92,Quarterly!B:B,"&lt;="&amp;A964)))</f>
        <v>9926.1</v>
      </c>
      <c r="K964" s="13">
        <f t="shared" si="365"/>
        <v>0.14050000000000001</v>
      </c>
      <c r="L964">
        <f t="shared" si="367"/>
        <v>1395.07</v>
      </c>
      <c r="M964">
        <f>IF(A964&gt;=Quarterly!B$2,Quarterly!D$2,IF(COUNTIFS(Quarterly!B:B,"&gt;="&amp;A964-92,Quarterly!B:B,"&lt;="&amp;A964)&gt;1,SUMIFS(Quarterly!D:D,Quarterly!B:B,"&gt;="&amp;A964-88,Quarterly!B:B,"&lt;="&amp;A964),SUMIFS(Quarterly!D:D,Quarterly!B:B,"&gt;="&amp;A964-92,Quarterly!B:B,"&lt;="&amp;A964)))</f>
        <v>523.08699999999999</v>
      </c>
      <c r="N964" s="13">
        <f t="shared" si="368"/>
        <v>0.26669999999999999</v>
      </c>
      <c r="O964">
        <f t="shared" si="356"/>
        <v>1395.07</v>
      </c>
      <c r="P964" s="56">
        <f>VLOOKUP(EOMONTH(A964,-1),Economic!A:I,7,FALSE)</f>
        <v>810819</v>
      </c>
      <c r="Q964" s="13">
        <f t="shared" si="357"/>
        <v>0.1721</v>
      </c>
      <c r="R964" s="41">
        <v>-0.16</v>
      </c>
      <c r="S964">
        <f t="shared" si="358"/>
        <v>0.15</v>
      </c>
      <c r="T964" s="30">
        <f t="shared" si="359"/>
        <v>0</v>
      </c>
      <c r="U964" s="30">
        <f t="shared" si="366"/>
        <v>0</v>
      </c>
    </row>
    <row r="965" spans="1:21" ht="15" customHeight="1" x14ac:dyDescent="0.25">
      <c r="A965" s="5">
        <v>36590</v>
      </c>
      <c r="B965" s="5">
        <f t="shared" si="360"/>
        <v>36616</v>
      </c>
      <c r="C965">
        <v>1409.17</v>
      </c>
      <c r="D965" s="29">
        <f t="shared" si="361"/>
        <v>2.6499999999999999E-2</v>
      </c>
      <c r="E965" s="39">
        <f t="shared" si="362"/>
        <v>1413.3776923076923</v>
      </c>
      <c r="F965" s="39">
        <f t="shared" si="363"/>
        <v>1369.9538461538461</v>
      </c>
      <c r="G965" s="29">
        <f t="shared" si="369"/>
        <v>-3.0000000000000001E-3</v>
      </c>
      <c r="H965" s="29">
        <f t="shared" si="369"/>
        <v>2.86E-2</v>
      </c>
      <c r="I965">
        <f t="shared" si="364"/>
        <v>1409.17</v>
      </c>
      <c r="J965">
        <f>IF(A965&gt;=Quarterly!B$2,Quarterly!C$2,IF(COUNTIFS(Quarterly!B:B,"&gt;="&amp;A965-92,Quarterly!B:B,"&lt;="&amp;A965)&gt;1,SUMIFS(Quarterly!C:C,Quarterly!B:B,"&gt;="&amp;A965-88,Quarterly!B:B,"&lt;="&amp;A965),SUMIFS(Quarterly!C:C,Quarterly!B:B,"&gt;="&amp;A965-92,Quarterly!B:B,"&lt;="&amp;A965)))</f>
        <v>9926.1</v>
      </c>
      <c r="K965" s="13">
        <f t="shared" si="365"/>
        <v>0.14199999999999999</v>
      </c>
      <c r="L965">
        <f t="shared" si="367"/>
        <v>1409.17</v>
      </c>
      <c r="M965">
        <f>IF(A965&gt;=Quarterly!B$2,Quarterly!D$2,IF(COUNTIFS(Quarterly!B:B,"&gt;="&amp;A965-92,Quarterly!B:B,"&lt;="&amp;A965)&gt;1,SUMIFS(Quarterly!D:D,Quarterly!B:B,"&gt;="&amp;A965-88,Quarterly!B:B,"&lt;="&amp;A965),SUMIFS(Quarterly!D:D,Quarterly!B:B,"&gt;="&amp;A965-92,Quarterly!B:B,"&lt;="&amp;A965)))</f>
        <v>523.08699999999999</v>
      </c>
      <c r="N965" s="13">
        <f t="shared" si="368"/>
        <v>0.26939000000000002</v>
      </c>
      <c r="O965">
        <f t="shared" si="356"/>
        <v>1409.17</v>
      </c>
      <c r="P965" s="56">
        <f>VLOOKUP(EOMONTH(A965,-1),Economic!A:I,7,FALSE)</f>
        <v>810819</v>
      </c>
      <c r="Q965" s="13">
        <f t="shared" si="357"/>
        <v>0.17380000000000001</v>
      </c>
      <c r="R965" s="41">
        <v>-0.11</v>
      </c>
      <c r="S965">
        <f t="shared" si="358"/>
        <v>0.11</v>
      </c>
      <c r="T965" s="30">
        <f t="shared" si="359"/>
        <v>0</v>
      </c>
      <c r="U965" s="30">
        <f t="shared" si="366"/>
        <v>0</v>
      </c>
    </row>
    <row r="966" spans="1:21" ht="15" customHeight="1" x14ac:dyDescent="0.25">
      <c r="A966" s="5">
        <v>36583</v>
      </c>
      <c r="B966" s="5">
        <f t="shared" si="360"/>
        <v>36585</v>
      </c>
      <c r="C966">
        <v>1333.36</v>
      </c>
      <c r="D966" s="29">
        <f t="shared" si="361"/>
        <v>-3.3399999999999999E-2</v>
      </c>
      <c r="E966" s="39">
        <f t="shared" si="362"/>
        <v>1415.2338461538459</v>
      </c>
      <c r="F966" s="39">
        <f t="shared" si="363"/>
        <v>1367.8661538461538</v>
      </c>
      <c r="G966" s="29">
        <f t="shared" si="369"/>
        <v>-5.79E-2</v>
      </c>
      <c r="H966" s="29">
        <f t="shared" si="369"/>
        <v>-2.52E-2</v>
      </c>
      <c r="I966">
        <f t="shared" si="364"/>
        <v>1333.36</v>
      </c>
      <c r="J966">
        <f>IF(A966&gt;=Quarterly!B$2,Quarterly!C$2,IF(COUNTIFS(Quarterly!B:B,"&gt;="&amp;A966-92,Quarterly!B:B,"&lt;="&amp;A966)&gt;1,SUMIFS(Quarterly!C:C,Quarterly!B:B,"&gt;="&amp;A966-88,Quarterly!B:B,"&lt;="&amp;A966),SUMIFS(Quarterly!C:C,Quarterly!B:B,"&gt;="&amp;A966-92,Quarterly!B:B,"&lt;="&amp;A966)))</f>
        <v>9926.1</v>
      </c>
      <c r="K966" s="13">
        <f t="shared" si="365"/>
        <v>0.1343</v>
      </c>
      <c r="L966">
        <f t="shared" si="367"/>
        <v>1333.36</v>
      </c>
      <c r="M966">
        <f>IF(A966&gt;=Quarterly!B$2,Quarterly!D$2,IF(COUNTIFS(Quarterly!B:B,"&gt;="&amp;A966-92,Quarterly!B:B,"&lt;="&amp;A966)&gt;1,SUMIFS(Quarterly!D:D,Quarterly!B:B,"&gt;="&amp;A966-88,Quarterly!B:B,"&lt;="&amp;A966),SUMIFS(Quarterly!D:D,Quarterly!B:B,"&gt;="&amp;A966-92,Quarterly!B:B,"&lt;="&amp;A966)))</f>
        <v>523.08699999999999</v>
      </c>
      <c r="N966" s="13">
        <f t="shared" si="368"/>
        <v>0.25490000000000002</v>
      </c>
      <c r="O966">
        <f t="shared" ref="O966:O1029" si="370">C966</f>
        <v>1333.36</v>
      </c>
      <c r="P966" s="56">
        <f>VLOOKUP(EOMONTH(A966,-1),Economic!A:I,7,FALSE)</f>
        <v>803866</v>
      </c>
      <c r="Q966" s="13">
        <f t="shared" ref="Q966:Q1029" si="371">ROUND(O966/P966,6)*100</f>
        <v>0.16590000000000002</v>
      </c>
      <c r="R966" s="41">
        <v>-0.09</v>
      </c>
      <c r="S966">
        <f t="shared" ref="S966:S1029" si="372">R1027</f>
        <v>0.08</v>
      </c>
      <c r="T966" s="30">
        <f t="shared" ref="T966:T1029" si="373">IF((ROUND((S966*40)+(G966*350)-(H966*100)-((N966-0.15)*350)-(((K966*10.5)-1)*270)-(Q966*100),2)+144)*0.8&lt;0,0,ROUND((ROUND((S966*40)+(G966*350)-(H966*100)-((N966-0.15)*350)-(((K966*10.5)-1)*270)-(Q966*100),2)+144)*0.8,2))</f>
        <v>0</v>
      </c>
      <c r="U966" s="30">
        <f t="shared" si="366"/>
        <v>0</v>
      </c>
    </row>
    <row r="967" spans="1:21" ht="15" customHeight="1" x14ac:dyDescent="0.25">
      <c r="A967" s="5">
        <v>36576</v>
      </c>
      <c r="B967" s="5">
        <f t="shared" si="360"/>
        <v>36585</v>
      </c>
      <c r="C967">
        <v>1346.09</v>
      </c>
      <c r="D967" s="29">
        <f t="shared" si="361"/>
        <v>-4.07E-2</v>
      </c>
      <c r="E967" s="39">
        <f t="shared" si="362"/>
        <v>1421.6384615384616</v>
      </c>
      <c r="F967" s="39">
        <f t="shared" si="363"/>
        <v>1367.0579487179486</v>
      </c>
      <c r="G967" s="29">
        <f t="shared" si="369"/>
        <v>-5.3100000000000001E-2</v>
      </c>
      <c r="H967" s="29">
        <f t="shared" si="369"/>
        <v>-1.5299999999999999E-2</v>
      </c>
      <c r="I967">
        <f t="shared" si="364"/>
        <v>1346.09</v>
      </c>
      <c r="J967">
        <f>IF(A967&gt;=Quarterly!B$2,Quarterly!C$2,IF(COUNTIFS(Quarterly!B:B,"&gt;="&amp;A967-92,Quarterly!B:B,"&lt;="&amp;A967)&gt;1,SUMIFS(Quarterly!C:C,Quarterly!B:B,"&gt;="&amp;A967-88,Quarterly!B:B,"&lt;="&amp;A967),SUMIFS(Quarterly!C:C,Quarterly!B:B,"&gt;="&amp;A967-92,Quarterly!B:B,"&lt;="&amp;A967)))</f>
        <v>9926.1</v>
      </c>
      <c r="K967" s="13">
        <f t="shared" si="365"/>
        <v>0.1356</v>
      </c>
      <c r="L967">
        <f t="shared" si="367"/>
        <v>1346.09</v>
      </c>
      <c r="M967">
        <f>IF(A967&gt;=Quarterly!B$2,Quarterly!D$2,IF(COUNTIFS(Quarterly!B:B,"&gt;="&amp;A967-92,Quarterly!B:B,"&lt;="&amp;A967)&gt;1,SUMIFS(Quarterly!D:D,Quarterly!B:B,"&gt;="&amp;A967-88,Quarterly!B:B,"&lt;="&amp;A967),SUMIFS(Quarterly!D:D,Quarterly!B:B,"&gt;="&amp;A967-92,Quarterly!B:B,"&lt;="&amp;A967)))</f>
        <v>523.08699999999999</v>
      </c>
      <c r="N967" s="13">
        <f t="shared" si="368"/>
        <v>0.25734000000000001</v>
      </c>
      <c r="O967">
        <f t="shared" si="370"/>
        <v>1346.09</v>
      </c>
      <c r="P967" s="56">
        <f>VLOOKUP(EOMONTH(A967,-1),Economic!A:I,7,FALSE)</f>
        <v>803866</v>
      </c>
      <c r="Q967" s="13">
        <f t="shared" si="371"/>
        <v>0.16750000000000001</v>
      </c>
      <c r="R967" s="41">
        <v>-0.17</v>
      </c>
      <c r="S967">
        <f t="shared" si="372"/>
        <v>0.13</v>
      </c>
      <c r="T967" s="30">
        <f t="shared" si="373"/>
        <v>0</v>
      </c>
      <c r="U967" s="30">
        <f t="shared" si="366"/>
        <v>0</v>
      </c>
    </row>
    <row r="968" spans="1:21" ht="15" customHeight="1" x14ac:dyDescent="0.25">
      <c r="A968" s="5">
        <v>36569</v>
      </c>
      <c r="B968" s="5">
        <f t="shared" si="360"/>
        <v>36585</v>
      </c>
      <c r="C968">
        <v>1387.12</v>
      </c>
      <c r="D968" s="29">
        <f t="shared" si="361"/>
        <v>-2.5000000000000001E-2</v>
      </c>
      <c r="E968" s="39">
        <f t="shared" si="362"/>
        <v>1427.4776923076922</v>
      </c>
      <c r="F968" s="39">
        <f t="shared" si="363"/>
        <v>1366.6528205128204</v>
      </c>
      <c r="G968" s="29">
        <f t="shared" si="369"/>
        <v>-2.8299999999999999E-2</v>
      </c>
      <c r="H968" s="29">
        <f t="shared" si="369"/>
        <v>1.4999999999999999E-2</v>
      </c>
      <c r="I968">
        <f t="shared" si="364"/>
        <v>1387.12</v>
      </c>
      <c r="J968">
        <f>IF(A968&gt;=Quarterly!B$2,Quarterly!C$2,IF(COUNTIFS(Quarterly!B:B,"&gt;="&amp;A968-92,Quarterly!B:B,"&lt;="&amp;A968)&gt;1,SUMIFS(Quarterly!C:C,Quarterly!B:B,"&gt;="&amp;A968-88,Quarterly!B:B,"&lt;="&amp;A968),SUMIFS(Quarterly!C:C,Quarterly!B:B,"&gt;="&amp;A968-92,Quarterly!B:B,"&lt;="&amp;A968)))</f>
        <v>9926.1</v>
      </c>
      <c r="K968" s="13">
        <f t="shared" si="365"/>
        <v>0.13969999999999999</v>
      </c>
      <c r="L968">
        <f t="shared" si="367"/>
        <v>1387.12</v>
      </c>
      <c r="M968">
        <f>IF(A968&gt;=Quarterly!B$2,Quarterly!D$2,IF(COUNTIFS(Quarterly!B:B,"&gt;="&amp;A968-92,Quarterly!B:B,"&lt;="&amp;A968)&gt;1,SUMIFS(Quarterly!D:D,Quarterly!B:B,"&gt;="&amp;A968-88,Quarterly!B:B,"&lt;="&amp;A968),SUMIFS(Quarterly!D:D,Quarterly!B:B,"&gt;="&amp;A968-92,Quarterly!B:B,"&lt;="&amp;A968)))</f>
        <v>523.08699999999999</v>
      </c>
      <c r="N968" s="13">
        <f t="shared" si="368"/>
        <v>0.26518000000000003</v>
      </c>
      <c r="O968">
        <f t="shared" si="370"/>
        <v>1387.12</v>
      </c>
      <c r="P968" s="56">
        <f>VLOOKUP(EOMONTH(A968,-1),Economic!A:I,7,FALSE)</f>
        <v>803866</v>
      </c>
      <c r="Q968" s="13">
        <f t="shared" si="371"/>
        <v>0.1726</v>
      </c>
      <c r="R968" s="41">
        <v>-0.02</v>
      </c>
      <c r="S968">
        <f t="shared" si="372"/>
        <v>0.15</v>
      </c>
      <c r="T968" s="30">
        <f t="shared" si="373"/>
        <v>0</v>
      </c>
      <c r="U968" s="30">
        <f t="shared" si="366"/>
        <v>0</v>
      </c>
    </row>
    <row r="969" spans="1:21" ht="15" customHeight="1" x14ac:dyDescent="0.25">
      <c r="A969" s="5">
        <v>36562</v>
      </c>
      <c r="B969" s="5">
        <f t="shared" si="360"/>
        <v>36585</v>
      </c>
      <c r="C969">
        <v>1424.37</v>
      </c>
      <c r="D969" s="29">
        <f t="shared" si="361"/>
        <v>-1.9E-3</v>
      </c>
      <c r="E969" s="39">
        <f t="shared" si="362"/>
        <v>1428.1653846153845</v>
      </c>
      <c r="F969" s="39">
        <f t="shared" si="363"/>
        <v>1365.3882051282051</v>
      </c>
      <c r="G969" s="29">
        <f t="shared" si="369"/>
        <v>-2.7000000000000001E-3</v>
      </c>
      <c r="H969" s="29">
        <f t="shared" si="369"/>
        <v>4.3200000000000002E-2</v>
      </c>
      <c r="I969">
        <f t="shared" si="364"/>
        <v>1424.37</v>
      </c>
      <c r="J969">
        <f>IF(A969&gt;=Quarterly!B$2,Quarterly!C$2,IF(COUNTIFS(Quarterly!B:B,"&gt;="&amp;A969-92,Quarterly!B:B,"&lt;="&amp;A969)&gt;1,SUMIFS(Quarterly!C:C,Quarterly!B:B,"&gt;="&amp;A969-88,Quarterly!B:B,"&lt;="&amp;A969),SUMIFS(Quarterly!C:C,Quarterly!B:B,"&gt;="&amp;A969-92,Quarterly!B:B,"&lt;="&amp;A969)))</f>
        <v>9926.1</v>
      </c>
      <c r="K969" s="13">
        <f t="shared" si="365"/>
        <v>0.14349999999999999</v>
      </c>
      <c r="L969">
        <f t="shared" si="367"/>
        <v>1424.37</v>
      </c>
      <c r="M969">
        <f>IF(A969&gt;=Quarterly!B$2,Quarterly!D$2,IF(COUNTIFS(Quarterly!B:B,"&gt;="&amp;A969-92,Quarterly!B:B,"&lt;="&amp;A969)&gt;1,SUMIFS(Quarterly!D:D,Quarterly!B:B,"&gt;="&amp;A969-88,Quarterly!B:B,"&lt;="&amp;A969),SUMIFS(Quarterly!D:D,Quarterly!B:B,"&gt;="&amp;A969-92,Quarterly!B:B,"&lt;="&amp;A969)))</f>
        <v>523.08699999999999</v>
      </c>
      <c r="N969" s="13">
        <f t="shared" si="368"/>
        <v>0.27229999999999999</v>
      </c>
      <c r="O969">
        <f t="shared" si="370"/>
        <v>1424.37</v>
      </c>
      <c r="P969" s="56">
        <f>VLOOKUP(EOMONTH(A969,-1),Economic!A:I,7,FALSE)</f>
        <v>803866</v>
      </c>
      <c r="Q969" s="13">
        <f t="shared" si="371"/>
        <v>0.1772</v>
      </c>
      <c r="R969" s="41">
        <v>-0.1</v>
      </c>
      <c r="S969">
        <f t="shared" si="372"/>
        <v>0.16</v>
      </c>
      <c r="T969" s="30">
        <f t="shared" si="373"/>
        <v>0</v>
      </c>
      <c r="U969" s="30">
        <f t="shared" si="366"/>
        <v>0</v>
      </c>
    </row>
    <row r="970" spans="1:21" ht="15" customHeight="1" x14ac:dyDescent="0.25">
      <c r="A970" s="5">
        <v>36555</v>
      </c>
      <c r="B970" s="5">
        <f t="shared" si="360"/>
        <v>36556</v>
      </c>
      <c r="C970">
        <v>1360.16</v>
      </c>
      <c r="D970" s="29">
        <f t="shared" si="361"/>
        <v>-6.4699999999999994E-2</v>
      </c>
      <c r="E970" s="39">
        <f t="shared" si="362"/>
        <v>1424.000769230769</v>
      </c>
      <c r="F970" s="39">
        <f t="shared" si="363"/>
        <v>1363.3530769230767</v>
      </c>
      <c r="G970" s="29">
        <f t="shared" si="369"/>
        <v>-4.48E-2</v>
      </c>
      <c r="H970" s="29">
        <f t="shared" si="369"/>
        <v>-2.3E-3</v>
      </c>
      <c r="I970">
        <f t="shared" si="364"/>
        <v>1360.16</v>
      </c>
      <c r="J970">
        <f>IF(A970&gt;=Quarterly!B$2,Quarterly!C$2,IF(COUNTIFS(Quarterly!B:B,"&gt;="&amp;A970-92,Quarterly!B:B,"&lt;="&amp;A970)&gt;1,SUMIFS(Quarterly!C:C,Quarterly!B:B,"&gt;="&amp;A970-88,Quarterly!B:B,"&lt;="&amp;A970),SUMIFS(Quarterly!C:C,Quarterly!B:B,"&gt;="&amp;A970-92,Quarterly!B:B,"&lt;="&amp;A970)))</f>
        <v>9712.2999999999993</v>
      </c>
      <c r="K970" s="13">
        <f t="shared" si="365"/>
        <v>0.14000000000000001</v>
      </c>
      <c r="L970">
        <f t="shared" si="367"/>
        <v>1360.16</v>
      </c>
      <c r="M970">
        <f>IF(A970&gt;=Quarterly!B$2,Quarterly!D$2,IF(COUNTIFS(Quarterly!B:B,"&gt;="&amp;A970-92,Quarterly!B:B,"&lt;="&amp;A970)&gt;1,SUMIFS(Quarterly!D:D,Quarterly!B:B,"&gt;="&amp;A970-88,Quarterly!B:B,"&lt;="&amp;A970),SUMIFS(Quarterly!D:D,Quarterly!B:B,"&gt;="&amp;A970-92,Quarterly!B:B,"&lt;="&amp;A970)))</f>
        <v>505.72899999999998</v>
      </c>
      <c r="N970" s="13">
        <f t="shared" si="368"/>
        <v>0.26894999999999997</v>
      </c>
      <c r="O970">
        <f t="shared" si="370"/>
        <v>1360.16</v>
      </c>
      <c r="P970" s="56">
        <f>VLOOKUP(EOMONTH(A970,-1),Economic!A:I,7,FALSE)</f>
        <v>799170</v>
      </c>
      <c r="Q970" s="13">
        <f t="shared" si="371"/>
        <v>0.17019999999999999</v>
      </c>
      <c r="R970" s="41">
        <v>0.08</v>
      </c>
      <c r="S970">
        <f t="shared" si="372"/>
        <v>0.19</v>
      </c>
      <c r="T970" s="30">
        <f t="shared" si="373"/>
        <v>0</v>
      </c>
      <c r="U970" s="30">
        <f t="shared" si="366"/>
        <v>0</v>
      </c>
    </row>
    <row r="971" spans="1:21" ht="15" customHeight="1" x14ac:dyDescent="0.25">
      <c r="A971" s="5">
        <v>36548</v>
      </c>
      <c r="B971" s="5">
        <f t="shared" si="360"/>
        <v>36556</v>
      </c>
      <c r="C971">
        <v>1441.36</v>
      </c>
      <c r="D971" s="29">
        <f t="shared" si="361"/>
        <v>-1.18E-2</v>
      </c>
      <c r="E971" s="39">
        <f t="shared" si="362"/>
        <v>1424.2138461538461</v>
      </c>
      <c r="F971" s="39">
        <f t="shared" si="363"/>
        <v>1362.7125641025641</v>
      </c>
      <c r="G971" s="29">
        <f t="shared" si="369"/>
        <v>1.2E-2</v>
      </c>
      <c r="H971" s="29">
        <f t="shared" si="369"/>
        <v>5.7700000000000001E-2</v>
      </c>
      <c r="I971">
        <f t="shared" si="364"/>
        <v>1441.36</v>
      </c>
      <c r="J971">
        <f>IF(A971&gt;=Quarterly!B$2,Quarterly!C$2,IF(COUNTIFS(Quarterly!B:B,"&gt;="&amp;A971-92,Quarterly!B:B,"&lt;="&amp;A971)&gt;1,SUMIFS(Quarterly!C:C,Quarterly!B:B,"&gt;="&amp;A971-88,Quarterly!B:B,"&lt;="&amp;A971),SUMIFS(Quarterly!C:C,Quarterly!B:B,"&gt;="&amp;A971-92,Quarterly!B:B,"&lt;="&amp;A971)))</f>
        <v>9712.2999999999993</v>
      </c>
      <c r="K971" s="13">
        <f t="shared" si="365"/>
        <v>0.1484</v>
      </c>
      <c r="L971">
        <f t="shared" si="367"/>
        <v>1441.36</v>
      </c>
      <c r="M971">
        <f>IF(A971&gt;=Quarterly!B$2,Quarterly!D$2,IF(COUNTIFS(Quarterly!B:B,"&gt;="&amp;A971-92,Quarterly!B:B,"&lt;="&amp;A971)&gt;1,SUMIFS(Quarterly!D:D,Quarterly!B:B,"&gt;="&amp;A971-88,Quarterly!B:B,"&lt;="&amp;A971),SUMIFS(Quarterly!D:D,Quarterly!B:B,"&gt;="&amp;A971-92,Quarterly!B:B,"&lt;="&amp;A971)))</f>
        <v>505.72899999999998</v>
      </c>
      <c r="N971" s="13">
        <f t="shared" si="368"/>
        <v>0.28500999999999999</v>
      </c>
      <c r="O971">
        <f t="shared" si="370"/>
        <v>1441.36</v>
      </c>
      <c r="P971" s="56">
        <f>VLOOKUP(EOMONTH(A971,-1),Economic!A:I,7,FALSE)</f>
        <v>799170</v>
      </c>
      <c r="Q971" s="13">
        <f t="shared" si="371"/>
        <v>0.1804</v>
      </c>
      <c r="R971" s="41">
        <v>0.31</v>
      </c>
      <c r="S971">
        <f t="shared" si="372"/>
        <v>0.16</v>
      </c>
      <c r="T971" s="30">
        <f t="shared" si="373"/>
        <v>0</v>
      </c>
      <c r="U971" s="30">
        <f t="shared" si="366"/>
        <v>0</v>
      </c>
    </row>
    <row r="972" spans="1:21" ht="15" customHeight="1" x14ac:dyDescent="0.25">
      <c r="A972" s="5">
        <v>36541</v>
      </c>
      <c r="B972" s="5">
        <f t="shared" si="360"/>
        <v>36556</v>
      </c>
      <c r="C972">
        <v>1465.15</v>
      </c>
      <c r="D972" s="29">
        <f t="shared" si="361"/>
        <v>1.2200000000000001E-2</v>
      </c>
      <c r="E972" s="39">
        <f t="shared" si="362"/>
        <v>1413.4669230769227</v>
      </c>
      <c r="F972" s="39">
        <f t="shared" si="363"/>
        <v>1360.5456410256409</v>
      </c>
      <c r="G972" s="29">
        <f t="shared" si="369"/>
        <v>3.6600000000000001E-2</v>
      </c>
      <c r="H972" s="29">
        <f t="shared" si="369"/>
        <v>7.6899999999999996E-2</v>
      </c>
      <c r="I972">
        <f t="shared" si="364"/>
        <v>1465.15</v>
      </c>
      <c r="J972">
        <f>IF(A972&gt;=Quarterly!B$2,Quarterly!C$2,IF(COUNTIFS(Quarterly!B:B,"&gt;="&amp;A972-92,Quarterly!B:B,"&lt;="&amp;A972)&gt;1,SUMIFS(Quarterly!C:C,Quarterly!B:B,"&gt;="&amp;A972-88,Quarterly!B:B,"&lt;="&amp;A972),SUMIFS(Quarterly!C:C,Quarterly!B:B,"&gt;="&amp;A972-92,Quarterly!B:B,"&lt;="&amp;A972)))</f>
        <v>9712.2999999999993</v>
      </c>
      <c r="K972" s="13">
        <f t="shared" si="365"/>
        <v>0.15090000000000001</v>
      </c>
      <c r="L972">
        <f t="shared" si="367"/>
        <v>1465.15</v>
      </c>
      <c r="M972">
        <f>IF(A972&gt;=Quarterly!B$2,Quarterly!D$2,IF(COUNTIFS(Quarterly!B:B,"&gt;="&amp;A972-92,Quarterly!B:B,"&lt;="&amp;A972)&gt;1,SUMIFS(Quarterly!D:D,Quarterly!B:B,"&gt;="&amp;A972-88,Quarterly!B:B,"&lt;="&amp;A972),SUMIFS(Quarterly!D:D,Quarterly!B:B,"&gt;="&amp;A972-92,Quarterly!B:B,"&lt;="&amp;A972)))</f>
        <v>505.72899999999998</v>
      </c>
      <c r="N972" s="13">
        <f t="shared" si="368"/>
        <v>0.28971000000000002</v>
      </c>
      <c r="O972">
        <f t="shared" si="370"/>
        <v>1465.15</v>
      </c>
      <c r="P972" s="56">
        <f>VLOOKUP(EOMONTH(A972,-1),Economic!A:I,7,FALSE)</f>
        <v>799170</v>
      </c>
      <c r="Q972" s="13">
        <f t="shared" si="371"/>
        <v>0.18329999999999999</v>
      </c>
      <c r="R972" s="41">
        <v>0.25</v>
      </c>
      <c r="S972">
        <f t="shared" si="372"/>
        <v>0.28000000000000003</v>
      </c>
      <c r="T972" s="30">
        <f t="shared" si="373"/>
        <v>0</v>
      </c>
      <c r="U972" s="30">
        <f t="shared" si="366"/>
        <v>0</v>
      </c>
    </row>
    <row r="973" spans="1:21" ht="15" customHeight="1" x14ac:dyDescent="0.25">
      <c r="A973" s="5">
        <v>36534</v>
      </c>
      <c r="B973" s="5">
        <f t="shared" si="360"/>
        <v>36556</v>
      </c>
      <c r="C973">
        <v>1441.47</v>
      </c>
      <c r="D973" s="29">
        <f t="shared" si="361"/>
        <v>0</v>
      </c>
      <c r="E973" s="39">
        <f t="shared" si="362"/>
        <v>1396.7176923076922</v>
      </c>
      <c r="F973" s="39">
        <f t="shared" si="363"/>
        <v>1356.7982051282052</v>
      </c>
      <c r="G973" s="29">
        <f t="shared" si="369"/>
        <v>3.2000000000000001E-2</v>
      </c>
      <c r="H973" s="29">
        <f t="shared" si="369"/>
        <v>6.2399999999999997E-2</v>
      </c>
      <c r="I973">
        <f t="shared" si="364"/>
        <v>1441.47</v>
      </c>
      <c r="J973">
        <f>IF(A973&gt;=Quarterly!B$2,Quarterly!C$2,IF(COUNTIFS(Quarterly!B:B,"&gt;="&amp;A973-92,Quarterly!B:B,"&lt;="&amp;A973)&gt;1,SUMIFS(Quarterly!C:C,Quarterly!B:B,"&gt;="&amp;A973-88,Quarterly!B:B,"&lt;="&amp;A973),SUMIFS(Quarterly!C:C,Quarterly!B:B,"&gt;="&amp;A973-92,Quarterly!B:B,"&lt;="&amp;A973)))</f>
        <v>9712.2999999999993</v>
      </c>
      <c r="K973" s="13">
        <f t="shared" si="365"/>
        <v>0.1484</v>
      </c>
      <c r="L973">
        <f t="shared" si="367"/>
        <v>1441.47</v>
      </c>
      <c r="M973">
        <f>IF(A973&gt;=Quarterly!B$2,Quarterly!D$2,IF(COUNTIFS(Quarterly!B:B,"&gt;="&amp;A973-92,Quarterly!B:B,"&lt;="&amp;A973)&gt;1,SUMIFS(Quarterly!D:D,Quarterly!B:B,"&gt;="&amp;A973-88,Quarterly!B:B,"&lt;="&amp;A973),SUMIFS(Quarterly!D:D,Quarterly!B:B,"&gt;="&amp;A973-92,Quarterly!B:B,"&lt;="&amp;A973)))</f>
        <v>505.72899999999998</v>
      </c>
      <c r="N973" s="13">
        <f t="shared" si="368"/>
        <v>0.28503000000000001</v>
      </c>
      <c r="O973">
        <f t="shared" si="370"/>
        <v>1441.47</v>
      </c>
      <c r="P973" s="56">
        <f>VLOOKUP(EOMONTH(A973,-1),Economic!A:I,7,FALSE)</f>
        <v>799170</v>
      </c>
      <c r="Q973" s="13">
        <f t="shared" si="371"/>
        <v>0.1804</v>
      </c>
      <c r="R973" s="41">
        <v>0.21</v>
      </c>
      <c r="S973">
        <f t="shared" si="372"/>
        <v>0.34</v>
      </c>
      <c r="T973" s="30">
        <f t="shared" si="373"/>
        <v>0</v>
      </c>
      <c r="U973" s="30">
        <f t="shared" si="366"/>
        <v>0</v>
      </c>
    </row>
    <row r="974" spans="1:21" ht="15" customHeight="1" x14ac:dyDescent="0.25">
      <c r="A974" s="5">
        <v>36527</v>
      </c>
      <c r="B974" s="5">
        <f t="shared" si="360"/>
        <v>36556</v>
      </c>
      <c r="C974">
        <v>1469.25</v>
      </c>
      <c r="D974" s="29">
        <f t="shared" si="361"/>
        <v>2.5700000000000001E-2</v>
      </c>
      <c r="E974" s="39">
        <f t="shared" si="362"/>
        <v>1388.606153846154</v>
      </c>
      <c r="F974" s="39">
        <f t="shared" si="363"/>
        <v>1354.4105128205126</v>
      </c>
      <c r="G974" s="29">
        <f t="shared" si="369"/>
        <v>5.8099999999999999E-2</v>
      </c>
      <c r="H974" s="29">
        <f t="shared" si="369"/>
        <v>8.48E-2</v>
      </c>
      <c r="I974">
        <f t="shared" si="364"/>
        <v>1469.25</v>
      </c>
      <c r="J974">
        <f>IF(A974&gt;=Quarterly!B$2,Quarterly!C$2,IF(COUNTIFS(Quarterly!B:B,"&gt;="&amp;A974-92,Quarterly!B:B,"&lt;="&amp;A974)&gt;1,SUMIFS(Quarterly!C:C,Quarterly!B:B,"&gt;="&amp;A974-88,Quarterly!B:B,"&lt;="&amp;A974),SUMIFS(Quarterly!C:C,Quarterly!B:B,"&gt;="&amp;A974-92,Quarterly!B:B,"&lt;="&amp;A974)))</f>
        <v>9712.2999999999993</v>
      </c>
      <c r="K974" s="13">
        <f t="shared" si="365"/>
        <v>0.15129999999999999</v>
      </c>
      <c r="L974">
        <f t="shared" si="367"/>
        <v>1469.25</v>
      </c>
      <c r="M974">
        <f>IF(A974&gt;=Quarterly!B$2,Quarterly!D$2,IF(COUNTIFS(Quarterly!B:B,"&gt;="&amp;A974-92,Quarterly!B:B,"&lt;="&amp;A974)&gt;1,SUMIFS(Quarterly!D:D,Quarterly!B:B,"&gt;="&amp;A974-88,Quarterly!B:B,"&lt;="&amp;A974),SUMIFS(Quarterly!D:D,Quarterly!B:B,"&gt;="&amp;A974-92,Quarterly!B:B,"&lt;="&amp;A974)))</f>
        <v>505.72899999999998</v>
      </c>
      <c r="N974" s="13">
        <f t="shared" si="368"/>
        <v>0.29052</v>
      </c>
      <c r="O974">
        <f t="shared" si="370"/>
        <v>1469.25</v>
      </c>
      <c r="P974" s="56">
        <f>VLOOKUP(EOMONTH(A974,-1),Economic!A:I,7,FALSE)</f>
        <v>799170</v>
      </c>
      <c r="Q974" s="13">
        <f t="shared" si="371"/>
        <v>0.18379999999999999</v>
      </c>
      <c r="R974" s="41">
        <v>0.21</v>
      </c>
      <c r="S974">
        <f t="shared" si="372"/>
        <v>0.52</v>
      </c>
      <c r="T974" s="30">
        <f t="shared" si="373"/>
        <v>0</v>
      </c>
      <c r="U974" s="30">
        <f t="shared" si="366"/>
        <v>0</v>
      </c>
    </row>
    <row r="975" spans="1:21" ht="15" customHeight="1" x14ac:dyDescent="0.25">
      <c r="A975" s="5">
        <v>36520</v>
      </c>
      <c r="B975" s="5">
        <f t="shared" si="360"/>
        <v>36525</v>
      </c>
      <c r="C975">
        <v>1458.34</v>
      </c>
      <c r="D975" s="29">
        <f t="shared" si="361"/>
        <v>2.5600000000000001E-2</v>
      </c>
      <c r="E975" s="39">
        <f t="shared" si="362"/>
        <v>1374.2646153846154</v>
      </c>
      <c r="F975" s="39">
        <f t="shared" si="363"/>
        <v>1349.9097435897436</v>
      </c>
      <c r="G975" s="29">
        <f t="shared" si="369"/>
        <v>6.1199999999999997E-2</v>
      </c>
      <c r="H975" s="29">
        <f t="shared" si="369"/>
        <v>8.0299999999999996E-2</v>
      </c>
      <c r="I975">
        <f t="shared" si="364"/>
        <v>1458.34</v>
      </c>
      <c r="J975">
        <f>IF(A975&gt;=Quarterly!B$2,Quarterly!C$2,IF(COUNTIFS(Quarterly!B:B,"&gt;="&amp;A975-92,Quarterly!B:B,"&lt;="&amp;A975)&gt;1,SUMIFS(Quarterly!C:C,Quarterly!B:B,"&gt;="&amp;A975-88,Quarterly!B:B,"&lt;="&amp;A975),SUMIFS(Quarterly!C:C,Quarterly!B:B,"&gt;="&amp;A975-92,Quarterly!B:B,"&lt;="&amp;A975)))</f>
        <v>9712.2999999999993</v>
      </c>
      <c r="K975" s="13">
        <f t="shared" si="365"/>
        <v>0.1502</v>
      </c>
      <c r="L975">
        <f t="shared" si="367"/>
        <v>1458.34</v>
      </c>
      <c r="M975">
        <f>IF(A975&gt;=Quarterly!B$2,Quarterly!D$2,IF(COUNTIFS(Quarterly!B:B,"&gt;="&amp;A975-92,Quarterly!B:B,"&lt;="&amp;A975)&gt;1,SUMIFS(Quarterly!D:D,Quarterly!B:B,"&gt;="&amp;A975-88,Quarterly!B:B,"&lt;="&amp;A975),SUMIFS(Quarterly!D:D,Quarterly!B:B,"&gt;="&amp;A975-92,Quarterly!B:B,"&lt;="&amp;A975)))</f>
        <v>505.72899999999998</v>
      </c>
      <c r="N975" s="13">
        <f t="shared" si="368"/>
        <v>0.28836000000000001</v>
      </c>
      <c r="O975">
        <f t="shared" si="370"/>
        <v>1458.34</v>
      </c>
      <c r="P975" s="56">
        <f>VLOOKUP(EOMONTH(A975,-1),Economic!A:I,7,FALSE)</f>
        <v>792651</v>
      </c>
      <c r="Q975" s="13">
        <f t="shared" si="371"/>
        <v>0.184</v>
      </c>
      <c r="R975" s="41">
        <v>0.17</v>
      </c>
      <c r="S975">
        <f t="shared" si="372"/>
        <v>0.5</v>
      </c>
      <c r="T975" s="30">
        <f t="shared" si="373"/>
        <v>0</v>
      </c>
      <c r="U975" s="30">
        <f t="shared" si="366"/>
        <v>0</v>
      </c>
    </row>
    <row r="976" spans="1:21" ht="15" customHeight="1" x14ac:dyDescent="0.25">
      <c r="A976" s="5">
        <v>36513</v>
      </c>
      <c r="B976" s="5">
        <f t="shared" si="360"/>
        <v>36525</v>
      </c>
      <c r="C976">
        <v>1421.03</v>
      </c>
      <c r="D976" s="29">
        <f t="shared" si="361"/>
        <v>-8.9999999999999998E-4</v>
      </c>
      <c r="E976" s="39">
        <f t="shared" si="362"/>
        <v>1360.3430769230768</v>
      </c>
      <c r="F976" s="39">
        <f t="shared" si="363"/>
        <v>1345.4087179487178</v>
      </c>
      <c r="G976" s="29">
        <f t="shared" si="369"/>
        <v>4.4600000000000001E-2</v>
      </c>
      <c r="H976" s="29">
        <f t="shared" si="369"/>
        <v>5.62E-2</v>
      </c>
      <c r="I976">
        <f t="shared" si="364"/>
        <v>1421.03</v>
      </c>
      <c r="J976">
        <f>IF(A976&gt;=Quarterly!B$2,Quarterly!C$2,IF(COUNTIFS(Quarterly!B:B,"&gt;="&amp;A976-92,Quarterly!B:B,"&lt;="&amp;A976)&gt;1,SUMIFS(Quarterly!C:C,Quarterly!B:B,"&gt;="&amp;A976-88,Quarterly!B:B,"&lt;="&amp;A976),SUMIFS(Quarterly!C:C,Quarterly!B:B,"&gt;="&amp;A976-92,Quarterly!B:B,"&lt;="&amp;A976)))</f>
        <v>9712.2999999999993</v>
      </c>
      <c r="K976" s="13">
        <f t="shared" si="365"/>
        <v>0.14630000000000001</v>
      </c>
      <c r="L976">
        <f t="shared" si="367"/>
        <v>1421.03</v>
      </c>
      <c r="M976">
        <f>IF(A976&gt;=Quarterly!B$2,Quarterly!D$2,IF(COUNTIFS(Quarterly!B:B,"&gt;="&amp;A976-92,Quarterly!B:B,"&lt;="&amp;A976)&gt;1,SUMIFS(Quarterly!D:D,Quarterly!B:B,"&gt;="&amp;A976-88,Quarterly!B:B,"&lt;="&amp;A976),SUMIFS(Quarterly!D:D,Quarterly!B:B,"&gt;="&amp;A976-92,Quarterly!B:B,"&lt;="&amp;A976)))</f>
        <v>505.72899999999998</v>
      </c>
      <c r="N976" s="13">
        <f t="shared" si="368"/>
        <v>0.28099000000000002</v>
      </c>
      <c r="O976">
        <f t="shared" si="370"/>
        <v>1421.03</v>
      </c>
      <c r="P976" s="56">
        <f>VLOOKUP(EOMONTH(A976,-1),Economic!A:I,7,FALSE)</f>
        <v>792651</v>
      </c>
      <c r="Q976" s="13">
        <f t="shared" si="371"/>
        <v>0.17930000000000001</v>
      </c>
      <c r="R976" s="41">
        <v>0.15</v>
      </c>
      <c r="S976">
        <f t="shared" si="372"/>
        <v>0.57999999999999996</v>
      </c>
      <c r="T976" s="30">
        <f t="shared" si="373"/>
        <v>0</v>
      </c>
      <c r="U976" s="30">
        <f t="shared" si="366"/>
        <v>0</v>
      </c>
    </row>
    <row r="977" spans="1:21" ht="15" customHeight="1" x14ac:dyDescent="0.25">
      <c r="A977" s="5">
        <v>36506</v>
      </c>
      <c r="B977" s="5">
        <f t="shared" si="360"/>
        <v>36525</v>
      </c>
      <c r="C977">
        <v>1417.04</v>
      </c>
      <c r="D977" s="29">
        <f t="shared" si="361"/>
        <v>0</v>
      </c>
      <c r="E977" s="39">
        <f t="shared" si="362"/>
        <v>1353.7576923076922</v>
      </c>
      <c r="F977" s="39">
        <f t="shared" si="363"/>
        <v>1342.2871794871794</v>
      </c>
      <c r="G977" s="29">
        <f t="shared" si="369"/>
        <v>4.6699999999999998E-2</v>
      </c>
      <c r="H977" s="29">
        <f t="shared" si="369"/>
        <v>5.57E-2</v>
      </c>
      <c r="I977">
        <f t="shared" si="364"/>
        <v>1417.04</v>
      </c>
      <c r="J977">
        <f>IF(A977&gt;=Quarterly!B$2,Quarterly!C$2,IF(COUNTIFS(Quarterly!B:B,"&gt;="&amp;A977-92,Quarterly!B:B,"&lt;="&amp;A977)&gt;1,SUMIFS(Quarterly!C:C,Quarterly!B:B,"&gt;="&amp;A977-88,Quarterly!B:B,"&lt;="&amp;A977),SUMIFS(Quarterly!C:C,Quarterly!B:B,"&gt;="&amp;A977-92,Quarterly!B:B,"&lt;="&amp;A977)))</f>
        <v>9712.2999999999993</v>
      </c>
      <c r="K977" s="13">
        <f t="shared" si="365"/>
        <v>0.1459</v>
      </c>
      <c r="L977">
        <f t="shared" si="367"/>
        <v>1417.04</v>
      </c>
      <c r="M977">
        <f>IF(A977&gt;=Quarterly!B$2,Quarterly!D$2,IF(COUNTIFS(Quarterly!B:B,"&gt;="&amp;A977-92,Quarterly!B:B,"&lt;="&amp;A977)&gt;1,SUMIFS(Quarterly!D:D,Quarterly!B:B,"&gt;="&amp;A977-88,Quarterly!B:B,"&lt;="&amp;A977),SUMIFS(Quarterly!D:D,Quarterly!B:B,"&gt;="&amp;A977-92,Quarterly!B:B,"&lt;="&amp;A977)))</f>
        <v>505.72899999999998</v>
      </c>
      <c r="N977" s="13">
        <f t="shared" si="368"/>
        <v>0.2802</v>
      </c>
      <c r="O977">
        <f t="shared" si="370"/>
        <v>1417.04</v>
      </c>
      <c r="P977" s="56">
        <f>VLOOKUP(EOMONTH(A977,-1),Economic!A:I,7,FALSE)</f>
        <v>792651</v>
      </c>
      <c r="Q977" s="13">
        <f t="shared" si="371"/>
        <v>0.17880000000000001</v>
      </c>
      <c r="R977" s="41">
        <v>0.15</v>
      </c>
      <c r="S977">
        <f t="shared" si="372"/>
        <v>0.57999999999999996</v>
      </c>
      <c r="T977" s="30">
        <f t="shared" si="373"/>
        <v>0</v>
      </c>
      <c r="U977" s="30">
        <f t="shared" si="366"/>
        <v>0</v>
      </c>
    </row>
    <row r="978" spans="1:21" ht="15" customHeight="1" x14ac:dyDescent="0.25">
      <c r="A978" s="5">
        <v>36499</v>
      </c>
      <c r="B978" s="5">
        <f t="shared" ref="B978:B1041" si="374">EOMONTH(A978,0)</f>
        <v>36525</v>
      </c>
      <c r="C978">
        <v>1433.3</v>
      </c>
      <c r="D978" s="29">
        <f t="shared" ref="D978:D1041" si="375">ROUND((C978-AVERAGE(C979:C982))/AVERAGE(C979:C982),4)</f>
        <v>2.29E-2</v>
      </c>
      <c r="E978" s="39">
        <f t="shared" ref="E978:E1041" si="376">AVERAGE(C978:C990)</f>
        <v>1348.7284615384617</v>
      </c>
      <c r="F978" s="39">
        <f t="shared" ref="F978:F1041" si="377">AVERAGE(C978:C1016)</f>
        <v>1339.1474358974358</v>
      </c>
      <c r="G978" s="29">
        <f t="shared" si="369"/>
        <v>6.2700000000000006E-2</v>
      </c>
      <c r="H978" s="29">
        <f t="shared" si="369"/>
        <v>7.0300000000000001E-2</v>
      </c>
      <c r="I978">
        <f t="shared" ref="I978:I1041" si="378">C978</f>
        <v>1433.3</v>
      </c>
      <c r="J978">
        <f>IF(A978&gt;=Quarterly!B$2,Quarterly!C$2,IF(COUNTIFS(Quarterly!B:B,"&gt;="&amp;A978-92,Quarterly!B:B,"&lt;="&amp;A978)&gt;1,SUMIFS(Quarterly!C:C,Quarterly!B:B,"&gt;="&amp;A978-88,Quarterly!B:B,"&lt;="&amp;A978),SUMIFS(Quarterly!C:C,Quarterly!B:B,"&gt;="&amp;A978-92,Quarterly!B:B,"&lt;="&amp;A978)))</f>
        <v>9712.2999999999993</v>
      </c>
      <c r="K978" s="13">
        <f t="shared" ref="K978:K1041" si="379">ROUND(I978/J978,4)</f>
        <v>0.14760000000000001</v>
      </c>
      <c r="L978">
        <f t="shared" si="367"/>
        <v>1433.3</v>
      </c>
      <c r="M978">
        <f>IF(A978&gt;=Quarterly!B$2,Quarterly!D$2,IF(COUNTIFS(Quarterly!B:B,"&gt;="&amp;A978-92,Quarterly!B:B,"&lt;="&amp;A978)&gt;1,SUMIFS(Quarterly!D:D,Quarterly!B:B,"&gt;="&amp;A978-88,Quarterly!B:B,"&lt;="&amp;A978),SUMIFS(Quarterly!D:D,Quarterly!B:B,"&gt;="&amp;A978-92,Quarterly!B:B,"&lt;="&amp;A978)))</f>
        <v>505.72899999999998</v>
      </c>
      <c r="N978" s="13">
        <f t="shared" si="368"/>
        <v>0.28341</v>
      </c>
      <c r="O978">
        <f t="shared" si="370"/>
        <v>1433.3</v>
      </c>
      <c r="P978" s="56">
        <f>VLOOKUP(EOMONTH(A978,-1),Economic!A:I,7,FALSE)</f>
        <v>792651</v>
      </c>
      <c r="Q978" s="13">
        <f t="shared" si="371"/>
        <v>0.18079999999999999</v>
      </c>
      <c r="R978" s="41">
        <v>0.18</v>
      </c>
      <c r="S978">
        <f t="shared" si="372"/>
        <v>0.14000000000000001</v>
      </c>
      <c r="T978" s="30">
        <f t="shared" si="373"/>
        <v>0</v>
      </c>
      <c r="U978" s="30">
        <f t="shared" ref="U978:U1041" si="380">ROUND(AVERAGE(T978:T980),2)</f>
        <v>0</v>
      </c>
    </row>
    <row r="979" spans="1:21" ht="15" customHeight="1" x14ac:dyDescent="0.25">
      <c r="A979" s="5">
        <v>36492</v>
      </c>
      <c r="B979" s="5">
        <f t="shared" si="374"/>
        <v>36494</v>
      </c>
      <c r="C979">
        <v>1416.62</v>
      </c>
      <c r="D979" s="29">
        <f t="shared" si="375"/>
        <v>2.0799999999999999E-2</v>
      </c>
      <c r="E979" s="39">
        <f t="shared" si="376"/>
        <v>1342.8776923076923</v>
      </c>
      <c r="F979" s="39">
        <f t="shared" si="377"/>
        <v>1335.1005128205129</v>
      </c>
      <c r="G979" s="29">
        <f t="shared" si="369"/>
        <v>5.4899999999999997E-2</v>
      </c>
      <c r="H979" s="29">
        <f t="shared" si="369"/>
        <v>6.1100000000000002E-2</v>
      </c>
      <c r="I979">
        <f t="shared" si="378"/>
        <v>1416.62</v>
      </c>
      <c r="J979">
        <f>IF(A979&gt;=Quarterly!B$2,Quarterly!C$2,IF(COUNTIFS(Quarterly!B:B,"&gt;="&amp;A979-92,Quarterly!B:B,"&lt;="&amp;A979)&gt;1,SUMIFS(Quarterly!C:C,Quarterly!B:B,"&gt;="&amp;A979-88,Quarterly!B:B,"&lt;="&amp;A979),SUMIFS(Quarterly!C:C,Quarterly!B:B,"&gt;="&amp;A979-92,Quarterly!B:B,"&lt;="&amp;A979)))</f>
        <v>9712.2999999999993</v>
      </c>
      <c r="K979" s="13">
        <f t="shared" si="379"/>
        <v>0.1459</v>
      </c>
      <c r="L979">
        <f t="shared" si="367"/>
        <v>1416.62</v>
      </c>
      <c r="M979">
        <f>IF(A979&gt;=Quarterly!B$2,Quarterly!D$2,IF(COUNTIFS(Quarterly!B:B,"&gt;="&amp;A979-92,Quarterly!B:B,"&lt;="&amp;A979)&gt;1,SUMIFS(Quarterly!D:D,Quarterly!B:B,"&gt;="&amp;A979-88,Quarterly!B:B,"&lt;="&amp;A979),SUMIFS(Quarterly!D:D,Quarterly!B:B,"&gt;="&amp;A979-92,Quarterly!B:B,"&lt;="&amp;A979)))</f>
        <v>505.72899999999998</v>
      </c>
      <c r="N979" s="13">
        <f t="shared" si="368"/>
        <v>0.28011000000000003</v>
      </c>
      <c r="O979">
        <f t="shared" si="370"/>
        <v>1416.62</v>
      </c>
      <c r="P979" s="56">
        <f>VLOOKUP(EOMONTH(A979,-1),Economic!A:I,7,FALSE)</f>
        <v>787779</v>
      </c>
      <c r="Q979" s="13">
        <f t="shared" si="371"/>
        <v>0.17979999999999999</v>
      </c>
      <c r="R979" s="41">
        <v>0.13</v>
      </c>
      <c r="S979">
        <f t="shared" si="372"/>
        <v>0.17</v>
      </c>
      <c r="T979" s="30">
        <f t="shared" si="373"/>
        <v>0</v>
      </c>
      <c r="U979" s="30">
        <f t="shared" si="380"/>
        <v>0</v>
      </c>
    </row>
    <row r="980" spans="1:21" ht="15" customHeight="1" x14ac:dyDescent="0.25">
      <c r="A980" s="5">
        <v>36485</v>
      </c>
      <c r="B980" s="5">
        <f t="shared" si="374"/>
        <v>36494</v>
      </c>
      <c r="C980">
        <v>1422</v>
      </c>
      <c r="D980" s="29">
        <f t="shared" si="375"/>
        <v>4.7300000000000002E-2</v>
      </c>
      <c r="E980" s="39">
        <f t="shared" si="376"/>
        <v>1337.6200000000001</v>
      </c>
      <c r="F980" s="39">
        <f t="shared" si="377"/>
        <v>1330.5289743589744</v>
      </c>
      <c r="G980" s="29">
        <f t="shared" si="369"/>
        <v>6.3100000000000003E-2</v>
      </c>
      <c r="H980" s="29">
        <f t="shared" si="369"/>
        <v>6.8699999999999997E-2</v>
      </c>
      <c r="I980">
        <f t="shared" si="378"/>
        <v>1422</v>
      </c>
      <c r="J980">
        <f>IF(A980&gt;=Quarterly!B$2,Quarterly!C$2,IF(COUNTIFS(Quarterly!B:B,"&gt;="&amp;A980-92,Quarterly!B:B,"&lt;="&amp;A980)&gt;1,SUMIFS(Quarterly!C:C,Quarterly!B:B,"&gt;="&amp;A980-88,Quarterly!B:B,"&lt;="&amp;A980),SUMIFS(Quarterly!C:C,Quarterly!B:B,"&gt;="&amp;A980-92,Quarterly!B:B,"&lt;="&amp;A980)))</f>
        <v>9712.2999999999993</v>
      </c>
      <c r="K980" s="13">
        <f t="shared" si="379"/>
        <v>0.1464</v>
      </c>
      <c r="L980">
        <f t="shared" si="367"/>
        <v>1422</v>
      </c>
      <c r="M980">
        <f>IF(A980&gt;=Quarterly!B$2,Quarterly!D$2,IF(COUNTIFS(Quarterly!B:B,"&gt;="&amp;A980-92,Quarterly!B:B,"&lt;="&amp;A980)&gt;1,SUMIFS(Quarterly!D:D,Quarterly!B:B,"&gt;="&amp;A980-88,Quarterly!B:B,"&lt;="&amp;A980),SUMIFS(Quarterly!D:D,Quarterly!B:B,"&gt;="&amp;A980-92,Quarterly!B:B,"&lt;="&amp;A980)))</f>
        <v>505.72899999999998</v>
      </c>
      <c r="N980" s="13">
        <f t="shared" si="368"/>
        <v>0.28117999999999999</v>
      </c>
      <c r="O980">
        <f t="shared" si="370"/>
        <v>1422</v>
      </c>
      <c r="P980" s="56">
        <f>VLOOKUP(EOMONTH(A980,-1),Economic!A:I,7,FALSE)</f>
        <v>787779</v>
      </c>
      <c r="Q980" s="13">
        <f t="shared" si="371"/>
        <v>0.18049999999999999</v>
      </c>
      <c r="R980" s="41">
        <v>0.15</v>
      </c>
      <c r="S980">
        <f t="shared" si="372"/>
        <v>0.09</v>
      </c>
      <c r="T980" s="30">
        <f t="shared" si="373"/>
        <v>0</v>
      </c>
      <c r="U980" s="30">
        <f t="shared" si="380"/>
        <v>0</v>
      </c>
    </row>
    <row r="981" spans="1:21" ht="15" customHeight="1" x14ac:dyDescent="0.25">
      <c r="A981" s="5">
        <v>36478</v>
      </c>
      <c r="B981" s="5">
        <f t="shared" si="374"/>
        <v>36494</v>
      </c>
      <c r="C981">
        <v>1396.06</v>
      </c>
      <c r="D981" s="29">
        <f t="shared" si="375"/>
        <v>5.7200000000000001E-2</v>
      </c>
      <c r="E981" s="39">
        <f t="shared" si="376"/>
        <v>1331.0515384615387</v>
      </c>
      <c r="F981" s="39">
        <f t="shared" si="377"/>
        <v>1325.8423076923079</v>
      </c>
      <c r="G981" s="29">
        <f t="shared" si="369"/>
        <v>4.8800000000000003E-2</v>
      </c>
      <c r="H981" s="29">
        <f t="shared" si="369"/>
        <v>5.2999999999999999E-2</v>
      </c>
      <c r="I981">
        <f t="shared" si="378"/>
        <v>1396.06</v>
      </c>
      <c r="J981">
        <f>IF(A981&gt;=Quarterly!B$2,Quarterly!C$2,IF(COUNTIFS(Quarterly!B:B,"&gt;="&amp;A981-92,Quarterly!B:B,"&lt;="&amp;A981)&gt;1,SUMIFS(Quarterly!C:C,Quarterly!B:B,"&gt;="&amp;A981-88,Quarterly!B:B,"&lt;="&amp;A981),SUMIFS(Quarterly!C:C,Quarterly!B:B,"&gt;="&amp;A981-92,Quarterly!B:B,"&lt;="&amp;A981)))</f>
        <v>9712.2999999999993</v>
      </c>
      <c r="K981" s="13">
        <f t="shared" si="379"/>
        <v>0.14369999999999999</v>
      </c>
      <c r="L981">
        <f t="shared" si="367"/>
        <v>1396.06</v>
      </c>
      <c r="M981">
        <f>IF(A981&gt;=Quarterly!B$2,Quarterly!D$2,IF(COUNTIFS(Quarterly!B:B,"&gt;="&amp;A981-92,Quarterly!B:B,"&lt;="&amp;A981)&gt;1,SUMIFS(Quarterly!D:D,Quarterly!B:B,"&gt;="&amp;A981-88,Quarterly!B:B,"&lt;="&amp;A981),SUMIFS(Quarterly!D:D,Quarterly!B:B,"&gt;="&amp;A981-92,Quarterly!B:B,"&lt;="&amp;A981)))</f>
        <v>505.72899999999998</v>
      </c>
      <c r="N981" s="13">
        <f t="shared" si="368"/>
        <v>0.27605000000000002</v>
      </c>
      <c r="O981">
        <f t="shared" si="370"/>
        <v>1396.06</v>
      </c>
      <c r="P981" s="56">
        <f>VLOOKUP(EOMONTH(A981,-1),Economic!A:I,7,FALSE)</f>
        <v>787779</v>
      </c>
      <c r="Q981" s="13">
        <f t="shared" si="371"/>
        <v>0.1772</v>
      </c>
      <c r="R981" s="41">
        <v>0.15</v>
      </c>
      <c r="S981">
        <f t="shared" si="372"/>
        <v>0.17</v>
      </c>
      <c r="T981" s="30">
        <f t="shared" si="373"/>
        <v>0</v>
      </c>
      <c r="U981" s="30">
        <f t="shared" si="380"/>
        <v>0</v>
      </c>
    </row>
    <row r="982" spans="1:21" ht="15" customHeight="1" x14ac:dyDescent="0.25">
      <c r="A982" s="5">
        <v>36471</v>
      </c>
      <c r="B982" s="5">
        <f t="shared" si="374"/>
        <v>36494</v>
      </c>
      <c r="C982">
        <v>1370.23</v>
      </c>
      <c r="D982" s="29">
        <f t="shared" si="375"/>
        <v>4.4400000000000002E-2</v>
      </c>
      <c r="E982" s="39">
        <f t="shared" si="376"/>
        <v>1325.7915384615385</v>
      </c>
      <c r="F982" s="39">
        <f t="shared" si="377"/>
        <v>1321.5876923076924</v>
      </c>
      <c r="G982" s="29">
        <f t="shared" si="369"/>
        <v>3.3500000000000002E-2</v>
      </c>
      <c r="H982" s="29">
        <f t="shared" si="369"/>
        <v>3.6799999999999999E-2</v>
      </c>
      <c r="I982">
        <f t="shared" si="378"/>
        <v>1370.23</v>
      </c>
      <c r="J982">
        <f>IF(A982&gt;=Quarterly!B$2,Quarterly!C$2,IF(COUNTIFS(Quarterly!B:B,"&gt;="&amp;A982-92,Quarterly!B:B,"&lt;="&amp;A982)&gt;1,SUMIFS(Quarterly!C:C,Quarterly!B:B,"&gt;="&amp;A982-88,Quarterly!B:B,"&lt;="&amp;A982),SUMIFS(Quarterly!C:C,Quarterly!B:B,"&gt;="&amp;A982-92,Quarterly!B:B,"&lt;="&amp;A982)))</f>
        <v>9712.2999999999993</v>
      </c>
      <c r="K982" s="13">
        <f t="shared" si="379"/>
        <v>0.1411</v>
      </c>
      <c r="L982">
        <f t="shared" si="367"/>
        <v>1370.23</v>
      </c>
      <c r="M982">
        <f>IF(A982&gt;=Quarterly!B$2,Quarterly!D$2,IF(COUNTIFS(Quarterly!B:B,"&gt;="&amp;A982-92,Quarterly!B:B,"&lt;="&amp;A982)&gt;1,SUMIFS(Quarterly!D:D,Quarterly!B:B,"&gt;="&amp;A982-88,Quarterly!B:B,"&lt;="&amp;A982),SUMIFS(Quarterly!D:D,Quarterly!B:B,"&gt;="&amp;A982-92,Quarterly!B:B,"&lt;="&amp;A982)))</f>
        <v>505.72899999999998</v>
      </c>
      <c r="N982" s="13">
        <f t="shared" si="368"/>
        <v>0.27094000000000001</v>
      </c>
      <c r="O982">
        <f t="shared" si="370"/>
        <v>1370.23</v>
      </c>
      <c r="P982" s="56">
        <f>VLOOKUP(EOMONTH(A982,-1),Economic!A:I,7,FALSE)</f>
        <v>787779</v>
      </c>
      <c r="Q982" s="13">
        <f t="shared" si="371"/>
        <v>0.1739</v>
      </c>
      <c r="R982" s="41">
        <v>0.2</v>
      </c>
      <c r="S982">
        <f t="shared" si="372"/>
        <v>0.11</v>
      </c>
      <c r="T982" s="30">
        <f t="shared" si="373"/>
        <v>0</v>
      </c>
      <c r="U982" s="30">
        <f t="shared" si="380"/>
        <v>0</v>
      </c>
    </row>
    <row r="983" spans="1:21" ht="15" customHeight="1" x14ac:dyDescent="0.25">
      <c r="A983" s="5">
        <v>36464</v>
      </c>
      <c r="B983" s="5">
        <f t="shared" si="374"/>
        <v>36464</v>
      </c>
      <c r="C983">
        <v>1362.93</v>
      </c>
      <c r="D983" s="29">
        <f t="shared" si="375"/>
        <v>5.4899999999999997E-2</v>
      </c>
      <c r="E983" s="39">
        <f t="shared" si="376"/>
        <v>1320.4115384615384</v>
      </c>
      <c r="F983" s="39">
        <f t="shared" si="377"/>
        <v>1318.2330769230771</v>
      </c>
      <c r="G983" s="29">
        <f t="shared" si="369"/>
        <v>3.2199999999999999E-2</v>
      </c>
      <c r="H983" s="29">
        <f t="shared" si="369"/>
        <v>3.39E-2</v>
      </c>
      <c r="I983">
        <f t="shared" si="378"/>
        <v>1362.93</v>
      </c>
      <c r="J983">
        <f>IF(A983&gt;=Quarterly!B$2,Quarterly!C$2,IF(COUNTIFS(Quarterly!B:B,"&gt;="&amp;A983-92,Quarterly!B:B,"&lt;="&amp;A983)&gt;1,SUMIFS(Quarterly!C:C,Quarterly!B:B,"&gt;="&amp;A983-88,Quarterly!B:B,"&lt;="&amp;A983),SUMIFS(Quarterly!C:C,Quarterly!B:B,"&gt;="&amp;A983-92,Quarterly!B:B,"&lt;="&amp;A983)))</f>
        <v>9712.2999999999993</v>
      </c>
      <c r="K983" s="13">
        <f t="shared" si="379"/>
        <v>0.14030000000000001</v>
      </c>
      <c r="L983">
        <f t="shared" ref="L983:L1046" si="381">C983</f>
        <v>1362.93</v>
      </c>
      <c r="M983">
        <f>IF(A983&gt;=Quarterly!B$2,Quarterly!D$2,IF(COUNTIFS(Quarterly!B:B,"&gt;="&amp;A983-92,Quarterly!B:B,"&lt;="&amp;A983)&gt;1,SUMIFS(Quarterly!D:D,Quarterly!B:B,"&gt;="&amp;A983-88,Quarterly!B:B,"&lt;="&amp;A983),SUMIFS(Quarterly!D:D,Quarterly!B:B,"&gt;="&amp;A983-92,Quarterly!B:B,"&lt;="&amp;A983)))</f>
        <v>505.72899999999998</v>
      </c>
      <c r="N983" s="13">
        <f t="shared" ref="N983:N1046" si="382">ROUND(L983/M983,4)*0.1</f>
        <v>0.26950000000000002</v>
      </c>
      <c r="O983">
        <f t="shared" si="370"/>
        <v>1362.93</v>
      </c>
      <c r="P983" s="56">
        <f>VLOOKUP(EOMONTH(A983,-1),Economic!A:I,7,FALSE)</f>
        <v>782880</v>
      </c>
      <c r="Q983" s="13">
        <f t="shared" si="371"/>
        <v>0.1741</v>
      </c>
      <c r="R983" s="41">
        <v>0.23</v>
      </c>
      <c r="S983">
        <f t="shared" si="372"/>
        <v>0.16</v>
      </c>
      <c r="T983" s="30">
        <f t="shared" si="373"/>
        <v>0</v>
      </c>
      <c r="U983" s="30">
        <f t="shared" si="380"/>
        <v>0</v>
      </c>
    </row>
    <row r="984" spans="1:21" ht="15" customHeight="1" x14ac:dyDescent="0.25">
      <c r="A984" s="5">
        <v>36457</v>
      </c>
      <c r="B984" s="5">
        <f t="shared" si="374"/>
        <v>36464</v>
      </c>
      <c r="C984">
        <v>1301.6500000000001</v>
      </c>
      <c r="D984" s="29">
        <f t="shared" si="375"/>
        <v>1.2200000000000001E-2</v>
      </c>
      <c r="E984" s="39">
        <f t="shared" si="376"/>
        <v>1317.7800000000002</v>
      </c>
      <c r="F984" s="39">
        <f t="shared" si="377"/>
        <v>1316.0974358974361</v>
      </c>
      <c r="G984" s="29">
        <f t="shared" si="369"/>
        <v>-1.2200000000000001E-2</v>
      </c>
      <c r="H984" s="29">
        <f t="shared" si="369"/>
        <v>-1.0999999999999999E-2</v>
      </c>
      <c r="I984">
        <f t="shared" si="378"/>
        <v>1301.6500000000001</v>
      </c>
      <c r="J984">
        <f>IF(A984&gt;=Quarterly!B$2,Quarterly!C$2,IF(COUNTIFS(Quarterly!B:B,"&gt;="&amp;A984-92,Quarterly!B:B,"&lt;="&amp;A984)&gt;1,SUMIFS(Quarterly!C:C,Quarterly!B:B,"&gt;="&amp;A984-88,Quarterly!B:B,"&lt;="&amp;A984),SUMIFS(Quarterly!C:C,Quarterly!B:B,"&gt;="&amp;A984-92,Quarterly!B:B,"&lt;="&amp;A984)))</f>
        <v>9557</v>
      </c>
      <c r="K984" s="13">
        <f t="shared" si="379"/>
        <v>0.13619999999999999</v>
      </c>
      <c r="L984">
        <f t="shared" si="381"/>
        <v>1301.6500000000001</v>
      </c>
      <c r="M984">
        <f>IF(A984&gt;=Quarterly!B$2,Quarterly!D$2,IF(COUNTIFS(Quarterly!B:B,"&gt;="&amp;A984-92,Quarterly!B:B,"&lt;="&amp;A984)&gt;1,SUMIFS(Quarterly!D:D,Quarterly!B:B,"&gt;="&amp;A984-88,Quarterly!B:B,"&lt;="&amp;A984),SUMIFS(Quarterly!D:D,Quarterly!B:B,"&gt;="&amp;A984-92,Quarterly!B:B,"&lt;="&amp;A984)))</f>
        <v>507.56900000000002</v>
      </c>
      <c r="N984" s="13">
        <f t="shared" si="382"/>
        <v>0.25645000000000001</v>
      </c>
      <c r="O984">
        <f t="shared" si="370"/>
        <v>1301.6500000000001</v>
      </c>
      <c r="P984" s="56">
        <f>VLOOKUP(EOMONTH(A984,-1),Economic!A:I,7,FALSE)</f>
        <v>782880</v>
      </c>
      <c r="Q984" s="13">
        <f t="shared" si="371"/>
        <v>0.1663</v>
      </c>
      <c r="R984" s="41">
        <v>0.25</v>
      </c>
      <c r="S984">
        <f t="shared" si="372"/>
        <v>7.0000000000000007E-2</v>
      </c>
      <c r="T984" s="30">
        <f t="shared" si="373"/>
        <v>0</v>
      </c>
      <c r="U984" s="30">
        <f t="shared" si="380"/>
        <v>0</v>
      </c>
    </row>
    <row r="985" spans="1:21" ht="15" customHeight="1" x14ac:dyDescent="0.25">
      <c r="A985" s="5">
        <v>36450</v>
      </c>
      <c r="B985" s="5">
        <f t="shared" si="374"/>
        <v>36464</v>
      </c>
      <c r="C985">
        <v>1247.4100000000001</v>
      </c>
      <c r="D985" s="29">
        <f t="shared" si="375"/>
        <v>-4.6300000000000001E-2</v>
      </c>
      <c r="E985" s="39">
        <f t="shared" si="376"/>
        <v>1322.033076923077</v>
      </c>
      <c r="F985" s="39">
        <f t="shared" si="377"/>
        <v>1314.1369230769233</v>
      </c>
      <c r="G985" s="29">
        <f t="shared" si="369"/>
        <v>-5.6399999999999999E-2</v>
      </c>
      <c r="H985" s="29">
        <f t="shared" si="369"/>
        <v>-5.0799999999999998E-2</v>
      </c>
      <c r="I985">
        <f t="shared" si="378"/>
        <v>1247.4100000000001</v>
      </c>
      <c r="J985">
        <f>IF(A985&gt;=Quarterly!B$2,Quarterly!C$2,IF(COUNTIFS(Quarterly!B:B,"&gt;="&amp;A985-92,Quarterly!B:B,"&lt;="&amp;A985)&gt;1,SUMIFS(Quarterly!C:C,Quarterly!B:B,"&gt;="&amp;A985-88,Quarterly!B:B,"&lt;="&amp;A985),SUMIFS(Quarterly!C:C,Quarterly!B:B,"&gt;="&amp;A985-92,Quarterly!B:B,"&lt;="&amp;A985)))</f>
        <v>9557</v>
      </c>
      <c r="K985" s="13">
        <f t="shared" si="379"/>
        <v>0.1305</v>
      </c>
      <c r="L985">
        <f t="shared" si="381"/>
        <v>1247.4100000000001</v>
      </c>
      <c r="M985">
        <f>IF(A985&gt;=Quarterly!B$2,Quarterly!D$2,IF(COUNTIFS(Quarterly!B:B,"&gt;="&amp;A985-92,Quarterly!B:B,"&lt;="&amp;A985)&gt;1,SUMIFS(Quarterly!D:D,Quarterly!B:B,"&gt;="&amp;A985-88,Quarterly!B:B,"&lt;="&amp;A985),SUMIFS(Quarterly!D:D,Quarterly!B:B,"&gt;="&amp;A985-92,Quarterly!B:B,"&lt;="&amp;A985)))</f>
        <v>507.56900000000002</v>
      </c>
      <c r="N985" s="13">
        <f t="shared" si="382"/>
        <v>0.24575999999999998</v>
      </c>
      <c r="O985">
        <f t="shared" si="370"/>
        <v>1247.4100000000001</v>
      </c>
      <c r="P985" s="56">
        <f>VLOOKUP(EOMONTH(A985,-1),Economic!A:I,7,FALSE)</f>
        <v>782880</v>
      </c>
      <c r="Q985" s="13">
        <f t="shared" si="371"/>
        <v>0.1593</v>
      </c>
      <c r="R985" s="41">
        <v>0.27</v>
      </c>
      <c r="S985">
        <f t="shared" si="372"/>
        <v>0.06</v>
      </c>
      <c r="T985" s="30">
        <f t="shared" si="373"/>
        <v>0</v>
      </c>
      <c r="U985" s="30">
        <f t="shared" si="380"/>
        <v>0</v>
      </c>
    </row>
    <row r="986" spans="1:21" ht="15" customHeight="1" x14ac:dyDescent="0.25">
      <c r="A986" s="5">
        <v>36443</v>
      </c>
      <c r="B986" s="5">
        <f t="shared" si="374"/>
        <v>36464</v>
      </c>
      <c r="C986">
        <v>1336.02</v>
      </c>
      <c r="D986" s="29">
        <f t="shared" si="375"/>
        <v>1.8499999999999999E-2</v>
      </c>
      <c r="E986" s="39">
        <f t="shared" si="376"/>
        <v>1335.2153846153847</v>
      </c>
      <c r="F986" s="39">
        <f t="shared" si="377"/>
        <v>1314.030512820513</v>
      </c>
      <c r="G986" s="29">
        <f t="shared" si="369"/>
        <v>5.9999999999999995E-4</v>
      </c>
      <c r="H986" s="29">
        <f t="shared" si="369"/>
        <v>1.67E-2</v>
      </c>
      <c r="I986">
        <f t="shared" si="378"/>
        <v>1336.02</v>
      </c>
      <c r="J986">
        <f>IF(A986&gt;=Quarterly!B$2,Quarterly!C$2,IF(COUNTIFS(Quarterly!B:B,"&gt;="&amp;A986-92,Quarterly!B:B,"&lt;="&amp;A986)&gt;1,SUMIFS(Quarterly!C:C,Quarterly!B:B,"&gt;="&amp;A986-88,Quarterly!B:B,"&lt;="&amp;A986),SUMIFS(Quarterly!C:C,Quarterly!B:B,"&gt;="&amp;A986-92,Quarterly!B:B,"&lt;="&amp;A986)))</f>
        <v>9557</v>
      </c>
      <c r="K986" s="13">
        <f t="shared" si="379"/>
        <v>0.13980000000000001</v>
      </c>
      <c r="L986">
        <f t="shared" si="381"/>
        <v>1336.02</v>
      </c>
      <c r="M986">
        <f>IF(A986&gt;=Quarterly!B$2,Quarterly!D$2,IF(COUNTIFS(Quarterly!B:B,"&gt;="&amp;A986-92,Quarterly!B:B,"&lt;="&amp;A986)&gt;1,SUMIFS(Quarterly!D:D,Quarterly!B:B,"&gt;="&amp;A986-88,Quarterly!B:B,"&lt;="&amp;A986),SUMIFS(Quarterly!D:D,Quarterly!B:B,"&gt;="&amp;A986-92,Quarterly!B:B,"&lt;="&amp;A986)))</f>
        <v>507.56900000000002</v>
      </c>
      <c r="N986" s="13">
        <f t="shared" si="382"/>
        <v>0.26322000000000001</v>
      </c>
      <c r="O986">
        <f t="shared" si="370"/>
        <v>1336.02</v>
      </c>
      <c r="P986" s="56">
        <f>VLOOKUP(EOMONTH(A986,-1),Economic!A:I,7,FALSE)</f>
        <v>782880</v>
      </c>
      <c r="Q986" s="13">
        <f t="shared" si="371"/>
        <v>0.17069999999999999</v>
      </c>
      <c r="R986" s="41">
        <v>0.24</v>
      </c>
      <c r="S986">
        <f t="shared" si="372"/>
        <v>0.06</v>
      </c>
      <c r="T986" s="30">
        <f t="shared" si="373"/>
        <v>0</v>
      </c>
      <c r="U986" s="30">
        <f t="shared" si="380"/>
        <v>0</v>
      </c>
    </row>
    <row r="987" spans="1:21" ht="15" customHeight="1" x14ac:dyDescent="0.25">
      <c r="A987" s="5">
        <v>36436</v>
      </c>
      <c r="B987" s="5">
        <f t="shared" si="374"/>
        <v>36464</v>
      </c>
      <c r="C987">
        <v>1282.81</v>
      </c>
      <c r="D987" s="29">
        <f t="shared" si="375"/>
        <v>-3.5799999999999998E-2</v>
      </c>
      <c r="E987" s="39">
        <f t="shared" si="376"/>
        <v>1340.3892307692308</v>
      </c>
      <c r="F987" s="39">
        <f t="shared" si="377"/>
        <v>1312.4682051282052</v>
      </c>
      <c r="G987" s="29">
        <f t="shared" si="369"/>
        <v>-4.2999999999999997E-2</v>
      </c>
      <c r="H987" s="29">
        <f t="shared" si="369"/>
        <v>-2.2599999999999999E-2</v>
      </c>
      <c r="I987">
        <f t="shared" si="378"/>
        <v>1282.81</v>
      </c>
      <c r="J987">
        <f>IF(A987&gt;=Quarterly!B$2,Quarterly!C$2,IF(COUNTIFS(Quarterly!B:B,"&gt;="&amp;A987-92,Quarterly!B:B,"&lt;="&amp;A987)&gt;1,SUMIFS(Quarterly!C:C,Quarterly!B:B,"&gt;="&amp;A987-88,Quarterly!B:B,"&lt;="&amp;A987),SUMIFS(Quarterly!C:C,Quarterly!B:B,"&gt;="&amp;A987-92,Quarterly!B:B,"&lt;="&amp;A987)))</f>
        <v>9557</v>
      </c>
      <c r="K987" s="13">
        <f t="shared" si="379"/>
        <v>0.13420000000000001</v>
      </c>
      <c r="L987">
        <f t="shared" si="381"/>
        <v>1282.81</v>
      </c>
      <c r="M987">
        <f>IF(A987&gt;=Quarterly!B$2,Quarterly!D$2,IF(COUNTIFS(Quarterly!B:B,"&gt;="&amp;A987-92,Quarterly!B:B,"&lt;="&amp;A987)&gt;1,SUMIFS(Quarterly!D:D,Quarterly!B:B,"&gt;="&amp;A987-88,Quarterly!B:B,"&lt;="&amp;A987),SUMIFS(Quarterly!D:D,Quarterly!B:B,"&gt;="&amp;A987-92,Quarterly!B:B,"&lt;="&amp;A987)))</f>
        <v>507.56900000000002</v>
      </c>
      <c r="N987" s="13">
        <f t="shared" si="382"/>
        <v>0.25274000000000002</v>
      </c>
      <c r="O987">
        <f t="shared" si="370"/>
        <v>1282.81</v>
      </c>
      <c r="P987" s="56">
        <f>VLOOKUP(EOMONTH(A987,-1),Economic!A:I,7,FALSE)</f>
        <v>782880</v>
      </c>
      <c r="Q987" s="13">
        <f t="shared" si="371"/>
        <v>0.16390000000000002</v>
      </c>
      <c r="R987" s="41">
        <v>0.27</v>
      </c>
      <c r="S987">
        <f t="shared" si="372"/>
        <v>0.01</v>
      </c>
      <c r="T987" s="30">
        <f t="shared" si="373"/>
        <v>0</v>
      </c>
      <c r="U987" s="30">
        <f t="shared" si="380"/>
        <v>0</v>
      </c>
    </row>
    <row r="988" spans="1:21" ht="15" customHeight="1" x14ac:dyDescent="0.25">
      <c r="A988" s="5">
        <v>36429</v>
      </c>
      <c r="B988" s="5">
        <f t="shared" si="374"/>
        <v>36433</v>
      </c>
      <c r="C988">
        <v>1277.3599999999999</v>
      </c>
      <c r="D988" s="29">
        <f t="shared" si="375"/>
        <v>-5.2499999999999998E-2</v>
      </c>
      <c r="E988" s="39">
        <f t="shared" si="376"/>
        <v>1348.7284615384617</v>
      </c>
      <c r="F988" s="39">
        <f t="shared" si="377"/>
        <v>1311.0943589743592</v>
      </c>
      <c r="G988" s="29">
        <f t="shared" si="369"/>
        <v>-5.2900000000000003E-2</v>
      </c>
      <c r="H988" s="29">
        <f t="shared" si="369"/>
        <v>-2.5700000000000001E-2</v>
      </c>
      <c r="I988">
        <f t="shared" si="378"/>
        <v>1277.3599999999999</v>
      </c>
      <c r="J988">
        <f>IF(A988&gt;=Quarterly!B$2,Quarterly!C$2,IF(COUNTIFS(Quarterly!B:B,"&gt;="&amp;A988-92,Quarterly!B:B,"&lt;="&amp;A988)&gt;1,SUMIFS(Quarterly!C:C,Quarterly!B:B,"&gt;="&amp;A988-88,Quarterly!B:B,"&lt;="&amp;A988),SUMIFS(Quarterly!C:C,Quarterly!B:B,"&gt;="&amp;A988-92,Quarterly!B:B,"&lt;="&amp;A988)))</f>
        <v>9557</v>
      </c>
      <c r="K988" s="13">
        <f t="shared" si="379"/>
        <v>0.13370000000000001</v>
      </c>
      <c r="L988">
        <f t="shared" si="381"/>
        <v>1277.3599999999999</v>
      </c>
      <c r="M988">
        <f>IF(A988&gt;=Quarterly!B$2,Quarterly!D$2,IF(COUNTIFS(Quarterly!B:B,"&gt;="&amp;A988-92,Quarterly!B:B,"&lt;="&amp;A988)&gt;1,SUMIFS(Quarterly!D:D,Quarterly!B:B,"&gt;="&amp;A988-88,Quarterly!B:B,"&lt;="&amp;A988),SUMIFS(Quarterly!D:D,Quarterly!B:B,"&gt;="&amp;A988-92,Quarterly!B:B,"&lt;="&amp;A988)))</f>
        <v>507.56900000000002</v>
      </c>
      <c r="N988" s="13">
        <f t="shared" si="382"/>
        <v>0.25165999999999999</v>
      </c>
      <c r="O988">
        <f t="shared" si="370"/>
        <v>1277.3599999999999</v>
      </c>
      <c r="P988" s="56">
        <f>VLOOKUP(EOMONTH(A988,-1),Economic!A:I,7,FALSE)</f>
        <v>777529</v>
      </c>
      <c r="Q988" s="13">
        <f t="shared" si="371"/>
        <v>0.1643</v>
      </c>
      <c r="R988" s="41">
        <v>0.2</v>
      </c>
      <c r="S988">
        <f t="shared" si="372"/>
        <v>-0.03</v>
      </c>
      <c r="T988" s="30">
        <f t="shared" si="373"/>
        <v>0</v>
      </c>
      <c r="U988" s="30">
        <f t="shared" si="380"/>
        <v>0</v>
      </c>
    </row>
    <row r="989" spans="1:21" ht="15" customHeight="1" x14ac:dyDescent="0.25">
      <c r="A989" s="5">
        <v>36422</v>
      </c>
      <c r="B989" s="5">
        <f t="shared" si="374"/>
        <v>36433</v>
      </c>
      <c r="C989">
        <v>1335.42</v>
      </c>
      <c r="D989" s="29">
        <f t="shared" si="375"/>
        <v>-9.7000000000000003E-3</v>
      </c>
      <c r="E989" s="39">
        <f t="shared" si="376"/>
        <v>1351.6476923076925</v>
      </c>
      <c r="F989" s="39">
        <f t="shared" si="377"/>
        <v>1309.7843589743591</v>
      </c>
      <c r="G989" s="29">
        <f t="shared" si="369"/>
        <v>-1.2E-2</v>
      </c>
      <c r="H989" s="29">
        <f t="shared" si="369"/>
        <v>1.9599999999999999E-2</v>
      </c>
      <c r="I989">
        <f t="shared" si="378"/>
        <v>1335.42</v>
      </c>
      <c r="J989">
        <f>IF(A989&gt;=Quarterly!B$2,Quarterly!C$2,IF(COUNTIFS(Quarterly!B:B,"&gt;="&amp;A989-92,Quarterly!B:B,"&lt;="&amp;A989)&gt;1,SUMIFS(Quarterly!C:C,Quarterly!B:B,"&gt;="&amp;A989-88,Quarterly!B:B,"&lt;="&amp;A989),SUMIFS(Quarterly!C:C,Quarterly!B:B,"&gt;="&amp;A989-92,Quarterly!B:B,"&lt;="&amp;A989)))</f>
        <v>9557</v>
      </c>
      <c r="K989" s="13">
        <f t="shared" si="379"/>
        <v>0.13969999999999999</v>
      </c>
      <c r="L989">
        <f t="shared" si="381"/>
        <v>1335.42</v>
      </c>
      <c r="M989">
        <f>IF(A989&gt;=Quarterly!B$2,Quarterly!D$2,IF(COUNTIFS(Quarterly!B:B,"&gt;="&amp;A989-92,Quarterly!B:B,"&lt;="&amp;A989)&gt;1,SUMIFS(Quarterly!D:D,Quarterly!B:B,"&gt;="&amp;A989-88,Quarterly!B:B,"&lt;="&amp;A989),SUMIFS(Quarterly!D:D,Quarterly!B:B,"&gt;="&amp;A989-92,Quarterly!B:B,"&lt;="&amp;A989)))</f>
        <v>507.56900000000002</v>
      </c>
      <c r="N989" s="13">
        <f t="shared" si="382"/>
        <v>0.2631</v>
      </c>
      <c r="O989">
        <f t="shared" si="370"/>
        <v>1335.42</v>
      </c>
      <c r="P989" s="56">
        <f>VLOOKUP(EOMONTH(A989,-1),Economic!A:I,7,FALSE)</f>
        <v>777529</v>
      </c>
      <c r="Q989" s="13">
        <f t="shared" si="371"/>
        <v>0.17179999999999998</v>
      </c>
      <c r="R989" s="41">
        <v>0.24</v>
      </c>
      <c r="S989">
        <f t="shared" si="372"/>
        <v>0.05</v>
      </c>
      <c r="T989" s="30">
        <f t="shared" si="373"/>
        <v>0</v>
      </c>
      <c r="U989" s="30">
        <f t="shared" si="380"/>
        <v>0</v>
      </c>
    </row>
    <row r="990" spans="1:21" ht="15" customHeight="1" x14ac:dyDescent="0.25">
      <c r="A990" s="5">
        <v>36415</v>
      </c>
      <c r="B990" s="5">
        <f t="shared" si="374"/>
        <v>36433</v>
      </c>
      <c r="C990">
        <v>1351.66</v>
      </c>
      <c r="D990" s="29">
        <f t="shared" si="375"/>
        <v>6.8999999999999999E-3</v>
      </c>
      <c r="E990" s="39">
        <f t="shared" si="376"/>
        <v>1352.2184615384615</v>
      </c>
      <c r="F990" s="39">
        <f t="shared" si="377"/>
        <v>1306.0051282051281</v>
      </c>
      <c r="G990" s="29">
        <f t="shared" si="369"/>
        <v>-4.0000000000000002E-4</v>
      </c>
      <c r="H990" s="29">
        <f t="shared" si="369"/>
        <v>3.5000000000000003E-2</v>
      </c>
      <c r="I990">
        <f t="shared" si="378"/>
        <v>1351.66</v>
      </c>
      <c r="J990">
        <f>IF(A990&gt;=Quarterly!B$2,Quarterly!C$2,IF(COUNTIFS(Quarterly!B:B,"&gt;="&amp;A990-92,Quarterly!B:B,"&lt;="&amp;A990)&gt;1,SUMIFS(Quarterly!C:C,Quarterly!B:B,"&gt;="&amp;A990-88,Quarterly!B:B,"&lt;="&amp;A990),SUMIFS(Quarterly!C:C,Quarterly!B:B,"&gt;="&amp;A990-92,Quarterly!B:B,"&lt;="&amp;A990)))</f>
        <v>9557</v>
      </c>
      <c r="K990" s="13">
        <f t="shared" si="379"/>
        <v>0.1414</v>
      </c>
      <c r="L990">
        <f t="shared" si="381"/>
        <v>1351.66</v>
      </c>
      <c r="M990">
        <f>IF(A990&gt;=Quarterly!B$2,Quarterly!D$2,IF(COUNTIFS(Quarterly!B:B,"&gt;="&amp;A990-92,Quarterly!B:B,"&lt;="&amp;A990)&gt;1,SUMIFS(Quarterly!D:D,Quarterly!B:B,"&gt;="&amp;A990-88,Quarterly!B:B,"&lt;="&amp;A990),SUMIFS(Quarterly!D:D,Quarterly!B:B,"&gt;="&amp;A990-92,Quarterly!B:B,"&lt;="&amp;A990)))</f>
        <v>507.56900000000002</v>
      </c>
      <c r="N990" s="13">
        <f t="shared" si="382"/>
        <v>0.26629999999999998</v>
      </c>
      <c r="O990">
        <f t="shared" si="370"/>
        <v>1351.66</v>
      </c>
      <c r="P990" s="56">
        <f>VLOOKUP(EOMONTH(A990,-1),Economic!A:I,7,FALSE)</f>
        <v>777529</v>
      </c>
      <c r="Q990" s="13">
        <f t="shared" si="371"/>
        <v>0.17380000000000001</v>
      </c>
      <c r="R990" s="41">
        <v>0.25</v>
      </c>
      <c r="S990">
        <f t="shared" si="372"/>
        <v>0.01</v>
      </c>
      <c r="T990" s="30">
        <f t="shared" si="373"/>
        <v>0</v>
      </c>
      <c r="U990" s="30">
        <f t="shared" si="380"/>
        <v>0</v>
      </c>
    </row>
    <row r="991" spans="1:21" ht="15" customHeight="1" x14ac:dyDescent="0.25">
      <c r="A991" s="5">
        <v>36408</v>
      </c>
      <c r="B991" s="5">
        <f t="shared" si="374"/>
        <v>36433</v>
      </c>
      <c r="C991">
        <v>1357.24</v>
      </c>
      <c r="D991" s="29">
        <f t="shared" si="375"/>
        <v>2.1899999999999999E-2</v>
      </c>
      <c r="E991" s="39">
        <f t="shared" si="376"/>
        <v>1347.7553846153846</v>
      </c>
      <c r="F991" s="39">
        <f t="shared" si="377"/>
        <v>1301.2564102564102</v>
      </c>
      <c r="G991" s="29">
        <f t="shared" si="369"/>
        <v>7.0000000000000001E-3</v>
      </c>
      <c r="H991" s="29">
        <f t="shared" si="369"/>
        <v>4.2999999999999997E-2</v>
      </c>
      <c r="I991">
        <f t="shared" si="378"/>
        <v>1357.24</v>
      </c>
      <c r="J991">
        <f>IF(A991&gt;=Quarterly!B$2,Quarterly!C$2,IF(COUNTIFS(Quarterly!B:B,"&gt;="&amp;A991-92,Quarterly!B:B,"&lt;="&amp;A991)&gt;1,SUMIFS(Quarterly!C:C,Quarterly!B:B,"&gt;="&amp;A991-88,Quarterly!B:B,"&lt;="&amp;A991),SUMIFS(Quarterly!C:C,Quarterly!B:B,"&gt;="&amp;A991-92,Quarterly!B:B,"&lt;="&amp;A991)))</f>
        <v>9557</v>
      </c>
      <c r="K991" s="13">
        <f t="shared" si="379"/>
        <v>0.14199999999999999</v>
      </c>
      <c r="L991">
        <f t="shared" si="381"/>
        <v>1357.24</v>
      </c>
      <c r="M991">
        <f>IF(A991&gt;=Quarterly!B$2,Quarterly!D$2,IF(COUNTIFS(Quarterly!B:B,"&gt;="&amp;A991-92,Quarterly!B:B,"&lt;="&amp;A991)&gt;1,SUMIFS(Quarterly!D:D,Quarterly!B:B,"&gt;="&amp;A991-88,Quarterly!B:B,"&lt;="&amp;A991),SUMIFS(Quarterly!D:D,Quarterly!B:B,"&gt;="&amp;A991-92,Quarterly!B:B,"&lt;="&amp;A991)))</f>
        <v>507.56900000000002</v>
      </c>
      <c r="N991" s="13">
        <f t="shared" si="382"/>
        <v>0.26740000000000003</v>
      </c>
      <c r="O991">
        <f t="shared" si="370"/>
        <v>1357.24</v>
      </c>
      <c r="P991" s="56">
        <f>VLOOKUP(EOMONTH(A991,-1),Economic!A:I,7,FALSE)</f>
        <v>777529</v>
      </c>
      <c r="Q991" s="13">
        <f t="shared" si="371"/>
        <v>0.17460000000000001</v>
      </c>
      <c r="R991" s="41">
        <v>0.25</v>
      </c>
      <c r="S991">
        <f t="shared" si="372"/>
        <v>-0.02</v>
      </c>
      <c r="T991" s="30">
        <f t="shared" si="373"/>
        <v>0</v>
      </c>
      <c r="U991" s="30">
        <f t="shared" si="380"/>
        <v>0</v>
      </c>
    </row>
    <row r="992" spans="1:21" ht="15" customHeight="1" x14ac:dyDescent="0.25">
      <c r="A992" s="5">
        <v>36401</v>
      </c>
      <c r="B992" s="5">
        <f t="shared" si="374"/>
        <v>36403</v>
      </c>
      <c r="C992">
        <v>1348.27</v>
      </c>
      <c r="D992" s="29">
        <f t="shared" si="375"/>
        <v>1.89E-2</v>
      </c>
      <c r="E992" s="39">
        <f t="shared" si="376"/>
        <v>1345.4869230769232</v>
      </c>
      <c r="F992" s="39">
        <f t="shared" si="377"/>
        <v>1296.6282051282051</v>
      </c>
      <c r="G992" s="29">
        <f t="shared" si="369"/>
        <v>2.0999999999999999E-3</v>
      </c>
      <c r="H992" s="29">
        <f t="shared" si="369"/>
        <v>3.9800000000000002E-2</v>
      </c>
      <c r="I992">
        <f t="shared" si="378"/>
        <v>1348.27</v>
      </c>
      <c r="J992">
        <f>IF(A992&gt;=Quarterly!B$2,Quarterly!C$2,IF(COUNTIFS(Quarterly!B:B,"&gt;="&amp;A992-92,Quarterly!B:B,"&lt;="&amp;A992)&gt;1,SUMIFS(Quarterly!C:C,Quarterly!B:B,"&gt;="&amp;A992-88,Quarterly!B:B,"&lt;="&amp;A992),SUMIFS(Quarterly!C:C,Quarterly!B:B,"&gt;="&amp;A992-92,Quarterly!B:B,"&lt;="&amp;A992)))</f>
        <v>9557</v>
      </c>
      <c r="K992" s="13">
        <f t="shared" si="379"/>
        <v>0.1411</v>
      </c>
      <c r="L992">
        <f t="shared" si="381"/>
        <v>1348.27</v>
      </c>
      <c r="M992">
        <f>IF(A992&gt;=Quarterly!B$2,Quarterly!D$2,IF(COUNTIFS(Quarterly!B:B,"&gt;="&amp;A992-92,Quarterly!B:B,"&lt;="&amp;A992)&gt;1,SUMIFS(Quarterly!D:D,Quarterly!B:B,"&gt;="&amp;A992-88,Quarterly!B:B,"&lt;="&amp;A992),SUMIFS(Quarterly!D:D,Quarterly!B:B,"&gt;="&amp;A992-92,Quarterly!B:B,"&lt;="&amp;A992)))</f>
        <v>507.56900000000002</v>
      </c>
      <c r="N992" s="13">
        <f t="shared" si="382"/>
        <v>0.26562999999999998</v>
      </c>
      <c r="O992">
        <f t="shared" si="370"/>
        <v>1348.27</v>
      </c>
      <c r="P992" s="56">
        <f>VLOOKUP(EOMONTH(A992,-1),Economic!A:I,7,FALSE)</f>
        <v>771867</v>
      </c>
      <c r="Q992" s="13">
        <f t="shared" si="371"/>
        <v>0.17469999999999999</v>
      </c>
      <c r="R992" s="41">
        <v>0.2</v>
      </c>
      <c r="S992">
        <f t="shared" si="372"/>
        <v>-0.05</v>
      </c>
      <c r="T992" s="30">
        <f t="shared" si="373"/>
        <v>0</v>
      </c>
      <c r="U992" s="30">
        <f t="shared" si="380"/>
        <v>0</v>
      </c>
    </row>
    <row r="993" spans="1:21" ht="15" customHeight="1" x14ac:dyDescent="0.25">
      <c r="A993" s="5">
        <v>36394</v>
      </c>
      <c r="B993" s="5">
        <f t="shared" si="374"/>
        <v>36403</v>
      </c>
      <c r="C993">
        <v>1336.61</v>
      </c>
      <c r="D993" s="29">
        <f t="shared" si="375"/>
        <v>6.1999999999999998E-3</v>
      </c>
      <c r="E993" s="39">
        <f t="shared" si="376"/>
        <v>1341.9153846153845</v>
      </c>
      <c r="F993" s="39">
        <f t="shared" si="377"/>
        <v>1292.6297435897436</v>
      </c>
      <c r="G993" s="29">
        <f t="shared" si="369"/>
        <v>-4.0000000000000001E-3</v>
      </c>
      <c r="H993" s="29">
        <f t="shared" si="369"/>
        <v>3.4000000000000002E-2</v>
      </c>
      <c r="I993">
        <f t="shared" si="378"/>
        <v>1336.61</v>
      </c>
      <c r="J993">
        <f>IF(A993&gt;=Quarterly!B$2,Quarterly!C$2,IF(COUNTIFS(Quarterly!B:B,"&gt;="&amp;A993-92,Quarterly!B:B,"&lt;="&amp;A993)&gt;1,SUMIFS(Quarterly!C:C,Quarterly!B:B,"&gt;="&amp;A993-88,Quarterly!B:B,"&lt;="&amp;A993),SUMIFS(Quarterly!C:C,Quarterly!B:B,"&gt;="&amp;A993-92,Quarterly!B:B,"&lt;="&amp;A993)))</f>
        <v>9557</v>
      </c>
      <c r="K993" s="13">
        <f t="shared" si="379"/>
        <v>0.1399</v>
      </c>
      <c r="L993">
        <f t="shared" si="381"/>
        <v>1336.61</v>
      </c>
      <c r="M993">
        <f>IF(A993&gt;=Quarterly!B$2,Quarterly!D$2,IF(COUNTIFS(Quarterly!B:B,"&gt;="&amp;A993-92,Quarterly!B:B,"&lt;="&amp;A993)&gt;1,SUMIFS(Quarterly!D:D,Quarterly!B:B,"&gt;="&amp;A993-88,Quarterly!B:B,"&lt;="&amp;A993),SUMIFS(Quarterly!D:D,Quarterly!B:B,"&gt;="&amp;A993-92,Quarterly!B:B,"&lt;="&amp;A993)))</f>
        <v>507.56900000000002</v>
      </c>
      <c r="N993" s="13">
        <f t="shared" si="382"/>
        <v>0.26334000000000002</v>
      </c>
      <c r="O993">
        <f t="shared" si="370"/>
        <v>1336.61</v>
      </c>
      <c r="P993" s="56">
        <f>VLOOKUP(EOMONTH(A993,-1),Economic!A:I,7,FALSE)</f>
        <v>771867</v>
      </c>
      <c r="Q993" s="13">
        <f t="shared" si="371"/>
        <v>0.17319999999999999</v>
      </c>
      <c r="R993" s="41">
        <v>0.23</v>
      </c>
      <c r="S993">
        <f t="shared" si="372"/>
        <v>-0.05</v>
      </c>
      <c r="T993" s="30">
        <f t="shared" si="373"/>
        <v>0</v>
      </c>
      <c r="U993" s="30">
        <f t="shared" si="380"/>
        <v>0</v>
      </c>
    </row>
    <row r="994" spans="1:21" ht="15" customHeight="1" x14ac:dyDescent="0.25">
      <c r="A994" s="5">
        <v>36387</v>
      </c>
      <c r="B994" s="5">
        <f t="shared" si="374"/>
        <v>36403</v>
      </c>
      <c r="C994">
        <v>1327.68</v>
      </c>
      <c r="D994" s="29">
        <f t="shared" si="375"/>
        <v>-1.7399999999999999E-2</v>
      </c>
      <c r="E994" s="39">
        <f t="shared" si="376"/>
        <v>1341.4292307692306</v>
      </c>
      <c r="F994" s="39">
        <f t="shared" si="377"/>
        <v>1288.1923076923076</v>
      </c>
      <c r="G994" s="29">
        <f t="shared" si="369"/>
        <v>-1.0200000000000001E-2</v>
      </c>
      <c r="H994" s="29">
        <f t="shared" si="369"/>
        <v>3.0700000000000002E-2</v>
      </c>
      <c r="I994">
        <f t="shared" si="378"/>
        <v>1327.68</v>
      </c>
      <c r="J994">
        <f>IF(A994&gt;=Quarterly!B$2,Quarterly!C$2,IF(COUNTIFS(Quarterly!B:B,"&gt;="&amp;A994-92,Quarterly!B:B,"&lt;="&amp;A994)&gt;1,SUMIFS(Quarterly!C:C,Quarterly!B:B,"&gt;="&amp;A994-88,Quarterly!B:B,"&lt;="&amp;A994),SUMIFS(Quarterly!C:C,Quarterly!B:B,"&gt;="&amp;A994-92,Quarterly!B:B,"&lt;="&amp;A994)))</f>
        <v>9557</v>
      </c>
      <c r="K994" s="13">
        <f t="shared" si="379"/>
        <v>0.1389</v>
      </c>
      <c r="L994">
        <f t="shared" si="381"/>
        <v>1327.68</v>
      </c>
      <c r="M994">
        <f>IF(A994&gt;=Quarterly!B$2,Quarterly!D$2,IF(COUNTIFS(Quarterly!B:B,"&gt;="&amp;A994-92,Quarterly!B:B,"&lt;="&amp;A994)&gt;1,SUMIFS(Quarterly!D:D,Quarterly!B:B,"&gt;="&amp;A994-88,Quarterly!B:B,"&lt;="&amp;A994),SUMIFS(Quarterly!D:D,Quarterly!B:B,"&gt;="&amp;A994-92,Quarterly!B:B,"&lt;="&amp;A994)))</f>
        <v>507.56900000000002</v>
      </c>
      <c r="N994" s="13">
        <f t="shared" si="382"/>
        <v>0.26158000000000003</v>
      </c>
      <c r="O994">
        <f t="shared" si="370"/>
        <v>1327.68</v>
      </c>
      <c r="P994" s="56">
        <f>VLOOKUP(EOMONTH(A994,-1),Economic!A:I,7,FALSE)</f>
        <v>771867</v>
      </c>
      <c r="Q994" s="13">
        <f t="shared" si="371"/>
        <v>0.17199999999999999</v>
      </c>
      <c r="R994" s="41">
        <v>0.27</v>
      </c>
      <c r="S994">
        <f t="shared" si="372"/>
        <v>0</v>
      </c>
      <c r="T994" s="30">
        <f t="shared" si="373"/>
        <v>0</v>
      </c>
      <c r="U994" s="30">
        <f t="shared" si="380"/>
        <v>0</v>
      </c>
    </row>
    <row r="995" spans="1:21" ht="15" customHeight="1" x14ac:dyDescent="0.25">
      <c r="A995" s="5">
        <v>36380</v>
      </c>
      <c r="B995" s="5">
        <f t="shared" si="374"/>
        <v>36403</v>
      </c>
      <c r="C995">
        <v>1300.29</v>
      </c>
      <c r="D995" s="29">
        <f t="shared" si="375"/>
        <v>-5.57E-2</v>
      </c>
      <c r="E995" s="39">
        <f t="shared" si="376"/>
        <v>1342.207692307692</v>
      </c>
      <c r="F995" s="39">
        <f t="shared" si="377"/>
        <v>1283.0138461538461</v>
      </c>
      <c r="G995" s="29">
        <f t="shared" si="369"/>
        <v>-3.1199999999999999E-2</v>
      </c>
      <c r="H995" s="29">
        <f t="shared" si="369"/>
        <v>1.35E-2</v>
      </c>
      <c r="I995">
        <f t="shared" si="378"/>
        <v>1300.29</v>
      </c>
      <c r="J995">
        <f>IF(A995&gt;=Quarterly!B$2,Quarterly!C$2,IF(COUNTIFS(Quarterly!B:B,"&gt;="&amp;A995-92,Quarterly!B:B,"&lt;="&amp;A995)&gt;1,SUMIFS(Quarterly!C:C,Quarterly!B:B,"&gt;="&amp;A995-88,Quarterly!B:B,"&lt;="&amp;A995),SUMIFS(Quarterly!C:C,Quarterly!B:B,"&gt;="&amp;A995-92,Quarterly!B:B,"&lt;="&amp;A995)))</f>
        <v>9557</v>
      </c>
      <c r="K995" s="13">
        <f t="shared" si="379"/>
        <v>0.1361</v>
      </c>
      <c r="L995">
        <f t="shared" si="381"/>
        <v>1300.29</v>
      </c>
      <c r="M995">
        <f>IF(A995&gt;=Quarterly!B$2,Quarterly!D$2,IF(COUNTIFS(Quarterly!B:B,"&gt;="&amp;A995-92,Quarterly!B:B,"&lt;="&amp;A995)&gt;1,SUMIFS(Quarterly!D:D,Quarterly!B:B,"&gt;="&amp;A995-88,Quarterly!B:B,"&lt;="&amp;A995),SUMIFS(Quarterly!D:D,Quarterly!B:B,"&gt;="&amp;A995-92,Quarterly!B:B,"&lt;="&amp;A995)))</f>
        <v>507.56900000000002</v>
      </c>
      <c r="N995" s="13">
        <f t="shared" si="382"/>
        <v>0.25618000000000002</v>
      </c>
      <c r="O995">
        <f t="shared" si="370"/>
        <v>1300.29</v>
      </c>
      <c r="P995" s="56">
        <f>VLOOKUP(EOMONTH(A995,-1),Economic!A:I,7,FALSE)</f>
        <v>771867</v>
      </c>
      <c r="Q995" s="13">
        <f t="shared" si="371"/>
        <v>0.16850000000000001</v>
      </c>
      <c r="R995" s="41">
        <v>0.33</v>
      </c>
      <c r="S995">
        <f t="shared" si="372"/>
        <v>0</v>
      </c>
      <c r="T995" s="30">
        <f t="shared" si="373"/>
        <v>0</v>
      </c>
      <c r="U995" s="30">
        <f t="shared" si="380"/>
        <v>0</v>
      </c>
    </row>
    <row r="996" spans="1:21" ht="15" customHeight="1" x14ac:dyDescent="0.25">
      <c r="A996" s="5">
        <v>36373</v>
      </c>
      <c r="B996" s="5">
        <f t="shared" si="374"/>
        <v>36403</v>
      </c>
      <c r="C996">
        <v>1328.72</v>
      </c>
      <c r="D996" s="29">
        <f t="shared" si="375"/>
        <v>-4.58E-2</v>
      </c>
      <c r="E996" s="39">
        <f t="shared" si="376"/>
        <v>1345.646923076923</v>
      </c>
      <c r="F996" s="39">
        <f t="shared" si="377"/>
        <v>1278.9297435897436</v>
      </c>
      <c r="G996" s="29">
        <f t="shared" si="369"/>
        <v>-1.26E-2</v>
      </c>
      <c r="H996" s="29">
        <f t="shared" si="369"/>
        <v>3.8899999999999997E-2</v>
      </c>
      <c r="I996">
        <f t="shared" si="378"/>
        <v>1328.72</v>
      </c>
      <c r="J996">
        <f>IF(A996&gt;=Quarterly!B$2,Quarterly!C$2,IF(COUNTIFS(Quarterly!B:B,"&gt;="&amp;A996-92,Quarterly!B:B,"&lt;="&amp;A996)&gt;1,SUMIFS(Quarterly!C:C,Quarterly!B:B,"&gt;="&amp;A996-88,Quarterly!B:B,"&lt;="&amp;A996),SUMIFS(Quarterly!C:C,Quarterly!B:B,"&gt;="&amp;A996-92,Quarterly!B:B,"&lt;="&amp;A996)))</f>
        <v>9557</v>
      </c>
      <c r="K996" s="13">
        <f t="shared" si="379"/>
        <v>0.13900000000000001</v>
      </c>
      <c r="L996">
        <f t="shared" si="381"/>
        <v>1328.72</v>
      </c>
      <c r="M996">
        <f>IF(A996&gt;=Quarterly!B$2,Quarterly!D$2,IF(COUNTIFS(Quarterly!B:B,"&gt;="&amp;A996-92,Quarterly!B:B,"&lt;="&amp;A996)&gt;1,SUMIFS(Quarterly!D:D,Quarterly!B:B,"&gt;="&amp;A996-88,Quarterly!B:B,"&lt;="&amp;A996),SUMIFS(Quarterly!D:D,Quarterly!B:B,"&gt;="&amp;A996-92,Quarterly!B:B,"&lt;="&amp;A996)))</f>
        <v>507.56900000000002</v>
      </c>
      <c r="N996" s="13">
        <f t="shared" si="382"/>
        <v>0.26178000000000001</v>
      </c>
      <c r="O996">
        <f t="shared" si="370"/>
        <v>1328.72</v>
      </c>
      <c r="P996" s="56">
        <f>VLOOKUP(EOMONTH(A996,-1),Economic!A:I,7,FALSE)</f>
        <v>771867</v>
      </c>
      <c r="Q996" s="13">
        <f t="shared" si="371"/>
        <v>0.1721</v>
      </c>
      <c r="R996" s="41">
        <v>0.28999999999999998</v>
      </c>
      <c r="S996">
        <f t="shared" si="372"/>
        <v>0.03</v>
      </c>
      <c r="T996" s="30">
        <f t="shared" si="373"/>
        <v>0</v>
      </c>
      <c r="U996" s="30">
        <f t="shared" si="380"/>
        <v>0</v>
      </c>
    </row>
    <row r="997" spans="1:21" ht="15" customHeight="1" x14ac:dyDescent="0.25">
      <c r="A997" s="5">
        <v>36366</v>
      </c>
      <c r="B997" s="5">
        <f t="shared" si="374"/>
        <v>36372</v>
      </c>
      <c r="C997">
        <v>1356.94</v>
      </c>
      <c r="D997" s="29">
        <f t="shared" si="375"/>
        <v>-1.8200000000000001E-2</v>
      </c>
      <c r="E997" s="39">
        <f t="shared" si="376"/>
        <v>1346.143846153846</v>
      </c>
      <c r="F997" s="39">
        <f t="shared" si="377"/>
        <v>1273.0310256410255</v>
      </c>
      <c r="G997" s="29">
        <f t="shared" si="369"/>
        <v>8.0000000000000002E-3</v>
      </c>
      <c r="H997" s="29">
        <f t="shared" si="369"/>
        <v>6.59E-2</v>
      </c>
      <c r="I997">
        <f t="shared" si="378"/>
        <v>1356.94</v>
      </c>
      <c r="J997">
        <f>IF(A997&gt;=Quarterly!B$2,Quarterly!C$2,IF(COUNTIFS(Quarterly!B:B,"&gt;="&amp;A997-92,Quarterly!B:B,"&lt;="&amp;A997)&gt;1,SUMIFS(Quarterly!C:C,Quarterly!B:B,"&gt;="&amp;A997-88,Quarterly!B:B,"&lt;="&amp;A997),SUMIFS(Quarterly!C:C,Quarterly!B:B,"&gt;="&amp;A997-92,Quarterly!B:B,"&lt;="&amp;A997)))</f>
        <v>9447.1</v>
      </c>
      <c r="K997" s="13">
        <f t="shared" si="379"/>
        <v>0.14360000000000001</v>
      </c>
      <c r="L997">
        <f t="shared" si="381"/>
        <v>1356.94</v>
      </c>
      <c r="M997">
        <f>IF(A997&gt;=Quarterly!B$2,Quarterly!D$2,IF(COUNTIFS(Quarterly!B:B,"&gt;="&amp;A997-92,Quarterly!B:B,"&lt;="&amp;A997)&gt;1,SUMIFS(Quarterly!D:D,Quarterly!B:B,"&gt;="&amp;A997-88,Quarterly!B:B,"&lt;="&amp;A997),SUMIFS(Quarterly!D:D,Quarterly!B:B,"&gt;="&amp;A997-92,Quarterly!B:B,"&lt;="&amp;A997)))</f>
        <v>493.06599999999997</v>
      </c>
      <c r="N997" s="13">
        <f t="shared" si="382"/>
        <v>0.2752</v>
      </c>
      <c r="O997">
        <f t="shared" si="370"/>
        <v>1356.94</v>
      </c>
      <c r="P997" s="56">
        <f>VLOOKUP(EOMONTH(A997,-1),Economic!A:I,7,FALSE)</f>
        <v>766800</v>
      </c>
      <c r="Q997" s="13">
        <f t="shared" si="371"/>
        <v>0.17700000000000002</v>
      </c>
      <c r="R997" s="41">
        <v>0.26</v>
      </c>
      <c r="S997">
        <f t="shared" si="372"/>
        <v>0.01</v>
      </c>
      <c r="T997" s="30">
        <f t="shared" si="373"/>
        <v>0</v>
      </c>
      <c r="U997" s="30">
        <f t="shared" si="380"/>
        <v>0</v>
      </c>
    </row>
    <row r="998" spans="1:21" ht="15" customHeight="1" x14ac:dyDescent="0.25">
      <c r="A998" s="5">
        <v>36359</v>
      </c>
      <c r="B998" s="5">
        <f t="shared" si="374"/>
        <v>36372</v>
      </c>
      <c r="C998">
        <v>1418.78</v>
      </c>
      <c r="D998" s="29">
        <f t="shared" si="375"/>
        <v>4.0800000000000003E-2</v>
      </c>
      <c r="E998" s="39">
        <f t="shared" si="376"/>
        <v>1346.136923076923</v>
      </c>
      <c r="F998" s="39">
        <f t="shared" si="377"/>
        <v>1265.6907692307695</v>
      </c>
      <c r="G998" s="29">
        <f t="shared" si="369"/>
        <v>5.3999999999999999E-2</v>
      </c>
      <c r="H998" s="29">
        <f t="shared" si="369"/>
        <v>0.121</v>
      </c>
      <c r="I998">
        <f t="shared" si="378"/>
        <v>1418.78</v>
      </c>
      <c r="J998">
        <f>IF(A998&gt;=Quarterly!B$2,Quarterly!C$2,IF(COUNTIFS(Quarterly!B:B,"&gt;="&amp;A998-92,Quarterly!B:B,"&lt;="&amp;A998)&gt;1,SUMIFS(Quarterly!C:C,Quarterly!B:B,"&gt;="&amp;A998-88,Quarterly!B:B,"&lt;="&amp;A998),SUMIFS(Quarterly!C:C,Quarterly!B:B,"&gt;="&amp;A998-92,Quarterly!B:B,"&lt;="&amp;A998)))</f>
        <v>9447.1</v>
      </c>
      <c r="K998" s="13">
        <f t="shared" si="379"/>
        <v>0.1502</v>
      </c>
      <c r="L998">
        <f t="shared" si="381"/>
        <v>1418.78</v>
      </c>
      <c r="M998">
        <f>IF(A998&gt;=Quarterly!B$2,Quarterly!D$2,IF(COUNTIFS(Quarterly!B:B,"&gt;="&amp;A998-92,Quarterly!B:B,"&lt;="&amp;A998)&gt;1,SUMIFS(Quarterly!D:D,Quarterly!B:B,"&gt;="&amp;A998-88,Quarterly!B:B,"&lt;="&amp;A998),SUMIFS(Quarterly!D:D,Quarterly!B:B,"&gt;="&amp;A998-92,Quarterly!B:B,"&lt;="&amp;A998)))</f>
        <v>493.06599999999997</v>
      </c>
      <c r="N998" s="13">
        <f t="shared" si="382"/>
        <v>0.28775000000000001</v>
      </c>
      <c r="O998">
        <f t="shared" si="370"/>
        <v>1418.78</v>
      </c>
      <c r="P998" s="56">
        <f>VLOOKUP(EOMONTH(A998,-1),Economic!A:I,7,FALSE)</f>
        <v>766800</v>
      </c>
      <c r="Q998" s="13">
        <f t="shared" si="371"/>
        <v>0.185</v>
      </c>
      <c r="R998" s="41">
        <v>0.18</v>
      </c>
      <c r="S998">
        <f t="shared" si="372"/>
        <v>0.05</v>
      </c>
      <c r="T998" s="30">
        <f t="shared" si="373"/>
        <v>0</v>
      </c>
      <c r="U998" s="30">
        <f t="shared" si="380"/>
        <v>0</v>
      </c>
    </row>
    <row r="999" spans="1:21" ht="15" customHeight="1" x14ac:dyDescent="0.25">
      <c r="A999" s="5">
        <v>36352</v>
      </c>
      <c r="B999" s="5">
        <f t="shared" si="374"/>
        <v>36372</v>
      </c>
      <c r="C999">
        <v>1403.28</v>
      </c>
      <c r="D999" s="29">
        <f t="shared" si="375"/>
        <v>5.0599999999999999E-2</v>
      </c>
      <c r="E999" s="39">
        <f t="shared" si="376"/>
        <v>1338.4615384615386</v>
      </c>
      <c r="F999" s="39">
        <f t="shared" si="377"/>
        <v>1256.3994871794873</v>
      </c>
      <c r="G999" s="29">
        <f t="shared" si="369"/>
        <v>4.8399999999999999E-2</v>
      </c>
      <c r="H999" s="29">
        <f t="shared" si="369"/>
        <v>0.1169</v>
      </c>
      <c r="I999">
        <f t="shared" si="378"/>
        <v>1403.28</v>
      </c>
      <c r="J999">
        <f>IF(A999&gt;=Quarterly!B$2,Quarterly!C$2,IF(COUNTIFS(Quarterly!B:B,"&gt;="&amp;A999-92,Quarterly!B:B,"&lt;="&amp;A999)&gt;1,SUMIFS(Quarterly!C:C,Quarterly!B:B,"&gt;="&amp;A999-88,Quarterly!B:B,"&lt;="&amp;A999),SUMIFS(Quarterly!C:C,Quarterly!B:B,"&gt;="&amp;A999-92,Quarterly!B:B,"&lt;="&amp;A999)))</f>
        <v>9447.1</v>
      </c>
      <c r="K999" s="13">
        <f t="shared" si="379"/>
        <v>0.14849999999999999</v>
      </c>
      <c r="L999">
        <f t="shared" si="381"/>
        <v>1403.28</v>
      </c>
      <c r="M999">
        <f>IF(A999&gt;=Quarterly!B$2,Quarterly!D$2,IF(COUNTIFS(Quarterly!B:B,"&gt;="&amp;A999-92,Quarterly!B:B,"&lt;="&amp;A999)&gt;1,SUMIFS(Quarterly!D:D,Quarterly!B:B,"&gt;="&amp;A999-88,Quarterly!B:B,"&lt;="&amp;A999),SUMIFS(Quarterly!D:D,Quarterly!B:B,"&gt;="&amp;A999-92,Quarterly!B:B,"&lt;="&amp;A999)))</f>
        <v>493.06599999999997</v>
      </c>
      <c r="N999" s="13">
        <f t="shared" si="382"/>
        <v>0.28460000000000002</v>
      </c>
      <c r="O999">
        <f t="shared" si="370"/>
        <v>1403.28</v>
      </c>
      <c r="P999" s="56">
        <f>VLOOKUP(EOMONTH(A999,-1),Economic!A:I,7,FALSE)</f>
        <v>766800</v>
      </c>
      <c r="Q999" s="13">
        <f t="shared" si="371"/>
        <v>0.183</v>
      </c>
      <c r="R999" s="41">
        <v>0.23</v>
      </c>
      <c r="S999">
        <f t="shared" si="372"/>
        <v>0.1</v>
      </c>
      <c r="T999" s="30">
        <f t="shared" si="373"/>
        <v>0</v>
      </c>
      <c r="U999" s="30">
        <f t="shared" si="380"/>
        <v>0</v>
      </c>
    </row>
    <row r="1000" spans="1:21" ht="15" customHeight="1" x14ac:dyDescent="0.25">
      <c r="A1000" s="5">
        <v>36345</v>
      </c>
      <c r="B1000" s="5">
        <f t="shared" si="374"/>
        <v>36372</v>
      </c>
      <c r="C1000">
        <v>1391.22</v>
      </c>
      <c r="D1000" s="29">
        <f t="shared" si="375"/>
        <v>5.3999999999999999E-2</v>
      </c>
      <c r="E1000" s="39">
        <f t="shared" si="376"/>
        <v>1334.2361538461539</v>
      </c>
      <c r="F1000" s="39">
        <f t="shared" si="377"/>
        <v>1245.658717948718</v>
      </c>
      <c r="G1000" s="29">
        <f t="shared" si="369"/>
        <v>4.2700000000000002E-2</v>
      </c>
      <c r="H1000" s="29">
        <f t="shared" si="369"/>
        <v>0.1169</v>
      </c>
      <c r="I1000">
        <f t="shared" si="378"/>
        <v>1391.22</v>
      </c>
      <c r="J1000">
        <f>IF(A1000&gt;=Quarterly!B$2,Quarterly!C$2,IF(COUNTIFS(Quarterly!B:B,"&gt;="&amp;A1000-92,Quarterly!B:B,"&lt;="&amp;A1000)&gt;1,SUMIFS(Quarterly!C:C,Quarterly!B:B,"&gt;="&amp;A1000-88,Quarterly!B:B,"&lt;="&amp;A1000),SUMIFS(Quarterly!C:C,Quarterly!B:B,"&gt;="&amp;A1000-92,Quarterly!B:B,"&lt;="&amp;A1000)))</f>
        <v>9447.1</v>
      </c>
      <c r="K1000" s="13">
        <f t="shared" si="379"/>
        <v>0.14729999999999999</v>
      </c>
      <c r="L1000">
        <f t="shared" si="381"/>
        <v>1391.22</v>
      </c>
      <c r="M1000">
        <f>IF(A1000&gt;=Quarterly!B$2,Quarterly!D$2,IF(COUNTIFS(Quarterly!B:B,"&gt;="&amp;A1000-92,Quarterly!B:B,"&lt;="&amp;A1000)&gt;1,SUMIFS(Quarterly!D:D,Quarterly!B:B,"&gt;="&amp;A1000-88,Quarterly!B:B,"&lt;="&amp;A1000),SUMIFS(Quarterly!D:D,Quarterly!B:B,"&gt;="&amp;A1000-92,Quarterly!B:B,"&lt;="&amp;A1000)))</f>
        <v>493.06599999999997</v>
      </c>
      <c r="N1000" s="13">
        <f t="shared" si="382"/>
        <v>0.28216000000000002</v>
      </c>
      <c r="O1000">
        <f t="shared" si="370"/>
        <v>1391.22</v>
      </c>
      <c r="P1000" s="56">
        <f>VLOOKUP(EOMONTH(A1000,-1),Economic!A:I,7,FALSE)</f>
        <v>766800</v>
      </c>
      <c r="Q1000" s="13">
        <f t="shared" si="371"/>
        <v>0.18140000000000001</v>
      </c>
      <c r="R1000" s="41">
        <v>0.24</v>
      </c>
      <c r="S1000">
        <f t="shared" si="372"/>
        <v>0.08</v>
      </c>
      <c r="T1000" s="30">
        <f t="shared" si="373"/>
        <v>0</v>
      </c>
      <c r="U1000" s="30">
        <f t="shared" si="380"/>
        <v>0</v>
      </c>
    </row>
    <row r="1001" spans="1:21" ht="15" customHeight="1" x14ac:dyDescent="0.25">
      <c r="A1001" s="5">
        <v>36338</v>
      </c>
      <c r="B1001" s="5">
        <f t="shared" si="374"/>
        <v>36341</v>
      </c>
      <c r="C1001">
        <v>1315.31</v>
      </c>
      <c r="D1001" s="29">
        <f t="shared" si="375"/>
        <v>-8.9999999999999998E-4</v>
      </c>
      <c r="E1001" s="39">
        <f t="shared" si="376"/>
        <v>1326.7361538461539</v>
      </c>
      <c r="F1001" s="39">
        <f t="shared" si="377"/>
        <v>1235.6941025641026</v>
      </c>
      <c r="G1001" s="29">
        <f t="shared" si="369"/>
        <v>-8.6E-3</v>
      </c>
      <c r="H1001" s="29">
        <f t="shared" si="369"/>
        <v>6.4399999999999999E-2</v>
      </c>
      <c r="I1001">
        <f t="shared" si="378"/>
        <v>1315.31</v>
      </c>
      <c r="J1001">
        <f>IF(A1001&gt;=Quarterly!B$2,Quarterly!C$2,IF(COUNTIFS(Quarterly!B:B,"&gt;="&amp;A1001-92,Quarterly!B:B,"&lt;="&amp;A1001)&gt;1,SUMIFS(Quarterly!C:C,Quarterly!B:B,"&gt;="&amp;A1001-88,Quarterly!B:B,"&lt;="&amp;A1001),SUMIFS(Quarterly!C:C,Quarterly!B:B,"&gt;="&amp;A1001-92,Quarterly!B:B,"&lt;="&amp;A1001)))</f>
        <v>9447.1</v>
      </c>
      <c r="K1001" s="13">
        <f t="shared" si="379"/>
        <v>0.13919999999999999</v>
      </c>
      <c r="L1001">
        <f t="shared" si="381"/>
        <v>1315.31</v>
      </c>
      <c r="M1001">
        <f>IF(A1001&gt;=Quarterly!B$2,Quarterly!D$2,IF(COUNTIFS(Quarterly!B:B,"&gt;="&amp;A1001-92,Quarterly!B:B,"&lt;="&amp;A1001)&gt;1,SUMIFS(Quarterly!D:D,Quarterly!B:B,"&gt;="&amp;A1001-88,Quarterly!B:B,"&lt;="&amp;A1001),SUMIFS(Quarterly!D:D,Quarterly!B:B,"&gt;="&amp;A1001-92,Quarterly!B:B,"&lt;="&amp;A1001)))</f>
        <v>493.06599999999997</v>
      </c>
      <c r="N1001" s="13">
        <f t="shared" si="382"/>
        <v>0.26676000000000005</v>
      </c>
      <c r="O1001">
        <f t="shared" si="370"/>
        <v>1315.31</v>
      </c>
      <c r="P1001" s="56">
        <f>VLOOKUP(EOMONTH(A1001,-1),Economic!A:I,7,FALSE)</f>
        <v>762873</v>
      </c>
      <c r="Q1001" s="13">
        <f t="shared" si="371"/>
        <v>0.1724</v>
      </c>
      <c r="R1001" s="41">
        <v>0.28999999999999998</v>
      </c>
      <c r="S1001">
        <f t="shared" si="372"/>
        <v>0.06</v>
      </c>
      <c r="T1001" s="30">
        <f t="shared" si="373"/>
        <v>0</v>
      </c>
      <c r="U1001" s="30">
        <f t="shared" si="380"/>
        <v>0</v>
      </c>
    </row>
    <row r="1002" spans="1:21" ht="15" customHeight="1" x14ac:dyDescent="0.25">
      <c r="A1002" s="5">
        <v>36331</v>
      </c>
      <c r="B1002" s="5">
        <f t="shared" si="374"/>
        <v>36341</v>
      </c>
      <c r="C1002">
        <v>1342.84</v>
      </c>
      <c r="D1002" s="29">
        <f t="shared" si="375"/>
        <v>2.24E-2</v>
      </c>
      <c r="E1002" s="39">
        <f t="shared" si="376"/>
        <v>1324.2353846153846</v>
      </c>
      <c r="F1002" s="39">
        <f t="shared" si="377"/>
        <v>1228.7566666666667</v>
      </c>
      <c r="G1002" s="29">
        <f t="shared" si="369"/>
        <v>1.4E-2</v>
      </c>
      <c r="H1002" s="29">
        <f t="shared" si="369"/>
        <v>9.2799999999999994E-2</v>
      </c>
      <c r="I1002">
        <f t="shared" si="378"/>
        <v>1342.84</v>
      </c>
      <c r="J1002">
        <f>IF(A1002&gt;=Quarterly!B$2,Quarterly!C$2,IF(COUNTIFS(Quarterly!B:B,"&gt;="&amp;A1002-92,Quarterly!B:B,"&lt;="&amp;A1002)&gt;1,SUMIFS(Quarterly!C:C,Quarterly!B:B,"&gt;="&amp;A1002-88,Quarterly!B:B,"&lt;="&amp;A1002),SUMIFS(Quarterly!C:C,Quarterly!B:B,"&gt;="&amp;A1002-92,Quarterly!B:B,"&lt;="&amp;A1002)))</f>
        <v>9447.1</v>
      </c>
      <c r="K1002" s="13">
        <f t="shared" si="379"/>
        <v>0.1421</v>
      </c>
      <c r="L1002">
        <f t="shared" si="381"/>
        <v>1342.84</v>
      </c>
      <c r="M1002">
        <f>IF(A1002&gt;=Quarterly!B$2,Quarterly!D$2,IF(COUNTIFS(Quarterly!B:B,"&gt;="&amp;A1002-92,Quarterly!B:B,"&lt;="&amp;A1002)&gt;1,SUMIFS(Quarterly!D:D,Quarterly!B:B,"&gt;="&amp;A1002-88,Quarterly!B:B,"&lt;="&amp;A1002),SUMIFS(Quarterly!D:D,Quarterly!B:B,"&gt;="&amp;A1002-92,Quarterly!B:B,"&lt;="&amp;A1002)))</f>
        <v>493.06599999999997</v>
      </c>
      <c r="N1002" s="13">
        <f t="shared" si="382"/>
        <v>0.27233999999999997</v>
      </c>
      <c r="O1002">
        <f t="shared" si="370"/>
        <v>1342.84</v>
      </c>
      <c r="P1002" s="56">
        <f>VLOOKUP(EOMONTH(A1002,-1),Economic!A:I,7,FALSE)</f>
        <v>762873</v>
      </c>
      <c r="Q1002" s="13">
        <f t="shared" si="371"/>
        <v>0.17600000000000002</v>
      </c>
      <c r="R1002" s="41">
        <v>0.28000000000000003</v>
      </c>
      <c r="S1002">
        <f t="shared" si="372"/>
        <v>0.05</v>
      </c>
      <c r="T1002" s="30">
        <f t="shared" si="373"/>
        <v>0</v>
      </c>
      <c r="U1002" s="30">
        <f t="shared" si="380"/>
        <v>0</v>
      </c>
    </row>
    <row r="1003" spans="1:21" ht="15" customHeight="1" x14ac:dyDescent="0.25">
      <c r="A1003" s="5">
        <v>36324</v>
      </c>
      <c r="B1003" s="5">
        <f t="shared" si="374"/>
        <v>36341</v>
      </c>
      <c r="C1003">
        <v>1293.6400000000001</v>
      </c>
      <c r="D1003" s="29">
        <f t="shared" si="375"/>
        <v>-2.3199999999999998E-2</v>
      </c>
      <c r="E1003" s="39">
        <f t="shared" si="376"/>
        <v>1320.8853846153845</v>
      </c>
      <c r="F1003" s="39">
        <f t="shared" si="377"/>
        <v>1220.4810256410256</v>
      </c>
      <c r="G1003" s="29">
        <f t="shared" si="369"/>
        <v>-2.06E-2</v>
      </c>
      <c r="H1003" s="29">
        <f t="shared" si="369"/>
        <v>5.9900000000000002E-2</v>
      </c>
      <c r="I1003">
        <f t="shared" si="378"/>
        <v>1293.6400000000001</v>
      </c>
      <c r="J1003">
        <f>IF(A1003&gt;=Quarterly!B$2,Quarterly!C$2,IF(COUNTIFS(Quarterly!B:B,"&gt;="&amp;A1003-92,Quarterly!B:B,"&lt;="&amp;A1003)&gt;1,SUMIFS(Quarterly!C:C,Quarterly!B:B,"&gt;="&amp;A1003-88,Quarterly!B:B,"&lt;="&amp;A1003),SUMIFS(Quarterly!C:C,Quarterly!B:B,"&gt;="&amp;A1003-92,Quarterly!B:B,"&lt;="&amp;A1003)))</f>
        <v>9447.1</v>
      </c>
      <c r="K1003" s="13">
        <f t="shared" si="379"/>
        <v>0.13689999999999999</v>
      </c>
      <c r="L1003">
        <f t="shared" si="381"/>
        <v>1293.6400000000001</v>
      </c>
      <c r="M1003">
        <f>IF(A1003&gt;=Quarterly!B$2,Quarterly!D$2,IF(COUNTIFS(Quarterly!B:B,"&gt;="&amp;A1003-92,Quarterly!B:B,"&lt;="&amp;A1003)&gt;1,SUMIFS(Quarterly!D:D,Quarterly!B:B,"&gt;="&amp;A1003-88,Quarterly!B:B,"&lt;="&amp;A1003),SUMIFS(Quarterly!D:D,Quarterly!B:B,"&gt;="&amp;A1003-92,Quarterly!B:B,"&lt;="&amp;A1003)))</f>
        <v>493.06599999999997</v>
      </c>
      <c r="N1003" s="13">
        <f t="shared" si="382"/>
        <v>0.26236999999999999</v>
      </c>
      <c r="O1003">
        <f t="shared" si="370"/>
        <v>1293.6400000000001</v>
      </c>
      <c r="P1003" s="56">
        <f>VLOOKUP(EOMONTH(A1003,-1),Economic!A:I,7,FALSE)</f>
        <v>762873</v>
      </c>
      <c r="Q1003" s="13">
        <f t="shared" si="371"/>
        <v>0.1696</v>
      </c>
      <c r="R1003" s="41">
        <v>0.32</v>
      </c>
      <c r="S1003">
        <f t="shared" si="372"/>
        <v>0.09</v>
      </c>
      <c r="T1003" s="30">
        <f t="shared" si="373"/>
        <v>0</v>
      </c>
      <c r="U1003" s="30">
        <f t="shared" si="380"/>
        <v>0</v>
      </c>
    </row>
    <row r="1004" spans="1:21" ht="15" customHeight="1" x14ac:dyDescent="0.25">
      <c r="A1004" s="5">
        <v>36317</v>
      </c>
      <c r="B1004" s="5">
        <f t="shared" si="374"/>
        <v>36341</v>
      </c>
      <c r="C1004">
        <v>1327.75</v>
      </c>
      <c r="D1004" s="29">
        <f t="shared" si="375"/>
        <v>-6.9999999999999999E-4</v>
      </c>
      <c r="E1004" s="39">
        <f t="shared" si="376"/>
        <v>1320.9584615384615</v>
      </c>
      <c r="F1004" s="39">
        <f t="shared" si="377"/>
        <v>1213.1841025641024</v>
      </c>
      <c r="G1004" s="29">
        <f t="shared" si="369"/>
        <v>5.1000000000000004E-3</v>
      </c>
      <c r="H1004" s="29">
        <f t="shared" si="369"/>
        <v>9.4399999999999998E-2</v>
      </c>
      <c r="I1004">
        <f t="shared" si="378"/>
        <v>1327.75</v>
      </c>
      <c r="J1004">
        <f>IF(A1004&gt;=Quarterly!B$2,Quarterly!C$2,IF(COUNTIFS(Quarterly!B:B,"&gt;="&amp;A1004-92,Quarterly!B:B,"&lt;="&amp;A1004)&gt;1,SUMIFS(Quarterly!C:C,Quarterly!B:B,"&gt;="&amp;A1004-88,Quarterly!B:B,"&lt;="&amp;A1004),SUMIFS(Quarterly!C:C,Quarterly!B:B,"&gt;="&amp;A1004-92,Quarterly!B:B,"&lt;="&amp;A1004)))</f>
        <v>9447.1</v>
      </c>
      <c r="K1004" s="13">
        <f t="shared" si="379"/>
        <v>0.14050000000000001</v>
      </c>
      <c r="L1004">
        <f t="shared" si="381"/>
        <v>1327.75</v>
      </c>
      <c r="M1004">
        <f>IF(A1004&gt;=Quarterly!B$2,Quarterly!D$2,IF(COUNTIFS(Quarterly!B:B,"&gt;="&amp;A1004-92,Quarterly!B:B,"&lt;="&amp;A1004)&gt;1,SUMIFS(Quarterly!D:D,Quarterly!B:B,"&gt;="&amp;A1004-88,Quarterly!B:B,"&lt;="&amp;A1004),SUMIFS(Quarterly!D:D,Quarterly!B:B,"&gt;="&amp;A1004-92,Quarterly!B:B,"&lt;="&amp;A1004)))</f>
        <v>493.06599999999997</v>
      </c>
      <c r="N1004" s="13">
        <f t="shared" si="382"/>
        <v>0.26928000000000002</v>
      </c>
      <c r="O1004">
        <f t="shared" si="370"/>
        <v>1327.75</v>
      </c>
      <c r="P1004" s="56">
        <f>VLOOKUP(EOMONTH(A1004,-1),Economic!A:I,7,FALSE)</f>
        <v>762873</v>
      </c>
      <c r="Q1004" s="13">
        <f t="shared" si="371"/>
        <v>0.17399999999999999</v>
      </c>
      <c r="R1004" s="41">
        <v>0.26</v>
      </c>
      <c r="S1004">
        <f t="shared" si="372"/>
        <v>0.05</v>
      </c>
      <c r="T1004" s="30">
        <f t="shared" si="373"/>
        <v>0</v>
      </c>
      <c r="U1004" s="30">
        <f t="shared" si="380"/>
        <v>0</v>
      </c>
    </row>
    <row r="1005" spans="1:21" ht="15" customHeight="1" x14ac:dyDescent="0.25">
      <c r="A1005" s="5">
        <v>36310</v>
      </c>
      <c r="B1005" s="5">
        <f t="shared" si="374"/>
        <v>36311</v>
      </c>
      <c r="C1005">
        <v>1301.8399999999999</v>
      </c>
      <c r="D1005" s="29">
        <f t="shared" si="375"/>
        <v>-2.63E-2</v>
      </c>
      <c r="E1005" s="39">
        <f t="shared" si="376"/>
        <v>1316.936923076923</v>
      </c>
      <c r="F1005" s="39">
        <f t="shared" si="377"/>
        <v>1204.1107692307689</v>
      </c>
      <c r="G1005" s="29">
        <f t="shared" si="369"/>
        <v>-1.15E-2</v>
      </c>
      <c r="H1005" s="29">
        <f t="shared" si="369"/>
        <v>8.1199999999999994E-2</v>
      </c>
      <c r="I1005">
        <f t="shared" si="378"/>
        <v>1301.8399999999999</v>
      </c>
      <c r="J1005">
        <f>IF(A1005&gt;=Quarterly!B$2,Quarterly!C$2,IF(COUNTIFS(Quarterly!B:B,"&gt;="&amp;A1005-92,Quarterly!B:B,"&lt;="&amp;A1005)&gt;1,SUMIFS(Quarterly!C:C,Quarterly!B:B,"&gt;="&amp;A1005-88,Quarterly!B:B,"&lt;="&amp;A1005),SUMIFS(Quarterly!C:C,Quarterly!B:B,"&gt;="&amp;A1005-92,Quarterly!B:B,"&lt;="&amp;A1005)))</f>
        <v>9447.1</v>
      </c>
      <c r="K1005" s="13">
        <f t="shared" si="379"/>
        <v>0.13780000000000001</v>
      </c>
      <c r="L1005">
        <f t="shared" si="381"/>
        <v>1301.8399999999999</v>
      </c>
      <c r="M1005">
        <f>IF(A1005&gt;=Quarterly!B$2,Quarterly!D$2,IF(COUNTIFS(Quarterly!B:B,"&gt;="&amp;A1005-92,Quarterly!B:B,"&lt;="&amp;A1005)&gt;1,SUMIFS(Quarterly!D:D,Quarterly!B:B,"&gt;="&amp;A1005-88,Quarterly!B:B,"&lt;="&amp;A1005),SUMIFS(Quarterly!D:D,Quarterly!B:B,"&gt;="&amp;A1005-92,Quarterly!B:B,"&lt;="&amp;A1005)))</f>
        <v>493.06599999999997</v>
      </c>
      <c r="N1005" s="13">
        <f t="shared" si="382"/>
        <v>0.26402999999999999</v>
      </c>
      <c r="O1005">
        <f t="shared" si="370"/>
        <v>1301.8399999999999</v>
      </c>
      <c r="P1005" s="56">
        <f>VLOOKUP(EOMONTH(A1005,-1),Economic!A:I,7,FALSE)</f>
        <v>759789</v>
      </c>
      <c r="Q1005" s="13">
        <f t="shared" si="371"/>
        <v>0.17129999999999998</v>
      </c>
      <c r="R1005" s="41">
        <v>0.22</v>
      </c>
      <c r="S1005">
        <f t="shared" si="372"/>
        <v>0.05</v>
      </c>
      <c r="T1005" s="30">
        <f t="shared" si="373"/>
        <v>0</v>
      </c>
      <c r="U1005" s="30">
        <f t="shared" si="380"/>
        <v>0</v>
      </c>
    </row>
    <row r="1006" spans="1:21" ht="15" customHeight="1" x14ac:dyDescent="0.25">
      <c r="A1006" s="5">
        <v>36303</v>
      </c>
      <c r="B1006" s="5">
        <f t="shared" si="374"/>
        <v>36311</v>
      </c>
      <c r="C1006">
        <v>1330.29</v>
      </c>
      <c r="D1006" s="29">
        <f t="shared" si="375"/>
        <v>-0.01</v>
      </c>
      <c r="E1006" s="39">
        <f t="shared" si="376"/>
        <v>1312.0515384615383</v>
      </c>
      <c r="F1006" s="39">
        <f t="shared" si="377"/>
        <v>1197.0671794871791</v>
      </c>
      <c r="G1006" s="29">
        <f t="shared" si="369"/>
        <v>1.3899999999999999E-2</v>
      </c>
      <c r="H1006" s="29">
        <f t="shared" si="369"/>
        <v>0.1113</v>
      </c>
      <c r="I1006">
        <f t="shared" si="378"/>
        <v>1330.29</v>
      </c>
      <c r="J1006">
        <f>IF(A1006&gt;=Quarterly!B$2,Quarterly!C$2,IF(COUNTIFS(Quarterly!B:B,"&gt;="&amp;A1006-92,Quarterly!B:B,"&lt;="&amp;A1006)&gt;1,SUMIFS(Quarterly!C:C,Quarterly!B:B,"&gt;="&amp;A1006-88,Quarterly!B:B,"&lt;="&amp;A1006),SUMIFS(Quarterly!C:C,Quarterly!B:B,"&gt;="&amp;A1006-92,Quarterly!B:B,"&lt;="&amp;A1006)))</f>
        <v>9447.1</v>
      </c>
      <c r="K1006" s="13">
        <f t="shared" si="379"/>
        <v>0.14080000000000001</v>
      </c>
      <c r="L1006">
        <f t="shared" si="381"/>
        <v>1330.29</v>
      </c>
      <c r="M1006">
        <f>IF(A1006&gt;=Quarterly!B$2,Quarterly!D$2,IF(COUNTIFS(Quarterly!B:B,"&gt;="&amp;A1006-92,Quarterly!B:B,"&lt;="&amp;A1006)&gt;1,SUMIFS(Quarterly!D:D,Quarterly!B:B,"&gt;="&amp;A1006-88,Quarterly!B:B,"&lt;="&amp;A1006),SUMIFS(Quarterly!D:D,Quarterly!B:B,"&gt;="&amp;A1006-92,Quarterly!B:B,"&lt;="&amp;A1006)))</f>
        <v>493.06599999999997</v>
      </c>
      <c r="N1006" s="13">
        <f t="shared" si="382"/>
        <v>0.26979999999999998</v>
      </c>
      <c r="O1006">
        <f t="shared" si="370"/>
        <v>1330.29</v>
      </c>
      <c r="P1006" s="56">
        <f>VLOOKUP(EOMONTH(A1006,-1),Economic!A:I,7,FALSE)</f>
        <v>759789</v>
      </c>
      <c r="Q1006" s="13">
        <f t="shared" si="371"/>
        <v>0.17510000000000001</v>
      </c>
      <c r="R1006" s="41">
        <v>0.22</v>
      </c>
      <c r="S1006">
        <f t="shared" si="372"/>
        <v>0.05</v>
      </c>
      <c r="T1006" s="30">
        <f t="shared" si="373"/>
        <v>0</v>
      </c>
      <c r="U1006" s="30">
        <f t="shared" si="380"/>
        <v>0</v>
      </c>
    </row>
    <row r="1007" spans="1:21" ht="15" customHeight="1" x14ac:dyDescent="0.25">
      <c r="A1007" s="5">
        <v>36296</v>
      </c>
      <c r="B1007" s="5">
        <f t="shared" si="374"/>
        <v>36311</v>
      </c>
      <c r="C1007">
        <v>1337.8</v>
      </c>
      <c r="D1007" s="29">
        <f t="shared" si="375"/>
        <v>-8.9999999999999998E-4</v>
      </c>
      <c r="E1007" s="39">
        <f t="shared" si="376"/>
        <v>1305.0461538461536</v>
      </c>
      <c r="F1007" s="39">
        <f t="shared" si="377"/>
        <v>1190.6812820512816</v>
      </c>
      <c r="G1007" s="29">
        <f t="shared" si="369"/>
        <v>2.5100000000000001E-2</v>
      </c>
      <c r="H1007" s="29">
        <f t="shared" si="369"/>
        <v>0.1236</v>
      </c>
      <c r="I1007">
        <f t="shared" si="378"/>
        <v>1337.8</v>
      </c>
      <c r="J1007">
        <f>IF(A1007&gt;=Quarterly!B$2,Quarterly!C$2,IF(COUNTIFS(Quarterly!B:B,"&gt;="&amp;A1007-92,Quarterly!B:B,"&lt;="&amp;A1007)&gt;1,SUMIFS(Quarterly!C:C,Quarterly!B:B,"&gt;="&amp;A1007-88,Quarterly!B:B,"&lt;="&amp;A1007),SUMIFS(Quarterly!C:C,Quarterly!B:B,"&gt;="&amp;A1007-92,Quarterly!B:B,"&lt;="&amp;A1007)))</f>
        <v>9447.1</v>
      </c>
      <c r="K1007" s="13">
        <f t="shared" si="379"/>
        <v>0.1416</v>
      </c>
      <c r="L1007">
        <f t="shared" si="381"/>
        <v>1337.8</v>
      </c>
      <c r="M1007">
        <f>IF(A1007&gt;=Quarterly!B$2,Quarterly!D$2,IF(COUNTIFS(Quarterly!B:B,"&gt;="&amp;A1007-92,Quarterly!B:B,"&lt;="&amp;A1007)&gt;1,SUMIFS(Quarterly!D:D,Quarterly!B:B,"&gt;="&amp;A1007-88,Quarterly!B:B,"&lt;="&amp;A1007),SUMIFS(Quarterly!D:D,Quarterly!B:B,"&gt;="&amp;A1007-92,Quarterly!B:B,"&lt;="&amp;A1007)))</f>
        <v>493.06599999999997</v>
      </c>
      <c r="N1007" s="13">
        <f t="shared" si="382"/>
        <v>0.27132000000000001</v>
      </c>
      <c r="O1007">
        <f t="shared" si="370"/>
        <v>1337.8</v>
      </c>
      <c r="P1007" s="56">
        <f>VLOOKUP(EOMONTH(A1007,-1),Economic!A:I,7,FALSE)</f>
        <v>759789</v>
      </c>
      <c r="Q1007" s="13">
        <f t="shared" si="371"/>
        <v>0.17610000000000001</v>
      </c>
      <c r="R1007" s="41">
        <v>0.32</v>
      </c>
      <c r="S1007">
        <f t="shared" si="372"/>
        <v>0.08</v>
      </c>
      <c r="T1007" s="30">
        <f t="shared" si="373"/>
        <v>0</v>
      </c>
      <c r="U1007" s="30">
        <f t="shared" si="380"/>
        <v>0</v>
      </c>
    </row>
    <row r="1008" spans="1:21" ht="15" customHeight="1" x14ac:dyDescent="0.25">
      <c r="A1008" s="5">
        <v>36289</v>
      </c>
      <c r="B1008" s="5">
        <f t="shared" si="374"/>
        <v>36311</v>
      </c>
      <c r="C1008">
        <v>1345</v>
      </c>
      <c r="D1008" s="29">
        <f t="shared" si="375"/>
        <v>3.8E-3</v>
      </c>
      <c r="E1008" s="39">
        <f t="shared" si="376"/>
        <v>1296.7638461538461</v>
      </c>
      <c r="F1008" s="39">
        <f t="shared" si="377"/>
        <v>1183.6287179487174</v>
      </c>
      <c r="G1008" s="29">
        <f t="shared" si="369"/>
        <v>3.7199999999999997E-2</v>
      </c>
      <c r="H1008" s="29">
        <f t="shared" si="369"/>
        <v>0.1363</v>
      </c>
      <c r="I1008">
        <f t="shared" si="378"/>
        <v>1345</v>
      </c>
      <c r="J1008">
        <f>IF(A1008&gt;=Quarterly!B$2,Quarterly!C$2,IF(COUNTIFS(Quarterly!B:B,"&gt;="&amp;A1008-92,Quarterly!B:B,"&lt;="&amp;A1008)&gt;1,SUMIFS(Quarterly!C:C,Quarterly!B:B,"&gt;="&amp;A1008-88,Quarterly!B:B,"&lt;="&amp;A1008),SUMIFS(Quarterly!C:C,Quarterly!B:B,"&gt;="&amp;A1008-92,Quarterly!B:B,"&lt;="&amp;A1008)))</f>
        <v>9447.1</v>
      </c>
      <c r="K1008" s="13">
        <f t="shared" si="379"/>
        <v>0.1424</v>
      </c>
      <c r="L1008">
        <f t="shared" si="381"/>
        <v>1345</v>
      </c>
      <c r="M1008">
        <f>IF(A1008&gt;=Quarterly!B$2,Quarterly!D$2,IF(COUNTIFS(Quarterly!B:B,"&gt;="&amp;A1008-92,Quarterly!B:B,"&lt;="&amp;A1008)&gt;1,SUMIFS(Quarterly!D:D,Quarterly!B:B,"&gt;="&amp;A1008-88,Quarterly!B:B,"&lt;="&amp;A1008),SUMIFS(Quarterly!D:D,Quarterly!B:B,"&gt;="&amp;A1008-92,Quarterly!B:B,"&lt;="&amp;A1008)))</f>
        <v>493.06599999999997</v>
      </c>
      <c r="N1008" s="13">
        <f t="shared" si="382"/>
        <v>0.27277999999999997</v>
      </c>
      <c r="O1008">
        <f t="shared" si="370"/>
        <v>1345</v>
      </c>
      <c r="P1008" s="56">
        <f>VLOOKUP(EOMONTH(A1008,-1),Economic!A:I,7,FALSE)</f>
        <v>759789</v>
      </c>
      <c r="Q1008" s="13">
        <f t="shared" si="371"/>
        <v>0.17700000000000002</v>
      </c>
      <c r="R1008" s="41">
        <v>0.35</v>
      </c>
      <c r="S1008">
        <f t="shared" si="372"/>
        <v>0.15</v>
      </c>
      <c r="T1008" s="30">
        <f t="shared" si="373"/>
        <v>0</v>
      </c>
      <c r="U1008" s="30">
        <f t="shared" si="380"/>
        <v>0</v>
      </c>
    </row>
    <row r="1009" spans="1:21" ht="15" customHeight="1" x14ac:dyDescent="0.25">
      <c r="A1009" s="5">
        <v>36282</v>
      </c>
      <c r="B1009" s="5">
        <f t="shared" si="374"/>
        <v>36311</v>
      </c>
      <c r="C1009">
        <v>1335.18</v>
      </c>
      <c r="D1009" s="29">
        <f t="shared" si="375"/>
        <v>4.3E-3</v>
      </c>
      <c r="E1009" s="39">
        <f t="shared" si="376"/>
        <v>1288.6407692307691</v>
      </c>
      <c r="F1009" s="39">
        <f t="shared" si="377"/>
        <v>1177.0761538461531</v>
      </c>
      <c r="G1009" s="29">
        <f t="shared" si="369"/>
        <v>3.61E-2</v>
      </c>
      <c r="H1009" s="29">
        <f t="shared" si="369"/>
        <v>0.1343</v>
      </c>
      <c r="I1009">
        <f t="shared" si="378"/>
        <v>1335.18</v>
      </c>
      <c r="J1009">
        <f>IF(A1009&gt;=Quarterly!B$2,Quarterly!C$2,IF(COUNTIFS(Quarterly!B:B,"&gt;="&amp;A1009-92,Quarterly!B:B,"&lt;="&amp;A1009)&gt;1,SUMIFS(Quarterly!C:C,Quarterly!B:B,"&gt;="&amp;A1009-88,Quarterly!B:B,"&lt;="&amp;A1009),SUMIFS(Quarterly!C:C,Quarterly!B:B,"&gt;="&amp;A1009-92,Quarterly!B:B,"&lt;="&amp;A1009)))</f>
        <v>9447.1</v>
      </c>
      <c r="K1009" s="13">
        <f t="shared" si="379"/>
        <v>0.14130000000000001</v>
      </c>
      <c r="L1009">
        <f t="shared" si="381"/>
        <v>1335.18</v>
      </c>
      <c r="M1009">
        <f>IF(A1009&gt;=Quarterly!B$2,Quarterly!D$2,IF(COUNTIFS(Quarterly!B:B,"&gt;="&amp;A1009-92,Quarterly!B:B,"&lt;="&amp;A1009)&gt;1,SUMIFS(Quarterly!D:D,Quarterly!B:B,"&gt;="&amp;A1009-88,Quarterly!B:B,"&lt;="&amp;A1009),SUMIFS(Quarterly!D:D,Quarterly!B:B,"&gt;="&amp;A1009-92,Quarterly!B:B,"&lt;="&amp;A1009)))</f>
        <v>493.06599999999997</v>
      </c>
      <c r="N1009" s="13">
        <f t="shared" si="382"/>
        <v>0.27079000000000003</v>
      </c>
      <c r="O1009">
        <f t="shared" si="370"/>
        <v>1335.18</v>
      </c>
      <c r="P1009" s="56">
        <f>VLOOKUP(EOMONTH(A1009,-1),Economic!A:I,7,FALSE)</f>
        <v>759789</v>
      </c>
      <c r="Q1009" s="13">
        <f t="shared" si="371"/>
        <v>0.17570000000000002</v>
      </c>
      <c r="R1009" s="41">
        <v>0.28000000000000003</v>
      </c>
      <c r="S1009">
        <f t="shared" si="372"/>
        <v>7.0000000000000007E-2</v>
      </c>
      <c r="T1009" s="30">
        <f t="shared" si="373"/>
        <v>0</v>
      </c>
      <c r="U1009" s="30">
        <f t="shared" si="380"/>
        <v>0</v>
      </c>
    </row>
    <row r="1010" spans="1:21" ht="15" customHeight="1" x14ac:dyDescent="0.25">
      <c r="A1010" s="5">
        <v>36275</v>
      </c>
      <c r="B1010" s="5">
        <f t="shared" si="374"/>
        <v>36280</v>
      </c>
      <c r="C1010">
        <v>1356.85</v>
      </c>
      <c r="D1010" s="29">
        <f t="shared" si="375"/>
        <v>3.5000000000000003E-2</v>
      </c>
      <c r="E1010" s="39">
        <f t="shared" si="376"/>
        <v>1284.3684615384616</v>
      </c>
      <c r="F1010" s="39">
        <f t="shared" si="377"/>
        <v>1171.5758974358969</v>
      </c>
      <c r="G1010" s="29">
        <f t="shared" si="369"/>
        <v>5.6399999999999999E-2</v>
      </c>
      <c r="H1010" s="29">
        <f t="shared" si="369"/>
        <v>0.15809999999999999</v>
      </c>
      <c r="I1010">
        <f t="shared" si="378"/>
        <v>1356.85</v>
      </c>
      <c r="J1010">
        <f>IF(A1010&gt;=Quarterly!B$2,Quarterly!C$2,IF(COUNTIFS(Quarterly!B:B,"&gt;="&amp;A1010-92,Quarterly!B:B,"&lt;="&amp;A1010)&gt;1,SUMIFS(Quarterly!C:C,Quarterly!B:B,"&gt;="&amp;A1010-88,Quarterly!B:B,"&lt;="&amp;A1010),SUMIFS(Quarterly!C:C,Quarterly!B:B,"&gt;="&amp;A1010-92,Quarterly!B:B,"&lt;="&amp;A1010)))</f>
        <v>9325.7000000000007</v>
      </c>
      <c r="K1010" s="13">
        <f t="shared" si="379"/>
        <v>0.14549999999999999</v>
      </c>
      <c r="L1010">
        <f t="shared" si="381"/>
        <v>1356.85</v>
      </c>
      <c r="M1010">
        <f>IF(A1010&gt;=Quarterly!B$2,Quarterly!D$2,IF(COUNTIFS(Quarterly!B:B,"&gt;="&amp;A1010-92,Quarterly!B:B,"&lt;="&amp;A1010)&gt;1,SUMIFS(Quarterly!D:D,Quarterly!B:B,"&gt;="&amp;A1010-88,Quarterly!B:B,"&lt;="&amp;A1010),SUMIFS(Quarterly!D:D,Quarterly!B:B,"&gt;="&amp;A1010-92,Quarterly!B:B,"&lt;="&amp;A1010)))</f>
        <v>463.92200000000003</v>
      </c>
      <c r="N1010" s="13">
        <f t="shared" si="382"/>
        <v>0.29247000000000001</v>
      </c>
      <c r="O1010">
        <f t="shared" si="370"/>
        <v>1356.85</v>
      </c>
      <c r="P1010" s="56">
        <f>VLOOKUP(EOMONTH(A1010,-1),Economic!A:I,7,FALSE)</f>
        <v>755462</v>
      </c>
      <c r="Q1010" s="13">
        <f t="shared" si="371"/>
        <v>0.17960000000000001</v>
      </c>
      <c r="R1010" s="41">
        <v>0.22</v>
      </c>
      <c r="S1010">
        <f t="shared" si="372"/>
        <v>0.13</v>
      </c>
      <c r="T1010" s="30">
        <f t="shared" si="373"/>
        <v>0</v>
      </c>
      <c r="U1010" s="30">
        <f t="shared" si="380"/>
        <v>0</v>
      </c>
    </row>
    <row r="1011" spans="1:21" ht="15" customHeight="1" x14ac:dyDescent="0.25">
      <c r="A1011" s="5">
        <v>36268</v>
      </c>
      <c r="B1011" s="5">
        <f t="shared" si="374"/>
        <v>36280</v>
      </c>
      <c r="C1011">
        <v>1319</v>
      </c>
      <c r="D1011" s="29">
        <f t="shared" si="375"/>
        <v>9.9000000000000008E-3</v>
      </c>
      <c r="E1011" s="39">
        <f t="shared" si="376"/>
        <v>1274.240769230769</v>
      </c>
      <c r="F1011" s="39">
        <f t="shared" si="377"/>
        <v>1166.0361538461532</v>
      </c>
      <c r="G1011" s="29">
        <f t="shared" si="369"/>
        <v>3.5099999999999999E-2</v>
      </c>
      <c r="H1011" s="29">
        <f t="shared" si="369"/>
        <v>0.13120000000000001</v>
      </c>
      <c r="I1011">
        <f t="shared" si="378"/>
        <v>1319</v>
      </c>
      <c r="J1011">
        <f>IF(A1011&gt;=Quarterly!B$2,Quarterly!C$2,IF(COUNTIFS(Quarterly!B:B,"&gt;="&amp;A1011-92,Quarterly!B:B,"&lt;="&amp;A1011)&gt;1,SUMIFS(Quarterly!C:C,Quarterly!B:B,"&gt;="&amp;A1011-88,Quarterly!B:B,"&lt;="&amp;A1011),SUMIFS(Quarterly!C:C,Quarterly!B:B,"&gt;="&amp;A1011-92,Quarterly!B:B,"&lt;="&amp;A1011)))</f>
        <v>9325.7000000000007</v>
      </c>
      <c r="K1011" s="13">
        <f t="shared" si="379"/>
        <v>0.1414</v>
      </c>
      <c r="L1011">
        <f t="shared" si="381"/>
        <v>1319</v>
      </c>
      <c r="M1011">
        <f>IF(A1011&gt;=Quarterly!B$2,Quarterly!D$2,IF(COUNTIFS(Quarterly!B:B,"&gt;="&amp;A1011-92,Quarterly!B:B,"&lt;="&amp;A1011)&gt;1,SUMIFS(Quarterly!D:D,Quarterly!B:B,"&gt;="&amp;A1011-88,Quarterly!B:B,"&lt;="&amp;A1011),SUMIFS(Quarterly!D:D,Quarterly!B:B,"&gt;="&amp;A1011-92,Quarterly!B:B,"&lt;="&amp;A1011)))</f>
        <v>463.92200000000003</v>
      </c>
      <c r="N1011" s="13">
        <f t="shared" si="382"/>
        <v>0.28432000000000002</v>
      </c>
      <c r="O1011">
        <f t="shared" si="370"/>
        <v>1319</v>
      </c>
      <c r="P1011" s="56">
        <f>VLOOKUP(EOMONTH(A1011,-1),Economic!A:I,7,FALSE)</f>
        <v>755462</v>
      </c>
      <c r="Q1011" s="13">
        <f t="shared" si="371"/>
        <v>0.17460000000000001</v>
      </c>
      <c r="R1011" s="41">
        <v>0.21</v>
      </c>
      <c r="S1011">
        <f t="shared" si="372"/>
        <v>0.13</v>
      </c>
      <c r="T1011" s="30">
        <f t="shared" si="373"/>
        <v>0</v>
      </c>
      <c r="U1011" s="30">
        <f t="shared" si="380"/>
        <v>0</v>
      </c>
    </row>
    <row r="1012" spans="1:21" ht="15" customHeight="1" x14ac:dyDescent="0.25">
      <c r="A1012" s="5">
        <v>36261</v>
      </c>
      <c r="B1012" s="5">
        <f t="shared" si="374"/>
        <v>36280</v>
      </c>
      <c r="C1012">
        <v>1348.35</v>
      </c>
      <c r="D1012" s="29">
        <f t="shared" si="375"/>
        <v>4.3099999999999999E-2</v>
      </c>
      <c r="E1012" s="39">
        <f t="shared" si="376"/>
        <v>1268.414615384615</v>
      </c>
      <c r="F1012" s="39">
        <f t="shared" si="377"/>
        <v>1162.6451282051275</v>
      </c>
      <c r="G1012" s="29">
        <f t="shared" si="369"/>
        <v>6.3E-2</v>
      </c>
      <c r="H1012" s="29">
        <f t="shared" si="369"/>
        <v>0.15970000000000001</v>
      </c>
      <c r="I1012">
        <f t="shared" si="378"/>
        <v>1348.35</v>
      </c>
      <c r="J1012">
        <f>IF(A1012&gt;=Quarterly!B$2,Quarterly!C$2,IF(COUNTIFS(Quarterly!B:B,"&gt;="&amp;A1012-92,Quarterly!B:B,"&lt;="&amp;A1012)&gt;1,SUMIFS(Quarterly!C:C,Quarterly!B:B,"&gt;="&amp;A1012-88,Quarterly!B:B,"&lt;="&amp;A1012),SUMIFS(Quarterly!C:C,Quarterly!B:B,"&gt;="&amp;A1012-92,Quarterly!B:B,"&lt;="&amp;A1012)))</f>
        <v>9325.7000000000007</v>
      </c>
      <c r="K1012" s="13">
        <f t="shared" si="379"/>
        <v>0.14460000000000001</v>
      </c>
      <c r="L1012">
        <f t="shared" si="381"/>
        <v>1348.35</v>
      </c>
      <c r="M1012">
        <f>IF(A1012&gt;=Quarterly!B$2,Quarterly!D$2,IF(COUNTIFS(Quarterly!B:B,"&gt;="&amp;A1012-92,Quarterly!B:B,"&lt;="&amp;A1012)&gt;1,SUMIFS(Quarterly!D:D,Quarterly!B:B,"&gt;="&amp;A1012-88,Quarterly!B:B,"&lt;="&amp;A1012),SUMIFS(Quarterly!D:D,Quarterly!B:B,"&gt;="&amp;A1012-92,Quarterly!B:B,"&lt;="&amp;A1012)))</f>
        <v>463.92200000000003</v>
      </c>
      <c r="N1012" s="13">
        <f t="shared" si="382"/>
        <v>0.29064000000000001</v>
      </c>
      <c r="O1012">
        <f t="shared" si="370"/>
        <v>1348.35</v>
      </c>
      <c r="P1012" s="56">
        <f>VLOOKUP(EOMONTH(A1012,-1),Economic!A:I,7,FALSE)</f>
        <v>755462</v>
      </c>
      <c r="Q1012" s="13">
        <f t="shared" si="371"/>
        <v>0.17849999999999999</v>
      </c>
      <c r="R1012" s="41">
        <v>0.17</v>
      </c>
      <c r="S1012">
        <f t="shared" si="372"/>
        <v>0.24</v>
      </c>
      <c r="T1012" s="30">
        <f t="shared" si="373"/>
        <v>0</v>
      </c>
      <c r="U1012" s="30">
        <f t="shared" si="380"/>
        <v>0</v>
      </c>
    </row>
    <row r="1013" spans="1:21" ht="15" customHeight="1" x14ac:dyDescent="0.25">
      <c r="A1013" s="5">
        <v>36254</v>
      </c>
      <c r="B1013" s="5">
        <f t="shared" si="374"/>
        <v>36280</v>
      </c>
      <c r="C1013">
        <v>1293.72</v>
      </c>
      <c r="D1013" s="29">
        <f t="shared" si="375"/>
        <v>4.4000000000000003E-3</v>
      </c>
      <c r="E1013" s="39">
        <f t="shared" si="376"/>
        <v>1262.7792307692305</v>
      </c>
      <c r="F1013" s="39">
        <f t="shared" si="377"/>
        <v>1157.9266666666661</v>
      </c>
      <c r="G1013" s="29">
        <f t="shared" si="369"/>
        <v>2.4500000000000001E-2</v>
      </c>
      <c r="H1013" s="29">
        <f t="shared" si="369"/>
        <v>0.1173</v>
      </c>
      <c r="I1013">
        <f t="shared" si="378"/>
        <v>1293.72</v>
      </c>
      <c r="J1013">
        <f>IF(A1013&gt;=Quarterly!B$2,Quarterly!C$2,IF(COUNTIFS(Quarterly!B:B,"&gt;="&amp;A1013-92,Quarterly!B:B,"&lt;="&amp;A1013)&gt;1,SUMIFS(Quarterly!C:C,Quarterly!B:B,"&gt;="&amp;A1013-88,Quarterly!B:B,"&lt;="&amp;A1013),SUMIFS(Quarterly!C:C,Quarterly!B:B,"&gt;="&amp;A1013-92,Quarterly!B:B,"&lt;="&amp;A1013)))</f>
        <v>9325.7000000000007</v>
      </c>
      <c r="K1013" s="13">
        <f t="shared" si="379"/>
        <v>0.13869999999999999</v>
      </c>
      <c r="L1013">
        <f t="shared" si="381"/>
        <v>1293.72</v>
      </c>
      <c r="M1013">
        <f>IF(A1013&gt;=Quarterly!B$2,Quarterly!D$2,IF(COUNTIFS(Quarterly!B:B,"&gt;="&amp;A1013-92,Quarterly!B:B,"&lt;="&amp;A1013)&gt;1,SUMIFS(Quarterly!D:D,Quarterly!B:B,"&gt;="&amp;A1013-88,Quarterly!B:B,"&lt;="&amp;A1013),SUMIFS(Quarterly!D:D,Quarterly!B:B,"&gt;="&amp;A1013-92,Quarterly!B:B,"&lt;="&amp;A1013)))</f>
        <v>463.92200000000003</v>
      </c>
      <c r="N1013" s="13">
        <f t="shared" si="382"/>
        <v>0.27887000000000001</v>
      </c>
      <c r="O1013">
        <f t="shared" si="370"/>
        <v>1293.72</v>
      </c>
      <c r="P1013" s="56">
        <f>VLOOKUP(EOMONTH(A1013,-1),Economic!A:I,7,FALSE)</f>
        <v>755462</v>
      </c>
      <c r="Q1013" s="13">
        <f t="shared" si="371"/>
        <v>0.17119999999999999</v>
      </c>
      <c r="R1013" s="41">
        <v>0.24</v>
      </c>
      <c r="S1013">
        <f t="shared" si="372"/>
        <v>0.21</v>
      </c>
      <c r="T1013" s="30">
        <f t="shared" si="373"/>
        <v>0</v>
      </c>
      <c r="U1013" s="30">
        <f t="shared" si="380"/>
        <v>0</v>
      </c>
    </row>
    <row r="1014" spans="1:21" ht="15" customHeight="1" x14ac:dyDescent="0.25">
      <c r="A1014" s="5">
        <v>36247</v>
      </c>
      <c r="B1014" s="5">
        <f t="shared" si="374"/>
        <v>36250</v>
      </c>
      <c r="C1014">
        <v>1282.8</v>
      </c>
      <c r="D1014" s="29">
        <f t="shared" si="375"/>
        <v>4.5999999999999999E-3</v>
      </c>
      <c r="E1014" s="39">
        <f t="shared" si="376"/>
        <v>1257.8184615384616</v>
      </c>
      <c r="F1014" s="39">
        <f t="shared" si="377"/>
        <v>1154.1497435897431</v>
      </c>
      <c r="G1014" s="29">
        <f t="shared" si="369"/>
        <v>1.9900000000000001E-2</v>
      </c>
      <c r="H1014" s="29">
        <f t="shared" si="369"/>
        <v>0.1115</v>
      </c>
      <c r="I1014">
        <f t="shared" si="378"/>
        <v>1282.8</v>
      </c>
      <c r="J1014">
        <f>IF(A1014&gt;=Quarterly!B$2,Quarterly!C$2,IF(COUNTIFS(Quarterly!B:B,"&gt;="&amp;A1014-92,Quarterly!B:B,"&lt;="&amp;A1014)&gt;1,SUMIFS(Quarterly!C:C,Quarterly!B:B,"&gt;="&amp;A1014-88,Quarterly!B:B,"&lt;="&amp;A1014),SUMIFS(Quarterly!C:C,Quarterly!B:B,"&gt;="&amp;A1014-92,Quarterly!B:B,"&lt;="&amp;A1014)))</f>
        <v>9325.7000000000007</v>
      </c>
      <c r="K1014" s="13">
        <f t="shared" si="379"/>
        <v>0.1376</v>
      </c>
      <c r="L1014">
        <f t="shared" si="381"/>
        <v>1282.8</v>
      </c>
      <c r="M1014">
        <f>IF(A1014&gt;=Quarterly!B$2,Quarterly!D$2,IF(COUNTIFS(Quarterly!B:B,"&gt;="&amp;A1014-92,Quarterly!B:B,"&lt;="&amp;A1014)&gt;1,SUMIFS(Quarterly!D:D,Quarterly!B:B,"&gt;="&amp;A1014-88,Quarterly!B:B,"&lt;="&amp;A1014),SUMIFS(Quarterly!D:D,Quarterly!B:B,"&gt;="&amp;A1014-92,Quarterly!B:B,"&lt;="&amp;A1014)))</f>
        <v>463.92200000000003</v>
      </c>
      <c r="N1014" s="13">
        <f t="shared" si="382"/>
        <v>0.27650999999999998</v>
      </c>
      <c r="O1014">
        <f t="shared" si="370"/>
        <v>1282.8</v>
      </c>
      <c r="P1014" s="56">
        <f>VLOOKUP(EOMONTH(A1014,-1),Economic!A:I,7,FALSE)</f>
        <v>752811</v>
      </c>
      <c r="Q1014" s="13">
        <f t="shared" si="371"/>
        <v>0.1704</v>
      </c>
      <c r="R1014" s="41">
        <v>0.22</v>
      </c>
      <c r="S1014">
        <f t="shared" si="372"/>
        <v>0.28000000000000003</v>
      </c>
      <c r="T1014" s="30">
        <f t="shared" si="373"/>
        <v>0</v>
      </c>
      <c r="U1014" s="30">
        <f t="shared" si="380"/>
        <v>0</v>
      </c>
    </row>
    <row r="1015" spans="1:21" ht="15" customHeight="1" x14ac:dyDescent="0.25">
      <c r="A1015" s="5">
        <v>36240</v>
      </c>
      <c r="B1015" s="5">
        <f t="shared" si="374"/>
        <v>36250</v>
      </c>
      <c r="C1015">
        <v>1299.29</v>
      </c>
      <c r="D1015" s="29">
        <f t="shared" si="375"/>
        <v>2.9600000000000001E-2</v>
      </c>
      <c r="E1015" s="39">
        <f t="shared" si="376"/>
        <v>1253.47</v>
      </c>
      <c r="F1015" s="39">
        <f t="shared" si="377"/>
        <v>1150.3138461538458</v>
      </c>
      <c r="G1015" s="29">
        <f t="shared" si="369"/>
        <v>3.6600000000000001E-2</v>
      </c>
      <c r="H1015" s="29">
        <f t="shared" si="369"/>
        <v>0.1295</v>
      </c>
      <c r="I1015">
        <f t="shared" si="378"/>
        <v>1299.29</v>
      </c>
      <c r="J1015">
        <f>IF(A1015&gt;=Quarterly!B$2,Quarterly!C$2,IF(COUNTIFS(Quarterly!B:B,"&gt;="&amp;A1015-92,Quarterly!B:B,"&lt;="&amp;A1015)&gt;1,SUMIFS(Quarterly!C:C,Quarterly!B:B,"&gt;="&amp;A1015-88,Quarterly!B:B,"&lt;="&amp;A1015),SUMIFS(Quarterly!C:C,Quarterly!B:B,"&gt;="&amp;A1015-92,Quarterly!B:B,"&lt;="&amp;A1015)))</f>
        <v>9325.7000000000007</v>
      </c>
      <c r="K1015" s="13">
        <f t="shared" si="379"/>
        <v>0.13930000000000001</v>
      </c>
      <c r="L1015">
        <f t="shared" si="381"/>
        <v>1299.29</v>
      </c>
      <c r="M1015">
        <f>IF(A1015&gt;=Quarterly!B$2,Quarterly!D$2,IF(COUNTIFS(Quarterly!B:B,"&gt;="&amp;A1015-92,Quarterly!B:B,"&lt;="&amp;A1015)&gt;1,SUMIFS(Quarterly!D:D,Quarterly!B:B,"&gt;="&amp;A1015-88,Quarterly!B:B,"&lt;="&amp;A1015),SUMIFS(Quarterly!D:D,Quarterly!B:B,"&gt;="&amp;A1015-92,Quarterly!B:B,"&lt;="&amp;A1015)))</f>
        <v>463.92200000000003</v>
      </c>
      <c r="N1015" s="13">
        <f t="shared" si="382"/>
        <v>0.28006999999999999</v>
      </c>
      <c r="O1015">
        <f t="shared" si="370"/>
        <v>1299.29</v>
      </c>
      <c r="P1015" s="56">
        <f>VLOOKUP(EOMONTH(A1015,-1),Economic!A:I,7,FALSE)</f>
        <v>752811</v>
      </c>
      <c r="Q1015" s="13">
        <f t="shared" si="371"/>
        <v>0.1726</v>
      </c>
      <c r="R1015" s="41">
        <v>0.13</v>
      </c>
      <c r="S1015">
        <f t="shared" si="372"/>
        <v>0.19</v>
      </c>
      <c r="T1015" s="30">
        <f t="shared" si="373"/>
        <v>0</v>
      </c>
      <c r="U1015" s="30">
        <f t="shared" si="380"/>
        <v>0</v>
      </c>
    </row>
    <row r="1016" spans="1:21" ht="15" customHeight="1" x14ac:dyDescent="0.25">
      <c r="A1016" s="5">
        <v>36233</v>
      </c>
      <c r="B1016" s="5">
        <f t="shared" si="374"/>
        <v>36250</v>
      </c>
      <c r="C1016">
        <v>1294.5899999999999</v>
      </c>
      <c r="D1016" s="29">
        <f t="shared" si="375"/>
        <v>3.9199999999999999E-2</v>
      </c>
      <c r="E1016" s="39">
        <f t="shared" si="376"/>
        <v>1244.9115384615384</v>
      </c>
      <c r="F1016" s="39">
        <f t="shared" si="377"/>
        <v>1145.2205128205126</v>
      </c>
      <c r="G1016" s="29">
        <f t="shared" si="369"/>
        <v>3.9899999999999998E-2</v>
      </c>
      <c r="H1016" s="29">
        <f t="shared" si="369"/>
        <v>0.13039999999999999</v>
      </c>
      <c r="I1016">
        <f t="shared" si="378"/>
        <v>1294.5899999999999</v>
      </c>
      <c r="J1016">
        <f>IF(A1016&gt;=Quarterly!B$2,Quarterly!C$2,IF(COUNTIFS(Quarterly!B:B,"&gt;="&amp;A1016-92,Quarterly!B:B,"&lt;="&amp;A1016)&gt;1,SUMIFS(Quarterly!C:C,Quarterly!B:B,"&gt;="&amp;A1016-88,Quarterly!B:B,"&lt;="&amp;A1016),SUMIFS(Quarterly!C:C,Quarterly!B:B,"&gt;="&amp;A1016-92,Quarterly!B:B,"&lt;="&amp;A1016)))</f>
        <v>9325.7000000000007</v>
      </c>
      <c r="K1016" s="13">
        <f t="shared" si="379"/>
        <v>0.13880000000000001</v>
      </c>
      <c r="L1016">
        <f t="shared" si="381"/>
        <v>1294.5899999999999</v>
      </c>
      <c r="M1016">
        <f>IF(A1016&gt;=Quarterly!B$2,Quarterly!D$2,IF(COUNTIFS(Quarterly!B:B,"&gt;="&amp;A1016-92,Quarterly!B:B,"&lt;="&amp;A1016)&gt;1,SUMIFS(Quarterly!D:D,Quarterly!B:B,"&gt;="&amp;A1016-88,Quarterly!B:B,"&lt;="&amp;A1016),SUMIFS(Quarterly!D:D,Quarterly!B:B,"&gt;="&amp;A1016-92,Quarterly!B:B,"&lt;="&amp;A1016)))</f>
        <v>463.92200000000003</v>
      </c>
      <c r="N1016" s="13">
        <f t="shared" si="382"/>
        <v>0.27905000000000002</v>
      </c>
      <c r="O1016">
        <f t="shared" si="370"/>
        <v>1294.5899999999999</v>
      </c>
      <c r="P1016" s="56">
        <f>VLOOKUP(EOMONTH(A1016,-1),Economic!A:I,7,FALSE)</f>
        <v>752811</v>
      </c>
      <c r="Q1016" s="13">
        <f t="shared" si="371"/>
        <v>0.17199999999999999</v>
      </c>
      <c r="R1016" s="41">
        <v>0.16</v>
      </c>
      <c r="S1016">
        <f t="shared" si="372"/>
        <v>0.23</v>
      </c>
      <c r="T1016" s="30">
        <f t="shared" si="373"/>
        <v>0</v>
      </c>
      <c r="U1016" s="30">
        <f t="shared" si="380"/>
        <v>0</v>
      </c>
    </row>
    <row r="1017" spans="1:21" ht="15" customHeight="1" x14ac:dyDescent="0.25">
      <c r="A1017" s="5">
        <v>36226</v>
      </c>
      <c r="B1017" s="5">
        <f t="shared" si="374"/>
        <v>36250</v>
      </c>
      <c r="C1017">
        <v>1275.47</v>
      </c>
      <c r="D1017" s="29">
        <f t="shared" si="375"/>
        <v>3.1300000000000001E-2</v>
      </c>
      <c r="E1017" s="39">
        <f t="shared" si="376"/>
        <v>1235.0553846153848</v>
      </c>
      <c r="F1017" s="39">
        <f t="shared" si="377"/>
        <v>1140.2012820512816</v>
      </c>
      <c r="G1017" s="29">
        <f t="shared" si="369"/>
        <v>3.27E-2</v>
      </c>
      <c r="H1017" s="29">
        <f t="shared" si="369"/>
        <v>0.1186</v>
      </c>
      <c r="I1017">
        <f t="shared" si="378"/>
        <v>1275.47</v>
      </c>
      <c r="J1017">
        <f>IF(A1017&gt;=Quarterly!B$2,Quarterly!C$2,IF(COUNTIFS(Quarterly!B:B,"&gt;="&amp;A1017-92,Quarterly!B:B,"&lt;="&amp;A1017)&gt;1,SUMIFS(Quarterly!C:C,Quarterly!B:B,"&gt;="&amp;A1017-88,Quarterly!B:B,"&lt;="&amp;A1017),SUMIFS(Quarterly!C:C,Quarterly!B:B,"&gt;="&amp;A1017-92,Quarterly!B:B,"&lt;="&amp;A1017)))</f>
        <v>9325.7000000000007</v>
      </c>
      <c r="K1017" s="13">
        <f t="shared" si="379"/>
        <v>0.1368</v>
      </c>
      <c r="L1017">
        <f t="shared" si="381"/>
        <v>1275.47</v>
      </c>
      <c r="M1017">
        <f>IF(A1017&gt;=Quarterly!B$2,Quarterly!D$2,IF(COUNTIFS(Quarterly!B:B,"&gt;="&amp;A1017-92,Quarterly!B:B,"&lt;="&amp;A1017)&gt;1,SUMIFS(Quarterly!D:D,Quarterly!B:B,"&gt;="&amp;A1017-88,Quarterly!B:B,"&lt;="&amp;A1017),SUMIFS(Quarterly!D:D,Quarterly!B:B,"&gt;="&amp;A1017-92,Quarterly!B:B,"&lt;="&amp;A1017)))</f>
        <v>463.92200000000003</v>
      </c>
      <c r="N1017" s="13">
        <f t="shared" si="382"/>
        <v>0.27493000000000001</v>
      </c>
      <c r="O1017">
        <f t="shared" si="370"/>
        <v>1275.47</v>
      </c>
      <c r="P1017" s="56">
        <f>VLOOKUP(EOMONTH(A1017,-1),Economic!A:I,7,FALSE)</f>
        <v>752811</v>
      </c>
      <c r="Q1017" s="13">
        <f t="shared" si="371"/>
        <v>0.1694</v>
      </c>
      <c r="R1017" s="41">
        <v>0.2</v>
      </c>
      <c r="S1017">
        <f t="shared" si="372"/>
        <v>0.08</v>
      </c>
      <c r="T1017" s="30">
        <f t="shared" si="373"/>
        <v>0</v>
      </c>
      <c r="U1017" s="30">
        <f t="shared" si="380"/>
        <v>0</v>
      </c>
    </row>
    <row r="1018" spans="1:21" ht="15" customHeight="1" x14ac:dyDescent="0.25">
      <c r="A1018" s="5">
        <v>36219</v>
      </c>
      <c r="B1018" s="5">
        <f t="shared" si="374"/>
        <v>36219</v>
      </c>
      <c r="C1018">
        <v>1238.33</v>
      </c>
      <c r="D1018" s="29">
        <f t="shared" si="375"/>
        <v>-7.0000000000000001E-3</v>
      </c>
      <c r="E1018" s="39">
        <f t="shared" si="376"/>
        <v>1227.4607692307693</v>
      </c>
      <c r="F1018" s="39">
        <f t="shared" si="377"/>
        <v>1136.0574358974354</v>
      </c>
      <c r="G1018" s="29">
        <f t="shared" si="369"/>
        <v>8.8999999999999999E-3</v>
      </c>
      <c r="H1018" s="29">
        <f t="shared" si="369"/>
        <v>0.09</v>
      </c>
      <c r="I1018">
        <f t="shared" si="378"/>
        <v>1238.33</v>
      </c>
      <c r="J1018">
        <f>IF(A1018&gt;=Quarterly!B$2,Quarterly!C$2,IF(COUNTIFS(Quarterly!B:B,"&gt;="&amp;A1018-92,Quarterly!B:B,"&lt;="&amp;A1018)&gt;1,SUMIFS(Quarterly!C:C,Quarterly!B:B,"&gt;="&amp;A1018-88,Quarterly!B:B,"&lt;="&amp;A1018),SUMIFS(Quarterly!C:C,Quarterly!B:B,"&gt;="&amp;A1018-92,Quarterly!B:B,"&lt;="&amp;A1018)))</f>
        <v>9325.7000000000007</v>
      </c>
      <c r="K1018" s="13">
        <f t="shared" si="379"/>
        <v>0.1328</v>
      </c>
      <c r="L1018">
        <f t="shared" si="381"/>
        <v>1238.33</v>
      </c>
      <c r="M1018">
        <f>IF(A1018&gt;=Quarterly!B$2,Quarterly!D$2,IF(COUNTIFS(Quarterly!B:B,"&gt;="&amp;A1018-92,Quarterly!B:B,"&lt;="&amp;A1018)&gt;1,SUMIFS(Quarterly!D:D,Quarterly!B:B,"&gt;="&amp;A1018-88,Quarterly!B:B,"&lt;="&amp;A1018),SUMIFS(Quarterly!D:D,Quarterly!B:B,"&gt;="&amp;A1018-92,Quarterly!B:B,"&lt;="&amp;A1018)))</f>
        <v>463.92200000000003</v>
      </c>
      <c r="N1018" s="13">
        <f t="shared" si="382"/>
        <v>0.26693</v>
      </c>
      <c r="O1018">
        <f t="shared" si="370"/>
        <v>1238.33</v>
      </c>
      <c r="P1018" s="56">
        <f>VLOOKUP(EOMONTH(A1018,-1),Economic!A:I,7,FALSE)</f>
        <v>748682</v>
      </c>
      <c r="Q1018" s="13">
        <f t="shared" si="371"/>
        <v>0.16540000000000002</v>
      </c>
      <c r="R1018" s="41">
        <v>0.16</v>
      </c>
      <c r="S1018">
        <f t="shared" si="372"/>
        <v>0.06</v>
      </c>
      <c r="T1018" s="30">
        <f t="shared" si="373"/>
        <v>0</v>
      </c>
      <c r="U1018" s="30">
        <f t="shared" si="380"/>
        <v>0</v>
      </c>
    </row>
    <row r="1019" spans="1:21" ht="15" customHeight="1" x14ac:dyDescent="0.25">
      <c r="A1019" s="5">
        <v>36212</v>
      </c>
      <c r="B1019" s="5">
        <f t="shared" si="374"/>
        <v>36219</v>
      </c>
      <c r="C1019">
        <v>1239.22</v>
      </c>
      <c r="D1019" s="29">
        <f t="shared" si="375"/>
        <v>-3.5000000000000001E-3</v>
      </c>
      <c r="E1019" s="39">
        <f t="shared" si="376"/>
        <v>1223.9223076923079</v>
      </c>
      <c r="F1019" s="39">
        <f t="shared" si="377"/>
        <v>1132.2751282051281</v>
      </c>
      <c r="G1019" s="29">
        <f t="shared" si="369"/>
        <v>1.2500000000000001E-2</v>
      </c>
      <c r="H1019" s="29">
        <f t="shared" si="369"/>
        <v>9.4500000000000001E-2</v>
      </c>
      <c r="I1019">
        <f t="shared" si="378"/>
        <v>1239.22</v>
      </c>
      <c r="J1019">
        <f>IF(A1019&gt;=Quarterly!B$2,Quarterly!C$2,IF(COUNTIFS(Quarterly!B:B,"&gt;="&amp;A1019-92,Quarterly!B:B,"&lt;="&amp;A1019)&gt;1,SUMIFS(Quarterly!C:C,Quarterly!B:B,"&gt;="&amp;A1019-88,Quarterly!B:B,"&lt;="&amp;A1019),SUMIFS(Quarterly!C:C,Quarterly!B:B,"&gt;="&amp;A1019-92,Quarterly!B:B,"&lt;="&amp;A1019)))</f>
        <v>9325.7000000000007</v>
      </c>
      <c r="K1019" s="13">
        <f t="shared" si="379"/>
        <v>0.13289999999999999</v>
      </c>
      <c r="L1019">
        <f t="shared" si="381"/>
        <v>1239.22</v>
      </c>
      <c r="M1019">
        <f>IF(A1019&gt;=Quarterly!B$2,Quarterly!D$2,IF(COUNTIFS(Quarterly!B:B,"&gt;="&amp;A1019-92,Quarterly!B:B,"&lt;="&amp;A1019)&gt;1,SUMIFS(Quarterly!D:D,Quarterly!B:B,"&gt;="&amp;A1019-88,Quarterly!B:B,"&lt;="&amp;A1019),SUMIFS(Quarterly!D:D,Quarterly!B:B,"&gt;="&amp;A1019-92,Quarterly!B:B,"&lt;="&amp;A1019)))</f>
        <v>463.92200000000003</v>
      </c>
      <c r="N1019" s="13">
        <f t="shared" si="382"/>
        <v>0.26711999999999997</v>
      </c>
      <c r="O1019">
        <f t="shared" si="370"/>
        <v>1239.22</v>
      </c>
      <c r="P1019" s="56">
        <f>VLOOKUP(EOMONTH(A1019,-1),Economic!A:I,7,FALSE)</f>
        <v>748682</v>
      </c>
      <c r="Q1019" s="13">
        <f t="shared" si="371"/>
        <v>0.16550000000000001</v>
      </c>
      <c r="R1019" s="41">
        <v>0.12</v>
      </c>
      <c r="S1019">
        <f t="shared" si="372"/>
        <v>0.06</v>
      </c>
      <c r="T1019" s="30">
        <f t="shared" si="373"/>
        <v>0</v>
      </c>
      <c r="U1019" s="30">
        <f t="shared" si="380"/>
        <v>0</v>
      </c>
    </row>
    <row r="1020" spans="1:21" ht="15" customHeight="1" x14ac:dyDescent="0.25">
      <c r="A1020" s="5">
        <v>36205</v>
      </c>
      <c r="B1020" s="5">
        <f t="shared" si="374"/>
        <v>36219</v>
      </c>
      <c r="C1020">
        <v>1230.1300000000001</v>
      </c>
      <c r="D1020" s="29">
        <f t="shared" si="375"/>
        <v>-1.34E-2</v>
      </c>
      <c r="E1020" s="39">
        <f t="shared" si="376"/>
        <v>1218.1015384615384</v>
      </c>
      <c r="F1020" s="39">
        <f t="shared" si="377"/>
        <v>1128.9738461538461</v>
      </c>
      <c r="G1020" s="29">
        <f t="shared" si="369"/>
        <v>9.9000000000000008E-3</v>
      </c>
      <c r="H1020" s="29">
        <f t="shared" si="369"/>
        <v>8.9599999999999999E-2</v>
      </c>
      <c r="I1020">
        <f t="shared" si="378"/>
        <v>1230.1300000000001</v>
      </c>
      <c r="J1020">
        <f>IF(A1020&gt;=Quarterly!B$2,Quarterly!C$2,IF(COUNTIFS(Quarterly!B:B,"&gt;="&amp;A1020-92,Quarterly!B:B,"&lt;="&amp;A1020)&gt;1,SUMIFS(Quarterly!C:C,Quarterly!B:B,"&gt;="&amp;A1020-88,Quarterly!B:B,"&lt;="&amp;A1020),SUMIFS(Quarterly!C:C,Quarterly!B:B,"&gt;="&amp;A1020-92,Quarterly!B:B,"&lt;="&amp;A1020)))</f>
        <v>9325.7000000000007</v>
      </c>
      <c r="K1020" s="13">
        <f t="shared" si="379"/>
        <v>0.13189999999999999</v>
      </c>
      <c r="L1020">
        <f t="shared" si="381"/>
        <v>1230.1300000000001</v>
      </c>
      <c r="M1020">
        <f>IF(A1020&gt;=Quarterly!B$2,Quarterly!D$2,IF(COUNTIFS(Quarterly!B:B,"&gt;="&amp;A1020-92,Quarterly!B:B,"&lt;="&amp;A1020)&gt;1,SUMIFS(Quarterly!D:D,Quarterly!B:B,"&gt;="&amp;A1020-88,Quarterly!B:B,"&lt;="&amp;A1020),SUMIFS(Quarterly!D:D,Quarterly!B:B,"&gt;="&amp;A1020-92,Quarterly!B:B,"&lt;="&amp;A1020)))</f>
        <v>463.92200000000003</v>
      </c>
      <c r="N1020" s="13">
        <f t="shared" si="382"/>
        <v>0.26516000000000001</v>
      </c>
      <c r="O1020">
        <f t="shared" si="370"/>
        <v>1230.1300000000001</v>
      </c>
      <c r="P1020" s="56">
        <f>VLOOKUP(EOMONTH(A1020,-1),Economic!A:I,7,FALSE)</f>
        <v>748682</v>
      </c>
      <c r="Q1020" s="13">
        <f t="shared" si="371"/>
        <v>0.1643</v>
      </c>
      <c r="R1020" s="41">
        <v>0.15</v>
      </c>
      <c r="S1020">
        <f t="shared" si="372"/>
        <v>0.11</v>
      </c>
      <c r="T1020" s="30">
        <f t="shared" si="373"/>
        <v>0</v>
      </c>
      <c r="U1020" s="30">
        <f t="shared" si="380"/>
        <v>0</v>
      </c>
    </row>
    <row r="1021" spans="1:21" ht="15" customHeight="1" x14ac:dyDescent="0.25">
      <c r="A1021" s="5">
        <v>36198</v>
      </c>
      <c r="B1021" s="5">
        <f t="shared" si="374"/>
        <v>36219</v>
      </c>
      <c r="C1021">
        <v>1239.4000000000001</v>
      </c>
      <c r="D1021" s="29">
        <f t="shared" si="375"/>
        <v>-1.3100000000000001E-2</v>
      </c>
      <c r="E1021" s="39">
        <f t="shared" si="376"/>
        <v>1210.07</v>
      </c>
      <c r="F1021" s="39">
        <f t="shared" si="377"/>
        <v>1125.8610256410254</v>
      </c>
      <c r="G1021" s="29">
        <f t="shared" si="369"/>
        <v>2.4199999999999999E-2</v>
      </c>
      <c r="H1021" s="29">
        <f t="shared" si="369"/>
        <v>0.1008</v>
      </c>
      <c r="I1021">
        <f t="shared" si="378"/>
        <v>1239.4000000000001</v>
      </c>
      <c r="J1021">
        <f>IF(A1021&gt;=Quarterly!B$2,Quarterly!C$2,IF(COUNTIFS(Quarterly!B:B,"&gt;="&amp;A1021-92,Quarterly!B:B,"&lt;="&amp;A1021)&gt;1,SUMIFS(Quarterly!C:C,Quarterly!B:B,"&gt;="&amp;A1021-88,Quarterly!B:B,"&lt;="&amp;A1021),SUMIFS(Quarterly!C:C,Quarterly!B:B,"&gt;="&amp;A1021-92,Quarterly!B:B,"&lt;="&amp;A1021)))</f>
        <v>9325.7000000000007</v>
      </c>
      <c r="K1021" s="13">
        <f t="shared" si="379"/>
        <v>0.13289999999999999</v>
      </c>
      <c r="L1021">
        <f t="shared" si="381"/>
        <v>1239.4000000000001</v>
      </c>
      <c r="M1021">
        <f>IF(A1021&gt;=Quarterly!B$2,Quarterly!D$2,IF(COUNTIFS(Quarterly!B:B,"&gt;="&amp;A1021-92,Quarterly!B:B,"&lt;="&amp;A1021)&gt;1,SUMIFS(Quarterly!D:D,Quarterly!B:B,"&gt;="&amp;A1021-88,Quarterly!B:B,"&lt;="&amp;A1021),SUMIFS(Quarterly!D:D,Quarterly!B:B,"&gt;="&amp;A1021-92,Quarterly!B:B,"&lt;="&amp;A1021)))</f>
        <v>463.92200000000003</v>
      </c>
      <c r="N1021" s="13">
        <f t="shared" si="382"/>
        <v>0.26716000000000001</v>
      </c>
      <c r="O1021">
        <f t="shared" si="370"/>
        <v>1239.4000000000001</v>
      </c>
      <c r="P1021" s="56">
        <f>VLOOKUP(EOMONTH(A1021,-1),Economic!A:I,7,FALSE)</f>
        <v>748682</v>
      </c>
      <c r="Q1021" s="13">
        <f t="shared" si="371"/>
        <v>0.16550000000000001</v>
      </c>
      <c r="R1021" s="41">
        <v>0.14000000000000001</v>
      </c>
      <c r="S1021">
        <f t="shared" si="372"/>
        <v>0.12</v>
      </c>
      <c r="T1021" s="30">
        <f t="shared" si="373"/>
        <v>0</v>
      </c>
      <c r="U1021" s="30">
        <f t="shared" si="380"/>
        <v>0</v>
      </c>
    </row>
    <row r="1022" spans="1:21" ht="15" customHeight="1" x14ac:dyDescent="0.25">
      <c r="A1022" s="5">
        <v>36191</v>
      </c>
      <c r="B1022" s="5">
        <f t="shared" si="374"/>
        <v>36191</v>
      </c>
      <c r="C1022">
        <v>1279.6400000000001</v>
      </c>
      <c r="D1022" s="29">
        <f t="shared" si="375"/>
        <v>2.93E-2</v>
      </c>
      <c r="E1022" s="39">
        <f t="shared" si="376"/>
        <v>1202.5015384615385</v>
      </c>
      <c r="F1022" s="39">
        <f t="shared" si="377"/>
        <v>1122.4953846153844</v>
      </c>
      <c r="G1022" s="29">
        <f t="shared" si="369"/>
        <v>6.4100000000000004E-2</v>
      </c>
      <c r="H1022" s="29">
        <f t="shared" si="369"/>
        <v>0.14000000000000001</v>
      </c>
      <c r="I1022">
        <f t="shared" si="378"/>
        <v>1279.6400000000001</v>
      </c>
      <c r="J1022">
        <f>IF(A1022&gt;=Quarterly!B$2,Quarterly!C$2,IF(COUNTIFS(Quarterly!B:B,"&gt;="&amp;A1022-92,Quarterly!B:B,"&lt;="&amp;A1022)&gt;1,SUMIFS(Quarterly!C:C,Quarterly!B:B,"&gt;="&amp;A1022-88,Quarterly!B:B,"&lt;="&amp;A1022),SUMIFS(Quarterly!C:C,Quarterly!B:B,"&gt;="&amp;A1022-92,Quarterly!B:B,"&lt;="&amp;A1022)))</f>
        <v>9325.7000000000007</v>
      </c>
      <c r="K1022" s="13">
        <f t="shared" si="379"/>
        <v>0.13719999999999999</v>
      </c>
      <c r="L1022">
        <f t="shared" si="381"/>
        <v>1279.6400000000001</v>
      </c>
      <c r="M1022">
        <f>IF(A1022&gt;=Quarterly!B$2,Quarterly!D$2,IF(COUNTIFS(Quarterly!B:B,"&gt;="&amp;A1022-92,Quarterly!B:B,"&lt;="&amp;A1022)&gt;1,SUMIFS(Quarterly!D:D,Quarterly!B:B,"&gt;="&amp;A1022-88,Quarterly!B:B,"&lt;="&amp;A1022),SUMIFS(Quarterly!D:D,Quarterly!B:B,"&gt;="&amp;A1022-92,Quarterly!B:B,"&lt;="&amp;A1022)))</f>
        <v>463.92200000000003</v>
      </c>
      <c r="N1022" s="13">
        <f t="shared" si="382"/>
        <v>0.27583000000000002</v>
      </c>
      <c r="O1022">
        <f t="shared" si="370"/>
        <v>1279.6400000000001</v>
      </c>
      <c r="P1022" s="56">
        <f>VLOOKUP(EOMONTH(A1022,-1),Economic!A:I,7,FALSE)</f>
        <v>743875</v>
      </c>
      <c r="Q1022" s="13">
        <f t="shared" si="371"/>
        <v>0.17199999999999999</v>
      </c>
      <c r="R1022" s="41">
        <v>0.08</v>
      </c>
      <c r="S1022">
        <f t="shared" si="372"/>
        <v>0.1</v>
      </c>
      <c r="T1022" s="30">
        <f t="shared" si="373"/>
        <v>0</v>
      </c>
      <c r="U1022" s="30">
        <f t="shared" si="380"/>
        <v>0</v>
      </c>
    </row>
    <row r="1023" spans="1:21" ht="15" customHeight="1" x14ac:dyDescent="0.25">
      <c r="A1023" s="5">
        <v>36184</v>
      </c>
      <c r="B1023" s="5">
        <f t="shared" si="374"/>
        <v>36191</v>
      </c>
      <c r="C1023">
        <v>1225.19</v>
      </c>
      <c r="D1023" s="29">
        <f t="shared" si="375"/>
        <v>-1.47E-2</v>
      </c>
      <c r="E1023" s="39">
        <f t="shared" si="376"/>
        <v>1188.5807692307692</v>
      </c>
      <c r="F1023" s="39">
        <f t="shared" si="377"/>
        <v>1118.427692307692</v>
      </c>
      <c r="G1023" s="29">
        <f t="shared" si="369"/>
        <v>3.0800000000000001E-2</v>
      </c>
      <c r="H1023" s="29">
        <f t="shared" si="369"/>
        <v>9.5500000000000002E-2</v>
      </c>
      <c r="I1023">
        <f t="shared" si="378"/>
        <v>1225.19</v>
      </c>
      <c r="J1023">
        <f>IF(A1023&gt;=Quarterly!B$2,Quarterly!C$2,IF(COUNTIFS(Quarterly!B:B,"&gt;="&amp;A1023-92,Quarterly!B:B,"&lt;="&amp;A1023)&gt;1,SUMIFS(Quarterly!C:C,Quarterly!B:B,"&gt;="&amp;A1023-88,Quarterly!B:B,"&lt;="&amp;A1023),SUMIFS(Quarterly!C:C,Quarterly!B:B,"&gt;="&amp;A1023-92,Quarterly!B:B,"&lt;="&amp;A1023)))</f>
        <v>9146.5</v>
      </c>
      <c r="K1023" s="13">
        <f t="shared" si="379"/>
        <v>0.13400000000000001</v>
      </c>
      <c r="L1023">
        <f t="shared" si="381"/>
        <v>1225.19</v>
      </c>
      <c r="M1023">
        <f>IF(A1023&gt;=Quarterly!B$2,Quarterly!D$2,IF(COUNTIFS(Quarterly!B:B,"&gt;="&amp;A1023-92,Quarterly!B:B,"&lt;="&amp;A1023)&gt;1,SUMIFS(Quarterly!D:D,Quarterly!B:B,"&gt;="&amp;A1023-88,Quarterly!B:B,"&lt;="&amp;A1023),SUMIFS(Quarterly!D:D,Quarterly!B:B,"&gt;="&amp;A1023-92,Quarterly!B:B,"&lt;="&amp;A1023)))</f>
        <v>481.00099999999998</v>
      </c>
      <c r="N1023" s="13">
        <f t="shared" si="382"/>
        <v>0.25472</v>
      </c>
      <c r="O1023">
        <f t="shared" si="370"/>
        <v>1225.19</v>
      </c>
      <c r="P1023" s="56">
        <f>VLOOKUP(EOMONTH(A1023,-1),Economic!A:I,7,FALSE)</f>
        <v>743875</v>
      </c>
      <c r="Q1023" s="13">
        <f t="shared" si="371"/>
        <v>0.16470000000000001</v>
      </c>
      <c r="R1023" s="41">
        <v>0.05</v>
      </c>
      <c r="S1023">
        <f t="shared" si="372"/>
        <v>0.14000000000000001</v>
      </c>
      <c r="T1023" s="30">
        <f t="shared" si="373"/>
        <v>0</v>
      </c>
      <c r="U1023" s="30">
        <f t="shared" si="380"/>
        <v>0</v>
      </c>
    </row>
    <row r="1024" spans="1:21" ht="15" customHeight="1" x14ac:dyDescent="0.25">
      <c r="A1024" s="5">
        <v>36177</v>
      </c>
      <c r="B1024" s="5">
        <f t="shared" si="374"/>
        <v>36191</v>
      </c>
      <c r="C1024">
        <v>1243.26</v>
      </c>
      <c r="D1024" s="29">
        <f t="shared" si="375"/>
        <v>1.11E-2</v>
      </c>
      <c r="E1024" s="39">
        <f t="shared" si="376"/>
        <v>1176.6946153846152</v>
      </c>
      <c r="F1024" s="39">
        <f t="shared" si="377"/>
        <v>1115.4202564102563</v>
      </c>
      <c r="G1024" s="29">
        <f t="shared" si="369"/>
        <v>5.6599999999999998E-2</v>
      </c>
      <c r="H1024" s="29">
        <f t="shared" si="369"/>
        <v>0.11459999999999999</v>
      </c>
      <c r="I1024">
        <f t="shared" si="378"/>
        <v>1243.26</v>
      </c>
      <c r="J1024">
        <f>IF(A1024&gt;=Quarterly!B$2,Quarterly!C$2,IF(COUNTIFS(Quarterly!B:B,"&gt;="&amp;A1024-92,Quarterly!B:B,"&lt;="&amp;A1024)&gt;1,SUMIFS(Quarterly!C:C,Quarterly!B:B,"&gt;="&amp;A1024-88,Quarterly!B:B,"&lt;="&amp;A1024),SUMIFS(Quarterly!C:C,Quarterly!B:B,"&gt;="&amp;A1024-92,Quarterly!B:B,"&lt;="&amp;A1024)))</f>
        <v>9146.5</v>
      </c>
      <c r="K1024" s="13">
        <f t="shared" si="379"/>
        <v>0.13589999999999999</v>
      </c>
      <c r="L1024">
        <f t="shared" si="381"/>
        <v>1243.26</v>
      </c>
      <c r="M1024">
        <f>IF(A1024&gt;=Quarterly!B$2,Quarterly!D$2,IF(COUNTIFS(Quarterly!B:B,"&gt;="&amp;A1024-92,Quarterly!B:B,"&lt;="&amp;A1024)&gt;1,SUMIFS(Quarterly!D:D,Quarterly!B:B,"&gt;="&amp;A1024-88,Quarterly!B:B,"&lt;="&amp;A1024),SUMIFS(Quarterly!D:D,Quarterly!B:B,"&gt;="&amp;A1024-92,Quarterly!B:B,"&lt;="&amp;A1024)))</f>
        <v>481.00099999999998</v>
      </c>
      <c r="N1024" s="13">
        <f t="shared" si="382"/>
        <v>0.25847000000000003</v>
      </c>
      <c r="O1024">
        <f t="shared" si="370"/>
        <v>1243.26</v>
      </c>
      <c r="P1024" s="56">
        <f>VLOOKUP(EOMONTH(A1024,-1),Economic!A:I,7,FALSE)</f>
        <v>743875</v>
      </c>
      <c r="Q1024" s="13">
        <f t="shared" si="371"/>
        <v>0.1671</v>
      </c>
      <c r="R1024" s="41">
        <v>0.1</v>
      </c>
      <c r="S1024">
        <f t="shared" si="372"/>
        <v>0.16</v>
      </c>
      <c r="T1024" s="30">
        <f t="shared" si="373"/>
        <v>0</v>
      </c>
      <c r="U1024" s="30">
        <f t="shared" si="380"/>
        <v>1.17</v>
      </c>
    </row>
    <row r="1025" spans="1:21" ht="15" customHeight="1" x14ac:dyDescent="0.25">
      <c r="A1025" s="5">
        <v>36170</v>
      </c>
      <c r="B1025" s="5">
        <f t="shared" si="374"/>
        <v>36191</v>
      </c>
      <c r="C1025">
        <v>1275.0899999999999</v>
      </c>
      <c r="D1025" s="29">
        <f t="shared" si="375"/>
        <v>6.0400000000000002E-2</v>
      </c>
      <c r="E1025" s="39">
        <f t="shared" si="376"/>
        <v>1162.3223076923075</v>
      </c>
      <c r="F1025" s="39">
        <f t="shared" si="377"/>
        <v>1112.3294871794872</v>
      </c>
      <c r="G1025" s="29">
        <f t="shared" si="369"/>
        <v>9.7000000000000003E-2</v>
      </c>
      <c r="H1025" s="29">
        <f t="shared" si="369"/>
        <v>0.14630000000000001</v>
      </c>
      <c r="I1025">
        <f t="shared" si="378"/>
        <v>1275.0899999999999</v>
      </c>
      <c r="J1025">
        <f>IF(A1025&gt;=Quarterly!B$2,Quarterly!C$2,IF(COUNTIFS(Quarterly!B:B,"&gt;="&amp;A1025-92,Quarterly!B:B,"&lt;="&amp;A1025)&gt;1,SUMIFS(Quarterly!C:C,Quarterly!B:B,"&gt;="&amp;A1025-88,Quarterly!B:B,"&lt;="&amp;A1025),SUMIFS(Quarterly!C:C,Quarterly!B:B,"&gt;="&amp;A1025-92,Quarterly!B:B,"&lt;="&amp;A1025)))</f>
        <v>9146.5</v>
      </c>
      <c r="K1025" s="13">
        <f t="shared" si="379"/>
        <v>0.1394</v>
      </c>
      <c r="L1025">
        <f t="shared" si="381"/>
        <v>1275.0899999999999</v>
      </c>
      <c r="M1025">
        <f>IF(A1025&gt;=Quarterly!B$2,Quarterly!D$2,IF(COUNTIFS(Quarterly!B:B,"&gt;="&amp;A1025-92,Quarterly!B:B,"&lt;="&amp;A1025)&gt;1,SUMIFS(Quarterly!D:D,Quarterly!B:B,"&gt;="&amp;A1025-88,Quarterly!B:B,"&lt;="&amp;A1025),SUMIFS(Quarterly!D:D,Quarterly!B:B,"&gt;="&amp;A1025-92,Quarterly!B:B,"&lt;="&amp;A1025)))</f>
        <v>481.00099999999998</v>
      </c>
      <c r="N1025" s="13">
        <f t="shared" si="382"/>
        <v>0.26508999999999999</v>
      </c>
      <c r="O1025">
        <f t="shared" si="370"/>
        <v>1275.0899999999999</v>
      </c>
      <c r="P1025" s="56">
        <f>VLOOKUP(EOMONTH(A1025,-1),Economic!A:I,7,FALSE)</f>
        <v>743875</v>
      </c>
      <c r="Q1025" s="13">
        <f t="shared" si="371"/>
        <v>0.1714</v>
      </c>
      <c r="R1025" s="41">
        <v>0.15</v>
      </c>
      <c r="S1025">
        <f t="shared" si="372"/>
        <v>0.19</v>
      </c>
      <c r="T1025" s="30">
        <f t="shared" si="373"/>
        <v>0</v>
      </c>
      <c r="U1025" s="30">
        <f t="shared" si="380"/>
        <v>4.0199999999999996</v>
      </c>
    </row>
    <row r="1026" spans="1:21" ht="15" customHeight="1" x14ac:dyDescent="0.25">
      <c r="A1026" s="5">
        <v>36163</v>
      </c>
      <c r="B1026" s="5">
        <f t="shared" si="374"/>
        <v>36191</v>
      </c>
      <c r="C1026">
        <v>1229.23</v>
      </c>
      <c r="D1026" s="29">
        <f t="shared" si="375"/>
        <v>3.3500000000000002E-2</v>
      </c>
      <c r="E1026" s="39">
        <f t="shared" si="376"/>
        <v>1139.9607692307691</v>
      </c>
      <c r="F1026" s="39">
        <f t="shared" si="377"/>
        <v>1108.1135897435897</v>
      </c>
      <c r="G1026" s="29">
        <f t="shared" ref="G1026:H1089" si="383">ROUND(($C1026-E1026)/E1026,4)</f>
        <v>7.8299999999999995E-2</v>
      </c>
      <c r="H1026" s="29">
        <f t="shared" si="383"/>
        <v>0.10929999999999999</v>
      </c>
      <c r="I1026">
        <f t="shared" si="378"/>
        <v>1229.23</v>
      </c>
      <c r="J1026">
        <f>IF(A1026&gt;=Quarterly!B$2,Quarterly!C$2,IF(COUNTIFS(Quarterly!B:B,"&gt;="&amp;A1026-92,Quarterly!B:B,"&lt;="&amp;A1026)&gt;1,SUMIFS(Quarterly!C:C,Quarterly!B:B,"&gt;="&amp;A1026-88,Quarterly!B:B,"&lt;="&amp;A1026),SUMIFS(Quarterly!C:C,Quarterly!B:B,"&gt;="&amp;A1026-92,Quarterly!B:B,"&lt;="&amp;A1026)))</f>
        <v>9146.5</v>
      </c>
      <c r="K1026" s="13">
        <f t="shared" si="379"/>
        <v>0.13439999999999999</v>
      </c>
      <c r="L1026">
        <f t="shared" si="381"/>
        <v>1229.23</v>
      </c>
      <c r="M1026">
        <f>IF(A1026&gt;=Quarterly!B$2,Quarterly!D$2,IF(COUNTIFS(Quarterly!B:B,"&gt;="&amp;A1026-92,Quarterly!B:B,"&lt;="&amp;A1026)&gt;1,SUMIFS(Quarterly!D:D,Quarterly!B:B,"&gt;="&amp;A1026-88,Quarterly!B:B,"&lt;="&amp;A1026),SUMIFS(Quarterly!D:D,Quarterly!B:B,"&gt;="&amp;A1026-92,Quarterly!B:B,"&lt;="&amp;A1026)))</f>
        <v>481.00099999999998</v>
      </c>
      <c r="N1026" s="13">
        <f t="shared" si="382"/>
        <v>0.25556000000000001</v>
      </c>
      <c r="O1026">
        <f t="shared" si="370"/>
        <v>1229.23</v>
      </c>
      <c r="P1026" s="56">
        <f>VLOOKUP(EOMONTH(A1026,-1),Economic!A:I,7,FALSE)</f>
        <v>743875</v>
      </c>
      <c r="Q1026" s="13">
        <f t="shared" si="371"/>
        <v>0.16520000000000001</v>
      </c>
      <c r="R1026" s="41">
        <v>0.11</v>
      </c>
      <c r="S1026">
        <f t="shared" si="372"/>
        <v>0.21</v>
      </c>
      <c r="T1026" s="30">
        <f t="shared" si="373"/>
        <v>3.5</v>
      </c>
      <c r="U1026" s="30">
        <f t="shared" si="380"/>
        <v>10.25</v>
      </c>
    </row>
    <row r="1027" spans="1:21" ht="15" customHeight="1" x14ac:dyDescent="0.25">
      <c r="A1027" s="5">
        <v>36156</v>
      </c>
      <c r="B1027" s="5">
        <f t="shared" si="374"/>
        <v>36160</v>
      </c>
      <c r="C1027">
        <v>1226.27</v>
      </c>
      <c r="D1027" s="29">
        <f t="shared" si="375"/>
        <v>3.8399999999999997E-2</v>
      </c>
      <c r="E1027" s="39">
        <f t="shared" si="376"/>
        <v>1122.5276923076924</v>
      </c>
      <c r="F1027" s="39">
        <f t="shared" si="377"/>
        <v>1105.3820512820514</v>
      </c>
      <c r="G1027" s="29">
        <f t="shared" si="383"/>
        <v>9.2399999999999996E-2</v>
      </c>
      <c r="H1027" s="29">
        <f t="shared" si="383"/>
        <v>0.1094</v>
      </c>
      <c r="I1027">
        <f t="shared" si="378"/>
        <v>1226.27</v>
      </c>
      <c r="J1027">
        <f>IF(A1027&gt;=Quarterly!B$2,Quarterly!C$2,IF(COUNTIFS(Quarterly!B:B,"&gt;="&amp;A1027-92,Quarterly!B:B,"&lt;="&amp;A1027)&gt;1,SUMIFS(Quarterly!C:C,Quarterly!B:B,"&gt;="&amp;A1027-88,Quarterly!B:B,"&lt;="&amp;A1027),SUMIFS(Quarterly!C:C,Quarterly!B:B,"&gt;="&amp;A1027-92,Quarterly!B:B,"&lt;="&amp;A1027)))</f>
        <v>9146.5</v>
      </c>
      <c r="K1027" s="13">
        <f t="shared" si="379"/>
        <v>0.1341</v>
      </c>
      <c r="L1027">
        <f t="shared" si="381"/>
        <v>1226.27</v>
      </c>
      <c r="M1027">
        <f>IF(A1027&gt;=Quarterly!B$2,Quarterly!D$2,IF(COUNTIFS(Quarterly!B:B,"&gt;="&amp;A1027-92,Quarterly!B:B,"&lt;="&amp;A1027)&gt;1,SUMIFS(Quarterly!D:D,Quarterly!B:B,"&gt;="&amp;A1027-88,Quarterly!B:B,"&lt;="&amp;A1027),SUMIFS(Quarterly!D:D,Quarterly!B:B,"&gt;="&amp;A1027-92,Quarterly!B:B,"&lt;="&amp;A1027)))</f>
        <v>481.00099999999998</v>
      </c>
      <c r="N1027" s="13">
        <f t="shared" si="382"/>
        <v>0.25494</v>
      </c>
      <c r="O1027">
        <f t="shared" si="370"/>
        <v>1226.27</v>
      </c>
      <c r="P1027" s="56">
        <f>VLOOKUP(EOMONTH(A1027,-1),Economic!A:I,7,FALSE)</f>
        <v>738354</v>
      </c>
      <c r="Q1027" s="13">
        <f t="shared" si="371"/>
        <v>0.1661</v>
      </c>
      <c r="R1027" s="41">
        <v>0.08</v>
      </c>
      <c r="S1027">
        <f t="shared" si="372"/>
        <v>0.22</v>
      </c>
      <c r="T1027" s="30">
        <f t="shared" si="373"/>
        <v>8.5500000000000007</v>
      </c>
      <c r="U1027" s="30">
        <f t="shared" si="380"/>
        <v>17.75</v>
      </c>
    </row>
    <row r="1028" spans="1:21" ht="15" customHeight="1" x14ac:dyDescent="0.25">
      <c r="A1028" s="5">
        <v>36149</v>
      </c>
      <c r="B1028" s="5">
        <f t="shared" si="374"/>
        <v>36160</v>
      </c>
      <c r="C1028">
        <v>1188.03</v>
      </c>
      <c r="D1028" s="29">
        <f t="shared" si="375"/>
        <v>1.1299999999999999E-2</v>
      </c>
      <c r="E1028" s="39">
        <f t="shared" si="376"/>
        <v>1108.5646153846153</v>
      </c>
      <c r="F1028" s="39">
        <f t="shared" si="377"/>
        <v>1102.0274358974361</v>
      </c>
      <c r="G1028" s="29">
        <f t="shared" si="383"/>
        <v>7.17E-2</v>
      </c>
      <c r="H1028" s="29">
        <f t="shared" si="383"/>
        <v>7.8E-2</v>
      </c>
      <c r="I1028">
        <f t="shared" si="378"/>
        <v>1188.03</v>
      </c>
      <c r="J1028">
        <f>IF(A1028&gt;=Quarterly!B$2,Quarterly!C$2,IF(COUNTIFS(Quarterly!B:B,"&gt;="&amp;A1028-92,Quarterly!B:B,"&lt;="&amp;A1028)&gt;1,SUMIFS(Quarterly!C:C,Quarterly!B:B,"&gt;="&amp;A1028-88,Quarterly!B:B,"&lt;="&amp;A1028),SUMIFS(Quarterly!C:C,Quarterly!B:B,"&gt;="&amp;A1028-92,Quarterly!B:B,"&lt;="&amp;A1028)))</f>
        <v>9146.5</v>
      </c>
      <c r="K1028" s="13">
        <f t="shared" si="379"/>
        <v>0.12989999999999999</v>
      </c>
      <c r="L1028">
        <f t="shared" si="381"/>
        <v>1188.03</v>
      </c>
      <c r="M1028">
        <f>IF(A1028&gt;=Quarterly!B$2,Quarterly!D$2,IF(COUNTIFS(Quarterly!B:B,"&gt;="&amp;A1028-92,Quarterly!B:B,"&lt;="&amp;A1028)&gt;1,SUMIFS(Quarterly!D:D,Quarterly!B:B,"&gt;="&amp;A1028-88,Quarterly!B:B,"&lt;="&amp;A1028),SUMIFS(Quarterly!D:D,Quarterly!B:B,"&gt;="&amp;A1028-92,Quarterly!B:B,"&lt;="&amp;A1028)))</f>
        <v>481.00099999999998</v>
      </c>
      <c r="N1028" s="13">
        <f t="shared" si="382"/>
        <v>0.24699000000000002</v>
      </c>
      <c r="O1028">
        <f t="shared" si="370"/>
        <v>1188.03</v>
      </c>
      <c r="P1028" s="56">
        <f>VLOOKUP(EOMONTH(A1028,-1),Economic!A:I,7,FALSE)</f>
        <v>738354</v>
      </c>
      <c r="Q1028" s="13">
        <f t="shared" si="371"/>
        <v>0.16089999999999999</v>
      </c>
      <c r="R1028" s="41">
        <v>0.13</v>
      </c>
      <c r="S1028">
        <f t="shared" si="372"/>
        <v>0.26</v>
      </c>
      <c r="T1028" s="30">
        <f t="shared" si="373"/>
        <v>18.71</v>
      </c>
      <c r="U1028" s="30">
        <f t="shared" si="380"/>
        <v>24.11</v>
      </c>
    </row>
    <row r="1029" spans="1:21" ht="15" customHeight="1" x14ac:dyDescent="0.25">
      <c r="A1029" s="5">
        <v>36142</v>
      </c>
      <c r="B1029" s="5">
        <f t="shared" si="374"/>
        <v>36160</v>
      </c>
      <c r="C1029">
        <v>1166.46</v>
      </c>
      <c r="D1029" s="29">
        <f t="shared" si="375"/>
        <v>1.6000000000000001E-3</v>
      </c>
      <c r="E1029" s="39">
        <f t="shared" si="376"/>
        <v>1095.646153846154</v>
      </c>
      <c r="F1029" s="39">
        <f t="shared" si="377"/>
        <v>1099.7487179487182</v>
      </c>
      <c r="G1029" s="29">
        <f t="shared" si="383"/>
        <v>6.4600000000000005E-2</v>
      </c>
      <c r="H1029" s="29">
        <f t="shared" si="383"/>
        <v>6.0699999999999997E-2</v>
      </c>
      <c r="I1029">
        <f t="shared" si="378"/>
        <v>1166.46</v>
      </c>
      <c r="J1029">
        <f>IF(A1029&gt;=Quarterly!B$2,Quarterly!C$2,IF(COUNTIFS(Quarterly!B:B,"&gt;="&amp;A1029-92,Quarterly!B:B,"&lt;="&amp;A1029)&gt;1,SUMIFS(Quarterly!C:C,Quarterly!B:B,"&gt;="&amp;A1029-88,Quarterly!B:B,"&lt;="&amp;A1029),SUMIFS(Quarterly!C:C,Quarterly!B:B,"&gt;="&amp;A1029-92,Quarterly!B:B,"&lt;="&amp;A1029)))</f>
        <v>9146.5</v>
      </c>
      <c r="K1029" s="13">
        <f t="shared" si="379"/>
        <v>0.1275</v>
      </c>
      <c r="L1029">
        <f t="shared" si="381"/>
        <v>1166.46</v>
      </c>
      <c r="M1029">
        <f>IF(A1029&gt;=Quarterly!B$2,Quarterly!D$2,IF(COUNTIFS(Quarterly!B:B,"&gt;="&amp;A1029-92,Quarterly!B:B,"&lt;="&amp;A1029)&gt;1,SUMIFS(Quarterly!D:D,Quarterly!B:B,"&gt;="&amp;A1029-88,Quarterly!B:B,"&lt;="&amp;A1029),SUMIFS(Quarterly!D:D,Quarterly!B:B,"&gt;="&amp;A1029-92,Quarterly!B:B,"&lt;="&amp;A1029)))</f>
        <v>481.00099999999998</v>
      </c>
      <c r="N1029" s="13">
        <f t="shared" si="382"/>
        <v>0.24251</v>
      </c>
      <c r="O1029">
        <f t="shared" si="370"/>
        <v>1166.46</v>
      </c>
      <c r="P1029" s="56">
        <f>VLOOKUP(EOMONTH(A1029,-1),Economic!A:I,7,FALSE)</f>
        <v>738354</v>
      </c>
      <c r="Q1029" s="13">
        <f t="shared" si="371"/>
        <v>0.158</v>
      </c>
      <c r="R1029" s="41">
        <v>0.15</v>
      </c>
      <c r="S1029">
        <f t="shared" si="372"/>
        <v>0.28999999999999998</v>
      </c>
      <c r="T1029" s="30">
        <f t="shared" si="373"/>
        <v>26</v>
      </c>
      <c r="U1029" s="30">
        <f t="shared" si="380"/>
        <v>27.7</v>
      </c>
    </row>
    <row r="1030" spans="1:21" ht="15" customHeight="1" x14ac:dyDescent="0.25">
      <c r="A1030" s="5">
        <v>36135</v>
      </c>
      <c r="B1030" s="5">
        <f t="shared" si="374"/>
        <v>36160</v>
      </c>
      <c r="C1030">
        <v>1176.74</v>
      </c>
      <c r="D1030" s="29">
        <f t="shared" si="375"/>
        <v>1.8200000000000001E-2</v>
      </c>
      <c r="E1030" s="39">
        <f t="shared" si="376"/>
        <v>1083.5384615384614</v>
      </c>
      <c r="F1030" s="39">
        <f t="shared" si="377"/>
        <v>1097.2397435897437</v>
      </c>
      <c r="G1030" s="29">
        <f t="shared" si="383"/>
        <v>8.5999999999999993E-2</v>
      </c>
      <c r="H1030" s="29">
        <f t="shared" si="383"/>
        <v>7.2499999999999995E-2</v>
      </c>
      <c r="I1030">
        <f t="shared" si="378"/>
        <v>1176.74</v>
      </c>
      <c r="J1030">
        <f>IF(A1030&gt;=Quarterly!B$2,Quarterly!C$2,IF(COUNTIFS(Quarterly!B:B,"&gt;="&amp;A1030-92,Quarterly!B:B,"&lt;="&amp;A1030)&gt;1,SUMIFS(Quarterly!C:C,Quarterly!B:B,"&gt;="&amp;A1030-88,Quarterly!B:B,"&lt;="&amp;A1030),SUMIFS(Quarterly!C:C,Quarterly!B:B,"&gt;="&amp;A1030-92,Quarterly!B:B,"&lt;="&amp;A1030)))</f>
        <v>9146.5</v>
      </c>
      <c r="K1030" s="13">
        <f t="shared" si="379"/>
        <v>0.12870000000000001</v>
      </c>
      <c r="L1030">
        <f t="shared" si="381"/>
        <v>1176.74</v>
      </c>
      <c r="M1030">
        <f>IF(A1030&gt;=Quarterly!B$2,Quarterly!D$2,IF(COUNTIFS(Quarterly!B:B,"&gt;="&amp;A1030-92,Quarterly!B:B,"&lt;="&amp;A1030)&gt;1,SUMIFS(Quarterly!D:D,Quarterly!B:B,"&gt;="&amp;A1030-88,Quarterly!B:B,"&lt;="&amp;A1030),SUMIFS(Quarterly!D:D,Quarterly!B:B,"&gt;="&amp;A1030-92,Quarterly!B:B,"&lt;="&amp;A1030)))</f>
        <v>481.00099999999998</v>
      </c>
      <c r="N1030" s="13">
        <f t="shared" si="382"/>
        <v>0.24464000000000002</v>
      </c>
      <c r="O1030">
        <f t="shared" ref="O1030:O1093" si="384">C1030</f>
        <v>1176.74</v>
      </c>
      <c r="P1030" s="56">
        <f>VLOOKUP(EOMONTH(A1030,-1),Economic!A:I,7,FALSE)</f>
        <v>738354</v>
      </c>
      <c r="Q1030" s="13">
        <f t="shared" ref="Q1030:Q1093" si="385">ROUND(O1030/P1030,6)*100</f>
        <v>0.15939999999999999</v>
      </c>
      <c r="R1030" s="41">
        <v>0.16</v>
      </c>
      <c r="S1030">
        <f t="shared" ref="S1030:S1093" si="386">R1091</f>
        <v>0.28999999999999998</v>
      </c>
      <c r="T1030" s="30">
        <f t="shared" ref="T1030:T1093" si="387">IF((ROUND((S1030*40)+(G1030*350)-(H1030*100)-((N1030-0.15)*350)-(((K1030*10.5)-1)*270)-(Q1030*100),2)+144)*0.8&lt;0,0,ROUND((ROUND((S1030*40)+(G1030*350)-(H1030*100)-((N1030-0.15)*350)-(((K1030*10.5)-1)*270)-(Q1030*100),2)+144)*0.8,2))</f>
        <v>27.62</v>
      </c>
      <c r="U1030" s="30">
        <f t="shared" si="380"/>
        <v>31.27</v>
      </c>
    </row>
    <row r="1031" spans="1:21" ht="15" customHeight="1" x14ac:dyDescent="0.25">
      <c r="A1031" s="5">
        <v>36128</v>
      </c>
      <c r="B1031" s="5">
        <f t="shared" si="374"/>
        <v>36129</v>
      </c>
      <c r="C1031">
        <v>1192.33</v>
      </c>
      <c r="D1031" s="29">
        <f t="shared" si="375"/>
        <v>5.3100000000000001E-2</v>
      </c>
      <c r="E1031" s="39">
        <f t="shared" si="376"/>
        <v>1067.9346153846154</v>
      </c>
      <c r="F1031" s="39">
        <f t="shared" si="377"/>
        <v>1094.1358974358977</v>
      </c>
      <c r="G1031" s="29">
        <f t="shared" si="383"/>
        <v>0.11650000000000001</v>
      </c>
      <c r="H1031" s="29">
        <f t="shared" si="383"/>
        <v>8.9700000000000002E-2</v>
      </c>
      <c r="I1031">
        <f t="shared" si="378"/>
        <v>1192.33</v>
      </c>
      <c r="J1031">
        <f>IF(A1031&gt;=Quarterly!B$2,Quarterly!C$2,IF(COUNTIFS(Quarterly!B:B,"&gt;="&amp;A1031-92,Quarterly!B:B,"&lt;="&amp;A1031)&gt;1,SUMIFS(Quarterly!C:C,Quarterly!B:B,"&gt;="&amp;A1031-88,Quarterly!B:B,"&lt;="&amp;A1031),SUMIFS(Quarterly!C:C,Quarterly!B:B,"&gt;="&amp;A1031-92,Quarterly!B:B,"&lt;="&amp;A1031)))</f>
        <v>9146.5</v>
      </c>
      <c r="K1031" s="13">
        <f t="shared" si="379"/>
        <v>0.13039999999999999</v>
      </c>
      <c r="L1031">
        <f t="shared" si="381"/>
        <v>1192.33</v>
      </c>
      <c r="M1031">
        <f>IF(A1031&gt;=Quarterly!B$2,Quarterly!D$2,IF(COUNTIFS(Quarterly!B:B,"&gt;="&amp;A1031-92,Quarterly!B:B,"&lt;="&amp;A1031)&gt;1,SUMIFS(Quarterly!D:D,Quarterly!B:B,"&gt;="&amp;A1031-88,Quarterly!B:B,"&lt;="&amp;A1031),SUMIFS(Quarterly!D:D,Quarterly!B:B,"&gt;="&amp;A1031-92,Quarterly!B:B,"&lt;="&amp;A1031)))</f>
        <v>481.00099999999998</v>
      </c>
      <c r="N1031" s="13">
        <f t="shared" si="382"/>
        <v>0.24789</v>
      </c>
      <c r="O1031">
        <f t="shared" si="384"/>
        <v>1192.33</v>
      </c>
      <c r="P1031" s="56">
        <f>VLOOKUP(EOMONTH(A1031,-1),Economic!A:I,7,FALSE)</f>
        <v>735970</v>
      </c>
      <c r="Q1031" s="13">
        <f t="shared" si="385"/>
        <v>0.16199999999999998</v>
      </c>
      <c r="R1031" s="41">
        <v>0.19</v>
      </c>
      <c r="S1031">
        <f t="shared" si="386"/>
        <v>0.28000000000000003</v>
      </c>
      <c r="T1031" s="30">
        <f t="shared" si="387"/>
        <v>29.49</v>
      </c>
      <c r="U1031" s="30">
        <f t="shared" si="380"/>
        <v>37.200000000000003</v>
      </c>
    </row>
    <row r="1032" spans="1:21" ht="15" customHeight="1" x14ac:dyDescent="0.25">
      <c r="A1032" s="5">
        <v>36121</v>
      </c>
      <c r="B1032" s="5">
        <f t="shared" si="374"/>
        <v>36129</v>
      </c>
      <c r="C1032">
        <v>1163.55</v>
      </c>
      <c r="D1032" s="29">
        <f t="shared" si="375"/>
        <v>4.9200000000000001E-2</v>
      </c>
      <c r="E1032" s="39">
        <f t="shared" si="376"/>
        <v>1055.2276923076922</v>
      </c>
      <c r="F1032" s="39">
        <f t="shared" si="377"/>
        <v>1090.469487179487</v>
      </c>
      <c r="G1032" s="29">
        <f t="shared" si="383"/>
        <v>0.1027</v>
      </c>
      <c r="H1032" s="29">
        <f t="shared" si="383"/>
        <v>6.7000000000000004E-2</v>
      </c>
      <c r="I1032">
        <f t="shared" si="378"/>
        <v>1163.55</v>
      </c>
      <c r="J1032">
        <f>IF(A1032&gt;=Quarterly!B$2,Quarterly!C$2,IF(COUNTIFS(Quarterly!B:B,"&gt;="&amp;A1032-92,Quarterly!B:B,"&lt;="&amp;A1032)&gt;1,SUMIFS(Quarterly!C:C,Quarterly!B:B,"&gt;="&amp;A1032-88,Quarterly!B:B,"&lt;="&amp;A1032),SUMIFS(Quarterly!C:C,Quarterly!B:B,"&gt;="&amp;A1032-92,Quarterly!B:B,"&lt;="&amp;A1032)))</f>
        <v>9146.5</v>
      </c>
      <c r="K1032" s="13">
        <f t="shared" si="379"/>
        <v>0.12720000000000001</v>
      </c>
      <c r="L1032">
        <f t="shared" si="381"/>
        <v>1163.55</v>
      </c>
      <c r="M1032">
        <f>IF(A1032&gt;=Quarterly!B$2,Quarterly!D$2,IF(COUNTIFS(Quarterly!B:B,"&gt;="&amp;A1032-92,Quarterly!B:B,"&lt;="&amp;A1032)&gt;1,SUMIFS(Quarterly!D:D,Quarterly!B:B,"&gt;="&amp;A1032-88,Quarterly!B:B,"&lt;="&amp;A1032),SUMIFS(Quarterly!D:D,Quarterly!B:B,"&gt;="&amp;A1032-92,Quarterly!B:B,"&lt;="&amp;A1032)))</f>
        <v>481.00099999999998</v>
      </c>
      <c r="N1032" s="13">
        <f t="shared" si="382"/>
        <v>0.2419</v>
      </c>
      <c r="O1032">
        <f t="shared" si="384"/>
        <v>1163.55</v>
      </c>
      <c r="P1032" s="56">
        <f>VLOOKUP(EOMONTH(A1032,-1),Economic!A:I,7,FALSE)</f>
        <v>735970</v>
      </c>
      <c r="Q1032" s="13">
        <f t="shared" si="385"/>
        <v>0.15809999999999999</v>
      </c>
      <c r="R1032" s="41">
        <v>0.16</v>
      </c>
      <c r="S1032">
        <f t="shared" si="386"/>
        <v>0.28000000000000003</v>
      </c>
      <c r="T1032" s="30">
        <f t="shared" si="387"/>
        <v>36.69</v>
      </c>
      <c r="U1032" s="30">
        <f t="shared" si="380"/>
        <v>42.66</v>
      </c>
    </row>
    <row r="1033" spans="1:21" ht="15" customHeight="1" x14ac:dyDescent="0.25">
      <c r="A1033" s="5">
        <v>36114</v>
      </c>
      <c r="B1033" s="5">
        <f t="shared" si="374"/>
        <v>36129</v>
      </c>
      <c r="C1033">
        <v>1125.72</v>
      </c>
      <c r="D1033" s="29">
        <f t="shared" si="375"/>
        <v>3.1199999999999999E-2</v>
      </c>
      <c r="E1033" s="39">
        <f t="shared" si="376"/>
        <v>1048.8961538461538</v>
      </c>
      <c r="F1033" s="39">
        <f t="shared" si="377"/>
        <v>1087.1530769230767</v>
      </c>
      <c r="G1033" s="29">
        <f t="shared" si="383"/>
        <v>7.3200000000000001E-2</v>
      </c>
      <c r="H1033" s="29">
        <f t="shared" si="383"/>
        <v>3.5499999999999997E-2</v>
      </c>
      <c r="I1033">
        <f t="shared" si="378"/>
        <v>1125.72</v>
      </c>
      <c r="J1033">
        <f>IF(A1033&gt;=Quarterly!B$2,Quarterly!C$2,IF(COUNTIFS(Quarterly!B:B,"&gt;="&amp;A1033-92,Quarterly!B:B,"&lt;="&amp;A1033)&gt;1,SUMIFS(Quarterly!C:C,Quarterly!B:B,"&gt;="&amp;A1033-88,Quarterly!B:B,"&lt;="&amp;A1033),SUMIFS(Quarterly!C:C,Quarterly!B:B,"&gt;="&amp;A1033-92,Quarterly!B:B,"&lt;="&amp;A1033)))</f>
        <v>9146.5</v>
      </c>
      <c r="K1033" s="13">
        <f t="shared" si="379"/>
        <v>0.1231</v>
      </c>
      <c r="L1033">
        <f t="shared" si="381"/>
        <v>1125.72</v>
      </c>
      <c r="M1033">
        <f>IF(A1033&gt;=Quarterly!B$2,Quarterly!D$2,IF(COUNTIFS(Quarterly!B:B,"&gt;="&amp;A1033-92,Quarterly!B:B,"&lt;="&amp;A1033)&gt;1,SUMIFS(Quarterly!D:D,Quarterly!B:B,"&gt;="&amp;A1033-88,Quarterly!B:B,"&lt;="&amp;A1033),SUMIFS(Quarterly!D:D,Quarterly!B:B,"&gt;="&amp;A1033-92,Quarterly!B:B,"&lt;="&amp;A1033)))</f>
        <v>481.00099999999998</v>
      </c>
      <c r="N1033" s="13">
        <f t="shared" si="382"/>
        <v>0.23404</v>
      </c>
      <c r="O1033">
        <f t="shared" si="384"/>
        <v>1125.72</v>
      </c>
      <c r="P1033" s="56">
        <f>VLOOKUP(EOMONTH(A1033,-1),Economic!A:I,7,FALSE)</f>
        <v>735970</v>
      </c>
      <c r="Q1033" s="13">
        <f t="shared" si="385"/>
        <v>0.153</v>
      </c>
      <c r="R1033" s="41">
        <v>0.28000000000000003</v>
      </c>
      <c r="S1033">
        <f t="shared" si="386"/>
        <v>0.36</v>
      </c>
      <c r="T1033" s="30">
        <f t="shared" si="387"/>
        <v>45.42</v>
      </c>
      <c r="U1033" s="30">
        <f t="shared" si="380"/>
        <v>47.5</v>
      </c>
    </row>
    <row r="1034" spans="1:21" ht="15" customHeight="1" x14ac:dyDescent="0.25">
      <c r="A1034" s="5">
        <v>36107</v>
      </c>
      <c r="B1034" s="5">
        <f t="shared" si="374"/>
        <v>36129</v>
      </c>
      <c r="C1034">
        <v>1141.01</v>
      </c>
      <c r="D1034" s="29">
        <f t="shared" si="375"/>
        <v>8.4099999999999994E-2</v>
      </c>
      <c r="E1034" s="39">
        <f t="shared" si="376"/>
        <v>1044.0523076923075</v>
      </c>
      <c r="F1034" s="39">
        <f t="shared" si="377"/>
        <v>1084.4446153846154</v>
      </c>
      <c r="G1034" s="29">
        <f t="shared" si="383"/>
        <v>9.2899999999999996E-2</v>
      </c>
      <c r="H1034" s="29">
        <f t="shared" si="383"/>
        <v>5.2200000000000003E-2</v>
      </c>
      <c r="I1034">
        <f t="shared" si="378"/>
        <v>1141.01</v>
      </c>
      <c r="J1034">
        <f>IF(A1034&gt;=Quarterly!B$2,Quarterly!C$2,IF(COUNTIFS(Quarterly!B:B,"&gt;="&amp;A1034-92,Quarterly!B:B,"&lt;="&amp;A1034)&gt;1,SUMIFS(Quarterly!C:C,Quarterly!B:B,"&gt;="&amp;A1034-88,Quarterly!B:B,"&lt;="&amp;A1034),SUMIFS(Quarterly!C:C,Quarterly!B:B,"&gt;="&amp;A1034-92,Quarterly!B:B,"&lt;="&amp;A1034)))</f>
        <v>9146.5</v>
      </c>
      <c r="K1034" s="13">
        <f t="shared" si="379"/>
        <v>0.12470000000000001</v>
      </c>
      <c r="L1034">
        <f t="shared" si="381"/>
        <v>1141.01</v>
      </c>
      <c r="M1034">
        <f>IF(A1034&gt;=Quarterly!B$2,Quarterly!D$2,IF(COUNTIFS(Quarterly!B:B,"&gt;="&amp;A1034-92,Quarterly!B:B,"&lt;="&amp;A1034)&gt;1,SUMIFS(Quarterly!D:D,Quarterly!B:B,"&gt;="&amp;A1034-88,Quarterly!B:B,"&lt;="&amp;A1034),SUMIFS(Quarterly!D:D,Quarterly!B:B,"&gt;="&amp;A1034-92,Quarterly!B:B,"&lt;="&amp;A1034)))</f>
        <v>481.00099999999998</v>
      </c>
      <c r="N1034" s="13">
        <f t="shared" si="382"/>
        <v>0.23721999999999999</v>
      </c>
      <c r="O1034">
        <f t="shared" si="384"/>
        <v>1141.01</v>
      </c>
      <c r="P1034" s="56">
        <f>VLOOKUP(EOMONTH(A1034,-1),Economic!A:I,7,FALSE)</f>
        <v>735970</v>
      </c>
      <c r="Q1034" s="13">
        <f t="shared" si="385"/>
        <v>0.155</v>
      </c>
      <c r="R1034" s="41">
        <v>0.34</v>
      </c>
      <c r="S1034">
        <f t="shared" si="386"/>
        <v>0.39</v>
      </c>
      <c r="T1034" s="30">
        <f t="shared" si="387"/>
        <v>45.87</v>
      </c>
      <c r="U1034" s="30">
        <f t="shared" si="380"/>
        <v>49.39</v>
      </c>
    </row>
    <row r="1035" spans="1:21" ht="15" customHeight="1" x14ac:dyDescent="0.25">
      <c r="A1035" s="5">
        <v>36100</v>
      </c>
      <c r="B1035" s="5">
        <f t="shared" si="374"/>
        <v>36129</v>
      </c>
      <c r="C1035">
        <v>1098.67</v>
      </c>
      <c r="D1035" s="29">
        <f t="shared" si="375"/>
        <v>6.8199999999999997E-2</v>
      </c>
      <c r="E1035" s="39">
        <f t="shared" si="376"/>
        <v>1040.0861538461538</v>
      </c>
      <c r="F1035" s="39">
        <f t="shared" si="377"/>
        <v>1081.1484615384616</v>
      </c>
      <c r="G1035" s="29">
        <f t="shared" si="383"/>
        <v>5.6300000000000003E-2</v>
      </c>
      <c r="H1035" s="29">
        <f t="shared" si="383"/>
        <v>1.6199999999999999E-2</v>
      </c>
      <c r="I1035">
        <f t="shared" si="378"/>
        <v>1098.67</v>
      </c>
      <c r="J1035">
        <f>IF(A1035&gt;=Quarterly!B$2,Quarterly!C$2,IF(COUNTIFS(Quarterly!B:B,"&gt;="&amp;A1035-92,Quarterly!B:B,"&lt;="&amp;A1035)&gt;1,SUMIFS(Quarterly!C:C,Quarterly!B:B,"&gt;="&amp;A1035-88,Quarterly!B:B,"&lt;="&amp;A1035),SUMIFS(Quarterly!C:C,Quarterly!B:B,"&gt;="&amp;A1035-92,Quarterly!B:B,"&lt;="&amp;A1035)))</f>
        <v>9146.5</v>
      </c>
      <c r="K1035" s="13">
        <f t="shared" si="379"/>
        <v>0.1201</v>
      </c>
      <c r="L1035">
        <f t="shared" si="381"/>
        <v>1098.67</v>
      </c>
      <c r="M1035">
        <f>IF(A1035&gt;=Quarterly!B$2,Quarterly!D$2,IF(COUNTIFS(Quarterly!B:B,"&gt;="&amp;A1035-92,Quarterly!B:B,"&lt;="&amp;A1035)&gt;1,SUMIFS(Quarterly!D:D,Quarterly!B:B,"&gt;="&amp;A1035-88,Quarterly!B:B,"&lt;="&amp;A1035),SUMIFS(Quarterly!D:D,Quarterly!B:B,"&gt;="&amp;A1035-92,Quarterly!B:B,"&lt;="&amp;A1035)))</f>
        <v>481.00099999999998</v>
      </c>
      <c r="N1035" s="13">
        <f t="shared" si="382"/>
        <v>0.22841</v>
      </c>
      <c r="O1035">
        <f t="shared" si="384"/>
        <v>1098.67</v>
      </c>
      <c r="P1035" s="56">
        <f>VLOOKUP(EOMONTH(A1035,-1),Economic!A:I,7,FALSE)</f>
        <v>735970</v>
      </c>
      <c r="Q1035" s="13">
        <f t="shared" si="385"/>
        <v>0.14929999999999999</v>
      </c>
      <c r="R1035" s="41">
        <v>0.52</v>
      </c>
      <c r="S1035">
        <f t="shared" si="386"/>
        <v>0.37</v>
      </c>
      <c r="T1035" s="30">
        <f t="shared" si="387"/>
        <v>51.22</v>
      </c>
      <c r="U1035" s="30">
        <f t="shared" si="380"/>
        <v>51.18</v>
      </c>
    </row>
    <row r="1036" spans="1:21" ht="15" customHeight="1" x14ac:dyDescent="0.25">
      <c r="A1036" s="5">
        <v>36093</v>
      </c>
      <c r="B1036" s="5">
        <f t="shared" si="374"/>
        <v>36099</v>
      </c>
      <c r="C1036">
        <v>1070.67</v>
      </c>
      <c r="D1036" s="29">
        <f t="shared" si="375"/>
        <v>4.7600000000000003E-2</v>
      </c>
      <c r="E1036" s="39">
        <f t="shared" si="376"/>
        <v>1041.7784615384617</v>
      </c>
      <c r="F1036" s="39">
        <f t="shared" si="377"/>
        <v>1078.1128205128205</v>
      </c>
      <c r="G1036" s="29">
        <f t="shared" si="383"/>
        <v>2.7699999999999999E-2</v>
      </c>
      <c r="H1036" s="29">
        <f t="shared" si="383"/>
        <v>-6.8999999999999999E-3</v>
      </c>
      <c r="I1036">
        <f t="shared" si="378"/>
        <v>1070.67</v>
      </c>
      <c r="J1036">
        <f>IF(A1036&gt;=Quarterly!B$2,Quarterly!C$2,IF(COUNTIFS(Quarterly!B:B,"&gt;="&amp;A1036-92,Quarterly!B:B,"&lt;="&amp;A1036)&gt;1,SUMIFS(Quarterly!C:C,Quarterly!B:B,"&gt;="&amp;A1036-88,Quarterly!B:B,"&lt;="&amp;A1036),SUMIFS(Quarterly!C:C,Quarterly!B:B,"&gt;="&amp;A1036-92,Quarterly!B:B,"&lt;="&amp;A1036)))</f>
        <v>8994.7000000000007</v>
      </c>
      <c r="K1036" s="13">
        <f t="shared" si="379"/>
        <v>0.11899999999999999</v>
      </c>
      <c r="L1036">
        <f t="shared" si="381"/>
        <v>1070.67</v>
      </c>
      <c r="M1036">
        <f>IF(A1036&gt;=Quarterly!B$2,Quarterly!D$2,IF(COUNTIFS(Quarterly!B:B,"&gt;="&amp;A1036-92,Quarterly!B:B,"&lt;="&amp;A1036)&gt;1,SUMIFS(Quarterly!D:D,Quarterly!B:B,"&gt;="&amp;A1036-88,Quarterly!B:B,"&lt;="&amp;A1036),SUMIFS(Quarterly!D:D,Quarterly!B:B,"&gt;="&amp;A1036-92,Quarterly!B:B,"&lt;="&amp;A1036)))</f>
        <v>485.68099999999998</v>
      </c>
      <c r="N1036" s="13">
        <f t="shared" si="382"/>
        <v>0.22045000000000001</v>
      </c>
      <c r="O1036">
        <f t="shared" si="384"/>
        <v>1070.67</v>
      </c>
      <c r="P1036" s="56">
        <f>VLOOKUP(EOMONTH(A1036,-1),Economic!A:I,7,FALSE)</f>
        <v>737515</v>
      </c>
      <c r="Q1036" s="13">
        <f t="shared" si="385"/>
        <v>0.1452</v>
      </c>
      <c r="R1036" s="41">
        <v>0.5</v>
      </c>
      <c r="S1036">
        <f t="shared" si="386"/>
        <v>0.4</v>
      </c>
      <c r="T1036" s="30">
        <f t="shared" si="387"/>
        <v>51.07</v>
      </c>
      <c r="U1036" s="30">
        <f t="shared" si="380"/>
        <v>52.93</v>
      </c>
    </row>
    <row r="1037" spans="1:21" ht="15" customHeight="1" x14ac:dyDescent="0.25">
      <c r="A1037" s="5">
        <v>36086</v>
      </c>
      <c r="B1037" s="5">
        <f t="shared" si="374"/>
        <v>36099</v>
      </c>
      <c r="C1037">
        <v>1056.42</v>
      </c>
      <c r="D1037" s="29">
        <f t="shared" si="375"/>
        <v>4.2900000000000001E-2</v>
      </c>
      <c r="E1037" s="39">
        <f t="shared" si="376"/>
        <v>1047.1730769230769</v>
      </c>
      <c r="F1037" s="39">
        <f t="shared" si="377"/>
        <v>1075.2133333333334</v>
      </c>
      <c r="G1037" s="29">
        <f t="shared" si="383"/>
        <v>8.8000000000000005E-3</v>
      </c>
      <c r="H1037" s="29">
        <f t="shared" si="383"/>
        <v>-1.7500000000000002E-2</v>
      </c>
      <c r="I1037">
        <f t="shared" si="378"/>
        <v>1056.42</v>
      </c>
      <c r="J1037">
        <f>IF(A1037&gt;=Quarterly!B$2,Quarterly!C$2,IF(COUNTIFS(Quarterly!B:B,"&gt;="&amp;A1037-92,Quarterly!B:B,"&lt;="&amp;A1037)&gt;1,SUMIFS(Quarterly!C:C,Quarterly!B:B,"&gt;="&amp;A1037-88,Quarterly!B:B,"&lt;="&amp;A1037),SUMIFS(Quarterly!C:C,Quarterly!B:B,"&gt;="&amp;A1037-92,Quarterly!B:B,"&lt;="&amp;A1037)))</f>
        <v>8994.7000000000007</v>
      </c>
      <c r="K1037" s="13">
        <f t="shared" si="379"/>
        <v>0.1174</v>
      </c>
      <c r="L1037">
        <f t="shared" si="381"/>
        <v>1056.42</v>
      </c>
      <c r="M1037">
        <f>IF(A1037&gt;=Quarterly!B$2,Quarterly!D$2,IF(COUNTIFS(Quarterly!B:B,"&gt;="&amp;A1037-92,Quarterly!B:B,"&lt;="&amp;A1037)&gt;1,SUMIFS(Quarterly!D:D,Quarterly!B:B,"&gt;="&amp;A1037-88,Quarterly!B:B,"&lt;="&amp;A1037),SUMIFS(Quarterly!D:D,Quarterly!B:B,"&gt;="&amp;A1037-92,Quarterly!B:B,"&lt;="&amp;A1037)))</f>
        <v>485.68099999999998</v>
      </c>
      <c r="N1037" s="13">
        <f t="shared" si="382"/>
        <v>0.21751000000000001</v>
      </c>
      <c r="O1037">
        <f t="shared" si="384"/>
        <v>1056.42</v>
      </c>
      <c r="P1037" s="56">
        <f>VLOOKUP(EOMONTH(A1037,-1),Economic!A:I,7,FALSE)</f>
        <v>737515</v>
      </c>
      <c r="Q1037" s="13">
        <f t="shared" si="385"/>
        <v>0.14319999999999999</v>
      </c>
      <c r="R1037" s="41">
        <v>0.57999999999999996</v>
      </c>
      <c r="S1037">
        <f t="shared" si="386"/>
        <v>0.4</v>
      </c>
      <c r="T1037" s="30">
        <f t="shared" si="387"/>
        <v>51.24</v>
      </c>
      <c r="U1037" s="30">
        <f t="shared" si="380"/>
        <v>52.17</v>
      </c>
    </row>
    <row r="1038" spans="1:21" ht="15" customHeight="1" x14ac:dyDescent="0.25">
      <c r="A1038" s="5">
        <v>36079</v>
      </c>
      <c r="B1038" s="5">
        <f t="shared" si="374"/>
        <v>36099</v>
      </c>
      <c r="C1038">
        <v>984.39</v>
      </c>
      <c r="D1038" s="29">
        <f t="shared" si="375"/>
        <v>-3.4099999999999998E-2</v>
      </c>
      <c r="E1038" s="39">
        <f t="shared" si="376"/>
        <v>1057.1984615384615</v>
      </c>
      <c r="F1038" s="39">
        <f t="shared" si="377"/>
        <v>1072.7797435897432</v>
      </c>
      <c r="G1038" s="29">
        <f t="shared" si="383"/>
        <v>-6.8900000000000003E-2</v>
      </c>
      <c r="H1038" s="29">
        <f t="shared" si="383"/>
        <v>-8.2400000000000001E-2</v>
      </c>
      <c r="I1038">
        <f t="shared" si="378"/>
        <v>984.39</v>
      </c>
      <c r="J1038">
        <f>IF(A1038&gt;=Quarterly!B$2,Quarterly!C$2,IF(COUNTIFS(Quarterly!B:B,"&gt;="&amp;A1038-92,Quarterly!B:B,"&lt;="&amp;A1038)&gt;1,SUMIFS(Quarterly!C:C,Quarterly!B:B,"&gt;="&amp;A1038-88,Quarterly!B:B,"&lt;="&amp;A1038),SUMIFS(Quarterly!C:C,Quarterly!B:B,"&gt;="&amp;A1038-92,Quarterly!B:B,"&lt;="&amp;A1038)))</f>
        <v>8994.7000000000007</v>
      </c>
      <c r="K1038" s="13">
        <f t="shared" si="379"/>
        <v>0.1094</v>
      </c>
      <c r="L1038">
        <f t="shared" si="381"/>
        <v>984.39</v>
      </c>
      <c r="M1038">
        <f>IF(A1038&gt;=Quarterly!B$2,Quarterly!D$2,IF(COUNTIFS(Quarterly!B:B,"&gt;="&amp;A1038-92,Quarterly!B:B,"&lt;="&amp;A1038)&gt;1,SUMIFS(Quarterly!D:D,Quarterly!B:B,"&gt;="&amp;A1038-88,Quarterly!B:B,"&lt;="&amp;A1038),SUMIFS(Quarterly!D:D,Quarterly!B:B,"&gt;="&amp;A1038-92,Quarterly!B:B,"&lt;="&amp;A1038)))</f>
        <v>485.68099999999998</v>
      </c>
      <c r="N1038" s="13">
        <f t="shared" si="382"/>
        <v>0.20268000000000003</v>
      </c>
      <c r="O1038">
        <f t="shared" si="384"/>
        <v>984.39</v>
      </c>
      <c r="P1038" s="56">
        <f>VLOOKUP(EOMONTH(A1038,-1),Economic!A:I,7,FALSE)</f>
        <v>737515</v>
      </c>
      <c r="Q1038" s="13">
        <f t="shared" si="385"/>
        <v>0.13350000000000001</v>
      </c>
      <c r="R1038" s="41">
        <v>0.57999999999999996</v>
      </c>
      <c r="S1038">
        <f t="shared" si="386"/>
        <v>0.36</v>
      </c>
      <c r="T1038" s="30">
        <f t="shared" si="387"/>
        <v>56.47</v>
      </c>
      <c r="U1038" s="30">
        <f t="shared" si="380"/>
        <v>48.54</v>
      </c>
    </row>
    <row r="1039" spans="1:21" ht="15" customHeight="1" x14ac:dyDescent="0.25">
      <c r="A1039" s="5">
        <v>36072</v>
      </c>
      <c r="B1039" s="5">
        <f t="shared" si="374"/>
        <v>36099</v>
      </c>
      <c r="C1039">
        <v>1002.6</v>
      </c>
      <c r="D1039" s="29">
        <f t="shared" si="375"/>
        <v>-9.1999999999999998E-3</v>
      </c>
      <c r="E1039" s="39">
        <f t="shared" si="376"/>
        <v>1071.04</v>
      </c>
      <c r="F1039" s="39">
        <f t="shared" si="377"/>
        <v>1071.3258974358973</v>
      </c>
      <c r="G1039" s="29">
        <f t="shared" si="383"/>
        <v>-6.3899999999999998E-2</v>
      </c>
      <c r="H1039" s="29">
        <f t="shared" si="383"/>
        <v>-6.4199999999999993E-2</v>
      </c>
      <c r="I1039">
        <f t="shared" si="378"/>
        <v>1002.6</v>
      </c>
      <c r="J1039">
        <f>IF(A1039&gt;=Quarterly!B$2,Quarterly!C$2,IF(COUNTIFS(Quarterly!B:B,"&gt;="&amp;A1039-92,Quarterly!B:B,"&lt;="&amp;A1039)&gt;1,SUMIFS(Quarterly!C:C,Quarterly!B:B,"&gt;="&amp;A1039-88,Quarterly!B:B,"&lt;="&amp;A1039),SUMIFS(Quarterly!C:C,Quarterly!B:B,"&gt;="&amp;A1039-92,Quarterly!B:B,"&lt;="&amp;A1039)))</f>
        <v>8994.7000000000007</v>
      </c>
      <c r="K1039" s="13">
        <f t="shared" si="379"/>
        <v>0.1115</v>
      </c>
      <c r="L1039">
        <f t="shared" si="381"/>
        <v>1002.6</v>
      </c>
      <c r="M1039">
        <f>IF(A1039&gt;=Quarterly!B$2,Quarterly!D$2,IF(COUNTIFS(Quarterly!B:B,"&gt;="&amp;A1039-92,Quarterly!B:B,"&lt;="&amp;A1039)&gt;1,SUMIFS(Quarterly!D:D,Quarterly!B:B,"&gt;="&amp;A1039-88,Quarterly!B:B,"&lt;="&amp;A1039),SUMIFS(Quarterly!D:D,Quarterly!B:B,"&gt;="&amp;A1039-92,Quarterly!B:B,"&lt;="&amp;A1039)))</f>
        <v>485.68099999999998</v>
      </c>
      <c r="N1039" s="13">
        <f t="shared" si="382"/>
        <v>0.20643</v>
      </c>
      <c r="O1039">
        <f t="shared" si="384"/>
        <v>1002.6</v>
      </c>
      <c r="P1039" s="56">
        <f>VLOOKUP(EOMONTH(A1039,-1),Economic!A:I,7,FALSE)</f>
        <v>737515</v>
      </c>
      <c r="Q1039" s="13">
        <f t="shared" si="385"/>
        <v>0.13589999999999999</v>
      </c>
      <c r="R1039" s="41">
        <v>0.14000000000000001</v>
      </c>
      <c r="S1039">
        <f t="shared" si="386"/>
        <v>0.31</v>
      </c>
      <c r="T1039" s="30">
        <f t="shared" si="387"/>
        <v>48.81</v>
      </c>
      <c r="U1039" s="30">
        <f t="shared" si="380"/>
        <v>43.92</v>
      </c>
    </row>
    <row r="1040" spans="1:21" ht="15" customHeight="1" x14ac:dyDescent="0.25">
      <c r="A1040" s="5">
        <v>36065</v>
      </c>
      <c r="B1040" s="5">
        <f t="shared" si="374"/>
        <v>36068</v>
      </c>
      <c r="C1040">
        <v>1044.75</v>
      </c>
      <c r="D1040" s="29">
        <f t="shared" si="375"/>
        <v>3.6900000000000002E-2</v>
      </c>
      <c r="E1040" s="39">
        <f t="shared" si="376"/>
        <v>1082.103076923077</v>
      </c>
      <c r="F1040" s="39">
        <f t="shared" si="377"/>
        <v>1070.6192307692306</v>
      </c>
      <c r="G1040" s="29">
        <f t="shared" si="383"/>
        <v>-3.4500000000000003E-2</v>
      </c>
      <c r="H1040" s="29">
        <f t="shared" si="383"/>
        <v>-2.4199999999999999E-2</v>
      </c>
      <c r="I1040">
        <f t="shared" si="378"/>
        <v>1044.75</v>
      </c>
      <c r="J1040">
        <f>IF(A1040&gt;=Quarterly!B$2,Quarterly!C$2,IF(COUNTIFS(Quarterly!B:B,"&gt;="&amp;A1040-92,Quarterly!B:B,"&lt;="&amp;A1040)&gt;1,SUMIFS(Quarterly!C:C,Quarterly!B:B,"&gt;="&amp;A1040-88,Quarterly!B:B,"&lt;="&amp;A1040),SUMIFS(Quarterly!C:C,Quarterly!B:B,"&gt;="&amp;A1040-92,Quarterly!B:B,"&lt;="&amp;A1040)))</f>
        <v>8994.7000000000007</v>
      </c>
      <c r="K1040" s="13">
        <f t="shared" si="379"/>
        <v>0.1162</v>
      </c>
      <c r="L1040">
        <f t="shared" si="381"/>
        <v>1044.75</v>
      </c>
      <c r="M1040">
        <f>IF(A1040&gt;=Quarterly!B$2,Quarterly!D$2,IF(COUNTIFS(Quarterly!B:B,"&gt;="&amp;A1040-92,Quarterly!B:B,"&lt;="&amp;A1040)&gt;1,SUMIFS(Quarterly!D:D,Quarterly!B:B,"&gt;="&amp;A1040-88,Quarterly!B:B,"&lt;="&amp;A1040),SUMIFS(Quarterly!D:D,Quarterly!B:B,"&gt;="&amp;A1040-92,Quarterly!B:B,"&lt;="&amp;A1040)))</f>
        <v>485.68099999999998</v>
      </c>
      <c r="N1040" s="13">
        <f t="shared" si="382"/>
        <v>0.21511000000000002</v>
      </c>
      <c r="O1040">
        <f t="shared" si="384"/>
        <v>1044.75</v>
      </c>
      <c r="P1040" s="56">
        <f>VLOOKUP(EOMONTH(A1040,-1),Economic!A:I,7,FALSE)</f>
        <v>739756</v>
      </c>
      <c r="Q1040" s="13">
        <f t="shared" si="385"/>
        <v>0.14119999999999999</v>
      </c>
      <c r="R1040" s="41">
        <v>0.17</v>
      </c>
      <c r="S1040">
        <f t="shared" si="386"/>
        <v>0.31</v>
      </c>
      <c r="T1040" s="30">
        <f t="shared" si="387"/>
        <v>40.33</v>
      </c>
      <c r="U1040" s="30">
        <f t="shared" si="380"/>
        <v>41.91</v>
      </c>
    </row>
    <row r="1041" spans="1:21" ht="15" customHeight="1" x14ac:dyDescent="0.25">
      <c r="A1041" s="5">
        <v>36058</v>
      </c>
      <c r="B1041" s="5">
        <f t="shared" si="374"/>
        <v>36068</v>
      </c>
      <c r="C1041">
        <v>1020.09</v>
      </c>
      <c r="D1041" s="29">
        <f t="shared" si="375"/>
        <v>-2.7000000000000001E-3</v>
      </c>
      <c r="E1041" s="39">
        <f t="shared" si="376"/>
        <v>1088.9069230769232</v>
      </c>
      <c r="F1041" s="39">
        <f t="shared" si="377"/>
        <v>1067.842564102564</v>
      </c>
      <c r="G1041" s="29">
        <f t="shared" si="383"/>
        <v>-6.3200000000000006E-2</v>
      </c>
      <c r="H1041" s="29">
        <f t="shared" si="383"/>
        <v>-4.4699999999999997E-2</v>
      </c>
      <c r="I1041">
        <f t="shared" si="378"/>
        <v>1020.09</v>
      </c>
      <c r="J1041">
        <f>IF(A1041&gt;=Quarterly!B$2,Quarterly!C$2,IF(COUNTIFS(Quarterly!B:B,"&gt;="&amp;A1041-92,Quarterly!B:B,"&lt;="&amp;A1041)&gt;1,SUMIFS(Quarterly!C:C,Quarterly!B:B,"&gt;="&amp;A1041-88,Quarterly!B:B,"&lt;="&amp;A1041),SUMIFS(Quarterly!C:C,Quarterly!B:B,"&gt;="&amp;A1041-92,Quarterly!B:B,"&lt;="&amp;A1041)))</f>
        <v>8994.7000000000007</v>
      </c>
      <c r="K1041" s="13">
        <f t="shared" si="379"/>
        <v>0.1134</v>
      </c>
      <c r="L1041">
        <f t="shared" si="381"/>
        <v>1020.09</v>
      </c>
      <c r="M1041">
        <f>IF(A1041&gt;=Quarterly!B$2,Quarterly!D$2,IF(COUNTIFS(Quarterly!B:B,"&gt;="&amp;A1041-92,Quarterly!B:B,"&lt;="&amp;A1041)&gt;1,SUMIFS(Quarterly!D:D,Quarterly!B:B,"&gt;="&amp;A1041-88,Quarterly!B:B,"&lt;="&amp;A1041),SUMIFS(Quarterly!D:D,Quarterly!B:B,"&gt;="&amp;A1041-92,Quarterly!B:B,"&lt;="&amp;A1041)))</f>
        <v>485.68099999999998</v>
      </c>
      <c r="N1041" s="13">
        <f t="shared" si="382"/>
        <v>0.21002999999999999</v>
      </c>
      <c r="O1041">
        <f t="shared" si="384"/>
        <v>1020.09</v>
      </c>
      <c r="P1041" s="56">
        <f>VLOOKUP(EOMONTH(A1041,-1),Economic!A:I,7,FALSE)</f>
        <v>739756</v>
      </c>
      <c r="Q1041" s="13">
        <f t="shared" si="385"/>
        <v>0.13789999999999999</v>
      </c>
      <c r="R1041" s="41">
        <v>0.09</v>
      </c>
      <c r="S1041">
        <f t="shared" si="386"/>
        <v>0.33</v>
      </c>
      <c r="T1041" s="30">
        <f t="shared" si="387"/>
        <v>42.61</v>
      </c>
      <c r="U1041" s="30">
        <f t="shared" si="380"/>
        <v>44.23</v>
      </c>
    </row>
    <row r="1042" spans="1:21" ht="15" customHeight="1" x14ac:dyDescent="0.25">
      <c r="A1042" s="5">
        <v>36051</v>
      </c>
      <c r="B1042" s="5">
        <f t="shared" ref="B1042:B1105" si="388">EOMONTH(A1042,0)</f>
        <v>36068</v>
      </c>
      <c r="C1042">
        <v>1009.06</v>
      </c>
      <c r="D1042" s="29">
        <f t="shared" ref="D1042:D1105" si="389">ROUND((C1042-AVERAGE(C1043:C1046))/AVERAGE(C1043:C1046),4)</f>
        <v>-2.6200000000000001E-2</v>
      </c>
      <c r="E1042" s="39">
        <f t="shared" ref="E1042:E1105" si="390">AVERAGE(C1042:C1054)</f>
        <v>1095.1038461538462</v>
      </c>
      <c r="F1042" s="39">
        <f t="shared" ref="F1042:F1105" si="391">AVERAGE(C1042:C1080)</f>
        <v>1065.9628205128204</v>
      </c>
      <c r="G1042" s="29">
        <f t="shared" si="383"/>
        <v>-7.8600000000000003E-2</v>
      </c>
      <c r="H1042" s="29">
        <f t="shared" si="383"/>
        <v>-5.3400000000000003E-2</v>
      </c>
      <c r="I1042">
        <f t="shared" ref="I1042:I1105" si="392">C1042</f>
        <v>1009.06</v>
      </c>
      <c r="J1042">
        <f>IF(A1042&gt;=Quarterly!B$2,Quarterly!C$2,IF(COUNTIFS(Quarterly!B:B,"&gt;="&amp;A1042-92,Quarterly!B:B,"&lt;="&amp;A1042)&gt;1,SUMIFS(Quarterly!C:C,Quarterly!B:B,"&gt;="&amp;A1042-88,Quarterly!B:B,"&lt;="&amp;A1042),SUMIFS(Quarterly!C:C,Quarterly!B:B,"&gt;="&amp;A1042-92,Quarterly!B:B,"&lt;="&amp;A1042)))</f>
        <v>8994.7000000000007</v>
      </c>
      <c r="K1042" s="13">
        <f t="shared" ref="K1042:K1105" si="393">ROUND(I1042/J1042,4)</f>
        <v>0.11219999999999999</v>
      </c>
      <c r="L1042">
        <f t="shared" si="381"/>
        <v>1009.06</v>
      </c>
      <c r="M1042">
        <f>IF(A1042&gt;=Quarterly!B$2,Quarterly!D$2,IF(COUNTIFS(Quarterly!B:B,"&gt;="&amp;A1042-92,Quarterly!B:B,"&lt;="&amp;A1042)&gt;1,SUMIFS(Quarterly!D:D,Quarterly!B:B,"&gt;="&amp;A1042-88,Quarterly!B:B,"&lt;="&amp;A1042),SUMIFS(Quarterly!D:D,Quarterly!B:B,"&gt;="&amp;A1042-92,Quarterly!B:B,"&lt;="&amp;A1042)))</f>
        <v>485.68099999999998</v>
      </c>
      <c r="N1042" s="13">
        <f t="shared" si="382"/>
        <v>0.20776</v>
      </c>
      <c r="O1042">
        <f t="shared" si="384"/>
        <v>1009.06</v>
      </c>
      <c r="P1042" s="56">
        <f>VLOOKUP(EOMONTH(A1042,-1),Economic!A:I,7,FALSE)</f>
        <v>739756</v>
      </c>
      <c r="Q1042" s="13">
        <f t="shared" si="385"/>
        <v>0.13639999999999999</v>
      </c>
      <c r="R1042" s="41">
        <v>0.17</v>
      </c>
      <c r="S1042">
        <f t="shared" si="386"/>
        <v>0.34</v>
      </c>
      <c r="T1042" s="30">
        <f t="shared" si="387"/>
        <v>42.79</v>
      </c>
      <c r="U1042" s="30">
        <f t="shared" ref="U1042:U1105" si="394">ROUND(AVERAGE(T1042:T1044),2)</f>
        <v>43.01</v>
      </c>
    </row>
    <row r="1043" spans="1:21" ht="15" customHeight="1" x14ac:dyDescent="0.25">
      <c r="A1043" s="5">
        <v>36044</v>
      </c>
      <c r="B1043" s="5">
        <f t="shared" si="388"/>
        <v>36068</v>
      </c>
      <c r="C1043">
        <v>973.89</v>
      </c>
      <c r="D1043" s="29">
        <f t="shared" si="389"/>
        <v>-8.5699999999999998E-2</v>
      </c>
      <c r="E1043" s="39">
        <f t="shared" si="390"/>
        <v>1102.01</v>
      </c>
      <c r="F1043" s="39">
        <f t="shared" si="391"/>
        <v>1064.5353846153846</v>
      </c>
      <c r="G1043" s="29">
        <f t="shared" si="383"/>
        <v>-0.1163</v>
      </c>
      <c r="H1043" s="29">
        <f t="shared" si="383"/>
        <v>-8.5199999999999998E-2</v>
      </c>
      <c r="I1043">
        <f t="shared" si="392"/>
        <v>973.89</v>
      </c>
      <c r="J1043">
        <f>IF(A1043&gt;=Quarterly!B$2,Quarterly!C$2,IF(COUNTIFS(Quarterly!B:B,"&gt;="&amp;A1043-92,Quarterly!B:B,"&lt;="&amp;A1043)&gt;1,SUMIFS(Quarterly!C:C,Quarterly!B:B,"&gt;="&amp;A1043-88,Quarterly!B:B,"&lt;="&amp;A1043),SUMIFS(Quarterly!C:C,Quarterly!B:B,"&gt;="&amp;A1043-92,Quarterly!B:B,"&lt;="&amp;A1043)))</f>
        <v>8994.7000000000007</v>
      </c>
      <c r="K1043" s="13">
        <f t="shared" si="393"/>
        <v>0.10829999999999999</v>
      </c>
      <c r="L1043">
        <f t="shared" si="381"/>
        <v>973.89</v>
      </c>
      <c r="M1043">
        <f>IF(A1043&gt;=Quarterly!B$2,Quarterly!D$2,IF(COUNTIFS(Quarterly!B:B,"&gt;="&amp;A1043-92,Quarterly!B:B,"&lt;="&amp;A1043)&gt;1,SUMIFS(Quarterly!D:D,Quarterly!B:B,"&gt;="&amp;A1043-88,Quarterly!B:B,"&lt;="&amp;A1043),SUMIFS(Quarterly!D:D,Quarterly!B:B,"&gt;="&amp;A1043-92,Quarterly!B:B,"&lt;="&amp;A1043)))</f>
        <v>485.68099999999998</v>
      </c>
      <c r="N1043" s="13">
        <f t="shared" si="382"/>
        <v>0.20052</v>
      </c>
      <c r="O1043">
        <f t="shared" si="384"/>
        <v>973.89</v>
      </c>
      <c r="P1043" s="56">
        <f>VLOOKUP(EOMONTH(A1043,-1),Economic!A:I,7,FALSE)</f>
        <v>739756</v>
      </c>
      <c r="Q1043" s="13">
        <f t="shared" si="385"/>
        <v>0.13170000000000001</v>
      </c>
      <c r="R1043" s="41">
        <v>0.11</v>
      </c>
      <c r="S1043">
        <f t="shared" si="386"/>
        <v>0.38</v>
      </c>
      <c r="T1043" s="30">
        <f t="shared" si="387"/>
        <v>47.3</v>
      </c>
      <c r="U1043" s="30">
        <f t="shared" si="394"/>
        <v>37.840000000000003</v>
      </c>
    </row>
    <row r="1044" spans="1:21" ht="15" customHeight="1" x14ac:dyDescent="0.25">
      <c r="A1044" s="5">
        <v>36037</v>
      </c>
      <c r="B1044" s="5">
        <f t="shared" si="388"/>
        <v>36038</v>
      </c>
      <c r="C1044">
        <v>1027.1400000000001</v>
      </c>
      <c r="D1044" s="29">
        <f t="shared" si="389"/>
        <v>-5.6399999999999999E-2</v>
      </c>
      <c r="E1044" s="39">
        <f t="shared" si="390"/>
        <v>1112.7769230769231</v>
      </c>
      <c r="F1044" s="39">
        <f t="shared" si="391"/>
        <v>1064.7892307692307</v>
      </c>
      <c r="G1044" s="29">
        <f t="shared" si="383"/>
        <v>-7.6999999999999999E-2</v>
      </c>
      <c r="H1044" s="29">
        <f t="shared" si="383"/>
        <v>-3.5400000000000001E-2</v>
      </c>
      <c r="I1044">
        <f t="shared" si="392"/>
        <v>1027.1400000000001</v>
      </c>
      <c r="J1044">
        <f>IF(A1044&gt;=Quarterly!B$2,Quarterly!C$2,IF(COUNTIFS(Quarterly!B:B,"&gt;="&amp;A1044-92,Quarterly!B:B,"&lt;="&amp;A1044)&gt;1,SUMIFS(Quarterly!C:C,Quarterly!B:B,"&gt;="&amp;A1044-88,Quarterly!B:B,"&lt;="&amp;A1044),SUMIFS(Quarterly!C:C,Quarterly!B:B,"&gt;="&amp;A1044-92,Quarterly!B:B,"&lt;="&amp;A1044)))</f>
        <v>8994.7000000000007</v>
      </c>
      <c r="K1044" s="13">
        <f t="shared" si="393"/>
        <v>0.1142</v>
      </c>
      <c r="L1044">
        <f t="shared" si="381"/>
        <v>1027.1400000000001</v>
      </c>
      <c r="M1044">
        <f>IF(A1044&gt;=Quarterly!B$2,Quarterly!D$2,IF(COUNTIFS(Quarterly!B:B,"&gt;="&amp;A1044-92,Quarterly!B:B,"&lt;="&amp;A1044)&gt;1,SUMIFS(Quarterly!D:D,Quarterly!B:B,"&gt;="&amp;A1044-88,Quarterly!B:B,"&lt;="&amp;A1044),SUMIFS(Quarterly!D:D,Quarterly!B:B,"&gt;="&amp;A1044-92,Quarterly!B:B,"&lt;="&amp;A1044)))</f>
        <v>485.68099999999998</v>
      </c>
      <c r="N1044" s="13">
        <f t="shared" si="382"/>
        <v>0.21148</v>
      </c>
      <c r="O1044">
        <f t="shared" si="384"/>
        <v>1027.1400000000001</v>
      </c>
      <c r="P1044" s="56">
        <f>VLOOKUP(EOMONTH(A1044,-1),Economic!A:I,7,FALSE)</f>
        <v>741485</v>
      </c>
      <c r="Q1044" s="13">
        <f t="shared" si="385"/>
        <v>0.13849999999999998</v>
      </c>
      <c r="R1044" s="41">
        <v>0.16</v>
      </c>
      <c r="S1044">
        <f t="shared" si="386"/>
        <v>0.43</v>
      </c>
      <c r="T1044" s="30">
        <f t="shared" si="387"/>
        <v>38.93</v>
      </c>
      <c r="U1044" s="30">
        <f t="shared" si="394"/>
        <v>32.29</v>
      </c>
    </row>
    <row r="1045" spans="1:21" ht="15" customHeight="1" x14ac:dyDescent="0.25">
      <c r="A1045" s="5">
        <v>36030</v>
      </c>
      <c r="B1045" s="5">
        <f t="shared" si="388"/>
        <v>36038</v>
      </c>
      <c r="C1045">
        <v>1081.24</v>
      </c>
      <c r="D1045" s="29">
        <f t="shared" si="389"/>
        <v>-2.01E-2</v>
      </c>
      <c r="E1045" s="39">
        <f t="shared" si="390"/>
        <v>1117.6753846153847</v>
      </c>
      <c r="F1045" s="39">
        <f t="shared" si="391"/>
        <v>1062.9497435897435</v>
      </c>
      <c r="G1045" s="29">
        <f t="shared" si="383"/>
        <v>-3.2599999999999997E-2</v>
      </c>
      <c r="H1045" s="29">
        <f t="shared" si="383"/>
        <v>1.72E-2</v>
      </c>
      <c r="I1045">
        <f t="shared" si="392"/>
        <v>1081.24</v>
      </c>
      <c r="J1045">
        <f>IF(A1045&gt;=Quarterly!B$2,Quarterly!C$2,IF(COUNTIFS(Quarterly!B:B,"&gt;="&amp;A1045-92,Quarterly!B:B,"&lt;="&amp;A1045)&gt;1,SUMIFS(Quarterly!C:C,Quarterly!B:B,"&gt;="&amp;A1045-88,Quarterly!B:B,"&lt;="&amp;A1045),SUMIFS(Quarterly!C:C,Quarterly!B:B,"&gt;="&amp;A1045-92,Quarterly!B:B,"&lt;="&amp;A1045)))</f>
        <v>8994.7000000000007</v>
      </c>
      <c r="K1045" s="13">
        <f t="shared" si="393"/>
        <v>0.1202</v>
      </c>
      <c r="L1045">
        <f t="shared" si="381"/>
        <v>1081.24</v>
      </c>
      <c r="M1045">
        <f>IF(A1045&gt;=Quarterly!B$2,Quarterly!D$2,IF(COUNTIFS(Quarterly!B:B,"&gt;="&amp;A1045-92,Quarterly!B:B,"&lt;="&amp;A1045)&gt;1,SUMIFS(Quarterly!D:D,Quarterly!B:B,"&gt;="&amp;A1045-88,Quarterly!B:B,"&lt;="&amp;A1045),SUMIFS(Quarterly!D:D,Quarterly!B:B,"&gt;="&amp;A1045-92,Quarterly!B:B,"&lt;="&amp;A1045)))</f>
        <v>485.68099999999998</v>
      </c>
      <c r="N1045" s="13">
        <f t="shared" si="382"/>
        <v>0.22262000000000001</v>
      </c>
      <c r="O1045">
        <f t="shared" si="384"/>
        <v>1081.24</v>
      </c>
      <c r="P1045" s="56">
        <f>VLOOKUP(EOMONTH(A1045,-1),Economic!A:I,7,FALSE)</f>
        <v>741485</v>
      </c>
      <c r="Q1045" s="13">
        <f t="shared" si="385"/>
        <v>0.14580000000000001</v>
      </c>
      <c r="R1045" s="41">
        <v>7.0000000000000007E-2</v>
      </c>
      <c r="S1045">
        <f t="shared" si="386"/>
        <v>0.35</v>
      </c>
      <c r="T1045" s="30">
        <f t="shared" si="387"/>
        <v>27.29</v>
      </c>
      <c r="U1045" s="30">
        <f t="shared" si="394"/>
        <v>27.81</v>
      </c>
    </row>
    <row r="1046" spans="1:21" ht="15" customHeight="1" x14ac:dyDescent="0.25">
      <c r="A1046" s="5">
        <v>36023</v>
      </c>
      <c r="B1046" s="5">
        <f t="shared" si="388"/>
        <v>36038</v>
      </c>
      <c r="C1046">
        <v>1062.75</v>
      </c>
      <c r="D1046" s="29">
        <f t="shared" si="389"/>
        <v>-6.3200000000000006E-2</v>
      </c>
      <c r="E1046" s="39">
        <f t="shared" si="390"/>
        <v>1119.9238461538462</v>
      </c>
      <c r="F1046" s="39">
        <f t="shared" si="391"/>
        <v>1059.9202564102563</v>
      </c>
      <c r="G1046" s="29">
        <f t="shared" si="383"/>
        <v>-5.11E-2</v>
      </c>
      <c r="H1046" s="29">
        <f t="shared" si="383"/>
        <v>2.7000000000000001E-3</v>
      </c>
      <c r="I1046">
        <f t="shared" si="392"/>
        <v>1062.75</v>
      </c>
      <c r="J1046">
        <f>IF(A1046&gt;=Quarterly!B$2,Quarterly!C$2,IF(COUNTIFS(Quarterly!B:B,"&gt;="&amp;A1046-92,Quarterly!B:B,"&lt;="&amp;A1046)&gt;1,SUMIFS(Quarterly!C:C,Quarterly!B:B,"&gt;="&amp;A1046-88,Quarterly!B:B,"&lt;="&amp;A1046),SUMIFS(Quarterly!C:C,Quarterly!B:B,"&gt;="&amp;A1046-92,Quarterly!B:B,"&lt;="&amp;A1046)))</f>
        <v>8994.7000000000007</v>
      </c>
      <c r="K1046" s="13">
        <f t="shared" si="393"/>
        <v>0.1182</v>
      </c>
      <c r="L1046">
        <f t="shared" si="381"/>
        <v>1062.75</v>
      </c>
      <c r="M1046">
        <f>IF(A1046&gt;=Quarterly!B$2,Quarterly!D$2,IF(COUNTIFS(Quarterly!B:B,"&gt;="&amp;A1046-92,Quarterly!B:B,"&lt;="&amp;A1046)&gt;1,SUMIFS(Quarterly!D:D,Quarterly!B:B,"&gt;="&amp;A1046-88,Quarterly!B:B,"&lt;="&amp;A1046),SUMIFS(Quarterly!D:D,Quarterly!B:B,"&gt;="&amp;A1046-92,Quarterly!B:B,"&lt;="&amp;A1046)))</f>
        <v>485.68099999999998</v>
      </c>
      <c r="N1046" s="13">
        <f t="shared" si="382"/>
        <v>0.21882000000000001</v>
      </c>
      <c r="O1046">
        <f t="shared" si="384"/>
        <v>1062.75</v>
      </c>
      <c r="P1046" s="56">
        <f>VLOOKUP(EOMONTH(A1046,-1),Economic!A:I,7,FALSE)</f>
        <v>741485</v>
      </c>
      <c r="Q1046" s="13">
        <f t="shared" si="385"/>
        <v>0.14330000000000001</v>
      </c>
      <c r="R1046" s="41">
        <v>0.06</v>
      </c>
      <c r="S1046">
        <f t="shared" si="386"/>
        <v>0.4</v>
      </c>
      <c r="T1046" s="30">
        <f t="shared" si="387"/>
        <v>30.66</v>
      </c>
      <c r="U1046" s="30">
        <f t="shared" si="394"/>
        <v>26.07</v>
      </c>
    </row>
    <row r="1047" spans="1:21" ht="15" customHeight="1" x14ac:dyDescent="0.25">
      <c r="A1047" s="5">
        <v>36016</v>
      </c>
      <c r="B1047" s="5">
        <f t="shared" si="388"/>
        <v>36038</v>
      </c>
      <c r="C1047">
        <v>1089.45</v>
      </c>
      <c r="D1047" s="29">
        <f t="shared" si="389"/>
        <v>-5.5199999999999999E-2</v>
      </c>
      <c r="E1047" s="39">
        <f t="shared" si="390"/>
        <v>1123.4607692307693</v>
      </c>
      <c r="F1047" s="39">
        <f t="shared" si="391"/>
        <v>1056.4741025641024</v>
      </c>
      <c r="G1047" s="29">
        <f t="shared" si="383"/>
        <v>-3.0300000000000001E-2</v>
      </c>
      <c r="H1047" s="29">
        <f t="shared" si="383"/>
        <v>3.1199999999999999E-2</v>
      </c>
      <c r="I1047">
        <f t="shared" si="392"/>
        <v>1089.45</v>
      </c>
      <c r="J1047">
        <f>IF(A1047&gt;=Quarterly!B$2,Quarterly!C$2,IF(COUNTIFS(Quarterly!B:B,"&gt;="&amp;A1047-92,Quarterly!B:B,"&lt;="&amp;A1047)&gt;1,SUMIFS(Quarterly!C:C,Quarterly!B:B,"&gt;="&amp;A1047-88,Quarterly!B:B,"&lt;="&amp;A1047),SUMIFS(Quarterly!C:C,Quarterly!B:B,"&gt;="&amp;A1047-92,Quarterly!B:B,"&lt;="&amp;A1047)))</f>
        <v>8994.7000000000007</v>
      </c>
      <c r="K1047" s="13">
        <f t="shared" si="393"/>
        <v>0.1211</v>
      </c>
      <c r="L1047">
        <f t="shared" ref="L1047:L1110" si="395">C1047</f>
        <v>1089.45</v>
      </c>
      <c r="M1047">
        <f>IF(A1047&gt;=Quarterly!B$2,Quarterly!D$2,IF(COUNTIFS(Quarterly!B:B,"&gt;="&amp;A1047-92,Quarterly!B:B,"&lt;="&amp;A1047)&gt;1,SUMIFS(Quarterly!D:D,Quarterly!B:B,"&gt;="&amp;A1047-88,Quarterly!B:B,"&lt;="&amp;A1047),SUMIFS(Quarterly!D:D,Quarterly!B:B,"&gt;="&amp;A1047-92,Quarterly!B:B,"&lt;="&amp;A1047)))</f>
        <v>485.68099999999998</v>
      </c>
      <c r="N1047" s="13">
        <f t="shared" ref="N1047:N1110" si="396">ROUND(L1047/M1047,4)*0.1</f>
        <v>0.22431000000000001</v>
      </c>
      <c r="O1047">
        <f t="shared" si="384"/>
        <v>1089.45</v>
      </c>
      <c r="P1047" s="56">
        <f>VLOOKUP(EOMONTH(A1047,-1),Economic!A:I,7,FALSE)</f>
        <v>741485</v>
      </c>
      <c r="Q1047" s="13">
        <f t="shared" si="385"/>
        <v>0.1469</v>
      </c>
      <c r="R1047" s="41">
        <v>0.06</v>
      </c>
      <c r="S1047">
        <f t="shared" si="386"/>
        <v>0.39</v>
      </c>
      <c r="T1047" s="30">
        <f t="shared" si="387"/>
        <v>25.49</v>
      </c>
      <c r="U1047" s="30">
        <f t="shared" si="394"/>
        <v>21.5</v>
      </c>
    </row>
    <row r="1048" spans="1:21" ht="15" customHeight="1" x14ac:dyDescent="0.25">
      <c r="A1048" s="5">
        <v>36009</v>
      </c>
      <c r="B1048" s="5">
        <f t="shared" si="388"/>
        <v>36038</v>
      </c>
      <c r="C1048">
        <v>1120.67</v>
      </c>
      <c r="D1048" s="29">
        <f t="shared" si="389"/>
        <v>-3.3599999999999998E-2</v>
      </c>
      <c r="E1048" s="39">
        <f t="shared" si="390"/>
        <v>1124.8984615384613</v>
      </c>
      <c r="F1048" s="39">
        <f t="shared" si="391"/>
        <v>1052.3217948717945</v>
      </c>
      <c r="G1048" s="29">
        <f t="shared" si="383"/>
        <v>-3.8E-3</v>
      </c>
      <c r="H1048" s="29">
        <f t="shared" si="383"/>
        <v>6.4899999999999999E-2</v>
      </c>
      <c r="I1048">
        <f t="shared" si="392"/>
        <v>1120.67</v>
      </c>
      <c r="J1048">
        <f>IF(A1048&gt;=Quarterly!B$2,Quarterly!C$2,IF(COUNTIFS(Quarterly!B:B,"&gt;="&amp;A1048-92,Quarterly!B:B,"&lt;="&amp;A1048)&gt;1,SUMIFS(Quarterly!C:C,Quarterly!B:B,"&gt;="&amp;A1048-88,Quarterly!B:B,"&lt;="&amp;A1048),SUMIFS(Quarterly!C:C,Quarterly!B:B,"&gt;="&amp;A1048-92,Quarterly!B:B,"&lt;="&amp;A1048)))</f>
        <v>8994.7000000000007</v>
      </c>
      <c r="K1048" s="13">
        <f t="shared" si="393"/>
        <v>0.1246</v>
      </c>
      <c r="L1048">
        <f t="shared" si="395"/>
        <v>1120.67</v>
      </c>
      <c r="M1048">
        <f>IF(A1048&gt;=Quarterly!B$2,Quarterly!D$2,IF(COUNTIFS(Quarterly!B:B,"&gt;="&amp;A1048-92,Quarterly!B:B,"&lt;="&amp;A1048)&gt;1,SUMIFS(Quarterly!D:D,Quarterly!B:B,"&gt;="&amp;A1048-88,Quarterly!B:B,"&lt;="&amp;A1048),SUMIFS(Quarterly!D:D,Quarterly!B:B,"&gt;="&amp;A1048-92,Quarterly!B:B,"&lt;="&amp;A1048)))</f>
        <v>485.68099999999998</v>
      </c>
      <c r="N1048" s="13">
        <f t="shared" si="396"/>
        <v>0.23074</v>
      </c>
      <c r="O1048">
        <f t="shared" si="384"/>
        <v>1120.67</v>
      </c>
      <c r="P1048" s="56">
        <f>VLOOKUP(EOMONTH(A1048,-1),Economic!A:I,7,FALSE)</f>
        <v>741485</v>
      </c>
      <c r="Q1048" s="13">
        <f t="shared" si="385"/>
        <v>0.15109999999999998</v>
      </c>
      <c r="R1048" s="41">
        <v>0.01</v>
      </c>
      <c r="S1048">
        <f t="shared" si="386"/>
        <v>0.45</v>
      </c>
      <c r="T1048" s="30">
        <f t="shared" si="387"/>
        <v>22.06</v>
      </c>
      <c r="U1048" s="30">
        <f t="shared" si="394"/>
        <v>15.64</v>
      </c>
    </row>
    <row r="1049" spans="1:21" ht="15" customHeight="1" x14ac:dyDescent="0.25">
      <c r="A1049" s="5">
        <v>36002</v>
      </c>
      <c r="B1049" s="5">
        <f t="shared" si="388"/>
        <v>36007</v>
      </c>
      <c r="C1049">
        <v>1140.8</v>
      </c>
      <c r="D1049" s="29">
        <f t="shared" si="389"/>
        <v>-1.46E-2</v>
      </c>
      <c r="E1049" s="39">
        <f t="shared" si="390"/>
        <v>1124.9238461538459</v>
      </c>
      <c r="F1049" s="39">
        <f t="shared" si="391"/>
        <v>1047.0384615384614</v>
      </c>
      <c r="G1049" s="29">
        <f t="shared" si="383"/>
        <v>1.41E-2</v>
      </c>
      <c r="H1049" s="29">
        <f t="shared" si="383"/>
        <v>8.9499999999999996E-2</v>
      </c>
      <c r="I1049">
        <f t="shared" si="392"/>
        <v>1140.8</v>
      </c>
      <c r="J1049">
        <f>IF(A1049&gt;=Quarterly!B$2,Quarterly!C$2,IF(COUNTIFS(Quarterly!B:B,"&gt;="&amp;A1049-92,Quarterly!B:B,"&lt;="&amp;A1049)&gt;1,SUMIFS(Quarterly!C:C,Quarterly!B:B,"&gt;="&amp;A1049-88,Quarterly!B:B,"&lt;="&amp;A1049),SUMIFS(Quarterly!C:C,Quarterly!B:B,"&gt;="&amp;A1049-92,Quarterly!B:B,"&lt;="&amp;A1049)))</f>
        <v>8889.7000000000007</v>
      </c>
      <c r="K1049" s="13">
        <f t="shared" si="393"/>
        <v>0.1283</v>
      </c>
      <c r="L1049">
        <f t="shared" si="395"/>
        <v>1140.8</v>
      </c>
      <c r="M1049">
        <f>IF(A1049&gt;=Quarterly!B$2,Quarterly!D$2,IF(COUNTIFS(Quarterly!B:B,"&gt;="&amp;A1049-92,Quarterly!B:B,"&lt;="&amp;A1049)&gt;1,SUMIFS(Quarterly!D:D,Quarterly!B:B,"&gt;="&amp;A1049-88,Quarterly!B:B,"&lt;="&amp;A1049),SUMIFS(Quarterly!D:D,Quarterly!B:B,"&gt;="&amp;A1049-92,Quarterly!B:B,"&lt;="&amp;A1049)))</f>
        <v>488.24099999999999</v>
      </c>
      <c r="N1049" s="13">
        <f t="shared" si="396"/>
        <v>0.23365999999999998</v>
      </c>
      <c r="O1049">
        <f t="shared" si="384"/>
        <v>1140.8</v>
      </c>
      <c r="P1049" s="56">
        <f>VLOOKUP(EOMONTH(A1049,-1),Economic!A:I,7,FALSE)</f>
        <v>740601</v>
      </c>
      <c r="Q1049" s="13">
        <f t="shared" si="385"/>
        <v>0.154</v>
      </c>
      <c r="R1049" s="41">
        <v>-0.03</v>
      </c>
      <c r="S1049">
        <f t="shared" si="386"/>
        <v>0.49</v>
      </c>
      <c r="T1049" s="30">
        <f t="shared" si="387"/>
        <v>16.940000000000001</v>
      </c>
      <c r="U1049" s="30">
        <f t="shared" si="394"/>
        <v>12.38</v>
      </c>
    </row>
    <row r="1050" spans="1:21" ht="15" customHeight="1" x14ac:dyDescent="0.25">
      <c r="A1050" s="5">
        <v>35995</v>
      </c>
      <c r="B1050" s="5">
        <f t="shared" si="388"/>
        <v>36007</v>
      </c>
      <c r="C1050">
        <v>1186.75</v>
      </c>
      <c r="D1050" s="29">
        <f t="shared" si="389"/>
        <v>4.4499999999999998E-2</v>
      </c>
      <c r="E1050" s="39">
        <f t="shared" si="390"/>
        <v>1122.3930769230769</v>
      </c>
      <c r="F1050" s="39">
        <f t="shared" si="391"/>
        <v>1041.9317948717949</v>
      </c>
      <c r="G1050" s="29">
        <f t="shared" si="383"/>
        <v>5.7299999999999997E-2</v>
      </c>
      <c r="H1050" s="29">
        <f t="shared" si="383"/>
        <v>0.13900000000000001</v>
      </c>
      <c r="I1050">
        <f t="shared" si="392"/>
        <v>1186.75</v>
      </c>
      <c r="J1050">
        <f>IF(A1050&gt;=Quarterly!B$2,Quarterly!C$2,IF(COUNTIFS(Quarterly!B:B,"&gt;="&amp;A1050-92,Quarterly!B:B,"&lt;="&amp;A1050)&gt;1,SUMIFS(Quarterly!C:C,Quarterly!B:B,"&gt;="&amp;A1050-88,Quarterly!B:B,"&lt;="&amp;A1050),SUMIFS(Quarterly!C:C,Quarterly!B:B,"&gt;="&amp;A1050-92,Quarterly!B:B,"&lt;="&amp;A1050)))</f>
        <v>8889.7000000000007</v>
      </c>
      <c r="K1050" s="13">
        <f t="shared" si="393"/>
        <v>0.13350000000000001</v>
      </c>
      <c r="L1050">
        <f t="shared" si="395"/>
        <v>1186.75</v>
      </c>
      <c r="M1050">
        <f>IF(A1050&gt;=Quarterly!B$2,Quarterly!D$2,IF(COUNTIFS(Quarterly!B:B,"&gt;="&amp;A1050-92,Quarterly!B:B,"&lt;="&amp;A1050)&gt;1,SUMIFS(Quarterly!D:D,Quarterly!B:B,"&gt;="&amp;A1050-88,Quarterly!B:B,"&lt;="&amp;A1050),SUMIFS(Quarterly!D:D,Quarterly!B:B,"&gt;="&amp;A1050-92,Quarterly!B:B,"&lt;="&amp;A1050)))</f>
        <v>488.24099999999999</v>
      </c>
      <c r="N1050" s="13">
        <f t="shared" si="396"/>
        <v>0.24307000000000001</v>
      </c>
      <c r="O1050">
        <f t="shared" si="384"/>
        <v>1186.75</v>
      </c>
      <c r="P1050" s="56">
        <f>VLOOKUP(EOMONTH(A1050,-1),Economic!A:I,7,FALSE)</f>
        <v>740601</v>
      </c>
      <c r="Q1050" s="13">
        <f t="shared" si="385"/>
        <v>0.16019999999999998</v>
      </c>
      <c r="R1050" s="41">
        <v>0.05</v>
      </c>
      <c r="S1050">
        <f t="shared" si="386"/>
        <v>0.42</v>
      </c>
      <c r="T1050" s="30">
        <f t="shared" si="387"/>
        <v>7.91</v>
      </c>
      <c r="U1050" s="30">
        <f t="shared" si="394"/>
        <v>11.83</v>
      </c>
    </row>
    <row r="1051" spans="1:21" ht="15" customHeight="1" x14ac:dyDescent="0.25">
      <c r="A1051" s="5">
        <v>35988</v>
      </c>
      <c r="B1051" s="5">
        <f t="shared" si="388"/>
        <v>36007</v>
      </c>
      <c r="C1051">
        <v>1164.33</v>
      </c>
      <c r="D1051" s="29">
        <f t="shared" si="389"/>
        <v>3.9800000000000002E-2</v>
      </c>
      <c r="E1051" s="39">
        <f t="shared" si="390"/>
        <v>1117.4676923076922</v>
      </c>
      <c r="F1051" s="39">
        <f t="shared" si="391"/>
        <v>1035.7115384615383</v>
      </c>
      <c r="G1051" s="29">
        <f t="shared" si="383"/>
        <v>4.19E-2</v>
      </c>
      <c r="H1051" s="29">
        <f t="shared" si="383"/>
        <v>0.1242</v>
      </c>
      <c r="I1051">
        <f t="shared" si="392"/>
        <v>1164.33</v>
      </c>
      <c r="J1051">
        <f>IF(A1051&gt;=Quarterly!B$2,Quarterly!C$2,IF(COUNTIFS(Quarterly!B:B,"&gt;="&amp;A1051-92,Quarterly!B:B,"&lt;="&amp;A1051)&gt;1,SUMIFS(Quarterly!C:C,Quarterly!B:B,"&gt;="&amp;A1051-88,Quarterly!B:B,"&lt;="&amp;A1051),SUMIFS(Quarterly!C:C,Quarterly!B:B,"&gt;="&amp;A1051-92,Quarterly!B:B,"&lt;="&amp;A1051)))</f>
        <v>8889.7000000000007</v>
      </c>
      <c r="K1051" s="13">
        <f t="shared" si="393"/>
        <v>0.13100000000000001</v>
      </c>
      <c r="L1051">
        <f t="shared" si="395"/>
        <v>1164.33</v>
      </c>
      <c r="M1051">
        <f>IF(A1051&gt;=Quarterly!B$2,Quarterly!D$2,IF(COUNTIFS(Quarterly!B:B,"&gt;="&amp;A1051-92,Quarterly!B:B,"&lt;="&amp;A1051)&gt;1,SUMIFS(Quarterly!D:D,Quarterly!B:B,"&gt;="&amp;A1051-88,Quarterly!B:B,"&lt;="&amp;A1051),SUMIFS(Quarterly!D:D,Quarterly!B:B,"&gt;="&amp;A1051-92,Quarterly!B:B,"&lt;="&amp;A1051)))</f>
        <v>488.24099999999999</v>
      </c>
      <c r="N1051" s="13">
        <f t="shared" si="396"/>
        <v>0.23847000000000002</v>
      </c>
      <c r="O1051">
        <f t="shared" si="384"/>
        <v>1164.33</v>
      </c>
      <c r="P1051" s="56">
        <f>VLOOKUP(EOMONTH(A1051,-1),Economic!A:I,7,FALSE)</f>
        <v>740601</v>
      </c>
      <c r="Q1051" s="13">
        <f t="shared" si="385"/>
        <v>0.15720000000000001</v>
      </c>
      <c r="R1051" s="41">
        <v>0.01</v>
      </c>
      <c r="S1051">
        <f t="shared" si="386"/>
        <v>0.43</v>
      </c>
      <c r="T1051" s="30">
        <f t="shared" si="387"/>
        <v>12.3</v>
      </c>
      <c r="U1051" s="30">
        <f t="shared" si="394"/>
        <v>14.74</v>
      </c>
    </row>
    <row r="1052" spans="1:21" ht="15" customHeight="1" x14ac:dyDescent="0.25">
      <c r="A1052" s="5">
        <v>35981</v>
      </c>
      <c r="B1052" s="5">
        <f t="shared" si="388"/>
        <v>36007</v>
      </c>
      <c r="C1052">
        <v>1146.42</v>
      </c>
      <c r="D1052" s="29">
        <f t="shared" si="389"/>
        <v>3.1300000000000001E-2</v>
      </c>
      <c r="E1052" s="39">
        <f t="shared" si="390"/>
        <v>1113.3399999999999</v>
      </c>
      <c r="F1052" s="39">
        <f t="shared" si="391"/>
        <v>1030.6512820512819</v>
      </c>
      <c r="G1052" s="29">
        <f t="shared" si="383"/>
        <v>2.9700000000000001E-2</v>
      </c>
      <c r="H1052" s="29">
        <f t="shared" si="383"/>
        <v>0.1123</v>
      </c>
      <c r="I1052">
        <f t="shared" si="392"/>
        <v>1146.42</v>
      </c>
      <c r="J1052">
        <f>IF(A1052&gt;=Quarterly!B$2,Quarterly!C$2,IF(COUNTIFS(Quarterly!B:B,"&gt;="&amp;A1052-92,Quarterly!B:B,"&lt;="&amp;A1052)&gt;1,SUMIFS(Quarterly!C:C,Quarterly!B:B,"&gt;="&amp;A1052-88,Quarterly!B:B,"&lt;="&amp;A1052),SUMIFS(Quarterly!C:C,Quarterly!B:B,"&gt;="&amp;A1052-92,Quarterly!B:B,"&lt;="&amp;A1052)))</f>
        <v>8889.7000000000007</v>
      </c>
      <c r="K1052" s="13">
        <f t="shared" si="393"/>
        <v>0.129</v>
      </c>
      <c r="L1052">
        <f t="shared" si="395"/>
        <v>1146.42</v>
      </c>
      <c r="M1052">
        <f>IF(A1052&gt;=Quarterly!B$2,Quarterly!D$2,IF(COUNTIFS(Quarterly!B:B,"&gt;="&amp;A1052-92,Quarterly!B:B,"&lt;="&amp;A1052)&gt;1,SUMIFS(Quarterly!D:D,Quarterly!B:B,"&gt;="&amp;A1052-88,Quarterly!B:B,"&lt;="&amp;A1052),SUMIFS(Quarterly!D:D,Quarterly!B:B,"&gt;="&amp;A1052-92,Quarterly!B:B,"&lt;="&amp;A1052)))</f>
        <v>488.24099999999999</v>
      </c>
      <c r="N1052" s="13">
        <f t="shared" si="396"/>
        <v>0.23481000000000002</v>
      </c>
      <c r="O1052">
        <f t="shared" si="384"/>
        <v>1146.42</v>
      </c>
      <c r="P1052" s="56">
        <f>VLOOKUP(EOMONTH(A1052,-1),Economic!A:I,7,FALSE)</f>
        <v>740601</v>
      </c>
      <c r="Q1052" s="13">
        <f t="shared" si="385"/>
        <v>0.15479999999999999</v>
      </c>
      <c r="R1052" s="41">
        <v>-0.02</v>
      </c>
      <c r="S1052">
        <f t="shared" si="386"/>
        <v>0.42</v>
      </c>
      <c r="T1052" s="30">
        <f t="shared" si="387"/>
        <v>15.27</v>
      </c>
      <c r="U1052" s="30">
        <f t="shared" si="394"/>
        <v>18.170000000000002</v>
      </c>
    </row>
    <row r="1053" spans="1:21" ht="15" customHeight="1" x14ac:dyDescent="0.25">
      <c r="A1053" s="5">
        <v>35974</v>
      </c>
      <c r="B1053" s="5">
        <f t="shared" si="388"/>
        <v>35976</v>
      </c>
      <c r="C1053">
        <v>1133.2</v>
      </c>
      <c r="D1053" s="29">
        <f t="shared" si="389"/>
        <v>2.92E-2</v>
      </c>
      <c r="E1053" s="39">
        <f t="shared" si="390"/>
        <v>1111.5153846153846</v>
      </c>
      <c r="F1053" s="39">
        <f t="shared" si="391"/>
        <v>1026.0002564102565</v>
      </c>
      <c r="G1053" s="29">
        <f t="shared" si="383"/>
        <v>1.95E-2</v>
      </c>
      <c r="H1053" s="29">
        <f t="shared" si="383"/>
        <v>0.1045</v>
      </c>
      <c r="I1053">
        <f t="shared" si="392"/>
        <v>1133.2</v>
      </c>
      <c r="J1053">
        <f>IF(A1053&gt;=Quarterly!B$2,Quarterly!C$2,IF(COUNTIFS(Quarterly!B:B,"&gt;="&amp;A1053-92,Quarterly!B:B,"&lt;="&amp;A1053)&gt;1,SUMIFS(Quarterly!C:C,Quarterly!B:B,"&gt;="&amp;A1053-88,Quarterly!B:B,"&lt;="&amp;A1053),SUMIFS(Quarterly!C:C,Quarterly!B:B,"&gt;="&amp;A1053-92,Quarterly!B:B,"&lt;="&amp;A1053)))</f>
        <v>8889.7000000000007</v>
      </c>
      <c r="K1053" s="13">
        <f t="shared" si="393"/>
        <v>0.1275</v>
      </c>
      <c r="L1053">
        <f t="shared" si="395"/>
        <v>1133.2</v>
      </c>
      <c r="M1053">
        <f>IF(A1053&gt;=Quarterly!B$2,Quarterly!D$2,IF(COUNTIFS(Quarterly!B:B,"&gt;="&amp;A1053-92,Quarterly!B:B,"&lt;="&amp;A1053)&gt;1,SUMIFS(Quarterly!D:D,Quarterly!B:B,"&gt;="&amp;A1053-88,Quarterly!B:B,"&lt;="&amp;A1053),SUMIFS(Quarterly!D:D,Quarterly!B:B,"&gt;="&amp;A1053-92,Quarterly!B:B,"&lt;="&amp;A1053)))</f>
        <v>488.24099999999999</v>
      </c>
      <c r="N1053" s="13">
        <f t="shared" si="396"/>
        <v>0.23210000000000003</v>
      </c>
      <c r="O1053">
        <f t="shared" si="384"/>
        <v>1133.2</v>
      </c>
      <c r="P1053" s="56">
        <f>VLOOKUP(EOMONTH(A1053,-1),Economic!A:I,7,FALSE)</f>
        <v>737879</v>
      </c>
      <c r="Q1053" s="13">
        <f t="shared" si="385"/>
        <v>0.15360000000000001</v>
      </c>
      <c r="R1053" s="41">
        <v>-0.05</v>
      </c>
      <c r="S1053">
        <f t="shared" si="386"/>
        <v>0.4</v>
      </c>
      <c r="T1053" s="30">
        <f t="shared" si="387"/>
        <v>16.66</v>
      </c>
      <c r="U1053" s="30">
        <f t="shared" si="394"/>
        <v>20.91</v>
      </c>
    </row>
    <row r="1054" spans="1:21" ht="15" customHeight="1" x14ac:dyDescent="0.25">
      <c r="A1054" s="5">
        <v>35967</v>
      </c>
      <c r="B1054" s="5">
        <f t="shared" si="388"/>
        <v>35976</v>
      </c>
      <c r="C1054">
        <v>1100.6500000000001</v>
      </c>
      <c r="D1054" s="29">
        <f t="shared" si="389"/>
        <v>-2.5999999999999999E-3</v>
      </c>
      <c r="E1054" s="39">
        <f t="shared" si="390"/>
        <v>1108.6107692307692</v>
      </c>
      <c r="F1054" s="39">
        <f t="shared" si="391"/>
        <v>1021.1802564102566</v>
      </c>
      <c r="G1054" s="29">
        <f t="shared" si="383"/>
        <v>-7.1999999999999998E-3</v>
      </c>
      <c r="H1054" s="29">
        <f t="shared" si="383"/>
        <v>7.7799999999999994E-2</v>
      </c>
      <c r="I1054">
        <f t="shared" si="392"/>
        <v>1100.6500000000001</v>
      </c>
      <c r="J1054">
        <f>IF(A1054&gt;=Quarterly!B$2,Quarterly!C$2,IF(COUNTIFS(Quarterly!B:B,"&gt;="&amp;A1054-92,Quarterly!B:B,"&lt;="&amp;A1054)&gt;1,SUMIFS(Quarterly!C:C,Quarterly!B:B,"&gt;="&amp;A1054-88,Quarterly!B:B,"&lt;="&amp;A1054),SUMIFS(Quarterly!C:C,Quarterly!B:B,"&gt;="&amp;A1054-92,Quarterly!B:B,"&lt;="&amp;A1054)))</f>
        <v>8889.7000000000007</v>
      </c>
      <c r="K1054" s="13">
        <f t="shared" si="393"/>
        <v>0.12379999999999999</v>
      </c>
      <c r="L1054">
        <f t="shared" si="395"/>
        <v>1100.6500000000001</v>
      </c>
      <c r="M1054">
        <f>IF(A1054&gt;=Quarterly!B$2,Quarterly!D$2,IF(COUNTIFS(Quarterly!B:B,"&gt;="&amp;A1054-92,Quarterly!B:B,"&lt;="&amp;A1054)&gt;1,SUMIFS(Quarterly!D:D,Quarterly!B:B,"&gt;="&amp;A1054-88,Quarterly!B:B,"&lt;="&amp;A1054),SUMIFS(Quarterly!D:D,Quarterly!B:B,"&gt;="&amp;A1054-92,Quarterly!B:B,"&lt;="&amp;A1054)))</f>
        <v>488.24099999999999</v>
      </c>
      <c r="N1054" s="13">
        <f t="shared" si="396"/>
        <v>0.22543000000000002</v>
      </c>
      <c r="O1054">
        <f t="shared" si="384"/>
        <v>1100.6500000000001</v>
      </c>
      <c r="P1054" s="56">
        <f>VLOOKUP(EOMONTH(A1054,-1),Economic!A:I,7,FALSE)</f>
        <v>737879</v>
      </c>
      <c r="Q1054" s="13">
        <f t="shared" si="385"/>
        <v>0.1492</v>
      </c>
      <c r="R1054" s="41">
        <v>-0.05</v>
      </c>
      <c r="S1054">
        <f t="shared" si="386"/>
        <v>0.42</v>
      </c>
      <c r="T1054" s="30">
        <f t="shared" si="387"/>
        <v>22.57</v>
      </c>
      <c r="U1054" s="30">
        <f t="shared" si="394"/>
        <v>22.83</v>
      </c>
    </row>
    <row r="1055" spans="1:21" ht="15" customHeight="1" x14ac:dyDescent="0.25">
      <c r="A1055" s="5">
        <v>35960</v>
      </c>
      <c r="B1055" s="5">
        <f t="shared" si="388"/>
        <v>35976</v>
      </c>
      <c r="C1055">
        <v>1098.8399999999999</v>
      </c>
      <c r="D1055" s="29">
        <f t="shared" si="389"/>
        <v>-6.4000000000000003E-3</v>
      </c>
      <c r="E1055" s="39">
        <f t="shared" si="390"/>
        <v>1108.4961538461539</v>
      </c>
      <c r="F1055" s="39">
        <f t="shared" si="391"/>
        <v>1017.330512820513</v>
      </c>
      <c r="G1055" s="29">
        <f t="shared" si="383"/>
        <v>-8.6999999999999994E-3</v>
      </c>
      <c r="H1055" s="29">
        <f t="shared" si="383"/>
        <v>8.0100000000000005E-2</v>
      </c>
      <c r="I1055">
        <f t="shared" si="392"/>
        <v>1098.8399999999999</v>
      </c>
      <c r="J1055">
        <f>IF(A1055&gt;=Quarterly!B$2,Quarterly!C$2,IF(COUNTIFS(Quarterly!B:B,"&gt;="&amp;A1055-92,Quarterly!B:B,"&lt;="&amp;A1055)&gt;1,SUMIFS(Quarterly!C:C,Quarterly!B:B,"&gt;="&amp;A1055-88,Quarterly!B:B,"&lt;="&amp;A1055),SUMIFS(Quarterly!C:C,Quarterly!B:B,"&gt;="&amp;A1055-92,Quarterly!B:B,"&lt;="&amp;A1055)))</f>
        <v>8889.7000000000007</v>
      </c>
      <c r="K1055" s="13">
        <f t="shared" si="393"/>
        <v>0.1236</v>
      </c>
      <c r="L1055">
        <f t="shared" si="395"/>
        <v>1098.8399999999999</v>
      </c>
      <c r="M1055">
        <f>IF(A1055&gt;=Quarterly!B$2,Quarterly!D$2,IF(COUNTIFS(Quarterly!B:B,"&gt;="&amp;A1055-92,Quarterly!B:B,"&lt;="&amp;A1055)&gt;1,SUMIFS(Quarterly!D:D,Quarterly!B:B,"&gt;="&amp;A1055-88,Quarterly!B:B,"&lt;="&amp;A1055),SUMIFS(Quarterly!D:D,Quarterly!B:B,"&gt;="&amp;A1055-92,Quarterly!B:B,"&lt;="&amp;A1055)))</f>
        <v>488.24099999999999</v>
      </c>
      <c r="N1055" s="13">
        <f t="shared" si="396"/>
        <v>0.22506000000000001</v>
      </c>
      <c r="O1055">
        <f t="shared" si="384"/>
        <v>1098.8399999999999</v>
      </c>
      <c r="P1055" s="56">
        <f>VLOOKUP(EOMONTH(A1055,-1),Economic!A:I,7,FALSE)</f>
        <v>737879</v>
      </c>
      <c r="Q1055" s="13">
        <f t="shared" si="385"/>
        <v>0.1489</v>
      </c>
      <c r="R1055" s="41">
        <v>0</v>
      </c>
      <c r="S1055">
        <f t="shared" si="386"/>
        <v>0.45</v>
      </c>
      <c r="T1055" s="30">
        <f t="shared" si="387"/>
        <v>23.5</v>
      </c>
      <c r="U1055" s="30">
        <f t="shared" si="394"/>
        <v>23.82</v>
      </c>
    </row>
    <row r="1056" spans="1:21" ht="15" customHeight="1" x14ac:dyDescent="0.25">
      <c r="A1056" s="5">
        <v>35953</v>
      </c>
      <c r="B1056" s="5">
        <f t="shared" si="388"/>
        <v>35976</v>
      </c>
      <c r="C1056">
        <v>1113.8599999999999</v>
      </c>
      <c r="D1056" s="29">
        <f t="shared" si="389"/>
        <v>8.3999999999999995E-3</v>
      </c>
      <c r="E1056" s="39">
        <f t="shared" si="390"/>
        <v>1106.1707692307693</v>
      </c>
      <c r="F1056" s="39">
        <f t="shared" si="391"/>
        <v>1012.8451282051284</v>
      </c>
      <c r="G1056" s="29">
        <f t="shared" si="383"/>
        <v>7.0000000000000001E-3</v>
      </c>
      <c r="H1056" s="29">
        <f t="shared" si="383"/>
        <v>9.9699999999999997E-2</v>
      </c>
      <c r="I1056">
        <f t="shared" si="392"/>
        <v>1113.8599999999999</v>
      </c>
      <c r="J1056">
        <f>IF(A1056&gt;=Quarterly!B$2,Quarterly!C$2,IF(COUNTIFS(Quarterly!B:B,"&gt;="&amp;A1056-92,Quarterly!B:B,"&lt;="&amp;A1056)&gt;1,SUMIFS(Quarterly!C:C,Quarterly!B:B,"&gt;="&amp;A1056-88,Quarterly!B:B,"&lt;="&amp;A1056),SUMIFS(Quarterly!C:C,Quarterly!B:B,"&gt;="&amp;A1056-92,Quarterly!B:B,"&lt;="&amp;A1056)))</f>
        <v>8889.7000000000007</v>
      </c>
      <c r="K1056" s="13">
        <f t="shared" si="393"/>
        <v>0.12529999999999999</v>
      </c>
      <c r="L1056">
        <f t="shared" si="395"/>
        <v>1113.8599999999999</v>
      </c>
      <c r="M1056">
        <f>IF(A1056&gt;=Quarterly!B$2,Quarterly!D$2,IF(COUNTIFS(Quarterly!B:B,"&gt;="&amp;A1056-92,Quarterly!B:B,"&lt;="&amp;A1056)&gt;1,SUMIFS(Quarterly!D:D,Quarterly!B:B,"&gt;="&amp;A1056-88,Quarterly!B:B,"&lt;="&amp;A1056),SUMIFS(Quarterly!D:D,Quarterly!B:B,"&gt;="&amp;A1056-92,Quarterly!B:B,"&lt;="&amp;A1056)))</f>
        <v>488.24099999999999</v>
      </c>
      <c r="N1056" s="13">
        <f t="shared" si="396"/>
        <v>0.22814000000000001</v>
      </c>
      <c r="O1056">
        <f t="shared" si="384"/>
        <v>1113.8599999999999</v>
      </c>
      <c r="P1056" s="56">
        <f>VLOOKUP(EOMONTH(A1056,-1),Economic!A:I,7,FALSE)</f>
        <v>737879</v>
      </c>
      <c r="Q1056" s="13">
        <f t="shared" si="385"/>
        <v>0.151</v>
      </c>
      <c r="R1056" s="41">
        <v>0</v>
      </c>
      <c r="S1056">
        <f t="shared" si="386"/>
        <v>0.48</v>
      </c>
      <c r="T1056" s="30">
        <f t="shared" si="387"/>
        <v>22.41</v>
      </c>
      <c r="U1056" s="30">
        <f t="shared" si="394"/>
        <v>23.68</v>
      </c>
    </row>
    <row r="1057" spans="1:21" ht="15" customHeight="1" x14ac:dyDescent="0.25">
      <c r="A1057" s="5">
        <v>35946</v>
      </c>
      <c r="B1057" s="5">
        <f t="shared" si="388"/>
        <v>35946</v>
      </c>
      <c r="C1057">
        <v>1090.82</v>
      </c>
      <c r="D1057" s="29">
        <f t="shared" si="389"/>
        <v>-1.9099999999999999E-2</v>
      </c>
      <c r="E1057" s="39">
        <f t="shared" si="390"/>
        <v>1101.6961538461542</v>
      </c>
      <c r="F1057" s="39">
        <f t="shared" si="391"/>
        <v>1008.1064102564105</v>
      </c>
      <c r="G1057" s="29">
        <f t="shared" si="383"/>
        <v>-9.9000000000000008E-3</v>
      </c>
      <c r="H1057" s="29">
        <f t="shared" si="383"/>
        <v>8.2000000000000003E-2</v>
      </c>
      <c r="I1057">
        <f t="shared" si="392"/>
        <v>1090.82</v>
      </c>
      <c r="J1057">
        <f>IF(A1057&gt;=Quarterly!B$2,Quarterly!C$2,IF(COUNTIFS(Quarterly!B:B,"&gt;="&amp;A1057-92,Quarterly!B:B,"&lt;="&amp;A1057)&gt;1,SUMIFS(Quarterly!C:C,Quarterly!B:B,"&gt;="&amp;A1057-88,Quarterly!B:B,"&lt;="&amp;A1057),SUMIFS(Quarterly!C:C,Quarterly!B:B,"&gt;="&amp;A1057-92,Quarterly!B:B,"&lt;="&amp;A1057)))</f>
        <v>8889.7000000000007</v>
      </c>
      <c r="K1057" s="13">
        <f t="shared" si="393"/>
        <v>0.1227</v>
      </c>
      <c r="L1057">
        <f t="shared" si="395"/>
        <v>1090.82</v>
      </c>
      <c r="M1057">
        <f>IF(A1057&gt;=Quarterly!B$2,Quarterly!D$2,IF(COUNTIFS(Quarterly!B:B,"&gt;="&amp;A1057-92,Quarterly!B:B,"&lt;="&amp;A1057)&gt;1,SUMIFS(Quarterly!D:D,Quarterly!B:B,"&gt;="&amp;A1057-88,Quarterly!B:B,"&lt;="&amp;A1057),SUMIFS(Quarterly!D:D,Quarterly!B:B,"&gt;="&amp;A1057-92,Quarterly!B:B,"&lt;="&amp;A1057)))</f>
        <v>488.24099999999999</v>
      </c>
      <c r="N1057" s="13">
        <f t="shared" si="396"/>
        <v>0.22342000000000001</v>
      </c>
      <c r="O1057">
        <f t="shared" si="384"/>
        <v>1090.82</v>
      </c>
      <c r="P1057" s="56">
        <f>VLOOKUP(EOMONTH(A1057,-1),Economic!A:I,7,FALSE)</f>
        <v>735303</v>
      </c>
      <c r="Q1057" s="13">
        <f t="shared" si="385"/>
        <v>0.14829999999999999</v>
      </c>
      <c r="R1057" s="41">
        <v>0.03</v>
      </c>
      <c r="S1057">
        <f t="shared" si="386"/>
        <v>0.45</v>
      </c>
      <c r="T1057" s="30">
        <f t="shared" si="387"/>
        <v>25.56</v>
      </c>
      <c r="U1057" s="30">
        <f t="shared" si="394"/>
        <v>25.2</v>
      </c>
    </row>
    <row r="1058" spans="1:21" ht="15" customHeight="1" x14ac:dyDescent="0.25">
      <c r="A1058" s="5">
        <v>35939</v>
      </c>
      <c r="B1058" s="5">
        <f t="shared" si="388"/>
        <v>35946</v>
      </c>
      <c r="C1058">
        <v>1110.47</v>
      </c>
      <c r="D1058" s="29">
        <f t="shared" si="389"/>
        <v>-8.9999999999999998E-4</v>
      </c>
      <c r="E1058" s="39">
        <f t="shared" si="390"/>
        <v>1098.5053846153846</v>
      </c>
      <c r="F1058" s="39">
        <f t="shared" si="391"/>
        <v>1003.2</v>
      </c>
      <c r="G1058" s="29">
        <f t="shared" si="383"/>
        <v>1.09E-2</v>
      </c>
      <c r="H1058" s="29">
        <f t="shared" si="383"/>
        <v>0.1069</v>
      </c>
      <c r="I1058">
        <f t="shared" si="392"/>
        <v>1110.47</v>
      </c>
      <c r="J1058">
        <f>IF(A1058&gt;=Quarterly!B$2,Quarterly!C$2,IF(COUNTIFS(Quarterly!B:B,"&gt;="&amp;A1058-92,Quarterly!B:B,"&lt;="&amp;A1058)&gt;1,SUMIFS(Quarterly!C:C,Quarterly!B:B,"&gt;="&amp;A1058-88,Quarterly!B:B,"&lt;="&amp;A1058),SUMIFS(Quarterly!C:C,Quarterly!B:B,"&gt;="&amp;A1058-92,Quarterly!B:B,"&lt;="&amp;A1058)))</f>
        <v>8889.7000000000007</v>
      </c>
      <c r="K1058" s="13">
        <f t="shared" si="393"/>
        <v>0.1249</v>
      </c>
      <c r="L1058">
        <f t="shared" si="395"/>
        <v>1110.47</v>
      </c>
      <c r="M1058">
        <f>IF(A1058&gt;=Quarterly!B$2,Quarterly!D$2,IF(COUNTIFS(Quarterly!B:B,"&gt;="&amp;A1058-92,Quarterly!B:B,"&lt;="&amp;A1058)&gt;1,SUMIFS(Quarterly!D:D,Quarterly!B:B,"&gt;="&amp;A1058-88,Quarterly!B:B,"&lt;="&amp;A1058),SUMIFS(Quarterly!D:D,Quarterly!B:B,"&gt;="&amp;A1058-92,Quarterly!B:B,"&lt;="&amp;A1058)))</f>
        <v>488.24099999999999</v>
      </c>
      <c r="N1058" s="13">
        <f t="shared" si="396"/>
        <v>0.22744</v>
      </c>
      <c r="O1058">
        <f t="shared" si="384"/>
        <v>1110.47</v>
      </c>
      <c r="P1058" s="56">
        <f>VLOOKUP(EOMONTH(A1058,-1),Economic!A:I,7,FALSE)</f>
        <v>735303</v>
      </c>
      <c r="Q1058" s="13">
        <f t="shared" si="385"/>
        <v>0.151</v>
      </c>
      <c r="R1058" s="41">
        <v>0.01</v>
      </c>
      <c r="S1058">
        <f t="shared" si="386"/>
        <v>0.45</v>
      </c>
      <c r="T1058" s="30">
        <f t="shared" si="387"/>
        <v>23.06</v>
      </c>
      <c r="U1058" s="30">
        <f t="shared" si="394"/>
        <v>25.45</v>
      </c>
    </row>
    <row r="1059" spans="1:21" ht="15" customHeight="1" x14ac:dyDescent="0.25">
      <c r="A1059" s="5">
        <v>35932</v>
      </c>
      <c r="B1059" s="5">
        <f t="shared" si="388"/>
        <v>35946</v>
      </c>
      <c r="C1059">
        <v>1108.73</v>
      </c>
      <c r="D1059" s="29">
        <f t="shared" si="389"/>
        <v>-5.5999999999999999E-3</v>
      </c>
      <c r="E1059" s="39">
        <f t="shared" si="390"/>
        <v>1092.6392307692308</v>
      </c>
      <c r="F1059" s="39">
        <f t="shared" si="391"/>
        <v>998.40692307692314</v>
      </c>
      <c r="G1059" s="29">
        <f t="shared" si="383"/>
        <v>1.47E-2</v>
      </c>
      <c r="H1059" s="29">
        <f t="shared" si="383"/>
        <v>0.1105</v>
      </c>
      <c r="I1059">
        <f t="shared" si="392"/>
        <v>1108.73</v>
      </c>
      <c r="J1059">
        <f>IF(A1059&gt;=Quarterly!B$2,Quarterly!C$2,IF(COUNTIFS(Quarterly!B:B,"&gt;="&amp;A1059-92,Quarterly!B:B,"&lt;="&amp;A1059)&gt;1,SUMIFS(Quarterly!C:C,Quarterly!B:B,"&gt;="&amp;A1059-88,Quarterly!B:B,"&lt;="&amp;A1059),SUMIFS(Quarterly!C:C,Quarterly!B:B,"&gt;="&amp;A1059-92,Quarterly!B:B,"&lt;="&amp;A1059)))</f>
        <v>8889.7000000000007</v>
      </c>
      <c r="K1059" s="13">
        <f t="shared" si="393"/>
        <v>0.12470000000000001</v>
      </c>
      <c r="L1059">
        <f t="shared" si="395"/>
        <v>1108.73</v>
      </c>
      <c r="M1059">
        <f>IF(A1059&gt;=Quarterly!B$2,Quarterly!D$2,IF(COUNTIFS(Quarterly!B:B,"&gt;="&amp;A1059-92,Quarterly!B:B,"&lt;="&amp;A1059)&gt;1,SUMIFS(Quarterly!D:D,Quarterly!B:B,"&gt;="&amp;A1059-88,Quarterly!B:B,"&lt;="&amp;A1059),SUMIFS(Quarterly!D:D,Quarterly!B:B,"&gt;="&amp;A1059-92,Quarterly!B:B,"&lt;="&amp;A1059)))</f>
        <v>488.24099999999999</v>
      </c>
      <c r="N1059" s="13">
        <f t="shared" si="396"/>
        <v>0.22709000000000001</v>
      </c>
      <c r="O1059">
        <f t="shared" si="384"/>
        <v>1108.73</v>
      </c>
      <c r="P1059" s="56">
        <f>VLOOKUP(EOMONTH(A1059,-1),Economic!A:I,7,FALSE)</f>
        <v>735303</v>
      </c>
      <c r="Q1059" s="13">
        <f t="shared" si="385"/>
        <v>0.15079999999999999</v>
      </c>
      <c r="R1059" s="41">
        <v>0.05</v>
      </c>
      <c r="S1059">
        <f t="shared" si="386"/>
        <v>0.53</v>
      </c>
      <c r="T1059" s="30">
        <f t="shared" si="387"/>
        <v>26.97</v>
      </c>
      <c r="U1059" s="30">
        <f t="shared" si="394"/>
        <v>26.45</v>
      </c>
    </row>
    <row r="1060" spans="1:21" ht="15" customHeight="1" x14ac:dyDescent="0.25">
      <c r="A1060" s="5">
        <v>35925</v>
      </c>
      <c r="B1060" s="5">
        <f t="shared" si="388"/>
        <v>35946</v>
      </c>
      <c r="C1060">
        <v>1108.1400000000001</v>
      </c>
      <c r="D1060" s="29">
        <f t="shared" si="389"/>
        <v>-6.7000000000000002E-3</v>
      </c>
      <c r="E1060" s="39">
        <f t="shared" si="390"/>
        <v>1085.8207692307694</v>
      </c>
      <c r="F1060" s="39">
        <f t="shared" si="391"/>
        <v>993.07564102564095</v>
      </c>
      <c r="G1060" s="29">
        <f t="shared" si="383"/>
        <v>2.06E-2</v>
      </c>
      <c r="H1060" s="29">
        <f t="shared" si="383"/>
        <v>0.1159</v>
      </c>
      <c r="I1060">
        <f t="shared" si="392"/>
        <v>1108.1400000000001</v>
      </c>
      <c r="J1060">
        <f>IF(A1060&gt;=Quarterly!B$2,Quarterly!C$2,IF(COUNTIFS(Quarterly!B:B,"&gt;="&amp;A1060-92,Quarterly!B:B,"&lt;="&amp;A1060)&gt;1,SUMIFS(Quarterly!C:C,Quarterly!B:B,"&gt;="&amp;A1060-88,Quarterly!B:B,"&lt;="&amp;A1060),SUMIFS(Quarterly!C:C,Quarterly!B:B,"&gt;="&amp;A1060-92,Quarterly!B:B,"&lt;="&amp;A1060)))</f>
        <v>8889.7000000000007</v>
      </c>
      <c r="K1060" s="13">
        <f t="shared" si="393"/>
        <v>0.12470000000000001</v>
      </c>
      <c r="L1060">
        <f t="shared" si="395"/>
        <v>1108.1400000000001</v>
      </c>
      <c r="M1060">
        <f>IF(A1060&gt;=Quarterly!B$2,Quarterly!D$2,IF(COUNTIFS(Quarterly!B:B,"&gt;="&amp;A1060-92,Quarterly!B:B,"&lt;="&amp;A1060)&gt;1,SUMIFS(Quarterly!D:D,Quarterly!B:B,"&gt;="&amp;A1060-88,Quarterly!B:B,"&lt;="&amp;A1060),SUMIFS(Quarterly!D:D,Quarterly!B:B,"&gt;="&amp;A1060-92,Quarterly!B:B,"&lt;="&amp;A1060)))</f>
        <v>488.24099999999999</v>
      </c>
      <c r="N1060" s="13">
        <f t="shared" si="396"/>
        <v>0.22697000000000001</v>
      </c>
      <c r="O1060">
        <f t="shared" si="384"/>
        <v>1108.1400000000001</v>
      </c>
      <c r="P1060" s="56">
        <f>VLOOKUP(EOMONTH(A1060,-1),Economic!A:I,7,FALSE)</f>
        <v>735303</v>
      </c>
      <c r="Q1060" s="13">
        <f t="shared" si="385"/>
        <v>0.1507</v>
      </c>
      <c r="R1060" s="41">
        <v>0.1</v>
      </c>
      <c r="S1060">
        <f t="shared" si="386"/>
        <v>0.47</v>
      </c>
      <c r="T1060" s="30">
        <f t="shared" si="387"/>
        <v>26.31</v>
      </c>
      <c r="U1060" s="30">
        <f t="shared" si="394"/>
        <v>29.9</v>
      </c>
    </row>
    <row r="1061" spans="1:21" ht="15" customHeight="1" x14ac:dyDescent="0.25">
      <c r="A1061" s="5">
        <v>35918</v>
      </c>
      <c r="B1061" s="5">
        <f t="shared" si="388"/>
        <v>35946</v>
      </c>
      <c r="C1061">
        <v>1121</v>
      </c>
      <c r="D1061" s="29">
        <f t="shared" si="389"/>
        <v>4.4999999999999997E-3</v>
      </c>
      <c r="E1061" s="39">
        <f t="shared" si="390"/>
        <v>1078.4607692307693</v>
      </c>
      <c r="F1061" s="39">
        <f t="shared" si="391"/>
        <v>988.5987179487181</v>
      </c>
      <c r="G1061" s="29">
        <f t="shared" si="383"/>
        <v>3.9399999999999998E-2</v>
      </c>
      <c r="H1061" s="29">
        <f t="shared" si="383"/>
        <v>0.13389999999999999</v>
      </c>
      <c r="I1061">
        <f t="shared" si="392"/>
        <v>1121</v>
      </c>
      <c r="J1061">
        <f>IF(A1061&gt;=Quarterly!B$2,Quarterly!C$2,IF(COUNTIFS(Quarterly!B:B,"&gt;="&amp;A1061-92,Quarterly!B:B,"&lt;="&amp;A1061)&gt;1,SUMIFS(Quarterly!C:C,Quarterly!B:B,"&gt;="&amp;A1061-88,Quarterly!B:B,"&lt;="&amp;A1061),SUMIFS(Quarterly!C:C,Quarterly!B:B,"&gt;="&amp;A1061-92,Quarterly!B:B,"&lt;="&amp;A1061)))</f>
        <v>8889.7000000000007</v>
      </c>
      <c r="K1061" s="13">
        <f t="shared" si="393"/>
        <v>0.12609999999999999</v>
      </c>
      <c r="L1061">
        <f t="shared" si="395"/>
        <v>1121</v>
      </c>
      <c r="M1061">
        <f>IF(A1061&gt;=Quarterly!B$2,Quarterly!D$2,IF(COUNTIFS(Quarterly!B:B,"&gt;="&amp;A1061-92,Quarterly!B:B,"&lt;="&amp;A1061)&gt;1,SUMIFS(Quarterly!D:D,Quarterly!B:B,"&gt;="&amp;A1061-88,Quarterly!B:B,"&lt;="&amp;A1061),SUMIFS(Quarterly!D:D,Quarterly!B:B,"&gt;="&amp;A1061-92,Quarterly!B:B,"&lt;="&amp;A1061)))</f>
        <v>488.24099999999999</v>
      </c>
      <c r="N1061" s="13">
        <f t="shared" si="396"/>
        <v>0.2296</v>
      </c>
      <c r="O1061">
        <f t="shared" si="384"/>
        <v>1121</v>
      </c>
      <c r="P1061" s="56">
        <f>VLOOKUP(EOMONTH(A1061,-1),Economic!A:I,7,FALSE)</f>
        <v>735303</v>
      </c>
      <c r="Q1061" s="13">
        <f t="shared" si="385"/>
        <v>0.1525</v>
      </c>
      <c r="R1061" s="41">
        <v>0.08</v>
      </c>
      <c r="S1061">
        <f t="shared" si="386"/>
        <v>0.47</v>
      </c>
      <c r="T1061" s="30">
        <f t="shared" si="387"/>
        <v>26.08</v>
      </c>
      <c r="U1061" s="30">
        <f t="shared" si="394"/>
        <v>33.61</v>
      </c>
    </row>
    <row r="1062" spans="1:21" ht="15" customHeight="1" x14ac:dyDescent="0.25">
      <c r="A1062" s="5">
        <v>35911</v>
      </c>
      <c r="B1062" s="5">
        <f t="shared" si="388"/>
        <v>35915</v>
      </c>
      <c r="C1062">
        <v>1107.9000000000001</v>
      </c>
      <c r="D1062" s="29">
        <f t="shared" si="389"/>
        <v>-4.4999999999999997E-3</v>
      </c>
      <c r="E1062" s="39">
        <f t="shared" si="390"/>
        <v>1067.6361538461538</v>
      </c>
      <c r="F1062" s="39">
        <f t="shared" si="391"/>
        <v>984.14076923076914</v>
      </c>
      <c r="G1062" s="29">
        <f t="shared" si="383"/>
        <v>3.7699999999999997E-2</v>
      </c>
      <c r="H1062" s="29">
        <f t="shared" si="383"/>
        <v>0.1258</v>
      </c>
      <c r="I1062">
        <f t="shared" si="392"/>
        <v>1107.9000000000001</v>
      </c>
      <c r="J1062">
        <f>IF(A1062&gt;=Quarterly!B$2,Quarterly!C$2,IF(COUNTIFS(Quarterly!B:B,"&gt;="&amp;A1062-92,Quarterly!B:B,"&lt;="&amp;A1062)&gt;1,SUMIFS(Quarterly!C:C,Quarterly!B:B,"&gt;="&amp;A1062-88,Quarterly!B:B,"&lt;="&amp;A1062),SUMIFS(Quarterly!C:C,Quarterly!B:B,"&gt;="&amp;A1062-92,Quarterly!B:B,"&lt;="&amp;A1062)))</f>
        <v>8788.2999999999993</v>
      </c>
      <c r="K1062" s="13">
        <f t="shared" si="393"/>
        <v>0.12609999999999999</v>
      </c>
      <c r="L1062">
        <f t="shared" si="395"/>
        <v>1107.9000000000001</v>
      </c>
      <c r="M1062">
        <f>IF(A1062&gt;=Quarterly!B$2,Quarterly!D$2,IF(COUNTIFS(Quarterly!B:B,"&gt;="&amp;A1062-92,Quarterly!B:B,"&lt;="&amp;A1062)&gt;1,SUMIFS(Quarterly!D:D,Quarterly!B:B,"&gt;="&amp;A1062-88,Quarterly!B:B,"&lt;="&amp;A1062),SUMIFS(Quarterly!D:D,Quarterly!B:B,"&gt;="&amp;A1062-92,Quarterly!B:B,"&lt;="&amp;A1062)))</f>
        <v>567.91999999999996</v>
      </c>
      <c r="N1062" s="13">
        <f t="shared" si="396"/>
        <v>0.19508000000000003</v>
      </c>
      <c r="O1062">
        <f t="shared" si="384"/>
        <v>1107.9000000000001</v>
      </c>
      <c r="P1062" s="56">
        <f>VLOOKUP(EOMONTH(A1062,-1),Economic!A:I,7,FALSE)</f>
        <v>734435</v>
      </c>
      <c r="Q1062" s="13">
        <f t="shared" si="385"/>
        <v>0.15089999999999998</v>
      </c>
      <c r="R1062" s="41">
        <v>0.06</v>
      </c>
      <c r="S1062">
        <f t="shared" si="386"/>
        <v>0.51</v>
      </c>
      <c r="T1062" s="30">
        <f t="shared" si="387"/>
        <v>37.32</v>
      </c>
      <c r="U1062" s="30">
        <f t="shared" si="394"/>
        <v>39.82</v>
      </c>
    </row>
    <row r="1063" spans="1:21" ht="15" customHeight="1" x14ac:dyDescent="0.25">
      <c r="A1063" s="5">
        <v>35904</v>
      </c>
      <c r="B1063" s="5">
        <f t="shared" si="388"/>
        <v>35915</v>
      </c>
      <c r="C1063">
        <v>1122.72</v>
      </c>
      <c r="D1063" s="29">
        <f t="shared" si="389"/>
        <v>1.4200000000000001E-2</v>
      </c>
      <c r="E1063" s="39">
        <f t="shared" si="390"/>
        <v>1056.0738461538463</v>
      </c>
      <c r="F1063" s="39">
        <f t="shared" si="391"/>
        <v>979.80461538461509</v>
      </c>
      <c r="G1063" s="29">
        <f t="shared" si="383"/>
        <v>6.3100000000000003E-2</v>
      </c>
      <c r="H1063" s="29">
        <f t="shared" si="383"/>
        <v>0.1459</v>
      </c>
      <c r="I1063">
        <f t="shared" si="392"/>
        <v>1122.72</v>
      </c>
      <c r="J1063">
        <f>IF(A1063&gt;=Quarterly!B$2,Quarterly!C$2,IF(COUNTIFS(Quarterly!B:B,"&gt;="&amp;A1063-92,Quarterly!B:B,"&lt;="&amp;A1063)&gt;1,SUMIFS(Quarterly!C:C,Quarterly!B:B,"&gt;="&amp;A1063-88,Quarterly!B:B,"&lt;="&amp;A1063),SUMIFS(Quarterly!C:C,Quarterly!B:B,"&gt;="&amp;A1063-92,Quarterly!B:B,"&lt;="&amp;A1063)))</f>
        <v>8788.2999999999993</v>
      </c>
      <c r="K1063" s="13">
        <f t="shared" si="393"/>
        <v>0.1278</v>
      </c>
      <c r="L1063">
        <f t="shared" si="395"/>
        <v>1122.72</v>
      </c>
      <c r="M1063">
        <f>IF(A1063&gt;=Quarterly!B$2,Quarterly!D$2,IF(COUNTIFS(Quarterly!B:B,"&gt;="&amp;A1063-92,Quarterly!B:B,"&lt;="&amp;A1063)&gt;1,SUMIFS(Quarterly!D:D,Quarterly!B:B,"&gt;="&amp;A1063-88,Quarterly!B:B,"&lt;="&amp;A1063),SUMIFS(Quarterly!D:D,Quarterly!B:B,"&gt;="&amp;A1063-92,Quarterly!B:B,"&lt;="&amp;A1063)))</f>
        <v>567.91999999999996</v>
      </c>
      <c r="N1063" s="13">
        <f t="shared" si="396"/>
        <v>0.19769000000000003</v>
      </c>
      <c r="O1063">
        <f t="shared" si="384"/>
        <v>1122.72</v>
      </c>
      <c r="P1063" s="56">
        <f>VLOOKUP(EOMONTH(A1063,-1),Economic!A:I,7,FALSE)</f>
        <v>734435</v>
      </c>
      <c r="Q1063" s="13">
        <f t="shared" si="385"/>
        <v>0.15290000000000001</v>
      </c>
      <c r="R1063" s="41">
        <v>0.05</v>
      </c>
      <c r="S1063">
        <f t="shared" si="386"/>
        <v>0.49</v>
      </c>
      <c r="T1063" s="30">
        <f t="shared" si="387"/>
        <v>37.44</v>
      </c>
      <c r="U1063" s="30">
        <f t="shared" si="394"/>
        <v>43.23</v>
      </c>
    </row>
    <row r="1064" spans="1:21" ht="15" customHeight="1" x14ac:dyDescent="0.25">
      <c r="A1064" s="5">
        <v>35897</v>
      </c>
      <c r="B1064" s="5">
        <f t="shared" si="388"/>
        <v>35915</v>
      </c>
      <c r="C1064">
        <v>1110.67</v>
      </c>
      <c r="D1064" s="29">
        <f t="shared" si="389"/>
        <v>1.29E-2</v>
      </c>
      <c r="E1064" s="39">
        <f t="shared" si="390"/>
        <v>1043.6730769230769</v>
      </c>
      <c r="F1064" s="39">
        <f t="shared" si="391"/>
        <v>974.48615384615368</v>
      </c>
      <c r="G1064" s="29">
        <f t="shared" si="383"/>
        <v>6.4199999999999993E-2</v>
      </c>
      <c r="H1064" s="29">
        <f t="shared" si="383"/>
        <v>0.13969999999999999</v>
      </c>
      <c r="I1064">
        <f t="shared" si="392"/>
        <v>1110.67</v>
      </c>
      <c r="J1064">
        <f>IF(A1064&gt;=Quarterly!B$2,Quarterly!C$2,IF(COUNTIFS(Quarterly!B:B,"&gt;="&amp;A1064-92,Quarterly!B:B,"&lt;="&amp;A1064)&gt;1,SUMIFS(Quarterly!C:C,Quarterly!B:B,"&gt;="&amp;A1064-88,Quarterly!B:B,"&lt;="&amp;A1064),SUMIFS(Quarterly!C:C,Quarterly!B:B,"&gt;="&amp;A1064-92,Quarterly!B:B,"&lt;="&amp;A1064)))</f>
        <v>8788.2999999999993</v>
      </c>
      <c r="K1064" s="13">
        <f t="shared" si="393"/>
        <v>0.12640000000000001</v>
      </c>
      <c r="L1064">
        <f t="shared" si="395"/>
        <v>1110.67</v>
      </c>
      <c r="M1064">
        <f>IF(A1064&gt;=Quarterly!B$2,Quarterly!D$2,IF(COUNTIFS(Quarterly!B:B,"&gt;="&amp;A1064-92,Quarterly!B:B,"&lt;="&amp;A1064)&gt;1,SUMIFS(Quarterly!D:D,Quarterly!B:B,"&gt;="&amp;A1064-88,Quarterly!B:B,"&lt;="&amp;A1064),SUMIFS(Quarterly!D:D,Quarterly!B:B,"&gt;="&amp;A1064-92,Quarterly!B:B,"&lt;="&amp;A1064)))</f>
        <v>567.91999999999996</v>
      </c>
      <c r="N1064" s="13">
        <f t="shared" si="396"/>
        <v>0.19557000000000002</v>
      </c>
      <c r="O1064">
        <f t="shared" si="384"/>
        <v>1110.67</v>
      </c>
      <c r="P1064" s="56">
        <f>VLOOKUP(EOMONTH(A1064,-1),Economic!A:I,7,FALSE)</f>
        <v>734435</v>
      </c>
      <c r="Q1064" s="13">
        <f t="shared" si="385"/>
        <v>0.1512</v>
      </c>
      <c r="R1064" s="41">
        <v>0.09</v>
      </c>
      <c r="S1064">
        <f t="shared" si="386"/>
        <v>0.56999999999999995</v>
      </c>
      <c r="T1064" s="30">
        <f t="shared" si="387"/>
        <v>44.71</v>
      </c>
      <c r="U1064" s="30">
        <f t="shared" si="394"/>
        <v>48.49</v>
      </c>
    </row>
    <row r="1065" spans="1:21" ht="15" customHeight="1" x14ac:dyDescent="0.25">
      <c r="A1065" s="5">
        <v>35890</v>
      </c>
      <c r="B1065" s="5">
        <f t="shared" si="388"/>
        <v>35915</v>
      </c>
      <c r="C1065">
        <v>1122.7</v>
      </c>
      <c r="D1065" s="29">
        <f t="shared" si="389"/>
        <v>3.9800000000000002E-2</v>
      </c>
      <c r="E1065" s="39">
        <f t="shared" si="390"/>
        <v>1029.5976923076926</v>
      </c>
      <c r="F1065" s="39">
        <f t="shared" si="391"/>
        <v>969.51205128205129</v>
      </c>
      <c r="G1065" s="29">
        <f t="shared" si="383"/>
        <v>9.0399999999999994E-2</v>
      </c>
      <c r="H1065" s="29">
        <f t="shared" si="383"/>
        <v>0.158</v>
      </c>
      <c r="I1065">
        <f t="shared" si="392"/>
        <v>1122.7</v>
      </c>
      <c r="J1065">
        <f>IF(A1065&gt;=Quarterly!B$2,Quarterly!C$2,IF(COUNTIFS(Quarterly!B:B,"&gt;="&amp;A1065-92,Quarterly!B:B,"&lt;="&amp;A1065)&gt;1,SUMIFS(Quarterly!C:C,Quarterly!B:B,"&gt;="&amp;A1065-88,Quarterly!B:B,"&lt;="&amp;A1065),SUMIFS(Quarterly!C:C,Quarterly!B:B,"&gt;="&amp;A1065-92,Quarterly!B:B,"&lt;="&amp;A1065)))</f>
        <v>8788.2999999999993</v>
      </c>
      <c r="K1065" s="13">
        <f t="shared" si="393"/>
        <v>0.12770000000000001</v>
      </c>
      <c r="L1065">
        <f t="shared" si="395"/>
        <v>1122.7</v>
      </c>
      <c r="M1065">
        <f>IF(A1065&gt;=Quarterly!B$2,Quarterly!D$2,IF(COUNTIFS(Quarterly!B:B,"&gt;="&amp;A1065-92,Quarterly!B:B,"&lt;="&amp;A1065)&gt;1,SUMIFS(Quarterly!D:D,Quarterly!B:B,"&gt;="&amp;A1065-88,Quarterly!B:B,"&lt;="&amp;A1065),SUMIFS(Quarterly!D:D,Quarterly!B:B,"&gt;="&amp;A1065-92,Quarterly!B:B,"&lt;="&amp;A1065)))</f>
        <v>567.91999999999996</v>
      </c>
      <c r="N1065" s="13">
        <f t="shared" si="396"/>
        <v>0.19769000000000003</v>
      </c>
      <c r="O1065">
        <f t="shared" si="384"/>
        <v>1122.7</v>
      </c>
      <c r="P1065" s="56">
        <f>VLOOKUP(EOMONTH(A1065,-1),Economic!A:I,7,FALSE)</f>
        <v>734435</v>
      </c>
      <c r="Q1065" s="13">
        <f t="shared" si="385"/>
        <v>0.15290000000000001</v>
      </c>
      <c r="R1065" s="41">
        <v>0.05</v>
      </c>
      <c r="S1065">
        <f t="shared" si="386"/>
        <v>0.59</v>
      </c>
      <c r="T1065" s="30">
        <f t="shared" si="387"/>
        <v>47.54</v>
      </c>
      <c r="U1065" s="30">
        <f t="shared" si="394"/>
        <v>52.07</v>
      </c>
    </row>
    <row r="1066" spans="1:21" ht="15" customHeight="1" x14ac:dyDescent="0.25">
      <c r="A1066" s="5">
        <v>35883</v>
      </c>
      <c r="B1066" s="5">
        <f t="shared" si="388"/>
        <v>35885</v>
      </c>
      <c r="C1066">
        <v>1095.44</v>
      </c>
      <c r="D1066" s="29">
        <f t="shared" si="389"/>
        <v>2.5499999999999998E-2</v>
      </c>
      <c r="E1066" s="39">
        <f t="shared" si="390"/>
        <v>1018.2392307692309</v>
      </c>
      <c r="F1066" s="39">
        <f t="shared" si="391"/>
        <v>964.23564102564092</v>
      </c>
      <c r="G1066" s="29">
        <f t="shared" si="383"/>
        <v>7.5800000000000006E-2</v>
      </c>
      <c r="H1066" s="29">
        <f t="shared" si="383"/>
        <v>0.1361</v>
      </c>
      <c r="I1066">
        <f t="shared" si="392"/>
        <v>1095.44</v>
      </c>
      <c r="J1066">
        <f>IF(A1066&gt;=Quarterly!B$2,Quarterly!C$2,IF(COUNTIFS(Quarterly!B:B,"&gt;="&amp;A1066-92,Quarterly!B:B,"&lt;="&amp;A1066)&gt;1,SUMIFS(Quarterly!C:C,Quarterly!B:B,"&gt;="&amp;A1066-88,Quarterly!B:B,"&lt;="&amp;A1066),SUMIFS(Quarterly!C:C,Quarterly!B:B,"&gt;="&amp;A1066-92,Quarterly!B:B,"&lt;="&amp;A1066)))</f>
        <v>8788.2999999999993</v>
      </c>
      <c r="K1066" s="13">
        <f t="shared" si="393"/>
        <v>0.1246</v>
      </c>
      <c r="L1066">
        <f t="shared" si="395"/>
        <v>1095.44</v>
      </c>
      <c r="M1066">
        <f>IF(A1066&gt;=Quarterly!B$2,Quarterly!D$2,IF(COUNTIFS(Quarterly!B:B,"&gt;="&amp;A1066-92,Quarterly!B:B,"&lt;="&amp;A1066)&gt;1,SUMIFS(Quarterly!D:D,Quarterly!B:B,"&gt;="&amp;A1066-88,Quarterly!B:B,"&lt;="&amp;A1066),SUMIFS(Quarterly!D:D,Quarterly!B:B,"&gt;="&amp;A1066-92,Quarterly!B:B,"&lt;="&amp;A1066)))</f>
        <v>567.91999999999996</v>
      </c>
      <c r="N1066" s="13">
        <f t="shared" si="396"/>
        <v>0.19289000000000001</v>
      </c>
      <c r="O1066">
        <f t="shared" si="384"/>
        <v>1095.44</v>
      </c>
      <c r="P1066" s="56">
        <f>VLOOKUP(EOMONTH(A1066,-1),Economic!A:I,7,FALSE)</f>
        <v>733832</v>
      </c>
      <c r="Q1066" s="13">
        <f t="shared" si="385"/>
        <v>0.14929999999999999</v>
      </c>
      <c r="R1066" s="41">
        <v>0.05</v>
      </c>
      <c r="S1066">
        <f t="shared" si="386"/>
        <v>0.56999999999999995</v>
      </c>
      <c r="T1066" s="30">
        <f t="shared" si="387"/>
        <v>53.23</v>
      </c>
      <c r="U1066" s="30">
        <f t="shared" si="394"/>
        <v>57.09</v>
      </c>
    </row>
    <row r="1067" spans="1:21" ht="15" customHeight="1" x14ac:dyDescent="0.25">
      <c r="A1067" s="5">
        <v>35876</v>
      </c>
      <c r="B1067" s="5">
        <f t="shared" si="388"/>
        <v>35885</v>
      </c>
      <c r="C1067">
        <v>1099.1600000000001</v>
      </c>
      <c r="D1067" s="29">
        <f t="shared" si="389"/>
        <v>4.4900000000000002E-2</v>
      </c>
      <c r="E1067" s="39">
        <f t="shared" si="390"/>
        <v>1006.0100000000001</v>
      </c>
      <c r="F1067" s="39">
        <f t="shared" si="391"/>
        <v>958.89871794871806</v>
      </c>
      <c r="G1067" s="29">
        <f t="shared" si="383"/>
        <v>9.2600000000000002E-2</v>
      </c>
      <c r="H1067" s="29">
        <f t="shared" si="383"/>
        <v>0.14630000000000001</v>
      </c>
      <c r="I1067">
        <f t="shared" si="392"/>
        <v>1099.1600000000001</v>
      </c>
      <c r="J1067">
        <f>IF(A1067&gt;=Quarterly!B$2,Quarterly!C$2,IF(COUNTIFS(Quarterly!B:B,"&gt;="&amp;A1067-92,Quarterly!B:B,"&lt;="&amp;A1067)&gt;1,SUMIFS(Quarterly!C:C,Quarterly!B:B,"&gt;="&amp;A1067-88,Quarterly!B:B,"&lt;="&amp;A1067),SUMIFS(Quarterly!C:C,Quarterly!B:B,"&gt;="&amp;A1067-92,Quarterly!B:B,"&lt;="&amp;A1067)))</f>
        <v>8788.2999999999993</v>
      </c>
      <c r="K1067" s="13">
        <f t="shared" si="393"/>
        <v>0.12509999999999999</v>
      </c>
      <c r="L1067">
        <f t="shared" si="395"/>
        <v>1099.1600000000001</v>
      </c>
      <c r="M1067">
        <f>IF(A1067&gt;=Quarterly!B$2,Quarterly!D$2,IF(COUNTIFS(Quarterly!B:B,"&gt;="&amp;A1067-92,Quarterly!B:B,"&lt;="&amp;A1067)&gt;1,SUMIFS(Quarterly!D:D,Quarterly!B:B,"&gt;="&amp;A1067-88,Quarterly!B:B,"&lt;="&amp;A1067),SUMIFS(Quarterly!D:D,Quarterly!B:B,"&gt;="&amp;A1067-92,Quarterly!B:B,"&lt;="&amp;A1067)))</f>
        <v>567.91999999999996</v>
      </c>
      <c r="N1067" s="13">
        <f t="shared" si="396"/>
        <v>0.19354000000000002</v>
      </c>
      <c r="O1067">
        <f t="shared" si="384"/>
        <v>1099.1600000000001</v>
      </c>
      <c r="P1067" s="56">
        <f>VLOOKUP(EOMONTH(A1067,-1),Economic!A:I,7,FALSE)</f>
        <v>733832</v>
      </c>
      <c r="Q1067" s="13">
        <f t="shared" si="385"/>
        <v>0.14979999999999999</v>
      </c>
      <c r="R1067" s="41">
        <v>0.05</v>
      </c>
      <c r="S1067">
        <f t="shared" si="386"/>
        <v>0.56000000000000005</v>
      </c>
      <c r="T1067" s="30">
        <f t="shared" si="387"/>
        <v>55.44</v>
      </c>
      <c r="U1067" s="30">
        <f t="shared" si="394"/>
        <v>61.51</v>
      </c>
    </row>
    <row r="1068" spans="1:21" ht="15" customHeight="1" x14ac:dyDescent="0.25">
      <c r="A1068" s="5">
        <v>35869</v>
      </c>
      <c r="B1068" s="5">
        <f t="shared" si="388"/>
        <v>35885</v>
      </c>
      <c r="C1068">
        <v>1068.6099999999999</v>
      </c>
      <c r="D1068" s="29">
        <f t="shared" si="389"/>
        <v>2.7699999999999999E-2</v>
      </c>
      <c r="E1068" s="39">
        <f t="shared" si="390"/>
        <v>994.28846153846166</v>
      </c>
      <c r="F1068" s="39">
        <f t="shared" si="391"/>
        <v>953.75871794871784</v>
      </c>
      <c r="G1068" s="29">
        <f t="shared" si="383"/>
        <v>7.4700000000000003E-2</v>
      </c>
      <c r="H1068" s="29">
        <f t="shared" si="383"/>
        <v>0.12039999999999999</v>
      </c>
      <c r="I1068">
        <f t="shared" si="392"/>
        <v>1068.6099999999999</v>
      </c>
      <c r="J1068">
        <f>IF(A1068&gt;=Quarterly!B$2,Quarterly!C$2,IF(COUNTIFS(Quarterly!B:B,"&gt;="&amp;A1068-92,Quarterly!B:B,"&lt;="&amp;A1068)&gt;1,SUMIFS(Quarterly!C:C,Quarterly!B:B,"&gt;="&amp;A1068-88,Quarterly!B:B,"&lt;="&amp;A1068),SUMIFS(Quarterly!C:C,Quarterly!B:B,"&gt;="&amp;A1068-92,Quarterly!B:B,"&lt;="&amp;A1068)))</f>
        <v>8788.2999999999993</v>
      </c>
      <c r="K1068" s="13">
        <f t="shared" si="393"/>
        <v>0.1216</v>
      </c>
      <c r="L1068">
        <f t="shared" si="395"/>
        <v>1068.6099999999999</v>
      </c>
      <c r="M1068">
        <f>IF(A1068&gt;=Quarterly!B$2,Quarterly!D$2,IF(COUNTIFS(Quarterly!B:B,"&gt;="&amp;A1068-92,Quarterly!B:B,"&lt;="&amp;A1068)&gt;1,SUMIFS(Quarterly!D:D,Quarterly!B:B,"&gt;="&amp;A1068-88,Quarterly!B:B,"&lt;="&amp;A1068),SUMIFS(Quarterly!D:D,Quarterly!B:B,"&gt;="&amp;A1068-92,Quarterly!B:B,"&lt;="&amp;A1068)))</f>
        <v>567.91999999999996</v>
      </c>
      <c r="N1068" s="13">
        <f t="shared" si="396"/>
        <v>0.18815999999999999</v>
      </c>
      <c r="O1068">
        <f t="shared" si="384"/>
        <v>1068.6099999999999</v>
      </c>
      <c r="P1068" s="56">
        <f>VLOOKUP(EOMONTH(A1068,-1),Economic!A:I,7,FALSE)</f>
        <v>733832</v>
      </c>
      <c r="Q1068" s="13">
        <f t="shared" si="385"/>
        <v>0.14560000000000001</v>
      </c>
      <c r="R1068" s="41">
        <v>0.08</v>
      </c>
      <c r="S1068">
        <f t="shared" si="386"/>
        <v>0.56999999999999995</v>
      </c>
      <c r="T1068" s="30">
        <f t="shared" si="387"/>
        <v>62.6</v>
      </c>
      <c r="U1068" s="30">
        <f t="shared" si="394"/>
        <v>64.98</v>
      </c>
    </row>
    <row r="1069" spans="1:21" ht="15" customHeight="1" x14ac:dyDescent="0.25">
      <c r="A1069" s="5">
        <v>35862</v>
      </c>
      <c r="B1069" s="5">
        <f t="shared" si="388"/>
        <v>35885</v>
      </c>
      <c r="C1069">
        <v>1055.69</v>
      </c>
      <c r="D1069" s="29">
        <f t="shared" si="389"/>
        <v>2.5899999999999999E-2</v>
      </c>
      <c r="E1069" s="39">
        <f t="shared" si="390"/>
        <v>985.4253846153847</v>
      </c>
      <c r="F1069" s="39">
        <f t="shared" si="391"/>
        <v>949.26282051282033</v>
      </c>
      <c r="G1069" s="29">
        <f t="shared" si="383"/>
        <v>7.1300000000000002E-2</v>
      </c>
      <c r="H1069" s="29">
        <f t="shared" si="383"/>
        <v>0.11210000000000001</v>
      </c>
      <c r="I1069">
        <f t="shared" si="392"/>
        <v>1055.69</v>
      </c>
      <c r="J1069">
        <f>IF(A1069&gt;=Quarterly!B$2,Quarterly!C$2,IF(COUNTIFS(Quarterly!B:B,"&gt;="&amp;A1069-92,Quarterly!B:B,"&lt;="&amp;A1069)&gt;1,SUMIFS(Quarterly!C:C,Quarterly!B:B,"&gt;="&amp;A1069-88,Quarterly!B:B,"&lt;="&amp;A1069),SUMIFS(Quarterly!C:C,Quarterly!B:B,"&gt;="&amp;A1069-92,Quarterly!B:B,"&lt;="&amp;A1069)))</f>
        <v>8788.2999999999993</v>
      </c>
      <c r="K1069" s="13">
        <f t="shared" si="393"/>
        <v>0.1201</v>
      </c>
      <c r="L1069">
        <f t="shared" si="395"/>
        <v>1055.69</v>
      </c>
      <c r="M1069">
        <f>IF(A1069&gt;=Quarterly!B$2,Quarterly!D$2,IF(COUNTIFS(Quarterly!B:B,"&gt;="&amp;A1069-92,Quarterly!B:B,"&lt;="&amp;A1069)&gt;1,SUMIFS(Quarterly!D:D,Quarterly!B:B,"&gt;="&amp;A1069-88,Quarterly!B:B,"&lt;="&amp;A1069),SUMIFS(Quarterly!D:D,Quarterly!B:B,"&gt;="&amp;A1069-92,Quarterly!B:B,"&lt;="&amp;A1069)))</f>
        <v>567.91999999999996</v>
      </c>
      <c r="N1069" s="13">
        <f t="shared" si="396"/>
        <v>0.18589</v>
      </c>
      <c r="O1069">
        <f t="shared" si="384"/>
        <v>1055.69</v>
      </c>
      <c r="P1069" s="56">
        <f>VLOOKUP(EOMONTH(A1069,-1),Economic!A:I,7,FALSE)</f>
        <v>733832</v>
      </c>
      <c r="Q1069" s="13">
        <f t="shared" si="385"/>
        <v>0.1439</v>
      </c>
      <c r="R1069" s="41">
        <v>0.15</v>
      </c>
      <c r="S1069">
        <f t="shared" si="386"/>
        <v>0.56999999999999995</v>
      </c>
      <c r="T1069" s="30">
        <f t="shared" si="387"/>
        <v>66.489999999999995</v>
      </c>
      <c r="U1069" s="30">
        <f t="shared" si="394"/>
        <v>67.53</v>
      </c>
    </row>
    <row r="1070" spans="1:21" ht="15" customHeight="1" x14ac:dyDescent="0.25">
      <c r="A1070" s="5">
        <v>35855</v>
      </c>
      <c r="B1070" s="5">
        <f t="shared" si="388"/>
        <v>35885</v>
      </c>
      <c r="C1070">
        <v>1049.3399999999999</v>
      </c>
      <c r="D1070" s="29">
        <f t="shared" si="389"/>
        <v>3.7100000000000001E-2</v>
      </c>
      <c r="E1070" s="39">
        <f t="shared" si="390"/>
        <v>979.89461538461524</v>
      </c>
      <c r="F1070" s="39">
        <f t="shared" si="391"/>
        <v>944.19410256410242</v>
      </c>
      <c r="G1070" s="29">
        <f t="shared" si="383"/>
        <v>7.0900000000000005E-2</v>
      </c>
      <c r="H1070" s="29">
        <f t="shared" si="383"/>
        <v>0.1114</v>
      </c>
      <c r="I1070">
        <f t="shared" si="392"/>
        <v>1049.3399999999999</v>
      </c>
      <c r="J1070">
        <f>IF(A1070&gt;=Quarterly!B$2,Quarterly!C$2,IF(COUNTIFS(Quarterly!B:B,"&gt;="&amp;A1070-92,Quarterly!B:B,"&lt;="&amp;A1070)&gt;1,SUMIFS(Quarterly!C:C,Quarterly!B:B,"&gt;="&amp;A1070-88,Quarterly!B:B,"&lt;="&amp;A1070),SUMIFS(Quarterly!C:C,Quarterly!B:B,"&gt;="&amp;A1070-92,Quarterly!B:B,"&lt;="&amp;A1070)))</f>
        <v>8788.2999999999993</v>
      </c>
      <c r="K1070" s="13">
        <f t="shared" si="393"/>
        <v>0.11940000000000001</v>
      </c>
      <c r="L1070">
        <f t="shared" si="395"/>
        <v>1049.3399999999999</v>
      </c>
      <c r="M1070">
        <f>IF(A1070&gt;=Quarterly!B$2,Quarterly!D$2,IF(COUNTIFS(Quarterly!B:B,"&gt;="&amp;A1070-92,Quarterly!B:B,"&lt;="&amp;A1070)&gt;1,SUMIFS(Quarterly!D:D,Quarterly!B:B,"&gt;="&amp;A1070-88,Quarterly!B:B,"&lt;="&amp;A1070),SUMIFS(Quarterly!D:D,Quarterly!B:B,"&gt;="&amp;A1070-92,Quarterly!B:B,"&lt;="&amp;A1070)))</f>
        <v>567.91999999999996</v>
      </c>
      <c r="N1070" s="13">
        <f t="shared" si="396"/>
        <v>0.18476999999999999</v>
      </c>
      <c r="O1070">
        <f t="shared" si="384"/>
        <v>1049.3399999999999</v>
      </c>
      <c r="P1070" s="56">
        <f>VLOOKUP(EOMONTH(A1070,-1),Economic!A:I,7,FALSE)</f>
        <v>733832</v>
      </c>
      <c r="Q1070" s="13">
        <f t="shared" si="385"/>
        <v>0.14300000000000002</v>
      </c>
      <c r="R1070" s="41">
        <v>7.0000000000000007E-2</v>
      </c>
      <c r="S1070">
        <f t="shared" si="386"/>
        <v>0.49</v>
      </c>
      <c r="T1070" s="30">
        <f t="shared" si="387"/>
        <v>65.849999999999994</v>
      </c>
      <c r="U1070" s="30">
        <f t="shared" si="394"/>
        <v>70.14</v>
      </c>
    </row>
    <row r="1071" spans="1:21" ht="15" customHeight="1" x14ac:dyDescent="0.25">
      <c r="A1071" s="5">
        <v>35848</v>
      </c>
      <c r="B1071" s="5">
        <f t="shared" si="388"/>
        <v>35854</v>
      </c>
      <c r="C1071">
        <v>1034.21</v>
      </c>
      <c r="D1071" s="29">
        <f t="shared" si="389"/>
        <v>4.19E-2</v>
      </c>
      <c r="E1071" s="39">
        <f t="shared" si="390"/>
        <v>972.66846153846154</v>
      </c>
      <c r="F1071" s="39">
        <f t="shared" si="391"/>
        <v>939.03871794871782</v>
      </c>
      <c r="G1071" s="29">
        <f t="shared" si="383"/>
        <v>6.3299999999999995E-2</v>
      </c>
      <c r="H1071" s="29">
        <f t="shared" si="383"/>
        <v>0.1013</v>
      </c>
      <c r="I1071">
        <f t="shared" si="392"/>
        <v>1034.21</v>
      </c>
      <c r="J1071">
        <f>IF(A1071&gt;=Quarterly!B$2,Quarterly!C$2,IF(COUNTIFS(Quarterly!B:B,"&gt;="&amp;A1071-92,Quarterly!B:B,"&lt;="&amp;A1071)&gt;1,SUMIFS(Quarterly!C:C,Quarterly!B:B,"&gt;="&amp;A1071-88,Quarterly!B:B,"&lt;="&amp;A1071),SUMIFS(Quarterly!C:C,Quarterly!B:B,"&gt;="&amp;A1071-92,Quarterly!B:B,"&lt;="&amp;A1071)))</f>
        <v>8788.2999999999993</v>
      </c>
      <c r="K1071" s="13">
        <f t="shared" si="393"/>
        <v>0.1177</v>
      </c>
      <c r="L1071">
        <f t="shared" si="395"/>
        <v>1034.21</v>
      </c>
      <c r="M1071">
        <f>IF(A1071&gt;=Quarterly!B$2,Quarterly!D$2,IF(COUNTIFS(Quarterly!B:B,"&gt;="&amp;A1071-92,Quarterly!B:B,"&lt;="&amp;A1071)&gt;1,SUMIFS(Quarterly!D:D,Quarterly!B:B,"&gt;="&amp;A1071-88,Quarterly!B:B,"&lt;="&amp;A1071),SUMIFS(Quarterly!D:D,Quarterly!B:B,"&gt;="&amp;A1071-92,Quarterly!B:B,"&lt;="&amp;A1071)))</f>
        <v>567.91999999999996</v>
      </c>
      <c r="N1071" s="13">
        <f t="shared" si="396"/>
        <v>0.18210000000000001</v>
      </c>
      <c r="O1071">
        <f t="shared" si="384"/>
        <v>1034.21</v>
      </c>
      <c r="P1071" s="56">
        <f>VLOOKUP(EOMONTH(A1071,-1),Economic!A:I,7,FALSE)</f>
        <v>733194</v>
      </c>
      <c r="Q1071" s="13">
        <f t="shared" si="385"/>
        <v>0.1411</v>
      </c>
      <c r="R1071" s="41">
        <v>0.13</v>
      </c>
      <c r="S1071">
        <f t="shared" si="386"/>
        <v>0.52</v>
      </c>
      <c r="T1071" s="30">
        <f t="shared" si="387"/>
        <v>70.239999999999995</v>
      </c>
      <c r="U1071" s="30">
        <f t="shared" si="394"/>
        <v>73.53</v>
      </c>
    </row>
    <row r="1072" spans="1:21" ht="15" customHeight="1" x14ac:dyDescent="0.25">
      <c r="A1072" s="5">
        <v>35841</v>
      </c>
      <c r="B1072" s="5">
        <f t="shared" si="388"/>
        <v>35854</v>
      </c>
      <c r="C1072">
        <v>1020.09</v>
      </c>
      <c r="D1072" s="29">
        <f t="shared" si="389"/>
        <v>4.3099999999999999E-2</v>
      </c>
      <c r="E1072" s="39">
        <f t="shared" si="390"/>
        <v>967.19769230769248</v>
      </c>
      <c r="F1072" s="39">
        <f t="shared" si="391"/>
        <v>934.23923076923063</v>
      </c>
      <c r="G1072" s="29">
        <f t="shared" si="383"/>
        <v>5.4699999999999999E-2</v>
      </c>
      <c r="H1072" s="29">
        <f t="shared" si="383"/>
        <v>9.1899999999999996E-2</v>
      </c>
      <c r="I1072">
        <f t="shared" si="392"/>
        <v>1020.09</v>
      </c>
      <c r="J1072">
        <f>IF(A1072&gt;=Quarterly!B$2,Quarterly!C$2,IF(COUNTIFS(Quarterly!B:B,"&gt;="&amp;A1072-92,Quarterly!B:B,"&lt;="&amp;A1072)&gt;1,SUMIFS(Quarterly!C:C,Quarterly!B:B,"&gt;="&amp;A1072-88,Quarterly!B:B,"&lt;="&amp;A1072),SUMIFS(Quarterly!C:C,Quarterly!B:B,"&gt;="&amp;A1072-92,Quarterly!B:B,"&lt;="&amp;A1072)))</f>
        <v>8788.2999999999993</v>
      </c>
      <c r="K1072" s="13">
        <f t="shared" si="393"/>
        <v>0.11609999999999999</v>
      </c>
      <c r="L1072">
        <f t="shared" si="395"/>
        <v>1020.09</v>
      </c>
      <c r="M1072">
        <f>IF(A1072&gt;=Quarterly!B$2,Quarterly!D$2,IF(COUNTIFS(Quarterly!B:B,"&gt;="&amp;A1072-92,Quarterly!B:B,"&lt;="&amp;A1072)&gt;1,SUMIFS(Quarterly!D:D,Quarterly!B:B,"&gt;="&amp;A1072-88,Quarterly!B:B,"&lt;="&amp;A1072),SUMIFS(Quarterly!D:D,Quarterly!B:B,"&gt;="&amp;A1072-92,Quarterly!B:B,"&lt;="&amp;A1072)))</f>
        <v>567.91999999999996</v>
      </c>
      <c r="N1072" s="13">
        <f t="shared" si="396"/>
        <v>0.17962</v>
      </c>
      <c r="O1072">
        <f t="shared" si="384"/>
        <v>1020.09</v>
      </c>
      <c r="P1072" s="56">
        <f>VLOOKUP(EOMONTH(A1072,-1),Economic!A:I,7,FALSE)</f>
        <v>733194</v>
      </c>
      <c r="Q1072" s="13">
        <f t="shared" si="385"/>
        <v>0.1391</v>
      </c>
      <c r="R1072" s="41">
        <v>0.13</v>
      </c>
      <c r="S1072">
        <f t="shared" si="386"/>
        <v>0.56000000000000005</v>
      </c>
      <c r="T1072" s="30">
        <f t="shared" si="387"/>
        <v>74.34</v>
      </c>
      <c r="U1072" s="30">
        <f t="shared" si="394"/>
        <v>76.569999999999993</v>
      </c>
    </row>
    <row r="1073" spans="1:21" ht="15" customHeight="1" x14ac:dyDescent="0.25">
      <c r="A1073" s="5">
        <v>35834</v>
      </c>
      <c r="B1073" s="5">
        <f t="shared" si="388"/>
        <v>35854</v>
      </c>
      <c r="C1073">
        <v>1012.46</v>
      </c>
      <c r="D1073" s="29">
        <f t="shared" si="389"/>
        <v>5.8200000000000002E-2</v>
      </c>
      <c r="E1073" s="39">
        <f t="shared" si="390"/>
        <v>960.14076923076937</v>
      </c>
      <c r="F1073" s="39">
        <f t="shared" si="391"/>
        <v>929.35871794871787</v>
      </c>
      <c r="G1073" s="29">
        <f t="shared" si="383"/>
        <v>5.45E-2</v>
      </c>
      <c r="H1073" s="29">
        <f t="shared" si="383"/>
        <v>8.9399999999999993E-2</v>
      </c>
      <c r="I1073">
        <f t="shared" si="392"/>
        <v>1012.46</v>
      </c>
      <c r="J1073">
        <f>IF(A1073&gt;=Quarterly!B$2,Quarterly!C$2,IF(COUNTIFS(Quarterly!B:B,"&gt;="&amp;A1073-92,Quarterly!B:B,"&lt;="&amp;A1073)&gt;1,SUMIFS(Quarterly!C:C,Quarterly!B:B,"&gt;="&amp;A1073-88,Quarterly!B:B,"&lt;="&amp;A1073),SUMIFS(Quarterly!C:C,Quarterly!B:B,"&gt;="&amp;A1073-92,Quarterly!B:B,"&lt;="&amp;A1073)))</f>
        <v>8788.2999999999993</v>
      </c>
      <c r="K1073" s="13">
        <f t="shared" si="393"/>
        <v>0.1152</v>
      </c>
      <c r="L1073">
        <f t="shared" si="395"/>
        <v>1012.46</v>
      </c>
      <c r="M1073">
        <f>IF(A1073&gt;=Quarterly!B$2,Quarterly!D$2,IF(COUNTIFS(Quarterly!B:B,"&gt;="&amp;A1073-92,Quarterly!B:B,"&lt;="&amp;A1073)&gt;1,SUMIFS(Quarterly!D:D,Quarterly!B:B,"&gt;="&amp;A1073-88,Quarterly!B:B,"&lt;="&amp;A1073),SUMIFS(Quarterly!D:D,Quarterly!B:B,"&gt;="&amp;A1073-92,Quarterly!B:B,"&lt;="&amp;A1073)))</f>
        <v>567.91999999999996</v>
      </c>
      <c r="N1073" s="13">
        <f t="shared" si="396"/>
        <v>0.17827999999999999</v>
      </c>
      <c r="O1073">
        <f t="shared" si="384"/>
        <v>1012.46</v>
      </c>
      <c r="P1073" s="56">
        <f>VLOOKUP(EOMONTH(A1073,-1),Economic!A:I,7,FALSE)</f>
        <v>733194</v>
      </c>
      <c r="Q1073" s="13">
        <f t="shared" si="385"/>
        <v>0.1381</v>
      </c>
      <c r="R1073" s="41">
        <v>0.24</v>
      </c>
      <c r="S1073">
        <f t="shared" si="386"/>
        <v>0.53</v>
      </c>
      <c r="T1073" s="30">
        <f t="shared" si="387"/>
        <v>76.02</v>
      </c>
      <c r="U1073" s="30">
        <f t="shared" si="394"/>
        <v>78.31</v>
      </c>
    </row>
    <row r="1074" spans="1:21" ht="15" customHeight="1" x14ac:dyDescent="0.25">
      <c r="A1074" s="5">
        <v>35827</v>
      </c>
      <c r="B1074" s="5">
        <f t="shared" si="388"/>
        <v>35854</v>
      </c>
      <c r="C1074">
        <v>980.28</v>
      </c>
      <c r="D1074" s="29">
        <f t="shared" si="389"/>
        <v>2.5999999999999999E-2</v>
      </c>
      <c r="E1074" s="39">
        <f t="shared" si="390"/>
        <v>953.60615384615392</v>
      </c>
      <c r="F1074" s="39">
        <f t="shared" si="391"/>
        <v>924.54641025641024</v>
      </c>
      <c r="G1074" s="29">
        <f t="shared" si="383"/>
        <v>2.8000000000000001E-2</v>
      </c>
      <c r="H1074" s="29">
        <f t="shared" si="383"/>
        <v>6.0299999999999999E-2</v>
      </c>
      <c r="I1074">
        <f t="shared" si="392"/>
        <v>980.28</v>
      </c>
      <c r="J1074">
        <f>IF(A1074&gt;=Quarterly!B$2,Quarterly!C$2,IF(COUNTIFS(Quarterly!B:B,"&gt;="&amp;A1074-92,Quarterly!B:B,"&lt;="&amp;A1074)&gt;1,SUMIFS(Quarterly!C:C,Quarterly!B:B,"&gt;="&amp;A1074-88,Quarterly!B:B,"&lt;="&amp;A1074),SUMIFS(Quarterly!C:C,Quarterly!B:B,"&gt;="&amp;A1074-92,Quarterly!B:B,"&lt;="&amp;A1074)))</f>
        <v>8788.2999999999993</v>
      </c>
      <c r="K1074" s="13">
        <f t="shared" si="393"/>
        <v>0.1115</v>
      </c>
      <c r="L1074">
        <f t="shared" si="395"/>
        <v>980.28</v>
      </c>
      <c r="M1074">
        <f>IF(A1074&gt;=Quarterly!B$2,Quarterly!D$2,IF(COUNTIFS(Quarterly!B:B,"&gt;="&amp;A1074-92,Quarterly!B:B,"&lt;="&amp;A1074)&gt;1,SUMIFS(Quarterly!D:D,Quarterly!B:B,"&gt;="&amp;A1074-88,Quarterly!B:B,"&lt;="&amp;A1074),SUMIFS(Quarterly!D:D,Quarterly!B:B,"&gt;="&amp;A1074-92,Quarterly!B:B,"&lt;="&amp;A1074)))</f>
        <v>567.91999999999996</v>
      </c>
      <c r="N1074" s="13">
        <f t="shared" si="396"/>
        <v>0.17261000000000001</v>
      </c>
      <c r="O1074">
        <f t="shared" si="384"/>
        <v>980.28</v>
      </c>
      <c r="P1074" s="56">
        <f>VLOOKUP(EOMONTH(A1074,-1),Economic!A:I,7,FALSE)</f>
        <v>733194</v>
      </c>
      <c r="Q1074" s="13">
        <f t="shared" si="385"/>
        <v>0.13370000000000001</v>
      </c>
      <c r="R1074" s="41">
        <v>0.21</v>
      </c>
      <c r="S1074">
        <f t="shared" si="386"/>
        <v>0.47</v>
      </c>
      <c r="T1074" s="30">
        <f t="shared" si="387"/>
        <v>79.34</v>
      </c>
      <c r="U1074" s="30">
        <f t="shared" si="394"/>
        <v>79.89</v>
      </c>
    </row>
    <row r="1075" spans="1:21" ht="15" customHeight="1" x14ac:dyDescent="0.25">
      <c r="A1075" s="5">
        <v>35820</v>
      </c>
      <c r="B1075" s="5">
        <f t="shared" si="388"/>
        <v>35826</v>
      </c>
      <c r="C1075">
        <v>957.59</v>
      </c>
      <c r="D1075" s="29">
        <f t="shared" si="389"/>
        <v>7.7999999999999996E-3</v>
      </c>
      <c r="E1075" s="39">
        <f t="shared" si="390"/>
        <v>948.5553846153847</v>
      </c>
      <c r="F1075" s="39">
        <f t="shared" si="391"/>
        <v>920.25641025641028</v>
      </c>
      <c r="G1075" s="29">
        <f t="shared" si="383"/>
        <v>9.4999999999999998E-3</v>
      </c>
      <c r="H1075" s="29">
        <f t="shared" si="383"/>
        <v>4.0599999999999997E-2</v>
      </c>
      <c r="I1075">
        <f t="shared" si="392"/>
        <v>957.59</v>
      </c>
      <c r="J1075">
        <f>IF(A1075&gt;=Quarterly!B$2,Quarterly!C$2,IF(COUNTIFS(Quarterly!B:B,"&gt;="&amp;A1075-92,Quarterly!B:B,"&lt;="&amp;A1075)&gt;1,SUMIFS(Quarterly!C:C,Quarterly!B:B,"&gt;="&amp;A1075-88,Quarterly!B:B,"&lt;="&amp;A1075),SUMIFS(Quarterly!C:C,Quarterly!B:B,"&gt;="&amp;A1075-92,Quarterly!B:B,"&lt;="&amp;A1075)))</f>
        <v>8691.7999999999993</v>
      </c>
      <c r="K1075" s="13">
        <f t="shared" si="393"/>
        <v>0.11020000000000001</v>
      </c>
      <c r="L1075">
        <f t="shared" si="395"/>
        <v>957.59</v>
      </c>
      <c r="M1075">
        <f>IF(A1075&gt;=Quarterly!B$2,Quarterly!D$2,IF(COUNTIFS(Quarterly!B:B,"&gt;="&amp;A1075-92,Quarterly!B:B,"&lt;="&amp;A1075)&gt;1,SUMIFS(Quarterly!D:D,Quarterly!B:B,"&gt;="&amp;A1075-88,Quarterly!B:B,"&lt;="&amp;A1075),SUMIFS(Quarterly!D:D,Quarterly!B:B,"&gt;="&amp;A1075-92,Quarterly!B:B,"&lt;="&amp;A1075)))</f>
        <v>566.39400000000001</v>
      </c>
      <c r="N1075" s="13">
        <f t="shared" si="396"/>
        <v>0.16907000000000003</v>
      </c>
      <c r="O1075">
        <f t="shared" si="384"/>
        <v>957.59</v>
      </c>
      <c r="P1075" s="56">
        <f>VLOOKUP(EOMONTH(A1075,-1),Economic!A:I,7,FALSE)</f>
        <v>730022</v>
      </c>
      <c r="Q1075" s="13">
        <f t="shared" si="385"/>
        <v>0.13120000000000001</v>
      </c>
      <c r="R1075" s="41">
        <v>0.28000000000000003</v>
      </c>
      <c r="S1075">
        <f t="shared" si="386"/>
        <v>0.46</v>
      </c>
      <c r="T1075" s="30">
        <f t="shared" si="387"/>
        <v>79.56</v>
      </c>
      <c r="U1075" s="30">
        <f t="shared" si="394"/>
        <v>81.84</v>
      </c>
    </row>
    <row r="1076" spans="1:21" ht="15" customHeight="1" x14ac:dyDescent="0.25">
      <c r="A1076" s="5">
        <v>35813</v>
      </c>
      <c r="B1076" s="5">
        <f t="shared" si="388"/>
        <v>35826</v>
      </c>
      <c r="C1076">
        <v>961.51</v>
      </c>
      <c r="D1076" s="29">
        <f t="shared" si="389"/>
        <v>1.5900000000000001E-2</v>
      </c>
      <c r="E1076" s="39">
        <f t="shared" si="390"/>
        <v>947.32846153846162</v>
      </c>
      <c r="F1076" s="39">
        <f t="shared" si="391"/>
        <v>915.32769230769225</v>
      </c>
      <c r="G1076" s="29">
        <f t="shared" si="383"/>
        <v>1.4999999999999999E-2</v>
      </c>
      <c r="H1076" s="29">
        <f t="shared" si="383"/>
        <v>5.0500000000000003E-2</v>
      </c>
      <c r="I1076">
        <f t="shared" si="392"/>
        <v>961.51</v>
      </c>
      <c r="J1076">
        <f>IF(A1076&gt;=Quarterly!B$2,Quarterly!C$2,IF(COUNTIFS(Quarterly!B:B,"&gt;="&amp;A1076-92,Quarterly!B:B,"&lt;="&amp;A1076)&gt;1,SUMIFS(Quarterly!C:C,Quarterly!B:B,"&gt;="&amp;A1076-88,Quarterly!B:B,"&lt;="&amp;A1076),SUMIFS(Quarterly!C:C,Quarterly!B:B,"&gt;="&amp;A1076-92,Quarterly!B:B,"&lt;="&amp;A1076)))</f>
        <v>8691.7999999999993</v>
      </c>
      <c r="K1076" s="13">
        <f t="shared" si="393"/>
        <v>0.1106</v>
      </c>
      <c r="L1076">
        <f t="shared" si="395"/>
        <v>961.51</v>
      </c>
      <c r="M1076">
        <f>IF(A1076&gt;=Quarterly!B$2,Quarterly!D$2,IF(COUNTIFS(Quarterly!B:B,"&gt;="&amp;A1076-92,Quarterly!B:B,"&lt;="&amp;A1076)&gt;1,SUMIFS(Quarterly!D:D,Quarterly!B:B,"&gt;="&amp;A1076-88,Quarterly!B:B,"&lt;="&amp;A1076),SUMIFS(Quarterly!D:D,Quarterly!B:B,"&gt;="&amp;A1076-92,Quarterly!B:B,"&lt;="&amp;A1076)))</f>
        <v>566.39400000000001</v>
      </c>
      <c r="N1076" s="13">
        <f t="shared" si="396"/>
        <v>0.16976000000000002</v>
      </c>
      <c r="O1076">
        <f t="shared" si="384"/>
        <v>961.51</v>
      </c>
      <c r="P1076" s="56">
        <f>VLOOKUP(EOMONTH(A1076,-1),Economic!A:I,7,FALSE)</f>
        <v>730022</v>
      </c>
      <c r="Q1076" s="13">
        <f t="shared" si="385"/>
        <v>0.13170000000000001</v>
      </c>
      <c r="R1076" s="41">
        <v>0.19</v>
      </c>
      <c r="S1076">
        <f t="shared" si="386"/>
        <v>0.51</v>
      </c>
      <c r="T1076" s="30">
        <f t="shared" si="387"/>
        <v>80.77</v>
      </c>
      <c r="U1076" s="30">
        <f t="shared" si="394"/>
        <v>82.07</v>
      </c>
    </row>
    <row r="1077" spans="1:21" ht="15" customHeight="1" x14ac:dyDescent="0.25">
      <c r="A1077" s="5">
        <v>35806</v>
      </c>
      <c r="B1077" s="5">
        <f t="shared" si="388"/>
        <v>35826</v>
      </c>
      <c r="C1077">
        <v>927.69</v>
      </c>
      <c r="D1077" s="29">
        <f t="shared" si="389"/>
        <v>-2.6499999999999999E-2</v>
      </c>
      <c r="E1077" s="39">
        <f t="shared" si="390"/>
        <v>945.99384615384611</v>
      </c>
      <c r="F1077" s="39">
        <f t="shared" si="391"/>
        <v>910.32333333333338</v>
      </c>
      <c r="G1077" s="29">
        <f t="shared" si="383"/>
        <v>-1.9300000000000001E-2</v>
      </c>
      <c r="H1077" s="29">
        <f t="shared" si="383"/>
        <v>1.9099999999999999E-2</v>
      </c>
      <c r="I1077">
        <f t="shared" si="392"/>
        <v>927.69</v>
      </c>
      <c r="J1077">
        <f>IF(A1077&gt;=Quarterly!B$2,Quarterly!C$2,IF(COUNTIFS(Quarterly!B:B,"&gt;="&amp;A1077-92,Quarterly!B:B,"&lt;="&amp;A1077)&gt;1,SUMIFS(Quarterly!C:C,Quarterly!B:B,"&gt;="&amp;A1077-88,Quarterly!B:B,"&lt;="&amp;A1077),SUMIFS(Quarterly!C:C,Quarterly!B:B,"&gt;="&amp;A1077-92,Quarterly!B:B,"&lt;="&amp;A1077)))</f>
        <v>8691.7999999999993</v>
      </c>
      <c r="K1077" s="13">
        <f t="shared" si="393"/>
        <v>0.1067</v>
      </c>
      <c r="L1077">
        <f t="shared" si="395"/>
        <v>927.69</v>
      </c>
      <c r="M1077">
        <f>IF(A1077&gt;=Quarterly!B$2,Quarterly!D$2,IF(COUNTIFS(Quarterly!B:B,"&gt;="&amp;A1077-92,Quarterly!B:B,"&lt;="&amp;A1077)&gt;1,SUMIFS(Quarterly!D:D,Quarterly!B:B,"&gt;="&amp;A1077-88,Quarterly!B:B,"&lt;="&amp;A1077),SUMIFS(Quarterly!D:D,Quarterly!B:B,"&gt;="&amp;A1077-92,Quarterly!B:B,"&lt;="&amp;A1077)))</f>
        <v>566.39400000000001</v>
      </c>
      <c r="N1077" s="13">
        <f t="shared" si="396"/>
        <v>0.16378999999999999</v>
      </c>
      <c r="O1077">
        <f t="shared" si="384"/>
        <v>927.69</v>
      </c>
      <c r="P1077" s="56">
        <f>VLOOKUP(EOMONTH(A1077,-1),Economic!A:I,7,FALSE)</f>
        <v>730022</v>
      </c>
      <c r="Q1077" s="13">
        <f t="shared" si="385"/>
        <v>0.12709999999999999</v>
      </c>
      <c r="R1077" s="41">
        <v>0.23</v>
      </c>
      <c r="S1077">
        <f t="shared" si="386"/>
        <v>0.53</v>
      </c>
      <c r="T1077" s="30">
        <f t="shared" si="387"/>
        <v>85.2</v>
      </c>
      <c r="U1077" s="30">
        <f t="shared" si="394"/>
        <v>83.86</v>
      </c>
    </row>
    <row r="1078" spans="1:21" ht="15" customHeight="1" x14ac:dyDescent="0.25">
      <c r="A1078" s="5">
        <v>35799</v>
      </c>
      <c r="B1078" s="5">
        <f t="shared" si="388"/>
        <v>35826</v>
      </c>
      <c r="C1078">
        <v>975.04</v>
      </c>
      <c r="D1078" s="29">
        <f t="shared" si="389"/>
        <v>2.0899999999999998E-2</v>
      </c>
      <c r="E1078" s="39">
        <f t="shared" si="390"/>
        <v>949.01615384615377</v>
      </c>
      <c r="F1078" s="39">
        <f t="shared" si="391"/>
        <v>905.45051282051281</v>
      </c>
      <c r="G1078" s="29">
        <f t="shared" si="383"/>
        <v>2.7400000000000001E-2</v>
      </c>
      <c r="H1078" s="29">
        <f t="shared" si="383"/>
        <v>7.6899999999999996E-2</v>
      </c>
      <c r="I1078">
        <f t="shared" si="392"/>
        <v>975.04</v>
      </c>
      <c r="J1078">
        <f>IF(A1078&gt;=Quarterly!B$2,Quarterly!C$2,IF(COUNTIFS(Quarterly!B:B,"&gt;="&amp;A1078-92,Quarterly!B:B,"&lt;="&amp;A1078)&gt;1,SUMIFS(Quarterly!C:C,Quarterly!B:B,"&gt;="&amp;A1078-88,Quarterly!B:B,"&lt;="&amp;A1078),SUMIFS(Quarterly!C:C,Quarterly!B:B,"&gt;="&amp;A1078-92,Quarterly!B:B,"&lt;="&amp;A1078)))</f>
        <v>8691.7999999999993</v>
      </c>
      <c r="K1078" s="13">
        <f t="shared" si="393"/>
        <v>0.11219999999999999</v>
      </c>
      <c r="L1078">
        <f t="shared" si="395"/>
        <v>975.04</v>
      </c>
      <c r="M1078">
        <f>IF(A1078&gt;=Quarterly!B$2,Quarterly!D$2,IF(COUNTIFS(Quarterly!B:B,"&gt;="&amp;A1078-92,Quarterly!B:B,"&lt;="&amp;A1078)&gt;1,SUMIFS(Quarterly!D:D,Quarterly!B:B,"&gt;="&amp;A1078-88,Quarterly!B:B,"&lt;="&amp;A1078),SUMIFS(Quarterly!D:D,Quarterly!B:B,"&gt;="&amp;A1078-92,Quarterly!B:B,"&lt;="&amp;A1078)))</f>
        <v>566.39400000000001</v>
      </c>
      <c r="N1078" s="13">
        <f t="shared" si="396"/>
        <v>0.17215000000000003</v>
      </c>
      <c r="O1078">
        <f t="shared" si="384"/>
        <v>975.04</v>
      </c>
      <c r="P1078" s="56">
        <f>VLOOKUP(EOMONTH(A1078,-1),Economic!A:I,7,FALSE)</f>
        <v>730022</v>
      </c>
      <c r="Q1078" s="13">
        <f t="shared" si="385"/>
        <v>0.1336</v>
      </c>
      <c r="R1078" s="41">
        <v>0.08</v>
      </c>
      <c r="S1078">
        <f t="shared" si="386"/>
        <v>0.59</v>
      </c>
      <c r="T1078" s="30">
        <f t="shared" si="387"/>
        <v>80.239999999999995</v>
      </c>
      <c r="U1078" s="30">
        <f t="shared" si="394"/>
        <v>83.24</v>
      </c>
    </row>
    <row r="1079" spans="1:21" ht="15" customHeight="1" x14ac:dyDescent="0.25">
      <c r="A1079" s="5">
        <v>35792</v>
      </c>
      <c r="B1079" s="5">
        <f t="shared" si="388"/>
        <v>35795</v>
      </c>
      <c r="C1079">
        <v>936.46</v>
      </c>
      <c r="D1079" s="29">
        <f t="shared" si="389"/>
        <v>-2.4400000000000002E-2</v>
      </c>
      <c r="E1079" s="39">
        <f t="shared" si="390"/>
        <v>948.2461538461539</v>
      </c>
      <c r="F1079" s="39">
        <f t="shared" si="391"/>
        <v>899.88282051282056</v>
      </c>
      <c r="G1079" s="29">
        <f t="shared" si="383"/>
        <v>-1.24E-2</v>
      </c>
      <c r="H1079" s="29">
        <f t="shared" si="383"/>
        <v>4.0599999999999997E-2</v>
      </c>
      <c r="I1079">
        <f t="shared" si="392"/>
        <v>936.46</v>
      </c>
      <c r="J1079">
        <f>IF(A1079&gt;=Quarterly!B$2,Quarterly!C$2,IF(COUNTIFS(Quarterly!B:B,"&gt;="&amp;A1079-92,Quarterly!B:B,"&lt;="&amp;A1079)&gt;1,SUMIFS(Quarterly!C:C,Quarterly!B:B,"&gt;="&amp;A1079-88,Quarterly!B:B,"&lt;="&amp;A1079),SUMIFS(Quarterly!C:C,Quarterly!B:B,"&gt;="&amp;A1079-92,Quarterly!B:B,"&lt;="&amp;A1079)))</f>
        <v>8691.7999999999993</v>
      </c>
      <c r="K1079" s="13">
        <f t="shared" si="393"/>
        <v>0.1077</v>
      </c>
      <c r="L1079">
        <f t="shared" si="395"/>
        <v>936.46</v>
      </c>
      <c r="M1079">
        <f>IF(A1079&gt;=Quarterly!B$2,Quarterly!D$2,IF(COUNTIFS(Quarterly!B:B,"&gt;="&amp;A1079-92,Quarterly!B:B,"&lt;="&amp;A1079)&gt;1,SUMIFS(Quarterly!D:D,Quarterly!B:B,"&gt;="&amp;A1079-88,Quarterly!B:B,"&lt;="&amp;A1079),SUMIFS(Quarterly!D:D,Quarterly!B:B,"&gt;="&amp;A1079-92,Quarterly!B:B,"&lt;="&amp;A1079)))</f>
        <v>566.39400000000001</v>
      </c>
      <c r="N1079" s="13">
        <f t="shared" si="396"/>
        <v>0.16534000000000001</v>
      </c>
      <c r="O1079">
        <f t="shared" si="384"/>
        <v>936.46</v>
      </c>
      <c r="P1079" s="56">
        <f>VLOOKUP(EOMONTH(A1079,-1),Economic!A:I,7,FALSE)</f>
        <v>729228</v>
      </c>
      <c r="Q1079" s="13">
        <f t="shared" si="385"/>
        <v>0.12839999999999999</v>
      </c>
      <c r="R1079" s="41">
        <v>0.06</v>
      </c>
      <c r="S1079">
        <f t="shared" si="386"/>
        <v>0.64</v>
      </c>
      <c r="T1079" s="30">
        <f t="shared" si="387"/>
        <v>86.13</v>
      </c>
      <c r="U1079" s="30">
        <f t="shared" si="394"/>
        <v>84.04</v>
      </c>
    </row>
    <row r="1080" spans="1:21" ht="15" customHeight="1" x14ac:dyDescent="0.25">
      <c r="A1080" s="5">
        <v>35785</v>
      </c>
      <c r="B1080" s="5">
        <f t="shared" si="388"/>
        <v>35795</v>
      </c>
      <c r="C1080">
        <v>946.78</v>
      </c>
      <c r="D1080" s="29">
        <f t="shared" si="389"/>
        <v>-1.78E-2</v>
      </c>
      <c r="E1080" s="39">
        <f t="shared" si="390"/>
        <v>948.92</v>
      </c>
      <c r="F1080" s="39">
        <f t="shared" si="391"/>
        <v>895.71410256410229</v>
      </c>
      <c r="G1080" s="29">
        <f t="shared" si="383"/>
        <v>-2.3E-3</v>
      </c>
      <c r="H1080" s="29">
        <f t="shared" si="383"/>
        <v>5.7000000000000002E-2</v>
      </c>
      <c r="I1080">
        <f t="shared" si="392"/>
        <v>946.78</v>
      </c>
      <c r="J1080">
        <f>IF(A1080&gt;=Quarterly!B$2,Quarterly!C$2,IF(COUNTIFS(Quarterly!B:B,"&gt;="&amp;A1080-92,Quarterly!B:B,"&lt;="&amp;A1080)&gt;1,SUMIFS(Quarterly!C:C,Quarterly!B:B,"&gt;="&amp;A1080-88,Quarterly!B:B,"&lt;="&amp;A1080),SUMIFS(Quarterly!C:C,Quarterly!B:B,"&gt;="&amp;A1080-92,Quarterly!B:B,"&lt;="&amp;A1080)))</f>
        <v>8691.7999999999993</v>
      </c>
      <c r="K1080" s="13">
        <f t="shared" si="393"/>
        <v>0.1089</v>
      </c>
      <c r="L1080">
        <f t="shared" si="395"/>
        <v>946.78</v>
      </c>
      <c r="M1080">
        <f>IF(A1080&gt;=Quarterly!B$2,Quarterly!D$2,IF(COUNTIFS(Quarterly!B:B,"&gt;="&amp;A1080-92,Quarterly!B:B,"&lt;="&amp;A1080)&gt;1,SUMIFS(Quarterly!D:D,Quarterly!B:B,"&gt;="&amp;A1080-88,Quarterly!B:B,"&lt;="&amp;A1080),SUMIFS(Quarterly!D:D,Quarterly!B:B,"&gt;="&amp;A1080-92,Quarterly!B:B,"&lt;="&amp;A1080)))</f>
        <v>566.39400000000001</v>
      </c>
      <c r="N1080" s="13">
        <f t="shared" si="396"/>
        <v>0.16716</v>
      </c>
      <c r="O1080">
        <f t="shared" si="384"/>
        <v>946.78</v>
      </c>
      <c r="P1080" s="56">
        <f>VLOOKUP(EOMONTH(A1080,-1),Economic!A:I,7,FALSE)</f>
        <v>729228</v>
      </c>
      <c r="Q1080" s="13">
        <f t="shared" si="385"/>
        <v>0.1298</v>
      </c>
      <c r="R1080" s="41">
        <v>0.06</v>
      </c>
      <c r="S1080">
        <f t="shared" si="386"/>
        <v>0.61</v>
      </c>
      <c r="T1080" s="30">
        <f t="shared" si="387"/>
        <v>83.34</v>
      </c>
      <c r="U1080" s="30">
        <f t="shared" si="394"/>
        <v>81.8</v>
      </c>
    </row>
    <row r="1081" spans="1:21" ht="15" customHeight="1" x14ac:dyDescent="0.25">
      <c r="A1081" s="5">
        <v>35778</v>
      </c>
      <c r="B1081" s="5">
        <f t="shared" si="388"/>
        <v>35795</v>
      </c>
      <c r="C1081">
        <v>953.39</v>
      </c>
      <c r="D1081" s="29">
        <f t="shared" si="389"/>
        <v>-4.4999999999999997E-3</v>
      </c>
      <c r="E1081" s="39">
        <f t="shared" si="390"/>
        <v>949.20692307692309</v>
      </c>
      <c r="F1081" s="39">
        <f t="shared" si="391"/>
        <v>891.5428205128203</v>
      </c>
      <c r="G1081" s="29">
        <f t="shared" si="383"/>
        <v>4.4000000000000003E-3</v>
      </c>
      <c r="H1081" s="29">
        <f t="shared" si="383"/>
        <v>6.9400000000000003E-2</v>
      </c>
      <c r="I1081">
        <f t="shared" si="392"/>
        <v>953.39</v>
      </c>
      <c r="J1081">
        <f>IF(A1081&gt;=Quarterly!B$2,Quarterly!C$2,IF(COUNTIFS(Quarterly!B:B,"&gt;="&amp;A1081-92,Quarterly!B:B,"&lt;="&amp;A1081)&gt;1,SUMIFS(Quarterly!C:C,Quarterly!B:B,"&gt;="&amp;A1081-88,Quarterly!B:B,"&lt;="&amp;A1081),SUMIFS(Quarterly!C:C,Quarterly!B:B,"&gt;="&amp;A1081-92,Quarterly!B:B,"&lt;="&amp;A1081)))</f>
        <v>8691.7999999999993</v>
      </c>
      <c r="K1081" s="13">
        <f t="shared" si="393"/>
        <v>0.10970000000000001</v>
      </c>
      <c r="L1081">
        <f t="shared" si="395"/>
        <v>953.39</v>
      </c>
      <c r="M1081">
        <f>IF(A1081&gt;=Quarterly!B$2,Quarterly!D$2,IF(COUNTIFS(Quarterly!B:B,"&gt;="&amp;A1081-92,Quarterly!B:B,"&lt;="&amp;A1081)&gt;1,SUMIFS(Quarterly!D:D,Quarterly!B:B,"&gt;="&amp;A1081-88,Quarterly!B:B,"&lt;="&amp;A1081),SUMIFS(Quarterly!D:D,Quarterly!B:B,"&gt;="&amp;A1081-92,Quarterly!B:B,"&lt;="&amp;A1081)))</f>
        <v>566.39400000000001</v>
      </c>
      <c r="N1081" s="13">
        <f t="shared" si="396"/>
        <v>0.16833000000000001</v>
      </c>
      <c r="O1081">
        <f t="shared" si="384"/>
        <v>953.39</v>
      </c>
      <c r="P1081" s="56">
        <f>VLOOKUP(EOMONTH(A1081,-1),Economic!A:I,7,FALSE)</f>
        <v>729228</v>
      </c>
      <c r="Q1081" s="13">
        <f t="shared" si="385"/>
        <v>0.13070000000000001</v>
      </c>
      <c r="R1081" s="41">
        <v>0.11</v>
      </c>
      <c r="S1081">
        <f t="shared" si="386"/>
        <v>0.63</v>
      </c>
      <c r="T1081" s="30">
        <f t="shared" si="387"/>
        <v>82.65</v>
      </c>
      <c r="U1081" s="30">
        <f t="shared" si="394"/>
        <v>81.650000000000006</v>
      </c>
    </row>
    <row r="1082" spans="1:21" ht="15" customHeight="1" x14ac:dyDescent="0.25">
      <c r="A1082" s="5">
        <v>35771</v>
      </c>
      <c r="B1082" s="5">
        <f t="shared" si="388"/>
        <v>35795</v>
      </c>
      <c r="C1082">
        <v>983.79</v>
      </c>
      <c r="D1082" s="29">
        <f t="shared" si="389"/>
        <v>4.2599999999999999E-2</v>
      </c>
      <c r="E1082" s="39">
        <f t="shared" si="390"/>
        <v>946.93923076923079</v>
      </c>
      <c r="F1082" s="39">
        <f t="shared" si="391"/>
        <v>887.43461538461509</v>
      </c>
      <c r="G1082" s="29">
        <f t="shared" si="383"/>
        <v>3.8899999999999997E-2</v>
      </c>
      <c r="H1082" s="29">
        <f t="shared" si="383"/>
        <v>0.1086</v>
      </c>
      <c r="I1082">
        <f t="shared" si="392"/>
        <v>983.79</v>
      </c>
      <c r="J1082">
        <f>IF(A1082&gt;=Quarterly!B$2,Quarterly!C$2,IF(COUNTIFS(Quarterly!B:B,"&gt;="&amp;A1082-92,Quarterly!B:B,"&lt;="&amp;A1082)&gt;1,SUMIFS(Quarterly!C:C,Quarterly!B:B,"&gt;="&amp;A1082-88,Quarterly!B:B,"&lt;="&amp;A1082),SUMIFS(Quarterly!C:C,Quarterly!B:B,"&gt;="&amp;A1082-92,Quarterly!B:B,"&lt;="&amp;A1082)))</f>
        <v>8691.7999999999993</v>
      </c>
      <c r="K1082" s="13">
        <f t="shared" si="393"/>
        <v>0.1132</v>
      </c>
      <c r="L1082">
        <f t="shared" si="395"/>
        <v>983.79</v>
      </c>
      <c r="M1082">
        <f>IF(A1082&gt;=Quarterly!B$2,Quarterly!D$2,IF(COUNTIFS(Quarterly!B:B,"&gt;="&amp;A1082-92,Quarterly!B:B,"&lt;="&amp;A1082)&gt;1,SUMIFS(Quarterly!D:D,Quarterly!B:B,"&gt;="&amp;A1082-88,Quarterly!B:B,"&lt;="&amp;A1082),SUMIFS(Quarterly!D:D,Quarterly!B:B,"&gt;="&amp;A1082-92,Quarterly!B:B,"&lt;="&amp;A1082)))</f>
        <v>566.39400000000001</v>
      </c>
      <c r="N1082" s="13">
        <f t="shared" si="396"/>
        <v>0.17369000000000001</v>
      </c>
      <c r="O1082">
        <f t="shared" si="384"/>
        <v>983.79</v>
      </c>
      <c r="P1082" s="56">
        <f>VLOOKUP(EOMONTH(A1082,-1),Economic!A:I,7,FALSE)</f>
        <v>729228</v>
      </c>
      <c r="Q1082" s="13">
        <f t="shared" si="385"/>
        <v>0.13489999999999999</v>
      </c>
      <c r="R1082" s="41">
        <v>0.12</v>
      </c>
      <c r="S1082">
        <f t="shared" si="386"/>
        <v>0.63</v>
      </c>
      <c r="T1082" s="30">
        <f t="shared" si="387"/>
        <v>79.400000000000006</v>
      </c>
      <c r="U1082" s="30">
        <f t="shared" si="394"/>
        <v>81.510000000000005</v>
      </c>
    </row>
    <row r="1083" spans="1:21" ht="15" customHeight="1" x14ac:dyDescent="0.25">
      <c r="A1083" s="5">
        <v>35764</v>
      </c>
      <c r="B1083" s="5">
        <f t="shared" si="388"/>
        <v>35764</v>
      </c>
      <c r="C1083">
        <v>955.4</v>
      </c>
      <c r="D1083" s="29">
        <f t="shared" si="389"/>
        <v>2.3599999999999999E-2</v>
      </c>
      <c r="E1083" s="39">
        <f t="shared" si="390"/>
        <v>942.72846153846149</v>
      </c>
      <c r="F1083" s="39">
        <f t="shared" si="391"/>
        <v>882.84948717948714</v>
      </c>
      <c r="G1083" s="29">
        <f t="shared" si="383"/>
        <v>1.34E-2</v>
      </c>
      <c r="H1083" s="29">
        <f t="shared" si="383"/>
        <v>8.2199999999999995E-2</v>
      </c>
      <c r="I1083">
        <f t="shared" si="392"/>
        <v>955.4</v>
      </c>
      <c r="J1083">
        <f>IF(A1083&gt;=Quarterly!B$2,Quarterly!C$2,IF(COUNTIFS(Quarterly!B:B,"&gt;="&amp;A1083-92,Quarterly!B:B,"&lt;="&amp;A1083)&gt;1,SUMIFS(Quarterly!C:C,Quarterly!B:B,"&gt;="&amp;A1083-88,Quarterly!B:B,"&lt;="&amp;A1083),SUMIFS(Quarterly!C:C,Quarterly!B:B,"&gt;="&amp;A1083-92,Quarterly!B:B,"&lt;="&amp;A1083)))</f>
        <v>8691.7999999999993</v>
      </c>
      <c r="K1083" s="13">
        <f t="shared" si="393"/>
        <v>0.1099</v>
      </c>
      <c r="L1083">
        <f t="shared" si="395"/>
        <v>955.4</v>
      </c>
      <c r="M1083">
        <f>IF(A1083&gt;=Quarterly!B$2,Quarterly!D$2,IF(COUNTIFS(Quarterly!B:B,"&gt;="&amp;A1083-92,Quarterly!B:B,"&lt;="&amp;A1083)&gt;1,SUMIFS(Quarterly!D:D,Quarterly!B:B,"&gt;="&amp;A1083-88,Quarterly!B:B,"&lt;="&amp;A1083),SUMIFS(Quarterly!D:D,Quarterly!B:B,"&gt;="&amp;A1083-92,Quarterly!B:B,"&lt;="&amp;A1083)))</f>
        <v>566.39400000000001</v>
      </c>
      <c r="N1083" s="13">
        <f t="shared" si="396"/>
        <v>0.16868000000000002</v>
      </c>
      <c r="O1083">
        <f t="shared" si="384"/>
        <v>955.4</v>
      </c>
      <c r="P1083" s="56">
        <f>VLOOKUP(EOMONTH(A1083,-1),Economic!A:I,7,FALSE)</f>
        <v>726049</v>
      </c>
      <c r="Q1083" s="13">
        <f t="shared" si="385"/>
        <v>0.13159999999999999</v>
      </c>
      <c r="R1083" s="41">
        <v>0.1</v>
      </c>
      <c r="S1083">
        <f t="shared" si="386"/>
        <v>0.61</v>
      </c>
      <c r="T1083" s="30">
        <f t="shared" si="387"/>
        <v>82.89</v>
      </c>
      <c r="U1083" s="30">
        <f t="shared" si="394"/>
        <v>84.48</v>
      </c>
    </row>
    <row r="1084" spans="1:21" ht="15" customHeight="1" x14ac:dyDescent="0.25">
      <c r="A1084" s="5">
        <v>35757</v>
      </c>
      <c r="B1084" s="5">
        <f t="shared" si="388"/>
        <v>35764</v>
      </c>
      <c r="C1084">
        <v>963.09</v>
      </c>
      <c r="D1084" s="29">
        <f t="shared" si="389"/>
        <v>3.78E-2</v>
      </c>
      <c r="E1084" s="39">
        <f t="shared" si="390"/>
        <v>938.42615384615374</v>
      </c>
      <c r="F1084" s="39">
        <f t="shared" si="391"/>
        <v>878.62948717948689</v>
      </c>
      <c r="G1084" s="29">
        <f t="shared" si="383"/>
        <v>2.63E-2</v>
      </c>
      <c r="H1084" s="29">
        <f t="shared" si="383"/>
        <v>9.6100000000000005E-2</v>
      </c>
      <c r="I1084">
        <f t="shared" si="392"/>
        <v>963.09</v>
      </c>
      <c r="J1084">
        <f>IF(A1084&gt;=Quarterly!B$2,Quarterly!C$2,IF(COUNTIFS(Quarterly!B:B,"&gt;="&amp;A1084-92,Quarterly!B:B,"&lt;="&amp;A1084)&gt;1,SUMIFS(Quarterly!C:C,Quarterly!B:B,"&gt;="&amp;A1084-88,Quarterly!B:B,"&lt;="&amp;A1084),SUMIFS(Quarterly!C:C,Quarterly!B:B,"&gt;="&amp;A1084-92,Quarterly!B:B,"&lt;="&amp;A1084)))</f>
        <v>8691.7999999999993</v>
      </c>
      <c r="K1084" s="13">
        <f t="shared" si="393"/>
        <v>0.1108</v>
      </c>
      <c r="L1084">
        <f t="shared" si="395"/>
        <v>963.09</v>
      </c>
      <c r="M1084">
        <f>IF(A1084&gt;=Quarterly!B$2,Quarterly!D$2,IF(COUNTIFS(Quarterly!B:B,"&gt;="&amp;A1084-92,Quarterly!B:B,"&lt;="&amp;A1084)&gt;1,SUMIFS(Quarterly!D:D,Quarterly!B:B,"&gt;="&amp;A1084-88,Quarterly!B:B,"&lt;="&amp;A1084),SUMIFS(Quarterly!D:D,Quarterly!B:B,"&gt;="&amp;A1084-92,Quarterly!B:B,"&lt;="&amp;A1084)))</f>
        <v>566.39400000000001</v>
      </c>
      <c r="N1084" s="13">
        <f t="shared" si="396"/>
        <v>0.17004</v>
      </c>
      <c r="O1084">
        <f t="shared" si="384"/>
        <v>963.09</v>
      </c>
      <c r="P1084" s="56">
        <f>VLOOKUP(EOMONTH(A1084,-1),Economic!A:I,7,FALSE)</f>
        <v>726049</v>
      </c>
      <c r="Q1084" s="13">
        <f t="shared" si="385"/>
        <v>0.1326</v>
      </c>
      <c r="R1084" s="41">
        <v>0.14000000000000001</v>
      </c>
      <c r="S1084">
        <f t="shared" si="386"/>
        <v>0.59</v>
      </c>
      <c r="T1084" s="30">
        <f t="shared" si="387"/>
        <v>82.24</v>
      </c>
      <c r="U1084" s="30">
        <f t="shared" si="394"/>
        <v>86.1</v>
      </c>
    </row>
    <row r="1085" spans="1:21" ht="15" customHeight="1" x14ac:dyDescent="0.25">
      <c r="A1085" s="5">
        <v>35750</v>
      </c>
      <c r="B1085" s="5">
        <f t="shared" si="388"/>
        <v>35764</v>
      </c>
      <c r="C1085">
        <v>928.35</v>
      </c>
      <c r="D1085" s="29">
        <f t="shared" si="389"/>
        <v>-3.8999999999999998E-3</v>
      </c>
      <c r="E1085" s="39">
        <f t="shared" si="390"/>
        <v>935.38384615384598</v>
      </c>
      <c r="F1085" s="39">
        <f t="shared" si="391"/>
        <v>874.49307692307661</v>
      </c>
      <c r="G1085" s="29">
        <f t="shared" si="383"/>
        <v>-7.4999999999999997E-3</v>
      </c>
      <c r="H1085" s="29">
        <f t="shared" si="383"/>
        <v>6.1600000000000002E-2</v>
      </c>
      <c r="I1085">
        <f t="shared" si="392"/>
        <v>928.35</v>
      </c>
      <c r="J1085">
        <f>IF(A1085&gt;=Quarterly!B$2,Quarterly!C$2,IF(COUNTIFS(Quarterly!B:B,"&gt;="&amp;A1085-92,Quarterly!B:B,"&lt;="&amp;A1085)&gt;1,SUMIFS(Quarterly!C:C,Quarterly!B:B,"&gt;="&amp;A1085-88,Quarterly!B:B,"&lt;="&amp;A1085),SUMIFS(Quarterly!C:C,Quarterly!B:B,"&gt;="&amp;A1085-92,Quarterly!B:B,"&lt;="&amp;A1085)))</f>
        <v>8691.7999999999993</v>
      </c>
      <c r="K1085" s="13">
        <f t="shared" si="393"/>
        <v>0.10680000000000001</v>
      </c>
      <c r="L1085">
        <f t="shared" si="395"/>
        <v>928.35</v>
      </c>
      <c r="M1085">
        <f>IF(A1085&gt;=Quarterly!B$2,Quarterly!D$2,IF(COUNTIFS(Quarterly!B:B,"&gt;="&amp;A1085-92,Quarterly!B:B,"&lt;="&amp;A1085)&gt;1,SUMIFS(Quarterly!D:D,Quarterly!B:B,"&gt;="&amp;A1085-88,Quarterly!B:B,"&lt;="&amp;A1085),SUMIFS(Quarterly!D:D,Quarterly!B:B,"&gt;="&amp;A1085-92,Quarterly!B:B,"&lt;="&amp;A1085)))</f>
        <v>566.39400000000001</v>
      </c>
      <c r="N1085" s="13">
        <f t="shared" si="396"/>
        <v>0.16391</v>
      </c>
      <c r="O1085">
        <f t="shared" si="384"/>
        <v>928.35</v>
      </c>
      <c r="P1085" s="56">
        <f>VLOOKUP(EOMONTH(A1085,-1),Economic!A:I,7,FALSE)</f>
        <v>726049</v>
      </c>
      <c r="Q1085" s="13">
        <f t="shared" si="385"/>
        <v>0.12789999999999999</v>
      </c>
      <c r="R1085" s="41">
        <v>0.16</v>
      </c>
      <c r="S1085">
        <f t="shared" si="386"/>
        <v>0.64</v>
      </c>
      <c r="T1085" s="30">
        <f t="shared" si="387"/>
        <v>88.3</v>
      </c>
      <c r="U1085" s="30">
        <f t="shared" si="394"/>
        <v>88.39</v>
      </c>
    </row>
    <row r="1086" spans="1:21" ht="15" customHeight="1" x14ac:dyDescent="0.25">
      <c r="A1086" s="5">
        <v>35743</v>
      </c>
      <c r="B1086" s="5">
        <f t="shared" si="388"/>
        <v>35764</v>
      </c>
      <c r="C1086">
        <v>927.51</v>
      </c>
      <c r="D1086" s="29">
        <f t="shared" si="389"/>
        <v>-1.52E-2</v>
      </c>
      <c r="E1086" s="39">
        <f t="shared" si="390"/>
        <v>933.26538461538451</v>
      </c>
      <c r="F1086" s="39">
        <f t="shared" si="391"/>
        <v>871.41948717948696</v>
      </c>
      <c r="G1086" s="29">
        <f t="shared" si="383"/>
        <v>-6.1999999999999998E-3</v>
      </c>
      <c r="H1086" s="29">
        <f t="shared" si="383"/>
        <v>6.4399999999999999E-2</v>
      </c>
      <c r="I1086">
        <f t="shared" si="392"/>
        <v>927.51</v>
      </c>
      <c r="J1086">
        <f>IF(A1086&gt;=Quarterly!B$2,Quarterly!C$2,IF(COUNTIFS(Quarterly!B:B,"&gt;="&amp;A1086-92,Quarterly!B:B,"&lt;="&amp;A1086)&gt;1,SUMIFS(Quarterly!C:C,Quarterly!B:B,"&gt;="&amp;A1086-88,Quarterly!B:B,"&lt;="&amp;A1086),SUMIFS(Quarterly!C:C,Quarterly!B:B,"&gt;="&amp;A1086-92,Quarterly!B:B,"&lt;="&amp;A1086)))</f>
        <v>8691.7999999999993</v>
      </c>
      <c r="K1086" s="13">
        <f t="shared" si="393"/>
        <v>0.1067</v>
      </c>
      <c r="L1086">
        <f t="shared" si="395"/>
        <v>927.51</v>
      </c>
      <c r="M1086">
        <f>IF(A1086&gt;=Quarterly!B$2,Quarterly!D$2,IF(COUNTIFS(Quarterly!B:B,"&gt;="&amp;A1086-92,Quarterly!B:B,"&lt;="&amp;A1086)&gt;1,SUMIFS(Quarterly!D:D,Quarterly!B:B,"&gt;="&amp;A1086-88,Quarterly!B:B,"&lt;="&amp;A1086),SUMIFS(Quarterly!D:D,Quarterly!B:B,"&gt;="&amp;A1086-92,Quarterly!B:B,"&lt;="&amp;A1086)))</f>
        <v>566.39400000000001</v>
      </c>
      <c r="N1086" s="13">
        <f t="shared" si="396"/>
        <v>0.16376000000000002</v>
      </c>
      <c r="O1086">
        <f t="shared" si="384"/>
        <v>927.51</v>
      </c>
      <c r="P1086" s="56">
        <f>VLOOKUP(EOMONTH(A1086,-1),Economic!A:I,7,FALSE)</f>
        <v>726049</v>
      </c>
      <c r="Q1086" s="13">
        <f t="shared" si="385"/>
        <v>0.12769999999999998</v>
      </c>
      <c r="R1086" s="41">
        <v>0.19</v>
      </c>
      <c r="S1086">
        <f t="shared" si="386"/>
        <v>0.61</v>
      </c>
      <c r="T1086" s="30">
        <f t="shared" si="387"/>
        <v>87.77</v>
      </c>
      <c r="U1086" s="30">
        <f t="shared" si="394"/>
        <v>85.39</v>
      </c>
    </row>
    <row r="1087" spans="1:21" ht="15" customHeight="1" x14ac:dyDescent="0.25">
      <c r="A1087" s="5">
        <v>35736</v>
      </c>
      <c r="B1087" s="5">
        <f t="shared" si="388"/>
        <v>35764</v>
      </c>
      <c r="C1087">
        <v>914.62</v>
      </c>
      <c r="D1087" s="29">
        <f t="shared" si="389"/>
        <v>-4.1700000000000001E-2</v>
      </c>
      <c r="E1087" s="39">
        <f t="shared" si="390"/>
        <v>933.72923076923075</v>
      </c>
      <c r="F1087" s="39">
        <f t="shared" si="391"/>
        <v>867.88230769230756</v>
      </c>
      <c r="G1087" s="29">
        <f t="shared" si="383"/>
        <v>-2.0500000000000001E-2</v>
      </c>
      <c r="H1087" s="29">
        <f t="shared" si="383"/>
        <v>5.3900000000000003E-2</v>
      </c>
      <c r="I1087">
        <f t="shared" si="392"/>
        <v>914.62</v>
      </c>
      <c r="J1087">
        <f>IF(A1087&gt;=Quarterly!B$2,Quarterly!C$2,IF(COUNTIFS(Quarterly!B:B,"&gt;="&amp;A1087-92,Quarterly!B:B,"&lt;="&amp;A1087)&gt;1,SUMIFS(Quarterly!C:C,Quarterly!B:B,"&gt;="&amp;A1087-88,Quarterly!B:B,"&lt;="&amp;A1087),SUMIFS(Quarterly!C:C,Quarterly!B:B,"&gt;="&amp;A1087-92,Quarterly!B:B,"&lt;="&amp;A1087)))</f>
        <v>8691.7999999999993</v>
      </c>
      <c r="K1087" s="13">
        <f t="shared" si="393"/>
        <v>0.1052</v>
      </c>
      <c r="L1087">
        <f t="shared" si="395"/>
        <v>914.62</v>
      </c>
      <c r="M1087">
        <f>IF(A1087&gt;=Quarterly!B$2,Quarterly!D$2,IF(COUNTIFS(Quarterly!B:B,"&gt;="&amp;A1087-92,Quarterly!B:B,"&lt;="&amp;A1087)&gt;1,SUMIFS(Quarterly!D:D,Quarterly!B:B,"&gt;="&amp;A1087-88,Quarterly!B:B,"&lt;="&amp;A1087),SUMIFS(Quarterly!D:D,Quarterly!B:B,"&gt;="&amp;A1087-92,Quarterly!B:B,"&lt;="&amp;A1087)))</f>
        <v>566.39400000000001</v>
      </c>
      <c r="N1087" s="13">
        <f t="shared" si="396"/>
        <v>0.16148000000000001</v>
      </c>
      <c r="O1087">
        <f t="shared" si="384"/>
        <v>914.62</v>
      </c>
      <c r="P1087" s="56">
        <f>VLOOKUP(EOMONTH(A1087,-1),Economic!A:I,7,FALSE)</f>
        <v>726049</v>
      </c>
      <c r="Q1087" s="13">
        <f t="shared" si="385"/>
        <v>0.126</v>
      </c>
      <c r="R1087" s="41">
        <v>0.21</v>
      </c>
      <c r="S1087">
        <f t="shared" si="386"/>
        <v>0.62</v>
      </c>
      <c r="T1087" s="30">
        <f t="shared" si="387"/>
        <v>89.1</v>
      </c>
      <c r="U1087" s="30">
        <f t="shared" si="394"/>
        <v>82.13</v>
      </c>
    </row>
    <row r="1088" spans="1:21" ht="15" customHeight="1" x14ac:dyDescent="0.25">
      <c r="A1088" s="5">
        <v>35729</v>
      </c>
      <c r="B1088" s="5">
        <f t="shared" si="388"/>
        <v>35734</v>
      </c>
      <c r="C1088">
        <v>941.64</v>
      </c>
      <c r="D1088" s="29">
        <f t="shared" si="389"/>
        <v>-1.43E-2</v>
      </c>
      <c r="E1088" s="39">
        <f t="shared" si="390"/>
        <v>936.23076923076894</v>
      </c>
      <c r="F1088" s="39">
        <f t="shared" si="391"/>
        <v>864.5884615384615</v>
      </c>
      <c r="G1088" s="29">
        <f t="shared" si="383"/>
        <v>5.7999999999999996E-3</v>
      </c>
      <c r="H1088" s="29">
        <f t="shared" si="383"/>
        <v>8.9099999999999999E-2</v>
      </c>
      <c r="I1088">
        <f t="shared" si="392"/>
        <v>941.64</v>
      </c>
      <c r="J1088">
        <f>IF(A1088&gt;=Quarterly!B$2,Quarterly!C$2,IF(COUNTIFS(Quarterly!B:B,"&gt;="&amp;A1088-92,Quarterly!B:B,"&lt;="&amp;A1088)&gt;1,SUMIFS(Quarterly!C:C,Quarterly!B:B,"&gt;="&amp;A1088-88,Quarterly!B:B,"&lt;="&amp;A1088),SUMIFS(Quarterly!C:C,Quarterly!B:B,"&gt;="&amp;A1088-92,Quarterly!B:B,"&lt;="&amp;A1088)))</f>
        <v>8551.9</v>
      </c>
      <c r="K1088" s="13">
        <f t="shared" si="393"/>
        <v>0.1101</v>
      </c>
      <c r="L1088">
        <f t="shared" si="395"/>
        <v>941.64</v>
      </c>
      <c r="M1088">
        <f>IF(A1088&gt;=Quarterly!B$2,Quarterly!D$2,IF(COUNTIFS(Quarterly!B:B,"&gt;="&amp;A1088-92,Quarterly!B:B,"&lt;="&amp;A1088)&gt;1,SUMIFS(Quarterly!D:D,Quarterly!B:B,"&gt;="&amp;A1088-88,Quarterly!B:B,"&lt;="&amp;A1088),SUMIFS(Quarterly!D:D,Quarterly!B:B,"&gt;="&amp;A1088-92,Quarterly!B:B,"&lt;="&amp;A1088)))</f>
        <v>544.80100000000004</v>
      </c>
      <c r="N1088" s="13">
        <f t="shared" si="396"/>
        <v>0.17283999999999999</v>
      </c>
      <c r="O1088">
        <f t="shared" si="384"/>
        <v>941.64</v>
      </c>
      <c r="P1088" s="56">
        <f>VLOOKUP(EOMONTH(A1088,-1),Economic!A:I,7,FALSE)</f>
        <v>721527</v>
      </c>
      <c r="Q1088" s="13">
        <f t="shared" si="385"/>
        <v>0.1305</v>
      </c>
      <c r="R1088" s="41">
        <v>0.22</v>
      </c>
      <c r="S1088">
        <f t="shared" si="386"/>
        <v>0.63</v>
      </c>
      <c r="T1088" s="30">
        <f t="shared" si="387"/>
        <v>79.31</v>
      </c>
      <c r="U1088" s="30">
        <f t="shared" si="394"/>
        <v>77.11</v>
      </c>
    </row>
    <row r="1089" spans="1:21" ht="15" customHeight="1" x14ac:dyDescent="0.25">
      <c r="A1089" s="5">
        <v>35722</v>
      </c>
      <c r="B1089" s="5">
        <f t="shared" si="388"/>
        <v>35734</v>
      </c>
      <c r="C1089">
        <v>944.16</v>
      </c>
      <c r="D1089" s="29">
        <f t="shared" si="389"/>
        <v>-1.3299999999999999E-2</v>
      </c>
      <c r="E1089" s="39">
        <f t="shared" si="390"/>
        <v>936.01153846153852</v>
      </c>
      <c r="F1089" s="39">
        <f t="shared" si="391"/>
        <v>860.20076923076908</v>
      </c>
      <c r="G1089" s="29">
        <f t="shared" si="383"/>
        <v>8.6999999999999994E-3</v>
      </c>
      <c r="H1089" s="29">
        <f t="shared" si="383"/>
        <v>9.7600000000000006E-2</v>
      </c>
      <c r="I1089">
        <f t="shared" si="392"/>
        <v>944.16</v>
      </c>
      <c r="J1089">
        <f>IF(A1089&gt;=Quarterly!B$2,Quarterly!C$2,IF(COUNTIFS(Quarterly!B:B,"&gt;="&amp;A1089-92,Quarterly!B:B,"&lt;="&amp;A1089)&gt;1,SUMIFS(Quarterly!C:C,Quarterly!B:B,"&gt;="&amp;A1089-88,Quarterly!B:B,"&lt;="&amp;A1089),SUMIFS(Quarterly!C:C,Quarterly!B:B,"&gt;="&amp;A1089-92,Quarterly!B:B,"&lt;="&amp;A1089)))</f>
        <v>8551.9</v>
      </c>
      <c r="K1089" s="13">
        <f t="shared" si="393"/>
        <v>0.1104</v>
      </c>
      <c r="L1089">
        <f t="shared" si="395"/>
        <v>944.16</v>
      </c>
      <c r="M1089">
        <f>IF(A1089&gt;=Quarterly!B$2,Quarterly!D$2,IF(COUNTIFS(Quarterly!B:B,"&gt;="&amp;A1089-92,Quarterly!B:B,"&lt;="&amp;A1089)&gt;1,SUMIFS(Quarterly!D:D,Quarterly!B:B,"&gt;="&amp;A1089-88,Quarterly!B:B,"&lt;="&amp;A1089),SUMIFS(Quarterly!D:D,Quarterly!B:B,"&gt;="&amp;A1089-92,Quarterly!B:B,"&lt;="&amp;A1089)))</f>
        <v>544.80100000000004</v>
      </c>
      <c r="N1089" s="13">
        <f t="shared" si="396"/>
        <v>0.17330000000000001</v>
      </c>
      <c r="O1089">
        <f t="shared" si="384"/>
        <v>944.16</v>
      </c>
      <c r="P1089" s="56">
        <f>VLOOKUP(EOMONTH(A1089,-1),Economic!A:I,7,FALSE)</f>
        <v>721527</v>
      </c>
      <c r="Q1089" s="13">
        <f t="shared" si="385"/>
        <v>0.13090000000000002</v>
      </c>
      <c r="R1089" s="41">
        <v>0.26</v>
      </c>
      <c r="S1089">
        <f t="shared" si="386"/>
        <v>0.61</v>
      </c>
      <c r="T1089" s="30">
        <f t="shared" si="387"/>
        <v>77.97</v>
      </c>
      <c r="U1089" s="30">
        <f t="shared" si="394"/>
        <v>76.040000000000006</v>
      </c>
    </row>
    <row r="1090" spans="1:21" ht="15" customHeight="1" x14ac:dyDescent="0.25">
      <c r="A1090" s="5">
        <v>35715</v>
      </c>
      <c r="B1090" s="5">
        <f t="shared" si="388"/>
        <v>35734</v>
      </c>
      <c r="C1090">
        <v>966.98</v>
      </c>
      <c r="D1090" s="29">
        <f t="shared" si="389"/>
        <v>2.1999999999999999E-2</v>
      </c>
      <c r="E1090" s="39">
        <f t="shared" si="390"/>
        <v>933.79153846153849</v>
      </c>
      <c r="F1090" s="39">
        <f t="shared" si="391"/>
        <v>855.8933333333332</v>
      </c>
      <c r="G1090" s="29">
        <f t="shared" ref="G1090:H1153" si="397">ROUND(($C1090-E1090)/E1090,4)</f>
        <v>3.5499999999999997E-2</v>
      </c>
      <c r="H1090" s="29">
        <f t="shared" si="397"/>
        <v>0.1298</v>
      </c>
      <c r="I1090">
        <f t="shared" si="392"/>
        <v>966.98</v>
      </c>
      <c r="J1090">
        <f>IF(A1090&gt;=Quarterly!B$2,Quarterly!C$2,IF(COUNTIFS(Quarterly!B:B,"&gt;="&amp;A1090-92,Quarterly!B:B,"&lt;="&amp;A1090)&gt;1,SUMIFS(Quarterly!C:C,Quarterly!B:B,"&gt;="&amp;A1090-88,Quarterly!B:B,"&lt;="&amp;A1090),SUMIFS(Quarterly!C:C,Quarterly!B:B,"&gt;="&amp;A1090-92,Quarterly!B:B,"&lt;="&amp;A1090)))</f>
        <v>8551.9</v>
      </c>
      <c r="K1090" s="13">
        <f t="shared" si="393"/>
        <v>0.11310000000000001</v>
      </c>
      <c r="L1090">
        <f t="shared" si="395"/>
        <v>966.98</v>
      </c>
      <c r="M1090">
        <f>IF(A1090&gt;=Quarterly!B$2,Quarterly!D$2,IF(COUNTIFS(Quarterly!B:B,"&gt;="&amp;A1090-92,Quarterly!B:B,"&lt;="&amp;A1090)&gt;1,SUMIFS(Quarterly!D:D,Quarterly!B:B,"&gt;="&amp;A1090-88,Quarterly!B:B,"&lt;="&amp;A1090),SUMIFS(Quarterly!D:D,Quarterly!B:B,"&gt;="&amp;A1090-92,Quarterly!B:B,"&lt;="&amp;A1090)))</f>
        <v>544.80100000000004</v>
      </c>
      <c r="N1090" s="13">
        <f t="shared" si="396"/>
        <v>0.17749000000000001</v>
      </c>
      <c r="O1090">
        <f t="shared" si="384"/>
        <v>966.98</v>
      </c>
      <c r="P1090" s="56">
        <f>VLOOKUP(EOMONTH(A1090,-1),Economic!A:I,7,FALSE)</f>
        <v>721527</v>
      </c>
      <c r="Q1090" s="13">
        <f t="shared" si="385"/>
        <v>0.13400000000000001</v>
      </c>
      <c r="R1090" s="41">
        <v>0.28999999999999998</v>
      </c>
      <c r="S1090">
        <f t="shared" si="386"/>
        <v>0.56999999999999995</v>
      </c>
      <c r="T1090" s="30">
        <f t="shared" si="387"/>
        <v>74.06</v>
      </c>
      <c r="U1090" s="30">
        <f t="shared" si="394"/>
        <v>76.36</v>
      </c>
    </row>
    <row r="1091" spans="1:21" ht="15" customHeight="1" x14ac:dyDescent="0.25">
      <c r="A1091" s="5">
        <v>35708</v>
      </c>
      <c r="B1091" s="5">
        <f t="shared" si="388"/>
        <v>35734</v>
      </c>
      <c r="C1091">
        <v>965.03</v>
      </c>
      <c r="D1091" s="29">
        <f t="shared" si="389"/>
        <v>2.9700000000000001E-2</v>
      </c>
      <c r="E1091" s="39">
        <f t="shared" si="390"/>
        <v>929.92230769230787</v>
      </c>
      <c r="F1091" s="39">
        <f t="shared" si="391"/>
        <v>850.57333333333338</v>
      </c>
      <c r="G1091" s="29">
        <f t="shared" si="397"/>
        <v>3.78E-2</v>
      </c>
      <c r="H1091" s="29">
        <f t="shared" si="397"/>
        <v>0.1346</v>
      </c>
      <c r="I1091">
        <f t="shared" si="392"/>
        <v>965.03</v>
      </c>
      <c r="J1091">
        <f>IF(A1091&gt;=Quarterly!B$2,Quarterly!C$2,IF(COUNTIFS(Quarterly!B:B,"&gt;="&amp;A1091-92,Quarterly!B:B,"&lt;="&amp;A1091)&gt;1,SUMIFS(Quarterly!C:C,Quarterly!B:B,"&gt;="&amp;A1091-88,Quarterly!B:B,"&lt;="&amp;A1091),SUMIFS(Quarterly!C:C,Quarterly!B:B,"&gt;="&amp;A1091-92,Quarterly!B:B,"&lt;="&amp;A1091)))</f>
        <v>8551.9</v>
      </c>
      <c r="K1091" s="13">
        <f t="shared" si="393"/>
        <v>0.1128</v>
      </c>
      <c r="L1091">
        <f t="shared" si="395"/>
        <v>965.03</v>
      </c>
      <c r="M1091">
        <f>IF(A1091&gt;=Quarterly!B$2,Quarterly!D$2,IF(COUNTIFS(Quarterly!B:B,"&gt;="&amp;A1091-92,Quarterly!B:B,"&lt;="&amp;A1091)&gt;1,SUMIFS(Quarterly!D:D,Quarterly!B:B,"&gt;="&amp;A1091-88,Quarterly!B:B,"&lt;="&amp;A1091),SUMIFS(Quarterly!D:D,Quarterly!B:B,"&gt;="&amp;A1091-92,Quarterly!B:B,"&lt;="&amp;A1091)))</f>
        <v>544.80100000000004</v>
      </c>
      <c r="N1091" s="13">
        <f t="shared" si="396"/>
        <v>0.17713000000000001</v>
      </c>
      <c r="O1091">
        <f t="shared" si="384"/>
        <v>965.03</v>
      </c>
      <c r="P1091" s="56">
        <f>VLOOKUP(EOMONTH(A1091,-1),Economic!A:I,7,FALSE)</f>
        <v>721527</v>
      </c>
      <c r="Q1091" s="13">
        <f t="shared" si="385"/>
        <v>0.13370000000000001</v>
      </c>
      <c r="R1091" s="41">
        <v>0.28999999999999998</v>
      </c>
      <c r="S1091">
        <f t="shared" si="386"/>
        <v>0.6</v>
      </c>
      <c r="T1091" s="30">
        <f t="shared" si="387"/>
        <v>76.099999999999994</v>
      </c>
      <c r="U1091" s="30">
        <f t="shared" si="394"/>
        <v>78.08</v>
      </c>
    </row>
    <row r="1092" spans="1:21" ht="15" customHeight="1" x14ac:dyDescent="0.25">
      <c r="A1092" s="5">
        <v>35701</v>
      </c>
      <c r="B1092" s="5">
        <f t="shared" si="388"/>
        <v>35703</v>
      </c>
      <c r="C1092">
        <v>945.22</v>
      </c>
      <c r="D1092" s="29">
        <f t="shared" si="389"/>
        <v>2.1000000000000001E-2</v>
      </c>
      <c r="E1092" s="39">
        <f t="shared" si="390"/>
        <v>926.22153846153844</v>
      </c>
      <c r="F1092" s="39">
        <f t="shared" si="391"/>
        <v>845.00923076923084</v>
      </c>
      <c r="G1092" s="29">
        <f t="shared" si="397"/>
        <v>2.0500000000000001E-2</v>
      </c>
      <c r="H1092" s="29">
        <f t="shared" si="397"/>
        <v>0.1186</v>
      </c>
      <c r="I1092">
        <f t="shared" si="392"/>
        <v>945.22</v>
      </c>
      <c r="J1092">
        <f>IF(A1092&gt;=Quarterly!B$2,Quarterly!C$2,IF(COUNTIFS(Quarterly!B:B,"&gt;="&amp;A1092-92,Quarterly!B:B,"&lt;="&amp;A1092)&gt;1,SUMIFS(Quarterly!C:C,Quarterly!B:B,"&gt;="&amp;A1092-88,Quarterly!B:B,"&lt;="&amp;A1092),SUMIFS(Quarterly!C:C,Quarterly!B:B,"&gt;="&amp;A1092-92,Quarterly!B:B,"&lt;="&amp;A1092)))</f>
        <v>8551.9</v>
      </c>
      <c r="K1092" s="13">
        <f t="shared" si="393"/>
        <v>0.1105</v>
      </c>
      <c r="L1092">
        <f t="shared" si="395"/>
        <v>945.22</v>
      </c>
      <c r="M1092">
        <f>IF(A1092&gt;=Quarterly!B$2,Quarterly!D$2,IF(COUNTIFS(Quarterly!B:B,"&gt;="&amp;A1092-92,Quarterly!B:B,"&lt;="&amp;A1092)&gt;1,SUMIFS(Quarterly!D:D,Quarterly!B:B,"&gt;="&amp;A1092-88,Quarterly!B:B,"&lt;="&amp;A1092),SUMIFS(Quarterly!D:D,Quarterly!B:B,"&gt;="&amp;A1092-92,Quarterly!B:B,"&lt;="&amp;A1092)))</f>
        <v>544.80100000000004</v>
      </c>
      <c r="N1092" s="13">
        <f t="shared" si="396"/>
        <v>0.17350000000000002</v>
      </c>
      <c r="O1092">
        <f t="shared" si="384"/>
        <v>945.22</v>
      </c>
      <c r="P1092" s="56">
        <f>VLOOKUP(EOMONTH(A1092,-1),Economic!A:I,7,FALSE)</f>
        <v>718267</v>
      </c>
      <c r="Q1092" s="13">
        <f t="shared" si="385"/>
        <v>0.13159999999999999</v>
      </c>
      <c r="R1092" s="41">
        <v>0.28000000000000003</v>
      </c>
      <c r="S1092">
        <f t="shared" si="386"/>
        <v>0.6</v>
      </c>
      <c r="T1092" s="30">
        <f t="shared" si="387"/>
        <v>78.930000000000007</v>
      </c>
      <c r="U1092" s="30">
        <f t="shared" si="394"/>
        <v>80.290000000000006</v>
      </c>
    </row>
    <row r="1093" spans="1:21" ht="15" customHeight="1" x14ac:dyDescent="0.25">
      <c r="A1093" s="5">
        <v>35694</v>
      </c>
      <c r="B1093" s="5">
        <f t="shared" si="388"/>
        <v>35703</v>
      </c>
      <c r="C1093">
        <v>950.51</v>
      </c>
      <c r="D1093" s="29">
        <f t="shared" si="389"/>
        <v>3.4299999999999997E-2</v>
      </c>
      <c r="E1093" s="39">
        <f t="shared" si="390"/>
        <v>921.76615384615388</v>
      </c>
      <c r="F1093" s="39">
        <f t="shared" si="391"/>
        <v>840.17769230769238</v>
      </c>
      <c r="G1093" s="29">
        <f t="shared" si="397"/>
        <v>3.1199999999999999E-2</v>
      </c>
      <c r="H1093" s="29">
        <f t="shared" si="397"/>
        <v>0.1313</v>
      </c>
      <c r="I1093">
        <f t="shared" si="392"/>
        <v>950.51</v>
      </c>
      <c r="J1093">
        <f>IF(A1093&gt;=Quarterly!B$2,Quarterly!C$2,IF(COUNTIFS(Quarterly!B:B,"&gt;="&amp;A1093-92,Quarterly!B:B,"&lt;="&amp;A1093)&gt;1,SUMIFS(Quarterly!C:C,Quarterly!B:B,"&gt;="&amp;A1093-88,Quarterly!B:B,"&lt;="&amp;A1093),SUMIFS(Quarterly!C:C,Quarterly!B:B,"&gt;="&amp;A1093-92,Quarterly!B:B,"&lt;="&amp;A1093)))</f>
        <v>8551.9</v>
      </c>
      <c r="K1093" s="13">
        <f t="shared" si="393"/>
        <v>0.1111</v>
      </c>
      <c r="L1093">
        <f t="shared" si="395"/>
        <v>950.51</v>
      </c>
      <c r="M1093">
        <f>IF(A1093&gt;=Quarterly!B$2,Quarterly!D$2,IF(COUNTIFS(Quarterly!B:B,"&gt;="&amp;A1093-92,Quarterly!B:B,"&lt;="&amp;A1093)&gt;1,SUMIFS(Quarterly!D:D,Quarterly!B:B,"&gt;="&amp;A1093-88,Quarterly!B:B,"&lt;="&amp;A1093),SUMIFS(Quarterly!D:D,Quarterly!B:B,"&gt;="&amp;A1093-92,Quarterly!B:B,"&lt;="&amp;A1093)))</f>
        <v>544.80100000000004</v>
      </c>
      <c r="N1093" s="13">
        <f t="shared" si="396"/>
        <v>0.17447000000000001</v>
      </c>
      <c r="O1093">
        <f t="shared" si="384"/>
        <v>950.51</v>
      </c>
      <c r="P1093" s="56">
        <f>VLOOKUP(EOMONTH(A1093,-1),Economic!A:I,7,FALSE)</f>
        <v>718267</v>
      </c>
      <c r="Q1093" s="13">
        <f t="shared" si="385"/>
        <v>0.1323</v>
      </c>
      <c r="R1093" s="41">
        <v>0.28000000000000003</v>
      </c>
      <c r="S1093">
        <f t="shared" si="386"/>
        <v>0.6</v>
      </c>
      <c r="T1093" s="30">
        <f t="shared" si="387"/>
        <v>79.22</v>
      </c>
      <c r="U1093" s="30">
        <f t="shared" si="394"/>
        <v>81.739999999999995</v>
      </c>
    </row>
    <row r="1094" spans="1:21" ht="15" customHeight="1" x14ac:dyDescent="0.25">
      <c r="A1094" s="5">
        <v>35687</v>
      </c>
      <c r="B1094" s="5">
        <f t="shared" si="388"/>
        <v>35703</v>
      </c>
      <c r="C1094">
        <v>923.91</v>
      </c>
      <c r="D1094" s="29">
        <f t="shared" si="389"/>
        <v>1.17E-2</v>
      </c>
      <c r="E1094" s="39">
        <f t="shared" si="390"/>
        <v>917.78076923076935</v>
      </c>
      <c r="F1094" s="39">
        <f t="shared" si="391"/>
        <v>835.00743589743604</v>
      </c>
      <c r="G1094" s="29">
        <f t="shared" si="397"/>
        <v>6.7000000000000002E-3</v>
      </c>
      <c r="H1094" s="29">
        <f t="shared" si="397"/>
        <v>0.1065</v>
      </c>
      <c r="I1094">
        <f t="shared" si="392"/>
        <v>923.91</v>
      </c>
      <c r="J1094">
        <f>IF(A1094&gt;=Quarterly!B$2,Quarterly!C$2,IF(COUNTIFS(Quarterly!B:B,"&gt;="&amp;A1094-92,Quarterly!B:B,"&lt;="&amp;A1094)&gt;1,SUMIFS(Quarterly!C:C,Quarterly!B:B,"&gt;="&amp;A1094-88,Quarterly!B:B,"&lt;="&amp;A1094),SUMIFS(Quarterly!C:C,Quarterly!B:B,"&gt;="&amp;A1094-92,Quarterly!B:B,"&lt;="&amp;A1094)))</f>
        <v>8551.9</v>
      </c>
      <c r="K1094" s="13">
        <f t="shared" si="393"/>
        <v>0.108</v>
      </c>
      <c r="L1094">
        <f t="shared" si="395"/>
        <v>923.91</v>
      </c>
      <c r="M1094">
        <f>IF(A1094&gt;=Quarterly!B$2,Quarterly!D$2,IF(COUNTIFS(Quarterly!B:B,"&gt;="&amp;A1094-92,Quarterly!B:B,"&lt;="&amp;A1094)&gt;1,SUMIFS(Quarterly!D:D,Quarterly!B:B,"&gt;="&amp;A1094-88,Quarterly!B:B,"&lt;="&amp;A1094),SUMIFS(Quarterly!D:D,Quarterly!B:B,"&gt;="&amp;A1094-92,Quarterly!B:B,"&lt;="&amp;A1094)))</f>
        <v>544.80100000000004</v>
      </c>
      <c r="N1094" s="13">
        <f t="shared" si="396"/>
        <v>0.16959000000000002</v>
      </c>
      <c r="O1094">
        <f t="shared" ref="O1094:O1157" si="398">C1094</f>
        <v>923.91</v>
      </c>
      <c r="P1094" s="56">
        <f>VLOOKUP(EOMONTH(A1094,-1),Economic!A:I,7,FALSE)</f>
        <v>718267</v>
      </c>
      <c r="Q1094" s="13">
        <f t="shared" ref="Q1094:Q1157" si="399">ROUND(O1094/P1094,6)*100</f>
        <v>0.12859999999999999</v>
      </c>
      <c r="R1094" s="41">
        <v>0.36</v>
      </c>
      <c r="S1094">
        <f t="shared" ref="S1094:S1157" si="400">R1155</f>
        <v>0.59</v>
      </c>
      <c r="T1094" s="30">
        <f t="shared" ref="T1094:T1157" si="401">IF((ROUND((S1094*40)+(G1094*350)-(H1094*100)-((N1094-0.15)*350)-(((K1094*10.5)-1)*270)-(Q1094*100),2)+144)*0.8&lt;0,0,ROUND((ROUND((S1094*40)+(G1094*350)-(H1094*100)-((N1094-0.15)*350)-(((K1094*10.5)-1)*270)-(Q1094*100),2)+144)*0.8,2))</f>
        <v>82.72</v>
      </c>
      <c r="U1094" s="30">
        <f t="shared" si="394"/>
        <v>84.58</v>
      </c>
    </row>
    <row r="1095" spans="1:21" ht="15" customHeight="1" x14ac:dyDescent="0.25">
      <c r="A1095" s="5">
        <v>35680</v>
      </c>
      <c r="B1095" s="5">
        <f t="shared" si="388"/>
        <v>35703</v>
      </c>
      <c r="C1095">
        <v>929.05</v>
      </c>
      <c r="D1095" s="29">
        <f t="shared" si="389"/>
        <v>1.61E-2</v>
      </c>
      <c r="E1095" s="39">
        <f t="shared" si="390"/>
        <v>915.42384615384617</v>
      </c>
      <c r="F1095" s="39">
        <f t="shared" si="391"/>
        <v>830.00051282051288</v>
      </c>
      <c r="G1095" s="29">
        <f t="shared" si="397"/>
        <v>1.49E-2</v>
      </c>
      <c r="H1095" s="29">
        <f t="shared" si="397"/>
        <v>0.1193</v>
      </c>
      <c r="I1095">
        <f t="shared" si="392"/>
        <v>929.05</v>
      </c>
      <c r="J1095">
        <f>IF(A1095&gt;=Quarterly!B$2,Quarterly!C$2,IF(COUNTIFS(Quarterly!B:B,"&gt;="&amp;A1095-92,Quarterly!B:B,"&lt;="&amp;A1095)&gt;1,SUMIFS(Quarterly!C:C,Quarterly!B:B,"&gt;="&amp;A1095-88,Quarterly!B:B,"&lt;="&amp;A1095),SUMIFS(Quarterly!C:C,Quarterly!B:B,"&gt;="&amp;A1095-92,Quarterly!B:B,"&lt;="&amp;A1095)))</f>
        <v>8551.9</v>
      </c>
      <c r="K1095" s="13">
        <f t="shared" si="393"/>
        <v>0.1086</v>
      </c>
      <c r="L1095">
        <f t="shared" si="395"/>
        <v>929.05</v>
      </c>
      <c r="M1095">
        <f>IF(A1095&gt;=Quarterly!B$2,Quarterly!D$2,IF(COUNTIFS(Quarterly!B:B,"&gt;="&amp;A1095-92,Quarterly!B:B,"&lt;="&amp;A1095)&gt;1,SUMIFS(Quarterly!D:D,Quarterly!B:B,"&gt;="&amp;A1095-88,Quarterly!B:B,"&lt;="&amp;A1095),SUMIFS(Quarterly!D:D,Quarterly!B:B,"&gt;="&amp;A1095-92,Quarterly!B:B,"&lt;="&amp;A1095)))</f>
        <v>544.80100000000004</v>
      </c>
      <c r="N1095" s="13">
        <f t="shared" si="396"/>
        <v>0.17053000000000001</v>
      </c>
      <c r="O1095">
        <f t="shared" si="398"/>
        <v>929.05</v>
      </c>
      <c r="P1095" s="56">
        <f>VLOOKUP(EOMONTH(A1095,-1),Economic!A:I,7,FALSE)</f>
        <v>718267</v>
      </c>
      <c r="Q1095" s="13">
        <f t="shared" si="399"/>
        <v>0.1293</v>
      </c>
      <c r="R1095" s="41">
        <v>0.39</v>
      </c>
      <c r="S1095">
        <f t="shared" si="400"/>
        <v>0.62</v>
      </c>
      <c r="T1095" s="30">
        <f t="shared" si="401"/>
        <v>83.27</v>
      </c>
      <c r="U1095" s="30">
        <f t="shared" si="394"/>
        <v>85.5</v>
      </c>
    </row>
    <row r="1096" spans="1:21" ht="15" customHeight="1" x14ac:dyDescent="0.25">
      <c r="A1096" s="5">
        <v>35673</v>
      </c>
      <c r="B1096" s="5">
        <f t="shared" si="388"/>
        <v>35673</v>
      </c>
      <c r="C1096">
        <v>899.47</v>
      </c>
      <c r="D1096" s="29">
        <f t="shared" si="389"/>
        <v>-2.8899999999999999E-2</v>
      </c>
      <c r="E1096" s="39">
        <f t="shared" si="390"/>
        <v>909.95923076923089</v>
      </c>
      <c r="F1096" s="39">
        <f t="shared" si="391"/>
        <v>825.14282051282055</v>
      </c>
      <c r="G1096" s="29">
        <f t="shared" si="397"/>
        <v>-1.15E-2</v>
      </c>
      <c r="H1096" s="29">
        <f t="shared" si="397"/>
        <v>9.01E-2</v>
      </c>
      <c r="I1096">
        <f t="shared" si="392"/>
        <v>899.47</v>
      </c>
      <c r="J1096">
        <f>IF(A1096&gt;=Quarterly!B$2,Quarterly!C$2,IF(COUNTIFS(Quarterly!B:B,"&gt;="&amp;A1096-92,Quarterly!B:B,"&lt;="&amp;A1096)&gt;1,SUMIFS(Quarterly!C:C,Quarterly!B:B,"&gt;="&amp;A1096-88,Quarterly!B:B,"&lt;="&amp;A1096),SUMIFS(Quarterly!C:C,Quarterly!B:B,"&gt;="&amp;A1096-92,Quarterly!B:B,"&lt;="&amp;A1096)))</f>
        <v>8551.9</v>
      </c>
      <c r="K1096" s="13">
        <f t="shared" si="393"/>
        <v>0.1052</v>
      </c>
      <c r="L1096">
        <f t="shared" si="395"/>
        <v>899.47</v>
      </c>
      <c r="M1096">
        <f>IF(A1096&gt;=Quarterly!B$2,Quarterly!D$2,IF(COUNTIFS(Quarterly!B:B,"&gt;="&amp;A1096-92,Quarterly!B:B,"&lt;="&amp;A1096)&gt;1,SUMIFS(Quarterly!D:D,Quarterly!B:B,"&gt;="&amp;A1096-88,Quarterly!B:B,"&lt;="&amp;A1096),SUMIFS(Quarterly!D:D,Quarterly!B:B,"&gt;="&amp;A1096-92,Quarterly!B:B,"&lt;="&amp;A1096)))</f>
        <v>544.80100000000004</v>
      </c>
      <c r="N1096" s="13">
        <f t="shared" si="396"/>
        <v>0.16510000000000002</v>
      </c>
      <c r="O1096">
        <f t="shared" si="398"/>
        <v>899.47</v>
      </c>
      <c r="P1096" s="56">
        <f>VLOOKUP(EOMONTH(A1096,-1),Economic!A:I,7,FALSE)</f>
        <v>716857</v>
      </c>
      <c r="Q1096" s="13">
        <f t="shared" si="399"/>
        <v>0.1255</v>
      </c>
      <c r="R1096" s="41">
        <v>0.37</v>
      </c>
      <c r="S1096">
        <f t="shared" si="400"/>
        <v>0.62</v>
      </c>
      <c r="T1096" s="30">
        <f t="shared" si="401"/>
        <v>87.75</v>
      </c>
      <c r="U1096" s="30">
        <f t="shared" si="394"/>
        <v>88.12</v>
      </c>
    </row>
    <row r="1097" spans="1:21" ht="15" customHeight="1" x14ac:dyDescent="0.25">
      <c r="A1097" s="5">
        <v>35666</v>
      </c>
      <c r="B1097" s="5">
        <f t="shared" si="388"/>
        <v>35673</v>
      </c>
      <c r="C1097">
        <v>923.54</v>
      </c>
      <c r="D1097" s="29">
        <f t="shared" si="389"/>
        <v>-7.0000000000000001E-3</v>
      </c>
      <c r="E1097" s="39">
        <f t="shared" si="390"/>
        <v>906.02153846153863</v>
      </c>
      <c r="F1097" s="39">
        <f t="shared" si="391"/>
        <v>821.49025641025651</v>
      </c>
      <c r="G1097" s="29">
        <f t="shared" si="397"/>
        <v>1.9300000000000001E-2</v>
      </c>
      <c r="H1097" s="29">
        <f t="shared" si="397"/>
        <v>0.1242</v>
      </c>
      <c r="I1097">
        <f t="shared" si="392"/>
        <v>923.54</v>
      </c>
      <c r="J1097">
        <f>IF(A1097&gt;=Quarterly!B$2,Quarterly!C$2,IF(COUNTIFS(Quarterly!B:B,"&gt;="&amp;A1097-92,Quarterly!B:B,"&lt;="&amp;A1097)&gt;1,SUMIFS(Quarterly!C:C,Quarterly!B:B,"&gt;="&amp;A1097-88,Quarterly!B:B,"&lt;="&amp;A1097),SUMIFS(Quarterly!C:C,Quarterly!B:B,"&gt;="&amp;A1097-92,Quarterly!B:B,"&lt;="&amp;A1097)))</f>
        <v>8551.9</v>
      </c>
      <c r="K1097" s="13">
        <f t="shared" si="393"/>
        <v>0.108</v>
      </c>
      <c r="L1097">
        <f t="shared" si="395"/>
        <v>923.54</v>
      </c>
      <c r="M1097">
        <f>IF(A1097&gt;=Quarterly!B$2,Quarterly!D$2,IF(COUNTIFS(Quarterly!B:B,"&gt;="&amp;A1097-92,Quarterly!B:B,"&lt;="&amp;A1097)&gt;1,SUMIFS(Quarterly!D:D,Quarterly!B:B,"&gt;="&amp;A1097-88,Quarterly!B:B,"&lt;="&amp;A1097),SUMIFS(Quarterly!D:D,Quarterly!B:B,"&gt;="&amp;A1097-92,Quarterly!B:B,"&lt;="&amp;A1097)))</f>
        <v>544.80100000000004</v>
      </c>
      <c r="N1097" s="13">
        <f t="shared" si="396"/>
        <v>0.16952</v>
      </c>
      <c r="O1097">
        <f t="shared" si="398"/>
        <v>923.54</v>
      </c>
      <c r="P1097" s="56">
        <f>VLOOKUP(EOMONTH(A1097,-1),Economic!A:I,7,FALSE)</f>
        <v>716857</v>
      </c>
      <c r="Q1097" s="13">
        <f t="shared" si="399"/>
        <v>0.1288</v>
      </c>
      <c r="R1097" s="41">
        <v>0.4</v>
      </c>
      <c r="S1097">
        <f t="shared" si="400"/>
        <v>0.61</v>
      </c>
      <c r="T1097" s="30">
        <f t="shared" si="401"/>
        <v>85.47</v>
      </c>
      <c r="U1097" s="30">
        <f t="shared" si="394"/>
        <v>87</v>
      </c>
    </row>
    <row r="1098" spans="1:21" ht="15" customHeight="1" x14ac:dyDescent="0.25">
      <c r="A1098" s="5">
        <v>35659</v>
      </c>
      <c r="B1098" s="5">
        <f t="shared" si="388"/>
        <v>35673</v>
      </c>
      <c r="C1098">
        <v>900.81</v>
      </c>
      <c r="D1098" s="29">
        <f t="shared" si="389"/>
        <v>-3.5200000000000002E-2</v>
      </c>
      <c r="E1098" s="39">
        <f t="shared" si="390"/>
        <v>900.136153846154</v>
      </c>
      <c r="F1098" s="39">
        <f t="shared" si="391"/>
        <v>817.00794871794881</v>
      </c>
      <c r="G1098" s="29">
        <f t="shared" si="397"/>
        <v>6.9999999999999999E-4</v>
      </c>
      <c r="H1098" s="29">
        <f t="shared" si="397"/>
        <v>0.1026</v>
      </c>
      <c r="I1098">
        <f t="shared" si="392"/>
        <v>900.81</v>
      </c>
      <c r="J1098">
        <f>IF(A1098&gt;=Quarterly!B$2,Quarterly!C$2,IF(COUNTIFS(Quarterly!B:B,"&gt;="&amp;A1098-92,Quarterly!B:B,"&lt;="&amp;A1098)&gt;1,SUMIFS(Quarterly!C:C,Quarterly!B:B,"&gt;="&amp;A1098-88,Quarterly!B:B,"&lt;="&amp;A1098),SUMIFS(Quarterly!C:C,Quarterly!B:B,"&gt;="&amp;A1098-92,Quarterly!B:B,"&lt;="&amp;A1098)))</f>
        <v>8551.9</v>
      </c>
      <c r="K1098" s="13">
        <f t="shared" si="393"/>
        <v>0.1053</v>
      </c>
      <c r="L1098">
        <f t="shared" si="395"/>
        <v>900.81</v>
      </c>
      <c r="M1098">
        <f>IF(A1098&gt;=Quarterly!B$2,Quarterly!D$2,IF(COUNTIFS(Quarterly!B:B,"&gt;="&amp;A1098-92,Quarterly!B:B,"&lt;="&amp;A1098)&gt;1,SUMIFS(Quarterly!D:D,Quarterly!B:B,"&gt;="&amp;A1098-88,Quarterly!B:B,"&lt;="&amp;A1098),SUMIFS(Quarterly!D:D,Quarterly!B:B,"&gt;="&amp;A1098-92,Quarterly!B:B,"&lt;="&amp;A1098)))</f>
        <v>544.80100000000004</v>
      </c>
      <c r="N1098" s="13">
        <f t="shared" si="396"/>
        <v>0.16535</v>
      </c>
      <c r="O1098">
        <f t="shared" si="398"/>
        <v>900.81</v>
      </c>
      <c r="P1098" s="56">
        <f>VLOOKUP(EOMONTH(A1098,-1),Economic!A:I,7,FALSE)</f>
        <v>716857</v>
      </c>
      <c r="Q1098" s="13">
        <f t="shared" si="399"/>
        <v>0.12570000000000001</v>
      </c>
      <c r="R1098" s="41">
        <v>0.4</v>
      </c>
      <c r="S1098">
        <f t="shared" si="400"/>
        <v>0.66</v>
      </c>
      <c r="T1098" s="30">
        <f t="shared" si="401"/>
        <v>91.14</v>
      </c>
      <c r="U1098" s="30">
        <f t="shared" si="394"/>
        <v>87.38</v>
      </c>
    </row>
    <row r="1099" spans="1:21" ht="15" customHeight="1" x14ac:dyDescent="0.25">
      <c r="A1099" s="5">
        <v>35652</v>
      </c>
      <c r="B1099" s="5">
        <f t="shared" si="388"/>
        <v>35673</v>
      </c>
      <c r="C1099">
        <v>933.54</v>
      </c>
      <c r="D1099" s="29">
        <f t="shared" si="389"/>
        <v>4.4000000000000003E-3</v>
      </c>
      <c r="E1099" s="39">
        <f t="shared" si="390"/>
        <v>894.67000000000007</v>
      </c>
      <c r="F1099" s="39">
        <f t="shared" si="391"/>
        <v>812.82358974358965</v>
      </c>
      <c r="G1099" s="29">
        <f t="shared" si="397"/>
        <v>4.3400000000000001E-2</v>
      </c>
      <c r="H1099" s="29">
        <f t="shared" si="397"/>
        <v>0.14849999999999999</v>
      </c>
      <c r="I1099">
        <f t="shared" si="392"/>
        <v>933.54</v>
      </c>
      <c r="J1099">
        <f>IF(A1099&gt;=Quarterly!B$2,Quarterly!C$2,IF(COUNTIFS(Quarterly!B:B,"&gt;="&amp;A1099-92,Quarterly!B:B,"&lt;="&amp;A1099)&gt;1,SUMIFS(Quarterly!C:C,Quarterly!B:B,"&gt;="&amp;A1099-88,Quarterly!B:B,"&lt;="&amp;A1099),SUMIFS(Quarterly!C:C,Quarterly!B:B,"&gt;="&amp;A1099-92,Quarterly!B:B,"&lt;="&amp;A1099)))</f>
        <v>8551.9</v>
      </c>
      <c r="K1099" s="13">
        <f t="shared" si="393"/>
        <v>0.10920000000000001</v>
      </c>
      <c r="L1099">
        <f t="shared" si="395"/>
        <v>933.54</v>
      </c>
      <c r="M1099">
        <f>IF(A1099&gt;=Quarterly!B$2,Quarterly!D$2,IF(COUNTIFS(Quarterly!B:B,"&gt;="&amp;A1099-92,Quarterly!B:B,"&lt;="&amp;A1099)&gt;1,SUMIFS(Quarterly!D:D,Quarterly!B:B,"&gt;="&amp;A1099-88,Quarterly!B:B,"&lt;="&amp;A1099),SUMIFS(Quarterly!D:D,Quarterly!B:B,"&gt;="&amp;A1099-92,Quarterly!B:B,"&lt;="&amp;A1099)))</f>
        <v>544.80100000000004</v>
      </c>
      <c r="N1099" s="13">
        <f t="shared" si="396"/>
        <v>0.17135</v>
      </c>
      <c r="O1099">
        <f t="shared" si="398"/>
        <v>933.54</v>
      </c>
      <c r="P1099" s="56">
        <f>VLOOKUP(EOMONTH(A1099,-1),Economic!A:I,7,FALSE)</f>
        <v>716857</v>
      </c>
      <c r="Q1099" s="13">
        <f t="shared" si="399"/>
        <v>0.13020000000000001</v>
      </c>
      <c r="R1099" s="41">
        <v>0.36</v>
      </c>
      <c r="S1099">
        <f t="shared" si="400"/>
        <v>0.53</v>
      </c>
      <c r="T1099" s="30">
        <f t="shared" si="401"/>
        <v>84.38</v>
      </c>
      <c r="U1099" s="30">
        <f t="shared" si="394"/>
        <v>85.56</v>
      </c>
    </row>
    <row r="1100" spans="1:21" ht="15" customHeight="1" x14ac:dyDescent="0.25">
      <c r="A1100" s="5">
        <v>35645</v>
      </c>
      <c r="B1100" s="5">
        <f t="shared" si="388"/>
        <v>35673</v>
      </c>
      <c r="C1100">
        <v>947.14</v>
      </c>
      <c r="D1100" s="29">
        <f t="shared" si="389"/>
        <v>2.7400000000000001E-2</v>
      </c>
      <c r="E1100" s="39">
        <f t="shared" si="390"/>
        <v>886.30384615384617</v>
      </c>
      <c r="F1100" s="39">
        <f t="shared" si="391"/>
        <v>807.6256410256409</v>
      </c>
      <c r="G1100" s="29">
        <f t="shared" si="397"/>
        <v>6.8599999999999994E-2</v>
      </c>
      <c r="H1100" s="29">
        <f t="shared" si="397"/>
        <v>0.17269999999999999</v>
      </c>
      <c r="I1100">
        <f t="shared" si="392"/>
        <v>947.14</v>
      </c>
      <c r="J1100">
        <f>IF(A1100&gt;=Quarterly!B$2,Quarterly!C$2,IF(COUNTIFS(Quarterly!B:B,"&gt;="&amp;A1100-92,Quarterly!B:B,"&lt;="&amp;A1100)&gt;1,SUMIFS(Quarterly!C:C,Quarterly!B:B,"&gt;="&amp;A1100-88,Quarterly!B:B,"&lt;="&amp;A1100),SUMIFS(Quarterly!C:C,Quarterly!B:B,"&gt;="&amp;A1100-92,Quarterly!B:B,"&lt;="&amp;A1100)))</f>
        <v>8551.9</v>
      </c>
      <c r="K1100" s="13">
        <f t="shared" si="393"/>
        <v>0.1108</v>
      </c>
      <c r="L1100">
        <f t="shared" si="395"/>
        <v>947.14</v>
      </c>
      <c r="M1100">
        <f>IF(A1100&gt;=Quarterly!B$2,Quarterly!D$2,IF(COUNTIFS(Quarterly!B:B,"&gt;="&amp;A1100-92,Quarterly!B:B,"&lt;="&amp;A1100)&gt;1,SUMIFS(Quarterly!D:D,Quarterly!B:B,"&gt;="&amp;A1100-88,Quarterly!B:B,"&lt;="&amp;A1100),SUMIFS(Quarterly!D:D,Quarterly!B:B,"&gt;="&amp;A1100-92,Quarterly!B:B,"&lt;="&amp;A1100)))</f>
        <v>544.80100000000004</v>
      </c>
      <c r="N1100" s="13">
        <f t="shared" si="396"/>
        <v>0.17385</v>
      </c>
      <c r="O1100">
        <f t="shared" si="398"/>
        <v>947.14</v>
      </c>
      <c r="P1100" s="56">
        <f>VLOOKUP(EOMONTH(A1100,-1),Economic!A:I,7,FALSE)</f>
        <v>716857</v>
      </c>
      <c r="Q1100" s="13">
        <f t="shared" si="399"/>
        <v>0.1321</v>
      </c>
      <c r="R1100" s="41">
        <v>0.31</v>
      </c>
      <c r="S1100">
        <f t="shared" si="400"/>
        <v>0.57999999999999996</v>
      </c>
      <c r="T1100" s="30">
        <f t="shared" si="401"/>
        <v>86.61</v>
      </c>
      <c r="U1100" s="30">
        <f t="shared" si="394"/>
        <v>88.07</v>
      </c>
    </row>
    <row r="1101" spans="1:21" ht="15" customHeight="1" x14ac:dyDescent="0.25">
      <c r="A1101" s="5">
        <v>35638</v>
      </c>
      <c r="B1101" s="5">
        <f t="shared" si="388"/>
        <v>35642</v>
      </c>
      <c r="C1101">
        <v>938.79</v>
      </c>
      <c r="D1101" s="29">
        <f t="shared" si="389"/>
        <v>3.27E-2</v>
      </c>
      <c r="E1101" s="39">
        <f t="shared" si="390"/>
        <v>875.98307692307685</v>
      </c>
      <c r="F1101" s="39">
        <f t="shared" si="391"/>
        <v>801.38538461538451</v>
      </c>
      <c r="G1101" s="29">
        <f t="shared" si="397"/>
        <v>7.17E-2</v>
      </c>
      <c r="H1101" s="29">
        <f t="shared" si="397"/>
        <v>0.17150000000000001</v>
      </c>
      <c r="I1101">
        <f t="shared" si="392"/>
        <v>938.79</v>
      </c>
      <c r="J1101">
        <f>IF(A1101&gt;=Quarterly!B$2,Quarterly!C$2,IF(COUNTIFS(Quarterly!B:B,"&gt;="&amp;A1101-92,Quarterly!B:B,"&lt;="&amp;A1101)&gt;1,SUMIFS(Quarterly!C:C,Quarterly!B:B,"&gt;="&amp;A1101-88,Quarterly!B:B,"&lt;="&amp;A1101),SUMIFS(Quarterly!C:C,Quarterly!B:B,"&gt;="&amp;A1101-92,Quarterly!B:B,"&lt;="&amp;A1101)))</f>
        <v>8402.1</v>
      </c>
      <c r="K1101" s="13">
        <f t="shared" si="393"/>
        <v>0.11169999999999999</v>
      </c>
      <c r="L1101">
        <f t="shared" si="395"/>
        <v>938.79</v>
      </c>
      <c r="M1101">
        <f>IF(A1101&gt;=Quarterly!B$2,Quarterly!D$2,IF(COUNTIFS(Quarterly!B:B,"&gt;="&amp;A1101-92,Quarterly!B:B,"&lt;="&amp;A1101)&gt;1,SUMIFS(Quarterly!D:D,Quarterly!B:B,"&gt;="&amp;A1101-88,Quarterly!B:B,"&lt;="&amp;A1101),SUMIFS(Quarterly!D:D,Quarterly!B:B,"&gt;="&amp;A1101-92,Quarterly!B:B,"&lt;="&amp;A1101)))</f>
        <v>526.74900000000002</v>
      </c>
      <c r="N1101" s="13">
        <f t="shared" si="396"/>
        <v>0.17822000000000002</v>
      </c>
      <c r="O1101">
        <f t="shared" si="398"/>
        <v>938.79</v>
      </c>
      <c r="P1101" s="56">
        <f>VLOOKUP(EOMONTH(A1101,-1),Economic!A:I,7,FALSE)</f>
        <v>717992</v>
      </c>
      <c r="Q1101" s="13">
        <f t="shared" si="399"/>
        <v>0.1308</v>
      </c>
      <c r="R1101" s="41">
        <v>0.31</v>
      </c>
      <c r="S1101">
        <f t="shared" si="400"/>
        <v>0.62</v>
      </c>
      <c r="T1101" s="30">
        <f t="shared" si="401"/>
        <v>85.7</v>
      </c>
      <c r="U1101" s="30">
        <f t="shared" si="394"/>
        <v>91.95</v>
      </c>
    </row>
    <row r="1102" spans="1:21" ht="15" customHeight="1" x14ac:dyDescent="0.25">
      <c r="A1102" s="5">
        <v>35631</v>
      </c>
      <c r="B1102" s="5">
        <f t="shared" si="388"/>
        <v>35642</v>
      </c>
      <c r="C1102">
        <v>915.3</v>
      </c>
      <c r="D1102" s="29">
        <f t="shared" si="389"/>
        <v>1.15E-2</v>
      </c>
      <c r="E1102" s="39">
        <f t="shared" si="390"/>
        <v>862.64307692307693</v>
      </c>
      <c r="F1102" s="39">
        <f t="shared" si="391"/>
        <v>795.28615384615364</v>
      </c>
      <c r="G1102" s="29">
        <f t="shared" si="397"/>
        <v>6.0999999999999999E-2</v>
      </c>
      <c r="H1102" s="29">
        <f t="shared" si="397"/>
        <v>0.15090000000000001</v>
      </c>
      <c r="I1102">
        <f t="shared" si="392"/>
        <v>915.3</v>
      </c>
      <c r="J1102">
        <f>IF(A1102&gt;=Quarterly!B$2,Quarterly!C$2,IF(COUNTIFS(Quarterly!B:B,"&gt;="&amp;A1102-92,Quarterly!B:B,"&lt;="&amp;A1102)&gt;1,SUMIFS(Quarterly!C:C,Quarterly!B:B,"&gt;="&amp;A1102-88,Quarterly!B:B,"&lt;="&amp;A1102),SUMIFS(Quarterly!C:C,Quarterly!B:B,"&gt;="&amp;A1102-92,Quarterly!B:B,"&lt;="&amp;A1102)))</f>
        <v>8402.1</v>
      </c>
      <c r="K1102" s="13">
        <f t="shared" si="393"/>
        <v>0.1089</v>
      </c>
      <c r="L1102">
        <f t="shared" si="395"/>
        <v>915.3</v>
      </c>
      <c r="M1102">
        <f>IF(A1102&gt;=Quarterly!B$2,Quarterly!D$2,IF(COUNTIFS(Quarterly!B:B,"&gt;="&amp;A1102-92,Quarterly!B:B,"&lt;="&amp;A1102)&gt;1,SUMIFS(Quarterly!D:D,Quarterly!B:B,"&gt;="&amp;A1102-88,Quarterly!B:B,"&lt;="&amp;A1102),SUMIFS(Quarterly!D:D,Quarterly!B:B,"&gt;="&amp;A1102-92,Quarterly!B:B,"&lt;="&amp;A1102)))</f>
        <v>526.74900000000002</v>
      </c>
      <c r="N1102" s="13">
        <f t="shared" si="396"/>
        <v>0.17376000000000003</v>
      </c>
      <c r="O1102">
        <f t="shared" si="398"/>
        <v>915.3</v>
      </c>
      <c r="P1102" s="56">
        <f>VLOOKUP(EOMONTH(A1102,-1),Economic!A:I,7,FALSE)</f>
        <v>717992</v>
      </c>
      <c r="Q1102" s="13">
        <f t="shared" si="399"/>
        <v>0.1275</v>
      </c>
      <c r="R1102" s="41">
        <v>0.33</v>
      </c>
      <c r="S1102">
        <f t="shared" si="400"/>
        <v>0.61</v>
      </c>
      <c r="T1102" s="30">
        <f t="shared" si="401"/>
        <v>91.89</v>
      </c>
      <c r="U1102" s="30">
        <f t="shared" si="394"/>
        <v>97.47</v>
      </c>
    </row>
    <row r="1103" spans="1:21" ht="15" customHeight="1" x14ac:dyDescent="0.25">
      <c r="A1103" s="5">
        <v>35624</v>
      </c>
      <c r="B1103" s="5">
        <f t="shared" si="388"/>
        <v>35642</v>
      </c>
      <c r="C1103">
        <v>916.68</v>
      </c>
      <c r="D1103" s="29">
        <f t="shared" si="389"/>
        <v>1.9599999999999999E-2</v>
      </c>
      <c r="E1103" s="39">
        <f t="shared" si="390"/>
        <v>851.18461538461531</v>
      </c>
      <c r="F1103" s="39">
        <f t="shared" si="391"/>
        <v>790.0430769230768</v>
      </c>
      <c r="G1103" s="29">
        <f t="shared" si="397"/>
        <v>7.6899999999999996E-2</v>
      </c>
      <c r="H1103" s="29">
        <f t="shared" si="397"/>
        <v>0.1603</v>
      </c>
      <c r="I1103">
        <f t="shared" si="392"/>
        <v>916.68</v>
      </c>
      <c r="J1103">
        <f>IF(A1103&gt;=Quarterly!B$2,Quarterly!C$2,IF(COUNTIFS(Quarterly!B:B,"&gt;="&amp;A1103-92,Quarterly!B:B,"&lt;="&amp;A1103)&gt;1,SUMIFS(Quarterly!C:C,Quarterly!B:B,"&gt;="&amp;A1103-88,Quarterly!B:B,"&lt;="&amp;A1103),SUMIFS(Quarterly!C:C,Quarterly!B:B,"&gt;="&amp;A1103-92,Quarterly!B:B,"&lt;="&amp;A1103)))</f>
        <v>8402.1</v>
      </c>
      <c r="K1103" s="13">
        <f t="shared" si="393"/>
        <v>0.1091</v>
      </c>
      <c r="L1103">
        <f t="shared" si="395"/>
        <v>916.68</v>
      </c>
      <c r="M1103">
        <f>IF(A1103&gt;=Quarterly!B$2,Quarterly!D$2,IF(COUNTIFS(Quarterly!B:B,"&gt;="&amp;A1103-92,Quarterly!B:B,"&lt;="&amp;A1103)&gt;1,SUMIFS(Quarterly!D:D,Quarterly!B:B,"&gt;="&amp;A1103-88,Quarterly!B:B,"&lt;="&amp;A1103),SUMIFS(Quarterly!D:D,Quarterly!B:B,"&gt;="&amp;A1103-92,Quarterly!B:B,"&lt;="&amp;A1103)))</f>
        <v>526.74900000000002</v>
      </c>
      <c r="N1103" s="13">
        <f t="shared" si="396"/>
        <v>0.17403000000000002</v>
      </c>
      <c r="O1103">
        <f t="shared" si="398"/>
        <v>916.68</v>
      </c>
      <c r="P1103" s="56">
        <f>VLOOKUP(EOMONTH(A1103,-1),Economic!A:I,7,FALSE)</f>
        <v>717992</v>
      </c>
      <c r="Q1103" s="13">
        <f t="shared" si="399"/>
        <v>0.12769999999999998</v>
      </c>
      <c r="R1103" s="41">
        <v>0.34</v>
      </c>
      <c r="S1103">
        <f t="shared" si="400"/>
        <v>0.71</v>
      </c>
      <c r="T1103" s="30">
        <f t="shared" si="401"/>
        <v>98.25</v>
      </c>
      <c r="U1103" s="30">
        <f t="shared" si="394"/>
        <v>102.3</v>
      </c>
    </row>
    <row r="1104" spans="1:21" ht="15" customHeight="1" x14ac:dyDescent="0.25">
      <c r="A1104" s="5">
        <v>35617</v>
      </c>
      <c r="B1104" s="5">
        <f t="shared" si="388"/>
        <v>35642</v>
      </c>
      <c r="C1104">
        <v>916.92</v>
      </c>
      <c r="D1104" s="29">
        <f t="shared" si="389"/>
        <v>3.6900000000000002E-2</v>
      </c>
      <c r="E1104" s="39">
        <f t="shared" si="390"/>
        <v>837.4130769230768</v>
      </c>
      <c r="F1104" s="39">
        <f t="shared" si="391"/>
        <v>784.50410256410225</v>
      </c>
      <c r="G1104" s="29">
        <f t="shared" si="397"/>
        <v>9.4899999999999998E-2</v>
      </c>
      <c r="H1104" s="29">
        <f t="shared" si="397"/>
        <v>0.16880000000000001</v>
      </c>
      <c r="I1104">
        <f t="shared" si="392"/>
        <v>916.92</v>
      </c>
      <c r="J1104">
        <f>IF(A1104&gt;=Quarterly!B$2,Quarterly!C$2,IF(COUNTIFS(Quarterly!B:B,"&gt;="&amp;A1104-92,Quarterly!B:B,"&lt;="&amp;A1104)&gt;1,SUMIFS(Quarterly!C:C,Quarterly!B:B,"&gt;="&amp;A1104-88,Quarterly!B:B,"&lt;="&amp;A1104),SUMIFS(Quarterly!C:C,Quarterly!B:B,"&gt;="&amp;A1104-92,Quarterly!B:B,"&lt;="&amp;A1104)))</f>
        <v>8402.1</v>
      </c>
      <c r="K1104" s="13">
        <f t="shared" si="393"/>
        <v>0.1091</v>
      </c>
      <c r="L1104">
        <f t="shared" si="395"/>
        <v>916.92</v>
      </c>
      <c r="M1104">
        <f>IF(A1104&gt;=Quarterly!B$2,Quarterly!D$2,IF(COUNTIFS(Quarterly!B:B,"&gt;="&amp;A1104-92,Quarterly!B:B,"&lt;="&amp;A1104)&gt;1,SUMIFS(Quarterly!D:D,Quarterly!B:B,"&gt;="&amp;A1104-88,Quarterly!B:B,"&lt;="&amp;A1104),SUMIFS(Quarterly!D:D,Quarterly!B:B,"&gt;="&amp;A1104-92,Quarterly!B:B,"&lt;="&amp;A1104)))</f>
        <v>526.74900000000002</v>
      </c>
      <c r="N1104" s="13">
        <f t="shared" si="396"/>
        <v>0.17407</v>
      </c>
      <c r="O1104">
        <f t="shared" si="398"/>
        <v>916.92</v>
      </c>
      <c r="P1104" s="56">
        <f>VLOOKUP(EOMONTH(A1104,-1),Economic!A:I,7,FALSE)</f>
        <v>717992</v>
      </c>
      <c r="Q1104" s="13">
        <f t="shared" si="399"/>
        <v>0.12769999999999998</v>
      </c>
      <c r="R1104" s="41">
        <v>0.38</v>
      </c>
      <c r="S1104">
        <f t="shared" si="400"/>
        <v>0.7</v>
      </c>
      <c r="T1104" s="30">
        <f t="shared" si="401"/>
        <v>102.27</v>
      </c>
      <c r="U1104" s="30">
        <f t="shared" si="394"/>
        <v>105.06</v>
      </c>
    </row>
    <row r="1105" spans="1:21" ht="15" customHeight="1" x14ac:dyDescent="0.25">
      <c r="A1105" s="5">
        <v>35610</v>
      </c>
      <c r="B1105" s="5">
        <f t="shared" si="388"/>
        <v>35611</v>
      </c>
      <c r="C1105">
        <v>887.3</v>
      </c>
      <c r="D1105" s="29">
        <f t="shared" si="389"/>
        <v>1.46E-2</v>
      </c>
      <c r="E1105" s="39">
        <f t="shared" si="390"/>
        <v>825.1807692307691</v>
      </c>
      <c r="F1105" s="39">
        <f t="shared" si="391"/>
        <v>778.97948717948691</v>
      </c>
      <c r="G1105" s="29">
        <f t="shared" si="397"/>
        <v>7.5300000000000006E-2</v>
      </c>
      <c r="H1105" s="29">
        <f t="shared" si="397"/>
        <v>0.1391</v>
      </c>
      <c r="I1105">
        <f t="shared" si="392"/>
        <v>887.3</v>
      </c>
      <c r="J1105">
        <f>IF(A1105&gt;=Quarterly!B$2,Quarterly!C$2,IF(COUNTIFS(Quarterly!B:B,"&gt;="&amp;A1105-92,Quarterly!B:B,"&lt;="&amp;A1105)&gt;1,SUMIFS(Quarterly!C:C,Quarterly!B:B,"&gt;="&amp;A1105-88,Quarterly!B:B,"&lt;="&amp;A1105),SUMIFS(Quarterly!C:C,Quarterly!B:B,"&gt;="&amp;A1105-92,Quarterly!B:B,"&lt;="&amp;A1105)))</f>
        <v>8402.1</v>
      </c>
      <c r="K1105" s="13">
        <f t="shared" si="393"/>
        <v>0.1056</v>
      </c>
      <c r="L1105">
        <f t="shared" si="395"/>
        <v>887.3</v>
      </c>
      <c r="M1105">
        <f>IF(A1105&gt;=Quarterly!B$2,Quarterly!D$2,IF(COUNTIFS(Quarterly!B:B,"&gt;="&amp;A1105-92,Quarterly!B:B,"&lt;="&amp;A1105)&gt;1,SUMIFS(Quarterly!D:D,Quarterly!B:B,"&gt;="&amp;A1105-88,Quarterly!B:B,"&lt;="&amp;A1105),SUMIFS(Quarterly!D:D,Quarterly!B:B,"&gt;="&amp;A1105-92,Quarterly!B:B,"&lt;="&amp;A1105)))</f>
        <v>526.74900000000002</v>
      </c>
      <c r="N1105" s="13">
        <f t="shared" si="396"/>
        <v>0.16845000000000002</v>
      </c>
      <c r="O1105">
        <f t="shared" si="398"/>
        <v>887.3</v>
      </c>
      <c r="P1105" s="56">
        <f>VLOOKUP(EOMONTH(A1105,-1),Economic!A:I,7,FALSE)</f>
        <v>713323</v>
      </c>
      <c r="Q1105" s="13">
        <f t="shared" si="399"/>
        <v>0.12440000000000001</v>
      </c>
      <c r="R1105" s="41">
        <v>0.43</v>
      </c>
      <c r="S1105">
        <f t="shared" si="400"/>
        <v>0.62</v>
      </c>
      <c r="T1105" s="30">
        <f t="shared" si="401"/>
        <v>106.38</v>
      </c>
      <c r="U1105" s="30">
        <f t="shared" si="394"/>
        <v>107.37</v>
      </c>
    </row>
    <row r="1106" spans="1:21" ht="15" customHeight="1" x14ac:dyDescent="0.25">
      <c r="A1106" s="5">
        <v>35603</v>
      </c>
      <c r="B1106" s="5">
        <f t="shared" ref="B1106:B1169" si="402">EOMONTH(A1106,0)</f>
        <v>35611</v>
      </c>
      <c r="C1106">
        <v>898.7</v>
      </c>
      <c r="D1106" s="29">
        <f t="shared" ref="D1106:D1169" si="403">ROUND((C1106-AVERAGE(C1107:C1110))/AVERAGE(C1107:C1110),4)</f>
        <v>4.2999999999999997E-2</v>
      </c>
      <c r="E1106" s="39">
        <f t="shared" ref="E1106:E1169" si="404">AVERAGE(C1106:C1118)</f>
        <v>816.45615384615371</v>
      </c>
      <c r="F1106" s="39">
        <f t="shared" ref="F1106:F1169" si="405">AVERAGE(C1106:C1144)</f>
        <v>773.82282051282027</v>
      </c>
      <c r="G1106" s="29">
        <f t="shared" si="397"/>
        <v>0.1007</v>
      </c>
      <c r="H1106" s="29">
        <f t="shared" si="397"/>
        <v>0.16139999999999999</v>
      </c>
      <c r="I1106">
        <f t="shared" ref="I1106:I1169" si="406">C1106</f>
        <v>898.7</v>
      </c>
      <c r="J1106">
        <f>IF(A1106&gt;=Quarterly!B$2,Quarterly!C$2,IF(COUNTIFS(Quarterly!B:B,"&gt;="&amp;A1106-92,Quarterly!B:B,"&lt;="&amp;A1106)&gt;1,SUMIFS(Quarterly!C:C,Quarterly!B:B,"&gt;="&amp;A1106-88,Quarterly!B:B,"&lt;="&amp;A1106),SUMIFS(Quarterly!C:C,Quarterly!B:B,"&gt;="&amp;A1106-92,Quarterly!B:B,"&lt;="&amp;A1106)))</f>
        <v>8402.1</v>
      </c>
      <c r="K1106" s="13">
        <f t="shared" ref="K1106:K1169" si="407">ROUND(I1106/J1106,4)</f>
        <v>0.107</v>
      </c>
      <c r="L1106">
        <f t="shared" si="395"/>
        <v>898.7</v>
      </c>
      <c r="M1106">
        <f>IF(A1106&gt;=Quarterly!B$2,Quarterly!D$2,IF(COUNTIFS(Quarterly!B:B,"&gt;="&amp;A1106-92,Quarterly!B:B,"&lt;="&amp;A1106)&gt;1,SUMIFS(Quarterly!D:D,Quarterly!B:B,"&gt;="&amp;A1106-88,Quarterly!B:B,"&lt;="&amp;A1106),SUMIFS(Quarterly!D:D,Quarterly!B:B,"&gt;="&amp;A1106-92,Quarterly!B:B,"&lt;="&amp;A1106)))</f>
        <v>526.74900000000002</v>
      </c>
      <c r="N1106" s="13">
        <f t="shared" si="396"/>
        <v>0.17061000000000001</v>
      </c>
      <c r="O1106">
        <f t="shared" si="398"/>
        <v>898.7</v>
      </c>
      <c r="P1106" s="56">
        <f>VLOOKUP(EOMONTH(A1106,-1),Economic!A:I,7,FALSE)</f>
        <v>713323</v>
      </c>
      <c r="Q1106" s="13">
        <f t="shared" si="399"/>
        <v>0.126</v>
      </c>
      <c r="R1106" s="41">
        <v>0.35</v>
      </c>
      <c r="S1106">
        <f t="shared" si="400"/>
        <v>0.57999999999999996</v>
      </c>
      <c r="T1106" s="30">
        <f t="shared" si="401"/>
        <v>106.52</v>
      </c>
      <c r="U1106" s="30">
        <f t="shared" ref="U1106:U1169" si="408">ROUND(AVERAGE(T1106:T1108),2)</f>
        <v>109.29</v>
      </c>
    </row>
    <row r="1107" spans="1:21" ht="15" customHeight="1" x14ac:dyDescent="0.25">
      <c r="A1107" s="5">
        <v>35596</v>
      </c>
      <c r="B1107" s="5">
        <f t="shared" si="402"/>
        <v>35611</v>
      </c>
      <c r="C1107">
        <v>893.27</v>
      </c>
      <c r="D1107" s="29">
        <f t="shared" si="403"/>
        <v>5.62E-2</v>
      </c>
      <c r="E1107" s="39">
        <f t="shared" si="404"/>
        <v>807.64076923076925</v>
      </c>
      <c r="F1107" s="39">
        <f t="shared" si="405"/>
        <v>768.39538461538427</v>
      </c>
      <c r="G1107" s="29">
        <f t="shared" si="397"/>
        <v>0.106</v>
      </c>
      <c r="H1107" s="29">
        <f t="shared" si="397"/>
        <v>0.16250000000000001</v>
      </c>
      <c r="I1107">
        <f t="shared" si="406"/>
        <v>893.27</v>
      </c>
      <c r="J1107">
        <f>IF(A1107&gt;=Quarterly!B$2,Quarterly!C$2,IF(COUNTIFS(Quarterly!B:B,"&gt;="&amp;A1107-92,Quarterly!B:B,"&lt;="&amp;A1107)&gt;1,SUMIFS(Quarterly!C:C,Quarterly!B:B,"&gt;="&amp;A1107-88,Quarterly!B:B,"&lt;="&amp;A1107),SUMIFS(Quarterly!C:C,Quarterly!B:B,"&gt;="&amp;A1107-92,Quarterly!B:B,"&lt;="&amp;A1107)))</f>
        <v>8402.1</v>
      </c>
      <c r="K1107" s="13">
        <f t="shared" si="407"/>
        <v>0.10630000000000001</v>
      </c>
      <c r="L1107">
        <f t="shared" si="395"/>
        <v>893.27</v>
      </c>
      <c r="M1107">
        <f>IF(A1107&gt;=Quarterly!B$2,Quarterly!D$2,IF(COUNTIFS(Quarterly!B:B,"&gt;="&amp;A1107-92,Quarterly!B:B,"&lt;="&amp;A1107)&gt;1,SUMIFS(Quarterly!D:D,Quarterly!B:B,"&gt;="&amp;A1107-88,Quarterly!B:B,"&lt;="&amp;A1107),SUMIFS(Quarterly!D:D,Quarterly!B:B,"&gt;="&amp;A1107-92,Quarterly!B:B,"&lt;="&amp;A1107)))</f>
        <v>526.74900000000002</v>
      </c>
      <c r="N1107" s="13">
        <f t="shared" si="396"/>
        <v>0.16958000000000001</v>
      </c>
      <c r="O1107">
        <f t="shared" si="398"/>
        <v>893.27</v>
      </c>
      <c r="P1107" s="56">
        <f>VLOOKUP(EOMONTH(A1107,-1),Economic!A:I,7,FALSE)</f>
        <v>713323</v>
      </c>
      <c r="Q1107" s="13">
        <f t="shared" si="399"/>
        <v>0.12520000000000001</v>
      </c>
      <c r="R1107" s="41">
        <v>0.4</v>
      </c>
      <c r="S1107">
        <f t="shared" si="400"/>
        <v>0.56000000000000005</v>
      </c>
      <c r="T1107" s="30">
        <f t="shared" si="401"/>
        <v>109.22</v>
      </c>
      <c r="U1107" s="30">
        <f t="shared" si="408"/>
        <v>112.46</v>
      </c>
    </row>
    <row r="1108" spans="1:21" ht="15" customHeight="1" x14ac:dyDescent="0.25">
      <c r="A1108" s="5">
        <v>35589</v>
      </c>
      <c r="B1108" s="5">
        <f t="shared" si="402"/>
        <v>35611</v>
      </c>
      <c r="C1108">
        <v>858.01</v>
      </c>
      <c r="D1108" s="29">
        <f t="shared" si="403"/>
        <v>2.4500000000000001E-2</v>
      </c>
      <c r="E1108" s="39">
        <f t="shared" si="404"/>
        <v>799.94076923076921</v>
      </c>
      <c r="F1108" s="39">
        <f t="shared" si="405"/>
        <v>762.94076923076886</v>
      </c>
      <c r="G1108" s="29">
        <f t="shared" si="397"/>
        <v>7.2599999999999998E-2</v>
      </c>
      <c r="H1108" s="29">
        <f t="shared" si="397"/>
        <v>0.1246</v>
      </c>
      <c r="I1108">
        <f t="shared" si="406"/>
        <v>858.01</v>
      </c>
      <c r="J1108">
        <f>IF(A1108&gt;=Quarterly!B$2,Quarterly!C$2,IF(COUNTIFS(Quarterly!B:B,"&gt;="&amp;A1108-92,Quarterly!B:B,"&lt;="&amp;A1108)&gt;1,SUMIFS(Quarterly!C:C,Quarterly!B:B,"&gt;="&amp;A1108-88,Quarterly!B:B,"&lt;="&amp;A1108),SUMIFS(Quarterly!C:C,Quarterly!B:B,"&gt;="&amp;A1108-92,Quarterly!B:B,"&lt;="&amp;A1108)))</f>
        <v>8402.1</v>
      </c>
      <c r="K1108" s="13">
        <f t="shared" si="407"/>
        <v>0.1021</v>
      </c>
      <c r="L1108">
        <f t="shared" si="395"/>
        <v>858.01</v>
      </c>
      <c r="M1108">
        <f>IF(A1108&gt;=Quarterly!B$2,Quarterly!D$2,IF(COUNTIFS(Quarterly!B:B,"&gt;="&amp;A1108-92,Quarterly!B:B,"&lt;="&amp;A1108)&gt;1,SUMIFS(Quarterly!D:D,Quarterly!B:B,"&gt;="&amp;A1108-88,Quarterly!B:B,"&lt;="&amp;A1108),SUMIFS(Quarterly!D:D,Quarterly!B:B,"&gt;="&amp;A1108-92,Quarterly!B:B,"&lt;="&amp;A1108)))</f>
        <v>526.74900000000002</v>
      </c>
      <c r="N1108" s="13">
        <f t="shared" si="396"/>
        <v>0.16289000000000001</v>
      </c>
      <c r="O1108">
        <f t="shared" si="398"/>
        <v>858.01</v>
      </c>
      <c r="P1108" s="56">
        <f>VLOOKUP(EOMONTH(A1108,-1),Economic!A:I,7,FALSE)</f>
        <v>713323</v>
      </c>
      <c r="Q1108" s="13">
        <f t="shared" si="399"/>
        <v>0.1203</v>
      </c>
      <c r="R1108" s="41">
        <v>0.39</v>
      </c>
      <c r="S1108">
        <f t="shared" si="400"/>
        <v>0.48</v>
      </c>
      <c r="T1108" s="30">
        <f t="shared" si="401"/>
        <v>112.13</v>
      </c>
      <c r="U1108" s="30">
        <f t="shared" si="408"/>
        <v>115.44</v>
      </c>
    </row>
    <row r="1109" spans="1:21" ht="15" customHeight="1" x14ac:dyDescent="0.25">
      <c r="A1109" s="5">
        <v>35582</v>
      </c>
      <c r="B1109" s="5">
        <f t="shared" si="402"/>
        <v>35611</v>
      </c>
      <c r="C1109">
        <v>848.28</v>
      </c>
      <c r="D1109" s="29">
        <f t="shared" si="403"/>
        <v>2.3699999999999999E-2</v>
      </c>
      <c r="E1109" s="39">
        <f t="shared" si="404"/>
        <v>795.86076923076917</v>
      </c>
      <c r="F1109" s="39">
        <f t="shared" si="405"/>
        <v>757.75282051282022</v>
      </c>
      <c r="G1109" s="29">
        <f t="shared" si="397"/>
        <v>6.59E-2</v>
      </c>
      <c r="H1109" s="29">
        <f t="shared" si="397"/>
        <v>0.1195</v>
      </c>
      <c r="I1109">
        <f t="shared" si="406"/>
        <v>848.28</v>
      </c>
      <c r="J1109">
        <f>IF(A1109&gt;=Quarterly!B$2,Quarterly!C$2,IF(COUNTIFS(Quarterly!B:B,"&gt;="&amp;A1109-92,Quarterly!B:B,"&lt;="&amp;A1109)&gt;1,SUMIFS(Quarterly!C:C,Quarterly!B:B,"&gt;="&amp;A1109-88,Quarterly!B:B,"&lt;="&amp;A1109),SUMIFS(Quarterly!C:C,Quarterly!B:B,"&gt;="&amp;A1109-92,Quarterly!B:B,"&lt;="&amp;A1109)))</f>
        <v>8402.1</v>
      </c>
      <c r="K1109" s="13">
        <f t="shared" si="407"/>
        <v>0.10100000000000001</v>
      </c>
      <c r="L1109">
        <f t="shared" si="395"/>
        <v>848.28</v>
      </c>
      <c r="M1109">
        <f>IF(A1109&gt;=Quarterly!B$2,Quarterly!D$2,IF(COUNTIFS(Quarterly!B:B,"&gt;="&amp;A1109-92,Quarterly!B:B,"&lt;="&amp;A1109)&gt;1,SUMIFS(Quarterly!D:D,Quarterly!B:B,"&gt;="&amp;A1109-88,Quarterly!B:B,"&lt;="&amp;A1109),SUMIFS(Quarterly!D:D,Quarterly!B:B,"&gt;="&amp;A1109-92,Quarterly!B:B,"&lt;="&amp;A1109)))</f>
        <v>526.74900000000002</v>
      </c>
      <c r="N1109" s="13">
        <f t="shared" si="396"/>
        <v>0.16104000000000002</v>
      </c>
      <c r="O1109">
        <f t="shared" si="398"/>
        <v>848.28</v>
      </c>
      <c r="P1109" s="56">
        <f>VLOOKUP(EOMONTH(A1109,-1),Economic!A:I,7,FALSE)</f>
        <v>713323</v>
      </c>
      <c r="Q1109" s="13">
        <f t="shared" si="399"/>
        <v>0.11889999999999999</v>
      </c>
      <c r="R1109" s="41">
        <v>0.45</v>
      </c>
      <c r="S1109">
        <f t="shared" si="400"/>
        <v>0.55000000000000004</v>
      </c>
      <c r="T1109" s="30">
        <f t="shared" si="401"/>
        <v>116.02</v>
      </c>
      <c r="U1109" s="30">
        <f t="shared" si="408"/>
        <v>118.27</v>
      </c>
    </row>
    <row r="1110" spans="1:21" ht="15" customHeight="1" x14ac:dyDescent="0.25">
      <c r="A1110" s="5">
        <v>35575</v>
      </c>
      <c r="B1110" s="5">
        <f t="shared" si="402"/>
        <v>35581</v>
      </c>
      <c r="C1110">
        <v>847.03</v>
      </c>
      <c r="D1110" s="29">
        <f t="shared" si="403"/>
        <v>4.8000000000000001E-2</v>
      </c>
      <c r="E1110" s="39">
        <f t="shared" si="404"/>
        <v>791.44076923076909</v>
      </c>
      <c r="F1110" s="39">
        <f t="shared" si="405"/>
        <v>752.71974358974342</v>
      </c>
      <c r="G1110" s="29">
        <f t="shared" si="397"/>
        <v>7.0199999999999999E-2</v>
      </c>
      <c r="H1110" s="29">
        <f t="shared" si="397"/>
        <v>0.12529999999999999</v>
      </c>
      <c r="I1110">
        <f t="shared" si="406"/>
        <v>847.03</v>
      </c>
      <c r="J1110">
        <f>IF(A1110&gt;=Quarterly!B$2,Quarterly!C$2,IF(COUNTIFS(Quarterly!B:B,"&gt;="&amp;A1110-92,Quarterly!B:B,"&lt;="&amp;A1110)&gt;1,SUMIFS(Quarterly!C:C,Quarterly!B:B,"&gt;="&amp;A1110-88,Quarterly!B:B,"&lt;="&amp;A1110),SUMIFS(Quarterly!C:C,Quarterly!B:B,"&gt;="&amp;A1110-92,Quarterly!B:B,"&lt;="&amp;A1110)))</f>
        <v>8402.1</v>
      </c>
      <c r="K1110" s="13">
        <f t="shared" si="407"/>
        <v>0.1008</v>
      </c>
      <c r="L1110">
        <f t="shared" si="395"/>
        <v>847.03</v>
      </c>
      <c r="M1110">
        <f>IF(A1110&gt;=Quarterly!B$2,Quarterly!D$2,IF(COUNTIFS(Quarterly!B:B,"&gt;="&amp;A1110-92,Quarterly!B:B,"&lt;="&amp;A1110)&gt;1,SUMIFS(Quarterly!D:D,Quarterly!B:B,"&gt;="&amp;A1110-88,Quarterly!B:B,"&lt;="&amp;A1110),SUMIFS(Quarterly!D:D,Quarterly!B:B,"&gt;="&amp;A1110-92,Quarterly!B:B,"&lt;="&amp;A1110)))</f>
        <v>526.74900000000002</v>
      </c>
      <c r="N1110" s="13">
        <f t="shared" si="396"/>
        <v>0.16080000000000003</v>
      </c>
      <c r="O1110">
        <f t="shared" si="398"/>
        <v>847.03</v>
      </c>
      <c r="P1110" s="56">
        <f>VLOOKUP(EOMONTH(A1110,-1),Economic!A:I,7,FALSE)</f>
        <v>707473</v>
      </c>
      <c r="Q1110" s="13">
        <f t="shared" si="399"/>
        <v>0.11969999999999999</v>
      </c>
      <c r="R1110" s="41">
        <v>0.49</v>
      </c>
      <c r="S1110">
        <f t="shared" si="400"/>
        <v>0.57999999999999996</v>
      </c>
      <c r="T1110" s="30">
        <f t="shared" si="401"/>
        <v>118.18</v>
      </c>
      <c r="U1110" s="30">
        <f t="shared" si="408"/>
        <v>120.96</v>
      </c>
    </row>
    <row r="1111" spans="1:21" ht="15" customHeight="1" x14ac:dyDescent="0.25">
      <c r="A1111" s="5">
        <v>35568</v>
      </c>
      <c r="B1111" s="5">
        <f t="shared" si="402"/>
        <v>35581</v>
      </c>
      <c r="C1111">
        <v>829.75</v>
      </c>
      <c r="D1111" s="29">
        <f t="shared" si="403"/>
        <v>4.7199999999999999E-2</v>
      </c>
      <c r="E1111" s="39">
        <f t="shared" si="404"/>
        <v>787.95923076923077</v>
      </c>
      <c r="F1111" s="39">
        <f t="shared" si="405"/>
        <v>748.10435897435877</v>
      </c>
      <c r="G1111" s="29">
        <f t="shared" si="397"/>
        <v>5.2999999999999999E-2</v>
      </c>
      <c r="H1111" s="29">
        <f t="shared" si="397"/>
        <v>0.1091</v>
      </c>
      <c r="I1111">
        <f t="shared" si="406"/>
        <v>829.75</v>
      </c>
      <c r="J1111">
        <f>IF(A1111&gt;=Quarterly!B$2,Quarterly!C$2,IF(COUNTIFS(Quarterly!B:B,"&gt;="&amp;A1111-92,Quarterly!B:B,"&lt;="&amp;A1111)&gt;1,SUMIFS(Quarterly!C:C,Quarterly!B:B,"&gt;="&amp;A1111-88,Quarterly!B:B,"&lt;="&amp;A1111),SUMIFS(Quarterly!C:C,Quarterly!B:B,"&gt;="&amp;A1111-92,Quarterly!B:B,"&lt;="&amp;A1111)))</f>
        <v>8402.1</v>
      </c>
      <c r="K1111" s="13">
        <f t="shared" si="407"/>
        <v>9.8799999999999999E-2</v>
      </c>
      <c r="L1111">
        <f t="shared" ref="L1111:L1174" si="409">C1111</f>
        <v>829.75</v>
      </c>
      <c r="M1111">
        <f>IF(A1111&gt;=Quarterly!B$2,Quarterly!D$2,IF(COUNTIFS(Quarterly!B:B,"&gt;="&amp;A1111-92,Quarterly!B:B,"&lt;="&amp;A1111)&gt;1,SUMIFS(Quarterly!D:D,Quarterly!B:B,"&gt;="&amp;A1111-88,Quarterly!B:B,"&lt;="&amp;A1111),SUMIFS(Quarterly!D:D,Quarterly!B:B,"&gt;="&amp;A1111-92,Quarterly!B:B,"&lt;="&amp;A1111)))</f>
        <v>526.74900000000002</v>
      </c>
      <c r="N1111" s="13">
        <f t="shared" ref="N1111:N1174" si="410">ROUND(L1111/M1111,4)*0.1</f>
        <v>0.15751999999999999</v>
      </c>
      <c r="O1111">
        <f t="shared" si="398"/>
        <v>829.75</v>
      </c>
      <c r="P1111" s="56">
        <f>VLOOKUP(EOMONTH(A1111,-1),Economic!A:I,7,FALSE)</f>
        <v>707473</v>
      </c>
      <c r="Q1111" s="13">
        <f t="shared" si="399"/>
        <v>0.1173</v>
      </c>
      <c r="R1111" s="41">
        <v>0.42</v>
      </c>
      <c r="S1111">
        <f t="shared" si="400"/>
        <v>0.59</v>
      </c>
      <c r="T1111" s="30">
        <f t="shared" si="401"/>
        <v>120.62</v>
      </c>
      <c r="U1111" s="30">
        <f t="shared" si="408"/>
        <v>123.96</v>
      </c>
    </row>
    <row r="1112" spans="1:21" ht="15" customHeight="1" x14ac:dyDescent="0.25">
      <c r="A1112" s="5">
        <v>35561</v>
      </c>
      <c r="B1112" s="5">
        <f t="shared" si="402"/>
        <v>35581</v>
      </c>
      <c r="C1112">
        <v>824.78</v>
      </c>
      <c r="D1112" s="29">
        <f t="shared" si="403"/>
        <v>7.0300000000000001E-2</v>
      </c>
      <c r="E1112" s="39">
        <f t="shared" si="404"/>
        <v>786.323076923077</v>
      </c>
      <c r="F1112" s="39">
        <f t="shared" si="405"/>
        <v>743.88538461538451</v>
      </c>
      <c r="G1112" s="29">
        <f t="shared" si="397"/>
        <v>4.8899999999999999E-2</v>
      </c>
      <c r="H1112" s="29">
        <f t="shared" si="397"/>
        <v>0.1087</v>
      </c>
      <c r="I1112">
        <f t="shared" si="406"/>
        <v>824.78</v>
      </c>
      <c r="J1112">
        <f>IF(A1112&gt;=Quarterly!B$2,Quarterly!C$2,IF(COUNTIFS(Quarterly!B:B,"&gt;="&amp;A1112-92,Quarterly!B:B,"&lt;="&amp;A1112)&gt;1,SUMIFS(Quarterly!C:C,Quarterly!B:B,"&gt;="&amp;A1112-88,Quarterly!B:B,"&lt;="&amp;A1112),SUMIFS(Quarterly!C:C,Quarterly!B:B,"&gt;="&amp;A1112-92,Quarterly!B:B,"&lt;="&amp;A1112)))</f>
        <v>8402.1</v>
      </c>
      <c r="K1112" s="13">
        <f t="shared" si="407"/>
        <v>9.8199999999999996E-2</v>
      </c>
      <c r="L1112">
        <f t="shared" si="409"/>
        <v>824.78</v>
      </c>
      <c r="M1112">
        <f>IF(A1112&gt;=Quarterly!B$2,Quarterly!D$2,IF(COUNTIFS(Quarterly!B:B,"&gt;="&amp;A1112-92,Quarterly!B:B,"&lt;="&amp;A1112)&gt;1,SUMIFS(Quarterly!D:D,Quarterly!B:B,"&gt;="&amp;A1112-88,Quarterly!B:B,"&lt;="&amp;A1112),SUMIFS(Quarterly!D:D,Quarterly!B:B,"&gt;="&amp;A1112-92,Quarterly!B:B,"&lt;="&amp;A1112)))</f>
        <v>526.74900000000002</v>
      </c>
      <c r="N1112" s="13">
        <f t="shared" si="410"/>
        <v>0.15658000000000002</v>
      </c>
      <c r="O1112">
        <f t="shared" si="398"/>
        <v>824.78</v>
      </c>
      <c r="P1112" s="56">
        <f>VLOOKUP(EOMONTH(A1112,-1),Economic!A:I,7,FALSE)</f>
        <v>707473</v>
      </c>
      <c r="Q1112" s="13">
        <f t="shared" si="399"/>
        <v>0.1166</v>
      </c>
      <c r="R1112" s="41">
        <v>0.43</v>
      </c>
      <c r="S1112">
        <f t="shared" si="400"/>
        <v>0.68</v>
      </c>
      <c r="T1112" s="30">
        <f t="shared" si="401"/>
        <v>124.07</v>
      </c>
      <c r="U1112" s="30">
        <f t="shared" si="408"/>
        <v>127.47</v>
      </c>
    </row>
    <row r="1113" spans="1:21" ht="15" customHeight="1" x14ac:dyDescent="0.25">
      <c r="A1113" s="5">
        <v>35554</v>
      </c>
      <c r="B1113" s="5">
        <f t="shared" si="402"/>
        <v>35581</v>
      </c>
      <c r="C1113">
        <v>812.97</v>
      </c>
      <c r="D1113" s="29">
        <f t="shared" si="403"/>
        <v>7.4200000000000002E-2</v>
      </c>
      <c r="E1113" s="39">
        <f t="shared" si="404"/>
        <v>783.61384615384611</v>
      </c>
      <c r="F1113" s="39">
        <f t="shared" si="405"/>
        <v>739.7141025641024</v>
      </c>
      <c r="G1113" s="29">
        <f t="shared" si="397"/>
        <v>3.7499999999999999E-2</v>
      </c>
      <c r="H1113" s="29">
        <f t="shared" si="397"/>
        <v>9.9000000000000005E-2</v>
      </c>
      <c r="I1113">
        <f t="shared" si="406"/>
        <v>812.97</v>
      </c>
      <c r="J1113">
        <f>IF(A1113&gt;=Quarterly!B$2,Quarterly!C$2,IF(COUNTIFS(Quarterly!B:B,"&gt;="&amp;A1113-92,Quarterly!B:B,"&lt;="&amp;A1113)&gt;1,SUMIFS(Quarterly!C:C,Quarterly!B:B,"&gt;="&amp;A1113-88,Quarterly!B:B,"&lt;="&amp;A1113),SUMIFS(Quarterly!C:C,Quarterly!B:B,"&gt;="&amp;A1113-92,Quarterly!B:B,"&lt;="&amp;A1113)))</f>
        <v>8402.1</v>
      </c>
      <c r="K1113" s="13">
        <f t="shared" si="407"/>
        <v>9.6799999999999997E-2</v>
      </c>
      <c r="L1113">
        <f t="shared" si="409"/>
        <v>812.97</v>
      </c>
      <c r="M1113">
        <f>IF(A1113&gt;=Quarterly!B$2,Quarterly!D$2,IF(COUNTIFS(Quarterly!B:B,"&gt;="&amp;A1113-92,Quarterly!B:B,"&lt;="&amp;A1113)&gt;1,SUMIFS(Quarterly!D:D,Quarterly!B:B,"&gt;="&amp;A1113-88,Quarterly!B:B,"&lt;="&amp;A1113),SUMIFS(Quarterly!D:D,Quarterly!B:B,"&gt;="&amp;A1113-92,Quarterly!B:B,"&lt;="&amp;A1113)))</f>
        <v>526.74900000000002</v>
      </c>
      <c r="N1113" s="13">
        <f t="shared" si="410"/>
        <v>0.15434000000000003</v>
      </c>
      <c r="O1113">
        <f t="shared" si="398"/>
        <v>812.97</v>
      </c>
      <c r="P1113" s="56">
        <f>VLOOKUP(EOMONTH(A1113,-1),Economic!A:I,7,FALSE)</f>
        <v>707473</v>
      </c>
      <c r="Q1113" s="13">
        <f t="shared" si="399"/>
        <v>0.1149</v>
      </c>
      <c r="R1113" s="41">
        <v>0.42</v>
      </c>
      <c r="S1113">
        <f t="shared" si="400"/>
        <v>0.73</v>
      </c>
      <c r="T1113" s="30">
        <f t="shared" si="401"/>
        <v>127.19</v>
      </c>
      <c r="U1113" s="30">
        <f t="shared" si="408"/>
        <v>129.85</v>
      </c>
    </row>
    <row r="1114" spans="1:21" ht="15" customHeight="1" x14ac:dyDescent="0.25">
      <c r="A1114" s="5">
        <v>35547</v>
      </c>
      <c r="B1114" s="5">
        <f t="shared" si="402"/>
        <v>35550</v>
      </c>
      <c r="C1114">
        <v>765.37</v>
      </c>
      <c r="D1114" s="29">
        <f t="shared" si="403"/>
        <v>8.5000000000000006E-3</v>
      </c>
      <c r="E1114" s="39">
        <f t="shared" si="404"/>
        <v>781.55153846153848</v>
      </c>
      <c r="F1114" s="39">
        <f t="shared" si="405"/>
        <v>735.85564102564092</v>
      </c>
      <c r="G1114" s="29">
        <f t="shared" si="397"/>
        <v>-2.07E-2</v>
      </c>
      <c r="H1114" s="29">
        <f t="shared" si="397"/>
        <v>4.0099999999999997E-2</v>
      </c>
      <c r="I1114">
        <f t="shared" si="406"/>
        <v>765.37</v>
      </c>
      <c r="J1114">
        <f>IF(A1114&gt;=Quarterly!B$2,Quarterly!C$2,IF(COUNTIFS(Quarterly!B:B,"&gt;="&amp;A1114-92,Quarterly!B:B,"&lt;="&amp;A1114)&gt;1,SUMIFS(Quarterly!C:C,Quarterly!B:B,"&gt;="&amp;A1114-88,Quarterly!B:B,"&lt;="&amp;A1114),SUMIFS(Quarterly!C:C,Quarterly!B:B,"&gt;="&amp;A1114-92,Quarterly!B:B,"&lt;="&amp;A1114)))</f>
        <v>8287.1</v>
      </c>
      <c r="K1114" s="13">
        <f t="shared" si="407"/>
        <v>9.2399999999999996E-2</v>
      </c>
      <c r="L1114">
        <f t="shared" si="409"/>
        <v>765.37</v>
      </c>
      <c r="M1114">
        <f>IF(A1114&gt;=Quarterly!B$2,Quarterly!D$2,IF(COUNTIFS(Quarterly!B:B,"&gt;="&amp;A1114-92,Quarterly!B:B,"&lt;="&amp;A1114)&gt;1,SUMIFS(Quarterly!D:D,Quarterly!B:B,"&gt;="&amp;A1114-88,Quarterly!B:B,"&lt;="&amp;A1114),SUMIFS(Quarterly!D:D,Quarterly!B:B,"&gt;="&amp;A1114-92,Quarterly!B:B,"&lt;="&amp;A1114)))</f>
        <v>514.54200000000003</v>
      </c>
      <c r="N1114" s="13">
        <f t="shared" si="410"/>
        <v>0.14875000000000002</v>
      </c>
      <c r="O1114">
        <f t="shared" si="398"/>
        <v>765.37</v>
      </c>
      <c r="P1114" s="56">
        <f>VLOOKUP(EOMONTH(A1114,-1),Economic!A:I,7,FALSE)</f>
        <v>702574</v>
      </c>
      <c r="Q1114" s="13">
        <f t="shared" si="399"/>
        <v>0.1089</v>
      </c>
      <c r="R1114" s="41">
        <v>0.4</v>
      </c>
      <c r="S1114">
        <f t="shared" si="400"/>
        <v>0.84</v>
      </c>
      <c r="T1114" s="30">
        <f t="shared" si="401"/>
        <v>131.15</v>
      </c>
      <c r="U1114" s="30">
        <f t="shared" si="408"/>
        <v>131.35</v>
      </c>
    </row>
    <row r="1115" spans="1:21" ht="15" customHeight="1" x14ac:dyDescent="0.25">
      <c r="A1115" s="5">
        <v>35540</v>
      </c>
      <c r="B1115" s="5">
        <f t="shared" si="402"/>
        <v>35550</v>
      </c>
      <c r="C1115">
        <v>766.34</v>
      </c>
      <c r="D1115" s="29">
        <f t="shared" si="403"/>
        <v>3.8999999999999998E-3</v>
      </c>
      <c r="E1115" s="39">
        <f t="shared" si="404"/>
        <v>781.94769230769225</v>
      </c>
      <c r="F1115" s="39">
        <f t="shared" si="405"/>
        <v>732.53589743589737</v>
      </c>
      <c r="G1115" s="29">
        <f t="shared" si="397"/>
        <v>-0.02</v>
      </c>
      <c r="H1115" s="29">
        <f t="shared" si="397"/>
        <v>4.6100000000000002E-2</v>
      </c>
      <c r="I1115">
        <f t="shared" si="406"/>
        <v>766.34</v>
      </c>
      <c r="J1115">
        <f>IF(A1115&gt;=Quarterly!B$2,Quarterly!C$2,IF(COUNTIFS(Quarterly!B:B,"&gt;="&amp;A1115-92,Quarterly!B:B,"&lt;="&amp;A1115)&gt;1,SUMIFS(Quarterly!C:C,Quarterly!B:B,"&gt;="&amp;A1115-88,Quarterly!B:B,"&lt;="&amp;A1115),SUMIFS(Quarterly!C:C,Quarterly!B:B,"&gt;="&amp;A1115-92,Quarterly!B:B,"&lt;="&amp;A1115)))</f>
        <v>8287.1</v>
      </c>
      <c r="K1115" s="13">
        <f t="shared" si="407"/>
        <v>9.2499999999999999E-2</v>
      </c>
      <c r="L1115">
        <f t="shared" si="409"/>
        <v>766.34</v>
      </c>
      <c r="M1115">
        <f>IF(A1115&gt;=Quarterly!B$2,Quarterly!D$2,IF(COUNTIFS(Quarterly!B:B,"&gt;="&amp;A1115-92,Quarterly!B:B,"&lt;="&amp;A1115)&gt;1,SUMIFS(Quarterly!D:D,Quarterly!B:B,"&gt;="&amp;A1115-88,Quarterly!B:B,"&lt;="&amp;A1115),SUMIFS(Quarterly!D:D,Quarterly!B:B,"&gt;="&amp;A1115-92,Quarterly!B:B,"&lt;="&amp;A1115)))</f>
        <v>514.54200000000003</v>
      </c>
      <c r="N1115" s="13">
        <f t="shared" si="410"/>
        <v>0.14894000000000002</v>
      </c>
      <c r="O1115">
        <f t="shared" si="398"/>
        <v>766.34</v>
      </c>
      <c r="P1115" s="56">
        <f>VLOOKUP(EOMONTH(A1115,-1),Economic!A:I,7,FALSE)</f>
        <v>702574</v>
      </c>
      <c r="Q1115" s="13">
        <f t="shared" si="399"/>
        <v>0.1091</v>
      </c>
      <c r="R1115" s="41">
        <v>0.42</v>
      </c>
      <c r="S1115">
        <f t="shared" si="400"/>
        <v>0.86</v>
      </c>
      <c r="T1115" s="30">
        <f t="shared" si="401"/>
        <v>131.21</v>
      </c>
      <c r="U1115" s="30">
        <f t="shared" si="408"/>
        <v>130.05000000000001</v>
      </c>
    </row>
    <row r="1116" spans="1:21" ht="15" customHeight="1" x14ac:dyDescent="0.25">
      <c r="A1116" s="5">
        <v>35533</v>
      </c>
      <c r="B1116" s="5">
        <f t="shared" si="402"/>
        <v>35550</v>
      </c>
      <c r="C1116">
        <v>737.65</v>
      </c>
      <c r="D1116" s="29">
        <f t="shared" si="403"/>
        <v>-5.0999999999999997E-2</v>
      </c>
      <c r="E1116" s="39">
        <f t="shared" si="404"/>
        <v>782.70384615384614</v>
      </c>
      <c r="F1116" s="39">
        <f t="shared" si="405"/>
        <v>729.26384615384609</v>
      </c>
      <c r="G1116" s="29">
        <f t="shared" si="397"/>
        <v>-5.7599999999999998E-2</v>
      </c>
      <c r="H1116" s="29">
        <f t="shared" si="397"/>
        <v>1.15E-2</v>
      </c>
      <c r="I1116">
        <f t="shared" si="406"/>
        <v>737.65</v>
      </c>
      <c r="J1116">
        <f>IF(A1116&gt;=Quarterly!B$2,Quarterly!C$2,IF(COUNTIFS(Quarterly!B:B,"&gt;="&amp;A1116-92,Quarterly!B:B,"&lt;="&amp;A1116)&gt;1,SUMIFS(Quarterly!C:C,Quarterly!B:B,"&gt;="&amp;A1116-88,Quarterly!B:B,"&lt;="&amp;A1116),SUMIFS(Quarterly!C:C,Quarterly!B:B,"&gt;="&amp;A1116-92,Quarterly!B:B,"&lt;="&amp;A1116)))</f>
        <v>8287.1</v>
      </c>
      <c r="K1116" s="13">
        <f t="shared" si="407"/>
        <v>8.8999999999999996E-2</v>
      </c>
      <c r="L1116">
        <f t="shared" si="409"/>
        <v>737.65</v>
      </c>
      <c r="M1116">
        <f>IF(A1116&gt;=Quarterly!B$2,Quarterly!D$2,IF(COUNTIFS(Quarterly!B:B,"&gt;="&amp;A1116-92,Quarterly!B:B,"&lt;="&amp;A1116)&gt;1,SUMIFS(Quarterly!D:D,Quarterly!B:B,"&gt;="&amp;A1116-88,Quarterly!B:B,"&lt;="&amp;A1116),SUMIFS(Quarterly!D:D,Quarterly!B:B,"&gt;="&amp;A1116-92,Quarterly!B:B,"&lt;="&amp;A1116)))</f>
        <v>514.54200000000003</v>
      </c>
      <c r="N1116" s="13">
        <f t="shared" si="410"/>
        <v>0.14336000000000002</v>
      </c>
      <c r="O1116">
        <f t="shared" si="398"/>
        <v>737.65</v>
      </c>
      <c r="P1116" s="56">
        <f>VLOOKUP(EOMONTH(A1116,-1),Economic!A:I,7,FALSE)</f>
        <v>702574</v>
      </c>
      <c r="Q1116" s="13">
        <f t="shared" si="399"/>
        <v>0.105</v>
      </c>
      <c r="R1116" s="41">
        <v>0.45</v>
      </c>
      <c r="S1116">
        <f t="shared" si="400"/>
        <v>0.81</v>
      </c>
      <c r="T1116" s="30">
        <f t="shared" si="401"/>
        <v>131.68</v>
      </c>
      <c r="U1116" s="30">
        <f t="shared" si="408"/>
        <v>126.21</v>
      </c>
    </row>
    <row r="1117" spans="1:21" ht="15" customHeight="1" x14ac:dyDescent="0.25">
      <c r="A1117" s="5">
        <v>35526</v>
      </c>
      <c r="B1117" s="5">
        <f t="shared" si="402"/>
        <v>35550</v>
      </c>
      <c r="C1117">
        <v>757.9</v>
      </c>
      <c r="D1117" s="29">
        <f t="shared" si="403"/>
        <v>-3.95E-2</v>
      </c>
      <c r="E1117" s="39">
        <f t="shared" si="404"/>
        <v>784.38461538461536</v>
      </c>
      <c r="F1117" s="39">
        <f t="shared" si="405"/>
        <v>726.91871794871793</v>
      </c>
      <c r="G1117" s="29">
        <f t="shared" si="397"/>
        <v>-3.3799999999999997E-2</v>
      </c>
      <c r="H1117" s="29">
        <f t="shared" si="397"/>
        <v>4.2599999999999999E-2</v>
      </c>
      <c r="I1117">
        <f t="shared" si="406"/>
        <v>757.9</v>
      </c>
      <c r="J1117">
        <f>IF(A1117&gt;=Quarterly!B$2,Quarterly!C$2,IF(COUNTIFS(Quarterly!B:B,"&gt;="&amp;A1117-92,Quarterly!B:B,"&lt;="&amp;A1117)&gt;1,SUMIFS(Quarterly!C:C,Quarterly!B:B,"&gt;="&amp;A1117-88,Quarterly!B:B,"&lt;="&amp;A1117),SUMIFS(Quarterly!C:C,Quarterly!B:B,"&gt;="&amp;A1117-92,Quarterly!B:B,"&lt;="&amp;A1117)))</f>
        <v>8287.1</v>
      </c>
      <c r="K1117" s="13">
        <f t="shared" si="407"/>
        <v>9.1499999999999998E-2</v>
      </c>
      <c r="L1117">
        <f t="shared" si="409"/>
        <v>757.9</v>
      </c>
      <c r="M1117">
        <f>IF(A1117&gt;=Quarterly!B$2,Quarterly!D$2,IF(COUNTIFS(Quarterly!B:B,"&gt;="&amp;A1117-92,Quarterly!B:B,"&lt;="&amp;A1117)&gt;1,SUMIFS(Quarterly!D:D,Quarterly!B:B,"&gt;="&amp;A1117-88,Quarterly!B:B,"&lt;="&amp;A1117),SUMIFS(Quarterly!D:D,Quarterly!B:B,"&gt;="&amp;A1117-92,Quarterly!B:B,"&lt;="&amp;A1117)))</f>
        <v>514.54200000000003</v>
      </c>
      <c r="N1117" s="13">
        <f t="shared" si="410"/>
        <v>0.14730000000000001</v>
      </c>
      <c r="O1117">
        <f t="shared" si="398"/>
        <v>757.9</v>
      </c>
      <c r="P1117" s="56">
        <f>VLOOKUP(EOMONTH(A1117,-1),Economic!A:I,7,FALSE)</f>
        <v>702574</v>
      </c>
      <c r="Q1117" s="13">
        <f t="shared" si="399"/>
        <v>0.10790000000000001</v>
      </c>
      <c r="R1117" s="41">
        <v>0.48</v>
      </c>
      <c r="S1117">
        <f t="shared" si="400"/>
        <v>0.76</v>
      </c>
      <c r="T1117" s="30">
        <f t="shared" si="401"/>
        <v>127.25</v>
      </c>
      <c r="U1117" s="30">
        <f t="shared" si="408"/>
        <v>121.34</v>
      </c>
    </row>
    <row r="1118" spans="1:21" ht="15" customHeight="1" x14ac:dyDescent="0.25">
      <c r="A1118" s="5">
        <v>35519</v>
      </c>
      <c r="B1118" s="5">
        <f t="shared" si="402"/>
        <v>35520</v>
      </c>
      <c r="C1118">
        <v>773.88</v>
      </c>
      <c r="D1118" s="29">
        <f t="shared" si="403"/>
        <v>-2.4400000000000002E-2</v>
      </c>
      <c r="E1118" s="39">
        <f t="shared" si="404"/>
        <v>783.62538461538475</v>
      </c>
      <c r="F1118" s="39">
        <f t="shared" si="405"/>
        <v>724.34282051282037</v>
      </c>
      <c r="G1118" s="29">
        <f t="shared" si="397"/>
        <v>-1.24E-2</v>
      </c>
      <c r="H1118" s="29">
        <f t="shared" si="397"/>
        <v>6.8400000000000002E-2</v>
      </c>
      <c r="I1118">
        <f t="shared" si="406"/>
        <v>773.88</v>
      </c>
      <c r="J1118">
        <f>IF(A1118&gt;=Quarterly!B$2,Quarterly!C$2,IF(COUNTIFS(Quarterly!B:B,"&gt;="&amp;A1118-92,Quarterly!B:B,"&lt;="&amp;A1118)&gt;1,SUMIFS(Quarterly!C:C,Quarterly!B:B,"&gt;="&amp;A1118-88,Quarterly!B:B,"&lt;="&amp;A1118),SUMIFS(Quarterly!C:C,Quarterly!B:B,"&gt;="&amp;A1118-92,Quarterly!B:B,"&lt;="&amp;A1118)))</f>
        <v>8287.1</v>
      </c>
      <c r="K1118" s="13">
        <f t="shared" si="407"/>
        <v>9.3399999999999997E-2</v>
      </c>
      <c r="L1118">
        <f t="shared" si="409"/>
        <v>773.88</v>
      </c>
      <c r="M1118">
        <f>IF(A1118&gt;=Quarterly!B$2,Quarterly!D$2,IF(COUNTIFS(Quarterly!B:B,"&gt;="&amp;A1118-92,Quarterly!B:B,"&lt;="&amp;A1118)&gt;1,SUMIFS(Quarterly!D:D,Quarterly!B:B,"&gt;="&amp;A1118-88,Quarterly!B:B,"&lt;="&amp;A1118),SUMIFS(Quarterly!D:D,Quarterly!B:B,"&gt;="&amp;A1118-92,Quarterly!B:B,"&lt;="&amp;A1118)))</f>
        <v>514.54200000000003</v>
      </c>
      <c r="N1118" s="13">
        <f t="shared" si="410"/>
        <v>0.15040000000000001</v>
      </c>
      <c r="O1118">
        <f t="shared" si="398"/>
        <v>773.88</v>
      </c>
      <c r="P1118" s="56">
        <f>VLOOKUP(EOMONTH(A1118,-1),Economic!A:I,7,FALSE)</f>
        <v>699598</v>
      </c>
      <c r="Q1118" s="13">
        <f t="shared" si="399"/>
        <v>0.1106</v>
      </c>
      <c r="R1118" s="41">
        <v>0.45</v>
      </c>
      <c r="S1118">
        <f t="shared" si="400"/>
        <v>0.56999999999999995</v>
      </c>
      <c r="T1118" s="30">
        <f t="shared" si="401"/>
        <v>119.7</v>
      </c>
      <c r="U1118" s="30">
        <f t="shared" si="408"/>
        <v>118.61</v>
      </c>
    </row>
    <row r="1119" spans="1:21" ht="15" customHeight="1" x14ac:dyDescent="0.25">
      <c r="A1119" s="5">
        <v>35512</v>
      </c>
      <c r="B1119" s="5">
        <f t="shared" si="402"/>
        <v>35520</v>
      </c>
      <c r="C1119">
        <v>784.1</v>
      </c>
      <c r="D1119" s="29">
        <f t="shared" si="403"/>
        <v>-1.7000000000000001E-2</v>
      </c>
      <c r="E1119" s="39">
        <f t="shared" si="404"/>
        <v>782.31076923076932</v>
      </c>
      <c r="F1119" s="39">
        <f t="shared" si="405"/>
        <v>721.69538461538457</v>
      </c>
      <c r="G1119" s="29">
        <f t="shared" si="397"/>
        <v>2.3E-3</v>
      </c>
      <c r="H1119" s="29">
        <f t="shared" si="397"/>
        <v>8.6499999999999994E-2</v>
      </c>
      <c r="I1119">
        <f t="shared" si="406"/>
        <v>784.1</v>
      </c>
      <c r="J1119">
        <f>IF(A1119&gt;=Quarterly!B$2,Quarterly!C$2,IF(COUNTIFS(Quarterly!B:B,"&gt;="&amp;A1119-92,Quarterly!B:B,"&lt;="&amp;A1119)&gt;1,SUMIFS(Quarterly!C:C,Quarterly!B:B,"&gt;="&amp;A1119-88,Quarterly!B:B,"&lt;="&amp;A1119),SUMIFS(Quarterly!C:C,Quarterly!B:B,"&gt;="&amp;A1119-92,Quarterly!B:B,"&lt;="&amp;A1119)))</f>
        <v>8287.1</v>
      </c>
      <c r="K1119" s="13">
        <f t="shared" si="407"/>
        <v>9.4600000000000004E-2</v>
      </c>
      <c r="L1119">
        <f t="shared" si="409"/>
        <v>784.1</v>
      </c>
      <c r="M1119">
        <f>IF(A1119&gt;=Quarterly!B$2,Quarterly!D$2,IF(COUNTIFS(Quarterly!B:B,"&gt;="&amp;A1119-92,Quarterly!B:B,"&lt;="&amp;A1119)&gt;1,SUMIFS(Quarterly!D:D,Quarterly!B:B,"&gt;="&amp;A1119-88,Quarterly!B:B,"&lt;="&amp;A1119),SUMIFS(Quarterly!D:D,Quarterly!B:B,"&gt;="&amp;A1119-92,Quarterly!B:B,"&lt;="&amp;A1119)))</f>
        <v>514.54200000000003</v>
      </c>
      <c r="N1119" s="13">
        <f t="shared" si="410"/>
        <v>0.15239000000000003</v>
      </c>
      <c r="O1119">
        <f t="shared" si="398"/>
        <v>784.1</v>
      </c>
      <c r="P1119" s="56">
        <f>VLOOKUP(EOMONTH(A1119,-1),Economic!A:I,7,FALSE)</f>
        <v>699598</v>
      </c>
      <c r="Q1119" s="13">
        <f t="shared" si="399"/>
        <v>0.11210000000000001</v>
      </c>
      <c r="R1119" s="41">
        <v>0.45</v>
      </c>
      <c r="S1119">
        <f t="shared" si="400"/>
        <v>0.51</v>
      </c>
      <c r="T1119" s="30">
        <f t="shared" si="401"/>
        <v>117.06</v>
      </c>
      <c r="U1119" s="30">
        <f t="shared" si="408"/>
        <v>117.58</v>
      </c>
    </row>
    <row r="1120" spans="1:21" ht="15" customHeight="1" x14ac:dyDescent="0.25">
      <c r="A1120" s="5">
        <v>35505</v>
      </c>
      <c r="B1120" s="5">
        <f t="shared" si="402"/>
        <v>35520</v>
      </c>
      <c r="C1120">
        <v>793.17</v>
      </c>
      <c r="D1120" s="29">
        <f t="shared" si="403"/>
        <v>-1.04E-2</v>
      </c>
      <c r="E1120" s="39">
        <f t="shared" si="404"/>
        <v>779.60076923076952</v>
      </c>
      <c r="F1120" s="39">
        <f t="shared" si="405"/>
        <v>718.68871794871791</v>
      </c>
      <c r="G1120" s="29">
        <f t="shared" si="397"/>
        <v>1.7399999999999999E-2</v>
      </c>
      <c r="H1120" s="29">
        <f t="shared" si="397"/>
        <v>0.1036</v>
      </c>
      <c r="I1120">
        <f t="shared" si="406"/>
        <v>793.17</v>
      </c>
      <c r="J1120">
        <f>IF(A1120&gt;=Quarterly!B$2,Quarterly!C$2,IF(COUNTIFS(Quarterly!B:B,"&gt;="&amp;A1120-92,Quarterly!B:B,"&lt;="&amp;A1120)&gt;1,SUMIFS(Quarterly!C:C,Quarterly!B:B,"&gt;="&amp;A1120-88,Quarterly!B:B,"&lt;="&amp;A1120),SUMIFS(Quarterly!C:C,Quarterly!B:B,"&gt;="&amp;A1120-92,Quarterly!B:B,"&lt;="&amp;A1120)))</f>
        <v>8287.1</v>
      </c>
      <c r="K1120" s="13">
        <f t="shared" si="407"/>
        <v>9.5699999999999993E-2</v>
      </c>
      <c r="L1120">
        <f t="shared" si="409"/>
        <v>793.17</v>
      </c>
      <c r="M1120">
        <f>IF(A1120&gt;=Quarterly!B$2,Quarterly!D$2,IF(COUNTIFS(Quarterly!B:B,"&gt;="&amp;A1120-92,Quarterly!B:B,"&lt;="&amp;A1120)&gt;1,SUMIFS(Quarterly!D:D,Quarterly!B:B,"&gt;="&amp;A1120-88,Quarterly!B:B,"&lt;="&amp;A1120),SUMIFS(Quarterly!D:D,Quarterly!B:B,"&gt;="&amp;A1120-92,Quarterly!B:B,"&lt;="&amp;A1120)))</f>
        <v>514.54200000000003</v>
      </c>
      <c r="N1120" s="13">
        <f t="shared" si="410"/>
        <v>0.15415000000000001</v>
      </c>
      <c r="O1120">
        <f t="shared" si="398"/>
        <v>793.17</v>
      </c>
      <c r="P1120" s="56">
        <f>VLOOKUP(EOMONTH(A1120,-1),Economic!A:I,7,FALSE)</f>
        <v>699598</v>
      </c>
      <c r="Q1120" s="13">
        <f t="shared" si="399"/>
        <v>0.1134</v>
      </c>
      <c r="R1120" s="41">
        <v>0.53</v>
      </c>
      <c r="S1120">
        <f t="shared" si="400"/>
        <v>0.57999999999999996</v>
      </c>
      <c r="T1120" s="30">
        <f t="shared" si="401"/>
        <v>119.06</v>
      </c>
      <c r="U1120" s="30">
        <f t="shared" si="408"/>
        <v>117.37</v>
      </c>
    </row>
    <row r="1121" spans="1:21" ht="15" customHeight="1" x14ac:dyDescent="0.25">
      <c r="A1121" s="5">
        <v>35498</v>
      </c>
      <c r="B1121" s="5">
        <f t="shared" si="402"/>
        <v>35520</v>
      </c>
      <c r="C1121">
        <v>804.97</v>
      </c>
      <c r="D1121" s="29">
        <f t="shared" si="403"/>
        <v>9.1999999999999998E-3</v>
      </c>
      <c r="E1121" s="39">
        <f t="shared" si="404"/>
        <v>774.63692307692315</v>
      </c>
      <c r="F1121" s="39">
        <f t="shared" si="405"/>
        <v>715.42410256410244</v>
      </c>
      <c r="G1121" s="29">
        <f t="shared" si="397"/>
        <v>3.9199999999999999E-2</v>
      </c>
      <c r="H1121" s="29">
        <f t="shared" si="397"/>
        <v>0.12520000000000001</v>
      </c>
      <c r="I1121">
        <f t="shared" si="406"/>
        <v>804.97</v>
      </c>
      <c r="J1121">
        <f>IF(A1121&gt;=Quarterly!B$2,Quarterly!C$2,IF(COUNTIFS(Quarterly!B:B,"&gt;="&amp;A1121-92,Quarterly!B:B,"&lt;="&amp;A1121)&gt;1,SUMIFS(Quarterly!C:C,Quarterly!B:B,"&gt;="&amp;A1121-88,Quarterly!B:B,"&lt;="&amp;A1121),SUMIFS(Quarterly!C:C,Quarterly!B:B,"&gt;="&amp;A1121-92,Quarterly!B:B,"&lt;="&amp;A1121)))</f>
        <v>8287.1</v>
      </c>
      <c r="K1121" s="13">
        <f t="shared" si="407"/>
        <v>9.7100000000000006E-2</v>
      </c>
      <c r="L1121">
        <f t="shared" si="409"/>
        <v>804.97</v>
      </c>
      <c r="M1121">
        <f>IF(A1121&gt;=Quarterly!B$2,Quarterly!D$2,IF(COUNTIFS(Quarterly!B:B,"&gt;="&amp;A1121-92,Quarterly!B:B,"&lt;="&amp;A1121)&gt;1,SUMIFS(Quarterly!D:D,Quarterly!B:B,"&gt;="&amp;A1121-88,Quarterly!B:B,"&lt;="&amp;A1121),SUMIFS(Quarterly!D:D,Quarterly!B:B,"&gt;="&amp;A1121-92,Quarterly!B:B,"&lt;="&amp;A1121)))</f>
        <v>514.54200000000003</v>
      </c>
      <c r="N1121" s="13">
        <f t="shared" si="410"/>
        <v>0.15644000000000002</v>
      </c>
      <c r="O1121">
        <f t="shared" si="398"/>
        <v>804.97</v>
      </c>
      <c r="P1121" s="56">
        <f>VLOOKUP(EOMONTH(A1121,-1),Economic!A:I,7,FALSE)</f>
        <v>699598</v>
      </c>
      <c r="Q1121" s="13">
        <f t="shared" si="399"/>
        <v>0.11509999999999999</v>
      </c>
      <c r="R1121" s="41">
        <v>0.47</v>
      </c>
      <c r="S1121">
        <f t="shared" si="400"/>
        <v>0.49</v>
      </c>
      <c r="T1121" s="30">
        <f t="shared" si="401"/>
        <v>116.61</v>
      </c>
      <c r="U1121" s="30">
        <f t="shared" si="408"/>
        <v>116.69</v>
      </c>
    </row>
    <row r="1122" spans="1:21" ht="15" customHeight="1" x14ac:dyDescent="0.25">
      <c r="A1122" s="5">
        <v>35491</v>
      </c>
      <c r="B1122" s="5">
        <f t="shared" si="402"/>
        <v>35520</v>
      </c>
      <c r="C1122">
        <v>790.82</v>
      </c>
      <c r="D1122" s="29">
        <f t="shared" si="403"/>
        <v>-7.1000000000000004E-3</v>
      </c>
      <c r="E1122" s="39">
        <f t="shared" si="404"/>
        <v>769.60846153846148</v>
      </c>
      <c r="F1122" s="39">
        <f t="shared" si="405"/>
        <v>712.04820512820504</v>
      </c>
      <c r="G1122" s="29">
        <f t="shared" si="397"/>
        <v>2.76E-2</v>
      </c>
      <c r="H1122" s="29">
        <f t="shared" si="397"/>
        <v>0.1106</v>
      </c>
      <c r="I1122">
        <f t="shared" si="406"/>
        <v>790.82</v>
      </c>
      <c r="J1122">
        <f>IF(A1122&gt;=Quarterly!B$2,Quarterly!C$2,IF(COUNTIFS(Quarterly!B:B,"&gt;="&amp;A1122-92,Quarterly!B:B,"&lt;="&amp;A1122)&gt;1,SUMIFS(Quarterly!C:C,Quarterly!B:B,"&gt;="&amp;A1122-88,Quarterly!B:B,"&lt;="&amp;A1122),SUMIFS(Quarterly!C:C,Quarterly!B:B,"&gt;="&amp;A1122-92,Quarterly!B:B,"&lt;="&amp;A1122)))</f>
        <v>8287.1</v>
      </c>
      <c r="K1122" s="13">
        <f t="shared" si="407"/>
        <v>9.5399999999999999E-2</v>
      </c>
      <c r="L1122">
        <f t="shared" si="409"/>
        <v>790.82</v>
      </c>
      <c r="M1122">
        <f>IF(A1122&gt;=Quarterly!B$2,Quarterly!D$2,IF(COUNTIFS(Quarterly!B:B,"&gt;="&amp;A1122-92,Quarterly!B:B,"&lt;="&amp;A1122)&gt;1,SUMIFS(Quarterly!D:D,Quarterly!B:B,"&gt;="&amp;A1122-88,Quarterly!B:B,"&lt;="&amp;A1122),SUMIFS(Quarterly!D:D,Quarterly!B:B,"&gt;="&amp;A1122-92,Quarterly!B:B,"&lt;="&amp;A1122)))</f>
        <v>514.54200000000003</v>
      </c>
      <c r="N1122" s="13">
        <f t="shared" si="410"/>
        <v>0.15368999999999999</v>
      </c>
      <c r="O1122">
        <f t="shared" si="398"/>
        <v>790.82</v>
      </c>
      <c r="P1122" s="56">
        <f>VLOOKUP(EOMONTH(A1122,-1),Economic!A:I,7,FALSE)</f>
        <v>699598</v>
      </c>
      <c r="Q1122" s="13">
        <f t="shared" si="399"/>
        <v>0.11299999999999999</v>
      </c>
      <c r="R1122" s="41">
        <v>0.47</v>
      </c>
      <c r="S1122">
        <f t="shared" si="400"/>
        <v>0.4</v>
      </c>
      <c r="T1122" s="30">
        <f t="shared" si="401"/>
        <v>116.44</v>
      </c>
      <c r="U1122" s="30">
        <f t="shared" si="408"/>
        <v>116.53</v>
      </c>
    </row>
    <row r="1123" spans="1:21" ht="15" customHeight="1" x14ac:dyDescent="0.25">
      <c r="A1123" s="5">
        <v>35484</v>
      </c>
      <c r="B1123" s="5">
        <f t="shared" si="402"/>
        <v>35489</v>
      </c>
      <c r="C1123">
        <v>801.77</v>
      </c>
      <c r="D1123" s="29">
        <f t="shared" si="403"/>
        <v>1.66E-2</v>
      </c>
      <c r="E1123" s="39">
        <f t="shared" si="404"/>
        <v>767.00846153846157</v>
      </c>
      <c r="F1123" s="39">
        <f t="shared" si="405"/>
        <v>708.92769230769227</v>
      </c>
      <c r="G1123" s="29">
        <f t="shared" si="397"/>
        <v>4.53E-2</v>
      </c>
      <c r="H1123" s="29">
        <f t="shared" si="397"/>
        <v>0.13100000000000001</v>
      </c>
      <c r="I1123">
        <f t="shared" si="406"/>
        <v>801.77</v>
      </c>
      <c r="J1123">
        <f>IF(A1123&gt;=Quarterly!B$2,Quarterly!C$2,IF(COUNTIFS(Quarterly!B:B,"&gt;="&amp;A1123-92,Quarterly!B:B,"&lt;="&amp;A1123)&gt;1,SUMIFS(Quarterly!C:C,Quarterly!B:B,"&gt;="&amp;A1123-88,Quarterly!B:B,"&lt;="&amp;A1123),SUMIFS(Quarterly!C:C,Quarterly!B:B,"&gt;="&amp;A1123-92,Quarterly!B:B,"&lt;="&amp;A1123)))</f>
        <v>8287.1</v>
      </c>
      <c r="K1123" s="13">
        <f t="shared" si="407"/>
        <v>9.6699999999999994E-2</v>
      </c>
      <c r="L1123">
        <f t="shared" si="409"/>
        <v>801.77</v>
      </c>
      <c r="M1123">
        <f>IF(A1123&gt;=Quarterly!B$2,Quarterly!D$2,IF(COUNTIFS(Quarterly!B:B,"&gt;="&amp;A1123-92,Quarterly!B:B,"&lt;="&amp;A1123)&gt;1,SUMIFS(Quarterly!D:D,Quarterly!B:B,"&gt;="&amp;A1123-88,Quarterly!B:B,"&lt;="&amp;A1123),SUMIFS(Quarterly!D:D,Quarterly!B:B,"&gt;="&amp;A1123-92,Quarterly!B:B,"&lt;="&amp;A1123)))</f>
        <v>514.54200000000003</v>
      </c>
      <c r="N1123" s="13">
        <f t="shared" si="410"/>
        <v>0.15582000000000001</v>
      </c>
      <c r="O1123">
        <f t="shared" si="398"/>
        <v>801.77</v>
      </c>
      <c r="P1123" s="56">
        <f>VLOOKUP(EOMONTH(A1123,-1),Economic!A:I,7,FALSE)</f>
        <v>697977</v>
      </c>
      <c r="Q1123" s="13">
        <f t="shared" si="399"/>
        <v>0.1149</v>
      </c>
      <c r="R1123" s="41">
        <v>0.51</v>
      </c>
      <c r="S1123">
        <f t="shared" si="400"/>
        <v>0.43</v>
      </c>
      <c r="T1123" s="30">
        <f t="shared" si="401"/>
        <v>117.02</v>
      </c>
      <c r="U1123" s="30">
        <f t="shared" si="408"/>
        <v>117</v>
      </c>
    </row>
    <row r="1124" spans="1:21" ht="15" customHeight="1" x14ac:dyDescent="0.25">
      <c r="A1124" s="5">
        <v>35477</v>
      </c>
      <c r="B1124" s="5">
        <f t="shared" si="402"/>
        <v>35489</v>
      </c>
      <c r="C1124">
        <v>808.48</v>
      </c>
      <c r="D1124" s="29">
        <f t="shared" si="403"/>
        <v>3.5700000000000003E-2</v>
      </c>
      <c r="E1124" s="39">
        <f t="shared" si="404"/>
        <v>762.92846153846153</v>
      </c>
      <c r="F1124" s="39">
        <f t="shared" si="405"/>
        <v>705.76717948717942</v>
      </c>
      <c r="G1124" s="29">
        <f t="shared" si="397"/>
        <v>5.9700000000000003E-2</v>
      </c>
      <c r="H1124" s="29">
        <f t="shared" si="397"/>
        <v>0.14549999999999999</v>
      </c>
      <c r="I1124">
        <f t="shared" si="406"/>
        <v>808.48</v>
      </c>
      <c r="J1124">
        <f>IF(A1124&gt;=Quarterly!B$2,Quarterly!C$2,IF(COUNTIFS(Quarterly!B:B,"&gt;="&amp;A1124-92,Quarterly!B:B,"&lt;="&amp;A1124)&gt;1,SUMIFS(Quarterly!C:C,Quarterly!B:B,"&gt;="&amp;A1124-88,Quarterly!B:B,"&lt;="&amp;A1124),SUMIFS(Quarterly!C:C,Quarterly!B:B,"&gt;="&amp;A1124-92,Quarterly!B:B,"&lt;="&amp;A1124)))</f>
        <v>8287.1</v>
      </c>
      <c r="K1124" s="13">
        <f t="shared" si="407"/>
        <v>9.7600000000000006E-2</v>
      </c>
      <c r="L1124">
        <f t="shared" si="409"/>
        <v>808.48</v>
      </c>
      <c r="M1124">
        <f>IF(A1124&gt;=Quarterly!B$2,Quarterly!D$2,IF(COUNTIFS(Quarterly!B:B,"&gt;="&amp;A1124-92,Quarterly!B:B,"&lt;="&amp;A1124)&gt;1,SUMIFS(Quarterly!D:D,Quarterly!B:B,"&gt;="&amp;A1124-88,Quarterly!B:B,"&lt;="&amp;A1124),SUMIFS(Quarterly!D:D,Quarterly!B:B,"&gt;="&amp;A1124-92,Quarterly!B:B,"&lt;="&amp;A1124)))</f>
        <v>514.54200000000003</v>
      </c>
      <c r="N1124" s="13">
        <f t="shared" si="410"/>
        <v>0.15712999999999999</v>
      </c>
      <c r="O1124">
        <f t="shared" si="398"/>
        <v>808.48</v>
      </c>
      <c r="P1124" s="56">
        <f>VLOOKUP(EOMONTH(A1124,-1),Economic!A:I,7,FALSE)</f>
        <v>697977</v>
      </c>
      <c r="Q1124" s="13">
        <f t="shared" si="399"/>
        <v>0.1158</v>
      </c>
      <c r="R1124" s="41">
        <v>0.49</v>
      </c>
      <c r="S1124">
        <f t="shared" si="400"/>
        <v>0.39</v>
      </c>
      <c r="T1124" s="30">
        <f t="shared" si="401"/>
        <v>116.14</v>
      </c>
      <c r="U1124" s="30">
        <f t="shared" si="408"/>
        <v>118.33</v>
      </c>
    </row>
    <row r="1125" spans="1:21" ht="15" customHeight="1" x14ac:dyDescent="0.25">
      <c r="A1125" s="5">
        <v>35470</v>
      </c>
      <c r="B1125" s="5">
        <f t="shared" si="402"/>
        <v>35489</v>
      </c>
      <c r="C1125">
        <v>789.56</v>
      </c>
      <c r="D1125" s="29">
        <f t="shared" si="403"/>
        <v>2.1299999999999999E-2</v>
      </c>
      <c r="E1125" s="39">
        <f t="shared" si="404"/>
        <v>757.47769230769234</v>
      </c>
      <c r="F1125" s="39">
        <f t="shared" si="405"/>
        <v>702.18846153846152</v>
      </c>
      <c r="G1125" s="29">
        <f t="shared" si="397"/>
        <v>4.24E-2</v>
      </c>
      <c r="H1125" s="29">
        <f t="shared" si="397"/>
        <v>0.1244</v>
      </c>
      <c r="I1125">
        <f t="shared" si="406"/>
        <v>789.56</v>
      </c>
      <c r="J1125">
        <f>IF(A1125&gt;=Quarterly!B$2,Quarterly!C$2,IF(COUNTIFS(Quarterly!B:B,"&gt;="&amp;A1125-92,Quarterly!B:B,"&lt;="&amp;A1125)&gt;1,SUMIFS(Quarterly!C:C,Quarterly!B:B,"&gt;="&amp;A1125-88,Quarterly!B:B,"&lt;="&amp;A1125),SUMIFS(Quarterly!C:C,Quarterly!B:B,"&gt;="&amp;A1125-92,Quarterly!B:B,"&lt;="&amp;A1125)))</f>
        <v>8287.1</v>
      </c>
      <c r="K1125" s="13">
        <f t="shared" si="407"/>
        <v>9.5299999999999996E-2</v>
      </c>
      <c r="L1125">
        <f t="shared" si="409"/>
        <v>789.56</v>
      </c>
      <c r="M1125">
        <f>IF(A1125&gt;=Quarterly!B$2,Quarterly!D$2,IF(COUNTIFS(Quarterly!B:B,"&gt;="&amp;A1125-92,Quarterly!B:B,"&lt;="&amp;A1125)&gt;1,SUMIFS(Quarterly!D:D,Quarterly!B:B,"&gt;="&amp;A1125-88,Quarterly!B:B,"&lt;="&amp;A1125),SUMIFS(Quarterly!D:D,Quarterly!B:B,"&gt;="&amp;A1125-92,Quarterly!B:B,"&lt;="&amp;A1125)))</f>
        <v>514.54200000000003</v>
      </c>
      <c r="N1125" s="13">
        <f t="shared" si="410"/>
        <v>0.15345</v>
      </c>
      <c r="O1125">
        <f t="shared" si="398"/>
        <v>789.56</v>
      </c>
      <c r="P1125" s="56">
        <f>VLOOKUP(EOMONTH(A1125,-1),Economic!A:I,7,FALSE)</f>
        <v>697977</v>
      </c>
      <c r="Q1125" s="13">
        <f t="shared" si="399"/>
        <v>0.11310000000000001</v>
      </c>
      <c r="R1125" s="41">
        <v>0.56999999999999995</v>
      </c>
      <c r="S1125">
        <f t="shared" si="400"/>
        <v>0.34</v>
      </c>
      <c r="T1125" s="30">
        <f t="shared" si="401"/>
        <v>117.85</v>
      </c>
      <c r="U1125" s="30">
        <f t="shared" si="408"/>
        <v>119.94</v>
      </c>
    </row>
    <row r="1126" spans="1:21" ht="15" customHeight="1" x14ac:dyDescent="0.25">
      <c r="A1126" s="5">
        <v>35463</v>
      </c>
      <c r="B1126" s="5">
        <f t="shared" si="402"/>
        <v>35489</v>
      </c>
      <c r="C1126">
        <v>786.16</v>
      </c>
      <c r="D1126" s="29">
        <f t="shared" si="403"/>
        <v>2.9600000000000001E-2</v>
      </c>
      <c r="E1126" s="39">
        <f t="shared" si="404"/>
        <v>752.95923076923089</v>
      </c>
      <c r="F1126" s="39">
        <f t="shared" si="405"/>
        <v>698.6635897435898</v>
      </c>
      <c r="G1126" s="29">
        <f t="shared" si="397"/>
        <v>4.41E-2</v>
      </c>
      <c r="H1126" s="29">
        <f t="shared" si="397"/>
        <v>0.12520000000000001</v>
      </c>
      <c r="I1126">
        <f t="shared" si="406"/>
        <v>786.16</v>
      </c>
      <c r="J1126">
        <f>IF(A1126&gt;=Quarterly!B$2,Quarterly!C$2,IF(COUNTIFS(Quarterly!B:B,"&gt;="&amp;A1126-92,Quarterly!B:B,"&lt;="&amp;A1126)&gt;1,SUMIFS(Quarterly!C:C,Quarterly!B:B,"&gt;="&amp;A1126-88,Quarterly!B:B,"&lt;="&amp;A1126),SUMIFS(Quarterly!C:C,Quarterly!B:B,"&gt;="&amp;A1126-92,Quarterly!B:B,"&lt;="&amp;A1126)))</f>
        <v>8287.1</v>
      </c>
      <c r="K1126" s="13">
        <f t="shared" si="407"/>
        <v>9.4899999999999998E-2</v>
      </c>
      <c r="L1126">
        <f t="shared" si="409"/>
        <v>786.16</v>
      </c>
      <c r="M1126">
        <f>IF(A1126&gt;=Quarterly!B$2,Quarterly!D$2,IF(COUNTIFS(Quarterly!B:B,"&gt;="&amp;A1126-92,Quarterly!B:B,"&lt;="&amp;A1126)&gt;1,SUMIFS(Quarterly!D:D,Quarterly!B:B,"&gt;="&amp;A1126-88,Quarterly!B:B,"&lt;="&amp;A1126),SUMIFS(Quarterly!D:D,Quarterly!B:B,"&gt;="&amp;A1126-92,Quarterly!B:B,"&lt;="&amp;A1126)))</f>
        <v>514.54200000000003</v>
      </c>
      <c r="N1126" s="13">
        <f t="shared" si="410"/>
        <v>0.15279000000000001</v>
      </c>
      <c r="O1126">
        <f t="shared" si="398"/>
        <v>786.16</v>
      </c>
      <c r="P1126" s="56">
        <f>VLOOKUP(EOMONTH(A1126,-1),Economic!A:I,7,FALSE)</f>
        <v>697977</v>
      </c>
      <c r="Q1126" s="13">
        <f t="shared" si="399"/>
        <v>0.11260000000000001</v>
      </c>
      <c r="R1126" s="41">
        <v>0.59</v>
      </c>
      <c r="S1126">
        <f t="shared" si="400"/>
        <v>0.39</v>
      </c>
      <c r="T1126" s="30">
        <f t="shared" si="401"/>
        <v>120.99</v>
      </c>
      <c r="U1126" s="30">
        <f t="shared" si="408"/>
        <v>121.82</v>
      </c>
    </row>
    <row r="1127" spans="1:21" ht="15" customHeight="1" x14ac:dyDescent="0.25">
      <c r="A1127" s="5">
        <v>35456</v>
      </c>
      <c r="B1127" s="5">
        <f t="shared" si="402"/>
        <v>35461</v>
      </c>
      <c r="C1127">
        <v>770.52</v>
      </c>
      <c r="D1127" s="29">
        <f t="shared" si="403"/>
        <v>1.37E-2</v>
      </c>
      <c r="E1127" s="39">
        <f t="shared" si="404"/>
        <v>746.62153846153865</v>
      </c>
      <c r="F1127" s="39">
        <f t="shared" si="405"/>
        <v>694.95769230769235</v>
      </c>
      <c r="G1127" s="29">
        <f t="shared" si="397"/>
        <v>3.2000000000000001E-2</v>
      </c>
      <c r="H1127" s="29">
        <f t="shared" si="397"/>
        <v>0.1087</v>
      </c>
      <c r="I1127">
        <f t="shared" si="406"/>
        <v>770.52</v>
      </c>
      <c r="J1127">
        <f>IF(A1127&gt;=Quarterly!B$2,Quarterly!C$2,IF(COUNTIFS(Quarterly!B:B,"&gt;="&amp;A1127-92,Quarterly!B:B,"&lt;="&amp;A1127)&gt;1,SUMIFS(Quarterly!C:C,Quarterly!B:B,"&gt;="&amp;A1127-88,Quarterly!B:B,"&lt;="&amp;A1127),SUMIFS(Quarterly!C:C,Quarterly!B:B,"&gt;="&amp;A1127-92,Quarterly!B:B,"&lt;="&amp;A1127)))</f>
        <v>8159</v>
      </c>
      <c r="K1127" s="13">
        <f t="shared" si="407"/>
        <v>9.4399999999999998E-2</v>
      </c>
      <c r="L1127">
        <f t="shared" si="409"/>
        <v>770.52</v>
      </c>
      <c r="M1127">
        <f>IF(A1127&gt;=Quarterly!B$2,Quarterly!D$2,IF(COUNTIFS(Quarterly!B:B,"&gt;="&amp;A1127-92,Quarterly!B:B,"&lt;="&amp;A1127)&gt;1,SUMIFS(Quarterly!D:D,Quarterly!B:B,"&gt;="&amp;A1127-88,Quarterly!B:B,"&lt;="&amp;A1127),SUMIFS(Quarterly!D:D,Quarterly!B:B,"&gt;="&amp;A1127-92,Quarterly!B:B,"&lt;="&amp;A1127)))</f>
        <v>502.58</v>
      </c>
      <c r="N1127" s="13">
        <f t="shared" si="410"/>
        <v>0.15331</v>
      </c>
      <c r="O1127">
        <f t="shared" si="398"/>
        <v>770.52</v>
      </c>
      <c r="P1127" s="56">
        <f>VLOOKUP(EOMONTH(A1127,-1),Economic!A:I,7,FALSE)</f>
        <v>693494</v>
      </c>
      <c r="Q1127" s="13">
        <f t="shared" si="399"/>
        <v>0.1111</v>
      </c>
      <c r="R1127" s="41">
        <v>0.56999999999999995</v>
      </c>
      <c r="S1127">
        <f t="shared" si="400"/>
        <v>0.42</v>
      </c>
      <c r="T1127" s="30">
        <f t="shared" si="401"/>
        <v>120.99</v>
      </c>
      <c r="U1127" s="30">
        <f t="shared" si="408"/>
        <v>123.81</v>
      </c>
    </row>
    <row r="1128" spans="1:21" ht="15" customHeight="1" x14ac:dyDescent="0.25">
      <c r="A1128" s="5">
        <v>35449</v>
      </c>
      <c r="B1128" s="5">
        <f t="shared" si="402"/>
        <v>35461</v>
      </c>
      <c r="C1128">
        <v>776.17</v>
      </c>
      <c r="D1128" s="29">
        <f t="shared" si="403"/>
        <v>3.04E-2</v>
      </c>
      <c r="E1128" s="39">
        <f t="shared" si="404"/>
        <v>741.26769230769241</v>
      </c>
      <c r="F1128" s="39">
        <f t="shared" si="405"/>
        <v>691.95615384615382</v>
      </c>
      <c r="G1128" s="29">
        <f t="shared" si="397"/>
        <v>4.7100000000000003E-2</v>
      </c>
      <c r="H1128" s="29">
        <f t="shared" si="397"/>
        <v>0.1217</v>
      </c>
      <c r="I1128">
        <f t="shared" si="406"/>
        <v>776.17</v>
      </c>
      <c r="J1128">
        <f>IF(A1128&gt;=Quarterly!B$2,Quarterly!C$2,IF(COUNTIFS(Quarterly!B:B,"&gt;="&amp;A1128-92,Quarterly!B:B,"&lt;="&amp;A1128)&gt;1,SUMIFS(Quarterly!C:C,Quarterly!B:B,"&gt;="&amp;A1128-88,Quarterly!B:B,"&lt;="&amp;A1128),SUMIFS(Quarterly!C:C,Quarterly!B:B,"&gt;="&amp;A1128-92,Quarterly!B:B,"&lt;="&amp;A1128)))</f>
        <v>8159</v>
      </c>
      <c r="K1128" s="13">
        <f t="shared" si="407"/>
        <v>9.5100000000000004E-2</v>
      </c>
      <c r="L1128">
        <f t="shared" si="409"/>
        <v>776.17</v>
      </c>
      <c r="M1128">
        <f>IF(A1128&gt;=Quarterly!B$2,Quarterly!D$2,IF(COUNTIFS(Quarterly!B:B,"&gt;="&amp;A1128-92,Quarterly!B:B,"&lt;="&amp;A1128)&gt;1,SUMIFS(Quarterly!D:D,Quarterly!B:B,"&gt;="&amp;A1128-88,Quarterly!B:B,"&lt;="&amp;A1128),SUMIFS(Quarterly!D:D,Quarterly!B:B,"&gt;="&amp;A1128-92,Quarterly!B:B,"&lt;="&amp;A1128)))</f>
        <v>502.58</v>
      </c>
      <c r="N1128" s="13">
        <f t="shared" si="410"/>
        <v>0.15444000000000002</v>
      </c>
      <c r="O1128">
        <f t="shared" si="398"/>
        <v>776.17</v>
      </c>
      <c r="P1128" s="56">
        <f>VLOOKUP(EOMONTH(A1128,-1),Economic!A:I,7,FALSE)</f>
        <v>693494</v>
      </c>
      <c r="Q1128" s="13">
        <f t="shared" si="399"/>
        <v>0.1119</v>
      </c>
      <c r="R1128" s="41">
        <v>0.56000000000000005</v>
      </c>
      <c r="S1128">
        <f t="shared" si="400"/>
        <v>0.46</v>
      </c>
      <c r="T1128" s="30">
        <f t="shared" si="401"/>
        <v>123.49</v>
      </c>
      <c r="U1128" s="30">
        <f t="shared" si="408"/>
        <v>126.23</v>
      </c>
    </row>
    <row r="1129" spans="1:21" ht="15" customHeight="1" x14ac:dyDescent="0.25">
      <c r="A1129" s="5">
        <v>35442</v>
      </c>
      <c r="B1129" s="5">
        <f t="shared" si="402"/>
        <v>35461</v>
      </c>
      <c r="C1129">
        <v>759.5</v>
      </c>
      <c r="D1129" s="29">
        <f t="shared" si="403"/>
        <v>1.8700000000000001E-2</v>
      </c>
      <c r="E1129" s="39">
        <f t="shared" si="404"/>
        <v>736.24076923076905</v>
      </c>
      <c r="F1129" s="39">
        <f t="shared" si="405"/>
        <v>688.59461538461528</v>
      </c>
      <c r="G1129" s="29">
        <f t="shared" si="397"/>
        <v>3.1600000000000003E-2</v>
      </c>
      <c r="H1129" s="29">
        <f t="shared" si="397"/>
        <v>0.10299999999999999</v>
      </c>
      <c r="I1129">
        <f t="shared" si="406"/>
        <v>759.5</v>
      </c>
      <c r="J1129">
        <f>IF(A1129&gt;=Quarterly!B$2,Quarterly!C$2,IF(COUNTIFS(Quarterly!B:B,"&gt;="&amp;A1129-92,Quarterly!B:B,"&lt;="&amp;A1129)&gt;1,SUMIFS(Quarterly!C:C,Quarterly!B:B,"&gt;="&amp;A1129-88,Quarterly!B:B,"&lt;="&amp;A1129),SUMIFS(Quarterly!C:C,Quarterly!B:B,"&gt;="&amp;A1129-92,Quarterly!B:B,"&lt;="&amp;A1129)))</f>
        <v>8159</v>
      </c>
      <c r="K1129" s="13">
        <f t="shared" si="407"/>
        <v>9.3100000000000002E-2</v>
      </c>
      <c r="L1129">
        <f t="shared" si="409"/>
        <v>759.5</v>
      </c>
      <c r="M1129">
        <f>IF(A1129&gt;=Quarterly!B$2,Quarterly!D$2,IF(COUNTIFS(Quarterly!B:B,"&gt;="&amp;A1129-92,Quarterly!B:B,"&lt;="&amp;A1129)&gt;1,SUMIFS(Quarterly!D:D,Quarterly!B:B,"&gt;="&amp;A1129-88,Quarterly!B:B,"&lt;="&amp;A1129),SUMIFS(Quarterly!D:D,Quarterly!B:B,"&gt;="&amp;A1129-92,Quarterly!B:B,"&lt;="&amp;A1129)))</f>
        <v>502.58</v>
      </c>
      <c r="N1129" s="13">
        <f t="shared" si="410"/>
        <v>0.15112000000000003</v>
      </c>
      <c r="O1129">
        <f t="shared" si="398"/>
        <v>759.5</v>
      </c>
      <c r="P1129" s="56">
        <f>VLOOKUP(EOMONTH(A1129,-1),Economic!A:I,7,FALSE)</f>
        <v>693494</v>
      </c>
      <c r="Q1129" s="13">
        <f t="shared" si="399"/>
        <v>0.1095</v>
      </c>
      <c r="R1129" s="41">
        <v>0.56999999999999995</v>
      </c>
      <c r="S1129">
        <f t="shared" si="400"/>
        <v>0.48</v>
      </c>
      <c r="T1129" s="30">
        <f t="shared" si="401"/>
        <v>126.94</v>
      </c>
      <c r="U1129" s="30">
        <f t="shared" si="408"/>
        <v>127.51</v>
      </c>
    </row>
    <row r="1130" spans="1:21" ht="15" customHeight="1" x14ac:dyDescent="0.25">
      <c r="A1130" s="5">
        <v>35435</v>
      </c>
      <c r="B1130" s="5">
        <f t="shared" si="402"/>
        <v>35461</v>
      </c>
      <c r="C1130">
        <v>748.03</v>
      </c>
      <c r="D1130" s="29">
        <f t="shared" si="403"/>
        <v>6.1000000000000004E-3</v>
      </c>
      <c r="E1130" s="39">
        <f t="shared" si="404"/>
        <v>731.71461538461529</v>
      </c>
      <c r="F1130" s="39">
        <f t="shared" si="405"/>
        <v>685.44615384615383</v>
      </c>
      <c r="G1130" s="29">
        <f t="shared" si="397"/>
        <v>2.23E-2</v>
      </c>
      <c r="H1130" s="29">
        <f t="shared" si="397"/>
        <v>9.1300000000000006E-2</v>
      </c>
      <c r="I1130">
        <f t="shared" si="406"/>
        <v>748.03</v>
      </c>
      <c r="J1130">
        <f>IF(A1130&gt;=Quarterly!B$2,Quarterly!C$2,IF(COUNTIFS(Quarterly!B:B,"&gt;="&amp;A1130-92,Quarterly!B:B,"&lt;="&amp;A1130)&gt;1,SUMIFS(Quarterly!C:C,Quarterly!B:B,"&gt;="&amp;A1130-88,Quarterly!B:B,"&lt;="&amp;A1130),SUMIFS(Quarterly!C:C,Quarterly!B:B,"&gt;="&amp;A1130-92,Quarterly!B:B,"&lt;="&amp;A1130)))</f>
        <v>8159</v>
      </c>
      <c r="K1130" s="13">
        <f t="shared" si="407"/>
        <v>9.1700000000000004E-2</v>
      </c>
      <c r="L1130">
        <f t="shared" si="409"/>
        <v>748.03</v>
      </c>
      <c r="M1130">
        <f>IF(A1130&gt;=Quarterly!B$2,Quarterly!D$2,IF(COUNTIFS(Quarterly!B:B,"&gt;="&amp;A1130-92,Quarterly!B:B,"&lt;="&amp;A1130)&gt;1,SUMIFS(Quarterly!D:D,Quarterly!B:B,"&gt;="&amp;A1130-88,Quarterly!B:B,"&lt;="&amp;A1130),SUMIFS(Quarterly!D:D,Quarterly!B:B,"&gt;="&amp;A1130-92,Quarterly!B:B,"&lt;="&amp;A1130)))</f>
        <v>502.58</v>
      </c>
      <c r="N1130" s="13">
        <f t="shared" si="410"/>
        <v>0.14884</v>
      </c>
      <c r="O1130">
        <f t="shared" si="398"/>
        <v>748.03</v>
      </c>
      <c r="P1130" s="56">
        <f>VLOOKUP(EOMONTH(A1130,-1),Economic!A:I,7,FALSE)</f>
        <v>693494</v>
      </c>
      <c r="Q1130" s="13">
        <f t="shared" si="399"/>
        <v>0.10790000000000001</v>
      </c>
      <c r="R1130" s="41">
        <v>0.56999999999999995</v>
      </c>
      <c r="S1130">
        <f t="shared" si="400"/>
        <v>0.45</v>
      </c>
      <c r="T1130" s="30">
        <f t="shared" si="401"/>
        <v>128.26</v>
      </c>
      <c r="U1130" s="30">
        <f t="shared" si="408"/>
        <v>127.5</v>
      </c>
    </row>
    <row r="1131" spans="1:21" ht="15" customHeight="1" x14ac:dyDescent="0.25">
      <c r="A1131" s="5">
        <v>35428</v>
      </c>
      <c r="B1131" s="5">
        <f t="shared" si="402"/>
        <v>35430</v>
      </c>
      <c r="C1131">
        <v>756.79</v>
      </c>
      <c r="D1131" s="29">
        <f t="shared" si="403"/>
        <v>1.78E-2</v>
      </c>
      <c r="E1131" s="39">
        <f t="shared" si="404"/>
        <v>728.13230769230745</v>
      </c>
      <c r="F1131" s="39">
        <f t="shared" si="405"/>
        <v>683.08282051282038</v>
      </c>
      <c r="G1131" s="29">
        <f t="shared" si="397"/>
        <v>3.9399999999999998E-2</v>
      </c>
      <c r="H1131" s="29">
        <f t="shared" si="397"/>
        <v>0.1079</v>
      </c>
      <c r="I1131">
        <f t="shared" si="406"/>
        <v>756.79</v>
      </c>
      <c r="J1131">
        <f>IF(A1131&gt;=Quarterly!B$2,Quarterly!C$2,IF(COUNTIFS(Quarterly!B:B,"&gt;="&amp;A1131-92,Quarterly!B:B,"&lt;="&amp;A1131)&gt;1,SUMIFS(Quarterly!C:C,Quarterly!B:B,"&gt;="&amp;A1131-88,Quarterly!B:B,"&lt;="&amp;A1131),SUMIFS(Quarterly!C:C,Quarterly!B:B,"&gt;="&amp;A1131-92,Quarterly!B:B,"&lt;="&amp;A1131)))</f>
        <v>8159</v>
      </c>
      <c r="K1131" s="13">
        <f t="shared" si="407"/>
        <v>9.2799999999999994E-2</v>
      </c>
      <c r="L1131">
        <f t="shared" si="409"/>
        <v>756.79</v>
      </c>
      <c r="M1131">
        <f>IF(A1131&gt;=Quarterly!B$2,Quarterly!D$2,IF(COUNTIFS(Quarterly!B:B,"&gt;="&amp;A1131-92,Quarterly!B:B,"&lt;="&amp;A1131)&gt;1,SUMIFS(Quarterly!D:D,Quarterly!B:B,"&gt;="&amp;A1131-88,Quarterly!B:B,"&lt;="&amp;A1131),SUMIFS(Quarterly!D:D,Quarterly!B:B,"&gt;="&amp;A1131-92,Quarterly!B:B,"&lt;="&amp;A1131)))</f>
        <v>502.58</v>
      </c>
      <c r="N1131" s="13">
        <f t="shared" si="410"/>
        <v>0.15058000000000002</v>
      </c>
      <c r="O1131">
        <f t="shared" si="398"/>
        <v>756.79</v>
      </c>
      <c r="P1131" s="56">
        <f>VLOOKUP(EOMONTH(A1131,-1),Economic!A:I,7,FALSE)</f>
        <v>690885</v>
      </c>
      <c r="Q1131" s="13">
        <f t="shared" si="399"/>
        <v>0.1095</v>
      </c>
      <c r="R1131" s="41">
        <v>0.49</v>
      </c>
      <c r="S1131">
        <f t="shared" si="400"/>
        <v>0.41</v>
      </c>
      <c r="T1131" s="30">
        <f t="shared" si="401"/>
        <v>127.33</v>
      </c>
      <c r="U1131" s="30">
        <f t="shared" si="408"/>
        <v>127.87</v>
      </c>
    </row>
    <row r="1132" spans="1:21" ht="15" customHeight="1" x14ac:dyDescent="0.25">
      <c r="A1132" s="5">
        <v>35421</v>
      </c>
      <c r="B1132" s="5">
        <f t="shared" si="402"/>
        <v>35430</v>
      </c>
      <c r="C1132">
        <v>748.87</v>
      </c>
      <c r="D1132" s="29">
        <f t="shared" si="403"/>
        <v>7.1999999999999998E-3</v>
      </c>
      <c r="E1132" s="39">
        <f t="shared" si="404"/>
        <v>722.70153846153858</v>
      </c>
      <c r="F1132" s="39">
        <f t="shared" si="405"/>
        <v>680.22923076923075</v>
      </c>
      <c r="G1132" s="29">
        <f t="shared" si="397"/>
        <v>3.6200000000000003E-2</v>
      </c>
      <c r="H1132" s="29">
        <f t="shared" si="397"/>
        <v>0.1009</v>
      </c>
      <c r="I1132">
        <f t="shared" si="406"/>
        <v>748.87</v>
      </c>
      <c r="J1132">
        <f>IF(A1132&gt;=Quarterly!B$2,Quarterly!C$2,IF(COUNTIFS(Quarterly!B:B,"&gt;="&amp;A1132-92,Quarterly!B:B,"&lt;="&amp;A1132)&gt;1,SUMIFS(Quarterly!C:C,Quarterly!B:B,"&gt;="&amp;A1132-88,Quarterly!B:B,"&lt;="&amp;A1132),SUMIFS(Quarterly!C:C,Quarterly!B:B,"&gt;="&amp;A1132-92,Quarterly!B:B,"&lt;="&amp;A1132)))</f>
        <v>8159</v>
      </c>
      <c r="K1132" s="13">
        <f t="shared" si="407"/>
        <v>9.1800000000000007E-2</v>
      </c>
      <c r="L1132">
        <f t="shared" si="409"/>
        <v>748.87</v>
      </c>
      <c r="M1132">
        <f>IF(A1132&gt;=Quarterly!B$2,Quarterly!D$2,IF(COUNTIFS(Quarterly!B:B,"&gt;="&amp;A1132-92,Quarterly!B:B,"&lt;="&amp;A1132)&gt;1,SUMIFS(Quarterly!D:D,Quarterly!B:B,"&gt;="&amp;A1132-88,Quarterly!B:B,"&lt;="&amp;A1132),SUMIFS(Quarterly!D:D,Quarterly!B:B,"&gt;="&amp;A1132-92,Quarterly!B:B,"&lt;="&amp;A1132)))</f>
        <v>502.58</v>
      </c>
      <c r="N1132" s="13">
        <f t="shared" si="410"/>
        <v>0.14901</v>
      </c>
      <c r="O1132">
        <f t="shared" si="398"/>
        <v>748.87</v>
      </c>
      <c r="P1132" s="56">
        <f>VLOOKUP(EOMONTH(A1132,-1),Economic!A:I,7,FALSE)</f>
        <v>690885</v>
      </c>
      <c r="Q1132" s="13">
        <f t="shared" si="399"/>
        <v>0.1084</v>
      </c>
      <c r="R1132" s="41">
        <v>0.52</v>
      </c>
      <c r="S1132">
        <f t="shared" si="400"/>
        <v>0.32</v>
      </c>
      <c r="T1132" s="30">
        <f t="shared" si="401"/>
        <v>126.9</v>
      </c>
      <c r="U1132" s="30">
        <f t="shared" si="408"/>
        <v>129.05000000000001</v>
      </c>
    </row>
    <row r="1133" spans="1:21" ht="15" customHeight="1" x14ac:dyDescent="0.25">
      <c r="A1133" s="5">
        <v>35414</v>
      </c>
      <c r="B1133" s="5">
        <f t="shared" si="402"/>
        <v>35430</v>
      </c>
      <c r="C1133">
        <v>728.64</v>
      </c>
      <c r="D1133" s="29">
        <f t="shared" si="403"/>
        <v>-2.29E-2</v>
      </c>
      <c r="E1133" s="39">
        <f t="shared" si="404"/>
        <v>717.94461538461542</v>
      </c>
      <c r="F1133" s="39">
        <f t="shared" si="405"/>
        <v>677.70999999999992</v>
      </c>
      <c r="G1133" s="29">
        <f t="shared" si="397"/>
        <v>1.49E-2</v>
      </c>
      <c r="H1133" s="29">
        <f t="shared" si="397"/>
        <v>7.5200000000000003E-2</v>
      </c>
      <c r="I1133">
        <f t="shared" si="406"/>
        <v>728.64</v>
      </c>
      <c r="J1133">
        <f>IF(A1133&gt;=Quarterly!B$2,Quarterly!C$2,IF(COUNTIFS(Quarterly!B:B,"&gt;="&amp;A1133-92,Quarterly!B:B,"&lt;="&amp;A1133)&gt;1,SUMIFS(Quarterly!C:C,Quarterly!B:B,"&gt;="&amp;A1133-88,Quarterly!B:B,"&lt;="&amp;A1133),SUMIFS(Quarterly!C:C,Quarterly!B:B,"&gt;="&amp;A1133-92,Quarterly!B:B,"&lt;="&amp;A1133)))</f>
        <v>8159</v>
      </c>
      <c r="K1133" s="13">
        <f t="shared" si="407"/>
        <v>8.9300000000000004E-2</v>
      </c>
      <c r="L1133">
        <f t="shared" si="409"/>
        <v>728.64</v>
      </c>
      <c r="M1133">
        <f>IF(A1133&gt;=Quarterly!B$2,Quarterly!D$2,IF(COUNTIFS(Quarterly!B:B,"&gt;="&amp;A1133-92,Quarterly!B:B,"&lt;="&amp;A1133)&gt;1,SUMIFS(Quarterly!D:D,Quarterly!B:B,"&gt;="&amp;A1133-88,Quarterly!B:B,"&lt;="&amp;A1133),SUMIFS(Quarterly!D:D,Quarterly!B:B,"&gt;="&amp;A1133-92,Quarterly!B:B,"&lt;="&amp;A1133)))</f>
        <v>502.58</v>
      </c>
      <c r="N1133" s="13">
        <f t="shared" si="410"/>
        <v>0.14498</v>
      </c>
      <c r="O1133">
        <f t="shared" si="398"/>
        <v>728.64</v>
      </c>
      <c r="P1133" s="56">
        <f>VLOOKUP(EOMONTH(A1133,-1),Economic!A:I,7,FALSE)</f>
        <v>690885</v>
      </c>
      <c r="Q1133" s="13">
        <f t="shared" si="399"/>
        <v>0.1055</v>
      </c>
      <c r="R1133" s="41">
        <v>0.56000000000000005</v>
      </c>
      <c r="S1133">
        <f t="shared" si="400"/>
        <v>0.3</v>
      </c>
      <c r="T1133" s="30">
        <f t="shared" si="401"/>
        <v>129.38999999999999</v>
      </c>
      <c r="U1133" s="30">
        <f t="shared" si="408"/>
        <v>130.79</v>
      </c>
    </row>
    <row r="1134" spans="1:21" ht="15" customHeight="1" x14ac:dyDescent="0.25">
      <c r="A1134" s="5">
        <v>35407</v>
      </c>
      <c r="B1134" s="5">
        <f t="shared" si="402"/>
        <v>35430</v>
      </c>
      <c r="C1134">
        <v>739.6</v>
      </c>
      <c r="D1134" s="29">
        <f t="shared" si="403"/>
        <v>-5.3E-3</v>
      </c>
      <c r="E1134" s="39">
        <f t="shared" si="404"/>
        <v>714.24461538461537</v>
      </c>
      <c r="F1134" s="39">
        <f t="shared" si="405"/>
        <v>675.47384615384601</v>
      </c>
      <c r="G1134" s="29">
        <f t="shared" si="397"/>
        <v>3.5499999999999997E-2</v>
      </c>
      <c r="H1134" s="29">
        <f t="shared" si="397"/>
        <v>9.4899999999999998E-2</v>
      </c>
      <c r="I1134">
        <f t="shared" si="406"/>
        <v>739.6</v>
      </c>
      <c r="J1134">
        <f>IF(A1134&gt;=Quarterly!B$2,Quarterly!C$2,IF(COUNTIFS(Quarterly!B:B,"&gt;="&amp;A1134-92,Quarterly!B:B,"&lt;="&amp;A1134)&gt;1,SUMIFS(Quarterly!C:C,Quarterly!B:B,"&gt;="&amp;A1134-88,Quarterly!B:B,"&lt;="&amp;A1134),SUMIFS(Quarterly!C:C,Quarterly!B:B,"&gt;="&amp;A1134-92,Quarterly!B:B,"&lt;="&amp;A1134)))</f>
        <v>8159</v>
      </c>
      <c r="K1134" s="13">
        <f t="shared" si="407"/>
        <v>9.06E-2</v>
      </c>
      <c r="L1134">
        <f t="shared" si="409"/>
        <v>739.6</v>
      </c>
      <c r="M1134">
        <f>IF(A1134&gt;=Quarterly!B$2,Quarterly!D$2,IF(COUNTIFS(Quarterly!B:B,"&gt;="&amp;A1134-92,Quarterly!B:B,"&lt;="&amp;A1134)&gt;1,SUMIFS(Quarterly!D:D,Quarterly!B:B,"&gt;="&amp;A1134-88,Quarterly!B:B,"&lt;="&amp;A1134),SUMIFS(Quarterly!D:D,Quarterly!B:B,"&gt;="&amp;A1134-92,Quarterly!B:B,"&lt;="&amp;A1134)))</f>
        <v>502.58</v>
      </c>
      <c r="N1134" s="13">
        <f t="shared" si="410"/>
        <v>0.14716000000000001</v>
      </c>
      <c r="O1134">
        <f t="shared" si="398"/>
        <v>739.6</v>
      </c>
      <c r="P1134" s="56">
        <f>VLOOKUP(EOMONTH(A1134,-1),Economic!A:I,7,FALSE)</f>
        <v>690885</v>
      </c>
      <c r="Q1134" s="13">
        <f t="shared" si="399"/>
        <v>0.10709999999999999</v>
      </c>
      <c r="R1134" s="41">
        <v>0.53</v>
      </c>
      <c r="S1134">
        <f t="shared" si="400"/>
        <v>0.33</v>
      </c>
      <c r="T1134" s="30">
        <f t="shared" si="401"/>
        <v>130.86000000000001</v>
      </c>
      <c r="U1134" s="30">
        <f t="shared" si="408"/>
        <v>133.53</v>
      </c>
    </row>
    <row r="1135" spans="1:21" ht="15" customHeight="1" x14ac:dyDescent="0.25">
      <c r="A1135" s="5">
        <v>35400</v>
      </c>
      <c r="B1135" s="5">
        <f t="shared" si="402"/>
        <v>35430</v>
      </c>
      <c r="C1135">
        <v>757.02</v>
      </c>
      <c r="D1135" s="29">
        <f t="shared" si="403"/>
        <v>3.6700000000000003E-2</v>
      </c>
      <c r="E1135" s="39">
        <f t="shared" si="404"/>
        <v>707.78923076923081</v>
      </c>
      <c r="F1135" s="39">
        <f t="shared" si="405"/>
        <v>672.75333333333322</v>
      </c>
      <c r="G1135" s="29">
        <f t="shared" si="397"/>
        <v>6.9599999999999995E-2</v>
      </c>
      <c r="H1135" s="29">
        <f t="shared" si="397"/>
        <v>0.12529999999999999</v>
      </c>
      <c r="I1135">
        <f t="shared" si="406"/>
        <v>757.02</v>
      </c>
      <c r="J1135">
        <f>IF(A1135&gt;=Quarterly!B$2,Quarterly!C$2,IF(COUNTIFS(Quarterly!B:B,"&gt;="&amp;A1135-92,Quarterly!B:B,"&lt;="&amp;A1135)&gt;1,SUMIFS(Quarterly!C:C,Quarterly!B:B,"&gt;="&amp;A1135-88,Quarterly!B:B,"&lt;="&amp;A1135),SUMIFS(Quarterly!C:C,Quarterly!B:B,"&gt;="&amp;A1135-92,Quarterly!B:B,"&lt;="&amp;A1135)))</f>
        <v>8159</v>
      </c>
      <c r="K1135" s="13">
        <f t="shared" si="407"/>
        <v>9.2799999999999994E-2</v>
      </c>
      <c r="L1135">
        <f t="shared" si="409"/>
        <v>757.02</v>
      </c>
      <c r="M1135">
        <f>IF(A1135&gt;=Quarterly!B$2,Quarterly!D$2,IF(COUNTIFS(Quarterly!B:B,"&gt;="&amp;A1135-92,Quarterly!B:B,"&lt;="&amp;A1135)&gt;1,SUMIFS(Quarterly!D:D,Quarterly!B:B,"&gt;="&amp;A1135-88,Quarterly!B:B,"&lt;="&amp;A1135),SUMIFS(Quarterly!D:D,Quarterly!B:B,"&gt;="&amp;A1135-92,Quarterly!B:B,"&lt;="&amp;A1135)))</f>
        <v>502.58</v>
      </c>
      <c r="N1135" s="13">
        <f t="shared" si="410"/>
        <v>0.15063000000000001</v>
      </c>
      <c r="O1135">
        <f t="shared" si="398"/>
        <v>757.02</v>
      </c>
      <c r="P1135" s="56">
        <f>VLOOKUP(EOMONTH(A1135,-1),Economic!A:I,7,FALSE)</f>
        <v>690885</v>
      </c>
      <c r="Q1135" s="13">
        <f t="shared" si="399"/>
        <v>0.1096</v>
      </c>
      <c r="R1135" s="41">
        <v>0.47</v>
      </c>
      <c r="S1135">
        <f t="shared" si="400"/>
        <v>0.34</v>
      </c>
      <c r="T1135" s="30">
        <f t="shared" si="401"/>
        <v>132.13</v>
      </c>
      <c r="U1135" s="30">
        <f t="shared" si="408"/>
        <v>136.82</v>
      </c>
    </row>
    <row r="1136" spans="1:21" ht="15" customHeight="1" x14ac:dyDescent="0.25">
      <c r="A1136" s="5">
        <v>35393</v>
      </c>
      <c r="B1136" s="5">
        <f t="shared" si="402"/>
        <v>35399</v>
      </c>
      <c r="C1136">
        <v>748.73</v>
      </c>
      <c r="D1136" s="29">
        <f t="shared" si="403"/>
        <v>4.24E-2</v>
      </c>
      <c r="E1136" s="39">
        <f t="shared" si="404"/>
        <v>699.70999999999992</v>
      </c>
      <c r="F1136" s="39">
        <f t="shared" si="405"/>
        <v>669.86487179487165</v>
      </c>
      <c r="G1136" s="29">
        <f t="shared" si="397"/>
        <v>7.0099999999999996E-2</v>
      </c>
      <c r="H1136" s="29">
        <f t="shared" si="397"/>
        <v>0.1177</v>
      </c>
      <c r="I1136">
        <f t="shared" si="406"/>
        <v>748.73</v>
      </c>
      <c r="J1136">
        <f>IF(A1136&gt;=Quarterly!B$2,Quarterly!C$2,IF(COUNTIFS(Quarterly!B:B,"&gt;="&amp;A1136-92,Quarterly!B:B,"&lt;="&amp;A1136)&gt;1,SUMIFS(Quarterly!C:C,Quarterly!B:B,"&gt;="&amp;A1136-88,Quarterly!B:B,"&lt;="&amp;A1136),SUMIFS(Quarterly!C:C,Quarterly!B:B,"&gt;="&amp;A1136-92,Quarterly!B:B,"&lt;="&amp;A1136)))</f>
        <v>8159</v>
      </c>
      <c r="K1136" s="13">
        <f t="shared" si="407"/>
        <v>9.1800000000000007E-2</v>
      </c>
      <c r="L1136">
        <f t="shared" si="409"/>
        <v>748.73</v>
      </c>
      <c r="M1136">
        <f>IF(A1136&gt;=Quarterly!B$2,Quarterly!D$2,IF(COUNTIFS(Quarterly!B:B,"&gt;="&amp;A1136-92,Quarterly!B:B,"&lt;="&amp;A1136)&gt;1,SUMIFS(Quarterly!D:D,Quarterly!B:B,"&gt;="&amp;A1136-88,Quarterly!B:B,"&lt;="&amp;A1136),SUMIFS(Quarterly!D:D,Quarterly!B:B,"&gt;="&amp;A1136-92,Quarterly!B:B,"&lt;="&amp;A1136)))</f>
        <v>502.58</v>
      </c>
      <c r="N1136" s="13">
        <f t="shared" si="410"/>
        <v>0.14898</v>
      </c>
      <c r="O1136">
        <f t="shared" si="398"/>
        <v>748.73</v>
      </c>
      <c r="P1136" s="56">
        <f>VLOOKUP(EOMONTH(A1136,-1),Economic!A:I,7,FALSE)</f>
        <v>688467</v>
      </c>
      <c r="Q1136" s="13">
        <f t="shared" si="399"/>
        <v>0.10879999999999999</v>
      </c>
      <c r="R1136" s="41">
        <v>0.46</v>
      </c>
      <c r="S1136">
        <f t="shared" si="400"/>
        <v>0.4</v>
      </c>
      <c r="T1136" s="30">
        <f t="shared" si="401"/>
        <v>137.59</v>
      </c>
      <c r="U1136" s="30">
        <f t="shared" si="408"/>
        <v>140.41</v>
      </c>
    </row>
    <row r="1137" spans="1:21" ht="15" customHeight="1" x14ac:dyDescent="0.25">
      <c r="A1137" s="5">
        <v>35386</v>
      </c>
      <c r="B1137" s="5">
        <f t="shared" si="402"/>
        <v>35399</v>
      </c>
      <c r="C1137">
        <v>737.62</v>
      </c>
      <c r="D1137" s="29">
        <f t="shared" si="403"/>
        <v>3.6600000000000001E-2</v>
      </c>
      <c r="E1137" s="39">
        <f t="shared" si="404"/>
        <v>693.4253846153847</v>
      </c>
      <c r="F1137" s="39">
        <f t="shared" si="405"/>
        <v>667.56615384615384</v>
      </c>
      <c r="G1137" s="29">
        <f t="shared" si="397"/>
        <v>6.3700000000000007E-2</v>
      </c>
      <c r="H1137" s="29">
        <f t="shared" si="397"/>
        <v>0.10489999999999999</v>
      </c>
      <c r="I1137">
        <f t="shared" si="406"/>
        <v>737.62</v>
      </c>
      <c r="J1137">
        <f>IF(A1137&gt;=Quarterly!B$2,Quarterly!C$2,IF(COUNTIFS(Quarterly!B:B,"&gt;="&amp;A1137-92,Quarterly!B:B,"&lt;="&amp;A1137)&gt;1,SUMIFS(Quarterly!C:C,Quarterly!B:B,"&gt;="&amp;A1137-88,Quarterly!B:B,"&lt;="&amp;A1137),SUMIFS(Quarterly!C:C,Quarterly!B:B,"&gt;="&amp;A1137-92,Quarterly!B:B,"&lt;="&amp;A1137)))</f>
        <v>8159</v>
      </c>
      <c r="K1137" s="13">
        <f t="shared" si="407"/>
        <v>9.0399999999999994E-2</v>
      </c>
      <c r="L1137">
        <f t="shared" si="409"/>
        <v>737.62</v>
      </c>
      <c r="M1137">
        <f>IF(A1137&gt;=Quarterly!B$2,Quarterly!D$2,IF(COUNTIFS(Quarterly!B:B,"&gt;="&amp;A1137-92,Quarterly!B:B,"&lt;="&amp;A1137)&gt;1,SUMIFS(Quarterly!D:D,Quarterly!B:B,"&gt;="&amp;A1137-88,Quarterly!B:B,"&lt;="&amp;A1137),SUMIFS(Quarterly!D:D,Quarterly!B:B,"&gt;="&amp;A1137-92,Quarterly!B:B,"&lt;="&amp;A1137)))</f>
        <v>502.58</v>
      </c>
      <c r="N1137" s="13">
        <f t="shared" si="410"/>
        <v>0.14677000000000001</v>
      </c>
      <c r="O1137">
        <f t="shared" si="398"/>
        <v>737.62</v>
      </c>
      <c r="P1137" s="56">
        <f>VLOOKUP(EOMONTH(A1137,-1),Economic!A:I,7,FALSE)</f>
        <v>688467</v>
      </c>
      <c r="Q1137" s="13">
        <f t="shared" si="399"/>
        <v>0.10709999999999999</v>
      </c>
      <c r="R1137" s="41">
        <v>0.51</v>
      </c>
      <c r="S1137">
        <f t="shared" si="400"/>
        <v>0.4</v>
      </c>
      <c r="T1137" s="30">
        <f t="shared" si="401"/>
        <v>140.75</v>
      </c>
      <c r="U1137" s="30">
        <f t="shared" si="408"/>
        <v>143.88</v>
      </c>
    </row>
    <row r="1138" spans="1:21" ht="15" customHeight="1" x14ac:dyDescent="0.25">
      <c r="A1138" s="5">
        <v>35379</v>
      </c>
      <c r="B1138" s="5">
        <f t="shared" si="402"/>
        <v>35399</v>
      </c>
      <c r="C1138">
        <v>730.82</v>
      </c>
      <c r="D1138" s="29">
        <f t="shared" si="403"/>
        <v>3.7999999999999999E-2</v>
      </c>
      <c r="E1138" s="39">
        <f t="shared" si="404"/>
        <v>687.85538461538476</v>
      </c>
      <c r="F1138" s="39">
        <f t="shared" si="405"/>
        <v>665.26769230769241</v>
      </c>
      <c r="G1138" s="29">
        <f t="shared" si="397"/>
        <v>6.25E-2</v>
      </c>
      <c r="H1138" s="29">
        <f t="shared" si="397"/>
        <v>9.8500000000000004E-2</v>
      </c>
      <c r="I1138">
        <f t="shared" si="406"/>
        <v>730.82</v>
      </c>
      <c r="J1138">
        <f>IF(A1138&gt;=Quarterly!B$2,Quarterly!C$2,IF(COUNTIFS(Quarterly!B:B,"&gt;="&amp;A1138-92,Quarterly!B:B,"&lt;="&amp;A1138)&gt;1,SUMIFS(Quarterly!C:C,Quarterly!B:B,"&gt;="&amp;A1138-88,Quarterly!B:B,"&lt;="&amp;A1138),SUMIFS(Quarterly!C:C,Quarterly!B:B,"&gt;="&amp;A1138-92,Quarterly!B:B,"&lt;="&amp;A1138)))</f>
        <v>8159</v>
      </c>
      <c r="K1138" s="13">
        <f t="shared" si="407"/>
        <v>8.9599999999999999E-2</v>
      </c>
      <c r="L1138">
        <f t="shared" si="409"/>
        <v>730.82</v>
      </c>
      <c r="M1138">
        <f>IF(A1138&gt;=Quarterly!B$2,Quarterly!D$2,IF(COUNTIFS(Quarterly!B:B,"&gt;="&amp;A1138-92,Quarterly!B:B,"&lt;="&amp;A1138)&gt;1,SUMIFS(Quarterly!D:D,Quarterly!B:B,"&gt;="&amp;A1138-88,Quarterly!B:B,"&lt;="&amp;A1138),SUMIFS(Quarterly!D:D,Quarterly!B:B,"&gt;="&amp;A1138-92,Quarterly!B:B,"&lt;="&amp;A1138)))</f>
        <v>502.58</v>
      </c>
      <c r="N1138" s="13">
        <f t="shared" si="410"/>
        <v>0.14541000000000001</v>
      </c>
      <c r="O1138">
        <f t="shared" si="398"/>
        <v>730.82</v>
      </c>
      <c r="P1138" s="56">
        <f>VLOOKUP(EOMONTH(A1138,-1),Economic!A:I,7,FALSE)</f>
        <v>688467</v>
      </c>
      <c r="Q1138" s="13">
        <f t="shared" si="399"/>
        <v>0.1062</v>
      </c>
      <c r="R1138" s="41">
        <v>0.53</v>
      </c>
      <c r="S1138">
        <f t="shared" si="400"/>
        <v>0.39</v>
      </c>
      <c r="T1138" s="30">
        <f t="shared" si="401"/>
        <v>142.88</v>
      </c>
      <c r="U1138" s="30">
        <f t="shared" si="408"/>
        <v>146.53</v>
      </c>
    </row>
    <row r="1139" spans="1:21" ht="15" customHeight="1" x14ac:dyDescent="0.25">
      <c r="A1139" s="5">
        <v>35372</v>
      </c>
      <c r="B1139" s="5">
        <f t="shared" si="402"/>
        <v>35399</v>
      </c>
      <c r="C1139">
        <v>703.77</v>
      </c>
      <c r="D1139" s="29">
        <f t="shared" si="403"/>
        <v>4.0000000000000002E-4</v>
      </c>
      <c r="E1139" s="39">
        <f t="shared" si="404"/>
        <v>682.56923076923078</v>
      </c>
      <c r="F1139" s="39">
        <f t="shared" si="405"/>
        <v>663.35871794871787</v>
      </c>
      <c r="G1139" s="29">
        <f t="shared" si="397"/>
        <v>3.1099999999999999E-2</v>
      </c>
      <c r="H1139" s="29">
        <f t="shared" si="397"/>
        <v>6.0900000000000003E-2</v>
      </c>
      <c r="I1139">
        <f t="shared" si="406"/>
        <v>703.77</v>
      </c>
      <c r="J1139">
        <f>IF(A1139&gt;=Quarterly!B$2,Quarterly!C$2,IF(COUNTIFS(Quarterly!B:B,"&gt;="&amp;A1139-92,Quarterly!B:B,"&lt;="&amp;A1139)&gt;1,SUMIFS(Quarterly!C:C,Quarterly!B:B,"&gt;="&amp;A1139-88,Quarterly!B:B,"&lt;="&amp;A1139),SUMIFS(Quarterly!C:C,Quarterly!B:B,"&gt;="&amp;A1139-92,Quarterly!B:B,"&lt;="&amp;A1139)))</f>
        <v>8159</v>
      </c>
      <c r="K1139" s="13">
        <f t="shared" si="407"/>
        <v>8.6300000000000002E-2</v>
      </c>
      <c r="L1139">
        <f t="shared" si="409"/>
        <v>703.77</v>
      </c>
      <c r="M1139">
        <f>IF(A1139&gt;=Quarterly!B$2,Quarterly!D$2,IF(COUNTIFS(Quarterly!B:B,"&gt;="&amp;A1139-92,Quarterly!B:B,"&lt;="&amp;A1139)&gt;1,SUMIFS(Quarterly!D:D,Quarterly!B:B,"&gt;="&amp;A1139-88,Quarterly!B:B,"&lt;="&amp;A1139),SUMIFS(Quarterly!D:D,Quarterly!B:B,"&gt;="&amp;A1139-92,Quarterly!B:B,"&lt;="&amp;A1139)))</f>
        <v>502.58</v>
      </c>
      <c r="N1139" s="13">
        <f t="shared" si="410"/>
        <v>0.14003000000000002</v>
      </c>
      <c r="O1139">
        <f t="shared" si="398"/>
        <v>703.77</v>
      </c>
      <c r="P1139" s="56">
        <f>VLOOKUP(EOMONTH(A1139,-1),Economic!A:I,7,FALSE)</f>
        <v>688467</v>
      </c>
      <c r="Q1139" s="13">
        <f t="shared" si="399"/>
        <v>0.10219999999999999</v>
      </c>
      <c r="R1139" s="41">
        <v>0.59</v>
      </c>
      <c r="S1139">
        <f t="shared" si="400"/>
        <v>0.44</v>
      </c>
      <c r="T1139" s="30">
        <f t="shared" si="401"/>
        <v>148</v>
      </c>
      <c r="U1139" s="30">
        <f t="shared" si="408"/>
        <v>148.44</v>
      </c>
    </row>
    <row r="1140" spans="1:21" ht="15" customHeight="1" x14ac:dyDescent="0.25">
      <c r="A1140" s="5">
        <v>35365</v>
      </c>
      <c r="B1140" s="5">
        <f t="shared" si="402"/>
        <v>35369</v>
      </c>
      <c r="C1140">
        <v>700.92</v>
      </c>
      <c r="D1140" s="29">
        <f t="shared" si="403"/>
        <v>1.6000000000000001E-3</v>
      </c>
      <c r="E1140" s="39">
        <f t="shared" si="404"/>
        <v>679.3938461538462</v>
      </c>
      <c r="F1140" s="39">
        <f t="shared" si="405"/>
        <v>661.61692307692306</v>
      </c>
      <c r="G1140" s="29">
        <f t="shared" si="397"/>
        <v>3.1699999999999999E-2</v>
      </c>
      <c r="H1140" s="29">
        <f t="shared" si="397"/>
        <v>5.9400000000000001E-2</v>
      </c>
      <c r="I1140">
        <f t="shared" si="406"/>
        <v>700.92</v>
      </c>
      <c r="J1140">
        <f>IF(A1140&gt;=Quarterly!B$2,Quarterly!C$2,IF(COUNTIFS(Quarterly!B:B,"&gt;="&amp;A1140-92,Quarterly!B:B,"&lt;="&amp;A1140)&gt;1,SUMIFS(Quarterly!C:C,Quarterly!B:B,"&gt;="&amp;A1140-88,Quarterly!B:B,"&lt;="&amp;A1140),SUMIFS(Quarterly!C:C,Quarterly!B:B,"&gt;="&amp;A1140-92,Quarterly!B:B,"&lt;="&amp;A1140)))</f>
        <v>8061.5</v>
      </c>
      <c r="K1140" s="13">
        <f t="shared" si="407"/>
        <v>8.6900000000000005E-2</v>
      </c>
      <c r="L1140">
        <f t="shared" si="409"/>
        <v>700.92</v>
      </c>
      <c r="M1140">
        <f>IF(A1140&gt;=Quarterly!B$2,Quarterly!D$2,IF(COUNTIFS(Quarterly!B:B,"&gt;="&amp;A1140-92,Quarterly!B:B,"&lt;="&amp;A1140)&gt;1,SUMIFS(Quarterly!D:D,Quarterly!B:B,"&gt;="&amp;A1140-88,Quarterly!B:B,"&lt;="&amp;A1140),SUMIFS(Quarterly!D:D,Quarterly!B:B,"&gt;="&amp;A1140-92,Quarterly!B:B,"&lt;="&amp;A1140)))</f>
        <v>506.93299999999999</v>
      </c>
      <c r="N1140" s="13">
        <f t="shared" si="410"/>
        <v>0.13827</v>
      </c>
      <c r="O1140">
        <f t="shared" si="398"/>
        <v>700.92</v>
      </c>
      <c r="P1140" s="56">
        <f>VLOOKUP(EOMONTH(A1140,-1),Economic!A:I,7,FALSE)</f>
        <v>686574</v>
      </c>
      <c r="Q1140" s="13">
        <f t="shared" si="399"/>
        <v>0.1021</v>
      </c>
      <c r="R1140" s="41">
        <v>0.64</v>
      </c>
      <c r="S1140">
        <f t="shared" si="400"/>
        <v>0.48</v>
      </c>
      <c r="T1140" s="30">
        <f t="shared" si="401"/>
        <v>148.71</v>
      </c>
      <c r="U1140" s="30">
        <f t="shared" si="408"/>
        <v>150.62</v>
      </c>
    </row>
    <row r="1141" spans="1:21" ht="15" customHeight="1" x14ac:dyDescent="0.25">
      <c r="A1141" s="5">
        <v>35358</v>
      </c>
      <c r="B1141" s="5">
        <f t="shared" si="402"/>
        <v>35369</v>
      </c>
      <c r="C1141">
        <v>710.82</v>
      </c>
      <c r="D1141" s="29">
        <f t="shared" si="403"/>
        <v>2.4500000000000001E-2</v>
      </c>
      <c r="E1141" s="39">
        <f t="shared" si="404"/>
        <v>674.39230769230767</v>
      </c>
      <c r="F1141" s="39">
        <f t="shared" si="405"/>
        <v>659.58358974358976</v>
      </c>
      <c r="G1141" s="29">
        <f t="shared" si="397"/>
        <v>5.3999999999999999E-2</v>
      </c>
      <c r="H1141" s="29">
        <f t="shared" si="397"/>
        <v>7.7700000000000005E-2</v>
      </c>
      <c r="I1141">
        <f t="shared" si="406"/>
        <v>710.82</v>
      </c>
      <c r="J1141">
        <f>IF(A1141&gt;=Quarterly!B$2,Quarterly!C$2,IF(COUNTIFS(Quarterly!B:B,"&gt;="&amp;A1141-92,Quarterly!B:B,"&lt;="&amp;A1141)&gt;1,SUMIFS(Quarterly!C:C,Quarterly!B:B,"&gt;="&amp;A1141-88,Quarterly!B:B,"&lt;="&amp;A1141),SUMIFS(Quarterly!C:C,Quarterly!B:B,"&gt;="&amp;A1141-92,Quarterly!B:B,"&lt;="&amp;A1141)))</f>
        <v>8061.5</v>
      </c>
      <c r="K1141" s="13">
        <f t="shared" si="407"/>
        <v>8.8200000000000001E-2</v>
      </c>
      <c r="L1141">
        <f t="shared" si="409"/>
        <v>710.82</v>
      </c>
      <c r="M1141">
        <f>IF(A1141&gt;=Quarterly!B$2,Quarterly!D$2,IF(COUNTIFS(Quarterly!B:B,"&gt;="&amp;A1141-92,Quarterly!B:B,"&lt;="&amp;A1141)&gt;1,SUMIFS(Quarterly!D:D,Quarterly!B:B,"&gt;="&amp;A1141-88,Quarterly!B:B,"&lt;="&amp;A1141),SUMIFS(Quarterly!D:D,Quarterly!B:B,"&gt;="&amp;A1141-92,Quarterly!B:B,"&lt;="&amp;A1141)))</f>
        <v>506.93299999999999</v>
      </c>
      <c r="N1141" s="13">
        <f t="shared" si="410"/>
        <v>0.14021999999999998</v>
      </c>
      <c r="O1141">
        <f t="shared" si="398"/>
        <v>710.82</v>
      </c>
      <c r="P1141" s="56">
        <f>VLOOKUP(EOMONTH(A1141,-1),Economic!A:I,7,FALSE)</f>
        <v>686574</v>
      </c>
      <c r="Q1141" s="13">
        <f t="shared" si="399"/>
        <v>0.10349999999999999</v>
      </c>
      <c r="R1141" s="41">
        <v>0.61</v>
      </c>
      <c r="S1141">
        <f t="shared" si="400"/>
        <v>0.44</v>
      </c>
      <c r="T1141" s="30">
        <f t="shared" si="401"/>
        <v>148.61000000000001</v>
      </c>
      <c r="U1141" s="30">
        <f t="shared" si="408"/>
        <v>153.59</v>
      </c>
    </row>
    <row r="1142" spans="1:21" ht="15" customHeight="1" x14ac:dyDescent="0.25">
      <c r="A1142" s="5">
        <v>35351</v>
      </c>
      <c r="B1142" s="5">
        <f t="shared" si="402"/>
        <v>35369</v>
      </c>
      <c r="C1142">
        <v>700.66</v>
      </c>
      <c r="D1142" s="29">
        <f t="shared" si="403"/>
        <v>1.72E-2</v>
      </c>
      <c r="E1142" s="39">
        <f t="shared" si="404"/>
        <v>668.84692307692308</v>
      </c>
      <c r="F1142" s="39">
        <f t="shared" si="405"/>
        <v>657.04538461538459</v>
      </c>
      <c r="G1142" s="29">
        <f t="shared" si="397"/>
        <v>4.7600000000000003E-2</v>
      </c>
      <c r="H1142" s="29">
        <f t="shared" si="397"/>
        <v>6.6400000000000001E-2</v>
      </c>
      <c r="I1142">
        <f t="shared" si="406"/>
        <v>700.66</v>
      </c>
      <c r="J1142">
        <f>IF(A1142&gt;=Quarterly!B$2,Quarterly!C$2,IF(COUNTIFS(Quarterly!B:B,"&gt;="&amp;A1142-92,Quarterly!B:B,"&lt;="&amp;A1142)&gt;1,SUMIFS(Quarterly!C:C,Quarterly!B:B,"&gt;="&amp;A1142-88,Quarterly!B:B,"&lt;="&amp;A1142),SUMIFS(Quarterly!C:C,Quarterly!B:B,"&gt;="&amp;A1142-92,Quarterly!B:B,"&lt;="&amp;A1142)))</f>
        <v>8061.5</v>
      </c>
      <c r="K1142" s="13">
        <f t="shared" si="407"/>
        <v>8.6900000000000005E-2</v>
      </c>
      <c r="L1142">
        <f t="shared" si="409"/>
        <v>700.66</v>
      </c>
      <c r="M1142">
        <f>IF(A1142&gt;=Quarterly!B$2,Quarterly!D$2,IF(COUNTIFS(Quarterly!B:B,"&gt;="&amp;A1142-92,Quarterly!B:B,"&lt;="&amp;A1142)&gt;1,SUMIFS(Quarterly!D:D,Quarterly!B:B,"&gt;="&amp;A1142-88,Quarterly!B:B,"&lt;="&amp;A1142),SUMIFS(Quarterly!D:D,Quarterly!B:B,"&gt;="&amp;A1142-92,Quarterly!B:B,"&lt;="&amp;A1142)))</f>
        <v>506.93299999999999</v>
      </c>
      <c r="N1142" s="13">
        <f t="shared" si="410"/>
        <v>0.13822000000000001</v>
      </c>
      <c r="O1142">
        <f t="shared" si="398"/>
        <v>700.66</v>
      </c>
      <c r="P1142" s="56">
        <f>VLOOKUP(EOMONTH(A1142,-1),Economic!A:I,7,FALSE)</f>
        <v>686574</v>
      </c>
      <c r="Q1142" s="13">
        <f t="shared" si="399"/>
        <v>0.1021</v>
      </c>
      <c r="R1142" s="41">
        <v>0.63</v>
      </c>
      <c r="S1142">
        <f t="shared" si="400"/>
        <v>0.54</v>
      </c>
      <c r="T1142" s="30">
        <f t="shared" si="401"/>
        <v>154.54</v>
      </c>
      <c r="U1142" s="30">
        <f t="shared" si="408"/>
        <v>157.02000000000001</v>
      </c>
    </row>
    <row r="1143" spans="1:21" ht="15" customHeight="1" x14ac:dyDescent="0.25">
      <c r="A1143" s="5">
        <v>35344</v>
      </c>
      <c r="B1143" s="5">
        <f t="shared" si="402"/>
        <v>35369</v>
      </c>
      <c r="C1143">
        <v>701.46</v>
      </c>
      <c r="D1143" s="29">
        <f t="shared" si="403"/>
        <v>3.56E-2</v>
      </c>
      <c r="E1143" s="39">
        <f t="shared" si="404"/>
        <v>664.65692307692314</v>
      </c>
      <c r="F1143" s="39">
        <f t="shared" si="405"/>
        <v>654.51076923076926</v>
      </c>
      <c r="G1143" s="29">
        <f t="shared" si="397"/>
        <v>5.5399999999999998E-2</v>
      </c>
      <c r="H1143" s="29">
        <f t="shared" si="397"/>
        <v>7.17E-2</v>
      </c>
      <c r="I1143">
        <f t="shared" si="406"/>
        <v>701.46</v>
      </c>
      <c r="J1143">
        <f>IF(A1143&gt;=Quarterly!B$2,Quarterly!C$2,IF(COUNTIFS(Quarterly!B:B,"&gt;="&amp;A1143-92,Quarterly!B:B,"&lt;="&amp;A1143)&gt;1,SUMIFS(Quarterly!C:C,Quarterly!B:B,"&gt;="&amp;A1143-88,Quarterly!B:B,"&lt;="&amp;A1143),SUMIFS(Quarterly!C:C,Quarterly!B:B,"&gt;="&amp;A1143-92,Quarterly!B:B,"&lt;="&amp;A1143)))</f>
        <v>8061.5</v>
      </c>
      <c r="K1143" s="13">
        <f t="shared" si="407"/>
        <v>8.6999999999999994E-2</v>
      </c>
      <c r="L1143">
        <f t="shared" si="409"/>
        <v>701.46</v>
      </c>
      <c r="M1143">
        <f>IF(A1143&gt;=Quarterly!B$2,Quarterly!D$2,IF(COUNTIFS(Quarterly!B:B,"&gt;="&amp;A1143-92,Quarterly!B:B,"&lt;="&amp;A1143)&gt;1,SUMIFS(Quarterly!D:D,Quarterly!B:B,"&gt;="&amp;A1143-88,Quarterly!B:B,"&lt;="&amp;A1143),SUMIFS(Quarterly!D:D,Quarterly!B:B,"&gt;="&amp;A1143-92,Quarterly!B:B,"&lt;="&amp;A1143)))</f>
        <v>506.93299999999999</v>
      </c>
      <c r="N1143" s="13">
        <f t="shared" si="410"/>
        <v>0.13836999999999999</v>
      </c>
      <c r="O1143">
        <f t="shared" si="398"/>
        <v>701.46</v>
      </c>
      <c r="P1143" s="56">
        <f>VLOOKUP(EOMONTH(A1143,-1),Economic!A:I,7,FALSE)</f>
        <v>686574</v>
      </c>
      <c r="Q1143" s="13">
        <f t="shared" si="399"/>
        <v>0.10219999999999999</v>
      </c>
      <c r="R1143" s="41">
        <v>0.63</v>
      </c>
      <c r="S1143">
        <f t="shared" si="400"/>
        <v>0.59</v>
      </c>
      <c r="T1143" s="30">
        <f t="shared" si="401"/>
        <v>157.62</v>
      </c>
      <c r="U1143" s="30">
        <f t="shared" si="408"/>
        <v>158.66</v>
      </c>
    </row>
    <row r="1144" spans="1:21" ht="15" customHeight="1" x14ac:dyDescent="0.25">
      <c r="A1144" s="5">
        <v>35337</v>
      </c>
      <c r="B1144" s="5">
        <f t="shared" si="402"/>
        <v>35338</v>
      </c>
      <c r="C1144">
        <v>686.19</v>
      </c>
      <c r="D1144" s="29">
        <f t="shared" si="403"/>
        <v>2.5999999999999999E-2</v>
      </c>
      <c r="E1144" s="39">
        <f t="shared" si="404"/>
        <v>661.27076923076925</v>
      </c>
      <c r="F1144" s="39">
        <f t="shared" si="405"/>
        <v>652.33769230769224</v>
      </c>
      <c r="G1144" s="29">
        <f t="shared" si="397"/>
        <v>3.7699999999999997E-2</v>
      </c>
      <c r="H1144" s="29">
        <f t="shared" si="397"/>
        <v>5.1900000000000002E-2</v>
      </c>
      <c r="I1144">
        <f t="shared" si="406"/>
        <v>686.19</v>
      </c>
      <c r="J1144">
        <f>IF(A1144&gt;=Quarterly!B$2,Quarterly!C$2,IF(COUNTIFS(Quarterly!B:B,"&gt;="&amp;A1144-92,Quarterly!B:B,"&lt;="&amp;A1144)&gt;1,SUMIFS(Quarterly!C:C,Quarterly!B:B,"&gt;="&amp;A1144-88,Quarterly!B:B,"&lt;="&amp;A1144),SUMIFS(Quarterly!C:C,Quarterly!B:B,"&gt;="&amp;A1144-92,Quarterly!B:B,"&lt;="&amp;A1144)))</f>
        <v>8061.5</v>
      </c>
      <c r="K1144" s="13">
        <f t="shared" si="407"/>
        <v>8.5099999999999995E-2</v>
      </c>
      <c r="L1144">
        <f t="shared" si="409"/>
        <v>686.19</v>
      </c>
      <c r="M1144">
        <f>IF(A1144&gt;=Quarterly!B$2,Quarterly!D$2,IF(COUNTIFS(Quarterly!B:B,"&gt;="&amp;A1144-92,Quarterly!B:B,"&lt;="&amp;A1144)&gt;1,SUMIFS(Quarterly!D:D,Quarterly!B:B,"&gt;="&amp;A1144-88,Quarterly!B:B,"&lt;="&amp;A1144),SUMIFS(Quarterly!D:D,Quarterly!B:B,"&gt;="&amp;A1144-92,Quarterly!B:B,"&lt;="&amp;A1144)))</f>
        <v>506.93299999999999</v>
      </c>
      <c r="N1144" s="13">
        <f t="shared" si="410"/>
        <v>0.13536000000000001</v>
      </c>
      <c r="O1144">
        <f t="shared" si="398"/>
        <v>686.19</v>
      </c>
      <c r="P1144" s="56">
        <f>VLOOKUP(EOMONTH(A1144,-1),Economic!A:I,7,FALSE)</f>
        <v>683327</v>
      </c>
      <c r="Q1144" s="13">
        <f t="shared" si="399"/>
        <v>0.10039999999999999</v>
      </c>
      <c r="R1144" s="41">
        <v>0.61</v>
      </c>
      <c r="S1144">
        <f t="shared" si="400"/>
        <v>0.56999999999999995</v>
      </c>
      <c r="T1144" s="30">
        <f t="shared" si="401"/>
        <v>158.9</v>
      </c>
      <c r="U1144" s="30">
        <f t="shared" si="408"/>
        <v>158.13999999999999</v>
      </c>
    </row>
    <row r="1145" spans="1:21" ht="15" customHeight="1" x14ac:dyDescent="0.25">
      <c r="A1145" s="5">
        <v>35330</v>
      </c>
      <c r="B1145" s="5">
        <f t="shared" si="402"/>
        <v>35338</v>
      </c>
      <c r="C1145">
        <v>687.03</v>
      </c>
      <c r="D1145" s="29">
        <f t="shared" si="403"/>
        <v>3.5000000000000003E-2</v>
      </c>
      <c r="E1145" s="39">
        <f t="shared" si="404"/>
        <v>660.07384615384603</v>
      </c>
      <c r="F1145" s="39">
        <f t="shared" si="405"/>
        <v>650.53615384615387</v>
      </c>
      <c r="G1145" s="29">
        <f t="shared" si="397"/>
        <v>4.0800000000000003E-2</v>
      </c>
      <c r="H1145" s="29">
        <f t="shared" si="397"/>
        <v>5.6099999999999997E-2</v>
      </c>
      <c r="I1145">
        <f t="shared" si="406"/>
        <v>687.03</v>
      </c>
      <c r="J1145">
        <f>IF(A1145&gt;=Quarterly!B$2,Quarterly!C$2,IF(COUNTIFS(Quarterly!B:B,"&gt;="&amp;A1145-92,Quarterly!B:B,"&lt;="&amp;A1145)&gt;1,SUMIFS(Quarterly!C:C,Quarterly!B:B,"&gt;="&amp;A1145-88,Quarterly!B:B,"&lt;="&amp;A1145),SUMIFS(Quarterly!C:C,Quarterly!B:B,"&gt;="&amp;A1145-92,Quarterly!B:B,"&lt;="&amp;A1145)))</f>
        <v>8061.5</v>
      </c>
      <c r="K1145" s="13">
        <f t="shared" si="407"/>
        <v>8.5199999999999998E-2</v>
      </c>
      <c r="L1145">
        <f t="shared" si="409"/>
        <v>687.03</v>
      </c>
      <c r="M1145">
        <f>IF(A1145&gt;=Quarterly!B$2,Quarterly!D$2,IF(COUNTIFS(Quarterly!B:B,"&gt;="&amp;A1145-92,Quarterly!B:B,"&lt;="&amp;A1145)&gt;1,SUMIFS(Quarterly!D:D,Quarterly!B:B,"&gt;="&amp;A1145-88,Quarterly!B:B,"&lt;="&amp;A1145),SUMIFS(Quarterly!D:D,Quarterly!B:B,"&gt;="&amp;A1145-92,Quarterly!B:B,"&lt;="&amp;A1145)))</f>
        <v>506.93299999999999</v>
      </c>
      <c r="N1145" s="13">
        <f t="shared" si="410"/>
        <v>0.13553000000000001</v>
      </c>
      <c r="O1145">
        <f t="shared" si="398"/>
        <v>687.03</v>
      </c>
      <c r="P1145" s="56">
        <f>VLOOKUP(EOMONTH(A1145,-1),Economic!A:I,7,FALSE)</f>
        <v>683327</v>
      </c>
      <c r="Q1145" s="13">
        <f t="shared" si="399"/>
        <v>0.10050000000000001</v>
      </c>
      <c r="R1145" s="41">
        <v>0.59</v>
      </c>
      <c r="S1145">
        <f t="shared" si="400"/>
        <v>0.57999999999999996</v>
      </c>
      <c r="T1145" s="30">
        <f t="shared" si="401"/>
        <v>159.47</v>
      </c>
      <c r="U1145" s="30">
        <f t="shared" si="408"/>
        <v>158.21</v>
      </c>
    </row>
    <row r="1146" spans="1:21" ht="15" customHeight="1" x14ac:dyDescent="0.25">
      <c r="A1146" s="5">
        <v>35323</v>
      </c>
      <c r="B1146" s="5">
        <f t="shared" si="402"/>
        <v>35338</v>
      </c>
      <c r="C1146">
        <v>680.54</v>
      </c>
      <c r="D1146" s="29">
        <f t="shared" si="403"/>
        <v>3.1199999999999999E-2</v>
      </c>
      <c r="E1146" s="39">
        <f t="shared" si="404"/>
        <v>658.52076923076925</v>
      </c>
      <c r="F1146" s="39">
        <f t="shared" si="405"/>
        <v>648.61102564102566</v>
      </c>
      <c r="G1146" s="29">
        <f t="shared" si="397"/>
        <v>3.3399999999999999E-2</v>
      </c>
      <c r="H1146" s="29">
        <f t="shared" si="397"/>
        <v>4.9200000000000001E-2</v>
      </c>
      <c r="I1146">
        <f t="shared" si="406"/>
        <v>680.54</v>
      </c>
      <c r="J1146">
        <f>IF(A1146&gt;=Quarterly!B$2,Quarterly!C$2,IF(COUNTIFS(Quarterly!B:B,"&gt;="&amp;A1146-92,Quarterly!B:B,"&lt;="&amp;A1146)&gt;1,SUMIFS(Quarterly!C:C,Quarterly!B:B,"&gt;="&amp;A1146-88,Quarterly!B:B,"&lt;="&amp;A1146),SUMIFS(Quarterly!C:C,Quarterly!B:B,"&gt;="&amp;A1146-92,Quarterly!B:B,"&lt;="&amp;A1146)))</f>
        <v>8061.5</v>
      </c>
      <c r="K1146" s="13">
        <f t="shared" si="407"/>
        <v>8.4400000000000003E-2</v>
      </c>
      <c r="L1146">
        <f t="shared" si="409"/>
        <v>680.54</v>
      </c>
      <c r="M1146">
        <f>IF(A1146&gt;=Quarterly!B$2,Quarterly!D$2,IF(COUNTIFS(Quarterly!B:B,"&gt;="&amp;A1146-92,Quarterly!B:B,"&lt;="&amp;A1146)&gt;1,SUMIFS(Quarterly!D:D,Quarterly!B:B,"&gt;="&amp;A1146-88,Quarterly!B:B,"&lt;="&amp;A1146),SUMIFS(Quarterly!D:D,Quarterly!B:B,"&gt;="&amp;A1146-92,Quarterly!B:B,"&lt;="&amp;A1146)))</f>
        <v>506.93299999999999</v>
      </c>
      <c r="N1146" s="13">
        <f t="shared" si="410"/>
        <v>0.13425000000000001</v>
      </c>
      <c r="O1146">
        <f t="shared" si="398"/>
        <v>680.54</v>
      </c>
      <c r="P1146" s="56">
        <f>VLOOKUP(EOMONTH(A1146,-1),Economic!A:I,7,FALSE)</f>
        <v>683327</v>
      </c>
      <c r="Q1146" s="13">
        <f t="shared" si="399"/>
        <v>9.9599999999999994E-2</v>
      </c>
      <c r="R1146" s="41">
        <v>0.64</v>
      </c>
      <c r="S1146">
        <f t="shared" si="400"/>
        <v>0.45</v>
      </c>
      <c r="T1146" s="30">
        <f t="shared" si="401"/>
        <v>156.04</v>
      </c>
      <c r="U1146" s="30">
        <f t="shared" si="408"/>
        <v>157.01</v>
      </c>
    </row>
    <row r="1147" spans="1:21" ht="15" customHeight="1" x14ac:dyDescent="0.25">
      <c r="A1147" s="5">
        <v>35316</v>
      </c>
      <c r="B1147" s="5">
        <f t="shared" si="402"/>
        <v>35338</v>
      </c>
      <c r="C1147">
        <v>655.68</v>
      </c>
      <c r="D1147" s="29">
        <f t="shared" si="403"/>
        <v>-8.8999999999999999E-3</v>
      </c>
      <c r="E1147" s="39">
        <f t="shared" si="404"/>
        <v>657.39076923076925</v>
      </c>
      <c r="F1147" s="39">
        <f t="shared" si="405"/>
        <v>646.96487179487178</v>
      </c>
      <c r="G1147" s="29">
        <f t="shared" si="397"/>
        <v>-2.5999999999999999E-3</v>
      </c>
      <c r="H1147" s="29">
        <f t="shared" si="397"/>
        <v>1.35E-2</v>
      </c>
      <c r="I1147">
        <f t="shared" si="406"/>
        <v>655.68</v>
      </c>
      <c r="J1147">
        <f>IF(A1147&gt;=Quarterly!B$2,Quarterly!C$2,IF(COUNTIFS(Quarterly!B:B,"&gt;="&amp;A1147-92,Quarterly!B:B,"&lt;="&amp;A1147)&gt;1,SUMIFS(Quarterly!C:C,Quarterly!B:B,"&gt;="&amp;A1147-88,Quarterly!B:B,"&lt;="&amp;A1147),SUMIFS(Quarterly!C:C,Quarterly!B:B,"&gt;="&amp;A1147-92,Quarterly!B:B,"&lt;="&amp;A1147)))</f>
        <v>8061.5</v>
      </c>
      <c r="K1147" s="13">
        <f t="shared" si="407"/>
        <v>8.1299999999999997E-2</v>
      </c>
      <c r="L1147">
        <f t="shared" si="409"/>
        <v>655.68</v>
      </c>
      <c r="M1147">
        <f>IF(A1147&gt;=Quarterly!B$2,Quarterly!D$2,IF(COUNTIFS(Quarterly!B:B,"&gt;="&amp;A1147-92,Quarterly!B:B,"&lt;="&amp;A1147)&gt;1,SUMIFS(Quarterly!D:D,Quarterly!B:B,"&gt;="&amp;A1147-88,Quarterly!B:B,"&lt;="&amp;A1147),SUMIFS(Quarterly!D:D,Quarterly!B:B,"&gt;="&amp;A1147-92,Quarterly!B:B,"&lt;="&amp;A1147)))</f>
        <v>506.93299999999999</v>
      </c>
      <c r="N1147" s="13">
        <f t="shared" si="410"/>
        <v>0.12934000000000001</v>
      </c>
      <c r="O1147">
        <f t="shared" si="398"/>
        <v>655.68</v>
      </c>
      <c r="P1147" s="56">
        <f>VLOOKUP(EOMONTH(A1147,-1),Economic!A:I,7,FALSE)</f>
        <v>683327</v>
      </c>
      <c r="Q1147" s="13">
        <f t="shared" si="399"/>
        <v>9.6000000000000002E-2</v>
      </c>
      <c r="R1147" s="41">
        <v>0.61</v>
      </c>
      <c r="S1147">
        <f t="shared" si="400"/>
        <v>0.5</v>
      </c>
      <c r="T1147" s="30">
        <f t="shared" si="401"/>
        <v>159.11000000000001</v>
      </c>
      <c r="U1147" s="30">
        <f t="shared" si="408"/>
        <v>156.53</v>
      </c>
    </row>
    <row r="1148" spans="1:21" ht="15" customHeight="1" x14ac:dyDescent="0.25">
      <c r="A1148" s="5">
        <v>35309</v>
      </c>
      <c r="B1148" s="5">
        <f t="shared" si="402"/>
        <v>35338</v>
      </c>
      <c r="C1148">
        <v>651.99</v>
      </c>
      <c r="D1148" s="29">
        <f t="shared" si="403"/>
        <v>-1.84E-2</v>
      </c>
      <c r="E1148" s="39">
        <f t="shared" si="404"/>
        <v>658.74692307692317</v>
      </c>
      <c r="F1148" s="39">
        <f t="shared" si="405"/>
        <v>645.98538461538465</v>
      </c>
      <c r="G1148" s="29">
        <f t="shared" si="397"/>
        <v>-1.03E-2</v>
      </c>
      <c r="H1148" s="29">
        <f t="shared" si="397"/>
        <v>9.2999999999999992E-3</v>
      </c>
      <c r="I1148">
        <f t="shared" si="406"/>
        <v>651.99</v>
      </c>
      <c r="J1148">
        <f>IF(A1148&gt;=Quarterly!B$2,Quarterly!C$2,IF(COUNTIFS(Quarterly!B:B,"&gt;="&amp;A1148-92,Quarterly!B:B,"&lt;="&amp;A1148)&gt;1,SUMIFS(Quarterly!C:C,Quarterly!B:B,"&gt;="&amp;A1148-88,Quarterly!B:B,"&lt;="&amp;A1148),SUMIFS(Quarterly!C:C,Quarterly!B:B,"&gt;="&amp;A1148-92,Quarterly!B:B,"&lt;="&amp;A1148)))</f>
        <v>8061.5</v>
      </c>
      <c r="K1148" s="13">
        <f t="shared" si="407"/>
        <v>8.09E-2</v>
      </c>
      <c r="L1148">
        <f t="shared" si="409"/>
        <v>651.99</v>
      </c>
      <c r="M1148">
        <f>IF(A1148&gt;=Quarterly!B$2,Quarterly!D$2,IF(COUNTIFS(Quarterly!B:B,"&gt;="&amp;A1148-92,Quarterly!B:B,"&lt;="&amp;A1148)&gt;1,SUMIFS(Quarterly!D:D,Quarterly!B:B,"&gt;="&amp;A1148-88,Quarterly!B:B,"&lt;="&amp;A1148),SUMIFS(Quarterly!D:D,Quarterly!B:B,"&gt;="&amp;A1148-92,Quarterly!B:B,"&lt;="&amp;A1148)))</f>
        <v>506.93299999999999</v>
      </c>
      <c r="N1148" s="13">
        <f t="shared" si="410"/>
        <v>0.12861</v>
      </c>
      <c r="O1148">
        <f t="shared" si="398"/>
        <v>651.99</v>
      </c>
      <c r="P1148" s="56">
        <f>VLOOKUP(EOMONTH(A1148,-1),Economic!A:I,7,FALSE)</f>
        <v>683327</v>
      </c>
      <c r="Q1148" s="13">
        <f t="shared" si="399"/>
        <v>9.5399999999999999E-2</v>
      </c>
      <c r="R1148" s="41">
        <v>0.62</v>
      </c>
      <c r="S1148">
        <f t="shared" si="400"/>
        <v>0.42</v>
      </c>
      <c r="T1148" s="30">
        <f t="shared" si="401"/>
        <v>155.88999999999999</v>
      </c>
      <c r="U1148" s="30">
        <f t="shared" si="408"/>
        <v>155.04</v>
      </c>
    </row>
    <row r="1149" spans="1:21" ht="15" customHeight="1" x14ac:dyDescent="0.25">
      <c r="A1149" s="5">
        <v>35302</v>
      </c>
      <c r="B1149" s="5">
        <f t="shared" si="402"/>
        <v>35308</v>
      </c>
      <c r="C1149">
        <v>667.03</v>
      </c>
      <c r="D1149" s="29">
        <f t="shared" si="403"/>
        <v>1.6199999999999999E-2</v>
      </c>
      <c r="E1149" s="39">
        <f t="shared" si="404"/>
        <v>660.06461538461554</v>
      </c>
      <c r="F1149" s="39">
        <f t="shared" si="405"/>
        <v>644.83128205128219</v>
      </c>
      <c r="G1149" s="29">
        <f t="shared" si="397"/>
        <v>1.06E-2</v>
      </c>
      <c r="H1149" s="29">
        <f t="shared" si="397"/>
        <v>3.44E-2</v>
      </c>
      <c r="I1149">
        <f t="shared" si="406"/>
        <v>667.03</v>
      </c>
      <c r="J1149">
        <f>IF(A1149&gt;=Quarterly!B$2,Quarterly!C$2,IF(COUNTIFS(Quarterly!B:B,"&gt;="&amp;A1149-92,Quarterly!B:B,"&lt;="&amp;A1149)&gt;1,SUMIFS(Quarterly!C:C,Quarterly!B:B,"&gt;="&amp;A1149-88,Quarterly!B:B,"&lt;="&amp;A1149),SUMIFS(Quarterly!C:C,Quarterly!B:B,"&gt;="&amp;A1149-92,Quarterly!B:B,"&lt;="&amp;A1149)))</f>
        <v>8061.5</v>
      </c>
      <c r="K1149" s="13">
        <f t="shared" si="407"/>
        <v>8.2699999999999996E-2</v>
      </c>
      <c r="L1149">
        <f t="shared" si="409"/>
        <v>667.03</v>
      </c>
      <c r="M1149">
        <f>IF(A1149&gt;=Quarterly!B$2,Quarterly!D$2,IF(COUNTIFS(Quarterly!B:B,"&gt;="&amp;A1149-92,Quarterly!B:B,"&lt;="&amp;A1149)&gt;1,SUMIFS(Quarterly!D:D,Quarterly!B:B,"&gt;="&amp;A1149-88,Quarterly!B:B,"&lt;="&amp;A1149),SUMIFS(Quarterly!D:D,Quarterly!B:B,"&gt;="&amp;A1149-92,Quarterly!B:B,"&lt;="&amp;A1149)))</f>
        <v>506.93299999999999</v>
      </c>
      <c r="N1149" s="13">
        <f t="shared" si="410"/>
        <v>0.13158</v>
      </c>
      <c r="O1149">
        <f t="shared" si="398"/>
        <v>667.03</v>
      </c>
      <c r="P1149" s="56">
        <f>VLOOKUP(EOMONTH(A1149,-1),Economic!A:I,7,FALSE)</f>
        <v>679230</v>
      </c>
      <c r="Q1149" s="13">
        <f t="shared" si="399"/>
        <v>9.8199999999999996E-2</v>
      </c>
      <c r="R1149" s="41">
        <v>0.63</v>
      </c>
      <c r="S1149">
        <f t="shared" si="400"/>
        <v>0.42</v>
      </c>
      <c r="T1149" s="30">
        <f t="shared" si="401"/>
        <v>154.59</v>
      </c>
      <c r="U1149" s="30">
        <f t="shared" si="408"/>
        <v>154.04</v>
      </c>
    </row>
    <row r="1150" spans="1:21" ht="15" customHeight="1" x14ac:dyDescent="0.25">
      <c r="A1150" s="5">
        <v>35295</v>
      </c>
      <c r="B1150" s="5">
        <f t="shared" si="402"/>
        <v>35308</v>
      </c>
      <c r="C1150">
        <v>665.21</v>
      </c>
      <c r="D1150" s="29">
        <f t="shared" si="403"/>
        <v>2.3699999999999999E-2</v>
      </c>
      <c r="E1150" s="39">
        <f t="shared" si="404"/>
        <v>660.94769230769225</v>
      </c>
      <c r="F1150" s="39">
        <f t="shared" si="405"/>
        <v>643.11179487179493</v>
      </c>
      <c r="G1150" s="29">
        <f t="shared" si="397"/>
        <v>6.4000000000000003E-3</v>
      </c>
      <c r="H1150" s="29">
        <f t="shared" si="397"/>
        <v>3.44E-2</v>
      </c>
      <c r="I1150">
        <f t="shared" si="406"/>
        <v>665.21</v>
      </c>
      <c r="J1150">
        <f>IF(A1150&gt;=Quarterly!B$2,Quarterly!C$2,IF(COUNTIFS(Quarterly!B:B,"&gt;="&amp;A1150-92,Quarterly!B:B,"&lt;="&amp;A1150)&gt;1,SUMIFS(Quarterly!C:C,Quarterly!B:B,"&gt;="&amp;A1150-88,Quarterly!B:B,"&lt;="&amp;A1150),SUMIFS(Quarterly!C:C,Quarterly!B:B,"&gt;="&amp;A1150-92,Quarterly!B:B,"&lt;="&amp;A1150)))</f>
        <v>8061.5</v>
      </c>
      <c r="K1150" s="13">
        <f t="shared" si="407"/>
        <v>8.2500000000000004E-2</v>
      </c>
      <c r="L1150">
        <f t="shared" si="409"/>
        <v>665.21</v>
      </c>
      <c r="M1150">
        <f>IF(A1150&gt;=Quarterly!B$2,Quarterly!D$2,IF(COUNTIFS(Quarterly!B:B,"&gt;="&amp;A1150-92,Quarterly!B:B,"&lt;="&amp;A1150)&gt;1,SUMIFS(Quarterly!D:D,Quarterly!B:B,"&gt;="&amp;A1150-88,Quarterly!B:B,"&lt;="&amp;A1150),SUMIFS(Quarterly!D:D,Quarterly!B:B,"&gt;="&amp;A1150-92,Quarterly!B:B,"&lt;="&amp;A1150)))</f>
        <v>506.93299999999999</v>
      </c>
      <c r="N1150" s="13">
        <f t="shared" si="410"/>
        <v>0.13122</v>
      </c>
      <c r="O1150">
        <f t="shared" si="398"/>
        <v>665.21</v>
      </c>
      <c r="P1150" s="56">
        <f>VLOOKUP(EOMONTH(A1150,-1),Economic!A:I,7,FALSE)</f>
        <v>679230</v>
      </c>
      <c r="Q1150" s="13">
        <f t="shared" si="399"/>
        <v>9.7900000000000001E-2</v>
      </c>
      <c r="R1150" s="41">
        <v>0.61</v>
      </c>
      <c r="S1150">
        <f t="shared" si="400"/>
        <v>0.44</v>
      </c>
      <c r="T1150" s="30">
        <f t="shared" si="401"/>
        <v>154.63999999999999</v>
      </c>
      <c r="U1150" s="30">
        <f t="shared" si="408"/>
        <v>155.28</v>
      </c>
    </row>
    <row r="1151" spans="1:21" ht="15" customHeight="1" x14ac:dyDescent="0.25">
      <c r="A1151" s="5">
        <v>35288</v>
      </c>
      <c r="B1151" s="5">
        <f t="shared" si="402"/>
        <v>35308</v>
      </c>
      <c r="C1151">
        <v>662.1</v>
      </c>
      <c r="D1151" s="29">
        <f t="shared" si="403"/>
        <v>2.52E-2</v>
      </c>
      <c r="E1151" s="39">
        <f t="shared" si="404"/>
        <v>661.23230769230781</v>
      </c>
      <c r="F1151" s="39">
        <f t="shared" si="405"/>
        <v>641.44153846153858</v>
      </c>
      <c r="G1151" s="29">
        <f t="shared" si="397"/>
        <v>1.2999999999999999E-3</v>
      </c>
      <c r="H1151" s="29">
        <f t="shared" si="397"/>
        <v>3.2199999999999999E-2</v>
      </c>
      <c r="I1151">
        <f t="shared" si="406"/>
        <v>662.1</v>
      </c>
      <c r="J1151">
        <f>IF(A1151&gt;=Quarterly!B$2,Quarterly!C$2,IF(COUNTIFS(Quarterly!B:B,"&gt;="&amp;A1151-92,Quarterly!B:B,"&lt;="&amp;A1151)&gt;1,SUMIFS(Quarterly!C:C,Quarterly!B:B,"&gt;="&amp;A1151-88,Quarterly!B:B,"&lt;="&amp;A1151),SUMIFS(Quarterly!C:C,Quarterly!B:B,"&gt;="&amp;A1151-92,Quarterly!B:B,"&lt;="&amp;A1151)))</f>
        <v>8061.5</v>
      </c>
      <c r="K1151" s="13">
        <f t="shared" si="407"/>
        <v>8.2100000000000006E-2</v>
      </c>
      <c r="L1151">
        <f t="shared" si="409"/>
        <v>662.1</v>
      </c>
      <c r="M1151">
        <f>IF(A1151&gt;=Quarterly!B$2,Quarterly!D$2,IF(COUNTIFS(Quarterly!B:B,"&gt;="&amp;A1151-92,Quarterly!B:B,"&lt;="&amp;A1151)&gt;1,SUMIFS(Quarterly!D:D,Quarterly!B:B,"&gt;="&amp;A1151-88,Quarterly!B:B,"&lt;="&amp;A1151),SUMIFS(Quarterly!D:D,Quarterly!B:B,"&gt;="&amp;A1151-92,Quarterly!B:B,"&lt;="&amp;A1151)))</f>
        <v>506.93299999999999</v>
      </c>
      <c r="N1151" s="13">
        <f t="shared" si="410"/>
        <v>0.13061</v>
      </c>
      <c r="O1151">
        <f t="shared" si="398"/>
        <v>662.1</v>
      </c>
      <c r="P1151" s="56">
        <f>VLOOKUP(EOMONTH(A1151,-1),Economic!A:I,7,FALSE)</f>
        <v>679230</v>
      </c>
      <c r="Q1151" s="13">
        <f t="shared" si="399"/>
        <v>9.7499999999999989E-2</v>
      </c>
      <c r="R1151" s="41">
        <v>0.56999999999999995</v>
      </c>
      <c r="S1151">
        <f t="shared" si="400"/>
        <v>0.39</v>
      </c>
      <c r="T1151" s="30">
        <f t="shared" si="401"/>
        <v>152.9</v>
      </c>
      <c r="U1151" s="30">
        <f t="shared" si="408"/>
        <v>154.34</v>
      </c>
    </row>
    <row r="1152" spans="1:21" ht="15" customHeight="1" x14ac:dyDescent="0.25">
      <c r="A1152" s="5">
        <v>35281</v>
      </c>
      <c r="B1152" s="5">
        <f t="shared" si="402"/>
        <v>35308</v>
      </c>
      <c r="C1152">
        <v>662.49</v>
      </c>
      <c r="D1152" s="29">
        <f t="shared" si="403"/>
        <v>2.7799999999999998E-2</v>
      </c>
      <c r="E1152" s="39">
        <f t="shared" si="404"/>
        <v>660.46230769230772</v>
      </c>
      <c r="F1152" s="39">
        <f t="shared" si="405"/>
        <v>639.66256410256415</v>
      </c>
      <c r="G1152" s="29">
        <f t="shared" si="397"/>
        <v>3.0999999999999999E-3</v>
      </c>
      <c r="H1152" s="29">
        <f t="shared" si="397"/>
        <v>3.5700000000000003E-2</v>
      </c>
      <c r="I1152">
        <f t="shared" si="406"/>
        <v>662.49</v>
      </c>
      <c r="J1152">
        <f>IF(A1152&gt;=Quarterly!B$2,Quarterly!C$2,IF(COUNTIFS(Quarterly!B:B,"&gt;="&amp;A1152-92,Quarterly!B:B,"&lt;="&amp;A1152)&gt;1,SUMIFS(Quarterly!C:C,Quarterly!B:B,"&gt;="&amp;A1152-88,Quarterly!B:B,"&lt;="&amp;A1152),SUMIFS(Quarterly!C:C,Quarterly!B:B,"&gt;="&amp;A1152-92,Quarterly!B:B,"&lt;="&amp;A1152)))</f>
        <v>8061.5</v>
      </c>
      <c r="K1152" s="13">
        <f t="shared" si="407"/>
        <v>8.2199999999999995E-2</v>
      </c>
      <c r="L1152">
        <f t="shared" si="409"/>
        <v>662.49</v>
      </c>
      <c r="M1152">
        <f>IF(A1152&gt;=Quarterly!B$2,Quarterly!D$2,IF(COUNTIFS(Quarterly!B:B,"&gt;="&amp;A1152-92,Quarterly!B:B,"&lt;="&amp;A1152)&gt;1,SUMIFS(Quarterly!D:D,Quarterly!B:B,"&gt;="&amp;A1152-88,Quarterly!B:B,"&lt;="&amp;A1152),SUMIFS(Quarterly!D:D,Quarterly!B:B,"&gt;="&amp;A1152-92,Quarterly!B:B,"&lt;="&amp;A1152)))</f>
        <v>506.93299999999999</v>
      </c>
      <c r="N1152" s="13">
        <f t="shared" si="410"/>
        <v>0.13069</v>
      </c>
      <c r="O1152">
        <f t="shared" si="398"/>
        <v>662.49</v>
      </c>
      <c r="P1152" s="56">
        <f>VLOOKUP(EOMONTH(A1152,-1),Economic!A:I,7,FALSE)</f>
        <v>679230</v>
      </c>
      <c r="Q1152" s="13">
        <f t="shared" si="399"/>
        <v>9.7499999999999989E-2</v>
      </c>
      <c r="R1152" s="41">
        <v>0.6</v>
      </c>
      <c r="S1152">
        <f t="shared" si="400"/>
        <v>0.56000000000000005</v>
      </c>
      <c r="T1152" s="30">
        <f t="shared" si="401"/>
        <v>158.31</v>
      </c>
      <c r="U1152" s="30">
        <f t="shared" si="408"/>
        <v>153.62</v>
      </c>
    </row>
    <row r="1153" spans="1:21" ht="15" customHeight="1" x14ac:dyDescent="0.25">
      <c r="A1153" s="5">
        <v>35274</v>
      </c>
      <c r="B1153" s="5">
        <f t="shared" si="402"/>
        <v>35277</v>
      </c>
      <c r="C1153">
        <v>635.9</v>
      </c>
      <c r="D1153" s="29">
        <f t="shared" si="403"/>
        <v>-2.6599999999999999E-2</v>
      </c>
      <c r="E1153" s="39">
        <f t="shared" si="404"/>
        <v>658.85769230769245</v>
      </c>
      <c r="F1153" s="39">
        <f t="shared" si="405"/>
        <v>637.81846153846163</v>
      </c>
      <c r="G1153" s="29">
        <f t="shared" si="397"/>
        <v>-3.4799999999999998E-2</v>
      </c>
      <c r="H1153" s="29">
        <f t="shared" si="397"/>
        <v>-3.0000000000000001E-3</v>
      </c>
      <c r="I1153">
        <f t="shared" si="406"/>
        <v>635.9</v>
      </c>
      <c r="J1153">
        <f>IF(A1153&gt;=Quarterly!B$2,Quarterly!C$2,IF(COUNTIFS(Quarterly!B:B,"&gt;="&amp;A1153-92,Quarterly!B:B,"&lt;="&amp;A1153)&gt;1,SUMIFS(Quarterly!C:C,Quarterly!B:B,"&gt;="&amp;A1153-88,Quarterly!B:B,"&lt;="&amp;A1153),SUMIFS(Quarterly!C:C,Quarterly!B:B,"&gt;="&amp;A1153-92,Quarterly!B:B,"&lt;="&amp;A1153)))</f>
        <v>7893.1</v>
      </c>
      <c r="K1153" s="13">
        <f t="shared" si="407"/>
        <v>8.0600000000000005E-2</v>
      </c>
      <c r="L1153">
        <f t="shared" si="409"/>
        <v>635.9</v>
      </c>
      <c r="M1153">
        <f>IF(A1153&gt;=Quarterly!B$2,Quarterly!D$2,IF(COUNTIFS(Quarterly!B:B,"&gt;="&amp;A1153-92,Quarterly!B:B,"&lt;="&amp;A1153)&gt;1,SUMIFS(Quarterly!D:D,Quarterly!B:B,"&gt;="&amp;A1153-88,Quarterly!B:B,"&lt;="&amp;A1153),SUMIFS(Quarterly!D:D,Quarterly!B:B,"&gt;="&amp;A1153-92,Quarterly!B:B,"&lt;="&amp;A1153)))</f>
        <v>505.03100000000001</v>
      </c>
      <c r="N1153" s="13">
        <f t="shared" si="410"/>
        <v>0.12591000000000002</v>
      </c>
      <c r="O1153">
        <f t="shared" si="398"/>
        <v>635.9</v>
      </c>
      <c r="P1153" s="56">
        <f>VLOOKUP(EOMONTH(A1153,-1),Economic!A:I,7,FALSE)</f>
        <v>671115</v>
      </c>
      <c r="Q1153" s="13">
        <f t="shared" si="399"/>
        <v>9.4799999999999995E-2</v>
      </c>
      <c r="R1153" s="41">
        <v>0.6</v>
      </c>
      <c r="S1153">
        <f t="shared" si="400"/>
        <v>0.43</v>
      </c>
      <c r="T1153" s="30">
        <f t="shared" si="401"/>
        <v>151.82</v>
      </c>
      <c r="U1153" s="30">
        <f t="shared" si="408"/>
        <v>151.32</v>
      </c>
    </row>
    <row r="1154" spans="1:21" ht="15" customHeight="1" x14ac:dyDescent="0.25">
      <c r="A1154" s="5">
        <v>35267</v>
      </c>
      <c r="B1154" s="5">
        <f t="shared" si="402"/>
        <v>35277</v>
      </c>
      <c r="C1154">
        <v>638.73</v>
      </c>
      <c r="D1154" s="29">
        <f t="shared" si="403"/>
        <v>-3.2599999999999997E-2</v>
      </c>
      <c r="E1154" s="39">
        <f t="shared" si="404"/>
        <v>660.20846153846151</v>
      </c>
      <c r="F1154" s="39">
        <f t="shared" si="405"/>
        <v>636.37743589743604</v>
      </c>
      <c r="G1154" s="29">
        <f t="shared" ref="G1154:H1217" si="411">ROUND(($C1154-E1154)/E1154,4)</f>
        <v>-3.2500000000000001E-2</v>
      </c>
      <c r="H1154" s="29">
        <f t="shared" si="411"/>
        <v>3.7000000000000002E-3</v>
      </c>
      <c r="I1154">
        <f t="shared" si="406"/>
        <v>638.73</v>
      </c>
      <c r="J1154">
        <f>IF(A1154&gt;=Quarterly!B$2,Quarterly!C$2,IF(COUNTIFS(Quarterly!B:B,"&gt;="&amp;A1154-92,Quarterly!B:B,"&lt;="&amp;A1154)&gt;1,SUMIFS(Quarterly!C:C,Quarterly!B:B,"&gt;="&amp;A1154-88,Quarterly!B:B,"&lt;="&amp;A1154),SUMIFS(Quarterly!C:C,Quarterly!B:B,"&gt;="&amp;A1154-92,Quarterly!B:B,"&lt;="&amp;A1154)))</f>
        <v>7893.1</v>
      </c>
      <c r="K1154" s="13">
        <f t="shared" si="407"/>
        <v>8.09E-2</v>
      </c>
      <c r="L1154">
        <f t="shared" si="409"/>
        <v>638.73</v>
      </c>
      <c r="M1154">
        <f>IF(A1154&gt;=Quarterly!B$2,Quarterly!D$2,IF(COUNTIFS(Quarterly!B:B,"&gt;="&amp;A1154-92,Quarterly!B:B,"&lt;="&amp;A1154)&gt;1,SUMIFS(Quarterly!D:D,Quarterly!B:B,"&gt;="&amp;A1154-88,Quarterly!B:B,"&lt;="&amp;A1154),SUMIFS(Quarterly!D:D,Quarterly!B:B,"&gt;="&amp;A1154-92,Quarterly!B:B,"&lt;="&amp;A1154)))</f>
        <v>505.03100000000001</v>
      </c>
      <c r="N1154" s="13">
        <f t="shared" si="410"/>
        <v>0.12647</v>
      </c>
      <c r="O1154">
        <f t="shared" si="398"/>
        <v>638.73</v>
      </c>
      <c r="P1154" s="56">
        <f>VLOOKUP(EOMONTH(A1154,-1),Economic!A:I,7,FALSE)</f>
        <v>671115</v>
      </c>
      <c r="Q1154" s="13">
        <f t="shared" si="399"/>
        <v>9.5200000000000007E-2</v>
      </c>
      <c r="R1154" s="41">
        <v>0.6</v>
      </c>
      <c r="S1154">
        <f t="shared" si="400"/>
        <v>0.42</v>
      </c>
      <c r="T1154" s="30">
        <f t="shared" si="401"/>
        <v>150.74</v>
      </c>
      <c r="U1154" s="30">
        <f t="shared" si="408"/>
        <v>151.66999999999999</v>
      </c>
    </row>
    <row r="1155" spans="1:21" ht="15" customHeight="1" x14ac:dyDescent="0.25">
      <c r="A1155" s="5">
        <v>35260</v>
      </c>
      <c r="B1155" s="5">
        <f t="shared" si="402"/>
        <v>35277</v>
      </c>
      <c r="C1155">
        <v>646.19000000000005</v>
      </c>
      <c r="D1155" s="29">
        <f t="shared" si="403"/>
        <v>-2.86E-2</v>
      </c>
      <c r="E1155" s="39">
        <f t="shared" si="404"/>
        <v>660.69615384615395</v>
      </c>
      <c r="F1155" s="39">
        <f t="shared" si="405"/>
        <v>635.06282051282074</v>
      </c>
      <c r="G1155" s="29">
        <f t="shared" si="411"/>
        <v>-2.1999999999999999E-2</v>
      </c>
      <c r="H1155" s="29">
        <f t="shared" si="411"/>
        <v>1.7500000000000002E-2</v>
      </c>
      <c r="I1155">
        <f t="shared" si="406"/>
        <v>646.19000000000005</v>
      </c>
      <c r="J1155">
        <f>IF(A1155&gt;=Quarterly!B$2,Quarterly!C$2,IF(COUNTIFS(Quarterly!B:B,"&gt;="&amp;A1155-92,Quarterly!B:B,"&lt;="&amp;A1155)&gt;1,SUMIFS(Quarterly!C:C,Quarterly!B:B,"&gt;="&amp;A1155-88,Quarterly!B:B,"&lt;="&amp;A1155),SUMIFS(Quarterly!C:C,Quarterly!B:B,"&gt;="&amp;A1155-92,Quarterly!B:B,"&lt;="&amp;A1155)))</f>
        <v>7893.1</v>
      </c>
      <c r="K1155" s="13">
        <f t="shared" si="407"/>
        <v>8.1900000000000001E-2</v>
      </c>
      <c r="L1155">
        <f t="shared" si="409"/>
        <v>646.19000000000005</v>
      </c>
      <c r="M1155">
        <f>IF(A1155&gt;=Quarterly!B$2,Quarterly!D$2,IF(COUNTIFS(Quarterly!B:B,"&gt;="&amp;A1155-92,Quarterly!B:B,"&lt;="&amp;A1155)&gt;1,SUMIFS(Quarterly!D:D,Quarterly!B:B,"&gt;="&amp;A1155-88,Quarterly!B:B,"&lt;="&amp;A1155),SUMIFS(Quarterly!D:D,Quarterly!B:B,"&gt;="&amp;A1155-92,Quarterly!B:B,"&lt;="&amp;A1155)))</f>
        <v>505.03100000000001</v>
      </c>
      <c r="N1155" s="13">
        <f t="shared" si="410"/>
        <v>0.12795000000000001</v>
      </c>
      <c r="O1155">
        <f t="shared" si="398"/>
        <v>646.19000000000005</v>
      </c>
      <c r="P1155" s="56">
        <f>VLOOKUP(EOMONTH(A1155,-1),Economic!A:I,7,FALSE)</f>
        <v>671115</v>
      </c>
      <c r="Q1155" s="13">
        <f t="shared" si="399"/>
        <v>9.6299999999999997E-2</v>
      </c>
      <c r="R1155" s="41">
        <v>0.59</v>
      </c>
      <c r="S1155">
        <f t="shared" si="400"/>
        <v>0.47</v>
      </c>
      <c r="T1155" s="30">
        <f t="shared" si="401"/>
        <v>151.4</v>
      </c>
      <c r="U1155" s="30">
        <f t="shared" si="408"/>
        <v>151.36000000000001</v>
      </c>
    </row>
    <row r="1156" spans="1:21" ht="15" customHeight="1" x14ac:dyDescent="0.25">
      <c r="A1156" s="5">
        <v>35253</v>
      </c>
      <c r="B1156" s="5">
        <f t="shared" si="402"/>
        <v>35277</v>
      </c>
      <c r="C1156">
        <v>657.44</v>
      </c>
      <c r="D1156" s="29">
        <f t="shared" si="403"/>
        <v>-1.7500000000000002E-2</v>
      </c>
      <c r="E1156" s="39">
        <f t="shared" si="404"/>
        <v>659.96692307692308</v>
      </c>
      <c r="F1156" s="39">
        <f t="shared" si="405"/>
        <v>633.48102564102578</v>
      </c>
      <c r="G1156" s="29">
        <f t="shared" si="411"/>
        <v>-3.8E-3</v>
      </c>
      <c r="H1156" s="29">
        <f t="shared" si="411"/>
        <v>3.78E-2</v>
      </c>
      <c r="I1156">
        <f t="shared" si="406"/>
        <v>657.44</v>
      </c>
      <c r="J1156">
        <f>IF(A1156&gt;=Quarterly!B$2,Quarterly!C$2,IF(COUNTIFS(Quarterly!B:B,"&gt;="&amp;A1156-92,Quarterly!B:B,"&lt;="&amp;A1156)&gt;1,SUMIFS(Quarterly!C:C,Quarterly!B:B,"&gt;="&amp;A1156-88,Quarterly!B:B,"&lt;="&amp;A1156),SUMIFS(Quarterly!C:C,Quarterly!B:B,"&gt;="&amp;A1156-92,Quarterly!B:B,"&lt;="&amp;A1156)))</f>
        <v>7893.1</v>
      </c>
      <c r="K1156" s="13">
        <f t="shared" si="407"/>
        <v>8.3299999999999999E-2</v>
      </c>
      <c r="L1156">
        <f t="shared" si="409"/>
        <v>657.44</v>
      </c>
      <c r="M1156">
        <f>IF(A1156&gt;=Quarterly!B$2,Quarterly!D$2,IF(COUNTIFS(Quarterly!B:B,"&gt;="&amp;A1156-92,Quarterly!B:B,"&lt;="&amp;A1156)&gt;1,SUMIFS(Quarterly!D:D,Quarterly!B:B,"&gt;="&amp;A1156-88,Quarterly!B:B,"&lt;="&amp;A1156),SUMIFS(Quarterly!D:D,Quarterly!B:B,"&gt;="&amp;A1156-92,Quarterly!B:B,"&lt;="&amp;A1156)))</f>
        <v>505.03100000000001</v>
      </c>
      <c r="N1156" s="13">
        <f t="shared" si="410"/>
        <v>0.13018000000000002</v>
      </c>
      <c r="O1156">
        <f t="shared" si="398"/>
        <v>657.44</v>
      </c>
      <c r="P1156" s="56">
        <f>VLOOKUP(EOMONTH(A1156,-1),Economic!A:I,7,FALSE)</f>
        <v>671115</v>
      </c>
      <c r="Q1156" s="13">
        <f t="shared" si="399"/>
        <v>9.8000000000000004E-2</v>
      </c>
      <c r="R1156" s="41">
        <v>0.62</v>
      </c>
      <c r="S1156">
        <f t="shared" si="400"/>
        <v>0.53</v>
      </c>
      <c r="T1156" s="30">
        <f t="shared" si="401"/>
        <v>152.86000000000001</v>
      </c>
      <c r="U1156" s="30">
        <f t="shared" si="408"/>
        <v>152.18</v>
      </c>
    </row>
    <row r="1157" spans="1:21" ht="15" customHeight="1" x14ac:dyDescent="0.25">
      <c r="A1157" s="5">
        <v>35246</v>
      </c>
      <c r="B1157" s="5">
        <f t="shared" si="402"/>
        <v>35246</v>
      </c>
      <c r="C1157">
        <v>670.63</v>
      </c>
      <c r="D1157" s="29">
        <f t="shared" si="403"/>
        <v>2.8E-3</v>
      </c>
      <c r="E1157" s="39">
        <f t="shared" si="404"/>
        <v>659.84538461538455</v>
      </c>
      <c r="F1157" s="39">
        <f t="shared" si="405"/>
        <v>631.55923076923091</v>
      </c>
      <c r="G1157" s="29">
        <f t="shared" si="411"/>
        <v>1.6299999999999999E-2</v>
      </c>
      <c r="H1157" s="29">
        <f t="shared" si="411"/>
        <v>6.1899999999999997E-2</v>
      </c>
      <c r="I1157">
        <f t="shared" si="406"/>
        <v>670.63</v>
      </c>
      <c r="J1157">
        <f>IF(A1157&gt;=Quarterly!B$2,Quarterly!C$2,IF(COUNTIFS(Quarterly!B:B,"&gt;="&amp;A1157-92,Quarterly!B:B,"&lt;="&amp;A1157)&gt;1,SUMIFS(Quarterly!C:C,Quarterly!B:B,"&gt;="&amp;A1157-88,Quarterly!B:B,"&lt;="&amp;A1157),SUMIFS(Quarterly!C:C,Quarterly!B:B,"&gt;="&amp;A1157-92,Quarterly!B:B,"&lt;="&amp;A1157)))</f>
        <v>7893.1</v>
      </c>
      <c r="K1157" s="13">
        <f t="shared" si="407"/>
        <v>8.5000000000000006E-2</v>
      </c>
      <c r="L1157">
        <f t="shared" si="409"/>
        <v>670.63</v>
      </c>
      <c r="M1157">
        <f>IF(A1157&gt;=Quarterly!B$2,Quarterly!D$2,IF(COUNTIFS(Quarterly!B:B,"&gt;="&amp;A1157-92,Quarterly!B:B,"&lt;="&amp;A1157)&gt;1,SUMIFS(Quarterly!D:D,Quarterly!B:B,"&gt;="&amp;A1157-88,Quarterly!B:B,"&lt;="&amp;A1157),SUMIFS(Quarterly!D:D,Quarterly!B:B,"&gt;="&amp;A1157-92,Quarterly!B:B,"&lt;="&amp;A1157)))</f>
        <v>505.03100000000001</v>
      </c>
      <c r="N1157" s="13">
        <f t="shared" si="410"/>
        <v>0.13279000000000002</v>
      </c>
      <c r="O1157">
        <f t="shared" si="398"/>
        <v>670.63</v>
      </c>
      <c r="P1157" s="56">
        <f>VLOOKUP(EOMONTH(A1157,-1),Economic!A:I,7,FALSE)</f>
        <v>665407</v>
      </c>
      <c r="Q1157" s="13">
        <f t="shared" si="399"/>
        <v>0.1008</v>
      </c>
      <c r="R1157" s="41">
        <v>0.62</v>
      </c>
      <c r="S1157">
        <f t="shared" si="400"/>
        <v>0.47</v>
      </c>
      <c r="T1157" s="30">
        <f t="shared" si="401"/>
        <v>149.82</v>
      </c>
      <c r="U1157" s="30">
        <f t="shared" si="408"/>
        <v>152.05000000000001</v>
      </c>
    </row>
    <row r="1158" spans="1:21" ht="15" customHeight="1" x14ac:dyDescent="0.25">
      <c r="A1158" s="5">
        <v>35239</v>
      </c>
      <c r="B1158" s="5">
        <f t="shared" si="402"/>
        <v>35246</v>
      </c>
      <c r="C1158">
        <v>666.84</v>
      </c>
      <c r="D1158" s="29">
        <f t="shared" si="403"/>
        <v>-7.1999999999999998E-3</v>
      </c>
      <c r="E1158" s="39">
        <f t="shared" si="404"/>
        <v>657.91230769230776</v>
      </c>
      <c r="F1158" s="39">
        <f t="shared" si="405"/>
        <v>629.34846153846172</v>
      </c>
      <c r="G1158" s="29">
        <f t="shared" si="411"/>
        <v>1.3599999999999999E-2</v>
      </c>
      <c r="H1158" s="29">
        <f t="shared" si="411"/>
        <v>5.96E-2</v>
      </c>
      <c r="I1158">
        <f t="shared" si="406"/>
        <v>666.84</v>
      </c>
      <c r="J1158">
        <f>IF(A1158&gt;=Quarterly!B$2,Quarterly!C$2,IF(COUNTIFS(Quarterly!B:B,"&gt;="&amp;A1158-92,Quarterly!B:B,"&lt;="&amp;A1158)&gt;1,SUMIFS(Quarterly!C:C,Quarterly!B:B,"&gt;="&amp;A1158-88,Quarterly!B:B,"&lt;="&amp;A1158),SUMIFS(Quarterly!C:C,Quarterly!B:B,"&gt;="&amp;A1158-92,Quarterly!B:B,"&lt;="&amp;A1158)))</f>
        <v>7893.1</v>
      </c>
      <c r="K1158" s="13">
        <f t="shared" si="407"/>
        <v>8.4500000000000006E-2</v>
      </c>
      <c r="L1158">
        <f t="shared" si="409"/>
        <v>666.84</v>
      </c>
      <c r="M1158">
        <f>IF(A1158&gt;=Quarterly!B$2,Quarterly!D$2,IF(COUNTIFS(Quarterly!B:B,"&gt;="&amp;A1158-92,Quarterly!B:B,"&lt;="&amp;A1158)&gt;1,SUMIFS(Quarterly!D:D,Quarterly!B:B,"&gt;="&amp;A1158-88,Quarterly!B:B,"&lt;="&amp;A1158),SUMIFS(Quarterly!D:D,Quarterly!B:B,"&gt;="&amp;A1158-92,Quarterly!B:B,"&lt;="&amp;A1158)))</f>
        <v>505.03100000000001</v>
      </c>
      <c r="N1158" s="13">
        <f t="shared" si="410"/>
        <v>0.13204000000000002</v>
      </c>
      <c r="O1158">
        <f t="shared" ref="O1158:O1221" si="412">C1158</f>
        <v>666.84</v>
      </c>
      <c r="P1158" s="56">
        <f>VLOOKUP(EOMONTH(A1158,-1),Economic!A:I,7,FALSE)</f>
        <v>665407</v>
      </c>
      <c r="Q1158" s="13">
        <f t="shared" ref="Q1158:Q1221" si="413">ROUND(O1158/P1158,6)*100</f>
        <v>0.10020000000000001</v>
      </c>
      <c r="R1158" s="41">
        <v>0.61</v>
      </c>
      <c r="S1158">
        <f t="shared" ref="S1158:S1221" si="414">R1219</f>
        <v>0.56999999999999995</v>
      </c>
      <c r="T1158" s="30">
        <f t="shared" ref="T1158:T1221" si="415">IF((ROUND((S1158*40)+(G1158*350)-(H1158*100)-((N1158-0.15)*350)-(((K1158*10.5)-1)*270)-(Q1158*100),2)+144)*0.8&lt;0,0,ROUND((ROUND((S1158*40)+(G1158*350)-(H1158*100)-((N1158-0.15)*350)-(((K1158*10.5)-1)*270)-(Q1158*100),2)+144)*0.8,2))</f>
        <v>153.85</v>
      </c>
      <c r="U1158" s="30">
        <f t="shared" si="408"/>
        <v>152.37</v>
      </c>
    </row>
    <row r="1159" spans="1:21" ht="15" customHeight="1" x14ac:dyDescent="0.25">
      <c r="A1159" s="5">
        <v>35232</v>
      </c>
      <c r="B1159" s="5">
        <f t="shared" si="402"/>
        <v>35246</v>
      </c>
      <c r="C1159">
        <v>665.85</v>
      </c>
      <c r="D1159" s="29">
        <f t="shared" si="403"/>
        <v>-9.7999999999999997E-3</v>
      </c>
      <c r="E1159" s="39">
        <f t="shared" si="404"/>
        <v>656.66461538461533</v>
      </c>
      <c r="F1159" s="39">
        <f t="shared" si="405"/>
        <v>627.16615384615397</v>
      </c>
      <c r="G1159" s="29">
        <f t="shared" si="411"/>
        <v>1.4E-2</v>
      </c>
      <c r="H1159" s="29">
        <f t="shared" si="411"/>
        <v>6.1699999999999998E-2</v>
      </c>
      <c r="I1159">
        <f t="shared" si="406"/>
        <v>665.85</v>
      </c>
      <c r="J1159">
        <f>IF(A1159&gt;=Quarterly!B$2,Quarterly!C$2,IF(COUNTIFS(Quarterly!B:B,"&gt;="&amp;A1159-92,Quarterly!B:B,"&lt;="&amp;A1159)&gt;1,SUMIFS(Quarterly!C:C,Quarterly!B:B,"&gt;="&amp;A1159-88,Quarterly!B:B,"&lt;="&amp;A1159),SUMIFS(Quarterly!C:C,Quarterly!B:B,"&gt;="&amp;A1159-92,Quarterly!B:B,"&lt;="&amp;A1159)))</f>
        <v>7893.1</v>
      </c>
      <c r="K1159" s="13">
        <f t="shared" si="407"/>
        <v>8.4400000000000003E-2</v>
      </c>
      <c r="L1159">
        <f t="shared" si="409"/>
        <v>665.85</v>
      </c>
      <c r="M1159">
        <f>IF(A1159&gt;=Quarterly!B$2,Quarterly!D$2,IF(COUNTIFS(Quarterly!B:B,"&gt;="&amp;A1159-92,Quarterly!B:B,"&lt;="&amp;A1159)&gt;1,SUMIFS(Quarterly!D:D,Quarterly!B:B,"&gt;="&amp;A1159-88,Quarterly!B:B,"&lt;="&amp;A1159),SUMIFS(Quarterly!D:D,Quarterly!B:B,"&gt;="&amp;A1159-92,Quarterly!B:B,"&lt;="&amp;A1159)))</f>
        <v>505.03100000000001</v>
      </c>
      <c r="N1159" s="13">
        <f t="shared" si="410"/>
        <v>0.13184000000000001</v>
      </c>
      <c r="O1159">
        <f t="shared" si="412"/>
        <v>665.85</v>
      </c>
      <c r="P1159" s="56">
        <f>VLOOKUP(EOMONTH(A1159,-1),Economic!A:I,7,FALSE)</f>
        <v>665407</v>
      </c>
      <c r="Q1159" s="13">
        <f t="shared" si="413"/>
        <v>0.10009999999999999</v>
      </c>
      <c r="R1159" s="41">
        <v>0.66</v>
      </c>
      <c r="S1159">
        <f t="shared" si="414"/>
        <v>0.52</v>
      </c>
      <c r="T1159" s="30">
        <f t="shared" si="415"/>
        <v>152.47999999999999</v>
      </c>
      <c r="U1159" s="30">
        <f t="shared" si="408"/>
        <v>151.09</v>
      </c>
    </row>
    <row r="1160" spans="1:21" ht="15" customHeight="1" x14ac:dyDescent="0.25">
      <c r="A1160" s="5">
        <v>35225</v>
      </c>
      <c r="B1160" s="5">
        <f t="shared" si="402"/>
        <v>35246</v>
      </c>
      <c r="C1160">
        <v>673.31</v>
      </c>
      <c r="D1160" s="29">
        <f t="shared" si="403"/>
        <v>9.1999999999999998E-3</v>
      </c>
      <c r="E1160" s="39">
        <f t="shared" si="404"/>
        <v>654.78615384615375</v>
      </c>
      <c r="F1160" s="39">
        <f t="shared" si="405"/>
        <v>625.05076923076933</v>
      </c>
      <c r="G1160" s="29">
        <f t="shared" si="411"/>
        <v>2.8299999999999999E-2</v>
      </c>
      <c r="H1160" s="29">
        <f t="shared" si="411"/>
        <v>7.7200000000000005E-2</v>
      </c>
      <c r="I1160">
        <f t="shared" si="406"/>
        <v>673.31</v>
      </c>
      <c r="J1160">
        <f>IF(A1160&gt;=Quarterly!B$2,Quarterly!C$2,IF(COUNTIFS(Quarterly!B:B,"&gt;="&amp;A1160-92,Quarterly!B:B,"&lt;="&amp;A1160)&gt;1,SUMIFS(Quarterly!C:C,Quarterly!B:B,"&gt;="&amp;A1160-88,Quarterly!B:B,"&lt;="&amp;A1160),SUMIFS(Quarterly!C:C,Quarterly!B:B,"&gt;="&amp;A1160-92,Quarterly!B:B,"&lt;="&amp;A1160)))</f>
        <v>7893.1</v>
      </c>
      <c r="K1160" s="13">
        <f t="shared" si="407"/>
        <v>8.5300000000000001E-2</v>
      </c>
      <c r="L1160">
        <f t="shared" si="409"/>
        <v>673.31</v>
      </c>
      <c r="M1160">
        <f>IF(A1160&gt;=Quarterly!B$2,Quarterly!D$2,IF(COUNTIFS(Quarterly!B:B,"&gt;="&amp;A1160-92,Quarterly!B:B,"&lt;="&amp;A1160)&gt;1,SUMIFS(Quarterly!D:D,Quarterly!B:B,"&gt;="&amp;A1160-88,Quarterly!B:B,"&lt;="&amp;A1160),SUMIFS(Quarterly!D:D,Quarterly!B:B,"&gt;="&amp;A1160-92,Quarterly!B:B,"&lt;="&amp;A1160)))</f>
        <v>505.03100000000001</v>
      </c>
      <c r="N1160" s="13">
        <f t="shared" si="410"/>
        <v>0.13331999999999999</v>
      </c>
      <c r="O1160">
        <f t="shared" si="412"/>
        <v>673.31</v>
      </c>
      <c r="P1160" s="56">
        <f>VLOOKUP(EOMONTH(A1160,-1),Economic!A:I,7,FALSE)</f>
        <v>665407</v>
      </c>
      <c r="Q1160" s="13">
        <f t="shared" si="413"/>
        <v>0.10120000000000001</v>
      </c>
      <c r="R1160" s="41">
        <v>0.53</v>
      </c>
      <c r="S1160">
        <f t="shared" si="414"/>
        <v>0.46</v>
      </c>
      <c r="T1160" s="30">
        <f t="shared" si="415"/>
        <v>150.78</v>
      </c>
      <c r="U1160" s="30">
        <f t="shared" si="408"/>
        <v>150.79</v>
      </c>
    </row>
    <row r="1161" spans="1:21" ht="15" customHeight="1" x14ac:dyDescent="0.25">
      <c r="A1161" s="5">
        <v>35218</v>
      </c>
      <c r="B1161" s="5">
        <f t="shared" si="402"/>
        <v>35246</v>
      </c>
      <c r="C1161">
        <v>669.12</v>
      </c>
      <c r="D1161" s="29">
        <f t="shared" si="403"/>
        <v>1.34E-2</v>
      </c>
      <c r="E1161" s="39">
        <f t="shared" si="404"/>
        <v>651.72384615384613</v>
      </c>
      <c r="F1161" s="39">
        <f t="shared" si="405"/>
        <v>622.47051282051291</v>
      </c>
      <c r="G1161" s="29">
        <f t="shared" si="411"/>
        <v>2.6700000000000002E-2</v>
      </c>
      <c r="H1161" s="29">
        <f t="shared" si="411"/>
        <v>7.4899999999999994E-2</v>
      </c>
      <c r="I1161">
        <f t="shared" si="406"/>
        <v>669.12</v>
      </c>
      <c r="J1161">
        <f>IF(A1161&gt;=Quarterly!B$2,Quarterly!C$2,IF(COUNTIFS(Quarterly!B:B,"&gt;="&amp;A1161-92,Quarterly!B:B,"&lt;="&amp;A1161)&gt;1,SUMIFS(Quarterly!C:C,Quarterly!B:B,"&gt;="&amp;A1161-88,Quarterly!B:B,"&lt;="&amp;A1161),SUMIFS(Quarterly!C:C,Quarterly!B:B,"&gt;="&amp;A1161-92,Quarterly!B:B,"&lt;="&amp;A1161)))</f>
        <v>7893.1</v>
      </c>
      <c r="K1161" s="13">
        <f t="shared" si="407"/>
        <v>8.48E-2</v>
      </c>
      <c r="L1161">
        <f t="shared" si="409"/>
        <v>669.12</v>
      </c>
      <c r="M1161">
        <f>IF(A1161&gt;=Quarterly!B$2,Quarterly!D$2,IF(COUNTIFS(Quarterly!B:B,"&gt;="&amp;A1161-92,Quarterly!B:B,"&lt;="&amp;A1161)&gt;1,SUMIFS(Quarterly!D:D,Quarterly!B:B,"&gt;="&amp;A1161-88,Quarterly!B:B,"&lt;="&amp;A1161),SUMIFS(Quarterly!D:D,Quarterly!B:B,"&gt;="&amp;A1161-92,Quarterly!B:B,"&lt;="&amp;A1161)))</f>
        <v>505.03100000000001</v>
      </c>
      <c r="N1161" s="13">
        <f t="shared" si="410"/>
        <v>0.13249</v>
      </c>
      <c r="O1161">
        <f t="shared" si="412"/>
        <v>669.12</v>
      </c>
      <c r="P1161" s="56">
        <f>VLOOKUP(EOMONTH(A1161,-1),Economic!A:I,7,FALSE)</f>
        <v>665407</v>
      </c>
      <c r="Q1161" s="13">
        <f t="shared" si="413"/>
        <v>0.10059999999999999</v>
      </c>
      <c r="R1161" s="41">
        <v>0.57999999999999996</v>
      </c>
      <c r="S1161">
        <f t="shared" si="414"/>
        <v>0.4</v>
      </c>
      <c r="T1161" s="30">
        <f t="shared" si="415"/>
        <v>150.02000000000001</v>
      </c>
      <c r="U1161" s="30">
        <f t="shared" si="408"/>
        <v>151.16</v>
      </c>
    </row>
    <row r="1162" spans="1:21" ht="15" customHeight="1" x14ac:dyDescent="0.25">
      <c r="A1162" s="5">
        <v>35211</v>
      </c>
      <c r="B1162" s="5">
        <f t="shared" si="402"/>
        <v>35216</v>
      </c>
      <c r="C1162">
        <v>678.51</v>
      </c>
      <c r="D1162" s="29">
        <f t="shared" si="403"/>
        <v>3.7400000000000003E-2</v>
      </c>
      <c r="E1162" s="39">
        <f t="shared" si="404"/>
        <v>649.82000000000016</v>
      </c>
      <c r="F1162" s="39">
        <f t="shared" si="405"/>
        <v>619.77102564102574</v>
      </c>
      <c r="G1162" s="29">
        <f t="shared" si="411"/>
        <v>4.4200000000000003E-2</v>
      </c>
      <c r="H1162" s="29">
        <f t="shared" si="411"/>
        <v>9.4799999999999995E-2</v>
      </c>
      <c r="I1162">
        <f t="shared" si="406"/>
        <v>678.51</v>
      </c>
      <c r="J1162">
        <f>IF(A1162&gt;=Quarterly!B$2,Quarterly!C$2,IF(COUNTIFS(Quarterly!B:B,"&gt;="&amp;A1162-92,Quarterly!B:B,"&lt;="&amp;A1162)&gt;1,SUMIFS(Quarterly!C:C,Quarterly!B:B,"&gt;="&amp;A1162-88,Quarterly!B:B,"&lt;="&amp;A1162),SUMIFS(Quarterly!C:C,Quarterly!B:B,"&gt;="&amp;A1162-92,Quarterly!B:B,"&lt;="&amp;A1162)))</f>
        <v>7893.1</v>
      </c>
      <c r="K1162" s="13">
        <f t="shared" si="407"/>
        <v>8.5999999999999993E-2</v>
      </c>
      <c r="L1162">
        <f t="shared" si="409"/>
        <v>678.51</v>
      </c>
      <c r="M1162">
        <f>IF(A1162&gt;=Quarterly!B$2,Quarterly!D$2,IF(COUNTIFS(Quarterly!B:B,"&gt;="&amp;A1162-92,Quarterly!B:B,"&lt;="&amp;A1162)&gt;1,SUMIFS(Quarterly!D:D,Quarterly!B:B,"&gt;="&amp;A1162-88,Quarterly!B:B,"&lt;="&amp;A1162),SUMIFS(Quarterly!D:D,Quarterly!B:B,"&gt;="&amp;A1162-92,Quarterly!B:B,"&lt;="&amp;A1162)))</f>
        <v>505.03100000000001</v>
      </c>
      <c r="N1162" s="13">
        <f t="shared" si="410"/>
        <v>0.13435</v>
      </c>
      <c r="O1162">
        <f t="shared" si="412"/>
        <v>678.51</v>
      </c>
      <c r="P1162" s="56">
        <f>VLOOKUP(EOMONTH(A1162,-1),Economic!A:I,7,FALSE)</f>
        <v>666157</v>
      </c>
      <c r="Q1162" s="13">
        <f t="shared" si="413"/>
        <v>0.10189999999999999</v>
      </c>
      <c r="R1162" s="41">
        <v>0.62</v>
      </c>
      <c r="S1162">
        <f t="shared" si="414"/>
        <v>0.45</v>
      </c>
      <c r="T1162" s="30">
        <f t="shared" si="415"/>
        <v>151.58000000000001</v>
      </c>
      <c r="U1162" s="30">
        <f t="shared" si="408"/>
        <v>151.83000000000001</v>
      </c>
    </row>
    <row r="1163" spans="1:21" ht="15" customHeight="1" x14ac:dyDescent="0.25">
      <c r="A1163" s="5">
        <v>35204</v>
      </c>
      <c r="B1163" s="5">
        <f t="shared" si="402"/>
        <v>35216</v>
      </c>
      <c r="C1163">
        <v>668.91</v>
      </c>
      <c r="D1163" s="29">
        <f t="shared" si="403"/>
        <v>3.2199999999999999E-2</v>
      </c>
      <c r="E1163" s="39">
        <f t="shared" si="404"/>
        <v>648.32538461538468</v>
      </c>
      <c r="F1163" s="39">
        <f t="shared" si="405"/>
        <v>616.73487179487188</v>
      </c>
      <c r="G1163" s="29">
        <f t="shared" si="411"/>
        <v>3.1800000000000002E-2</v>
      </c>
      <c r="H1163" s="29">
        <f t="shared" si="411"/>
        <v>8.4599999999999995E-2</v>
      </c>
      <c r="I1163">
        <f t="shared" si="406"/>
        <v>668.91</v>
      </c>
      <c r="J1163">
        <f>IF(A1163&gt;=Quarterly!B$2,Quarterly!C$2,IF(COUNTIFS(Quarterly!B:B,"&gt;="&amp;A1163-92,Quarterly!B:B,"&lt;="&amp;A1163)&gt;1,SUMIFS(Quarterly!C:C,Quarterly!B:B,"&gt;="&amp;A1163-88,Quarterly!B:B,"&lt;="&amp;A1163),SUMIFS(Quarterly!C:C,Quarterly!B:B,"&gt;="&amp;A1163-92,Quarterly!B:B,"&lt;="&amp;A1163)))</f>
        <v>7893.1</v>
      </c>
      <c r="K1163" s="13">
        <f t="shared" si="407"/>
        <v>8.4699999999999998E-2</v>
      </c>
      <c r="L1163">
        <f t="shared" si="409"/>
        <v>668.91</v>
      </c>
      <c r="M1163">
        <f>IF(A1163&gt;=Quarterly!B$2,Quarterly!D$2,IF(COUNTIFS(Quarterly!B:B,"&gt;="&amp;A1163-92,Quarterly!B:B,"&lt;="&amp;A1163)&gt;1,SUMIFS(Quarterly!D:D,Quarterly!B:B,"&gt;="&amp;A1163-88,Quarterly!B:B,"&lt;="&amp;A1163),SUMIFS(Quarterly!D:D,Quarterly!B:B,"&gt;="&amp;A1163-92,Quarterly!B:B,"&lt;="&amp;A1163)))</f>
        <v>505.03100000000001</v>
      </c>
      <c r="N1163" s="13">
        <f t="shared" si="410"/>
        <v>0.13245000000000001</v>
      </c>
      <c r="O1163">
        <f t="shared" si="412"/>
        <v>668.91</v>
      </c>
      <c r="P1163" s="56">
        <f>VLOOKUP(EOMONTH(A1163,-1),Economic!A:I,7,FALSE)</f>
        <v>666157</v>
      </c>
      <c r="Q1163" s="13">
        <f t="shared" si="413"/>
        <v>0.10039999999999999</v>
      </c>
      <c r="R1163" s="41">
        <v>0.61</v>
      </c>
      <c r="S1163">
        <f t="shared" si="414"/>
        <v>0.43</v>
      </c>
      <c r="T1163" s="30">
        <f t="shared" si="415"/>
        <v>151.88</v>
      </c>
      <c r="U1163" s="30">
        <f t="shared" si="408"/>
        <v>152.72</v>
      </c>
    </row>
    <row r="1164" spans="1:21" ht="15" customHeight="1" x14ac:dyDescent="0.25">
      <c r="A1164" s="5">
        <v>35197</v>
      </c>
      <c r="B1164" s="5">
        <f t="shared" si="402"/>
        <v>35216</v>
      </c>
      <c r="C1164">
        <v>652.09</v>
      </c>
      <c r="D1164" s="29">
        <f t="shared" si="403"/>
        <v>1.2200000000000001E-2</v>
      </c>
      <c r="E1164" s="39">
        <f t="shared" si="404"/>
        <v>646.71538461538455</v>
      </c>
      <c r="F1164" s="39">
        <f t="shared" si="405"/>
        <v>613.92205128205126</v>
      </c>
      <c r="G1164" s="29">
        <f t="shared" si="411"/>
        <v>8.3000000000000001E-3</v>
      </c>
      <c r="H1164" s="29">
        <f t="shared" si="411"/>
        <v>6.2199999999999998E-2</v>
      </c>
      <c r="I1164">
        <f t="shared" si="406"/>
        <v>652.09</v>
      </c>
      <c r="J1164">
        <f>IF(A1164&gt;=Quarterly!B$2,Quarterly!C$2,IF(COUNTIFS(Quarterly!B:B,"&gt;="&amp;A1164-92,Quarterly!B:B,"&lt;="&amp;A1164)&gt;1,SUMIFS(Quarterly!C:C,Quarterly!B:B,"&gt;="&amp;A1164-88,Quarterly!B:B,"&lt;="&amp;A1164),SUMIFS(Quarterly!C:C,Quarterly!B:B,"&gt;="&amp;A1164-92,Quarterly!B:B,"&lt;="&amp;A1164)))</f>
        <v>7893.1</v>
      </c>
      <c r="K1164" s="13">
        <f t="shared" si="407"/>
        <v>8.2600000000000007E-2</v>
      </c>
      <c r="L1164">
        <f t="shared" si="409"/>
        <v>652.09</v>
      </c>
      <c r="M1164">
        <f>IF(A1164&gt;=Quarterly!B$2,Quarterly!D$2,IF(COUNTIFS(Quarterly!B:B,"&gt;="&amp;A1164-92,Quarterly!B:B,"&lt;="&amp;A1164)&gt;1,SUMIFS(Quarterly!D:D,Quarterly!B:B,"&gt;="&amp;A1164-88,Quarterly!B:B,"&lt;="&amp;A1164),SUMIFS(Quarterly!D:D,Quarterly!B:B,"&gt;="&amp;A1164-92,Quarterly!B:B,"&lt;="&amp;A1164)))</f>
        <v>505.03100000000001</v>
      </c>
      <c r="N1164" s="13">
        <f t="shared" si="410"/>
        <v>0.12911999999999998</v>
      </c>
      <c r="O1164">
        <f t="shared" si="412"/>
        <v>652.09</v>
      </c>
      <c r="P1164" s="56">
        <f>VLOOKUP(EOMONTH(A1164,-1),Economic!A:I,7,FALSE)</f>
        <v>666157</v>
      </c>
      <c r="Q1164" s="13">
        <f t="shared" si="413"/>
        <v>9.7900000000000001E-2</v>
      </c>
      <c r="R1164" s="41">
        <v>0.71</v>
      </c>
      <c r="S1164">
        <f t="shared" si="414"/>
        <v>0.4</v>
      </c>
      <c r="T1164" s="30">
        <f t="shared" si="415"/>
        <v>152.02000000000001</v>
      </c>
      <c r="U1164" s="30">
        <f t="shared" si="408"/>
        <v>151.63999999999999</v>
      </c>
    </row>
    <row r="1165" spans="1:21" ht="15" customHeight="1" x14ac:dyDescent="0.25">
      <c r="A1165" s="5">
        <v>35190</v>
      </c>
      <c r="B1165" s="5">
        <f t="shared" si="402"/>
        <v>35216</v>
      </c>
      <c r="C1165">
        <v>641.63</v>
      </c>
      <c r="D1165" s="29">
        <f t="shared" si="403"/>
        <v>-9.4999999999999998E-3</v>
      </c>
      <c r="E1165" s="39">
        <f t="shared" si="404"/>
        <v>647.04461538461555</v>
      </c>
      <c r="F1165" s="39">
        <f t="shared" si="405"/>
        <v>611.43538461538458</v>
      </c>
      <c r="G1165" s="29">
        <f t="shared" si="411"/>
        <v>-8.3999999999999995E-3</v>
      </c>
      <c r="H1165" s="29">
        <f t="shared" si="411"/>
        <v>4.9399999999999999E-2</v>
      </c>
      <c r="I1165">
        <f t="shared" si="406"/>
        <v>641.63</v>
      </c>
      <c r="J1165">
        <f>IF(A1165&gt;=Quarterly!B$2,Quarterly!C$2,IF(COUNTIFS(Quarterly!B:B,"&gt;="&amp;A1165-92,Quarterly!B:B,"&lt;="&amp;A1165)&gt;1,SUMIFS(Quarterly!C:C,Quarterly!B:B,"&gt;="&amp;A1165-88,Quarterly!B:B,"&lt;="&amp;A1165),SUMIFS(Quarterly!C:C,Quarterly!B:B,"&gt;="&amp;A1165-92,Quarterly!B:B,"&lt;="&amp;A1165)))</f>
        <v>7893.1</v>
      </c>
      <c r="K1165" s="13">
        <f t="shared" si="407"/>
        <v>8.1299999999999997E-2</v>
      </c>
      <c r="L1165">
        <f t="shared" si="409"/>
        <v>641.63</v>
      </c>
      <c r="M1165">
        <f>IF(A1165&gt;=Quarterly!B$2,Quarterly!D$2,IF(COUNTIFS(Quarterly!B:B,"&gt;="&amp;A1165-92,Quarterly!B:B,"&lt;="&amp;A1165)&gt;1,SUMIFS(Quarterly!D:D,Quarterly!B:B,"&gt;="&amp;A1165-88,Quarterly!B:B,"&lt;="&amp;A1165),SUMIFS(Quarterly!D:D,Quarterly!B:B,"&gt;="&amp;A1165-92,Quarterly!B:B,"&lt;="&amp;A1165)))</f>
        <v>505.03100000000001</v>
      </c>
      <c r="N1165" s="13">
        <f t="shared" si="410"/>
        <v>0.12705</v>
      </c>
      <c r="O1165">
        <f t="shared" si="412"/>
        <v>641.63</v>
      </c>
      <c r="P1165" s="56">
        <f>VLOOKUP(EOMONTH(A1165,-1),Economic!A:I,7,FALSE)</f>
        <v>666157</v>
      </c>
      <c r="Q1165" s="13">
        <f t="shared" si="413"/>
        <v>9.6299999999999997E-2</v>
      </c>
      <c r="R1165" s="41">
        <v>0.7</v>
      </c>
      <c r="S1165">
        <f t="shared" si="414"/>
        <v>0.47</v>
      </c>
      <c r="T1165" s="30">
        <f t="shared" si="415"/>
        <v>154.27000000000001</v>
      </c>
      <c r="U1165" s="30">
        <f t="shared" si="408"/>
        <v>150.09</v>
      </c>
    </row>
    <row r="1166" spans="1:21" ht="15" customHeight="1" x14ac:dyDescent="0.25">
      <c r="A1166" s="5">
        <v>35183</v>
      </c>
      <c r="B1166" s="5">
        <f t="shared" si="402"/>
        <v>35185</v>
      </c>
      <c r="C1166">
        <v>653.46</v>
      </c>
      <c r="D1166" s="29">
        <f t="shared" si="403"/>
        <v>1.1900000000000001E-2</v>
      </c>
      <c r="E1166" s="39">
        <f t="shared" si="404"/>
        <v>646.59923076923064</v>
      </c>
      <c r="F1166" s="39">
        <f t="shared" si="405"/>
        <v>609.31512820512808</v>
      </c>
      <c r="G1166" s="29">
        <f t="shared" si="411"/>
        <v>1.06E-2</v>
      </c>
      <c r="H1166" s="29">
        <f t="shared" si="411"/>
        <v>7.2400000000000006E-2</v>
      </c>
      <c r="I1166">
        <f t="shared" si="406"/>
        <v>653.46</v>
      </c>
      <c r="J1166">
        <f>IF(A1166&gt;=Quarterly!B$2,Quarterly!C$2,IF(COUNTIFS(Quarterly!B:B,"&gt;="&amp;A1166-92,Quarterly!B:B,"&lt;="&amp;A1166)&gt;1,SUMIFS(Quarterly!C:C,Quarterly!B:B,"&gt;="&amp;A1166-88,Quarterly!B:B,"&lt;="&amp;A1166),SUMIFS(Quarterly!C:C,Quarterly!B:B,"&gt;="&amp;A1166-92,Quarterly!B:B,"&lt;="&amp;A1166)))</f>
        <v>7799.5</v>
      </c>
      <c r="K1166" s="13">
        <f t="shared" si="407"/>
        <v>8.3799999999999999E-2</v>
      </c>
      <c r="L1166">
        <f t="shared" si="409"/>
        <v>653.46</v>
      </c>
      <c r="M1166">
        <f>IF(A1166&gt;=Quarterly!B$2,Quarterly!D$2,IF(COUNTIFS(Quarterly!B:B,"&gt;="&amp;A1166-92,Quarterly!B:B,"&lt;="&amp;A1166)&gt;1,SUMIFS(Quarterly!D:D,Quarterly!B:B,"&gt;="&amp;A1166-88,Quarterly!B:B,"&lt;="&amp;A1166),SUMIFS(Quarterly!D:D,Quarterly!B:B,"&gt;="&amp;A1166-92,Quarterly!B:B,"&lt;="&amp;A1166)))</f>
        <v>482.33699999999999</v>
      </c>
      <c r="N1166" s="13">
        <f t="shared" si="410"/>
        <v>0.13548000000000002</v>
      </c>
      <c r="O1166">
        <f t="shared" si="412"/>
        <v>653.46</v>
      </c>
      <c r="P1166" s="56">
        <f>VLOOKUP(EOMONTH(A1166,-1),Economic!A:I,7,FALSE)</f>
        <v>668090</v>
      </c>
      <c r="Q1166" s="13">
        <f t="shared" si="413"/>
        <v>9.7799999999999998E-2</v>
      </c>
      <c r="R1166" s="41">
        <v>0.62</v>
      </c>
      <c r="S1166">
        <f t="shared" si="414"/>
        <v>0.44</v>
      </c>
      <c r="T1166" s="30">
        <f t="shared" si="415"/>
        <v>148.63999999999999</v>
      </c>
      <c r="U1166" s="30">
        <f t="shared" si="408"/>
        <v>147.49</v>
      </c>
    </row>
    <row r="1167" spans="1:21" ht="15" customHeight="1" x14ac:dyDescent="0.25">
      <c r="A1167" s="5">
        <v>35176</v>
      </c>
      <c r="B1167" s="5">
        <f t="shared" si="402"/>
        <v>35185</v>
      </c>
      <c r="C1167">
        <v>645.07000000000005</v>
      </c>
      <c r="D1167" s="29">
        <f t="shared" si="403"/>
        <v>-3.2000000000000002E-3</v>
      </c>
      <c r="E1167" s="39">
        <f t="shared" si="404"/>
        <v>644.15000000000009</v>
      </c>
      <c r="F1167" s="39">
        <f t="shared" si="405"/>
        <v>606.99384615384599</v>
      </c>
      <c r="G1167" s="29">
        <f t="shared" si="411"/>
        <v>1.4E-3</v>
      </c>
      <c r="H1167" s="29">
        <f t="shared" si="411"/>
        <v>6.2700000000000006E-2</v>
      </c>
      <c r="I1167">
        <f t="shared" si="406"/>
        <v>645.07000000000005</v>
      </c>
      <c r="J1167">
        <f>IF(A1167&gt;=Quarterly!B$2,Quarterly!C$2,IF(COUNTIFS(Quarterly!B:B,"&gt;="&amp;A1167-92,Quarterly!B:B,"&lt;="&amp;A1167)&gt;1,SUMIFS(Quarterly!C:C,Quarterly!B:B,"&gt;="&amp;A1167-88,Quarterly!B:B,"&lt;="&amp;A1167),SUMIFS(Quarterly!C:C,Quarterly!B:B,"&gt;="&amp;A1167-92,Quarterly!B:B,"&lt;="&amp;A1167)))</f>
        <v>7799.5</v>
      </c>
      <c r="K1167" s="13">
        <f t="shared" si="407"/>
        <v>8.2699999999999996E-2</v>
      </c>
      <c r="L1167">
        <f t="shared" si="409"/>
        <v>645.07000000000005</v>
      </c>
      <c r="M1167">
        <f>IF(A1167&gt;=Quarterly!B$2,Quarterly!D$2,IF(COUNTIFS(Quarterly!B:B,"&gt;="&amp;A1167-92,Quarterly!B:B,"&lt;="&amp;A1167)&gt;1,SUMIFS(Quarterly!D:D,Quarterly!B:B,"&gt;="&amp;A1167-88,Quarterly!B:B,"&lt;="&amp;A1167),SUMIFS(Quarterly!D:D,Quarterly!B:B,"&gt;="&amp;A1167-92,Quarterly!B:B,"&lt;="&amp;A1167)))</f>
        <v>482.33699999999999</v>
      </c>
      <c r="N1167" s="13">
        <f t="shared" si="410"/>
        <v>0.13374</v>
      </c>
      <c r="O1167">
        <f t="shared" si="412"/>
        <v>645.07000000000005</v>
      </c>
      <c r="P1167" s="56">
        <f>VLOOKUP(EOMONTH(A1167,-1),Economic!A:I,7,FALSE)</f>
        <v>668090</v>
      </c>
      <c r="Q1167" s="13">
        <f t="shared" si="413"/>
        <v>9.6599999999999991E-2</v>
      </c>
      <c r="R1167" s="41">
        <v>0.57999999999999996</v>
      </c>
      <c r="S1167">
        <f t="shared" si="414"/>
        <v>0.36</v>
      </c>
      <c r="T1167" s="30">
        <f t="shared" si="415"/>
        <v>147.36000000000001</v>
      </c>
      <c r="U1167" s="30">
        <f t="shared" si="408"/>
        <v>147.31</v>
      </c>
    </row>
    <row r="1168" spans="1:21" ht="15" customHeight="1" x14ac:dyDescent="0.25">
      <c r="A1168" s="5">
        <v>35169</v>
      </c>
      <c r="B1168" s="5">
        <f t="shared" si="402"/>
        <v>35185</v>
      </c>
      <c r="C1168">
        <v>636.71</v>
      </c>
      <c r="D1168" s="29">
        <f t="shared" si="403"/>
        <v>-1.7999999999999999E-2</v>
      </c>
      <c r="E1168" s="39">
        <f t="shared" si="404"/>
        <v>641.59307692307686</v>
      </c>
      <c r="F1168" s="39">
        <f t="shared" si="405"/>
        <v>604.64897435897421</v>
      </c>
      <c r="G1168" s="29">
        <f t="shared" si="411"/>
        <v>-7.6E-3</v>
      </c>
      <c r="H1168" s="29">
        <f t="shared" si="411"/>
        <v>5.2999999999999999E-2</v>
      </c>
      <c r="I1168">
        <f t="shared" si="406"/>
        <v>636.71</v>
      </c>
      <c r="J1168">
        <f>IF(A1168&gt;=Quarterly!B$2,Quarterly!C$2,IF(COUNTIFS(Quarterly!B:B,"&gt;="&amp;A1168-92,Quarterly!B:B,"&lt;="&amp;A1168)&gt;1,SUMIFS(Quarterly!C:C,Quarterly!B:B,"&gt;="&amp;A1168-88,Quarterly!B:B,"&lt;="&amp;A1168),SUMIFS(Quarterly!C:C,Quarterly!B:B,"&gt;="&amp;A1168-92,Quarterly!B:B,"&lt;="&amp;A1168)))</f>
        <v>7799.5</v>
      </c>
      <c r="K1168" s="13">
        <f t="shared" si="407"/>
        <v>8.1600000000000006E-2</v>
      </c>
      <c r="L1168">
        <f t="shared" si="409"/>
        <v>636.71</v>
      </c>
      <c r="M1168">
        <f>IF(A1168&gt;=Quarterly!B$2,Quarterly!D$2,IF(COUNTIFS(Quarterly!B:B,"&gt;="&amp;A1168-92,Quarterly!B:B,"&lt;="&amp;A1168)&gt;1,SUMIFS(Quarterly!D:D,Quarterly!B:B,"&gt;="&amp;A1168-88,Quarterly!B:B,"&lt;="&amp;A1168),SUMIFS(Quarterly!D:D,Quarterly!B:B,"&gt;="&amp;A1168-92,Quarterly!B:B,"&lt;="&amp;A1168)))</f>
        <v>482.33699999999999</v>
      </c>
      <c r="N1168" s="13">
        <f t="shared" si="410"/>
        <v>0.13201000000000002</v>
      </c>
      <c r="O1168">
        <f t="shared" si="412"/>
        <v>636.71</v>
      </c>
      <c r="P1168" s="56">
        <f>VLOOKUP(EOMONTH(A1168,-1),Economic!A:I,7,FALSE)</f>
        <v>668090</v>
      </c>
      <c r="Q1168" s="13">
        <f t="shared" si="413"/>
        <v>9.5299999999999996E-2</v>
      </c>
      <c r="R1168" s="41">
        <v>0.56000000000000005</v>
      </c>
      <c r="S1168">
        <f t="shared" si="414"/>
        <v>0.28999999999999998</v>
      </c>
      <c r="T1168" s="30">
        <f t="shared" si="415"/>
        <v>146.46</v>
      </c>
      <c r="U1168" s="30">
        <f t="shared" si="408"/>
        <v>148.27000000000001</v>
      </c>
    </row>
    <row r="1169" spans="1:21" ht="15" customHeight="1" x14ac:dyDescent="0.25">
      <c r="A1169" s="5">
        <v>35162</v>
      </c>
      <c r="B1169" s="5">
        <f t="shared" si="402"/>
        <v>35185</v>
      </c>
      <c r="C1169">
        <v>655.86</v>
      </c>
      <c r="D1169" s="29">
        <f t="shared" si="403"/>
        <v>2.0400000000000001E-2</v>
      </c>
      <c r="E1169" s="39">
        <f t="shared" si="404"/>
        <v>638.90846153846155</v>
      </c>
      <c r="F1169" s="39">
        <f t="shared" si="405"/>
        <v>602.67923076923057</v>
      </c>
      <c r="G1169" s="29">
        <f t="shared" si="411"/>
        <v>2.6499999999999999E-2</v>
      </c>
      <c r="H1169" s="29">
        <f t="shared" si="411"/>
        <v>8.8200000000000001E-2</v>
      </c>
      <c r="I1169">
        <f t="shared" si="406"/>
        <v>655.86</v>
      </c>
      <c r="J1169">
        <f>IF(A1169&gt;=Quarterly!B$2,Quarterly!C$2,IF(COUNTIFS(Quarterly!B:B,"&gt;="&amp;A1169-92,Quarterly!B:B,"&lt;="&amp;A1169)&gt;1,SUMIFS(Quarterly!C:C,Quarterly!B:B,"&gt;="&amp;A1169-88,Quarterly!B:B,"&lt;="&amp;A1169),SUMIFS(Quarterly!C:C,Quarterly!B:B,"&gt;="&amp;A1169-92,Quarterly!B:B,"&lt;="&amp;A1169)))</f>
        <v>7799.5</v>
      </c>
      <c r="K1169" s="13">
        <f t="shared" si="407"/>
        <v>8.4099999999999994E-2</v>
      </c>
      <c r="L1169">
        <f t="shared" si="409"/>
        <v>655.86</v>
      </c>
      <c r="M1169">
        <f>IF(A1169&gt;=Quarterly!B$2,Quarterly!D$2,IF(COUNTIFS(Quarterly!B:B,"&gt;="&amp;A1169-92,Quarterly!B:B,"&lt;="&amp;A1169)&gt;1,SUMIFS(Quarterly!D:D,Quarterly!B:B,"&gt;="&amp;A1169-88,Quarterly!B:B,"&lt;="&amp;A1169),SUMIFS(Quarterly!D:D,Quarterly!B:B,"&gt;="&amp;A1169-92,Quarterly!B:B,"&lt;="&amp;A1169)))</f>
        <v>482.33699999999999</v>
      </c>
      <c r="N1169" s="13">
        <f t="shared" si="410"/>
        <v>0.13597999999999999</v>
      </c>
      <c r="O1169">
        <f t="shared" si="412"/>
        <v>655.86</v>
      </c>
      <c r="P1169" s="56">
        <f>VLOOKUP(EOMONTH(A1169,-1),Economic!A:I,7,FALSE)</f>
        <v>668090</v>
      </c>
      <c r="Q1169" s="13">
        <f t="shared" si="413"/>
        <v>9.8199999999999996E-2</v>
      </c>
      <c r="R1169" s="41">
        <v>0.48</v>
      </c>
      <c r="S1169">
        <f t="shared" si="414"/>
        <v>0.35</v>
      </c>
      <c r="T1169" s="30">
        <f t="shared" si="415"/>
        <v>148.1</v>
      </c>
      <c r="U1169" s="30">
        <f t="shared" si="408"/>
        <v>149.16</v>
      </c>
    </row>
    <row r="1170" spans="1:21" ht="15" customHeight="1" x14ac:dyDescent="0.25">
      <c r="A1170" s="5">
        <v>35155</v>
      </c>
      <c r="B1170" s="5">
        <f t="shared" ref="B1170:B1233" si="416">EOMONTH(A1170,0)</f>
        <v>35155</v>
      </c>
      <c r="C1170">
        <v>645.5</v>
      </c>
      <c r="D1170" s="29">
        <f t="shared" ref="D1170:D1233" si="417">ROUND((C1170-AVERAGE(C1171:C1174))/AVERAGE(C1171:C1174),4)</f>
        <v>4.7000000000000002E-3</v>
      </c>
      <c r="E1170" s="39">
        <f t="shared" ref="E1170:E1233" si="418">AVERAGE(C1170:C1182)</f>
        <v>635.89692307692303</v>
      </c>
      <c r="F1170" s="39">
        <f t="shared" ref="F1170:F1233" si="419">AVERAGE(C1170:C1208)</f>
        <v>600.12820512820497</v>
      </c>
      <c r="G1170" s="29">
        <f t="shared" si="411"/>
        <v>1.5100000000000001E-2</v>
      </c>
      <c r="H1170" s="29">
        <f t="shared" si="411"/>
        <v>7.5600000000000001E-2</v>
      </c>
      <c r="I1170">
        <f t="shared" ref="I1170:I1233" si="420">C1170</f>
        <v>645.5</v>
      </c>
      <c r="J1170">
        <f>IF(A1170&gt;=Quarterly!B$2,Quarterly!C$2,IF(COUNTIFS(Quarterly!B:B,"&gt;="&amp;A1170-92,Quarterly!B:B,"&lt;="&amp;A1170)&gt;1,SUMIFS(Quarterly!C:C,Quarterly!B:B,"&gt;="&amp;A1170-88,Quarterly!B:B,"&lt;="&amp;A1170),SUMIFS(Quarterly!C:C,Quarterly!B:B,"&gt;="&amp;A1170-92,Quarterly!B:B,"&lt;="&amp;A1170)))</f>
        <v>7799.5</v>
      </c>
      <c r="K1170" s="13">
        <f t="shared" ref="K1170:K1233" si="421">ROUND(I1170/J1170,4)</f>
        <v>8.2799999999999999E-2</v>
      </c>
      <c r="L1170">
        <f t="shared" si="409"/>
        <v>645.5</v>
      </c>
      <c r="M1170">
        <f>IF(A1170&gt;=Quarterly!B$2,Quarterly!D$2,IF(COUNTIFS(Quarterly!B:B,"&gt;="&amp;A1170-92,Quarterly!B:B,"&lt;="&amp;A1170)&gt;1,SUMIFS(Quarterly!D:D,Quarterly!B:B,"&gt;="&amp;A1170-88,Quarterly!B:B,"&lt;="&amp;A1170),SUMIFS(Quarterly!D:D,Quarterly!B:B,"&gt;="&amp;A1170-92,Quarterly!B:B,"&lt;="&amp;A1170)))</f>
        <v>482.33699999999999</v>
      </c>
      <c r="N1170" s="13">
        <f t="shared" si="410"/>
        <v>0.13383</v>
      </c>
      <c r="O1170">
        <f t="shared" si="412"/>
        <v>645.5</v>
      </c>
      <c r="P1170" s="56">
        <f>VLOOKUP(EOMONTH(A1170,-1),Economic!A:I,7,FALSE)</f>
        <v>668673</v>
      </c>
      <c r="Q1170" s="13">
        <f t="shared" si="413"/>
        <v>9.6500000000000002E-2</v>
      </c>
      <c r="R1170" s="41">
        <v>0.55000000000000004</v>
      </c>
      <c r="S1170">
        <f t="shared" si="414"/>
        <v>0.37</v>
      </c>
      <c r="T1170" s="30">
        <f t="shared" si="415"/>
        <v>150.24</v>
      </c>
      <c r="U1170" s="30">
        <f t="shared" ref="U1170:U1233" si="422">ROUND(AVERAGE(T1170:T1172),2)</f>
        <v>149.80000000000001</v>
      </c>
    </row>
    <row r="1171" spans="1:21" ht="15" customHeight="1" x14ac:dyDescent="0.25">
      <c r="A1171" s="5">
        <v>35148</v>
      </c>
      <c r="B1171" s="5">
        <f t="shared" si="416"/>
        <v>35155</v>
      </c>
      <c r="C1171">
        <v>650.62</v>
      </c>
      <c r="D1171" s="29">
        <f t="shared" si="417"/>
        <v>9.2999999999999992E-3</v>
      </c>
      <c r="E1171" s="39">
        <f t="shared" si="418"/>
        <v>633.62230769230769</v>
      </c>
      <c r="F1171" s="39">
        <f t="shared" si="419"/>
        <v>597.5448717948716</v>
      </c>
      <c r="G1171" s="29">
        <f t="shared" si="411"/>
        <v>2.6800000000000001E-2</v>
      </c>
      <c r="H1171" s="29">
        <f t="shared" si="411"/>
        <v>8.8800000000000004E-2</v>
      </c>
      <c r="I1171">
        <f t="shared" si="420"/>
        <v>650.62</v>
      </c>
      <c r="J1171">
        <f>IF(A1171&gt;=Quarterly!B$2,Quarterly!C$2,IF(COUNTIFS(Quarterly!B:B,"&gt;="&amp;A1171-92,Quarterly!B:B,"&lt;="&amp;A1171)&gt;1,SUMIFS(Quarterly!C:C,Quarterly!B:B,"&gt;="&amp;A1171-88,Quarterly!B:B,"&lt;="&amp;A1171),SUMIFS(Quarterly!C:C,Quarterly!B:B,"&gt;="&amp;A1171-92,Quarterly!B:B,"&lt;="&amp;A1171)))</f>
        <v>7799.5</v>
      </c>
      <c r="K1171" s="13">
        <f t="shared" si="421"/>
        <v>8.3400000000000002E-2</v>
      </c>
      <c r="L1171">
        <f t="shared" si="409"/>
        <v>650.62</v>
      </c>
      <c r="M1171">
        <f>IF(A1171&gt;=Quarterly!B$2,Quarterly!D$2,IF(COUNTIFS(Quarterly!B:B,"&gt;="&amp;A1171-92,Quarterly!B:B,"&lt;="&amp;A1171)&gt;1,SUMIFS(Quarterly!D:D,Quarterly!B:B,"&gt;="&amp;A1171-88,Quarterly!B:B,"&lt;="&amp;A1171),SUMIFS(Quarterly!D:D,Quarterly!B:B,"&gt;="&amp;A1171-92,Quarterly!B:B,"&lt;="&amp;A1171)))</f>
        <v>482.33699999999999</v>
      </c>
      <c r="N1171" s="13">
        <f t="shared" si="410"/>
        <v>0.13489000000000001</v>
      </c>
      <c r="O1171">
        <f t="shared" si="412"/>
        <v>650.62</v>
      </c>
      <c r="P1171" s="56">
        <f>VLOOKUP(EOMONTH(A1171,-1),Economic!A:I,7,FALSE)</f>
        <v>668673</v>
      </c>
      <c r="Q1171" s="13">
        <f t="shared" si="413"/>
        <v>9.7299999999999998E-2</v>
      </c>
      <c r="R1171" s="41">
        <v>0.57999999999999996</v>
      </c>
      <c r="S1171">
        <f t="shared" si="414"/>
        <v>0.32</v>
      </c>
      <c r="T1171" s="30">
        <f t="shared" si="415"/>
        <v>149.13999999999999</v>
      </c>
      <c r="U1171" s="30">
        <f t="shared" si="422"/>
        <v>149.26</v>
      </c>
    </row>
    <row r="1172" spans="1:21" ht="15" customHeight="1" x14ac:dyDescent="0.25">
      <c r="A1172" s="5">
        <v>35141</v>
      </c>
      <c r="B1172" s="5">
        <f t="shared" si="416"/>
        <v>35155</v>
      </c>
      <c r="C1172">
        <v>641.42999999999995</v>
      </c>
      <c r="D1172" s="29">
        <f t="shared" si="417"/>
        <v>-7.4000000000000003E-3</v>
      </c>
      <c r="E1172" s="39">
        <f t="shared" si="418"/>
        <v>630.6476923076923</v>
      </c>
      <c r="F1172" s="39">
        <f t="shared" si="419"/>
        <v>594.95743589743574</v>
      </c>
      <c r="G1172" s="29">
        <f t="shared" si="411"/>
        <v>1.7100000000000001E-2</v>
      </c>
      <c r="H1172" s="29">
        <f t="shared" si="411"/>
        <v>7.8100000000000003E-2</v>
      </c>
      <c r="I1172">
        <f t="shared" si="420"/>
        <v>641.42999999999995</v>
      </c>
      <c r="J1172">
        <f>IF(A1172&gt;=Quarterly!B$2,Quarterly!C$2,IF(COUNTIFS(Quarterly!B:B,"&gt;="&amp;A1172-92,Quarterly!B:B,"&lt;="&amp;A1172)&gt;1,SUMIFS(Quarterly!C:C,Quarterly!B:B,"&gt;="&amp;A1172-88,Quarterly!B:B,"&lt;="&amp;A1172),SUMIFS(Quarterly!C:C,Quarterly!B:B,"&gt;="&amp;A1172-92,Quarterly!B:B,"&lt;="&amp;A1172)))</f>
        <v>7799.5</v>
      </c>
      <c r="K1172" s="13">
        <f t="shared" si="421"/>
        <v>8.2199999999999995E-2</v>
      </c>
      <c r="L1172">
        <f t="shared" si="409"/>
        <v>641.42999999999995</v>
      </c>
      <c r="M1172">
        <f>IF(A1172&gt;=Quarterly!B$2,Quarterly!D$2,IF(COUNTIFS(Quarterly!B:B,"&gt;="&amp;A1172-92,Quarterly!B:B,"&lt;="&amp;A1172)&gt;1,SUMIFS(Quarterly!D:D,Quarterly!B:B,"&gt;="&amp;A1172-88,Quarterly!B:B,"&lt;="&amp;A1172),SUMIFS(Quarterly!D:D,Quarterly!B:B,"&gt;="&amp;A1172-92,Quarterly!B:B,"&lt;="&amp;A1172)))</f>
        <v>482.33699999999999</v>
      </c>
      <c r="N1172" s="13">
        <f t="shared" si="410"/>
        <v>0.13298000000000001</v>
      </c>
      <c r="O1172">
        <f t="shared" si="412"/>
        <v>641.42999999999995</v>
      </c>
      <c r="P1172" s="56">
        <f>VLOOKUP(EOMONTH(A1172,-1),Economic!A:I,7,FALSE)</f>
        <v>668673</v>
      </c>
      <c r="Q1172" s="13">
        <f t="shared" si="413"/>
        <v>9.5899999999999999E-2</v>
      </c>
      <c r="R1172" s="41">
        <v>0.59</v>
      </c>
      <c r="S1172">
        <f t="shared" si="414"/>
        <v>0.3</v>
      </c>
      <c r="T1172" s="30">
        <f t="shared" si="415"/>
        <v>150.01</v>
      </c>
      <c r="U1172" s="30">
        <f t="shared" si="422"/>
        <v>148.1</v>
      </c>
    </row>
    <row r="1173" spans="1:21" ht="15" customHeight="1" x14ac:dyDescent="0.25">
      <c r="A1173" s="5">
        <v>35134</v>
      </c>
      <c r="B1173" s="5">
        <f t="shared" si="416"/>
        <v>35155</v>
      </c>
      <c r="C1173">
        <v>633.5</v>
      </c>
      <c r="D1173" s="29">
        <f t="shared" si="417"/>
        <v>-2.8299999999999999E-2</v>
      </c>
      <c r="E1173" s="39">
        <f t="shared" si="418"/>
        <v>628.71769230769235</v>
      </c>
      <c r="F1173" s="39">
        <f t="shared" si="419"/>
        <v>592.35230769230759</v>
      </c>
      <c r="G1173" s="29">
        <f t="shared" si="411"/>
        <v>7.6E-3</v>
      </c>
      <c r="H1173" s="29">
        <f t="shared" si="411"/>
        <v>6.9500000000000006E-2</v>
      </c>
      <c r="I1173">
        <f t="shared" si="420"/>
        <v>633.5</v>
      </c>
      <c r="J1173">
        <f>IF(A1173&gt;=Quarterly!B$2,Quarterly!C$2,IF(COUNTIFS(Quarterly!B:B,"&gt;="&amp;A1173-92,Quarterly!B:B,"&lt;="&amp;A1173)&gt;1,SUMIFS(Quarterly!C:C,Quarterly!B:B,"&gt;="&amp;A1173-88,Quarterly!B:B,"&lt;="&amp;A1173),SUMIFS(Quarterly!C:C,Quarterly!B:B,"&gt;="&amp;A1173-92,Quarterly!B:B,"&lt;="&amp;A1173)))</f>
        <v>7799.5</v>
      </c>
      <c r="K1173" s="13">
        <f t="shared" si="421"/>
        <v>8.1199999999999994E-2</v>
      </c>
      <c r="L1173">
        <f t="shared" si="409"/>
        <v>633.5</v>
      </c>
      <c r="M1173">
        <f>IF(A1173&gt;=Quarterly!B$2,Quarterly!D$2,IF(COUNTIFS(Quarterly!B:B,"&gt;="&amp;A1173-92,Quarterly!B:B,"&lt;="&amp;A1173)&gt;1,SUMIFS(Quarterly!D:D,Quarterly!B:B,"&gt;="&amp;A1173-88,Quarterly!B:B,"&lt;="&amp;A1173),SUMIFS(Quarterly!D:D,Quarterly!B:B,"&gt;="&amp;A1173-92,Quarterly!B:B,"&lt;="&amp;A1173)))</f>
        <v>482.33699999999999</v>
      </c>
      <c r="N1173" s="13">
        <f t="shared" si="410"/>
        <v>0.13133999999999998</v>
      </c>
      <c r="O1173">
        <f t="shared" si="412"/>
        <v>633.5</v>
      </c>
      <c r="P1173" s="56">
        <f>VLOOKUP(EOMONTH(A1173,-1),Economic!A:I,7,FALSE)</f>
        <v>668673</v>
      </c>
      <c r="Q1173" s="13">
        <f t="shared" si="413"/>
        <v>9.4700000000000006E-2</v>
      </c>
      <c r="R1173" s="41">
        <v>0.68</v>
      </c>
      <c r="S1173">
        <f t="shared" si="414"/>
        <v>0.23</v>
      </c>
      <c r="T1173" s="30">
        <f t="shared" si="415"/>
        <v>148.62</v>
      </c>
      <c r="U1173" s="30">
        <f t="shared" si="422"/>
        <v>146.25</v>
      </c>
    </row>
    <row r="1174" spans="1:21" ht="15" customHeight="1" x14ac:dyDescent="0.25">
      <c r="A1174" s="5">
        <v>35127</v>
      </c>
      <c r="B1174" s="5">
        <f t="shared" si="416"/>
        <v>35155</v>
      </c>
      <c r="C1174">
        <v>644.37</v>
      </c>
      <c r="D1174" s="29">
        <f t="shared" si="417"/>
        <v>-8.3999999999999995E-3</v>
      </c>
      <c r="E1174" s="39">
        <f t="shared" si="418"/>
        <v>627.48538461538453</v>
      </c>
      <c r="F1174" s="39">
        <f t="shared" si="419"/>
        <v>589.64564102564088</v>
      </c>
      <c r="G1174" s="29">
        <f t="shared" si="411"/>
        <v>2.69E-2</v>
      </c>
      <c r="H1174" s="29">
        <f t="shared" si="411"/>
        <v>9.2799999999999994E-2</v>
      </c>
      <c r="I1174">
        <f t="shared" si="420"/>
        <v>644.37</v>
      </c>
      <c r="J1174">
        <f>IF(A1174&gt;=Quarterly!B$2,Quarterly!C$2,IF(COUNTIFS(Quarterly!B:B,"&gt;="&amp;A1174-92,Quarterly!B:B,"&lt;="&amp;A1174)&gt;1,SUMIFS(Quarterly!C:C,Quarterly!B:B,"&gt;="&amp;A1174-88,Quarterly!B:B,"&lt;="&amp;A1174),SUMIFS(Quarterly!C:C,Quarterly!B:B,"&gt;="&amp;A1174-92,Quarterly!B:B,"&lt;="&amp;A1174)))</f>
        <v>7799.5</v>
      </c>
      <c r="K1174" s="13">
        <f t="shared" si="421"/>
        <v>8.2600000000000007E-2</v>
      </c>
      <c r="L1174">
        <f t="shared" si="409"/>
        <v>644.37</v>
      </c>
      <c r="M1174">
        <f>IF(A1174&gt;=Quarterly!B$2,Quarterly!D$2,IF(COUNTIFS(Quarterly!B:B,"&gt;="&amp;A1174-92,Quarterly!B:B,"&lt;="&amp;A1174)&gt;1,SUMIFS(Quarterly!D:D,Quarterly!B:B,"&gt;="&amp;A1174-88,Quarterly!B:B,"&lt;="&amp;A1174),SUMIFS(Quarterly!D:D,Quarterly!B:B,"&gt;="&amp;A1174-92,Quarterly!B:B,"&lt;="&amp;A1174)))</f>
        <v>482.33699999999999</v>
      </c>
      <c r="N1174" s="13">
        <f t="shared" si="410"/>
        <v>0.13359000000000001</v>
      </c>
      <c r="O1174">
        <f t="shared" si="412"/>
        <v>644.37</v>
      </c>
      <c r="P1174" s="56">
        <f>VLOOKUP(EOMONTH(A1174,-1),Economic!A:I,7,FALSE)</f>
        <v>668673</v>
      </c>
      <c r="Q1174" s="13">
        <f t="shared" si="413"/>
        <v>9.64E-2</v>
      </c>
      <c r="R1174" s="41">
        <v>0.73</v>
      </c>
      <c r="S1174">
        <f t="shared" si="414"/>
        <v>0.15</v>
      </c>
      <c r="T1174" s="30">
        <f t="shared" si="415"/>
        <v>145.66</v>
      </c>
      <c r="U1174" s="30">
        <f t="shared" si="422"/>
        <v>146.74</v>
      </c>
    </row>
    <row r="1175" spans="1:21" ht="15" customHeight="1" x14ac:dyDescent="0.25">
      <c r="A1175" s="5">
        <v>35120</v>
      </c>
      <c r="B1175" s="5">
        <f t="shared" si="416"/>
        <v>35124</v>
      </c>
      <c r="C1175">
        <v>659.08</v>
      </c>
      <c r="D1175" s="29">
        <f t="shared" si="417"/>
        <v>2.9100000000000001E-2</v>
      </c>
      <c r="E1175" s="39">
        <f t="shared" si="418"/>
        <v>624.60923076923075</v>
      </c>
      <c r="F1175" s="39">
        <f t="shared" si="419"/>
        <v>586.77743589743579</v>
      </c>
      <c r="G1175" s="29">
        <f t="shared" si="411"/>
        <v>5.5199999999999999E-2</v>
      </c>
      <c r="H1175" s="29">
        <f t="shared" si="411"/>
        <v>0.1232</v>
      </c>
      <c r="I1175">
        <f t="shared" si="420"/>
        <v>659.08</v>
      </c>
      <c r="J1175">
        <f>IF(A1175&gt;=Quarterly!B$2,Quarterly!C$2,IF(COUNTIFS(Quarterly!B:B,"&gt;="&amp;A1175-92,Quarterly!B:B,"&lt;="&amp;A1175)&gt;1,SUMIFS(Quarterly!C:C,Quarterly!B:B,"&gt;="&amp;A1175-88,Quarterly!B:B,"&lt;="&amp;A1175),SUMIFS(Quarterly!C:C,Quarterly!B:B,"&gt;="&amp;A1175-92,Quarterly!B:B,"&lt;="&amp;A1175)))</f>
        <v>7799.5</v>
      </c>
      <c r="K1175" s="13">
        <f t="shared" si="421"/>
        <v>8.4500000000000006E-2</v>
      </c>
      <c r="L1175">
        <f t="shared" ref="L1175:L1238" si="423">C1175</f>
        <v>659.08</v>
      </c>
      <c r="M1175">
        <f>IF(A1175&gt;=Quarterly!B$2,Quarterly!D$2,IF(COUNTIFS(Quarterly!B:B,"&gt;="&amp;A1175-92,Quarterly!B:B,"&lt;="&amp;A1175)&gt;1,SUMIFS(Quarterly!D:D,Quarterly!B:B,"&gt;="&amp;A1175-88,Quarterly!B:B,"&lt;="&amp;A1175),SUMIFS(Quarterly!D:D,Quarterly!B:B,"&gt;="&amp;A1175-92,Quarterly!B:B,"&lt;="&amp;A1175)))</f>
        <v>482.33699999999999</v>
      </c>
      <c r="N1175" s="13">
        <f t="shared" ref="N1175:N1238" si="424">ROUND(L1175/M1175,4)*0.1</f>
        <v>0.13664000000000001</v>
      </c>
      <c r="O1175">
        <f t="shared" si="412"/>
        <v>659.08</v>
      </c>
      <c r="P1175" s="56">
        <f>VLOOKUP(EOMONTH(A1175,-1),Economic!A:I,7,FALSE)</f>
        <v>664127</v>
      </c>
      <c r="Q1175" s="13">
        <f t="shared" si="413"/>
        <v>9.920000000000001E-2</v>
      </c>
      <c r="R1175" s="41">
        <v>0.84</v>
      </c>
      <c r="S1175">
        <f t="shared" si="414"/>
        <v>0.11</v>
      </c>
      <c r="T1175" s="30">
        <f t="shared" si="415"/>
        <v>144.47999999999999</v>
      </c>
      <c r="U1175" s="30">
        <f t="shared" si="422"/>
        <v>148.91</v>
      </c>
    </row>
    <row r="1176" spans="1:21" ht="15" customHeight="1" x14ac:dyDescent="0.25">
      <c r="A1176" s="5">
        <v>35113</v>
      </c>
      <c r="B1176" s="5">
        <f t="shared" si="416"/>
        <v>35124</v>
      </c>
      <c r="C1176">
        <v>647.98</v>
      </c>
      <c r="D1176" s="29">
        <f t="shared" si="417"/>
        <v>2.6200000000000001E-2</v>
      </c>
      <c r="E1176" s="39">
        <f t="shared" si="418"/>
        <v>620.06230769230774</v>
      </c>
      <c r="F1176" s="39">
        <f t="shared" si="419"/>
        <v>583.30487179487181</v>
      </c>
      <c r="G1176" s="29">
        <f t="shared" si="411"/>
        <v>4.4999999999999998E-2</v>
      </c>
      <c r="H1176" s="29">
        <f t="shared" si="411"/>
        <v>0.1109</v>
      </c>
      <c r="I1176">
        <f t="shared" si="420"/>
        <v>647.98</v>
      </c>
      <c r="J1176">
        <f>IF(A1176&gt;=Quarterly!B$2,Quarterly!C$2,IF(COUNTIFS(Quarterly!B:B,"&gt;="&amp;A1176-92,Quarterly!B:B,"&lt;="&amp;A1176)&gt;1,SUMIFS(Quarterly!C:C,Quarterly!B:B,"&gt;="&amp;A1176-88,Quarterly!B:B,"&lt;="&amp;A1176),SUMIFS(Quarterly!C:C,Quarterly!B:B,"&gt;="&amp;A1176-92,Quarterly!B:B,"&lt;="&amp;A1176)))</f>
        <v>7799.5</v>
      </c>
      <c r="K1176" s="13">
        <f t="shared" si="421"/>
        <v>8.3099999999999993E-2</v>
      </c>
      <c r="L1176">
        <f t="shared" si="423"/>
        <v>647.98</v>
      </c>
      <c r="M1176">
        <f>IF(A1176&gt;=Quarterly!B$2,Quarterly!D$2,IF(COUNTIFS(Quarterly!B:B,"&gt;="&amp;A1176-92,Quarterly!B:B,"&lt;="&amp;A1176)&gt;1,SUMIFS(Quarterly!D:D,Quarterly!B:B,"&gt;="&amp;A1176-88,Quarterly!B:B,"&lt;="&amp;A1176),SUMIFS(Quarterly!D:D,Quarterly!B:B,"&gt;="&amp;A1176-92,Quarterly!B:B,"&lt;="&amp;A1176)))</f>
        <v>482.33699999999999</v>
      </c>
      <c r="N1176" s="13">
        <f t="shared" si="424"/>
        <v>0.13433999999999999</v>
      </c>
      <c r="O1176">
        <f t="shared" si="412"/>
        <v>647.98</v>
      </c>
      <c r="P1176" s="56">
        <f>VLOOKUP(EOMONTH(A1176,-1),Economic!A:I,7,FALSE)</f>
        <v>664127</v>
      </c>
      <c r="Q1176" s="13">
        <f t="shared" si="413"/>
        <v>9.7599999999999992E-2</v>
      </c>
      <c r="R1176" s="41">
        <v>0.86</v>
      </c>
      <c r="S1176">
        <f t="shared" si="414"/>
        <v>0.22</v>
      </c>
      <c r="T1176" s="30">
        <f t="shared" si="415"/>
        <v>150.07</v>
      </c>
      <c r="U1176" s="30">
        <f t="shared" si="422"/>
        <v>153.61000000000001</v>
      </c>
    </row>
    <row r="1177" spans="1:21" ht="15" customHeight="1" x14ac:dyDescent="0.25">
      <c r="A1177" s="5">
        <v>35106</v>
      </c>
      <c r="B1177" s="5">
        <f t="shared" si="416"/>
        <v>35124</v>
      </c>
      <c r="C1177">
        <v>656.37</v>
      </c>
      <c r="D1177" s="29">
        <f t="shared" si="417"/>
        <v>6.25E-2</v>
      </c>
      <c r="E1177" s="39">
        <f t="shared" si="418"/>
        <v>616.37692307692294</v>
      </c>
      <c r="F1177" s="39">
        <f t="shared" si="419"/>
        <v>580.00256410256395</v>
      </c>
      <c r="G1177" s="29">
        <f t="shared" si="411"/>
        <v>6.4899999999999999E-2</v>
      </c>
      <c r="H1177" s="29">
        <f t="shared" si="411"/>
        <v>0.13170000000000001</v>
      </c>
      <c r="I1177">
        <f t="shared" si="420"/>
        <v>656.37</v>
      </c>
      <c r="J1177">
        <f>IF(A1177&gt;=Quarterly!B$2,Quarterly!C$2,IF(COUNTIFS(Quarterly!B:B,"&gt;="&amp;A1177-92,Quarterly!B:B,"&lt;="&amp;A1177)&gt;1,SUMIFS(Quarterly!C:C,Quarterly!B:B,"&gt;="&amp;A1177-88,Quarterly!B:B,"&lt;="&amp;A1177),SUMIFS(Quarterly!C:C,Quarterly!B:B,"&gt;="&amp;A1177-92,Quarterly!B:B,"&lt;="&amp;A1177)))</f>
        <v>7799.5</v>
      </c>
      <c r="K1177" s="13">
        <f t="shared" si="421"/>
        <v>8.4199999999999997E-2</v>
      </c>
      <c r="L1177">
        <f t="shared" si="423"/>
        <v>656.37</v>
      </c>
      <c r="M1177">
        <f>IF(A1177&gt;=Quarterly!B$2,Quarterly!D$2,IF(COUNTIFS(Quarterly!B:B,"&gt;="&amp;A1177-92,Quarterly!B:B,"&lt;="&amp;A1177)&gt;1,SUMIFS(Quarterly!D:D,Quarterly!B:B,"&gt;="&amp;A1177-88,Quarterly!B:B,"&lt;="&amp;A1177),SUMIFS(Quarterly!D:D,Quarterly!B:B,"&gt;="&amp;A1177-92,Quarterly!B:B,"&lt;="&amp;A1177)))</f>
        <v>482.33699999999999</v>
      </c>
      <c r="N1177" s="13">
        <f t="shared" si="424"/>
        <v>0.13608000000000001</v>
      </c>
      <c r="O1177">
        <f t="shared" si="412"/>
        <v>656.37</v>
      </c>
      <c r="P1177" s="56">
        <f>VLOOKUP(EOMONTH(A1177,-1),Economic!A:I,7,FALSE)</f>
        <v>664127</v>
      </c>
      <c r="Q1177" s="13">
        <f t="shared" si="413"/>
        <v>9.8799999999999999E-2</v>
      </c>
      <c r="R1177" s="41">
        <v>0.81</v>
      </c>
      <c r="S1177">
        <f t="shared" si="414"/>
        <v>0.26</v>
      </c>
      <c r="T1177" s="30">
        <f t="shared" si="415"/>
        <v>152.18</v>
      </c>
      <c r="U1177" s="30">
        <f t="shared" si="422"/>
        <v>158.62</v>
      </c>
    </row>
    <row r="1178" spans="1:21" ht="15" customHeight="1" x14ac:dyDescent="0.25">
      <c r="A1178" s="5">
        <v>35099</v>
      </c>
      <c r="B1178" s="5">
        <f t="shared" si="416"/>
        <v>35124</v>
      </c>
      <c r="C1178">
        <v>635.84</v>
      </c>
      <c r="D1178" s="29">
        <f t="shared" si="417"/>
        <v>3.73E-2</v>
      </c>
      <c r="E1178" s="39">
        <f t="shared" si="418"/>
        <v>611.48076923076928</v>
      </c>
      <c r="F1178" s="39">
        <f t="shared" si="419"/>
        <v>576.64820512820495</v>
      </c>
      <c r="G1178" s="29">
        <f t="shared" si="411"/>
        <v>3.9800000000000002E-2</v>
      </c>
      <c r="H1178" s="29">
        <f t="shared" si="411"/>
        <v>0.1026</v>
      </c>
      <c r="I1178">
        <f t="shared" si="420"/>
        <v>635.84</v>
      </c>
      <c r="J1178">
        <f>IF(A1178&gt;=Quarterly!B$2,Quarterly!C$2,IF(COUNTIFS(Quarterly!B:B,"&gt;="&amp;A1178-92,Quarterly!B:B,"&lt;="&amp;A1178)&gt;1,SUMIFS(Quarterly!C:C,Quarterly!B:B,"&gt;="&amp;A1178-88,Quarterly!B:B,"&lt;="&amp;A1178),SUMIFS(Quarterly!C:C,Quarterly!B:B,"&gt;="&amp;A1178-92,Quarterly!B:B,"&lt;="&amp;A1178)))</f>
        <v>7799.5</v>
      </c>
      <c r="K1178" s="13">
        <f t="shared" si="421"/>
        <v>8.1500000000000003E-2</v>
      </c>
      <c r="L1178">
        <f t="shared" si="423"/>
        <v>635.84</v>
      </c>
      <c r="M1178">
        <f>IF(A1178&gt;=Quarterly!B$2,Quarterly!D$2,IF(COUNTIFS(Quarterly!B:B,"&gt;="&amp;A1178-92,Quarterly!B:B,"&lt;="&amp;A1178)&gt;1,SUMIFS(Quarterly!D:D,Quarterly!B:B,"&gt;="&amp;A1178-88,Quarterly!B:B,"&lt;="&amp;A1178),SUMIFS(Quarterly!D:D,Quarterly!B:B,"&gt;="&amp;A1178-92,Quarterly!B:B,"&lt;="&amp;A1178)))</f>
        <v>482.33699999999999</v>
      </c>
      <c r="N1178" s="13">
        <f t="shared" si="424"/>
        <v>0.13182000000000002</v>
      </c>
      <c r="O1178">
        <f t="shared" si="412"/>
        <v>635.84</v>
      </c>
      <c r="P1178" s="56">
        <f>VLOOKUP(EOMONTH(A1178,-1),Economic!A:I,7,FALSE)</f>
        <v>664127</v>
      </c>
      <c r="Q1178" s="13">
        <f t="shared" si="413"/>
        <v>9.5699999999999993E-2</v>
      </c>
      <c r="R1178" s="41">
        <v>0.76</v>
      </c>
      <c r="S1178">
        <f t="shared" si="414"/>
        <v>0.37</v>
      </c>
      <c r="T1178" s="30">
        <f t="shared" si="415"/>
        <v>158.57</v>
      </c>
      <c r="U1178" s="30">
        <f t="shared" si="422"/>
        <v>165.29</v>
      </c>
    </row>
    <row r="1179" spans="1:21" ht="15" customHeight="1" x14ac:dyDescent="0.25">
      <c r="A1179" s="5">
        <v>35092</v>
      </c>
      <c r="B1179" s="5">
        <f t="shared" si="416"/>
        <v>35095</v>
      </c>
      <c r="C1179">
        <v>621.62</v>
      </c>
      <c r="D1179" s="29">
        <f t="shared" si="417"/>
        <v>1.6400000000000001E-2</v>
      </c>
      <c r="E1179" s="39">
        <f t="shared" si="418"/>
        <v>607.99846153846147</v>
      </c>
      <c r="F1179" s="39">
        <f t="shared" si="419"/>
        <v>573.6810256410256</v>
      </c>
      <c r="G1179" s="29">
        <f t="shared" si="411"/>
        <v>2.24E-2</v>
      </c>
      <c r="H1179" s="29">
        <f t="shared" si="411"/>
        <v>8.3599999999999994E-2</v>
      </c>
      <c r="I1179">
        <f t="shared" si="420"/>
        <v>621.62</v>
      </c>
      <c r="J1179">
        <f>IF(A1179&gt;=Quarterly!B$2,Quarterly!C$2,IF(COUNTIFS(Quarterly!B:B,"&gt;="&amp;A1179-92,Quarterly!B:B,"&lt;="&amp;A1179)&gt;1,SUMIFS(Quarterly!C:C,Quarterly!B:B,"&gt;="&amp;A1179-88,Quarterly!B:B,"&lt;="&amp;A1179),SUMIFS(Quarterly!C:C,Quarterly!B:B,"&gt;="&amp;A1179-92,Quarterly!B:B,"&lt;="&amp;A1179)))</f>
        <v>7706.5</v>
      </c>
      <c r="K1179" s="13">
        <f t="shared" si="421"/>
        <v>8.0699999999999994E-2</v>
      </c>
      <c r="L1179">
        <f t="shared" si="423"/>
        <v>621.62</v>
      </c>
      <c r="M1179">
        <f>IF(A1179&gt;=Quarterly!B$2,Quarterly!D$2,IF(COUNTIFS(Quarterly!B:B,"&gt;="&amp;A1179-92,Quarterly!B:B,"&lt;="&amp;A1179)&gt;1,SUMIFS(Quarterly!D:D,Quarterly!B:B,"&gt;="&amp;A1179-88,Quarterly!B:B,"&lt;="&amp;A1179),SUMIFS(Quarterly!D:D,Quarterly!B:B,"&gt;="&amp;A1179-92,Quarterly!B:B,"&lt;="&amp;A1179)))</f>
        <v>475.09899999999999</v>
      </c>
      <c r="N1179" s="13">
        <f t="shared" si="424"/>
        <v>0.13084000000000001</v>
      </c>
      <c r="O1179">
        <f t="shared" si="412"/>
        <v>621.62</v>
      </c>
      <c r="P1179" s="56">
        <f>VLOOKUP(EOMONTH(A1179,-1),Economic!A:I,7,FALSE)</f>
        <v>661596</v>
      </c>
      <c r="Q1179" s="13">
        <f t="shared" si="413"/>
        <v>9.4E-2</v>
      </c>
      <c r="R1179" s="41">
        <v>0.56999999999999995</v>
      </c>
      <c r="S1179">
        <f t="shared" si="414"/>
        <v>0.61</v>
      </c>
      <c r="T1179" s="30">
        <f t="shared" si="415"/>
        <v>165.12</v>
      </c>
      <c r="U1179" s="30">
        <f t="shared" si="422"/>
        <v>171.61</v>
      </c>
    </row>
    <row r="1180" spans="1:21" ht="15" customHeight="1" x14ac:dyDescent="0.25">
      <c r="A1180" s="5">
        <v>35085</v>
      </c>
      <c r="B1180" s="5">
        <f t="shared" si="416"/>
        <v>35095</v>
      </c>
      <c r="C1180">
        <v>611.83000000000004</v>
      </c>
      <c r="D1180" s="29">
        <f t="shared" si="417"/>
        <v>4.0000000000000002E-4</v>
      </c>
      <c r="E1180" s="39">
        <f t="shared" si="418"/>
        <v>604.77384615384608</v>
      </c>
      <c r="F1180" s="39">
        <f t="shared" si="419"/>
        <v>570.93974358974344</v>
      </c>
      <c r="G1180" s="29">
        <f t="shared" si="411"/>
        <v>1.17E-2</v>
      </c>
      <c r="H1180" s="29">
        <f t="shared" si="411"/>
        <v>7.1599999999999997E-2</v>
      </c>
      <c r="I1180">
        <f t="shared" si="420"/>
        <v>611.83000000000004</v>
      </c>
      <c r="J1180">
        <f>IF(A1180&gt;=Quarterly!B$2,Quarterly!C$2,IF(COUNTIFS(Quarterly!B:B,"&gt;="&amp;A1180-92,Quarterly!B:B,"&lt;="&amp;A1180)&gt;1,SUMIFS(Quarterly!C:C,Quarterly!B:B,"&gt;="&amp;A1180-88,Quarterly!B:B,"&lt;="&amp;A1180),SUMIFS(Quarterly!C:C,Quarterly!B:B,"&gt;="&amp;A1180-92,Quarterly!B:B,"&lt;="&amp;A1180)))</f>
        <v>7706.5</v>
      </c>
      <c r="K1180" s="13">
        <f t="shared" si="421"/>
        <v>7.9399999999999998E-2</v>
      </c>
      <c r="L1180">
        <f t="shared" si="423"/>
        <v>611.83000000000004</v>
      </c>
      <c r="M1180">
        <f>IF(A1180&gt;=Quarterly!B$2,Quarterly!D$2,IF(COUNTIFS(Quarterly!B:B,"&gt;="&amp;A1180-92,Quarterly!B:B,"&lt;="&amp;A1180)&gt;1,SUMIFS(Quarterly!D:D,Quarterly!B:B,"&gt;="&amp;A1180-88,Quarterly!B:B,"&lt;="&amp;A1180),SUMIFS(Quarterly!D:D,Quarterly!B:B,"&gt;="&amp;A1180-92,Quarterly!B:B,"&lt;="&amp;A1180)))</f>
        <v>475.09899999999999</v>
      </c>
      <c r="N1180" s="13">
        <f t="shared" si="424"/>
        <v>0.12878000000000001</v>
      </c>
      <c r="O1180">
        <f t="shared" si="412"/>
        <v>611.83000000000004</v>
      </c>
      <c r="P1180" s="56">
        <f>VLOOKUP(EOMONTH(A1180,-1),Economic!A:I,7,FALSE)</f>
        <v>661596</v>
      </c>
      <c r="Q1180" s="13">
        <f t="shared" si="413"/>
        <v>9.2499999999999999E-2</v>
      </c>
      <c r="R1180" s="41">
        <v>0.51</v>
      </c>
      <c r="S1180">
        <f t="shared" si="414"/>
        <v>0.78</v>
      </c>
      <c r="T1180" s="30">
        <f t="shared" si="415"/>
        <v>172.17</v>
      </c>
      <c r="U1180" s="30">
        <f t="shared" si="422"/>
        <v>176.41</v>
      </c>
    </row>
    <row r="1181" spans="1:21" ht="15" customHeight="1" x14ac:dyDescent="0.25">
      <c r="A1181" s="5">
        <v>35078</v>
      </c>
      <c r="B1181" s="5">
        <f t="shared" si="416"/>
        <v>35095</v>
      </c>
      <c r="C1181">
        <v>601.80999999999995</v>
      </c>
      <c r="D1181" s="29">
        <f t="shared" si="417"/>
        <v>-2.18E-2</v>
      </c>
      <c r="E1181" s="39">
        <f t="shared" si="418"/>
        <v>602.89923076923071</v>
      </c>
      <c r="F1181" s="39">
        <f t="shared" si="419"/>
        <v>568.29</v>
      </c>
      <c r="G1181" s="29">
        <f t="shared" si="411"/>
        <v>-1.8E-3</v>
      </c>
      <c r="H1181" s="29">
        <f t="shared" si="411"/>
        <v>5.8999999999999997E-2</v>
      </c>
      <c r="I1181">
        <f t="shared" si="420"/>
        <v>601.80999999999995</v>
      </c>
      <c r="J1181">
        <f>IF(A1181&gt;=Quarterly!B$2,Quarterly!C$2,IF(COUNTIFS(Quarterly!B:B,"&gt;="&amp;A1181-92,Quarterly!B:B,"&lt;="&amp;A1181)&gt;1,SUMIFS(Quarterly!C:C,Quarterly!B:B,"&gt;="&amp;A1181-88,Quarterly!B:B,"&lt;="&amp;A1181),SUMIFS(Quarterly!C:C,Quarterly!B:B,"&gt;="&amp;A1181-92,Quarterly!B:B,"&lt;="&amp;A1181)))</f>
        <v>7706.5</v>
      </c>
      <c r="K1181" s="13">
        <f t="shared" si="421"/>
        <v>7.8100000000000003E-2</v>
      </c>
      <c r="L1181">
        <f t="shared" si="423"/>
        <v>601.80999999999995</v>
      </c>
      <c r="M1181">
        <f>IF(A1181&gt;=Quarterly!B$2,Quarterly!D$2,IF(COUNTIFS(Quarterly!B:B,"&gt;="&amp;A1181-92,Quarterly!B:B,"&lt;="&amp;A1181)&gt;1,SUMIFS(Quarterly!D:D,Quarterly!B:B,"&gt;="&amp;A1181-88,Quarterly!B:B,"&lt;="&amp;A1181),SUMIFS(Quarterly!D:D,Quarterly!B:B,"&gt;="&amp;A1181-92,Quarterly!B:B,"&lt;="&amp;A1181)))</f>
        <v>475.09899999999999</v>
      </c>
      <c r="N1181" s="13">
        <f t="shared" si="424"/>
        <v>0.12667</v>
      </c>
      <c r="O1181">
        <f t="shared" si="412"/>
        <v>601.80999999999995</v>
      </c>
      <c r="P1181" s="56">
        <f>VLOOKUP(EOMONTH(A1181,-1),Economic!A:I,7,FALSE)</f>
        <v>661596</v>
      </c>
      <c r="Q1181" s="13">
        <f t="shared" si="413"/>
        <v>9.0999999999999998E-2</v>
      </c>
      <c r="R1181" s="41">
        <v>0.57999999999999996</v>
      </c>
      <c r="S1181">
        <f t="shared" si="414"/>
        <v>0.92</v>
      </c>
      <c r="T1181" s="30">
        <f t="shared" si="415"/>
        <v>177.54</v>
      </c>
      <c r="U1181" s="30">
        <f t="shared" si="422"/>
        <v>179.24</v>
      </c>
    </row>
    <row r="1182" spans="1:21" ht="15" customHeight="1" x14ac:dyDescent="0.25">
      <c r="A1182" s="5">
        <v>35071</v>
      </c>
      <c r="B1182" s="5">
        <f t="shared" si="416"/>
        <v>35095</v>
      </c>
      <c r="C1182">
        <v>616.71</v>
      </c>
      <c r="D1182" s="29">
        <f t="shared" si="417"/>
        <v>2.0999999999999999E-3</v>
      </c>
      <c r="E1182" s="39">
        <f t="shared" si="418"/>
        <v>601.56769230769225</v>
      </c>
      <c r="F1182" s="39">
        <f t="shared" si="419"/>
        <v>565.91615384615386</v>
      </c>
      <c r="G1182" s="29">
        <f t="shared" si="411"/>
        <v>2.52E-2</v>
      </c>
      <c r="H1182" s="29">
        <f t="shared" si="411"/>
        <v>8.9800000000000005E-2</v>
      </c>
      <c r="I1182">
        <f t="shared" si="420"/>
        <v>616.71</v>
      </c>
      <c r="J1182">
        <f>IF(A1182&gt;=Quarterly!B$2,Quarterly!C$2,IF(COUNTIFS(Quarterly!B:B,"&gt;="&amp;A1182-92,Quarterly!B:B,"&lt;="&amp;A1182)&gt;1,SUMIFS(Quarterly!C:C,Quarterly!B:B,"&gt;="&amp;A1182-88,Quarterly!B:B,"&lt;="&amp;A1182),SUMIFS(Quarterly!C:C,Quarterly!B:B,"&gt;="&amp;A1182-92,Quarterly!B:B,"&lt;="&amp;A1182)))</f>
        <v>7706.5</v>
      </c>
      <c r="K1182" s="13">
        <f t="shared" si="421"/>
        <v>0.08</v>
      </c>
      <c r="L1182">
        <f t="shared" si="423"/>
        <v>616.71</v>
      </c>
      <c r="M1182">
        <f>IF(A1182&gt;=Quarterly!B$2,Quarterly!D$2,IF(COUNTIFS(Quarterly!B:B,"&gt;="&amp;A1182-92,Quarterly!B:B,"&lt;="&amp;A1182)&gt;1,SUMIFS(Quarterly!D:D,Quarterly!B:B,"&gt;="&amp;A1182-88,Quarterly!B:B,"&lt;="&amp;A1182),SUMIFS(Quarterly!D:D,Quarterly!B:B,"&gt;="&amp;A1182-92,Quarterly!B:B,"&lt;="&amp;A1182)))</f>
        <v>475.09899999999999</v>
      </c>
      <c r="N1182" s="13">
        <f t="shared" si="424"/>
        <v>0.12981000000000001</v>
      </c>
      <c r="O1182">
        <f t="shared" si="412"/>
        <v>616.71</v>
      </c>
      <c r="P1182" s="56">
        <f>VLOOKUP(EOMONTH(A1182,-1),Economic!A:I,7,FALSE)</f>
        <v>661596</v>
      </c>
      <c r="Q1182" s="13">
        <f t="shared" si="413"/>
        <v>9.3200000000000005E-2</v>
      </c>
      <c r="R1182" s="41">
        <v>0.49</v>
      </c>
      <c r="S1182">
        <f t="shared" si="414"/>
        <v>0.99</v>
      </c>
      <c r="T1182" s="30">
        <f t="shared" si="415"/>
        <v>179.51</v>
      </c>
      <c r="U1182" s="30">
        <f t="shared" si="422"/>
        <v>180.66</v>
      </c>
    </row>
    <row r="1183" spans="1:21" ht="15" customHeight="1" x14ac:dyDescent="0.25">
      <c r="A1183" s="5">
        <v>35064</v>
      </c>
      <c r="B1183" s="5">
        <f t="shared" si="416"/>
        <v>35064</v>
      </c>
      <c r="C1183">
        <v>615.92999999999995</v>
      </c>
      <c r="D1183" s="29">
        <f t="shared" si="417"/>
        <v>4.4999999999999997E-3</v>
      </c>
      <c r="E1183" s="39">
        <f t="shared" si="418"/>
        <v>598.93538461538458</v>
      </c>
      <c r="F1183" s="39">
        <f t="shared" si="419"/>
        <v>563.08820512820512</v>
      </c>
      <c r="G1183" s="29">
        <f t="shared" si="411"/>
        <v>2.8400000000000002E-2</v>
      </c>
      <c r="H1183" s="29">
        <f t="shared" si="411"/>
        <v>9.3799999999999994E-2</v>
      </c>
      <c r="I1183">
        <f t="shared" si="420"/>
        <v>615.92999999999995</v>
      </c>
      <c r="J1183">
        <f>IF(A1183&gt;=Quarterly!B$2,Quarterly!C$2,IF(COUNTIFS(Quarterly!B:B,"&gt;="&amp;A1183-92,Quarterly!B:B,"&lt;="&amp;A1183)&gt;1,SUMIFS(Quarterly!C:C,Quarterly!B:B,"&gt;="&amp;A1183-88,Quarterly!B:B,"&lt;="&amp;A1183),SUMIFS(Quarterly!C:C,Quarterly!B:B,"&gt;="&amp;A1183-92,Quarterly!B:B,"&lt;="&amp;A1183)))</f>
        <v>7706.5</v>
      </c>
      <c r="K1183" s="13">
        <f t="shared" si="421"/>
        <v>7.9899999999999999E-2</v>
      </c>
      <c r="L1183">
        <f t="shared" si="423"/>
        <v>615.92999999999995</v>
      </c>
      <c r="M1183">
        <f>IF(A1183&gt;=Quarterly!B$2,Quarterly!D$2,IF(COUNTIFS(Quarterly!B:B,"&gt;="&amp;A1183-92,Quarterly!B:B,"&lt;="&amp;A1183)&gt;1,SUMIFS(Quarterly!D:D,Quarterly!B:B,"&gt;="&amp;A1183-88,Quarterly!B:B,"&lt;="&amp;A1183),SUMIFS(Quarterly!D:D,Quarterly!B:B,"&gt;="&amp;A1183-92,Quarterly!B:B,"&lt;="&amp;A1183)))</f>
        <v>475.09899999999999</v>
      </c>
      <c r="N1183" s="13">
        <f t="shared" si="424"/>
        <v>0.12964000000000001</v>
      </c>
      <c r="O1183">
        <f t="shared" si="412"/>
        <v>615.92999999999995</v>
      </c>
      <c r="P1183" s="56">
        <f>VLOOKUP(EOMONTH(A1183,-1),Economic!A:I,7,FALSE)</f>
        <v>658678</v>
      </c>
      <c r="Q1183" s="13">
        <f t="shared" si="413"/>
        <v>9.35E-2</v>
      </c>
      <c r="R1183" s="41">
        <v>0.4</v>
      </c>
      <c r="S1183">
        <f t="shared" si="414"/>
        <v>1</v>
      </c>
      <c r="T1183" s="30">
        <f t="shared" si="415"/>
        <v>180.66</v>
      </c>
      <c r="U1183" s="30">
        <f t="shared" si="422"/>
        <v>181.88</v>
      </c>
    </row>
    <row r="1184" spans="1:21" ht="15" customHeight="1" x14ac:dyDescent="0.25">
      <c r="A1184" s="5">
        <v>35057</v>
      </c>
      <c r="B1184" s="5">
        <f t="shared" si="416"/>
        <v>35064</v>
      </c>
      <c r="C1184">
        <v>611.95000000000005</v>
      </c>
      <c r="D1184" s="29">
        <f t="shared" si="417"/>
        <v>2.8999999999999998E-3</v>
      </c>
      <c r="E1184" s="39">
        <f t="shared" si="418"/>
        <v>596.51076923076914</v>
      </c>
      <c r="F1184" s="39">
        <f t="shared" si="419"/>
        <v>560.13384615384609</v>
      </c>
      <c r="G1184" s="29">
        <f t="shared" si="411"/>
        <v>2.5899999999999999E-2</v>
      </c>
      <c r="H1184" s="29">
        <f t="shared" si="411"/>
        <v>9.2499999999999999E-2</v>
      </c>
      <c r="I1184">
        <f t="shared" si="420"/>
        <v>611.95000000000005</v>
      </c>
      <c r="J1184">
        <f>IF(A1184&gt;=Quarterly!B$2,Quarterly!C$2,IF(COUNTIFS(Quarterly!B:B,"&gt;="&amp;A1184-92,Quarterly!B:B,"&lt;="&amp;A1184)&gt;1,SUMIFS(Quarterly!C:C,Quarterly!B:B,"&gt;="&amp;A1184-88,Quarterly!B:B,"&lt;="&amp;A1184),SUMIFS(Quarterly!C:C,Quarterly!B:B,"&gt;="&amp;A1184-92,Quarterly!B:B,"&lt;="&amp;A1184)))</f>
        <v>7706.5</v>
      </c>
      <c r="K1184" s="13">
        <f t="shared" si="421"/>
        <v>7.9399999999999998E-2</v>
      </c>
      <c r="L1184">
        <f t="shared" si="423"/>
        <v>611.95000000000005</v>
      </c>
      <c r="M1184">
        <f>IF(A1184&gt;=Quarterly!B$2,Quarterly!D$2,IF(COUNTIFS(Quarterly!B:B,"&gt;="&amp;A1184-92,Quarterly!B:B,"&lt;="&amp;A1184)&gt;1,SUMIFS(Quarterly!D:D,Quarterly!B:B,"&gt;="&amp;A1184-88,Quarterly!B:B,"&lt;="&amp;A1184),SUMIFS(Quarterly!D:D,Quarterly!B:B,"&gt;="&amp;A1184-92,Quarterly!B:B,"&lt;="&amp;A1184)))</f>
        <v>475.09899999999999</v>
      </c>
      <c r="N1184" s="13">
        <f t="shared" si="424"/>
        <v>0.1288</v>
      </c>
      <c r="O1184">
        <f t="shared" si="412"/>
        <v>611.95000000000005</v>
      </c>
      <c r="P1184" s="56">
        <f>VLOOKUP(EOMONTH(A1184,-1),Economic!A:I,7,FALSE)</f>
        <v>658678</v>
      </c>
      <c r="Q1184" s="13">
        <f t="shared" si="413"/>
        <v>9.2899999999999996E-2</v>
      </c>
      <c r="R1184" s="41">
        <v>0.43</v>
      </c>
      <c r="S1184">
        <f t="shared" si="414"/>
        <v>1.01</v>
      </c>
      <c r="T1184" s="30">
        <f t="shared" si="415"/>
        <v>181.8</v>
      </c>
      <c r="U1184" s="30">
        <f t="shared" si="422"/>
        <v>183.11</v>
      </c>
    </row>
    <row r="1185" spans="1:21" ht="15" customHeight="1" x14ac:dyDescent="0.25">
      <c r="A1185" s="5">
        <v>35050</v>
      </c>
      <c r="B1185" s="5">
        <f t="shared" si="416"/>
        <v>35064</v>
      </c>
      <c r="C1185">
        <v>616.34</v>
      </c>
      <c r="D1185" s="29">
        <f t="shared" si="417"/>
        <v>1.6899999999999998E-2</v>
      </c>
      <c r="E1185" s="39">
        <f t="shared" si="418"/>
        <v>594.18615384615384</v>
      </c>
      <c r="F1185" s="39">
        <f t="shared" si="419"/>
        <v>557.28820512820516</v>
      </c>
      <c r="G1185" s="29">
        <f t="shared" si="411"/>
        <v>3.73E-2</v>
      </c>
      <c r="H1185" s="29">
        <f t="shared" si="411"/>
        <v>0.106</v>
      </c>
      <c r="I1185">
        <f t="shared" si="420"/>
        <v>616.34</v>
      </c>
      <c r="J1185">
        <f>IF(A1185&gt;=Quarterly!B$2,Quarterly!C$2,IF(COUNTIFS(Quarterly!B:B,"&gt;="&amp;A1185-92,Quarterly!B:B,"&lt;="&amp;A1185)&gt;1,SUMIFS(Quarterly!C:C,Quarterly!B:B,"&gt;="&amp;A1185-88,Quarterly!B:B,"&lt;="&amp;A1185),SUMIFS(Quarterly!C:C,Quarterly!B:B,"&gt;="&amp;A1185-92,Quarterly!B:B,"&lt;="&amp;A1185)))</f>
        <v>7706.5</v>
      </c>
      <c r="K1185" s="13">
        <f t="shared" si="421"/>
        <v>0.08</v>
      </c>
      <c r="L1185">
        <f t="shared" si="423"/>
        <v>616.34</v>
      </c>
      <c r="M1185">
        <f>IF(A1185&gt;=Quarterly!B$2,Quarterly!D$2,IF(COUNTIFS(Quarterly!B:B,"&gt;="&amp;A1185-92,Quarterly!B:B,"&lt;="&amp;A1185)&gt;1,SUMIFS(Quarterly!D:D,Quarterly!B:B,"&gt;="&amp;A1185-88,Quarterly!B:B,"&lt;="&amp;A1185),SUMIFS(Quarterly!D:D,Quarterly!B:B,"&gt;="&amp;A1185-92,Quarterly!B:B,"&lt;="&amp;A1185)))</f>
        <v>475.09899999999999</v>
      </c>
      <c r="N1185" s="13">
        <f t="shared" si="424"/>
        <v>0.12972999999999998</v>
      </c>
      <c r="O1185">
        <f t="shared" si="412"/>
        <v>616.34</v>
      </c>
      <c r="P1185" s="56">
        <f>VLOOKUP(EOMONTH(A1185,-1),Economic!A:I,7,FALSE)</f>
        <v>658678</v>
      </c>
      <c r="Q1185" s="13">
        <f t="shared" si="413"/>
        <v>9.3600000000000003E-2</v>
      </c>
      <c r="R1185" s="41">
        <v>0.39</v>
      </c>
      <c r="S1185">
        <f t="shared" si="414"/>
        <v>1.04</v>
      </c>
      <c r="T1185" s="30">
        <f t="shared" si="415"/>
        <v>183.19</v>
      </c>
      <c r="U1185" s="30">
        <f t="shared" si="422"/>
        <v>183.88</v>
      </c>
    </row>
    <row r="1186" spans="1:21" ht="15" customHeight="1" x14ac:dyDescent="0.25">
      <c r="A1186" s="5">
        <v>35043</v>
      </c>
      <c r="B1186" s="5">
        <f t="shared" si="416"/>
        <v>35064</v>
      </c>
      <c r="C1186">
        <v>617.48</v>
      </c>
      <c r="D1186" s="29">
        <f t="shared" si="417"/>
        <v>2.92E-2</v>
      </c>
      <c r="E1186" s="39">
        <f t="shared" si="418"/>
        <v>591.64846153846156</v>
      </c>
      <c r="F1186" s="39">
        <f t="shared" si="419"/>
        <v>554.19025641025644</v>
      </c>
      <c r="G1186" s="29">
        <f t="shared" si="411"/>
        <v>4.3700000000000003E-2</v>
      </c>
      <c r="H1186" s="29">
        <f t="shared" si="411"/>
        <v>0.1142</v>
      </c>
      <c r="I1186">
        <f t="shared" si="420"/>
        <v>617.48</v>
      </c>
      <c r="J1186">
        <f>IF(A1186&gt;=Quarterly!B$2,Quarterly!C$2,IF(COUNTIFS(Quarterly!B:B,"&gt;="&amp;A1186-92,Quarterly!B:B,"&lt;="&amp;A1186)&gt;1,SUMIFS(Quarterly!C:C,Quarterly!B:B,"&gt;="&amp;A1186-88,Quarterly!B:B,"&lt;="&amp;A1186),SUMIFS(Quarterly!C:C,Quarterly!B:B,"&gt;="&amp;A1186-92,Quarterly!B:B,"&lt;="&amp;A1186)))</f>
        <v>7706.5</v>
      </c>
      <c r="K1186" s="13">
        <f t="shared" si="421"/>
        <v>8.0100000000000005E-2</v>
      </c>
      <c r="L1186">
        <f t="shared" si="423"/>
        <v>617.48</v>
      </c>
      <c r="M1186">
        <f>IF(A1186&gt;=Quarterly!B$2,Quarterly!D$2,IF(COUNTIFS(Quarterly!B:B,"&gt;="&amp;A1186-92,Quarterly!B:B,"&lt;="&amp;A1186)&gt;1,SUMIFS(Quarterly!D:D,Quarterly!B:B,"&gt;="&amp;A1186-88,Quarterly!B:B,"&lt;="&amp;A1186),SUMIFS(Quarterly!D:D,Quarterly!B:B,"&gt;="&amp;A1186-92,Quarterly!B:B,"&lt;="&amp;A1186)))</f>
        <v>475.09899999999999</v>
      </c>
      <c r="N1186" s="13">
        <f t="shared" si="424"/>
        <v>0.12997</v>
      </c>
      <c r="O1186">
        <f t="shared" si="412"/>
        <v>617.48</v>
      </c>
      <c r="P1186" s="56">
        <f>VLOOKUP(EOMONTH(A1186,-1),Economic!A:I,7,FALSE)</f>
        <v>658678</v>
      </c>
      <c r="Q1186" s="13">
        <f t="shared" si="413"/>
        <v>9.3700000000000006E-2</v>
      </c>
      <c r="R1186" s="41">
        <v>0.34</v>
      </c>
      <c r="S1186">
        <f t="shared" si="414"/>
        <v>1.05</v>
      </c>
      <c r="T1186" s="30">
        <f t="shared" si="415"/>
        <v>184.34</v>
      </c>
      <c r="U1186" s="30">
        <f t="shared" si="422"/>
        <v>185.17</v>
      </c>
    </row>
    <row r="1187" spans="1:21" ht="15" customHeight="1" x14ac:dyDescent="0.25">
      <c r="A1187" s="5">
        <v>35036</v>
      </c>
      <c r="B1187" s="5">
        <f t="shared" si="416"/>
        <v>35064</v>
      </c>
      <c r="C1187">
        <v>606.98</v>
      </c>
      <c r="D1187" s="29">
        <f t="shared" si="417"/>
        <v>1.8700000000000001E-2</v>
      </c>
      <c r="E1187" s="39">
        <f t="shared" si="418"/>
        <v>588.20230769230773</v>
      </c>
      <c r="F1187" s="39">
        <f t="shared" si="419"/>
        <v>550.91051282051285</v>
      </c>
      <c r="G1187" s="29">
        <f t="shared" si="411"/>
        <v>3.1899999999999998E-2</v>
      </c>
      <c r="H1187" s="29">
        <f t="shared" si="411"/>
        <v>0.1018</v>
      </c>
      <c r="I1187">
        <f t="shared" si="420"/>
        <v>606.98</v>
      </c>
      <c r="J1187">
        <f>IF(A1187&gt;=Quarterly!B$2,Quarterly!C$2,IF(COUNTIFS(Quarterly!B:B,"&gt;="&amp;A1187-92,Quarterly!B:B,"&lt;="&amp;A1187)&gt;1,SUMIFS(Quarterly!C:C,Quarterly!B:B,"&gt;="&amp;A1187-88,Quarterly!B:B,"&lt;="&amp;A1187),SUMIFS(Quarterly!C:C,Quarterly!B:B,"&gt;="&amp;A1187-92,Quarterly!B:B,"&lt;="&amp;A1187)))</f>
        <v>7706.5</v>
      </c>
      <c r="K1187" s="13">
        <f t="shared" si="421"/>
        <v>7.8799999999999995E-2</v>
      </c>
      <c r="L1187">
        <f t="shared" si="423"/>
        <v>606.98</v>
      </c>
      <c r="M1187">
        <f>IF(A1187&gt;=Quarterly!B$2,Quarterly!D$2,IF(COUNTIFS(Quarterly!B:B,"&gt;="&amp;A1187-92,Quarterly!B:B,"&lt;="&amp;A1187)&gt;1,SUMIFS(Quarterly!D:D,Quarterly!B:B,"&gt;="&amp;A1187-88,Quarterly!B:B,"&lt;="&amp;A1187),SUMIFS(Quarterly!D:D,Quarterly!B:B,"&gt;="&amp;A1187-92,Quarterly!B:B,"&lt;="&amp;A1187)))</f>
        <v>475.09899999999999</v>
      </c>
      <c r="N1187" s="13">
        <f t="shared" si="424"/>
        <v>0.12776000000000001</v>
      </c>
      <c r="O1187">
        <f t="shared" si="412"/>
        <v>606.98</v>
      </c>
      <c r="P1187" s="56">
        <f>VLOOKUP(EOMONTH(A1187,-1),Economic!A:I,7,FALSE)</f>
        <v>658678</v>
      </c>
      <c r="Q1187" s="13">
        <f t="shared" si="413"/>
        <v>9.219999999999999E-2</v>
      </c>
      <c r="R1187" s="41">
        <v>0.39</v>
      </c>
      <c r="S1187">
        <f t="shared" si="414"/>
        <v>1</v>
      </c>
      <c r="T1187" s="30">
        <f t="shared" si="415"/>
        <v>184.12</v>
      </c>
      <c r="U1187" s="30">
        <f t="shared" si="422"/>
        <v>186.97</v>
      </c>
    </row>
    <row r="1188" spans="1:21" ht="15" customHeight="1" x14ac:dyDescent="0.25">
      <c r="A1188" s="5">
        <v>35029</v>
      </c>
      <c r="B1188" s="5">
        <f t="shared" si="416"/>
        <v>35033</v>
      </c>
      <c r="C1188">
        <v>599.97</v>
      </c>
      <c r="D1188" s="29">
        <f t="shared" si="417"/>
        <v>1.5599999999999999E-2</v>
      </c>
      <c r="E1188" s="39">
        <f t="shared" si="418"/>
        <v>584.88384615384609</v>
      </c>
      <c r="F1188" s="39">
        <f t="shared" si="419"/>
        <v>547.79358974358979</v>
      </c>
      <c r="G1188" s="29">
        <f t="shared" si="411"/>
        <v>2.58E-2</v>
      </c>
      <c r="H1188" s="29">
        <f t="shared" si="411"/>
        <v>9.5200000000000007E-2</v>
      </c>
      <c r="I1188">
        <f t="shared" si="420"/>
        <v>599.97</v>
      </c>
      <c r="J1188">
        <f>IF(A1188&gt;=Quarterly!B$2,Quarterly!C$2,IF(COUNTIFS(Quarterly!B:B,"&gt;="&amp;A1188-92,Quarterly!B:B,"&lt;="&amp;A1188)&gt;1,SUMIFS(Quarterly!C:C,Quarterly!B:B,"&gt;="&amp;A1188-88,Quarterly!B:B,"&lt;="&amp;A1188),SUMIFS(Quarterly!C:C,Quarterly!B:B,"&gt;="&amp;A1188-92,Quarterly!B:B,"&lt;="&amp;A1188)))</f>
        <v>7706.5</v>
      </c>
      <c r="K1188" s="13">
        <f t="shared" si="421"/>
        <v>7.7899999999999997E-2</v>
      </c>
      <c r="L1188">
        <f t="shared" si="423"/>
        <v>599.97</v>
      </c>
      <c r="M1188">
        <f>IF(A1188&gt;=Quarterly!B$2,Quarterly!D$2,IF(COUNTIFS(Quarterly!B:B,"&gt;="&amp;A1188-92,Quarterly!B:B,"&lt;="&amp;A1188)&gt;1,SUMIFS(Quarterly!D:D,Quarterly!B:B,"&gt;="&amp;A1188-88,Quarterly!B:B,"&lt;="&amp;A1188),SUMIFS(Quarterly!D:D,Quarterly!B:B,"&gt;="&amp;A1188-92,Quarterly!B:B,"&lt;="&amp;A1188)))</f>
        <v>475.09899999999999</v>
      </c>
      <c r="N1188" s="13">
        <f t="shared" si="424"/>
        <v>0.12628</v>
      </c>
      <c r="O1188">
        <f t="shared" si="412"/>
        <v>599.97</v>
      </c>
      <c r="P1188" s="56">
        <f>VLOOKUP(EOMONTH(A1188,-1),Economic!A:I,7,FALSE)</f>
        <v>655371</v>
      </c>
      <c r="Q1188" s="13">
        <f t="shared" si="413"/>
        <v>9.1499999999999998E-2</v>
      </c>
      <c r="R1188" s="41">
        <v>0.42</v>
      </c>
      <c r="S1188">
        <f t="shared" si="414"/>
        <v>1.05</v>
      </c>
      <c r="T1188" s="30">
        <f t="shared" si="415"/>
        <v>187.06</v>
      </c>
      <c r="U1188" s="30">
        <f t="shared" si="422"/>
        <v>189.2</v>
      </c>
    </row>
    <row r="1189" spans="1:21" ht="15" customHeight="1" x14ac:dyDescent="0.25">
      <c r="A1189" s="5">
        <v>35022</v>
      </c>
      <c r="B1189" s="5">
        <f t="shared" si="416"/>
        <v>35033</v>
      </c>
      <c r="C1189">
        <v>600.07000000000005</v>
      </c>
      <c r="D1189" s="29">
        <f t="shared" si="417"/>
        <v>2.12E-2</v>
      </c>
      <c r="E1189" s="39">
        <f t="shared" si="418"/>
        <v>581.8169230769231</v>
      </c>
      <c r="F1189" s="39">
        <f t="shared" si="419"/>
        <v>544.92538461538459</v>
      </c>
      <c r="G1189" s="29">
        <f t="shared" si="411"/>
        <v>3.1399999999999997E-2</v>
      </c>
      <c r="H1189" s="29">
        <f t="shared" si="411"/>
        <v>0.1012</v>
      </c>
      <c r="I1189">
        <f t="shared" si="420"/>
        <v>600.07000000000005</v>
      </c>
      <c r="J1189">
        <f>IF(A1189&gt;=Quarterly!B$2,Quarterly!C$2,IF(COUNTIFS(Quarterly!B:B,"&gt;="&amp;A1189-92,Quarterly!B:B,"&lt;="&amp;A1189)&gt;1,SUMIFS(Quarterly!C:C,Quarterly!B:B,"&gt;="&amp;A1189-88,Quarterly!B:B,"&lt;="&amp;A1189),SUMIFS(Quarterly!C:C,Quarterly!B:B,"&gt;="&amp;A1189-92,Quarterly!B:B,"&lt;="&amp;A1189)))</f>
        <v>7706.5</v>
      </c>
      <c r="K1189" s="13">
        <f t="shared" si="421"/>
        <v>7.7899999999999997E-2</v>
      </c>
      <c r="L1189">
        <f t="shared" si="423"/>
        <v>600.07000000000005</v>
      </c>
      <c r="M1189">
        <f>IF(A1189&gt;=Quarterly!B$2,Quarterly!D$2,IF(COUNTIFS(Quarterly!B:B,"&gt;="&amp;A1189-92,Quarterly!B:B,"&lt;="&amp;A1189)&gt;1,SUMIFS(Quarterly!D:D,Quarterly!B:B,"&gt;="&amp;A1189-88,Quarterly!B:B,"&lt;="&amp;A1189),SUMIFS(Quarterly!D:D,Quarterly!B:B,"&gt;="&amp;A1189-92,Quarterly!B:B,"&lt;="&amp;A1189)))</f>
        <v>475.09899999999999</v>
      </c>
      <c r="N1189" s="13">
        <f t="shared" si="424"/>
        <v>0.1263</v>
      </c>
      <c r="O1189">
        <f t="shared" si="412"/>
        <v>600.07000000000005</v>
      </c>
      <c r="P1189" s="56">
        <f>VLOOKUP(EOMONTH(A1189,-1),Economic!A:I,7,FALSE)</f>
        <v>655371</v>
      </c>
      <c r="Q1189" s="13">
        <f t="shared" si="413"/>
        <v>9.1600000000000001E-2</v>
      </c>
      <c r="R1189" s="41">
        <v>0.46</v>
      </c>
      <c r="S1189">
        <f t="shared" si="414"/>
        <v>1.1000000000000001</v>
      </c>
      <c r="T1189" s="30">
        <f t="shared" si="415"/>
        <v>189.73</v>
      </c>
      <c r="U1189" s="30">
        <f t="shared" si="422"/>
        <v>190.28</v>
      </c>
    </row>
    <row r="1190" spans="1:21" ht="15" customHeight="1" x14ac:dyDescent="0.25">
      <c r="A1190" s="5">
        <v>35015</v>
      </c>
      <c r="B1190" s="5">
        <f t="shared" si="416"/>
        <v>35033</v>
      </c>
      <c r="C1190">
        <v>592.72</v>
      </c>
      <c r="D1190" s="29">
        <f t="shared" si="417"/>
        <v>1.2200000000000001E-2</v>
      </c>
      <c r="E1190" s="39">
        <f t="shared" si="418"/>
        <v>578.67384615384628</v>
      </c>
      <c r="F1190" s="39">
        <f t="shared" si="419"/>
        <v>541.89717948717953</v>
      </c>
      <c r="G1190" s="29">
        <f t="shared" si="411"/>
        <v>2.4299999999999999E-2</v>
      </c>
      <c r="H1190" s="29">
        <f t="shared" si="411"/>
        <v>9.3799999999999994E-2</v>
      </c>
      <c r="I1190">
        <f t="shared" si="420"/>
        <v>592.72</v>
      </c>
      <c r="J1190">
        <f>IF(A1190&gt;=Quarterly!B$2,Quarterly!C$2,IF(COUNTIFS(Quarterly!B:B,"&gt;="&amp;A1190-92,Quarterly!B:B,"&lt;="&amp;A1190)&gt;1,SUMIFS(Quarterly!C:C,Quarterly!B:B,"&gt;="&amp;A1190-88,Quarterly!B:B,"&lt;="&amp;A1190),SUMIFS(Quarterly!C:C,Quarterly!B:B,"&gt;="&amp;A1190-92,Quarterly!B:B,"&lt;="&amp;A1190)))</f>
        <v>7706.5</v>
      </c>
      <c r="K1190" s="13">
        <f t="shared" si="421"/>
        <v>7.6899999999999996E-2</v>
      </c>
      <c r="L1190">
        <f t="shared" si="423"/>
        <v>592.72</v>
      </c>
      <c r="M1190">
        <f>IF(A1190&gt;=Quarterly!B$2,Quarterly!D$2,IF(COUNTIFS(Quarterly!B:B,"&gt;="&amp;A1190-92,Quarterly!B:B,"&lt;="&amp;A1190)&gt;1,SUMIFS(Quarterly!D:D,Quarterly!B:B,"&gt;="&amp;A1190-88,Quarterly!B:B,"&lt;="&amp;A1190),SUMIFS(Quarterly!D:D,Quarterly!B:B,"&gt;="&amp;A1190-92,Quarterly!B:B,"&lt;="&amp;A1190)))</f>
        <v>475.09899999999999</v>
      </c>
      <c r="N1190" s="13">
        <f t="shared" si="424"/>
        <v>0.12476000000000001</v>
      </c>
      <c r="O1190">
        <f t="shared" si="412"/>
        <v>592.72</v>
      </c>
      <c r="P1190" s="56">
        <f>VLOOKUP(EOMONTH(A1190,-1),Economic!A:I,7,FALSE)</f>
        <v>655371</v>
      </c>
      <c r="Q1190" s="13">
        <f t="shared" si="413"/>
        <v>9.0399999999999994E-2</v>
      </c>
      <c r="R1190" s="41">
        <v>0.48</v>
      </c>
      <c r="S1190">
        <f t="shared" si="414"/>
        <v>1.0900000000000001</v>
      </c>
      <c r="T1190" s="30">
        <f t="shared" si="415"/>
        <v>190.81</v>
      </c>
      <c r="U1190" s="30">
        <f t="shared" si="422"/>
        <v>189.74</v>
      </c>
    </row>
    <row r="1191" spans="1:21" ht="15" customHeight="1" x14ac:dyDescent="0.25">
      <c r="A1191" s="5">
        <v>35008</v>
      </c>
      <c r="B1191" s="5">
        <f t="shared" si="416"/>
        <v>35033</v>
      </c>
      <c r="C1191">
        <v>590.57000000000005</v>
      </c>
      <c r="D1191" s="29">
        <f t="shared" si="417"/>
        <v>1.21E-2</v>
      </c>
      <c r="E1191" s="39">
        <f t="shared" si="418"/>
        <v>575.78076923076924</v>
      </c>
      <c r="F1191" s="39">
        <f t="shared" si="419"/>
        <v>539.04435897435894</v>
      </c>
      <c r="G1191" s="29">
        <f t="shared" si="411"/>
        <v>2.5700000000000001E-2</v>
      </c>
      <c r="H1191" s="29">
        <f t="shared" si="411"/>
        <v>9.5600000000000004E-2</v>
      </c>
      <c r="I1191">
        <f t="shared" si="420"/>
        <v>590.57000000000005</v>
      </c>
      <c r="J1191">
        <f>IF(A1191&gt;=Quarterly!B$2,Quarterly!C$2,IF(COUNTIFS(Quarterly!B:B,"&gt;="&amp;A1191-92,Quarterly!B:B,"&lt;="&amp;A1191)&gt;1,SUMIFS(Quarterly!C:C,Quarterly!B:B,"&gt;="&amp;A1191-88,Quarterly!B:B,"&lt;="&amp;A1191),SUMIFS(Quarterly!C:C,Quarterly!B:B,"&gt;="&amp;A1191-92,Quarterly!B:B,"&lt;="&amp;A1191)))</f>
        <v>7706.5</v>
      </c>
      <c r="K1191" s="13">
        <f t="shared" si="421"/>
        <v>7.6600000000000001E-2</v>
      </c>
      <c r="L1191">
        <f t="shared" si="423"/>
        <v>590.57000000000005</v>
      </c>
      <c r="M1191">
        <f>IF(A1191&gt;=Quarterly!B$2,Quarterly!D$2,IF(COUNTIFS(Quarterly!B:B,"&gt;="&amp;A1191-92,Quarterly!B:B,"&lt;="&amp;A1191)&gt;1,SUMIFS(Quarterly!D:D,Quarterly!B:B,"&gt;="&amp;A1191-88,Quarterly!B:B,"&lt;="&amp;A1191),SUMIFS(Quarterly!D:D,Quarterly!B:B,"&gt;="&amp;A1191-92,Quarterly!B:B,"&lt;="&amp;A1191)))</f>
        <v>475.09899999999999</v>
      </c>
      <c r="N1191" s="13">
        <f t="shared" si="424"/>
        <v>0.12430000000000002</v>
      </c>
      <c r="O1191">
        <f t="shared" si="412"/>
        <v>590.57000000000005</v>
      </c>
      <c r="P1191" s="56">
        <f>VLOOKUP(EOMONTH(A1191,-1),Economic!A:I,7,FALSE)</f>
        <v>655371</v>
      </c>
      <c r="Q1191" s="13">
        <f t="shared" si="413"/>
        <v>9.01E-2</v>
      </c>
      <c r="R1191" s="41">
        <v>0.45</v>
      </c>
      <c r="S1191">
        <f t="shared" si="414"/>
        <v>1.04</v>
      </c>
      <c r="T1191" s="30">
        <f t="shared" si="415"/>
        <v>190.29</v>
      </c>
      <c r="U1191" s="30">
        <f t="shared" si="422"/>
        <v>188.94</v>
      </c>
    </row>
    <row r="1192" spans="1:21" ht="15" customHeight="1" x14ac:dyDescent="0.25">
      <c r="A1192" s="5">
        <v>35001</v>
      </c>
      <c r="B1192" s="5">
        <f t="shared" si="416"/>
        <v>35003</v>
      </c>
      <c r="C1192">
        <v>579.70000000000005</v>
      </c>
      <c r="D1192" s="29">
        <f t="shared" si="417"/>
        <v>-8.6E-3</v>
      </c>
      <c r="E1192" s="39">
        <f t="shared" si="418"/>
        <v>573.34769230769234</v>
      </c>
      <c r="F1192" s="39">
        <f t="shared" si="419"/>
        <v>536.17461538461544</v>
      </c>
      <c r="G1192" s="29">
        <f t="shared" si="411"/>
        <v>1.11E-2</v>
      </c>
      <c r="H1192" s="29">
        <f t="shared" si="411"/>
        <v>8.1199999999999994E-2</v>
      </c>
      <c r="I1192">
        <f t="shared" si="420"/>
        <v>579.70000000000005</v>
      </c>
      <c r="J1192">
        <f>IF(A1192&gt;=Quarterly!B$2,Quarterly!C$2,IF(COUNTIFS(Quarterly!B:B,"&gt;="&amp;A1192-92,Quarterly!B:B,"&lt;="&amp;A1192)&gt;1,SUMIFS(Quarterly!C:C,Quarterly!B:B,"&gt;="&amp;A1192-88,Quarterly!B:B,"&lt;="&amp;A1192),SUMIFS(Quarterly!C:C,Quarterly!B:B,"&gt;="&amp;A1192-92,Quarterly!B:B,"&lt;="&amp;A1192)))</f>
        <v>7604.9</v>
      </c>
      <c r="K1192" s="13">
        <f t="shared" si="421"/>
        <v>7.6200000000000004E-2</v>
      </c>
      <c r="L1192">
        <f t="shared" si="423"/>
        <v>579.70000000000005</v>
      </c>
      <c r="M1192">
        <f>IF(A1192&gt;=Quarterly!B$2,Quarterly!D$2,IF(COUNTIFS(Quarterly!B:B,"&gt;="&amp;A1192-92,Quarterly!B:B,"&lt;="&amp;A1192)&gt;1,SUMIFS(Quarterly!D:D,Quarterly!B:B,"&gt;="&amp;A1192-88,Quarterly!B:B,"&lt;="&amp;A1192),SUMIFS(Quarterly!D:D,Quarterly!B:B,"&gt;="&amp;A1192-92,Quarterly!B:B,"&lt;="&amp;A1192)))</f>
        <v>467.43799999999999</v>
      </c>
      <c r="N1192" s="13">
        <f t="shared" si="424"/>
        <v>0.12402000000000001</v>
      </c>
      <c r="O1192">
        <f t="shared" si="412"/>
        <v>579.70000000000005</v>
      </c>
      <c r="P1192" s="56">
        <f>VLOOKUP(EOMONTH(A1192,-1),Economic!A:I,7,FALSE)</f>
        <v>651996</v>
      </c>
      <c r="Q1192" s="13">
        <f t="shared" si="413"/>
        <v>8.8900000000000007E-2</v>
      </c>
      <c r="R1192" s="41">
        <v>0.41</v>
      </c>
      <c r="S1192">
        <f t="shared" si="414"/>
        <v>1.03</v>
      </c>
      <c r="T1192" s="30">
        <f t="shared" si="415"/>
        <v>188.11</v>
      </c>
      <c r="U1192" s="30">
        <f t="shared" si="422"/>
        <v>188.65</v>
      </c>
    </row>
    <row r="1193" spans="1:21" ht="15" customHeight="1" x14ac:dyDescent="0.25">
      <c r="A1193" s="5">
        <v>34994</v>
      </c>
      <c r="B1193" s="5">
        <f t="shared" si="416"/>
        <v>35003</v>
      </c>
      <c r="C1193">
        <v>587.46</v>
      </c>
      <c r="D1193" s="29">
        <f t="shared" si="417"/>
        <v>7.1999999999999998E-3</v>
      </c>
      <c r="E1193" s="39">
        <f t="shared" si="418"/>
        <v>572.05769230769226</v>
      </c>
      <c r="F1193" s="39">
        <f t="shared" si="419"/>
        <v>533.37179487179492</v>
      </c>
      <c r="G1193" s="29">
        <f t="shared" si="411"/>
        <v>2.69E-2</v>
      </c>
      <c r="H1193" s="29">
        <f t="shared" si="411"/>
        <v>0.1014</v>
      </c>
      <c r="I1193">
        <f t="shared" si="420"/>
        <v>587.46</v>
      </c>
      <c r="J1193">
        <f>IF(A1193&gt;=Quarterly!B$2,Quarterly!C$2,IF(COUNTIFS(Quarterly!B:B,"&gt;="&amp;A1193-92,Quarterly!B:B,"&lt;="&amp;A1193)&gt;1,SUMIFS(Quarterly!C:C,Quarterly!B:B,"&gt;="&amp;A1193-88,Quarterly!B:B,"&lt;="&amp;A1193),SUMIFS(Quarterly!C:C,Quarterly!B:B,"&gt;="&amp;A1193-92,Quarterly!B:B,"&lt;="&amp;A1193)))</f>
        <v>7604.9</v>
      </c>
      <c r="K1193" s="13">
        <f t="shared" si="421"/>
        <v>7.7200000000000005E-2</v>
      </c>
      <c r="L1193">
        <f t="shared" si="423"/>
        <v>587.46</v>
      </c>
      <c r="M1193">
        <f>IF(A1193&gt;=Quarterly!B$2,Quarterly!D$2,IF(COUNTIFS(Quarterly!B:B,"&gt;="&amp;A1193-92,Quarterly!B:B,"&lt;="&amp;A1193)&gt;1,SUMIFS(Quarterly!D:D,Quarterly!B:B,"&gt;="&amp;A1193-88,Quarterly!B:B,"&lt;="&amp;A1193),SUMIFS(Quarterly!D:D,Quarterly!B:B,"&gt;="&amp;A1193-92,Quarterly!B:B,"&lt;="&amp;A1193)))</f>
        <v>467.43799999999999</v>
      </c>
      <c r="N1193" s="13">
        <f t="shared" si="424"/>
        <v>0.12567999999999999</v>
      </c>
      <c r="O1193">
        <f t="shared" si="412"/>
        <v>587.46</v>
      </c>
      <c r="P1193" s="56">
        <f>VLOOKUP(EOMONTH(A1193,-1),Economic!A:I,7,FALSE)</f>
        <v>651996</v>
      </c>
      <c r="Q1193" s="13">
        <f t="shared" si="413"/>
        <v>9.01E-2</v>
      </c>
      <c r="R1193" s="41">
        <v>0.32</v>
      </c>
      <c r="S1193">
        <f t="shared" si="414"/>
        <v>1.04</v>
      </c>
      <c r="T1193" s="30">
        <f t="shared" si="415"/>
        <v>188.42</v>
      </c>
      <c r="U1193" s="30">
        <f t="shared" si="422"/>
        <v>189.81</v>
      </c>
    </row>
    <row r="1194" spans="1:21" ht="15" customHeight="1" x14ac:dyDescent="0.25">
      <c r="A1194" s="5">
        <v>34987</v>
      </c>
      <c r="B1194" s="5">
        <f t="shared" si="416"/>
        <v>35003</v>
      </c>
      <c r="C1194">
        <v>584.5</v>
      </c>
      <c r="D1194" s="29">
        <f t="shared" si="417"/>
        <v>2.5999999999999999E-3</v>
      </c>
      <c r="E1194" s="39">
        <f t="shared" si="418"/>
        <v>569.45461538461541</v>
      </c>
      <c r="F1194" s="39">
        <f t="shared" si="419"/>
        <v>530.22615384615369</v>
      </c>
      <c r="G1194" s="29">
        <f t="shared" si="411"/>
        <v>2.64E-2</v>
      </c>
      <c r="H1194" s="29">
        <f t="shared" si="411"/>
        <v>0.1024</v>
      </c>
      <c r="I1194">
        <f t="shared" si="420"/>
        <v>584.5</v>
      </c>
      <c r="J1194">
        <f>IF(A1194&gt;=Quarterly!B$2,Quarterly!C$2,IF(COUNTIFS(Quarterly!B:B,"&gt;="&amp;A1194-92,Quarterly!B:B,"&lt;="&amp;A1194)&gt;1,SUMIFS(Quarterly!C:C,Quarterly!B:B,"&gt;="&amp;A1194-88,Quarterly!B:B,"&lt;="&amp;A1194),SUMIFS(Quarterly!C:C,Quarterly!B:B,"&gt;="&amp;A1194-92,Quarterly!B:B,"&lt;="&amp;A1194)))</f>
        <v>7604.9</v>
      </c>
      <c r="K1194" s="13">
        <f t="shared" si="421"/>
        <v>7.6899999999999996E-2</v>
      </c>
      <c r="L1194">
        <f t="shared" si="423"/>
        <v>584.5</v>
      </c>
      <c r="M1194">
        <f>IF(A1194&gt;=Quarterly!B$2,Quarterly!D$2,IF(COUNTIFS(Quarterly!B:B,"&gt;="&amp;A1194-92,Quarterly!B:B,"&lt;="&amp;A1194)&gt;1,SUMIFS(Quarterly!D:D,Quarterly!B:B,"&gt;="&amp;A1194-88,Quarterly!B:B,"&lt;="&amp;A1194),SUMIFS(Quarterly!D:D,Quarterly!B:B,"&gt;="&amp;A1194-92,Quarterly!B:B,"&lt;="&amp;A1194)))</f>
        <v>467.43799999999999</v>
      </c>
      <c r="N1194" s="13">
        <f t="shared" si="424"/>
        <v>0.12504000000000001</v>
      </c>
      <c r="O1194">
        <f t="shared" si="412"/>
        <v>584.5</v>
      </c>
      <c r="P1194" s="56">
        <f>VLOOKUP(EOMONTH(A1194,-1),Economic!A:I,7,FALSE)</f>
        <v>651996</v>
      </c>
      <c r="Q1194" s="13">
        <f t="shared" si="413"/>
        <v>8.9599999999999999E-2</v>
      </c>
      <c r="R1194" s="41">
        <v>0.3</v>
      </c>
      <c r="S1194">
        <f t="shared" si="414"/>
        <v>1.05</v>
      </c>
      <c r="T1194" s="30">
        <f t="shared" si="415"/>
        <v>189.41</v>
      </c>
      <c r="U1194" s="30">
        <f t="shared" si="422"/>
        <v>191.38</v>
      </c>
    </row>
    <row r="1195" spans="1:21" ht="15" customHeight="1" x14ac:dyDescent="0.25">
      <c r="A1195" s="5">
        <v>34980</v>
      </c>
      <c r="B1195" s="5">
        <f t="shared" si="416"/>
        <v>35003</v>
      </c>
      <c r="C1195">
        <v>582.49</v>
      </c>
      <c r="D1195" s="29">
        <f t="shared" si="417"/>
        <v>3.3999999999999998E-3</v>
      </c>
      <c r="E1195" s="39">
        <f t="shared" si="418"/>
        <v>567.56153846153836</v>
      </c>
      <c r="F1195" s="39">
        <f t="shared" si="419"/>
        <v>527.18692307692299</v>
      </c>
      <c r="G1195" s="29">
        <f t="shared" si="411"/>
        <v>2.63E-2</v>
      </c>
      <c r="H1195" s="29">
        <f t="shared" si="411"/>
        <v>0.10489999999999999</v>
      </c>
      <c r="I1195">
        <f t="shared" si="420"/>
        <v>582.49</v>
      </c>
      <c r="J1195">
        <f>IF(A1195&gt;=Quarterly!B$2,Quarterly!C$2,IF(COUNTIFS(Quarterly!B:B,"&gt;="&amp;A1195-92,Quarterly!B:B,"&lt;="&amp;A1195)&gt;1,SUMIFS(Quarterly!C:C,Quarterly!B:B,"&gt;="&amp;A1195-88,Quarterly!B:B,"&lt;="&amp;A1195),SUMIFS(Quarterly!C:C,Quarterly!B:B,"&gt;="&amp;A1195-92,Quarterly!B:B,"&lt;="&amp;A1195)))</f>
        <v>7604.9</v>
      </c>
      <c r="K1195" s="13">
        <f t="shared" si="421"/>
        <v>7.6600000000000001E-2</v>
      </c>
      <c r="L1195">
        <f t="shared" si="423"/>
        <v>582.49</v>
      </c>
      <c r="M1195">
        <f>IF(A1195&gt;=Quarterly!B$2,Quarterly!D$2,IF(COUNTIFS(Quarterly!B:B,"&gt;="&amp;A1195-92,Quarterly!B:B,"&lt;="&amp;A1195)&gt;1,SUMIFS(Quarterly!D:D,Quarterly!B:B,"&gt;="&amp;A1195-88,Quarterly!B:B,"&lt;="&amp;A1195),SUMIFS(Quarterly!D:D,Quarterly!B:B,"&gt;="&amp;A1195-92,Quarterly!B:B,"&lt;="&amp;A1195)))</f>
        <v>467.43799999999999</v>
      </c>
      <c r="N1195" s="13">
        <f t="shared" si="424"/>
        <v>0.12461</v>
      </c>
      <c r="O1195">
        <f t="shared" si="412"/>
        <v>582.49</v>
      </c>
      <c r="P1195" s="56">
        <f>VLOOKUP(EOMONTH(A1195,-1),Economic!A:I,7,FALSE)</f>
        <v>651996</v>
      </c>
      <c r="Q1195" s="13">
        <f t="shared" si="413"/>
        <v>8.9300000000000004E-2</v>
      </c>
      <c r="R1195" s="41">
        <v>0.33</v>
      </c>
      <c r="S1195">
        <f t="shared" si="414"/>
        <v>1.1000000000000001</v>
      </c>
      <c r="T1195" s="30">
        <f t="shared" si="415"/>
        <v>191.61</v>
      </c>
      <c r="U1195" s="30">
        <f t="shared" si="422"/>
        <v>193.04</v>
      </c>
    </row>
    <row r="1196" spans="1:21" ht="15" customHeight="1" x14ac:dyDescent="0.25">
      <c r="A1196" s="5">
        <v>34973</v>
      </c>
      <c r="B1196" s="5">
        <f t="shared" si="416"/>
        <v>35003</v>
      </c>
      <c r="C1196">
        <v>584.41</v>
      </c>
      <c r="D1196" s="29">
        <f t="shared" si="417"/>
        <v>1.5699999999999999E-2</v>
      </c>
      <c r="E1196" s="39">
        <f t="shared" si="418"/>
        <v>565.55230769230764</v>
      </c>
      <c r="F1196" s="39">
        <f t="shared" si="419"/>
        <v>524.06358974358977</v>
      </c>
      <c r="G1196" s="29">
        <f t="shared" si="411"/>
        <v>3.3300000000000003E-2</v>
      </c>
      <c r="H1196" s="29">
        <f t="shared" si="411"/>
        <v>0.1152</v>
      </c>
      <c r="I1196">
        <f t="shared" si="420"/>
        <v>584.41</v>
      </c>
      <c r="J1196">
        <f>IF(A1196&gt;=Quarterly!B$2,Quarterly!C$2,IF(COUNTIFS(Quarterly!B:B,"&gt;="&amp;A1196-92,Quarterly!B:B,"&lt;="&amp;A1196)&gt;1,SUMIFS(Quarterly!C:C,Quarterly!B:B,"&gt;="&amp;A1196-88,Quarterly!B:B,"&lt;="&amp;A1196),SUMIFS(Quarterly!C:C,Quarterly!B:B,"&gt;="&amp;A1196-92,Quarterly!B:B,"&lt;="&amp;A1196)))</f>
        <v>7604.9</v>
      </c>
      <c r="K1196" s="13">
        <f t="shared" si="421"/>
        <v>7.6799999999999993E-2</v>
      </c>
      <c r="L1196">
        <f t="shared" si="423"/>
        <v>584.41</v>
      </c>
      <c r="M1196">
        <f>IF(A1196&gt;=Quarterly!B$2,Quarterly!D$2,IF(COUNTIFS(Quarterly!B:B,"&gt;="&amp;A1196-92,Quarterly!B:B,"&lt;="&amp;A1196)&gt;1,SUMIFS(Quarterly!D:D,Quarterly!B:B,"&gt;="&amp;A1196-88,Quarterly!B:B,"&lt;="&amp;A1196),SUMIFS(Quarterly!D:D,Quarterly!B:B,"&gt;="&amp;A1196-92,Quarterly!B:B,"&lt;="&amp;A1196)))</f>
        <v>467.43799999999999</v>
      </c>
      <c r="N1196" s="13">
        <f t="shared" si="424"/>
        <v>0.12501999999999999</v>
      </c>
      <c r="O1196">
        <f t="shared" si="412"/>
        <v>584.41</v>
      </c>
      <c r="P1196" s="56">
        <f>VLOOKUP(EOMONTH(A1196,-1),Economic!A:I,7,FALSE)</f>
        <v>651996</v>
      </c>
      <c r="Q1196" s="13">
        <f t="shared" si="413"/>
        <v>8.9599999999999999E-2</v>
      </c>
      <c r="R1196" s="41">
        <v>0.34</v>
      </c>
      <c r="S1196">
        <f t="shared" si="414"/>
        <v>1.1299999999999999</v>
      </c>
      <c r="T1196" s="30">
        <f t="shared" si="415"/>
        <v>193.11</v>
      </c>
      <c r="U1196" s="30">
        <f t="shared" si="422"/>
        <v>194.96</v>
      </c>
    </row>
    <row r="1197" spans="1:21" ht="15" customHeight="1" x14ac:dyDescent="0.25">
      <c r="A1197" s="5">
        <v>34966</v>
      </c>
      <c r="B1197" s="5">
        <f t="shared" si="416"/>
        <v>34972</v>
      </c>
      <c r="C1197">
        <v>581.73</v>
      </c>
      <c r="D1197" s="29">
        <f t="shared" si="417"/>
        <v>2.06E-2</v>
      </c>
      <c r="E1197" s="39">
        <f t="shared" si="418"/>
        <v>562.50153846153853</v>
      </c>
      <c r="F1197" s="39">
        <f t="shared" si="419"/>
        <v>520.85487179487188</v>
      </c>
      <c r="G1197" s="29">
        <f t="shared" si="411"/>
        <v>3.4200000000000001E-2</v>
      </c>
      <c r="H1197" s="29">
        <f t="shared" si="411"/>
        <v>0.1169</v>
      </c>
      <c r="I1197">
        <f t="shared" si="420"/>
        <v>581.73</v>
      </c>
      <c r="J1197">
        <f>IF(A1197&gt;=Quarterly!B$2,Quarterly!C$2,IF(COUNTIFS(Quarterly!B:B,"&gt;="&amp;A1197-92,Quarterly!B:B,"&lt;="&amp;A1197)&gt;1,SUMIFS(Quarterly!C:C,Quarterly!B:B,"&gt;="&amp;A1197-88,Quarterly!B:B,"&lt;="&amp;A1197),SUMIFS(Quarterly!C:C,Quarterly!B:B,"&gt;="&amp;A1197-92,Quarterly!B:B,"&lt;="&amp;A1197)))</f>
        <v>7604.9</v>
      </c>
      <c r="K1197" s="13">
        <f t="shared" si="421"/>
        <v>7.6499999999999999E-2</v>
      </c>
      <c r="L1197">
        <f t="shared" si="423"/>
        <v>581.73</v>
      </c>
      <c r="M1197">
        <f>IF(A1197&gt;=Quarterly!B$2,Quarterly!D$2,IF(COUNTIFS(Quarterly!B:B,"&gt;="&amp;A1197-92,Quarterly!B:B,"&lt;="&amp;A1197)&gt;1,SUMIFS(Quarterly!D:D,Quarterly!B:B,"&gt;="&amp;A1197-88,Quarterly!B:B,"&lt;="&amp;A1197),SUMIFS(Quarterly!D:D,Quarterly!B:B,"&gt;="&amp;A1197-92,Quarterly!B:B,"&lt;="&amp;A1197)))</f>
        <v>467.43799999999999</v>
      </c>
      <c r="N1197" s="13">
        <f t="shared" si="424"/>
        <v>0.12445000000000001</v>
      </c>
      <c r="O1197">
        <f t="shared" si="412"/>
        <v>581.73</v>
      </c>
      <c r="P1197" s="56">
        <f>VLOOKUP(EOMONTH(A1197,-1),Economic!A:I,7,FALSE)</f>
        <v>650709</v>
      </c>
      <c r="Q1197" s="13">
        <f t="shared" si="413"/>
        <v>8.9400000000000007E-2</v>
      </c>
      <c r="R1197" s="41">
        <v>0.4</v>
      </c>
      <c r="S1197">
        <f t="shared" si="414"/>
        <v>1.1399999999999999</v>
      </c>
      <c r="T1197" s="30">
        <f t="shared" si="415"/>
        <v>194.41</v>
      </c>
      <c r="U1197" s="30">
        <f t="shared" si="422"/>
        <v>196.43</v>
      </c>
    </row>
    <row r="1198" spans="1:21" ht="15" customHeight="1" x14ac:dyDescent="0.25">
      <c r="A1198" s="5">
        <v>34959</v>
      </c>
      <c r="B1198" s="5">
        <f t="shared" si="416"/>
        <v>34972</v>
      </c>
      <c r="C1198">
        <v>583.35</v>
      </c>
      <c r="D1198" s="29">
        <f t="shared" si="417"/>
        <v>3.44E-2</v>
      </c>
      <c r="E1198" s="39">
        <f t="shared" si="418"/>
        <v>560.03846153846155</v>
      </c>
      <c r="F1198" s="39">
        <f t="shared" si="419"/>
        <v>517.72923076923087</v>
      </c>
      <c r="G1198" s="29">
        <f t="shared" si="411"/>
        <v>4.1599999999999998E-2</v>
      </c>
      <c r="H1198" s="29">
        <f t="shared" si="411"/>
        <v>0.12670000000000001</v>
      </c>
      <c r="I1198">
        <f t="shared" si="420"/>
        <v>583.35</v>
      </c>
      <c r="J1198">
        <f>IF(A1198&gt;=Quarterly!B$2,Quarterly!C$2,IF(COUNTIFS(Quarterly!B:B,"&gt;="&amp;A1198-92,Quarterly!B:B,"&lt;="&amp;A1198)&gt;1,SUMIFS(Quarterly!C:C,Quarterly!B:B,"&gt;="&amp;A1198-88,Quarterly!B:B,"&lt;="&amp;A1198),SUMIFS(Quarterly!C:C,Quarterly!B:B,"&gt;="&amp;A1198-92,Quarterly!B:B,"&lt;="&amp;A1198)))</f>
        <v>7604.9</v>
      </c>
      <c r="K1198" s="13">
        <f t="shared" si="421"/>
        <v>7.6700000000000004E-2</v>
      </c>
      <c r="L1198">
        <f t="shared" si="423"/>
        <v>583.35</v>
      </c>
      <c r="M1198">
        <f>IF(A1198&gt;=Quarterly!B$2,Quarterly!D$2,IF(COUNTIFS(Quarterly!B:B,"&gt;="&amp;A1198-92,Quarterly!B:B,"&lt;="&amp;A1198)&gt;1,SUMIFS(Quarterly!D:D,Quarterly!B:B,"&gt;="&amp;A1198-88,Quarterly!B:B,"&lt;="&amp;A1198),SUMIFS(Quarterly!D:D,Quarterly!B:B,"&gt;="&amp;A1198-92,Quarterly!B:B,"&lt;="&amp;A1198)))</f>
        <v>467.43799999999999</v>
      </c>
      <c r="N1198" s="13">
        <f t="shared" si="424"/>
        <v>0.12480000000000001</v>
      </c>
      <c r="O1198">
        <f t="shared" si="412"/>
        <v>583.35</v>
      </c>
      <c r="P1198" s="56">
        <f>VLOOKUP(EOMONTH(A1198,-1),Economic!A:I,7,FALSE)</f>
        <v>650709</v>
      </c>
      <c r="Q1198" s="13">
        <f t="shared" si="413"/>
        <v>8.9599999999999999E-2</v>
      </c>
      <c r="R1198" s="41">
        <v>0.4</v>
      </c>
      <c r="S1198">
        <f t="shared" si="414"/>
        <v>1.21</v>
      </c>
      <c r="T1198" s="30">
        <f t="shared" si="415"/>
        <v>197.37</v>
      </c>
      <c r="U1198" s="30">
        <f t="shared" si="422"/>
        <v>197.75</v>
      </c>
    </row>
    <row r="1199" spans="1:21" ht="15" customHeight="1" x14ac:dyDescent="0.25">
      <c r="A1199" s="5">
        <v>34952</v>
      </c>
      <c r="B1199" s="5">
        <f t="shared" si="416"/>
        <v>34972</v>
      </c>
      <c r="C1199">
        <v>572.67999999999995</v>
      </c>
      <c r="D1199" s="29">
        <f t="shared" si="417"/>
        <v>2.3400000000000001E-2</v>
      </c>
      <c r="E1199" s="39">
        <f t="shared" si="418"/>
        <v>556.69076923076932</v>
      </c>
      <c r="F1199" s="39">
        <f t="shared" si="419"/>
        <v>514.53564102564098</v>
      </c>
      <c r="G1199" s="29">
        <f t="shared" si="411"/>
        <v>2.87E-2</v>
      </c>
      <c r="H1199" s="29">
        <f t="shared" si="411"/>
        <v>0.113</v>
      </c>
      <c r="I1199">
        <f t="shared" si="420"/>
        <v>572.67999999999995</v>
      </c>
      <c r="J1199">
        <f>IF(A1199&gt;=Quarterly!B$2,Quarterly!C$2,IF(COUNTIFS(Quarterly!B:B,"&gt;="&amp;A1199-92,Quarterly!B:B,"&lt;="&amp;A1199)&gt;1,SUMIFS(Quarterly!C:C,Quarterly!B:B,"&gt;="&amp;A1199-88,Quarterly!B:B,"&lt;="&amp;A1199),SUMIFS(Quarterly!C:C,Quarterly!B:B,"&gt;="&amp;A1199-92,Quarterly!B:B,"&lt;="&amp;A1199)))</f>
        <v>7604.9</v>
      </c>
      <c r="K1199" s="13">
        <f t="shared" si="421"/>
        <v>7.5300000000000006E-2</v>
      </c>
      <c r="L1199">
        <f t="shared" si="423"/>
        <v>572.67999999999995</v>
      </c>
      <c r="M1199">
        <f>IF(A1199&gt;=Quarterly!B$2,Quarterly!D$2,IF(COUNTIFS(Quarterly!B:B,"&gt;="&amp;A1199-92,Quarterly!B:B,"&lt;="&amp;A1199)&gt;1,SUMIFS(Quarterly!D:D,Quarterly!B:B,"&gt;="&amp;A1199-88,Quarterly!B:B,"&lt;="&amp;A1199),SUMIFS(Quarterly!D:D,Quarterly!B:B,"&gt;="&amp;A1199-92,Quarterly!B:B,"&lt;="&amp;A1199)))</f>
        <v>467.43799999999999</v>
      </c>
      <c r="N1199" s="13">
        <f t="shared" si="424"/>
        <v>0.12251000000000001</v>
      </c>
      <c r="O1199">
        <f t="shared" si="412"/>
        <v>572.67999999999995</v>
      </c>
      <c r="P1199" s="56">
        <f>VLOOKUP(EOMONTH(A1199,-1),Economic!A:I,7,FALSE)</f>
        <v>650709</v>
      </c>
      <c r="Q1199" s="13">
        <f t="shared" si="413"/>
        <v>8.8000000000000009E-2</v>
      </c>
      <c r="R1199" s="41">
        <v>0.39</v>
      </c>
      <c r="S1199">
        <f t="shared" si="414"/>
        <v>1.17</v>
      </c>
      <c r="T1199" s="30">
        <f t="shared" si="415"/>
        <v>197.51</v>
      </c>
      <c r="U1199" s="30">
        <f t="shared" si="422"/>
        <v>198.46</v>
      </c>
    </row>
    <row r="1200" spans="1:21" ht="15" customHeight="1" x14ac:dyDescent="0.25">
      <c r="A1200" s="5">
        <v>34945</v>
      </c>
      <c r="B1200" s="5">
        <f t="shared" si="416"/>
        <v>34972</v>
      </c>
      <c r="C1200">
        <v>563.84</v>
      </c>
      <c r="D1200" s="29">
        <f t="shared" si="417"/>
        <v>9.9000000000000008E-3</v>
      </c>
      <c r="E1200" s="39">
        <f t="shared" si="418"/>
        <v>553.24923076923073</v>
      </c>
      <c r="F1200" s="39">
        <f t="shared" si="419"/>
        <v>511.31205128205124</v>
      </c>
      <c r="G1200" s="29">
        <f t="shared" si="411"/>
        <v>1.9099999999999999E-2</v>
      </c>
      <c r="H1200" s="29">
        <f t="shared" si="411"/>
        <v>0.1027</v>
      </c>
      <c r="I1200">
        <f t="shared" si="420"/>
        <v>563.84</v>
      </c>
      <c r="J1200">
        <f>IF(A1200&gt;=Quarterly!B$2,Quarterly!C$2,IF(COUNTIFS(Quarterly!B:B,"&gt;="&amp;A1200-92,Quarterly!B:B,"&lt;="&amp;A1200)&gt;1,SUMIFS(Quarterly!C:C,Quarterly!B:B,"&gt;="&amp;A1200-88,Quarterly!B:B,"&lt;="&amp;A1200),SUMIFS(Quarterly!C:C,Quarterly!B:B,"&gt;="&amp;A1200-92,Quarterly!B:B,"&lt;="&amp;A1200)))</f>
        <v>7604.9</v>
      </c>
      <c r="K1200" s="13">
        <f t="shared" si="421"/>
        <v>7.4099999999999999E-2</v>
      </c>
      <c r="L1200">
        <f t="shared" si="423"/>
        <v>563.84</v>
      </c>
      <c r="M1200">
        <f>IF(A1200&gt;=Quarterly!B$2,Quarterly!D$2,IF(COUNTIFS(Quarterly!B:B,"&gt;="&amp;A1200-92,Quarterly!B:B,"&lt;="&amp;A1200)&gt;1,SUMIFS(Quarterly!D:D,Quarterly!B:B,"&gt;="&amp;A1200-88,Quarterly!B:B,"&lt;="&amp;A1200),SUMIFS(Quarterly!D:D,Quarterly!B:B,"&gt;="&amp;A1200-92,Quarterly!B:B,"&lt;="&amp;A1200)))</f>
        <v>467.43799999999999</v>
      </c>
      <c r="N1200" s="13">
        <f t="shared" si="424"/>
        <v>0.12062</v>
      </c>
      <c r="O1200">
        <f t="shared" si="412"/>
        <v>563.84</v>
      </c>
      <c r="P1200" s="56">
        <f>VLOOKUP(EOMONTH(A1200,-1),Economic!A:I,7,FALSE)</f>
        <v>650709</v>
      </c>
      <c r="Q1200" s="13">
        <f t="shared" si="413"/>
        <v>8.6699999999999999E-2</v>
      </c>
      <c r="R1200" s="41">
        <v>0.44</v>
      </c>
      <c r="S1200">
        <f t="shared" si="414"/>
        <v>1.1499999999999999</v>
      </c>
      <c r="T1200" s="30">
        <f t="shared" si="415"/>
        <v>198.36</v>
      </c>
      <c r="U1200" s="30">
        <f t="shared" si="422"/>
        <v>200.51</v>
      </c>
    </row>
    <row r="1201" spans="1:21" ht="15" customHeight="1" x14ac:dyDescent="0.25">
      <c r="A1201" s="5">
        <v>34938</v>
      </c>
      <c r="B1201" s="5">
        <f t="shared" si="416"/>
        <v>34942</v>
      </c>
      <c r="C1201">
        <v>560.1</v>
      </c>
      <c r="D1201" s="29">
        <f t="shared" si="417"/>
        <v>1.9E-3</v>
      </c>
      <c r="E1201" s="39">
        <f t="shared" si="418"/>
        <v>550.83923076923077</v>
      </c>
      <c r="F1201" s="39">
        <f t="shared" si="419"/>
        <v>508.47769230769222</v>
      </c>
      <c r="G1201" s="29">
        <f t="shared" si="411"/>
        <v>1.6799999999999999E-2</v>
      </c>
      <c r="H1201" s="29">
        <f t="shared" si="411"/>
        <v>0.10150000000000001</v>
      </c>
      <c r="I1201">
        <f t="shared" si="420"/>
        <v>560.1</v>
      </c>
      <c r="J1201">
        <f>IF(A1201&gt;=Quarterly!B$2,Quarterly!C$2,IF(COUNTIFS(Quarterly!B:B,"&gt;="&amp;A1201-92,Quarterly!B:B,"&lt;="&amp;A1201)&gt;1,SUMIFS(Quarterly!C:C,Quarterly!B:B,"&gt;="&amp;A1201-88,Quarterly!B:B,"&lt;="&amp;A1201),SUMIFS(Quarterly!C:C,Quarterly!B:B,"&gt;="&amp;A1201-92,Quarterly!B:B,"&lt;="&amp;A1201)))</f>
        <v>7604.9</v>
      </c>
      <c r="K1201" s="13">
        <f t="shared" si="421"/>
        <v>7.3599999999999999E-2</v>
      </c>
      <c r="L1201">
        <f t="shared" si="423"/>
        <v>560.1</v>
      </c>
      <c r="M1201">
        <f>IF(A1201&gt;=Quarterly!B$2,Quarterly!D$2,IF(COUNTIFS(Quarterly!B:B,"&gt;="&amp;A1201-92,Quarterly!B:B,"&lt;="&amp;A1201)&gt;1,SUMIFS(Quarterly!D:D,Quarterly!B:B,"&gt;="&amp;A1201-88,Quarterly!B:B,"&lt;="&amp;A1201),SUMIFS(Quarterly!D:D,Quarterly!B:B,"&gt;="&amp;A1201-92,Quarterly!B:B,"&lt;="&amp;A1201)))</f>
        <v>467.43799999999999</v>
      </c>
      <c r="N1201" s="13">
        <f t="shared" si="424"/>
        <v>0.11982</v>
      </c>
      <c r="O1201">
        <f t="shared" si="412"/>
        <v>560.1</v>
      </c>
      <c r="P1201" s="56">
        <f>VLOOKUP(EOMONTH(A1201,-1),Economic!A:I,7,FALSE)</f>
        <v>646152</v>
      </c>
      <c r="Q1201" s="13">
        <f t="shared" si="413"/>
        <v>8.6699999999999999E-2</v>
      </c>
      <c r="R1201" s="41">
        <v>0.48</v>
      </c>
      <c r="S1201">
        <f t="shared" si="414"/>
        <v>1.1599999999999999</v>
      </c>
      <c r="T1201" s="30">
        <f t="shared" si="415"/>
        <v>199.5</v>
      </c>
      <c r="U1201" s="30">
        <f t="shared" si="422"/>
        <v>201.8</v>
      </c>
    </row>
    <row r="1202" spans="1:21" ht="15" customHeight="1" x14ac:dyDescent="0.25">
      <c r="A1202" s="5">
        <v>34931</v>
      </c>
      <c r="B1202" s="5">
        <f t="shared" si="416"/>
        <v>34942</v>
      </c>
      <c r="C1202">
        <v>559.21</v>
      </c>
      <c r="D1202" s="29">
        <f t="shared" si="417"/>
        <v>2.8E-3</v>
      </c>
      <c r="E1202" s="39">
        <f t="shared" si="418"/>
        <v>548.0353846153846</v>
      </c>
      <c r="F1202" s="39">
        <f t="shared" si="419"/>
        <v>505.71333333333325</v>
      </c>
      <c r="G1202" s="29">
        <f t="shared" si="411"/>
        <v>2.0400000000000001E-2</v>
      </c>
      <c r="H1202" s="29">
        <f t="shared" si="411"/>
        <v>0.10580000000000001</v>
      </c>
      <c r="I1202">
        <f t="shared" si="420"/>
        <v>559.21</v>
      </c>
      <c r="J1202">
        <f>IF(A1202&gt;=Quarterly!B$2,Quarterly!C$2,IF(COUNTIFS(Quarterly!B:B,"&gt;="&amp;A1202-92,Quarterly!B:B,"&lt;="&amp;A1202)&gt;1,SUMIFS(Quarterly!C:C,Quarterly!B:B,"&gt;="&amp;A1202-88,Quarterly!B:B,"&lt;="&amp;A1202),SUMIFS(Quarterly!C:C,Quarterly!B:B,"&gt;="&amp;A1202-92,Quarterly!B:B,"&lt;="&amp;A1202)))</f>
        <v>7604.9</v>
      </c>
      <c r="K1202" s="13">
        <f t="shared" si="421"/>
        <v>7.3499999999999996E-2</v>
      </c>
      <c r="L1202">
        <f t="shared" si="423"/>
        <v>559.21</v>
      </c>
      <c r="M1202">
        <f>IF(A1202&gt;=Quarterly!B$2,Quarterly!D$2,IF(COUNTIFS(Quarterly!B:B,"&gt;="&amp;A1202-92,Quarterly!B:B,"&lt;="&amp;A1202)&gt;1,SUMIFS(Quarterly!D:D,Quarterly!B:B,"&gt;="&amp;A1202-88,Quarterly!B:B,"&lt;="&amp;A1202),SUMIFS(Quarterly!D:D,Quarterly!B:B,"&gt;="&amp;A1202-92,Quarterly!B:B,"&lt;="&amp;A1202)))</f>
        <v>467.43799999999999</v>
      </c>
      <c r="N1202" s="13">
        <f t="shared" si="424"/>
        <v>0.11963</v>
      </c>
      <c r="O1202">
        <f t="shared" si="412"/>
        <v>559.21</v>
      </c>
      <c r="P1202" s="56">
        <f>VLOOKUP(EOMONTH(A1202,-1),Economic!A:I,7,FALSE)</f>
        <v>646152</v>
      </c>
      <c r="Q1202" s="13">
        <f t="shared" si="413"/>
        <v>8.6499999999999994E-2</v>
      </c>
      <c r="R1202" s="41">
        <v>0.44</v>
      </c>
      <c r="S1202">
        <f t="shared" si="414"/>
        <v>1.26</v>
      </c>
      <c r="T1202" s="30">
        <f t="shared" si="415"/>
        <v>203.66</v>
      </c>
      <c r="U1202" s="30">
        <f t="shared" si="422"/>
        <v>202.53</v>
      </c>
    </row>
    <row r="1203" spans="1:21" ht="15" customHeight="1" x14ac:dyDescent="0.25">
      <c r="A1203" s="5">
        <v>34924</v>
      </c>
      <c r="B1203" s="5">
        <f t="shared" si="416"/>
        <v>34942</v>
      </c>
      <c r="C1203">
        <v>555.11</v>
      </c>
      <c r="D1203" s="29">
        <f t="shared" si="417"/>
        <v>-6.7000000000000002E-3</v>
      </c>
      <c r="E1203" s="39">
        <f t="shared" si="418"/>
        <v>544.95692307692309</v>
      </c>
      <c r="F1203" s="39">
        <f t="shared" si="419"/>
        <v>503.20717948717942</v>
      </c>
      <c r="G1203" s="29">
        <f t="shared" si="411"/>
        <v>1.8599999999999998E-2</v>
      </c>
      <c r="H1203" s="29">
        <f t="shared" si="411"/>
        <v>0.1031</v>
      </c>
      <c r="I1203">
        <f t="shared" si="420"/>
        <v>555.11</v>
      </c>
      <c r="J1203">
        <f>IF(A1203&gt;=Quarterly!B$2,Quarterly!C$2,IF(COUNTIFS(Quarterly!B:B,"&gt;="&amp;A1203-92,Quarterly!B:B,"&lt;="&amp;A1203)&gt;1,SUMIFS(Quarterly!C:C,Quarterly!B:B,"&gt;="&amp;A1203-88,Quarterly!B:B,"&lt;="&amp;A1203),SUMIFS(Quarterly!C:C,Quarterly!B:B,"&gt;="&amp;A1203-92,Quarterly!B:B,"&lt;="&amp;A1203)))</f>
        <v>7604.9</v>
      </c>
      <c r="K1203" s="13">
        <f t="shared" si="421"/>
        <v>7.2999999999999995E-2</v>
      </c>
      <c r="L1203">
        <f t="shared" si="423"/>
        <v>555.11</v>
      </c>
      <c r="M1203">
        <f>IF(A1203&gt;=Quarterly!B$2,Quarterly!D$2,IF(COUNTIFS(Quarterly!B:B,"&gt;="&amp;A1203-92,Quarterly!B:B,"&lt;="&amp;A1203)&gt;1,SUMIFS(Quarterly!D:D,Quarterly!B:B,"&gt;="&amp;A1203-88,Quarterly!B:B,"&lt;="&amp;A1203),SUMIFS(Quarterly!D:D,Quarterly!B:B,"&gt;="&amp;A1203-92,Quarterly!B:B,"&lt;="&amp;A1203)))</f>
        <v>467.43799999999999</v>
      </c>
      <c r="N1203" s="13">
        <f t="shared" si="424"/>
        <v>0.11876</v>
      </c>
      <c r="O1203">
        <f t="shared" si="412"/>
        <v>555.11</v>
      </c>
      <c r="P1203" s="56">
        <f>VLOOKUP(EOMONTH(A1203,-1),Economic!A:I,7,FALSE)</f>
        <v>646152</v>
      </c>
      <c r="Q1203" s="13">
        <f t="shared" si="413"/>
        <v>8.589999999999999E-2</v>
      </c>
      <c r="R1203" s="41">
        <v>0.54</v>
      </c>
      <c r="S1203">
        <f t="shared" si="414"/>
        <v>1.18</v>
      </c>
      <c r="T1203" s="30">
        <f t="shared" si="415"/>
        <v>202.23</v>
      </c>
      <c r="U1203" s="30">
        <f t="shared" si="422"/>
        <v>201.33</v>
      </c>
    </row>
    <row r="1204" spans="1:21" ht="15" customHeight="1" x14ac:dyDescent="0.25">
      <c r="A1204" s="5">
        <v>34917</v>
      </c>
      <c r="B1204" s="5">
        <f t="shared" si="416"/>
        <v>34942</v>
      </c>
      <c r="C1204">
        <v>558.94000000000005</v>
      </c>
      <c r="D1204" s="29">
        <f t="shared" si="417"/>
        <v>1.2999999999999999E-3</v>
      </c>
      <c r="E1204" s="39">
        <f t="shared" si="418"/>
        <v>542.6830769230769</v>
      </c>
      <c r="F1204" s="39">
        <f t="shared" si="419"/>
        <v>500.82871794871784</v>
      </c>
      <c r="G1204" s="29">
        <f t="shared" si="411"/>
        <v>0.03</v>
      </c>
      <c r="H1204" s="29">
        <f t="shared" si="411"/>
        <v>0.11600000000000001</v>
      </c>
      <c r="I1204">
        <f t="shared" si="420"/>
        <v>558.94000000000005</v>
      </c>
      <c r="J1204">
        <f>IF(A1204&gt;=Quarterly!B$2,Quarterly!C$2,IF(COUNTIFS(Quarterly!B:B,"&gt;="&amp;A1204-92,Quarterly!B:B,"&lt;="&amp;A1204)&gt;1,SUMIFS(Quarterly!C:C,Quarterly!B:B,"&gt;="&amp;A1204-88,Quarterly!B:B,"&lt;="&amp;A1204),SUMIFS(Quarterly!C:C,Quarterly!B:B,"&gt;="&amp;A1204-92,Quarterly!B:B,"&lt;="&amp;A1204)))</f>
        <v>7604.9</v>
      </c>
      <c r="K1204" s="13">
        <f t="shared" si="421"/>
        <v>7.3499999999999996E-2</v>
      </c>
      <c r="L1204">
        <f t="shared" si="423"/>
        <v>558.94000000000005</v>
      </c>
      <c r="M1204">
        <f>IF(A1204&gt;=Quarterly!B$2,Quarterly!D$2,IF(COUNTIFS(Quarterly!B:B,"&gt;="&amp;A1204-92,Quarterly!B:B,"&lt;="&amp;A1204)&gt;1,SUMIFS(Quarterly!D:D,Quarterly!B:B,"&gt;="&amp;A1204-88,Quarterly!B:B,"&lt;="&amp;A1204),SUMIFS(Quarterly!D:D,Quarterly!B:B,"&gt;="&amp;A1204-92,Quarterly!B:B,"&lt;="&amp;A1204)))</f>
        <v>467.43799999999999</v>
      </c>
      <c r="N1204" s="13">
        <f t="shared" si="424"/>
        <v>0.11958000000000001</v>
      </c>
      <c r="O1204">
        <f t="shared" si="412"/>
        <v>558.94000000000005</v>
      </c>
      <c r="P1204" s="56">
        <f>VLOOKUP(EOMONTH(A1204,-1),Economic!A:I,7,FALSE)</f>
        <v>646152</v>
      </c>
      <c r="Q1204" s="13">
        <f t="shared" si="413"/>
        <v>8.6499999999999994E-2</v>
      </c>
      <c r="R1204" s="41">
        <v>0.59</v>
      </c>
      <c r="S1204">
        <f t="shared" si="414"/>
        <v>1.1399999999999999</v>
      </c>
      <c r="T1204" s="30">
        <f t="shared" si="415"/>
        <v>201.7</v>
      </c>
      <c r="U1204" s="30">
        <f t="shared" si="422"/>
        <v>201.91</v>
      </c>
    </row>
    <row r="1205" spans="1:21" ht="15" customHeight="1" x14ac:dyDescent="0.25">
      <c r="A1205" s="5">
        <v>34910</v>
      </c>
      <c r="B1205" s="5">
        <f t="shared" si="416"/>
        <v>34911</v>
      </c>
      <c r="C1205">
        <v>562.92999999999995</v>
      </c>
      <c r="D1205" s="29">
        <f t="shared" si="417"/>
        <v>1.67E-2</v>
      </c>
      <c r="E1205" s="39">
        <f t="shared" si="418"/>
        <v>539.69692307692299</v>
      </c>
      <c r="F1205" s="39">
        <f t="shared" si="419"/>
        <v>498.35025641025629</v>
      </c>
      <c r="G1205" s="29">
        <f t="shared" si="411"/>
        <v>4.2999999999999997E-2</v>
      </c>
      <c r="H1205" s="29">
        <f t="shared" si="411"/>
        <v>0.12959999999999999</v>
      </c>
      <c r="I1205">
        <f t="shared" si="420"/>
        <v>562.92999999999995</v>
      </c>
      <c r="J1205">
        <f>IF(A1205&gt;=Quarterly!B$2,Quarterly!C$2,IF(COUNTIFS(Quarterly!B:B,"&gt;="&amp;A1205-92,Quarterly!B:B,"&lt;="&amp;A1205)&gt;1,SUMIFS(Quarterly!C:C,Quarterly!B:B,"&gt;="&amp;A1205-88,Quarterly!B:B,"&lt;="&amp;A1205),SUMIFS(Quarterly!C:C,Quarterly!B:B,"&gt;="&amp;A1205-92,Quarterly!B:B,"&lt;="&amp;A1205)))</f>
        <v>7545.3</v>
      </c>
      <c r="K1205" s="13">
        <f t="shared" si="421"/>
        <v>7.46E-2</v>
      </c>
      <c r="L1205">
        <f t="shared" si="423"/>
        <v>562.92999999999995</v>
      </c>
      <c r="M1205">
        <f>IF(A1205&gt;=Quarterly!B$2,Quarterly!D$2,IF(COUNTIFS(Quarterly!B:B,"&gt;="&amp;A1205-92,Quarterly!B:B,"&lt;="&amp;A1205)&gt;1,SUMIFS(Quarterly!D:D,Quarterly!B:B,"&gt;="&amp;A1205-88,Quarterly!B:B,"&lt;="&amp;A1205),SUMIFS(Quarterly!D:D,Quarterly!B:B,"&gt;="&amp;A1205-92,Quarterly!B:B,"&lt;="&amp;A1205)))</f>
        <v>444.779</v>
      </c>
      <c r="N1205" s="13">
        <f t="shared" si="424"/>
        <v>0.12656000000000001</v>
      </c>
      <c r="O1205">
        <f t="shared" si="412"/>
        <v>562.92999999999995</v>
      </c>
      <c r="P1205" s="56">
        <f>VLOOKUP(EOMONTH(A1205,-1),Economic!A:I,7,FALSE)</f>
        <v>645334</v>
      </c>
      <c r="Q1205" s="13">
        <f t="shared" si="413"/>
        <v>8.72E-2</v>
      </c>
      <c r="R1205" s="41">
        <v>0.56999999999999995</v>
      </c>
      <c r="S1205">
        <f t="shared" si="414"/>
        <v>1.1499999999999999</v>
      </c>
      <c r="T1205" s="30">
        <f t="shared" si="415"/>
        <v>200.06</v>
      </c>
      <c r="U1205" s="30">
        <f t="shared" si="422"/>
        <v>203.38</v>
      </c>
    </row>
    <row r="1206" spans="1:21" ht="15" customHeight="1" x14ac:dyDescent="0.25">
      <c r="A1206" s="5">
        <v>34903</v>
      </c>
      <c r="B1206" s="5">
        <f t="shared" si="416"/>
        <v>34911</v>
      </c>
      <c r="C1206">
        <v>553.62</v>
      </c>
      <c r="D1206" s="29">
        <f t="shared" si="417"/>
        <v>1.6999999999999999E-3</v>
      </c>
      <c r="E1206" s="39">
        <f t="shared" si="418"/>
        <v>535.98769230769221</v>
      </c>
      <c r="F1206" s="39">
        <f t="shared" si="419"/>
        <v>496.06410256410248</v>
      </c>
      <c r="G1206" s="29">
        <f t="shared" si="411"/>
        <v>3.2899999999999999E-2</v>
      </c>
      <c r="H1206" s="29">
        <f t="shared" si="411"/>
        <v>0.11600000000000001</v>
      </c>
      <c r="I1206">
        <f t="shared" si="420"/>
        <v>553.62</v>
      </c>
      <c r="J1206">
        <f>IF(A1206&gt;=Quarterly!B$2,Quarterly!C$2,IF(COUNTIFS(Quarterly!B:B,"&gt;="&amp;A1206-92,Quarterly!B:B,"&lt;="&amp;A1206)&gt;1,SUMIFS(Quarterly!C:C,Quarterly!B:B,"&gt;="&amp;A1206-88,Quarterly!B:B,"&lt;="&amp;A1206),SUMIFS(Quarterly!C:C,Quarterly!B:B,"&gt;="&amp;A1206-92,Quarterly!B:B,"&lt;="&amp;A1206)))</f>
        <v>7545.3</v>
      </c>
      <c r="K1206" s="13">
        <f t="shared" si="421"/>
        <v>7.3400000000000007E-2</v>
      </c>
      <c r="L1206">
        <f t="shared" si="423"/>
        <v>553.62</v>
      </c>
      <c r="M1206">
        <f>IF(A1206&gt;=Quarterly!B$2,Quarterly!D$2,IF(COUNTIFS(Quarterly!B:B,"&gt;="&amp;A1206-92,Quarterly!B:B,"&lt;="&amp;A1206)&gt;1,SUMIFS(Quarterly!D:D,Quarterly!B:B,"&gt;="&amp;A1206-88,Quarterly!B:B,"&lt;="&amp;A1206),SUMIFS(Quarterly!D:D,Quarterly!B:B,"&gt;="&amp;A1206-92,Quarterly!B:B,"&lt;="&amp;A1206)))</f>
        <v>444.779</v>
      </c>
      <c r="N1206" s="13">
        <f t="shared" si="424"/>
        <v>0.12447</v>
      </c>
      <c r="O1206">
        <f t="shared" si="412"/>
        <v>553.62</v>
      </c>
      <c r="P1206" s="56">
        <f>VLOOKUP(EOMONTH(A1206,-1),Economic!A:I,7,FALSE)</f>
        <v>645334</v>
      </c>
      <c r="Q1206" s="13">
        <f t="shared" si="413"/>
        <v>8.5800000000000001E-2</v>
      </c>
      <c r="R1206" s="41">
        <v>0.57999999999999996</v>
      </c>
      <c r="S1206">
        <f t="shared" si="414"/>
        <v>1.22</v>
      </c>
      <c r="T1206" s="30">
        <f t="shared" si="415"/>
        <v>203.98</v>
      </c>
      <c r="U1206" s="30">
        <f t="shared" si="422"/>
        <v>205.9</v>
      </c>
    </row>
    <row r="1207" spans="1:21" ht="15" customHeight="1" x14ac:dyDescent="0.25">
      <c r="A1207" s="5">
        <v>34896</v>
      </c>
      <c r="B1207" s="5">
        <f t="shared" si="416"/>
        <v>34911</v>
      </c>
      <c r="C1207">
        <v>559.89</v>
      </c>
      <c r="D1207" s="29">
        <f t="shared" si="417"/>
        <v>2.23E-2</v>
      </c>
      <c r="E1207" s="39">
        <f t="shared" si="418"/>
        <v>532.51615384615388</v>
      </c>
      <c r="F1207" s="39">
        <f t="shared" si="419"/>
        <v>493.78897435897426</v>
      </c>
      <c r="G1207" s="29">
        <f t="shared" si="411"/>
        <v>5.1400000000000001E-2</v>
      </c>
      <c r="H1207" s="29">
        <f t="shared" si="411"/>
        <v>0.13389999999999999</v>
      </c>
      <c r="I1207">
        <f t="shared" si="420"/>
        <v>559.89</v>
      </c>
      <c r="J1207">
        <f>IF(A1207&gt;=Quarterly!B$2,Quarterly!C$2,IF(COUNTIFS(Quarterly!B:B,"&gt;="&amp;A1207-92,Quarterly!B:B,"&lt;="&amp;A1207)&gt;1,SUMIFS(Quarterly!C:C,Quarterly!B:B,"&gt;="&amp;A1207-88,Quarterly!B:B,"&lt;="&amp;A1207),SUMIFS(Quarterly!C:C,Quarterly!B:B,"&gt;="&amp;A1207-92,Quarterly!B:B,"&lt;="&amp;A1207)))</f>
        <v>7545.3</v>
      </c>
      <c r="K1207" s="13">
        <f t="shared" si="421"/>
        <v>7.4200000000000002E-2</v>
      </c>
      <c r="L1207">
        <f t="shared" si="423"/>
        <v>559.89</v>
      </c>
      <c r="M1207">
        <f>IF(A1207&gt;=Quarterly!B$2,Quarterly!D$2,IF(COUNTIFS(Quarterly!B:B,"&gt;="&amp;A1207-92,Quarterly!B:B,"&lt;="&amp;A1207)&gt;1,SUMIFS(Quarterly!D:D,Quarterly!B:B,"&gt;="&amp;A1207-88,Quarterly!B:B,"&lt;="&amp;A1207),SUMIFS(Quarterly!D:D,Quarterly!B:B,"&gt;="&amp;A1207-92,Quarterly!B:B,"&lt;="&amp;A1207)))</f>
        <v>444.779</v>
      </c>
      <c r="N1207" s="13">
        <f t="shared" si="424"/>
        <v>0.12587999999999999</v>
      </c>
      <c r="O1207">
        <f t="shared" si="412"/>
        <v>559.89</v>
      </c>
      <c r="P1207" s="56">
        <f>VLOOKUP(EOMONTH(A1207,-1),Economic!A:I,7,FALSE)</f>
        <v>645334</v>
      </c>
      <c r="Q1207" s="13">
        <f t="shared" si="413"/>
        <v>8.6800000000000002E-2</v>
      </c>
      <c r="R1207" s="41">
        <v>0.45</v>
      </c>
      <c r="S1207">
        <f t="shared" si="414"/>
        <v>1.24</v>
      </c>
      <c r="T1207" s="30">
        <f t="shared" si="415"/>
        <v>206.09</v>
      </c>
      <c r="U1207" s="30">
        <f t="shared" si="422"/>
        <v>208.73</v>
      </c>
    </row>
    <row r="1208" spans="1:21" ht="15" customHeight="1" x14ac:dyDescent="0.25">
      <c r="A1208" s="5">
        <v>34889</v>
      </c>
      <c r="B1208" s="5">
        <f t="shared" si="416"/>
        <v>34911</v>
      </c>
      <c r="C1208">
        <v>556.37</v>
      </c>
      <c r="D1208" s="29">
        <f t="shared" si="417"/>
        <v>2.93E-2</v>
      </c>
      <c r="E1208" s="39">
        <f t="shared" si="418"/>
        <v>528.61923076923074</v>
      </c>
      <c r="F1208" s="39">
        <f t="shared" si="419"/>
        <v>491.46102564102546</v>
      </c>
      <c r="G1208" s="29">
        <f t="shared" si="411"/>
        <v>5.2499999999999998E-2</v>
      </c>
      <c r="H1208" s="29">
        <f t="shared" si="411"/>
        <v>0.1321</v>
      </c>
      <c r="I1208">
        <f t="shared" si="420"/>
        <v>556.37</v>
      </c>
      <c r="J1208">
        <f>IF(A1208&gt;=Quarterly!B$2,Quarterly!C$2,IF(COUNTIFS(Quarterly!B:B,"&gt;="&amp;A1208-92,Quarterly!B:B,"&lt;="&amp;A1208)&gt;1,SUMIFS(Quarterly!C:C,Quarterly!B:B,"&gt;="&amp;A1208-88,Quarterly!B:B,"&lt;="&amp;A1208),SUMIFS(Quarterly!C:C,Quarterly!B:B,"&gt;="&amp;A1208-92,Quarterly!B:B,"&lt;="&amp;A1208)))</f>
        <v>7545.3</v>
      </c>
      <c r="K1208" s="13">
        <f t="shared" si="421"/>
        <v>7.3700000000000002E-2</v>
      </c>
      <c r="L1208">
        <f t="shared" si="423"/>
        <v>556.37</v>
      </c>
      <c r="M1208">
        <f>IF(A1208&gt;=Quarterly!B$2,Quarterly!D$2,IF(COUNTIFS(Quarterly!B:B,"&gt;="&amp;A1208-92,Quarterly!B:B,"&lt;="&amp;A1208)&gt;1,SUMIFS(Quarterly!D:D,Quarterly!B:B,"&gt;="&amp;A1208-88,Quarterly!B:B,"&lt;="&amp;A1208),SUMIFS(Quarterly!D:D,Quarterly!B:B,"&gt;="&amp;A1208-92,Quarterly!B:B,"&lt;="&amp;A1208)))</f>
        <v>444.779</v>
      </c>
      <c r="N1208" s="13">
        <f t="shared" si="424"/>
        <v>0.12509000000000001</v>
      </c>
      <c r="O1208">
        <f t="shared" si="412"/>
        <v>556.37</v>
      </c>
      <c r="P1208" s="56">
        <f>VLOOKUP(EOMONTH(A1208,-1),Economic!A:I,7,FALSE)</f>
        <v>645334</v>
      </c>
      <c r="Q1208" s="13">
        <f t="shared" si="413"/>
        <v>8.6199999999999999E-2</v>
      </c>
      <c r="R1208" s="41">
        <v>0.5</v>
      </c>
      <c r="S1208">
        <f t="shared" si="414"/>
        <v>1.23</v>
      </c>
      <c r="T1208" s="30">
        <f t="shared" si="415"/>
        <v>207.62</v>
      </c>
      <c r="U1208" s="30">
        <f t="shared" si="422"/>
        <v>211.11</v>
      </c>
    </row>
    <row r="1209" spans="1:21" ht="15" customHeight="1" x14ac:dyDescent="0.25">
      <c r="A1209" s="5">
        <v>34882</v>
      </c>
      <c r="B1209" s="5">
        <f t="shared" si="416"/>
        <v>34911</v>
      </c>
      <c r="C1209">
        <v>544.75</v>
      </c>
      <c r="D1209" s="29">
        <f t="shared" si="417"/>
        <v>1.35E-2</v>
      </c>
      <c r="E1209" s="39">
        <f t="shared" si="418"/>
        <v>524.77692307692314</v>
      </c>
      <c r="F1209" s="39">
        <f t="shared" si="419"/>
        <v>488.86435897435877</v>
      </c>
      <c r="G1209" s="29">
        <f t="shared" si="411"/>
        <v>3.8100000000000002E-2</v>
      </c>
      <c r="H1209" s="29">
        <f t="shared" si="411"/>
        <v>0.1143</v>
      </c>
      <c r="I1209">
        <f t="shared" si="420"/>
        <v>544.75</v>
      </c>
      <c r="J1209">
        <f>IF(A1209&gt;=Quarterly!B$2,Quarterly!C$2,IF(COUNTIFS(Quarterly!B:B,"&gt;="&amp;A1209-92,Quarterly!B:B,"&lt;="&amp;A1209)&gt;1,SUMIFS(Quarterly!C:C,Quarterly!B:B,"&gt;="&amp;A1209-88,Quarterly!B:B,"&lt;="&amp;A1209),SUMIFS(Quarterly!C:C,Quarterly!B:B,"&gt;="&amp;A1209-92,Quarterly!B:B,"&lt;="&amp;A1209)))</f>
        <v>7545.3</v>
      </c>
      <c r="K1209" s="13">
        <f t="shared" si="421"/>
        <v>7.22E-2</v>
      </c>
      <c r="L1209">
        <f t="shared" si="423"/>
        <v>544.75</v>
      </c>
      <c r="M1209">
        <f>IF(A1209&gt;=Quarterly!B$2,Quarterly!D$2,IF(COUNTIFS(Quarterly!B:B,"&gt;="&amp;A1209-92,Quarterly!B:B,"&lt;="&amp;A1209)&gt;1,SUMIFS(Quarterly!D:D,Quarterly!B:B,"&gt;="&amp;A1209-88,Quarterly!B:B,"&lt;="&amp;A1209),SUMIFS(Quarterly!D:D,Quarterly!B:B,"&gt;="&amp;A1209-92,Quarterly!B:B,"&lt;="&amp;A1209)))</f>
        <v>444.779</v>
      </c>
      <c r="N1209" s="13">
        <f t="shared" si="424"/>
        <v>0.12248000000000002</v>
      </c>
      <c r="O1209">
        <f t="shared" si="412"/>
        <v>544.75</v>
      </c>
      <c r="P1209" s="56">
        <f>VLOOKUP(EOMONTH(A1209,-1),Economic!A:I,7,FALSE)</f>
        <v>645334</v>
      </c>
      <c r="Q1209" s="13">
        <f t="shared" si="413"/>
        <v>8.4400000000000003E-2</v>
      </c>
      <c r="R1209" s="41">
        <v>0.42</v>
      </c>
      <c r="S1209">
        <f t="shared" si="414"/>
        <v>1.33</v>
      </c>
      <c r="T1209" s="30">
        <f t="shared" si="415"/>
        <v>212.49</v>
      </c>
      <c r="U1209" s="30">
        <f t="shared" si="422"/>
        <v>215.21</v>
      </c>
    </row>
    <row r="1210" spans="1:21" ht="15" customHeight="1" x14ac:dyDescent="0.25">
      <c r="A1210" s="5">
        <v>34875</v>
      </c>
      <c r="B1210" s="5">
        <f t="shared" si="416"/>
        <v>34880</v>
      </c>
      <c r="C1210">
        <v>549.71</v>
      </c>
      <c r="D1210" s="29">
        <f t="shared" si="417"/>
        <v>3.5299999999999998E-2</v>
      </c>
      <c r="E1210" s="39">
        <f t="shared" si="418"/>
        <v>521.38923076923083</v>
      </c>
      <c r="F1210" s="39">
        <f t="shared" si="419"/>
        <v>486.76076923076909</v>
      </c>
      <c r="G1210" s="29">
        <f t="shared" si="411"/>
        <v>5.4300000000000001E-2</v>
      </c>
      <c r="H1210" s="29">
        <f t="shared" si="411"/>
        <v>0.1293</v>
      </c>
      <c r="I1210">
        <f t="shared" si="420"/>
        <v>549.71</v>
      </c>
      <c r="J1210">
        <f>IF(A1210&gt;=Quarterly!B$2,Quarterly!C$2,IF(COUNTIFS(Quarterly!B:B,"&gt;="&amp;A1210-92,Quarterly!B:B,"&lt;="&amp;A1210)&gt;1,SUMIFS(Quarterly!C:C,Quarterly!B:B,"&gt;="&amp;A1210-88,Quarterly!B:B,"&lt;="&amp;A1210),SUMIFS(Quarterly!C:C,Quarterly!B:B,"&gt;="&amp;A1210-92,Quarterly!B:B,"&lt;="&amp;A1210)))</f>
        <v>7545.3</v>
      </c>
      <c r="K1210" s="13">
        <f t="shared" si="421"/>
        <v>7.2900000000000006E-2</v>
      </c>
      <c r="L1210">
        <f t="shared" si="423"/>
        <v>549.71</v>
      </c>
      <c r="M1210">
        <f>IF(A1210&gt;=Quarterly!B$2,Quarterly!D$2,IF(COUNTIFS(Quarterly!B:B,"&gt;="&amp;A1210-92,Quarterly!B:B,"&lt;="&amp;A1210)&gt;1,SUMIFS(Quarterly!D:D,Quarterly!B:B,"&gt;="&amp;A1210-88,Quarterly!B:B,"&lt;="&amp;A1210),SUMIFS(Quarterly!D:D,Quarterly!B:B,"&gt;="&amp;A1210-92,Quarterly!B:B,"&lt;="&amp;A1210)))</f>
        <v>444.779</v>
      </c>
      <c r="N1210" s="13">
        <f t="shared" si="424"/>
        <v>0.12359000000000001</v>
      </c>
      <c r="O1210">
        <f t="shared" si="412"/>
        <v>549.71</v>
      </c>
      <c r="P1210" s="56">
        <f>VLOOKUP(EOMONTH(A1210,-1),Economic!A:I,7,FALSE)</f>
        <v>643708</v>
      </c>
      <c r="Q1210" s="13">
        <f t="shared" si="413"/>
        <v>8.5400000000000004E-2</v>
      </c>
      <c r="R1210" s="41">
        <v>0.42</v>
      </c>
      <c r="S1210">
        <f t="shared" si="414"/>
        <v>1.31</v>
      </c>
      <c r="T1210" s="30">
        <f t="shared" si="415"/>
        <v>213.21</v>
      </c>
      <c r="U1210" s="30">
        <f t="shared" si="422"/>
        <v>218.69</v>
      </c>
    </row>
    <row r="1211" spans="1:21" ht="15" customHeight="1" x14ac:dyDescent="0.25">
      <c r="A1211" s="5">
        <v>34868</v>
      </c>
      <c r="B1211" s="5">
        <f t="shared" si="416"/>
        <v>34880</v>
      </c>
      <c r="C1211">
        <v>539.83000000000004</v>
      </c>
      <c r="D1211" s="29">
        <f t="shared" si="417"/>
        <v>2.6599999999999999E-2</v>
      </c>
      <c r="E1211" s="39">
        <f t="shared" si="418"/>
        <v>517.64</v>
      </c>
      <c r="F1211" s="39">
        <f t="shared" si="419"/>
        <v>484.452051282051</v>
      </c>
      <c r="G1211" s="29">
        <f t="shared" si="411"/>
        <v>4.2900000000000001E-2</v>
      </c>
      <c r="H1211" s="29">
        <f t="shared" si="411"/>
        <v>0.1143</v>
      </c>
      <c r="I1211">
        <f t="shared" si="420"/>
        <v>539.83000000000004</v>
      </c>
      <c r="J1211">
        <f>IF(A1211&gt;=Quarterly!B$2,Quarterly!C$2,IF(COUNTIFS(Quarterly!B:B,"&gt;="&amp;A1211-92,Quarterly!B:B,"&lt;="&amp;A1211)&gt;1,SUMIFS(Quarterly!C:C,Quarterly!B:B,"&gt;="&amp;A1211-88,Quarterly!B:B,"&lt;="&amp;A1211),SUMIFS(Quarterly!C:C,Quarterly!B:B,"&gt;="&amp;A1211-92,Quarterly!B:B,"&lt;="&amp;A1211)))</f>
        <v>7545.3</v>
      </c>
      <c r="K1211" s="13">
        <f t="shared" si="421"/>
        <v>7.1499999999999994E-2</v>
      </c>
      <c r="L1211">
        <f t="shared" si="423"/>
        <v>539.83000000000004</v>
      </c>
      <c r="M1211">
        <f>IF(A1211&gt;=Quarterly!B$2,Quarterly!D$2,IF(COUNTIFS(Quarterly!B:B,"&gt;="&amp;A1211-92,Quarterly!B:B,"&lt;="&amp;A1211)&gt;1,SUMIFS(Quarterly!D:D,Quarterly!B:B,"&gt;="&amp;A1211-88,Quarterly!B:B,"&lt;="&amp;A1211),SUMIFS(Quarterly!D:D,Quarterly!B:B,"&gt;="&amp;A1211-92,Quarterly!B:B,"&lt;="&amp;A1211)))</f>
        <v>444.779</v>
      </c>
      <c r="N1211" s="13">
        <f t="shared" si="424"/>
        <v>0.12137000000000001</v>
      </c>
      <c r="O1211">
        <f t="shared" si="412"/>
        <v>539.83000000000004</v>
      </c>
      <c r="P1211" s="56">
        <f>VLOOKUP(EOMONTH(A1211,-1),Economic!A:I,7,FALSE)</f>
        <v>643708</v>
      </c>
      <c r="Q1211" s="13">
        <f t="shared" si="413"/>
        <v>8.3900000000000002E-2</v>
      </c>
      <c r="R1211" s="41">
        <v>0.44</v>
      </c>
      <c r="S1211">
        <f t="shared" si="414"/>
        <v>1.46</v>
      </c>
      <c r="T1211" s="30">
        <f t="shared" si="415"/>
        <v>219.93</v>
      </c>
      <c r="U1211" s="30">
        <f t="shared" si="422"/>
        <v>222.94</v>
      </c>
    </row>
    <row r="1212" spans="1:21" ht="15" customHeight="1" x14ac:dyDescent="0.25">
      <c r="A1212" s="5">
        <v>34861</v>
      </c>
      <c r="B1212" s="5">
        <f t="shared" si="416"/>
        <v>34880</v>
      </c>
      <c r="C1212">
        <v>527.94000000000005</v>
      </c>
      <c r="D1212" s="29">
        <f t="shared" si="417"/>
        <v>5.1999999999999998E-3</v>
      </c>
      <c r="E1212" s="39">
        <f t="shared" si="418"/>
        <v>514.23153846153843</v>
      </c>
      <c r="F1212" s="39">
        <f t="shared" si="419"/>
        <v>482.69205128205107</v>
      </c>
      <c r="G1212" s="29">
        <f t="shared" si="411"/>
        <v>2.6700000000000002E-2</v>
      </c>
      <c r="H1212" s="29">
        <f t="shared" si="411"/>
        <v>9.3700000000000006E-2</v>
      </c>
      <c r="I1212">
        <f t="shared" si="420"/>
        <v>527.94000000000005</v>
      </c>
      <c r="J1212">
        <f>IF(A1212&gt;=Quarterly!B$2,Quarterly!C$2,IF(COUNTIFS(Quarterly!B:B,"&gt;="&amp;A1212-92,Quarterly!B:B,"&lt;="&amp;A1212)&gt;1,SUMIFS(Quarterly!C:C,Quarterly!B:B,"&gt;="&amp;A1212-88,Quarterly!B:B,"&lt;="&amp;A1212),SUMIFS(Quarterly!C:C,Quarterly!B:B,"&gt;="&amp;A1212-92,Quarterly!B:B,"&lt;="&amp;A1212)))</f>
        <v>7545.3</v>
      </c>
      <c r="K1212" s="13">
        <f t="shared" si="421"/>
        <v>7.0000000000000007E-2</v>
      </c>
      <c r="L1212">
        <f t="shared" si="423"/>
        <v>527.94000000000005</v>
      </c>
      <c r="M1212">
        <f>IF(A1212&gt;=Quarterly!B$2,Quarterly!D$2,IF(COUNTIFS(Quarterly!B:B,"&gt;="&amp;A1212-92,Quarterly!B:B,"&lt;="&amp;A1212)&gt;1,SUMIFS(Quarterly!D:D,Quarterly!B:B,"&gt;="&amp;A1212-88,Quarterly!B:B,"&lt;="&amp;A1212),SUMIFS(Quarterly!D:D,Quarterly!B:B,"&gt;="&amp;A1212-92,Quarterly!B:B,"&lt;="&amp;A1212)))</f>
        <v>444.779</v>
      </c>
      <c r="N1212" s="13">
        <f t="shared" si="424"/>
        <v>0.11870000000000001</v>
      </c>
      <c r="O1212">
        <f t="shared" si="412"/>
        <v>527.94000000000005</v>
      </c>
      <c r="P1212" s="56">
        <f>VLOOKUP(EOMONTH(A1212,-1),Economic!A:I,7,FALSE)</f>
        <v>643708</v>
      </c>
      <c r="Q1212" s="13">
        <f t="shared" si="413"/>
        <v>8.2000000000000003E-2</v>
      </c>
      <c r="R1212" s="41">
        <v>0.39</v>
      </c>
      <c r="S1212">
        <f t="shared" si="414"/>
        <v>1.51</v>
      </c>
      <c r="T1212" s="30">
        <f t="shared" si="415"/>
        <v>222.94</v>
      </c>
      <c r="U1212" s="30">
        <f t="shared" si="422"/>
        <v>225</v>
      </c>
    </row>
    <row r="1213" spans="1:21" ht="15" customHeight="1" x14ac:dyDescent="0.25">
      <c r="A1213" s="5">
        <v>34854</v>
      </c>
      <c r="B1213" s="5">
        <f t="shared" si="416"/>
        <v>34880</v>
      </c>
      <c r="C1213">
        <v>532.51</v>
      </c>
      <c r="D1213" s="29">
        <f t="shared" si="417"/>
        <v>1.9900000000000001E-2</v>
      </c>
      <c r="E1213" s="39">
        <f t="shared" si="418"/>
        <v>511.28</v>
      </c>
      <c r="F1213" s="39">
        <f t="shared" si="419"/>
        <v>481.15974358974341</v>
      </c>
      <c r="G1213" s="29">
        <f t="shared" si="411"/>
        <v>4.1500000000000002E-2</v>
      </c>
      <c r="H1213" s="29">
        <f t="shared" si="411"/>
        <v>0.1067</v>
      </c>
      <c r="I1213">
        <f t="shared" si="420"/>
        <v>532.51</v>
      </c>
      <c r="J1213">
        <f>IF(A1213&gt;=Quarterly!B$2,Quarterly!C$2,IF(COUNTIFS(Quarterly!B:B,"&gt;="&amp;A1213-92,Quarterly!B:B,"&lt;="&amp;A1213)&gt;1,SUMIFS(Quarterly!C:C,Quarterly!B:B,"&gt;="&amp;A1213-88,Quarterly!B:B,"&lt;="&amp;A1213),SUMIFS(Quarterly!C:C,Quarterly!B:B,"&gt;="&amp;A1213-92,Quarterly!B:B,"&lt;="&amp;A1213)))</f>
        <v>7545.3</v>
      </c>
      <c r="K1213" s="13">
        <f t="shared" si="421"/>
        <v>7.0599999999999996E-2</v>
      </c>
      <c r="L1213">
        <f t="shared" si="423"/>
        <v>532.51</v>
      </c>
      <c r="M1213">
        <f>IF(A1213&gt;=Quarterly!B$2,Quarterly!D$2,IF(COUNTIFS(Quarterly!B:B,"&gt;="&amp;A1213-92,Quarterly!B:B,"&lt;="&amp;A1213)&gt;1,SUMIFS(Quarterly!D:D,Quarterly!B:B,"&gt;="&amp;A1213-88,Quarterly!B:B,"&lt;="&amp;A1213),SUMIFS(Quarterly!D:D,Quarterly!B:B,"&gt;="&amp;A1213-92,Quarterly!B:B,"&lt;="&amp;A1213)))</f>
        <v>444.779</v>
      </c>
      <c r="N1213" s="13">
        <f t="shared" si="424"/>
        <v>0.11972000000000001</v>
      </c>
      <c r="O1213">
        <f t="shared" si="412"/>
        <v>532.51</v>
      </c>
      <c r="P1213" s="56">
        <f>VLOOKUP(EOMONTH(A1213,-1),Economic!A:I,7,FALSE)</f>
        <v>643708</v>
      </c>
      <c r="Q1213" s="13">
        <f t="shared" si="413"/>
        <v>8.270000000000001E-2</v>
      </c>
      <c r="R1213" s="41">
        <v>0.56000000000000005</v>
      </c>
      <c r="S1213">
        <f t="shared" si="414"/>
        <v>1.56</v>
      </c>
      <c r="T1213" s="30">
        <f t="shared" si="415"/>
        <v>225.94</v>
      </c>
      <c r="U1213" s="30">
        <f t="shared" si="422"/>
        <v>225.96</v>
      </c>
    </row>
    <row r="1214" spans="1:21" ht="15" customHeight="1" x14ac:dyDescent="0.25">
      <c r="A1214" s="5">
        <v>34847</v>
      </c>
      <c r="B1214" s="5">
        <f t="shared" si="416"/>
        <v>34850</v>
      </c>
      <c r="C1214">
        <v>523.65</v>
      </c>
      <c r="D1214" s="29">
        <f t="shared" si="417"/>
        <v>7.1999999999999998E-3</v>
      </c>
      <c r="E1214" s="39">
        <f t="shared" si="418"/>
        <v>507.65769230769223</v>
      </c>
      <c r="F1214" s="39">
        <f t="shared" si="419"/>
        <v>479.58230769230767</v>
      </c>
      <c r="G1214" s="29">
        <f t="shared" si="411"/>
        <v>3.15E-2</v>
      </c>
      <c r="H1214" s="29">
        <f t="shared" si="411"/>
        <v>9.1899999999999996E-2</v>
      </c>
      <c r="I1214">
        <f t="shared" si="420"/>
        <v>523.65</v>
      </c>
      <c r="J1214">
        <f>IF(A1214&gt;=Quarterly!B$2,Quarterly!C$2,IF(COUNTIFS(Quarterly!B:B,"&gt;="&amp;A1214-92,Quarterly!B:B,"&lt;="&amp;A1214)&gt;1,SUMIFS(Quarterly!C:C,Quarterly!B:B,"&gt;="&amp;A1214-88,Quarterly!B:B,"&lt;="&amp;A1214),SUMIFS(Quarterly!C:C,Quarterly!B:B,"&gt;="&amp;A1214-92,Quarterly!B:B,"&lt;="&amp;A1214)))</f>
        <v>7545.3</v>
      </c>
      <c r="K1214" s="13">
        <f t="shared" si="421"/>
        <v>6.9400000000000003E-2</v>
      </c>
      <c r="L1214">
        <f t="shared" si="423"/>
        <v>523.65</v>
      </c>
      <c r="M1214">
        <f>IF(A1214&gt;=Quarterly!B$2,Quarterly!D$2,IF(COUNTIFS(Quarterly!B:B,"&gt;="&amp;A1214-92,Quarterly!B:B,"&lt;="&amp;A1214)&gt;1,SUMIFS(Quarterly!D:D,Quarterly!B:B,"&gt;="&amp;A1214-88,Quarterly!B:B,"&lt;="&amp;A1214),SUMIFS(Quarterly!D:D,Quarterly!B:B,"&gt;="&amp;A1214-92,Quarterly!B:B,"&lt;="&amp;A1214)))</f>
        <v>444.779</v>
      </c>
      <c r="N1214" s="13">
        <f t="shared" si="424"/>
        <v>0.11773</v>
      </c>
      <c r="O1214">
        <f t="shared" si="412"/>
        <v>523.65</v>
      </c>
      <c r="P1214" s="56">
        <f>VLOOKUP(EOMONTH(A1214,-1),Economic!A:I,7,FALSE)</f>
        <v>644107</v>
      </c>
      <c r="Q1214" s="13">
        <f t="shared" si="413"/>
        <v>8.1299999999999997E-2</v>
      </c>
      <c r="R1214" s="41">
        <v>0.43</v>
      </c>
      <c r="S1214">
        <f t="shared" si="414"/>
        <v>1.51</v>
      </c>
      <c r="T1214" s="30">
        <f t="shared" si="415"/>
        <v>226.12</v>
      </c>
      <c r="U1214" s="30">
        <f t="shared" si="422"/>
        <v>226.9</v>
      </c>
    </row>
    <row r="1215" spans="1:21" ht="15" customHeight="1" x14ac:dyDescent="0.25">
      <c r="A1215" s="5">
        <v>34840</v>
      </c>
      <c r="B1215" s="5">
        <f t="shared" si="416"/>
        <v>34850</v>
      </c>
      <c r="C1215">
        <v>519.19000000000005</v>
      </c>
      <c r="D1215" s="29">
        <f t="shared" si="417"/>
        <v>3.8E-3</v>
      </c>
      <c r="E1215" s="39">
        <f t="shared" si="418"/>
        <v>504.92384615384611</v>
      </c>
      <c r="F1215" s="39">
        <f t="shared" si="419"/>
        <v>478.30410256410249</v>
      </c>
      <c r="G1215" s="29">
        <f t="shared" si="411"/>
        <v>2.8299999999999999E-2</v>
      </c>
      <c r="H1215" s="29">
        <f t="shared" si="411"/>
        <v>8.5500000000000007E-2</v>
      </c>
      <c r="I1215">
        <f t="shared" si="420"/>
        <v>519.19000000000005</v>
      </c>
      <c r="J1215">
        <f>IF(A1215&gt;=Quarterly!B$2,Quarterly!C$2,IF(COUNTIFS(Quarterly!B:B,"&gt;="&amp;A1215-92,Quarterly!B:B,"&lt;="&amp;A1215)&gt;1,SUMIFS(Quarterly!C:C,Quarterly!B:B,"&gt;="&amp;A1215-88,Quarterly!B:B,"&lt;="&amp;A1215),SUMIFS(Quarterly!C:C,Quarterly!B:B,"&gt;="&amp;A1215-92,Quarterly!B:B,"&lt;="&amp;A1215)))</f>
        <v>7545.3</v>
      </c>
      <c r="K1215" s="13">
        <f t="shared" si="421"/>
        <v>6.88E-2</v>
      </c>
      <c r="L1215">
        <f t="shared" si="423"/>
        <v>519.19000000000005</v>
      </c>
      <c r="M1215">
        <f>IF(A1215&gt;=Quarterly!B$2,Quarterly!D$2,IF(COUNTIFS(Quarterly!B:B,"&gt;="&amp;A1215-92,Quarterly!B:B,"&lt;="&amp;A1215)&gt;1,SUMIFS(Quarterly!D:D,Quarterly!B:B,"&gt;="&amp;A1215-88,Quarterly!B:B,"&lt;="&amp;A1215),SUMIFS(Quarterly!D:D,Quarterly!B:B,"&gt;="&amp;A1215-92,Quarterly!B:B,"&lt;="&amp;A1215)))</f>
        <v>444.779</v>
      </c>
      <c r="N1215" s="13">
        <f t="shared" si="424"/>
        <v>0.11673</v>
      </c>
      <c r="O1215">
        <f t="shared" si="412"/>
        <v>519.19000000000005</v>
      </c>
      <c r="P1215" s="56">
        <f>VLOOKUP(EOMONTH(A1215,-1),Economic!A:I,7,FALSE)</f>
        <v>644107</v>
      </c>
      <c r="Q1215" s="13">
        <f t="shared" si="413"/>
        <v>8.0599999999999991E-2</v>
      </c>
      <c r="R1215" s="41">
        <v>0.42</v>
      </c>
      <c r="S1215">
        <f t="shared" si="414"/>
        <v>1.46</v>
      </c>
      <c r="T1215" s="30">
        <f t="shared" si="415"/>
        <v>225.83</v>
      </c>
      <c r="U1215" s="30">
        <f t="shared" si="422"/>
        <v>228.27</v>
      </c>
    </row>
    <row r="1216" spans="1:21" ht="15" customHeight="1" x14ac:dyDescent="0.25">
      <c r="A1216" s="5">
        <v>34833</v>
      </c>
      <c r="B1216" s="5">
        <f t="shared" si="416"/>
        <v>34850</v>
      </c>
      <c r="C1216">
        <v>525.54999999999995</v>
      </c>
      <c r="D1216" s="29">
        <f t="shared" si="417"/>
        <v>2.4199999999999999E-2</v>
      </c>
      <c r="E1216" s="39">
        <f t="shared" si="418"/>
        <v>502.06076923076915</v>
      </c>
      <c r="F1216" s="39">
        <f t="shared" si="419"/>
        <v>476.8807692307692</v>
      </c>
      <c r="G1216" s="29">
        <f t="shared" si="411"/>
        <v>4.6800000000000001E-2</v>
      </c>
      <c r="H1216" s="29">
        <f t="shared" si="411"/>
        <v>0.1021</v>
      </c>
      <c r="I1216">
        <f t="shared" si="420"/>
        <v>525.54999999999995</v>
      </c>
      <c r="J1216">
        <f>IF(A1216&gt;=Quarterly!B$2,Quarterly!C$2,IF(COUNTIFS(Quarterly!B:B,"&gt;="&amp;A1216-92,Quarterly!B:B,"&lt;="&amp;A1216)&gt;1,SUMIFS(Quarterly!C:C,Quarterly!B:B,"&gt;="&amp;A1216-88,Quarterly!B:B,"&lt;="&amp;A1216),SUMIFS(Quarterly!C:C,Quarterly!B:B,"&gt;="&amp;A1216-92,Quarterly!B:B,"&lt;="&amp;A1216)))</f>
        <v>7545.3</v>
      </c>
      <c r="K1216" s="13">
        <f t="shared" si="421"/>
        <v>6.9699999999999998E-2</v>
      </c>
      <c r="L1216">
        <f t="shared" si="423"/>
        <v>525.54999999999995</v>
      </c>
      <c r="M1216">
        <f>IF(A1216&gt;=Quarterly!B$2,Quarterly!D$2,IF(COUNTIFS(Quarterly!B:B,"&gt;="&amp;A1216-92,Quarterly!B:B,"&lt;="&amp;A1216)&gt;1,SUMIFS(Quarterly!D:D,Quarterly!B:B,"&gt;="&amp;A1216-88,Quarterly!B:B,"&lt;="&amp;A1216),SUMIFS(Quarterly!D:D,Quarterly!B:B,"&gt;="&amp;A1216-92,Quarterly!B:B,"&lt;="&amp;A1216)))</f>
        <v>444.779</v>
      </c>
      <c r="N1216" s="13">
        <f t="shared" si="424"/>
        <v>0.11816</v>
      </c>
      <c r="O1216">
        <f t="shared" si="412"/>
        <v>525.54999999999995</v>
      </c>
      <c r="P1216" s="56">
        <f>VLOOKUP(EOMONTH(A1216,-1),Economic!A:I,7,FALSE)</f>
        <v>644107</v>
      </c>
      <c r="Q1216" s="13">
        <f t="shared" si="413"/>
        <v>8.1600000000000006E-2</v>
      </c>
      <c r="R1216" s="41">
        <v>0.47</v>
      </c>
      <c r="S1216">
        <f t="shared" si="414"/>
        <v>1.51</v>
      </c>
      <c r="T1216" s="30">
        <f t="shared" si="415"/>
        <v>228.76</v>
      </c>
      <c r="U1216" s="30">
        <f t="shared" si="422"/>
        <v>230.09</v>
      </c>
    </row>
    <row r="1217" spans="1:21" ht="15" customHeight="1" x14ac:dyDescent="0.25">
      <c r="A1217" s="5">
        <v>34826</v>
      </c>
      <c r="B1217" s="5">
        <f t="shared" si="416"/>
        <v>34850</v>
      </c>
      <c r="C1217">
        <v>520.12</v>
      </c>
      <c r="D1217" s="29">
        <f t="shared" si="417"/>
        <v>2.0400000000000001E-2</v>
      </c>
      <c r="E1217" s="39">
        <f t="shared" si="418"/>
        <v>498.66923076923081</v>
      </c>
      <c r="F1217" s="39">
        <f t="shared" si="419"/>
        <v>475.24974358974356</v>
      </c>
      <c r="G1217" s="29">
        <f t="shared" si="411"/>
        <v>4.2999999999999997E-2</v>
      </c>
      <c r="H1217" s="29">
        <f t="shared" si="411"/>
        <v>9.4399999999999998E-2</v>
      </c>
      <c r="I1217">
        <f t="shared" si="420"/>
        <v>520.12</v>
      </c>
      <c r="J1217">
        <f>IF(A1217&gt;=Quarterly!B$2,Quarterly!C$2,IF(COUNTIFS(Quarterly!B:B,"&gt;="&amp;A1217-92,Quarterly!B:B,"&lt;="&amp;A1217)&gt;1,SUMIFS(Quarterly!C:C,Quarterly!B:B,"&gt;="&amp;A1217-88,Quarterly!B:B,"&lt;="&amp;A1217),SUMIFS(Quarterly!C:C,Quarterly!B:B,"&gt;="&amp;A1217-92,Quarterly!B:B,"&lt;="&amp;A1217)))</f>
        <v>7545.3</v>
      </c>
      <c r="K1217" s="13">
        <f t="shared" si="421"/>
        <v>6.8900000000000003E-2</v>
      </c>
      <c r="L1217">
        <f t="shared" si="423"/>
        <v>520.12</v>
      </c>
      <c r="M1217">
        <f>IF(A1217&gt;=Quarterly!B$2,Quarterly!D$2,IF(COUNTIFS(Quarterly!B:B,"&gt;="&amp;A1217-92,Quarterly!B:B,"&lt;="&amp;A1217)&gt;1,SUMIFS(Quarterly!D:D,Quarterly!B:B,"&gt;="&amp;A1217-88,Quarterly!B:B,"&lt;="&amp;A1217),SUMIFS(Quarterly!D:D,Quarterly!B:B,"&gt;="&amp;A1217-92,Quarterly!B:B,"&lt;="&amp;A1217)))</f>
        <v>444.779</v>
      </c>
      <c r="N1217" s="13">
        <f t="shared" si="424"/>
        <v>0.11694</v>
      </c>
      <c r="O1217">
        <f t="shared" si="412"/>
        <v>520.12</v>
      </c>
      <c r="P1217" s="56">
        <f>VLOOKUP(EOMONTH(A1217,-1),Economic!A:I,7,FALSE)</f>
        <v>644107</v>
      </c>
      <c r="Q1217" s="13">
        <f t="shared" si="413"/>
        <v>8.0799999999999997E-2</v>
      </c>
      <c r="R1217" s="41">
        <v>0.53</v>
      </c>
      <c r="S1217">
        <f t="shared" si="414"/>
        <v>1.5</v>
      </c>
      <c r="T1217" s="30">
        <f t="shared" si="415"/>
        <v>230.22</v>
      </c>
      <c r="U1217" s="30">
        <f t="shared" si="422"/>
        <v>230.96</v>
      </c>
    </row>
    <row r="1218" spans="1:21" ht="15" customHeight="1" x14ac:dyDescent="0.25">
      <c r="A1218" s="5">
        <v>34819</v>
      </c>
      <c r="B1218" s="5">
        <f t="shared" si="416"/>
        <v>34819</v>
      </c>
      <c r="C1218">
        <v>514.71</v>
      </c>
      <c r="D1218" s="29">
        <f t="shared" si="417"/>
        <v>1.6799999999999999E-2</v>
      </c>
      <c r="E1218" s="39">
        <f t="shared" si="418"/>
        <v>495.47923076923075</v>
      </c>
      <c r="F1218" s="39">
        <f t="shared" si="419"/>
        <v>473.63358974358971</v>
      </c>
      <c r="G1218" s="29">
        <f t="shared" ref="G1218:H1281" si="425">ROUND(($C1218-E1218)/E1218,4)</f>
        <v>3.8800000000000001E-2</v>
      </c>
      <c r="H1218" s="29">
        <f t="shared" si="425"/>
        <v>8.6699999999999999E-2</v>
      </c>
      <c r="I1218">
        <f t="shared" si="420"/>
        <v>514.71</v>
      </c>
      <c r="J1218">
        <f>IF(A1218&gt;=Quarterly!B$2,Quarterly!C$2,IF(COUNTIFS(Quarterly!B:B,"&gt;="&amp;A1218-92,Quarterly!B:B,"&lt;="&amp;A1218)&gt;1,SUMIFS(Quarterly!C:C,Quarterly!B:B,"&gt;="&amp;A1218-88,Quarterly!B:B,"&lt;="&amp;A1218),SUMIFS(Quarterly!C:C,Quarterly!B:B,"&gt;="&amp;A1218-92,Quarterly!B:B,"&lt;="&amp;A1218)))</f>
        <v>7545.3</v>
      </c>
      <c r="K1218" s="13">
        <f t="shared" si="421"/>
        <v>6.8199999999999997E-2</v>
      </c>
      <c r="L1218">
        <f t="shared" si="423"/>
        <v>514.71</v>
      </c>
      <c r="M1218">
        <f>IF(A1218&gt;=Quarterly!B$2,Quarterly!D$2,IF(COUNTIFS(Quarterly!B:B,"&gt;="&amp;A1218-92,Quarterly!B:B,"&lt;="&amp;A1218)&gt;1,SUMIFS(Quarterly!D:D,Quarterly!B:B,"&gt;="&amp;A1218-88,Quarterly!B:B,"&lt;="&amp;A1218),SUMIFS(Quarterly!D:D,Quarterly!B:B,"&gt;="&amp;A1218-92,Quarterly!B:B,"&lt;="&amp;A1218)))</f>
        <v>444.779</v>
      </c>
      <c r="N1218" s="13">
        <f t="shared" si="424"/>
        <v>0.11572</v>
      </c>
      <c r="O1218">
        <f t="shared" si="412"/>
        <v>514.71</v>
      </c>
      <c r="P1218" s="56">
        <f>VLOOKUP(EOMONTH(A1218,-1),Economic!A:I,7,FALSE)</f>
        <v>639598</v>
      </c>
      <c r="Q1218" s="13">
        <f t="shared" si="413"/>
        <v>8.0500000000000002E-2</v>
      </c>
      <c r="R1218" s="41">
        <v>0.47</v>
      </c>
      <c r="S1218">
        <f t="shared" si="414"/>
        <v>1.49</v>
      </c>
      <c r="T1218" s="30">
        <f t="shared" si="415"/>
        <v>231.29</v>
      </c>
      <c r="U1218" s="30">
        <f t="shared" si="422"/>
        <v>231.06</v>
      </c>
    </row>
    <row r="1219" spans="1:21" ht="15" customHeight="1" x14ac:dyDescent="0.25">
      <c r="A1219" s="5">
        <v>34812</v>
      </c>
      <c r="B1219" s="5">
        <f t="shared" si="416"/>
        <v>34819</v>
      </c>
      <c r="C1219">
        <v>508.49</v>
      </c>
      <c r="D1219" s="29">
        <f t="shared" si="417"/>
        <v>8.2000000000000007E-3</v>
      </c>
      <c r="E1219" s="39">
        <f t="shared" si="418"/>
        <v>492.07000000000005</v>
      </c>
      <c r="F1219" s="39">
        <f t="shared" si="419"/>
        <v>472.18615384615379</v>
      </c>
      <c r="G1219" s="29">
        <f t="shared" si="425"/>
        <v>3.3399999999999999E-2</v>
      </c>
      <c r="H1219" s="29">
        <f t="shared" si="425"/>
        <v>7.6899999999999996E-2</v>
      </c>
      <c r="I1219">
        <f t="shared" si="420"/>
        <v>508.49</v>
      </c>
      <c r="J1219">
        <f>IF(A1219&gt;=Quarterly!B$2,Quarterly!C$2,IF(COUNTIFS(Quarterly!B:B,"&gt;="&amp;A1219-92,Quarterly!B:B,"&lt;="&amp;A1219)&gt;1,SUMIFS(Quarterly!C:C,Quarterly!B:B,"&gt;="&amp;A1219-88,Quarterly!B:B,"&lt;="&amp;A1219),SUMIFS(Quarterly!C:C,Quarterly!B:B,"&gt;="&amp;A1219-92,Quarterly!B:B,"&lt;="&amp;A1219)))</f>
        <v>7476.7</v>
      </c>
      <c r="K1219" s="13">
        <f t="shared" si="421"/>
        <v>6.8000000000000005E-2</v>
      </c>
      <c r="L1219">
        <f t="shared" si="423"/>
        <v>508.49</v>
      </c>
      <c r="M1219">
        <f>IF(A1219&gt;=Quarterly!B$2,Quarterly!D$2,IF(COUNTIFS(Quarterly!B:B,"&gt;="&amp;A1219-92,Quarterly!B:B,"&lt;="&amp;A1219)&gt;1,SUMIFS(Quarterly!D:D,Quarterly!B:B,"&gt;="&amp;A1219-88,Quarterly!B:B,"&lt;="&amp;A1219),SUMIFS(Quarterly!D:D,Quarterly!B:B,"&gt;="&amp;A1219-92,Quarterly!B:B,"&lt;="&amp;A1219)))</f>
        <v>430.238</v>
      </c>
      <c r="N1219" s="13">
        <f t="shared" si="424"/>
        <v>0.11819</v>
      </c>
      <c r="O1219">
        <f t="shared" si="412"/>
        <v>508.49</v>
      </c>
      <c r="P1219" s="56">
        <f>VLOOKUP(EOMONTH(A1219,-1),Economic!A:I,7,FALSE)</f>
        <v>639598</v>
      </c>
      <c r="Q1219" s="13">
        <f t="shared" si="413"/>
        <v>7.9500000000000001E-2</v>
      </c>
      <c r="R1219" s="41">
        <v>0.56999999999999995</v>
      </c>
      <c r="S1219">
        <f t="shared" si="414"/>
        <v>1.52</v>
      </c>
      <c r="T1219" s="30">
        <f t="shared" si="415"/>
        <v>231.36</v>
      </c>
      <c r="U1219" s="30">
        <f t="shared" si="422"/>
        <v>232.24</v>
      </c>
    </row>
    <row r="1220" spans="1:21" ht="15" customHeight="1" x14ac:dyDescent="0.25">
      <c r="A1220" s="5">
        <v>34805</v>
      </c>
      <c r="B1220" s="5">
        <f t="shared" si="416"/>
        <v>34819</v>
      </c>
      <c r="C1220">
        <v>509.23</v>
      </c>
      <c r="D1220" s="29">
        <f t="shared" si="417"/>
        <v>1.66E-2</v>
      </c>
      <c r="E1220" s="39">
        <f t="shared" si="418"/>
        <v>488.70769230769235</v>
      </c>
      <c r="F1220" s="39">
        <f t="shared" si="419"/>
        <v>470.76615384615377</v>
      </c>
      <c r="G1220" s="29">
        <f t="shared" si="425"/>
        <v>4.2000000000000003E-2</v>
      </c>
      <c r="H1220" s="29">
        <f t="shared" si="425"/>
        <v>8.1699999999999995E-2</v>
      </c>
      <c r="I1220">
        <f t="shared" si="420"/>
        <v>509.23</v>
      </c>
      <c r="J1220">
        <f>IF(A1220&gt;=Quarterly!B$2,Quarterly!C$2,IF(COUNTIFS(Quarterly!B:B,"&gt;="&amp;A1220-92,Quarterly!B:B,"&lt;="&amp;A1220)&gt;1,SUMIFS(Quarterly!C:C,Quarterly!B:B,"&gt;="&amp;A1220-88,Quarterly!B:B,"&lt;="&amp;A1220),SUMIFS(Quarterly!C:C,Quarterly!B:B,"&gt;="&amp;A1220-92,Quarterly!B:B,"&lt;="&amp;A1220)))</f>
        <v>7476.7</v>
      </c>
      <c r="K1220" s="13">
        <f t="shared" si="421"/>
        <v>6.8099999999999994E-2</v>
      </c>
      <c r="L1220">
        <f t="shared" si="423"/>
        <v>509.23</v>
      </c>
      <c r="M1220">
        <f>IF(A1220&gt;=Quarterly!B$2,Quarterly!D$2,IF(COUNTIFS(Quarterly!B:B,"&gt;="&amp;A1220-92,Quarterly!B:B,"&lt;="&amp;A1220)&gt;1,SUMIFS(Quarterly!D:D,Quarterly!B:B,"&gt;="&amp;A1220-88,Quarterly!B:B,"&lt;="&amp;A1220),SUMIFS(Quarterly!D:D,Quarterly!B:B,"&gt;="&amp;A1220-92,Quarterly!B:B,"&lt;="&amp;A1220)))</f>
        <v>430.238</v>
      </c>
      <c r="N1220" s="13">
        <f t="shared" si="424"/>
        <v>0.11836000000000001</v>
      </c>
      <c r="O1220">
        <f t="shared" si="412"/>
        <v>509.23</v>
      </c>
      <c r="P1220" s="56">
        <f>VLOOKUP(EOMONTH(A1220,-1),Economic!A:I,7,FALSE)</f>
        <v>639598</v>
      </c>
      <c r="Q1220" s="13">
        <f t="shared" si="413"/>
        <v>7.9600000000000004E-2</v>
      </c>
      <c r="R1220" s="41">
        <v>0.52</v>
      </c>
      <c r="S1220">
        <f t="shared" si="414"/>
        <v>1.44</v>
      </c>
      <c r="T1220" s="30">
        <f t="shared" si="415"/>
        <v>230.54</v>
      </c>
      <c r="U1220" s="30">
        <f t="shared" si="422"/>
        <v>234.76</v>
      </c>
    </row>
    <row r="1221" spans="1:21" ht="15" customHeight="1" x14ac:dyDescent="0.25">
      <c r="A1221" s="5">
        <v>34798</v>
      </c>
      <c r="B1221" s="5">
        <f t="shared" si="416"/>
        <v>34819</v>
      </c>
      <c r="C1221">
        <v>506.42</v>
      </c>
      <c r="D1221" s="29">
        <f t="shared" si="417"/>
        <v>1.9599999999999999E-2</v>
      </c>
      <c r="E1221" s="39">
        <f t="shared" si="418"/>
        <v>485.38000000000005</v>
      </c>
      <c r="F1221" s="39">
        <f t="shared" si="419"/>
        <v>469.35410256410262</v>
      </c>
      <c r="G1221" s="29">
        <f t="shared" si="425"/>
        <v>4.3299999999999998E-2</v>
      </c>
      <c r="H1221" s="29">
        <f t="shared" si="425"/>
        <v>7.9000000000000001E-2</v>
      </c>
      <c r="I1221">
        <f t="shared" si="420"/>
        <v>506.42</v>
      </c>
      <c r="J1221">
        <f>IF(A1221&gt;=Quarterly!B$2,Quarterly!C$2,IF(COUNTIFS(Quarterly!B:B,"&gt;="&amp;A1221-92,Quarterly!B:B,"&lt;="&amp;A1221)&gt;1,SUMIFS(Quarterly!C:C,Quarterly!B:B,"&gt;="&amp;A1221-88,Quarterly!B:B,"&lt;="&amp;A1221),SUMIFS(Quarterly!C:C,Quarterly!B:B,"&gt;="&amp;A1221-92,Quarterly!B:B,"&lt;="&amp;A1221)))</f>
        <v>7476.7</v>
      </c>
      <c r="K1221" s="13">
        <f t="shared" si="421"/>
        <v>6.7699999999999996E-2</v>
      </c>
      <c r="L1221">
        <f t="shared" si="423"/>
        <v>506.42</v>
      </c>
      <c r="M1221">
        <f>IF(A1221&gt;=Quarterly!B$2,Quarterly!D$2,IF(COUNTIFS(Quarterly!B:B,"&gt;="&amp;A1221-92,Quarterly!B:B,"&lt;="&amp;A1221)&gt;1,SUMIFS(Quarterly!D:D,Quarterly!B:B,"&gt;="&amp;A1221-88,Quarterly!B:B,"&lt;="&amp;A1221),SUMIFS(Quarterly!D:D,Quarterly!B:B,"&gt;="&amp;A1221-92,Quarterly!B:B,"&lt;="&amp;A1221)))</f>
        <v>430.238</v>
      </c>
      <c r="N1221" s="13">
        <f t="shared" si="424"/>
        <v>0.11771000000000001</v>
      </c>
      <c r="O1221">
        <f t="shared" si="412"/>
        <v>506.42</v>
      </c>
      <c r="P1221" s="56">
        <f>VLOOKUP(EOMONTH(A1221,-1),Economic!A:I,7,FALSE)</f>
        <v>639598</v>
      </c>
      <c r="Q1221" s="13">
        <f t="shared" si="413"/>
        <v>7.9199999999999993E-2</v>
      </c>
      <c r="R1221" s="41">
        <v>0.46</v>
      </c>
      <c r="S1221">
        <f t="shared" si="414"/>
        <v>1.52</v>
      </c>
      <c r="T1221" s="30">
        <f t="shared" si="415"/>
        <v>234.81</v>
      </c>
      <c r="U1221" s="30">
        <f t="shared" si="422"/>
        <v>238.56</v>
      </c>
    </row>
    <row r="1222" spans="1:21" ht="15" customHeight="1" x14ac:dyDescent="0.25">
      <c r="A1222" s="5">
        <v>34791</v>
      </c>
      <c r="B1222" s="5">
        <f t="shared" si="416"/>
        <v>34819</v>
      </c>
      <c r="C1222">
        <v>500.71</v>
      </c>
      <c r="D1222" s="29">
        <f t="shared" si="417"/>
        <v>1.5900000000000001E-2</v>
      </c>
      <c r="E1222" s="39">
        <f t="shared" si="418"/>
        <v>481.86153846153854</v>
      </c>
      <c r="F1222" s="39">
        <f t="shared" si="419"/>
        <v>467.89589743589738</v>
      </c>
      <c r="G1222" s="29">
        <f t="shared" si="425"/>
        <v>3.9100000000000003E-2</v>
      </c>
      <c r="H1222" s="29">
        <f t="shared" si="425"/>
        <v>7.0099999999999996E-2</v>
      </c>
      <c r="I1222">
        <f t="shared" si="420"/>
        <v>500.71</v>
      </c>
      <c r="J1222">
        <f>IF(A1222&gt;=Quarterly!B$2,Quarterly!C$2,IF(COUNTIFS(Quarterly!B:B,"&gt;="&amp;A1222-92,Quarterly!B:B,"&lt;="&amp;A1222)&gt;1,SUMIFS(Quarterly!C:C,Quarterly!B:B,"&gt;="&amp;A1222-88,Quarterly!B:B,"&lt;="&amp;A1222),SUMIFS(Quarterly!C:C,Quarterly!B:B,"&gt;="&amp;A1222-92,Quarterly!B:B,"&lt;="&amp;A1222)))</f>
        <v>7476.7</v>
      </c>
      <c r="K1222" s="13">
        <f t="shared" si="421"/>
        <v>6.7000000000000004E-2</v>
      </c>
      <c r="L1222">
        <f t="shared" si="423"/>
        <v>500.71</v>
      </c>
      <c r="M1222">
        <f>IF(A1222&gt;=Quarterly!B$2,Quarterly!D$2,IF(COUNTIFS(Quarterly!B:B,"&gt;="&amp;A1222-92,Quarterly!B:B,"&lt;="&amp;A1222)&gt;1,SUMIFS(Quarterly!D:D,Quarterly!B:B,"&gt;="&amp;A1222-88,Quarterly!B:B,"&lt;="&amp;A1222),SUMIFS(Quarterly!D:D,Quarterly!B:B,"&gt;="&amp;A1222-92,Quarterly!B:B,"&lt;="&amp;A1222)))</f>
        <v>430.238</v>
      </c>
      <c r="N1222" s="13">
        <f t="shared" si="424"/>
        <v>0.11638</v>
      </c>
      <c r="O1222">
        <f t="shared" ref="O1222:O1285" si="426">C1222</f>
        <v>500.71</v>
      </c>
      <c r="P1222" s="56">
        <f>VLOOKUP(EOMONTH(A1222,-1),Economic!A:I,7,FALSE)</f>
        <v>639598</v>
      </c>
      <c r="Q1222" s="13">
        <f t="shared" ref="Q1222:Q1285" si="427">ROUND(O1222/P1222,6)*100</f>
        <v>7.8299999999999995E-2</v>
      </c>
      <c r="R1222" s="41">
        <v>0.4</v>
      </c>
      <c r="S1222">
        <f t="shared" ref="S1222:S1285" si="428">R1283</f>
        <v>1.6</v>
      </c>
      <c r="T1222" s="30">
        <f t="shared" ref="T1222:T1285" si="429">IF((ROUND((S1222*40)+(G1222*350)-(H1222*100)-((N1222-0.15)*350)-(((K1222*10.5)-1)*270)-(Q1222*100),2)+144)*0.8&lt;0,0,ROUND((ROUND((S1222*40)+(G1222*350)-(H1222*100)-((N1222-0.15)*350)-(((K1222*10.5)-1)*270)-(Q1222*100),2)+144)*0.8,2))</f>
        <v>238.94</v>
      </c>
      <c r="U1222" s="30">
        <f t="shared" si="422"/>
        <v>241.09</v>
      </c>
    </row>
    <row r="1223" spans="1:21" ht="15" customHeight="1" x14ac:dyDescent="0.25">
      <c r="A1223" s="5">
        <v>34784</v>
      </c>
      <c r="B1223" s="5">
        <f t="shared" si="416"/>
        <v>34789</v>
      </c>
      <c r="C1223">
        <v>500.97</v>
      </c>
      <c r="D1223" s="29">
        <f t="shared" si="417"/>
        <v>2.3099999999999999E-2</v>
      </c>
      <c r="E1223" s="39">
        <f t="shared" si="418"/>
        <v>478.67384615384617</v>
      </c>
      <c r="F1223" s="39">
        <f t="shared" si="419"/>
        <v>466.49820512820514</v>
      </c>
      <c r="G1223" s="29">
        <f t="shared" si="425"/>
        <v>4.6600000000000003E-2</v>
      </c>
      <c r="H1223" s="29">
        <f t="shared" si="425"/>
        <v>7.3899999999999993E-2</v>
      </c>
      <c r="I1223">
        <f t="shared" si="420"/>
        <v>500.97</v>
      </c>
      <c r="J1223">
        <f>IF(A1223&gt;=Quarterly!B$2,Quarterly!C$2,IF(COUNTIFS(Quarterly!B:B,"&gt;="&amp;A1223-92,Quarterly!B:B,"&lt;="&amp;A1223)&gt;1,SUMIFS(Quarterly!C:C,Quarterly!B:B,"&gt;="&amp;A1223-88,Quarterly!B:B,"&lt;="&amp;A1223),SUMIFS(Quarterly!C:C,Quarterly!B:B,"&gt;="&amp;A1223-92,Quarterly!B:B,"&lt;="&amp;A1223)))</f>
        <v>7476.7</v>
      </c>
      <c r="K1223" s="13">
        <f t="shared" si="421"/>
        <v>6.7000000000000004E-2</v>
      </c>
      <c r="L1223">
        <f t="shared" si="423"/>
        <v>500.97</v>
      </c>
      <c r="M1223">
        <f>IF(A1223&gt;=Quarterly!B$2,Quarterly!D$2,IF(COUNTIFS(Quarterly!B:B,"&gt;="&amp;A1223-92,Quarterly!B:B,"&lt;="&amp;A1223)&gt;1,SUMIFS(Quarterly!D:D,Quarterly!B:B,"&gt;="&amp;A1223-88,Quarterly!B:B,"&lt;="&amp;A1223),SUMIFS(Quarterly!D:D,Quarterly!B:B,"&gt;="&amp;A1223-92,Quarterly!B:B,"&lt;="&amp;A1223)))</f>
        <v>430.238</v>
      </c>
      <c r="N1223" s="13">
        <f t="shared" si="424"/>
        <v>0.11644000000000002</v>
      </c>
      <c r="O1223">
        <f t="shared" si="426"/>
        <v>500.97</v>
      </c>
      <c r="P1223" s="56">
        <f>VLOOKUP(EOMONTH(A1223,-1),Economic!A:I,7,FALSE)</f>
        <v>634044</v>
      </c>
      <c r="Q1223" s="13">
        <f t="shared" si="427"/>
        <v>7.9000000000000001E-2</v>
      </c>
      <c r="R1223" s="41">
        <v>0.45</v>
      </c>
      <c r="S1223">
        <f t="shared" si="428"/>
        <v>1.64</v>
      </c>
      <c r="T1223" s="30">
        <f t="shared" si="429"/>
        <v>241.94</v>
      </c>
      <c r="U1223" s="30">
        <f t="shared" si="422"/>
        <v>242.69</v>
      </c>
    </row>
    <row r="1224" spans="1:21" ht="15" customHeight="1" x14ac:dyDescent="0.25">
      <c r="A1224" s="5">
        <v>34777</v>
      </c>
      <c r="B1224" s="5">
        <f t="shared" si="416"/>
        <v>34789</v>
      </c>
      <c r="C1224">
        <v>495.52</v>
      </c>
      <c r="D1224" s="29">
        <f t="shared" si="417"/>
        <v>1.9E-2</v>
      </c>
      <c r="E1224" s="39">
        <f t="shared" si="418"/>
        <v>475.50923076923084</v>
      </c>
      <c r="F1224" s="39">
        <f t="shared" si="419"/>
        <v>465.00666666666672</v>
      </c>
      <c r="G1224" s="29">
        <f t="shared" si="425"/>
        <v>4.2099999999999999E-2</v>
      </c>
      <c r="H1224" s="29">
        <f t="shared" si="425"/>
        <v>6.5600000000000006E-2</v>
      </c>
      <c r="I1224">
        <f t="shared" si="420"/>
        <v>495.52</v>
      </c>
      <c r="J1224">
        <f>IF(A1224&gt;=Quarterly!B$2,Quarterly!C$2,IF(COUNTIFS(Quarterly!B:B,"&gt;="&amp;A1224-92,Quarterly!B:B,"&lt;="&amp;A1224)&gt;1,SUMIFS(Quarterly!C:C,Quarterly!B:B,"&gt;="&amp;A1224-88,Quarterly!B:B,"&lt;="&amp;A1224),SUMIFS(Quarterly!C:C,Quarterly!B:B,"&gt;="&amp;A1224-92,Quarterly!B:B,"&lt;="&amp;A1224)))</f>
        <v>7476.7</v>
      </c>
      <c r="K1224" s="13">
        <f t="shared" si="421"/>
        <v>6.6299999999999998E-2</v>
      </c>
      <c r="L1224">
        <f t="shared" si="423"/>
        <v>495.52</v>
      </c>
      <c r="M1224">
        <f>IF(A1224&gt;=Quarterly!B$2,Quarterly!D$2,IF(COUNTIFS(Quarterly!B:B,"&gt;="&amp;A1224-92,Quarterly!B:B,"&lt;="&amp;A1224)&gt;1,SUMIFS(Quarterly!D:D,Quarterly!B:B,"&gt;="&amp;A1224-88,Quarterly!B:B,"&lt;="&amp;A1224),SUMIFS(Quarterly!D:D,Quarterly!B:B,"&gt;="&amp;A1224-92,Quarterly!B:B,"&lt;="&amp;A1224)))</f>
        <v>430.238</v>
      </c>
      <c r="N1224" s="13">
        <f t="shared" si="424"/>
        <v>0.11516999999999999</v>
      </c>
      <c r="O1224">
        <f t="shared" si="426"/>
        <v>495.52</v>
      </c>
      <c r="P1224" s="56">
        <f>VLOOKUP(EOMONTH(A1224,-1),Economic!A:I,7,FALSE)</f>
        <v>634044</v>
      </c>
      <c r="Q1224" s="13">
        <f t="shared" si="427"/>
        <v>7.8200000000000006E-2</v>
      </c>
      <c r="R1224" s="41">
        <v>0.43</v>
      </c>
      <c r="S1224">
        <f t="shared" si="428"/>
        <v>1.61</v>
      </c>
      <c r="T1224" s="30">
        <f t="shared" si="429"/>
        <v>242.39</v>
      </c>
      <c r="U1224" s="30">
        <f t="shared" si="422"/>
        <v>243.56</v>
      </c>
    </row>
    <row r="1225" spans="1:21" ht="15" customHeight="1" x14ac:dyDescent="0.25">
      <c r="A1225" s="5">
        <v>34770</v>
      </c>
      <c r="B1225" s="5">
        <f t="shared" si="416"/>
        <v>34789</v>
      </c>
      <c r="C1225">
        <v>489.57</v>
      </c>
      <c r="D1225" s="29">
        <f t="shared" si="417"/>
        <v>1.0999999999999999E-2</v>
      </c>
      <c r="E1225" s="39">
        <f t="shared" si="418"/>
        <v>472.68461538461543</v>
      </c>
      <c r="F1225" s="39">
        <f t="shared" si="419"/>
        <v>464.0561538461539</v>
      </c>
      <c r="G1225" s="29">
        <f t="shared" si="425"/>
        <v>3.5700000000000003E-2</v>
      </c>
      <c r="H1225" s="29">
        <f t="shared" si="425"/>
        <v>5.5E-2</v>
      </c>
      <c r="I1225">
        <f t="shared" si="420"/>
        <v>489.57</v>
      </c>
      <c r="J1225">
        <f>IF(A1225&gt;=Quarterly!B$2,Quarterly!C$2,IF(COUNTIFS(Quarterly!B:B,"&gt;="&amp;A1225-92,Quarterly!B:B,"&lt;="&amp;A1225)&gt;1,SUMIFS(Quarterly!C:C,Quarterly!B:B,"&gt;="&amp;A1225-88,Quarterly!B:B,"&lt;="&amp;A1225),SUMIFS(Quarterly!C:C,Quarterly!B:B,"&gt;="&amp;A1225-92,Quarterly!B:B,"&lt;="&amp;A1225)))</f>
        <v>7476.7</v>
      </c>
      <c r="K1225" s="13">
        <f t="shared" si="421"/>
        <v>6.5500000000000003E-2</v>
      </c>
      <c r="L1225">
        <f t="shared" si="423"/>
        <v>489.57</v>
      </c>
      <c r="M1225">
        <f>IF(A1225&gt;=Quarterly!B$2,Quarterly!D$2,IF(COUNTIFS(Quarterly!B:B,"&gt;="&amp;A1225-92,Quarterly!B:B,"&lt;="&amp;A1225)&gt;1,SUMIFS(Quarterly!D:D,Quarterly!B:B,"&gt;="&amp;A1225-88,Quarterly!B:B,"&lt;="&amp;A1225),SUMIFS(Quarterly!D:D,Quarterly!B:B,"&gt;="&amp;A1225-92,Quarterly!B:B,"&lt;="&amp;A1225)))</f>
        <v>430.238</v>
      </c>
      <c r="N1225" s="13">
        <f t="shared" si="424"/>
        <v>0.11379</v>
      </c>
      <c r="O1225">
        <f t="shared" si="426"/>
        <v>489.57</v>
      </c>
      <c r="P1225" s="56">
        <f>VLOOKUP(EOMONTH(A1225,-1),Economic!A:I,7,FALSE)</f>
        <v>634044</v>
      </c>
      <c r="Q1225" s="13">
        <f t="shared" si="427"/>
        <v>7.7200000000000005E-2</v>
      </c>
      <c r="R1225" s="41">
        <v>0.4</v>
      </c>
      <c r="S1225">
        <f t="shared" si="428"/>
        <v>1.61</v>
      </c>
      <c r="T1225" s="30">
        <f t="shared" si="429"/>
        <v>243.73</v>
      </c>
      <c r="U1225" s="30">
        <f t="shared" si="422"/>
        <v>244.32</v>
      </c>
    </row>
    <row r="1226" spans="1:21" ht="15" customHeight="1" x14ac:dyDescent="0.25">
      <c r="A1226" s="5">
        <v>34763</v>
      </c>
      <c r="B1226" s="5">
        <f t="shared" si="416"/>
        <v>34789</v>
      </c>
      <c r="C1226">
        <v>485.42</v>
      </c>
      <c r="D1226" s="29">
        <f t="shared" si="417"/>
        <v>6.0000000000000001E-3</v>
      </c>
      <c r="E1226" s="39">
        <f t="shared" si="418"/>
        <v>469.40692307692314</v>
      </c>
      <c r="F1226" s="39">
        <f t="shared" si="419"/>
        <v>463.2638461538462</v>
      </c>
      <c r="G1226" s="29">
        <f t="shared" si="425"/>
        <v>3.4099999999999998E-2</v>
      </c>
      <c r="H1226" s="29">
        <f t="shared" si="425"/>
        <v>4.7800000000000002E-2</v>
      </c>
      <c r="I1226">
        <f t="shared" si="420"/>
        <v>485.42</v>
      </c>
      <c r="J1226">
        <f>IF(A1226&gt;=Quarterly!B$2,Quarterly!C$2,IF(COUNTIFS(Quarterly!B:B,"&gt;="&amp;A1226-92,Quarterly!B:B,"&lt;="&amp;A1226)&gt;1,SUMIFS(Quarterly!C:C,Quarterly!B:B,"&gt;="&amp;A1226-88,Quarterly!B:B,"&lt;="&amp;A1226),SUMIFS(Quarterly!C:C,Quarterly!B:B,"&gt;="&amp;A1226-92,Quarterly!B:B,"&lt;="&amp;A1226)))</f>
        <v>7476.7</v>
      </c>
      <c r="K1226" s="13">
        <f t="shared" si="421"/>
        <v>6.4899999999999999E-2</v>
      </c>
      <c r="L1226">
        <f t="shared" si="423"/>
        <v>485.42</v>
      </c>
      <c r="M1226">
        <f>IF(A1226&gt;=Quarterly!B$2,Quarterly!D$2,IF(COUNTIFS(Quarterly!B:B,"&gt;="&amp;A1226-92,Quarterly!B:B,"&lt;="&amp;A1226)&gt;1,SUMIFS(Quarterly!D:D,Quarterly!B:B,"&gt;="&amp;A1226-88,Quarterly!B:B,"&lt;="&amp;A1226),SUMIFS(Quarterly!D:D,Quarterly!B:B,"&gt;="&amp;A1226-92,Quarterly!B:B,"&lt;="&amp;A1226)))</f>
        <v>430.238</v>
      </c>
      <c r="N1226" s="13">
        <f t="shared" si="424"/>
        <v>0.11283000000000001</v>
      </c>
      <c r="O1226">
        <f t="shared" si="426"/>
        <v>485.42</v>
      </c>
      <c r="P1226" s="56">
        <f>VLOOKUP(EOMONTH(A1226,-1),Economic!A:I,7,FALSE)</f>
        <v>634044</v>
      </c>
      <c r="Q1226" s="13">
        <f t="shared" si="427"/>
        <v>7.6600000000000001E-2</v>
      </c>
      <c r="R1226" s="41">
        <v>0.47</v>
      </c>
      <c r="S1226">
        <f t="shared" si="428"/>
        <v>1.58</v>
      </c>
      <c r="T1226" s="30">
        <f t="shared" si="429"/>
        <v>244.57</v>
      </c>
      <c r="U1226" s="30">
        <f t="shared" si="422"/>
        <v>245.79</v>
      </c>
    </row>
    <row r="1227" spans="1:21" ht="15" customHeight="1" x14ac:dyDescent="0.25">
      <c r="A1227" s="5">
        <v>34756</v>
      </c>
      <c r="B1227" s="5">
        <f t="shared" si="416"/>
        <v>34758</v>
      </c>
      <c r="C1227">
        <v>488.11</v>
      </c>
      <c r="D1227" s="29">
        <f t="shared" si="417"/>
        <v>2.0899999999999998E-2</v>
      </c>
      <c r="E1227" s="39">
        <f t="shared" si="418"/>
        <v>466.93615384615384</v>
      </c>
      <c r="F1227" s="39">
        <f t="shared" si="419"/>
        <v>462.61538461538464</v>
      </c>
      <c r="G1227" s="29">
        <f t="shared" si="425"/>
        <v>4.53E-2</v>
      </c>
      <c r="H1227" s="29">
        <f t="shared" si="425"/>
        <v>5.5100000000000003E-2</v>
      </c>
      <c r="I1227">
        <f t="shared" si="420"/>
        <v>488.11</v>
      </c>
      <c r="J1227">
        <f>IF(A1227&gt;=Quarterly!B$2,Quarterly!C$2,IF(COUNTIFS(Quarterly!B:B,"&gt;="&amp;A1227-92,Quarterly!B:B,"&lt;="&amp;A1227)&gt;1,SUMIFS(Quarterly!C:C,Quarterly!B:B,"&gt;="&amp;A1227-88,Quarterly!B:B,"&lt;="&amp;A1227),SUMIFS(Quarterly!C:C,Quarterly!B:B,"&gt;="&amp;A1227-92,Quarterly!B:B,"&lt;="&amp;A1227)))</f>
        <v>7476.7</v>
      </c>
      <c r="K1227" s="13">
        <f t="shared" si="421"/>
        <v>6.5299999999999997E-2</v>
      </c>
      <c r="L1227">
        <f t="shared" si="423"/>
        <v>488.11</v>
      </c>
      <c r="M1227">
        <f>IF(A1227&gt;=Quarterly!B$2,Quarterly!D$2,IF(COUNTIFS(Quarterly!B:B,"&gt;="&amp;A1227-92,Quarterly!B:B,"&lt;="&amp;A1227)&gt;1,SUMIFS(Quarterly!D:D,Quarterly!B:B,"&gt;="&amp;A1227-88,Quarterly!B:B,"&lt;="&amp;A1227),SUMIFS(Quarterly!D:D,Quarterly!B:B,"&gt;="&amp;A1227-92,Quarterly!B:B,"&lt;="&amp;A1227)))</f>
        <v>430.238</v>
      </c>
      <c r="N1227" s="13">
        <f t="shared" si="424"/>
        <v>0.11345000000000001</v>
      </c>
      <c r="O1227">
        <f t="shared" si="426"/>
        <v>488.11</v>
      </c>
      <c r="P1227" s="56">
        <f>VLOOKUP(EOMONTH(A1227,-1),Economic!A:I,7,FALSE)</f>
        <v>626548</v>
      </c>
      <c r="Q1227" s="13">
        <f t="shared" si="427"/>
        <v>7.7899999999999997E-2</v>
      </c>
      <c r="R1227" s="41">
        <v>0.44</v>
      </c>
      <c r="S1227">
        <f t="shared" si="428"/>
        <v>1.54</v>
      </c>
      <c r="T1227" s="30">
        <f t="shared" si="429"/>
        <v>244.66</v>
      </c>
      <c r="U1227" s="30">
        <f t="shared" si="422"/>
        <v>246.34</v>
      </c>
    </row>
    <row r="1228" spans="1:21" ht="15" customHeight="1" x14ac:dyDescent="0.25">
      <c r="A1228" s="5">
        <v>34749</v>
      </c>
      <c r="B1228" s="5">
        <f t="shared" si="416"/>
        <v>34758</v>
      </c>
      <c r="C1228">
        <v>481.97</v>
      </c>
      <c r="D1228" s="29">
        <f t="shared" si="417"/>
        <v>1.72E-2</v>
      </c>
      <c r="E1228" s="39">
        <f t="shared" si="418"/>
        <v>464.18076923076927</v>
      </c>
      <c r="F1228" s="39">
        <f t="shared" si="419"/>
        <v>461.82615384615389</v>
      </c>
      <c r="G1228" s="29">
        <f t="shared" si="425"/>
        <v>3.8300000000000001E-2</v>
      </c>
      <c r="H1228" s="29">
        <f t="shared" si="425"/>
        <v>4.36E-2</v>
      </c>
      <c r="I1228">
        <f t="shared" si="420"/>
        <v>481.97</v>
      </c>
      <c r="J1228">
        <f>IF(A1228&gt;=Quarterly!B$2,Quarterly!C$2,IF(COUNTIFS(Quarterly!B:B,"&gt;="&amp;A1228-92,Quarterly!B:B,"&lt;="&amp;A1228)&gt;1,SUMIFS(Quarterly!C:C,Quarterly!B:B,"&gt;="&amp;A1228-88,Quarterly!B:B,"&lt;="&amp;A1228),SUMIFS(Quarterly!C:C,Quarterly!B:B,"&gt;="&amp;A1228-92,Quarterly!B:B,"&lt;="&amp;A1228)))</f>
        <v>7476.7</v>
      </c>
      <c r="K1228" s="13">
        <f t="shared" si="421"/>
        <v>6.4500000000000002E-2</v>
      </c>
      <c r="L1228">
        <f t="shared" si="423"/>
        <v>481.97</v>
      </c>
      <c r="M1228">
        <f>IF(A1228&gt;=Quarterly!B$2,Quarterly!D$2,IF(COUNTIFS(Quarterly!B:B,"&gt;="&amp;A1228-92,Quarterly!B:B,"&lt;="&amp;A1228)&gt;1,SUMIFS(Quarterly!D:D,Quarterly!B:B,"&gt;="&amp;A1228-88,Quarterly!B:B,"&lt;="&amp;A1228),SUMIFS(Quarterly!D:D,Quarterly!B:B,"&gt;="&amp;A1228-92,Quarterly!B:B,"&lt;="&amp;A1228)))</f>
        <v>430.238</v>
      </c>
      <c r="N1228" s="13">
        <f t="shared" si="424"/>
        <v>0.11202000000000001</v>
      </c>
      <c r="O1228">
        <f t="shared" si="426"/>
        <v>481.97</v>
      </c>
      <c r="P1228" s="56">
        <f>VLOOKUP(EOMONTH(A1228,-1),Economic!A:I,7,FALSE)</f>
        <v>626548</v>
      </c>
      <c r="Q1228" s="13">
        <f t="shared" si="427"/>
        <v>7.690000000000001E-2</v>
      </c>
      <c r="R1228" s="41">
        <v>0.36</v>
      </c>
      <c r="S1228">
        <f t="shared" si="428"/>
        <v>1.61</v>
      </c>
      <c r="T1228" s="30">
        <f t="shared" si="429"/>
        <v>248.15</v>
      </c>
      <c r="U1228" s="30">
        <f t="shared" si="422"/>
        <v>247.5</v>
      </c>
    </row>
    <row r="1229" spans="1:21" ht="15" customHeight="1" x14ac:dyDescent="0.25">
      <c r="A1229" s="5">
        <v>34742</v>
      </c>
      <c r="B1229" s="5">
        <f t="shared" si="416"/>
        <v>34758</v>
      </c>
      <c r="C1229">
        <v>481.46</v>
      </c>
      <c r="D1229" s="29">
        <f t="shared" si="417"/>
        <v>2.4500000000000001E-2</v>
      </c>
      <c r="E1229" s="39">
        <f t="shared" si="418"/>
        <v>462.60384615384618</v>
      </c>
      <c r="F1229" s="39">
        <f t="shared" si="419"/>
        <v>461.13256410256417</v>
      </c>
      <c r="G1229" s="29">
        <f t="shared" si="425"/>
        <v>4.0800000000000003E-2</v>
      </c>
      <c r="H1229" s="29">
        <f t="shared" si="425"/>
        <v>4.41E-2</v>
      </c>
      <c r="I1229">
        <f t="shared" si="420"/>
        <v>481.46</v>
      </c>
      <c r="J1229">
        <f>IF(A1229&gt;=Quarterly!B$2,Quarterly!C$2,IF(COUNTIFS(Quarterly!B:B,"&gt;="&amp;A1229-92,Quarterly!B:B,"&lt;="&amp;A1229)&gt;1,SUMIFS(Quarterly!C:C,Quarterly!B:B,"&gt;="&amp;A1229-88,Quarterly!B:B,"&lt;="&amp;A1229),SUMIFS(Quarterly!C:C,Quarterly!B:B,"&gt;="&amp;A1229-92,Quarterly!B:B,"&lt;="&amp;A1229)))</f>
        <v>7476.7</v>
      </c>
      <c r="K1229" s="13">
        <f t="shared" si="421"/>
        <v>6.4399999999999999E-2</v>
      </c>
      <c r="L1229">
        <f t="shared" si="423"/>
        <v>481.46</v>
      </c>
      <c r="M1229">
        <f>IF(A1229&gt;=Quarterly!B$2,Quarterly!D$2,IF(COUNTIFS(Quarterly!B:B,"&gt;="&amp;A1229-92,Quarterly!B:B,"&lt;="&amp;A1229)&gt;1,SUMIFS(Quarterly!D:D,Quarterly!B:B,"&gt;="&amp;A1229-88,Quarterly!B:B,"&lt;="&amp;A1229),SUMIFS(Quarterly!D:D,Quarterly!B:B,"&gt;="&amp;A1229-92,Quarterly!B:B,"&lt;="&amp;A1229)))</f>
        <v>430.238</v>
      </c>
      <c r="N1229" s="13">
        <f t="shared" si="424"/>
        <v>0.11191000000000001</v>
      </c>
      <c r="O1229">
        <f t="shared" si="426"/>
        <v>481.46</v>
      </c>
      <c r="P1229" s="56">
        <f>VLOOKUP(EOMONTH(A1229,-1),Economic!A:I,7,FALSE)</f>
        <v>626548</v>
      </c>
      <c r="Q1229" s="13">
        <f t="shared" si="427"/>
        <v>7.6800000000000007E-2</v>
      </c>
      <c r="R1229" s="41">
        <v>0.28999999999999998</v>
      </c>
      <c r="S1229">
        <f t="shared" si="428"/>
        <v>1.52</v>
      </c>
      <c r="T1229" s="30">
        <f t="shared" si="429"/>
        <v>246.2</v>
      </c>
      <c r="U1229" s="30">
        <f t="shared" si="422"/>
        <v>247.07</v>
      </c>
    </row>
    <row r="1230" spans="1:21" ht="15" customHeight="1" x14ac:dyDescent="0.25">
      <c r="A1230" s="5">
        <v>34735</v>
      </c>
      <c r="B1230" s="5">
        <f t="shared" si="416"/>
        <v>34758</v>
      </c>
      <c r="C1230">
        <v>478.65</v>
      </c>
      <c r="D1230" s="29">
        <f t="shared" si="417"/>
        <v>2.8299999999999999E-2</v>
      </c>
      <c r="E1230" s="39">
        <f t="shared" si="418"/>
        <v>461.13384615384621</v>
      </c>
      <c r="F1230" s="39">
        <f t="shared" si="419"/>
        <v>460.17564102564108</v>
      </c>
      <c r="G1230" s="29">
        <f t="shared" si="425"/>
        <v>3.7999999999999999E-2</v>
      </c>
      <c r="H1230" s="29">
        <f t="shared" si="425"/>
        <v>4.0099999999999997E-2</v>
      </c>
      <c r="I1230">
        <f t="shared" si="420"/>
        <v>478.65</v>
      </c>
      <c r="J1230">
        <f>IF(A1230&gt;=Quarterly!B$2,Quarterly!C$2,IF(COUNTIFS(Quarterly!B:B,"&gt;="&amp;A1230-92,Quarterly!B:B,"&lt;="&amp;A1230)&gt;1,SUMIFS(Quarterly!C:C,Quarterly!B:B,"&gt;="&amp;A1230-88,Quarterly!B:B,"&lt;="&amp;A1230),SUMIFS(Quarterly!C:C,Quarterly!B:B,"&gt;="&amp;A1230-92,Quarterly!B:B,"&lt;="&amp;A1230)))</f>
        <v>7476.7</v>
      </c>
      <c r="K1230" s="13">
        <f t="shared" si="421"/>
        <v>6.4000000000000001E-2</v>
      </c>
      <c r="L1230">
        <f t="shared" si="423"/>
        <v>478.65</v>
      </c>
      <c r="M1230">
        <f>IF(A1230&gt;=Quarterly!B$2,Quarterly!D$2,IF(COUNTIFS(Quarterly!B:B,"&gt;="&amp;A1230-92,Quarterly!B:B,"&lt;="&amp;A1230)&gt;1,SUMIFS(Quarterly!D:D,Quarterly!B:B,"&gt;="&amp;A1230-88,Quarterly!B:B,"&lt;="&amp;A1230),SUMIFS(Quarterly!D:D,Quarterly!B:B,"&gt;="&amp;A1230-92,Quarterly!B:B,"&lt;="&amp;A1230)))</f>
        <v>430.238</v>
      </c>
      <c r="N1230" s="13">
        <f t="shared" si="424"/>
        <v>0.11125000000000002</v>
      </c>
      <c r="O1230">
        <f t="shared" si="426"/>
        <v>478.65</v>
      </c>
      <c r="P1230" s="56">
        <f>VLOOKUP(EOMONTH(A1230,-1),Economic!A:I,7,FALSE)</f>
        <v>626548</v>
      </c>
      <c r="Q1230" s="13">
        <f t="shared" si="427"/>
        <v>7.640000000000001E-2</v>
      </c>
      <c r="R1230" s="41">
        <v>0.35</v>
      </c>
      <c r="S1230">
        <f t="shared" si="428"/>
        <v>1.56</v>
      </c>
      <c r="T1230" s="30">
        <f t="shared" si="429"/>
        <v>248.14</v>
      </c>
      <c r="U1230" s="30">
        <f t="shared" si="422"/>
        <v>247.16</v>
      </c>
    </row>
    <row r="1231" spans="1:21" ht="15" customHeight="1" x14ac:dyDescent="0.25">
      <c r="A1231" s="5">
        <v>34728</v>
      </c>
      <c r="B1231" s="5">
        <f t="shared" si="416"/>
        <v>34730</v>
      </c>
      <c r="C1231">
        <v>470.39</v>
      </c>
      <c r="D1231" s="29">
        <f t="shared" si="417"/>
        <v>1.67E-2</v>
      </c>
      <c r="E1231" s="39">
        <f t="shared" si="418"/>
        <v>459.87461538461542</v>
      </c>
      <c r="F1231" s="39">
        <f t="shared" si="419"/>
        <v>459.38512820512824</v>
      </c>
      <c r="G1231" s="29">
        <f t="shared" si="425"/>
        <v>2.29E-2</v>
      </c>
      <c r="H1231" s="29">
        <f t="shared" si="425"/>
        <v>2.4E-2</v>
      </c>
      <c r="I1231">
        <f t="shared" si="420"/>
        <v>470.39</v>
      </c>
      <c r="J1231">
        <f>IF(A1231&gt;=Quarterly!B$2,Quarterly!C$2,IF(COUNTIFS(Quarterly!B:B,"&gt;="&amp;A1231-92,Quarterly!B:B,"&lt;="&amp;A1231)&gt;1,SUMIFS(Quarterly!C:C,Quarterly!B:B,"&gt;="&amp;A1231-88,Quarterly!B:B,"&lt;="&amp;A1231),SUMIFS(Quarterly!C:C,Quarterly!B:B,"&gt;="&amp;A1231-92,Quarterly!B:B,"&lt;="&amp;A1231)))</f>
        <v>7352.3</v>
      </c>
      <c r="K1231" s="13">
        <f t="shared" si="421"/>
        <v>6.4000000000000001E-2</v>
      </c>
      <c r="L1231">
        <f t="shared" si="423"/>
        <v>470.39</v>
      </c>
      <c r="M1231">
        <f>IF(A1231&gt;=Quarterly!B$2,Quarterly!D$2,IF(COUNTIFS(Quarterly!B:B,"&gt;="&amp;A1231-92,Quarterly!B:B,"&lt;="&amp;A1231)&gt;1,SUMIFS(Quarterly!D:D,Quarterly!B:B,"&gt;="&amp;A1231-88,Quarterly!B:B,"&lt;="&amp;A1231),SUMIFS(Quarterly!D:D,Quarterly!B:B,"&gt;="&amp;A1231-92,Quarterly!B:B,"&lt;="&amp;A1231)))</f>
        <v>418.79599999999999</v>
      </c>
      <c r="N1231" s="13">
        <f t="shared" si="424"/>
        <v>0.11232</v>
      </c>
      <c r="O1231">
        <f t="shared" si="426"/>
        <v>470.39</v>
      </c>
      <c r="P1231" s="56">
        <f>VLOOKUP(EOMONTH(A1231,-1),Economic!A:I,7,FALSE)</f>
        <v>622451</v>
      </c>
      <c r="Q1231" s="13">
        <f t="shared" si="427"/>
        <v>7.5600000000000001E-2</v>
      </c>
      <c r="R1231" s="41">
        <v>0.37</v>
      </c>
      <c r="S1231">
        <f t="shared" si="428"/>
        <v>1.62</v>
      </c>
      <c r="T1231" s="30">
        <f t="shared" si="429"/>
        <v>246.88</v>
      </c>
      <c r="U1231" s="30">
        <f t="shared" si="422"/>
        <v>245.82</v>
      </c>
    </row>
    <row r="1232" spans="1:21" ht="15" customHeight="1" x14ac:dyDescent="0.25">
      <c r="A1232" s="5">
        <v>34721</v>
      </c>
      <c r="B1232" s="5">
        <f t="shared" si="416"/>
        <v>34730</v>
      </c>
      <c r="C1232">
        <v>464.78</v>
      </c>
      <c r="D1232" s="29">
        <f t="shared" si="417"/>
        <v>7.1999999999999998E-3</v>
      </c>
      <c r="E1232" s="39">
        <f t="shared" si="418"/>
        <v>460.13461538461553</v>
      </c>
      <c r="F1232" s="39">
        <f t="shared" si="419"/>
        <v>458.88564102564106</v>
      </c>
      <c r="G1232" s="29">
        <f t="shared" si="425"/>
        <v>1.01E-2</v>
      </c>
      <c r="H1232" s="29">
        <f t="shared" si="425"/>
        <v>1.2800000000000001E-2</v>
      </c>
      <c r="I1232">
        <f t="shared" si="420"/>
        <v>464.78</v>
      </c>
      <c r="J1232">
        <f>IF(A1232&gt;=Quarterly!B$2,Quarterly!C$2,IF(COUNTIFS(Quarterly!B:B,"&gt;="&amp;A1232-92,Quarterly!B:B,"&lt;="&amp;A1232)&gt;1,SUMIFS(Quarterly!C:C,Quarterly!B:B,"&gt;="&amp;A1232-88,Quarterly!B:B,"&lt;="&amp;A1232),SUMIFS(Quarterly!C:C,Quarterly!B:B,"&gt;="&amp;A1232-92,Quarterly!B:B,"&lt;="&amp;A1232)))</f>
        <v>7352.3</v>
      </c>
      <c r="K1232" s="13">
        <f t="shared" si="421"/>
        <v>6.3200000000000006E-2</v>
      </c>
      <c r="L1232">
        <f t="shared" si="423"/>
        <v>464.78</v>
      </c>
      <c r="M1232">
        <f>IF(A1232&gt;=Quarterly!B$2,Quarterly!D$2,IF(COUNTIFS(Quarterly!B:B,"&gt;="&amp;A1232-92,Quarterly!B:B,"&lt;="&amp;A1232)&gt;1,SUMIFS(Quarterly!D:D,Quarterly!B:B,"&gt;="&amp;A1232-88,Quarterly!B:B,"&lt;="&amp;A1232),SUMIFS(Quarterly!D:D,Quarterly!B:B,"&gt;="&amp;A1232-92,Quarterly!B:B,"&lt;="&amp;A1232)))</f>
        <v>418.79599999999999</v>
      </c>
      <c r="N1232" s="13">
        <f t="shared" si="424"/>
        <v>0.11098</v>
      </c>
      <c r="O1232">
        <f t="shared" si="426"/>
        <v>464.78</v>
      </c>
      <c r="P1232" s="56">
        <f>VLOOKUP(EOMONTH(A1232,-1),Economic!A:I,7,FALSE)</f>
        <v>622451</v>
      </c>
      <c r="Q1232" s="13">
        <f t="shared" si="427"/>
        <v>7.4700000000000003E-2</v>
      </c>
      <c r="R1232" s="41">
        <v>0.32</v>
      </c>
      <c r="S1232">
        <f t="shared" si="428"/>
        <v>1.62</v>
      </c>
      <c r="T1232" s="30">
        <f t="shared" si="429"/>
        <v>246.46</v>
      </c>
      <c r="U1232" s="30">
        <f t="shared" si="422"/>
        <v>244.71</v>
      </c>
    </row>
    <row r="1233" spans="1:21" ht="15" customHeight="1" x14ac:dyDescent="0.25">
      <c r="A1233" s="5">
        <v>34714</v>
      </c>
      <c r="B1233" s="5">
        <f t="shared" si="416"/>
        <v>34730</v>
      </c>
      <c r="C1233">
        <v>465.97</v>
      </c>
      <c r="D1233" s="29">
        <f t="shared" si="417"/>
        <v>1.38E-2</v>
      </c>
      <c r="E1233" s="39">
        <f t="shared" si="418"/>
        <v>460.14307692307705</v>
      </c>
      <c r="F1233" s="39">
        <f t="shared" si="419"/>
        <v>458.44589743589751</v>
      </c>
      <c r="G1233" s="29">
        <f t="shared" si="425"/>
        <v>1.2699999999999999E-2</v>
      </c>
      <c r="H1233" s="29">
        <f t="shared" si="425"/>
        <v>1.6400000000000001E-2</v>
      </c>
      <c r="I1233">
        <f t="shared" si="420"/>
        <v>465.97</v>
      </c>
      <c r="J1233">
        <f>IF(A1233&gt;=Quarterly!B$2,Quarterly!C$2,IF(COUNTIFS(Quarterly!B:B,"&gt;="&amp;A1233-92,Quarterly!B:B,"&lt;="&amp;A1233)&gt;1,SUMIFS(Quarterly!C:C,Quarterly!B:B,"&gt;="&amp;A1233-88,Quarterly!B:B,"&lt;="&amp;A1233),SUMIFS(Quarterly!C:C,Quarterly!B:B,"&gt;="&amp;A1233-92,Quarterly!B:B,"&lt;="&amp;A1233)))</f>
        <v>7352.3</v>
      </c>
      <c r="K1233" s="13">
        <f t="shared" si="421"/>
        <v>6.3399999999999998E-2</v>
      </c>
      <c r="L1233">
        <f t="shared" si="423"/>
        <v>465.97</v>
      </c>
      <c r="M1233">
        <f>IF(A1233&gt;=Quarterly!B$2,Quarterly!D$2,IF(COUNTIFS(Quarterly!B:B,"&gt;="&amp;A1233-92,Quarterly!B:B,"&lt;="&amp;A1233)&gt;1,SUMIFS(Quarterly!D:D,Quarterly!B:B,"&gt;="&amp;A1233-88,Quarterly!B:B,"&lt;="&amp;A1233),SUMIFS(Quarterly!D:D,Quarterly!B:B,"&gt;="&amp;A1233-92,Quarterly!B:B,"&lt;="&amp;A1233)))</f>
        <v>418.79599999999999</v>
      </c>
      <c r="N1233" s="13">
        <f t="shared" si="424"/>
        <v>0.11126000000000001</v>
      </c>
      <c r="O1233">
        <f t="shared" si="426"/>
        <v>465.97</v>
      </c>
      <c r="P1233" s="56">
        <f>VLOOKUP(EOMONTH(A1233,-1),Economic!A:I,7,FALSE)</f>
        <v>622451</v>
      </c>
      <c r="Q1233" s="13">
        <f t="shared" si="427"/>
        <v>7.4899999999999994E-2</v>
      </c>
      <c r="R1233" s="41">
        <v>0.3</v>
      </c>
      <c r="S1233">
        <f t="shared" si="428"/>
        <v>1.55</v>
      </c>
      <c r="T1233" s="30">
        <f t="shared" si="429"/>
        <v>244.11</v>
      </c>
      <c r="U1233" s="30">
        <f t="shared" si="422"/>
        <v>242.63</v>
      </c>
    </row>
    <row r="1234" spans="1:21" ht="15" customHeight="1" x14ac:dyDescent="0.25">
      <c r="A1234" s="5">
        <v>34707</v>
      </c>
      <c r="B1234" s="5">
        <f t="shared" ref="B1234:B1297" si="430">EOMONTH(A1234,0)</f>
        <v>34730</v>
      </c>
      <c r="C1234">
        <v>460.68</v>
      </c>
      <c r="D1234" s="29">
        <f t="shared" ref="D1234:D1297" si="431">ROUND((C1234-AVERAGE(C1235:C1238))/AVERAGE(C1235:C1238),4)</f>
        <v>9.7999999999999997E-3</v>
      </c>
      <c r="E1234" s="39">
        <f t="shared" ref="E1234:E1297" si="432">AVERAGE(C1234:C1246)</f>
        <v>460.38384615384621</v>
      </c>
      <c r="F1234" s="39">
        <f t="shared" ref="F1234:F1297" si="433">AVERAGE(C1234:C1272)</f>
        <v>457.93846153846158</v>
      </c>
      <c r="G1234" s="29">
        <f t="shared" si="425"/>
        <v>5.9999999999999995E-4</v>
      </c>
      <c r="H1234" s="29">
        <f t="shared" si="425"/>
        <v>6.0000000000000001E-3</v>
      </c>
      <c r="I1234">
        <f t="shared" ref="I1234:I1297" si="434">C1234</f>
        <v>460.68</v>
      </c>
      <c r="J1234">
        <f>IF(A1234&gt;=Quarterly!B$2,Quarterly!C$2,IF(COUNTIFS(Quarterly!B:B,"&gt;="&amp;A1234-92,Quarterly!B:B,"&lt;="&amp;A1234)&gt;1,SUMIFS(Quarterly!C:C,Quarterly!B:B,"&gt;="&amp;A1234-88,Quarterly!B:B,"&lt;="&amp;A1234),SUMIFS(Quarterly!C:C,Quarterly!B:B,"&gt;="&amp;A1234-92,Quarterly!B:B,"&lt;="&amp;A1234)))</f>
        <v>7352.3</v>
      </c>
      <c r="K1234" s="13">
        <f t="shared" ref="K1234:K1297" si="435">ROUND(I1234/J1234,4)</f>
        <v>6.2700000000000006E-2</v>
      </c>
      <c r="L1234">
        <f t="shared" si="423"/>
        <v>460.68</v>
      </c>
      <c r="M1234">
        <f>IF(A1234&gt;=Quarterly!B$2,Quarterly!D$2,IF(COUNTIFS(Quarterly!B:B,"&gt;="&amp;A1234-92,Quarterly!B:B,"&lt;="&amp;A1234)&gt;1,SUMIFS(Quarterly!D:D,Quarterly!B:B,"&gt;="&amp;A1234-88,Quarterly!B:B,"&lt;="&amp;A1234),SUMIFS(Quarterly!D:D,Quarterly!B:B,"&gt;="&amp;A1234-92,Quarterly!B:B,"&lt;="&amp;A1234)))</f>
        <v>418.79599999999999</v>
      </c>
      <c r="N1234" s="13">
        <f t="shared" si="424"/>
        <v>0.11000000000000001</v>
      </c>
      <c r="O1234">
        <f t="shared" si="426"/>
        <v>460.68</v>
      </c>
      <c r="P1234" s="56">
        <f>VLOOKUP(EOMONTH(A1234,-1),Economic!A:I,7,FALSE)</f>
        <v>622451</v>
      </c>
      <c r="Q1234" s="13">
        <f t="shared" si="427"/>
        <v>7.3999999999999996E-2</v>
      </c>
      <c r="R1234" s="41">
        <v>0.23</v>
      </c>
      <c r="S1234">
        <f t="shared" si="428"/>
        <v>1.55</v>
      </c>
      <c r="T1234" s="30">
        <f t="shared" si="429"/>
        <v>243.57</v>
      </c>
      <c r="U1234" s="30">
        <f t="shared" ref="U1234:U1297" si="436">ROUND(AVERAGE(T1234:T1236),2)</f>
        <v>242.05</v>
      </c>
    </row>
    <row r="1235" spans="1:21" ht="15" customHeight="1" x14ac:dyDescent="0.25">
      <c r="A1235" s="5">
        <v>34700</v>
      </c>
      <c r="B1235" s="5">
        <f t="shared" si="430"/>
        <v>34730</v>
      </c>
      <c r="C1235">
        <v>459.27</v>
      </c>
      <c r="D1235" s="29">
        <f t="shared" si="431"/>
        <v>0.01</v>
      </c>
      <c r="E1235" s="39">
        <f t="shared" si="432"/>
        <v>459.95461538461547</v>
      </c>
      <c r="F1235" s="39">
        <f t="shared" si="433"/>
        <v>457.59025641025642</v>
      </c>
      <c r="G1235" s="29">
        <f t="shared" si="425"/>
        <v>-1.5E-3</v>
      </c>
      <c r="H1235" s="29">
        <f t="shared" si="425"/>
        <v>3.7000000000000002E-3</v>
      </c>
      <c r="I1235">
        <f t="shared" si="434"/>
        <v>459.27</v>
      </c>
      <c r="J1235">
        <f>IF(A1235&gt;=Quarterly!B$2,Quarterly!C$2,IF(COUNTIFS(Quarterly!B:B,"&gt;="&amp;A1235-92,Quarterly!B:B,"&lt;="&amp;A1235)&gt;1,SUMIFS(Quarterly!C:C,Quarterly!B:B,"&gt;="&amp;A1235-88,Quarterly!B:B,"&lt;="&amp;A1235),SUMIFS(Quarterly!C:C,Quarterly!B:B,"&gt;="&amp;A1235-92,Quarterly!B:B,"&lt;="&amp;A1235)))</f>
        <v>7352.3</v>
      </c>
      <c r="K1235" s="13">
        <f t="shared" si="435"/>
        <v>6.25E-2</v>
      </c>
      <c r="L1235">
        <f t="shared" si="423"/>
        <v>459.27</v>
      </c>
      <c r="M1235">
        <f>IF(A1235&gt;=Quarterly!B$2,Quarterly!D$2,IF(COUNTIFS(Quarterly!B:B,"&gt;="&amp;A1235-92,Quarterly!B:B,"&lt;="&amp;A1235)&gt;1,SUMIFS(Quarterly!D:D,Quarterly!B:B,"&gt;="&amp;A1235-88,Quarterly!B:B,"&lt;="&amp;A1235),SUMIFS(Quarterly!D:D,Quarterly!B:B,"&gt;="&amp;A1235-92,Quarterly!B:B,"&lt;="&amp;A1235)))</f>
        <v>418.79599999999999</v>
      </c>
      <c r="N1235" s="13">
        <f t="shared" si="424"/>
        <v>0.10966000000000001</v>
      </c>
      <c r="O1235">
        <f t="shared" si="426"/>
        <v>459.27</v>
      </c>
      <c r="P1235" s="56">
        <f>VLOOKUP(EOMONTH(A1235,-1),Economic!A:I,7,FALSE)</f>
        <v>622451</v>
      </c>
      <c r="Q1235" s="13">
        <f t="shared" si="427"/>
        <v>7.3800000000000004E-2</v>
      </c>
      <c r="R1235" s="41">
        <v>0.15</v>
      </c>
      <c r="S1235">
        <f t="shared" si="428"/>
        <v>1.44</v>
      </c>
      <c r="T1235" s="30">
        <f t="shared" si="429"/>
        <v>240.21</v>
      </c>
      <c r="U1235" s="30">
        <f t="shared" si="436"/>
        <v>240.22</v>
      </c>
    </row>
    <row r="1236" spans="1:21" ht="15" customHeight="1" x14ac:dyDescent="0.25">
      <c r="A1236" s="5">
        <v>34693</v>
      </c>
      <c r="B1236" s="5">
        <f t="shared" si="430"/>
        <v>34699</v>
      </c>
      <c r="C1236">
        <v>459.83</v>
      </c>
      <c r="D1236" s="29">
        <f t="shared" si="431"/>
        <v>1.54E-2</v>
      </c>
      <c r="E1236" s="39">
        <f t="shared" si="432"/>
        <v>460.21923076923082</v>
      </c>
      <c r="F1236" s="39">
        <f t="shared" si="433"/>
        <v>457.24410256410255</v>
      </c>
      <c r="G1236" s="29">
        <f t="shared" si="425"/>
        <v>-8.0000000000000004E-4</v>
      </c>
      <c r="H1236" s="29">
        <f t="shared" si="425"/>
        <v>5.7000000000000002E-3</v>
      </c>
      <c r="I1236">
        <f t="shared" si="434"/>
        <v>459.83</v>
      </c>
      <c r="J1236">
        <f>IF(A1236&gt;=Quarterly!B$2,Quarterly!C$2,IF(COUNTIFS(Quarterly!B:B,"&gt;="&amp;A1236-92,Quarterly!B:B,"&lt;="&amp;A1236)&gt;1,SUMIFS(Quarterly!C:C,Quarterly!B:B,"&gt;="&amp;A1236-88,Quarterly!B:B,"&lt;="&amp;A1236),SUMIFS(Quarterly!C:C,Quarterly!B:B,"&gt;="&amp;A1236-92,Quarterly!B:B,"&lt;="&amp;A1236)))</f>
        <v>7352.3</v>
      </c>
      <c r="K1236" s="13">
        <f t="shared" si="435"/>
        <v>6.25E-2</v>
      </c>
      <c r="L1236">
        <f t="shared" si="423"/>
        <v>459.83</v>
      </c>
      <c r="M1236">
        <f>IF(A1236&gt;=Quarterly!B$2,Quarterly!D$2,IF(COUNTIFS(Quarterly!B:B,"&gt;="&amp;A1236-92,Quarterly!B:B,"&lt;="&amp;A1236)&gt;1,SUMIFS(Quarterly!D:D,Quarterly!B:B,"&gt;="&amp;A1236-88,Quarterly!B:B,"&lt;="&amp;A1236),SUMIFS(Quarterly!D:D,Quarterly!B:B,"&gt;="&amp;A1236-92,Quarterly!B:B,"&lt;="&amp;A1236)))</f>
        <v>418.79599999999999</v>
      </c>
      <c r="N1236" s="13">
        <f t="shared" si="424"/>
        <v>0.10980000000000001</v>
      </c>
      <c r="O1236">
        <f t="shared" si="426"/>
        <v>459.83</v>
      </c>
      <c r="P1236" s="56">
        <f>VLOOKUP(EOMONTH(A1236,-1),Economic!A:I,7,FALSE)</f>
        <v>616545</v>
      </c>
      <c r="Q1236" s="13">
        <f t="shared" si="427"/>
        <v>7.46E-2</v>
      </c>
      <c r="R1236" s="41">
        <v>0.11</v>
      </c>
      <c r="S1236">
        <f t="shared" si="428"/>
        <v>1.51</v>
      </c>
      <c r="T1236" s="30">
        <f t="shared" si="429"/>
        <v>242.38</v>
      </c>
      <c r="U1236" s="30">
        <f t="shared" si="436"/>
        <v>240.22</v>
      </c>
    </row>
    <row r="1237" spans="1:21" ht="15" customHeight="1" x14ac:dyDescent="0.25">
      <c r="A1237" s="5">
        <v>34686</v>
      </c>
      <c r="B1237" s="5">
        <f t="shared" si="430"/>
        <v>34699</v>
      </c>
      <c r="C1237">
        <v>458.8</v>
      </c>
      <c r="D1237" s="29">
        <f t="shared" si="431"/>
        <v>1.17E-2</v>
      </c>
      <c r="E1237" s="39">
        <f t="shared" si="432"/>
        <v>460.20692307692309</v>
      </c>
      <c r="F1237" s="39">
        <f t="shared" si="433"/>
        <v>457.26333333333332</v>
      </c>
      <c r="G1237" s="29">
        <f t="shared" si="425"/>
        <v>-3.0999999999999999E-3</v>
      </c>
      <c r="H1237" s="29">
        <f t="shared" si="425"/>
        <v>3.3999999999999998E-3</v>
      </c>
      <c r="I1237">
        <f t="shared" si="434"/>
        <v>458.8</v>
      </c>
      <c r="J1237">
        <f>IF(A1237&gt;=Quarterly!B$2,Quarterly!C$2,IF(COUNTIFS(Quarterly!B:B,"&gt;="&amp;A1237-92,Quarterly!B:B,"&lt;="&amp;A1237)&gt;1,SUMIFS(Quarterly!C:C,Quarterly!B:B,"&gt;="&amp;A1237-88,Quarterly!B:B,"&lt;="&amp;A1237),SUMIFS(Quarterly!C:C,Quarterly!B:B,"&gt;="&amp;A1237-92,Quarterly!B:B,"&lt;="&amp;A1237)))</f>
        <v>7352.3</v>
      </c>
      <c r="K1237" s="13">
        <f t="shared" si="435"/>
        <v>6.2399999999999997E-2</v>
      </c>
      <c r="L1237">
        <f t="shared" si="423"/>
        <v>458.8</v>
      </c>
      <c r="M1237">
        <f>IF(A1237&gt;=Quarterly!B$2,Quarterly!D$2,IF(COUNTIFS(Quarterly!B:B,"&gt;="&amp;A1237-92,Quarterly!B:B,"&lt;="&amp;A1237)&gt;1,SUMIFS(Quarterly!D:D,Quarterly!B:B,"&gt;="&amp;A1237-88,Quarterly!B:B,"&lt;="&amp;A1237),SUMIFS(Quarterly!D:D,Quarterly!B:B,"&gt;="&amp;A1237-92,Quarterly!B:B,"&lt;="&amp;A1237)))</f>
        <v>418.79599999999999</v>
      </c>
      <c r="N1237" s="13">
        <f t="shared" si="424"/>
        <v>0.10954999999999999</v>
      </c>
      <c r="O1237">
        <f t="shared" si="426"/>
        <v>458.8</v>
      </c>
      <c r="P1237" s="56">
        <f>VLOOKUP(EOMONTH(A1237,-1),Economic!A:I,7,FALSE)</f>
        <v>616545</v>
      </c>
      <c r="Q1237" s="13">
        <f t="shared" si="427"/>
        <v>7.4399999999999994E-2</v>
      </c>
      <c r="R1237" s="41">
        <v>0.22</v>
      </c>
      <c r="S1237">
        <f t="shared" si="428"/>
        <v>1.38</v>
      </c>
      <c r="T1237" s="30">
        <f t="shared" si="429"/>
        <v>238.07</v>
      </c>
      <c r="U1237" s="30">
        <f t="shared" si="436"/>
        <v>239.49</v>
      </c>
    </row>
    <row r="1238" spans="1:21" ht="15" customHeight="1" x14ac:dyDescent="0.25">
      <c r="A1238" s="5">
        <v>34679</v>
      </c>
      <c r="B1238" s="5">
        <f t="shared" si="430"/>
        <v>34699</v>
      </c>
      <c r="C1238">
        <v>446.96</v>
      </c>
      <c r="D1238" s="29">
        <f t="shared" si="431"/>
        <v>-2.2700000000000001E-2</v>
      </c>
      <c r="E1238" s="39">
        <f t="shared" si="432"/>
        <v>461.15999999999997</v>
      </c>
      <c r="F1238" s="39">
        <f t="shared" si="433"/>
        <v>457.57769230769236</v>
      </c>
      <c r="G1238" s="29">
        <f t="shared" si="425"/>
        <v>-3.0800000000000001E-2</v>
      </c>
      <c r="H1238" s="29">
        <f t="shared" si="425"/>
        <v>-2.3199999999999998E-2</v>
      </c>
      <c r="I1238">
        <f t="shared" si="434"/>
        <v>446.96</v>
      </c>
      <c r="J1238">
        <f>IF(A1238&gt;=Quarterly!B$2,Quarterly!C$2,IF(COUNTIFS(Quarterly!B:B,"&gt;="&amp;A1238-92,Quarterly!B:B,"&lt;="&amp;A1238)&gt;1,SUMIFS(Quarterly!C:C,Quarterly!B:B,"&gt;="&amp;A1238-88,Quarterly!B:B,"&lt;="&amp;A1238),SUMIFS(Quarterly!C:C,Quarterly!B:B,"&gt;="&amp;A1238-92,Quarterly!B:B,"&lt;="&amp;A1238)))</f>
        <v>7352.3</v>
      </c>
      <c r="K1238" s="13">
        <f t="shared" si="435"/>
        <v>6.08E-2</v>
      </c>
      <c r="L1238">
        <f t="shared" si="423"/>
        <v>446.96</v>
      </c>
      <c r="M1238">
        <f>IF(A1238&gt;=Quarterly!B$2,Quarterly!D$2,IF(COUNTIFS(Quarterly!B:B,"&gt;="&amp;A1238-92,Quarterly!B:B,"&lt;="&amp;A1238)&gt;1,SUMIFS(Quarterly!D:D,Quarterly!B:B,"&gt;="&amp;A1238-88,Quarterly!B:B,"&lt;="&amp;A1238),SUMIFS(Quarterly!D:D,Quarterly!B:B,"&gt;="&amp;A1238-92,Quarterly!B:B,"&lt;="&amp;A1238)))</f>
        <v>418.79599999999999</v>
      </c>
      <c r="N1238" s="13">
        <f t="shared" si="424"/>
        <v>0.10672</v>
      </c>
      <c r="O1238">
        <f t="shared" si="426"/>
        <v>446.96</v>
      </c>
      <c r="P1238" s="56">
        <f>VLOOKUP(EOMONTH(A1238,-1),Economic!A:I,7,FALSE)</f>
        <v>616545</v>
      </c>
      <c r="Q1238" s="13">
        <f t="shared" si="427"/>
        <v>7.2499999999999995E-2</v>
      </c>
      <c r="R1238" s="41">
        <v>0.26</v>
      </c>
      <c r="S1238">
        <f t="shared" si="428"/>
        <v>1.48</v>
      </c>
      <c r="T1238" s="30">
        <f t="shared" si="429"/>
        <v>240.22</v>
      </c>
      <c r="U1238" s="30">
        <f t="shared" si="436"/>
        <v>240.16</v>
      </c>
    </row>
    <row r="1239" spans="1:21" ht="15" customHeight="1" x14ac:dyDescent="0.25">
      <c r="A1239" s="5">
        <v>34672</v>
      </c>
      <c r="B1239" s="5">
        <f t="shared" si="430"/>
        <v>34699</v>
      </c>
      <c r="C1239">
        <v>453.3</v>
      </c>
      <c r="D1239" s="29">
        <f t="shared" si="431"/>
        <v>-1.37E-2</v>
      </c>
      <c r="E1239" s="39">
        <f t="shared" si="432"/>
        <v>462.79230769230765</v>
      </c>
      <c r="F1239" s="39">
        <f t="shared" si="433"/>
        <v>458.07717948717942</v>
      </c>
      <c r="G1239" s="29">
        <f t="shared" si="425"/>
        <v>-2.0500000000000001E-2</v>
      </c>
      <c r="H1239" s="29">
        <f t="shared" si="425"/>
        <v>-1.04E-2</v>
      </c>
      <c r="I1239">
        <f t="shared" si="434"/>
        <v>453.3</v>
      </c>
      <c r="J1239">
        <f>IF(A1239&gt;=Quarterly!B$2,Quarterly!C$2,IF(COUNTIFS(Quarterly!B:B,"&gt;="&amp;A1239-92,Quarterly!B:B,"&lt;="&amp;A1239)&gt;1,SUMIFS(Quarterly!C:C,Quarterly!B:B,"&gt;="&amp;A1239-88,Quarterly!B:B,"&lt;="&amp;A1239),SUMIFS(Quarterly!C:C,Quarterly!B:B,"&gt;="&amp;A1239-92,Quarterly!B:B,"&lt;="&amp;A1239)))</f>
        <v>7352.3</v>
      </c>
      <c r="K1239" s="13">
        <f t="shared" si="435"/>
        <v>6.1699999999999998E-2</v>
      </c>
      <c r="L1239">
        <f t="shared" ref="L1239:L1302" si="437">C1239</f>
        <v>453.3</v>
      </c>
      <c r="M1239">
        <f>IF(A1239&gt;=Quarterly!B$2,Quarterly!D$2,IF(COUNTIFS(Quarterly!B:B,"&gt;="&amp;A1239-92,Quarterly!B:B,"&lt;="&amp;A1239)&gt;1,SUMIFS(Quarterly!D:D,Quarterly!B:B,"&gt;="&amp;A1239-88,Quarterly!B:B,"&lt;="&amp;A1239),SUMIFS(Quarterly!D:D,Quarterly!B:B,"&gt;="&amp;A1239-92,Quarterly!B:B,"&lt;="&amp;A1239)))</f>
        <v>418.79599999999999</v>
      </c>
      <c r="N1239" s="13">
        <f t="shared" ref="N1239:N1302" si="438">ROUND(L1239/M1239,4)*0.1</f>
        <v>0.10824</v>
      </c>
      <c r="O1239">
        <f t="shared" si="426"/>
        <v>453.3</v>
      </c>
      <c r="P1239" s="56">
        <f>VLOOKUP(EOMONTH(A1239,-1),Economic!A:I,7,FALSE)</f>
        <v>616545</v>
      </c>
      <c r="Q1239" s="13">
        <f t="shared" si="427"/>
        <v>7.3499999999999996E-2</v>
      </c>
      <c r="R1239" s="41">
        <v>0.37</v>
      </c>
      <c r="S1239">
        <f t="shared" si="428"/>
        <v>1.5</v>
      </c>
      <c r="T1239" s="30">
        <f t="shared" si="429"/>
        <v>240.17</v>
      </c>
      <c r="U1239" s="30">
        <f t="shared" si="436"/>
        <v>239.58</v>
      </c>
    </row>
    <row r="1240" spans="1:21" ht="15" customHeight="1" x14ac:dyDescent="0.25">
      <c r="A1240" s="5">
        <v>34665</v>
      </c>
      <c r="B1240" s="5">
        <f t="shared" si="430"/>
        <v>34668</v>
      </c>
      <c r="C1240">
        <v>452.29</v>
      </c>
      <c r="D1240" s="29">
        <f t="shared" si="431"/>
        <v>-2.7300000000000001E-2</v>
      </c>
      <c r="E1240" s="39">
        <f t="shared" si="432"/>
        <v>464.15307692307681</v>
      </c>
      <c r="F1240" s="39">
        <f t="shared" si="433"/>
        <v>458.37051282051283</v>
      </c>
      <c r="G1240" s="29">
        <f t="shared" si="425"/>
        <v>-2.5600000000000001E-2</v>
      </c>
      <c r="H1240" s="29">
        <f t="shared" si="425"/>
        <v>-1.3299999999999999E-2</v>
      </c>
      <c r="I1240">
        <f t="shared" si="434"/>
        <v>452.29</v>
      </c>
      <c r="J1240">
        <f>IF(A1240&gt;=Quarterly!B$2,Quarterly!C$2,IF(COUNTIFS(Quarterly!B:B,"&gt;="&amp;A1240-92,Quarterly!B:B,"&lt;="&amp;A1240)&gt;1,SUMIFS(Quarterly!C:C,Quarterly!B:B,"&gt;="&amp;A1240-88,Quarterly!B:B,"&lt;="&amp;A1240),SUMIFS(Quarterly!C:C,Quarterly!B:B,"&gt;="&amp;A1240-92,Quarterly!B:B,"&lt;="&amp;A1240)))</f>
        <v>7352.3</v>
      </c>
      <c r="K1240" s="13">
        <f t="shared" si="435"/>
        <v>6.1499999999999999E-2</v>
      </c>
      <c r="L1240">
        <f t="shared" si="437"/>
        <v>452.29</v>
      </c>
      <c r="M1240">
        <f>IF(A1240&gt;=Quarterly!B$2,Quarterly!D$2,IF(COUNTIFS(Quarterly!B:B,"&gt;="&amp;A1240-92,Quarterly!B:B,"&lt;="&amp;A1240)&gt;1,SUMIFS(Quarterly!D:D,Quarterly!B:B,"&gt;="&amp;A1240-88,Quarterly!B:B,"&lt;="&amp;A1240),SUMIFS(Quarterly!D:D,Quarterly!B:B,"&gt;="&amp;A1240-92,Quarterly!B:B,"&lt;="&amp;A1240)))</f>
        <v>418.79599999999999</v>
      </c>
      <c r="N1240" s="13">
        <f t="shared" si="438"/>
        <v>0.10800000000000001</v>
      </c>
      <c r="O1240">
        <f t="shared" si="426"/>
        <v>452.29</v>
      </c>
      <c r="P1240" s="56">
        <f>VLOOKUP(EOMONTH(A1240,-1),Economic!A:I,7,FALSE)</f>
        <v>611617</v>
      </c>
      <c r="Q1240" s="13">
        <f t="shared" si="427"/>
        <v>7.3899999999999993E-2</v>
      </c>
      <c r="R1240" s="41">
        <v>0.61</v>
      </c>
      <c r="S1240">
        <f t="shared" si="428"/>
        <v>1.52</v>
      </c>
      <c r="T1240" s="30">
        <f t="shared" si="429"/>
        <v>240.1</v>
      </c>
      <c r="U1240" s="30">
        <f t="shared" si="436"/>
        <v>239.01</v>
      </c>
    </row>
    <row r="1241" spans="1:21" ht="15" customHeight="1" x14ac:dyDescent="0.25">
      <c r="A1241" s="5">
        <v>34658</v>
      </c>
      <c r="B1241" s="5">
        <f t="shared" si="430"/>
        <v>34668</v>
      </c>
      <c r="C1241">
        <v>461.47</v>
      </c>
      <c r="D1241" s="29">
        <f t="shared" si="431"/>
        <v>-9.2999999999999992E-3</v>
      </c>
      <c r="E1241" s="39">
        <f t="shared" si="432"/>
        <v>465.80769230769226</v>
      </c>
      <c r="F1241" s="39">
        <f t="shared" si="433"/>
        <v>458.72384615384613</v>
      </c>
      <c r="G1241" s="29">
        <f t="shared" si="425"/>
        <v>-9.2999999999999992E-3</v>
      </c>
      <c r="H1241" s="29">
        <f t="shared" si="425"/>
        <v>6.0000000000000001E-3</v>
      </c>
      <c r="I1241">
        <f t="shared" si="434"/>
        <v>461.47</v>
      </c>
      <c r="J1241">
        <f>IF(A1241&gt;=Quarterly!B$2,Quarterly!C$2,IF(COUNTIFS(Quarterly!B:B,"&gt;="&amp;A1241-92,Quarterly!B:B,"&lt;="&amp;A1241)&gt;1,SUMIFS(Quarterly!C:C,Quarterly!B:B,"&gt;="&amp;A1241-88,Quarterly!B:B,"&lt;="&amp;A1241),SUMIFS(Quarterly!C:C,Quarterly!B:B,"&gt;="&amp;A1241-92,Quarterly!B:B,"&lt;="&amp;A1241)))</f>
        <v>7352.3</v>
      </c>
      <c r="K1241" s="13">
        <f t="shared" si="435"/>
        <v>6.2799999999999995E-2</v>
      </c>
      <c r="L1241">
        <f t="shared" si="437"/>
        <v>461.47</v>
      </c>
      <c r="M1241">
        <f>IF(A1241&gt;=Quarterly!B$2,Quarterly!D$2,IF(COUNTIFS(Quarterly!B:B,"&gt;="&amp;A1241-92,Quarterly!B:B,"&lt;="&amp;A1241)&gt;1,SUMIFS(Quarterly!D:D,Quarterly!B:B,"&gt;="&amp;A1241-88,Quarterly!B:B,"&lt;="&amp;A1241),SUMIFS(Quarterly!D:D,Quarterly!B:B,"&gt;="&amp;A1241-92,Quarterly!B:B,"&lt;="&amp;A1241)))</f>
        <v>418.79599999999999</v>
      </c>
      <c r="N1241" s="13">
        <f t="shared" si="438"/>
        <v>0.11019000000000001</v>
      </c>
      <c r="O1241">
        <f t="shared" si="426"/>
        <v>461.47</v>
      </c>
      <c r="P1241" s="56">
        <f>VLOOKUP(EOMONTH(A1241,-1),Economic!A:I,7,FALSE)</f>
        <v>611617</v>
      </c>
      <c r="Q1241" s="13">
        <f t="shared" si="427"/>
        <v>7.5499999999999998E-2</v>
      </c>
      <c r="R1241" s="41">
        <v>0.78</v>
      </c>
      <c r="S1241">
        <f t="shared" si="428"/>
        <v>1.49</v>
      </c>
      <c r="T1241" s="30">
        <f t="shared" si="429"/>
        <v>238.47</v>
      </c>
      <c r="U1241" s="30">
        <f t="shared" si="436"/>
        <v>239.65</v>
      </c>
    </row>
    <row r="1242" spans="1:21" ht="15" customHeight="1" x14ac:dyDescent="0.25">
      <c r="A1242" s="5">
        <v>34651</v>
      </c>
      <c r="B1242" s="5">
        <f t="shared" si="430"/>
        <v>34668</v>
      </c>
      <c r="C1242">
        <v>462.35</v>
      </c>
      <c r="D1242" s="29">
        <f t="shared" si="431"/>
        <v>-1.0999999999999999E-2</v>
      </c>
      <c r="E1242" s="39">
        <f t="shared" si="432"/>
        <v>465.97769230769234</v>
      </c>
      <c r="F1242" s="39">
        <f t="shared" si="433"/>
        <v>458.88333333333327</v>
      </c>
      <c r="G1242" s="29">
        <f t="shared" si="425"/>
        <v>-7.7999999999999996E-3</v>
      </c>
      <c r="H1242" s="29">
        <f t="shared" si="425"/>
        <v>7.6E-3</v>
      </c>
      <c r="I1242">
        <f t="shared" si="434"/>
        <v>462.35</v>
      </c>
      <c r="J1242">
        <f>IF(A1242&gt;=Quarterly!B$2,Quarterly!C$2,IF(COUNTIFS(Quarterly!B:B,"&gt;="&amp;A1242-92,Quarterly!B:B,"&lt;="&amp;A1242)&gt;1,SUMIFS(Quarterly!C:C,Quarterly!B:B,"&gt;="&amp;A1242-88,Quarterly!B:B,"&lt;="&amp;A1242),SUMIFS(Quarterly!C:C,Quarterly!B:B,"&gt;="&amp;A1242-92,Quarterly!B:B,"&lt;="&amp;A1242)))</f>
        <v>7352.3</v>
      </c>
      <c r="K1242" s="13">
        <f t="shared" si="435"/>
        <v>6.2899999999999998E-2</v>
      </c>
      <c r="L1242">
        <f t="shared" si="437"/>
        <v>462.35</v>
      </c>
      <c r="M1242">
        <f>IF(A1242&gt;=Quarterly!B$2,Quarterly!D$2,IF(COUNTIFS(Quarterly!B:B,"&gt;="&amp;A1242-92,Quarterly!B:B,"&lt;="&amp;A1242)&gt;1,SUMIFS(Quarterly!D:D,Quarterly!B:B,"&gt;="&amp;A1242-88,Quarterly!B:B,"&lt;="&amp;A1242),SUMIFS(Quarterly!D:D,Quarterly!B:B,"&gt;="&amp;A1242-92,Quarterly!B:B,"&lt;="&amp;A1242)))</f>
        <v>418.79599999999999</v>
      </c>
      <c r="N1242" s="13">
        <f t="shared" si="438"/>
        <v>0.11040000000000001</v>
      </c>
      <c r="O1242">
        <f t="shared" si="426"/>
        <v>462.35</v>
      </c>
      <c r="P1242" s="56">
        <f>VLOOKUP(EOMONTH(A1242,-1),Economic!A:I,7,FALSE)</f>
        <v>611617</v>
      </c>
      <c r="Q1242" s="13">
        <f t="shared" si="427"/>
        <v>7.5600000000000001E-2</v>
      </c>
      <c r="R1242" s="41">
        <v>0.92</v>
      </c>
      <c r="S1242">
        <f t="shared" si="428"/>
        <v>1.49</v>
      </c>
      <c r="T1242" s="30">
        <f t="shared" si="429"/>
        <v>238.47</v>
      </c>
      <c r="U1242" s="30">
        <f t="shared" si="436"/>
        <v>240.08</v>
      </c>
    </row>
    <row r="1243" spans="1:21" ht="15" customHeight="1" x14ac:dyDescent="0.25">
      <c r="A1243" s="5">
        <v>34644</v>
      </c>
      <c r="B1243" s="5">
        <f t="shared" si="430"/>
        <v>34668</v>
      </c>
      <c r="C1243">
        <v>462.28</v>
      </c>
      <c r="D1243" s="29">
        <f t="shared" si="431"/>
        <v>-7.4000000000000003E-3</v>
      </c>
      <c r="E1243" s="39">
        <f t="shared" si="432"/>
        <v>465.94615384615383</v>
      </c>
      <c r="F1243" s="39">
        <f t="shared" si="433"/>
        <v>459.08410256410252</v>
      </c>
      <c r="G1243" s="29">
        <f t="shared" si="425"/>
        <v>-7.9000000000000008E-3</v>
      </c>
      <c r="H1243" s="29">
        <f t="shared" si="425"/>
        <v>7.0000000000000001E-3</v>
      </c>
      <c r="I1243">
        <f t="shared" si="434"/>
        <v>462.28</v>
      </c>
      <c r="J1243">
        <f>IF(A1243&gt;=Quarterly!B$2,Quarterly!C$2,IF(COUNTIFS(Quarterly!B:B,"&gt;="&amp;A1243-92,Quarterly!B:B,"&lt;="&amp;A1243)&gt;1,SUMIFS(Quarterly!C:C,Quarterly!B:B,"&gt;="&amp;A1243-88,Quarterly!B:B,"&lt;="&amp;A1243),SUMIFS(Quarterly!C:C,Quarterly!B:B,"&gt;="&amp;A1243-92,Quarterly!B:B,"&lt;="&amp;A1243)))</f>
        <v>7352.3</v>
      </c>
      <c r="K1243" s="13">
        <f t="shared" si="435"/>
        <v>6.2899999999999998E-2</v>
      </c>
      <c r="L1243">
        <f t="shared" si="437"/>
        <v>462.28</v>
      </c>
      <c r="M1243">
        <f>IF(A1243&gt;=Quarterly!B$2,Quarterly!D$2,IF(COUNTIFS(Quarterly!B:B,"&gt;="&amp;A1243-92,Quarterly!B:B,"&lt;="&amp;A1243)&gt;1,SUMIFS(Quarterly!D:D,Quarterly!B:B,"&gt;="&amp;A1243-88,Quarterly!B:B,"&lt;="&amp;A1243),SUMIFS(Quarterly!D:D,Quarterly!B:B,"&gt;="&amp;A1243-92,Quarterly!B:B,"&lt;="&amp;A1243)))</f>
        <v>418.79599999999999</v>
      </c>
      <c r="N1243" s="13">
        <f t="shared" si="438"/>
        <v>0.11037999999999999</v>
      </c>
      <c r="O1243">
        <f t="shared" si="426"/>
        <v>462.28</v>
      </c>
      <c r="P1243" s="56">
        <f>VLOOKUP(EOMONTH(A1243,-1),Economic!A:I,7,FALSE)</f>
        <v>611617</v>
      </c>
      <c r="Q1243" s="13">
        <f t="shared" si="427"/>
        <v>7.5600000000000001E-2</v>
      </c>
      <c r="R1243" s="41">
        <v>0.99</v>
      </c>
      <c r="S1243">
        <f t="shared" si="428"/>
        <v>1.6</v>
      </c>
      <c r="T1243" s="30">
        <f t="shared" si="429"/>
        <v>242.02</v>
      </c>
      <c r="U1243" s="30">
        <f t="shared" si="436"/>
        <v>241.47</v>
      </c>
    </row>
    <row r="1244" spans="1:21" ht="15" customHeight="1" x14ac:dyDescent="0.25">
      <c r="A1244" s="5">
        <v>34637</v>
      </c>
      <c r="B1244" s="5">
        <f t="shared" si="430"/>
        <v>34638</v>
      </c>
      <c r="C1244">
        <v>473.77</v>
      </c>
      <c r="D1244" s="29">
        <f t="shared" si="431"/>
        <v>2.3400000000000001E-2</v>
      </c>
      <c r="E1244" s="39">
        <f t="shared" si="432"/>
        <v>465.54692307692312</v>
      </c>
      <c r="F1244" s="39">
        <f t="shared" si="433"/>
        <v>459.27717948717952</v>
      </c>
      <c r="G1244" s="29">
        <f t="shared" si="425"/>
        <v>1.77E-2</v>
      </c>
      <c r="H1244" s="29">
        <f t="shared" si="425"/>
        <v>3.1600000000000003E-2</v>
      </c>
      <c r="I1244">
        <f t="shared" si="434"/>
        <v>473.77</v>
      </c>
      <c r="J1244">
        <f>IF(A1244&gt;=Quarterly!B$2,Quarterly!C$2,IF(COUNTIFS(Quarterly!B:B,"&gt;="&amp;A1244-92,Quarterly!B:B,"&lt;="&amp;A1244)&gt;1,SUMIFS(Quarterly!C:C,Quarterly!B:B,"&gt;="&amp;A1244-88,Quarterly!B:B,"&lt;="&amp;A1244),SUMIFS(Quarterly!C:C,Quarterly!B:B,"&gt;="&amp;A1244-92,Quarterly!B:B,"&lt;="&amp;A1244)))</f>
        <v>7269.8</v>
      </c>
      <c r="K1244" s="13">
        <f t="shared" si="435"/>
        <v>6.5199999999999994E-2</v>
      </c>
      <c r="L1244">
        <f t="shared" si="437"/>
        <v>473.77</v>
      </c>
      <c r="M1244">
        <f>IF(A1244&gt;=Quarterly!B$2,Quarterly!D$2,IF(COUNTIFS(Quarterly!B:B,"&gt;="&amp;A1244-92,Quarterly!B:B,"&lt;="&amp;A1244)&gt;1,SUMIFS(Quarterly!D:D,Quarterly!B:B,"&gt;="&amp;A1244-88,Quarterly!B:B,"&lt;="&amp;A1244),SUMIFS(Quarterly!D:D,Quarterly!B:B,"&gt;="&amp;A1244-92,Quarterly!B:B,"&lt;="&amp;A1244)))</f>
        <v>398.84</v>
      </c>
      <c r="N1244" s="13">
        <f t="shared" si="438"/>
        <v>0.11879000000000001</v>
      </c>
      <c r="O1244">
        <f t="shared" si="426"/>
        <v>473.77</v>
      </c>
      <c r="P1244" s="56">
        <f>VLOOKUP(EOMONTH(A1244,-1),Economic!A:I,7,FALSE)</f>
        <v>605182</v>
      </c>
      <c r="Q1244" s="13">
        <f t="shared" si="427"/>
        <v>7.8299999999999995E-2</v>
      </c>
      <c r="R1244" s="41">
        <v>1</v>
      </c>
      <c r="S1244">
        <f t="shared" si="428"/>
        <v>1.61</v>
      </c>
      <c r="T1244" s="30">
        <f t="shared" si="429"/>
        <v>239.75</v>
      </c>
      <c r="U1244" s="30">
        <f t="shared" si="436"/>
        <v>242.33</v>
      </c>
    </row>
    <row r="1245" spans="1:21" ht="15" customHeight="1" x14ac:dyDescent="0.25">
      <c r="A1245" s="5">
        <v>34630</v>
      </c>
      <c r="B1245" s="5">
        <f t="shared" si="430"/>
        <v>34638</v>
      </c>
      <c r="C1245">
        <v>464.89</v>
      </c>
      <c r="D1245" s="29">
        <f t="shared" si="431"/>
        <v>7.0000000000000001E-3</v>
      </c>
      <c r="E1245" s="39">
        <f t="shared" si="432"/>
        <v>464.35384615384618</v>
      </c>
      <c r="F1245" s="39">
        <f t="shared" si="433"/>
        <v>459.40358974358981</v>
      </c>
      <c r="G1245" s="29">
        <f t="shared" si="425"/>
        <v>1.1999999999999999E-3</v>
      </c>
      <c r="H1245" s="29">
        <f t="shared" si="425"/>
        <v>1.1900000000000001E-2</v>
      </c>
      <c r="I1245">
        <f t="shared" si="434"/>
        <v>464.89</v>
      </c>
      <c r="J1245">
        <f>IF(A1245&gt;=Quarterly!B$2,Quarterly!C$2,IF(COUNTIFS(Quarterly!B:B,"&gt;="&amp;A1245-92,Quarterly!B:B,"&lt;="&amp;A1245)&gt;1,SUMIFS(Quarterly!C:C,Quarterly!B:B,"&gt;="&amp;A1245-88,Quarterly!B:B,"&lt;="&amp;A1245),SUMIFS(Quarterly!C:C,Quarterly!B:B,"&gt;="&amp;A1245-92,Quarterly!B:B,"&lt;="&amp;A1245)))</f>
        <v>7269.8</v>
      </c>
      <c r="K1245" s="13">
        <f t="shared" si="435"/>
        <v>6.3899999999999998E-2</v>
      </c>
      <c r="L1245">
        <f t="shared" si="437"/>
        <v>464.89</v>
      </c>
      <c r="M1245">
        <f>IF(A1245&gt;=Quarterly!B$2,Quarterly!D$2,IF(COUNTIFS(Quarterly!B:B,"&gt;="&amp;A1245-92,Quarterly!B:B,"&lt;="&amp;A1245)&gt;1,SUMIFS(Quarterly!D:D,Quarterly!B:B,"&gt;="&amp;A1245-88,Quarterly!B:B,"&lt;="&amp;A1245),SUMIFS(Quarterly!D:D,Quarterly!B:B,"&gt;="&amp;A1245-92,Quarterly!B:B,"&lt;="&amp;A1245)))</f>
        <v>398.84</v>
      </c>
      <c r="N1245" s="13">
        <f t="shared" si="438"/>
        <v>0.11656</v>
      </c>
      <c r="O1245">
        <f t="shared" si="426"/>
        <v>464.89</v>
      </c>
      <c r="P1245" s="56">
        <f>VLOOKUP(EOMONTH(A1245,-1),Economic!A:I,7,FALSE)</f>
        <v>605182</v>
      </c>
      <c r="Q1245" s="13">
        <f t="shared" si="427"/>
        <v>7.6800000000000007E-2</v>
      </c>
      <c r="R1245" s="41">
        <v>1.01</v>
      </c>
      <c r="S1245">
        <f t="shared" si="428"/>
        <v>1.68</v>
      </c>
      <c r="T1245" s="30">
        <f t="shared" si="429"/>
        <v>242.64</v>
      </c>
      <c r="U1245" s="30">
        <f t="shared" si="436"/>
        <v>244.53</v>
      </c>
    </row>
    <row r="1246" spans="1:21" ht="15" customHeight="1" x14ac:dyDescent="0.25">
      <c r="A1246" s="5">
        <v>34623</v>
      </c>
      <c r="B1246" s="5">
        <f t="shared" si="430"/>
        <v>34638</v>
      </c>
      <c r="C1246">
        <v>469.1</v>
      </c>
      <c r="D1246" s="29">
        <f t="shared" si="431"/>
        <v>1.4999999999999999E-2</v>
      </c>
      <c r="E1246" s="39">
        <f t="shared" si="432"/>
        <v>463.44769230769231</v>
      </c>
      <c r="F1246" s="39">
        <f t="shared" si="433"/>
        <v>459.65564102564105</v>
      </c>
      <c r="G1246" s="29">
        <f t="shared" si="425"/>
        <v>1.2200000000000001E-2</v>
      </c>
      <c r="H1246" s="29">
        <f t="shared" si="425"/>
        <v>2.0500000000000001E-2</v>
      </c>
      <c r="I1246">
        <f t="shared" si="434"/>
        <v>469.1</v>
      </c>
      <c r="J1246">
        <f>IF(A1246&gt;=Quarterly!B$2,Quarterly!C$2,IF(COUNTIFS(Quarterly!B:B,"&gt;="&amp;A1246-92,Quarterly!B:B,"&lt;="&amp;A1246)&gt;1,SUMIFS(Quarterly!C:C,Quarterly!B:B,"&gt;="&amp;A1246-88,Quarterly!B:B,"&lt;="&amp;A1246),SUMIFS(Quarterly!C:C,Quarterly!B:B,"&gt;="&amp;A1246-92,Quarterly!B:B,"&lt;="&amp;A1246)))</f>
        <v>7269.8</v>
      </c>
      <c r="K1246" s="13">
        <f t="shared" si="435"/>
        <v>6.4500000000000002E-2</v>
      </c>
      <c r="L1246">
        <f t="shared" si="437"/>
        <v>469.1</v>
      </c>
      <c r="M1246">
        <f>IF(A1246&gt;=Quarterly!B$2,Quarterly!D$2,IF(COUNTIFS(Quarterly!B:B,"&gt;="&amp;A1246-92,Quarterly!B:B,"&lt;="&amp;A1246)&gt;1,SUMIFS(Quarterly!D:D,Quarterly!B:B,"&gt;="&amp;A1246-88,Quarterly!B:B,"&lt;="&amp;A1246),SUMIFS(Quarterly!D:D,Quarterly!B:B,"&gt;="&amp;A1246-92,Quarterly!B:B,"&lt;="&amp;A1246)))</f>
        <v>398.84</v>
      </c>
      <c r="N1246" s="13">
        <f t="shared" si="438"/>
        <v>0.11762</v>
      </c>
      <c r="O1246">
        <f t="shared" si="426"/>
        <v>469.1</v>
      </c>
      <c r="P1246" s="56">
        <f>VLOOKUP(EOMONTH(A1246,-1),Economic!A:I,7,FALSE)</f>
        <v>605182</v>
      </c>
      <c r="Q1246" s="13">
        <f t="shared" si="427"/>
        <v>7.7499999999999999E-2</v>
      </c>
      <c r="R1246" s="41">
        <v>1.04</v>
      </c>
      <c r="S1246">
        <f t="shared" si="428"/>
        <v>1.72</v>
      </c>
      <c r="T1246" s="30">
        <f t="shared" si="429"/>
        <v>244.6</v>
      </c>
      <c r="U1246" s="30">
        <f t="shared" si="436"/>
        <v>245.25</v>
      </c>
    </row>
    <row r="1247" spans="1:21" ht="15" customHeight="1" x14ac:dyDescent="0.25">
      <c r="A1247" s="5">
        <v>34616</v>
      </c>
      <c r="B1247" s="5">
        <f t="shared" si="430"/>
        <v>34638</v>
      </c>
      <c r="C1247">
        <v>455.1</v>
      </c>
      <c r="D1247" s="29">
        <f t="shared" si="431"/>
        <v>-2.2200000000000001E-2</v>
      </c>
      <c r="E1247" s="39">
        <f t="shared" si="432"/>
        <v>462.29846153846154</v>
      </c>
      <c r="F1247" s="39">
        <f t="shared" si="433"/>
        <v>459.80461538461543</v>
      </c>
      <c r="G1247" s="29">
        <f t="shared" si="425"/>
        <v>-1.5599999999999999E-2</v>
      </c>
      <c r="H1247" s="29">
        <f t="shared" si="425"/>
        <v>-1.0200000000000001E-2</v>
      </c>
      <c r="I1247">
        <f t="shared" si="434"/>
        <v>455.1</v>
      </c>
      <c r="J1247">
        <f>IF(A1247&gt;=Quarterly!B$2,Quarterly!C$2,IF(COUNTIFS(Quarterly!B:B,"&gt;="&amp;A1247-92,Quarterly!B:B,"&lt;="&amp;A1247)&gt;1,SUMIFS(Quarterly!C:C,Quarterly!B:B,"&gt;="&amp;A1247-88,Quarterly!B:B,"&lt;="&amp;A1247),SUMIFS(Quarterly!C:C,Quarterly!B:B,"&gt;="&amp;A1247-92,Quarterly!B:B,"&lt;="&amp;A1247)))</f>
        <v>7269.8</v>
      </c>
      <c r="K1247" s="13">
        <f t="shared" si="435"/>
        <v>6.2600000000000003E-2</v>
      </c>
      <c r="L1247">
        <f t="shared" si="437"/>
        <v>455.1</v>
      </c>
      <c r="M1247">
        <f>IF(A1247&gt;=Quarterly!B$2,Quarterly!D$2,IF(COUNTIFS(Quarterly!B:B,"&gt;="&amp;A1247-92,Quarterly!B:B,"&lt;="&amp;A1247)&gt;1,SUMIFS(Quarterly!D:D,Quarterly!B:B,"&gt;="&amp;A1247-88,Quarterly!B:B,"&lt;="&amp;A1247),SUMIFS(Quarterly!D:D,Quarterly!B:B,"&gt;="&amp;A1247-92,Quarterly!B:B,"&lt;="&amp;A1247)))</f>
        <v>398.84</v>
      </c>
      <c r="N1247" s="13">
        <f t="shared" si="438"/>
        <v>0.11411</v>
      </c>
      <c r="O1247">
        <f t="shared" si="426"/>
        <v>455.1</v>
      </c>
      <c r="P1247" s="56">
        <f>VLOOKUP(EOMONTH(A1247,-1),Economic!A:I,7,FALSE)</f>
        <v>605182</v>
      </c>
      <c r="Q1247" s="13">
        <f t="shared" si="427"/>
        <v>7.5199999999999989E-2</v>
      </c>
      <c r="R1247" s="41">
        <v>1.05</v>
      </c>
      <c r="S1247">
        <f t="shared" si="428"/>
        <v>1.77</v>
      </c>
      <c r="T1247" s="30">
        <f t="shared" si="429"/>
        <v>246.34</v>
      </c>
      <c r="U1247" s="30">
        <f t="shared" si="436"/>
        <v>245.53</v>
      </c>
    </row>
    <row r="1248" spans="1:21" ht="15" customHeight="1" x14ac:dyDescent="0.25">
      <c r="A1248" s="5">
        <v>34609</v>
      </c>
      <c r="B1248" s="5">
        <f t="shared" si="430"/>
        <v>34638</v>
      </c>
      <c r="C1248">
        <v>462.71</v>
      </c>
      <c r="D1248" s="29">
        <f t="shared" si="431"/>
        <v>-1.03E-2</v>
      </c>
      <c r="E1248" s="39">
        <f t="shared" si="432"/>
        <v>461.87153846153848</v>
      </c>
      <c r="F1248" s="39">
        <f t="shared" si="433"/>
        <v>460.18410256410255</v>
      </c>
      <c r="G1248" s="29">
        <f t="shared" si="425"/>
        <v>1.8E-3</v>
      </c>
      <c r="H1248" s="29">
        <f t="shared" si="425"/>
        <v>5.4999999999999997E-3</v>
      </c>
      <c r="I1248">
        <f t="shared" si="434"/>
        <v>462.71</v>
      </c>
      <c r="J1248">
        <f>IF(A1248&gt;=Quarterly!B$2,Quarterly!C$2,IF(COUNTIFS(Quarterly!B:B,"&gt;="&amp;A1248-92,Quarterly!B:B,"&lt;="&amp;A1248)&gt;1,SUMIFS(Quarterly!C:C,Quarterly!B:B,"&gt;="&amp;A1248-88,Quarterly!B:B,"&lt;="&amp;A1248),SUMIFS(Quarterly!C:C,Quarterly!B:B,"&gt;="&amp;A1248-92,Quarterly!B:B,"&lt;="&amp;A1248)))</f>
        <v>7269.8</v>
      </c>
      <c r="K1248" s="13">
        <f t="shared" si="435"/>
        <v>6.3600000000000004E-2</v>
      </c>
      <c r="L1248">
        <f t="shared" si="437"/>
        <v>462.71</v>
      </c>
      <c r="M1248">
        <f>IF(A1248&gt;=Quarterly!B$2,Quarterly!D$2,IF(COUNTIFS(Quarterly!B:B,"&gt;="&amp;A1248-92,Quarterly!B:B,"&lt;="&amp;A1248)&gt;1,SUMIFS(Quarterly!D:D,Quarterly!B:B,"&gt;="&amp;A1248-88,Quarterly!B:B,"&lt;="&amp;A1248),SUMIFS(Quarterly!D:D,Quarterly!B:B,"&gt;="&amp;A1248-92,Quarterly!B:B,"&lt;="&amp;A1248)))</f>
        <v>398.84</v>
      </c>
      <c r="N1248" s="13">
        <f t="shared" si="438"/>
        <v>0.11601</v>
      </c>
      <c r="O1248">
        <f t="shared" si="426"/>
        <v>462.71</v>
      </c>
      <c r="P1248" s="56">
        <f>VLOOKUP(EOMONTH(A1248,-1),Economic!A:I,7,FALSE)</f>
        <v>605182</v>
      </c>
      <c r="Q1248" s="13">
        <f t="shared" si="427"/>
        <v>7.6499999999999999E-2</v>
      </c>
      <c r="R1248" s="41">
        <v>1</v>
      </c>
      <c r="S1248">
        <f t="shared" si="428"/>
        <v>1.7</v>
      </c>
      <c r="T1248" s="30">
        <f t="shared" si="429"/>
        <v>244.82</v>
      </c>
      <c r="U1248" s="30">
        <f t="shared" si="436"/>
        <v>245.85</v>
      </c>
    </row>
    <row r="1249" spans="1:21" ht="15" customHeight="1" x14ac:dyDescent="0.25">
      <c r="A1249" s="5">
        <v>34602</v>
      </c>
      <c r="B1249" s="5">
        <f t="shared" si="430"/>
        <v>34607</v>
      </c>
      <c r="C1249">
        <v>459.67</v>
      </c>
      <c r="D1249" s="29">
        <f t="shared" si="431"/>
        <v>-2.41E-2</v>
      </c>
      <c r="E1249" s="39">
        <f t="shared" si="432"/>
        <v>460.60153846153844</v>
      </c>
      <c r="F1249" s="39">
        <f t="shared" si="433"/>
        <v>460.28000000000003</v>
      </c>
      <c r="G1249" s="29">
        <f t="shared" si="425"/>
        <v>-2E-3</v>
      </c>
      <c r="H1249" s="29">
        <f t="shared" si="425"/>
        <v>-1.2999999999999999E-3</v>
      </c>
      <c r="I1249">
        <f t="shared" si="434"/>
        <v>459.67</v>
      </c>
      <c r="J1249">
        <f>IF(A1249&gt;=Quarterly!B$2,Quarterly!C$2,IF(COUNTIFS(Quarterly!B:B,"&gt;="&amp;A1249-92,Quarterly!B:B,"&lt;="&amp;A1249)&gt;1,SUMIFS(Quarterly!C:C,Quarterly!B:B,"&gt;="&amp;A1249-88,Quarterly!B:B,"&lt;="&amp;A1249),SUMIFS(Quarterly!C:C,Quarterly!B:B,"&gt;="&amp;A1249-92,Quarterly!B:B,"&lt;="&amp;A1249)))</f>
        <v>7269.8</v>
      </c>
      <c r="K1249" s="13">
        <f t="shared" si="435"/>
        <v>6.3200000000000006E-2</v>
      </c>
      <c r="L1249">
        <f t="shared" si="437"/>
        <v>459.67</v>
      </c>
      <c r="M1249">
        <f>IF(A1249&gt;=Quarterly!B$2,Quarterly!D$2,IF(COUNTIFS(Quarterly!B:B,"&gt;="&amp;A1249-92,Quarterly!B:B,"&lt;="&amp;A1249)&gt;1,SUMIFS(Quarterly!D:D,Quarterly!B:B,"&gt;="&amp;A1249-88,Quarterly!B:B,"&lt;="&amp;A1249),SUMIFS(Quarterly!D:D,Quarterly!B:B,"&gt;="&amp;A1249-92,Quarterly!B:B,"&lt;="&amp;A1249)))</f>
        <v>398.84</v>
      </c>
      <c r="N1249" s="13">
        <f t="shared" si="438"/>
        <v>0.11525000000000002</v>
      </c>
      <c r="O1249">
        <f t="shared" si="426"/>
        <v>459.67</v>
      </c>
      <c r="P1249" s="56">
        <f>VLOOKUP(EOMONTH(A1249,-1),Economic!A:I,7,FALSE)</f>
        <v>600655</v>
      </c>
      <c r="Q1249" s="13">
        <f t="shared" si="427"/>
        <v>7.6499999999999999E-2</v>
      </c>
      <c r="R1249" s="41">
        <v>1.05</v>
      </c>
      <c r="S1249">
        <f t="shared" si="428"/>
        <v>1.7</v>
      </c>
      <c r="T1249" s="30">
        <f t="shared" si="429"/>
        <v>245.42</v>
      </c>
      <c r="U1249" s="30">
        <f t="shared" si="436"/>
        <v>247.46</v>
      </c>
    </row>
    <row r="1250" spans="1:21" ht="15" customHeight="1" x14ac:dyDescent="0.25">
      <c r="A1250" s="5">
        <v>34595</v>
      </c>
      <c r="B1250" s="5">
        <f t="shared" si="430"/>
        <v>34607</v>
      </c>
      <c r="C1250">
        <v>471.19</v>
      </c>
      <c r="D1250" s="29">
        <f t="shared" si="431"/>
        <v>4.3E-3</v>
      </c>
      <c r="E1250" s="39">
        <f t="shared" si="432"/>
        <v>459.30384615384617</v>
      </c>
      <c r="F1250" s="39">
        <f t="shared" si="433"/>
        <v>460.47769230769234</v>
      </c>
      <c r="G1250" s="29">
        <f t="shared" si="425"/>
        <v>2.5899999999999999E-2</v>
      </c>
      <c r="H1250" s="29">
        <f t="shared" si="425"/>
        <v>2.3300000000000001E-2</v>
      </c>
      <c r="I1250">
        <f t="shared" si="434"/>
        <v>471.19</v>
      </c>
      <c r="J1250">
        <f>IF(A1250&gt;=Quarterly!B$2,Quarterly!C$2,IF(COUNTIFS(Quarterly!B:B,"&gt;="&amp;A1250-92,Quarterly!B:B,"&lt;="&amp;A1250)&gt;1,SUMIFS(Quarterly!C:C,Quarterly!B:B,"&gt;="&amp;A1250-88,Quarterly!B:B,"&lt;="&amp;A1250),SUMIFS(Quarterly!C:C,Quarterly!B:B,"&gt;="&amp;A1250-92,Quarterly!B:B,"&lt;="&amp;A1250)))</f>
        <v>7269.8</v>
      </c>
      <c r="K1250" s="13">
        <f t="shared" si="435"/>
        <v>6.4799999999999996E-2</v>
      </c>
      <c r="L1250">
        <f t="shared" si="437"/>
        <v>471.19</v>
      </c>
      <c r="M1250">
        <f>IF(A1250&gt;=Quarterly!B$2,Quarterly!D$2,IF(COUNTIFS(Quarterly!B:B,"&gt;="&amp;A1250-92,Quarterly!B:B,"&lt;="&amp;A1250)&gt;1,SUMIFS(Quarterly!D:D,Quarterly!B:B,"&gt;="&amp;A1250-88,Quarterly!B:B,"&lt;="&amp;A1250),SUMIFS(Quarterly!D:D,Quarterly!B:B,"&gt;="&amp;A1250-92,Quarterly!B:B,"&lt;="&amp;A1250)))</f>
        <v>398.84</v>
      </c>
      <c r="N1250" s="13">
        <f t="shared" si="438"/>
        <v>0.11814000000000001</v>
      </c>
      <c r="O1250">
        <f t="shared" si="426"/>
        <v>471.19</v>
      </c>
      <c r="P1250" s="56">
        <f>VLOOKUP(EOMONTH(A1250,-1),Economic!A:I,7,FALSE)</f>
        <v>600655</v>
      </c>
      <c r="Q1250" s="13">
        <f t="shared" si="427"/>
        <v>7.8399999999999997E-2</v>
      </c>
      <c r="R1250" s="41">
        <v>1.1000000000000001</v>
      </c>
      <c r="S1250">
        <f t="shared" si="428"/>
        <v>1.72</v>
      </c>
      <c r="T1250" s="30">
        <f t="shared" si="429"/>
        <v>247.31</v>
      </c>
      <c r="U1250" s="30">
        <f t="shared" si="436"/>
        <v>249.59</v>
      </c>
    </row>
    <row r="1251" spans="1:21" ht="15" customHeight="1" x14ac:dyDescent="0.25">
      <c r="A1251" s="5">
        <v>34588</v>
      </c>
      <c r="B1251" s="5">
        <f t="shared" si="430"/>
        <v>34607</v>
      </c>
      <c r="C1251">
        <v>468.18</v>
      </c>
      <c r="D1251" s="29">
        <f t="shared" si="431"/>
        <v>1.1999999999999999E-3</v>
      </c>
      <c r="E1251" s="39">
        <f t="shared" si="432"/>
        <v>458.3238461538462</v>
      </c>
      <c r="F1251" s="39">
        <f t="shared" si="433"/>
        <v>460.35435897435906</v>
      </c>
      <c r="G1251" s="29">
        <f t="shared" si="425"/>
        <v>2.1499999999999998E-2</v>
      </c>
      <c r="H1251" s="29">
        <f t="shared" si="425"/>
        <v>1.7000000000000001E-2</v>
      </c>
      <c r="I1251">
        <f t="shared" si="434"/>
        <v>468.18</v>
      </c>
      <c r="J1251">
        <f>IF(A1251&gt;=Quarterly!B$2,Quarterly!C$2,IF(COUNTIFS(Quarterly!B:B,"&gt;="&amp;A1251-92,Quarterly!B:B,"&lt;="&amp;A1251)&gt;1,SUMIFS(Quarterly!C:C,Quarterly!B:B,"&gt;="&amp;A1251-88,Quarterly!B:B,"&lt;="&amp;A1251),SUMIFS(Quarterly!C:C,Quarterly!B:B,"&gt;="&amp;A1251-92,Quarterly!B:B,"&lt;="&amp;A1251)))</f>
        <v>7269.8</v>
      </c>
      <c r="K1251" s="13">
        <f t="shared" si="435"/>
        <v>6.4399999999999999E-2</v>
      </c>
      <c r="L1251">
        <f t="shared" si="437"/>
        <v>468.18</v>
      </c>
      <c r="M1251">
        <f>IF(A1251&gt;=Quarterly!B$2,Quarterly!D$2,IF(COUNTIFS(Quarterly!B:B,"&gt;="&amp;A1251-92,Quarterly!B:B,"&lt;="&amp;A1251)&gt;1,SUMIFS(Quarterly!D:D,Quarterly!B:B,"&gt;="&amp;A1251-88,Quarterly!B:B,"&lt;="&amp;A1251),SUMIFS(Quarterly!D:D,Quarterly!B:B,"&gt;="&amp;A1251-92,Quarterly!B:B,"&lt;="&amp;A1251)))</f>
        <v>398.84</v>
      </c>
      <c r="N1251" s="13">
        <f t="shared" si="438"/>
        <v>0.11738999999999999</v>
      </c>
      <c r="O1251">
        <f t="shared" si="426"/>
        <v>468.18</v>
      </c>
      <c r="P1251" s="56">
        <f>VLOOKUP(EOMONTH(A1251,-1),Economic!A:I,7,FALSE)</f>
        <v>600655</v>
      </c>
      <c r="Q1251" s="13">
        <f t="shared" si="427"/>
        <v>7.7899999999999997E-2</v>
      </c>
      <c r="R1251" s="41">
        <v>1.0900000000000001</v>
      </c>
      <c r="S1251">
        <f t="shared" si="428"/>
        <v>1.78</v>
      </c>
      <c r="T1251" s="30">
        <f t="shared" si="429"/>
        <v>249.66</v>
      </c>
      <c r="U1251" s="30">
        <f t="shared" si="436"/>
        <v>250.31</v>
      </c>
    </row>
    <row r="1252" spans="1:21" ht="15" customHeight="1" x14ac:dyDescent="0.25">
      <c r="A1252" s="5">
        <v>34581</v>
      </c>
      <c r="B1252" s="5">
        <f t="shared" si="430"/>
        <v>34607</v>
      </c>
      <c r="C1252">
        <v>470.99</v>
      </c>
      <c r="D1252" s="29">
        <f t="shared" si="431"/>
        <v>1.4800000000000001E-2</v>
      </c>
      <c r="E1252" s="39">
        <f t="shared" si="432"/>
        <v>457.59230769230766</v>
      </c>
      <c r="F1252" s="39">
        <f t="shared" si="433"/>
        <v>460.24538461538469</v>
      </c>
      <c r="G1252" s="29">
        <f t="shared" si="425"/>
        <v>2.93E-2</v>
      </c>
      <c r="H1252" s="29">
        <f t="shared" si="425"/>
        <v>2.3300000000000001E-2</v>
      </c>
      <c r="I1252">
        <f t="shared" si="434"/>
        <v>470.99</v>
      </c>
      <c r="J1252">
        <f>IF(A1252&gt;=Quarterly!B$2,Quarterly!C$2,IF(COUNTIFS(Quarterly!B:B,"&gt;="&amp;A1252-92,Quarterly!B:B,"&lt;="&amp;A1252)&gt;1,SUMIFS(Quarterly!C:C,Quarterly!B:B,"&gt;="&amp;A1252-88,Quarterly!B:B,"&lt;="&amp;A1252),SUMIFS(Quarterly!C:C,Quarterly!B:B,"&gt;="&amp;A1252-92,Quarterly!B:B,"&lt;="&amp;A1252)))</f>
        <v>7269.8</v>
      </c>
      <c r="K1252" s="13">
        <f t="shared" si="435"/>
        <v>6.4799999999999996E-2</v>
      </c>
      <c r="L1252">
        <f t="shared" si="437"/>
        <v>470.99</v>
      </c>
      <c r="M1252">
        <f>IF(A1252&gt;=Quarterly!B$2,Quarterly!D$2,IF(COUNTIFS(Quarterly!B:B,"&gt;="&amp;A1252-92,Quarterly!B:B,"&lt;="&amp;A1252)&gt;1,SUMIFS(Quarterly!D:D,Quarterly!B:B,"&gt;="&amp;A1252-88,Quarterly!B:B,"&lt;="&amp;A1252),SUMIFS(Quarterly!D:D,Quarterly!B:B,"&gt;="&amp;A1252-92,Quarterly!B:B,"&lt;="&amp;A1252)))</f>
        <v>398.84</v>
      </c>
      <c r="N1252" s="13">
        <f t="shared" si="438"/>
        <v>0.11809000000000001</v>
      </c>
      <c r="O1252">
        <f t="shared" si="426"/>
        <v>470.99</v>
      </c>
      <c r="P1252" s="56">
        <f>VLOOKUP(EOMONTH(A1252,-1),Economic!A:I,7,FALSE)</f>
        <v>600655</v>
      </c>
      <c r="Q1252" s="13">
        <f t="shared" si="427"/>
        <v>7.8399999999999997E-2</v>
      </c>
      <c r="R1252" s="41">
        <v>1.04</v>
      </c>
      <c r="S1252">
        <f t="shared" si="428"/>
        <v>1.83</v>
      </c>
      <c r="T1252" s="30">
        <f t="shared" si="429"/>
        <v>251.8</v>
      </c>
      <c r="U1252" s="30">
        <f t="shared" si="436"/>
        <v>251.1</v>
      </c>
    </row>
    <row r="1253" spans="1:21" ht="15" customHeight="1" x14ac:dyDescent="0.25">
      <c r="A1253" s="5">
        <v>34574</v>
      </c>
      <c r="B1253" s="5">
        <f t="shared" si="430"/>
        <v>34577</v>
      </c>
      <c r="C1253">
        <v>473.8</v>
      </c>
      <c r="D1253" s="29">
        <f t="shared" si="431"/>
        <v>2.9499999999999998E-2</v>
      </c>
      <c r="E1253" s="39">
        <f t="shared" si="432"/>
        <v>456.7569230769231</v>
      </c>
      <c r="F1253" s="39">
        <f t="shared" si="433"/>
        <v>460.08897435897438</v>
      </c>
      <c r="G1253" s="29">
        <f t="shared" si="425"/>
        <v>3.73E-2</v>
      </c>
      <c r="H1253" s="29">
        <f t="shared" si="425"/>
        <v>2.98E-2</v>
      </c>
      <c r="I1253">
        <f t="shared" si="434"/>
        <v>473.8</v>
      </c>
      <c r="J1253">
        <f>IF(A1253&gt;=Quarterly!B$2,Quarterly!C$2,IF(COUNTIFS(Quarterly!B:B,"&gt;="&amp;A1253-92,Quarterly!B:B,"&lt;="&amp;A1253)&gt;1,SUMIFS(Quarterly!C:C,Quarterly!B:B,"&gt;="&amp;A1253-88,Quarterly!B:B,"&lt;="&amp;A1253),SUMIFS(Quarterly!C:C,Quarterly!B:B,"&gt;="&amp;A1253-92,Quarterly!B:B,"&lt;="&amp;A1253)))</f>
        <v>7269.8</v>
      </c>
      <c r="K1253" s="13">
        <f t="shared" si="435"/>
        <v>6.5199999999999994E-2</v>
      </c>
      <c r="L1253">
        <f t="shared" si="437"/>
        <v>473.8</v>
      </c>
      <c r="M1253">
        <f>IF(A1253&gt;=Quarterly!B$2,Quarterly!D$2,IF(COUNTIFS(Quarterly!B:B,"&gt;="&amp;A1253-92,Quarterly!B:B,"&lt;="&amp;A1253)&gt;1,SUMIFS(Quarterly!D:D,Quarterly!B:B,"&gt;="&amp;A1253-88,Quarterly!B:B,"&lt;="&amp;A1253),SUMIFS(Quarterly!D:D,Quarterly!B:B,"&gt;="&amp;A1253-92,Quarterly!B:B,"&lt;="&amp;A1253)))</f>
        <v>398.84</v>
      </c>
      <c r="N1253" s="13">
        <f t="shared" si="438"/>
        <v>0.11879000000000001</v>
      </c>
      <c r="O1253">
        <f t="shared" si="426"/>
        <v>473.8</v>
      </c>
      <c r="P1253" s="56">
        <f>VLOOKUP(EOMONTH(A1253,-1),Economic!A:I,7,FALSE)</f>
        <v>597358</v>
      </c>
      <c r="Q1253" s="13">
        <f t="shared" si="427"/>
        <v>7.9299999999999995E-2</v>
      </c>
      <c r="R1253" s="41">
        <v>1.03</v>
      </c>
      <c r="S1253">
        <f t="shared" si="428"/>
        <v>1.74</v>
      </c>
      <c r="T1253" s="30">
        <f t="shared" si="429"/>
        <v>249.46</v>
      </c>
      <c r="U1253" s="30">
        <f t="shared" si="436"/>
        <v>251.44</v>
      </c>
    </row>
    <row r="1254" spans="1:21" ht="15" customHeight="1" x14ac:dyDescent="0.25">
      <c r="A1254" s="5">
        <v>34567</v>
      </c>
      <c r="B1254" s="5">
        <f t="shared" si="430"/>
        <v>34577</v>
      </c>
      <c r="C1254">
        <v>463.68</v>
      </c>
      <c r="D1254" s="29">
        <f t="shared" si="431"/>
        <v>1.3299999999999999E-2</v>
      </c>
      <c r="E1254" s="39">
        <f t="shared" si="432"/>
        <v>455.49</v>
      </c>
      <c r="F1254" s="39">
        <f t="shared" si="433"/>
        <v>459.81358974358972</v>
      </c>
      <c r="G1254" s="29">
        <f t="shared" si="425"/>
        <v>1.7999999999999999E-2</v>
      </c>
      <c r="H1254" s="29">
        <f t="shared" si="425"/>
        <v>8.3999999999999995E-3</v>
      </c>
      <c r="I1254">
        <f t="shared" si="434"/>
        <v>463.68</v>
      </c>
      <c r="J1254">
        <f>IF(A1254&gt;=Quarterly!B$2,Quarterly!C$2,IF(COUNTIFS(Quarterly!B:B,"&gt;="&amp;A1254-92,Quarterly!B:B,"&lt;="&amp;A1254)&gt;1,SUMIFS(Quarterly!C:C,Quarterly!B:B,"&gt;="&amp;A1254-88,Quarterly!B:B,"&lt;="&amp;A1254),SUMIFS(Quarterly!C:C,Quarterly!B:B,"&gt;="&amp;A1254-92,Quarterly!B:B,"&lt;="&amp;A1254)))</f>
        <v>7269.8</v>
      </c>
      <c r="K1254" s="13">
        <f t="shared" si="435"/>
        <v>6.3799999999999996E-2</v>
      </c>
      <c r="L1254">
        <f t="shared" si="437"/>
        <v>463.68</v>
      </c>
      <c r="M1254">
        <f>IF(A1254&gt;=Quarterly!B$2,Quarterly!D$2,IF(COUNTIFS(Quarterly!B:B,"&gt;="&amp;A1254-92,Quarterly!B:B,"&lt;="&amp;A1254)&gt;1,SUMIFS(Quarterly!D:D,Quarterly!B:B,"&gt;="&amp;A1254-88,Quarterly!B:B,"&lt;="&amp;A1254),SUMIFS(Quarterly!D:D,Quarterly!B:B,"&gt;="&amp;A1254-92,Quarterly!B:B,"&lt;="&amp;A1254)))</f>
        <v>398.84</v>
      </c>
      <c r="N1254" s="13">
        <f t="shared" si="438"/>
        <v>0.11626000000000002</v>
      </c>
      <c r="O1254">
        <f t="shared" si="426"/>
        <v>463.68</v>
      </c>
      <c r="P1254" s="56">
        <f>VLOOKUP(EOMONTH(A1254,-1),Economic!A:I,7,FALSE)</f>
        <v>597358</v>
      </c>
      <c r="Q1254" s="13">
        <f t="shared" si="427"/>
        <v>7.7600000000000002E-2</v>
      </c>
      <c r="R1254" s="41">
        <v>1.04</v>
      </c>
      <c r="S1254">
        <f t="shared" si="428"/>
        <v>1.81</v>
      </c>
      <c r="T1254" s="30">
        <f t="shared" si="429"/>
        <v>252.03</v>
      </c>
      <c r="U1254" s="30">
        <f t="shared" si="436"/>
        <v>252.51</v>
      </c>
    </row>
    <row r="1255" spans="1:21" ht="15" customHeight="1" x14ac:dyDescent="0.25">
      <c r="A1255" s="5">
        <v>34560</v>
      </c>
      <c r="B1255" s="5">
        <f t="shared" si="430"/>
        <v>34577</v>
      </c>
      <c r="C1255">
        <v>461.94</v>
      </c>
      <c r="D1255" s="29">
        <f t="shared" si="431"/>
        <v>1.38E-2</v>
      </c>
      <c r="E1255" s="39">
        <f t="shared" si="432"/>
        <v>454.81615384615384</v>
      </c>
      <c r="F1255" s="39">
        <f t="shared" si="433"/>
        <v>459.78589743589737</v>
      </c>
      <c r="G1255" s="29">
        <f t="shared" si="425"/>
        <v>1.5699999999999999E-2</v>
      </c>
      <c r="H1255" s="29">
        <f t="shared" si="425"/>
        <v>4.7000000000000002E-3</v>
      </c>
      <c r="I1255">
        <f t="shared" si="434"/>
        <v>461.94</v>
      </c>
      <c r="J1255">
        <f>IF(A1255&gt;=Quarterly!B$2,Quarterly!C$2,IF(COUNTIFS(Quarterly!B:B,"&gt;="&amp;A1255-92,Quarterly!B:B,"&lt;="&amp;A1255)&gt;1,SUMIFS(Quarterly!C:C,Quarterly!B:B,"&gt;="&amp;A1255-88,Quarterly!B:B,"&lt;="&amp;A1255),SUMIFS(Quarterly!C:C,Quarterly!B:B,"&gt;="&amp;A1255-92,Quarterly!B:B,"&lt;="&amp;A1255)))</f>
        <v>7269.8</v>
      </c>
      <c r="K1255" s="13">
        <f t="shared" si="435"/>
        <v>6.3500000000000001E-2</v>
      </c>
      <c r="L1255">
        <f t="shared" si="437"/>
        <v>461.94</v>
      </c>
      <c r="M1255">
        <f>IF(A1255&gt;=Quarterly!B$2,Quarterly!D$2,IF(COUNTIFS(Quarterly!B:B,"&gt;="&amp;A1255-92,Quarterly!B:B,"&lt;="&amp;A1255)&gt;1,SUMIFS(Quarterly!D:D,Quarterly!B:B,"&gt;="&amp;A1255-88,Quarterly!B:B,"&lt;="&amp;A1255),SUMIFS(Quarterly!D:D,Quarterly!B:B,"&gt;="&amp;A1255-92,Quarterly!B:B,"&lt;="&amp;A1255)))</f>
        <v>398.84</v>
      </c>
      <c r="N1255" s="13">
        <f t="shared" si="438"/>
        <v>0.11581999999999999</v>
      </c>
      <c r="O1255">
        <f t="shared" si="426"/>
        <v>461.94</v>
      </c>
      <c r="P1255" s="56">
        <f>VLOOKUP(EOMONTH(A1255,-1),Economic!A:I,7,FALSE)</f>
        <v>597358</v>
      </c>
      <c r="Q1255" s="13">
        <f t="shared" si="427"/>
        <v>7.7300000000000008E-2</v>
      </c>
      <c r="R1255" s="41">
        <v>1.05</v>
      </c>
      <c r="S1255">
        <f t="shared" si="428"/>
        <v>1.82</v>
      </c>
      <c r="T1255" s="30">
        <f t="shared" si="429"/>
        <v>252.83</v>
      </c>
      <c r="U1255" s="30">
        <f t="shared" si="436"/>
        <v>254.2</v>
      </c>
    </row>
    <row r="1256" spans="1:21" ht="15" customHeight="1" x14ac:dyDescent="0.25">
      <c r="A1256" s="5">
        <v>34553</v>
      </c>
      <c r="B1256" s="5">
        <f t="shared" si="430"/>
        <v>34577</v>
      </c>
      <c r="C1256">
        <v>457.09</v>
      </c>
      <c r="D1256" s="29">
        <f t="shared" si="431"/>
        <v>7.3000000000000001E-3</v>
      </c>
      <c r="E1256" s="39">
        <f t="shared" si="432"/>
        <v>453.4469230769231</v>
      </c>
      <c r="F1256" s="39">
        <f t="shared" si="433"/>
        <v>459.87435897435893</v>
      </c>
      <c r="G1256" s="29">
        <f t="shared" si="425"/>
        <v>8.0000000000000002E-3</v>
      </c>
      <c r="H1256" s="29">
        <f t="shared" si="425"/>
        <v>-6.1000000000000004E-3</v>
      </c>
      <c r="I1256">
        <f t="shared" si="434"/>
        <v>457.09</v>
      </c>
      <c r="J1256">
        <f>IF(A1256&gt;=Quarterly!B$2,Quarterly!C$2,IF(COUNTIFS(Quarterly!B:B,"&gt;="&amp;A1256-92,Quarterly!B:B,"&lt;="&amp;A1256)&gt;1,SUMIFS(Quarterly!C:C,Quarterly!B:B,"&gt;="&amp;A1256-88,Quarterly!B:B,"&lt;="&amp;A1256),SUMIFS(Quarterly!C:C,Quarterly!B:B,"&gt;="&amp;A1256-92,Quarterly!B:B,"&lt;="&amp;A1256)))</f>
        <v>7269.8</v>
      </c>
      <c r="K1256" s="13">
        <f t="shared" si="435"/>
        <v>6.2899999999999998E-2</v>
      </c>
      <c r="L1256">
        <f t="shared" si="437"/>
        <v>457.09</v>
      </c>
      <c r="M1256">
        <f>IF(A1256&gt;=Quarterly!B$2,Quarterly!D$2,IF(COUNTIFS(Quarterly!B:B,"&gt;="&amp;A1256-92,Quarterly!B:B,"&lt;="&amp;A1256)&gt;1,SUMIFS(Quarterly!D:D,Quarterly!B:B,"&gt;="&amp;A1256-88,Quarterly!B:B,"&lt;="&amp;A1256),SUMIFS(Quarterly!D:D,Quarterly!B:B,"&gt;="&amp;A1256-92,Quarterly!B:B,"&lt;="&amp;A1256)))</f>
        <v>398.84</v>
      </c>
      <c r="N1256" s="13">
        <f t="shared" si="438"/>
        <v>0.11459999999999999</v>
      </c>
      <c r="O1256">
        <f t="shared" si="426"/>
        <v>457.09</v>
      </c>
      <c r="P1256" s="56">
        <f>VLOOKUP(EOMONTH(A1256,-1),Economic!A:I,7,FALSE)</f>
        <v>597358</v>
      </c>
      <c r="Q1256" s="13">
        <f t="shared" si="427"/>
        <v>7.6499999999999999E-2</v>
      </c>
      <c r="R1256" s="41">
        <v>1.1000000000000001</v>
      </c>
      <c r="S1256">
        <f t="shared" si="428"/>
        <v>1.8</v>
      </c>
      <c r="T1256" s="30">
        <f t="shared" si="429"/>
        <v>252.66</v>
      </c>
      <c r="U1256" s="30">
        <f t="shared" si="436"/>
        <v>255.49</v>
      </c>
    </row>
    <row r="1257" spans="1:21" ht="15" customHeight="1" x14ac:dyDescent="0.25">
      <c r="A1257" s="5">
        <v>34546</v>
      </c>
      <c r="B1257" s="5">
        <f t="shared" si="430"/>
        <v>34546</v>
      </c>
      <c r="C1257">
        <v>458.26</v>
      </c>
      <c r="D1257" s="29">
        <f t="shared" si="431"/>
        <v>1.66E-2</v>
      </c>
      <c r="E1257" s="39">
        <f t="shared" si="432"/>
        <v>452.73384615384617</v>
      </c>
      <c r="F1257" s="39">
        <f t="shared" si="433"/>
        <v>459.93794871794864</v>
      </c>
      <c r="G1257" s="29">
        <f t="shared" si="425"/>
        <v>1.2200000000000001E-2</v>
      </c>
      <c r="H1257" s="29">
        <f t="shared" si="425"/>
        <v>-3.5999999999999999E-3</v>
      </c>
      <c r="I1257">
        <f t="shared" si="434"/>
        <v>458.26</v>
      </c>
      <c r="J1257">
        <f>IF(A1257&gt;=Quarterly!B$2,Quarterly!C$2,IF(COUNTIFS(Quarterly!B:B,"&gt;="&amp;A1257-92,Quarterly!B:B,"&lt;="&amp;A1257)&gt;1,SUMIFS(Quarterly!C:C,Quarterly!B:B,"&gt;="&amp;A1257-88,Quarterly!B:B,"&lt;="&amp;A1257),SUMIFS(Quarterly!C:C,Quarterly!B:B,"&gt;="&amp;A1257-92,Quarterly!B:B,"&lt;="&amp;A1257)))</f>
        <v>7269.8</v>
      </c>
      <c r="K1257" s="13">
        <f t="shared" si="435"/>
        <v>6.3E-2</v>
      </c>
      <c r="L1257">
        <f t="shared" si="437"/>
        <v>458.26</v>
      </c>
      <c r="M1257">
        <f>IF(A1257&gt;=Quarterly!B$2,Quarterly!D$2,IF(COUNTIFS(Quarterly!B:B,"&gt;="&amp;A1257-92,Quarterly!B:B,"&lt;="&amp;A1257)&gt;1,SUMIFS(Quarterly!D:D,Quarterly!B:B,"&gt;="&amp;A1257-88,Quarterly!B:B,"&lt;="&amp;A1257),SUMIFS(Quarterly!D:D,Quarterly!B:B,"&gt;="&amp;A1257-92,Quarterly!B:B,"&lt;="&amp;A1257)))</f>
        <v>398.84</v>
      </c>
      <c r="N1257" s="13">
        <f t="shared" si="438"/>
        <v>0.1149</v>
      </c>
      <c r="O1257">
        <f t="shared" si="426"/>
        <v>458.26</v>
      </c>
      <c r="P1257" s="56">
        <f>VLOOKUP(EOMONTH(A1257,-1),Economic!A:I,7,FALSE)</f>
        <v>593451</v>
      </c>
      <c r="Q1257" s="13">
        <f t="shared" si="427"/>
        <v>7.7200000000000005E-2</v>
      </c>
      <c r="R1257" s="41">
        <v>1.1299999999999999</v>
      </c>
      <c r="S1257">
        <f t="shared" si="428"/>
        <v>1.92</v>
      </c>
      <c r="T1257" s="30">
        <f t="shared" si="429"/>
        <v>257.11</v>
      </c>
      <c r="U1257" s="30">
        <f t="shared" si="436"/>
        <v>257.41000000000003</v>
      </c>
    </row>
    <row r="1258" spans="1:21" ht="15" customHeight="1" x14ac:dyDescent="0.25">
      <c r="A1258" s="5">
        <v>34539</v>
      </c>
      <c r="B1258" s="5">
        <f t="shared" si="430"/>
        <v>34546</v>
      </c>
      <c r="C1258">
        <v>453.11</v>
      </c>
      <c r="D1258" s="29">
        <f t="shared" si="431"/>
        <v>1.0999999999999999E-2</v>
      </c>
      <c r="E1258" s="39">
        <f t="shared" si="432"/>
        <v>452.16846153846149</v>
      </c>
      <c r="F1258" s="39">
        <f t="shared" si="433"/>
        <v>460.18333333333328</v>
      </c>
      <c r="G1258" s="29">
        <f t="shared" si="425"/>
        <v>2.0999999999999999E-3</v>
      </c>
      <c r="H1258" s="29">
        <f t="shared" si="425"/>
        <v>-1.54E-2</v>
      </c>
      <c r="I1258">
        <f t="shared" si="434"/>
        <v>453.11</v>
      </c>
      <c r="J1258">
        <f>IF(A1258&gt;=Quarterly!B$2,Quarterly!C$2,IF(COUNTIFS(Quarterly!B:B,"&gt;="&amp;A1258-92,Quarterly!B:B,"&lt;="&amp;A1258)&gt;1,SUMIFS(Quarterly!C:C,Quarterly!B:B,"&gt;="&amp;A1258-88,Quarterly!B:B,"&lt;="&amp;A1258),SUMIFS(Quarterly!C:C,Quarterly!B:B,"&gt;="&amp;A1258-92,Quarterly!B:B,"&lt;="&amp;A1258)))</f>
        <v>7136.3</v>
      </c>
      <c r="K1258" s="13">
        <f t="shared" si="435"/>
        <v>6.3500000000000001E-2</v>
      </c>
      <c r="L1258">
        <f t="shared" si="437"/>
        <v>453.11</v>
      </c>
      <c r="M1258">
        <f>IF(A1258&gt;=Quarterly!B$2,Quarterly!D$2,IF(COUNTIFS(Quarterly!B:B,"&gt;="&amp;A1258-92,Quarterly!B:B,"&lt;="&amp;A1258)&gt;1,SUMIFS(Quarterly!D:D,Quarterly!B:B,"&gt;="&amp;A1258-88,Quarterly!B:B,"&lt;="&amp;A1258),SUMIFS(Quarterly!D:D,Quarterly!B:B,"&gt;="&amp;A1258-92,Quarterly!B:B,"&lt;="&amp;A1258)))</f>
        <v>386.37799999999999</v>
      </c>
      <c r="N1258" s="13">
        <f t="shared" si="438"/>
        <v>0.11727000000000001</v>
      </c>
      <c r="O1258">
        <f t="shared" si="426"/>
        <v>453.11</v>
      </c>
      <c r="P1258" s="56">
        <f>VLOOKUP(EOMONTH(A1258,-1),Economic!A:I,7,FALSE)</f>
        <v>593451</v>
      </c>
      <c r="Q1258" s="13">
        <f t="shared" si="427"/>
        <v>7.640000000000001E-2</v>
      </c>
      <c r="R1258" s="41">
        <v>1.1399999999999999</v>
      </c>
      <c r="S1258">
        <f t="shared" si="428"/>
        <v>2.02</v>
      </c>
      <c r="T1258" s="30">
        <f t="shared" si="429"/>
        <v>256.7</v>
      </c>
      <c r="U1258" s="30">
        <f t="shared" si="436"/>
        <v>258.64999999999998</v>
      </c>
    </row>
    <row r="1259" spans="1:21" ht="15" customHeight="1" x14ac:dyDescent="0.25">
      <c r="A1259" s="5">
        <v>34532</v>
      </c>
      <c r="B1259" s="5">
        <f t="shared" si="430"/>
        <v>34546</v>
      </c>
      <c r="C1259">
        <v>454.16</v>
      </c>
      <c r="D1259" s="29">
        <f t="shared" si="431"/>
        <v>1.09E-2</v>
      </c>
      <c r="E1259" s="39">
        <f t="shared" si="432"/>
        <v>451.74692307692305</v>
      </c>
      <c r="F1259" s="39">
        <f t="shared" si="433"/>
        <v>460.44384615384621</v>
      </c>
      <c r="G1259" s="29">
        <f t="shared" si="425"/>
        <v>5.3E-3</v>
      </c>
      <c r="H1259" s="29">
        <f t="shared" si="425"/>
        <v>-1.3599999999999999E-2</v>
      </c>
      <c r="I1259">
        <f t="shared" si="434"/>
        <v>454.16</v>
      </c>
      <c r="J1259">
        <f>IF(A1259&gt;=Quarterly!B$2,Quarterly!C$2,IF(COUNTIFS(Quarterly!B:B,"&gt;="&amp;A1259-92,Quarterly!B:B,"&lt;="&amp;A1259)&gt;1,SUMIFS(Quarterly!C:C,Quarterly!B:B,"&gt;="&amp;A1259-88,Quarterly!B:B,"&lt;="&amp;A1259),SUMIFS(Quarterly!C:C,Quarterly!B:B,"&gt;="&amp;A1259-92,Quarterly!B:B,"&lt;="&amp;A1259)))</f>
        <v>7136.3</v>
      </c>
      <c r="K1259" s="13">
        <f t="shared" si="435"/>
        <v>6.3600000000000004E-2</v>
      </c>
      <c r="L1259">
        <f t="shared" si="437"/>
        <v>454.16</v>
      </c>
      <c r="M1259">
        <f>IF(A1259&gt;=Quarterly!B$2,Quarterly!D$2,IF(COUNTIFS(Quarterly!B:B,"&gt;="&amp;A1259-92,Quarterly!B:B,"&lt;="&amp;A1259)&gt;1,SUMIFS(Quarterly!D:D,Quarterly!B:B,"&gt;="&amp;A1259-88,Quarterly!B:B,"&lt;="&amp;A1259),SUMIFS(Quarterly!D:D,Quarterly!B:B,"&gt;="&amp;A1259-92,Quarterly!B:B,"&lt;="&amp;A1259)))</f>
        <v>386.37799999999999</v>
      </c>
      <c r="N1259" s="13">
        <f t="shared" si="438"/>
        <v>0.11754000000000001</v>
      </c>
      <c r="O1259">
        <f t="shared" si="426"/>
        <v>454.16</v>
      </c>
      <c r="P1259" s="56">
        <f>VLOOKUP(EOMONTH(A1259,-1),Economic!A:I,7,FALSE)</f>
        <v>593451</v>
      </c>
      <c r="Q1259" s="13">
        <f t="shared" si="427"/>
        <v>7.6499999999999999E-2</v>
      </c>
      <c r="R1259" s="41">
        <v>1.21</v>
      </c>
      <c r="S1259">
        <f t="shared" si="428"/>
        <v>2.06</v>
      </c>
      <c r="T1259" s="30">
        <f t="shared" si="429"/>
        <v>258.42</v>
      </c>
      <c r="U1259" s="30">
        <f t="shared" si="436"/>
        <v>261.01</v>
      </c>
    </row>
    <row r="1260" spans="1:21" ht="15" customHeight="1" x14ac:dyDescent="0.25">
      <c r="A1260" s="5">
        <v>34525</v>
      </c>
      <c r="B1260" s="5">
        <f t="shared" si="430"/>
        <v>34546</v>
      </c>
      <c r="C1260">
        <v>449.55</v>
      </c>
      <c r="D1260" s="29">
        <f t="shared" si="431"/>
        <v>-4.4000000000000003E-3</v>
      </c>
      <c r="E1260" s="39">
        <f t="shared" si="432"/>
        <v>451.13307692307694</v>
      </c>
      <c r="F1260" s="39">
        <f t="shared" si="433"/>
        <v>460.83717948717953</v>
      </c>
      <c r="G1260" s="29">
        <f t="shared" si="425"/>
        <v>-3.5000000000000001E-3</v>
      </c>
      <c r="H1260" s="29">
        <f t="shared" si="425"/>
        <v>-2.4500000000000001E-2</v>
      </c>
      <c r="I1260">
        <f t="shared" si="434"/>
        <v>449.55</v>
      </c>
      <c r="J1260">
        <f>IF(A1260&gt;=Quarterly!B$2,Quarterly!C$2,IF(COUNTIFS(Quarterly!B:B,"&gt;="&amp;A1260-92,Quarterly!B:B,"&lt;="&amp;A1260)&gt;1,SUMIFS(Quarterly!C:C,Quarterly!B:B,"&gt;="&amp;A1260-88,Quarterly!B:B,"&lt;="&amp;A1260),SUMIFS(Quarterly!C:C,Quarterly!B:B,"&gt;="&amp;A1260-92,Quarterly!B:B,"&lt;="&amp;A1260)))</f>
        <v>7136.3</v>
      </c>
      <c r="K1260" s="13">
        <f t="shared" si="435"/>
        <v>6.3E-2</v>
      </c>
      <c r="L1260">
        <f t="shared" si="437"/>
        <v>449.55</v>
      </c>
      <c r="M1260">
        <f>IF(A1260&gt;=Quarterly!B$2,Quarterly!D$2,IF(COUNTIFS(Quarterly!B:B,"&gt;="&amp;A1260-92,Quarterly!B:B,"&lt;="&amp;A1260)&gt;1,SUMIFS(Quarterly!D:D,Quarterly!B:B,"&gt;="&amp;A1260-88,Quarterly!B:B,"&lt;="&amp;A1260),SUMIFS(Quarterly!D:D,Quarterly!B:B,"&gt;="&amp;A1260-92,Quarterly!B:B,"&lt;="&amp;A1260)))</f>
        <v>386.37799999999999</v>
      </c>
      <c r="N1260" s="13">
        <f t="shared" si="438"/>
        <v>0.11635000000000001</v>
      </c>
      <c r="O1260">
        <f t="shared" si="426"/>
        <v>449.55</v>
      </c>
      <c r="P1260" s="56">
        <f>VLOOKUP(EOMONTH(A1260,-1),Economic!A:I,7,FALSE)</f>
        <v>593451</v>
      </c>
      <c r="Q1260" s="13">
        <f t="shared" si="427"/>
        <v>7.5800000000000006E-2</v>
      </c>
      <c r="R1260" s="41">
        <v>1.17</v>
      </c>
      <c r="S1260">
        <f t="shared" si="428"/>
        <v>2.13</v>
      </c>
      <c r="T1260" s="30">
        <f t="shared" si="429"/>
        <v>260.82</v>
      </c>
      <c r="U1260" s="30">
        <f t="shared" si="436"/>
        <v>261.92</v>
      </c>
    </row>
    <row r="1261" spans="1:21" ht="15" customHeight="1" x14ac:dyDescent="0.25">
      <c r="A1261" s="5">
        <v>34518</v>
      </c>
      <c r="B1261" s="5">
        <f t="shared" si="430"/>
        <v>34546</v>
      </c>
      <c r="C1261">
        <v>446.2</v>
      </c>
      <c r="D1261" s="29">
        <f t="shared" si="431"/>
        <v>-1.9400000000000001E-2</v>
      </c>
      <c r="E1261" s="39">
        <f t="shared" si="432"/>
        <v>450.94461538461542</v>
      </c>
      <c r="F1261" s="39">
        <f t="shared" si="433"/>
        <v>461.1130769230769</v>
      </c>
      <c r="G1261" s="29">
        <f t="shared" si="425"/>
        <v>-1.0500000000000001E-2</v>
      </c>
      <c r="H1261" s="29">
        <f t="shared" si="425"/>
        <v>-3.2300000000000002E-2</v>
      </c>
      <c r="I1261">
        <f t="shared" si="434"/>
        <v>446.2</v>
      </c>
      <c r="J1261">
        <f>IF(A1261&gt;=Quarterly!B$2,Quarterly!C$2,IF(COUNTIFS(Quarterly!B:B,"&gt;="&amp;A1261-92,Quarterly!B:B,"&lt;="&amp;A1261)&gt;1,SUMIFS(Quarterly!C:C,Quarterly!B:B,"&gt;="&amp;A1261-88,Quarterly!B:B,"&lt;="&amp;A1261),SUMIFS(Quarterly!C:C,Quarterly!B:B,"&gt;="&amp;A1261-92,Quarterly!B:B,"&lt;="&amp;A1261)))</f>
        <v>7136.3</v>
      </c>
      <c r="K1261" s="13">
        <f t="shared" si="435"/>
        <v>6.25E-2</v>
      </c>
      <c r="L1261">
        <f t="shared" si="437"/>
        <v>446.2</v>
      </c>
      <c r="M1261">
        <f>IF(A1261&gt;=Quarterly!B$2,Quarterly!D$2,IF(COUNTIFS(Quarterly!B:B,"&gt;="&amp;A1261-92,Quarterly!B:B,"&lt;="&amp;A1261)&gt;1,SUMIFS(Quarterly!D:D,Quarterly!B:B,"&gt;="&amp;A1261-88,Quarterly!B:B,"&lt;="&amp;A1261),SUMIFS(Quarterly!D:D,Quarterly!B:B,"&gt;="&amp;A1261-92,Quarterly!B:B,"&lt;="&amp;A1261)))</f>
        <v>386.37799999999999</v>
      </c>
      <c r="N1261" s="13">
        <f t="shared" si="438"/>
        <v>0.11548000000000001</v>
      </c>
      <c r="O1261">
        <f t="shared" si="426"/>
        <v>446.2</v>
      </c>
      <c r="P1261" s="56">
        <f>VLOOKUP(EOMONTH(A1261,-1),Economic!A:I,7,FALSE)</f>
        <v>593451</v>
      </c>
      <c r="Q1261" s="13">
        <f t="shared" si="427"/>
        <v>7.5199999999999989E-2</v>
      </c>
      <c r="R1261" s="41">
        <v>1.1499999999999999</v>
      </c>
      <c r="S1261">
        <f t="shared" si="428"/>
        <v>2.2200000000000002</v>
      </c>
      <c r="T1261" s="30">
        <f t="shared" si="429"/>
        <v>263.77999999999997</v>
      </c>
      <c r="U1261" s="30">
        <f t="shared" si="436"/>
        <v>261.45999999999998</v>
      </c>
    </row>
    <row r="1262" spans="1:21" ht="15" customHeight="1" x14ac:dyDescent="0.25">
      <c r="A1262" s="5">
        <v>34511</v>
      </c>
      <c r="B1262" s="5">
        <f t="shared" si="430"/>
        <v>34515</v>
      </c>
      <c r="C1262">
        <v>442.8</v>
      </c>
      <c r="D1262" s="29">
        <f t="shared" si="431"/>
        <v>-3.4500000000000003E-2</v>
      </c>
      <c r="E1262" s="39">
        <f t="shared" si="432"/>
        <v>450.9115384615385</v>
      </c>
      <c r="F1262" s="39">
        <f t="shared" si="433"/>
        <v>461.49974358974356</v>
      </c>
      <c r="G1262" s="29">
        <f t="shared" si="425"/>
        <v>-1.7999999999999999E-2</v>
      </c>
      <c r="H1262" s="29">
        <f t="shared" si="425"/>
        <v>-4.0500000000000001E-2</v>
      </c>
      <c r="I1262">
        <f t="shared" si="434"/>
        <v>442.8</v>
      </c>
      <c r="J1262">
        <f>IF(A1262&gt;=Quarterly!B$2,Quarterly!C$2,IF(COUNTIFS(Quarterly!B:B,"&gt;="&amp;A1262-92,Quarterly!B:B,"&lt;="&amp;A1262)&gt;1,SUMIFS(Quarterly!C:C,Quarterly!B:B,"&gt;="&amp;A1262-88,Quarterly!B:B,"&lt;="&amp;A1262),SUMIFS(Quarterly!C:C,Quarterly!B:B,"&gt;="&amp;A1262-92,Quarterly!B:B,"&lt;="&amp;A1262)))</f>
        <v>7136.3</v>
      </c>
      <c r="K1262" s="13">
        <f t="shared" si="435"/>
        <v>6.2E-2</v>
      </c>
      <c r="L1262">
        <f t="shared" si="437"/>
        <v>442.8</v>
      </c>
      <c r="M1262">
        <f>IF(A1262&gt;=Quarterly!B$2,Quarterly!D$2,IF(COUNTIFS(Quarterly!B:B,"&gt;="&amp;A1262-92,Quarterly!B:B,"&lt;="&amp;A1262)&gt;1,SUMIFS(Quarterly!D:D,Quarterly!B:B,"&gt;="&amp;A1262-88,Quarterly!B:B,"&lt;="&amp;A1262),SUMIFS(Quarterly!D:D,Quarterly!B:B,"&gt;="&amp;A1262-92,Quarterly!B:B,"&lt;="&amp;A1262)))</f>
        <v>386.37799999999999</v>
      </c>
      <c r="N1262" s="13">
        <f t="shared" si="438"/>
        <v>0.11459999999999999</v>
      </c>
      <c r="O1262">
        <f t="shared" si="426"/>
        <v>442.8</v>
      </c>
      <c r="P1262" s="56">
        <f>VLOOKUP(EOMONTH(A1262,-1),Economic!A:I,7,FALSE)</f>
        <v>589321</v>
      </c>
      <c r="Q1262" s="13">
        <f t="shared" si="427"/>
        <v>7.51E-2</v>
      </c>
      <c r="R1262" s="41">
        <v>1.1599999999999999</v>
      </c>
      <c r="S1262">
        <f t="shared" si="428"/>
        <v>2.14</v>
      </c>
      <c r="T1262" s="30">
        <f t="shared" si="429"/>
        <v>261.17</v>
      </c>
      <c r="U1262" s="30">
        <f t="shared" si="436"/>
        <v>260.08999999999997</v>
      </c>
    </row>
    <row r="1263" spans="1:21" ht="15" customHeight="1" x14ac:dyDescent="0.25">
      <c r="A1263" s="5">
        <v>34504</v>
      </c>
      <c r="B1263" s="5">
        <f t="shared" si="430"/>
        <v>34515</v>
      </c>
      <c r="C1263">
        <v>458.45</v>
      </c>
      <c r="D1263" s="29">
        <f t="shared" si="431"/>
        <v>1.5E-3</v>
      </c>
      <c r="E1263" s="39">
        <f t="shared" si="432"/>
        <v>452.27923076923082</v>
      </c>
      <c r="F1263" s="39">
        <f t="shared" si="433"/>
        <v>461.88</v>
      </c>
      <c r="G1263" s="29">
        <f t="shared" si="425"/>
        <v>1.3599999999999999E-2</v>
      </c>
      <c r="H1263" s="29">
        <f t="shared" si="425"/>
        <v>-7.4000000000000003E-3</v>
      </c>
      <c r="I1263">
        <f t="shared" si="434"/>
        <v>458.45</v>
      </c>
      <c r="J1263">
        <f>IF(A1263&gt;=Quarterly!B$2,Quarterly!C$2,IF(COUNTIFS(Quarterly!B:B,"&gt;="&amp;A1263-92,Quarterly!B:B,"&lt;="&amp;A1263)&gt;1,SUMIFS(Quarterly!C:C,Quarterly!B:B,"&gt;="&amp;A1263-88,Quarterly!B:B,"&lt;="&amp;A1263),SUMIFS(Quarterly!C:C,Quarterly!B:B,"&gt;="&amp;A1263-92,Quarterly!B:B,"&lt;="&amp;A1263)))</f>
        <v>7136.3</v>
      </c>
      <c r="K1263" s="13">
        <f t="shared" si="435"/>
        <v>6.4199999999999993E-2</v>
      </c>
      <c r="L1263">
        <f t="shared" si="437"/>
        <v>458.45</v>
      </c>
      <c r="M1263">
        <f>IF(A1263&gt;=Quarterly!B$2,Quarterly!D$2,IF(COUNTIFS(Quarterly!B:B,"&gt;="&amp;A1263-92,Quarterly!B:B,"&lt;="&amp;A1263)&gt;1,SUMIFS(Quarterly!D:D,Quarterly!B:B,"&gt;="&amp;A1263-88,Quarterly!B:B,"&lt;="&amp;A1263),SUMIFS(Quarterly!D:D,Quarterly!B:B,"&gt;="&amp;A1263-92,Quarterly!B:B,"&lt;="&amp;A1263)))</f>
        <v>386.37799999999999</v>
      </c>
      <c r="N1263" s="13">
        <f t="shared" si="438"/>
        <v>0.11865000000000002</v>
      </c>
      <c r="O1263">
        <f t="shared" si="426"/>
        <v>458.45</v>
      </c>
      <c r="P1263" s="56">
        <f>VLOOKUP(EOMONTH(A1263,-1),Economic!A:I,7,FALSE)</f>
        <v>589321</v>
      </c>
      <c r="Q1263" s="13">
        <f t="shared" si="427"/>
        <v>7.7800000000000008E-2</v>
      </c>
      <c r="R1263" s="41">
        <v>1.26</v>
      </c>
      <c r="S1263">
        <f t="shared" si="428"/>
        <v>2.09</v>
      </c>
      <c r="T1263" s="30">
        <f t="shared" si="429"/>
        <v>259.43</v>
      </c>
      <c r="U1263" s="30">
        <f t="shared" si="436"/>
        <v>260.01</v>
      </c>
    </row>
    <row r="1264" spans="1:21" ht="15" customHeight="1" x14ac:dyDescent="0.25">
      <c r="A1264" s="5">
        <v>34497</v>
      </c>
      <c r="B1264" s="5">
        <f t="shared" si="430"/>
        <v>34515</v>
      </c>
      <c r="C1264">
        <v>458.67</v>
      </c>
      <c r="D1264" s="29">
        <f t="shared" si="431"/>
        <v>0.01</v>
      </c>
      <c r="E1264" s="39">
        <f t="shared" si="432"/>
        <v>453.24923076923085</v>
      </c>
      <c r="F1264" s="39">
        <f t="shared" si="433"/>
        <v>461.88974358974349</v>
      </c>
      <c r="G1264" s="29">
        <f t="shared" si="425"/>
        <v>1.2E-2</v>
      </c>
      <c r="H1264" s="29">
        <f t="shared" si="425"/>
        <v>-7.0000000000000001E-3</v>
      </c>
      <c r="I1264">
        <f t="shared" si="434"/>
        <v>458.67</v>
      </c>
      <c r="J1264">
        <f>IF(A1264&gt;=Quarterly!B$2,Quarterly!C$2,IF(COUNTIFS(Quarterly!B:B,"&gt;="&amp;A1264-92,Quarterly!B:B,"&lt;="&amp;A1264)&gt;1,SUMIFS(Quarterly!C:C,Quarterly!B:B,"&gt;="&amp;A1264-88,Quarterly!B:B,"&lt;="&amp;A1264),SUMIFS(Quarterly!C:C,Quarterly!B:B,"&gt;="&amp;A1264-92,Quarterly!B:B,"&lt;="&amp;A1264)))</f>
        <v>7136.3</v>
      </c>
      <c r="K1264" s="13">
        <f t="shared" si="435"/>
        <v>6.4299999999999996E-2</v>
      </c>
      <c r="L1264">
        <f t="shared" si="437"/>
        <v>458.67</v>
      </c>
      <c r="M1264">
        <f>IF(A1264&gt;=Quarterly!B$2,Quarterly!D$2,IF(COUNTIFS(Quarterly!B:B,"&gt;="&amp;A1264-92,Quarterly!B:B,"&lt;="&amp;A1264)&gt;1,SUMIFS(Quarterly!D:D,Quarterly!B:B,"&gt;="&amp;A1264-88,Quarterly!B:B,"&lt;="&amp;A1264),SUMIFS(Quarterly!D:D,Quarterly!B:B,"&gt;="&amp;A1264-92,Quarterly!B:B,"&lt;="&amp;A1264)))</f>
        <v>386.37799999999999</v>
      </c>
      <c r="N1264" s="13">
        <f t="shared" si="438"/>
        <v>0.11871000000000001</v>
      </c>
      <c r="O1264">
        <f t="shared" si="426"/>
        <v>458.67</v>
      </c>
      <c r="P1264" s="56">
        <f>VLOOKUP(EOMONTH(A1264,-1),Economic!A:I,7,FALSE)</f>
        <v>589321</v>
      </c>
      <c r="Q1264" s="13">
        <f t="shared" si="427"/>
        <v>7.7800000000000008E-2</v>
      </c>
      <c r="R1264" s="41">
        <v>1.18</v>
      </c>
      <c r="S1264">
        <f t="shared" si="428"/>
        <v>2.12</v>
      </c>
      <c r="T1264" s="30">
        <f t="shared" si="429"/>
        <v>259.66000000000003</v>
      </c>
      <c r="U1264" s="30">
        <f t="shared" si="436"/>
        <v>259.33</v>
      </c>
    </row>
    <row r="1265" spans="1:21" ht="15" customHeight="1" x14ac:dyDescent="0.25">
      <c r="A1265" s="5">
        <v>34490</v>
      </c>
      <c r="B1265" s="5">
        <f t="shared" si="430"/>
        <v>34515</v>
      </c>
      <c r="C1265">
        <v>460.13</v>
      </c>
      <c r="D1265" s="29">
        <f t="shared" si="431"/>
        <v>2.01E-2</v>
      </c>
      <c r="E1265" s="39">
        <f t="shared" si="432"/>
        <v>453.84692307692308</v>
      </c>
      <c r="F1265" s="39">
        <f t="shared" si="433"/>
        <v>461.96794871794873</v>
      </c>
      <c r="G1265" s="29">
        <f t="shared" si="425"/>
        <v>1.38E-2</v>
      </c>
      <c r="H1265" s="29">
        <f t="shared" si="425"/>
        <v>-4.0000000000000001E-3</v>
      </c>
      <c r="I1265">
        <f t="shared" si="434"/>
        <v>460.13</v>
      </c>
      <c r="J1265">
        <f>IF(A1265&gt;=Quarterly!B$2,Quarterly!C$2,IF(COUNTIFS(Quarterly!B:B,"&gt;="&amp;A1265-92,Quarterly!B:B,"&lt;="&amp;A1265)&gt;1,SUMIFS(Quarterly!C:C,Quarterly!B:B,"&gt;="&amp;A1265-88,Quarterly!B:B,"&lt;="&amp;A1265),SUMIFS(Quarterly!C:C,Quarterly!B:B,"&gt;="&amp;A1265-92,Quarterly!B:B,"&lt;="&amp;A1265)))</f>
        <v>7136.3</v>
      </c>
      <c r="K1265" s="13">
        <f t="shared" si="435"/>
        <v>6.4500000000000002E-2</v>
      </c>
      <c r="L1265">
        <f t="shared" si="437"/>
        <v>460.13</v>
      </c>
      <c r="M1265">
        <f>IF(A1265&gt;=Quarterly!B$2,Quarterly!D$2,IF(COUNTIFS(Quarterly!B:B,"&gt;="&amp;A1265-92,Quarterly!B:B,"&lt;="&amp;A1265)&gt;1,SUMIFS(Quarterly!D:D,Quarterly!B:B,"&gt;="&amp;A1265-88,Quarterly!B:B,"&lt;="&amp;A1265),SUMIFS(Quarterly!D:D,Quarterly!B:B,"&gt;="&amp;A1265-92,Quarterly!B:B,"&lt;="&amp;A1265)))</f>
        <v>386.37799999999999</v>
      </c>
      <c r="N1265" s="13">
        <f t="shared" si="438"/>
        <v>0.11909000000000002</v>
      </c>
      <c r="O1265">
        <f t="shared" si="426"/>
        <v>460.13</v>
      </c>
      <c r="P1265" s="56">
        <f>VLOOKUP(EOMONTH(A1265,-1),Economic!A:I,7,FALSE)</f>
        <v>589321</v>
      </c>
      <c r="Q1265" s="13">
        <f t="shared" si="427"/>
        <v>7.8100000000000003E-2</v>
      </c>
      <c r="R1265" s="41">
        <v>1.1399999999999999</v>
      </c>
      <c r="S1265">
        <f t="shared" si="428"/>
        <v>2.17</v>
      </c>
      <c r="T1265" s="30">
        <f t="shared" si="429"/>
        <v>260.94</v>
      </c>
      <c r="U1265" s="30">
        <f t="shared" si="436"/>
        <v>257.70999999999998</v>
      </c>
    </row>
    <row r="1266" spans="1:21" ht="15" customHeight="1" x14ac:dyDescent="0.25">
      <c r="A1266" s="5">
        <v>34483</v>
      </c>
      <c r="B1266" s="5">
        <f t="shared" si="430"/>
        <v>34485</v>
      </c>
      <c r="C1266">
        <v>457.33</v>
      </c>
      <c r="D1266" s="29">
        <f t="shared" si="431"/>
        <v>1.7500000000000002E-2</v>
      </c>
      <c r="E1266" s="39">
        <f t="shared" si="432"/>
        <v>454.20153846153846</v>
      </c>
      <c r="F1266" s="39">
        <f t="shared" si="433"/>
        <v>461.99897435897435</v>
      </c>
      <c r="G1266" s="29">
        <f t="shared" si="425"/>
        <v>6.8999999999999999E-3</v>
      </c>
      <c r="H1266" s="29">
        <f t="shared" si="425"/>
        <v>-1.01E-2</v>
      </c>
      <c r="I1266">
        <f t="shared" si="434"/>
        <v>457.33</v>
      </c>
      <c r="J1266">
        <f>IF(A1266&gt;=Quarterly!B$2,Quarterly!C$2,IF(COUNTIFS(Quarterly!B:B,"&gt;="&amp;A1266-92,Quarterly!B:B,"&lt;="&amp;A1266)&gt;1,SUMIFS(Quarterly!C:C,Quarterly!B:B,"&gt;="&amp;A1266-88,Quarterly!B:B,"&lt;="&amp;A1266),SUMIFS(Quarterly!C:C,Quarterly!B:B,"&gt;="&amp;A1266-92,Quarterly!B:B,"&lt;="&amp;A1266)))</f>
        <v>7136.3</v>
      </c>
      <c r="K1266" s="13">
        <f t="shared" si="435"/>
        <v>6.4100000000000004E-2</v>
      </c>
      <c r="L1266">
        <f t="shared" si="437"/>
        <v>457.33</v>
      </c>
      <c r="M1266">
        <f>IF(A1266&gt;=Quarterly!B$2,Quarterly!D$2,IF(COUNTIFS(Quarterly!B:B,"&gt;="&amp;A1266-92,Quarterly!B:B,"&lt;="&amp;A1266)&gt;1,SUMIFS(Quarterly!D:D,Quarterly!B:B,"&gt;="&amp;A1266-88,Quarterly!B:B,"&lt;="&amp;A1266),SUMIFS(Quarterly!D:D,Quarterly!B:B,"&gt;="&amp;A1266-92,Quarterly!B:B,"&lt;="&amp;A1266)))</f>
        <v>386.37799999999999</v>
      </c>
      <c r="N1266" s="13">
        <f t="shared" si="438"/>
        <v>0.11836000000000001</v>
      </c>
      <c r="O1266">
        <f t="shared" si="426"/>
        <v>457.33</v>
      </c>
      <c r="P1266" s="56">
        <f>VLOOKUP(EOMONTH(A1266,-1),Economic!A:I,7,FALSE)</f>
        <v>583299</v>
      </c>
      <c r="Q1266" s="13">
        <f t="shared" si="427"/>
        <v>7.8399999999999997E-2</v>
      </c>
      <c r="R1266" s="41">
        <v>1.1499999999999999</v>
      </c>
      <c r="S1266">
        <f t="shared" si="428"/>
        <v>2.0699999999999998</v>
      </c>
      <c r="T1266" s="30">
        <f t="shared" si="429"/>
        <v>257.39</v>
      </c>
      <c r="U1266" s="30">
        <f t="shared" si="436"/>
        <v>255.32</v>
      </c>
    </row>
    <row r="1267" spans="1:21" ht="15" customHeight="1" x14ac:dyDescent="0.25">
      <c r="A1267" s="5">
        <v>34476</v>
      </c>
      <c r="B1267" s="5">
        <f t="shared" si="430"/>
        <v>34485</v>
      </c>
      <c r="C1267">
        <v>454.92</v>
      </c>
      <c r="D1267" s="29">
        <f t="shared" si="431"/>
        <v>1.6299999999999999E-2</v>
      </c>
      <c r="E1267" s="39">
        <f t="shared" si="432"/>
        <v>454.87384615384605</v>
      </c>
      <c r="F1267" s="39">
        <f t="shared" si="433"/>
        <v>462.08128205128202</v>
      </c>
      <c r="G1267" s="29">
        <f t="shared" si="425"/>
        <v>1E-4</v>
      </c>
      <c r="H1267" s="29">
        <f t="shared" si="425"/>
        <v>-1.55E-2</v>
      </c>
      <c r="I1267">
        <f t="shared" si="434"/>
        <v>454.92</v>
      </c>
      <c r="J1267">
        <f>IF(A1267&gt;=Quarterly!B$2,Quarterly!C$2,IF(COUNTIFS(Quarterly!B:B,"&gt;="&amp;A1267-92,Quarterly!B:B,"&lt;="&amp;A1267)&gt;1,SUMIFS(Quarterly!C:C,Quarterly!B:B,"&gt;="&amp;A1267-88,Quarterly!B:B,"&lt;="&amp;A1267),SUMIFS(Quarterly!C:C,Quarterly!B:B,"&gt;="&amp;A1267-92,Quarterly!B:B,"&lt;="&amp;A1267)))</f>
        <v>7136.3</v>
      </c>
      <c r="K1267" s="13">
        <f t="shared" si="435"/>
        <v>6.3700000000000007E-2</v>
      </c>
      <c r="L1267">
        <f t="shared" si="437"/>
        <v>454.92</v>
      </c>
      <c r="M1267">
        <f>IF(A1267&gt;=Quarterly!B$2,Quarterly!D$2,IF(COUNTIFS(Quarterly!B:B,"&gt;="&amp;A1267-92,Quarterly!B:B,"&lt;="&amp;A1267)&gt;1,SUMIFS(Quarterly!D:D,Quarterly!B:B,"&gt;="&amp;A1267-88,Quarterly!B:B,"&lt;="&amp;A1267),SUMIFS(Quarterly!D:D,Quarterly!B:B,"&gt;="&amp;A1267-92,Quarterly!B:B,"&lt;="&amp;A1267)))</f>
        <v>386.37799999999999</v>
      </c>
      <c r="N1267" s="13">
        <f t="shared" si="438"/>
        <v>0.11774000000000001</v>
      </c>
      <c r="O1267">
        <f t="shared" si="426"/>
        <v>454.92</v>
      </c>
      <c r="P1267" s="56">
        <f>VLOOKUP(EOMONTH(A1267,-1),Economic!A:I,7,FALSE)</f>
        <v>583299</v>
      </c>
      <c r="Q1267" s="13">
        <f t="shared" si="427"/>
        <v>7.8E-2</v>
      </c>
      <c r="R1267" s="41">
        <v>1.22</v>
      </c>
      <c r="S1267">
        <f t="shared" si="428"/>
        <v>2</v>
      </c>
      <c r="T1267" s="30">
        <f t="shared" si="429"/>
        <v>254.79</v>
      </c>
      <c r="U1267" s="30">
        <f t="shared" si="436"/>
        <v>253.6</v>
      </c>
    </row>
    <row r="1268" spans="1:21" ht="15" customHeight="1" x14ac:dyDescent="0.25">
      <c r="A1268" s="5">
        <v>34469</v>
      </c>
      <c r="B1268" s="5">
        <f t="shared" si="430"/>
        <v>34485</v>
      </c>
      <c r="C1268">
        <v>444.14</v>
      </c>
      <c r="D1268" s="29">
        <f t="shared" si="431"/>
        <v>-8.8999999999999999E-3</v>
      </c>
      <c r="E1268" s="39">
        <f t="shared" si="432"/>
        <v>455.85615384615369</v>
      </c>
      <c r="F1268" s="39">
        <f t="shared" si="433"/>
        <v>462.11307692307685</v>
      </c>
      <c r="G1268" s="29">
        <f t="shared" si="425"/>
        <v>-2.5700000000000001E-2</v>
      </c>
      <c r="H1268" s="29">
        <f t="shared" si="425"/>
        <v>-3.8899999999999997E-2</v>
      </c>
      <c r="I1268">
        <f t="shared" si="434"/>
        <v>444.14</v>
      </c>
      <c r="J1268">
        <f>IF(A1268&gt;=Quarterly!B$2,Quarterly!C$2,IF(COUNTIFS(Quarterly!B:B,"&gt;="&amp;A1268-92,Quarterly!B:B,"&lt;="&amp;A1268)&gt;1,SUMIFS(Quarterly!C:C,Quarterly!B:B,"&gt;="&amp;A1268-88,Quarterly!B:B,"&lt;="&amp;A1268),SUMIFS(Quarterly!C:C,Quarterly!B:B,"&gt;="&amp;A1268-92,Quarterly!B:B,"&lt;="&amp;A1268)))</f>
        <v>7136.3</v>
      </c>
      <c r="K1268" s="13">
        <f t="shared" si="435"/>
        <v>6.2199999999999998E-2</v>
      </c>
      <c r="L1268">
        <f t="shared" si="437"/>
        <v>444.14</v>
      </c>
      <c r="M1268">
        <f>IF(A1268&gt;=Quarterly!B$2,Quarterly!D$2,IF(COUNTIFS(Quarterly!B:B,"&gt;="&amp;A1268-92,Quarterly!B:B,"&lt;="&amp;A1268)&gt;1,SUMIFS(Quarterly!D:D,Quarterly!B:B,"&gt;="&amp;A1268-88,Quarterly!B:B,"&lt;="&amp;A1268),SUMIFS(Quarterly!D:D,Quarterly!B:B,"&gt;="&amp;A1268-92,Quarterly!B:B,"&lt;="&amp;A1268)))</f>
        <v>386.37799999999999</v>
      </c>
      <c r="N1268" s="13">
        <f t="shared" si="438"/>
        <v>0.11495</v>
      </c>
      <c r="O1268">
        <f t="shared" si="426"/>
        <v>444.14</v>
      </c>
      <c r="P1268" s="56">
        <f>VLOOKUP(EOMONTH(A1268,-1),Economic!A:I,7,FALSE)</f>
        <v>583299</v>
      </c>
      <c r="Q1268" s="13">
        <f t="shared" si="427"/>
        <v>7.6100000000000001E-2</v>
      </c>
      <c r="R1268" s="41">
        <v>1.24</v>
      </c>
      <c r="S1268">
        <f t="shared" si="428"/>
        <v>2</v>
      </c>
      <c r="T1268" s="30">
        <f t="shared" si="429"/>
        <v>253.78</v>
      </c>
      <c r="U1268" s="30">
        <f t="shared" si="436"/>
        <v>253.74</v>
      </c>
    </row>
    <row r="1269" spans="1:21" ht="15" customHeight="1" x14ac:dyDescent="0.25">
      <c r="A1269" s="5">
        <v>34462</v>
      </c>
      <c r="B1269" s="5">
        <f t="shared" si="430"/>
        <v>34485</v>
      </c>
      <c r="C1269">
        <v>447.82</v>
      </c>
      <c r="D1269" s="29">
        <f t="shared" si="431"/>
        <v>-2.9999999999999997E-4</v>
      </c>
      <c r="E1269" s="39">
        <f t="shared" si="432"/>
        <v>457.85923076923075</v>
      </c>
      <c r="F1269" s="39">
        <f t="shared" si="433"/>
        <v>462.26692307692298</v>
      </c>
      <c r="G1269" s="29">
        <f t="shared" si="425"/>
        <v>-2.1899999999999999E-2</v>
      </c>
      <c r="H1269" s="29">
        <f t="shared" si="425"/>
        <v>-3.1300000000000001E-2</v>
      </c>
      <c r="I1269">
        <f t="shared" si="434"/>
        <v>447.82</v>
      </c>
      <c r="J1269">
        <f>IF(A1269&gt;=Quarterly!B$2,Quarterly!C$2,IF(COUNTIFS(Quarterly!B:B,"&gt;="&amp;A1269-92,Quarterly!B:B,"&lt;="&amp;A1269)&gt;1,SUMIFS(Quarterly!C:C,Quarterly!B:B,"&gt;="&amp;A1269-88,Quarterly!B:B,"&lt;="&amp;A1269),SUMIFS(Quarterly!C:C,Quarterly!B:B,"&gt;="&amp;A1269-92,Quarterly!B:B,"&lt;="&amp;A1269)))</f>
        <v>7136.3</v>
      </c>
      <c r="K1269" s="13">
        <f t="shared" si="435"/>
        <v>6.2799999999999995E-2</v>
      </c>
      <c r="L1269">
        <f t="shared" si="437"/>
        <v>447.82</v>
      </c>
      <c r="M1269">
        <f>IF(A1269&gt;=Quarterly!B$2,Quarterly!D$2,IF(COUNTIFS(Quarterly!B:B,"&gt;="&amp;A1269-92,Quarterly!B:B,"&lt;="&amp;A1269)&gt;1,SUMIFS(Quarterly!D:D,Quarterly!B:B,"&gt;="&amp;A1269-88,Quarterly!B:B,"&lt;="&amp;A1269),SUMIFS(Quarterly!D:D,Quarterly!B:B,"&gt;="&amp;A1269-92,Quarterly!B:B,"&lt;="&amp;A1269)))</f>
        <v>386.37799999999999</v>
      </c>
      <c r="N1269" s="13">
        <f t="shared" si="438"/>
        <v>0.1159</v>
      </c>
      <c r="O1269">
        <f t="shared" si="426"/>
        <v>447.82</v>
      </c>
      <c r="P1269" s="56">
        <f>VLOOKUP(EOMONTH(A1269,-1),Economic!A:I,7,FALSE)</f>
        <v>583299</v>
      </c>
      <c r="Q1269" s="13">
        <f t="shared" si="427"/>
        <v>7.6800000000000007E-2</v>
      </c>
      <c r="R1269" s="41">
        <v>1.23</v>
      </c>
      <c r="S1269">
        <f t="shared" si="428"/>
        <v>1.99</v>
      </c>
      <c r="T1269" s="30">
        <f t="shared" si="429"/>
        <v>252.22</v>
      </c>
      <c r="U1269" s="30">
        <f t="shared" si="436"/>
        <v>252.82</v>
      </c>
    </row>
    <row r="1270" spans="1:21" ht="15" customHeight="1" x14ac:dyDescent="0.25">
      <c r="A1270" s="5">
        <v>34455</v>
      </c>
      <c r="B1270" s="5">
        <f t="shared" si="430"/>
        <v>34485</v>
      </c>
      <c r="C1270">
        <v>450.91</v>
      </c>
      <c r="D1270" s="29">
        <f t="shared" si="431"/>
        <v>9.4999999999999998E-3</v>
      </c>
      <c r="E1270" s="39">
        <f t="shared" si="432"/>
        <v>459.55076923076922</v>
      </c>
      <c r="F1270" s="39">
        <f t="shared" si="433"/>
        <v>462.28897435897426</v>
      </c>
      <c r="G1270" s="29">
        <f t="shared" si="425"/>
        <v>-1.8800000000000001E-2</v>
      </c>
      <c r="H1270" s="29">
        <f t="shared" si="425"/>
        <v>-2.46E-2</v>
      </c>
      <c r="I1270">
        <f t="shared" si="434"/>
        <v>450.91</v>
      </c>
      <c r="J1270">
        <f>IF(A1270&gt;=Quarterly!B$2,Quarterly!C$2,IF(COUNTIFS(Quarterly!B:B,"&gt;="&amp;A1270-92,Quarterly!B:B,"&lt;="&amp;A1270)&gt;1,SUMIFS(Quarterly!C:C,Quarterly!B:B,"&gt;="&amp;A1270-88,Quarterly!B:B,"&lt;="&amp;A1270),SUMIFS(Quarterly!C:C,Quarterly!B:B,"&gt;="&amp;A1270-92,Quarterly!B:B,"&lt;="&amp;A1270)))</f>
        <v>7136.3</v>
      </c>
      <c r="K1270" s="13">
        <f t="shared" si="435"/>
        <v>6.3200000000000006E-2</v>
      </c>
      <c r="L1270">
        <f t="shared" si="437"/>
        <v>450.91</v>
      </c>
      <c r="M1270">
        <f>IF(A1270&gt;=Quarterly!B$2,Quarterly!D$2,IF(COUNTIFS(Quarterly!B:B,"&gt;="&amp;A1270-92,Quarterly!B:B,"&lt;="&amp;A1270)&gt;1,SUMIFS(Quarterly!D:D,Quarterly!B:B,"&gt;="&amp;A1270-88,Quarterly!B:B,"&lt;="&amp;A1270),SUMIFS(Quarterly!D:D,Quarterly!B:B,"&gt;="&amp;A1270-92,Quarterly!B:B,"&lt;="&amp;A1270)))</f>
        <v>386.37799999999999</v>
      </c>
      <c r="N1270" s="13">
        <f t="shared" si="438"/>
        <v>0.11670000000000001</v>
      </c>
      <c r="O1270">
        <f t="shared" si="426"/>
        <v>450.91</v>
      </c>
      <c r="P1270" s="56">
        <f>VLOOKUP(EOMONTH(A1270,-1),Economic!A:I,7,FALSE)</f>
        <v>583299</v>
      </c>
      <c r="Q1270" s="13">
        <f t="shared" si="427"/>
        <v>7.7300000000000008E-2</v>
      </c>
      <c r="R1270" s="41">
        <v>1.33</v>
      </c>
      <c r="S1270">
        <f t="shared" si="428"/>
        <v>2.11</v>
      </c>
      <c r="T1270" s="30">
        <f t="shared" si="429"/>
        <v>255.22</v>
      </c>
      <c r="U1270" s="30">
        <f t="shared" si="436"/>
        <v>251.91</v>
      </c>
    </row>
    <row r="1271" spans="1:21" ht="15" customHeight="1" x14ac:dyDescent="0.25">
      <c r="A1271" s="5">
        <v>34448</v>
      </c>
      <c r="B1271" s="5">
        <f t="shared" si="430"/>
        <v>34454</v>
      </c>
      <c r="C1271">
        <v>447.63</v>
      </c>
      <c r="D1271" s="29">
        <f t="shared" si="431"/>
        <v>-5.1000000000000004E-3</v>
      </c>
      <c r="E1271" s="39">
        <f t="shared" si="432"/>
        <v>461.68846153846152</v>
      </c>
      <c r="F1271" s="39">
        <f t="shared" si="433"/>
        <v>462.21769230769223</v>
      </c>
      <c r="G1271" s="29">
        <f t="shared" si="425"/>
        <v>-3.0499999999999999E-2</v>
      </c>
      <c r="H1271" s="29">
        <f t="shared" si="425"/>
        <v>-3.1600000000000003E-2</v>
      </c>
      <c r="I1271">
        <f t="shared" si="434"/>
        <v>447.63</v>
      </c>
      <c r="J1271">
        <f>IF(A1271&gt;=Quarterly!B$2,Quarterly!C$2,IF(COUNTIFS(Quarterly!B:B,"&gt;="&amp;A1271-92,Quarterly!B:B,"&lt;="&amp;A1271)&gt;1,SUMIFS(Quarterly!C:C,Quarterly!B:B,"&gt;="&amp;A1271-88,Quarterly!B:B,"&lt;="&amp;A1271),SUMIFS(Quarterly!C:C,Quarterly!B:B,"&gt;="&amp;A1271-92,Quarterly!B:B,"&lt;="&amp;A1271)))</f>
        <v>7032.8</v>
      </c>
      <c r="K1271" s="13">
        <f t="shared" si="435"/>
        <v>6.3600000000000004E-2</v>
      </c>
      <c r="L1271">
        <f t="shared" si="437"/>
        <v>447.63</v>
      </c>
      <c r="M1271">
        <f>IF(A1271&gt;=Quarterly!B$2,Quarterly!D$2,IF(COUNTIFS(Quarterly!B:B,"&gt;="&amp;A1271-92,Quarterly!B:B,"&lt;="&amp;A1271)&gt;1,SUMIFS(Quarterly!D:D,Quarterly!B:B,"&gt;="&amp;A1271-88,Quarterly!B:B,"&lt;="&amp;A1271),SUMIFS(Quarterly!D:D,Quarterly!B:B,"&gt;="&amp;A1271-92,Quarterly!B:B,"&lt;="&amp;A1271)))</f>
        <v>359.59300000000002</v>
      </c>
      <c r="N1271" s="13">
        <f t="shared" si="438"/>
        <v>0.12447999999999999</v>
      </c>
      <c r="O1271">
        <f t="shared" si="426"/>
        <v>447.63</v>
      </c>
      <c r="P1271" s="56">
        <f>VLOOKUP(EOMONTH(A1271,-1),Economic!A:I,7,FALSE)</f>
        <v>579714</v>
      </c>
      <c r="Q1271" s="13">
        <f t="shared" si="427"/>
        <v>7.7200000000000005E-2</v>
      </c>
      <c r="R1271" s="41">
        <v>1.31</v>
      </c>
      <c r="S1271">
        <f t="shared" si="428"/>
        <v>2.16</v>
      </c>
      <c r="T1271" s="30">
        <f t="shared" si="429"/>
        <v>251.03</v>
      </c>
      <c r="U1271" s="30">
        <f t="shared" si="436"/>
        <v>250.58</v>
      </c>
    </row>
    <row r="1272" spans="1:21" ht="15" customHeight="1" x14ac:dyDescent="0.25">
      <c r="A1272" s="5">
        <v>34441</v>
      </c>
      <c r="B1272" s="5">
        <f t="shared" si="430"/>
        <v>34454</v>
      </c>
      <c r="C1272">
        <v>446.18</v>
      </c>
      <c r="D1272" s="29">
        <f t="shared" si="431"/>
        <v>-2.18E-2</v>
      </c>
      <c r="E1272" s="39">
        <f t="shared" si="432"/>
        <v>463.77230769230778</v>
      </c>
      <c r="F1272" s="39">
        <f t="shared" si="433"/>
        <v>462.20410256410253</v>
      </c>
      <c r="G1272" s="29">
        <f t="shared" si="425"/>
        <v>-3.7900000000000003E-2</v>
      </c>
      <c r="H1272" s="29">
        <f t="shared" si="425"/>
        <v>-3.4700000000000002E-2</v>
      </c>
      <c r="I1272">
        <f t="shared" si="434"/>
        <v>446.18</v>
      </c>
      <c r="J1272">
        <f>IF(A1272&gt;=Quarterly!B$2,Quarterly!C$2,IF(COUNTIFS(Quarterly!B:B,"&gt;="&amp;A1272-92,Quarterly!B:B,"&lt;="&amp;A1272)&gt;1,SUMIFS(Quarterly!C:C,Quarterly!B:B,"&gt;="&amp;A1272-88,Quarterly!B:B,"&lt;="&amp;A1272),SUMIFS(Quarterly!C:C,Quarterly!B:B,"&gt;="&amp;A1272-92,Quarterly!B:B,"&lt;="&amp;A1272)))</f>
        <v>7032.8</v>
      </c>
      <c r="K1272" s="13">
        <f t="shared" si="435"/>
        <v>6.3399999999999998E-2</v>
      </c>
      <c r="L1272">
        <f t="shared" si="437"/>
        <v>446.18</v>
      </c>
      <c r="M1272">
        <f>IF(A1272&gt;=Quarterly!B$2,Quarterly!D$2,IF(COUNTIFS(Quarterly!B:B,"&gt;="&amp;A1272-92,Quarterly!B:B,"&lt;="&amp;A1272)&gt;1,SUMIFS(Quarterly!D:D,Quarterly!B:B,"&gt;="&amp;A1272-88,Quarterly!B:B,"&lt;="&amp;A1272),SUMIFS(Quarterly!D:D,Quarterly!B:B,"&gt;="&amp;A1272-92,Quarterly!B:B,"&lt;="&amp;A1272)))</f>
        <v>359.59300000000002</v>
      </c>
      <c r="N1272" s="13">
        <f t="shared" si="438"/>
        <v>0.12408</v>
      </c>
      <c r="O1272">
        <f t="shared" si="426"/>
        <v>446.18</v>
      </c>
      <c r="P1272" s="56">
        <f>VLOOKUP(EOMONTH(A1272,-1),Economic!A:I,7,FALSE)</f>
        <v>579714</v>
      </c>
      <c r="Q1272" s="13">
        <f t="shared" si="427"/>
        <v>7.6999999999999999E-2</v>
      </c>
      <c r="R1272" s="41">
        <v>1.46</v>
      </c>
      <c r="S1272">
        <f t="shared" si="428"/>
        <v>2.15</v>
      </c>
      <c r="T1272" s="30">
        <f t="shared" si="429"/>
        <v>249.47</v>
      </c>
      <c r="U1272" s="30">
        <f t="shared" si="436"/>
        <v>249.68</v>
      </c>
    </row>
    <row r="1273" spans="1:21" ht="15" customHeight="1" x14ac:dyDescent="0.25">
      <c r="A1273" s="5">
        <v>34434</v>
      </c>
      <c r="B1273" s="5">
        <f t="shared" si="430"/>
        <v>34454</v>
      </c>
      <c r="C1273">
        <v>447.1</v>
      </c>
      <c r="D1273" s="29">
        <f t="shared" si="431"/>
        <v>-3.0099999999999998E-2</v>
      </c>
      <c r="E1273" s="39">
        <f t="shared" si="432"/>
        <v>465.9823076923077</v>
      </c>
      <c r="F1273" s="39">
        <f t="shared" si="433"/>
        <v>462.19307692307677</v>
      </c>
      <c r="G1273" s="29">
        <f t="shared" si="425"/>
        <v>-4.0500000000000001E-2</v>
      </c>
      <c r="H1273" s="29">
        <f t="shared" si="425"/>
        <v>-3.27E-2</v>
      </c>
      <c r="I1273">
        <f t="shared" si="434"/>
        <v>447.1</v>
      </c>
      <c r="J1273">
        <f>IF(A1273&gt;=Quarterly!B$2,Quarterly!C$2,IF(COUNTIFS(Quarterly!B:B,"&gt;="&amp;A1273-92,Quarterly!B:B,"&lt;="&amp;A1273)&gt;1,SUMIFS(Quarterly!C:C,Quarterly!B:B,"&gt;="&amp;A1273-88,Quarterly!B:B,"&lt;="&amp;A1273),SUMIFS(Quarterly!C:C,Quarterly!B:B,"&gt;="&amp;A1273-92,Quarterly!B:B,"&lt;="&amp;A1273)))</f>
        <v>7032.8</v>
      </c>
      <c r="K1273" s="13">
        <f t="shared" si="435"/>
        <v>6.3600000000000004E-2</v>
      </c>
      <c r="L1273">
        <f t="shared" si="437"/>
        <v>447.1</v>
      </c>
      <c r="M1273">
        <f>IF(A1273&gt;=Quarterly!B$2,Quarterly!D$2,IF(COUNTIFS(Quarterly!B:B,"&gt;="&amp;A1273-92,Quarterly!B:B,"&lt;="&amp;A1273)&gt;1,SUMIFS(Quarterly!D:D,Quarterly!B:B,"&gt;="&amp;A1273-88,Quarterly!B:B,"&lt;="&amp;A1273),SUMIFS(Quarterly!D:D,Quarterly!B:B,"&gt;="&amp;A1273-92,Quarterly!B:B,"&lt;="&amp;A1273)))</f>
        <v>359.59300000000002</v>
      </c>
      <c r="N1273" s="13">
        <f t="shared" si="438"/>
        <v>0.12434000000000001</v>
      </c>
      <c r="O1273">
        <f t="shared" si="426"/>
        <v>447.1</v>
      </c>
      <c r="P1273" s="56">
        <f>VLOOKUP(EOMONTH(A1273,-1),Economic!A:I,7,FALSE)</f>
        <v>579714</v>
      </c>
      <c r="Q1273" s="13">
        <f t="shared" si="427"/>
        <v>7.7100000000000002E-2</v>
      </c>
      <c r="R1273" s="41">
        <v>1.51</v>
      </c>
      <c r="S1273">
        <f t="shared" si="428"/>
        <v>2.25</v>
      </c>
      <c r="T1273" s="30">
        <f t="shared" si="429"/>
        <v>251.25</v>
      </c>
      <c r="U1273" s="30">
        <f t="shared" si="436"/>
        <v>249.89</v>
      </c>
    </row>
    <row r="1274" spans="1:21" ht="15" customHeight="1" x14ac:dyDescent="0.25">
      <c r="A1274" s="5">
        <v>34427</v>
      </c>
      <c r="B1274" s="5">
        <f t="shared" si="430"/>
        <v>34454</v>
      </c>
      <c r="C1274">
        <v>445.77</v>
      </c>
      <c r="D1274" s="29">
        <f t="shared" si="431"/>
        <v>-4.2799999999999998E-2</v>
      </c>
      <c r="E1274" s="39">
        <f t="shared" si="432"/>
        <v>467.7361538461538</v>
      </c>
      <c r="F1274" s="39">
        <f t="shared" si="433"/>
        <v>462.21897435897426</v>
      </c>
      <c r="G1274" s="29">
        <f t="shared" si="425"/>
        <v>-4.7E-2</v>
      </c>
      <c r="H1274" s="29">
        <f t="shared" si="425"/>
        <v>-3.56E-2</v>
      </c>
      <c r="I1274">
        <f t="shared" si="434"/>
        <v>445.77</v>
      </c>
      <c r="J1274">
        <f>IF(A1274&gt;=Quarterly!B$2,Quarterly!C$2,IF(COUNTIFS(Quarterly!B:B,"&gt;="&amp;A1274-92,Quarterly!B:B,"&lt;="&amp;A1274)&gt;1,SUMIFS(Quarterly!C:C,Quarterly!B:B,"&gt;="&amp;A1274-88,Quarterly!B:B,"&lt;="&amp;A1274),SUMIFS(Quarterly!C:C,Quarterly!B:B,"&gt;="&amp;A1274-92,Quarterly!B:B,"&lt;="&amp;A1274)))</f>
        <v>7032.8</v>
      </c>
      <c r="K1274" s="13">
        <f t="shared" si="435"/>
        <v>6.3399999999999998E-2</v>
      </c>
      <c r="L1274">
        <f t="shared" si="437"/>
        <v>445.77</v>
      </c>
      <c r="M1274">
        <f>IF(A1274&gt;=Quarterly!B$2,Quarterly!D$2,IF(COUNTIFS(Quarterly!B:B,"&gt;="&amp;A1274-92,Quarterly!B:B,"&lt;="&amp;A1274)&gt;1,SUMIFS(Quarterly!D:D,Quarterly!B:B,"&gt;="&amp;A1274-88,Quarterly!B:B,"&lt;="&amp;A1274),SUMIFS(Quarterly!D:D,Quarterly!B:B,"&gt;="&amp;A1274-92,Quarterly!B:B,"&lt;="&amp;A1274)))</f>
        <v>359.59300000000002</v>
      </c>
      <c r="N1274" s="13">
        <f t="shared" si="438"/>
        <v>0.12397000000000001</v>
      </c>
      <c r="O1274">
        <f t="shared" si="426"/>
        <v>445.77</v>
      </c>
      <c r="P1274" s="56">
        <f>VLOOKUP(EOMONTH(A1274,-1),Economic!A:I,7,FALSE)</f>
        <v>579714</v>
      </c>
      <c r="Q1274" s="13">
        <f t="shared" si="427"/>
        <v>7.690000000000001E-2</v>
      </c>
      <c r="R1274" s="41">
        <v>1.56</v>
      </c>
      <c r="S1274">
        <f t="shared" si="428"/>
        <v>2.19</v>
      </c>
      <c r="T1274" s="30">
        <f t="shared" si="429"/>
        <v>248.31</v>
      </c>
      <c r="U1274" s="30">
        <f t="shared" si="436"/>
        <v>249.63</v>
      </c>
    </row>
    <row r="1275" spans="1:21" ht="15" customHeight="1" x14ac:dyDescent="0.25">
      <c r="A1275" s="5">
        <v>34420</v>
      </c>
      <c r="B1275" s="5">
        <f t="shared" si="430"/>
        <v>34424</v>
      </c>
      <c r="C1275">
        <v>460.58</v>
      </c>
      <c r="D1275" s="29">
        <f t="shared" si="431"/>
        <v>-1.3899999999999999E-2</v>
      </c>
      <c r="E1275" s="39">
        <f t="shared" si="432"/>
        <v>469.32692307692298</v>
      </c>
      <c r="F1275" s="39">
        <f t="shared" si="433"/>
        <v>462.22076923076918</v>
      </c>
      <c r="G1275" s="29">
        <f t="shared" si="425"/>
        <v>-1.8599999999999998E-2</v>
      </c>
      <c r="H1275" s="29">
        <f t="shared" si="425"/>
        <v>-3.5000000000000001E-3</v>
      </c>
      <c r="I1275">
        <f t="shared" si="434"/>
        <v>460.58</v>
      </c>
      <c r="J1275">
        <f>IF(A1275&gt;=Quarterly!B$2,Quarterly!C$2,IF(COUNTIFS(Quarterly!B:B,"&gt;="&amp;A1275-92,Quarterly!B:B,"&lt;="&amp;A1275)&gt;1,SUMIFS(Quarterly!C:C,Quarterly!B:B,"&gt;="&amp;A1275-88,Quarterly!B:B,"&lt;="&amp;A1275),SUMIFS(Quarterly!C:C,Quarterly!B:B,"&gt;="&amp;A1275-92,Quarterly!B:B,"&lt;="&amp;A1275)))</f>
        <v>7032.8</v>
      </c>
      <c r="K1275" s="13">
        <f t="shared" si="435"/>
        <v>6.5500000000000003E-2</v>
      </c>
      <c r="L1275">
        <f t="shared" si="437"/>
        <v>460.58</v>
      </c>
      <c r="M1275">
        <f>IF(A1275&gt;=Quarterly!B$2,Quarterly!D$2,IF(COUNTIFS(Quarterly!B:B,"&gt;="&amp;A1275-92,Quarterly!B:B,"&lt;="&amp;A1275)&gt;1,SUMIFS(Quarterly!D:D,Quarterly!B:B,"&gt;="&amp;A1275-88,Quarterly!B:B,"&lt;="&amp;A1275),SUMIFS(Quarterly!D:D,Quarterly!B:B,"&gt;="&amp;A1275-92,Quarterly!B:B,"&lt;="&amp;A1275)))</f>
        <v>359.59300000000002</v>
      </c>
      <c r="N1275" s="13">
        <f t="shared" si="438"/>
        <v>0.12808</v>
      </c>
      <c r="O1275">
        <f t="shared" si="426"/>
        <v>460.58</v>
      </c>
      <c r="P1275" s="56">
        <f>VLOOKUP(EOMONTH(A1275,-1),Economic!A:I,7,FALSE)</f>
        <v>577282</v>
      </c>
      <c r="Q1275" s="13">
        <f t="shared" si="427"/>
        <v>7.9799999999999996E-2</v>
      </c>
      <c r="R1275" s="41">
        <v>1.51</v>
      </c>
      <c r="S1275">
        <f t="shared" si="428"/>
        <v>2.27</v>
      </c>
      <c r="T1275" s="30">
        <f t="shared" si="429"/>
        <v>250.11</v>
      </c>
      <c r="U1275" s="30">
        <f t="shared" si="436"/>
        <v>249.96</v>
      </c>
    </row>
    <row r="1276" spans="1:21" ht="15" customHeight="1" x14ac:dyDescent="0.25">
      <c r="A1276" s="5">
        <v>34413</v>
      </c>
      <c r="B1276" s="5">
        <f t="shared" si="430"/>
        <v>34424</v>
      </c>
      <c r="C1276">
        <v>471.06</v>
      </c>
      <c r="D1276" s="29">
        <f t="shared" si="431"/>
        <v>1.03E-2</v>
      </c>
      <c r="E1276" s="39">
        <f t="shared" si="432"/>
        <v>469.84999999999997</v>
      </c>
      <c r="F1276" s="39">
        <f t="shared" si="433"/>
        <v>461.88794871794863</v>
      </c>
      <c r="G1276" s="29">
        <f t="shared" si="425"/>
        <v>2.5999999999999999E-3</v>
      </c>
      <c r="H1276" s="29">
        <f t="shared" si="425"/>
        <v>1.9900000000000001E-2</v>
      </c>
      <c r="I1276">
        <f t="shared" si="434"/>
        <v>471.06</v>
      </c>
      <c r="J1276">
        <f>IF(A1276&gt;=Quarterly!B$2,Quarterly!C$2,IF(COUNTIFS(Quarterly!B:B,"&gt;="&amp;A1276-92,Quarterly!B:B,"&lt;="&amp;A1276)&gt;1,SUMIFS(Quarterly!C:C,Quarterly!B:B,"&gt;="&amp;A1276-88,Quarterly!B:B,"&lt;="&amp;A1276),SUMIFS(Quarterly!C:C,Quarterly!B:B,"&gt;="&amp;A1276-92,Quarterly!B:B,"&lt;="&amp;A1276)))</f>
        <v>7032.8</v>
      </c>
      <c r="K1276" s="13">
        <f t="shared" si="435"/>
        <v>6.7000000000000004E-2</v>
      </c>
      <c r="L1276">
        <f t="shared" si="437"/>
        <v>471.06</v>
      </c>
      <c r="M1276">
        <f>IF(A1276&gt;=Quarterly!B$2,Quarterly!D$2,IF(COUNTIFS(Quarterly!B:B,"&gt;="&amp;A1276-92,Quarterly!B:B,"&lt;="&amp;A1276)&gt;1,SUMIFS(Quarterly!D:D,Quarterly!B:B,"&gt;="&amp;A1276-88,Quarterly!B:B,"&lt;="&amp;A1276),SUMIFS(Quarterly!D:D,Quarterly!B:B,"&gt;="&amp;A1276-92,Quarterly!B:B,"&lt;="&amp;A1276)))</f>
        <v>359.59300000000002</v>
      </c>
      <c r="N1276" s="13">
        <f t="shared" si="438"/>
        <v>0.13100000000000001</v>
      </c>
      <c r="O1276">
        <f t="shared" si="426"/>
        <v>471.06</v>
      </c>
      <c r="P1276" s="56">
        <f>VLOOKUP(EOMONTH(A1276,-1),Economic!A:I,7,FALSE)</f>
        <v>577282</v>
      </c>
      <c r="Q1276" s="13">
        <f t="shared" si="427"/>
        <v>8.1600000000000006E-2</v>
      </c>
      <c r="R1276" s="41">
        <v>1.46</v>
      </c>
      <c r="S1276">
        <f t="shared" si="428"/>
        <v>2.29</v>
      </c>
      <c r="T1276" s="30">
        <f t="shared" si="429"/>
        <v>250.46</v>
      </c>
      <c r="U1276" s="30">
        <f t="shared" si="436"/>
        <v>248.5</v>
      </c>
    </row>
    <row r="1277" spans="1:21" ht="15" customHeight="1" x14ac:dyDescent="0.25">
      <c r="A1277" s="5">
        <v>34406</v>
      </c>
      <c r="B1277" s="5">
        <f t="shared" si="430"/>
        <v>34424</v>
      </c>
      <c r="C1277">
        <v>466.44</v>
      </c>
      <c r="D1277" s="29">
        <f t="shared" si="431"/>
        <v>-1.6000000000000001E-3</v>
      </c>
      <c r="E1277" s="39">
        <f t="shared" si="432"/>
        <v>469.4899999999999</v>
      </c>
      <c r="F1277" s="39">
        <f t="shared" si="433"/>
        <v>461.18589743589735</v>
      </c>
      <c r="G1277" s="29">
        <f t="shared" si="425"/>
        <v>-6.4999999999999997E-3</v>
      </c>
      <c r="H1277" s="29">
        <f t="shared" si="425"/>
        <v>1.14E-2</v>
      </c>
      <c r="I1277">
        <f t="shared" si="434"/>
        <v>466.44</v>
      </c>
      <c r="J1277">
        <f>IF(A1277&gt;=Quarterly!B$2,Quarterly!C$2,IF(COUNTIFS(Quarterly!B:B,"&gt;="&amp;A1277-92,Quarterly!B:B,"&lt;="&amp;A1277)&gt;1,SUMIFS(Quarterly!C:C,Quarterly!B:B,"&gt;="&amp;A1277-88,Quarterly!B:B,"&lt;="&amp;A1277),SUMIFS(Quarterly!C:C,Quarterly!B:B,"&gt;="&amp;A1277-92,Quarterly!B:B,"&lt;="&amp;A1277)))</f>
        <v>7032.8</v>
      </c>
      <c r="K1277" s="13">
        <f t="shared" si="435"/>
        <v>6.6299999999999998E-2</v>
      </c>
      <c r="L1277">
        <f t="shared" si="437"/>
        <v>466.44</v>
      </c>
      <c r="M1277">
        <f>IF(A1277&gt;=Quarterly!B$2,Quarterly!D$2,IF(COUNTIFS(Quarterly!B:B,"&gt;="&amp;A1277-92,Quarterly!B:B,"&lt;="&amp;A1277)&gt;1,SUMIFS(Quarterly!D:D,Quarterly!B:B,"&gt;="&amp;A1277-88,Quarterly!B:B,"&lt;="&amp;A1277),SUMIFS(Quarterly!D:D,Quarterly!B:B,"&gt;="&amp;A1277-92,Quarterly!B:B,"&lt;="&amp;A1277)))</f>
        <v>359.59300000000002</v>
      </c>
      <c r="N1277" s="13">
        <f t="shared" si="438"/>
        <v>0.12970999999999999</v>
      </c>
      <c r="O1277">
        <f t="shared" si="426"/>
        <v>466.44</v>
      </c>
      <c r="P1277" s="56">
        <f>VLOOKUP(EOMONTH(A1277,-1),Economic!A:I,7,FALSE)</f>
        <v>577282</v>
      </c>
      <c r="Q1277" s="13">
        <f t="shared" si="427"/>
        <v>8.0799999999999997E-2</v>
      </c>
      <c r="R1277" s="41">
        <v>1.51</v>
      </c>
      <c r="S1277">
        <f t="shared" si="428"/>
        <v>2.25</v>
      </c>
      <c r="T1277" s="30">
        <f t="shared" si="429"/>
        <v>249.32</v>
      </c>
      <c r="U1277" s="30">
        <f t="shared" si="436"/>
        <v>246.35</v>
      </c>
    </row>
    <row r="1278" spans="1:21" ht="15" customHeight="1" x14ac:dyDescent="0.25">
      <c r="A1278" s="5">
        <v>34399</v>
      </c>
      <c r="B1278" s="5">
        <f t="shared" si="430"/>
        <v>34424</v>
      </c>
      <c r="C1278">
        <v>464.74</v>
      </c>
      <c r="D1278" s="29">
        <f t="shared" si="431"/>
        <v>-7.9000000000000008E-3</v>
      </c>
      <c r="E1278" s="39">
        <f t="shared" si="432"/>
        <v>469.29692307692306</v>
      </c>
      <c r="F1278" s="39">
        <f t="shared" si="433"/>
        <v>460.69410256410248</v>
      </c>
      <c r="G1278" s="29">
        <f t="shared" si="425"/>
        <v>-9.7000000000000003E-3</v>
      </c>
      <c r="H1278" s="29">
        <f t="shared" si="425"/>
        <v>8.8000000000000005E-3</v>
      </c>
      <c r="I1278">
        <f t="shared" si="434"/>
        <v>464.74</v>
      </c>
      <c r="J1278">
        <f>IF(A1278&gt;=Quarterly!B$2,Quarterly!C$2,IF(COUNTIFS(Quarterly!B:B,"&gt;="&amp;A1278-92,Quarterly!B:B,"&lt;="&amp;A1278)&gt;1,SUMIFS(Quarterly!C:C,Quarterly!B:B,"&gt;="&amp;A1278-88,Quarterly!B:B,"&lt;="&amp;A1278),SUMIFS(Quarterly!C:C,Quarterly!B:B,"&gt;="&amp;A1278-92,Quarterly!B:B,"&lt;="&amp;A1278)))</f>
        <v>7032.8</v>
      </c>
      <c r="K1278" s="13">
        <f t="shared" si="435"/>
        <v>6.6100000000000006E-2</v>
      </c>
      <c r="L1278">
        <f t="shared" si="437"/>
        <v>464.74</v>
      </c>
      <c r="M1278">
        <f>IF(A1278&gt;=Quarterly!B$2,Quarterly!D$2,IF(COUNTIFS(Quarterly!B:B,"&gt;="&amp;A1278-92,Quarterly!B:B,"&lt;="&amp;A1278)&gt;1,SUMIFS(Quarterly!D:D,Quarterly!B:B,"&gt;="&amp;A1278-88,Quarterly!B:B,"&lt;="&amp;A1278),SUMIFS(Quarterly!D:D,Quarterly!B:B,"&gt;="&amp;A1278-92,Quarterly!B:B,"&lt;="&amp;A1278)))</f>
        <v>359.59300000000002</v>
      </c>
      <c r="N1278" s="13">
        <f t="shared" si="438"/>
        <v>0.12923999999999999</v>
      </c>
      <c r="O1278">
        <f t="shared" si="426"/>
        <v>464.74</v>
      </c>
      <c r="P1278" s="56">
        <f>VLOOKUP(EOMONTH(A1278,-1),Economic!A:I,7,FALSE)</f>
        <v>577282</v>
      </c>
      <c r="Q1278" s="13">
        <f t="shared" si="427"/>
        <v>8.0500000000000002E-2</v>
      </c>
      <c r="R1278" s="41">
        <v>1.5</v>
      </c>
      <c r="S1278">
        <f t="shared" si="428"/>
        <v>2.14</v>
      </c>
      <c r="T1278" s="30">
        <f t="shared" si="429"/>
        <v>245.72</v>
      </c>
      <c r="U1278" s="30">
        <f t="shared" si="436"/>
        <v>244.73</v>
      </c>
    </row>
    <row r="1279" spans="1:21" ht="15" customHeight="1" x14ac:dyDescent="0.25">
      <c r="A1279" s="5">
        <v>34392</v>
      </c>
      <c r="B1279" s="5">
        <f t="shared" si="430"/>
        <v>34393</v>
      </c>
      <c r="C1279">
        <v>466.07</v>
      </c>
      <c r="D1279" s="29">
        <f t="shared" si="431"/>
        <v>-1.17E-2</v>
      </c>
      <c r="E1279" s="39">
        <f t="shared" si="432"/>
        <v>469.30846153846164</v>
      </c>
      <c r="F1279" s="39">
        <f t="shared" si="433"/>
        <v>460.31769230769237</v>
      </c>
      <c r="G1279" s="29">
        <f t="shared" si="425"/>
        <v>-6.8999999999999999E-3</v>
      </c>
      <c r="H1279" s="29">
        <f t="shared" si="425"/>
        <v>1.2500000000000001E-2</v>
      </c>
      <c r="I1279">
        <f t="shared" si="434"/>
        <v>466.07</v>
      </c>
      <c r="J1279">
        <f>IF(A1279&gt;=Quarterly!B$2,Quarterly!C$2,IF(COUNTIFS(Quarterly!B:B,"&gt;="&amp;A1279-92,Quarterly!B:B,"&lt;="&amp;A1279)&gt;1,SUMIFS(Quarterly!C:C,Quarterly!B:B,"&gt;="&amp;A1279-88,Quarterly!B:B,"&lt;="&amp;A1279),SUMIFS(Quarterly!C:C,Quarterly!B:B,"&gt;="&amp;A1279-92,Quarterly!B:B,"&lt;="&amp;A1279)))</f>
        <v>7032.8</v>
      </c>
      <c r="K1279" s="13">
        <f t="shared" si="435"/>
        <v>6.6299999999999998E-2</v>
      </c>
      <c r="L1279">
        <f t="shared" si="437"/>
        <v>466.07</v>
      </c>
      <c r="M1279">
        <f>IF(A1279&gt;=Quarterly!B$2,Quarterly!D$2,IF(COUNTIFS(Quarterly!B:B,"&gt;="&amp;A1279-92,Quarterly!B:B,"&lt;="&amp;A1279)&gt;1,SUMIFS(Quarterly!D:D,Quarterly!B:B,"&gt;="&amp;A1279-88,Quarterly!B:B,"&lt;="&amp;A1279),SUMIFS(Quarterly!D:D,Quarterly!B:B,"&gt;="&amp;A1279-92,Quarterly!B:B,"&lt;="&amp;A1279)))</f>
        <v>359.59300000000002</v>
      </c>
      <c r="N1279" s="13">
        <f t="shared" si="438"/>
        <v>0.12961</v>
      </c>
      <c r="O1279">
        <f t="shared" si="426"/>
        <v>466.07</v>
      </c>
      <c r="P1279" s="56">
        <f>VLOOKUP(EOMONTH(A1279,-1),Economic!A:I,7,FALSE)</f>
        <v>575358</v>
      </c>
      <c r="Q1279" s="13">
        <f t="shared" si="427"/>
        <v>8.0999999999999989E-2</v>
      </c>
      <c r="R1279" s="41">
        <v>1.49</v>
      </c>
      <c r="S1279">
        <f t="shared" si="428"/>
        <v>2.09</v>
      </c>
      <c r="T1279" s="30">
        <f t="shared" si="429"/>
        <v>244.01</v>
      </c>
      <c r="U1279" s="30">
        <f t="shared" si="436"/>
        <v>243.48</v>
      </c>
    </row>
    <row r="1280" spans="1:21" ht="15" customHeight="1" x14ac:dyDescent="0.25">
      <c r="A1280" s="5">
        <v>34385</v>
      </c>
      <c r="B1280" s="5">
        <f t="shared" si="430"/>
        <v>34393</v>
      </c>
      <c r="C1280">
        <v>467.69</v>
      </c>
      <c r="D1280" s="29">
        <f t="shared" si="431"/>
        <v>-1.2E-2</v>
      </c>
      <c r="E1280" s="39">
        <f t="shared" si="432"/>
        <v>469.07692307692315</v>
      </c>
      <c r="F1280" s="39">
        <f t="shared" si="433"/>
        <v>459.91051282051279</v>
      </c>
      <c r="G1280" s="29">
        <f t="shared" si="425"/>
        <v>-3.0000000000000001E-3</v>
      </c>
      <c r="H1280" s="29">
        <f t="shared" si="425"/>
        <v>1.6899999999999998E-2</v>
      </c>
      <c r="I1280">
        <f t="shared" si="434"/>
        <v>467.69</v>
      </c>
      <c r="J1280">
        <f>IF(A1280&gt;=Quarterly!B$2,Quarterly!C$2,IF(COUNTIFS(Quarterly!B:B,"&gt;="&amp;A1280-92,Quarterly!B:B,"&lt;="&amp;A1280)&gt;1,SUMIFS(Quarterly!C:C,Quarterly!B:B,"&gt;="&amp;A1280-88,Quarterly!B:B,"&lt;="&amp;A1280),SUMIFS(Quarterly!C:C,Quarterly!B:B,"&gt;="&amp;A1280-92,Quarterly!B:B,"&lt;="&amp;A1280)))</f>
        <v>7032.8</v>
      </c>
      <c r="K1280" s="13">
        <f t="shared" si="435"/>
        <v>6.6500000000000004E-2</v>
      </c>
      <c r="L1280">
        <f t="shared" si="437"/>
        <v>467.69</v>
      </c>
      <c r="M1280">
        <f>IF(A1280&gt;=Quarterly!B$2,Quarterly!D$2,IF(COUNTIFS(Quarterly!B:B,"&gt;="&amp;A1280-92,Quarterly!B:B,"&lt;="&amp;A1280)&gt;1,SUMIFS(Quarterly!D:D,Quarterly!B:B,"&gt;="&amp;A1280-88,Quarterly!B:B,"&lt;="&amp;A1280),SUMIFS(Quarterly!D:D,Quarterly!B:B,"&gt;="&amp;A1280-92,Quarterly!B:B,"&lt;="&amp;A1280)))</f>
        <v>359.59300000000002</v>
      </c>
      <c r="N1280" s="13">
        <f t="shared" si="438"/>
        <v>0.13006000000000001</v>
      </c>
      <c r="O1280">
        <f t="shared" si="426"/>
        <v>467.69</v>
      </c>
      <c r="P1280" s="56">
        <f>VLOOKUP(EOMONTH(A1280,-1),Economic!A:I,7,FALSE)</f>
        <v>575358</v>
      </c>
      <c r="Q1280" s="13">
        <f t="shared" si="427"/>
        <v>8.1299999999999997E-2</v>
      </c>
      <c r="R1280" s="41">
        <v>1.52</v>
      </c>
      <c r="S1280">
        <f t="shared" si="428"/>
        <v>2.1</v>
      </c>
      <c r="T1280" s="30">
        <f t="shared" si="429"/>
        <v>244.46</v>
      </c>
      <c r="U1280" s="30">
        <f t="shared" si="436"/>
        <v>244.14</v>
      </c>
    </row>
    <row r="1281" spans="1:21" ht="15" customHeight="1" x14ac:dyDescent="0.25">
      <c r="A1281" s="5">
        <v>34378</v>
      </c>
      <c r="B1281" s="5">
        <f t="shared" si="430"/>
        <v>34393</v>
      </c>
      <c r="C1281">
        <v>470.18</v>
      </c>
      <c r="D1281" s="29">
        <f t="shared" si="431"/>
        <v>-9.1999999999999998E-3</v>
      </c>
      <c r="E1281" s="39">
        <f t="shared" si="432"/>
        <v>468.68538461538475</v>
      </c>
      <c r="F1281" s="39">
        <f t="shared" si="433"/>
        <v>459.35025641025641</v>
      </c>
      <c r="G1281" s="29">
        <f t="shared" si="425"/>
        <v>3.2000000000000002E-3</v>
      </c>
      <c r="H1281" s="29">
        <f t="shared" si="425"/>
        <v>2.3599999999999999E-2</v>
      </c>
      <c r="I1281">
        <f t="shared" si="434"/>
        <v>470.18</v>
      </c>
      <c r="J1281">
        <f>IF(A1281&gt;=Quarterly!B$2,Quarterly!C$2,IF(COUNTIFS(Quarterly!B:B,"&gt;="&amp;A1281-92,Quarterly!B:B,"&lt;="&amp;A1281)&gt;1,SUMIFS(Quarterly!C:C,Quarterly!B:B,"&gt;="&amp;A1281-88,Quarterly!B:B,"&lt;="&amp;A1281),SUMIFS(Quarterly!C:C,Quarterly!B:B,"&gt;="&amp;A1281-92,Quarterly!B:B,"&lt;="&amp;A1281)))</f>
        <v>7032.8</v>
      </c>
      <c r="K1281" s="13">
        <f t="shared" si="435"/>
        <v>6.6900000000000001E-2</v>
      </c>
      <c r="L1281">
        <f t="shared" si="437"/>
        <v>470.18</v>
      </c>
      <c r="M1281">
        <f>IF(A1281&gt;=Quarterly!B$2,Quarterly!D$2,IF(COUNTIFS(Quarterly!B:B,"&gt;="&amp;A1281-92,Quarterly!B:B,"&lt;="&amp;A1281)&gt;1,SUMIFS(Quarterly!D:D,Quarterly!B:B,"&gt;="&amp;A1281-88,Quarterly!B:B,"&lt;="&amp;A1281),SUMIFS(Quarterly!D:D,Quarterly!B:B,"&gt;="&amp;A1281-92,Quarterly!B:B,"&lt;="&amp;A1281)))</f>
        <v>359.59300000000002</v>
      </c>
      <c r="N1281" s="13">
        <f t="shared" si="438"/>
        <v>0.13075000000000001</v>
      </c>
      <c r="O1281">
        <f t="shared" si="426"/>
        <v>470.18</v>
      </c>
      <c r="P1281" s="56">
        <f>VLOOKUP(EOMONTH(A1281,-1),Economic!A:I,7,FALSE)</f>
        <v>575358</v>
      </c>
      <c r="Q1281" s="13">
        <f t="shared" si="427"/>
        <v>8.1699999999999995E-2</v>
      </c>
      <c r="R1281" s="41">
        <v>1.44</v>
      </c>
      <c r="S1281">
        <f t="shared" si="428"/>
        <v>2.02</v>
      </c>
      <c r="T1281" s="30">
        <f t="shared" si="429"/>
        <v>241.98</v>
      </c>
      <c r="U1281" s="30">
        <f t="shared" si="436"/>
        <v>243.36</v>
      </c>
    </row>
    <row r="1282" spans="1:21" ht="15" customHeight="1" x14ac:dyDescent="0.25">
      <c r="A1282" s="5">
        <v>34371</v>
      </c>
      <c r="B1282" s="5">
        <f t="shared" si="430"/>
        <v>34393</v>
      </c>
      <c r="C1282">
        <v>469.81</v>
      </c>
      <c r="D1282" s="29">
        <f t="shared" si="431"/>
        <v>-0.01</v>
      </c>
      <c r="E1282" s="39">
        <f t="shared" si="432"/>
        <v>468.31692307692322</v>
      </c>
      <c r="F1282" s="39">
        <f t="shared" si="433"/>
        <v>458.56512820512825</v>
      </c>
      <c r="G1282" s="29">
        <f t="shared" ref="G1282:H1345" si="439">ROUND(($C1282-E1282)/E1282,4)</f>
        <v>3.2000000000000002E-3</v>
      </c>
      <c r="H1282" s="29">
        <f t="shared" si="439"/>
        <v>2.4500000000000001E-2</v>
      </c>
      <c r="I1282">
        <f t="shared" si="434"/>
        <v>469.81</v>
      </c>
      <c r="J1282">
        <f>IF(A1282&gt;=Quarterly!B$2,Quarterly!C$2,IF(COUNTIFS(Quarterly!B:B,"&gt;="&amp;A1282-92,Quarterly!B:B,"&lt;="&amp;A1282)&gt;1,SUMIFS(Quarterly!C:C,Quarterly!B:B,"&gt;="&amp;A1282-88,Quarterly!B:B,"&lt;="&amp;A1282),SUMIFS(Quarterly!C:C,Quarterly!B:B,"&gt;="&amp;A1282-92,Quarterly!B:B,"&lt;="&amp;A1282)))</f>
        <v>7032.8</v>
      </c>
      <c r="K1282" s="13">
        <f t="shared" si="435"/>
        <v>6.6799999999999998E-2</v>
      </c>
      <c r="L1282">
        <f t="shared" si="437"/>
        <v>469.81</v>
      </c>
      <c r="M1282">
        <f>IF(A1282&gt;=Quarterly!B$2,Quarterly!D$2,IF(COUNTIFS(Quarterly!B:B,"&gt;="&amp;A1282-92,Quarterly!B:B,"&lt;="&amp;A1282)&gt;1,SUMIFS(Quarterly!D:D,Quarterly!B:B,"&gt;="&amp;A1282-88,Quarterly!B:B,"&lt;="&amp;A1282),SUMIFS(Quarterly!D:D,Quarterly!B:B,"&gt;="&amp;A1282-92,Quarterly!B:B,"&lt;="&amp;A1282)))</f>
        <v>359.59300000000002</v>
      </c>
      <c r="N1282" s="13">
        <f t="shared" si="438"/>
        <v>0.13065000000000002</v>
      </c>
      <c r="O1282">
        <f t="shared" si="426"/>
        <v>469.81</v>
      </c>
      <c r="P1282" s="56">
        <f>VLOOKUP(EOMONTH(A1282,-1),Economic!A:I,7,FALSE)</f>
        <v>575358</v>
      </c>
      <c r="Q1282" s="13">
        <f t="shared" si="427"/>
        <v>8.1699999999999995E-2</v>
      </c>
      <c r="R1282" s="41">
        <v>1.52</v>
      </c>
      <c r="S1282">
        <f t="shared" si="428"/>
        <v>2.14</v>
      </c>
      <c r="T1282" s="30">
        <f t="shared" si="429"/>
        <v>245.99</v>
      </c>
      <c r="U1282" s="30">
        <f t="shared" si="436"/>
        <v>243.66</v>
      </c>
    </row>
    <row r="1283" spans="1:21" ht="15" customHeight="1" x14ac:dyDescent="0.25">
      <c r="A1283" s="5">
        <v>34364</v>
      </c>
      <c r="B1283" s="5">
        <f t="shared" si="430"/>
        <v>34365</v>
      </c>
      <c r="C1283">
        <v>478.7</v>
      </c>
      <c r="D1283" s="29">
        <f t="shared" si="431"/>
        <v>1.5299999999999999E-2</v>
      </c>
      <c r="E1283" s="39">
        <f t="shared" si="432"/>
        <v>467.52923076923082</v>
      </c>
      <c r="F1283" s="39">
        <f t="shared" si="433"/>
        <v>457.86000000000013</v>
      </c>
      <c r="G1283" s="29">
        <f t="shared" si="439"/>
        <v>2.3900000000000001E-2</v>
      </c>
      <c r="H1283" s="29">
        <f t="shared" si="439"/>
        <v>4.5499999999999999E-2</v>
      </c>
      <c r="I1283">
        <f t="shared" si="434"/>
        <v>478.7</v>
      </c>
      <c r="J1283">
        <f>IF(A1283&gt;=Quarterly!B$2,Quarterly!C$2,IF(COUNTIFS(Quarterly!B:B,"&gt;="&amp;A1283-92,Quarterly!B:B,"&lt;="&amp;A1283)&gt;1,SUMIFS(Quarterly!C:C,Quarterly!B:B,"&gt;="&amp;A1283-88,Quarterly!B:B,"&lt;="&amp;A1283),SUMIFS(Quarterly!C:C,Quarterly!B:B,"&gt;="&amp;A1283-92,Quarterly!B:B,"&lt;="&amp;A1283)))</f>
        <v>6904.2</v>
      </c>
      <c r="K1283" s="13">
        <f t="shared" si="435"/>
        <v>6.93E-2</v>
      </c>
      <c r="L1283">
        <f t="shared" si="437"/>
        <v>478.7</v>
      </c>
      <c r="M1283">
        <f>IF(A1283&gt;=Quarterly!B$2,Quarterly!D$2,IF(COUNTIFS(Quarterly!B:B,"&gt;="&amp;A1283-92,Quarterly!B:B,"&lt;="&amp;A1283)&gt;1,SUMIFS(Quarterly!D:D,Quarterly!B:B,"&gt;="&amp;A1283-88,Quarterly!B:B,"&lt;="&amp;A1283),SUMIFS(Quarterly!D:D,Quarterly!B:B,"&gt;="&amp;A1283-92,Quarterly!B:B,"&lt;="&amp;A1283)))</f>
        <v>340.19299999999998</v>
      </c>
      <c r="N1283" s="13">
        <f t="shared" si="438"/>
        <v>0.14071</v>
      </c>
      <c r="O1283">
        <f t="shared" si="426"/>
        <v>478.7</v>
      </c>
      <c r="P1283" s="56">
        <f>VLOOKUP(EOMONTH(A1283,-1),Economic!A:I,7,FALSE)</f>
        <v>571674</v>
      </c>
      <c r="Q1283" s="13">
        <f t="shared" si="427"/>
        <v>8.3699999999999997E-2</v>
      </c>
      <c r="R1283" s="41">
        <v>1.6</v>
      </c>
      <c r="S1283">
        <f t="shared" si="428"/>
        <v>2.16</v>
      </c>
      <c r="T1283" s="30">
        <f t="shared" si="429"/>
        <v>242.1</v>
      </c>
      <c r="U1283" s="30">
        <f t="shared" si="436"/>
        <v>243.84</v>
      </c>
    </row>
    <row r="1284" spans="1:21" ht="15" customHeight="1" x14ac:dyDescent="0.25">
      <c r="A1284" s="5">
        <v>34357</v>
      </c>
      <c r="B1284" s="5">
        <f t="shared" si="430"/>
        <v>34365</v>
      </c>
      <c r="C1284">
        <v>474.72</v>
      </c>
      <c r="D1284" s="29">
        <f t="shared" si="431"/>
        <v>1.0800000000000001E-2</v>
      </c>
      <c r="E1284" s="39">
        <f t="shared" si="432"/>
        <v>466.69307692307694</v>
      </c>
      <c r="F1284" s="39">
        <f t="shared" si="433"/>
        <v>456.87256410256418</v>
      </c>
      <c r="G1284" s="29">
        <f t="shared" si="439"/>
        <v>1.72E-2</v>
      </c>
      <c r="H1284" s="29">
        <f t="shared" si="439"/>
        <v>3.9100000000000003E-2</v>
      </c>
      <c r="I1284">
        <f t="shared" si="434"/>
        <v>474.72</v>
      </c>
      <c r="J1284">
        <f>IF(A1284&gt;=Quarterly!B$2,Quarterly!C$2,IF(COUNTIFS(Quarterly!B:B,"&gt;="&amp;A1284-92,Quarterly!B:B,"&lt;="&amp;A1284)&gt;1,SUMIFS(Quarterly!C:C,Quarterly!B:B,"&gt;="&amp;A1284-88,Quarterly!B:B,"&lt;="&amp;A1284),SUMIFS(Quarterly!C:C,Quarterly!B:B,"&gt;="&amp;A1284-92,Quarterly!B:B,"&lt;="&amp;A1284)))</f>
        <v>6904.2</v>
      </c>
      <c r="K1284" s="13">
        <f t="shared" si="435"/>
        <v>6.88E-2</v>
      </c>
      <c r="L1284">
        <f t="shared" si="437"/>
        <v>474.72</v>
      </c>
      <c r="M1284">
        <f>IF(A1284&gt;=Quarterly!B$2,Quarterly!D$2,IF(COUNTIFS(Quarterly!B:B,"&gt;="&amp;A1284-92,Quarterly!B:B,"&lt;="&amp;A1284)&gt;1,SUMIFS(Quarterly!D:D,Quarterly!B:B,"&gt;="&amp;A1284-88,Quarterly!B:B,"&lt;="&amp;A1284),SUMIFS(Quarterly!D:D,Quarterly!B:B,"&gt;="&amp;A1284-92,Quarterly!B:B,"&lt;="&amp;A1284)))</f>
        <v>340.19299999999998</v>
      </c>
      <c r="N1284" s="13">
        <f t="shared" si="438"/>
        <v>0.13954</v>
      </c>
      <c r="O1284">
        <f t="shared" si="426"/>
        <v>474.72</v>
      </c>
      <c r="P1284" s="56">
        <f>VLOOKUP(EOMONTH(A1284,-1),Economic!A:I,7,FALSE)</f>
        <v>571674</v>
      </c>
      <c r="Q1284" s="13">
        <f t="shared" si="427"/>
        <v>8.3000000000000004E-2</v>
      </c>
      <c r="R1284" s="41">
        <v>1.64</v>
      </c>
      <c r="S1284">
        <f t="shared" si="428"/>
        <v>2.1800000000000002</v>
      </c>
      <c r="T1284" s="30">
        <f t="shared" si="429"/>
        <v>242.9</v>
      </c>
      <c r="U1284" s="30">
        <f t="shared" si="436"/>
        <v>247.58</v>
      </c>
    </row>
    <row r="1285" spans="1:21" ht="15" customHeight="1" x14ac:dyDescent="0.25">
      <c r="A1285" s="5">
        <v>34350</v>
      </c>
      <c r="B1285" s="5">
        <f t="shared" si="430"/>
        <v>34365</v>
      </c>
      <c r="C1285">
        <v>474.91</v>
      </c>
      <c r="D1285" s="29">
        <f t="shared" si="431"/>
        <v>1.5800000000000002E-2</v>
      </c>
      <c r="E1285" s="39">
        <f t="shared" si="432"/>
        <v>465.81230769230763</v>
      </c>
      <c r="F1285" s="39">
        <f t="shared" si="433"/>
        <v>455.90615384615387</v>
      </c>
      <c r="G1285" s="29">
        <f t="shared" si="439"/>
        <v>1.95E-2</v>
      </c>
      <c r="H1285" s="29">
        <f t="shared" si="439"/>
        <v>4.1700000000000001E-2</v>
      </c>
      <c r="I1285">
        <f t="shared" si="434"/>
        <v>474.91</v>
      </c>
      <c r="J1285">
        <f>IF(A1285&gt;=Quarterly!B$2,Quarterly!C$2,IF(COUNTIFS(Quarterly!B:B,"&gt;="&amp;A1285-92,Quarterly!B:B,"&lt;="&amp;A1285)&gt;1,SUMIFS(Quarterly!C:C,Quarterly!B:B,"&gt;="&amp;A1285-88,Quarterly!B:B,"&lt;="&amp;A1285),SUMIFS(Quarterly!C:C,Quarterly!B:B,"&gt;="&amp;A1285-92,Quarterly!B:B,"&lt;="&amp;A1285)))</f>
        <v>6904.2</v>
      </c>
      <c r="K1285" s="13">
        <f t="shared" si="435"/>
        <v>6.88E-2</v>
      </c>
      <c r="L1285">
        <f t="shared" si="437"/>
        <v>474.91</v>
      </c>
      <c r="M1285">
        <f>IF(A1285&gt;=Quarterly!B$2,Quarterly!D$2,IF(COUNTIFS(Quarterly!B:B,"&gt;="&amp;A1285-92,Quarterly!B:B,"&lt;="&amp;A1285)&gt;1,SUMIFS(Quarterly!D:D,Quarterly!B:B,"&gt;="&amp;A1285-88,Quarterly!B:B,"&lt;="&amp;A1285),SUMIFS(Quarterly!D:D,Quarterly!B:B,"&gt;="&amp;A1285-92,Quarterly!B:B,"&lt;="&amp;A1285)))</f>
        <v>340.19299999999998</v>
      </c>
      <c r="N1285" s="13">
        <f t="shared" si="438"/>
        <v>0.1396</v>
      </c>
      <c r="O1285">
        <f t="shared" si="426"/>
        <v>474.91</v>
      </c>
      <c r="P1285" s="56">
        <f>VLOOKUP(EOMONTH(A1285,-1),Economic!A:I,7,FALSE)</f>
        <v>571674</v>
      </c>
      <c r="Q1285" s="13">
        <f t="shared" si="427"/>
        <v>8.3100000000000007E-2</v>
      </c>
      <c r="R1285" s="41">
        <v>1.61</v>
      </c>
      <c r="S1285">
        <f t="shared" si="428"/>
        <v>2.2799999999999998</v>
      </c>
      <c r="T1285" s="30">
        <f t="shared" si="429"/>
        <v>246.51</v>
      </c>
      <c r="U1285" s="30">
        <f t="shared" si="436"/>
        <v>250.2</v>
      </c>
    </row>
    <row r="1286" spans="1:21" ht="15" customHeight="1" x14ac:dyDescent="0.25">
      <c r="A1286" s="5">
        <v>34343</v>
      </c>
      <c r="B1286" s="5">
        <f t="shared" si="430"/>
        <v>34365</v>
      </c>
      <c r="C1286">
        <v>469.9</v>
      </c>
      <c r="D1286" s="29">
        <f t="shared" si="431"/>
        <v>8.3000000000000001E-3</v>
      </c>
      <c r="E1286" s="39">
        <f t="shared" si="432"/>
        <v>465.39615384615382</v>
      </c>
      <c r="F1286" s="39">
        <f t="shared" si="433"/>
        <v>455.24025641025639</v>
      </c>
      <c r="G1286" s="29">
        <f t="shared" si="439"/>
        <v>9.7000000000000003E-3</v>
      </c>
      <c r="H1286" s="29">
        <f t="shared" si="439"/>
        <v>3.2199999999999999E-2</v>
      </c>
      <c r="I1286">
        <f t="shared" si="434"/>
        <v>469.9</v>
      </c>
      <c r="J1286">
        <f>IF(A1286&gt;=Quarterly!B$2,Quarterly!C$2,IF(COUNTIFS(Quarterly!B:B,"&gt;="&amp;A1286-92,Quarterly!B:B,"&lt;="&amp;A1286)&gt;1,SUMIFS(Quarterly!C:C,Quarterly!B:B,"&gt;="&amp;A1286-88,Quarterly!B:B,"&lt;="&amp;A1286),SUMIFS(Quarterly!C:C,Quarterly!B:B,"&gt;="&amp;A1286-92,Quarterly!B:B,"&lt;="&amp;A1286)))</f>
        <v>6904.2</v>
      </c>
      <c r="K1286" s="13">
        <f t="shared" si="435"/>
        <v>6.8099999999999994E-2</v>
      </c>
      <c r="L1286">
        <f t="shared" si="437"/>
        <v>469.9</v>
      </c>
      <c r="M1286">
        <f>IF(A1286&gt;=Quarterly!B$2,Quarterly!D$2,IF(COUNTIFS(Quarterly!B:B,"&gt;="&amp;A1286-92,Quarterly!B:B,"&lt;="&amp;A1286)&gt;1,SUMIFS(Quarterly!D:D,Quarterly!B:B,"&gt;="&amp;A1286-88,Quarterly!B:B,"&lt;="&amp;A1286),SUMIFS(Quarterly!D:D,Quarterly!B:B,"&gt;="&amp;A1286-92,Quarterly!B:B,"&lt;="&amp;A1286)))</f>
        <v>340.19299999999998</v>
      </c>
      <c r="N1286" s="13">
        <f t="shared" si="438"/>
        <v>0.13813</v>
      </c>
      <c r="O1286">
        <f t="shared" ref="O1286:O1349" si="440">C1286</f>
        <v>469.9</v>
      </c>
      <c r="P1286" s="56">
        <f>VLOOKUP(EOMONTH(A1286,-1),Economic!A:I,7,FALSE)</f>
        <v>571674</v>
      </c>
      <c r="Q1286" s="13">
        <f t="shared" ref="Q1286:Q1349" si="441">ROUND(O1286/P1286,6)*100</f>
        <v>8.2200000000000009E-2</v>
      </c>
      <c r="R1286" s="41">
        <v>1.61</v>
      </c>
      <c r="S1286">
        <f t="shared" ref="S1286:S1349" si="442">R1347</f>
        <v>2.4900000000000002</v>
      </c>
      <c r="T1286" s="30">
        <f t="shared" ref="T1286:T1349" si="443">IF((ROUND((S1286*40)+(G1286*350)-(H1286*100)-((N1286-0.15)*350)-(((K1286*10.5)-1)*270)-(Q1286*100),2)+144)*0.8&lt;0,0,ROUND((ROUND((S1286*40)+(G1286*350)-(H1286*100)-((N1286-0.15)*350)-(((K1286*10.5)-1)*270)-(Q1286*100),2)+144)*0.8,2))</f>
        <v>253.32</v>
      </c>
      <c r="U1286" s="30">
        <f t="shared" si="436"/>
        <v>252.3</v>
      </c>
    </row>
    <row r="1287" spans="1:21" ht="15" customHeight="1" x14ac:dyDescent="0.25">
      <c r="A1287" s="5">
        <v>34336</v>
      </c>
      <c r="B1287" s="5">
        <f t="shared" si="430"/>
        <v>34365</v>
      </c>
      <c r="C1287">
        <v>466.45</v>
      </c>
      <c r="D1287" s="29">
        <f t="shared" si="431"/>
        <v>1.6999999999999999E-3</v>
      </c>
      <c r="E1287" s="39">
        <f t="shared" si="432"/>
        <v>464.65846153846155</v>
      </c>
      <c r="F1287" s="39">
        <f t="shared" si="433"/>
        <v>454.52076923076919</v>
      </c>
      <c r="G1287" s="29">
        <f t="shared" si="439"/>
        <v>3.8999999999999998E-3</v>
      </c>
      <c r="H1287" s="29">
        <f t="shared" si="439"/>
        <v>2.6200000000000001E-2</v>
      </c>
      <c r="I1287">
        <f t="shared" si="434"/>
        <v>466.45</v>
      </c>
      <c r="J1287">
        <f>IF(A1287&gt;=Quarterly!B$2,Quarterly!C$2,IF(COUNTIFS(Quarterly!B:B,"&gt;="&amp;A1287-92,Quarterly!B:B,"&lt;="&amp;A1287)&gt;1,SUMIFS(Quarterly!C:C,Quarterly!B:B,"&gt;="&amp;A1287-88,Quarterly!B:B,"&lt;="&amp;A1287),SUMIFS(Quarterly!C:C,Quarterly!B:B,"&gt;="&amp;A1287-92,Quarterly!B:B,"&lt;="&amp;A1287)))</f>
        <v>6904.2</v>
      </c>
      <c r="K1287" s="13">
        <f t="shared" si="435"/>
        <v>6.7599999999999993E-2</v>
      </c>
      <c r="L1287">
        <f t="shared" si="437"/>
        <v>466.45</v>
      </c>
      <c r="M1287">
        <f>IF(A1287&gt;=Quarterly!B$2,Quarterly!D$2,IF(COUNTIFS(Quarterly!B:B,"&gt;="&amp;A1287-92,Quarterly!B:B,"&lt;="&amp;A1287)&gt;1,SUMIFS(Quarterly!D:D,Quarterly!B:B,"&gt;="&amp;A1287-88,Quarterly!B:B,"&lt;="&amp;A1287),SUMIFS(Quarterly!D:D,Quarterly!B:B,"&gt;="&amp;A1287-92,Quarterly!B:B,"&lt;="&amp;A1287)))</f>
        <v>340.19299999999998</v>
      </c>
      <c r="N1287" s="13">
        <f t="shared" si="438"/>
        <v>0.13711000000000001</v>
      </c>
      <c r="O1287">
        <f t="shared" si="440"/>
        <v>466.45</v>
      </c>
      <c r="P1287" s="56">
        <f>VLOOKUP(EOMONTH(A1287,-1),Economic!A:I,7,FALSE)</f>
        <v>571674</v>
      </c>
      <c r="Q1287" s="13">
        <f t="shared" si="441"/>
        <v>8.1600000000000006E-2</v>
      </c>
      <c r="R1287" s="41">
        <v>1.58</v>
      </c>
      <c r="S1287">
        <f t="shared" si="442"/>
        <v>2.4</v>
      </c>
      <c r="T1287" s="30">
        <f t="shared" si="443"/>
        <v>250.76</v>
      </c>
      <c r="U1287" s="30">
        <f t="shared" si="436"/>
        <v>253.29</v>
      </c>
    </row>
    <row r="1288" spans="1:21" ht="15" customHeight="1" x14ac:dyDescent="0.25">
      <c r="A1288" s="5">
        <v>34329</v>
      </c>
      <c r="B1288" s="5">
        <f t="shared" si="430"/>
        <v>34334</v>
      </c>
      <c r="C1288">
        <v>467.38</v>
      </c>
      <c r="D1288" s="29">
        <f t="shared" si="431"/>
        <v>6.1000000000000004E-3</v>
      </c>
      <c r="E1288" s="39">
        <f t="shared" si="432"/>
        <v>464.2607692307692</v>
      </c>
      <c r="F1288" s="39">
        <f t="shared" si="433"/>
        <v>453.87820512820514</v>
      </c>
      <c r="G1288" s="29">
        <f t="shared" si="439"/>
        <v>6.7000000000000002E-3</v>
      </c>
      <c r="H1288" s="29">
        <f t="shared" si="439"/>
        <v>2.9700000000000001E-2</v>
      </c>
      <c r="I1288">
        <f t="shared" si="434"/>
        <v>467.38</v>
      </c>
      <c r="J1288">
        <f>IF(A1288&gt;=Quarterly!B$2,Quarterly!C$2,IF(COUNTIFS(Quarterly!B:B,"&gt;="&amp;A1288-92,Quarterly!B:B,"&lt;="&amp;A1288)&gt;1,SUMIFS(Quarterly!C:C,Quarterly!B:B,"&gt;="&amp;A1288-88,Quarterly!B:B,"&lt;="&amp;A1288),SUMIFS(Quarterly!C:C,Quarterly!B:B,"&gt;="&amp;A1288-92,Quarterly!B:B,"&lt;="&amp;A1288)))</f>
        <v>6904.2</v>
      </c>
      <c r="K1288" s="13">
        <f t="shared" si="435"/>
        <v>6.7699999999999996E-2</v>
      </c>
      <c r="L1288">
        <f t="shared" si="437"/>
        <v>467.38</v>
      </c>
      <c r="M1288">
        <f>IF(A1288&gt;=Quarterly!B$2,Quarterly!D$2,IF(COUNTIFS(Quarterly!B:B,"&gt;="&amp;A1288-92,Quarterly!B:B,"&lt;="&amp;A1288)&gt;1,SUMIFS(Quarterly!D:D,Quarterly!B:B,"&gt;="&amp;A1288-88,Quarterly!B:B,"&lt;="&amp;A1288),SUMIFS(Quarterly!D:D,Quarterly!B:B,"&gt;="&amp;A1288-92,Quarterly!B:B,"&lt;="&amp;A1288)))</f>
        <v>340.19299999999998</v>
      </c>
      <c r="N1288" s="13">
        <f t="shared" si="438"/>
        <v>0.13738999999999998</v>
      </c>
      <c r="O1288">
        <f t="shared" si="440"/>
        <v>467.38</v>
      </c>
      <c r="P1288" s="56">
        <f>VLOOKUP(EOMONTH(A1288,-1),Economic!A:I,7,FALSE)</f>
        <v>568107</v>
      </c>
      <c r="Q1288" s="13">
        <f t="shared" si="441"/>
        <v>8.2299999999999998E-2</v>
      </c>
      <c r="R1288" s="41">
        <v>1.54</v>
      </c>
      <c r="S1288">
        <f t="shared" si="442"/>
        <v>2.46</v>
      </c>
      <c r="T1288" s="30">
        <f t="shared" si="443"/>
        <v>252.82</v>
      </c>
      <c r="U1288" s="30">
        <f t="shared" si="436"/>
        <v>254.83</v>
      </c>
    </row>
    <row r="1289" spans="1:21" ht="15" customHeight="1" x14ac:dyDescent="0.25">
      <c r="A1289" s="5">
        <v>34322</v>
      </c>
      <c r="B1289" s="5">
        <f t="shared" si="430"/>
        <v>34334</v>
      </c>
      <c r="C1289">
        <v>466.38</v>
      </c>
      <c r="D1289" s="29">
        <f t="shared" si="431"/>
        <v>6.0000000000000001E-3</v>
      </c>
      <c r="E1289" s="39">
        <f t="shared" si="432"/>
        <v>463.51076923076926</v>
      </c>
      <c r="F1289" s="39">
        <f t="shared" si="433"/>
        <v>453.37564102564107</v>
      </c>
      <c r="G1289" s="29">
        <f t="shared" si="439"/>
        <v>6.1999999999999998E-3</v>
      </c>
      <c r="H1289" s="29">
        <f t="shared" si="439"/>
        <v>2.87E-2</v>
      </c>
      <c r="I1289">
        <f t="shared" si="434"/>
        <v>466.38</v>
      </c>
      <c r="J1289">
        <f>IF(A1289&gt;=Quarterly!B$2,Quarterly!C$2,IF(COUNTIFS(Quarterly!B:B,"&gt;="&amp;A1289-92,Quarterly!B:B,"&lt;="&amp;A1289)&gt;1,SUMIFS(Quarterly!C:C,Quarterly!B:B,"&gt;="&amp;A1289-88,Quarterly!B:B,"&lt;="&amp;A1289),SUMIFS(Quarterly!C:C,Quarterly!B:B,"&gt;="&amp;A1289-92,Quarterly!B:B,"&lt;="&amp;A1289)))</f>
        <v>6904.2</v>
      </c>
      <c r="K1289" s="13">
        <f t="shared" si="435"/>
        <v>6.7599999999999993E-2</v>
      </c>
      <c r="L1289">
        <f t="shared" si="437"/>
        <v>466.38</v>
      </c>
      <c r="M1289">
        <f>IF(A1289&gt;=Quarterly!B$2,Quarterly!D$2,IF(COUNTIFS(Quarterly!B:B,"&gt;="&amp;A1289-92,Quarterly!B:B,"&lt;="&amp;A1289)&gt;1,SUMIFS(Quarterly!D:D,Quarterly!B:B,"&gt;="&amp;A1289-88,Quarterly!B:B,"&lt;="&amp;A1289),SUMIFS(Quarterly!D:D,Quarterly!B:B,"&gt;="&amp;A1289-92,Quarterly!B:B,"&lt;="&amp;A1289)))</f>
        <v>340.19299999999998</v>
      </c>
      <c r="N1289" s="13">
        <f t="shared" si="438"/>
        <v>0.13709000000000002</v>
      </c>
      <c r="O1289">
        <f t="shared" si="440"/>
        <v>466.38</v>
      </c>
      <c r="P1289" s="56">
        <f>VLOOKUP(EOMONTH(A1289,-1),Economic!A:I,7,FALSE)</f>
        <v>568107</v>
      </c>
      <c r="Q1289" s="13">
        <f t="shared" si="441"/>
        <v>8.2100000000000006E-2</v>
      </c>
      <c r="R1289" s="41">
        <v>1.61</v>
      </c>
      <c r="S1289">
        <f t="shared" si="442"/>
        <v>2.56</v>
      </c>
      <c r="T1289" s="30">
        <f t="shared" si="443"/>
        <v>256.29000000000002</v>
      </c>
      <c r="U1289" s="30">
        <f t="shared" si="436"/>
        <v>256.05</v>
      </c>
    </row>
    <row r="1290" spans="1:21" ht="15" customHeight="1" x14ac:dyDescent="0.25">
      <c r="A1290" s="5">
        <v>34315</v>
      </c>
      <c r="B1290" s="5">
        <f t="shared" si="430"/>
        <v>34334</v>
      </c>
      <c r="C1290">
        <v>463.93</v>
      </c>
      <c r="D1290" s="29">
        <f t="shared" si="431"/>
        <v>-1E-4</v>
      </c>
      <c r="E1290" s="39">
        <f t="shared" si="432"/>
        <v>462.93</v>
      </c>
      <c r="F1290" s="39">
        <f t="shared" si="433"/>
        <v>452.96025641025642</v>
      </c>
      <c r="G1290" s="29">
        <f t="shared" si="439"/>
        <v>2.2000000000000001E-3</v>
      </c>
      <c r="H1290" s="29">
        <f t="shared" si="439"/>
        <v>2.4199999999999999E-2</v>
      </c>
      <c r="I1290">
        <f t="shared" si="434"/>
        <v>463.93</v>
      </c>
      <c r="J1290">
        <f>IF(A1290&gt;=Quarterly!B$2,Quarterly!C$2,IF(COUNTIFS(Quarterly!B:B,"&gt;="&amp;A1290-92,Quarterly!B:B,"&lt;="&amp;A1290)&gt;1,SUMIFS(Quarterly!C:C,Quarterly!B:B,"&gt;="&amp;A1290-88,Quarterly!B:B,"&lt;="&amp;A1290),SUMIFS(Quarterly!C:C,Quarterly!B:B,"&gt;="&amp;A1290-92,Quarterly!B:B,"&lt;="&amp;A1290)))</f>
        <v>6904.2</v>
      </c>
      <c r="K1290" s="13">
        <f t="shared" si="435"/>
        <v>6.7199999999999996E-2</v>
      </c>
      <c r="L1290">
        <f t="shared" si="437"/>
        <v>463.93</v>
      </c>
      <c r="M1290">
        <f>IF(A1290&gt;=Quarterly!B$2,Quarterly!D$2,IF(COUNTIFS(Quarterly!B:B,"&gt;="&amp;A1290-92,Quarterly!B:B,"&lt;="&amp;A1290)&gt;1,SUMIFS(Quarterly!D:D,Quarterly!B:B,"&gt;="&amp;A1290-88,Quarterly!B:B,"&lt;="&amp;A1290),SUMIFS(Quarterly!D:D,Quarterly!B:B,"&gt;="&amp;A1290-92,Quarterly!B:B,"&lt;="&amp;A1290)))</f>
        <v>340.19299999999998</v>
      </c>
      <c r="N1290" s="13">
        <f t="shared" si="438"/>
        <v>0.13636999999999999</v>
      </c>
      <c r="O1290">
        <f t="shared" si="440"/>
        <v>463.93</v>
      </c>
      <c r="P1290" s="56">
        <f>VLOOKUP(EOMONTH(A1290,-1),Economic!A:I,7,FALSE)</f>
        <v>568107</v>
      </c>
      <c r="Q1290" s="13">
        <f t="shared" si="441"/>
        <v>8.1699999999999995E-2</v>
      </c>
      <c r="R1290" s="41">
        <v>1.52</v>
      </c>
      <c r="S1290">
        <f t="shared" si="442"/>
        <v>2.52</v>
      </c>
      <c r="T1290" s="30">
        <f t="shared" si="443"/>
        <v>255.39</v>
      </c>
      <c r="U1290" s="30">
        <f t="shared" si="436"/>
        <v>256.93</v>
      </c>
    </row>
    <row r="1291" spans="1:21" ht="15" customHeight="1" x14ac:dyDescent="0.25">
      <c r="A1291" s="5">
        <v>34308</v>
      </c>
      <c r="B1291" s="5">
        <f t="shared" si="430"/>
        <v>34334</v>
      </c>
      <c r="C1291">
        <v>464.89</v>
      </c>
      <c r="D1291" s="29">
        <f t="shared" si="431"/>
        <v>4.7999999999999996E-3</v>
      </c>
      <c r="E1291" s="39">
        <f t="shared" si="432"/>
        <v>462.76</v>
      </c>
      <c r="F1291" s="39">
        <f t="shared" si="433"/>
        <v>452.59871794871799</v>
      </c>
      <c r="G1291" s="29">
        <f t="shared" si="439"/>
        <v>4.5999999999999999E-3</v>
      </c>
      <c r="H1291" s="29">
        <f t="shared" si="439"/>
        <v>2.7199999999999998E-2</v>
      </c>
      <c r="I1291">
        <f t="shared" si="434"/>
        <v>464.89</v>
      </c>
      <c r="J1291">
        <f>IF(A1291&gt;=Quarterly!B$2,Quarterly!C$2,IF(COUNTIFS(Quarterly!B:B,"&gt;="&amp;A1291-92,Quarterly!B:B,"&lt;="&amp;A1291)&gt;1,SUMIFS(Quarterly!C:C,Quarterly!B:B,"&gt;="&amp;A1291-88,Quarterly!B:B,"&lt;="&amp;A1291),SUMIFS(Quarterly!C:C,Quarterly!B:B,"&gt;="&amp;A1291-92,Quarterly!B:B,"&lt;="&amp;A1291)))</f>
        <v>6904.2</v>
      </c>
      <c r="K1291" s="13">
        <f t="shared" si="435"/>
        <v>6.7299999999999999E-2</v>
      </c>
      <c r="L1291">
        <f t="shared" si="437"/>
        <v>464.89</v>
      </c>
      <c r="M1291">
        <f>IF(A1291&gt;=Quarterly!B$2,Quarterly!D$2,IF(COUNTIFS(Quarterly!B:B,"&gt;="&amp;A1291-92,Quarterly!B:B,"&lt;="&amp;A1291)&gt;1,SUMIFS(Quarterly!D:D,Quarterly!B:B,"&gt;="&amp;A1291-88,Quarterly!B:B,"&lt;="&amp;A1291),SUMIFS(Quarterly!D:D,Quarterly!B:B,"&gt;="&amp;A1291-92,Quarterly!B:B,"&lt;="&amp;A1291)))</f>
        <v>340.19299999999998</v>
      </c>
      <c r="N1291" s="13">
        <f t="shared" si="438"/>
        <v>0.13665000000000002</v>
      </c>
      <c r="O1291">
        <f t="shared" si="440"/>
        <v>464.89</v>
      </c>
      <c r="P1291" s="56">
        <f>VLOOKUP(EOMONTH(A1291,-1),Economic!A:I,7,FALSE)</f>
        <v>568107</v>
      </c>
      <c r="Q1291" s="13">
        <f t="shared" si="441"/>
        <v>8.1799999999999998E-2</v>
      </c>
      <c r="R1291" s="41">
        <v>1.56</v>
      </c>
      <c r="S1291">
        <f t="shared" si="442"/>
        <v>2.5499999999999998</v>
      </c>
      <c r="T1291" s="30">
        <f t="shared" si="443"/>
        <v>256.47000000000003</v>
      </c>
      <c r="U1291" s="30">
        <f t="shared" si="436"/>
        <v>257.29000000000002</v>
      </c>
    </row>
    <row r="1292" spans="1:21" ht="15" customHeight="1" x14ac:dyDescent="0.25">
      <c r="A1292" s="5">
        <v>34301</v>
      </c>
      <c r="B1292" s="5">
        <f t="shared" si="430"/>
        <v>34303</v>
      </c>
      <c r="C1292">
        <v>463.06</v>
      </c>
      <c r="D1292" s="29">
        <f t="shared" si="431"/>
        <v>-1.6999999999999999E-3</v>
      </c>
      <c r="E1292" s="39">
        <f t="shared" si="432"/>
        <v>462.48692307692312</v>
      </c>
      <c r="F1292" s="39">
        <f t="shared" si="433"/>
        <v>452.11717948717967</v>
      </c>
      <c r="G1292" s="29">
        <f t="shared" si="439"/>
        <v>1.1999999999999999E-3</v>
      </c>
      <c r="H1292" s="29">
        <f t="shared" si="439"/>
        <v>2.4199999999999999E-2</v>
      </c>
      <c r="I1292">
        <f t="shared" si="434"/>
        <v>463.06</v>
      </c>
      <c r="J1292">
        <f>IF(A1292&gt;=Quarterly!B$2,Quarterly!C$2,IF(COUNTIFS(Quarterly!B:B,"&gt;="&amp;A1292-92,Quarterly!B:B,"&lt;="&amp;A1292)&gt;1,SUMIFS(Quarterly!C:C,Quarterly!B:B,"&gt;="&amp;A1292-88,Quarterly!B:B,"&lt;="&amp;A1292),SUMIFS(Quarterly!C:C,Quarterly!B:B,"&gt;="&amp;A1292-92,Quarterly!B:B,"&lt;="&amp;A1292)))</f>
        <v>6904.2</v>
      </c>
      <c r="K1292" s="13">
        <f t="shared" si="435"/>
        <v>6.7100000000000007E-2</v>
      </c>
      <c r="L1292">
        <f t="shared" si="437"/>
        <v>463.06</v>
      </c>
      <c r="M1292">
        <f>IF(A1292&gt;=Quarterly!B$2,Quarterly!D$2,IF(COUNTIFS(Quarterly!B:B,"&gt;="&amp;A1292-92,Quarterly!B:B,"&lt;="&amp;A1292)&gt;1,SUMIFS(Quarterly!D:D,Quarterly!B:B,"&gt;="&amp;A1292-88,Quarterly!B:B,"&lt;="&amp;A1292),SUMIFS(Quarterly!D:D,Quarterly!B:B,"&gt;="&amp;A1292-92,Quarterly!B:B,"&lt;="&amp;A1292)))</f>
        <v>340.19299999999998</v>
      </c>
      <c r="N1292" s="13">
        <f t="shared" si="438"/>
        <v>0.13611999999999999</v>
      </c>
      <c r="O1292">
        <f t="shared" si="440"/>
        <v>463.06</v>
      </c>
      <c r="P1292" s="56">
        <f>VLOOKUP(EOMONTH(A1292,-1),Economic!A:I,7,FALSE)</f>
        <v>566429</v>
      </c>
      <c r="Q1292" s="13">
        <f t="shared" si="441"/>
        <v>8.1799999999999998E-2</v>
      </c>
      <c r="R1292" s="41">
        <v>1.62</v>
      </c>
      <c r="S1292">
        <f t="shared" si="442"/>
        <v>2.63</v>
      </c>
      <c r="T1292" s="30">
        <f t="shared" si="443"/>
        <v>258.92</v>
      </c>
      <c r="U1292" s="30">
        <f t="shared" si="436"/>
        <v>256.82</v>
      </c>
    </row>
    <row r="1293" spans="1:21" ht="15" customHeight="1" x14ac:dyDescent="0.25">
      <c r="A1293" s="5">
        <v>34294</v>
      </c>
      <c r="B1293" s="5">
        <f t="shared" si="430"/>
        <v>34303</v>
      </c>
      <c r="C1293">
        <v>462.6</v>
      </c>
      <c r="D1293" s="29">
        <f t="shared" si="431"/>
        <v>-3.0000000000000001E-3</v>
      </c>
      <c r="E1293" s="39">
        <f t="shared" si="432"/>
        <v>462.29307692307697</v>
      </c>
      <c r="F1293" s="39">
        <f t="shared" si="433"/>
        <v>451.61256410256425</v>
      </c>
      <c r="G1293" s="29">
        <f t="shared" si="439"/>
        <v>6.9999999999999999E-4</v>
      </c>
      <c r="H1293" s="29">
        <f t="shared" si="439"/>
        <v>2.4299999999999999E-2</v>
      </c>
      <c r="I1293">
        <f t="shared" si="434"/>
        <v>462.6</v>
      </c>
      <c r="J1293">
        <f>IF(A1293&gt;=Quarterly!B$2,Quarterly!C$2,IF(COUNTIFS(Quarterly!B:B,"&gt;="&amp;A1293-92,Quarterly!B:B,"&lt;="&amp;A1293)&gt;1,SUMIFS(Quarterly!C:C,Quarterly!B:B,"&gt;="&amp;A1293-88,Quarterly!B:B,"&lt;="&amp;A1293),SUMIFS(Quarterly!C:C,Quarterly!B:B,"&gt;="&amp;A1293-92,Quarterly!B:B,"&lt;="&amp;A1293)))</f>
        <v>6904.2</v>
      </c>
      <c r="K1293" s="13">
        <f t="shared" si="435"/>
        <v>6.7000000000000004E-2</v>
      </c>
      <c r="L1293">
        <f t="shared" si="437"/>
        <v>462.6</v>
      </c>
      <c r="M1293">
        <f>IF(A1293&gt;=Quarterly!B$2,Quarterly!D$2,IF(COUNTIFS(Quarterly!B:B,"&gt;="&amp;A1293-92,Quarterly!B:B,"&lt;="&amp;A1293)&gt;1,SUMIFS(Quarterly!D:D,Quarterly!B:B,"&gt;="&amp;A1293-88,Quarterly!B:B,"&lt;="&amp;A1293),SUMIFS(Quarterly!D:D,Quarterly!B:B,"&gt;="&amp;A1293-92,Quarterly!B:B,"&lt;="&amp;A1293)))</f>
        <v>340.19299999999998</v>
      </c>
      <c r="N1293" s="13">
        <f t="shared" si="438"/>
        <v>0.13597999999999999</v>
      </c>
      <c r="O1293">
        <f t="shared" si="440"/>
        <v>462.6</v>
      </c>
      <c r="P1293" s="56">
        <f>VLOOKUP(EOMONTH(A1293,-1),Economic!A:I,7,FALSE)</f>
        <v>566429</v>
      </c>
      <c r="Q1293" s="13">
        <f t="shared" si="441"/>
        <v>8.1699999999999995E-2</v>
      </c>
      <c r="R1293" s="41">
        <v>1.62</v>
      </c>
      <c r="S1293">
        <f t="shared" si="442"/>
        <v>2.5499999999999998</v>
      </c>
      <c r="T1293" s="30">
        <f t="shared" si="443"/>
        <v>256.49</v>
      </c>
      <c r="U1293" s="30">
        <f t="shared" si="436"/>
        <v>255.81</v>
      </c>
    </row>
    <row r="1294" spans="1:21" ht="15" customHeight="1" x14ac:dyDescent="0.25">
      <c r="A1294" s="5">
        <v>34287</v>
      </c>
      <c r="B1294" s="5">
        <f t="shared" si="430"/>
        <v>34303</v>
      </c>
      <c r="C1294">
        <v>465.39</v>
      </c>
      <c r="D1294" s="29">
        <f t="shared" si="431"/>
        <v>6.9999999999999999E-4</v>
      </c>
      <c r="E1294" s="39">
        <f t="shared" si="432"/>
        <v>461.79769230769227</v>
      </c>
      <c r="F1294" s="39">
        <f t="shared" si="433"/>
        <v>450.88487179487191</v>
      </c>
      <c r="G1294" s="29">
        <f t="shared" si="439"/>
        <v>7.7999999999999996E-3</v>
      </c>
      <c r="H1294" s="29">
        <f t="shared" si="439"/>
        <v>3.2199999999999999E-2</v>
      </c>
      <c r="I1294">
        <f t="shared" si="434"/>
        <v>465.39</v>
      </c>
      <c r="J1294">
        <f>IF(A1294&gt;=Quarterly!B$2,Quarterly!C$2,IF(COUNTIFS(Quarterly!B:B,"&gt;="&amp;A1294-92,Quarterly!B:B,"&lt;="&amp;A1294)&gt;1,SUMIFS(Quarterly!C:C,Quarterly!B:B,"&gt;="&amp;A1294-88,Quarterly!B:B,"&lt;="&amp;A1294),SUMIFS(Quarterly!C:C,Quarterly!B:B,"&gt;="&amp;A1294-92,Quarterly!B:B,"&lt;="&amp;A1294)))</f>
        <v>6904.2</v>
      </c>
      <c r="K1294" s="13">
        <f t="shared" si="435"/>
        <v>6.7400000000000002E-2</v>
      </c>
      <c r="L1294">
        <f t="shared" si="437"/>
        <v>465.39</v>
      </c>
      <c r="M1294">
        <f>IF(A1294&gt;=Quarterly!B$2,Quarterly!D$2,IF(COUNTIFS(Quarterly!B:B,"&gt;="&amp;A1294-92,Quarterly!B:B,"&lt;="&amp;A1294)&gt;1,SUMIFS(Quarterly!D:D,Quarterly!B:B,"&gt;="&amp;A1294-88,Quarterly!B:B,"&lt;="&amp;A1294),SUMIFS(Quarterly!D:D,Quarterly!B:B,"&gt;="&amp;A1294-92,Quarterly!B:B,"&lt;="&amp;A1294)))</f>
        <v>340.19299999999998</v>
      </c>
      <c r="N1294" s="13">
        <f t="shared" si="438"/>
        <v>0.1368</v>
      </c>
      <c r="O1294">
        <f t="shared" si="440"/>
        <v>465.39</v>
      </c>
      <c r="P1294" s="56">
        <f>VLOOKUP(EOMONTH(A1294,-1),Economic!A:I,7,FALSE)</f>
        <v>566429</v>
      </c>
      <c r="Q1294" s="13">
        <f t="shared" si="441"/>
        <v>8.2200000000000009E-2</v>
      </c>
      <c r="R1294" s="41">
        <v>1.55</v>
      </c>
      <c r="S1294">
        <f t="shared" si="442"/>
        <v>2.5</v>
      </c>
      <c r="T1294" s="30">
        <f t="shared" si="443"/>
        <v>255.06</v>
      </c>
      <c r="U1294" s="30">
        <f t="shared" si="436"/>
        <v>255.35</v>
      </c>
    </row>
    <row r="1295" spans="1:21" ht="15" customHeight="1" x14ac:dyDescent="0.25">
      <c r="A1295" s="5">
        <v>34280</v>
      </c>
      <c r="B1295" s="5">
        <f t="shared" si="430"/>
        <v>34303</v>
      </c>
      <c r="C1295">
        <v>459.57</v>
      </c>
      <c r="D1295" s="29">
        <f t="shared" si="431"/>
        <v>-1.2200000000000001E-2</v>
      </c>
      <c r="E1295" s="39">
        <f t="shared" si="432"/>
        <v>460.62461538461542</v>
      </c>
      <c r="F1295" s="39">
        <f t="shared" si="433"/>
        <v>450.35128205128228</v>
      </c>
      <c r="G1295" s="29">
        <f t="shared" si="439"/>
        <v>-2.3E-3</v>
      </c>
      <c r="H1295" s="29">
        <f t="shared" si="439"/>
        <v>2.0500000000000001E-2</v>
      </c>
      <c r="I1295">
        <f t="shared" si="434"/>
        <v>459.57</v>
      </c>
      <c r="J1295">
        <f>IF(A1295&gt;=Quarterly!B$2,Quarterly!C$2,IF(COUNTIFS(Quarterly!B:B,"&gt;="&amp;A1295-92,Quarterly!B:B,"&lt;="&amp;A1295)&gt;1,SUMIFS(Quarterly!C:C,Quarterly!B:B,"&gt;="&amp;A1295-88,Quarterly!B:B,"&lt;="&amp;A1295),SUMIFS(Quarterly!C:C,Quarterly!B:B,"&gt;="&amp;A1295-92,Quarterly!B:B,"&lt;="&amp;A1295)))</f>
        <v>6904.2</v>
      </c>
      <c r="K1295" s="13">
        <f t="shared" si="435"/>
        <v>6.6600000000000006E-2</v>
      </c>
      <c r="L1295">
        <f t="shared" si="437"/>
        <v>459.57</v>
      </c>
      <c r="M1295">
        <f>IF(A1295&gt;=Quarterly!B$2,Quarterly!D$2,IF(COUNTIFS(Quarterly!B:B,"&gt;="&amp;A1295-92,Quarterly!B:B,"&lt;="&amp;A1295)&gt;1,SUMIFS(Quarterly!D:D,Quarterly!B:B,"&gt;="&amp;A1295-88,Quarterly!B:B,"&lt;="&amp;A1295),SUMIFS(Quarterly!D:D,Quarterly!B:B,"&gt;="&amp;A1295-92,Quarterly!B:B,"&lt;="&amp;A1295)))</f>
        <v>340.19299999999998</v>
      </c>
      <c r="N1295" s="13">
        <f t="shared" si="438"/>
        <v>0.13509000000000002</v>
      </c>
      <c r="O1295">
        <f t="shared" si="440"/>
        <v>459.57</v>
      </c>
      <c r="P1295" s="56">
        <f>VLOOKUP(EOMONTH(A1295,-1),Economic!A:I,7,FALSE)</f>
        <v>566429</v>
      </c>
      <c r="Q1295" s="13">
        <f t="shared" si="441"/>
        <v>8.1099999999999992E-2</v>
      </c>
      <c r="R1295" s="41">
        <v>1.55</v>
      </c>
      <c r="S1295">
        <f t="shared" si="442"/>
        <v>2.5099999999999998</v>
      </c>
      <c r="T1295" s="30">
        <f t="shared" si="443"/>
        <v>255.87</v>
      </c>
      <c r="U1295" s="30">
        <f t="shared" si="436"/>
        <v>253.87</v>
      </c>
    </row>
    <row r="1296" spans="1:21" ht="15" customHeight="1" x14ac:dyDescent="0.25">
      <c r="A1296" s="5">
        <v>34273</v>
      </c>
      <c r="B1296" s="5">
        <f t="shared" si="430"/>
        <v>34273</v>
      </c>
      <c r="C1296">
        <v>467.83</v>
      </c>
      <c r="D1296" s="29">
        <f t="shared" si="431"/>
        <v>9.1000000000000004E-3</v>
      </c>
      <c r="E1296" s="39">
        <f t="shared" si="432"/>
        <v>459.78692307692313</v>
      </c>
      <c r="F1296" s="39">
        <f t="shared" si="433"/>
        <v>450.07846153846168</v>
      </c>
      <c r="G1296" s="29">
        <f t="shared" si="439"/>
        <v>1.7500000000000002E-2</v>
      </c>
      <c r="H1296" s="29">
        <f t="shared" si="439"/>
        <v>3.9399999999999998E-2</v>
      </c>
      <c r="I1296">
        <f t="shared" si="434"/>
        <v>467.83</v>
      </c>
      <c r="J1296">
        <f>IF(A1296&gt;=Quarterly!B$2,Quarterly!C$2,IF(COUNTIFS(Quarterly!B:B,"&gt;="&amp;A1296-92,Quarterly!B:B,"&lt;="&amp;A1296)&gt;1,SUMIFS(Quarterly!C:C,Quarterly!B:B,"&gt;="&amp;A1296-88,Quarterly!B:B,"&lt;="&amp;A1296),SUMIFS(Quarterly!C:C,Quarterly!B:B,"&gt;="&amp;A1296-92,Quarterly!B:B,"&lt;="&amp;A1296)))</f>
        <v>6904.2</v>
      </c>
      <c r="K1296" s="13">
        <f t="shared" si="435"/>
        <v>6.7799999999999999E-2</v>
      </c>
      <c r="L1296">
        <f t="shared" si="437"/>
        <v>467.83</v>
      </c>
      <c r="M1296">
        <f>IF(A1296&gt;=Quarterly!B$2,Quarterly!D$2,IF(COUNTIFS(Quarterly!B:B,"&gt;="&amp;A1296-92,Quarterly!B:B,"&lt;="&amp;A1296)&gt;1,SUMIFS(Quarterly!D:D,Quarterly!B:B,"&gt;="&amp;A1296-88,Quarterly!B:B,"&lt;="&amp;A1296),SUMIFS(Quarterly!D:D,Quarterly!B:B,"&gt;="&amp;A1296-92,Quarterly!B:B,"&lt;="&amp;A1296)))</f>
        <v>340.19299999999998</v>
      </c>
      <c r="N1296" s="13">
        <f t="shared" si="438"/>
        <v>0.13752</v>
      </c>
      <c r="O1296">
        <f t="shared" si="440"/>
        <v>467.83</v>
      </c>
      <c r="P1296" s="56">
        <f>VLOOKUP(EOMONTH(A1296,-1),Economic!A:I,7,FALSE)</f>
        <v>567047</v>
      </c>
      <c r="Q1296" s="13">
        <f t="shared" si="441"/>
        <v>8.2500000000000004E-2</v>
      </c>
      <c r="R1296" s="41">
        <v>1.44</v>
      </c>
      <c r="S1296">
        <f t="shared" si="442"/>
        <v>2.4700000000000002</v>
      </c>
      <c r="T1296" s="30">
        <f t="shared" si="443"/>
        <v>255.11</v>
      </c>
      <c r="U1296" s="30">
        <f t="shared" si="436"/>
        <v>252.25</v>
      </c>
    </row>
    <row r="1297" spans="1:21" ht="15" customHeight="1" x14ac:dyDescent="0.25">
      <c r="A1297" s="5">
        <v>34266</v>
      </c>
      <c r="B1297" s="5">
        <f t="shared" si="430"/>
        <v>34273</v>
      </c>
      <c r="C1297">
        <v>463.27</v>
      </c>
      <c r="D1297" s="29">
        <f t="shared" si="431"/>
        <v>2.3999999999999998E-3</v>
      </c>
      <c r="E1297" s="39">
        <f t="shared" si="432"/>
        <v>458.27153846153851</v>
      </c>
      <c r="F1297" s="39">
        <f t="shared" si="433"/>
        <v>449.33358974358981</v>
      </c>
      <c r="G1297" s="29">
        <f t="shared" si="439"/>
        <v>1.09E-2</v>
      </c>
      <c r="H1297" s="29">
        <f t="shared" si="439"/>
        <v>3.1E-2</v>
      </c>
      <c r="I1297">
        <f t="shared" si="434"/>
        <v>463.27</v>
      </c>
      <c r="J1297">
        <f>IF(A1297&gt;=Quarterly!B$2,Quarterly!C$2,IF(COUNTIFS(Quarterly!B:B,"&gt;="&amp;A1297-92,Quarterly!B:B,"&lt;="&amp;A1297)&gt;1,SUMIFS(Quarterly!C:C,Quarterly!B:B,"&gt;="&amp;A1297-88,Quarterly!B:B,"&lt;="&amp;A1297),SUMIFS(Quarterly!C:C,Quarterly!B:B,"&gt;="&amp;A1297-92,Quarterly!B:B,"&lt;="&amp;A1297)))</f>
        <v>6829.6</v>
      </c>
      <c r="K1297" s="13">
        <f t="shared" si="435"/>
        <v>6.7799999999999999E-2</v>
      </c>
      <c r="L1297">
        <f t="shared" si="437"/>
        <v>463.27</v>
      </c>
      <c r="M1297">
        <f>IF(A1297&gt;=Quarterly!B$2,Quarterly!D$2,IF(COUNTIFS(Quarterly!B:B,"&gt;="&amp;A1297-92,Quarterly!B:B,"&lt;="&amp;A1297)&gt;1,SUMIFS(Quarterly!D:D,Quarterly!B:B,"&gt;="&amp;A1297-88,Quarterly!B:B,"&lt;="&amp;A1297),SUMIFS(Quarterly!D:D,Quarterly!B:B,"&gt;="&amp;A1297-92,Quarterly!B:B,"&lt;="&amp;A1297)))</f>
        <v>327.31099999999998</v>
      </c>
      <c r="N1297" s="13">
        <f t="shared" si="438"/>
        <v>0.14154</v>
      </c>
      <c r="O1297">
        <f t="shared" si="440"/>
        <v>463.27</v>
      </c>
      <c r="P1297" s="56">
        <f>VLOOKUP(EOMONTH(A1297,-1),Economic!A:I,7,FALSE)</f>
        <v>567047</v>
      </c>
      <c r="Q1297" s="13">
        <f t="shared" si="441"/>
        <v>8.1699999999999995E-2</v>
      </c>
      <c r="R1297" s="41">
        <v>1.51</v>
      </c>
      <c r="S1297">
        <f t="shared" si="442"/>
        <v>2.4</v>
      </c>
      <c r="T1297" s="30">
        <f t="shared" si="443"/>
        <v>250.63</v>
      </c>
      <c r="U1297" s="30">
        <f t="shared" si="436"/>
        <v>251.16</v>
      </c>
    </row>
    <row r="1298" spans="1:21" ht="15" customHeight="1" x14ac:dyDescent="0.25">
      <c r="A1298" s="5">
        <v>34259</v>
      </c>
      <c r="B1298" s="5">
        <f t="shared" ref="B1298:B1361" si="444">EOMONTH(A1298,0)</f>
        <v>34273</v>
      </c>
      <c r="C1298">
        <v>469.5</v>
      </c>
      <c r="D1298" s="29">
        <f t="shared" ref="D1298:D1361" si="445">ROUND((C1298-AVERAGE(C1299:C1302))/AVERAGE(C1299:C1302),4)</f>
        <v>2.1700000000000001E-2</v>
      </c>
      <c r="E1298" s="39">
        <f t="shared" ref="E1298:E1361" si="446">AVERAGE(C1298:C1310)</f>
        <v>457.02769230769235</v>
      </c>
      <c r="F1298" s="39">
        <f t="shared" ref="F1298:F1361" si="447">AVERAGE(C1298:C1336)</f>
        <v>448.63717948717942</v>
      </c>
      <c r="G1298" s="29">
        <f t="shared" si="439"/>
        <v>2.7300000000000001E-2</v>
      </c>
      <c r="H1298" s="29">
        <f t="shared" si="439"/>
        <v>4.65E-2</v>
      </c>
      <c r="I1298">
        <f t="shared" ref="I1298:I1361" si="448">C1298</f>
        <v>469.5</v>
      </c>
      <c r="J1298">
        <f>IF(A1298&gt;=Quarterly!B$2,Quarterly!C$2,IF(COUNTIFS(Quarterly!B:B,"&gt;="&amp;A1298-92,Quarterly!B:B,"&lt;="&amp;A1298)&gt;1,SUMIFS(Quarterly!C:C,Quarterly!B:B,"&gt;="&amp;A1298-88,Quarterly!B:B,"&lt;="&amp;A1298),SUMIFS(Quarterly!C:C,Quarterly!B:B,"&gt;="&amp;A1298-92,Quarterly!B:B,"&lt;="&amp;A1298)))</f>
        <v>6829.6</v>
      </c>
      <c r="K1298" s="13">
        <f t="shared" ref="K1298:K1361" si="449">ROUND(I1298/J1298,4)</f>
        <v>6.8699999999999997E-2</v>
      </c>
      <c r="L1298">
        <f t="shared" si="437"/>
        <v>469.5</v>
      </c>
      <c r="M1298">
        <f>IF(A1298&gt;=Quarterly!B$2,Quarterly!D$2,IF(COUNTIFS(Quarterly!B:B,"&gt;="&amp;A1298-92,Quarterly!B:B,"&lt;="&amp;A1298)&gt;1,SUMIFS(Quarterly!D:D,Quarterly!B:B,"&gt;="&amp;A1298-88,Quarterly!B:B,"&lt;="&amp;A1298),SUMIFS(Quarterly!D:D,Quarterly!B:B,"&gt;="&amp;A1298-92,Quarterly!B:B,"&lt;="&amp;A1298)))</f>
        <v>327.31099999999998</v>
      </c>
      <c r="N1298" s="13">
        <f t="shared" si="438"/>
        <v>0.14343999999999998</v>
      </c>
      <c r="O1298">
        <f t="shared" si="440"/>
        <v>469.5</v>
      </c>
      <c r="P1298" s="56">
        <f>VLOOKUP(EOMONTH(A1298,-1),Economic!A:I,7,FALSE)</f>
        <v>567047</v>
      </c>
      <c r="Q1298" s="13">
        <f t="shared" si="441"/>
        <v>8.2799999999999999E-2</v>
      </c>
      <c r="R1298" s="41">
        <v>1.38</v>
      </c>
      <c r="S1298">
        <f t="shared" si="442"/>
        <v>2.39</v>
      </c>
      <c r="T1298" s="30">
        <f t="shared" si="443"/>
        <v>251.01</v>
      </c>
      <c r="U1298" s="30">
        <f t="shared" ref="U1298:U1361" si="450">ROUND(AVERAGE(T1298:T1300),2)</f>
        <v>250.79</v>
      </c>
    </row>
    <row r="1299" spans="1:21" ht="15" customHeight="1" x14ac:dyDescent="0.25">
      <c r="A1299" s="5">
        <v>34252</v>
      </c>
      <c r="B1299" s="5">
        <f t="shared" si="444"/>
        <v>34273</v>
      </c>
      <c r="C1299">
        <v>460.31</v>
      </c>
      <c r="D1299" s="29">
        <f t="shared" si="445"/>
        <v>1E-3</v>
      </c>
      <c r="E1299" s="39">
        <f t="shared" si="446"/>
        <v>455.20076923076925</v>
      </c>
      <c r="F1299" s="39">
        <f t="shared" si="447"/>
        <v>447.80769230769238</v>
      </c>
      <c r="G1299" s="29">
        <f t="shared" si="439"/>
        <v>1.12E-2</v>
      </c>
      <c r="H1299" s="29">
        <f t="shared" si="439"/>
        <v>2.7900000000000001E-2</v>
      </c>
      <c r="I1299">
        <f t="shared" si="448"/>
        <v>460.31</v>
      </c>
      <c r="J1299">
        <f>IF(A1299&gt;=Quarterly!B$2,Quarterly!C$2,IF(COUNTIFS(Quarterly!B:B,"&gt;="&amp;A1299-92,Quarterly!B:B,"&lt;="&amp;A1299)&gt;1,SUMIFS(Quarterly!C:C,Quarterly!B:B,"&gt;="&amp;A1299-88,Quarterly!B:B,"&lt;="&amp;A1299),SUMIFS(Quarterly!C:C,Quarterly!B:B,"&gt;="&amp;A1299-92,Quarterly!B:B,"&lt;="&amp;A1299)))</f>
        <v>6829.6</v>
      </c>
      <c r="K1299" s="13">
        <f t="shared" si="449"/>
        <v>6.7400000000000002E-2</v>
      </c>
      <c r="L1299">
        <f t="shared" si="437"/>
        <v>460.31</v>
      </c>
      <c r="M1299">
        <f>IF(A1299&gt;=Quarterly!B$2,Quarterly!D$2,IF(COUNTIFS(Quarterly!B:B,"&gt;="&amp;A1299-92,Quarterly!B:B,"&lt;="&amp;A1299)&gt;1,SUMIFS(Quarterly!D:D,Quarterly!B:B,"&gt;="&amp;A1299-88,Quarterly!B:B,"&lt;="&amp;A1299),SUMIFS(Quarterly!D:D,Quarterly!B:B,"&gt;="&amp;A1299-92,Quarterly!B:B,"&lt;="&amp;A1299)))</f>
        <v>327.31099999999998</v>
      </c>
      <c r="N1299" s="13">
        <f t="shared" si="438"/>
        <v>0.14063000000000001</v>
      </c>
      <c r="O1299">
        <f t="shared" si="440"/>
        <v>460.31</v>
      </c>
      <c r="P1299" s="56">
        <f>VLOOKUP(EOMONTH(A1299,-1),Economic!A:I,7,FALSE)</f>
        <v>567047</v>
      </c>
      <c r="Q1299" s="13">
        <f t="shared" si="441"/>
        <v>8.1199999999999994E-2</v>
      </c>
      <c r="R1299" s="41">
        <v>1.48</v>
      </c>
      <c r="S1299">
        <f t="shared" si="442"/>
        <v>2.39</v>
      </c>
      <c r="T1299" s="30">
        <f t="shared" si="443"/>
        <v>251.85</v>
      </c>
      <c r="U1299" s="30">
        <f t="shared" si="450"/>
        <v>252.38</v>
      </c>
    </row>
    <row r="1300" spans="1:21" ht="15" customHeight="1" x14ac:dyDescent="0.25">
      <c r="A1300" s="5">
        <v>34245</v>
      </c>
      <c r="B1300" s="5">
        <f t="shared" si="444"/>
        <v>34273</v>
      </c>
      <c r="C1300">
        <v>461.28</v>
      </c>
      <c r="D1300" s="29">
        <f t="shared" si="445"/>
        <v>3.0000000000000001E-3</v>
      </c>
      <c r="E1300" s="39">
        <f t="shared" si="446"/>
        <v>454.26230769230767</v>
      </c>
      <c r="F1300" s="39">
        <f t="shared" si="447"/>
        <v>447.00615384615389</v>
      </c>
      <c r="G1300" s="29">
        <f t="shared" si="439"/>
        <v>1.54E-2</v>
      </c>
      <c r="H1300" s="29">
        <f t="shared" si="439"/>
        <v>3.1899999999999998E-2</v>
      </c>
      <c r="I1300">
        <f t="shared" si="448"/>
        <v>461.28</v>
      </c>
      <c r="J1300">
        <f>IF(A1300&gt;=Quarterly!B$2,Quarterly!C$2,IF(COUNTIFS(Quarterly!B:B,"&gt;="&amp;A1300-92,Quarterly!B:B,"&lt;="&amp;A1300)&gt;1,SUMIFS(Quarterly!C:C,Quarterly!B:B,"&gt;="&amp;A1300-88,Quarterly!B:B,"&lt;="&amp;A1300),SUMIFS(Quarterly!C:C,Quarterly!B:B,"&gt;="&amp;A1300-92,Quarterly!B:B,"&lt;="&amp;A1300)))</f>
        <v>6829.6</v>
      </c>
      <c r="K1300" s="13">
        <f t="shared" si="449"/>
        <v>6.7500000000000004E-2</v>
      </c>
      <c r="L1300">
        <f t="shared" si="437"/>
        <v>461.28</v>
      </c>
      <c r="M1300">
        <f>IF(A1300&gt;=Quarterly!B$2,Quarterly!D$2,IF(COUNTIFS(Quarterly!B:B,"&gt;="&amp;A1300-92,Quarterly!B:B,"&lt;="&amp;A1300)&gt;1,SUMIFS(Quarterly!D:D,Quarterly!B:B,"&gt;="&amp;A1300-88,Quarterly!B:B,"&lt;="&amp;A1300),SUMIFS(Quarterly!D:D,Quarterly!B:B,"&gt;="&amp;A1300-92,Quarterly!B:B,"&lt;="&amp;A1300)))</f>
        <v>327.31099999999998</v>
      </c>
      <c r="N1300" s="13">
        <f t="shared" si="438"/>
        <v>0.14093</v>
      </c>
      <c r="O1300">
        <f t="shared" si="440"/>
        <v>461.28</v>
      </c>
      <c r="P1300" s="56">
        <f>VLOOKUP(EOMONTH(A1300,-1),Economic!A:I,7,FALSE)</f>
        <v>567047</v>
      </c>
      <c r="Q1300" s="13">
        <f t="shared" si="441"/>
        <v>8.1299999999999997E-2</v>
      </c>
      <c r="R1300" s="41">
        <v>1.5</v>
      </c>
      <c r="S1300">
        <f t="shared" si="442"/>
        <v>2.2999999999999998</v>
      </c>
      <c r="T1300" s="30">
        <f t="shared" si="443"/>
        <v>249.5</v>
      </c>
      <c r="U1300" s="30">
        <f t="shared" si="450"/>
        <v>255.4</v>
      </c>
    </row>
    <row r="1301" spans="1:21" ht="15" customHeight="1" x14ac:dyDescent="0.25">
      <c r="A1301" s="5">
        <v>34238</v>
      </c>
      <c r="B1301" s="5">
        <f t="shared" si="444"/>
        <v>34242</v>
      </c>
      <c r="C1301">
        <v>457.63</v>
      </c>
      <c r="D1301" s="29">
        <f t="shared" si="445"/>
        <v>-6.4999999999999997E-3</v>
      </c>
      <c r="E1301" s="39">
        <f t="shared" si="446"/>
        <v>453.07461538461536</v>
      </c>
      <c r="F1301" s="39">
        <f t="shared" si="447"/>
        <v>446.35051282051285</v>
      </c>
      <c r="G1301" s="29">
        <f t="shared" si="439"/>
        <v>1.01E-2</v>
      </c>
      <c r="H1301" s="29">
        <f t="shared" si="439"/>
        <v>2.53E-2</v>
      </c>
      <c r="I1301">
        <f t="shared" si="448"/>
        <v>457.63</v>
      </c>
      <c r="J1301">
        <f>IF(A1301&gt;=Quarterly!B$2,Quarterly!C$2,IF(COUNTIFS(Quarterly!B:B,"&gt;="&amp;A1301-92,Quarterly!B:B,"&lt;="&amp;A1301)&gt;1,SUMIFS(Quarterly!C:C,Quarterly!B:B,"&gt;="&amp;A1301-88,Quarterly!B:B,"&lt;="&amp;A1301),SUMIFS(Quarterly!C:C,Quarterly!B:B,"&gt;="&amp;A1301-92,Quarterly!B:B,"&lt;="&amp;A1301)))</f>
        <v>6829.6</v>
      </c>
      <c r="K1301" s="13">
        <f t="shared" si="449"/>
        <v>6.7000000000000004E-2</v>
      </c>
      <c r="L1301">
        <f t="shared" si="437"/>
        <v>457.63</v>
      </c>
      <c r="M1301">
        <f>IF(A1301&gt;=Quarterly!B$2,Quarterly!D$2,IF(COUNTIFS(Quarterly!B:B,"&gt;="&amp;A1301-92,Quarterly!B:B,"&lt;="&amp;A1301)&gt;1,SUMIFS(Quarterly!D:D,Quarterly!B:B,"&gt;="&amp;A1301-88,Quarterly!B:B,"&lt;="&amp;A1301),SUMIFS(Quarterly!D:D,Quarterly!B:B,"&gt;="&amp;A1301-92,Quarterly!B:B,"&lt;="&amp;A1301)))</f>
        <v>327.31099999999998</v>
      </c>
      <c r="N1301" s="13">
        <f t="shared" si="438"/>
        <v>0.13982000000000003</v>
      </c>
      <c r="O1301">
        <f t="shared" si="440"/>
        <v>457.63</v>
      </c>
      <c r="P1301" s="56">
        <f>VLOOKUP(EOMONTH(A1301,-1),Economic!A:I,7,FALSE)</f>
        <v>565244</v>
      </c>
      <c r="Q1301" s="13">
        <f t="shared" si="441"/>
        <v>8.0999999999999989E-2</v>
      </c>
      <c r="R1301" s="41">
        <v>1.52</v>
      </c>
      <c r="S1301">
        <f t="shared" si="442"/>
        <v>2.48</v>
      </c>
      <c r="T1301" s="30">
        <f t="shared" si="443"/>
        <v>255.78</v>
      </c>
      <c r="U1301" s="30">
        <f t="shared" si="450"/>
        <v>258.60000000000002</v>
      </c>
    </row>
    <row r="1302" spans="1:21" ht="15" customHeight="1" x14ac:dyDescent="0.25">
      <c r="A1302" s="5">
        <v>34231</v>
      </c>
      <c r="B1302" s="5">
        <f t="shared" si="444"/>
        <v>34242</v>
      </c>
      <c r="C1302">
        <v>458.83</v>
      </c>
      <c r="D1302" s="29">
        <f t="shared" si="445"/>
        <v>-2.3999999999999998E-3</v>
      </c>
      <c r="E1302" s="39">
        <f t="shared" si="446"/>
        <v>452.3030769230769</v>
      </c>
      <c r="F1302" s="39">
        <f t="shared" si="447"/>
        <v>445.89256410256411</v>
      </c>
      <c r="G1302" s="29">
        <f t="shared" si="439"/>
        <v>1.44E-2</v>
      </c>
      <c r="H1302" s="29">
        <f t="shared" si="439"/>
        <v>2.9000000000000001E-2</v>
      </c>
      <c r="I1302">
        <f t="shared" si="448"/>
        <v>458.83</v>
      </c>
      <c r="J1302">
        <f>IF(A1302&gt;=Quarterly!B$2,Quarterly!C$2,IF(COUNTIFS(Quarterly!B:B,"&gt;="&amp;A1302-92,Quarterly!B:B,"&lt;="&amp;A1302)&gt;1,SUMIFS(Quarterly!C:C,Quarterly!B:B,"&gt;="&amp;A1302-88,Quarterly!B:B,"&lt;="&amp;A1302),SUMIFS(Quarterly!C:C,Quarterly!B:B,"&gt;="&amp;A1302-92,Quarterly!B:B,"&lt;="&amp;A1302)))</f>
        <v>6829.6</v>
      </c>
      <c r="K1302" s="13">
        <f t="shared" si="449"/>
        <v>6.7199999999999996E-2</v>
      </c>
      <c r="L1302">
        <f t="shared" si="437"/>
        <v>458.83</v>
      </c>
      <c r="M1302">
        <f>IF(A1302&gt;=Quarterly!B$2,Quarterly!D$2,IF(COUNTIFS(Quarterly!B:B,"&gt;="&amp;A1302-92,Quarterly!B:B,"&lt;="&amp;A1302)&gt;1,SUMIFS(Quarterly!D:D,Quarterly!B:B,"&gt;="&amp;A1302-88,Quarterly!B:B,"&lt;="&amp;A1302),SUMIFS(Quarterly!D:D,Quarterly!B:B,"&gt;="&amp;A1302-92,Quarterly!B:B,"&lt;="&amp;A1302)))</f>
        <v>327.31099999999998</v>
      </c>
      <c r="N1302" s="13">
        <f t="shared" si="438"/>
        <v>0.14018</v>
      </c>
      <c r="O1302">
        <f t="shared" si="440"/>
        <v>458.83</v>
      </c>
      <c r="P1302" s="56">
        <f>VLOOKUP(EOMONTH(A1302,-1),Economic!A:I,7,FALSE)</f>
        <v>565244</v>
      </c>
      <c r="Q1302" s="13">
        <f t="shared" si="441"/>
        <v>8.1199999999999994E-2</v>
      </c>
      <c r="R1302" s="41">
        <v>1.49</v>
      </c>
      <c r="S1302">
        <f t="shared" si="442"/>
        <v>2.63</v>
      </c>
      <c r="T1302" s="30">
        <f t="shared" si="443"/>
        <v>260.92</v>
      </c>
      <c r="U1302" s="30">
        <f t="shared" si="450"/>
        <v>258.04000000000002</v>
      </c>
    </row>
    <row r="1303" spans="1:21" ht="15" customHeight="1" x14ac:dyDescent="0.25">
      <c r="A1303" s="5">
        <v>34224</v>
      </c>
      <c r="B1303" s="5">
        <f t="shared" si="444"/>
        <v>34242</v>
      </c>
      <c r="C1303">
        <v>461.72</v>
      </c>
      <c r="D1303" s="29">
        <f t="shared" si="445"/>
        <v>1.0200000000000001E-2</v>
      </c>
      <c r="E1303" s="39">
        <f t="shared" si="446"/>
        <v>451.13769230769236</v>
      </c>
      <c r="F1303" s="39">
        <f t="shared" si="447"/>
        <v>445.44256410256418</v>
      </c>
      <c r="G1303" s="29">
        <f t="shared" si="439"/>
        <v>2.35E-2</v>
      </c>
      <c r="H1303" s="29">
        <f t="shared" si="439"/>
        <v>3.6499999999999998E-2</v>
      </c>
      <c r="I1303">
        <f t="shared" si="448"/>
        <v>461.72</v>
      </c>
      <c r="J1303">
        <f>IF(A1303&gt;=Quarterly!B$2,Quarterly!C$2,IF(COUNTIFS(Quarterly!B:B,"&gt;="&amp;A1303-92,Quarterly!B:B,"&lt;="&amp;A1303)&gt;1,SUMIFS(Quarterly!C:C,Quarterly!B:B,"&gt;="&amp;A1303-88,Quarterly!B:B,"&lt;="&amp;A1303),SUMIFS(Quarterly!C:C,Quarterly!B:B,"&gt;="&amp;A1303-92,Quarterly!B:B,"&lt;="&amp;A1303)))</f>
        <v>6829.6</v>
      </c>
      <c r="K1303" s="13">
        <f t="shared" si="449"/>
        <v>6.7599999999999993E-2</v>
      </c>
      <c r="L1303">
        <f t="shared" ref="L1303:L1366" si="451">C1303</f>
        <v>461.72</v>
      </c>
      <c r="M1303">
        <f>IF(A1303&gt;=Quarterly!B$2,Quarterly!D$2,IF(COUNTIFS(Quarterly!B:B,"&gt;="&amp;A1303-92,Quarterly!B:B,"&lt;="&amp;A1303)&gt;1,SUMIFS(Quarterly!D:D,Quarterly!B:B,"&gt;="&amp;A1303-88,Quarterly!B:B,"&lt;="&amp;A1303),SUMIFS(Quarterly!D:D,Quarterly!B:B,"&gt;="&amp;A1303-92,Quarterly!B:B,"&lt;="&amp;A1303)))</f>
        <v>327.31099999999998</v>
      </c>
      <c r="N1303" s="13">
        <f t="shared" ref="N1303:N1366" si="452">ROUND(L1303/M1303,4)*0.1</f>
        <v>0.14106000000000002</v>
      </c>
      <c r="O1303">
        <f t="shared" si="440"/>
        <v>461.72</v>
      </c>
      <c r="P1303" s="56">
        <f>VLOOKUP(EOMONTH(A1303,-1),Economic!A:I,7,FALSE)</f>
        <v>565244</v>
      </c>
      <c r="Q1303" s="13">
        <f t="shared" si="441"/>
        <v>8.1699999999999995E-2</v>
      </c>
      <c r="R1303" s="41">
        <v>1.49</v>
      </c>
      <c r="S1303">
        <f t="shared" si="442"/>
        <v>2.5499999999999998</v>
      </c>
      <c r="T1303" s="30">
        <f t="shared" si="443"/>
        <v>259.11</v>
      </c>
      <c r="U1303" s="30">
        <f t="shared" si="450"/>
        <v>254.77</v>
      </c>
    </row>
    <row r="1304" spans="1:21" ht="15" customHeight="1" x14ac:dyDescent="0.25">
      <c r="A1304" s="5">
        <v>34217</v>
      </c>
      <c r="B1304" s="5">
        <f t="shared" si="444"/>
        <v>34242</v>
      </c>
      <c r="C1304">
        <v>461.34</v>
      </c>
      <c r="D1304" s="29">
        <f t="shared" si="445"/>
        <v>1.6400000000000001E-2</v>
      </c>
      <c r="E1304" s="39">
        <f t="shared" si="446"/>
        <v>450.02538461538467</v>
      </c>
      <c r="F1304" s="39">
        <f t="shared" si="447"/>
        <v>444.72487179487183</v>
      </c>
      <c r="G1304" s="29">
        <f t="shared" si="439"/>
        <v>2.5100000000000001E-2</v>
      </c>
      <c r="H1304" s="29">
        <f t="shared" si="439"/>
        <v>3.7400000000000003E-2</v>
      </c>
      <c r="I1304">
        <f t="shared" si="448"/>
        <v>461.34</v>
      </c>
      <c r="J1304">
        <f>IF(A1304&gt;=Quarterly!B$2,Quarterly!C$2,IF(COUNTIFS(Quarterly!B:B,"&gt;="&amp;A1304-92,Quarterly!B:B,"&lt;="&amp;A1304)&gt;1,SUMIFS(Quarterly!C:C,Quarterly!B:B,"&gt;="&amp;A1304-88,Quarterly!B:B,"&lt;="&amp;A1304),SUMIFS(Quarterly!C:C,Quarterly!B:B,"&gt;="&amp;A1304-92,Quarterly!B:B,"&lt;="&amp;A1304)))</f>
        <v>6829.6</v>
      </c>
      <c r="K1304" s="13">
        <f t="shared" si="449"/>
        <v>6.7599999999999993E-2</v>
      </c>
      <c r="L1304">
        <f t="shared" si="451"/>
        <v>461.34</v>
      </c>
      <c r="M1304">
        <f>IF(A1304&gt;=Quarterly!B$2,Quarterly!D$2,IF(COUNTIFS(Quarterly!B:B,"&gt;="&amp;A1304-92,Quarterly!B:B,"&lt;="&amp;A1304)&gt;1,SUMIFS(Quarterly!D:D,Quarterly!B:B,"&gt;="&amp;A1304-88,Quarterly!B:B,"&lt;="&amp;A1304),SUMIFS(Quarterly!D:D,Quarterly!B:B,"&gt;="&amp;A1304-92,Quarterly!B:B,"&lt;="&amp;A1304)))</f>
        <v>327.31099999999998</v>
      </c>
      <c r="N1304" s="13">
        <f t="shared" si="452"/>
        <v>0.14094999999999999</v>
      </c>
      <c r="O1304">
        <f t="shared" si="440"/>
        <v>461.34</v>
      </c>
      <c r="P1304" s="56">
        <f>VLOOKUP(EOMONTH(A1304,-1),Economic!A:I,7,FALSE)</f>
        <v>565244</v>
      </c>
      <c r="Q1304" s="13">
        <f t="shared" si="441"/>
        <v>8.1600000000000006E-2</v>
      </c>
      <c r="R1304" s="41">
        <v>1.6</v>
      </c>
      <c r="S1304">
        <f t="shared" si="442"/>
        <v>2.38</v>
      </c>
      <c r="T1304" s="30">
        <f t="shared" si="443"/>
        <v>254.09</v>
      </c>
      <c r="U1304" s="30">
        <f t="shared" si="450"/>
        <v>251.86</v>
      </c>
    </row>
    <row r="1305" spans="1:21" ht="15" customHeight="1" x14ac:dyDescent="0.25">
      <c r="A1305" s="5">
        <v>34210</v>
      </c>
      <c r="B1305" s="5">
        <f t="shared" si="444"/>
        <v>34212</v>
      </c>
      <c r="C1305">
        <v>460.54</v>
      </c>
      <c r="D1305" s="29">
        <f t="shared" si="445"/>
        <v>2.1700000000000001E-2</v>
      </c>
      <c r="E1305" s="39">
        <f t="shared" si="446"/>
        <v>449.1576923076924</v>
      </c>
      <c r="F1305" s="39">
        <f t="shared" si="447"/>
        <v>443.97410256410262</v>
      </c>
      <c r="G1305" s="29">
        <f t="shared" si="439"/>
        <v>2.53E-2</v>
      </c>
      <c r="H1305" s="29">
        <f t="shared" si="439"/>
        <v>3.73E-2</v>
      </c>
      <c r="I1305">
        <f t="shared" si="448"/>
        <v>460.54</v>
      </c>
      <c r="J1305">
        <f>IF(A1305&gt;=Quarterly!B$2,Quarterly!C$2,IF(COUNTIFS(Quarterly!B:B,"&gt;="&amp;A1305-92,Quarterly!B:B,"&lt;="&amp;A1305)&gt;1,SUMIFS(Quarterly!C:C,Quarterly!B:B,"&gt;="&amp;A1305-88,Quarterly!B:B,"&lt;="&amp;A1305),SUMIFS(Quarterly!C:C,Quarterly!B:B,"&gt;="&amp;A1305-92,Quarterly!B:B,"&lt;="&amp;A1305)))</f>
        <v>6829.6</v>
      </c>
      <c r="K1305" s="13">
        <f t="shared" si="449"/>
        <v>6.7400000000000002E-2</v>
      </c>
      <c r="L1305">
        <f t="shared" si="451"/>
        <v>460.54</v>
      </c>
      <c r="M1305">
        <f>IF(A1305&gt;=Quarterly!B$2,Quarterly!D$2,IF(COUNTIFS(Quarterly!B:B,"&gt;="&amp;A1305-92,Quarterly!B:B,"&lt;="&amp;A1305)&gt;1,SUMIFS(Quarterly!D:D,Quarterly!B:B,"&gt;="&amp;A1305-88,Quarterly!B:B,"&lt;="&amp;A1305),SUMIFS(Quarterly!D:D,Quarterly!B:B,"&gt;="&amp;A1305-92,Quarterly!B:B,"&lt;="&amp;A1305)))</f>
        <v>327.31099999999998</v>
      </c>
      <c r="N1305" s="13">
        <f t="shared" si="452"/>
        <v>0.14070000000000002</v>
      </c>
      <c r="O1305">
        <f t="shared" si="440"/>
        <v>460.54</v>
      </c>
      <c r="P1305" s="56">
        <f>VLOOKUP(EOMONTH(A1305,-1),Economic!A:I,7,FALSE)</f>
        <v>561461</v>
      </c>
      <c r="Q1305" s="13">
        <f t="shared" si="441"/>
        <v>8.2000000000000003E-2</v>
      </c>
      <c r="R1305" s="41">
        <v>1.61</v>
      </c>
      <c r="S1305">
        <f t="shared" si="442"/>
        <v>2.27</v>
      </c>
      <c r="T1305" s="30">
        <f t="shared" si="443"/>
        <v>251.12</v>
      </c>
      <c r="U1305" s="30">
        <f t="shared" si="450"/>
        <v>250.63</v>
      </c>
    </row>
    <row r="1306" spans="1:21" ht="15" customHeight="1" x14ac:dyDescent="0.25">
      <c r="A1306" s="5">
        <v>34203</v>
      </c>
      <c r="B1306" s="5">
        <f t="shared" si="444"/>
        <v>34212</v>
      </c>
      <c r="C1306">
        <v>456.16</v>
      </c>
      <c r="D1306" s="29">
        <f t="shared" si="445"/>
        <v>1.7100000000000001E-2</v>
      </c>
      <c r="E1306" s="39">
        <f t="shared" si="446"/>
        <v>448.36153846153854</v>
      </c>
      <c r="F1306" s="39">
        <f t="shared" si="447"/>
        <v>443.1951282051283</v>
      </c>
      <c r="G1306" s="29">
        <f t="shared" si="439"/>
        <v>1.7399999999999999E-2</v>
      </c>
      <c r="H1306" s="29">
        <f t="shared" si="439"/>
        <v>2.93E-2</v>
      </c>
      <c r="I1306">
        <f t="shared" si="448"/>
        <v>456.16</v>
      </c>
      <c r="J1306">
        <f>IF(A1306&gt;=Quarterly!B$2,Quarterly!C$2,IF(COUNTIFS(Quarterly!B:B,"&gt;="&amp;A1306-92,Quarterly!B:B,"&lt;="&amp;A1306)&gt;1,SUMIFS(Quarterly!C:C,Quarterly!B:B,"&gt;="&amp;A1306-88,Quarterly!B:B,"&lt;="&amp;A1306),SUMIFS(Quarterly!C:C,Quarterly!B:B,"&gt;="&amp;A1306-92,Quarterly!B:B,"&lt;="&amp;A1306)))</f>
        <v>6829.6</v>
      </c>
      <c r="K1306" s="13">
        <f t="shared" si="449"/>
        <v>6.6799999999999998E-2</v>
      </c>
      <c r="L1306">
        <f t="shared" si="451"/>
        <v>456.16</v>
      </c>
      <c r="M1306">
        <f>IF(A1306&gt;=Quarterly!B$2,Quarterly!D$2,IF(COUNTIFS(Quarterly!B:B,"&gt;="&amp;A1306-92,Quarterly!B:B,"&lt;="&amp;A1306)&gt;1,SUMIFS(Quarterly!D:D,Quarterly!B:B,"&gt;="&amp;A1306-88,Quarterly!B:B,"&lt;="&amp;A1306),SUMIFS(Quarterly!D:D,Quarterly!B:B,"&gt;="&amp;A1306-92,Quarterly!B:B,"&lt;="&amp;A1306)))</f>
        <v>327.31099999999998</v>
      </c>
      <c r="N1306" s="13">
        <f t="shared" si="452"/>
        <v>0.13936999999999999</v>
      </c>
      <c r="O1306">
        <f t="shared" si="440"/>
        <v>456.16</v>
      </c>
      <c r="P1306" s="56">
        <f>VLOOKUP(EOMONTH(A1306,-1),Economic!A:I,7,FALSE)</f>
        <v>561461</v>
      </c>
      <c r="Q1306" s="13">
        <f t="shared" si="441"/>
        <v>8.1199999999999994E-2</v>
      </c>
      <c r="R1306" s="41">
        <v>1.68</v>
      </c>
      <c r="S1306">
        <f t="shared" si="442"/>
        <v>2.2400000000000002</v>
      </c>
      <c r="T1306" s="30">
        <f t="shared" si="443"/>
        <v>250.38</v>
      </c>
      <c r="U1306" s="30">
        <f t="shared" si="450"/>
        <v>249.96</v>
      </c>
    </row>
    <row r="1307" spans="1:21" ht="15" customHeight="1" x14ac:dyDescent="0.25">
      <c r="A1307" s="5">
        <v>34196</v>
      </c>
      <c r="B1307" s="5">
        <f t="shared" si="444"/>
        <v>34212</v>
      </c>
      <c r="C1307">
        <v>450.14</v>
      </c>
      <c r="D1307" s="29">
        <f t="shared" si="445"/>
        <v>6.1000000000000004E-3</v>
      </c>
      <c r="E1307" s="39">
        <f t="shared" si="446"/>
        <v>447.56769230769231</v>
      </c>
      <c r="F1307" s="39">
        <f t="shared" si="447"/>
        <v>442.43846153846158</v>
      </c>
      <c r="G1307" s="29">
        <f t="shared" si="439"/>
        <v>5.7000000000000002E-3</v>
      </c>
      <c r="H1307" s="29">
        <f t="shared" si="439"/>
        <v>1.7399999999999999E-2</v>
      </c>
      <c r="I1307">
        <f t="shared" si="448"/>
        <v>450.14</v>
      </c>
      <c r="J1307">
        <f>IF(A1307&gt;=Quarterly!B$2,Quarterly!C$2,IF(COUNTIFS(Quarterly!B:B,"&gt;="&amp;A1307-92,Quarterly!B:B,"&lt;="&amp;A1307)&gt;1,SUMIFS(Quarterly!C:C,Quarterly!B:B,"&gt;="&amp;A1307-88,Quarterly!B:B,"&lt;="&amp;A1307),SUMIFS(Quarterly!C:C,Quarterly!B:B,"&gt;="&amp;A1307-92,Quarterly!B:B,"&lt;="&amp;A1307)))</f>
        <v>6829.6</v>
      </c>
      <c r="K1307" s="13">
        <f t="shared" si="449"/>
        <v>6.59E-2</v>
      </c>
      <c r="L1307">
        <f t="shared" si="451"/>
        <v>450.14</v>
      </c>
      <c r="M1307">
        <f>IF(A1307&gt;=Quarterly!B$2,Quarterly!D$2,IF(COUNTIFS(Quarterly!B:B,"&gt;="&amp;A1307-92,Quarterly!B:B,"&lt;="&amp;A1307)&gt;1,SUMIFS(Quarterly!D:D,Quarterly!B:B,"&gt;="&amp;A1307-88,Quarterly!B:B,"&lt;="&amp;A1307),SUMIFS(Quarterly!D:D,Quarterly!B:B,"&gt;="&amp;A1307-92,Quarterly!B:B,"&lt;="&amp;A1307)))</f>
        <v>327.31099999999998</v>
      </c>
      <c r="N1307" s="13">
        <f t="shared" si="452"/>
        <v>0.13753000000000001</v>
      </c>
      <c r="O1307">
        <f t="shared" si="440"/>
        <v>450.14</v>
      </c>
      <c r="P1307" s="56">
        <f>VLOOKUP(EOMONTH(A1307,-1),Economic!A:I,7,FALSE)</f>
        <v>561461</v>
      </c>
      <c r="Q1307" s="13">
        <f t="shared" si="441"/>
        <v>8.0199999999999994E-2</v>
      </c>
      <c r="R1307" s="41">
        <v>1.72</v>
      </c>
      <c r="S1307">
        <f t="shared" si="442"/>
        <v>2.23</v>
      </c>
      <c r="T1307" s="30">
        <f t="shared" si="443"/>
        <v>250.38</v>
      </c>
      <c r="U1307" s="30">
        <f t="shared" si="450"/>
        <v>249.19</v>
      </c>
    </row>
    <row r="1308" spans="1:21" ht="15" customHeight="1" x14ac:dyDescent="0.25">
      <c r="A1308" s="5">
        <v>34189</v>
      </c>
      <c r="B1308" s="5">
        <f t="shared" si="444"/>
        <v>34212</v>
      </c>
      <c r="C1308">
        <v>448.68</v>
      </c>
      <c r="D1308" s="29">
        <f t="shared" si="445"/>
        <v>3.0999999999999999E-3</v>
      </c>
      <c r="E1308" s="39">
        <f t="shared" si="446"/>
        <v>446.75384615384615</v>
      </c>
      <c r="F1308" s="39">
        <f t="shared" si="447"/>
        <v>441.72794871794872</v>
      </c>
      <c r="G1308" s="29">
        <f t="shared" si="439"/>
        <v>4.3E-3</v>
      </c>
      <c r="H1308" s="29">
        <f t="shared" si="439"/>
        <v>1.5699999999999999E-2</v>
      </c>
      <c r="I1308">
        <f t="shared" si="448"/>
        <v>448.68</v>
      </c>
      <c r="J1308">
        <f>IF(A1308&gt;=Quarterly!B$2,Quarterly!C$2,IF(COUNTIFS(Quarterly!B:B,"&gt;="&amp;A1308-92,Quarterly!B:B,"&lt;="&amp;A1308)&gt;1,SUMIFS(Quarterly!C:C,Quarterly!B:B,"&gt;="&amp;A1308-88,Quarterly!B:B,"&lt;="&amp;A1308),SUMIFS(Quarterly!C:C,Quarterly!B:B,"&gt;="&amp;A1308-92,Quarterly!B:B,"&lt;="&amp;A1308)))</f>
        <v>6829.6</v>
      </c>
      <c r="K1308" s="13">
        <f t="shared" si="449"/>
        <v>6.5699999999999995E-2</v>
      </c>
      <c r="L1308">
        <f t="shared" si="451"/>
        <v>448.68</v>
      </c>
      <c r="M1308">
        <f>IF(A1308&gt;=Quarterly!B$2,Quarterly!D$2,IF(COUNTIFS(Quarterly!B:B,"&gt;="&amp;A1308-92,Quarterly!B:B,"&lt;="&amp;A1308)&gt;1,SUMIFS(Quarterly!D:D,Quarterly!B:B,"&gt;="&amp;A1308-88,Quarterly!B:B,"&lt;="&amp;A1308),SUMIFS(Quarterly!D:D,Quarterly!B:B,"&gt;="&amp;A1308-92,Quarterly!B:B,"&lt;="&amp;A1308)))</f>
        <v>327.31099999999998</v>
      </c>
      <c r="N1308" s="13">
        <f t="shared" si="452"/>
        <v>0.13708000000000001</v>
      </c>
      <c r="O1308">
        <f t="shared" si="440"/>
        <v>448.68</v>
      </c>
      <c r="P1308" s="56">
        <f>VLOOKUP(EOMONTH(A1308,-1),Economic!A:I,7,FALSE)</f>
        <v>561461</v>
      </c>
      <c r="Q1308" s="13">
        <f t="shared" si="441"/>
        <v>7.9899999999999999E-2</v>
      </c>
      <c r="R1308" s="41">
        <v>1.77</v>
      </c>
      <c r="S1308">
        <f t="shared" si="442"/>
        <v>2.1800000000000002</v>
      </c>
      <c r="T1308" s="30">
        <f t="shared" si="443"/>
        <v>249.13</v>
      </c>
      <c r="U1308" s="30">
        <f t="shared" si="450"/>
        <v>246.91</v>
      </c>
    </row>
    <row r="1309" spans="1:21" ht="15" customHeight="1" x14ac:dyDescent="0.25">
      <c r="A1309" s="5">
        <v>34182</v>
      </c>
      <c r="B1309" s="5">
        <f t="shared" si="444"/>
        <v>34212</v>
      </c>
      <c r="C1309">
        <v>448.13</v>
      </c>
      <c r="D1309" s="29">
        <f t="shared" si="445"/>
        <v>3.2000000000000002E-3</v>
      </c>
      <c r="E1309" s="39">
        <f t="shared" si="446"/>
        <v>446.26384615384626</v>
      </c>
      <c r="F1309" s="39">
        <f t="shared" si="447"/>
        <v>440.93051282051283</v>
      </c>
      <c r="G1309" s="29">
        <f t="shared" si="439"/>
        <v>4.1999999999999997E-3</v>
      </c>
      <c r="H1309" s="29">
        <f t="shared" si="439"/>
        <v>1.6299999999999999E-2</v>
      </c>
      <c r="I1309">
        <f t="shared" si="448"/>
        <v>448.13</v>
      </c>
      <c r="J1309">
        <f>IF(A1309&gt;=Quarterly!B$2,Quarterly!C$2,IF(COUNTIFS(Quarterly!B:B,"&gt;="&amp;A1309-92,Quarterly!B:B,"&lt;="&amp;A1309)&gt;1,SUMIFS(Quarterly!C:C,Quarterly!B:B,"&gt;="&amp;A1309-88,Quarterly!B:B,"&lt;="&amp;A1309),SUMIFS(Quarterly!C:C,Quarterly!B:B,"&gt;="&amp;A1309-92,Quarterly!B:B,"&lt;="&amp;A1309)))</f>
        <v>6829.6</v>
      </c>
      <c r="K1309" s="13">
        <f t="shared" si="449"/>
        <v>6.5600000000000006E-2</v>
      </c>
      <c r="L1309">
        <f t="shared" si="451"/>
        <v>448.13</v>
      </c>
      <c r="M1309">
        <f>IF(A1309&gt;=Quarterly!B$2,Quarterly!D$2,IF(COUNTIFS(Quarterly!B:B,"&gt;="&amp;A1309-92,Quarterly!B:B,"&lt;="&amp;A1309)&gt;1,SUMIFS(Quarterly!D:D,Quarterly!B:B,"&gt;="&amp;A1309-88,Quarterly!B:B,"&lt;="&amp;A1309),SUMIFS(Quarterly!D:D,Quarterly!B:B,"&gt;="&amp;A1309-92,Quarterly!B:B,"&lt;="&amp;A1309)))</f>
        <v>327.31099999999998</v>
      </c>
      <c r="N1309" s="13">
        <f t="shared" si="452"/>
        <v>0.13691</v>
      </c>
      <c r="O1309">
        <f t="shared" si="440"/>
        <v>448.13</v>
      </c>
      <c r="P1309" s="56">
        <f>VLOOKUP(EOMONTH(A1309,-1),Economic!A:I,7,FALSE)</f>
        <v>561461</v>
      </c>
      <c r="Q1309" s="13">
        <f t="shared" si="441"/>
        <v>7.9799999999999996E-2</v>
      </c>
      <c r="R1309" s="41">
        <v>1.7</v>
      </c>
      <c r="S1309">
        <f t="shared" si="442"/>
        <v>2.14</v>
      </c>
      <c r="T1309" s="30">
        <f t="shared" si="443"/>
        <v>248.06</v>
      </c>
      <c r="U1309" s="30">
        <f t="shared" si="450"/>
        <v>245.79</v>
      </c>
    </row>
    <row r="1310" spans="1:21" ht="15" customHeight="1" x14ac:dyDescent="0.25">
      <c r="A1310" s="5">
        <v>34175</v>
      </c>
      <c r="B1310" s="5">
        <f t="shared" si="444"/>
        <v>34181</v>
      </c>
      <c r="C1310">
        <v>447.1</v>
      </c>
      <c r="D1310" s="29">
        <f t="shared" si="445"/>
        <v>5.9999999999999995E-4</v>
      </c>
      <c r="E1310" s="39">
        <f t="shared" si="446"/>
        <v>445.65307692307698</v>
      </c>
      <c r="F1310" s="39">
        <f t="shared" si="447"/>
        <v>440.17538461538464</v>
      </c>
      <c r="G1310" s="29">
        <f t="shared" si="439"/>
        <v>3.2000000000000002E-3</v>
      </c>
      <c r="H1310" s="29">
        <f t="shared" si="439"/>
        <v>1.5699999999999999E-2</v>
      </c>
      <c r="I1310">
        <f t="shared" si="448"/>
        <v>447.1</v>
      </c>
      <c r="J1310">
        <f>IF(A1310&gt;=Quarterly!B$2,Quarterly!C$2,IF(COUNTIFS(Quarterly!B:B,"&gt;="&amp;A1310-92,Quarterly!B:B,"&lt;="&amp;A1310)&gt;1,SUMIFS(Quarterly!C:C,Quarterly!B:B,"&gt;="&amp;A1310-88,Quarterly!B:B,"&lt;="&amp;A1310),SUMIFS(Quarterly!C:C,Quarterly!B:B,"&gt;="&amp;A1310-92,Quarterly!B:B,"&lt;="&amp;A1310)))</f>
        <v>6748.2</v>
      </c>
      <c r="K1310" s="13">
        <f t="shared" si="449"/>
        <v>6.6299999999999998E-2</v>
      </c>
      <c r="L1310">
        <f t="shared" si="451"/>
        <v>447.1</v>
      </c>
      <c r="M1310">
        <f>IF(A1310&gt;=Quarterly!B$2,Quarterly!D$2,IF(COUNTIFS(Quarterly!B:B,"&gt;="&amp;A1310-92,Quarterly!B:B,"&lt;="&amp;A1310)&gt;1,SUMIFS(Quarterly!D:D,Quarterly!B:B,"&gt;="&amp;A1310-88,Quarterly!B:B,"&lt;="&amp;A1310),SUMIFS(Quarterly!D:D,Quarterly!B:B,"&gt;="&amp;A1310-92,Quarterly!B:B,"&lt;="&amp;A1310)))</f>
        <v>312.54399999999998</v>
      </c>
      <c r="N1310" s="13">
        <f t="shared" si="452"/>
        <v>0.14305000000000001</v>
      </c>
      <c r="O1310">
        <f t="shared" si="440"/>
        <v>447.1</v>
      </c>
      <c r="P1310" s="56">
        <f>VLOOKUP(EOMONTH(A1310,-1),Economic!A:I,7,FALSE)</f>
        <v>558071</v>
      </c>
      <c r="Q1310" s="13">
        <f t="shared" si="441"/>
        <v>8.0099999999999991E-2</v>
      </c>
      <c r="R1310" s="41">
        <v>1.7</v>
      </c>
      <c r="S1310">
        <f t="shared" si="442"/>
        <v>2.11</v>
      </c>
      <c r="T1310" s="30">
        <f t="shared" si="443"/>
        <v>243.53</v>
      </c>
      <c r="U1310" s="30">
        <f t="shared" si="450"/>
        <v>244.44</v>
      </c>
    </row>
    <row r="1311" spans="1:21" ht="15" customHeight="1" x14ac:dyDescent="0.25">
      <c r="A1311" s="5">
        <v>34168</v>
      </c>
      <c r="B1311" s="5">
        <f t="shared" si="444"/>
        <v>34181</v>
      </c>
      <c r="C1311">
        <v>445.75</v>
      </c>
      <c r="D1311" s="29">
        <f t="shared" si="445"/>
        <v>-1.1999999999999999E-3</v>
      </c>
      <c r="E1311" s="39">
        <f t="shared" si="446"/>
        <v>444.87846153846152</v>
      </c>
      <c r="F1311" s="39">
        <f t="shared" si="447"/>
        <v>439.32923076923066</v>
      </c>
      <c r="G1311" s="29">
        <f t="shared" si="439"/>
        <v>2E-3</v>
      </c>
      <c r="H1311" s="29">
        <f t="shared" si="439"/>
        <v>1.46E-2</v>
      </c>
      <c r="I1311">
        <f t="shared" si="448"/>
        <v>445.75</v>
      </c>
      <c r="J1311">
        <f>IF(A1311&gt;=Quarterly!B$2,Quarterly!C$2,IF(COUNTIFS(Quarterly!B:B,"&gt;="&amp;A1311-92,Quarterly!B:B,"&lt;="&amp;A1311)&gt;1,SUMIFS(Quarterly!C:C,Quarterly!B:B,"&gt;="&amp;A1311-88,Quarterly!B:B,"&lt;="&amp;A1311),SUMIFS(Quarterly!C:C,Quarterly!B:B,"&gt;="&amp;A1311-92,Quarterly!B:B,"&lt;="&amp;A1311)))</f>
        <v>6748.2</v>
      </c>
      <c r="K1311" s="13">
        <f t="shared" si="449"/>
        <v>6.6100000000000006E-2</v>
      </c>
      <c r="L1311">
        <f t="shared" si="451"/>
        <v>445.75</v>
      </c>
      <c r="M1311">
        <f>IF(A1311&gt;=Quarterly!B$2,Quarterly!D$2,IF(COUNTIFS(Quarterly!B:B,"&gt;="&amp;A1311-92,Quarterly!B:B,"&lt;="&amp;A1311)&gt;1,SUMIFS(Quarterly!D:D,Quarterly!B:B,"&gt;="&amp;A1311-88,Quarterly!B:B,"&lt;="&amp;A1311),SUMIFS(Quarterly!D:D,Quarterly!B:B,"&gt;="&amp;A1311-92,Quarterly!B:B,"&lt;="&amp;A1311)))</f>
        <v>312.54399999999998</v>
      </c>
      <c r="N1311" s="13">
        <f t="shared" si="452"/>
        <v>0.14262</v>
      </c>
      <c r="O1311">
        <f t="shared" si="440"/>
        <v>445.75</v>
      </c>
      <c r="P1311" s="56">
        <f>VLOOKUP(EOMONTH(A1311,-1),Economic!A:I,7,FALSE)</f>
        <v>558071</v>
      </c>
      <c r="Q1311" s="13">
        <f t="shared" si="441"/>
        <v>7.9899999999999999E-2</v>
      </c>
      <c r="R1311" s="41">
        <v>1.72</v>
      </c>
      <c r="S1311">
        <f t="shared" si="442"/>
        <v>2.17</v>
      </c>
      <c r="T1311" s="30">
        <f t="shared" si="443"/>
        <v>245.79</v>
      </c>
      <c r="U1311" s="30">
        <f t="shared" si="450"/>
        <v>245.76</v>
      </c>
    </row>
    <row r="1312" spans="1:21" ht="15" customHeight="1" x14ac:dyDescent="0.25">
      <c r="A1312" s="5">
        <v>34161</v>
      </c>
      <c r="B1312" s="5">
        <f t="shared" si="444"/>
        <v>34181</v>
      </c>
      <c r="C1312">
        <v>448.11</v>
      </c>
      <c r="D1312" s="29">
        <f t="shared" si="445"/>
        <v>4.4999999999999997E-3</v>
      </c>
      <c r="E1312" s="39">
        <f t="shared" si="446"/>
        <v>445.1238461538461</v>
      </c>
      <c r="F1312" s="39">
        <f t="shared" si="447"/>
        <v>438.45692307692298</v>
      </c>
      <c r="G1312" s="29">
        <f t="shared" si="439"/>
        <v>6.7000000000000002E-3</v>
      </c>
      <c r="H1312" s="29">
        <f t="shared" si="439"/>
        <v>2.1999999999999999E-2</v>
      </c>
      <c r="I1312">
        <f t="shared" si="448"/>
        <v>448.11</v>
      </c>
      <c r="J1312">
        <f>IF(A1312&gt;=Quarterly!B$2,Quarterly!C$2,IF(COUNTIFS(Quarterly!B:B,"&gt;="&amp;A1312-92,Quarterly!B:B,"&lt;="&amp;A1312)&gt;1,SUMIFS(Quarterly!C:C,Quarterly!B:B,"&gt;="&amp;A1312-88,Quarterly!B:B,"&lt;="&amp;A1312),SUMIFS(Quarterly!C:C,Quarterly!B:B,"&gt;="&amp;A1312-92,Quarterly!B:B,"&lt;="&amp;A1312)))</f>
        <v>6748.2</v>
      </c>
      <c r="K1312" s="13">
        <f t="shared" si="449"/>
        <v>6.6400000000000001E-2</v>
      </c>
      <c r="L1312">
        <f t="shared" si="451"/>
        <v>448.11</v>
      </c>
      <c r="M1312">
        <f>IF(A1312&gt;=Quarterly!B$2,Quarterly!D$2,IF(COUNTIFS(Quarterly!B:B,"&gt;="&amp;A1312-92,Quarterly!B:B,"&lt;="&amp;A1312)&gt;1,SUMIFS(Quarterly!D:D,Quarterly!B:B,"&gt;="&amp;A1312-88,Quarterly!B:B,"&lt;="&amp;A1312),SUMIFS(Quarterly!D:D,Quarterly!B:B,"&gt;="&amp;A1312-92,Quarterly!B:B,"&lt;="&amp;A1312)))</f>
        <v>312.54399999999998</v>
      </c>
      <c r="N1312" s="13">
        <f t="shared" si="452"/>
        <v>0.14338000000000001</v>
      </c>
      <c r="O1312">
        <f t="shared" si="440"/>
        <v>448.11</v>
      </c>
      <c r="P1312" s="56">
        <f>VLOOKUP(EOMONTH(A1312,-1),Economic!A:I,7,FALSE)</f>
        <v>558071</v>
      </c>
      <c r="Q1312" s="13">
        <f t="shared" si="441"/>
        <v>8.0299999999999996E-2</v>
      </c>
      <c r="R1312" s="41">
        <v>1.78</v>
      </c>
      <c r="S1312">
        <f t="shared" si="442"/>
        <v>2.12</v>
      </c>
      <c r="T1312" s="30">
        <f t="shared" si="443"/>
        <v>243.99</v>
      </c>
      <c r="U1312" s="30">
        <f t="shared" si="450"/>
        <v>246.29</v>
      </c>
    </row>
    <row r="1313" spans="1:21" ht="15" customHeight="1" x14ac:dyDescent="0.25">
      <c r="A1313" s="5">
        <v>34154</v>
      </c>
      <c r="B1313" s="5">
        <f t="shared" si="444"/>
        <v>34181</v>
      </c>
      <c r="C1313">
        <v>445.84</v>
      </c>
      <c r="D1313" s="29">
        <f t="shared" si="445"/>
        <v>-2.8999999999999998E-3</v>
      </c>
      <c r="E1313" s="39">
        <f t="shared" si="446"/>
        <v>444.6415384615384</v>
      </c>
      <c r="F1313" s="39">
        <f t="shared" si="447"/>
        <v>437.29153846153844</v>
      </c>
      <c r="G1313" s="29">
        <f t="shared" si="439"/>
        <v>2.7000000000000001E-3</v>
      </c>
      <c r="H1313" s="29">
        <f t="shared" si="439"/>
        <v>1.95E-2</v>
      </c>
      <c r="I1313">
        <f t="shared" si="448"/>
        <v>445.84</v>
      </c>
      <c r="J1313">
        <f>IF(A1313&gt;=Quarterly!B$2,Quarterly!C$2,IF(COUNTIFS(Quarterly!B:B,"&gt;="&amp;A1313-92,Quarterly!B:B,"&lt;="&amp;A1313)&gt;1,SUMIFS(Quarterly!C:C,Quarterly!B:B,"&gt;="&amp;A1313-88,Quarterly!B:B,"&lt;="&amp;A1313),SUMIFS(Quarterly!C:C,Quarterly!B:B,"&gt;="&amp;A1313-92,Quarterly!B:B,"&lt;="&amp;A1313)))</f>
        <v>6748.2</v>
      </c>
      <c r="K1313" s="13">
        <f t="shared" si="449"/>
        <v>6.6100000000000006E-2</v>
      </c>
      <c r="L1313">
        <f t="shared" si="451"/>
        <v>445.84</v>
      </c>
      <c r="M1313">
        <f>IF(A1313&gt;=Quarterly!B$2,Quarterly!D$2,IF(COUNTIFS(Quarterly!B:B,"&gt;="&amp;A1313-92,Quarterly!B:B,"&lt;="&amp;A1313)&gt;1,SUMIFS(Quarterly!D:D,Quarterly!B:B,"&gt;="&amp;A1313-88,Quarterly!B:B,"&lt;="&amp;A1313),SUMIFS(Quarterly!D:D,Quarterly!B:B,"&gt;="&amp;A1313-92,Quarterly!B:B,"&lt;="&amp;A1313)))</f>
        <v>312.54399999999998</v>
      </c>
      <c r="N1313" s="13">
        <f t="shared" si="452"/>
        <v>0.14265000000000003</v>
      </c>
      <c r="O1313">
        <f t="shared" si="440"/>
        <v>445.84</v>
      </c>
      <c r="P1313" s="56">
        <f>VLOOKUP(EOMONTH(A1313,-1),Economic!A:I,7,FALSE)</f>
        <v>558071</v>
      </c>
      <c r="Q1313" s="13">
        <f t="shared" si="441"/>
        <v>7.9899999999999999E-2</v>
      </c>
      <c r="R1313" s="41">
        <v>1.83</v>
      </c>
      <c r="S1313">
        <f t="shared" si="442"/>
        <v>2.23</v>
      </c>
      <c r="T1313" s="30">
        <f t="shared" si="443"/>
        <v>247.5</v>
      </c>
      <c r="U1313" s="30">
        <f t="shared" si="450"/>
        <v>246.19</v>
      </c>
    </row>
    <row r="1314" spans="1:21" ht="15" customHeight="1" x14ac:dyDescent="0.25">
      <c r="A1314" s="5">
        <v>34147</v>
      </c>
      <c r="B1314" s="5">
        <f t="shared" si="444"/>
        <v>34150</v>
      </c>
      <c r="C1314">
        <v>447.6</v>
      </c>
      <c r="D1314" s="29">
        <f t="shared" si="445"/>
        <v>-4.0000000000000002E-4</v>
      </c>
      <c r="E1314" s="39">
        <f t="shared" si="446"/>
        <v>444.2992307692308</v>
      </c>
      <c r="F1314" s="39">
        <f t="shared" si="447"/>
        <v>436.38461538461536</v>
      </c>
      <c r="G1314" s="29">
        <f t="shared" si="439"/>
        <v>7.4000000000000003E-3</v>
      </c>
      <c r="H1314" s="29">
        <f t="shared" si="439"/>
        <v>2.5700000000000001E-2</v>
      </c>
      <c r="I1314">
        <f t="shared" si="448"/>
        <v>447.6</v>
      </c>
      <c r="J1314">
        <f>IF(A1314&gt;=Quarterly!B$2,Quarterly!C$2,IF(COUNTIFS(Quarterly!B:B,"&gt;="&amp;A1314-92,Quarterly!B:B,"&lt;="&amp;A1314)&gt;1,SUMIFS(Quarterly!C:C,Quarterly!B:B,"&gt;="&amp;A1314-88,Quarterly!B:B,"&lt;="&amp;A1314),SUMIFS(Quarterly!C:C,Quarterly!B:B,"&gt;="&amp;A1314-92,Quarterly!B:B,"&lt;="&amp;A1314)))</f>
        <v>6748.2</v>
      </c>
      <c r="K1314" s="13">
        <f t="shared" si="449"/>
        <v>6.6299999999999998E-2</v>
      </c>
      <c r="L1314">
        <f t="shared" si="451"/>
        <v>447.6</v>
      </c>
      <c r="M1314">
        <f>IF(A1314&gt;=Quarterly!B$2,Quarterly!D$2,IF(COUNTIFS(Quarterly!B:B,"&gt;="&amp;A1314-92,Quarterly!B:B,"&lt;="&amp;A1314)&gt;1,SUMIFS(Quarterly!D:D,Quarterly!B:B,"&gt;="&amp;A1314-88,Quarterly!B:B,"&lt;="&amp;A1314),SUMIFS(Quarterly!D:D,Quarterly!B:B,"&gt;="&amp;A1314-92,Quarterly!B:B,"&lt;="&amp;A1314)))</f>
        <v>312.54399999999998</v>
      </c>
      <c r="N1314" s="13">
        <f t="shared" si="452"/>
        <v>0.14321</v>
      </c>
      <c r="O1314">
        <f t="shared" si="440"/>
        <v>447.6</v>
      </c>
      <c r="P1314" s="56">
        <f>VLOOKUP(EOMONTH(A1314,-1),Economic!A:I,7,FALSE)</f>
        <v>557377</v>
      </c>
      <c r="Q1314" s="13">
        <f t="shared" si="441"/>
        <v>8.0299999999999996E-2</v>
      </c>
      <c r="R1314" s="41">
        <v>1.74</v>
      </c>
      <c r="S1314">
        <f t="shared" si="442"/>
        <v>2.2200000000000002</v>
      </c>
      <c r="T1314" s="30">
        <f t="shared" si="443"/>
        <v>247.37</v>
      </c>
      <c r="U1314" s="30">
        <f t="shared" si="450"/>
        <v>245.81</v>
      </c>
    </row>
    <row r="1315" spans="1:21" ht="15" customHeight="1" x14ac:dyDescent="0.25">
      <c r="A1315" s="5">
        <v>34140</v>
      </c>
      <c r="B1315" s="5">
        <f t="shared" si="444"/>
        <v>34150</v>
      </c>
      <c r="C1315">
        <v>443.68</v>
      </c>
      <c r="D1315" s="29">
        <f t="shared" si="445"/>
        <v>-1.04E-2</v>
      </c>
      <c r="E1315" s="39">
        <f t="shared" si="446"/>
        <v>444.31307692307689</v>
      </c>
      <c r="F1315" s="39">
        <f t="shared" si="447"/>
        <v>435.53205128205127</v>
      </c>
      <c r="G1315" s="29">
        <f t="shared" si="439"/>
        <v>-1.4E-3</v>
      </c>
      <c r="H1315" s="29">
        <f t="shared" si="439"/>
        <v>1.8700000000000001E-2</v>
      </c>
      <c r="I1315">
        <f t="shared" si="448"/>
        <v>443.68</v>
      </c>
      <c r="J1315">
        <f>IF(A1315&gt;=Quarterly!B$2,Quarterly!C$2,IF(COUNTIFS(Quarterly!B:B,"&gt;="&amp;A1315-92,Quarterly!B:B,"&lt;="&amp;A1315)&gt;1,SUMIFS(Quarterly!C:C,Quarterly!B:B,"&gt;="&amp;A1315-88,Quarterly!B:B,"&lt;="&amp;A1315),SUMIFS(Quarterly!C:C,Quarterly!B:B,"&gt;="&amp;A1315-92,Quarterly!B:B,"&lt;="&amp;A1315)))</f>
        <v>6748.2</v>
      </c>
      <c r="K1315" s="13">
        <f t="shared" si="449"/>
        <v>6.5699999999999995E-2</v>
      </c>
      <c r="L1315">
        <f t="shared" si="451"/>
        <v>443.68</v>
      </c>
      <c r="M1315">
        <f>IF(A1315&gt;=Quarterly!B$2,Quarterly!D$2,IF(COUNTIFS(Quarterly!B:B,"&gt;="&amp;A1315-92,Quarterly!B:B,"&lt;="&amp;A1315)&gt;1,SUMIFS(Quarterly!D:D,Quarterly!B:B,"&gt;="&amp;A1315-88,Quarterly!B:B,"&lt;="&amp;A1315),SUMIFS(Quarterly!D:D,Quarterly!B:B,"&gt;="&amp;A1315-92,Quarterly!B:B,"&lt;="&amp;A1315)))</f>
        <v>312.54399999999998</v>
      </c>
      <c r="N1315" s="13">
        <f t="shared" si="452"/>
        <v>0.14196</v>
      </c>
      <c r="O1315">
        <f t="shared" si="440"/>
        <v>443.68</v>
      </c>
      <c r="P1315" s="56">
        <f>VLOOKUP(EOMONTH(A1315,-1),Economic!A:I,7,FALSE)</f>
        <v>557377</v>
      </c>
      <c r="Q1315" s="13">
        <f t="shared" si="441"/>
        <v>7.9600000000000004E-2</v>
      </c>
      <c r="R1315" s="41">
        <v>1.81</v>
      </c>
      <c r="S1315">
        <f t="shared" si="442"/>
        <v>2.11</v>
      </c>
      <c r="T1315" s="30">
        <f t="shared" si="443"/>
        <v>243.7</v>
      </c>
      <c r="U1315" s="30">
        <f t="shared" si="450"/>
        <v>243.69</v>
      </c>
    </row>
    <row r="1316" spans="1:21" ht="15" customHeight="1" x14ac:dyDescent="0.25">
      <c r="A1316" s="5">
        <v>34133</v>
      </c>
      <c r="B1316" s="5">
        <f t="shared" si="444"/>
        <v>34150</v>
      </c>
      <c r="C1316">
        <v>447.26</v>
      </c>
      <c r="D1316" s="29">
        <f t="shared" si="445"/>
        <v>1.9E-3</v>
      </c>
      <c r="E1316" s="39">
        <f t="shared" si="446"/>
        <v>444.81307692307689</v>
      </c>
      <c r="F1316" s="39">
        <f t="shared" si="447"/>
        <v>434.99999999999989</v>
      </c>
      <c r="G1316" s="29">
        <f t="shared" si="439"/>
        <v>5.4999999999999997E-3</v>
      </c>
      <c r="H1316" s="29">
        <f t="shared" si="439"/>
        <v>2.8199999999999999E-2</v>
      </c>
      <c r="I1316">
        <f t="shared" si="448"/>
        <v>447.26</v>
      </c>
      <c r="J1316">
        <f>IF(A1316&gt;=Quarterly!B$2,Quarterly!C$2,IF(COUNTIFS(Quarterly!B:B,"&gt;="&amp;A1316-92,Quarterly!B:B,"&lt;="&amp;A1316)&gt;1,SUMIFS(Quarterly!C:C,Quarterly!B:B,"&gt;="&amp;A1316-88,Quarterly!B:B,"&lt;="&amp;A1316),SUMIFS(Quarterly!C:C,Quarterly!B:B,"&gt;="&amp;A1316-92,Quarterly!B:B,"&lt;="&amp;A1316)))</f>
        <v>6748.2</v>
      </c>
      <c r="K1316" s="13">
        <f t="shared" si="449"/>
        <v>6.6299999999999998E-2</v>
      </c>
      <c r="L1316">
        <f t="shared" si="451"/>
        <v>447.26</v>
      </c>
      <c r="M1316">
        <f>IF(A1316&gt;=Quarterly!B$2,Quarterly!D$2,IF(COUNTIFS(Quarterly!B:B,"&gt;="&amp;A1316-92,Quarterly!B:B,"&lt;="&amp;A1316)&gt;1,SUMIFS(Quarterly!D:D,Quarterly!B:B,"&gt;="&amp;A1316-88,Quarterly!B:B,"&lt;="&amp;A1316),SUMIFS(Quarterly!D:D,Quarterly!B:B,"&gt;="&amp;A1316-92,Quarterly!B:B,"&lt;="&amp;A1316)))</f>
        <v>312.54399999999998</v>
      </c>
      <c r="N1316" s="13">
        <f t="shared" si="452"/>
        <v>0.1431</v>
      </c>
      <c r="O1316">
        <f t="shared" si="440"/>
        <v>447.26</v>
      </c>
      <c r="P1316" s="56">
        <f>VLOOKUP(EOMONTH(A1316,-1),Economic!A:I,7,FALSE)</f>
        <v>557377</v>
      </c>
      <c r="Q1316" s="13">
        <f t="shared" si="441"/>
        <v>8.0199999999999994E-2</v>
      </c>
      <c r="R1316" s="41">
        <v>1.82</v>
      </c>
      <c r="S1316">
        <f t="shared" si="442"/>
        <v>2.21</v>
      </c>
      <c r="T1316" s="30">
        <f t="shared" si="443"/>
        <v>246.35</v>
      </c>
      <c r="U1316" s="30">
        <f t="shared" si="450"/>
        <v>240.79</v>
      </c>
    </row>
    <row r="1317" spans="1:21" ht="15" customHeight="1" x14ac:dyDescent="0.25">
      <c r="A1317" s="5">
        <v>34126</v>
      </c>
      <c r="B1317" s="5">
        <f t="shared" si="444"/>
        <v>34150</v>
      </c>
      <c r="C1317">
        <v>450.06</v>
      </c>
      <c r="D1317" s="29">
        <f t="shared" si="445"/>
        <v>1.26E-2</v>
      </c>
      <c r="E1317" s="39">
        <f t="shared" si="446"/>
        <v>445.01076923076926</v>
      </c>
      <c r="F1317" s="39">
        <f t="shared" si="447"/>
        <v>434.2902564102564</v>
      </c>
      <c r="G1317" s="29">
        <f t="shared" si="439"/>
        <v>1.1299999999999999E-2</v>
      </c>
      <c r="H1317" s="29">
        <f t="shared" si="439"/>
        <v>3.6299999999999999E-2</v>
      </c>
      <c r="I1317">
        <f t="shared" si="448"/>
        <v>450.06</v>
      </c>
      <c r="J1317">
        <f>IF(A1317&gt;=Quarterly!B$2,Quarterly!C$2,IF(COUNTIFS(Quarterly!B:B,"&gt;="&amp;A1317-92,Quarterly!B:B,"&lt;="&amp;A1317)&gt;1,SUMIFS(Quarterly!C:C,Quarterly!B:B,"&gt;="&amp;A1317-88,Quarterly!B:B,"&lt;="&amp;A1317),SUMIFS(Quarterly!C:C,Quarterly!B:B,"&gt;="&amp;A1317-92,Quarterly!B:B,"&lt;="&amp;A1317)))</f>
        <v>6748.2</v>
      </c>
      <c r="K1317" s="13">
        <f t="shared" si="449"/>
        <v>6.6699999999999995E-2</v>
      </c>
      <c r="L1317">
        <f t="shared" si="451"/>
        <v>450.06</v>
      </c>
      <c r="M1317">
        <f>IF(A1317&gt;=Quarterly!B$2,Quarterly!D$2,IF(COUNTIFS(Quarterly!B:B,"&gt;="&amp;A1317-92,Quarterly!B:B,"&lt;="&amp;A1317)&gt;1,SUMIFS(Quarterly!D:D,Quarterly!B:B,"&gt;="&amp;A1317-88,Quarterly!B:B,"&lt;="&amp;A1317),SUMIFS(Quarterly!D:D,Quarterly!B:B,"&gt;="&amp;A1317-92,Quarterly!B:B,"&lt;="&amp;A1317)))</f>
        <v>312.54399999999998</v>
      </c>
      <c r="N1317" s="13">
        <f t="shared" si="452"/>
        <v>0.14399999999999999</v>
      </c>
      <c r="O1317">
        <f t="shared" si="440"/>
        <v>450.06</v>
      </c>
      <c r="P1317" s="56">
        <f>VLOOKUP(EOMONTH(A1317,-1),Economic!A:I,7,FALSE)</f>
        <v>557377</v>
      </c>
      <c r="Q1317" s="13">
        <f t="shared" si="441"/>
        <v>8.0699999999999994E-2</v>
      </c>
      <c r="R1317" s="41">
        <v>1.8</v>
      </c>
      <c r="S1317">
        <f t="shared" si="442"/>
        <v>2.0499999999999998</v>
      </c>
      <c r="T1317" s="30">
        <f t="shared" si="443"/>
        <v>241.01</v>
      </c>
      <c r="U1317" s="30">
        <f t="shared" si="450"/>
        <v>236.16</v>
      </c>
    </row>
    <row r="1318" spans="1:21" ht="15" customHeight="1" x14ac:dyDescent="0.25">
      <c r="A1318" s="5">
        <v>34119</v>
      </c>
      <c r="B1318" s="5">
        <f t="shared" si="444"/>
        <v>34120</v>
      </c>
      <c r="C1318">
        <v>450.19</v>
      </c>
      <c r="D1318" s="29">
        <f t="shared" si="445"/>
        <v>1.8599999999999998E-2</v>
      </c>
      <c r="E1318" s="39">
        <f t="shared" si="446"/>
        <v>444.70692307692303</v>
      </c>
      <c r="F1318" s="39">
        <f t="shared" si="447"/>
        <v>433.44461538461536</v>
      </c>
      <c r="G1318" s="29">
        <f t="shared" si="439"/>
        <v>1.23E-2</v>
      </c>
      <c r="H1318" s="29">
        <f t="shared" si="439"/>
        <v>3.8600000000000002E-2</v>
      </c>
      <c r="I1318">
        <f t="shared" si="448"/>
        <v>450.19</v>
      </c>
      <c r="J1318">
        <f>IF(A1318&gt;=Quarterly!B$2,Quarterly!C$2,IF(COUNTIFS(Quarterly!B:B,"&gt;="&amp;A1318-92,Quarterly!B:B,"&lt;="&amp;A1318)&gt;1,SUMIFS(Quarterly!C:C,Quarterly!B:B,"&gt;="&amp;A1318-88,Quarterly!B:B,"&lt;="&amp;A1318),SUMIFS(Quarterly!C:C,Quarterly!B:B,"&gt;="&amp;A1318-92,Quarterly!B:B,"&lt;="&amp;A1318)))</f>
        <v>6748.2</v>
      </c>
      <c r="K1318" s="13">
        <f t="shared" si="449"/>
        <v>6.6699999999999995E-2</v>
      </c>
      <c r="L1318">
        <f t="shared" si="451"/>
        <v>450.19</v>
      </c>
      <c r="M1318">
        <f>IF(A1318&gt;=Quarterly!B$2,Quarterly!D$2,IF(COUNTIFS(Quarterly!B:B,"&gt;="&amp;A1318-92,Quarterly!B:B,"&lt;="&amp;A1318)&gt;1,SUMIFS(Quarterly!D:D,Quarterly!B:B,"&gt;="&amp;A1318-88,Quarterly!B:B,"&lt;="&amp;A1318),SUMIFS(Quarterly!D:D,Quarterly!B:B,"&gt;="&amp;A1318-92,Quarterly!B:B,"&lt;="&amp;A1318)))</f>
        <v>312.54399999999998</v>
      </c>
      <c r="N1318" s="13">
        <f t="shared" si="452"/>
        <v>0.14404</v>
      </c>
      <c r="O1318">
        <f t="shared" si="440"/>
        <v>450.19</v>
      </c>
      <c r="P1318" s="56">
        <f>VLOOKUP(EOMONTH(A1318,-1),Economic!A:I,7,FALSE)</f>
        <v>556448</v>
      </c>
      <c r="Q1318" s="13">
        <f t="shared" si="441"/>
        <v>8.09E-2</v>
      </c>
      <c r="R1318" s="41">
        <v>1.92</v>
      </c>
      <c r="S1318">
        <f t="shared" si="442"/>
        <v>1.86</v>
      </c>
      <c r="T1318" s="30">
        <f t="shared" si="443"/>
        <v>235</v>
      </c>
      <c r="U1318" s="30">
        <f t="shared" si="450"/>
        <v>234.24</v>
      </c>
    </row>
    <row r="1319" spans="1:21" ht="15" customHeight="1" x14ac:dyDescent="0.25">
      <c r="A1319" s="5">
        <v>34112</v>
      </c>
      <c r="B1319" s="5">
        <f t="shared" si="444"/>
        <v>34120</v>
      </c>
      <c r="C1319">
        <v>445.84</v>
      </c>
      <c r="D1319" s="29">
        <f t="shared" si="445"/>
        <v>1.38E-2</v>
      </c>
      <c r="E1319" s="39">
        <f t="shared" si="446"/>
        <v>444.18307692307695</v>
      </c>
      <c r="F1319" s="39">
        <f t="shared" si="447"/>
        <v>432.53820512820505</v>
      </c>
      <c r="G1319" s="29">
        <f t="shared" si="439"/>
        <v>3.7000000000000002E-3</v>
      </c>
      <c r="H1319" s="29">
        <f t="shared" si="439"/>
        <v>3.0800000000000001E-2</v>
      </c>
      <c r="I1319">
        <f t="shared" si="448"/>
        <v>445.84</v>
      </c>
      <c r="J1319">
        <f>IF(A1319&gt;=Quarterly!B$2,Quarterly!C$2,IF(COUNTIFS(Quarterly!B:B,"&gt;="&amp;A1319-92,Quarterly!B:B,"&lt;="&amp;A1319)&gt;1,SUMIFS(Quarterly!C:C,Quarterly!B:B,"&gt;="&amp;A1319-88,Quarterly!B:B,"&lt;="&amp;A1319),SUMIFS(Quarterly!C:C,Quarterly!B:B,"&gt;="&amp;A1319-92,Quarterly!B:B,"&lt;="&amp;A1319)))</f>
        <v>6748.2</v>
      </c>
      <c r="K1319" s="13">
        <f t="shared" si="449"/>
        <v>6.6100000000000006E-2</v>
      </c>
      <c r="L1319">
        <f t="shared" si="451"/>
        <v>445.84</v>
      </c>
      <c r="M1319">
        <f>IF(A1319&gt;=Quarterly!B$2,Quarterly!D$2,IF(COUNTIFS(Quarterly!B:B,"&gt;="&amp;A1319-92,Quarterly!B:B,"&lt;="&amp;A1319)&gt;1,SUMIFS(Quarterly!D:D,Quarterly!B:B,"&gt;="&amp;A1319-88,Quarterly!B:B,"&lt;="&amp;A1319),SUMIFS(Quarterly!D:D,Quarterly!B:B,"&gt;="&amp;A1319-92,Quarterly!B:B,"&lt;="&amp;A1319)))</f>
        <v>312.54399999999998</v>
      </c>
      <c r="N1319" s="13">
        <f t="shared" si="452"/>
        <v>0.14265000000000003</v>
      </c>
      <c r="O1319">
        <f t="shared" si="440"/>
        <v>445.84</v>
      </c>
      <c r="P1319" s="56">
        <f>VLOOKUP(EOMONTH(A1319,-1),Economic!A:I,7,FALSE)</f>
        <v>556448</v>
      </c>
      <c r="Q1319" s="13">
        <f t="shared" si="441"/>
        <v>8.0099999999999991E-2</v>
      </c>
      <c r="R1319" s="41">
        <v>2.02</v>
      </c>
      <c r="S1319">
        <f t="shared" si="442"/>
        <v>1.78</v>
      </c>
      <c r="T1319" s="30">
        <f t="shared" si="443"/>
        <v>232.46</v>
      </c>
      <c r="U1319" s="30">
        <f t="shared" si="450"/>
        <v>234.54</v>
      </c>
    </row>
    <row r="1320" spans="1:21" ht="15" customHeight="1" x14ac:dyDescent="0.25">
      <c r="A1320" s="5">
        <v>34105</v>
      </c>
      <c r="B1320" s="5">
        <f t="shared" si="444"/>
        <v>34120</v>
      </c>
      <c r="C1320">
        <v>439.56</v>
      </c>
      <c r="D1320" s="29">
        <f t="shared" si="445"/>
        <v>-5.7999999999999996E-3</v>
      </c>
      <c r="E1320" s="39">
        <f t="shared" si="446"/>
        <v>443.28923076923081</v>
      </c>
      <c r="F1320" s="39">
        <f t="shared" si="447"/>
        <v>431.74358974358967</v>
      </c>
      <c r="G1320" s="29">
        <f t="shared" si="439"/>
        <v>-8.3999999999999995E-3</v>
      </c>
      <c r="H1320" s="29">
        <f t="shared" si="439"/>
        <v>1.8100000000000002E-2</v>
      </c>
      <c r="I1320">
        <f t="shared" si="448"/>
        <v>439.56</v>
      </c>
      <c r="J1320">
        <f>IF(A1320&gt;=Quarterly!B$2,Quarterly!C$2,IF(COUNTIFS(Quarterly!B:B,"&gt;="&amp;A1320-92,Quarterly!B:B,"&lt;="&amp;A1320)&gt;1,SUMIFS(Quarterly!C:C,Quarterly!B:B,"&gt;="&amp;A1320-88,Quarterly!B:B,"&lt;="&amp;A1320),SUMIFS(Quarterly!C:C,Quarterly!B:B,"&gt;="&amp;A1320-92,Quarterly!B:B,"&lt;="&amp;A1320)))</f>
        <v>6748.2</v>
      </c>
      <c r="K1320" s="13">
        <f t="shared" si="449"/>
        <v>6.5100000000000005E-2</v>
      </c>
      <c r="L1320">
        <f t="shared" si="451"/>
        <v>439.56</v>
      </c>
      <c r="M1320">
        <f>IF(A1320&gt;=Quarterly!B$2,Quarterly!D$2,IF(COUNTIFS(Quarterly!B:B,"&gt;="&amp;A1320-92,Quarterly!B:B,"&lt;="&amp;A1320)&gt;1,SUMIFS(Quarterly!D:D,Quarterly!B:B,"&gt;="&amp;A1320-88,Quarterly!B:B,"&lt;="&amp;A1320),SUMIFS(Quarterly!D:D,Quarterly!B:B,"&gt;="&amp;A1320-92,Quarterly!B:B,"&lt;="&amp;A1320)))</f>
        <v>312.54399999999998</v>
      </c>
      <c r="N1320" s="13">
        <f t="shared" si="452"/>
        <v>0.14064000000000002</v>
      </c>
      <c r="O1320">
        <f t="shared" si="440"/>
        <v>439.56</v>
      </c>
      <c r="P1320" s="56">
        <f>VLOOKUP(EOMONTH(A1320,-1),Economic!A:I,7,FALSE)</f>
        <v>556448</v>
      </c>
      <c r="Q1320" s="13">
        <f t="shared" si="441"/>
        <v>7.9000000000000001E-2</v>
      </c>
      <c r="R1320" s="41">
        <v>2.06</v>
      </c>
      <c r="S1320">
        <f t="shared" si="442"/>
        <v>1.85</v>
      </c>
      <c r="T1320" s="30">
        <f t="shared" si="443"/>
        <v>235.26</v>
      </c>
      <c r="U1320" s="30">
        <f t="shared" si="450"/>
        <v>236.81</v>
      </c>
    </row>
    <row r="1321" spans="1:21" ht="15" customHeight="1" x14ac:dyDescent="0.25">
      <c r="A1321" s="5">
        <v>34098</v>
      </c>
      <c r="B1321" s="5">
        <f t="shared" si="444"/>
        <v>34120</v>
      </c>
      <c r="C1321">
        <v>442.31</v>
      </c>
      <c r="D1321" s="29">
        <f t="shared" si="445"/>
        <v>6.9999999999999999E-4</v>
      </c>
      <c r="E1321" s="39">
        <f t="shared" si="446"/>
        <v>443.67538461538459</v>
      </c>
      <c r="F1321" s="39">
        <f t="shared" si="447"/>
        <v>431.23974358974357</v>
      </c>
      <c r="G1321" s="29">
        <f t="shared" si="439"/>
        <v>-3.0999999999999999E-3</v>
      </c>
      <c r="H1321" s="29">
        <f t="shared" si="439"/>
        <v>2.5700000000000001E-2</v>
      </c>
      <c r="I1321">
        <f t="shared" si="448"/>
        <v>442.31</v>
      </c>
      <c r="J1321">
        <f>IF(A1321&gt;=Quarterly!B$2,Quarterly!C$2,IF(COUNTIFS(Quarterly!B:B,"&gt;="&amp;A1321-92,Quarterly!B:B,"&lt;="&amp;A1321)&gt;1,SUMIFS(Quarterly!C:C,Quarterly!B:B,"&gt;="&amp;A1321-88,Quarterly!B:B,"&lt;="&amp;A1321),SUMIFS(Quarterly!C:C,Quarterly!B:B,"&gt;="&amp;A1321-92,Quarterly!B:B,"&lt;="&amp;A1321)))</f>
        <v>6748.2</v>
      </c>
      <c r="K1321" s="13">
        <f t="shared" si="449"/>
        <v>6.5500000000000003E-2</v>
      </c>
      <c r="L1321">
        <f t="shared" si="451"/>
        <v>442.31</v>
      </c>
      <c r="M1321">
        <f>IF(A1321&gt;=Quarterly!B$2,Quarterly!D$2,IF(COUNTIFS(Quarterly!B:B,"&gt;="&amp;A1321-92,Quarterly!B:B,"&lt;="&amp;A1321)&gt;1,SUMIFS(Quarterly!D:D,Quarterly!B:B,"&gt;="&amp;A1321-88,Quarterly!B:B,"&lt;="&amp;A1321),SUMIFS(Quarterly!D:D,Quarterly!B:B,"&gt;="&amp;A1321-92,Quarterly!B:B,"&lt;="&amp;A1321)))</f>
        <v>312.54399999999998</v>
      </c>
      <c r="N1321" s="13">
        <f t="shared" si="452"/>
        <v>0.14152000000000001</v>
      </c>
      <c r="O1321">
        <f t="shared" si="440"/>
        <v>442.31</v>
      </c>
      <c r="P1321" s="56">
        <f>VLOOKUP(EOMONTH(A1321,-1),Economic!A:I,7,FALSE)</f>
        <v>556448</v>
      </c>
      <c r="Q1321" s="13">
        <f t="shared" si="441"/>
        <v>7.9500000000000001E-2</v>
      </c>
      <c r="R1321" s="41">
        <v>2.13</v>
      </c>
      <c r="S1321">
        <f t="shared" si="442"/>
        <v>1.88</v>
      </c>
      <c r="T1321" s="30">
        <f t="shared" si="443"/>
        <v>235.9</v>
      </c>
      <c r="U1321" s="30">
        <f t="shared" si="450"/>
        <v>237.66</v>
      </c>
    </row>
    <row r="1322" spans="1:21" ht="15" customHeight="1" x14ac:dyDescent="0.25">
      <c r="A1322" s="5">
        <v>34091</v>
      </c>
      <c r="B1322" s="5">
        <f t="shared" si="444"/>
        <v>34120</v>
      </c>
      <c r="C1322">
        <v>440.19</v>
      </c>
      <c r="D1322" s="29">
        <f t="shared" si="445"/>
        <v>-4.7999999999999996E-3</v>
      </c>
      <c r="E1322" s="39">
        <f t="shared" si="446"/>
        <v>444.18461538461543</v>
      </c>
      <c r="F1322" s="39">
        <f t="shared" si="447"/>
        <v>430.63897435897434</v>
      </c>
      <c r="G1322" s="29">
        <f t="shared" si="439"/>
        <v>-8.9999999999999993E-3</v>
      </c>
      <c r="H1322" s="29">
        <f t="shared" si="439"/>
        <v>2.2200000000000001E-2</v>
      </c>
      <c r="I1322">
        <f t="shared" si="448"/>
        <v>440.19</v>
      </c>
      <c r="J1322">
        <f>IF(A1322&gt;=Quarterly!B$2,Quarterly!C$2,IF(COUNTIFS(Quarterly!B:B,"&gt;="&amp;A1322-92,Quarterly!B:B,"&lt;="&amp;A1322)&gt;1,SUMIFS(Quarterly!C:C,Quarterly!B:B,"&gt;="&amp;A1322-88,Quarterly!B:B,"&lt;="&amp;A1322),SUMIFS(Quarterly!C:C,Quarterly!B:B,"&gt;="&amp;A1322-92,Quarterly!B:B,"&lt;="&amp;A1322)))</f>
        <v>6748.2</v>
      </c>
      <c r="K1322" s="13">
        <f t="shared" si="449"/>
        <v>6.5199999999999994E-2</v>
      </c>
      <c r="L1322">
        <f t="shared" si="451"/>
        <v>440.19</v>
      </c>
      <c r="M1322">
        <f>IF(A1322&gt;=Quarterly!B$2,Quarterly!D$2,IF(COUNTIFS(Quarterly!B:B,"&gt;="&amp;A1322-92,Quarterly!B:B,"&lt;="&amp;A1322)&gt;1,SUMIFS(Quarterly!D:D,Quarterly!B:B,"&gt;="&amp;A1322-88,Quarterly!B:B,"&lt;="&amp;A1322),SUMIFS(Quarterly!D:D,Quarterly!B:B,"&gt;="&amp;A1322-92,Quarterly!B:B,"&lt;="&amp;A1322)))</f>
        <v>312.54399999999998</v>
      </c>
      <c r="N1322" s="13">
        <f t="shared" si="452"/>
        <v>0.14084000000000002</v>
      </c>
      <c r="O1322">
        <f t="shared" si="440"/>
        <v>440.19</v>
      </c>
      <c r="P1322" s="56">
        <f>VLOOKUP(EOMONTH(A1322,-1),Economic!A:I,7,FALSE)</f>
        <v>556448</v>
      </c>
      <c r="Q1322" s="13">
        <f t="shared" si="441"/>
        <v>7.9100000000000004E-2</v>
      </c>
      <c r="R1322" s="41">
        <v>2.2200000000000002</v>
      </c>
      <c r="S1322">
        <f t="shared" si="442"/>
        <v>2</v>
      </c>
      <c r="T1322" s="30">
        <f t="shared" si="443"/>
        <v>239.26</v>
      </c>
      <c r="U1322" s="30">
        <f t="shared" si="450"/>
        <v>239.94</v>
      </c>
    </row>
    <row r="1323" spans="1:21" ht="15" customHeight="1" x14ac:dyDescent="0.25">
      <c r="A1323" s="5">
        <v>34084</v>
      </c>
      <c r="B1323" s="5">
        <f t="shared" si="444"/>
        <v>34089</v>
      </c>
      <c r="C1323">
        <v>437.03</v>
      </c>
      <c r="D1323" s="29">
        <f t="shared" si="445"/>
        <v>-1.7899999999999999E-2</v>
      </c>
      <c r="E1323" s="39">
        <f t="shared" si="446"/>
        <v>444.07615384615383</v>
      </c>
      <c r="F1323" s="39">
        <f t="shared" si="447"/>
        <v>430.22923076923075</v>
      </c>
      <c r="G1323" s="29">
        <f t="shared" si="439"/>
        <v>-1.5900000000000001E-2</v>
      </c>
      <c r="H1323" s="29">
        <f t="shared" si="439"/>
        <v>1.5800000000000002E-2</v>
      </c>
      <c r="I1323">
        <f t="shared" si="448"/>
        <v>437.03</v>
      </c>
      <c r="J1323">
        <f>IF(A1323&gt;=Quarterly!B$2,Quarterly!C$2,IF(COUNTIFS(Quarterly!B:B,"&gt;="&amp;A1323-92,Quarterly!B:B,"&lt;="&amp;A1323)&gt;1,SUMIFS(Quarterly!C:C,Quarterly!B:B,"&gt;="&amp;A1323-88,Quarterly!B:B,"&lt;="&amp;A1323),SUMIFS(Quarterly!C:C,Quarterly!B:B,"&gt;="&amp;A1323-92,Quarterly!B:B,"&lt;="&amp;A1323)))</f>
        <v>6697.6</v>
      </c>
      <c r="K1323" s="13">
        <f t="shared" si="449"/>
        <v>6.5299999999999997E-2</v>
      </c>
      <c r="L1323">
        <f t="shared" si="451"/>
        <v>437.03</v>
      </c>
      <c r="M1323">
        <f>IF(A1323&gt;=Quarterly!B$2,Quarterly!D$2,IF(COUNTIFS(Quarterly!B:B,"&gt;="&amp;A1323-92,Quarterly!B:B,"&lt;="&amp;A1323)&gt;1,SUMIFS(Quarterly!D:D,Quarterly!B:B,"&gt;="&amp;A1323-88,Quarterly!B:B,"&lt;="&amp;A1323),SUMIFS(Quarterly!D:D,Quarterly!B:B,"&gt;="&amp;A1323-92,Quarterly!B:B,"&lt;="&amp;A1323)))</f>
        <v>314.30399999999997</v>
      </c>
      <c r="N1323" s="13">
        <f t="shared" si="452"/>
        <v>0.13905000000000001</v>
      </c>
      <c r="O1323">
        <f t="shared" si="440"/>
        <v>437.03</v>
      </c>
      <c r="P1323" s="56">
        <f>VLOOKUP(EOMONTH(A1323,-1),Economic!A:I,7,FALSE)</f>
        <v>553771</v>
      </c>
      <c r="Q1323" s="13">
        <f t="shared" si="441"/>
        <v>7.8899999999999998E-2</v>
      </c>
      <c r="R1323" s="41">
        <v>2.14</v>
      </c>
      <c r="S1323">
        <f t="shared" si="442"/>
        <v>1.99</v>
      </c>
      <c r="T1323" s="30">
        <f t="shared" si="443"/>
        <v>237.82</v>
      </c>
      <c r="U1323" s="30">
        <f t="shared" si="450"/>
        <v>242.15</v>
      </c>
    </row>
    <row r="1324" spans="1:21" ht="15" customHeight="1" x14ac:dyDescent="0.25">
      <c r="A1324" s="5">
        <v>34077</v>
      </c>
      <c r="B1324" s="5">
        <f t="shared" si="444"/>
        <v>34089</v>
      </c>
      <c r="C1324">
        <v>448.94</v>
      </c>
      <c r="D1324" s="29">
        <f t="shared" si="445"/>
        <v>8.2000000000000007E-3</v>
      </c>
      <c r="E1324" s="39">
        <f t="shared" si="446"/>
        <v>444.00538461538457</v>
      </c>
      <c r="F1324" s="39">
        <f t="shared" si="447"/>
        <v>429.57717948717942</v>
      </c>
      <c r="G1324" s="29">
        <f t="shared" si="439"/>
        <v>1.11E-2</v>
      </c>
      <c r="H1324" s="29">
        <f t="shared" si="439"/>
        <v>4.5100000000000001E-2</v>
      </c>
      <c r="I1324">
        <f t="shared" si="448"/>
        <v>448.94</v>
      </c>
      <c r="J1324">
        <f>IF(A1324&gt;=Quarterly!B$2,Quarterly!C$2,IF(COUNTIFS(Quarterly!B:B,"&gt;="&amp;A1324-92,Quarterly!B:B,"&lt;="&amp;A1324)&gt;1,SUMIFS(Quarterly!C:C,Quarterly!B:B,"&gt;="&amp;A1324-88,Quarterly!B:B,"&lt;="&amp;A1324),SUMIFS(Quarterly!C:C,Quarterly!B:B,"&gt;="&amp;A1324-92,Quarterly!B:B,"&lt;="&amp;A1324)))</f>
        <v>6697.6</v>
      </c>
      <c r="K1324" s="13">
        <f t="shared" si="449"/>
        <v>6.7000000000000004E-2</v>
      </c>
      <c r="L1324">
        <f t="shared" si="451"/>
        <v>448.94</v>
      </c>
      <c r="M1324">
        <f>IF(A1324&gt;=Quarterly!B$2,Quarterly!D$2,IF(COUNTIFS(Quarterly!B:B,"&gt;="&amp;A1324-92,Quarterly!B:B,"&lt;="&amp;A1324)&gt;1,SUMIFS(Quarterly!D:D,Quarterly!B:B,"&gt;="&amp;A1324-88,Quarterly!B:B,"&lt;="&amp;A1324),SUMIFS(Quarterly!D:D,Quarterly!B:B,"&gt;="&amp;A1324-92,Quarterly!B:B,"&lt;="&amp;A1324)))</f>
        <v>314.30399999999997</v>
      </c>
      <c r="N1324" s="13">
        <f t="shared" si="452"/>
        <v>0.14283999999999999</v>
      </c>
      <c r="O1324">
        <f t="shared" si="440"/>
        <v>448.94</v>
      </c>
      <c r="P1324" s="56">
        <f>VLOOKUP(EOMONTH(A1324,-1),Economic!A:I,7,FALSE)</f>
        <v>553771</v>
      </c>
      <c r="Q1324" s="13">
        <f t="shared" si="441"/>
        <v>8.1099999999999992E-2</v>
      </c>
      <c r="R1324" s="41">
        <v>2.09</v>
      </c>
      <c r="S1324">
        <f t="shared" si="442"/>
        <v>2.14</v>
      </c>
      <c r="T1324" s="30">
        <f t="shared" si="443"/>
        <v>242.74</v>
      </c>
      <c r="U1324" s="30">
        <f t="shared" si="450"/>
        <v>244.71</v>
      </c>
    </row>
    <row r="1325" spans="1:21" ht="15" customHeight="1" x14ac:dyDescent="0.25">
      <c r="A1325" s="5">
        <v>34070</v>
      </c>
      <c r="B1325" s="5">
        <f t="shared" si="444"/>
        <v>34089</v>
      </c>
      <c r="C1325">
        <v>441.84</v>
      </c>
      <c r="D1325" s="29">
        <f t="shared" si="445"/>
        <v>-1.2200000000000001E-2</v>
      </c>
      <c r="E1325" s="39">
        <f t="shared" si="446"/>
        <v>443.09846153846149</v>
      </c>
      <c r="F1325" s="39">
        <f t="shared" si="447"/>
        <v>428.72282051282048</v>
      </c>
      <c r="G1325" s="29">
        <f t="shared" si="439"/>
        <v>-2.8E-3</v>
      </c>
      <c r="H1325" s="29">
        <f t="shared" si="439"/>
        <v>3.0599999999999999E-2</v>
      </c>
      <c r="I1325">
        <f t="shared" si="448"/>
        <v>441.84</v>
      </c>
      <c r="J1325">
        <f>IF(A1325&gt;=Quarterly!B$2,Quarterly!C$2,IF(COUNTIFS(Quarterly!B:B,"&gt;="&amp;A1325-92,Quarterly!B:B,"&lt;="&amp;A1325)&gt;1,SUMIFS(Quarterly!C:C,Quarterly!B:B,"&gt;="&amp;A1325-88,Quarterly!B:B,"&lt;="&amp;A1325),SUMIFS(Quarterly!C:C,Quarterly!B:B,"&gt;="&amp;A1325-92,Quarterly!B:B,"&lt;="&amp;A1325)))</f>
        <v>6697.6</v>
      </c>
      <c r="K1325" s="13">
        <f t="shared" si="449"/>
        <v>6.6000000000000003E-2</v>
      </c>
      <c r="L1325">
        <f t="shared" si="451"/>
        <v>441.84</v>
      </c>
      <c r="M1325">
        <f>IF(A1325&gt;=Quarterly!B$2,Quarterly!D$2,IF(COUNTIFS(Quarterly!B:B,"&gt;="&amp;A1325-92,Quarterly!B:B,"&lt;="&amp;A1325)&gt;1,SUMIFS(Quarterly!D:D,Quarterly!B:B,"&gt;="&amp;A1325-88,Quarterly!B:B,"&lt;="&amp;A1325),SUMIFS(Quarterly!D:D,Quarterly!B:B,"&gt;="&amp;A1325-92,Quarterly!B:B,"&lt;="&amp;A1325)))</f>
        <v>314.30399999999997</v>
      </c>
      <c r="N1325" s="13">
        <f t="shared" si="452"/>
        <v>0.14058000000000001</v>
      </c>
      <c r="O1325">
        <f t="shared" si="440"/>
        <v>441.84</v>
      </c>
      <c r="P1325" s="56">
        <f>VLOOKUP(EOMONTH(A1325,-1),Economic!A:I,7,FALSE)</f>
        <v>553771</v>
      </c>
      <c r="Q1325" s="13">
        <f t="shared" si="441"/>
        <v>7.9799999999999996E-2</v>
      </c>
      <c r="R1325" s="41">
        <v>2.12</v>
      </c>
      <c r="S1325">
        <f t="shared" si="442"/>
        <v>2.23</v>
      </c>
      <c r="T1325" s="30">
        <f t="shared" si="443"/>
        <v>245.9</v>
      </c>
      <c r="U1325" s="30">
        <f t="shared" si="450"/>
        <v>244.77</v>
      </c>
    </row>
    <row r="1326" spans="1:21" ht="15" customHeight="1" x14ac:dyDescent="0.25">
      <c r="A1326" s="5">
        <v>34063</v>
      </c>
      <c r="B1326" s="5">
        <f t="shared" si="444"/>
        <v>34089</v>
      </c>
      <c r="C1326">
        <v>441.39</v>
      </c>
      <c r="D1326" s="29">
        <f t="shared" si="445"/>
        <v>-1.5800000000000002E-2</v>
      </c>
      <c r="E1326" s="39">
        <f t="shared" si="446"/>
        <v>442.11461538461538</v>
      </c>
      <c r="F1326" s="39">
        <f t="shared" si="447"/>
        <v>428.02487179487184</v>
      </c>
      <c r="G1326" s="29">
        <f t="shared" si="439"/>
        <v>-1.6000000000000001E-3</v>
      </c>
      <c r="H1326" s="29">
        <f t="shared" si="439"/>
        <v>3.1199999999999999E-2</v>
      </c>
      <c r="I1326">
        <f t="shared" si="448"/>
        <v>441.39</v>
      </c>
      <c r="J1326">
        <f>IF(A1326&gt;=Quarterly!B$2,Quarterly!C$2,IF(COUNTIFS(Quarterly!B:B,"&gt;="&amp;A1326-92,Quarterly!B:B,"&lt;="&amp;A1326)&gt;1,SUMIFS(Quarterly!C:C,Quarterly!B:B,"&gt;="&amp;A1326-88,Quarterly!B:B,"&lt;="&amp;A1326),SUMIFS(Quarterly!C:C,Quarterly!B:B,"&gt;="&amp;A1326-92,Quarterly!B:B,"&lt;="&amp;A1326)))</f>
        <v>6697.6</v>
      </c>
      <c r="K1326" s="13">
        <f t="shared" si="449"/>
        <v>6.59E-2</v>
      </c>
      <c r="L1326">
        <f t="shared" si="451"/>
        <v>441.39</v>
      </c>
      <c r="M1326">
        <f>IF(A1326&gt;=Quarterly!B$2,Quarterly!D$2,IF(COUNTIFS(Quarterly!B:B,"&gt;="&amp;A1326-92,Quarterly!B:B,"&lt;="&amp;A1326)&gt;1,SUMIFS(Quarterly!D:D,Quarterly!B:B,"&gt;="&amp;A1326-88,Quarterly!B:B,"&lt;="&amp;A1326),SUMIFS(Quarterly!D:D,Quarterly!B:B,"&gt;="&amp;A1326-92,Quarterly!B:B,"&lt;="&amp;A1326)))</f>
        <v>314.30399999999997</v>
      </c>
      <c r="N1326" s="13">
        <f t="shared" si="452"/>
        <v>0.14043000000000003</v>
      </c>
      <c r="O1326">
        <f t="shared" si="440"/>
        <v>441.39</v>
      </c>
      <c r="P1326" s="56">
        <f>VLOOKUP(EOMONTH(A1326,-1),Economic!A:I,7,FALSE)</f>
        <v>553771</v>
      </c>
      <c r="Q1326" s="13">
        <f t="shared" si="441"/>
        <v>7.9699999999999993E-2</v>
      </c>
      <c r="R1326" s="41">
        <v>2.17</v>
      </c>
      <c r="S1326">
        <f t="shared" si="442"/>
        <v>2.2000000000000002</v>
      </c>
      <c r="T1326" s="30">
        <f t="shared" si="443"/>
        <v>245.5</v>
      </c>
      <c r="U1326" s="30">
        <f t="shared" si="450"/>
        <v>243.36</v>
      </c>
    </row>
    <row r="1327" spans="1:21" ht="15" customHeight="1" x14ac:dyDescent="0.25">
      <c r="A1327" s="5">
        <v>34056</v>
      </c>
      <c r="B1327" s="5">
        <f t="shared" si="444"/>
        <v>34059</v>
      </c>
      <c r="C1327">
        <v>447.78</v>
      </c>
      <c r="D1327" s="29">
        <f t="shared" si="445"/>
        <v>8.9999999999999998E-4</v>
      </c>
      <c r="E1327" s="39">
        <f t="shared" si="446"/>
        <v>441.67769230769227</v>
      </c>
      <c r="F1327" s="39">
        <f t="shared" si="447"/>
        <v>427.26538461538468</v>
      </c>
      <c r="G1327" s="29">
        <f t="shared" si="439"/>
        <v>1.38E-2</v>
      </c>
      <c r="H1327" s="29">
        <f t="shared" si="439"/>
        <v>4.8000000000000001E-2</v>
      </c>
      <c r="I1327">
        <f t="shared" si="448"/>
        <v>447.78</v>
      </c>
      <c r="J1327">
        <f>IF(A1327&gt;=Quarterly!B$2,Quarterly!C$2,IF(COUNTIFS(Quarterly!B:B,"&gt;="&amp;A1327-92,Quarterly!B:B,"&lt;="&amp;A1327)&gt;1,SUMIFS(Quarterly!C:C,Quarterly!B:B,"&gt;="&amp;A1327-88,Quarterly!B:B,"&lt;="&amp;A1327),SUMIFS(Quarterly!C:C,Quarterly!B:B,"&gt;="&amp;A1327-92,Quarterly!B:B,"&lt;="&amp;A1327)))</f>
        <v>6697.6</v>
      </c>
      <c r="K1327" s="13">
        <f t="shared" si="449"/>
        <v>6.6900000000000001E-2</v>
      </c>
      <c r="L1327">
        <f t="shared" si="451"/>
        <v>447.78</v>
      </c>
      <c r="M1327">
        <f>IF(A1327&gt;=Quarterly!B$2,Quarterly!D$2,IF(COUNTIFS(Quarterly!B:B,"&gt;="&amp;A1327-92,Quarterly!B:B,"&lt;="&amp;A1327)&gt;1,SUMIFS(Quarterly!D:D,Quarterly!B:B,"&gt;="&amp;A1327-88,Quarterly!B:B,"&lt;="&amp;A1327),SUMIFS(Quarterly!D:D,Quarterly!B:B,"&gt;="&amp;A1327-92,Quarterly!B:B,"&lt;="&amp;A1327)))</f>
        <v>314.30399999999997</v>
      </c>
      <c r="N1327" s="13">
        <f t="shared" si="452"/>
        <v>0.14247000000000001</v>
      </c>
      <c r="O1327">
        <f t="shared" si="440"/>
        <v>447.78</v>
      </c>
      <c r="P1327" s="56">
        <f>VLOOKUP(EOMONTH(A1327,-1),Economic!A:I,7,FALSE)</f>
        <v>549507</v>
      </c>
      <c r="Q1327" s="13">
        <f t="shared" si="441"/>
        <v>8.1500000000000003E-2</v>
      </c>
      <c r="R1327" s="41">
        <v>2.0699999999999998</v>
      </c>
      <c r="S1327">
        <f t="shared" si="442"/>
        <v>2.12</v>
      </c>
      <c r="T1327" s="30">
        <f t="shared" si="443"/>
        <v>242.92</v>
      </c>
      <c r="U1327" s="30">
        <f t="shared" si="450"/>
        <v>241.36</v>
      </c>
    </row>
    <row r="1328" spans="1:21" ht="15" customHeight="1" x14ac:dyDescent="0.25">
      <c r="A1328" s="5">
        <v>34049</v>
      </c>
      <c r="B1328" s="5">
        <f t="shared" si="444"/>
        <v>34059</v>
      </c>
      <c r="C1328">
        <v>450.18</v>
      </c>
      <c r="D1328" s="29">
        <f t="shared" si="445"/>
        <v>1.5299999999999999E-2</v>
      </c>
      <c r="E1328" s="39">
        <f t="shared" si="446"/>
        <v>441.06153846153853</v>
      </c>
      <c r="F1328" s="39">
        <f t="shared" si="447"/>
        <v>426.12871794871796</v>
      </c>
      <c r="G1328" s="29">
        <f t="shared" si="439"/>
        <v>2.07E-2</v>
      </c>
      <c r="H1328" s="29">
        <f t="shared" si="439"/>
        <v>5.6399999999999999E-2</v>
      </c>
      <c r="I1328">
        <f t="shared" si="448"/>
        <v>450.18</v>
      </c>
      <c r="J1328">
        <f>IF(A1328&gt;=Quarterly!B$2,Quarterly!C$2,IF(COUNTIFS(Quarterly!B:B,"&gt;="&amp;A1328-92,Quarterly!B:B,"&lt;="&amp;A1328)&gt;1,SUMIFS(Quarterly!C:C,Quarterly!B:B,"&gt;="&amp;A1328-88,Quarterly!B:B,"&lt;="&amp;A1328),SUMIFS(Quarterly!C:C,Quarterly!B:B,"&gt;="&amp;A1328-92,Quarterly!B:B,"&lt;="&amp;A1328)))</f>
        <v>6697.6</v>
      </c>
      <c r="K1328" s="13">
        <f t="shared" si="449"/>
        <v>6.7199999999999996E-2</v>
      </c>
      <c r="L1328">
        <f t="shared" si="451"/>
        <v>450.18</v>
      </c>
      <c r="M1328">
        <f>IF(A1328&gt;=Quarterly!B$2,Quarterly!D$2,IF(COUNTIFS(Quarterly!B:B,"&gt;="&amp;A1328-92,Quarterly!B:B,"&lt;="&amp;A1328)&gt;1,SUMIFS(Quarterly!D:D,Quarterly!B:B,"&gt;="&amp;A1328-88,Quarterly!B:B,"&lt;="&amp;A1328),SUMIFS(Quarterly!D:D,Quarterly!B:B,"&gt;="&amp;A1328-92,Quarterly!B:B,"&lt;="&amp;A1328)))</f>
        <v>314.30399999999997</v>
      </c>
      <c r="N1328" s="13">
        <f t="shared" si="452"/>
        <v>0.14323</v>
      </c>
      <c r="O1328">
        <f t="shared" si="440"/>
        <v>450.18</v>
      </c>
      <c r="P1328" s="56">
        <f>VLOOKUP(EOMONTH(A1328,-1),Economic!A:I,7,FALSE)</f>
        <v>549507</v>
      </c>
      <c r="Q1328" s="13">
        <f t="shared" si="441"/>
        <v>8.1900000000000001E-2</v>
      </c>
      <c r="R1328" s="41">
        <v>2</v>
      </c>
      <c r="S1328">
        <f t="shared" si="442"/>
        <v>2.0699999999999998</v>
      </c>
      <c r="T1328" s="30">
        <f t="shared" si="443"/>
        <v>241.66</v>
      </c>
      <c r="U1328" s="30">
        <f t="shared" si="450"/>
        <v>240.98</v>
      </c>
    </row>
    <row r="1329" spans="1:21" ht="15" customHeight="1" x14ac:dyDescent="0.25">
      <c r="A1329" s="5">
        <v>34042</v>
      </c>
      <c r="B1329" s="5">
        <f t="shared" si="444"/>
        <v>34059</v>
      </c>
      <c r="C1329">
        <v>449.83</v>
      </c>
      <c r="D1329" s="29">
        <f t="shared" si="445"/>
        <v>1.7500000000000002E-2</v>
      </c>
      <c r="E1329" s="39">
        <f t="shared" si="446"/>
        <v>440.37692307692311</v>
      </c>
      <c r="F1329" s="39">
        <f t="shared" si="447"/>
        <v>424.9361538461539</v>
      </c>
      <c r="G1329" s="29">
        <f t="shared" si="439"/>
        <v>2.1499999999999998E-2</v>
      </c>
      <c r="H1329" s="29">
        <f t="shared" si="439"/>
        <v>5.8599999999999999E-2</v>
      </c>
      <c r="I1329">
        <f t="shared" si="448"/>
        <v>449.83</v>
      </c>
      <c r="J1329">
        <f>IF(A1329&gt;=Quarterly!B$2,Quarterly!C$2,IF(COUNTIFS(Quarterly!B:B,"&gt;="&amp;A1329-92,Quarterly!B:B,"&lt;="&amp;A1329)&gt;1,SUMIFS(Quarterly!C:C,Quarterly!B:B,"&gt;="&amp;A1329-88,Quarterly!B:B,"&lt;="&amp;A1329),SUMIFS(Quarterly!C:C,Quarterly!B:B,"&gt;="&amp;A1329-92,Quarterly!B:B,"&lt;="&amp;A1329)))</f>
        <v>6697.6</v>
      </c>
      <c r="K1329" s="13">
        <f t="shared" si="449"/>
        <v>6.7199999999999996E-2</v>
      </c>
      <c r="L1329">
        <f t="shared" si="451"/>
        <v>449.83</v>
      </c>
      <c r="M1329">
        <f>IF(A1329&gt;=Quarterly!B$2,Quarterly!D$2,IF(COUNTIFS(Quarterly!B:B,"&gt;="&amp;A1329-92,Quarterly!B:B,"&lt;="&amp;A1329)&gt;1,SUMIFS(Quarterly!D:D,Quarterly!B:B,"&gt;="&amp;A1329-88,Quarterly!B:B,"&lt;="&amp;A1329),SUMIFS(Quarterly!D:D,Quarterly!B:B,"&gt;="&amp;A1329-92,Quarterly!B:B,"&lt;="&amp;A1329)))</f>
        <v>314.30399999999997</v>
      </c>
      <c r="N1329" s="13">
        <f t="shared" si="452"/>
        <v>0.14312</v>
      </c>
      <c r="O1329">
        <f t="shared" si="440"/>
        <v>449.83</v>
      </c>
      <c r="P1329" s="56">
        <f>VLOOKUP(EOMONTH(A1329,-1),Economic!A:I,7,FALSE)</f>
        <v>549507</v>
      </c>
      <c r="Q1329" s="13">
        <f t="shared" si="441"/>
        <v>8.1900000000000001E-2</v>
      </c>
      <c r="R1329" s="41">
        <v>2</v>
      </c>
      <c r="S1329">
        <f t="shared" si="442"/>
        <v>2</v>
      </c>
      <c r="T1329" s="30">
        <f t="shared" si="443"/>
        <v>239.5</v>
      </c>
      <c r="U1329" s="30">
        <f t="shared" si="450"/>
        <v>240.31</v>
      </c>
    </row>
    <row r="1330" spans="1:21" ht="15" customHeight="1" x14ac:dyDescent="0.25">
      <c r="A1330" s="5">
        <v>34035</v>
      </c>
      <c r="B1330" s="5">
        <f t="shared" si="444"/>
        <v>34059</v>
      </c>
      <c r="C1330">
        <v>446.11</v>
      </c>
      <c r="D1330" s="29">
        <f t="shared" si="445"/>
        <v>7.4999999999999997E-3</v>
      </c>
      <c r="E1330" s="39">
        <f t="shared" si="446"/>
        <v>439.13846153846163</v>
      </c>
      <c r="F1330" s="39">
        <f t="shared" si="447"/>
        <v>423.90871794871799</v>
      </c>
      <c r="G1330" s="29">
        <f t="shared" si="439"/>
        <v>1.5900000000000001E-2</v>
      </c>
      <c r="H1330" s="29">
        <f t="shared" si="439"/>
        <v>5.2400000000000002E-2</v>
      </c>
      <c r="I1330">
        <f t="shared" si="448"/>
        <v>446.11</v>
      </c>
      <c r="J1330">
        <f>IF(A1330&gt;=Quarterly!B$2,Quarterly!C$2,IF(COUNTIFS(Quarterly!B:B,"&gt;="&amp;A1330-92,Quarterly!B:B,"&lt;="&amp;A1330)&gt;1,SUMIFS(Quarterly!C:C,Quarterly!B:B,"&gt;="&amp;A1330-88,Quarterly!B:B,"&lt;="&amp;A1330),SUMIFS(Quarterly!C:C,Quarterly!B:B,"&gt;="&amp;A1330-92,Quarterly!B:B,"&lt;="&amp;A1330)))</f>
        <v>6697.6</v>
      </c>
      <c r="K1330" s="13">
        <f t="shared" si="449"/>
        <v>6.6600000000000006E-2</v>
      </c>
      <c r="L1330">
        <f t="shared" si="451"/>
        <v>446.11</v>
      </c>
      <c r="M1330">
        <f>IF(A1330&gt;=Quarterly!B$2,Quarterly!D$2,IF(COUNTIFS(Quarterly!B:B,"&gt;="&amp;A1330-92,Quarterly!B:B,"&lt;="&amp;A1330)&gt;1,SUMIFS(Quarterly!D:D,Quarterly!B:B,"&gt;="&amp;A1330-88,Quarterly!B:B,"&lt;="&amp;A1330),SUMIFS(Quarterly!D:D,Quarterly!B:B,"&gt;="&amp;A1330-92,Quarterly!B:B,"&lt;="&amp;A1330)))</f>
        <v>314.30399999999997</v>
      </c>
      <c r="N1330" s="13">
        <f t="shared" si="452"/>
        <v>0.14194000000000001</v>
      </c>
      <c r="O1330">
        <f t="shared" si="440"/>
        <v>446.11</v>
      </c>
      <c r="P1330" s="56">
        <f>VLOOKUP(EOMONTH(A1330,-1),Economic!A:I,7,FALSE)</f>
        <v>549507</v>
      </c>
      <c r="Q1330" s="13">
        <f t="shared" si="441"/>
        <v>8.1199999999999994E-2</v>
      </c>
      <c r="R1330" s="41">
        <v>1.99</v>
      </c>
      <c r="S1330">
        <f t="shared" si="442"/>
        <v>2.0499999999999998</v>
      </c>
      <c r="T1330" s="30">
        <f t="shared" si="443"/>
        <v>241.78</v>
      </c>
      <c r="U1330" s="30">
        <f t="shared" si="450"/>
        <v>242.67</v>
      </c>
    </row>
    <row r="1331" spans="1:21" ht="15" customHeight="1" x14ac:dyDescent="0.25">
      <c r="A1331" s="5">
        <v>34028</v>
      </c>
      <c r="B1331" s="5">
        <f t="shared" si="444"/>
        <v>34028</v>
      </c>
      <c r="C1331">
        <v>443.38</v>
      </c>
      <c r="D1331" s="29">
        <f t="shared" si="445"/>
        <v>4.0000000000000001E-3</v>
      </c>
      <c r="E1331" s="39">
        <f t="shared" si="446"/>
        <v>438.05769230769238</v>
      </c>
      <c r="F1331" s="39">
        <f t="shared" si="447"/>
        <v>423.07205128205129</v>
      </c>
      <c r="G1331" s="29">
        <f t="shared" si="439"/>
        <v>1.21E-2</v>
      </c>
      <c r="H1331" s="29">
        <f t="shared" si="439"/>
        <v>4.8000000000000001E-2</v>
      </c>
      <c r="I1331">
        <f t="shared" si="448"/>
        <v>443.38</v>
      </c>
      <c r="J1331">
        <f>IF(A1331&gt;=Quarterly!B$2,Quarterly!C$2,IF(COUNTIFS(Quarterly!B:B,"&gt;="&amp;A1331-92,Quarterly!B:B,"&lt;="&amp;A1331)&gt;1,SUMIFS(Quarterly!C:C,Quarterly!B:B,"&gt;="&amp;A1331-88,Quarterly!B:B,"&lt;="&amp;A1331),SUMIFS(Quarterly!C:C,Quarterly!B:B,"&gt;="&amp;A1331-92,Quarterly!B:B,"&lt;="&amp;A1331)))</f>
        <v>6697.6</v>
      </c>
      <c r="K1331" s="13">
        <f t="shared" si="449"/>
        <v>6.6199999999999995E-2</v>
      </c>
      <c r="L1331">
        <f t="shared" si="451"/>
        <v>443.38</v>
      </c>
      <c r="M1331">
        <f>IF(A1331&gt;=Quarterly!B$2,Quarterly!D$2,IF(COUNTIFS(Quarterly!B:B,"&gt;="&amp;A1331-92,Quarterly!B:B,"&lt;="&amp;A1331)&gt;1,SUMIFS(Quarterly!D:D,Quarterly!B:B,"&gt;="&amp;A1331-88,Quarterly!B:B,"&lt;="&amp;A1331),SUMIFS(Quarterly!D:D,Quarterly!B:B,"&gt;="&amp;A1331-92,Quarterly!B:B,"&lt;="&amp;A1331)))</f>
        <v>314.30399999999997</v>
      </c>
      <c r="N1331" s="13">
        <f t="shared" si="452"/>
        <v>0.14107</v>
      </c>
      <c r="O1331">
        <f t="shared" si="440"/>
        <v>443.38</v>
      </c>
      <c r="P1331" s="56">
        <f>VLOOKUP(EOMONTH(A1331,-1),Economic!A:I,7,FALSE)</f>
        <v>547697</v>
      </c>
      <c r="Q1331" s="13">
        <f t="shared" si="441"/>
        <v>8.0999999999999989E-2</v>
      </c>
      <c r="R1331" s="41">
        <v>2.11</v>
      </c>
      <c r="S1331">
        <f t="shared" si="442"/>
        <v>1.97</v>
      </c>
      <c r="T1331" s="30">
        <f t="shared" si="443"/>
        <v>239.66</v>
      </c>
      <c r="U1331" s="30">
        <f t="shared" si="450"/>
        <v>243.93</v>
      </c>
    </row>
    <row r="1332" spans="1:21" ht="15" customHeight="1" x14ac:dyDescent="0.25">
      <c r="A1332" s="5">
        <v>34021</v>
      </c>
      <c r="B1332" s="5">
        <f t="shared" si="444"/>
        <v>34028</v>
      </c>
      <c r="C1332">
        <v>434.22</v>
      </c>
      <c r="D1332" s="29">
        <f t="shared" si="445"/>
        <v>-1.78E-2</v>
      </c>
      <c r="E1332" s="39">
        <f t="shared" si="446"/>
        <v>437.04076923076923</v>
      </c>
      <c r="F1332" s="39">
        <f t="shared" si="447"/>
        <v>422.35333333333341</v>
      </c>
      <c r="G1332" s="29">
        <f t="shared" si="439"/>
        <v>-6.4999999999999997E-3</v>
      </c>
      <c r="H1332" s="29">
        <f t="shared" si="439"/>
        <v>2.81E-2</v>
      </c>
      <c r="I1332">
        <f t="shared" si="448"/>
        <v>434.22</v>
      </c>
      <c r="J1332">
        <f>IF(A1332&gt;=Quarterly!B$2,Quarterly!C$2,IF(COUNTIFS(Quarterly!B:B,"&gt;="&amp;A1332-92,Quarterly!B:B,"&lt;="&amp;A1332)&gt;1,SUMIFS(Quarterly!C:C,Quarterly!B:B,"&gt;="&amp;A1332-88,Quarterly!B:B,"&lt;="&amp;A1332),SUMIFS(Quarterly!C:C,Quarterly!B:B,"&gt;="&amp;A1332-92,Quarterly!B:B,"&lt;="&amp;A1332)))</f>
        <v>6697.6</v>
      </c>
      <c r="K1332" s="13">
        <f t="shared" si="449"/>
        <v>6.4799999999999996E-2</v>
      </c>
      <c r="L1332">
        <f t="shared" si="451"/>
        <v>434.22</v>
      </c>
      <c r="M1332">
        <f>IF(A1332&gt;=Quarterly!B$2,Quarterly!D$2,IF(COUNTIFS(Quarterly!B:B,"&gt;="&amp;A1332-92,Quarterly!B:B,"&lt;="&amp;A1332)&gt;1,SUMIFS(Quarterly!D:D,Quarterly!B:B,"&gt;="&amp;A1332-88,Quarterly!B:B,"&lt;="&amp;A1332),SUMIFS(Quarterly!D:D,Quarterly!B:B,"&gt;="&amp;A1332-92,Quarterly!B:B,"&lt;="&amp;A1332)))</f>
        <v>314.30399999999997</v>
      </c>
      <c r="N1332" s="13">
        <f t="shared" si="452"/>
        <v>0.13815</v>
      </c>
      <c r="O1332">
        <f t="shared" si="440"/>
        <v>434.22</v>
      </c>
      <c r="P1332" s="56">
        <f>VLOOKUP(EOMONTH(A1332,-1),Economic!A:I,7,FALSE)</f>
        <v>547697</v>
      </c>
      <c r="Q1332" s="13">
        <f t="shared" si="441"/>
        <v>7.9299999999999995E-2</v>
      </c>
      <c r="R1332" s="41">
        <v>2.16</v>
      </c>
      <c r="S1332">
        <f t="shared" si="442"/>
        <v>2.17</v>
      </c>
      <c r="T1332" s="30">
        <f t="shared" si="443"/>
        <v>246.58</v>
      </c>
      <c r="U1332" s="30">
        <f t="shared" si="450"/>
        <v>245.63</v>
      </c>
    </row>
    <row r="1333" spans="1:21" ht="15" customHeight="1" x14ac:dyDescent="0.25">
      <c r="A1333" s="5">
        <v>34014</v>
      </c>
      <c r="B1333" s="5">
        <f t="shared" si="444"/>
        <v>34028</v>
      </c>
      <c r="C1333">
        <v>444.58</v>
      </c>
      <c r="D1333" s="29">
        <f t="shared" si="445"/>
        <v>9.9000000000000008E-3</v>
      </c>
      <c r="E1333" s="39">
        <f t="shared" si="446"/>
        <v>436.45846153846156</v>
      </c>
      <c r="F1333" s="39">
        <f t="shared" si="447"/>
        <v>421.83538461538467</v>
      </c>
      <c r="G1333" s="29">
        <f t="shared" si="439"/>
        <v>1.8599999999999998E-2</v>
      </c>
      <c r="H1333" s="29">
        <f t="shared" si="439"/>
        <v>5.3900000000000003E-2</v>
      </c>
      <c r="I1333">
        <f t="shared" si="448"/>
        <v>444.58</v>
      </c>
      <c r="J1333">
        <f>IF(A1333&gt;=Quarterly!B$2,Quarterly!C$2,IF(COUNTIFS(Quarterly!B:B,"&gt;="&amp;A1333-92,Quarterly!B:B,"&lt;="&amp;A1333)&gt;1,SUMIFS(Quarterly!C:C,Quarterly!B:B,"&gt;="&amp;A1333-88,Quarterly!B:B,"&lt;="&amp;A1333),SUMIFS(Quarterly!C:C,Quarterly!B:B,"&gt;="&amp;A1333-92,Quarterly!B:B,"&lt;="&amp;A1333)))</f>
        <v>6697.6</v>
      </c>
      <c r="K1333" s="13">
        <f t="shared" si="449"/>
        <v>6.6400000000000001E-2</v>
      </c>
      <c r="L1333">
        <f t="shared" si="451"/>
        <v>444.58</v>
      </c>
      <c r="M1333">
        <f>IF(A1333&gt;=Quarterly!B$2,Quarterly!D$2,IF(COUNTIFS(Quarterly!B:B,"&gt;="&amp;A1333-92,Quarterly!B:B,"&lt;="&amp;A1333)&gt;1,SUMIFS(Quarterly!D:D,Quarterly!B:B,"&gt;="&amp;A1333-88,Quarterly!B:B,"&lt;="&amp;A1333),SUMIFS(Quarterly!D:D,Quarterly!B:B,"&gt;="&amp;A1333-92,Quarterly!B:B,"&lt;="&amp;A1333)))</f>
        <v>314.30399999999997</v>
      </c>
      <c r="N1333" s="13">
        <f t="shared" si="452"/>
        <v>0.14145000000000002</v>
      </c>
      <c r="O1333">
        <f t="shared" si="440"/>
        <v>444.58</v>
      </c>
      <c r="P1333" s="56">
        <f>VLOOKUP(EOMONTH(A1333,-1),Economic!A:I,7,FALSE)</f>
        <v>547697</v>
      </c>
      <c r="Q1333" s="13">
        <f t="shared" si="441"/>
        <v>8.1199999999999994E-2</v>
      </c>
      <c r="R1333" s="41">
        <v>2.15</v>
      </c>
      <c r="S1333">
        <f t="shared" si="442"/>
        <v>2.13</v>
      </c>
      <c r="T1333" s="30">
        <f t="shared" si="443"/>
        <v>245.56</v>
      </c>
      <c r="U1333" s="30">
        <f t="shared" si="450"/>
        <v>244.68</v>
      </c>
    </row>
    <row r="1334" spans="1:21" ht="15" customHeight="1" x14ac:dyDescent="0.25">
      <c r="A1334" s="5">
        <v>34007</v>
      </c>
      <c r="B1334" s="5">
        <f t="shared" si="444"/>
        <v>34028</v>
      </c>
      <c r="C1334">
        <v>448.93</v>
      </c>
      <c r="D1334" s="29">
        <f t="shared" si="445"/>
        <v>3.1399999999999997E-2</v>
      </c>
      <c r="E1334" s="39">
        <f t="shared" si="446"/>
        <v>434.75461538461542</v>
      </c>
      <c r="F1334" s="39">
        <f t="shared" si="447"/>
        <v>420.95102564102575</v>
      </c>
      <c r="G1334" s="29">
        <f t="shared" si="439"/>
        <v>3.2599999999999997E-2</v>
      </c>
      <c r="H1334" s="29">
        <f t="shared" si="439"/>
        <v>6.6500000000000004E-2</v>
      </c>
      <c r="I1334">
        <f t="shared" si="448"/>
        <v>448.93</v>
      </c>
      <c r="J1334">
        <f>IF(A1334&gt;=Quarterly!B$2,Quarterly!C$2,IF(COUNTIFS(Quarterly!B:B,"&gt;="&amp;A1334-92,Quarterly!B:B,"&lt;="&amp;A1334)&gt;1,SUMIFS(Quarterly!C:C,Quarterly!B:B,"&gt;="&amp;A1334-88,Quarterly!B:B,"&lt;="&amp;A1334),SUMIFS(Quarterly!C:C,Quarterly!B:B,"&gt;="&amp;A1334-92,Quarterly!B:B,"&lt;="&amp;A1334)))</f>
        <v>6697.6</v>
      </c>
      <c r="K1334" s="13">
        <f t="shared" si="449"/>
        <v>6.7000000000000004E-2</v>
      </c>
      <c r="L1334">
        <f t="shared" si="451"/>
        <v>448.93</v>
      </c>
      <c r="M1334">
        <f>IF(A1334&gt;=Quarterly!B$2,Quarterly!D$2,IF(COUNTIFS(Quarterly!B:B,"&gt;="&amp;A1334-92,Quarterly!B:B,"&lt;="&amp;A1334)&gt;1,SUMIFS(Quarterly!D:D,Quarterly!B:B,"&gt;="&amp;A1334-88,Quarterly!B:B,"&lt;="&amp;A1334),SUMIFS(Quarterly!D:D,Quarterly!B:B,"&gt;="&amp;A1334-92,Quarterly!B:B,"&lt;="&amp;A1334)))</f>
        <v>314.30399999999997</v>
      </c>
      <c r="N1334" s="13">
        <f t="shared" si="452"/>
        <v>0.14282999999999998</v>
      </c>
      <c r="O1334">
        <f t="shared" si="440"/>
        <v>448.93</v>
      </c>
      <c r="P1334" s="56">
        <f>VLOOKUP(EOMONTH(A1334,-1),Economic!A:I,7,FALSE)</f>
        <v>547697</v>
      </c>
      <c r="Q1334" s="13">
        <f t="shared" si="441"/>
        <v>8.2000000000000003E-2</v>
      </c>
      <c r="R1334" s="41">
        <v>2.25</v>
      </c>
      <c r="S1334">
        <f t="shared" si="442"/>
        <v>2.0699999999999998</v>
      </c>
      <c r="T1334" s="30">
        <f t="shared" si="443"/>
        <v>244.74</v>
      </c>
      <c r="U1334" s="30">
        <f t="shared" si="450"/>
        <v>242.67</v>
      </c>
    </row>
    <row r="1335" spans="1:21" ht="15" customHeight="1" x14ac:dyDescent="0.25">
      <c r="A1335" s="5">
        <v>34000</v>
      </c>
      <c r="B1335" s="5">
        <f t="shared" si="444"/>
        <v>34000</v>
      </c>
      <c r="C1335">
        <v>438.78</v>
      </c>
      <c r="D1335" s="29">
        <f t="shared" si="445"/>
        <v>9.7999999999999997E-3</v>
      </c>
      <c r="E1335" s="39">
        <f t="shared" si="446"/>
        <v>432.34307692307686</v>
      </c>
      <c r="F1335" s="39">
        <f t="shared" si="447"/>
        <v>420.10794871794877</v>
      </c>
      <c r="G1335" s="29">
        <f t="shared" si="439"/>
        <v>1.49E-2</v>
      </c>
      <c r="H1335" s="29">
        <f t="shared" si="439"/>
        <v>4.4400000000000002E-2</v>
      </c>
      <c r="I1335">
        <f t="shared" si="448"/>
        <v>438.78</v>
      </c>
      <c r="J1335">
        <f>IF(A1335&gt;=Quarterly!B$2,Quarterly!C$2,IF(COUNTIFS(Quarterly!B:B,"&gt;="&amp;A1335-92,Quarterly!B:B,"&lt;="&amp;A1335)&gt;1,SUMIFS(Quarterly!C:C,Quarterly!B:B,"&gt;="&amp;A1335-88,Quarterly!B:B,"&lt;="&amp;A1335),SUMIFS(Quarterly!C:C,Quarterly!B:B,"&gt;="&amp;A1335-92,Quarterly!B:B,"&lt;="&amp;A1335)))</f>
        <v>6697.6</v>
      </c>
      <c r="K1335" s="13">
        <f t="shared" si="449"/>
        <v>6.5500000000000003E-2</v>
      </c>
      <c r="L1335">
        <f t="shared" si="451"/>
        <v>438.78</v>
      </c>
      <c r="M1335">
        <f>IF(A1335&gt;=Quarterly!B$2,Quarterly!D$2,IF(COUNTIFS(Quarterly!B:B,"&gt;="&amp;A1335-92,Quarterly!B:B,"&lt;="&amp;A1335)&gt;1,SUMIFS(Quarterly!D:D,Quarterly!B:B,"&gt;="&amp;A1335-88,Quarterly!B:B,"&lt;="&amp;A1335),SUMIFS(Quarterly!D:D,Quarterly!B:B,"&gt;="&amp;A1335-92,Quarterly!B:B,"&lt;="&amp;A1335)))</f>
        <v>314.30399999999997</v>
      </c>
      <c r="N1335" s="13">
        <f t="shared" si="452"/>
        <v>0.1396</v>
      </c>
      <c r="O1335">
        <f t="shared" si="440"/>
        <v>438.78</v>
      </c>
      <c r="P1335" s="56">
        <f>VLOOKUP(EOMONTH(A1335,-1),Economic!A:I,7,FALSE)</f>
        <v>544716</v>
      </c>
      <c r="Q1335" s="13">
        <f t="shared" si="441"/>
        <v>8.0599999999999991E-2</v>
      </c>
      <c r="R1335" s="41">
        <v>2.19</v>
      </c>
      <c r="S1335">
        <f t="shared" si="442"/>
        <v>2</v>
      </c>
      <c r="T1335" s="30">
        <f t="shared" si="443"/>
        <v>243.73</v>
      </c>
      <c r="U1335" s="30">
        <f t="shared" si="450"/>
        <v>239.54</v>
      </c>
    </row>
    <row r="1336" spans="1:21" ht="15" customHeight="1" x14ac:dyDescent="0.25">
      <c r="A1336" s="5">
        <v>33993</v>
      </c>
      <c r="B1336" s="5">
        <f t="shared" si="444"/>
        <v>34000</v>
      </c>
      <c r="C1336">
        <v>436.11</v>
      </c>
      <c r="D1336" s="29">
        <f t="shared" si="445"/>
        <v>1.6000000000000001E-3</v>
      </c>
      <c r="E1336" s="39">
        <f t="shared" si="446"/>
        <v>430.79692307692306</v>
      </c>
      <c r="F1336" s="39">
        <f t="shared" si="447"/>
        <v>419.43487179487192</v>
      </c>
      <c r="G1336" s="29">
        <f t="shared" si="439"/>
        <v>1.23E-2</v>
      </c>
      <c r="H1336" s="29">
        <f t="shared" si="439"/>
        <v>3.9800000000000002E-2</v>
      </c>
      <c r="I1336">
        <f t="shared" si="448"/>
        <v>436.11</v>
      </c>
      <c r="J1336">
        <f>IF(A1336&gt;=Quarterly!B$2,Quarterly!C$2,IF(COUNTIFS(Quarterly!B:B,"&gt;="&amp;A1336-92,Quarterly!B:B,"&lt;="&amp;A1336)&gt;1,SUMIFS(Quarterly!C:C,Quarterly!B:B,"&gt;="&amp;A1336-88,Quarterly!B:B,"&lt;="&amp;A1336),SUMIFS(Quarterly!C:C,Quarterly!B:B,"&gt;="&amp;A1336-92,Quarterly!B:B,"&lt;="&amp;A1336)))</f>
        <v>6586.5</v>
      </c>
      <c r="K1336" s="13">
        <f t="shared" si="449"/>
        <v>6.6199999999999995E-2</v>
      </c>
      <c r="L1336">
        <f t="shared" si="451"/>
        <v>436.11</v>
      </c>
      <c r="M1336">
        <f>IF(A1336&gt;=Quarterly!B$2,Quarterly!D$2,IF(COUNTIFS(Quarterly!B:B,"&gt;="&amp;A1336-92,Quarterly!B:B,"&lt;="&amp;A1336)&gt;1,SUMIFS(Quarterly!D:D,Quarterly!B:B,"&gt;="&amp;A1336-88,Quarterly!B:B,"&lt;="&amp;A1336),SUMIFS(Quarterly!D:D,Quarterly!B:B,"&gt;="&amp;A1336-92,Quarterly!B:B,"&lt;="&amp;A1336)))</f>
        <v>307.005</v>
      </c>
      <c r="N1336" s="13">
        <f t="shared" si="452"/>
        <v>0.14205000000000001</v>
      </c>
      <c r="O1336">
        <f t="shared" si="440"/>
        <v>436.11</v>
      </c>
      <c r="P1336" s="56">
        <f>VLOOKUP(EOMONTH(A1336,-1),Economic!A:I,7,FALSE)</f>
        <v>544716</v>
      </c>
      <c r="Q1336" s="13">
        <f t="shared" si="441"/>
        <v>8.0099999999999991E-2</v>
      </c>
      <c r="R1336" s="41">
        <v>2.27</v>
      </c>
      <c r="S1336">
        <f t="shared" si="442"/>
        <v>1.95</v>
      </c>
      <c r="T1336" s="30">
        <f t="shared" si="443"/>
        <v>239.54</v>
      </c>
      <c r="U1336" s="30">
        <f t="shared" si="450"/>
        <v>237.05</v>
      </c>
    </row>
    <row r="1337" spans="1:21" ht="15" customHeight="1" x14ac:dyDescent="0.25">
      <c r="A1337" s="5">
        <v>33986</v>
      </c>
      <c r="B1337" s="5">
        <f t="shared" si="444"/>
        <v>34000</v>
      </c>
      <c r="C1337">
        <v>437.15</v>
      </c>
      <c r="D1337" s="29">
        <f t="shared" si="445"/>
        <v>1.6000000000000001E-3</v>
      </c>
      <c r="E1337" s="39">
        <f t="shared" si="446"/>
        <v>429.10384615384618</v>
      </c>
      <c r="F1337" s="39">
        <f t="shared" si="447"/>
        <v>418.74025641025651</v>
      </c>
      <c r="G1337" s="29">
        <f t="shared" si="439"/>
        <v>1.8800000000000001E-2</v>
      </c>
      <c r="H1337" s="29">
        <f t="shared" si="439"/>
        <v>4.3999999999999997E-2</v>
      </c>
      <c r="I1337">
        <f t="shared" si="448"/>
        <v>437.15</v>
      </c>
      <c r="J1337">
        <f>IF(A1337&gt;=Quarterly!B$2,Quarterly!C$2,IF(COUNTIFS(Quarterly!B:B,"&gt;="&amp;A1337-92,Quarterly!B:B,"&lt;="&amp;A1337)&gt;1,SUMIFS(Quarterly!C:C,Quarterly!B:B,"&gt;="&amp;A1337-88,Quarterly!B:B,"&lt;="&amp;A1337),SUMIFS(Quarterly!C:C,Quarterly!B:B,"&gt;="&amp;A1337-92,Quarterly!B:B,"&lt;="&amp;A1337)))</f>
        <v>6586.5</v>
      </c>
      <c r="K1337" s="13">
        <f t="shared" si="449"/>
        <v>6.6400000000000001E-2</v>
      </c>
      <c r="L1337">
        <f t="shared" si="451"/>
        <v>437.15</v>
      </c>
      <c r="M1337">
        <f>IF(A1337&gt;=Quarterly!B$2,Quarterly!D$2,IF(COUNTIFS(Quarterly!B:B,"&gt;="&amp;A1337-92,Quarterly!B:B,"&lt;="&amp;A1337)&gt;1,SUMIFS(Quarterly!D:D,Quarterly!B:B,"&gt;="&amp;A1337-88,Quarterly!B:B,"&lt;="&amp;A1337),SUMIFS(Quarterly!D:D,Quarterly!B:B,"&gt;="&amp;A1337-92,Quarterly!B:B,"&lt;="&amp;A1337)))</f>
        <v>307.005</v>
      </c>
      <c r="N1337" s="13">
        <f t="shared" si="452"/>
        <v>0.14238999999999999</v>
      </c>
      <c r="O1337">
        <f t="shared" si="440"/>
        <v>437.15</v>
      </c>
      <c r="P1337" s="56">
        <f>VLOOKUP(EOMONTH(A1337,-1),Economic!A:I,7,FALSE)</f>
        <v>544716</v>
      </c>
      <c r="Q1337" s="13">
        <f t="shared" si="441"/>
        <v>8.0299999999999996E-2</v>
      </c>
      <c r="R1337" s="41">
        <v>2.29</v>
      </c>
      <c r="S1337">
        <f t="shared" si="442"/>
        <v>1.79</v>
      </c>
      <c r="T1337" s="30">
        <f t="shared" si="443"/>
        <v>235.34</v>
      </c>
      <c r="U1337" s="30">
        <f t="shared" si="450"/>
        <v>236.86</v>
      </c>
    </row>
    <row r="1338" spans="1:21" ht="15" customHeight="1" x14ac:dyDescent="0.25">
      <c r="A1338" s="5">
        <v>33979</v>
      </c>
      <c r="B1338" s="5">
        <f t="shared" si="444"/>
        <v>34000</v>
      </c>
      <c r="C1338">
        <v>429.05</v>
      </c>
      <c r="D1338" s="29">
        <f t="shared" si="445"/>
        <v>-1.9599999999999999E-2</v>
      </c>
      <c r="E1338" s="39">
        <f t="shared" si="446"/>
        <v>427.14846153846156</v>
      </c>
      <c r="F1338" s="39">
        <f t="shared" si="447"/>
        <v>418.19897435897445</v>
      </c>
      <c r="G1338" s="29">
        <f t="shared" si="439"/>
        <v>4.4999999999999997E-3</v>
      </c>
      <c r="H1338" s="29">
        <f t="shared" si="439"/>
        <v>2.5899999999999999E-2</v>
      </c>
      <c r="I1338">
        <f t="shared" si="448"/>
        <v>429.05</v>
      </c>
      <c r="J1338">
        <f>IF(A1338&gt;=Quarterly!B$2,Quarterly!C$2,IF(COUNTIFS(Quarterly!B:B,"&gt;="&amp;A1338-92,Quarterly!B:B,"&lt;="&amp;A1338)&gt;1,SUMIFS(Quarterly!C:C,Quarterly!B:B,"&gt;="&amp;A1338-88,Quarterly!B:B,"&lt;="&amp;A1338),SUMIFS(Quarterly!C:C,Quarterly!B:B,"&gt;="&amp;A1338-92,Quarterly!B:B,"&lt;="&amp;A1338)))</f>
        <v>6586.5</v>
      </c>
      <c r="K1338" s="13">
        <f t="shared" si="449"/>
        <v>6.5100000000000005E-2</v>
      </c>
      <c r="L1338">
        <f t="shared" si="451"/>
        <v>429.05</v>
      </c>
      <c r="M1338">
        <f>IF(A1338&gt;=Quarterly!B$2,Quarterly!D$2,IF(COUNTIFS(Quarterly!B:B,"&gt;="&amp;A1338-92,Quarterly!B:B,"&lt;="&amp;A1338)&gt;1,SUMIFS(Quarterly!D:D,Quarterly!B:B,"&gt;="&amp;A1338-88,Quarterly!B:B,"&lt;="&amp;A1338),SUMIFS(Quarterly!D:D,Quarterly!B:B,"&gt;="&amp;A1338-92,Quarterly!B:B,"&lt;="&amp;A1338)))</f>
        <v>307.005</v>
      </c>
      <c r="N1338" s="13">
        <f t="shared" si="452"/>
        <v>0.13975000000000001</v>
      </c>
      <c r="O1338">
        <f t="shared" si="440"/>
        <v>429.05</v>
      </c>
      <c r="P1338" s="56">
        <f>VLOOKUP(EOMONTH(A1338,-1),Economic!A:I,7,FALSE)</f>
        <v>544716</v>
      </c>
      <c r="Q1338" s="13">
        <f t="shared" si="441"/>
        <v>7.8799999999999995E-2</v>
      </c>
      <c r="R1338" s="41">
        <v>2.25</v>
      </c>
      <c r="S1338">
        <f t="shared" si="442"/>
        <v>1.78</v>
      </c>
      <c r="T1338" s="30">
        <f t="shared" si="443"/>
        <v>236.26</v>
      </c>
      <c r="U1338" s="30">
        <f t="shared" si="450"/>
        <v>237.63</v>
      </c>
    </row>
    <row r="1339" spans="1:21" ht="15" customHeight="1" x14ac:dyDescent="0.25">
      <c r="A1339" s="5">
        <v>33972</v>
      </c>
      <c r="B1339" s="5">
        <f t="shared" si="444"/>
        <v>34000</v>
      </c>
      <c r="C1339">
        <v>435.71</v>
      </c>
      <c r="D1339" s="29">
        <f t="shared" si="445"/>
        <v>-2.3E-3</v>
      </c>
      <c r="E1339" s="39">
        <f t="shared" si="446"/>
        <v>425.11846153846159</v>
      </c>
      <c r="F1339" s="39">
        <f t="shared" si="447"/>
        <v>417.56410256410271</v>
      </c>
      <c r="G1339" s="29">
        <f t="shared" si="439"/>
        <v>2.4899999999999999E-2</v>
      </c>
      <c r="H1339" s="29">
        <f t="shared" si="439"/>
        <v>4.3499999999999997E-2</v>
      </c>
      <c r="I1339">
        <f t="shared" si="448"/>
        <v>435.71</v>
      </c>
      <c r="J1339">
        <f>IF(A1339&gt;=Quarterly!B$2,Quarterly!C$2,IF(COUNTIFS(Quarterly!B:B,"&gt;="&amp;A1339-92,Quarterly!B:B,"&lt;="&amp;A1339)&gt;1,SUMIFS(Quarterly!C:C,Quarterly!B:B,"&gt;="&amp;A1339-88,Quarterly!B:B,"&lt;="&amp;A1339),SUMIFS(Quarterly!C:C,Quarterly!B:B,"&gt;="&amp;A1339-92,Quarterly!B:B,"&lt;="&amp;A1339)))</f>
        <v>6586.5</v>
      </c>
      <c r="K1339" s="13">
        <f t="shared" si="449"/>
        <v>6.6199999999999995E-2</v>
      </c>
      <c r="L1339">
        <f t="shared" si="451"/>
        <v>435.71</v>
      </c>
      <c r="M1339">
        <f>IF(A1339&gt;=Quarterly!B$2,Quarterly!D$2,IF(COUNTIFS(Quarterly!B:B,"&gt;="&amp;A1339-92,Quarterly!B:B,"&lt;="&amp;A1339)&gt;1,SUMIFS(Quarterly!D:D,Quarterly!B:B,"&gt;="&amp;A1339-88,Quarterly!B:B,"&lt;="&amp;A1339),SUMIFS(Quarterly!D:D,Quarterly!B:B,"&gt;="&amp;A1339-92,Quarterly!B:B,"&lt;="&amp;A1339)))</f>
        <v>307.005</v>
      </c>
      <c r="N1339" s="13">
        <f t="shared" si="452"/>
        <v>0.14192000000000002</v>
      </c>
      <c r="O1339">
        <f t="shared" si="440"/>
        <v>435.71</v>
      </c>
      <c r="P1339" s="56">
        <f>VLOOKUP(EOMONTH(A1339,-1),Economic!A:I,7,FALSE)</f>
        <v>544716</v>
      </c>
      <c r="Q1339" s="13">
        <f t="shared" si="441"/>
        <v>0.08</v>
      </c>
      <c r="R1339" s="41">
        <v>2.14</v>
      </c>
      <c r="S1339">
        <f t="shared" si="442"/>
        <v>1.83</v>
      </c>
      <c r="T1339" s="30">
        <f t="shared" si="443"/>
        <v>238.98</v>
      </c>
      <c r="U1339" s="30">
        <f t="shared" si="450"/>
        <v>236.71</v>
      </c>
    </row>
    <row r="1340" spans="1:21" ht="15" customHeight="1" x14ac:dyDescent="0.25">
      <c r="A1340" s="5">
        <v>33965</v>
      </c>
      <c r="B1340" s="5">
        <f t="shared" si="444"/>
        <v>33969</v>
      </c>
      <c r="C1340">
        <v>439.77</v>
      </c>
      <c r="D1340" s="29">
        <f t="shared" si="445"/>
        <v>1.26E-2</v>
      </c>
      <c r="E1340" s="39">
        <f t="shared" si="446"/>
        <v>423.17692307692312</v>
      </c>
      <c r="F1340" s="39">
        <f t="shared" si="447"/>
        <v>416.68820512820525</v>
      </c>
      <c r="G1340" s="29">
        <f t="shared" si="439"/>
        <v>3.9199999999999999E-2</v>
      </c>
      <c r="H1340" s="29">
        <f t="shared" si="439"/>
        <v>5.5399999999999998E-2</v>
      </c>
      <c r="I1340">
        <f t="shared" si="448"/>
        <v>439.77</v>
      </c>
      <c r="J1340">
        <f>IF(A1340&gt;=Quarterly!B$2,Quarterly!C$2,IF(COUNTIFS(Quarterly!B:B,"&gt;="&amp;A1340-92,Quarterly!B:B,"&lt;="&amp;A1340)&gt;1,SUMIFS(Quarterly!C:C,Quarterly!B:B,"&gt;="&amp;A1340-88,Quarterly!B:B,"&lt;="&amp;A1340),SUMIFS(Quarterly!C:C,Quarterly!B:B,"&gt;="&amp;A1340-92,Quarterly!B:B,"&lt;="&amp;A1340)))</f>
        <v>6586.5</v>
      </c>
      <c r="K1340" s="13">
        <f t="shared" si="449"/>
        <v>6.6799999999999998E-2</v>
      </c>
      <c r="L1340">
        <f t="shared" si="451"/>
        <v>439.77</v>
      </c>
      <c r="M1340">
        <f>IF(A1340&gt;=Quarterly!B$2,Quarterly!D$2,IF(COUNTIFS(Quarterly!B:B,"&gt;="&amp;A1340-92,Quarterly!B:B,"&lt;="&amp;A1340)&gt;1,SUMIFS(Quarterly!D:D,Quarterly!B:B,"&gt;="&amp;A1340-88,Quarterly!B:B,"&lt;="&amp;A1340),SUMIFS(Quarterly!D:D,Quarterly!B:B,"&gt;="&amp;A1340-92,Quarterly!B:B,"&lt;="&amp;A1340)))</f>
        <v>307.005</v>
      </c>
      <c r="N1340" s="13">
        <f t="shared" si="452"/>
        <v>0.14325000000000002</v>
      </c>
      <c r="O1340">
        <f t="shared" si="440"/>
        <v>439.77</v>
      </c>
      <c r="P1340" s="56">
        <f>VLOOKUP(EOMONTH(A1340,-1),Economic!A:I,7,FALSE)</f>
        <v>544443</v>
      </c>
      <c r="Q1340" s="13">
        <f t="shared" si="441"/>
        <v>8.0799999999999997E-2</v>
      </c>
      <c r="R1340" s="41">
        <v>2.09</v>
      </c>
      <c r="S1340">
        <f t="shared" si="442"/>
        <v>1.75</v>
      </c>
      <c r="T1340" s="30">
        <f t="shared" si="443"/>
        <v>237.66</v>
      </c>
      <c r="U1340" s="30">
        <f t="shared" si="450"/>
        <v>235.07</v>
      </c>
    </row>
    <row r="1341" spans="1:21" ht="15" customHeight="1" x14ac:dyDescent="0.25">
      <c r="A1341" s="5">
        <v>33958</v>
      </c>
      <c r="B1341" s="5">
        <f t="shared" si="444"/>
        <v>33969</v>
      </c>
      <c r="C1341">
        <v>441.28</v>
      </c>
      <c r="D1341" s="29">
        <f t="shared" si="445"/>
        <v>2.47E-2</v>
      </c>
      <c r="E1341" s="39">
        <f t="shared" si="446"/>
        <v>421.22153846153844</v>
      </c>
      <c r="F1341" s="39">
        <f t="shared" si="447"/>
        <v>415.75820512820525</v>
      </c>
      <c r="G1341" s="29">
        <f t="shared" si="439"/>
        <v>4.7600000000000003E-2</v>
      </c>
      <c r="H1341" s="29">
        <f t="shared" si="439"/>
        <v>6.1400000000000003E-2</v>
      </c>
      <c r="I1341">
        <f t="shared" si="448"/>
        <v>441.28</v>
      </c>
      <c r="J1341">
        <f>IF(A1341&gt;=Quarterly!B$2,Quarterly!C$2,IF(COUNTIFS(Quarterly!B:B,"&gt;="&amp;A1341-92,Quarterly!B:B,"&lt;="&amp;A1341)&gt;1,SUMIFS(Quarterly!C:C,Quarterly!B:B,"&gt;="&amp;A1341-88,Quarterly!B:B,"&lt;="&amp;A1341),SUMIFS(Quarterly!C:C,Quarterly!B:B,"&gt;="&amp;A1341-92,Quarterly!B:B,"&lt;="&amp;A1341)))</f>
        <v>6586.5</v>
      </c>
      <c r="K1341" s="13">
        <f t="shared" si="449"/>
        <v>6.7000000000000004E-2</v>
      </c>
      <c r="L1341">
        <f t="shared" si="451"/>
        <v>441.28</v>
      </c>
      <c r="M1341">
        <f>IF(A1341&gt;=Quarterly!B$2,Quarterly!D$2,IF(COUNTIFS(Quarterly!B:B,"&gt;="&amp;A1341-92,Quarterly!B:B,"&lt;="&amp;A1341)&gt;1,SUMIFS(Quarterly!D:D,Quarterly!B:B,"&gt;="&amp;A1341-88,Quarterly!B:B,"&lt;="&amp;A1341),SUMIFS(Quarterly!D:D,Quarterly!B:B,"&gt;="&amp;A1341-92,Quarterly!B:B,"&lt;="&amp;A1341)))</f>
        <v>307.005</v>
      </c>
      <c r="N1341" s="13">
        <f t="shared" si="452"/>
        <v>0.14374000000000001</v>
      </c>
      <c r="O1341">
        <f t="shared" si="440"/>
        <v>441.28</v>
      </c>
      <c r="P1341" s="56">
        <f>VLOOKUP(EOMONTH(A1341,-1),Economic!A:I,7,FALSE)</f>
        <v>544443</v>
      </c>
      <c r="Q1341" s="13">
        <f t="shared" si="441"/>
        <v>8.1099999999999992E-2</v>
      </c>
      <c r="R1341" s="41">
        <v>2.1</v>
      </c>
      <c r="S1341">
        <f t="shared" si="442"/>
        <v>1.58</v>
      </c>
      <c r="T1341" s="30">
        <f t="shared" si="443"/>
        <v>233.49</v>
      </c>
      <c r="U1341" s="30">
        <f t="shared" si="450"/>
        <v>233.02</v>
      </c>
    </row>
    <row r="1342" spans="1:21" ht="15" customHeight="1" x14ac:dyDescent="0.25">
      <c r="A1342" s="5">
        <v>33951</v>
      </c>
      <c r="B1342" s="5">
        <f t="shared" si="444"/>
        <v>33969</v>
      </c>
      <c r="C1342">
        <v>433.73</v>
      </c>
      <c r="D1342" s="29">
        <f t="shared" si="445"/>
        <v>1.38E-2</v>
      </c>
      <c r="E1342" s="39">
        <f t="shared" si="446"/>
        <v>419.81000000000006</v>
      </c>
      <c r="F1342" s="39">
        <f t="shared" si="447"/>
        <v>414.9894871794873</v>
      </c>
      <c r="G1342" s="29">
        <f t="shared" si="439"/>
        <v>3.32E-2</v>
      </c>
      <c r="H1342" s="29">
        <f t="shared" si="439"/>
        <v>4.5199999999999997E-2</v>
      </c>
      <c r="I1342">
        <f t="shared" si="448"/>
        <v>433.73</v>
      </c>
      <c r="J1342">
        <f>IF(A1342&gt;=Quarterly!B$2,Quarterly!C$2,IF(COUNTIFS(Quarterly!B:B,"&gt;="&amp;A1342-92,Quarterly!B:B,"&lt;="&amp;A1342)&gt;1,SUMIFS(Quarterly!C:C,Quarterly!B:B,"&gt;="&amp;A1342-88,Quarterly!B:B,"&lt;="&amp;A1342),SUMIFS(Quarterly!C:C,Quarterly!B:B,"&gt;="&amp;A1342-92,Quarterly!B:B,"&lt;="&amp;A1342)))</f>
        <v>6586.5</v>
      </c>
      <c r="K1342" s="13">
        <f t="shared" si="449"/>
        <v>6.59E-2</v>
      </c>
      <c r="L1342">
        <f t="shared" si="451"/>
        <v>433.73</v>
      </c>
      <c r="M1342">
        <f>IF(A1342&gt;=Quarterly!B$2,Quarterly!D$2,IF(COUNTIFS(Quarterly!B:B,"&gt;="&amp;A1342-92,Quarterly!B:B,"&lt;="&amp;A1342)&gt;1,SUMIFS(Quarterly!D:D,Quarterly!B:B,"&gt;="&amp;A1342-88,Quarterly!B:B,"&lt;="&amp;A1342),SUMIFS(Quarterly!D:D,Quarterly!B:B,"&gt;="&amp;A1342-92,Quarterly!B:B,"&lt;="&amp;A1342)))</f>
        <v>307.005</v>
      </c>
      <c r="N1342" s="13">
        <f t="shared" si="452"/>
        <v>0.14128000000000002</v>
      </c>
      <c r="O1342">
        <f t="shared" si="440"/>
        <v>433.73</v>
      </c>
      <c r="P1342" s="56">
        <f>VLOOKUP(EOMONTH(A1342,-1),Economic!A:I,7,FALSE)</f>
        <v>544443</v>
      </c>
      <c r="Q1342" s="13">
        <f t="shared" si="441"/>
        <v>7.9699999999999993E-2</v>
      </c>
      <c r="R1342" s="41">
        <v>2.02</v>
      </c>
      <c r="S1342">
        <f t="shared" si="442"/>
        <v>1.58</v>
      </c>
      <c r="T1342" s="30">
        <f t="shared" si="443"/>
        <v>234.05</v>
      </c>
      <c r="U1342" s="30">
        <f t="shared" si="450"/>
        <v>232.46</v>
      </c>
    </row>
    <row r="1343" spans="1:21" ht="15" customHeight="1" x14ac:dyDescent="0.25">
      <c r="A1343" s="5">
        <v>33944</v>
      </c>
      <c r="B1343" s="5">
        <f t="shared" si="444"/>
        <v>33969</v>
      </c>
      <c r="C1343">
        <v>432.06</v>
      </c>
      <c r="D1343" s="29">
        <f t="shared" si="445"/>
        <v>1.8499999999999999E-2</v>
      </c>
      <c r="E1343" s="39">
        <f t="shared" si="446"/>
        <v>418.72153846153844</v>
      </c>
      <c r="F1343" s="39">
        <f t="shared" si="447"/>
        <v>414.27435897435907</v>
      </c>
      <c r="G1343" s="29">
        <f t="shared" si="439"/>
        <v>3.1899999999999998E-2</v>
      </c>
      <c r="H1343" s="29">
        <f t="shared" si="439"/>
        <v>4.2900000000000001E-2</v>
      </c>
      <c r="I1343">
        <f t="shared" si="448"/>
        <v>432.06</v>
      </c>
      <c r="J1343">
        <f>IF(A1343&gt;=Quarterly!B$2,Quarterly!C$2,IF(COUNTIFS(Quarterly!B:B,"&gt;="&amp;A1343-92,Quarterly!B:B,"&lt;="&amp;A1343)&gt;1,SUMIFS(Quarterly!C:C,Quarterly!B:B,"&gt;="&amp;A1343-88,Quarterly!B:B,"&lt;="&amp;A1343),SUMIFS(Quarterly!C:C,Quarterly!B:B,"&gt;="&amp;A1343-92,Quarterly!B:B,"&lt;="&amp;A1343)))</f>
        <v>6586.5</v>
      </c>
      <c r="K1343" s="13">
        <f t="shared" si="449"/>
        <v>6.5600000000000006E-2</v>
      </c>
      <c r="L1343">
        <f t="shared" si="451"/>
        <v>432.06</v>
      </c>
      <c r="M1343">
        <f>IF(A1343&gt;=Quarterly!B$2,Quarterly!D$2,IF(COUNTIFS(Quarterly!B:B,"&gt;="&amp;A1343-92,Quarterly!B:B,"&lt;="&amp;A1343)&gt;1,SUMIFS(Quarterly!D:D,Quarterly!B:B,"&gt;="&amp;A1343-88,Quarterly!B:B,"&lt;="&amp;A1343),SUMIFS(Quarterly!D:D,Quarterly!B:B,"&gt;="&amp;A1343-92,Quarterly!B:B,"&lt;="&amp;A1343)))</f>
        <v>307.005</v>
      </c>
      <c r="N1343" s="13">
        <f t="shared" si="452"/>
        <v>0.14072999999999999</v>
      </c>
      <c r="O1343">
        <f t="shared" si="440"/>
        <v>432.06</v>
      </c>
      <c r="P1343" s="56">
        <f>VLOOKUP(EOMONTH(A1343,-1),Economic!A:I,7,FALSE)</f>
        <v>544443</v>
      </c>
      <c r="Q1343" s="13">
        <f t="shared" si="441"/>
        <v>7.9399999999999998E-2</v>
      </c>
      <c r="R1343" s="41">
        <v>2.14</v>
      </c>
      <c r="S1343">
        <f t="shared" si="442"/>
        <v>1.48</v>
      </c>
      <c r="T1343" s="30">
        <f t="shared" si="443"/>
        <v>231.52</v>
      </c>
      <c r="U1343" s="30">
        <f t="shared" si="450"/>
        <v>231.04</v>
      </c>
    </row>
    <row r="1344" spans="1:21" ht="15" customHeight="1" x14ac:dyDescent="0.25">
      <c r="A1344" s="5">
        <v>33937</v>
      </c>
      <c r="B1344" s="5">
        <f t="shared" si="444"/>
        <v>33938</v>
      </c>
      <c r="C1344">
        <v>430.16</v>
      </c>
      <c r="D1344" s="29">
        <f t="shared" si="445"/>
        <v>2.0899999999999998E-2</v>
      </c>
      <c r="E1344" s="39">
        <f t="shared" si="446"/>
        <v>417.56923076923078</v>
      </c>
      <c r="F1344" s="39">
        <f t="shared" si="447"/>
        <v>413.56615384615401</v>
      </c>
      <c r="G1344" s="29">
        <f t="shared" si="439"/>
        <v>3.0200000000000001E-2</v>
      </c>
      <c r="H1344" s="29">
        <f t="shared" si="439"/>
        <v>4.0099999999999997E-2</v>
      </c>
      <c r="I1344">
        <f t="shared" si="448"/>
        <v>430.16</v>
      </c>
      <c r="J1344">
        <f>IF(A1344&gt;=Quarterly!B$2,Quarterly!C$2,IF(COUNTIFS(Quarterly!B:B,"&gt;="&amp;A1344-92,Quarterly!B:B,"&lt;="&amp;A1344)&gt;1,SUMIFS(Quarterly!C:C,Quarterly!B:B,"&gt;="&amp;A1344-88,Quarterly!B:B,"&lt;="&amp;A1344),SUMIFS(Quarterly!C:C,Quarterly!B:B,"&gt;="&amp;A1344-92,Quarterly!B:B,"&lt;="&amp;A1344)))</f>
        <v>6586.5</v>
      </c>
      <c r="K1344" s="13">
        <f t="shared" si="449"/>
        <v>6.5299999999999997E-2</v>
      </c>
      <c r="L1344">
        <f t="shared" si="451"/>
        <v>430.16</v>
      </c>
      <c r="M1344">
        <f>IF(A1344&gt;=Quarterly!B$2,Quarterly!D$2,IF(COUNTIFS(Quarterly!B:B,"&gt;="&amp;A1344-92,Quarterly!B:B,"&lt;="&amp;A1344)&gt;1,SUMIFS(Quarterly!D:D,Quarterly!B:B,"&gt;="&amp;A1344-88,Quarterly!B:B,"&lt;="&amp;A1344),SUMIFS(Quarterly!D:D,Quarterly!B:B,"&gt;="&amp;A1344-92,Quarterly!B:B,"&lt;="&amp;A1344)))</f>
        <v>307.005</v>
      </c>
      <c r="N1344" s="13">
        <f t="shared" si="452"/>
        <v>0.14011000000000001</v>
      </c>
      <c r="O1344">
        <f t="shared" si="440"/>
        <v>430.16</v>
      </c>
      <c r="P1344" s="56">
        <f>VLOOKUP(EOMONTH(A1344,-1),Economic!A:I,7,FALSE)</f>
        <v>542698</v>
      </c>
      <c r="Q1344" s="13">
        <f t="shared" si="441"/>
        <v>7.9299999999999995E-2</v>
      </c>
      <c r="R1344" s="41">
        <v>2.16</v>
      </c>
      <c r="S1344">
        <f t="shared" si="442"/>
        <v>1.47</v>
      </c>
      <c r="T1344" s="30">
        <f t="shared" si="443"/>
        <v>231.82</v>
      </c>
      <c r="U1344" s="30">
        <f t="shared" si="450"/>
        <v>231.61</v>
      </c>
    </row>
    <row r="1345" spans="1:21" ht="15" customHeight="1" x14ac:dyDescent="0.25">
      <c r="A1345" s="5">
        <v>33930</v>
      </c>
      <c r="B1345" s="5">
        <f t="shared" si="444"/>
        <v>33938</v>
      </c>
      <c r="C1345">
        <v>426.65</v>
      </c>
      <c r="D1345" s="29">
        <f t="shared" si="445"/>
        <v>2.0199999999999999E-2</v>
      </c>
      <c r="E1345" s="39">
        <f t="shared" si="446"/>
        <v>416.39076923076925</v>
      </c>
      <c r="F1345" s="39">
        <f t="shared" si="447"/>
        <v>413.11846153846164</v>
      </c>
      <c r="G1345" s="29">
        <f t="shared" si="439"/>
        <v>2.46E-2</v>
      </c>
      <c r="H1345" s="29">
        <f t="shared" si="439"/>
        <v>3.2800000000000003E-2</v>
      </c>
      <c r="I1345">
        <f t="shared" si="448"/>
        <v>426.65</v>
      </c>
      <c r="J1345">
        <f>IF(A1345&gt;=Quarterly!B$2,Quarterly!C$2,IF(COUNTIFS(Quarterly!B:B,"&gt;="&amp;A1345-92,Quarterly!B:B,"&lt;="&amp;A1345)&gt;1,SUMIFS(Quarterly!C:C,Quarterly!B:B,"&gt;="&amp;A1345-88,Quarterly!B:B,"&lt;="&amp;A1345),SUMIFS(Quarterly!C:C,Quarterly!B:B,"&gt;="&amp;A1345-92,Quarterly!B:B,"&lt;="&amp;A1345)))</f>
        <v>6586.5</v>
      </c>
      <c r="K1345" s="13">
        <f t="shared" si="449"/>
        <v>6.4799999999999996E-2</v>
      </c>
      <c r="L1345">
        <f t="shared" si="451"/>
        <v>426.65</v>
      </c>
      <c r="M1345">
        <f>IF(A1345&gt;=Quarterly!B$2,Quarterly!D$2,IF(COUNTIFS(Quarterly!B:B,"&gt;="&amp;A1345-92,Quarterly!B:B,"&lt;="&amp;A1345)&gt;1,SUMIFS(Quarterly!D:D,Quarterly!B:B,"&gt;="&amp;A1345-88,Quarterly!B:B,"&lt;="&amp;A1345),SUMIFS(Quarterly!D:D,Quarterly!B:B,"&gt;="&amp;A1345-92,Quarterly!B:B,"&lt;="&amp;A1345)))</f>
        <v>307.005</v>
      </c>
      <c r="N1345" s="13">
        <f t="shared" si="452"/>
        <v>0.13897000000000001</v>
      </c>
      <c r="O1345">
        <f t="shared" si="440"/>
        <v>426.65</v>
      </c>
      <c r="P1345" s="56">
        <f>VLOOKUP(EOMONTH(A1345,-1),Economic!A:I,7,FALSE)</f>
        <v>542698</v>
      </c>
      <c r="Q1345" s="13">
        <f t="shared" si="441"/>
        <v>7.8600000000000003E-2</v>
      </c>
      <c r="R1345" s="41">
        <v>2.1800000000000002</v>
      </c>
      <c r="S1345">
        <f t="shared" si="442"/>
        <v>1.39</v>
      </c>
      <c r="T1345" s="30">
        <f t="shared" si="443"/>
        <v>229.78</v>
      </c>
      <c r="U1345" s="30">
        <f t="shared" si="450"/>
        <v>232.24</v>
      </c>
    </row>
    <row r="1346" spans="1:21" ht="15" customHeight="1" x14ac:dyDescent="0.25">
      <c r="A1346" s="5">
        <v>33923</v>
      </c>
      <c r="B1346" s="5">
        <f t="shared" si="444"/>
        <v>33938</v>
      </c>
      <c r="C1346">
        <v>422.43</v>
      </c>
      <c r="D1346" s="29">
        <f t="shared" si="445"/>
        <v>1.66E-2</v>
      </c>
      <c r="E1346" s="39">
        <f t="shared" si="446"/>
        <v>415.48307692307691</v>
      </c>
      <c r="F1346" s="39">
        <f t="shared" si="447"/>
        <v>412.72820512820522</v>
      </c>
      <c r="G1346" s="29">
        <f t="shared" ref="G1346:H1409" si="453">ROUND(($C1346-E1346)/E1346,4)</f>
        <v>1.67E-2</v>
      </c>
      <c r="H1346" s="29">
        <f t="shared" si="453"/>
        <v>2.35E-2</v>
      </c>
      <c r="I1346">
        <f t="shared" si="448"/>
        <v>422.43</v>
      </c>
      <c r="J1346">
        <f>IF(A1346&gt;=Quarterly!B$2,Quarterly!C$2,IF(COUNTIFS(Quarterly!B:B,"&gt;="&amp;A1346-92,Quarterly!B:B,"&lt;="&amp;A1346)&gt;1,SUMIFS(Quarterly!C:C,Quarterly!B:B,"&gt;="&amp;A1346-88,Quarterly!B:B,"&lt;="&amp;A1346),SUMIFS(Quarterly!C:C,Quarterly!B:B,"&gt;="&amp;A1346-92,Quarterly!B:B,"&lt;="&amp;A1346)))</f>
        <v>6586.5</v>
      </c>
      <c r="K1346" s="13">
        <f t="shared" si="449"/>
        <v>6.4100000000000004E-2</v>
      </c>
      <c r="L1346">
        <f t="shared" si="451"/>
        <v>422.43</v>
      </c>
      <c r="M1346">
        <f>IF(A1346&gt;=Quarterly!B$2,Quarterly!D$2,IF(COUNTIFS(Quarterly!B:B,"&gt;="&amp;A1346-92,Quarterly!B:B,"&lt;="&amp;A1346)&gt;1,SUMIFS(Quarterly!D:D,Quarterly!B:B,"&gt;="&amp;A1346-88,Quarterly!B:B,"&lt;="&amp;A1346),SUMIFS(Quarterly!D:D,Quarterly!B:B,"&gt;="&amp;A1346-92,Quarterly!B:B,"&lt;="&amp;A1346)))</f>
        <v>307.005</v>
      </c>
      <c r="N1346" s="13">
        <f t="shared" si="452"/>
        <v>0.1376</v>
      </c>
      <c r="O1346">
        <f t="shared" si="440"/>
        <v>422.43</v>
      </c>
      <c r="P1346" s="56">
        <f>VLOOKUP(EOMONTH(A1346,-1),Economic!A:I,7,FALSE)</f>
        <v>542698</v>
      </c>
      <c r="Q1346" s="13">
        <f t="shared" si="441"/>
        <v>7.7800000000000008E-2</v>
      </c>
      <c r="R1346" s="41">
        <v>2.2799999999999998</v>
      </c>
      <c r="S1346">
        <f t="shared" si="442"/>
        <v>1.48</v>
      </c>
      <c r="T1346" s="30">
        <f t="shared" si="443"/>
        <v>233.22</v>
      </c>
      <c r="U1346" s="30">
        <f t="shared" si="450"/>
        <v>233.08</v>
      </c>
    </row>
    <row r="1347" spans="1:21" ht="15" customHeight="1" x14ac:dyDescent="0.25">
      <c r="A1347" s="5">
        <v>33916</v>
      </c>
      <c r="B1347" s="5">
        <f t="shared" si="444"/>
        <v>33938</v>
      </c>
      <c r="C1347">
        <v>417.58</v>
      </c>
      <c r="D1347" s="29">
        <f t="shared" si="445"/>
        <v>1.41E-2</v>
      </c>
      <c r="E1347" s="39">
        <f t="shared" si="446"/>
        <v>415.28923076923081</v>
      </c>
      <c r="F1347" s="39">
        <f t="shared" si="447"/>
        <v>412.47307692307703</v>
      </c>
      <c r="G1347" s="29">
        <f t="shared" si="453"/>
        <v>5.4999999999999997E-3</v>
      </c>
      <c r="H1347" s="29">
        <f t="shared" si="453"/>
        <v>1.24E-2</v>
      </c>
      <c r="I1347">
        <f t="shared" si="448"/>
        <v>417.58</v>
      </c>
      <c r="J1347">
        <f>IF(A1347&gt;=Quarterly!B$2,Quarterly!C$2,IF(COUNTIFS(Quarterly!B:B,"&gt;="&amp;A1347-92,Quarterly!B:B,"&lt;="&amp;A1347)&gt;1,SUMIFS(Quarterly!C:C,Quarterly!B:B,"&gt;="&amp;A1347-88,Quarterly!B:B,"&lt;="&amp;A1347),SUMIFS(Quarterly!C:C,Quarterly!B:B,"&gt;="&amp;A1347-92,Quarterly!B:B,"&lt;="&amp;A1347)))</f>
        <v>6586.5</v>
      </c>
      <c r="K1347" s="13">
        <f t="shared" si="449"/>
        <v>6.3399999999999998E-2</v>
      </c>
      <c r="L1347">
        <f t="shared" si="451"/>
        <v>417.58</v>
      </c>
      <c r="M1347">
        <f>IF(A1347&gt;=Quarterly!B$2,Quarterly!D$2,IF(COUNTIFS(Quarterly!B:B,"&gt;="&amp;A1347-92,Quarterly!B:B,"&lt;="&amp;A1347)&gt;1,SUMIFS(Quarterly!D:D,Quarterly!B:B,"&gt;="&amp;A1347-88,Quarterly!B:B,"&lt;="&amp;A1347),SUMIFS(Quarterly!D:D,Quarterly!B:B,"&gt;="&amp;A1347-92,Quarterly!B:B,"&lt;="&amp;A1347)))</f>
        <v>307.005</v>
      </c>
      <c r="N1347" s="13">
        <f t="shared" si="452"/>
        <v>0.13602</v>
      </c>
      <c r="O1347">
        <f t="shared" si="440"/>
        <v>417.58</v>
      </c>
      <c r="P1347" s="56">
        <f>VLOOKUP(EOMONTH(A1347,-1),Economic!A:I,7,FALSE)</f>
        <v>542698</v>
      </c>
      <c r="Q1347" s="13">
        <f t="shared" si="441"/>
        <v>7.690000000000001E-2</v>
      </c>
      <c r="R1347" s="41">
        <v>2.4900000000000002</v>
      </c>
      <c r="S1347">
        <f t="shared" si="442"/>
        <v>1.5</v>
      </c>
      <c r="T1347" s="30">
        <f t="shared" si="443"/>
        <v>233.72</v>
      </c>
      <c r="U1347" s="30">
        <f t="shared" si="450"/>
        <v>232.15</v>
      </c>
    </row>
    <row r="1348" spans="1:21" ht="15" customHeight="1" x14ac:dyDescent="0.25">
      <c r="A1348" s="5">
        <v>33909</v>
      </c>
      <c r="B1348" s="5">
        <f t="shared" si="444"/>
        <v>33938</v>
      </c>
      <c r="C1348">
        <v>418.68</v>
      </c>
      <c r="D1348" s="29">
        <f t="shared" si="445"/>
        <v>2.18E-2</v>
      </c>
      <c r="E1348" s="39">
        <f t="shared" si="446"/>
        <v>415.38923076923078</v>
      </c>
      <c r="F1348" s="39">
        <f t="shared" si="447"/>
        <v>412.30666666666673</v>
      </c>
      <c r="G1348" s="29">
        <f t="shared" si="453"/>
        <v>7.9000000000000008E-3</v>
      </c>
      <c r="H1348" s="29">
        <f t="shared" si="453"/>
        <v>1.55E-2</v>
      </c>
      <c r="I1348">
        <f t="shared" si="448"/>
        <v>418.68</v>
      </c>
      <c r="J1348">
        <f>IF(A1348&gt;=Quarterly!B$2,Quarterly!C$2,IF(COUNTIFS(Quarterly!B:B,"&gt;="&amp;A1348-92,Quarterly!B:B,"&lt;="&amp;A1348)&gt;1,SUMIFS(Quarterly!C:C,Quarterly!B:B,"&gt;="&amp;A1348-88,Quarterly!B:B,"&lt;="&amp;A1348),SUMIFS(Quarterly!C:C,Quarterly!B:B,"&gt;="&amp;A1348-92,Quarterly!B:B,"&lt;="&amp;A1348)))</f>
        <v>6586.5</v>
      </c>
      <c r="K1348" s="13">
        <f t="shared" si="449"/>
        <v>6.3600000000000004E-2</v>
      </c>
      <c r="L1348">
        <f t="shared" si="451"/>
        <v>418.68</v>
      </c>
      <c r="M1348">
        <f>IF(A1348&gt;=Quarterly!B$2,Quarterly!D$2,IF(COUNTIFS(Quarterly!B:B,"&gt;="&amp;A1348-92,Quarterly!B:B,"&lt;="&amp;A1348)&gt;1,SUMIFS(Quarterly!D:D,Quarterly!B:B,"&gt;="&amp;A1348-88,Quarterly!B:B,"&lt;="&amp;A1348),SUMIFS(Quarterly!D:D,Quarterly!B:B,"&gt;="&amp;A1348-92,Quarterly!B:B,"&lt;="&amp;A1348)))</f>
        <v>307.005</v>
      </c>
      <c r="N1348" s="13">
        <f t="shared" si="452"/>
        <v>0.13638</v>
      </c>
      <c r="O1348">
        <f t="shared" si="440"/>
        <v>418.68</v>
      </c>
      <c r="P1348" s="56">
        <f>VLOOKUP(EOMONTH(A1348,-1),Economic!A:I,7,FALSE)</f>
        <v>542698</v>
      </c>
      <c r="Q1348" s="13">
        <f t="shared" si="441"/>
        <v>7.7100000000000002E-2</v>
      </c>
      <c r="R1348" s="41">
        <v>2.4</v>
      </c>
      <c r="S1348">
        <f t="shared" si="442"/>
        <v>1.46</v>
      </c>
      <c r="T1348" s="30">
        <f t="shared" si="443"/>
        <v>232.3</v>
      </c>
      <c r="U1348" s="30">
        <f t="shared" si="450"/>
        <v>232.26</v>
      </c>
    </row>
    <row r="1349" spans="1:21" ht="15" customHeight="1" x14ac:dyDescent="0.25">
      <c r="A1349" s="5">
        <v>33902</v>
      </c>
      <c r="B1349" s="5">
        <f t="shared" si="444"/>
        <v>33908</v>
      </c>
      <c r="C1349">
        <v>414.1</v>
      </c>
      <c r="D1349" s="29">
        <f t="shared" si="445"/>
        <v>1.0500000000000001E-2</v>
      </c>
      <c r="E1349" s="39">
        <f t="shared" si="446"/>
        <v>415.81461538461542</v>
      </c>
      <c r="F1349" s="39">
        <f t="shared" si="447"/>
        <v>412.05282051282057</v>
      </c>
      <c r="G1349" s="29">
        <f t="shared" si="453"/>
        <v>-4.1000000000000003E-3</v>
      </c>
      <c r="H1349" s="29">
        <f t="shared" si="453"/>
        <v>5.0000000000000001E-3</v>
      </c>
      <c r="I1349">
        <f t="shared" si="448"/>
        <v>414.1</v>
      </c>
      <c r="J1349">
        <f>IF(A1349&gt;=Quarterly!B$2,Quarterly!C$2,IF(COUNTIFS(Quarterly!B:B,"&gt;="&amp;A1349-92,Quarterly!B:B,"&lt;="&amp;A1349)&gt;1,SUMIFS(Quarterly!C:C,Quarterly!B:B,"&gt;="&amp;A1349-88,Quarterly!B:B,"&lt;="&amp;A1349),SUMIFS(Quarterly!C:C,Quarterly!B:B,"&gt;="&amp;A1349-92,Quarterly!B:B,"&lt;="&amp;A1349)))</f>
        <v>6492.3</v>
      </c>
      <c r="K1349" s="13">
        <f t="shared" si="449"/>
        <v>6.3799999999999996E-2</v>
      </c>
      <c r="L1349">
        <f t="shared" si="451"/>
        <v>414.1</v>
      </c>
      <c r="M1349">
        <f>IF(A1349&gt;=Quarterly!B$2,Quarterly!D$2,IF(COUNTIFS(Quarterly!B:B,"&gt;="&amp;A1349-92,Quarterly!B:B,"&lt;="&amp;A1349)&gt;1,SUMIFS(Quarterly!D:D,Quarterly!B:B,"&gt;="&amp;A1349-88,Quarterly!B:B,"&lt;="&amp;A1349),SUMIFS(Quarterly!D:D,Quarterly!B:B,"&gt;="&amp;A1349-92,Quarterly!B:B,"&lt;="&amp;A1349)))</f>
        <v>323.36900000000003</v>
      </c>
      <c r="N1349" s="13">
        <f t="shared" si="452"/>
        <v>0.12806000000000001</v>
      </c>
      <c r="O1349">
        <f t="shared" si="440"/>
        <v>414.1</v>
      </c>
      <c r="P1349" s="56">
        <f>VLOOKUP(EOMONTH(A1349,-1),Economic!A:I,7,FALSE)</f>
        <v>541158</v>
      </c>
      <c r="Q1349" s="13">
        <f t="shared" si="441"/>
        <v>7.6499999999999999E-2</v>
      </c>
      <c r="R1349" s="41">
        <v>2.46</v>
      </c>
      <c r="S1349">
        <f t="shared" si="442"/>
        <v>1.42</v>
      </c>
      <c r="T1349" s="30">
        <f t="shared" si="443"/>
        <v>230.42</v>
      </c>
      <c r="U1349" s="30">
        <f t="shared" si="450"/>
        <v>232.29</v>
      </c>
    </row>
    <row r="1350" spans="1:21" ht="15" customHeight="1" x14ac:dyDescent="0.25">
      <c r="A1350" s="5">
        <v>33895</v>
      </c>
      <c r="B1350" s="5">
        <f t="shared" si="444"/>
        <v>33908</v>
      </c>
      <c r="C1350">
        <v>411.73</v>
      </c>
      <c r="D1350" s="29">
        <f t="shared" si="445"/>
        <v>-2.0999999999999999E-3</v>
      </c>
      <c r="E1350" s="39">
        <f t="shared" si="446"/>
        <v>415.62230769230769</v>
      </c>
      <c r="F1350" s="39">
        <f t="shared" si="447"/>
        <v>412.08820512820523</v>
      </c>
      <c r="G1350" s="29">
        <f t="shared" si="453"/>
        <v>-9.4000000000000004E-3</v>
      </c>
      <c r="H1350" s="29">
        <f t="shared" si="453"/>
        <v>-8.9999999999999998E-4</v>
      </c>
      <c r="I1350">
        <f t="shared" si="448"/>
        <v>411.73</v>
      </c>
      <c r="J1350">
        <f>IF(A1350&gt;=Quarterly!B$2,Quarterly!C$2,IF(COUNTIFS(Quarterly!B:B,"&gt;="&amp;A1350-92,Quarterly!B:B,"&lt;="&amp;A1350)&gt;1,SUMIFS(Quarterly!C:C,Quarterly!B:B,"&gt;="&amp;A1350-88,Quarterly!B:B,"&lt;="&amp;A1350),SUMIFS(Quarterly!C:C,Quarterly!B:B,"&gt;="&amp;A1350-92,Quarterly!B:B,"&lt;="&amp;A1350)))</f>
        <v>6492.3</v>
      </c>
      <c r="K1350" s="13">
        <f t="shared" si="449"/>
        <v>6.3399999999999998E-2</v>
      </c>
      <c r="L1350">
        <f t="shared" si="451"/>
        <v>411.73</v>
      </c>
      <c r="M1350">
        <f>IF(A1350&gt;=Quarterly!B$2,Quarterly!D$2,IF(COUNTIFS(Quarterly!B:B,"&gt;="&amp;A1350-92,Quarterly!B:B,"&lt;="&amp;A1350)&gt;1,SUMIFS(Quarterly!D:D,Quarterly!B:B,"&gt;="&amp;A1350-88,Quarterly!B:B,"&lt;="&amp;A1350),SUMIFS(Quarterly!D:D,Quarterly!B:B,"&gt;="&amp;A1350-92,Quarterly!B:B,"&lt;="&amp;A1350)))</f>
        <v>323.36900000000003</v>
      </c>
      <c r="N1350" s="13">
        <f t="shared" si="452"/>
        <v>0.12733000000000003</v>
      </c>
      <c r="O1350">
        <f t="shared" ref="O1350:O1413" si="454">C1350</f>
        <v>411.73</v>
      </c>
      <c r="P1350" s="56">
        <f>VLOOKUP(EOMONTH(A1350,-1),Economic!A:I,7,FALSE)</f>
        <v>541158</v>
      </c>
      <c r="Q1350" s="13">
        <f t="shared" ref="Q1350:Q1383" si="455">ROUND(O1350/P1350,6)*100</f>
        <v>7.6100000000000001E-2</v>
      </c>
      <c r="R1350" s="41">
        <v>2.56</v>
      </c>
      <c r="S1350">
        <f t="shared" ref="S1350:S1413" si="456">R1411</f>
        <v>1.53</v>
      </c>
      <c r="T1350" s="30">
        <f t="shared" ref="T1350:T1413" si="457">IF((ROUND((S1350*40)+(G1350*350)-(H1350*100)-((N1350-0.15)*350)-(((K1350*10.5)-1)*270)-(Q1350*100),2)+144)*0.8&lt;0,0,ROUND((ROUND((S1350*40)+(G1350*350)-(H1350*100)-((N1350-0.15)*350)-(((K1350*10.5)-1)*270)-(Q1350*100),2)+144)*0.8,2))</f>
        <v>234.07</v>
      </c>
      <c r="U1350" s="30">
        <f t="shared" si="450"/>
        <v>231.55</v>
      </c>
    </row>
    <row r="1351" spans="1:21" ht="15" customHeight="1" x14ac:dyDescent="0.25">
      <c r="A1351" s="5">
        <v>33888</v>
      </c>
      <c r="B1351" s="5">
        <f t="shared" si="444"/>
        <v>33908</v>
      </c>
      <c r="C1351">
        <v>402.66</v>
      </c>
      <c r="D1351" s="29">
        <f t="shared" si="445"/>
        <v>-3.4000000000000002E-2</v>
      </c>
      <c r="E1351" s="39">
        <f t="shared" si="446"/>
        <v>415.92153846153849</v>
      </c>
      <c r="F1351" s="39">
        <f t="shared" si="447"/>
        <v>412.2710256410258</v>
      </c>
      <c r="G1351" s="29">
        <f t="shared" si="453"/>
        <v>-3.1899999999999998E-2</v>
      </c>
      <c r="H1351" s="29">
        <f t="shared" si="453"/>
        <v>-2.3300000000000001E-2</v>
      </c>
      <c r="I1351">
        <f t="shared" si="448"/>
        <v>402.66</v>
      </c>
      <c r="J1351">
        <f>IF(A1351&gt;=Quarterly!B$2,Quarterly!C$2,IF(COUNTIFS(Quarterly!B:B,"&gt;="&amp;A1351-92,Quarterly!B:B,"&lt;="&amp;A1351)&gt;1,SUMIFS(Quarterly!C:C,Quarterly!B:B,"&gt;="&amp;A1351-88,Quarterly!B:B,"&lt;="&amp;A1351),SUMIFS(Quarterly!C:C,Quarterly!B:B,"&gt;="&amp;A1351-92,Quarterly!B:B,"&lt;="&amp;A1351)))</f>
        <v>6492.3</v>
      </c>
      <c r="K1351" s="13">
        <f t="shared" si="449"/>
        <v>6.2E-2</v>
      </c>
      <c r="L1351">
        <f t="shared" si="451"/>
        <v>402.66</v>
      </c>
      <c r="M1351">
        <f>IF(A1351&gt;=Quarterly!B$2,Quarterly!D$2,IF(COUNTIFS(Quarterly!B:B,"&gt;="&amp;A1351-92,Quarterly!B:B,"&lt;="&amp;A1351)&gt;1,SUMIFS(Quarterly!D:D,Quarterly!B:B,"&gt;="&amp;A1351-88,Quarterly!B:B,"&lt;="&amp;A1351),SUMIFS(Quarterly!D:D,Quarterly!B:B,"&gt;="&amp;A1351-92,Quarterly!B:B,"&lt;="&amp;A1351)))</f>
        <v>323.36900000000003</v>
      </c>
      <c r="N1351" s="13">
        <f t="shared" si="452"/>
        <v>0.12452000000000002</v>
      </c>
      <c r="O1351">
        <f t="shared" si="454"/>
        <v>402.66</v>
      </c>
      <c r="P1351" s="56">
        <f>VLOOKUP(EOMONTH(A1351,-1),Economic!A:I,7,FALSE)</f>
        <v>541158</v>
      </c>
      <c r="Q1351" s="13">
        <f t="shared" si="455"/>
        <v>7.4399999999999994E-2</v>
      </c>
      <c r="R1351" s="41">
        <v>2.52</v>
      </c>
      <c r="S1351">
        <f t="shared" si="456"/>
        <v>1.49</v>
      </c>
      <c r="T1351" s="30">
        <f t="shared" si="457"/>
        <v>232.38</v>
      </c>
      <c r="U1351" s="30">
        <f t="shared" si="450"/>
        <v>229.4</v>
      </c>
    </row>
    <row r="1352" spans="1:21" ht="15" customHeight="1" x14ac:dyDescent="0.25">
      <c r="A1352" s="5">
        <v>33881</v>
      </c>
      <c r="B1352" s="5">
        <f t="shared" si="444"/>
        <v>33908</v>
      </c>
      <c r="C1352">
        <v>410.47</v>
      </c>
      <c r="D1352" s="29">
        <f t="shared" si="445"/>
        <v>-1.9199999999999998E-2</v>
      </c>
      <c r="E1352" s="39">
        <f t="shared" si="446"/>
        <v>416.84153846153845</v>
      </c>
      <c r="F1352" s="39">
        <f t="shared" si="447"/>
        <v>412.59000000000009</v>
      </c>
      <c r="G1352" s="29">
        <f t="shared" si="453"/>
        <v>-1.5299999999999999E-2</v>
      </c>
      <c r="H1352" s="29">
        <f t="shared" si="453"/>
        <v>-5.1000000000000004E-3</v>
      </c>
      <c r="I1352">
        <f t="shared" si="448"/>
        <v>410.47</v>
      </c>
      <c r="J1352">
        <f>IF(A1352&gt;=Quarterly!B$2,Quarterly!C$2,IF(COUNTIFS(Quarterly!B:B,"&gt;="&amp;A1352-92,Quarterly!B:B,"&lt;="&amp;A1352)&gt;1,SUMIFS(Quarterly!C:C,Quarterly!B:B,"&gt;="&amp;A1352-88,Quarterly!B:B,"&lt;="&amp;A1352),SUMIFS(Quarterly!C:C,Quarterly!B:B,"&gt;="&amp;A1352-92,Quarterly!B:B,"&lt;="&amp;A1352)))</f>
        <v>6492.3</v>
      </c>
      <c r="K1352" s="13">
        <f t="shared" si="449"/>
        <v>6.3200000000000006E-2</v>
      </c>
      <c r="L1352">
        <f t="shared" si="451"/>
        <v>410.47</v>
      </c>
      <c r="M1352">
        <f>IF(A1352&gt;=Quarterly!B$2,Quarterly!D$2,IF(COUNTIFS(Quarterly!B:B,"&gt;="&amp;A1352-92,Quarterly!B:B,"&lt;="&amp;A1352)&gt;1,SUMIFS(Quarterly!D:D,Quarterly!B:B,"&gt;="&amp;A1352-88,Quarterly!B:B,"&lt;="&amp;A1352),SUMIFS(Quarterly!D:D,Quarterly!B:B,"&gt;="&amp;A1352-92,Quarterly!B:B,"&lt;="&amp;A1352)))</f>
        <v>323.36900000000003</v>
      </c>
      <c r="N1352" s="13">
        <f t="shared" si="452"/>
        <v>0.12694000000000003</v>
      </c>
      <c r="O1352">
        <f t="shared" si="454"/>
        <v>410.47</v>
      </c>
      <c r="P1352" s="56">
        <f>VLOOKUP(EOMONTH(A1352,-1),Economic!A:I,7,FALSE)</f>
        <v>541158</v>
      </c>
      <c r="Q1352" s="13">
        <f t="shared" si="455"/>
        <v>7.5899999999999995E-2</v>
      </c>
      <c r="R1352" s="41">
        <v>2.5499999999999998</v>
      </c>
      <c r="S1352">
        <f t="shared" si="456"/>
        <v>1.37</v>
      </c>
      <c r="T1352" s="30">
        <f t="shared" si="457"/>
        <v>228.21</v>
      </c>
      <c r="U1352" s="30">
        <f t="shared" si="450"/>
        <v>228.51</v>
      </c>
    </row>
    <row r="1353" spans="1:21" ht="15" customHeight="1" x14ac:dyDescent="0.25">
      <c r="A1353" s="5">
        <v>33874</v>
      </c>
      <c r="B1353" s="5">
        <f t="shared" si="444"/>
        <v>33877</v>
      </c>
      <c r="C1353">
        <v>414.35</v>
      </c>
      <c r="D1353" s="29">
        <f t="shared" si="445"/>
        <v>-1.0200000000000001E-2</v>
      </c>
      <c r="E1353" s="39">
        <f t="shared" si="446"/>
        <v>416.94153846153847</v>
      </c>
      <c r="F1353" s="39">
        <f t="shared" si="447"/>
        <v>412.81743589743604</v>
      </c>
      <c r="G1353" s="29">
        <f t="shared" si="453"/>
        <v>-6.1999999999999998E-3</v>
      </c>
      <c r="H1353" s="29">
        <f t="shared" si="453"/>
        <v>3.7000000000000002E-3</v>
      </c>
      <c r="I1353">
        <f t="shared" si="448"/>
        <v>414.35</v>
      </c>
      <c r="J1353">
        <f>IF(A1353&gt;=Quarterly!B$2,Quarterly!C$2,IF(COUNTIFS(Quarterly!B:B,"&gt;="&amp;A1353-92,Quarterly!B:B,"&lt;="&amp;A1353)&gt;1,SUMIFS(Quarterly!C:C,Quarterly!B:B,"&gt;="&amp;A1353-88,Quarterly!B:B,"&lt;="&amp;A1353),SUMIFS(Quarterly!C:C,Quarterly!B:B,"&gt;="&amp;A1353-92,Quarterly!B:B,"&lt;="&amp;A1353)))</f>
        <v>6492.3</v>
      </c>
      <c r="K1353" s="13">
        <f t="shared" si="449"/>
        <v>6.3799999999999996E-2</v>
      </c>
      <c r="L1353">
        <f t="shared" si="451"/>
        <v>414.35</v>
      </c>
      <c r="M1353">
        <f>IF(A1353&gt;=Quarterly!B$2,Quarterly!D$2,IF(COUNTIFS(Quarterly!B:B,"&gt;="&amp;A1353-92,Quarterly!B:B,"&lt;="&amp;A1353)&gt;1,SUMIFS(Quarterly!D:D,Quarterly!B:B,"&gt;="&amp;A1353-88,Quarterly!B:B,"&lt;="&amp;A1353),SUMIFS(Quarterly!D:D,Quarterly!B:B,"&gt;="&amp;A1353-92,Quarterly!B:B,"&lt;="&amp;A1353)))</f>
        <v>323.36900000000003</v>
      </c>
      <c r="N1353" s="13">
        <f t="shared" si="452"/>
        <v>0.12814</v>
      </c>
      <c r="O1353">
        <f t="shared" si="454"/>
        <v>414.35</v>
      </c>
      <c r="P1353" s="56">
        <f>VLOOKUP(EOMONTH(A1353,-1),Economic!A:I,7,FALSE)</f>
        <v>537197</v>
      </c>
      <c r="Q1353" s="13">
        <f t="shared" si="455"/>
        <v>7.7100000000000002E-2</v>
      </c>
      <c r="R1353" s="41">
        <v>2.63</v>
      </c>
      <c r="S1353">
        <f t="shared" si="456"/>
        <v>1.35</v>
      </c>
      <c r="T1353" s="30">
        <f t="shared" si="457"/>
        <v>227.62</v>
      </c>
      <c r="U1353" s="30">
        <f t="shared" si="450"/>
        <v>229.14</v>
      </c>
    </row>
    <row r="1354" spans="1:21" ht="15" customHeight="1" x14ac:dyDescent="0.25">
      <c r="A1354" s="5">
        <v>33867</v>
      </c>
      <c r="B1354" s="5">
        <f t="shared" si="444"/>
        <v>33877</v>
      </c>
      <c r="C1354">
        <v>422.93</v>
      </c>
      <c r="D1354" s="29">
        <f t="shared" si="445"/>
        <v>1.52E-2</v>
      </c>
      <c r="E1354" s="39">
        <f t="shared" si="446"/>
        <v>416.10307692307686</v>
      </c>
      <c r="F1354" s="39">
        <f t="shared" si="447"/>
        <v>412.61512820512831</v>
      </c>
      <c r="G1354" s="29">
        <f t="shared" si="453"/>
        <v>1.6400000000000001E-2</v>
      </c>
      <c r="H1354" s="29">
        <f t="shared" si="453"/>
        <v>2.5000000000000001E-2</v>
      </c>
      <c r="I1354">
        <f t="shared" si="448"/>
        <v>422.93</v>
      </c>
      <c r="J1354">
        <f>IF(A1354&gt;=Quarterly!B$2,Quarterly!C$2,IF(COUNTIFS(Quarterly!B:B,"&gt;="&amp;A1354-92,Quarterly!B:B,"&lt;="&amp;A1354)&gt;1,SUMIFS(Quarterly!C:C,Quarterly!B:B,"&gt;="&amp;A1354-88,Quarterly!B:B,"&lt;="&amp;A1354),SUMIFS(Quarterly!C:C,Quarterly!B:B,"&gt;="&amp;A1354-92,Quarterly!B:B,"&lt;="&amp;A1354)))</f>
        <v>6492.3</v>
      </c>
      <c r="K1354" s="13">
        <f t="shared" si="449"/>
        <v>6.5100000000000005E-2</v>
      </c>
      <c r="L1354">
        <f t="shared" si="451"/>
        <v>422.93</v>
      </c>
      <c r="M1354">
        <f>IF(A1354&gt;=Quarterly!B$2,Quarterly!D$2,IF(COUNTIFS(Quarterly!B:B,"&gt;="&amp;A1354-92,Quarterly!B:B,"&lt;="&amp;A1354)&gt;1,SUMIFS(Quarterly!D:D,Quarterly!B:B,"&gt;="&amp;A1354-88,Quarterly!B:B,"&lt;="&amp;A1354),SUMIFS(Quarterly!D:D,Quarterly!B:B,"&gt;="&amp;A1354-92,Quarterly!B:B,"&lt;="&amp;A1354)))</f>
        <v>323.36900000000003</v>
      </c>
      <c r="N1354" s="13">
        <f t="shared" si="452"/>
        <v>0.13079000000000002</v>
      </c>
      <c r="O1354">
        <f t="shared" si="454"/>
        <v>422.93</v>
      </c>
      <c r="P1354" s="56">
        <f>VLOOKUP(EOMONTH(A1354,-1),Economic!A:I,7,FALSE)</f>
        <v>537197</v>
      </c>
      <c r="Q1354" s="13">
        <f t="shared" si="455"/>
        <v>7.8700000000000006E-2</v>
      </c>
      <c r="R1354" s="41">
        <v>2.5499999999999998</v>
      </c>
      <c r="S1354">
        <f t="shared" si="456"/>
        <v>1.39</v>
      </c>
      <c r="T1354" s="30">
        <f t="shared" si="457"/>
        <v>229.71</v>
      </c>
      <c r="U1354" s="30">
        <f t="shared" si="450"/>
        <v>229.21</v>
      </c>
    </row>
    <row r="1355" spans="1:21" ht="15" customHeight="1" x14ac:dyDescent="0.25">
      <c r="A1355" s="5">
        <v>33860</v>
      </c>
      <c r="B1355" s="5">
        <f t="shared" si="444"/>
        <v>33877</v>
      </c>
      <c r="C1355">
        <v>419.58</v>
      </c>
      <c r="D1355" s="29">
        <f t="shared" si="445"/>
        <v>7.0000000000000001E-3</v>
      </c>
      <c r="E1355" s="39">
        <f t="shared" si="446"/>
        <v>414.62153846153836</v>
      </c>
      <c r="F1355" s="39">
        <f t="shared" si="447"/>
        <v>411.69487179487191</v>
      </c>
      <c r="G1355" s="29">
        <f t="shared" si="453"/>
        <v>1.2E-2</v>
      </c>
      <c r="H1355" s="29">
        <f t="shared" si="453"/>
        <v>1.9199999999999998E-2</v>
      </c>
      <c r="I1355">
        <f t="shared" si="448"/>
        <v>419.58</v>
      </c>
      <c r="J1355">
        <f>IF(A1355&gt;=Quarterly!B$2,Quarterly!C$2,IF(COUNTIFS(Quarterly!B:B,"&gt;="&amp;A1355-92,Quarterly!B:B,"&lt;="&amp;A1355)&gt;1,SUMIFS(Quarterly!C:C,Quarterly!B:B,"&gt;="&amp;A1355-88,Quarterly!B:B,"&lt;="&amp;A1355),SUMIFS(Quarterly!C:C,Quarterly!B:B,"&gt;="&amp;A1355-92,Quarterly!B:B,"&lt;="&amp;A1355)))</f>
        <v>6492.3</v>
      </c>
      <c r="K1355" s="13">
        <f t="shared" si="449"/>
        <v>6.4600000000000005E-2</v>
      </c>
      <c r="L1355">
        <f t="shared" si="451"/>
        <v>419.58</v>
      </c>
      <c r="M1355">
        <f>IF(A1355&gt;=Quarterly!B$2,Quarterly!D$2,IF(COUNTIFS(Quarterly!B:B,"&gt;="&amp;A1355-92,Quarterly!B:B,"&lt;="&amp;A1355)&gt;1,SUMIFS(Quarterly!D:D,Quarterly!B:B,"&gt;="&amp;A1355-88,Quarterly!B:B,"&lt;="&amp;A1355),SUMIFS(Quarterly!D:D,Quarterly!B:B,"&gt;="&amp;A1355-92,Quarterly!B:B,"&lt;="&amp;A1355)))</f>
        <v>323.36900000000003</v>
      </c>
      <c r="N1355" s="13">
        <f t="shared" si="452"/>
        <v>0.12975</v>
      </c>
      <c r="O1355">
        <f t="shared" si="454"/>
        <v>419.58</v>
      </c>
      <c r="P1355" s="56">
        <f>VLOOKUP(EOMONTH(A1355,-1),Economic!A:I,7,FALSE)</f>
        <v>537197</v>
      </c>
      <c r="Q1355" s="13">
        <f t="shared" si="455"/>
        <v>7.8100000000000003E-2</v>
      </c>
      <c r="R1355" s="41">
        <v>2.5</v>
      </c>
      <c r="S1355">
        <f t="shared" si="456"/>
        <v>1.38</v>
      </c>
      <c r="T1355" s="30">
        <f t="shared" si="457"/>
        <v>230.1</v>
      </c>
      <c r="U1355" s="30">
        <f t="shared" si="450"/>
        <v>228.94</v>
      </c>
    </row>
    <row r="1356" spans="1:21" ht="15" customHeight="1" x14ac:dyDescent="0.25">
      <c r="A1356" s="5">
        <v>33853</v>
      </c>
      <c r="B1356" s="5">
        <f t="shared" si="444"/>
        <v>33877</v>
      </c>
      <c r="C1356">
        <v>417.08</v>
      </c>
      <c r="D1356" s="29">
        <f t="shared" si="445"/>
        <v>-1E-4</v>
      </c>
      <c r="E1356" s="39">
        <f t="shared" si="446"/>
        <v>413.86615384615379</v>
      </c>
      <c r="F1356" s="39">
        <f t="shared" si="447"/>
        <v>410.7946153846155</v>
      </c>
      <c r="G1356" s="29">
        <f t="shared" si="453"/>
        <v>7.7999999999999996E-3</v>
      </c>
      <c r="H1356" s="29">
        <f t="shared" si="453"/>
        <v>1.5299999999999999E-2</v>
      </c>
      <c r="I1356">
        <f t="shared" si="448"/>
        <v>417.08</v>
      </c>
      <c r="J1356">
        <f>IF(A1356&gt;=Quarterly!B$2,Quarterly!C$2,IF(COUNTIFS(Quarterly!B:B,"&gt;="&amp;A1356-92,Quarterly!B:B,"&lt;="&amp;A1356)&gt;1,SUMIFS(Quarterly!C:C,Quarterly!B:B,"&gt;="&amp;A1356-88,Quarterly!B:B,"&lt;="&amp;A1356),SUMIFS(Quarterly!C:C,Quarterly!B:B,"&gt;="&amp;A1356-92,Quarterly!B:B,"&lt;="&amp;A1356)))</f>
        <v>6492.3</v>
      </c>
      <c r="K1356" s="13">
        <f t="shared" si="449"/>
        <v>6.4199999999999993E-2</v>
      </c>
      <c r="L1356">
        <f t="shared" si="451"/>
        <v>417.08</v>
      </c>
      <c r="M1356">
        <f>IF(A1356&gt;=Quarterly!B$2,Quarterly!D$2,IF(COUNTIFS(Quarterly!B:B,"&gt;="&amp;A1356-92,Quarterly!B:B,"&lt;="&amp;A1356)&gt;1,SUMIFS(Quarterly!D:D,Quarterly!B:B,"&gt;="&amp;A1356-88,Quarterly!B:B,"&lt;="&amp;A1356),SUMIFS(Quarterly!D:D,Quarterly!B:B,"&gt;="&amp;A1356-92,Quarterly!B:B,"&lt;="&amp;A1356)))</f>
        <v>323.36900000000003</v>
      </c>
      <c r="N1356" s="13">
        <f t="shared" si="452"/>
        <v>0.12898000000000001</v>
      </c>
      <c r="O1356">
        <f t="shared" si="454"/>
        <v>417.08</v>
      </c>
      <c r="P1356" s="56">
        <f>VLOOKUP(EOMONTH(A1356,-1),Economic!A:I,7,FALSE)</f>
        <v>537197</v>
      </c>
      <c r="Q1356" s="13">
        <f t="shared" si="455"/>
        <v>7.7600000000000002E-2</v>
      </c>
      <c r="R1356" s="41">
        <v>2.5099999999999998</v>
      </c>
      <c r="S1356">
        <f t="shared" si="456"/>
        <v>1.3</v>
      </c>
      <c r="T1356" s="30">
        <f t="shared" si="457"/>
        <v>227.83</v>
      </c>
      <c r="U1356" s="30">
        <f t="shared" si="450"/>
        <v>228.89</v>
      </c>
    </row>
    <row r="1357" spans="1:21" ht="15" customHeight="1" x14ac:dyDescent="0.25">
      <c r="A1357" s="5">
        <v>33846</v>
      </c>
      <c r="B1357" s="5">
        <f t="shared" si="444"/>
        <v>33847</v>
      </c>
      <c r="C1357">
        <v>414.84</v>
      </c>
      <c r="D1357" s="29">
        <f t="shared" si="445"/>
        <v>-1.0999999999999999E-2</v>
      </c>
      <c r="E1357" s="39">
        <f t="shared" si="446"/>
        <v>413.58923076923077</v>
      </c>
      <c r="F1357" s="39">
        <f t="shared" si="447"/>
        <v>409.82076923076932</v>
      </c>
      <c r="G1357" s="29">
        <f t="shared" si="453"/>
        <v>3.0000000000000001E-3</v>
      </c>
      <c r="H1357" s="29">
        <f t="shared" si="453"/>
        <v>1.2200000000000001E-2</v>
      </c>
      <c r="I1357">
        <f t="shared" si="448"/>
        <v>414.84</v>
      </c>
      <c r="J1357">
        <f>IF(A1357&gt;=Quarterly!B$2,Quarterly!C$2,IF(COUNTIFS(Quarterly!B:B,"&gt;="&amp;A1357-92,Quarterly!B:B,"&lt;="&amp;A1357)&gt;1,SUMIFS(Quarterly!C:C,Quarterly!B:B,"&gt;="&amp;A1357-88,Quarterly!B:B,"&lt;="&amp;A1357),SUMIFS(Quarterly!C:C,Quarterly!B:B,"&gt;="&amp;A1357-92,Quarterly!B:B,"&lt;="&amp;A1357)))</f>
        <v>6492.3</v>
      </c>
      <c r="K1357" s="13">
        <f t="shared" si="449"/>
        <v>6.3899999999999998E-2</v>
      </c>
      <c r="L1357">
        <f t="shared" si="451"/>
        <v>414.84</v>
      </c>
      <c r="M1357">
        <f>IF(A1357&gt;=Quarterly!B$2,Quarterly!D$2,IF(COUNTIFS(Quarterly!B:B,"&gt;="&amp;A1357-92,Quarterly!B:B,"&lt;="&amp;A1357)&gt;1,SUMIFS(Quarterly!D:D,Quarterly!B:B,"&gt;="&amp;A1357-88,Quarterly!B:B,"&lt;="&amp;A1357),SUMIFS(Quarterly!D:D,Quarterly!B:B,"&gt;="&amp;A1357-92,Quarterly!B:B,"&lt;="&amp;A1357)))</f>
        <v>323.36900000000003</v>
      </c>
      <c r="N1357" s="13">
        <f t="shared" si="452"/>
        <v>0.12828999999999999</v>
      </c>
      <c r="O1357">
        <f t="shared" si="454"/>
        <v>414.84</v>
      </c>
      <c r="P1357" s="56">
        <f>VLOOKUP(EOMONTH(A1357,-1),Economic!A:I,7,FALSE)</f>
        <v>533609</v>
      </c>
      <c r="Q1357" s="13">
        <f t="shared" si="455"/>
        <v>7.7700000000000005E-2</v>
      </c>
      <c r="R1357" s="41">
        <v>2.4700000000000002</v>
      </c>
      <c r="S1357">
        <f t="shared" si="456"/>
        <v>1.34</v>
      </c>
      <c r="T1357" s="30">
        <f t="shared" si="457"/>
        <v>228.88</v>
      </c>
      <c r="U1357" s="30">
        <f t="shared" si="450"/>
        <v>228.39</v>
      </c>
    </row>
    <row r="1358" spans="1:21" ht="15" customHeight="1" x14ac:dyDescent="0.25">
      <c r="A1358" s="5">
        <v>33839</v>
      </c>
      <c r="B1358" s="5">
        <f t="shared" si="444"/>
        <v>33847</v>
      </c>
      <c r="C1358">
        <v>414.85</v>
      </c>
      <c r="D1358" s="29">
        <f t="shared" si="445"/>
        <v>-9.1000000000000004E-3</v>
      </c>
      <c r="E1358" s="39">
        <f t="shared" si="446"/>
        <v>413.62846153846152</v>
      </c>
      <c r="F1358" s="39">
        <f t="shared" si="447"/>
        <v>408.80487179487181</v>
      </c>
      <c r="G1358" s="29">
        <f t="shared" si="453"/>
        <v>3.0000000000000001E-3</v>
      </c>
      <c r="H1358" s="29">
        <f t="shared" si="453"/>
        <v>1.4800000000000001E-2</v>
      </c>
      <c r="I1358">
        <f t="shared" si="448"/>
        <v>414.85</v>
      </c>
      <c r="J1358">
        <f>IF(A1358&gt;=Quarterly!B$2,Quarterly!C$2,IF(COUNTIFS(Quarterly!B:B,"&gt;="&amp;A1358-92,Quarterly!B:B,"&lt;="&amp;A1358)&gt;1,SUMIFS(Quarterly!C:C,Quarterly!B:B,"&gt;="&amp;A1358-88,Quarterly!B:B,"&lt;="&amp;A1358),SUMIFS(Quarterly!C:C,Quarterly!B:B,"&gt;="&amp;A1358-92,Quarterly!B:B,"&lt;="&amp;A1358)))</f>
        <v>6492.3</v>
      </c>
      <c r="K1358" s="13">
        <f t="shared" si="449"/>
        <v>6.3899999999999998E-2</v>
      </c>
      <c r="L1358">
        <f t="shared" si="451"/>
        <v>414.85</v>
      </c>
      <c r="M1358">
        <f>IF(A1358&gt;=Quarterly!B$2,Quarterly!D$2,IF(COUNTIFS(Quarterly!B:B,"&gt;="&amp;A1358-92,Quarterly!B:B,"&lt;="&amp;A1358)&gt;1,SUMIFS(Quarterly!D:D,Quarterly!B:B,"&gt;="&amp;A1358-88,Quarterly!B:B,"&lt;="&amp;A1358),SUMIFS(Quarterly!D:D,Quarterly!B:B,"&gt;="&amp;A1358-92,Quarterly!B:B,"&lt;="&amp;A1358)))</f>
        <v>323.36900000000003</v>
      </c>
      <c r="N1358" s="13">
        <f t="shared" si="452"/>
        <v>0.12828999999999999</v>
      </c>
      <c r="O1358">
        <f t="shared" si="454"/>
        <v>414.85</v>
      </c>
      <c r="P1358" s="56">
        <f>VLOOKUP(EOMONTH(A1358,-1),Economic!A:I,7,FALSE)</f>
        <v>533609</v>
      </c>
      <c r="Q1358" s="13">
        <f t="shared" si="455"/>
        <v>7.7700000000000005E-2</v>
      </c>
      <c r="R1358" s="41">
        <v>2.4</v>
      </c>
      <c r="S1358">
        <f t="shared" si="456"/>
        <v>1.38</v>
      </c>
      <c r="T1358" s="30">
        <f t="shared" si="457"/>
        <v>229.95</v>
      </c>
      <c r="U1358" s="30">
        <f t="shared" si="450"/>
        <v>228.11</v>
      </c>
    </row>
    <row r="1359" spans="1:21" ht="15" customHeight="1" x14ac:dyDescent="0.25">
      <c r="A1359" s="5">
        <v>33832</v>
      </c>
      <c r="B1359" s="5">
        <f t="shared" si="444"/>
        <v>33847</v>
      </c>
      <c r="C1359">
        <v>419.91</v>
      </c>
      <c r="D1359" s="29">
        <f t="shared" si="445"/>
        <v>5.5999999999999999E-3</v>
      </c>
      <c r="E1359" s="39">
        <f t="shared" si="446"/>
        <v>413.56461538461542</v>
      </c>
      <c r="F1359" s="39">
        <f t="shared" si="447"/>
        <v>407.81230769230768</v>
      </c>
      <c r="G1359" s="29">
        <f t="shared" si="453"/>
        <v>1.5299999999999999E-2</v>
      </c>
      <c r="H1359" s="29">
        <f t="shared" si="453"/>
        <v>2.9700000000000001E-2</v>
      </c>
      <c r="I1359">
        <f t="shared" si="448"/>
        <v>419.91</v>
      </c>
      <c r="J1359">
        <f>IF(A1359&gt;=Quarterly!B$2,Quarterly!C$2,IF(COUNTIFS(Quarterly!B:B,"&gt;="&amp;A1359-92,Quarterly!B:B,"&lt;="&amp;A1359)&gt;1,SUMIFS(Quarterly!C:C,Quarterly!B:B,"&gt;="&amp;A1359-88,Quarterly!B:B,"&lt;="&amp;A1359),SUMIFS(Quarterly!C:C,Quarterly!B:B,"&gt;="&amp;A1359-92,Quarterly!B:B,"&lt;="&amp;A1359)))</f>
        <v>6492.3</v>
      </c>
      <c r="K1359" s="13">
        <f t="shared" si="449"/>
        <v>6.4699999999999994E-2</v>
      </c>
      <c r="L1359">
        <f t="shared" si="451"/>
        <v>419.91</v>
      </c>
      <c r="M1359">
        <f>IF(A1359&gt;=Quarterly!B$2,Quarterly!D$2,IF(COUNTIFS(Quarterly!B:B,"&gt;="&amp;A1359-92,Quarterly!B:B,"&lt;="&amp;A1359)&gt;1,SUMIFS(Quarterly!D:D,Quarterly!B:B,"&gt;="&amp;A1359-88,Quarterly!B:B,"&lt;="&amp;A1359),SUMIFS(Quarterly!D:D,Quarterly!B:B,"&gt;="&amp;A1359-92,Quarterly!B:B,"&lt;="&amp;A1359)))</f>
        <v>323.36900000000003</v>
      </c>
      <c r="N1359" s="13">
        <f t="shared" si="452"/>
        <v>0.12984999999999999</v>
      </c>
      <c r="O1359">
        <f t="shared" si="454"/>
        <v>419.91</v>
      </c>
      <c r="P1359" s="56">
        <f>VLOOKUP(EOMONTH(A1359,-1),Economic!A:I,7,FALSE)</f>
        <v>533609</v>
      </c>
      <c r="Q1359" s="13">
        <f t="shared" si="455"/>
        <v>7.8700000000000006E-2</v>
      </c>
      <c r="R1359" s="41">
        <v>2.39</v>
      </c>
      <c r="S1359">
        <f t="shared" si="456"/>
        <v>1.27</v>
      </c>
      <c r="T1359" s="30">
        <f t="shared" si="457"/>
        <v>226.35</v>
      </c>
      <c r="U1359" s="30">
        <f t="shared" si="450"/>
        <v>228.3</v>
      </c>
    </row>
    <row r="1360" spans="1:21" ht="15" customHeight="1" x14ac:dyDescent="0.25">
      <c r="A1360" s="5">
        <v>33825</v>
      </c>
      <c r="B1360" s="5">
        <f t="shared" si="444"/>
        <v>33847</v>
      </c>
      <c r="C1360">
        <v>418.88</v>
      </c>
      <c r="D1360" s="29">
        <f t="shared" si="445"/>
        <v>5.7000000000000002E-3</v>
      </c>
      <c r="E1360" s="39">
        <f t="shared" si="446"/>
        <v>412.80923076923079</v>
      </c>
      <c r="F1360" s="39">
        <f t="shared" si="447"/>
        <v>406.85615384615386</v>
      </c>
      <c r="G1360" s="29">
        <f t="shared" si="453"/>
        <v>1.47E-2</v>
      </c>
      <c r="H1360" s="29">
        <f t="shared" si="453"/>
        <v>2.9600000000000001E-2</v>
      </c>
      <c r="I1360">
        <f t="shared" si="448"/>
        <v>418.88</v>
      </c>
      <c r="J1360">
        <f>IF(A1360&gt;=Quarterly!B$2,Quarterly!C$2,IF(COUNTIFS(Quarterly!B:B,"&gt;="&amp;A1360-92,Quarterly!B:B,"&lt;="&amp;A1360)&gt;1,SUMIFS(Quarterly!C:C,Quarterly!B:B,"&gt;="&amp;A1360-88,Quarterly!B:B,"&lt;="&amp;A1360),SUMIFS(Quarterly!C:C,Quarterly!B:B,"&gt;="&amp;A1360-92,Quarterly!B:B,"&lt;="&amp;A1360)))</f>
        <v>6492.3</v>
      </c>
      <c r="K1360" s="13">
        <f t="shared" si="449"/>
        <v>6.4500000000000002E-2</v>
      </c>
      <c r="L1360">
        <f t="shared" si="451"/>
        <v>418.88</v>
      </c>
      <c r="M1360">
        <f>IF(A1360&gt;=Quarterly!B$2,Quarterly!D$2,IF(COUNTIFS(Quarterly!B:B,"&gt;="&amp;A1360-92,Quarterly!B:B,"&lt;="&amp;A1360)&gt;1,SUMIFS(Quarterly!D:D,Quarterly!B:B,"&gt;="&amp;A1360-88,Quarterly!B:B,"&lt;="&amp;A1360),SUMIFS(Quarterly!D:D,Quarterly!B:B,"&gt;="&amp;A1360-92,Quarterly!B:B,"&lt;="&amp;A1360)))</f>
        <v>323.36900000000003</v>
      </c>
      <c r="N1360" s="13">
        <f t="shared" si="452"/>
        <v>0.12954000000000002</v>
      </c>
      <c r="O1360">
        <f t="shared" si="454"/>
        <v>418.88</v>
      </c>
      <c r="P1360" s="56">
        <f>VLOOKUP(EOMONTH(A1360,-1),Economic!A:I,7,FALSE)</f>
        <v>533609</v>
      </c>
      <c r="Q1360" s="13">
        <f t="shared" si="455"/>
        <v>7.85E-2</v>
      </c>
      <c r="R1360" s="41">
        <v>2.39</v>
      </c>
      <c r="S1360">
        <f t="shared" si="456"/>
        <v>1.31</v>
      </c>
      <c r="T1360" s="30">
        <f t="shared" si="457"/>
        <v>228.03</v>
      </c>
      <c r="U1360" s="30">
        <f t="shared" si="450"/>
        <v>228.66</v>
      </c>
    </row>
    <row r="1361" spans="1:21" ht="15" customHeight="1" x14ac:dyDescent="0.25">
      <c r="A1361" s="5">
        <v>33818</v>
      </c>
      <c r="B1361" s="5">
        <f t="shared" si="444"/>
        <v>33847</v>
      </c>
      <c r="C1361">
        <v>424.21</v>
      </c>
      <c r="D1361" s="29">
        <f t="shared" si="445"/>
        <v>2.6100000000000002E-2</v>
      </c>
      <c r="E1361" s="39">
        <f t="shared" si="446"/>
        <v>412.59153846153845</v>
      </c>
      <c r="F1361" s="39">
        <f t="shared" si="447"/>
        <v>406.18974358974361</v>
      </c>
      <c r="G1361" s="29">
        <f t="shared" si="453"/>
        <v>2.8199999999999999E-2</v>
      </c>
      <c r="H1361" s="29">
        <f t="shared" si="453"/>
        <v>4.4400000000000002E-2</v>
      </c>
      <c r="I1361">
        <f t="shared" si="448"/>
        <v>424.21</v>
      </c>
      <c r="J1361">
        <f>IF(A1361&gt;=Quarterly!B$2,Quarterly!C$2,IF(COUNTIFS(Quarterly!B:B,"&gt;="&amp;A1361-92,Quarterly!B:B,"&lt;="&amp;A1361)&gt;1,SUMIFS(Quarterly!C:C,Quarterly!B:B,"&gt;="&amp;A1361-88,Quarterly!B:B,"&lt;="&amp;A1361),SUMIFS(Quarterly!C:C,Quarterly!B:B,"&gt;="&amp;A1361-92,Quarterly!B:B,"&lt;="&amp;A1361)))</f>
        <v>6492.3</v>
      </c>
      <c r="K1361" s="13">
        <f t="shared" si="449"/>
        <v>6.5299999999999997E-2</v>
      </c>
      <c r="L1361">
        <f t="shared" si="451"/>
        <v>424.21</v>
      </c>
      <c r="M1361">
        <f>IF(A1361&gt;=Quarterly!B$2,Quarterly!D$2,IF(COUNTIFS(Quarterly!B:B,"&gt;="&amp;A1361-92,Quarterly!B:B,"&lt;="&amp;A1361)&gt;1,SUMIFS(Quarterly!D:D,Quarterly!B:B,"&gt;="&amp;A1361-88,Quarterly!B:B,"&lt;="&amp;A1361),SUMIFS(Quarterly!D:D,Quarterly!B:B,"&gt;="&amp;A1361-92,Quarterly!B:B,"&lt;="&amp;A1361)))</f>
        <v>323.36900000000003</v>
      </c>
      <c r="N1361" s="13">
        <f t="shared" si="452"/>
        <v>0.13118000000000002</v>
      </c>
      <c r="O1361">
        <f t="shared" si="454"/>
        <v>424.21</v>
      </c>
      <c r="P1361" s="56">
        <f>VLOOKUP(EOMONTH(A1361,-1),Economic!A:I,7,FALSE)</f>
        <v>533609</v>
      </c>
      <c r="Q1361" s="13">
        <f t="shared" si="455"/>
        <v>7.9500000000000001E-2</v>
      </c>
      <c r="R1361" s="41">
        <v>2.2999999999999998</v>
      </c>
      <c r="S1361">
        <f t="shared" si="456"/>
        <v>1.38</v>
      </c>
      <c r="T1361" s="30">
        <f t="shared" si="457"/>
        <v>230.51</v>
      </c>
      <c r="U1361" s="30">
        <f t="shared" si="450"/>
        <v>226.48</v>
      </c>
    </row>
    <row r="1362" spans="1:21" ht="15" customHeight="1" x14ac:dyDescent="0.25">
      <c r="A1362" s="5">
        <v>33811</v>
      </c>
      <c r="B1362" s="5">
        <f t="shared" ref="B1362:B1425" si="458">EOMONTH(A1362,0)</f>
        <v>33816</v>
      </c>
      <c r="C1362">
        <v>411.6</v>
      </c>
      <c r="D1362" s="29">
        <f t="shared" ref="D1362:D1425" si="459">ROUND((C1362-AVERAGE(C1363:C1366))/AVERAGE(C1363:C1366),4)</f>
        <v>5.9999999999999995E-4</v>
      </c>
      <c r="E1362" s="39">
        <f t="shared" ref="E1362:E1425" si="460">AVERAGE(C1362:C1374)</f>
        <v>411.69307692307694</v>
      </c>
      <c r="F1362" s="39">
        <f t="shared" ref="F1362:F1425" si="461">AVERAGE(C1362:C1400)</f>
        <v>405.34641025641031</v>
      </c>
      <c r="G1362" s="29">
        <f t="shared" si="453"/>
        <v>-2.0000000000000001E-4</v>
      </c>
      <c r="H1362" s="29">
        <f t="shared" si="453"/>
        <v>1.54E-2</v>
      </c>
      <c r="I1362">
        <f t="shared" ref="I1362:I1425" si="462">C1362</f>
        <v>411.6</v>
      </c>
      <c r="J1362">
        <f>IF(A1362&gt;=Quarterly!B$2,Quarterly!C$2,IF(COUNTIFS(Quarterly!B:B,"&gt;="&amp;A1362-92,Quarterly!B:B,"&lt;="&amp;A1362)&gt;1,SUMIFS(Quarterly!C:C,Quarterly!B:B,"&gt;="&amp;A1362-88,Quarterly!B:B,"&lt;="&amp;A1362),SUMIFS(Quarterly!C:C,Quarterly!B:B,"&gt;="&amp;A1362-92,Quarterly!B:B,"&lt;="&amp;A1362)))</f>
        <v>6380.8</v>
      </c>
      <c r="K1362" s="13">
        <f t="shared" ref="K1362:K1425" si="463">ROUND(I1362/J1362,4)</f>
        <v>6.4500000000000002E-2</v>
      </c>
      <c r="L1362">
        <f t="shared" si="451"/>
        <v>411.6</v>
      </c>
      <c r="M1362">
        <f>IF(A1362&gt;=Quarterly!B$2,Quarterly!D$2,IF(COUNTIFS(Quarterly!B:B,"&gt;="&amp;A1362-92,Quarterly!B:B,"&lt;="&amp;A1362)&gt;1,SUMIFS(Quarterly!D:D,Quarterly!B:B,"&gt;="&amp;A1362-88,Quarterly!B:B,"&lt;="&amp;A1362),SUMIFS(Quarterly!D:D,Quarterly!B:B,"&gt;="&amp;A1362-92,Quarterly!B:B,"&lt;="&amp;A1362)))</f>
        <v>310.81400000000002</v>
      </c>
      <c r="N1362" s="13">
        <f t="shared" si="452"/>
        <v>0.13243000000000002</v>
      </c>
      <c r="O1362">
        <f t="shared" si="454"/>
        <v>411.6</v>
      </c>
      <c r="P1362" s="56">
        <f>VLOOKUP(EOMONTH(A1362,-1),Economic!A:I,7,FALSE)</f>
        <v>528139</v>
      </c>
      <c r="Q1362" s="13">
        <f t="shared" si="455"/>
        <v>7.7899999999999997E-2</v>
      </c>
      <c r="R1362" s="41">
        <v>2.48</v>
      </c>
      <c r="S1362">
        <f t="shared" si="456"/>
        <v>1.41</v>
      </c>
      <c r="T1362" s="30">
        <f t="shared" si="457"/>
        <v>227.43</v>
      </c>
      <c r="U1362" s="30">
        <f t="shared" ref="U1362:U1425" si="464">ROUND(AVERAGE(T1362:T1364),2)</f>
        <v>223.69</v>
      </c>
    </row>
    <row r="1363" spans="1:21" ht="15" customHeight="1" x14ac:dyDescent="0.25">
      <c r="A1363" s="5">
        <v>33804</v>
      </c>
      <c r="B1363" s="5">
        <f t="shared" si="458"/>
        <v>33816</v>
      </c>
      <c r="C1363">
        <v>415.62</v>
      </c>
      <c r="D1363" s="29">
        <f t="shared" si="459"/>
        <v>1.77E-2</v>
      </c>
      <c r="E1363" s="39">
        <f t="shared" si="460"/>
        <v>411.49461538461543</v>
      </c>
      <c r="F1363" s="39">
        <f t="shared" si="461"/>
        <v>404.6438461538462</v>
      </c>
      <c r="G1363" s="29">
        <f t="shared" si="453"/>
        <v>0.01</v>
      </c>
      <c r="H1363" s="29">
        <f t="shared" si="453"/>
        <v>2.7099999999999999E-2</v>
      </c>
      <c r="I1363">
        <f t="shared" si="462"/>
        <v>415.62</v>
      </c>
      <c r="J1363">
        <f>IF(A1363&gt;=Quarterly!B$2,Quarterly!C$2,IF(COUNTIFS(Quarterly!B:B,"&gt;="&amp;A1363-92,Quarterly!B:B,"&lt;="&amp;A1363)&gt;1,SUMIFS(Quarterly!C:C,Quarterly!B:B,"&gt;="&amp;A1363-88,Quarterly!B:B,"&lt;="&amp;A1363),SUMIFS(Quarterly!C:C,Quarterly!B:B,"&gt;="&amp;A1363-92,Quarterly!B:B,"&lt;="&amp;A1363)))</f>
        <v>6380.8</v>
      </c>
      <c r="K1363" s="13">
        <f t="shared" si="463"/>
        <v>6.5100000000000005E-2</v>
      </c>
      <c r="L1363">
        <f t="shared" si="451"/>
        <v>415.62</v>
      </c>
      <c r="M1363">
        <f>IF(A1363&gt;=Quarterly!B$2,Quarterly!D$2,IF(COUNTIFS(Quarterly!B:B,"&gt;="&amp;A1363-92,Quarterly!B:B,"&lt;="&amp;A1363)&gt;1,SUMIFS(Quarterly!D:D,Quarterly!B:B,"&gt;="&amp;A1363-88,Quarterly!B:B,"&lt;="&amp;A1363),SUMIFS(Quarterly!D:D,Quarterly!B:B,"&gt;="&amp;A1363-92,Quarterly!B:B,"&lt;="&amp;A1363)))</f>
        <v>310.81400000000002</v>
      </c>
      <c r="N1363" s="13">
        <f t="shared" si="452"/>
        <v>0.13372000000000001</v>
      </c>
      <c r="O1363">
        <f t="shared" si="454"/>
        <v>415.62</v>
      </c>
      <c r="P1363" s="56">
        <f>VLOOKUP(EOMONTH(A1363,-1),Economic!A:I,7,FALSE)</f>
        <v>528139</v>
      </c>
      <c r="Q1363" s="13">
        <f t="shared" si="455"/>
        <v>7.8700000000000006E-2</v>
      </c>
      <c r="R1363" s="41">
        <v>2.63</v>
      </c>
      <c r="S1363">
        <f t="shared" si="456"/>
        <v>1.22</v>
      </c>
      <c r="T1363" s="30">
        <f t="shared" si="457"/>
        <v>221.49</v>
      </c>
      <c r="U1363" s="30">
        <f t="shared" si="464"/>
        <v>221.97</v>
      </c>
    </row>
    <row r="1364" spans="1:21" ht="15" customHeight="1" x14ac:dyDescent="0.25">
      <c r="A1364" s="5">
        <v>33797</v>
      </c>
      <c r="B1364" s="5">
        <f t="shared" si="458"/>
        <v>33816</v>
      </c>
      <c r="C1364">
        <v>414.62</v>
      </c>
      <c r="D1364" s="29">
        <f t="shared" si="459"/>
        <v>1.83E-2</v>
      </c>
      <c r="E1364" s="39">
        <f t="shared" si="460"/>
        <v>411.52692307692303</v>
      </c>
      <c r="F1364" s="39">
        <f t="shared" si="461"/>
        <v>404.05102564102566</v>
      </c>
      <c r="G1364" s="29">
        <f t="shared" si="453"/>
        <v>7.4999999999999997E-3</v>
      </c>
      <c r="H1364" s="29">
        <f t="shared" si="453"/>
        <v>2.6200000000000001E-2</v>
      </c>
      <c r="I1364">
        <f t="shared" si="462"/>
        <v>414.62</v>
      </c>
      <c r="J1364">
        <f>IF(A1364&gt;=Quarterly!B$2,Quarterly!C$2,IF(COUNTIFS(Quarterly!B:B,"&gt;="&amp;A1364-92,Quarterly!B:B,"&lt;="&amp;A1364)&gt;1,SUMIFS(Quarterly!C:C,Quarterly!B:B,"&gt;="&amp;A1364-88,Quarterly!B:B,"&lt;="&amp;A1364),SUMIFS(Quarterly!C:C,Quarterly!B:B,"&gt;="&amp;A1364-92,Quarterly!B:B,"&lt;="&amp;A1364)))</f>
        <v>6380.8</v>
      </c>
      <c r="K1364" s="13">
        <f t="shared" si="463"/>
        <v>6.5000000000000002E-2</v>
      </c>
      <c r="L1364">
        <f t="shared" si="451"/>
        <v>414.62</v>
      </c>
      <c r="M1364">
        <f>IF(A1364&gt;=Quarterly!B$2,Quarterly!D$2,IF(COUNTIFS(Quarterly!B:B,"&gt;="&amp;A1364-92,Quarterly!B:B,"&lt;="&amp;A1364)&gt;1,SUMIFS(Quarterly!D:D,Quarterly!B:B,"&gt;="&amp;A1364-88,Quarterly!B:B,"&lt;="&amp;A1364),SUMIFS(Quarterly!D:D,Quarterly!B:B,"&gt;="&amp;A1364-92,Quarterly!B:B,"&lt;="&amp;A1364)))</f>
        <v>310.81400000000002</v>
      </c>
      <c r="N1364" s="13">
        <f t="shared" si="452"/>
        <v>0.13340000000000002</v>
      </c>
      <c r="O1364">
        <f t="shared" si="454"/>
        <v>414.62</v>
      </c>
      <c r="P1364" s="56">
        <f>VLOOKUP(EOMONTH(A1364,-1),Economic!A:I,7,FALSE)</f>
        <v>528139</v>
      </c>
      <c r="Q1364" s="13">
        <f t="shared" si="455"/>
        <v>7.85E-2</v>
      </c>
      <c r="R1364" s="41">
        <v>2.5499999999999998</v>
      </c>
      <c r="S1364">
        <f t="shared" si="456"/>
        <v>1.25</v>
      </c>
      <c r="T1364" s="30">
        <f t="shared" si="457"/>
        <v>222.15</v>
      </c>
      <c r="U1364" s="30">
        <f t="shared" si="464"/>
        <v>221.52</v>
      </c>
    </row>
    <row r="1365" spans="1:21" ht="15" customHeight="1" x14ac:dyDescent="0.25">
      <c r="A1365" s="5">
        <v>33790</v>
      </c>
      <c r="B1365" s="5">
        <f t="shared" si="458"/>
        <v>33816</v>
      </c>
      <c r="C1365">
        <v>411.77</v>
      </c>
      <c r="D1365" s="29">
        <f t="shared" si="459"/>
        <v>1.03E-2</v>
      </c>
      <c r="E1365" s="39">
        <f t="shared" si="460"/>
        <v>410.7323076923077</v>
      </c>
      <c r="F1365" s="39">
        <f t="shared" si="461"/>
        <v>403.20051282051287</v>
      </c>
      <c r="G1365" s="29">
        <f t="shared" si="453"/>
        <v>2.5000000000000001E-3</v>
      </c>
      <c r="H1365" s="29">
        <f t="shared" si="453"/>
        <v>2.1299999999999999E-2</v>
      </c>
      <c r="I1365">
        <f t="shared" si="462"/>
        <v>411.77</v>
      </c>
      <c r="J1365">
        <f>IF(A1365&gt;=Quarterly!B$2,Quarterly!C$2,IF(COUNTIFS(Quarterly!B:B,"&gt;="&amp;A1365-92,Quarterly!B:B,"&lt;="&amp;A1365)&gt;1,SUMIFS(Quarterly!C:C,Quarterly!B:B,"&gt;="&amp;A1365-88,Quarterly!B:B,"&lt;="&amp;A1365),SUMIFS(Quarterly!C:C,Quarterly!B:B,"&gt;="&amp;A1365-92,Quarterly!B:B,"&lt;="&amp;A1365)))</f>
        <v>6380.8</v>
      </c>
      <c r="K1365" s="13">
        <f t="shared" si="463"/>
        <v>6.4500000000000002E-2</v>
      </c>
      <c r="L1365">
        <f t="shared" si="451"/>
        <v>411.77</v>
      </c>
      <c r="M1365">
        <f>IF(A1365&gt;=Quarterly!B$2,Quarterly!D$2,IF(COUNTIFS(Quarterly!B:B,"&gt;="&amp;A1365-92,Quarterly!B:B,"&lt;="&amp;A1365)&gt;1,SUMIFS(Quarterly!D:D,Quarterly!B:B,"&gt;="&amp;A1365-88,Quarterly!B:B,"&lt;="&amp;A1365),SUMIFS(Quarterly!D:D,Quarterly!B:B,"&gt;="&amp;A1365-92,Quarterly!B:B,"&lt;="&amp;A1365)))</f>
        <v>310.81400000000002</v>
      </c>
      <c r="N1365" s="13">
        <f t="shared" si="452"/>
        <v>0.13248000000000001</v>
      </c>
      <c r="O1365">
        <f t="shared" si="454"/>
        <v>411.77</v>
      </c>
      <c r="P1365" s="56">
        <f>VLOOKUP(EOMONTH(A1365,-1),Economic!A:I,7,FALSE)</f>
        <v>528139</v>
      </c>
      <c r="Q1365" s="13">
        <f t="shared" si="455"/>
        <v>7.8E-2</v>
      </c>
      <c r="R1365" s="41">
        <v>2.38</v>
      </c>
      <c r="S1365">
        <f t="shared" si="456"/>
        <v>1.24</v>
      </c>
      <c r="T1365" s="30">
        <f t="shared" si="457"/>
        <v>222.26</v>
      </c>
      <c r="U1365" s="30">
        <f t="shared" si="464"/>
        <v>219.71</v>
      </c>
    </row>
    <row r="1366" spans="1:21" ht="15" customHeight="1" x14ac:dyDescent="0.25">
      <c r="A1366" s="5">
        <v>33783</v>
      </c>
      <c r="B1366" s="5">
        <f t="shared" si="458"/>
        <v>33785</v>
      </c>
      <c r="C1366">
        <v>403.45</v>
      </c>
      <c r="D1366" s="29">
        <f t="shared" si="459"/>
        <v>-1.7299999999999999E-2</v>
      </c>
      <c r="E1366" s="39">
        <f t="shared" si="460"/>
        <v>409.94615384615383</v>
      </c>
      <c r="F1366" s="39">
        <f t="shared" si="461"/>
        <v>402.41794871794872</v>
      </c>
      <c r="G1366" s="29">
        <f t="shared" si="453"/>
        <v>-1.5800000000000002E-2</v>
      </c>
      <c r="H1366" s="29">
        <f t="shared" si="453"/>
        <v>2.5999999999999999E-3</v>
      </c>
      <c r="I1366">
        <f t="shared" si="462"/>
        <v>403.45</v>
      </c>
      <c r="J1366">
        <f>IF(A1366&gt;=Quarterly!B$2,Quarterly!C$2,IF(COUNTIFS(Quarterly!B:B,"&gt;="&amp;A1366-92,Quarterly!B:B,"&lt;="&amp;A1366)&gt;1,SUMIFS(Quarterly!C:C,Quarterly!B:B,"&gt;="&amp;A1366-88,Quarterly!B:B,"&lt;="&amp;A1366),SUMIFS(Quarterly!C:C,Quarterly!B:B,"&gt;="&amp;A1366-92,Quarterly!B:B,"&lt;="&amp;A1366)))</f>
        <v>6380.8</v>
      </c>
      <c r="K1366" s="13">
        <f t="shared" si="463"/>
        <v>6.3200000000000006E-2</v>
      </c>
      <c r="L1366">
        <f t="shared" si="451"/>
        <v>403.45</v>
      </c>
      <c r="M1366">
        <f>IF(A1366&gt;=Quarterly!B$2,Quarterly!D$2,IF(COUNTIFS(Quarterly!B:B,"&gt;="&amp;A1366-92,Quarterly!B:B,"&lt;="&amp;A1366)&gt;1,SUMIFS(Quarterly!D:D,Quarterly!B:B,"&gt;="&amp;A1366-88,Quarterly!B:B,"&lt;="&amp;A1366),SUMIFS(Quarterly!D:D,Quarterly!B:B,"&gt;="&amp;A1366-92,Quarterly!B:B,"&lt;="&amp;A1366)))</f>
        <v>310.81400000000002</v>
      </c>
      <c r="N1366" s="13">
        <f t="shared" si="452"/>
        <v>0.1298</v>
      </c>
      <c r="O1366">
        <f t="shared" si="454"/>
        <v>403.45</v>
      </c>
      <c r="P1366" s="56">
        <f>VLOOKUP(EOMONTH(A1366,-1),Economic!A:I,7,FALSE)</f>
        <v>522897</v>
      </c>
      <c r="Q1366" s="13">
        <f t="shared" si="455"/>
        <v>7.7200000000000005E-2</v>
      </c>
      <c r="R1366" s="41">
        <v>2.27</v>
      </c>
      <c r="S1366">
        <f t="shared" si="456"/>
        <v>1.17</v>
      </c>
      <c r="T1366" s="30">
        <f t="shared" si="457"/>
        <v>220.15</v>
      </c>
      <c r="U1366" s="30">
        <f t="shared" si="464"/>
        <v>218.1</v>
      </c>
    </row>
    <row r="1367" spans="1:21" ht="15" customHeight="1" x14ac:dyDescent="0.25">
      <c r="A1367" s="5">
        <v>33776</v>
      </c>
      <c r="B1367" s="5">
        <f t="shared" si="458"/>
        <v>33785</v>
      </c>
      <c r="C1367">
        <v>403.67</v>
      </c>
      <c r="D1367" s="29">
        <f t="shared" si="459"/>
        <v>-2.3E-2</v>
      </c>
      <c r="E1367" s="39">
        <f t="shared" si="460"/>
        <v>409.9500000000001</v>
      </c>
      <c r="F1367" s="39">
        <f t="shared" si="461"/>
        <v>401.96794871794879</v>
      </c>
      <c r="G1367" s="29">
        <f t="shared" si="453"/>
        <v>-1.5299999999999999E-2</v>
      </c>
      <c r="H1367" s="29">
        <f t="shared" si="453"/>
        <v>4.1999999999999997E-3</v>
      </c>
      <c r="I1367">
        <f t="shared" si="462"/>
        <v>403.67</v>
      </c>
      <c r="J1367">
        <f>IF(A1367&gt;=Quarterly!B$2,Quarterly!C$2,IF(COUNTIFS(Quarterly!B:B,"&gt;="&amp;A1367-92,Quarterly!B:B,"&lt;="&amp;A1367)&gt;1,SUMIFS(Quarterly!C:C,Quarterly!B:B,"&gt;="&amp;A1367-88,Quarterly!B:B,"&lt;="&amp;A1367),SUMIFS(Quarterly!C:C,Quarterly!B:B,"&gt;="&amp;A1367-92,Quarterly!B:B,"&lt;="&amp;A1367)))</f>
        <v>6380.8</v>
      </c>
      <c r="K1367" s="13">
        <f t="shared" si="463"/>
        <v>6.3299999999999995E-2</v>
      </c>
      <c r="L1367">
        <f t="shared" ref="L1367:L1430" si="465">C1367</f>
        <v>403.67</v>
      </c>
      <c r="M1367">
        <f>IF(A1367&gt;=Quarterly!B$2,Quarterly!D$2,IF(COUNTIFS(Quarterly!B:B,"&gt;="&amp;A1367-92,Quarterly!B:B,"&lt;="&amp;A1367)&gt;1,SUMIFS(Quarterly!D:D,Quarterly!B:B,"&gt;="&amp;A1367-88,Quarterly!B:B,"&lt;="&amp;A1367),SUMIFS(Quarterly!D:D,Quarterly!B:B,"&gt;="&amp;A1367-92,Quarterly!B:B,"&lt;="&amp;A1367)))</f>
        <v>310.81400000000002</v>
      </c>
      <c r="N1367" s="13">
        <f t="shared" ref="N1367:N1430" si="466">ROUND(L1367/M1367,4)*0.1</f>
        <v>0.12988</v>
      </c>
      <c r="O1367">
        <f t="shared" si="454"/>
        <v>403.67</v>
      </c>
      <c r="P1367" s="56">
        <f>VLOOKUP(EOMONTH(A1367,-1),Economic!A:I,7,FALSE)</f>
        <v>522897</v>
      </c>
      <c r="Q1367" s="13">
        <f t="shared" si="455"/>
        <v>7.7200000000000005E-2</v>
      </c>
      <c r="R1367" s="41">
        <v>2.2400000000000002</v>
      </c>
      <c r="S1367">
        <f t="shared" si="456"/>
        <v>1.07</v>
      </c>
      <c r="T1367" s="30">
        <f t="shared" si="457"/>
        <v>216.71</v>
      </c>
      <c r="U1367" s="30">
        <f t="shared" si="464"/>
        <v>216.92</v>
      </c>
    </row>
    <row r="1368" spans="1:21" ht="15" customHeight="1" x14ac:dyDescent="0.25">
      <c r="A1368" s="5">
        <v>33769</v>
      </c>
      <c r="B1368" s="5">
        <f t="shared" si="458"/>
        <v>33785</v>
      </c>
      <c r="C1368">
        <v>409.76</v>
      </c>
      <c r="D1368" s="29">
        <f t="shared" si="459"/>
        <v>-8.3999999999999995E-3</v>
      </c>
      <c r="E1368" s="39">
        <f t="shared" si="460"/>
        <v>410.53692307692319</v>
      </c>
      <c r="F1368" s="39">
        <f t="shared" si="461"/>
        <v>401.5641025641026</v>
      </c>
      <c r="G1368" s="29">
        <f t="shared" si="453"/>
        <v>-1.9E-3</v>
      </c>
      <c r="H1368" s="29">
        <f t="shared" si="453"/>
        <v>2.0400000000000001E-2</v>
      </c>
      <c r="I1368">
        <f t="shared" si="462"/>
        <v>409.76</v>
      </c>
      <c r="J1368">
        <f>IF(A1368&gt;=Quarterly!B$2,Quarterly!C$2,IF(COUNTIFS(Quarterly!B:B,"&gt;="&amp;A1368-92,Quarterly!B:B,"&lt;="&amp;A1368)&gt;1,SUMIFS(Quarterly!C:C,Quarterly!B:B,"&gt;="&amp;A1368-88,Quarterly!B:B,"&lt;="&amp;A1368),SUMIFS(Quarterly!C:C,Quarterly!B:B,"&gt;="&amp;A1368-92,Quarterly!B:B,"&lt;="&amp;A1368)))</f>
        <v>6380.8</v>
      </c>
      <c r="K1368" s="13">
        <f t="shared" si="463"/>
        <v>6.4199999999999993E-2</v>
      </c>
      <c r="L1368">
        <f t="shared" si="465"/>
        <v>409.76</v>
      </c>
      <c r="M1368">
        <f>IF(A1368&gt;=Quarterly!B$2,Quarterly!D$2,IF(COUNTIFS(Quarterly!B:B,"&gt;="&amp;A1368-92,Quarterly!B:B,"&lt;="&amp;A1368)&gt;1,SUMIFS(Quarterly!D:D,Quarterly!B:B,"&gt;="&amp;A1368-88,Quarterly!B:B,"&lt;="&amp;A1368),SUMIFS(Quarterly!D:D,Quarterly!B:B,"&gt;="&amp;A1368-92,Quarterly!B:B,"&lt;="&amp;A1368)))</f>
        <v>310.81400000000002</v>
      </c>
      <c r="N1368" s="13">
        <f t="shared" si="466"/>
        <v>0.13183</v>
      </c>
      <c r="O1368">
        <f t="shared" si="454"/>
        <v>409.76</v>
      </c>
      <c r="P1368" s="56">
        <f>VLOOKUP(EOMONTH(A1368,-1),Economic!A:I,7,FALSE)</f>
        <v>522897</v>
      </c>
      <c r="Q1368" s="13">
        <f t="shared" si="455"/>
        <v>7.8399999999999997E-2</v>
      </c>
      <c r="R1368" s="41">
        <v>2.23</v>
      </c>
      <c r="S1368">
        <f t="shared" si="456"/>
        <v>1.1000000000000001</v>
      </c>
      <c r="T1368" s="30">
        <f t="shared" si="457"/>
        <v>217.45</v>
      </c>
      <c r="U1368" s="30">
        <f t="shared" si="464"/>
        <v>216.56</v>
      </c>
    </row>
    <row r="1369" spans="1:21" ht="15" customHeight="1" x14ac:dyDescent="0.25">
      <c r="A1369" s="5">
        <v>33762</v>
      </c>
      <c r="B1369" s="5">
        <f t="shared" si="458"/>
        <v>33785</v>
      </c>
      <c r="C1369">
        <v>413.48</v>
      </c>
      <c r="D1369" s="29">
        <f t="shared" si="459"/>
        <v>-1E-3</v>
      </c>
      <c r="E1369" s="39">
        <f t="shared" si="460"/>
        <v>410.23538461538459</v>
      </c>
      <c r="F1369" s="39">
        <f t="shared" si="461"/>
        <v>400.89307692307693</v>
      </c>
      <c r="G1369" s="29">
        <f t="shared" si="453"/>
        <v>7.9000000000000008E-3</v>
      </c>
      <c r="H1369" s="29">
        <f t="shared" si="453"/>
        <v>3.1399999999999997E-2</v>
      </c>
      <c r="I1369">
        <f t="shared" si="462"/>
        <v>413.48</v>
      </c>
      <c r="J1369">
        <f>IF(A1369&gt;=Quarterly!B$2,Quarterly!C$2,IF(COUNTIFS(Quarterly!B:B,"&gt;="&amp;A1369-92,Quarterly!B:B,"&lt;="&amp;A1369)&gt;1,SUMIFS(Quarterly!C:C,Quarterly!B:B,"&gt;="&amp;A1369-88,Quarterly!B:B,"&lt;="&amp;A1369),SUMIFS(Quarterly!C:C,Quarterly!B:B,"&gt;="&amp;A1369-92,Quarterly!B:B,"&lt;="&amp;A1369)))</f>
        <v>6380.8</v>
      </c>
      <c r="K1369" s="13">
        <f t="shared" si="463"/>
        <v>6.4799999999999996E-2</v>
      </c>
      <c r="L1369">
        <f t="shared" si="465"/>
        <v>413.48</v>
      </c>
      <c r="M1369">
        <f>IF(A1369&gt;=Quarterly!B$2,Quarterly!D$2,IF(COUNTIFS(Quarterly!B:B,"&gt;="&amp;A1369-92,Quarterly!B:B,"&lt;="&amp;A1369)&gt;1,SUMIFS(Quarterly!D:D,Quarterly!B:B,"&gt;="&amp;A1369-88,Quarterly!B:B,"&lt;="&amp;A1369),SUMIFS(Quarterly!D:D,Quarterly!B:B,"&gt;="&amp;A1369-92,Quarterly!B:B,"&lt;="&amp;A1369)))</f>
        <v>310.81400000000002</v>
      </c>
      <c r="N1369" s="13">
        <f t="shared" si="466"/>
        <v>0.13303000000000001</v>
      </c>
      <c r="O1369">
        <f t="shared" si="454"/>
        <v>413.48</v>
      </c>
      <c r="P1369" s="56">
        <f>VLOOKUP(EOMONTH(A1369,-1),Economic!A:I,7,FALSE)</f>
        <v>522897</v>
      </c>
      <c r="Q1369" s="13">
        <f t="shared" si="455"/>
        <v>7.9100000000000004E-2</v>
      </c>
      <c r="R1369" s="41">
        <v>2.1800000000000002</v>
      </c>
      <c r="S1369">
        <f t="shared" si="456"/>
        <v>1.07</v>
      </c>
      <c r="T1369" s="30">
        <f t="shared" si="457"/>
        <v>216.6</v>
      </c>
      <c r="U1369" s="30">
        <f t="shared" si="464"/>
        <v>215.63</v>
      </c>
    </row>
    <row r="1370" spans="1:21" ht="15" customHeight="1" x14ac:dyDescent="0.25">
      <c r="A1370" s="5">
        <v>33755</v>
      </c>
      <c r="B1370" s="5">
        <f t="shared" si="458"/>
        <v>33755</v>
      </c>
      <c r="C1370">
        <v>415.35</v>
      </c>
      <c r="D1370" s="29">
        <f t="shared" si="459"/>
        <v>5.3E-3</v>
      </c>
      <c r="E1370" s="39">
        <f t="shared" si="460"/>
        <v>409.54</v>
      </c>
      <c r="F1370" s="39">
        <f t="shared" si="461"/>
        <v>400.2679487179488</v>
      </c>
      <c r="G1370" s="29">
        <f t="shared" si="453"/>
        <v>1.4200000000000001E-2</v>
      </c>
      <c r="H1370" s="29">
        <f t="shared" si="453"/>
        <v>3.7699999999999997E-2</v>
      </c>
      <c r="I1370">
        <f t="shared" si="462"/>
        <v>415.35</v>
      </c>
      <c r="J1370">
        <f>IF(A1370&gt;=Quarterly!B$2,Quarterly!C$2,IF(COUNTIFS(Quarterly!B:B,"&gt;="&amp;A1370-92,Quarterly!B:B,"&lt;="&amp;A1370)&gt;1,SUMIFS(Quarterly!C:C,Quarterly!B:B,"&gt;="&amp;A1370-88,Quarterly!B:B,"&lt;="&amp;A1370),SUMIFS(Quarterly!C:C,Quarterly!B:B,"&gt;="&amp;A1370-92,Quarterly!B:B,"&lt;="&amp;A1370)))</f>
        <v>6380.8</v>
      </c>
      <c r="K1370" s="13">
        <f t="shared" si="463"/>
        <v>6.5100000000000005E-2</v>
      </c>
      <c r="L1370">
        <f t="shared" si="465"/>
        <v>415.35</v>
      </c>
      <c r="M1370">
        <f>IF(A1370&gt;=Quarterly!B$2,Quarterly!D$2,IF(COUNTIFS(Quarterly!B:B,"&gt;="&amp;A1370-92,Quarterly!B:B,"&lt;="&amp;A1370)&gt;1,SUMIFS(Quarterly!D:D,Quarterly!B:B,"&gt;="&amp;A1370-88,Quarterly!B:B,"&lt;="&amp;A1370),SUMIFS(Quarterly!D:D,Quarterly!B:B,"&gt;="&amp;A1370-92,Quarterly!B:B,"&lt;="&amp;A1370)))</f>
        <v>310.81400000000002</v>
      </c>
      <c r="N1370" s="13">
        <f t="shared" si="466"/>
        <v>0.13363</v>
      </c>
      <c r="O1370">
        <f t="shared" si="454"/>
        <v>415.35</v>
      </c>
      <c r="P1370" s="56">
        <f>VLOOKUP(EOMONTH(A1370,-1),Economic!A:I,7,FALSE)</f>
        <v>517614</v>
      </c>
      <c r="Q1370" s="13">
        <f t="shared" si="455"/>
        <v>8.0199999999999994E-2</v>
      </c>
      <c r="R1370" s="41">
        <v>2.14</v>
      </c>
      <c r="S1370">
        <f t="shared" si="456"/>
        <v>1.03</v>
      </c>
      <c r="T1370" s="30">
        <f t="shared" si="457"/>
        <v>215.64</v>
      </c>
      <c r="U1370" s="30">
        <f t="shared" si="464"/>
        <v>215.91</v>
      </c>
    </row>
    <row r="1371" spans="1:21" ht="15" customHeight="1" x14ac:dyDescent="0.25">
      <c r="A1371" s="5">
        <v>33748</v>
      </c>
      <c r="B1371" s="5">
        <f t="shared" si="458"/>
        <v>33755</v>
      </c>
      <c r="C1371">
        <v>414.02</v>
      </c>
      <c r="D1371" s="29">
        <f t="shared" si="459"/>
        <v>5.1000000000000004E-3</v>
      </c>
      <c r="E1371" s="39">
        <f t="shared" si="460"/>
        <v>409.33615384615382</v>
      </c>
      <c r="F1371" s="39">
        <f t="shared" si="461"/>
        <v>399.75717948717949</v>
      </c>
      <c r="G1371" s="29">
        <f t="shared" si="453"/>
        <v>1.14E-2</v>
      </c>
      <c r="H1371" s="29">
        <f t="shared" si="453"/>
        <v>3.5700000000000003E-2</v>
      </c>
      <c r="I1371">
        <f t="shared" si="462"/>
        <v>414.02</v>
      </c>
      <c r="J1371">
        <f>IF(A1371&gt;=Quarterly!B$2,Quarterly!C$2,IF(COUNTIFS(Quarterly!B:B,"&gt;="&amp;A1371-92,Quarterly!B:B,"&lt;="&amp;A1371)&gt;1,SUMIFS(Quarterly!C:C,Quarterly!B:B,"&gt;="&amp;A1371-88,Quarterly!B:B,"&lt;="&amp;A1371),SUMIFS(Quarterly!C:C,Quarterly!B:B,"&gt;="&amp;A1371-92,Quarterly!B:B,"&lt;="&amp;A1371)))</f>
        <v>6380.8</v>
      </c>
      <c r="K1371" s="13">
        <f t="shared" si="463"/>
        <v>6.4899999999999999E-2</v>
      </c>
      <c r="L1371">
        <f t="shared" si="465"/>
        <v>414.02</v>
      </c>
      <c r="M1371">
        <f>IF(A1371&gt;=Quarterly!B$2,Quarterly!D$2,IF(COUNTIFS(Quarterly!B:B,"&gt;="&amp;A1371-92,Quarterly!B:B,"&lt;="&amp;A1371)&gt;1,SUMIFS(Quarterly!D:D,Quarterly!B:B,"&gt;="&amp;A1371-88,Quarterly!B:B,"&lt;="&amp;A1371),SUMIFS(Quarterly!D:D,Quarterly!B:B,"&gt;="&amp;A1371-92,Quarterly!B:B,"&lt;="&amp;A1371)))</f>
        <v>310.81400000000002</v>
      </c>
      <c r="N1371" s="13">
        <f t="shared" si="466"/>
        <v>0.13321000000000002</v>
      </c>
      <c r="O1371">
        <f t="shared" si="454"/>
        <v>414.02</v>
      </c>
      <c r="P1371" s="56">
        <f>VLOOKUP(EOMONTH(A1371,-1),Economic!A:I,7,FALSE)</f>
        <v>517614</v>
      </c>
      <c r="Q1371" s="13">
        <f t="shared" si="455"/>
        <v>0.08</v>
      </c>
      <c r="R1371" s="41">
        <v>2.11</v>
      </c>
      <c r="S1371">
        <f t="shared" si="456"/>
        <v>1</v>
      </c>
      <c r="T1371" s="30">
        <f t="shared" si="457"/>
        <v>214.65</v>
      </c>
      <c r="U1371" s="30">
        <f t="shared" si="464"/>
        <v>216.07</v>
      </c>
    </row>
    <row r="1372" spans="1:21" ht="15" customHeight="1" x14ac:dyDescent="0.25">
      <c r="A1372" s="5">
        <v>33741</v>
      </c>
      <c r="B1372" s="5">
        <f t="shared" si="458"/>
        <v>33755</v>
      </c>
      <c r="C1372">
        <v>410.09</v>
      </c>
      <c r="D1372" s="29">
        <f t="shared" si="459"/>
        <v>-8.0000000000000002E-3</v>
      </c>
      <c r="E1372" s="39">
        <f t="shared" si="460"/>
        <v>409.13692307692315</v>
      </c>
      <c r="F1372" s="39">
        <f t="shared" si="461"/>
        <v>399.24820512820514</v>
      </c>
      <c r="G1372" s="29">
        <f t="shared" si="453"/>
        <v>2.3E-3</v>
      </c>
      <c r="H1372" s="29">
        <f t="shared" si="453"/>
        <v>2.7199999999999998E-2</v>
      </c>
      <c r="I1372">
        <f t="shared" si="462"/>
        <v>410.09</v>
      </c>
      <c r="J1372">
        <f>IF(A1372&gt;=Quarterly!B$2,Quarterly!C$2,IF(COUNTIFS(Quarterly!B:B,"&gt;="&amp;A1372-92,Quarterly!B:B,"&lt;="&amp;A1372)&gt;1,SUMIFS(Quarterly!C:C,Quarterly!B:B,"&gt;="&amp;A1372-88,Quarterly!B:B,"&lt;="&amp;A1372),SUMIFS(Quarterly!C:C,Quarterly!B:B,"&gt;="&amp;A1372-92,Quarterly!B:B,"&lt;="&amp;A1372)))</f>
        <v>6380.8</v>
      </c>
      <c r="K1372" s="13">
        <f t="shared" si="463"/>
        <v>6.4299999999999996E-2</v>
      </c>
      <c r="L1372">
        <f t="shared" si="465"/>
        <v>410.09</v>
      </c>
      <c r="M1372">
        <f>IF(A1372&gt;=Quarterly!B$2,Quarterly!D$2,IF(COUNTIFS(Quarterly!B:B,"&gt;="&amp;A1372-92,Quarterly!B:B,"&lt;="&amp;A1372)&gt;1,SUMIFS(Quarterly!D:D,Quarterly!B:B,"&gt;="&amp;A1372-88,Quarterly!B:B,"&lt;="&amp;A1372),SUMIFS(Quarterly!D:D,Quarterly!B:B,"&gt;="&amp;A1372-92,Quarterly!B:B,"&lt;="&amp;A1372)))</f>
        <v>310.81400000000002</v>
      </c>
      <c r="N1372" s="13">
        <f t="shared" si="466"/>
        <v>0.13194</v>
      </c>
      <c r="O1372">
        <f t="shared" si="454"/>
        <v>410.09</v>
      </c>
      <c r="P1372" s="56">
        <f>VLOOKUP(EOMONTH(A1372,-1),Economic!A:I,7,FALSE)</f>
        <v>517614</v>
      </c>
      <c r="Q1372" s="13">
        <f t="shared" si="455"/>
        <v>7.9199999999999993E-2</v>
      </c>
      <c r="R1372" s="41">
        <v>2.17</v>
      </c>
      <c r="S1372">
        <f t="shared" si="456"/>
        <v>1.0900000000000001</v>
      </c>
      <c r="T1372" s="30">
        <f t="shared" si="457"/>
        <v>217.44</v>
      </c>
      <c r="U1372" s="30">
        <f t="shared" si="464"/>
        <v>215.36</v>
      </c>
    </row>
    <row r="1373" spans="1:21" ht="15" customHeight="1" x14ac:dyDescent="0.25">
      <c r="A1373" s="5">
        <v>33734</v>
      </c>
      <c r="B1373" s="5">
        <f t="shared" si="458"/>
        <v>33755</v>
      </c>
      <c r="C1373">
        <v>416.05</v>
      </c>
      <c r="D1373" s="29">
        <f t="shared" si="459"/>
        <v>1.3599999999999999E-2</v>
      </c>
      <c r="E1373" s="39">
        <f t="shared" si="460"/>
        <v>409.32076923076926</v>
      </c>
      <c r="F1373" s="39">
        <f t="shared" si="461"/>
        <v>398.61974358974362</v>
      </c>
      <c r="G1373" s="29">
        <f t="shared" si="453"/>
        <v>1.6400000000000001E-2</v>
      </c>
      <c r="H1373" s="29">
        <f t="shared" si="453"/>
        <v>4.3700000000000003E-2</v>
      </c>
      <c r="I1373">
        <f t="shared" si="462"/>
        <v>416.05</v>
      </c>
      <c r="J1373">
        <f>IF(A1373&gt;=Quarterly!B$2,Quarterly!C$2,IF(COUNTIFS(Quarterly!B:B,"&gt;="&amp;A1373-92,Quarterly!B:B,"&lt;="&amp;A1373)&gt;1,SUMIFS(Quarterly!C:C,Quarterly!B:B,"&gt;="&amp;A1373-88,Quarterly!B:B,"&lt;="&amp;A1373),SUMIFS(Quarterly!C:C,Quarterly!B:B,"&gt;="&amp;A1373-92,Quarterly!B:B,"&lt;="&amp;A1373)))</f>
        <v>6380.8</v>
      </c>
      <c r="K1373" s="13">
        <f t="shared" si="463"/>
        <v>6.5199999999999994E-2</v>
      </c>
      <c r="L1373">
        <f t="shared" si="465"/>
        <v>416.05</v>
      </c>
      <c r="M1373">
        <f>IF(A1373&gt;=Quarterly!B$2,Quarterly!D$2,IF(COUNTIFS(Quarterly!B:B,"&gt;="&amp;A1373-92,Quarterly!B:B,"&lt;="&amp;A1373)&gt;1,SUMIFS(Quarterly!D:D,Quarterly!B:B,"&gt;="&amp;A1373-88,Quarterly!B:B,"&lt;="&amp;A1373),SUMIFS(Quarterly!D:D,Quarterly!B:B,"&gt;="&amp;A1373-92,Quarterly!B:B,"&lt;="&amp;A1373)))</f>
        <v>310.81400000000002</v>
      </c>
      <c r="N1373" s="13">
        <f t="shared" si="466"/>
        <v>0.13386000000000001</v>
      </c>
      <c r="O1373">
        <f t="shared" si="454"/>
        <v>416.05</v>
      </c>
      <c r="P1373" s="56">
        <f>VLOOKUP(EOMONTH(A1373,-1),Economic!A:I,7,FALSE)</f>
        <v>517614</v>
      </c>
      <c r="Q1373" s="13">
        <f t="shared" si="455"/>
        <v>8.0399999999999999E-2</v>
      </c>
      <c r="R1373" s="41">
        <v>2.12</v>
      </c>
      <c r="S1373">
        <f t="shared" si="456"/>
        <v>1.05</v>
      </c>
      <c r="T1373" s="30">
        <f t="shared" si="457"/>
        <v>216.11</v>
      </c>
      <c r="U1373" s="30">
        <f t="shared" si="464"/>
        <v>212.35</v>
      </c>
    </row>
    <row r="1374" spans="1:21" ht="15" customHeight="1" x14ac:dyDescent="0.25">
      <c r="A1374" s="5">
        <v>33727</v>
      </c>
      <c r="B1374" s="5">
        <f t="shared" si="458"/>
        <v>33755</v>
      </c>
      <c r="C1374">
        <v>412.53</v>
      </c>
      <c r="D1374" s="29">
        <f t="shared" si="459"/>
        <v>1.18E-2</v>
      </c>
      <c r="E1374" s="39">
        <f t="shared" si="460"/>
        <v>408.93923076923085</v>
      </c>
      <c r="F1374" s="39">
        <f t="shared" si="461"/>
        <v>397.87794871794881</v>
      </c>
      <c r="G1374" s="29">
        <f t="shared" si="453"/>
        <v>8.8000000000000005E-3</v>
      </c>
      <c r="H1374" s="29">
        <f t="shared" si="453"/>
        <v>3.6799999999999999E-2</v>
      </c>
      <c r="I1374">
        <f t="shared" si="462"/>
        <v>412.53</v>
      </c>
      <c r="J1374">
        <f>IF(A1374&gt;=Quarterly!B$2,Quarterly!C$2,IF(COUNTIFS(Quarterly!B:B,"&gt;="&amp;A1374-92,Quarterly!B:B,"&lt;="&amp;A1374)&gt;1,SUMIFS(Quarterly!C:C,Quarterly!B:B,"&gt;="&amp;A1374-88,Quarterly!B:B,"&lt;="&amp;A1374),SUMIFS(Quarterly!C:C,Quarterly!B:B,"&gt;="&amp;A1374-92,Quarterly!B:B,"&lt;="&amp;A1374)))</f>
        <v>6380.8</v>
      </c>
      <c r="K1374" s="13">
        <f t="shared" si="463"/>
        <v>6.4699999999999994E-2</v>
      </c>
      <c r="L1374">
        <f t="shared" si="465"/>
        <v>412.53</v>
      </c>
      <c r="M1374">
        <f>IF(A1374&gt;=Quarterly!B$2,Quarterly!D$2,IF(COUNTIFS(Quarterly!B:B,"&gt;="&amp;A1374-92,Quarterly!B:B,"&lt;="&amp;A1374)&gt;1,SUMIFS(Quarterly!D:D,Quarterly!B:B,"&gt;="&amp;A1374-88,Quarterly!B:B,"&lt;="&amp;A1374),SUMIFS(Quarterly!D:D,Quarterly!B:B,"&gt;="&amp;A1374-92,Quarterly!B:B,"&lt;="&amp;A1374)))</f>
        <v>310.81400000000002</v>
      </c>
      <c r="N1374" s="13">
        <f t="shared" si="466"/>
        <v>0.13272999999999999</v>
      </c>
      <c r="O1374">
        <f t="shared" si="454"/>
        <v>412.53</v>
      </c>
      <c r="P1374" s="56">
        <f>VLOOKUP(EOMONTH(A1374,-1),Economic!A:I,7,FALSE)</f>
        <v>517614</v>
      </c>
      <c r="Q1374" s="13">
        <f t="shared" si="455"/>
        <v>7.9699999999999993E-2</v>
      </c>
      <c r="R1374" s="41">
        <v>2.23</v>
      </c>
      <c r="S1374">
        <f t="shared" si="456"/>
        <v>0.94</v>
      </c>
      <c r="T1374" s="30">
        <f t="shared" si="457"/>
        <v>212.52</v>
      </c>
      <c r="U1374" s="30">
        <f t="shared" si="464"/>
        <v>209.91</v>
      </c>
    </row>
    <row r="1375" spans="1:21" ht="15" customHeight="1" x14ac:dyDescent="0.25">
      <c r="A1375" s="5">
        <v>33720</v>
      </c>
      <c r="B1375" s="5">
        <f t="shared" si="458"/>
        <v>33724</v>
      </c>
      <c r="C1375">
        <v>409.02</v>
      </c>
      <c r="D1375" s="29">
        <f t="shared" si="459"/>
        <v>6.6E-3</v>
      </c>
      <c r="E1375" s="39">
        <f t="shared" si="460"/>
        <v>408.65076923076924</v>
      </c>
      <c r="F1375" s="39">
        <f t="shared" si="461"/>
        <v>397.22794871794878</v>
      </c>
      <c r="G1375" s="29">
        <f t="shared" si="453"/>
        <v>8.9999999999999998E-4</v>
      </c>
      <c r="H1375" s="29">
        <f t="shared" si="453"/>
        <v>2.9700000000000001E-2</v>
      </c>
      <c r="I1375">
        <f t="shared" si="462"/>
        <v>409.02</v>
      </c>
      <c r="J1375">
        <f>IF(A1375&gt;=Quarterly!B$2,Quarterly!C$2,IF(COUNTIFS(Quarterly!B:B,"&gt;="&amp;A1375-92,Quarterly!B:B,"&lt;="&amp;A1375)&gt;1,SUMIFS(Quarterly!C:C,Quarterly!B:B,"&gt;="&amp;A1375-88,Quarterly!B:B,"&lt;="&amp;A1375),SUMIFS(Quarterly!C:C,Quarterly!B:B,"&gt;="&amp;A1375-92,Quarterly!B:B,"&lt;="&amp;A1375)))</f>
        <v>6279.3</v>
      </c>
      <c r="K1375" s="13">
        <f t="shared" si="463"/>
        <v>6.5100000000000005E-2</v>
      </c>
      <c r="L1375">
        <f t="shared" si="465"/>
        <v>409.02</v>
      </c>
      <c r="M1375">
        <f>IF(A1375&gt;=Quarterly!B$2,Quarterly!D$2,IF(COUNTIFS(Quarterly!B:B,"&gt;="&amp;A1375-92,Quarterly!B:B,"&lt;="&amp;A1375)&gt;1,SUMIFS(Quarterly!D:D,Quarterly!B:B,"&gt;="&amp;A1375-88,Quarterly!B:B,"&lt;="&amp;A1375),SUMIFS(Quarterly!D:D,Quarterly!B:B,"&gt;="&amp;A1375-92,Quarterly!B:B,"&lt;="&amp;A1375)))</f>
        <v>298.12700000000001</v>
      </c>
      <c r="N1375" s="13">
        <f t="shared" si="466"/>
        <v>0.13720000000000002</v>
      </c>
      <c r="O1375">
        <f t="shared" si="454"/>
        <v>409.02</v>
      </c>
      <c r="P1375" s="56">
        <f>VLOOKUP(EOMONTH(A1375,-1),Economic!A:I,7,FALSE)</f>
        <v>514892</v>
      </c>
      <c r="Q1375" s="13">
        <f t="shared" si="455"/>
        <v>7.9399999999999998E-2</v>
      </c>
      <c r="R1375" s="41">
        <v>2.2200000000000002</v>
      </c>
      <c r="S1375">
        <f t="shared" si="456"/>
        <v>0.93</v>
      </c>
      <c r="T1375" s="30">
        <f t="shared" si="457"/>
        <v>208.42</v>
      </c>
      <c r="U1375" s="30">
        <f t="shared" si="464"/>
        <v>208.64</v>
      </c>
    </row>
    <row r="1376" spans="1:21" ht="15" customHeight="1" x14ac:dyDescent="0.25">
      <c r="A1376" s="5">
        <v>33713</v>
      </c>
      <c r="B1376" s="5">
        <f t="shared" si="458"/>
        <v>33724</v>
      </c>
      <c r="C1376">
        <v>416.04</v>
      </c>
      <c r="D1376" s="29">
        <f t="shared" si="459"/>
        <v>2.69E-2</v>
      </c>
      <c r="E1376" s="39">
        <f t="shared" si="460"/>
        <v>409.1476923076923</v>
      </c>
      <c r="F1376" s="39">
        <f t="shared" si="461"/>
        <v>396.50769230769237</v>
      </c>
      <c r="G1376" s="29">
        <f t="shared" si="453"/>
        <v>1.6799999999999999E-2</v>
      </c>
      <c r="H1376" s="29">
        <f t="shared" si="453"/>
        <v>4.9299999999999997E-2</v>
      </c>
      <c r="I1376">
        <f t="shared" si="462"/>
        <v>416.04</v>
      </c>
      <c r="J1376">
        <f>IF(A1376&gt;=Quarterly!B$2,Quarterly!C$2,IF(COUNTIFS(Quarterly!B:B,"&gt;="&amp;A1376-92,Quarterly!B:B,"&lt;="&amp;A1376)&gt;1,SUMIFS(Quarterly!C:C,Quarterly!B:B,"&gt;="&amp;A1376-88,Quarterly!B:B,"&lt;="&amp;A1376),SUMIFS(Quarterly!C:C,Quarterly!B:B,"&gt;="&amp;A1376-92,Quarterly!B:B,"&lt;="&amp;A1376)))</f>
        <v>6279.3</v>
      </c>
      <c r="K1376" s="13">
        <f t="shared" si="463"/>
        <v>6.6299999999999998E-2</v>
      </c>
      <c r="L1376">
        <f t="shared" si="465"/>
        <v>416.04</v>
      </c>
      <c r="M1376">
        <f>IF(A1376&gt;=Quarterly!B$2,Quarterly!D$2,IF(COUNTIFS(Quarterly!B:B,"&gt;="&amp;A1376-92,Quarterly!B:B,"&lt;="&amp;A1376)&gt;1,SUMIFS(Quarterly!D:D,Quarterly!B:B,"&gt;="&amp;A1376-88,Quarterly!B:B,"&lt;="&amp;A1376),SUMIFS(Quarterly!D:D,Quarterly!B:B,"&gt;="&amp;A1376-92,Quarterly!B:B,"&lt;="&amp;A1376)))</f>
        <v>298.12700000000001</v>
      </c>
      <c r="N1376" s="13">
        <f t="shared" si="466"/>
        <v>0.13955000000000001</v>
      </c>
      <c r="O1376">
        <f t="shared" si="454"/>
        <v>416.04</v>
      </c>
      <c r="P1376" s="56">
        <f>VLOOKUP(EOMONTH(A1376,-1),Economic!A:I,7,FALSE)</f>
        <v>514892</v>
      </c>
      <c r="Q1376" s="13">
        <f t="shared" si="455"/>
        <v>8.0799999999999997E-2</v>
      </c>
      <c r="R1376" s="41">
        <v>2.11</v>
      </c>
      <c r="S1376">
        <f t="shared" si="456"/>
        <v>0.96</v>
      </c>
      <c r="T1376" s="30">
        <f t="shared" si="457"/>
        <v>208.78</v>
      </c>
      <c r="U1376" s="30">
        <f t="shared" si="464"/>
        <v>209.72</v>
      </c>
    </row>
    <row r="1377" spans="1:21" ht="15" customHeight="1" x14ac:dyDescent="0.25">
      <c r="A1377" s="5">
        <v>33706</v>
      </c>
      <c r="B1377" s="5">
        <f t="shared" si="458"/>
        <v>33724</v>
      </c>
      <c r="C1377">
        <v>404.29</v>
      </c>
      <c r="D1377" s="29">
        <f t="shared" si="459"/>
        <v>-3.0999999999999999E-3</v>
      </c>
      <c r="E1377" s="39">
        <f t="shared" si="460"/>
        <v>409.36461538461532</v>
      </c>
      <c r="F1377" s="39">
        <f t="shared" si="461"/>
        <v>395.69179487179497</v>
      </c>
      <c r="G1377" s="29">
        <f t="shared" si="453"/>
        <v>-1.24E-2</v>
      </c>
      <c r="H1377" s="29">
        <f t="shared" si="453"/>
        <v>2.1700000000000001E-2</v>
      </c>
      <c r="I1377">
        <f t="shared" si="462"/>
        <v>404.29</v>
      </c>
      <c r="J1377">
        <f>IF(A1377&gt;=Quarterly!B$2,Quarterly!C$2,IF(COUNTIFS(Quarterly!B:B,"&gt;="&amp;A1377-92,Quarterly!B:B,"&lt;="&amp;A1377)&gt;1,SUMIFS(Quarterly!C:C,Quarterly!B:B,"&gt;="&amp;A1377-88,Quarterly!B:B,"&lt;="&amp;A1377),SUMIFS(Quarterly!C:C,Quarterly!B:B,"&gt;="&amp;A1377-92,Quarterly!B:B,"&lt;="&amp;A1377)))</f>
        <v>6279.3</v>
      </c>
      <c r="K1377" s="13">
        <f t="shared" si="463"/>
        <v>6.4399999999999999E-2</v>
      </c>
      <c r="L1377">
        <f t="shared" si="465"/>
        <v>404.29</v>
      </c>
      <c r="M1377">
        <f>IF(A1377&gt;=Quarterly!B$2,Quarterly!D$2,IF(COUNTIFS(Quarterly!B:B,"&gt;="&amp;A1377-92,Quarterly!B:B,"&lt;="&amp;A1377)&gt;1,SUMIFS(Quarterly!D:D,Quarterly!B:B,"&gt;="&amp;A1377-88,Quarterly!B:B,"&lt;="&amp;A1377),SUMIFS(Quarterly!D:D,Quarterly!B:B,"&gt;="&amp;A1377-92,Quarterly!B:B,"&lt;="&amp;A1377)))</f>
        <v>298.12700000000001</v>
      </c>
      <c r="N1377" s="13">
        <f t="shared" si="466"/>
        <v>0.13561000000000001</v>
      </c>
      <c r="O1377">
        <f t="shared" si="454"/>
        <v>404.29</v>
      </c>
      <c r="P1377" s="56">
        <f>VLOOKUP(EOMONTH(A1377,-1),Economic!A:I,7,FALSE)</f>
        <v>514892</v>
      </c>
      <c r="Q1377" s="13">
        <f t="shared" si="455"/>
        <v>7.85E-2</v>
      </c>
      <c r="R1377" s="41">
        <v>2.21</v>
      </c>
      <c r="S1377">
        <f t="shared" si="456"/>
        <v>0.97</v>
      </c>
      <c r="T1377" s="30">
        <f t="shared" si="457"/>
        <v>208.72</v>
      </c>
      <c r="U1377" s="30">
        <f t="shared" si="464"/>
        <v>208.98</v>
      </c>
    </row>
    <row r="1378" spans="1:21" ht="15" customHeight="1" x14ac:dyDescent="0.25">
      <c r="A1378" s="5">
        <v>33699</v>
      </c>
      <c r="B1378" s="5">
        <f t="shared" si="458"/>
        <v>33724</v>
      </c>
      <c r="C1378">
        <v>401.55</v>
      </c>
      <c r="D1378" s="29">
        <f t="shared" si="459"/>
        <v>-1.1599999999999999E-2</v>
      </c>
      <c r="E1378" s="39">
        <f t="shared" si="460"/>
        <v>410.19615384615383</v>
      </c>
      <c r="F1378" s="39">
        <f t="shared" si="461"/>
        <v>395.07538461538473</v>
      </c>
      <c r="G1378" s="29">
        <f t="shared" si="453"/>
        <v>-2.1100000000000001E-2</v>
      </c>
      <c r="H1378" s="29">
        <f t="shared" si="453"/>
        <v>1.6400000000000001E-2</v>
      </c>
      <c r="I1378">
        <f t="shared" si="462"/>
        <v>401.55</v>
      </c>
      <c r="J1378">
        <f>IF(A1378&gt;=Quarterly!B$2,Quarterly!C$2,IF(COUNTIFS(Quarterly!B:B,"&gt;="&amp;A1378-92,Quarterly!B:B,"&lt;="&amp;A1378)&gt;1,SUMIFS(Quarterly!C:C,Quarterly!B:B,"&gt;="&amp;A1378-88,Quarterly!B:B,"&lt;="&amp;A1378),SUMIFS(Quarterly!C:C,Quarterly!B:B,"&gt;="&amp;A1378-92,Quarterly!B:B,"&lt;="&amp;A1378)))</f>
        <v>6279.3</v>
      </c>
      <c r="K1378" s="13">
        <f t="shared" si="463"/>
        <v>6.3899999999999998E-2</v>
      </c>
      <c r="L1378">
        <f t="shared" si="465"/>
        <v>401.55</v>
      </c>
      <c r="M1378">
        <f>IF(A1378&gt;=Quarterly!B$2,Quarterly!D$2,IF(COUNTIFS(Quarterly!B:B,"&gt;="&amp;A1378-92,Quarterly!B:B,"&lt;="&amp;A1378)&gt;1,SUMIFS(Quarterly!D:D,Quarterly!B:B,"&gt;="&amp;A1378-88,Quarterly!B:B,"&lt;="&amp;A1378),SUMIFS(Quarterly!D:D,Quarterly!B:B,"&gt;="&amp;A1378-92,Quarterly!B:B,"&lt;="&amp;A1378)))</f>
        <v>298.12700000000001</v>
      </c>
      <c r="N1378" s="13">
        <f t="shared" si="466"/>
        <v>0.13469</v>
      </c>
      <c r="O1378">
        <f t="shared" si="454"/>
        <v>401.55</v>
      </c>
      <c r="P1378" s="56">
        <f>VLOOKUP(EOMONTH(A1378,-1),Economic!A:I,7,FALSE)</f>
        <v>514892</v>
      </c>
      <c r="Q1378" s="13">
        <f t="shared" si="455"/>
        <v>7.8E-2</v>
      </c>
      <c r="R1378" s="41">
        <v>2.0499999999999998</v>
      </c>
      <c r="S1378">
        <f t="shared" si="456"/>
        <v>1.08</v>
      </c>
      <c r="T1378" s="30">
        <f t="shared" si="457"/>
        <v>211.66</v>
      </c>
      <c r="U1378" s="30">
        <f t="shared" si="464"/>
        <v>207.45</v>
      </c>
    </row>
    <row r="1379" spans="1:21" ht="15" customHeight="1" x14ac:dyDescent="0.25">
      <c r="A1379" s="5">
        <v>33692</v>
      </c>
      <c r="B1379" s="5">
        <f t="shared" si="458"/>
        <v>33694</v>
      </c>
      <c r="C1379">
        <v>403.5</v>
      </c>
      <c r="D1379" s="29">
        <f t="shared" si="459"/>
        <v>-1.24E-2</v>
      </c>
      <c r="E1379" s="39">
        <f t="shared" si="460"/>
        <v>411.56461538461548</v>
      </c>
      <c r="F1379" s="39">
        <f t="shared" si="461"/>
        <v>394.37102564102577</v>
      </c>
      <c r="G1379" s="29">
        <f t="shared" si="453"/>
        <v>-1.9599999999999999E-2</v>
      </c>
      <c r="H1379" s="29">
        <f t="shared" si="453"/>
        <v>2.3099999999999999E-2</v>
      </c>
      <c r="I1379">
        <f t="shared" si="462"/>
        <v>403.5</v>
      </c>
      <c r="J1379">
        <f>IF(A1379&gt;=Quarterly!B$2,Quarterly!C$2,IF(COUNTIFS(Quarterly!B:B,"&gt;="&amp;A1379-92,Quarterly!B:B,"&lt;="&amp;A1379)&gt;1,SUMIFS(Quarterly!C:C,Quarterly!B:B,"&gt;="&amp;A1379-88,Quarterly!B:B,"&lt;="&amp;A1379),SUMIFS(Quarterly!C:C,Quarterly!B:B,"&gt;="&amp;A1379-92,Quarterly!B:B,"&lt;="&amp;A1379)))</f>
        <v>6279.3</v>
      </c>
      <c r="K1379" s="13">
        <f t="shared" si="463"/>
        <v>6.4299999999999996E-2</v>
      </c>
      <c r="L1379">
        <f t="shared" si="465"/>
        <v>403.5</v>
      </c>
      <c r="M1379">
        <f>IF(A1379&gt;=Quarterly!B$2,Quarterly!D$2,IF(COUNTIFS(Quarterly!B:B,"&gt;="&amp;A1379-92,Quarterly!B:B,"&lt;="&amp;A1379)&gt;1,SUMIFS(Quarterly!D:D,Quarterly!B:B,"&gt;="&amp;A1379-88,Quarterly!B:B,"&lt;="&amp;A1379),SUMIFS(Quarterly!D:D,Quarterly!B:B,"&gt;="&amp;A1379-92,Quarterly!B:B,"&lt;="&amp;A1379)))</f>
        <v>298.12700000000001</v>
      </c>
      <c r="N1379" s="13">
        <f t="shared" si="466"/>
        <v>0.13535</v>
      </c>
      <c r="O1379">
        <f t="shared" si="454"/>
        <v>403.5</v>
      </c>
      <c r="P1379" s="56">
        <f>VLOOKUP(EOMONTH(A1379,-1),Economic!A:I,7,FALSE)</f>
        <v>512170</v>
      </c>
      <c r="Q1379" s="13">
        <f t="shared" si="455"/>
        <v>7.8799999999999995E-2</v>
      </c>
      <c r="R1379" s="41">
        <v>1.86</v>
      </c>
      <c r="S1379">
        <f t="shared" si="456"/>
        <v>0.96</v>
      </c>
      <c r="T1379" s="30">
        <f t="shared" si="457"/>
        <v>206.55</v>
      </c>
      <c r="U1379" s="30">
        <f t="shared" si="464"/>
        <v>207.12</v>
      </c>
    </row>
    <row r="1380" spans="1:21" ht="15" customHeight="1" x14ac:dyDescent="0.25">
      <c r="A1380" s="5">
        <v>33685</v>
      </c>
      <c r="B1380" s="5">
        <f t="shared" si="458"/>
        <v>33694</v>
      </c>
      <c r="C1380">
        <v>411.3</v>
      </c>
      <c r="D1380" s="29">
        <f t="shared" si="459"/>
        <v>6.6E-3</v>
      </c>
      <c r="E1380" s="39">
        <f t="shared" si="460"/>
        <v>411.79230769230776</v>
      </c>
      <c r="F1380" s="39">
        <f t="shared" si="461"/>
        <v>393.54179487179499</v>
      </c>
      <c r="G1380" s="29">
        <f t="shared" si="453"/>
        <v>-1.1999999999999999E-3</v>
      </c>
      <c r="H1380" s="29">
        <f t="shared" si="453"/>
        <v>4.5100000000000001E-2</v>
      </c>
      <c r="I1380">
        <f t="shared" si="462"/>
        <v>411.3</v>
      </c>
      <c r="J1380">
        <f>IF(A1380&gt;=Quarterly!B$2,Quarterly!C$2,IF(COUNTIFS(Quarterly!B:B,"&gt;="&amp;A1380-92,Quarterly!B:B,"&lt;="&amp;A1380)&gt;1,SUMIFS(Quarterly!C:C,Quarterly!B:B,"&gt;="&amp;A1380-88,Quarterly!B:B,"&lt;="&amp;A1380),SUMIFS(Quarterly!C:C,Quarterly!B:B,"&gt;="&amp;A1380-92,Quarterly!B:B,"&lt;="&amp;A1380)))</f>
        <v>6279.3</v>
      </c>
      <c r="K1380" s="13">
        <f t="shared" si="463"/>
        <v>6.5500000000000003E-2</v>
      </c>
      <c r="L1380">
        <f t="shared" si="465"/>
        <v>411.3</v>
      </c>
      <c r="M1380">
        <f>IF(A1380&gt;=Quarterly!B$2,Quarterly!D$2,IF(COUNTIFS(Quarterly!B:B,"&gt;="&amp;A1380-92,Quarterly!B:B,"&lt;="&amp;A1380)&gt;1,SUMIFS(Quarterly!D:D,Quarterly!B:B,"&gt;="&amp;A1380-88,Quarterly!B:B,"&lt;="&amp;A1380),SUMIFS(Quarterly!D:D,Quarterly!B:B,"&gt;="&amp;A1380-92,Quarterly!B:B,"&lt;="&amp;A1380)))</f>
        <v>298.12700000000001</v>
      </c>
      <c r="N1380" s="13">
        <f t="shared" si="466"/>
        <v>0.13796</v>
      </c>
      <c r="O1380">
        <f t="shared" si="454"/>
        <v>411.3</v>
      </c>
      <c r="P1380" s="56">
        <f>VLOOKUP(EOMONTH(A1380,-1),Economic!A:I,7,FALSE)</f>
        <v>512170</v>
      </c>
      <c r="Q1380" s="13">
        <f t="shared" si="455"/>
        <v>8.0299999999999996E-2</v>
      </c>
      <c r="R1380" s="41">
        <v>1.78</v>
      </c>
      <c r="S1380">
        <f t="shared" si="456"/>
        <v>0.89</v>
      </c>
      <c r="T1380" s="30">
        <f t="shared" si="457"/>
        <v>204.13</v>
      </c>
      <c r="U1380" s="30">
        <f t="shared" si="464"/>
        <v>206.56</v>
      </c>
    </row>
    <row r="1381" spans="1:21" ht="15" customHeight="1" x14ac:dyDescent="0.25">
      <c r="A1381" s="5">
        <v>33678</v>
      </c>
      <c r="B1381" s="5">
        <f t="shared" si="458"/>
        <v>33694</v>
      </c>
      <c r="C1381">
        <v>405.84</v>
      </c>
      <c r="D1381" s="29">
        <f t="shared" si="459"/>
        <v>-1.0800000000000001E-2</v>
      </c>
      <c r="E1381" s="39">
        <f t="shared" si="460"/>
        <v>409.92615384615391</v>
      </c>
      <c r="F1381" s="39">
        <f t="shared" si="461"/>
        <v>392.68153846153854</v>
      </c>
      <c r="G1381" s="29">
        <f t="shared" si="453"/>
        <v>-0.01</v>
      </c>
      <c r="H1381" s="29">
        <f t="shared" si="453"/>
        <v>3.3500000000000002E-2</v>
      </c>
      <c r="I1381">
        <f t="shared" si="462"/>
        <v>405.84</v>
      </c>
      <c r="J1381">
        <f>IF(A1381&gt;=Quarterly!B$2,Quarterly!C$2,IF(COUNTIFS(Quarterly!B:B,"&gt;="&amp;A1381-92,Quarterly!B:B,"&lt;="&amp;A1381)&gt;1,SUMIFS(Quarterly!C:C,Quarterly!B:B,"&gt;="&amp;A1381-88,Quarterly!B:B,"&lt;="&amp;A1381),SUMIFS(Quarterly!C:C,Quarterly!B:B,"&gt;="&amp;A1381-92,Quarterly!B:B,"&lt;="&amp;A1381)))</f>
        <v>6279.3</v>
      </c>
      <c r="K1381" s="13">
        <f t="shared" si="463"/>
        <v>6.4600000000000005E-2</v>
      </c>
      <c r="L1381">
        <f t="shared" si="465"/>
        <v>405.84</v>
      </c>
      <c r="M1381">
        <f>IF(A1381&gt;=Quarterly!B$2,Quarterly!D$2,IF(COUNTIFS(Quarterly!B:B,"&gt;="&amp;A1381-92,Quarterly!B:B,"&lt;="&amp;A1381)&gt;1,SUMIFS(Quarterly!D:D,Quarterly!B:B,"&gt;="&amp;A1381-88,Quarterly!B:B,"&lt;="&amp;A1381),SUMIFS(Quarterly!D:D,Quarterly!B:B,"&gt;="&amp;A1381-92,Quarterly!B:B,"&lt;="&amp;A1381)))</f>
        <v>298.12700000000001</v>
      </c>
      <c r="N1381" s="13">
        <f t="shared" si="466"/>
        <v>0.13613</v>
      </c>
      <c r="O1381">
        <f t="shared" si="454"/>
        <v>405.84</v>
      </c>
      <c r="P1381" s="56">
        <f>VLOOKUP(EOMONTH(A1381,-1),Economic!A:I,7,FALSE)</f>
        <v>512170</v>
      </c>
      <c r="Q1381" s="13">
        <f t="shared" si="455"/>
        <v>7.9199999999999993E-2</v>
      </c>
      <c r="R1381" s="41">
        <v>1.85</v>
      </c>
      <c r="S1381">
        <f t="shared" si="456"/>
        <v>1.06</v>
      </c>
      <c r="T1381" s="30">
        <f t="shared" si="457"/>
        <v>210.67</v>
      </c>
      <c r="U1381" s="30">
        <f t="shared" si="464"/>
        <v>207.69</v>
      </c>
    </row>
    <row r="1382" spans="1:21" ht="15" customHeight="1" x14ac:dyDescent="0.25">
      <c r="A1382" s="5">
        <v>33671</v>
      </c>
      <c r="B1382" s="5">
        <f t="shared" si="458"/>
        <v>33694</v>
      </c>
      <c r="C1382">
        <v>404.44</v>
      </c>
      <c r="D1382" s="29">
        <f t="shared" si="459"/>
        <v>-1.8200000000000001E-2</v>
      </c>
      <c r="E1382" s="39">
        <f t="shared" si="460"/>
        <v>408.28230769230771</v>
      </c>
      <c r="F1382" s="39">
        <f t="shared" si="461"/>
        <v>392.07769230769236</v>
      </c>
      <c r="G1382" s="29">
        <f t="shared" si="453"/>
        <v>-9.4000000000000004E-3</v>
      </c>
      <c r="H1382" s="29">
        <f t="shared" si="453"/>
        <v>3.15E-2</v>
      </c>
      <c r="I1382">
        <f t="shared" si="462"/>
        <v>404.44</v>
      </c>
      <c r="J1382">
        <f>IF(A1382&gt;=Quarterly!B$2,Quarterly!C$2,IF(COUNTIFS(Quarterly!B:B,"&gt;="&amp;A1382-92,Quarterly!B:B,"&lt;="&amp;A1382)&gt;1,SUMIFS(Quarterly!C:C,Quarterly!B:B,"&gt;="&amp;A1382-88,Quarterly!B:B,"&lt;="&amp;A1382),SUMIFS(Quarterly!C:C,Quarterly!B:B,"&gt;="&amp;A1382-92,Quarterly!B:B,"&lt;="&amp;A1382)))</f>
        <v>6279.3</v>
      </c>
      <c r="K1382" s="13">
        <f t="shared" si="463"/>
        <v>6.4399999999999999E-2</v>
      </c>
      <c r="L1382">
        <f t="shared" si="465"/>
        <v>404.44</v>
      </c>
      <c r="M1382">
        <f>IF(A1382&gt;=Quarterly!B$2,Quarterly!D$2,IF(COUNTIFS(Quarterly!B:B,"&gt;="&amp;A1382-92,Quarterly!B:B,"&lt;="&amp;A1382)&gt;1,SUMIFS(Quarterly!D:D,Quarterly!B:B,"&gt;="&amp;A1382-88,Quarterly!B:B,"&lt;="&amp;A1382),SUMIFS(Quarterly!D:D,Quarterly!B:B,"&gt;="&amp;A1382-92,Quarterly!B:B,"&lt;="&amp;A1382)))</f>
        <v>298.12700000000001</v>
      </c>
      <c r="N1382" s="13">
        <f t="shared" si="466"/>
        <v>0.13566</v>
      </c>
      <c r="O1382">
        <f t="shared" si="454"/>
        <v>404.44</v>
      </c>
      <c r="P1382" s="56">
        <f>VLOOKUP(EOMONTH(A1382,-1),Economic!A:I,7,FALSE)</f>
        <v>512170</v>
      </c>
      <c r="Q1382" s="13">
        <f t="shared" si="455"/>
        <v>7.9000000000000001E-2</v>
      </c>
      <c r="R1382" s="41">
        <v>1.88</v>
      </c>
      <c r="S1382">
        <f t="shared" si="456"/>
        <v>0.85</v>
      </c>
      <c r="T1382" s="30">
        <f t="shared" si="457"/>
        <v>204.89</v>
      </c>
      <c r="U1382" s="30">
        <f t="shared" si="464"/>
        <v>208.56</v>
      </c>
    </row>
    <row r="1383" spans="1:21" ht="15" customHeight="1" x14ac:dyDescent="0.25">
      <c r="A1383" s="5">
        <v>33664</v>
      </c>
      <c r="B1383" s="5">
        <f t="shared" si="458"/>
        <v>33694</v>
      </c>
      <c r="C1383">
        <v>412.7</v>
      </c>
      <c r="D1383" s="29">
        <f t="shared" si="459"/>
        <v>4.3E-3</v>
      </c>
      <c r="E1383" s="39">
        <f t="shared" si="460"/>
        <v>406.33307692307699</v>
      </c>
      <c r="F1383" s="39">
        <f t="shared" si="461"/>
        <v>391.43641025641034</v>
      </c>
      <c r="G1383" s="29">
        <f t="shared" si="453"/>
        <v>1.5699999999999999E-2</v>
      </c>
      <c r="H1383" s="29">
        <f t="shared" si="453"/>
        <v>5.4300000000000001E-2</v>
      </c>
      <c r="I1383">
        <f t="shared" si="462"/>
        <v>412.7</v>
      </c>
      <c r="J1383">
        <f>IF(A1383&gt;=Quarterly!B$2,Quarterly!C$2,IF(COUNTIFS(Quarterly!B:B,"&gt;="&amp;A1383-92,Quarterly!B:B,"&lt;="&amp;A1383)&gt;1,SUMIFS(Quarterly!C:C,Quarterly!B:B,"&gt;="&amp;A1383-88,Quarterly!B:B,"&lt;="&amp;A1383),SUMIFS(Quarterly!C:C,Quarterly!B:B,"&gt;="&amp;A1383-92,Quarterly!B:B,"&lt;="&amp;A1383)))</f>
        <v>6279.3</v>
      </c>
      <c r="K1383" s="13">
        <f t="shared" si="463"/>
        <v>6.5699999999999995E-2</v>
      </c>
      <c r="L1383">
        <f t="shared" si="465"/>
        <v>412.7</v>
      </c>
      <c r="M1383">
        <f>IF(A1383&gt;=Quarterly!B$2,Quarterly!D$2,IF(COUNTIFS(Quarterly!B:B,"&gt;="&amp;A1383-92,Quarterly!B:B,"&lt;="&amp;A1383)&gt;1,SUMIFS(Quarterly!D:D,Quarterly!B:B,"&gt;="&amp;A1383-88,Quarterly!B:B,"&lt;="&amp;A1383),SUMIFS(Quarterly!D:D,Quarterly!B:B,"&gt;="&amp;A1383-92,Quarterly!B:B,"&lt;="&amp;A1383)))</f>
        <v>298.12700000000001</v>
      </c>
      <c r="N1383" s="13">
        <f t="shared" si="466"/>
        <v>0.13843000000000003</v>
      </c>
      <c r="O1383">
        <f t="shared" si="454"/>
        <v>412.7</v>
      </c>
      <c r="P1383" s="56">
        <f>VLOOKUP(EOMONTH(A1383,-1),Economic!A:I,7,FALSE)</f>
        <v>512170</v>
      </c>
      <c r="Q1383" s="13">
        <f t="shared" si="455"/>
        <v>8.0599999999999991E-2</v>
      </c>
      <c r="R1383" s="41">
        <v>2</v>
      </c>
      <c r="S1383">
        <f t="shared" si="456"/>
        <v>0.89</v>
      </c>
      <c r="T1383" s="30">
        <f t="shared" si="457"/>
        <v>207.52</v>
      </c>
      <c r="U1383" s="30">
        <f t="shared" si="464"/>
        <v>210.74</v>
      </c>
    </row>
    <row r="1384" spans="1:21" ht="15" customHeight="1" x14ac:dyDescent="0.25">
      <c r="A1384" s="5">
        <v>33657</v>
      </c>
      <c r="B1384" s="5">
        <f t="shared" si="458"/>
        <v>33663</v>
      </c>
      <c r="C1384">
        <v>411.43</v>
      </c>
      <c r="D1384" s="29">
        <f t="shared" si="459"/>
        <v>-1.2999999999999999E-3</v>
      </c>
      <c r="E1384" s="39">
        <f t="shared" si="460"/>
        <v>403.4500000000001</v>
      </c>
      <c r="F1384" s="39">
        <f t="shared" si="461"/>
        <v>390.85000000000008</v>
      </c>
      <c r="G1384" s="29">
        <f t="shared" si="453"/>
        <v>1.9800000000000002E-2</v>
      </c>
      <c r="H1384" s="29">
        <f t="shared" si="453"/>
        <v>5.2699999999999997E-2</v>
      </c>
      <c r="I1384">
        <f t="shared" si="462"/>
        <v>411.43</v>
      </c>
      <c r="J1384">
        <f>IF(A1384&gt;=Quarterly!B$2,Quarterly!C$2,IF(COUNTIFS(Quarterly!B:B,"&gt;="&amp;A1384-92,Quarterly!B:B,"&lt;="&amp;A1384)&gt;1,SUMIFS(Quarterly!C:C,Quarterly!B:B,"&gt;="&amp;A1384-88,Quarterly!B:B,"&lt;="&amp;A1384),SUMIFS(Quarterly!C:C,Quarterly!B:B,"&gt;="&amp;A1384-92,Quarterly!B:B,"&lt;="&amp;A1384)))</f>
        <v>6279.3</v>
      </c>
      <c r="K1384" s="13">
        <f t="shared" si="463"/>
        <v>6.5500000000000003E-2</v>
      </c>
      <c r="L1384">
        <f t="shared" si="465"/>
        <v>411.43</v>
      </c>
      <c r="M1384">
        <f>IF(A1384&gt;=Quarterly!B$2,Quarterly!D$2,IF(COUNTIFS(Quarterly!B:B,"&gt;="&amp;A1384-92,Quarterly!B:B,"&lt;="&amp;A1384)&gt;1,SUMIFS(Quarterly!D:D,Quarterly!B:B,"&gt;="&amp;A1384-88,Quarterly!B:B,"&lt;="&amp;A1384),SUMIFS(Quarterly!D:D,Quarterly!B:B,"&gt;="&amp;A1384-92,Quarterly!B:B,"&lt;="&amp;A1384)))</f>
        <v>298.12700000000001</v>
      </c>
      <c r="N1384" s="13">
        <f t="shared" si="466"/>
        <v>0.13799999999999998</v>
      </c>
      <c r="O1384">
        <f t="shared" si="454"/>
        <v>411.43</v>
      </c>
      <c r="P1384" s="56"/>
      <c r="Q1384" s="13"/>
      <c r="R1384" s="41">
        <v>1.99</v>
      </c>
      <c r="S1384">
        <f t="shared" si="456"/>
        <v>0.81</v>
      </c>
      <c r="T1384" s="30">
        <f t="shared" si="457"/>
        <v>213.26</v>
      </c>
      <c r="U1384" s="30">
        <f t="shared" si="464"/>
        <v>212.5</v>
      </c>
    </row>
    <row r="1385" spans="1:21" ht="15" customHeight="1" x14ac:dyDescent="0.25">
      <c r="A1385" s="5">
        <v>33650</v>
      </c>
      <c r="B1385" s="5">
        <f t="shared" si="458"/>
        <v>33663</v>
      </c>
      <c r="C1385">
        <v>412.48</v>
      </c>
      <c r="D1385" s="29">
        <f t="shared" si="459"/>
        <v>-2.5999999999999999E-3</v>
      </c>
      <c r="E1385" s="39">
        <f t="shared" si="460"/>
        <v>400.7353846153847</v>
      </c>
      <c r="F1385" s="39">
        <f t="shared" si="461"/>
        <v>389.97974358974363</v>
      </c>
      <c r="G1385" s="29">
        <f t="shared" si="453"/>
        <v>2.93E-2</v>
      </c>
      <c r="H1385" s="29">
        <f t="shared" si="453"/>
        <v>5.7700000000000001E-2</v>
      </c>
      <c r="I1385">
        <f t="shared" si="462"/>
        <v>412.48</v>
      </c>
      <c r="J1385">
        <f>IF(A1385&gt;=Quarterly!B$2,Quarterly!C$2,IF(COUNTIFS(Quarterly!B:B,"&gt;="&amp;A1385-92,Quarterly!B:B,"&lt;="&amp;A1385)&gt;1,SUMIFS(Quarterly!C:C,Quarterly!B:B,"&gt;="&amp;A1385-88,Quarterly!B:B,"&lt;="&amp;A1385),SUMIFS(Quarterly!C:C,Quarterly!B:B,"&gt;="&amp;A1385-92,Quarterly!B:B,"&lt;="&amp;A1385)))</f>
        <v>6279.3</v>
      </c>
      <c r="K1385" s="13">
        <f t="shared" si="463"/>
        <v>6.5699999999999995E-2</v>
      </c>
      <c r="L1385">
        <f t="shared" si="465"/>
        <v>412.48</v>
      </c>
      <c r="M1385">
        <f>IF(A1385&gt;=Quarterly!B$2,Quarterly!D$2,IF(COUNTIFS(Quarterly!B:B,"&gt;="&amp;A1385-92,Quarterly!B:B,"&lt;="&amp;A1385)&gt;1,SUMIFS(Quarterly!D:D,Quarterly!B:B,"&gt;="&amp;A1385-88,Quarterly!B:B,"&lt;="&amp;A1385),SUMIFS(Quarterly!D:D,Quarterly!B:B,"&gt;="&amp;A1385-92,Quarterly!B:B,"&lt;="&amp;A1385)))</f>
        <v>298.12700000000001</v>
      </c>
      <c r="N1385" s="13">
        <f t="shared" si="466"/>
        <v>0.13836000000000001</v>
      </c>
      <c r="O1385">
        <f t="shared" si="454"/>
        <v>412.48</v>
      </c>
      <c r="P1385" s="56"/>
      <c r="Q1385" s="13"/>
      <c r="R1385" s="41">
        <v>2.14</v>
      </c>
      <c r="S1385">
        <f t="shared" si="456"/>
        <v>0.7</v>
      </c>
      <c r="T1385" s="30">
        <f t="shared" si="457"/>
        <v>211.44</v>
      </c>
      <c r="U1385" s="30">
        <f t="shared" si="464"/>
        <v>212.92</v>
      </c>
    </row>
    <row r="1386" spans="1:21" ht="15" customHeight="1" x14ac:dyDescent="0.25">
      <c r="A1386" s="5">
        <v>33643</v>
      </c>
      <c r="B1386" s="5">
        <f t="shared" si="458"/>
        <v>33663</v>
      </c>
      <c r="C1386">
        <v>411.09</v>
      </c>
      <c r="D1386" s="29">
        <f t="shared" si="459"/>
        <v>-8.3999999999999995E-3</v>
      </c>
      <c r="E1386" s="39">
        <f t="shared" si="460"/>
        <v>398.43846153846152</v>
      </c>
      <c r="F1386" s="39">
        <f t="shared" si="461"/>
        <v>388.9517948717949</v>
      </c>
      <c r="G1386" s="29">
        <f t="shared" si="453"/>
        <v>3.1800000000000002E-2</v>
      </c>
      <c r="H1386" s="29">
        <f t="shared" si="453"/>
        <v>5.6899999999999999E-2</v>
      </c>
      <c r="I1386">
        <f t="shared" si="462"/>
        <v>411.09</v>
      </c>
      <c r="J1386">
        <f>IF(A1386&gt;=Quarterly!B$2,Quarterly!C$2,IF(COUNTIFS(Quarterly!B:B,"&gt;="&amp;A1386-92,Quarterly!B:B,"&lt;="&amp;A1386)&gt;1,SUMIFS(Quarterly!C:C,Quarterly!B:B,"&gt;="&amp;A1386-88,Quarterly!B:B,"&lt;="&amp;A1386),SUMIFS(Quarterly!C:C,Quarterly!B:B,"&gt;="&amp;A1386-92,Quarterly!B:B,"&lt;="&amp;A1386)))</f>
        <v>6279.3</v>
      </c>
      <c r="K1386" s="13">
        <f t="shared" si="463"/>
        <v>6.5500000000000003E-2</v>
      </c>
      <c r="L1386">
        <f t="shared" si="465"/>
        <v>411.09</v>
      </c>
      <c r="M1386">
        <f>IF(A1386&gt;=Quarterly!B$2,Quarterly!D$2,IF(COUNTIFS(Quarterly!B:B,"&gt;="&amp;A1386-92,Quarterly!B:B,"&lt;="&amp;A1386)&gt;1,SUMIFS(Quarterly!D:D,Quarterly!B:B,"&gt;="&amp;A1386-88,Quarterly!B:B,"&lt;="&amp;A1386),SUMIFS(Quarterly!D:D,Quarterly!B:B,"&gt;="&amp;A1386-92,Quarterly!B:B,"&lt;="&amp;A1386)))</f>
        <v>298.12700000000001</v>
      </c>
      <c r="N1386" s="13">
        <f t="shared" si="466"/>
        <v>0.13789000000000001</v>
      </c>
      <c r="O1386">
        <f t="shared" si="454"/>
        <v>411.09</v>
      </c>
      <c r="P1386" s="56"/>
      <c r="Q1386" s="13"/>
      <c r="R1386" s="41">
        <v>2.23</v>
      </c>
      <c r="S1386">
        <f t="shared" si="456"/>
        <v>0.7</v>
      </c>
      <c r="T1386" s="30">
        <f t="shared" si="457"/>
        <v>212.79</v>
      </c>
      <c r="U1386" s="30">
        <f t="shared" si="464"/>
        <v>213.89</v>
      </c>
    </row>
    <row r="1387" spans="1:21" ht="15" customHeight="1" x14ac:dyDescent="0.25">
      <c r="A1387" s="5">
        <v>33636</v>
      </c>
      <c r="B1387" s="5">
        <f t="shared" si="458"/>
        <v>33663</v>
      </c>
      <c r="C1387">
        <v>408.78</v>
      </c>
      <c r="D1387" s="29">
        <f t="shared" si="459"/>
        <v>-2.0199999999999999E-2</v>
      </c>
      <c r="E1387" s="39">
        <f t="shared" si="460"/>
        <v>397.03846153846155</v>
      </c>
      <c r="F1387" s="39">
        <f t="shared" si="461"/>
        <v>388.04538461538465</v>
      </c>
      <c r="G1387" s="29">
        <f t="shared" si="453"/>
        <v>2.9600000000000001E-2</v>
      </c>
      <c r="H1387" s="29">
        <f t="shared" si="453"/>
        <v>5.3400000000000003E-2</v>
      </c>
      <c r="I1387">
        <f t="shared" si="462"/>
        <v>408.78</v>
      </c>
      <c r="J1387">
        <f>IF(A1387&gt;=Quarterly!B$2,Quarterly!C$2,IF(COUNTIFS(Quarterly!B:B,"&gt;="&amp;A1387-92,Quarterly!B:B,"&lt;="&amp;A1387)&gt;1,SUMIFS(Quarterly!C:C,Quarterly!B:B,"&gt;="&amp;A1387-88,Quarterly!B:B,"&lt;="&amp;A1387),SUMIFS(Quarterly!C:C,Quarterly!B:B,"&gt;="&amp;A1387-92,Quarterly!B:B,"&lt;="&amp;A1387)))</f>
        <v>6279.3</v>
      </c>
      <c r="K1387" s="13">
        <f t="shared" si="463"/>
        <v>6.5100000000000005E-2</v>
      </c>
      <c r="L1387">
        <f t="shared" si="465"/>
        <v>408.78</v>
      </c>
      <c r="M1387">
        <f>IF(A1387&gt;=Quarterly!B$2,Quarterly!D$2,IF(COUNTIFS(Quarterly!B:B,"&gt;="&amp;A1387-92,Quarterly!B:B,"&lt;="&amp;A1387)&gt;1,SUMIFS(Quarterly!D:D,Quarterly!B:B,"&gt;="&amp;A1387-88,Quarterly!B:B,"&lt;="&amp;A1387),SUMIFS(Quarterly!D:D,Quarterly!B:B,"&gt;="&amp;A1387-92,Quarterly!B:B,"&lt;="&amp;A1387)))</f>
        <v>298.12700000000001</v>
      </c>
      <c r="N1387" s="13">
        <f t="shared" si="466"/>
        <v>0.13711999999999999</v>
      </c>
      <c r="O1387">
        <f t="shared" si="454"/>
        <v>408.78</v>
      </c>
      <c r="P1387" s="56"/>
      <c r="Q1387" s="13"/>
      <c r="R1387" s="41">
        <v>2.2000000000000002</v>
      </c>
      <c r="S1387">
        <f t="shared" si="456"/>
        <v>0.73</v>
      </c>
      <c r="T1387" s="30">
        <f t="shared" si="457"/>
        <v>214.54</v>
      </c>
      <c r="U1387" s="30">
        <f t="shared" si="464"/>
        <v>214.63</v>
      </c>
    </row>
    <row r="1388" spans="1:21" ht="15" customHeight="1" x14ac:dyDescent="0.25">
      <c r="A1388" s="5">
        <v>33629</v>
      </c>
      <c r="B1388" s="5">
        <f t="shared" si="458"/>
        <v>33634</v>
      </c>
      <c r="C1388">
        <v>415.48</v>
      </c>
      <c r="D1388" s="29">
        <f t="shared" si="459"/>
        <v>1.2999999999999999E-3</v>
      </c>
      <c r="E1388" s="39">
        <f t="shared" si="460"/>
        <v>395.69538461538463</v>
      </c>
      <c r="F1388" s="39">
        <f t="shared" si="461"/>
        <v>387.32794871794869</v>
      </c>
      <c r="G1388" s="29">
        <f t="shared" si="453"/>
        <v>0.05</v>
      </c>
      <c r="H1388" s="29">
        <f t="shared" si="453"/>
        <v>7.2700000000000001E-2</v>
      </c>
      <c r="I1388">
        <f t="shared" si="462"/>
        <v>415.48</v>
      </c>
      <c r="J1388">
        <f>IF(A1388&gt;=Quarterly!B$2,Quarterly!C$2,IF(COUNTIFS(Quarterly!B:B,"&gt;="&amp;A1388-92,Quarterly!B:B,"&lt;="&amp;A1388)&gt;1,SUMIFS(Quarterly!C:C,Quarterly!B:B,"&gt;="&amp;A1388-88,Quarterly!B:B,"&lt;="&amp;A1388),SUMIFS(Quarterly!C:C,Quarterly!B:B,"&gt;="&amp;A1388-92,Quarterly!B:B,"&lt;="&amp;A1388)))</f>
        <v>6218.4</v>
      </c>
      <c r="K1388" s="13">
        <f t="shared" si="463"/>
        <v>6.6799999999999998E-2</v>
      </c>
      <c r="L1388">
        <f t="shared" si="465"/>
        <v>415.48</v>
      </c>
      <c r="M1388">
        <f>IF(A1388&gt;=Quarterly!B$2,Quarterly!D$2,IF(COUNTIFS(Quarterly!B:B,"&gt;="&amp;A1388-92,Quarterly!B:B,"&lt;="&amp;A1388)&gt;1,SUMIFS(Quarterly!D:D,Quarterly!B:B,"&gt;="&amp;A1388-88,Quarterly!B:B,"&lt;="&amp;A1388),SUMIFS(Quarterly!D:D,Quarterly!B:B,"&gt;="&amp;A1388-92,Quarterly!B:B,"&lt;="&amp;A1388)))</f>
        <v>294.29599999999999</v>
      </c>
      <c r="N1388" s="13">
        <f t="shared" si="466"/>
        <v>0.14118</v>
      </c>
      <c r="O1388">
        <f t="shared" si="454"/>
        <v>415.48</v>
      </c>
      <c r="P1388" s="56"/>
      <c r="Q1388" s="13"/>
      <c r="R1388" s="41">
        <v>2.12</v>
      </c>
      <c r="S1388">
        <f t="shared" si="456"/>
        <v>0.75</v>
      </c>
      <c r="T1388" s="30">
        <f t="shared" si="457"/>
        <v>214.35</v>
      </c>
      <c r="U1388" s="30">
        <f t="shared" si="464"/>
        <v>216.88</v>
      </c>
    </row>
    <row r="1389" spans="1:21" ht="15" customHeight="1" x14ac:dyDescent="0.25">
      <c r="A1389" s="5">
        <v>33622</v>
      </c>
      <c r="B1389" s="5">
        <f t="shared" si="458"/>
        <v>33634</v>
      </c>
      <c r="C1389">
        <v>418.86</v>
      </c>
      <c r="D1389" s="29">
        <f t="shared" si="459"/>
        <v>2.92E-2</v>
      </c>
      <c r="E1389" s="39">
        <f t="shared" si="460"/>
        <v>393.2892307692307</v>
      </c>
      <c r="F1389" s="39">
        <f t="shared" si="461"/>
        <v>386.39307692307693</v>
      </c>
      <c r="G1389" s="29">
        <f t="shared" si="453"/>
        <v>6.5000000000000002E-2</v>
      </c>
      <c r="H1389" s="29">
        <f t="shared" si="453"/>
        <v>8.4000000000000005E-2</v>
      </c>
      <c r="I1389">
        <f t="shared" si="462"/>
        <v>418.86</v>
      </c>
      <c r="J1389">
        <f>IF(A1389&gt;=Quarterly!B$2,Quarterly!C$2,IF(COUNTIFS(Quarterly!B:B,"&gt;="&amp;A1389-92,Quarterly!B:B,"&lt;="&amp;A1389)&gt;1,SUMIFS(Quarterly!C:C,Quarterly!B:B,"&gt;="&amp;A1389-88,Quarterly!B:B,"&lt;="&amp;A1389),SUMIFS(Quarterly!C:C,Quarterly!B:B,"&gt;="&amp;A1389-92,Quarterly!B:B,"&lt;="&amp;A1389)))</f>
        <v>6218.4</v>
      </c>
      <c r="K1389" s="13">
        <f t="shared" si="463"/>
        <v>6.7400000000000002E-2</v>
      </c>
      <c r="L1389">
        <f t="shared" si="465"/>
        <v>418.86</v>
      </c>
      <c r="M1389">
        <f>IF(A1389&gt;=Quarterly!B$2,Quarterly!D$2,IF(COUNTIFS(Quarterly!B:B,"&gt;="&amp;A1389-92,Quarterly!B:B,"&lt;="&amp;A1389)&gt;1,SUMIFS(Quarterly!D:D,Quarterly!B:B,"&gt;="&amp;A1389-88,Quarterly!B:B,"&lt;="&amp;A1389),SUMIFS(Quarterly!D:D,Quarterly!B:B,"&gt;="&amp;A1389-92,Quarterly!B:B,"&lt;="&amp;A1389)))</f>
        <v>294.29599999999999</v>
      </c>
      <c r="N1389" s="13">
        <f t="shared" si="466"/>
        <v>0.14233000000000001</v>
      </c>
      <c r="O1389">
        <f t="shared" si="454"/>
        <v>418.86</v>
      </c>
      <c r="P1389" s="56"/>
      <c r="Q1389" s="13"/>
      <c r="R1389" s="41">
        <v>2.0699999999999998</v>
      </c>
      <c r="S1389">
        <f t="shared" si="456"/>
        <v>0.72</v>
      </c>
      <c r="T1389" s="30">
        <f t="shared" si="457"/>
        <v>215.01</v>
      </c>
      <c r="U1389" s="30">
        <f t="shared" si="464"/>
        <v>220.02</v>
      </c>
    </row>
    <row r="1390" spans="1:21" ht="15" customHeight="1" x14ac:dyDescent="0.25">
      <c r="A1390" s="5">
        <v>33615</v>
      </c>
      <c r="B1390" s="5">
        <f t="shared" si="458"/>
        <v>33634</v>
      </c>
      <c r="C1390">
        <v>415.1</v>
      </c>
      <c r="D1390" s="29">
        <f t="shared" si="459"/>
        <v>3.95E-2</v>
      </c>
      <c r="E1390" s="39">
        <f t="shared" si="460"/>
        <v>391.26153846153841</v>
      </c>
      <c r="F1390" s="39">
        <f t="shared" si="461"/>
        <v>385.50435897435904</v>
      </c>
      <c r="G1390" s="29">
        <f t="shared" si="453"/>
        <v>6.0900000000000003E-2</v>
      </c>
      <c r="H1390" s="29">
        <f t="shared" si="453"/>
        <v>7.6799999999999993E-2</v>
      </c>
      <c r="I1390">
        <f t="shared" si="462"/>
        <v>415.1</v>
      </c>
      <c r="J1390">
        <f>IF(A1390&gt;=Quarterly!B$2,Quarterly!C$2,IF(COUNTIFS(Quarterly!B:B,"&gt;="&amp;A1390-92,Quarterly!B:B,"&lt;="&amp;A1390)&gt;1,SUMIFS(Quarterly!C:C,Quarterly!B:B,"&gt;="&amp;A1390-88,Quarterly!B:B,"&lt;="&amp;A1390),SUMIFS(Quarterly!C:C,Quarterly!B:B,"&gt;="&amp;A1390-92,Quarterly!B:B,"&lt;="&amp;A1390)))</f>
        <v>6218.4</v>
      </c>
      <c r="K1390" s="13">
        <f t="shared" si="463"/>
        <v>6.6799999999999998E-2</v>
      </c>
      <c r="L1390">
        <f t="shared" si="465"/>
        <v>415.1</v>
      </c>
      <c r="M1390">
        <f>IF(A1390&gt;=Quarterly!B$2,Quarterly!D$2,IF(COUNTIFS(Quarterly!B:B,"&gt;="&amp;A1390-92,Quarterly!B:B,"&lt;="&amp;A1390)&gt;1,SUMIFS(Quarterly!D:D,Quarterly!B:B,"&gt;="&amp;A1390-88,Quarterly!B:B,"&lt;="&amp;A1390),SUMIFS(Quarterly!D:D,Quarterly!B:B,"&gt;="&amp;A1390-92,Quarterly!B:B,"&lt;="&amp;A1390)))</f>
        <v>294.29599999999999</v>
      </c>
      <c r="N1390" s="13">
        <f t="shared" si="466"/>
        <v>0.14105000000000001</v>
      </c>
      <c r="O1390">
        <f t="shared" si="454"/>
        <v>415.1</v>
      </c>
      <c r="P1390" s="56"/>
      <c r="Q1390" s="13"/>
      <c r="R1390" s="41">
        <v>2</v>
      </c>
      <c r="S1390">
        <f t="shared" si="456"/>
        <v>0.88</v>
      </c>
      <c r="T1390" s="30">
        <f t="shared" si="457"/>
        <v>221.27</v>
      </c>
      <c r="U1390" s="30">
        <f t="shared" si="464"/>
        <v>222.69</v>
      </c>
    </row>
    <row r="1391" spans="1:21" ht="15" customHeight="1" x14ac:dyDescent="0.25">
      <c r="A1391" s="5">
        <v>33608</v>
      </c>
      <c r="B1391" s="5">
        <f t="shared" si="458"/>
        <v>33634</v>
      </c>
      <c r="C1391">
        <v>419.34</v>
      </c>
      <c r="D1391" s="29">
        <f t="shared" si="459"/>
        <v>7.7299999999999994E-2</v>
      </c>
      <c r="E1391" s="39">
        <f t="shared" si="460"/>
        <v>388.67307692307691</v>
      </c>
      <c r="F1391" s="39">
        <f t="shared" si="461"/>
        <v>384.61461538461543</v>
      </c>
      <c r="G1391" s="29">
        <f t="shared" si="453"/>
        <v>7.8899999999999998E-2</v>
      </c>
      <c r="H1391" s="29">
        <f t="shared" si="453"/>
        <v>9.0300000000000005E-2</v>
      </c>
      <c r="I1391">
        <f t="shared" si="462"/>
        <v>419.34</v>
      </c>
      <c r="J1391">
        <f>IF(A1391&gt;=Quarterly!B$2,Quarterly!C$2,IF(COUNTIFS(Quarterly!B:B,"&gt;="&amp;A1391-92,Quarterly!B:B,"&lt;="&amp;A1391)&gt;1,SUMIFS(Quarterly!C:C,Quarterly!B:B,"&gt;="&amp;A1391-88,Quarterly!B:B,"&lt;="&amp;A1391),SUMIFS(Quarterly!C:C,Quarterly!B:B,"&gt;="&amp;A1391-92,Quarterly!B:B,"&lt;="&amp;A1391)))</f>
        <v>6218.4</v>
      </c>
      <c r="K1391" s="13">
        <f t="shared" si="463"/>
        <v>6.7400000000000002E-2</v>
      </c>
      <c r="L1391">
        <f t="shared" si="465"/>
        <v>419.34</v>
      </c>
      <c r="M1391">
        <f>IF(A1391&gt;=Quarterly!B$2,Quarterly!D$2,IF(COUNTIFS(Quarterly!B:B,"&gt;="&amp;A1391-92,Quarterly!B:B,"&lt;="&amp;A1391)&gt;1,SUMIFS(Quarterly!D:D,Quarterly!B:B,"&gt;="&amp;A1391-88,Quarterly!B:B,"&lt;="&amp;A1391),SUMIFS(Quarterly!D:D,Quarterly!B:B,"&gt;="&amp;A1391-92,Quarterly!B:B,"&lt;="&amp;A1391)))</f>
        <v>294.29599999999999</v>
      </c>
      <c r="N1391" s="13">
        <f t="shared" si="466"/>
        <v>0.14249000000000001</v>
      </c>
      <c r="O1391">
        <f t="shared" si="454"/>
        <v>419.34</v>
      </c>
      <c r="P1391" s="56"/>
      <c r="Q1391" s="13"/>
      <c r="R1391" s="41">
        <v>2.0499999999999998</v>
      </c>
      <c r="S1391">
        <f t="shared" si="456"/>
        <v>0.89</v>
      </c>
      <c r="T1391" s="30">
        <f t="shared" si="457"/>
        <v>223.78</v>
      </c>
      <c r="U1391" s="30">
        <f t="shared" si="464"/>
        <v>222.64</v>
      </c>
    </row>
    <row r="1392" spans="1:21" ht="15" customHeight="1" x14ac:dyDescent="0.25">
      <c r="A1392" s="5">
        <v>33601</v>
      </c>
      <c r="B1392" s="5">
        <f t="shared" si="458"/>
        <v>33603</v>
      </c>
      <c r="C1392">
        <v>406.46</v>
      </c>
      <c r="D1392" s="29">
        <f t="shared" si="459"/>
        <v>6.5500000000000003E-2</v>
      </c>
      <c r="E1392" s="39">
        <f t="shared" si="460"/>
        <v>385.7430769230769</v>
      </c>
      <c r="F1392" s="39">
        <f t="shared" si="461"/>
        <v>383.48692307692306</v>
      </c>
      <c r="G1392" s="29">
        <f t="shared" si="453"/>
        <v>5.3699999999999998E-2</v>
      </c>
      <c r="H1392" s="29">
        <f t="shared" si="453"/>
        <v>5.9900000000000002E-2</v>
      </c>
      <c r="I1392">
        <f t="shared" si="462"/>
        <v>406.46</v>
      </c>
      <c r="J1392">
        <f>IF(A1392&gt;=Quarterly!B$2,Quarterly!C$2,IF(COUNTIFS(Quarterly!B:B,"&gt;="&amp;A1392-92,Quarterly!B:B,"&lt;="&amp;A1392)&gt;1,SUMIFS(Quarterly!C:C,Quarterly!B:B,"&gt;="&amp;A1392-88,Quarterly!B:B,"&lt;="&amp;A1392),SUMIFS(Quarterly!C:C,Quarterly!B:B,"&gt;="&amp;A1392-92,Quarterly!B:B,"&lt;="&amp;A1392)))</f>
        <v>6218.4</v>
      </c>
      <c r="K1392" s="13">
        <f t="shared" si="463"/>
        <v>6.54E-2</v>
      </c>
      <c r="L1392">
        <f t="shared" si="465"/>
        <v>406.46</v>
      </c>
      <c r="M1392">
        <f>IF(A1392&gt;=Quarterly!B$2,Quarterly!D$2,IF(COUNTIFS(Quarterly!B:B,"&gt;="&amp;A1392-92,Quarterly!B:B,"&lt;="&amp;A1392)&gt;1,SUMIFS(Quarterly!D:D,Quarterly!B:B,"&gt;="&amp;A1392-88,Quarterly!B:B,"&lt;="&amp;A1392),SUMIFS(Quarterly!D:D,Quarterly!B:B,"&gt;="&amp;A1392-92,Quarterly!B:B,"&lt;="&amp;A1392)))</f>
        <v>294.29599999999999</v>
      </c>
      <c r="N1392" s="13">
        <f t="shared" si="466"/>
        <v>0.13811000000000001</v>
      </c>
      <c r="O1392">
        <f t="shared" si="454"/>
        <v>406.46</v>
      </c>
      <c r="P1392" s="56"/>
      <c r="Q1392" s="13"/>
      <c r="R1392" s="41">
        <v>1.97</v>
      </c>
      <c r="S1392">
        <f t="shared" si="456"/>
        <v>0.83</v>
      </c>
      <c r="T1392" s="30">
        <f t="shared" si="457"/>
        <v>223.01</v>
      </c>
      <c r="U1392" s="30">
        <f t="shared" si="464"/>
        <v>223.03</v>
      </c>
    </row>
    <row r="1393" spans="1:21" ht="15" customHeight="1" x14ac:dyDescent="0.25">
      <c r="A1393" s="5">
        <v>33594</v>
      </c>
      <c r="B1393" s="5">
        <f t="shared" si="458"/>
        <v>33603</v>
      </c>
      <c r="C1393">
        <v>387.04</v>
      </c>
      <c r="D1393" s="29">
        <f t="shared" si="459"/>
        <v>2.1899999999999999E-2</v>
      </c>
      <c r="E1393" s="39">
        <f t="shared" si="460"/>
        <v>384.16153846153844</v>
      </c>
      <c r="F1393" s="39">
        <f t="shared" si="461"/>
        <v>382.68589743589746</v>
      </c>
      <c r="G1393" s="29">
        <f t="shared" si="453"/>
        <v>7.4999999999999997E-3</v>
      </c>
      <c r="H1393" s="29">
        <f t="shared" si="453"/>
        <v>1.14E-2</v>
      </c>
      <c r="I1393">
        <f t="shared" si="462"/>
        <v>387.04</v>
      </c>
      <c r="J1393">
        <f>IF(A1393&gt;=Quarterly!B$2,Quarterly!C$2,IF(COUNTIFS(Quarterly!B:B,"&gt;="&amp;A1393-92,Quarterly!B:B,"&lt;="&amp;A1393)&gt;1,SUMIFS(Quarterly!C:C,Quarterly!B:B,"&gt;="&amp;A1393-88,Quarterly!B:B,"&lt;="&amp;A1393),SUMIFS(Quarterly!C:C,Quarterly!B:B,"&gt;="&amp;A1393-92,Quarterly!B:B,"&lt;="&amp;A1393)))</f>
        <v>6218.4</v>
      </c>
      <c r="K1393" s="13">
        <f t="shared" si="463"/>
        <v>6.2199999999999998E-2</v>
      </c>
      <c r="L1393">
        <f t="shared" si="465"/>
        <v>387.04</v>
      </c>
      <c r="M1393">
        <f>IF(A1393&gt;=Quarterly!B$2,Quarterly!D$2,IF(COUNTIFS(Quarterly!B:B,"&gt;="&amp;A1393-92,Quarterly!B:B,"&lt;="&amp;A1393)&gt;1,SUMIFS(Quarterly!D:D,Quarterly!B:B,"&gt;="&amp;A1393-88,Quarterly!B:B,"&lt;="&amp;A1393),SUMIFS(Quarterly!D:D,Quarterly!B:B,"&gt;="&amp;A1393-92,Quarterly!B:B,"&lt;="&amp;A1393)))</f>
        <v>294.29599999999999</v>
      </c>
      <c r="N1393" s="13">
        <f t="shared" si="466"/>
        <v>0.13150999999999999</v>
      </c>
      <c r="O1393">
        <f t="shared" si="454"/>
        <v>387.04</v>
      </c>
      <c r="P1393" s="56"/>
      <c r="Q1393" s="13"/>
      <c r="R1393" s="41">
        <v>2.17</v>
      </c>
      <c r="S1393">
        <f t="shared" si="456"/>
        <v>0.77</v>
      </c>
      <c r="T1393" s="30">
        <f t="shared" si="457"/>
        <v>221.14</v>
      </c>
      <c r="U1393" s="30">
        <f t="shared" si="464"/>
        <v>222.88</v>
      </c>
    </row>
    <row r="1394" spans="1:21" ht="15" customHeight="1" x14ac:dyDescent="0.25">
      <c r="A1394" s="5">
        <v>33587</v>
      </c>
      <c r="B1394" s="5">
        <f t="shared" si="458"/>
        <v>33603</v>
      </c>
      <c r="C1394">
        <v>384.47</v>
      </c>
      <c r="D1394" s="29">
        <f t="shared" si="459"/>
        <v>1.6400000000000001E-2</v>
      </c>
      <c r="E1394" s="39">
        <f t="shared" si="460"/>
        <v>384.22923076923075</v>
      </c>
      <c r="F1394" s="39">
        <f t="shared" si="461"/>
        <v>382.18435897435899</v>
      </c>
      <c r="G1394" s="29">
        <f t="shared" si="453"/>
        <v>5.9999999999999995E-4</v>
      </c>
      <c r="H1394" s="29">
        <f t="shared" si="453"/>
        <v>6.0000000000000001E-3</v>
      </c>
      <c r="I1394">
        <f t="shared" si="462"/>
        <v>384.47</v>
      </c>
      <c r="J1394">
        <f>IF(A1394&gt;=Quarterly!B$2,Quarterly!C$2,IF(COUNTIFS(Quarterly!B:B,"&gt;="&amp;A1394-92,Quarterly!B:B,"&lt;="&amp;A1394)&gt;1,SUMIFS(Quarterly!C:C,Quarterly!B:B,"&gt;="&amp;A1394-88,Quarterly!B:B,"&lt;="&amp;A1394),SUMIFS(Quarterly!C:C,Quarterly!B:B,"&gt;="&amp;A1394-92,Quarterly!B:B,"&lt;="&amp;A1394)))</f>
        <v>6218.4</v>
      </c>
      <c r="K1394" s="13">
        <f t="shared" si="463"/>
        <v>6.1800000000000001E-2</v>
      </c>
      <c r="L1394">
        <f t="shared" si="465"/>
        <v>384.47</v>
      </c>
      <c r="M1394">
        <f>IF(A1394&gt;=Quarterly!B$2,Quarterly!D$2,IF(COUNTIFS(Quarterly!B:B,"&gt;="&amp;A1394-92,Quarterly!B:B,"&lt;="&amp;A1394)&gt;1,SUMIFS(Quarterly!D:D,Quarterly!B:B,"&gt;="&amp;A1394-88,Quarterly!B:B,"&lt;="&amp;A1394),SUMIFS(Quarterly!D:D,Quarterly!B:B,"&gt;="&amp;A1394-92,Quarterly!B:B,"&lt;="&amp;A1394)))</f>
        <v>294.29599999999999</v>
      </c>
      <c r="N1394" s="13">
        <f t="shared" si="466"/>
        <v>0.13064000000000001</v>
      </c>
      <c r="O1394">
        <f t="shared" si="454"/>
        <v>384.47</v>
      </c>
      <c r="P1394" s="56"/>
      <c r="Q1394" s="13"/>
      <c r="R1394" s="41">
        <v>2.13</v>
      </c>
      <c r="S1394">
        <f t="shared" si="456"/>
        <v>0.9</v>
      </c>
      <c r="T1394" s="30">
        <f t="shared" si="457"/>
        <v>224.94</v>
      </c>
      <c r="U1394" s="30">
        <f t="shared" si="464"/>
        <v>222.72</v>
      </c>
    </row>
    <row r="1395" spans="1:21" ht="15" customHeight="1" x14ac:dyDescent="0.25">
      <c r="A1395" s="5">
        <v>33580</v>
      </c>
      <c r="B1395" s="5">
        <f t="shared" si="458"/>
        <v>33603</v>
      </c>
      <c r="C1395">
        <v>379.1</v>
      </c>
      <c r="D1395" s="29">
        <f t="shared" si="459"/>
        <v>-6.8999999999999999E-3</v>
      </c>
      <c r="E1395" s="39">
        <f t="shared" si="460"/>
        <v>384.16153846153844</v>
      </c>
      <c r="F1395" s="39">
        <f t="shared" si="461"/>
        <v>381.90538461538466</v>
      </c>
      <c r="G1395" s="29">
        <f t="shared" si="453"/>
        <v>-1.32E-2</v>
      </c>
      <c r="H1395" s="29">
        <f t="shared" si="453"/>
        <v>-7.3000000000000001E-3</v>
      </c>
      <c r="I1395">
        <f t="shared" si="462"/>
        <v>379.1</v>
      </c>
      <c r="J1395">
        <f>IF(A1395&gt;=Quarterly!B$2,Quarterly!C$2,IF(COUNTIFS(Quarterly!B:B,"&gt;="&amp;A1395-92,Quarterly!B:B,"&lt;="&amp;A1395)&gt;1,SUMIFS(Quarterly!C:C,Quarterly!B:B,"&gt;="&amp;A1395-88,Quarterly!B:B,"&lt;="&amp;A1395),SUMIFS(Quarterly!C:C,Quarterly!B:B,"&gt;="&amp;A1395-92,Quarterly!B:B,"&lt;="&amp;A1395)))</f>
        <v>6218.4</v>
      </c>
      <c r="K1395" s="13">
        <f t="shared" si="463"/>
        <v>6.0999999999999999E-2</v>
      </c>
      <c r="L1395">
        <f t="shared" si="465"/>
        <v>379.1</v>
      </c>
      <c r="M1395">
        <f>IF(A1395&gt;=Quarterly!B$2,Quarterly!D$2,IF(COUNTIFS(Quarterly!B:B,"&gt;="&amp;A1395-92,Quarterly!B:B,"&lt;="&amp;A1395)&gt;1,SUMIFS(Quarterly!D:D,Quarterly!B:B,"&gt;="&amp;A1395-88,Quarterly!B:B,"&lt;="&amp;A1395),SUMIFS(Quarterly!D:D,Quarterly!B:B,"&gt;="&amp;A1395-92,Quarterly!B:B,"&lt;="&amp;A1395)))</f>
        <v>294.29599999999999</v>
      </c>
      <c r="N1395" s="13">
        <f t="shared" si="466"/>
        <v>0.12882000000000002</v>
      </c>
      <c r="O1395">
        <f t="shared" si="454"/>
        <v>379.1</v>
      </c>
      <c r="P1395" s="56"/>
      <c r="Q1395" s="13"/>
      <c r="R1395" s="41">
        <v>2.0699999999999998</v>
      </c>
      <c r="S1395">
        <f t="shared" si="456"/>
        <v>0.84</v>
      </c>
      <c r="T1395" s="30">
        <f t="shared" si="457"/>
        <v>222.55</v>
      </c>
      <c r="U1395" s="30">
        <f t="shared" si="464"/>
        <v>221.64</v>
      </c>
    </row>
    <row r="1396" spans="1:21" ht="15" customHeight="1" x14ac:dyDescent="0.25">
      <c r="A1396" s="5">
        <v>33573</v>
      </c>
      <c r="B1396" s="5">
        <f t="shared" si="458"/>
        <v>33603</v>
      </c>
      <c r="C1396">
        <v>375.22</v>
      </c>
      <c r="D1396" s="29">
        <f t="shared" si="459"/>
        <v>-2.7300000000000001E-2</v>
      </c>
      <c r="E1396" s="39">
        <f t="shared" si="460"/>
        <v>384.93076923076927</v>
      </c>
      <c r="F1396" s="39">
        <f t="shared" si="461"/>
        <v>381.79897435897442</v>
      </c>
      <c r="G1396" s="29">
        <f t="shared" si="453"/>
        <v>-2.52E-2</v>
      </c>
      <c r="H1396" s="29">
        <f t="shared" si="453"/>
        <v>-1.72E-2</v>
      </c>
      <c r="I1396">
        <f t="shared" si="462"/>
        <v>375.22</v>
      </c>
      <c r="J1396">
        <f>IF(A1396&gt;=Quarterly!B$2,Quarterly!C$2,IF(COUNTIFS(Quarterly!B:B,"&gt;="&amp;A1396-92,Quarterly!B:B,"&lt;="&amp;A1396)&gt;1,SUMIFS(Quarterly!C:C,Quarterly!B:B,"&gt;="&amp;A1396-88,Quarterly!B:B,"&lt;="&amp;A1396),SUMIFS(Quarterly!C:C,Quarterly!B:B,"&gt;="&amp;A1396-92,Quarterly!B:B,"&lt;="&amp;A1396)))</f>
        <v>6218.4</v>
      </c>
      <c r="K1396" s="13">
        <f t="shared" si="463"/>
        <v>6.0299999999999999E-2</v>
      </c>
      <c r="L1396">
        <f t="shared" si="465"/>
        <v>375.22</v>
      </c>
      <c r="M1396">
        <f>IF(A1396&gt;=Quarterly!B$2,Quarterly!D$2,IF(COUNTIFS(Quarterly!B:B,"&gt;="&amp;A1396-92,Quarterly!B:B,"&lt;="&amp;A1396)&gt;1,SUMIFS(Quarterly!D:D,Quarterly!B:B,"&gt;="&amp;A1396-88,Quarterly!B:B,"&lt;="&amp;A1396),SUMIFS(Quarterly!D:D,Quarterly!B:B,"&gt;="&amp;A1396-92,Quarterly!B:B,"&lt;="&amp;A1396)))</f>
        <v>294.29599999999999</v>
      </c>
      <c r="N1396" s="13">
        <f t="shared" si="466"/>
        <v>0.1275</v>
      </c>
      <c r="O1396">
        <f t="shared" si="454"/>
        <v>375.22</v>
      </c>
      <c r="P1396" s="56"/>
      <c r="Q1396" s="13"/>
      <c r="R1396" s="41">
        <v>2</v>
      </c>
      <c r="S1396">
        <f t="shared" si="456"/>
        <v>0.8</v>
      </c>
      <c r="T1396" s="30">
        <f t="shared" si="457"/>
        <v>220.66</v>
      </c>
      <c r="U1396" s="30">
        <f t="shared" si="464"/>
        <v>220.84</v>
      </c>
    </row>
    <row r="1397" spans="1:21" ht="15" customHeight="1" x14ac:dyDescent="0.25">
      <c r="A1397" s="5">
        <v>33566</v>
      </c>
      <c r="B1397" s="5">
        <f t="shared" si="458"/>
        <v>33572</v>
      </c>
      <c r="C1397">
        <v>376.14</v>
      </c>
      <c r="D1397" s="29">
        <f t="shared" si="459"/>
        <v>-0.03</v>
      </c>
      <c r="E1397" s="39">
        <f t="shared" si="460"/>
        <v>386.48538461538465</v>
      </c>
      <c r="F1397" s="39">
        <f t="shared" si="461"/>
        <v>381.67717948717956</v>
      </c>
      <c r="G1397" s="29">
        <f t="shared" si="453"/>
        <v>-2.6800000000000001E-2</v>
      </c>
      <c r="H1397" s="29">
        <f t="shared" si="453"/>
        <v>-1.4500000000000001E-2</v>
      </c>
      <c r="I1397">
        <f t="shared" si="462"/>
        <v>376.14</v>
      </c>
      <c r="J1397">
        <f>IF(A1397&gt;=Quarterly!B$2,Quarterly!C$2,IF(COUNTIFS(Quarterly!B:B,"&gt;="&amp;A1397-92,Quarterly!B:B,"&lt;="&amp;A1397)&gt;1,SUMIFS(Quarterly!C:C,Quarterly!B:B,"&gt;="&amp;A1397-88,Quarterly!B:B,"&lt;="&amp;A1397),SUMIFS(Quarterly!C:C,Quarterly!B:B,"&gt;="&amp;A1397-92,Quarterly!B:B,"&lt;="&amp;A1397)))</f>
        <v>6218.4</v>
      </c>
      <c r="K1397" s="13">
        <f t="shared" si="463"/>
        <v>6.0499999999999998E-2</v>
      </c>
      <c r="L1397">
        <f t="shared" si="465"/>
        <v>376.14</v>
      </c>
      <c r="M1397">
        <f>IF(A1397&gt;=Quarterly!B$2,Quarterly!D$2,IF(COUNTIFS(Quarterly!B:B,"&gt;="&amp;A1397-92,Quarterly!B:B,"&lt;="&amp;A1397)&gt;1,SUMIFS(Quarterly!D:D,Quarterly!B:B,"&gt;="&amp;A1397-88,Quarterly!B:B,"&lt;="&amp;A1397),SUMIFS(Quarterly!D:D,Quarterly!B:B,"&gt;="&amp;A1397-92,Quarterly!B:B,"&lt;="&amp;A1397)))</f>
        <v>294.29599999999999</v>
      </c>
      <c r="N1397" s="13">
        <f t="shared" si="466"/>
        <v>0.12781000000000001</v>
      </c>
      <c r="O1397">
        <f t="shared" si="454"/>
        <v>376.14</v>
      </c>
      <c r="P1397" s="56"/>
      <c r="Q1397" s="13"/>
      <c r="R1397" s="41">
        <v>1.95</v>
      </c>
      <c r="S1397">
        <f t="shared" si="456"/>
        <v>0.87</v>
      </c>
      <c r="T1397" s="30">
        <f t="shared" si="457"/>
        <v>221.7</v>
      </c>
      <c r="U1397" s="30">
        <f t="shared" si="464"/>
        <v>219.98</v>
      </c>
    </row>
    <row r="1398" spans="1:21" ht="15" customHeight="1" x14ac:dyDescent="0.25">
      <c r="A1398" s="5">
        <v>33559</v>
      </c>
      <c r="B1398" s="5">
        <f t="shared" si="458"/>
        <v>33572</v>
      </c>
      <c r="C1398">
        <v>382.62</v>
      </c>
      <c r="D1398" s="29">
        <f t="shared" si="459"/>
        <v>-1.95E-2</v>
      </c>
      <c r="E1398" s="39">
        <f t="shared" si="460"/>
        <v>387.8723076923078</v>
      </c>
      <c r="F1398" s="39">
        <f t="shared" si="461"/>
        <v>381.40820512820511</v>
      </c>
      <c r="G1398" s="29">
        <f t="shared" si="453"/>
        <v>-1.35E-2</v>
      </c>
      <c r="H1398" s="29">
        <f t="shared" si="453"/>
        <v>3.2000000000000002E-3</v>
      </c>
      <c r="I1398">
        <f t="shared" si="462"/>
        <v>382.62</v>
      </c>
      <c r="J1398">
        <f>IF(A1398&gt;=Quarterly!B$2,Quarterly!C$2,IF(COUNTIFS(Quarterly!B:B,"&gt;="&amp;A1398-92,Quarterly!B:B,"&lt;="&amp;A1398)&gt;1,SUMIFS(Quarterly!C:C,Quarterly!B:B,"&gt;="&amp;A1398-88,Quarterly!B:B,"&lt;="&amp;A1398),SUMIFS(Quarterly!C:C,Quarterly!B:B,"&gt;="&amp;A1398-92,Quarterly!B:B,"&lt;="&amp;A1398)))</f>
        <v>6218.4</v>
      </c>
      <c r="K1398" s="13">
        <f t="shared" si="463"/>
        <v>6.1499999999999999E-2</v>
      </c>
      <c r="L1398">
        <f t="shared" si="465"/>
        <v>382.62</v>
      </c>
      <c r="M1398">
        <f>IF(A1398&gt;=Quarterly!B$2,Quarterly!D$2,IF(COUNTIFS(Quarterly!B:B,"&gt;="&amp;A1398-92,Quarterly!B:B,"&lt;="&amp;A1398)&gt;1,SUMIFS(Quarterly!D:D,Quarterly!B:B,"&gt;="&amp;A1398-88,Quarterly!B:B,"&lt;="&amp;A1398),SUMIFS(Quarterly!D:D,Quarterly!B:B,"&gt;="&amp;A1398-92,Quarterly!B:B,"&lt;="&amp;A1398)))</f>
        <v>294.29599999999999</v>
      </c>
      <c r="N1398" s="13">
        <f t="shared" si="466"/>
        <v>0.13001000000000001</v>
      </c>
      <c r="O1398">
        <f t="shared" si="454"/>
        <v>382.62</v>
      </c>
      <c r="P1398" s="56"/>
      <c r="Q1398" s="13"/>
      <c r="R1398" s="41">
        <v>1.79</v>
      </c>
      <c r="S1398">
        <f t="shared" si="456"/>
        <v>0.84</v>
      </c>
      <c r="T1398" s="30">
        <f t="shared" si="457"/>
        <v>220.16</v>
      </c>
      <c r="U1398" s="30">
        <f t="shared" si="464"/>
        <v>219.05</v>
      </c>
    </row>
    <row r="1399" spans="1:21" ht="15" customHeight="1" x14ac:dyDescent="0.25">
      <c r="A1399" s="5">
        <v>33552</v>
      </c>
      <c r="B1399" s="5">
        <f t="shared" si="458"/>
        <v>33572</v>
      </c>
      <c r="C1399">
        <v>392.89</v>
      </c>
      <c r="D1399" s="29">
        <f t="shared" si="459"/>
        <v>1.43E-2</v>
      </c>
      <c r="E1399" s="39">
        <f t="shared" si="460"/>
        <v>388.1</v>
      </c>
      <c r="F1399" s="39">
        <f t="shared" si="461"/>
        <v>381.06051282051277</v>
      </c>
      <c r="G1399" s="29">
        <f t="shared" si="453"/>
        <v>1.23E-2</v>
      </c>
      <c r="H1399" s="29">
        <f t="shared" si="453"/>
        <v>3.1E-2</v>
      </c>
      <c r="I1399">
        <f t="shared" si="462"/>
        <v>392.89</v>
      </c>
      <c r="J1399">
        <f>IF(A1399&gt;=Quarterly!B$2,Quarterly!C$2,IF(COUNTIFS(Quarterly!B:B,"&gt;="&amp;A1399-92,Quarterly!B:B,"&lt;="&amp;A1399)&gt;1,SUMIFS(Quarterly!C:C,Quarterly!B:B,"&gt;="&amp;A1399-88,Quarterly!B:B,"&lt;="&amp;A1399),SUMIFS(Quarterly!C:C,Quarterly!B:B,"&gt;="&amp;A1399-92,Quarterly!B:B,"&lt;="&amp;A1399)))</f>
        <v>6218.4</v>
      </c>
      <c r="K1399" s="13">
        <f t="shared" si="463"/>
        <v>6.3200000000000006E-2</v>
      </c>
      <c r="L1399">
        <f t="shared" si="465"/>
        <v>392.89</v>
      </c>
      <c r="M1399">
        <f>IF(A1399&gt;=Quarterly!B$2,Quarterly!D$2,IF(COUNTIFS(Quarterly!B:B,"&gt;="&amp;A1399-92,Quarterly!B:B,"&lt;="&amp;A1399)&gt;1,SUMIFS(Quarterly!D:D,Quarterly!B:B,"&gt;="&amp;A1399-88,Quarterly!B:B,"&lt;="&amp;A1399),SUMIFS(Quarterly!D:D,Quarterly!B:B,"&gt;="&amp;A1399-92,Quarterly!B:B,"&lt;="&amp;A1399)))</f>
        <v>294.29599999999999</v>
      </c>
      <c r="N1399" s="13">
        <f t="shared" si="466"/>
        <v>0.13350000000000001</v>
      </c>
      <c r="O1399">
        <f t="shared" si="454"/>
        <v>392.89</v>
      </c>
      <c r="P1399" s="56"/>
      <c r="Q1399" s="13"/>
      <c r="R1399" s="41">
        <v>1.78</v>
      </c>
      <c r="S1399">
        <f t="shared" si="456"/>
        <v>0.77</v>
      </c>
      <c r="T1399" s="30">
        <f t="shared" si="457"/>
        <v>218.09</v>
      </c>
      <c r="U1399" s="30">
        <f t="shared" si="464"/>
        <v>217.06</v>
      </c>
    </row>
    <row r="1400" spans="1:21" ht="15" customHeight="1" x14ac:dyDescent="0.25">
      <c r="A1400" s="5">
        <v>33545</v>
      </c>
      <c r="B1400" s="5">
        <f t="shared" si="458"/>
        <v>33572</v>
      </c>
      <c r="C1400">
        <v>391.32</v>
      </c>
      <c r="D1400" s="29">
        <f t="shared" si="459"/>
        <v>1.6799999999999999E-2</v>
      </c>
      <c r="E1400" s="39">
        <f t="shared" si="460"/>
        <v>387.65615384615381</v>
      </c>
      <c r="F1400" s="39">
        <f t="shared" si="461"/>
        <v>380.20051282051276</v>
      </c>
      <c r="G1400" s="29">
        <f t="shared" si="453"/>
        <v>9.4999999999999998E-3</v>
      </c>
      <c r="H1400" s="29">
        <f t="shared" si="453"/>
        <v>2.92E-2</v>
      </c>
      <c r="I1400">
        <f t="shared" si="462"/>
        <v>391.32</v>
      </c>
      <c r="J1400">
        <f>IF(A1400&gt;=Quarterly!B$2,Quarterly!C$2,IF(COUNTIFS(Quarterly!B:B,"&gt;="&amp;A1400-92,Quarterly!B:B,"&lt;="&amp;A1400)&gt;1,SUMIFS(Quarterly!C:C,Quarterly!B:B,"&gt;="&amp;A1400-88,Quarterly!B:B,"&lt;="&amp;A1400),SUMIFS(Quarterly!C:C,Quarterly!B:B,"&gt;="&amp;A1400-92,Quarterly!B:B,"&lt;="&amp;A1400)))</f>
        <v>6218.4</v>
      </c>
      <c r="K1400" s="13">
        <f t="shared" si="463"/>
        <v>6.2899999999999998E-2</v>
      </c>
      <c r="L1400">
        <f t="shared" si="465"/>
        <v>391.32</v>
      </c>
      <c r="M1400">
        <f>IF(A1400&gt;=Quarterly!B$2,Quarterly!D$2,IF(COUNTIFS(Quarterly!B:B,"&gt;="&amp;A1400-92,Quarterly!B:B,"&lt;="&amp;A1400)&gt;1,SUMIFS(Quarterly!D:D,Quarterly!B:B,"&gt;="&amp;A1400-88,Quarterly!B:B,"&lt;="&amp;A1400),SUMIFS(Quarterly!D:D,Quarterly!B:B,"&gt;="&amp;A1400-92,Quarterly!B:B,"&lt;="&amp;A1400)))</f>
        <v>294.29599999999999</v>
      </c>
      <c r="N1400" s="13">
        <f t="shared" si="466"/>
        <v>0.13297</v>
      </c>
      <c r="O1400">
        <f t="shared" si="454"/>
        <v>391.32</v>
      </c>
      <c r="P1400" s="56"/>
      <c r="Q1400" s="13"/>
      <c r="R1400" s="41">
        <v>1.83</v>
      </c>
      <c r="S1400">
        <f t="shared" si="456"/>
        <v>0.79</v>
      </c>
      <c r="T1400" s="30">
        <f t="shared" si="457"/>
        <v>218.91</v>
      </c>
      <c r="U1400" s="30">
        <f t="shared" si="464"/>
        <v>215.39</v>
      </c>
    </row>
    <row r="1401" spans="1:21" ht="15" customHeight="1" x14ac:dyDescent="0.25">
      <c r="A1401" s="5">
        <v>33538</v>
      </c>
      <c r="B1401" s="5">
        <f t="shared" si="458"/>
        <v>33542</v>
      </c>
      <c r="C1401">
        <v>384.2</v>
      </c>
      <c r="D1401" s="29">
        <f t="shared" si="459"/>
        <v>-2.8E-3</v>
      </c>
      <c r="E1401" s="39">
        <f t="shared" si="460"/>
        <v>387.33769230769235</v>
      </c>
      <c r="F1401" s="39">
        <f t="shared" si="461"/>
        <v>378.96282051282049</v>
      </c>
      <c r="G1401" s="29">
        <f t="shared" si="453"/>
        <v>-8.0999999999999996E-3</v>
      </c>
      <c r="H1401" s="29">
        <f t="shared" si="453"/>
        <v>1.38E-2</v>
      </c>
      <c r="I1401">
        <f t="shared" si="462"/>
        <v>384.2</v>
      </c>
      <c r="J1401">
        <f>IF(A1401&gt;=Quarterly!B$2,Quarterly!C$2,IF(COUNTIFS(Quarterly!B:B,"&gt;="&amp;A1401-92,Quarterly!B:B,"&lt;="&amp;A1401)&gt;1,SUMIFS(Quarterly!C:C,Quarterly!B:B,"&gt;="&amp;A1401-88,Quarterly!B:B,"&lt;="&amp;A1401),SUMIFS(Quarterly!C:C,Quarterly!B:B,"&gt;="&amp;A1401-92,Quarterly!B:B,"&lt;="&amp;A1401)))</f>
        <v>6143.6</v>
      </c>
      <c r="K1401" s="13">
        <f t="shared" si="463"/>
        <v>6.25E-2</v>
      </c>
      <c r="L1401">
        <f t="shared" si="465"/>
        <v>384.2</v>
      </c>
      <c r="M1401">
        <f>IF(A1401&gt;=Quarterly!B$2,Quarterly!D$2,IF(COUNTIFS(Quarterly!B:B,"&gt;="&amp;A1401-92,Quarterly!B:B,"&lt;="&amp;A1401)&gt;1,SUMIFS(Quarterly!D:D,Quarterly!B:B,"&gt;="&amp;A1401-88,Quarterly!B:B,"&lt;="&amp;A1401),SUMIFS(Quarterly!D:D,Quarterly!B:B,"&gt;="&amp;A1401-92,Quarterly!B:B,"&lt;="&amp;A1401)))</f>
        <v>288.67</v>
      </c>
      <c r="N1401" s="13">
        <f t="shared" si="466"/>
        <v>0.13309000000000001</v>
      </c>
      <c r="O1401">
        <f t="shared" si="454"/>
        <v>384.2</v>
      </c>
      <c r="P1401" s="56"/>
      <c r="Q1401" s="13"/>
      <c r="R1401" s="41">
        <v>1.75</v>
      </c>
      <c r="S1401">
        <f t="shared" si="456"/>
        <v>0.73</v>
      </c>
      <c r="T1401" s="30">
        <f t="shared" si="457"/>
        <v>214.18</v>
      </c>
      <c r="U1401" s="30">
        <f t="shared" si="464"/>
        <v>213.74</v>
      </c>
    </row>
    <row r="1402" spans="1:21" ht="15" customHeight="1" x14ac:dyDescent="0.25">
      <c r="A1402" s="5">
        <v>33531</v>
      </c>
      <c r="B1402" s="5">
        <f t="shared" si="458"/>
        <v>33542</v>
      </c>
      <c r="C1402">
        <v>392.5</v>
      </c>
      <c r="D1402" s="29">
        <f t="shared" si="459"/>
        <v>2.18E-2</v>
      </c>
      <c r="E1402" s="39">
        <f t="shared" si="460"/>
        <v>387.08615384615393</v>
      </c>
      <c r="F1402" s="39">
        <f t="shared" si="461"/>
        <v>377.72871794871793</v>
      </c>
      <c r="G1402" s="29">
        <f t="shared" si="453"/>
        <v>1.4E-2</v>
      </c>
      <c r="H1402" s="29">
        <f t="shared" si="453"/>
        <v>3.9100000000000003E-2</v>
      </c>
      <c r="I1402">
        <f t="shared" si="462"/>
        <v>392.5</v>
      </c>
      <c r="J1402">
        <f>IF(A1402&gt;=Quarterly!B$2,Quarterly!C$2,IF(COUNTIFS(Quarterly!B:B,"&gt;="&amp;A1402-92,Quarterly!B:B,"&lt;="&amp;A1402)&gt;1,SUMIFS(Quarterly!C:C,Quarterly!B:B,"&gt;="&amp;A1402-88,Quarterly!B:B,"&lt;="&amp;A1402),SUMIFS(Quarterly!C:C,Quarterly!B:B,"&gt;="&amp;A1402-92,Quarterly!B:B,"&lt;="&amp;A1402)))</f>
        <v>6143.6</v>
      </c>
      <c r="K1402" s="13">
        <f t="shared" si="463"/>
        <v>6.3899999999999998E-2</v>
      </c>
      <c r="L1402">
        <f t="shared" si="465"/>
        <v>392.5</v>
      </c>
      <c r="M1402">
        <f>IF(A1402&gt;=Quarterly!B$2,Quarterly!D$2,IF(COUNTIFS(Quarterly!B:B,"&gt;="&amp;A1402-92,Quarterly!B:B,"&lt;="&amp;A1402)&gt;1,SUMIFS(Quarterly!D:D,Quarterly!B:B,"&gt;="&amp;A1402-88,Quarterly!B:B,"&lt;="&amp;A1402),SUMIFS(Quarterly!D:D,Quarterly!B:B,"&gt;="&amp;A1402-92,Quarterly!B:B,"&lt;="&amp;A1402)))</f>
        <v>288.67</v>
      </c>
      <c r="N1402" s="13">
        <f t="shared" si="466"/>
        <v>0.13597000000000001</v>
      </c>
      <c r="O1402">
        <f t="shared" si="454"/>
        <v>392.5</v>
      </c>
      <c r="P1402" s="56"/>
      <c r="Q1402" s="13"/>
      <c r="R1402" s="41">
        <v>1.58</v>
      </c>
      <c r="S1402">
        <f t="shared" si="456"/>
        <v>0.69</v>
      </c>
      <c r="T1402" s="30">
        <f t="shared" si="457"/>
        <v>213.07</v>
      </c>
      <c r="U1402" s="30">
        <f t="shared" si="464"/>
        <v>212.59</v>
      </c>
    </row>
    <row r="1403" spans="1:21" ht="15" customHeight="1" x14ac:dyDescent="0.25">
      <c r="A1403" s="5">
        <v>33524</v>
      </c>
      <c r="B1403" s="5">
        <f t="shared" si="458"/>
        <v>33542</v>
      </c>
      <c r="C1403">
        <v>381.45</v>
      </c>
      <c r="D1403" s="29">
        <f t="shared" si="459"/>
        <v>-8.3999999999999995E-3</v>
      </c>
      <c r="E1403" s="39">
        <f t="shared" si="460"/>
        <v>386.44923076923078</v>
      </c>
      <c r="F1403" s="39">
        <f t="shared" si="461"/>
        <v>376.18333333333328</v>
      </c>
      <c r="G1403" s="29">
        <f t="shared" si="453"/>
        <v>-1.29E-2</v>
      </c>
      <c r="H1403" s="29">
        <f t="shared" si="453"/>
        <v>1.4E-2</v>
      </c>
      <c r="I1403">
        <f t="shared" si="462"/>
        <v>381.45</v>
      </c>
      <c r="J1403">
        <f>IF(A1403&gt;=Quarterly!B$2,Quarterly!C$2,IF(COUNTIFS(Quarterly!B:B,"&gt;="&amp;A1403-92,Quarterly!B:B,"&lt;="&amp;A1403)&gt;1,SUMIFS(Quarterly!C:C,Quarterly!B:B,"&gt;="&amp;A1403-88,Quarterly!B:B,"&lt;="&amp;A1403),SUMIFS(Quarterly!C:C,Quarterly!B:B,"&gt;="&amp;A1403-92,Quarterly!B:B,"&lt;="&amp;A1403)))</f>
        <v>6143.6</v>
      </c>
      <c r="K1403" s="13">
        <f t="shared" si="463"/>
        <v>6.2100000000000002E-2</v>
      </c>
      <c r="L1403">
        <f t="shared" si="465"/>
        <v>381.45</v>
      </c>
      <c r="M1403">
        <f>IF(A1403&gt;=Quarterly!B$2,Quarterly!D$2,IF(COUNTIFS(Quarterly!B:B,"&gt;="&amp;A1403-92,Quarterly!B:B,"&lt;="&amp;A1403)&gt;1,SUMIFS(Quarterly!D:D,Quarterly!B:B,"&gt;="&amp;A1403-88,Quarterly!B:B,"&lt;="&amp;A1403),SUMIFS(Quarterly!D:D,Quarterly!B:B,"&gt;="&amp;A1403-92,Quarterly!B:B,"&lt;="&amp;A1403)))</f>
        <v>288.67</v>
      </c>
      <c r="N1403" s="13">
        <f t="shared" si="466"/>
        <v>0.13214000000000001</v>
      </c>
      <c r="O1403">
        <f t="shared" si="454"/>
        <v>381.45</v>
      </c>
      <c r="P1403" s="56"/>
      <c r="Q1403" s="13"/>
      <c r="R1403" s="41">
        <v>1.58</v>
      </c>
      <c r="S1403">
        <f t="shared" si="456"/>
        <v>0.73</v>
      </c>
      <c r="T1403" s="30">
        <f t="shared" si="457"/>
        <v>213.98</v>
      </c>
      <c r="U1403" s="30">
        <f t="shared" si="464"/>
        <v>209.58</v>
      </c>
    </row>
    <row r="1404" spans="1:21" ht="15" customHeight="1" x14ac:dyDescent="0.25">
      <c r="A1404" s="5">
        <v>33517</v>
      </c>
      <c r="B1404" s="5">
        <f t="shared" si="458"/>
        <v>33542</v>
      </c>
      <c r="C1404">
        <v>381.25</v>
      </c>
      <c r="D1404" s="29">
        <f t="shared" si="459"/>
        <v>-1.3899999999999999E-2</v>
      </c>
      <c r="E1404" s="39">
        <f t="shared" si="460"/>
        <v>386.35692307692301</v>
      </c>
      <c r="F1404" s="39">
        <f t="shared" si="461"/>
        <v>374.48538461538453</v>
      </c>
      <c r="G1404" s="29">
        <f t="shared" si="453"/>
        <v>-1.32E-2</v>
      </c>
      <c r="H1404" s="29">
        <f t="shared" si="453"/>
        <v>1.8100000000000002E-2</v>
      </c>
      <c r="I1404">
        <f t="shared" si="462"/>
        <v>381.25</v>
      </c>
      <c r="J1404">
        <f>IF(A1404&gt;=Quarterly!B$2,Quarterly!C$2,IF(COUNTIFS(Quarterly!B:B,"&gt;="&amp;A1404-92,Quarterly!B:B,"&lt;="&amp;A1404)&gt;1,SUMIFS(Quarterly!C:C,Quarterly!B:B,"&gt;="&amp;A1404-88,Quarterly!B:B,"&lt;="&amp;A1404),SUMIFS(Quarterly!C:C,Quarterly!B:B,"&gt;="&amp;A1404-92,Quarterly!B:B,"&lt;="&amp;A1404)))</f>
        <v>6143.6</v>
      </c>
      <c r="K1404" s="13">
        <f t="shared" si="463"/>
        <v>6.2100000000000002E-2</v>
      </c>
      <c r="L1404">
        <f t="shared" si="465"/>
        <v>381.25</v>
      </c>
      <c r="M1404">
        <f>IF(A1404&gt;=Quarterly!B$2,Quarterly!D$2,IF(COUNTIFS(Quarterly!B:B,"&gt;="&amp;A1404-92,Quarterly!B:B,"&lt;="&amp;A1404)&gt;1,SUMIFS(Quarterly!D:D,Quarterly!B:B,"&gt;="&amp;A1404-88,Quarterly!B:B,"&lt;="&amp;A1404),SUMIFS(Quarterly!D:D,Quarterly!B:B,"&gt;="&amp;A1404-92,Quarterly!B:B,"&lt;="&amp;A1404)))</f>
        <v>288.67</v>
      </c>
      <c r="N1404" s="13">
        <f t="shared" si="466"/>
        <v>0.13206999999999999</v>
      </c>
      <c r="O1404">
        <f t="shared" si="454"/>
        <v>381.25</v>
      </c>
      <c r="P1404" s="56"/>
      <c r="Q1404" s="13"/>
      <c r="R1404" s="41">
        <v>1.48</v>
      </c>
      <c r="S1404">
        <f t="shared" si="456"/>
        <v>0.64</v>
      </c>
      <c r="T1404" s="30">
        <f t="shared" si="457"/>
        <v>210.71</v>
      </c>
      <c r="U1404" s="30">
        <f t="shared" si="464"/>
        <v>206.28</v>
      </c>
    </row>
    <row r="1405" spans="1:21" ht="15" customHeight="1" x14ac:dyDescent="0.25">
      <c r="A1405" s="5">
        <v>33510</v>
      </c>
      <c r="B1405" s="5">
        <f t="shared" si="458"/>
        <v>33511</v>
      </c>
      <c r="C1405">
        <v>385.9</v>
      </c>
      <c r="D1405" s="29">
        <f t="shared" si="459"/>
        <v>-8.0000000000000002E-3</v>
      </c>
      <c r="E1405" s="39">
        <f t="shared" si="460"/>
        <v>385.80538461538458</v>
      </c>
      <c r="F1405" s="39">
        <f t="shared" si="461"/>
        <v>372.94051282051271</v>
      </c>
      <c r="G1405" s="29">
        <f t="shared" si="453"/>
        <v>2.0000000000000001E-4</v>
      </c>
      <c r="H1405" s="29">
        <f t="shared" si="453"/>
        <v>3.4700000000000002E-2</v>
      </c>
      <c r="I1405">
        <f t="shared" si="462"/>
        <v>385.9</v>
      </c>
      <c r="J1405">
        <f>IF(A1405&gt;=Quarterly!B$2,Quarterly!C$2,IF(COUNTIFS(Quarterly!B:B,"&gt;="&amp;A1405-92,Quarterly!B:B,"&lt;="&amp;A1405)&gt;1,SUMIFS(Quarterly!C:C,Quarterly!B:B,"&gt;="&amp;A1405-88,Quarterly!B:B,"&lt;="&amp;A1405),SUMIFS(Quarterly!C:C,Quarterly!B:B,"&gt;="&amp;A1405-92,Quarterly!B:B,"&lt;="&amp;A1405)))</f>
        <v>6143.6</v>
      </c>
      <c r="K1405" s="13">
        <f t="shared" si="463"/>
        <v>6.2799999999999995E-2</v>
      </c>
      <c r="L1405">
        <f t="shared" si="465"/>
        <v>385.9</v>
      </c>
      <c r="M1405">
        <f>IF(A1405&gt;=Quarterly!B$2,Quarterly!D$2,IF(COUNTIFS(Quarterly!B:B,"&gt;="&amp;A1405-92,Quarterly!B:B,"&lt;="&amp;A1405)&gt;1,SUMIFS(Quarterly!D:D,Quarterly!B:B,"&gt;="&amp;A1405-88,Quarterly!B:B,"&lt;="&amp;A1405),SUMIFS(Quarterly!D:D,Quarterly!B:B,"&gt;="&amp;A1405-92,Quarterly!B:B,"&lt;="&amp;A1405)))</f>
        <v>288.67</v>
      </c>
      <c r="N1405" s="13">
        <f t="shared" si="466"/>
        <v>0.13367999999999999</v>
      </c>
      <c r="O1405">
        <f t="shared" si="454"/>
        <v>385.9</v>
      </c>
      <c r="P1405" s="56"/>
      <c r="Q1405" s="13"/>
      <c r="R1405" s="41">
        <v>1.47</v>
      </c>
      <c r="S1405">
        <f t="shared" si="456"/>
        <v>0.42</v>
      </c>
      <c r="T1405" s="30">
        <f t="shared" si="457"/>
        <v>204.06</v>
      </c>
      <c r="U1405" s="30">
        <f t="shared" si="464"/>
        <v>203.23</v>
      </c>
    </row>
    <row r="1406" spans="1:21" ht="15" customHeight="1" x14ac:dyDescent="0.25">
      <c r="A1406" s="5">
        <v>33503</v>
      </c>
      <c r="B1406" s="5">
        <f t="shared" si="458"/>
        <v>33511</v>
      </c>
      <c r="C1406">
        <v>387.92</v>
      </c>
      <c r="D1406" s="29">
        <f t="shared" si="459"/>
        <v>-6.7999999999999996E-3</v>
      </c>
      <c r="E1406" s="39">
        <f t="shared" si="460"/>
        <v>384.67153846153843</v>
      </c>
      <c r="F1406" s="39">
        <f t="shared" si="461"/>
        <v>371.47435897435889</v>
      </c>
      <c r="G1406" s="29">
        <f t="shared" si="453"/>
        <v>8.3999999999999995E-3</v>
      </c>
      <c r="H1406" s="29">
        <f t="shared" si="453"/>
        <v>4.4299999999999999E-2</v>
      </c>
      <c r="I1406">
        <f t="shared" si="462"/>
        <v>387.92</v>
      </c>
      <c r="J1406">
        <f>IF(A1406&gt;=Quarterly!B$2,Quarterly!C$2,IF(COUNTIFS(Quarterly!B:B,"&gt;="&amp;A1406-92,Quarterly!B:B,"&lt;="&amp;A1406)&gt;1,SUMIFS(Quarterly!C:C,Quarterly!B:B,"&gt;="&amp;A1406-88,Quarterly!B:B,"&lt;="&amp;A1406),SUMIFS(Quarterly!C:C,Quarterly!B:B,"&gt;="&amp;A1406-92,Quarterly!B:B,"&lt;="&amp;A1406)))</f>
        <v>6143.6</v>
      </c>
      <c r="K1406" s="13">
        <f t="shared" si="463"/>
        <v>6.3100000000000003E-2</v>
      </c>
      <c r="L1406">
        <f t="shared" si="465"/>
        <v>387.92</v>
      </c>
      <c r="M1406">
        <f>IF(A1406&gt;=Quarterly!B$2,Quarterly!D$2,IF(COUNTIFS(Quarterly!B:B,"&gt;="&amp;A1406-92,Quarterly!B:B,"&lt;="&amp;A1406)&gt;1,SUMIFS(Quarterly!D:D,Quarterly!B:B,"&gt;="&amp;A1406-88,Quarterly!B:B,"&lt;="&amp;A1406),SUMIFS(Quarterly!D:D,Quarterly!B:B,"&gt;="&amp;A1406-92,Quarterly!B:B,"&lt;="&amp;A1406)))</f>
        <v>288.67</v>
      </c>
      <c r="N1406" s="13">
        <f t="shared" si="466"/>
        <v>0.13438000000000003</v>
      </c>
      <c r="O1406">
        <f t="shared" si="454"/>
        <v>387.92</v>
      </c>
      <c r="P1406" s="56"/>
      <c r="Q1406" s="13"/>
      <c r="R1406" s="41">
        <v>1.39</v>
      </c>
      <c r="S1406">
        <f t="shared" si="456"/>
        <v>0.4</v>
      </c>
      <c r="T1406" s="30">
        <f t="shared" si="457"/>
        <v>204.07</v>
      </c>
      <c r="U1406" s="30">
        <f t="shared" si="464"/>
        <v>201</v>
      </c>
    </row>
    <row r="1407" spans="1:21" ht="15" customHeight="1" x14ac:dyDescent="0.25">
      <c r="A1407" s="5">
        <v>33496</v>
      </c>
      <c r="B1407" s="5">
        <f t="shared" si="458"/>
        <v>33511</v>
      </c>
      <c r="C1407">
        <v>383.59</v>
      </c>
      <c r="D1407" s="29">
        <f t="shared" si="459"/>
        <v>-1.9099999999999999E-2</v>
      </c>
      <c r="E1407" s="39">
        <f t="shared" si="460"/>
        <v>383.88923076923072</v>
      </c>
      <c r="F1407" s="39">
        <f t="shared" si="461"/>
        <v>370.03410256410245</v>
      </c>
      <c r="G1407" s="29">
        <f t="shared" si="453"/>
        <v>-8.0000000000000004E-4</v>
      </c>
      <c r="H1407" s="29">
        <f t="shared" si="453"/>
        <v>3.6600000000000001E-2</v>
      </c>
      <c r="I1407">
        <f t="shared" si="462"/>
        <v>383.59</v>
      </c>
      <c r="J1407">
        <f>IF(A1407&gt;=Quarterly!B$2,Quarterly!C$2,IF(COUNTIFS(Quarterly!B:B,"&gt;="&amp;A1407-92,Quarterly!B:B,"&lt;="&amp;A1407)&gt;1,SUMIFS(Quarterly!C:C,Quarterly!B:B,"&gt;="&amp;A1407-88,Quarterly!B:B,"&lt;="&amp;A1407),SUMIFS(Quarterly!C:C,Quarterly!B:B,"&gt;="&amp;A1407-92,Quarterly!B:B,"&lt;="&amp;A1407)))</f>
        <v>6143.6</v>
      </c>
      <c r="K1407" s="13">
        <f t="shared" si="463"/>
        <v>6.2399999999999997E-2</v>
      </c>
      <c r="L1407">
        <f t="shared" si="465"/>
        <v>383.59</v>
      </c>
      <c r="M1407">
        <f>IF(A1407&gt;=Quarterly!B$2,Quarterly!D$2,IF(COUNTIFS(Quarterly!B:B,"&gt;="&amp;A1407-92,Quarterly!B:B,"&lt;="&amp;A1407)&gt;1,SUMIFS(Quarterly!D:D,Quarterly!B:B,"&gt;="&amp;A1407-88,Quarterly!B:B,"&lt;="&amp;A1407),SUMIFS(Quarterly!D:D,Quarterly!B:B,"&gt;="&amp;A1407-92,Quarterly!B:B,"&lt;="&amp;A1407)))</f>
        <v>288.67</v>
      </c>
      <c r="N1407" s="13">
        <f t="shared" si="466"/>
        <v>0.13288</v>
      </c>
      <c r="O1407">
        <f t="shared" si="454"/>
        <v>383.59</v>
      </c>
      <c r="P1407" s="56"/>
      <c r="Q1407" s="13"/>
      <c r="R1407" s="41">
        <v>1.48</v>
      </c>
      <c r="S1407">
        <f t="shared" si="456"/>
        <v>0.32</v>
      </c>
      <c r="T1407" s="30">
        <f t="shared" si="457"/>
        <v>201.56</v>
      </c>
      <c r="U1407" s="30">
        <f t="shared" si="464"/>
        <v>198.88</v>
      </c>
    </row>
    <row r="1408" spans="1:21" ht="15" customHeight="1" x14ac:dyDescent="0.25">
      <c r="A1408" s="5">
        <v>33489</v>
      </c>
      <c r="B1408" s="5">
        <f t="shared" si="458"/>
        <v>33511</v>
      </c>
      <c r="C1408">
        <v>389.1</v>
      </c>
      <c r="D1408" s="29">
        <f t="shared" si="459"/>
        <v>-3.8E-3</v>
      </c>
      <c r="E1408" s="39">
        <f t="shared" si="460"/>
        <v>383.7892307692307</v>
      </c>
      <c r="F1408" s="39">
        <f t="shared" si="461"/>
        <v>368.57846153846145</v>
      </c>
      <c r="G1408" s="29">
        <f t="shared" si="453"/>
        <v>1.38E-2</v>
      </c>
      <c r="H1408" s="29">
        <f t="shared" si="453"/>
        <v>5.57E-2</v>
      </c>
      <c r="I1408">
        <f t="shared" si="462"/>
        <v>389.1</v>
      </c>
      <c r="J1408">
        <f>IF(A1408&gt;=Quarterly!B$2,Quarterly!C$2,IF(COUNTIFS(Quarterly!B:B,"&gt;="&amp;A1408-92,Quarterly!B:B,"&lt;="&amp;A1408)&gt;1,SUMIFS(Quarterly!C:C,Quarterly!B:B,"&gt;="&amp;A1408-88,Quarterly!B:B,"&lt;="&amp;A1408),SUMIFS(Quarterly!C:C,Quarterly!B:B,"&gt;="&amp;A1408-92,Quarterly!B:B,"&lt;="&amp;A1408)))</f>
        <v>6143.6</v>
      </c>
      <c r="K1408" s="13">
        <f t="shared" si="463"/>
        <v>6.3299999999999995E-2</v>
      </c>
      <c r="L1408">
        <f t="shared" si="465"/>
        <v>389.1</v>
      </c>
      <c r="M1408">
        <f>IF(A1408&gt;=Quarterly!B$2,Quarterly!D$2,IF(COUNTIFS(Quarterly!B:B,"&gt;="&amp;A1408-92,Quarterly!B:B,"&lt;="&amp;A1408)&gt;1,SUMIFS(Quarterly!D:D,Quarterly!B:B,"&gt;="&amp;A1408-88,Quarterly!B:B,"&lt;="&amp;A1408),SUMIFS(Quarterly!D:D,Quarterly!B:B,"&gt;="&amp;A1408-92,Quarterly!B:B,"&lt;="&amp;A1408)))</f>
        <v>288.67</v>
      </c>
      <c r="N1408" s="13">
        <f t="shared" si="466"/>
        <v>0.13479000000000002</v>
      </c>
      <c r="O1408">
        <f t="shared" si="454"/>
        <v>389.1</v>
      </c>
      <c r="P1408" s="56"/>
      <c r="Q1408" s="13"/>
      <c r="R1408" s="41">
        <v>1.5</v>
      </c>
      <c r="S1408">
        <f t="shared" si="456"/>
        <v>0.19</v>
      </c>
      <c r="T1408" s="30">
        <f t="shared" si="457"/>
        <v>197.38</v>
      </c>
      <c r="U1408" s="30">
        <f t="shared" si="464"/>
        <v>196.69</v>
      </c>
    </row>
    <row r="1409" spans="1:21" ht="15" customHeight="1" x14ac:dyDescent="0.25">
      <c r="A1409" s="5">
        <v>33482</v>
      </c>
      <c r="B1409" s="5">
        <f t="shared" si="458"/>
        <v>33511</v>
      </c>
      <c r="C1409">
        <v>395.43</v>
      </c>
      <c r="D1409" s="29">
        <f t="shared" si="459"/>
        <v>1.78E-2</v>
      </c>
      <c r="E1409" s="39">
        <f t="shared" si="460"/>
        <v>383.04538461538465</v>
      </c>
      <c r="F1409" s="39">
        <f t="shared" si="461"/>
        <v>367.00538461538451</v>
      </c>
      <c r="G1409" s="29">
        <f t="shared" si="453"/>
        <v>3.2300000000000002E-2</v>
      </c>
      <c r="H1409" s="29">
        <f t="shared" si="453"/>
        <v>7.7499999999999999E-2</v>
      </c>
      <c r="I1409">
        <f t="shared" si="462"/>
        <v>395.43</v>
      </c>
      <c r="J1409">
        <f>IF(A1409&gt;=Quarterly!B$2,Quarterly!C$2,IF(COUNTIFS(Quarterly!B:B,"&gt;="&amp;A1409-92,Quarterly!B:B,"&lt;="&amp;A1409)&gt;1,SUMIFS(Quarterly!C:C,Quarterly!B:B,"&gt;="&amp;A1409-88,Quarterly!B:B,"&lt;="&amp;A1409),SUMIFS(Quarterly!C:C,Quarterly!B:B,"&gt;="&amp;A1409-92,Quarterly!B:B,"&lt;="&amp;A1409)))</f>
        <v>6143.6</v>
      </c>
      <c r="K1409" s="13">
        <f t="shared" si="463"/>
        <v>6.4399999999999999E-2</v>
      </c>
      <c r="L1409">
        <f t="shared" si="465"/>
        <v>395.43</v>
      </c>
      <c r="M1409">
        <f>IF(A1409&gt;=Quarterly!B$2,Quarterly!D$2,IF(COUNTIFS(Quarterly!B:B,"&gt;="&amp;A1409-92,Quarterly!B:B,"&lt;="&amp;A1409)&gt;1,SUMIFS(Quarterly!D:D,Quarterly!B:B,"&gt;="&amp;A1409-88,Quarterly!B:B,"&lt;="&amp;A1409),SUMIFS(Quarterly!D:D,Quarterly!B:B,"&gt;="&amp;A1409-92,Quarterly!B:B,"&lt;="&amp;A1409)))</f>
        <v>288.67</v>
      </c>
      <c r="N1409" s="13">
        <f t="shared" si="466"/>
        <v>0.13697999999999999</v>
      </c>
      <c r="O1409">
        <f t="shared" si="454"/>
        <v>395.43</v>
      </c>
      <c r="P1409" s="56"/>
      <c r="Q1409" s="13"/>
      <c r="R1409" s="41">
        <v>1.46</v>
      </c>
      <c r="S1409">
        <f t="shared" si="456"/>
        <v>0.19</v>
      </c>
      <c r="T1409" s="30">
        <f t="shared" si="457"/>
        <v>197.71</v>
      </c>
      <c r="U1409" s="30">
        <f t="shared" si="464"/>
        <v>196.13</v>
      </c>
    </row>
    <row r="1410" spans="1:21" ht="15" customHeight="1" x14ac:dyDescent="0.25">
      <c r="A1410" s="5">
        <v>33475</v>
      </c>
      <c r="B1410" s="5">
        <f t="shared" si="458"/>
        <v>33481</v>
      </c>
      <c r="C1410">
        <v>394.17</v>
      </c>
      <c r="D1410" s="29">
        <f t="shared" si="459"/>
        <v>2.3300000000000001E-2</v>
      </c>
      <c r="E1410" s="39">
        <f t="shared" si="460"/>
        <v>382.61461538461538</v>
      </c>
      <c r="F1410" s="39">
        <f t="shared" si="461"/>
        <v>365.12820512820497</v>
      </c>
      <c r="G1410" s="29">
        <f t="shared" ref="G1410:H1473" si="467">ROUND(($C1410-E1410)/E1410,4)</f>
        <v>3.0200000000000001E-2</v>
      </c>
      <c r="H1410" s="29">
        <f t="shared" si="467"/>
        <v>7.9500000000000001E-2</v>
      </c>
      <c r="I1410">
        <f t="shared" si="462"/>
        <v>394.17</v>
      </c>
      <c r="J1410">
        <f>IF(A1410&gt;=Quarterly!B$2,Quarterly!C$2,IF(COUNTIFS(Quarterly!B:B,"&gt;="&amp;A1410-92,Quarterly!B:B,"&lt;="&amp;A1410)&gt;1,SUMIFS(Quarterly!C:C,Quarterly!B:B,"&gt;="&amp;A1410-88,Quarterly!B:B,"&lt;="&amp;A1410),SUMIFS(Quarterly!C:C,Quarterly!B:B,"&gt;="&amp;A1410-92,Quarterly!B:B,"&lt;="&amp;A1410)))</f>
        <v>6143.6</v>
      </c>
      <c r="K1410" s="13">
        <f t="shared" si="463"/>
        <v>6.4199999999999993E-2</v>
      </c>
      <c r="L1410">
        <f t="shared" si="465"/>
        <v>394.17</v>
      </c>
      <c r="M1410">
        <f>IF(A1410&gt;=Quarterly!B$2,Quarterly!D$2,IF(COUNTIFS(Quarterly!B:B,"&gt;="&amp;A1410-92,Quarterly!B:B,"&lt;="&amp;A1410)&gt;1,SUMIFS(Quarterly!D:D,Quarterly!B:B,"&gt;="&amp;A1410-88,Quarterly!B:B,"&lt;="&amp;A1410),SUMIFS(Quarterly!D:D,Quarterly!B:B,"&gt;="&amp;A1410-92,Quarterly!B:B,"&lt;="&amp;A1410)))</f>
        <v>288.67</v>
      </c>
      <c r="N1410" s="13">
        <f t="shared" si="466"/>
        <v>0.13655</v>
      </c>
      <c r="O1410">
        <f t="shared" si="454"/>
        <v>394.17</v>
      </c>
      <c r="P1410" s="56"/>
      <c r="Q1410" s="13"/>
      <c r="R1410" s="41">
        <v>1.42</v>
      </c>
      <c r="S1410">
        <f t="shared" si="456"/>
        <v>0.11</v>
      </c>
      <c r="T1410" s="30">
        <f t="shared" si="457"/>
        <v>194.98</v>
      </c>
      <c r="U1410" s="30">
        <f t="shared" si="464"/>
        <v>195.64</v>
      </c>
    </row>
    <row r="1411" spans="1:21" ht="15" customHeight="1" x14ac:dyDescent="0.25">
      <c r="A1411" s="5">
        <v>33468</v>
      </c>
      <c r="B1411" s="5">
        <f t="shared" si="458"/>
        <v>33481</v>
      </c>
      <c r="C1411">
        <v>385.58</v>
      </c>
      <c r="D1411" s="29">
        <f t="shared" si="459"/>
        <v>1.9E-3</v>
      </c>
      <c r="E1411" s="39">
        <f t="shared" si="460"/>
        <v>381.3315384615384</v>
      </c>
      <c r="F1411" s="39">
        <f t="shared" si="461"/>
        <v>363.10076923076912</v>
      </c>
      <c r="G1411" s="29">
        <f t="shared" si="467"/>
        <v>1.11E-2</v>
      </c>
      <c r="H1411" s="29">
        <f t="shared" si="467"/>
        <v>6.1899999999999997E-2</v>
      </c>
      <c r="I1411">
        <f t="shared" si="462"/>
        <v>385.58</v>
      </c>
      <c r="J1411">
        <f>IF(A1411&gt;=Quarterly!B$2,Quarterly!C$2,IF(COUNTIFS(Quarterly!B:B,"&gt;="&amp;A1411-92,Quarterly!B:B,"&lt;="&amp;A1411)&gt;1,SUMIFS(Quarterly!C:C,Quarterly!B:B,"&gt;="&amp;A1411-88,Quarterly!B:B,"&lt;="&amp;A1411),SUMIFS(Quarterly!C:C,Quarterly!B:B,"&gt;="&amp;A1411-92,Quarterly!B:B,"&lt;="&amp;A1411)))</f>
        <v>6143.6</v>
      </c>
      <c r="K1411" s="13">
        <f t="shared" si="463"/>
        <v>6.2799999999999995E-2</v>
      </c>
      <c r="L1411">
        <f t="shared" si="465"/>
        <v>385.58</v>
      </c>
      <c r="M1411">
        <f>IF(A1411&gt;=Quarterly!B$2,Quarterly!D$2,IF(COUNTIFS(Quarterly!B:B,"&gt;="&amp;A1411-92,Quarterly!B:B,"&lt;="&amp;A1411)&gt;1,SUMIFS(Quarterly!D:D,Quarterly!B:B,"&gt;="&amp;A1411-88,Quarterly!B:B,"&lt;="&amp;A1411),SUMIFS(Quarterly!D:D,Quarterly!B:B,"&gt;="&amp;A1411-92,Quarterly!B:B,"&lt;="&amp;A1411)))</f>
        <v>288.67</v>
      </c>
      <c r="N1411" s="13">
        <f t="shared" si="466"/>
        <v>0.13357000000000002</v>
      </c>
      <c r="O1411">
        <f t="shared" si="454"/>
        <v>385.58</v>
      </c>
      <c r="P1411" s="56"/>
      <c r="Q1411" s="13"/>
      <c r="R1411" s="41">
        <v>1.53</v>
      </c>
      <c r="S1411">
        <f t="shared" si="456"/>
        <v>0.13</v>
      </c>
      <c r="T1411" s="30">
        <f t="shared" si="457"/>
        <v>195.69</v>
      </c>
      <c r="U1411" s="30">
        <f t="shared" si="464"/>
        <v>195.92</v>
      </c>
    </row>
    <row r="1412" spans="1:21" ht="15" customHeight="1" x14ac:dyDescent="0.25">
      <c r="A1412" s="5">
        <v>33461</v>
      </c>
      <c r="B1412" s="5">
        <f t="shared" si="458"/>
        <v>33481</v>
      </c>
      <c r="C1412">
        <v>387.12</v>
      </c>
      <c r="D1412" s="29">
        <f t="shared" si="459"/>
        <v>1.04E-2</v>
      </c>
      <c r="E1412" s="39">
        <f t="shared" si="460"/>
        <v>380.31692307692305</v>
      </c>
      <c r="F1412" s="39">
        <f t="shared" si="461"/>
        <v>361.34538461538455</v>
      </c>
      <c r="G1412" s="29">
        <f t="shared" si="467"/>
        <v>1.7899999999999999E-2</v>
      </c>
      <c r="H1412" s="29">
        <f t="shared" si="467"/>
        <v>7.1300000000000002E-2</v>
      </c>
      <c r="I1412">
        <f t="shared" si="462"/>
        <v>387.12</v>
      </c>
      <c r="J1412">
        <f>IF(A1412&gt;=Quarterly!B$2,Quarterly!C$2,IF(COUNTIFS(Quarterly!B:B,"&gt;="&amp;A1412-92,Quarterly!B:B,"&lt;="&amp;A1412)&gt;1,SUMIFS(Quarterly!C:C,Quarterly!B:B,"&gt;="&amp;A1412-88,Quarterly!B:B,"&lt;="&amp;A1412),SUMIFS(Quarterly!C:C,Quarterly!B:B,"&gt;="&amp;A1412-92,Quarterly!B:B,"&lt;="&amp;A1412)))</f>
        <v>6143.6</v>
      </c>
      <c r="K1412" s="13">
        <f t="shared" si="463"/>
        <v>6.3E-2</v>
      </c>
      <c r="L1412">
        <f t="shared" si="465"/>
        <v>387.12</v>
      </c>
      <c r="M1412">
        <f>IF(A1412&gt;=Quarterly!B$2,Quarterly!D$2,IF(COUNTIFS(Quarterly!B:B,"&gt;="&amp;A1412-92,Quarterly!B:B,"&lt;="&amp;A1412)&gt;1,SUMIFS(Quarterly!D:D,Quarterly!B:B,"&gt;="&amp;A1412-88,Quarterly!B:B,"&lt;="&amp;A1412),SUMIFS(Quarterly!D:D,Quarterly!B:B,"&gt;="&amp;A1412-92,Quarterly!B:B,"&lt;="&amp;A1412)))</f>
        <v>288.67</v>
      </c>
      <c r="N1412" s="13">
        <f t="shared" si="466"/>
        <v>0.1341</v>
      </c>
      <c r="O1412">
        <f t="shared" si="454"/>
        <v>387.12</v>
      </c>
      <c r="P1412" s="56"/>
      <c r="Q1412" s="13"/>
      <c r="R1412" s="41">
        <v>1.49</v>
      </c>
      <c r="S1412">
        <f t="shared" si="456"/>
        <v>0.13</v>
      </c>
      <c r="T1412" s="30">
        <f t="shared" si="457"/>
        <v>196.24</v>
      </c>
      <c r="U1412" s="30">
        <f t="shared" si="464"/>
        <v>195.37</v>
      </c>
    </row>
    <row r="1413" spans="1:21" ht="15" customHeight="1" x14ac:dyDescent="0.25">
      <c r="A1413" s="5">
        <v>33454</v>
      </c>
      <c r="B1413" s="5">
        <f t="shared" si="458"/>
        <v>33481</v>
      </c>
      <c r="C1413">
        <v>387.18</v>
      </c>
      <c r="D1413" s="29">
        <f t="shared" si="459"/>
        <v>1.9199999999999998E-2</v>
      </c>
      <c r="E1413" s="39">
        <f t="shared" si="460"/>
        <v>379.44153846153847</v>
      </c>
      <c r="F1413" s="39">
        <f t="shared" si="461"/>
        <v>359.46384615384608</v>
      </c>
      <c r="G1413" s="29">
        <f t="shared" si="467"/>
        <v>2.0400000000000001E-2</v>
      </c>
      <c r="H1413" s="29">
        <f t="shared" si="467"/>
        <v>7.7100000000000002E-2</v>
      </c>
      <c r="I1413">
        <f t="shared" si="462"/>
        <v>387.18</v>
      </c>
      <c r="J1413">
        <f>IF(A1413&gt;=Quarterly!B$2,Quarterly!C$2,IF(COUNTIFS(Quarterly!B:B,"&gt;="&amp;A1413-92,Quarterly!B:B,"&lt;="&amp;A1413)&gt;1,SUMIFS(Quarterly!C:C,Quarterly!B:B,"&gt;="&amp;A1413-88,Quarterly!B:B,"&lt;="&amp;A1413),SUMIFS(Quarterly!C:C,Quarterly!B:B,"&gt;="&amp;A1413-92,Quarterly!B:B,"&lt;="&amp;A1413)))</f>
        <v>6143.6</v>
      </c>
      <c r="K1413" s="13">
        <f t="shared" si="463"/>
        <v>6.3E-2</v>
      </c>
      <c r="L1413">
        <f t="shared" si="465"/>
        <v>387.18</v>
      </c>
      <c r="M1413">
        <f>IF(A1413&gt;=Quarterly!B$2,Quarterly!D$2,IF(COUNTIFS(Quarterly!B:B,"&gt;="&amp;A1413-92,Quarterly!B:B,"&lt;="&amp;A1413)&gt;1,SUMIFS(Quarterly!D:D,Quarterly!B:B,"&gt;="&amp;A1413-88,Quarterly!B:B,"&lt;="&amp;A1413),SUMIFS(Quarterly!D:D,Quarterly!B:B,"&gt;="&amp;A1413-92,Quarterly!B:B,"&lt;="&amp;A1413)))</f>
        <v>288.67</v>
      </c>
      <c r="N1413" s="13">
        <f t="shared" si="466"/>
        <v>0.13413</v>
      </c>
      <c r="O1413">
        <f t="shared" si="454"/>
        <v>387.18</v>
      </c>
      <c r="P1413" s="56"/>
      <c r="Q1413" s="13"/>
      <c r="R1413" s="41">
        <v>1.37</v>
      </c>
      <c r="S1413">
        <f t="shared" si="456"/>
        <v>0.11</v>
      </c>
      <c r="T1413" s="30">
        <f t="shared" si="457"/>
        <v>195.82</v>
      </c>
      <c r="U1413" s="30">
        <f t="shared" si="464"/>
        <v>194.09</v>
      </c>
    </row>
    <row r="1414" spans="1:21" ht="15" customHeight="1" x14ac:dyDescent="0.25">
      <c r="A1414" s="5">
        <v>33447</v>
      </c>
      <c r="B1414" s="5">
        <f t="shared" si="458"/>
        <v>33450</v>
      </c>
      <c r="C1414">
        <v>380.93</v>
      </c>
      <c r="D1414" s="29">
        <f t="shared" si="459"/>
        <v>9.2999999999999992E-3</v>
      </c>
      <c r="E1414" s="39">
        <f t="shared" si="460"/>
        <v>378.95076923076925</v>
      </c>
      <c r="F1414" s="39">
        <f t="shared" si="461"/>
        <v>357.53230769230765</v>
      </c>
      <c r="G1414" s="29">
        <f t="shared" si="467"/>
        <v>5.1999999999999998E-3</v>
      </c>
      <c r="H1414" s="29">
        <f t="shared" si="467"/>
        <v>6.54E-2</v>
      </c>
      <c r="I1414">
        <f t="shared" si="462"/>
        <v>380.93</v>
      </c>
      <c r="J1414">
        <f>IF(A1414&gt;=Quarterly!B$2,Quarterly!C$2,IF(COUNTIFS(Quarterly!B:B,"&gt;="&amp;A1414-92,Quarterly!B:B,"&lt;="&amp;A1414)&gt;1,SUMIFS(Quarterly!C:C,Quarterly!B:B,"&gt;="&amp;A1414-88,Quarterly!B:B,"&lt;="&amp;A1414),SUMIFS(Quarterly!C:C,Quarterly!B:B,"&gt;="&amp;A1414-92,Quarterly!B:B,"&lt;="&amp;A1414)))</f>
        <v>6054.9</v>
      </c>
      <c r="K1414" s="13">
        <f t="shared" si="463"/>
        <v>6.2899999999999998E-2</v>
      </c>
      <c r="L1414">
        <f t="shared" si="465"/>
        <v>380.93</v>
      </c>
      <c r="M1414">
        <f>IF(A1414&gt;=Quarterly!B$2,Quarterly!D$2,IF(COUNTIFS(Quarterly!B:B,"&gt;="&amp;A1414-92,Quarterly!B:B,"&lt;="&amp;A1414)&gt;1,SUMIFS(Quarterly!D:D,Quarterly!B:B,"&gt;="&amp;A1414-88,Quarterly!B:B,"&lt;="&amp;A1414),SUMIFS(Quarterly!D:D,Quarterly!B:B,"&gt;="&amp;A1414-92,Quarterly!B:B,"&lt;="&amp;A1414)))</f>
        <v>281.81299999999999</v>
      </c>
      <c r="N1414" s="13">
        <f t="shared" si="466"/>
        <v>0.13516999999999998</v>
      </c>
      <c r="O1414">
        <f t="shared" ref="O1414:O1477" si="468">C1414</f>
        <v>380.93</v>
      </c>
      <c r="P1414" s="56"/>
      <c r="Q1414" s="13"/>
      <c r="R1414" s="41">
        <v>1.35</v>
      </c>
      <c r="S1414">
        <f t="shared" ref="S1414:S1434" si="469">R1475</f>
        <v>0.16</v>
      </c>
      <c r="T1414" s="30">
        <f t="shared" ref="T1414:T1477" si="470">IF((ROUND((S1414*40)+(G1414*350)-(H1414*100)-((N1414-0.15)*350)-(((K1414*10.5)-1)*270)-(Q1414*100),2)+144)*0.8&lt;0,0,ROUND((ROUND((S1414*40)+(G1414*350)-(H1414*100)-((N1414-0.15)*350)-(((K1414*10.5)-1)*270)-(Q1414*100),2)+144)*0.8,2))</f>
        <v>194.04</v>
      </c>
      <c r="U1414" s="30">
        <f t="shared" si="464"/>
        <v>192.46</v>
      </c>
    </row>
    <row r="1415" spans="1:21" ht="15" customHeight="1" x14ac:dyDescent="0.25">
      <c r="A1415" s="5">
        <v>33440</v>
      </c>
      <c r="B1415" s="5">
        <f t="shared" si="458"/>
        <v>33450</v>
      </c>
      <c r="C1415">
        <v>384.22</v>
      </c>
      <c r="D1415" s="29">
        <f t="shared" si="459"/>
        <v>2.24E-2</v>
      </c>
      <c r="E1415" s="39">
        <f t="shared" si="460"/>
        <v>378.80384615384622</v>
      </c>
      <c r="F1415" s="39">
        <f t="shared" si="461"/>
        <v>355.57794871794863</v>
      </c>
      <c r="G1415" s="29">
        <f t="shared" si="467"/>
        <v>1.43E-2</v>
      </c>
      <c r="H1415" s="29">
        <f t="shared" si="467"/>
        <v>8.0600000000000005E-2</v>
      </c>
      <c r="I1415">
        <f t="shared" si="462"/>
        <v>384.22</v>
      </c>
      <c r="J1415">
        <f>IF(A1415&gt;=Quarterly!B$2,Quarterly!C$2,IF(COUNTIFS(Quarterly!B:B,"&gt;="&amp;A1415-92,Quarterly!B:B,"&lt;="&amp;A1415)&gt;1,SUMIFS(Quarterly!C:C,Quarterly!B:B,"&gt;="&amp;A1415-88,Quarterly!B:B,"&lt;="&amp;A1415),SUMIFS(Quarterly!C:C,Quarterly!B:B,"&gt;="&amp;A1415-92,Quarterly!B:B,"&lt;="&amp;A1415)))</f>
        <v>6054.9</v>
      </c>
      <c r="K1415" s="13">
        <f t="shared" si="463"/>
        <v>6.3500000000000001E-2</v>
      </c>
      <c r="L1415">
        <f t="shared" si="465"/>
        <v>384.22</v>
      </c>
      <c r="M1415">
        <f>IF(A1415&gt;=Quarterly!B$2,Quarterly!D$2,IF(COUNTIFS(Quarterly!B:B,"&gt;="&amp;A1415-92,Quarterly!B:B,"&lt;="&amp;A1415)&gt;1,SUMIFS(Quarterly!D:D,Quarterly!B:B,"&gt;="&amp;A1415-88,Quarterly!B:B,"&lt;="&amp;A1415),SUMIFS(Quarterly!D:D,Quarterly!B:B,"&gt;="&amp;A1415-92,Quarterly!B:B,"&lt;="&amp;A1415)))</f>
        <v>281.81299999999999</v>
      </c>
      <c r="N1415" s="13">
        <f t="shared" si="466"/>
        <v>0.13633999999999999</v>
      </c>
      <c r="O1415">
        <f t="shared" si="468"/>
        <v>384.22</v>
      </c>
      <c r="P1415" s="56"/>
      <c r="Q1415" s="13"/>
      <c r="R1415" s="41">
        <v>1.39</v>
      </c>
      <c r="S1415">
        <f t="shared" si="469"/>
        <v>0.12</v>
      </c>
      <c r="T1415" s="30">
        <f t="shared" si="470"/>
        <v>192.4</v>
      </c>
      <c r="U1415" s="30">
        <f t="shared" si="464"/>
        <v>191.7</v>
      </c>
    </row>
    <row r="1416" spans="1:21" ht="15" customHeight="1" x14ac:dyDescent="0.25">
      <c r="A1416" s="5">
        <v>33433</v>
      </c>
      <c r="B1416" s="5">
        <f t="shared" si="458"/>
        <v>33450</v>
      </c>
      <c r="C1416">
        <v>380.25</v>
      </c>
      <c r="D1416" s="29">
        <f t="shared" si="459"/>
        <v>1.04E-2</v>
      </c>
      <c r="E1416" s="39">
        <f t="shared" si="460"/>
        <v>378.80230769230764</v>
      </c>
      <c r="F1416" s="39">
        <f t="shared" si="461"/>
        <v>353.73846153846142</v>
      </c>
      <c r="G1416" s="29">
        <f t="shared" si="467"/>
        <v>3.8E-3</v>
      </c>
      <c r="H1416" s="29">
        <f t="shared" si="467"/>
        <v>7.4899999999999994E-2</v>
      </c>
      <c r="I1416">
        <f t="shared" si="462"/>
        <v>380.25</v>
      </c>
      <c r="J1416">
        <f>IF(A1416&gt;=Quarterly!B$2,Quarterly!C$2,IF(COUNTIFS(Quarterly!B:B,"&gt;="&amp;A1416-92,Quarterly!B:B,"&lt;="&amp;A1416)&gt;1,SUMIFS(Quarterly!C:C,Quarterly!B:B,"&gt;="&amp;A1416-88,Quarterly!B:B,"&lt;="&amp;A1416),SUMIFS(Quarterly!C:C,Quarterly!B:B,"&gt;="&amp;A1416-92,Quarterly!B:B,"&lt;="&amp;A1416)))</f>
        <v>6054.9</v>
      </c>
      <c r="K1416" s="13">
        <f t="shared" si="463"/>
        <v>6.2799999999999995E-2</v>
      </c>
      <c r="L1416">
        <f t="shared" si="465"/>
        <v>380.25</v>
      </c>
      <c r="M1416">
        <f>IF(A1416&gt;=Quarterly!B$2,Quarterly!D$2,IF(COUNTIFS(Quarterly!B:B,"&gt;="&amp;A1416-92,Quarterly!B:B,"&lt;="&amp;A1416)&gt;1,SUMIFS(Quarterly!D:D,Quarterly!B:B,"&gt;="&amp;A1416-88,Quarterly!B:B,"&lt;="&amp;A1416),SUMIFS(Quarterly!D:D,Quarterly!B:B,"&gt;="&amp;A1416-92,Quarterly!B:B,"&lt;="&amp;A1416)))</f>
        <v>281.81299999999999</v>
      </c>
      <c r="N1416" s="13">
        <f t="shared" si="466"/>
        <v>0.13492999999999999</v>
      </c>
      <c r="O1416">
        <f t="shared" si="468"/>
        <v>380.25</v>
      </c>
      <c r="P1416" s="56"/>
      <c r="Q1416" s="13"/>
      <c r="R1416" s="41">
        <v>1.38</v>
      </c>
      <c r="S1416">
        <f t="shared" si="469"/>
        <v>0.09</v>
      </c>
      <c r="T1416" s="30">
        <f t="shared" si="470"/>
        <v>190.94</v>
      </c>
      <c r="U1416" s="30">
        <f t="shared" si="464"/>
        <v>190.66</v>
      </c>
    </row>
    <row r="1417" spans="1:21" ht="15" customHeight="1" x14ac:dyDescent="0.25">
      <c r="A1417" s="5">
        <v>33426</v>
      </c>
      <c r="B1417" s="5">
        <f t="shared" si="458"/>
        <v>33450</v>
      </c>
      <c r="C1417">
        <v>374.08</v>
      </c>
      <c r="D1417" s="29">
        <f t="shared" si="459"/>
        <v>-9.4999999999999998E-3</v>
      </c>
      <c r="E1417" s="39">
        <f t="shared" si="460"/>
        <v>378.8138461538461</v>
      </c>
      <c r="F1417" s="39">
        <f t="shared" si="461"/>
        <v>351.68153846153837</v>
      </c>
      <c r="G1417" s="29">
        <f t="shared" si="467"/>
        <v>-1.2500000000000001E-2</v>
      </c>
      <c r="H1417" s="29">
        <f t="shared" si="467"/>
        <v>6.3700000000000007E-2</v>
      </c>
      <c r="I1417">
        <f t="shared" si="462"/>
        <v>374.08</v>
      </c>
      <c r="J1417">
        <f>IF(A1417&gt;=Quarterly!B$2,Quarterly!C$2,IF(COUNTIFS(Quarterly!B:B,"&gt;="&amp;A1417-92,Quarterly!B:B,"&lt;="&amp;A1417)&gt;1,SUMIFS(Quarterly!C:C,Quarterly!B:B,"&gt;="&amp;A1417-88,Quarterly!B:B,"&lt;="&amp;A1417),SUMIFS(Quarterly!C:C,Quarterly!B:B,"&gt;="&amp;A1417-92,Quarterly!B:B,"&lt;="&amp;A1417)))</f>
        <v>6054.9</v>
      </c>
      <c r="K1417" s="13">
        <f t="shared" si="463"/>
        <v>6.1800000000000001E-2</v>
      </c>
      <c r="L1417">
        <f t="shared" si="465"/>
        <v>374.08</v>
      </c>
      <c r="M1417">
        <f>IF(A1417&gt;=Quarterly!B$2,Quarterly!D$2,IF(COUNTIFS(Quarterly!B:B,"&gt;="&amp;A1417-92,Quarterly!B:B,"&lt;="&amp;A1417)&gt;1,SUMIFS(Quarterly!D:D,Quarterly!B:B,"&gt;="&amp;A1417-88,Quarterly!B:B,"&lt;="&amp;A1417),SUMIFS(Quarterly!D:D,Quarterly!B:B,"&gt;="&amp;A1417-92,Quarterly!B:B,"&lt;="&amp;A1417)))</f>
        <v>281.81299999999999</v>
      </c>
      <c r="N1417" s="13">
        <f t="shared" si="466"/>
        <v>0.13274</v>
      </c>
      <c r="O1417">
        <f t="shared" si="468"/>
        <v>374.08</v>
      </c>
      <c r="P1417" s="56"/>
      <c r="Q1417" s="13"/>
      <c r="R1417" s="41">
        <v>1.3</v>
      </c>
      <c r="S1417">
        <f t="shared" si="469"/>
        <v>0.14000000000000001</v>
      </c>
      <c r="T1417" s="30">
        <f t="shared" si="470"/>
        <v>191.75</v>
      </c>
      <c r="U1417" s="30">
        <f t="shared" si="464"/>
        <v>190.51</v>
      </c>
    </row>
    <row r="1418" spans="1:21" ht="15" customHeight="1" x14ac:dyDescent="0.25">
      <c r="A1418" s="5">
        <v>33419</v>
      </c>
      <c r="B1418" s="5">
        <f t="shared" si="458"/>
        <v>33419</v>
      </c>
      <c r="C1418">
        <v>371.16</v>
      </c>
      <c r="D1418" s="29">
        <f t="shared" si="459"/>
        <v>-2.92E-2</v>
      </c>
      <c r="E1418" s="39">
        <f t="shared" si="460"/>
        <v>378.91230769230765</v>
      </c>
      <c r="F1418" s="39">
        <f t="shared" si="461"/>
        <v>350.07692307692304</v>
      </c>
      <c r="G1418" s="29">
        <f t="shared" si="467"/>
        <v>-2.0500000000000001E-2</v>
      </c>
      <c r="H1418" s="29">
        <f t="shared" si="467"/>
        <v>6.0199999999999997E-2</v>
      </c>
      <c r="I1418">
        <f t="shared" si="462"/>
        <v>371.16</v>
      </c>
      <c r="J1418">
        <f>IF(A1418&gt;=Quarterly!B$2,Quarterly!C$2,IF(COUNTIFS(Quarterly!B:B,"&gt;="&amp;A1418-92,Quarterly!B:B,"&lt;="&amp;A1418)&gt;1,SUMIFS(Quarterly!C:C,Quarterly!B:B,"&gt;="&amp;A1418-88,Quarterly!B:B,"&lt;="&amp;A1418),SUMIFS(Quarterly!C:C,Quarterly!B:B,"&gt;="&amp;A1418-92,Quarterly!B:B,"&lt;="&amp;A1418)))</f>
        <v>6054.9</v>
      </c>
      <c r="K1418" s="13">
        <f t="shared" si="463"/>
        <v>6.13E-2</v>
      </c>
      <c r="L1418">
        <f t="shared" si="465"/>
        <v>371.16</v>
      </c>
      <c r="M1418">
        <f>IF(A1418&gt;=Quarterly!B$2,Quarterly!D$2,IF(COUNTIFS(Quarterly!B:B,"&gt;="&amp;A1418-92,Quarterly!B:B,"&lt;="&amp;A1418)&gt;1,SUMIFS(Quarterly!D:D,Quarterly!B:B,"&gt;="&amp;A1418-88,Quarterly!B:B,"&lt;="&amp;A1418),SUMIFS(Quarterly!D:D,Quarterly!B:B,"&gt;="&amp;A1418-92,Quarterly!B:B,"&lt;="&amp;A1418)))</f>
        <v>281.81299999999999</v>
      </c>
      <c r="N1418" s="13">
        <f t="shared" si="466"/>
        <v>0.13170000000000001</v>
      </c>
      <c r="O1418">
        <f t="shared" si="468"/>
        <v>371.16</v>
      </c>
      <c r="P1418" s="56"/>
      <c r="Q1418" s="13"/>
      <c r="R1418" s="41">
        <v>1.34</v>
      </c>
      <c r="S1418">
        <f t="shared" si="469"/>
        <v>0.08</v>
      </c>
      <c r="T1418" s="30">
        <f t="shared" si="470"/>
        <v>189.3</v>
      </c>
      <c r="U1418" s="30">
        <f t="shared" si="464"/>
        <v>189.59</v>
      </c>
    </row>
    <row r="1419" spans="1:21" ht="15" customHeight="1" x14ac:dyDescent="0.25">
      <c r="A1419" s="5">
        <v>33412</v>
      </c>
      <c r="B1419" s="5">
        <f t="shared" si="458"/>
        <v>33419</v>
      </c>
      <c r="C1419">
        <v>377.75</v>
      </c>
      <c r="D1419" s="29">
        <f t="shared" si="459"/>
        <v>-1.18E-2</v>
      </c>
      <c r="E1419" s="39">
        <f t="shared" si="460"/>
        <v>379.22461538461539</v>
      </c>
      <c r="F1419" s="39">
        <f t="shared" si="461"/>
        <v>348.40743589743585</v>
      </c>
      <c r="G1419" s="29">
        <f t="shared" si="467"/>
        <v>-3.8999999999999998E-3</v>
      </c>
      <c r="H1419" s="29">
        <f t="shared" si="467"/>
        <v>8.4199999999999997E-2</v>
      </c>
      <c r="I1419">
        <f t="shared" si="462"/>
        <v>377.75</v>
      </c>
      <c r="J1419">
        <f>IF(A1419&gt;=Quarterly!B$2,Quarterly!C$2,IF(COUNTIFS(Quarterly!B:B,"&gt;="&amp;A1419-92,Quarterly!B:B,"&lt;="&amp;A1419)&gt;1,SUMIFS(Quarterly!C:C,Quarterly!B:B,"&gt;="&amp;A1419-88,Quarterly!B:B,"&lt;="&amp;A1419),SUMIFS(Quarterly!C:C,Quarterly!B:B,"&gt;="&amp;A1419-92,Quarterly!B:B,"&lt;="&amp;A1419)))</f>
        <v>6054.9</v>
      </c>
      <c r="K1419" s="13">
        <f t="shared" si="463"/>
        <v>6.2399999999999997E-2</v>
      </c>
      <c r="L1419">
        <f t="shared" si="465"/>
        <v>377.75</v>
      </c>
      <c r="M1419">
        <f>IF(A1419&gt;=Quarterly!B$2,Quarterly!D$2,IF(COUNTIFS(Quarterly!B:B,"&gt;="&amp;A1419-92,Quarterly!B:B,"&lt;="&amp;A1419)&gt;1,SUMIFS(Quarterly!D:D,Quarterly!B:B,"&gt;="&amp;A1419-88,Quarterly!B:B,"&lt;="&amp;A1419),SUMIFS(Quarterly!D:D,Quarterly!B:B,"&gt;="&amp;A1419-92,Quarterly!B:B,"&lt;="&amp;A1419)))</f>
        <v>281.81299999999999</v>
      </c>
      <c r="N1419" s="13">
        <f t="shared" si="466"/>
        <v>0.13404000000000002</v>
      </c>
      <c r="O1419">
        <f t="shared" si="468"/>
        <v>377.75</v>
      </c>
      <c r="P1419" s="56"/>
      <c r="Q1419" s="13"/>
      <c r="R1419" s="41">
        <v>1.38</v>
      </c>
      <c r="S1419">
        <f t="shared" si="469"/>
        <v>0.13</v>
      </c>
      <c r="T1419" s="30">
        <f t="shared" si="470"/>
        <v>190.48</v>
      </c>
      <c r="U1419" s="30">
        <f t="shared" si="464"/>
        <v>189.1</v>
      </c>
    </row>
    <row r="1420" spans="1:21" ht="15" customHeight="1" x14ac:dyDescent="0.25">
      <c r="A1420" s="5">
        <v>33405</v>
      </c>
      <c r="B1420" s="5">
        <f t="shared" si="458"/>
        <v>33419</v>
      </c>
      <c r="C1420">
        <v>382.29</v>
      </c>
      <c r="D1420" s="29">
        <f t="shared" si="459"/>
        <v>6.6E-3</v>
      </c>
      <c r="E1420" s="39">
        <f t="shared" si="460"/>
        <v>378.43461538461537</v>
      </c>
      <c r="F1420" s="39">
        <f t="shared" si="461"/>
        <v>346.70410256410247</v>
      </c>
      <c r="G1420" s="29">
        <f t="shared" si="467"/>
        <v>1.0200000000000001E-2</v>
      </c>
      <c r="H1420" s="29">
        <f t="shared" si="467"/>
        <v>0.1026</v>
      </c>
      <c r="I1420">
        <f t="shared" si="462"/>
        <v>382.29</v>
      </c>
      <c r="J1420">
        <f>IF(A1420&gt;=Quarterly!B$2,Quarterly!C$2,IF(COUNTIFS(Quarterly!B:B,"&gt;="&amp;A1420-92,Quarterly!B:B,"&lt;="&amp;A1420)&gt;1,SUMIFS(Quarterly!C:C,Quarterly!B:B,"&gt;="&amp;A1420-88,Quarterly!B:B,"&lt;="&amp;A1420),SUMIFS(Quarterly!C:C,Quarterly!B:B,"&gt;="&amp;A1420-92,Quarterly!B:B,"&lt;="&amp;A1420)))</f>
        <v>6054.9</v>
      </c>
      <c r="K1420" s="13">
        <f t="shared" si="463"/>
        <v>6.3100000000000003E-2</v>
      </c>
      <c r="L1420">
        <f t="shared" si="465"/>
        <v>382.29</v>
      </c>
      <c r="M1420">
        <f>IF(A1420&gt;=Quarterly!B$2,Quarterly!D$2,IF(COUNTIFS(Quarterly!B:B,"&gt;="&amp;A1420-92,Quarterly!B:B,"&lt;="&amp;A1420)&gt;1,SUMIFS(Quarterly!D:D,Quarterly!B:B,"&gt;="&amp;A1420-88,Quarterly!B:B,"&lt;="&amp;A1420),SUMIFS(Quarterly!D:D,Quarterly!B:B,"&gt;="&amp;A1420-92,Quarterly!B:B,"&lt;="&amp;A1420)))</f>
        <v>281.81299999999999</v>
      </c>
      <c r="N1420" s="13">
        <f t="shared" si="466"/>
        <v>0.13565000000000002</v>
      </c>
      <c r="O1420">
        <f t="shared" si="468"/>
        <v>382.29</v>
      </c>
      <c r="P1420" s="56"/>
      <c r="Q1420" s="13"/>
      <c r="R1420" s="41">
        <v>1.27</v>
      </c>
      <c r="S1420">
        <f t="shared" si="469"/>
        <v>7.0000000000000007E-2</v>
      </c>
      <c r="T1420" s="30">
        <f t="shared" si="470"/>
        <v>188.99</v>
      </c>
      <c r="U1420" s="30">
        <f t="shared" si="464"/>
        <v>188</v>
      </c>
    </row>
    <row r="1421" spans="1:21" ht="15" customHeight="1" x14ac:dyDescent="0.25">
      <c r="A1421" s="5">
        <v>33398</v>
      </c>
      <c r="B1421" s="5">
        <f t="shared" si="458"/>
        <v>33419</v>
      </c>
      <c r="C1421">
        <v>379.43</v>
      </c>
      <c r="D1421" s="29">
        <f t="shared" si="459"/>
        <v>1.5E-3</v>
      </c>
      <c r="E1421" s="39">
        <f t="shared" si="460"/>
        <v>377.76538461538468</v>
      </c>
      <c r="F1421" s="39">
        <f t="shared" si="461"/>
        <v>345.02564102564099</v>
      </c>
      <c r="G1421" s="29">
        <f t="shared" si="467"/>
        <v>4.4000000000000003E-3</v>
      </c>
      <c r="H1421" s="29">
        <f t="shared" si="467"/>
        <v>9.9699999999999997E-2</v>
      </c>
      <c r="I1421">
        <f t="shared" si="462"/>
        <v>379.43</v>
      </c>
      <c r="J1421">
        <f>IF(A1421&gt;=Quarterly!B$2,Quarterly!C$2,IF(COUNTIFS(Quarterly!B:B,"&gt;="&amp;A1421-92,Quarterly!B:B,"&lt;="&amp;A1421)&gt;1,SUMIFS(Quarterly!C:C,Quarterly!B:B,"&gt;="&amp;A1421-88,Quarterly!B:B,"&lt;="&amp;A1421),SUMIFS(Quarterly!C:C,Quarterly!B:B,"&gt;="&amp;A1421-92,Quarterly!B:B,"&lt;="&amp;A1421)))</f>
        <v>6054.9</v>
      </c>
      <c r="K1421" s="13">
        <f t="shared" si="463"/>
        <v>6.2700000000000006E-2</v>
      </c>
      <c r="L1421">
        <f t="shared" si="465"/>
        <v>379.43</v>
      </c>
      <c r="M1421">
        <f>IF(A1421&gt;=Quarterly!B$2,Quarterly!D$2,IF(COUNTIFS(Quarterly!B:B,"&gt;="&amp;A1421-92,Quarterly!B:B,"&lt;="&amp;A1421)&gt;1,SUMIFS(Quarterly!D:D,Quarterly!B:B,"&gt;="&amp;A1421-88,Quarterly!B:B,"&lt;="&amp;A1421),SUMIFS(Quarterly!D:D,Quarterly!B:B,"&gt;="&amp;A1421-92,Quarterly!B:B,"&lt;="&amp;A1421)))</f>
        <v>281.81299999999999</v>
      </c>
      <c r="N1421" s="13">
        <f t="shared" si="466"/>
        <v>0.13464000000000001</v>
      </c>
      <c r="O1421">
        <f t="shared" si="468"/>
        <v>379.43</v>
      </c>
      <c r="P1421" s="56"/>
      <c r="Q1421" s="13"/>
      <c r="R1421" s="41">
        <v>1.31</v>
      </c>
      <c r="S1421">
        <f t="shared" si="469"/>
        <v>0.04</v>
      </c>
      <c r="T1421" s="30">
        <f t="shared" si="470"/>
        <v>187.83</v>
      </c>
      <c r="U1421" s="30">
        <f t="shared" si="464"/>
        <v>186.45</v>
      </c>
    </row>
    <row r="1422" spans="1:21" ht="15" customHeight="1" x14ac:dyDescent="0.25">
      <c r="A1422" s="5">
        <v>33391</v>
      </c>
      <c r="B1422" s="5">
        <f t="shared" si="458"/>
        <v>33419</v>
      </c>
      <c r="C1422">
        <v>389.83</v>
      </c>
      <c r="D1422" s="29">
        <f t="shared" si="459"/>
        <v>3.5099999999999999E-2</v>
      </c>
      <c r="E1422" s="39">
        <f t="shared" si="460"/>
        <v>377.42076923076922</v>
      </c>
      <c r="F1422" s="39">
        <f t="shared" si="461"/>
        <v>343.58897435897427</v>
      </c>
      <c r="G1422" s="29">
        <f t="shared" si="467"/>
        <v>3.2899999999999999E-2</v>
      </c>
      <c r="H1422" s="29">
        <f t="shared" si="467"/>
        <v>0.1346</v>
      </c>
      <c r="I1422">
        <f t="shared" si="462"/>
        <v>389.83</v>
      </c>
      <c r="J1422">
        <f>IF(A1422&gt;=Quarterly!B$2,Quarterly!C$2,IF(COUNTIFS(Quarterly!B:B,"&gt;="&amp;A1422-92,Quarterly!B:B,"&lt;="&amp;A1422)&gt;1,SUMIFS(Quarterly!C:C,Quarterly!B:B,"&gt;="&amp;A1422-88,Quarterly!B:B,"&lt;="&amp;A1422),SUMIFS(Quarterly!C:C,Quarterly!B:B,"&gt;="&amp;A1422-92,Quarterly!B:B,"&lt;="&amp;A1422)))</f>
        <v>6054.9</v>
      </c>
      <c r="K1422" s="13">
        <f t="shared" si="463"/>
        <v>6.4399999999999999E-2</v>
      </c>
      <c r="L1422">
        <f t="shared" si="465"/>
        <v>389.83</v>
      </c>
      <c r="M1422">
        <f>IF(A1422&gt;=Quarterly!B$2,Quarterly!D$2,IF(COUNTIFS(Quarterly!B:B,"&gt;="&amp;A1422-92,Quarterly!B:B,"&lt;="&amp;A1422)&gt;1,SUMIFS(Quarterly!D:D,Quarterly!B:B,"&gt;="&amp;A1422-88,Quarterly!B:B,"&lt;="&amp;A1422),SUMIFS(Quarterly!D:D,Quarterly!B:B,"&gt;="&amp;A1422-92,Quarterly!B:B,"&lt;="&amp;A1422)))</f>
        <v>281.81299999999999</v>
      </c>
      <c r="N1422" s="13">
        <f t="shared" si="466"/>
        <v>0.13833000000000001</v>
      </c>
      <c r="O1422">
        <f t="shared" si="468"/>
        <v>389.83</v>
      </c>
      <c r="P1422" s="56"/>
      <c r="Q1422" s="13"/>
      <c r="R1422" s="41">
        <v>1.38</v>
      </c>
      <c r="S1422">
        <f t="shared" si="469"/>
        <v>0.01</v>
      </c>
      <c r="T1422" s="30">
        <f t="shared" si="470"/>
        <v>187.18</v>
      </c>
      <c r="U1422" s="30">
        <f t="shared" si="464"/>
        <v>185.7</v>
      </c>
    </row>
    <row r="1423" spans="1:21" ht="15" customHeight="1" x14ac:dyDescent="0.25">
      <c r="A1423" s="5">
        <v>33384</v>
      </c>
      <c r="B1423" s="5">
        <f t="shared" si="458"/>
        <v>33389</v>
      </c>
      <c r="C1423">
        <v>377.49</v>
      </c>
      <c r="D1423" s="29">
        <f t="shared" si="459"/>
        <v>1.2999999999999999E-3</v>
      </c>
      <c r="E1423" s="39">
        <f t="shared" si="460"/>
        <v>375.93153846153842</v>
      </c>
      <c r="F1423" s="39">
        <f t="shared" si="461"/>
        <v>341.86410256410255</v>
      </c>
      <c r="G1423" s="29">
        <f t="shared" si="467"/>
        <v>4.1000000000000003E-3</v>
      </c>
      <c r="H1423" s="29">
        <f t="shared" si="467"/>
        <v>0.1042</v>
      </c>
      <c r="I1423">
        <f t="shared" si="462"/>
        <v>377.49</v>
      </c>
      <c r="J1423">
        <f>IF(A1423&gt;=Quarterly!B$2,Quarterly!C$2,IF(COUNTIFS(Quarterly!B:B,"&gt;="&amp;A1423-92,Quarterly!B:B,"&lt;="&amp;A1423)&gt;1,SUMIFS(Quarterly!C:C,Quarterly!B:B,"&gt;="&amp;A1423-88,Quarterly!B:B,"&lt;="&amp;A1423),SUMIFS(Quarterly!C:C,Quarterly!B:B,"&gt;="&amp;A1423-92,Quarterly!B:B,"&lt;="&amp;A1423)))</f>
        <v>6054.9</v>
      </c>
      <c r="K1423" s="13">
        <f t="shared" si="463"/>
        <v>6.2300000000000001E-2</v>
      </c>
      <c r="L1423">
        <f t="shared" si="465"/>
        <v>377.49</v>
      </c>
      <c r="M1423">
        <f>IF(A1423&gt;=Quarterly!B$2,Quarterly!D$2,IF(COUNTIFS(Quarterly!B:B,"&gt;="&amp;A1423-92,Quarterly!B:B,"&lt;="&amp;A1423)&gt;1,SUMIFS(Quarterly!D:D,Quarterly!B:B,"&gt;="&amp;A1423-88,Quarterly!B:B,"&lt;="&amp;A1423),SUMIFS(Quarterly!D:D,Quarterly!B:B,"&gt;="&amp;A1423-92,Quarterly!B:B,"&lt;="&amp;A1423)))</f>
        <v>281.81299999999999</v>
      </c>
      <c r="N1423" s="13">
        <f t="shared" si="466"/>
        <v>0.13394999999999999</v>
      </c>
      <c r="O1423">
        <f t="shared" si="468"/>
        <v>377.49</v>
      </c>
      <c r="P1423" s="56"/>
      <c r="Q1423" s="13"/>
      <c r="R1423" s="41">
        <v>1.41</v>
      </c>
      <c r="S1423">
        <f t="shared" si="469"/>
        <v>-0.09</v>
      </c>
      <c r="T1423" s="30">
        <f t="shared" si="470"/>
        <v>184.33</v>
      </c>
      <c r="U1423" s="30">
        <f t="shared" si="464"/>
        <v>184.81</v>
      </c>
    </row>
    <row r="1424" spans="1:21" ht="15" customHeight="1" x14ac:dyDescent="0.25">
      <c r="A1424" s="5">
        <v>33377</v>
      </c>
      <c r="B1424" s="5">
        <f t="shared" si="458"/>
        <v>33389</v>
      </c>
      <c r="C1424">
        <v>372.39</v>
      </c>
      <c r="D1424" s="29">
        <f t="shared" si="459"/>
        <v>-1.9900000000000001E-2</v>
      </c>
      <c r="E1424" s="39">
        <f t="shared" si="460"/>
        <v>375.02076923076925</v>
      </c>
      <c r="F1424" s="39">
        <f t="shared" si="461"/>
        <v>340.1723076923077</v>
      </c>
      <c r="G1424" s="29">
        <f t="shared" si="467"/>
        <v>-7.0000000000000001E-3</v>
      </c>
      <c r="H1424" s="29">
        <f t="shared" si="467"/>
        <v>9.4700000000000006E-2</v>
      </c>
      <c r="I1424">
        <f t="shared" si="462"/>
        <v>372.39</v>
      </c>
      <c r="J1424">
        <f>IF(A1424&gt;=Quarterly!B$2,Quarterly!C$2,IF(COUNTIFS(Quarterly!B:B,"&gt;="&amp;A1424-92,Quarterly!B:B,"&lt;="&amp;A1424)&gt;1,SUMIFS(Quarterly!C:C,Quarterly!B:B,"&gt;="&amp;A1424-88,Quarterly!B:B,"&lt;="&amp;A1424),SUMIFS(Quarterly!C:C,Quarterly!B:B,"&gt;="&amp;A1424-92,Quarterly!B:B,"&lt;="&amp;A1424)))</f>
        <v>6054.9</v>
      </c>
      <c r="K1424" s="13">
        <f t="shared" si="463"/>
        <v>6.1499999999999999E-2</v>
      </c>
      <c r="L1424">
        <f t="shared" si="465"/>
        <v>372.39</v>
      </c>
      <c r="M1424">
        <f>IF(A1424&gt;=Quarterly!B$2,Quarterly!D$2,IF(COUNTIFS(Quarterly!B:B,"&gt;="&amp;A1424-92,Quarterly!B:B,"&lt;="&amp;A1424)&gt;1,SUMIFS(Quarterly!D:D,Quarterly!B:B,"&gt;="&amp;A1424-88,Quarterly!B:B,"&lt;="&amp;A1424),SUMIFS(Quarterly!D:D,Quarterly!B:B,"&gt;="&amp;A1424-92,Quarterly!B:B,"&lt;="&amp;A1424)))</f>
        <v>281.81299999999999</v>
      </c>
      <c r="N1424" s="13">
        <f t="shared" si="466"/>
        <v>0.13214000000000001</v>
      </c>
      <c r="O1424">
        <f t="shared" si="468"/>
        <v>372.39</v>
      </c>
      <c r="P1424" s="56"/>
      <c r="Q1424" s="13"/>
      <c r="R1424" s="41">
        <v>1.22</v>
      </c>
      <c r="S1424">
        <f t="shared" si="469"/>
        <v>-0.05</v>
      </c>
      <c r="T1424" s="30">
        <f t="shared" si="470"/>
        <v>185.58</v>
      </c>
      <c r="U1424" s="30">
        <f t="shared" si="464"/>
        <v>186.69</v>
      </c>
    </row>
    <row r="1425" spans="1:21" ht="15" customHeight="1" x14ac:dyDescent="0.25">
      <c r="A1425" s="5">
        <v>33370</v>
      </c>
      <c r="B1425" s="5">
        <f t="shared" si="458"/>
        <v>33389</v>
      </c>
      <c r="C1425">
        <v>375.74</v>
      </c>
      <c r="D1425" s="29">
        <f t="shared" si="459"/>
        <v>-1.41E-2</v>
      </c>
      <c r="E1425" s="39">
        <f t="shared" si="460"/>
        <v>374.76461538461535</v>
      </c>
      <c r="F1425" s="39">
        <f t="shared" si="461"/>
        <v>339.02974358974353</v>
      </c>
      <c r="G1425" s="29">
        <f t="shared" si="467"/>
        <v>2.5999999999999999E-3</v>
      </c>
      <c r="H1425" s="29">
        <f t="shared" si="467"/>
        <v>0.10829999999999999</v>
      </c>
      <c r="I1425">
        <f t="shared" si="462"/>
        <v>375.74</v>
      </c>
      <c r="J1425">
        <f>IF(A1425&gt;=Quarterly!B$2,Quarterly!C$2,IF(COUNTIFS(Quarterly!B:B,"&gt;="&amp;A1425-92,Quarterly!B:B,"&lt;="&amp;A1425)&gt;1,SUMIFS(Quarterly!C:C,Quarterly!B:B,"&gt;="&amp;A1425-88,Quarterly!B:B,"&lt;="&amp;A1425),SUMIFS(Quarterly!C:C,Quarterly!B:B,"&gt;="&amp;A1425-92,Quarterly!B:B,"&lt;="&amp;A1425)))</f>
        <v>6054.9</v>
      </c>
      <c r="K1425" s="13">
        <f t="shared" si="463"/>
        <v>6.2100000000000002E-2</v>
      </c>
      <c r="L1425">
        <f t="shared" si="465"/>
        <v>375.74</v>
      </c>
      <c r="M1425">
        <f>IF(A1425&gt;=Quarterly!B$2,Quarterly!D$2,IF(COUNTIFS(Quarterly!B:B,"&gt;="&amp;A1425-92,Quarterly!B:B,"&lt;="&amp;A1425)&gt;1,SUMIFS(Quarterly!D:D,Quarterly!B:B,"&gt;="&amp;A1425-88,Quarterly!B:B,"&lt;="&amp;A1425),SUMIFS(Quarterly!D:D,Quarterly!B:B,"&gt;="&amp;A1425-92,Quarterly!B:B,"&lt;="&amp;A1425)))</f>
        <v>281.81299999999999</v>
      </c>
      <c r="N1425" s="13">
        <f t="shared" si="466"/>
        <v>0.13333</v>
      </c>
      <c r="O1425">
        <f t="shared" si="468"/>
        <v>375.74</v>
      </c>
      <c r="P1425" s="56"/>
      <c r="Q1425" s="13"/>
      <c r="R1425" s="41">
        <v>1.25</v>
      </c>
      <c r="S1425">
        <f t="shared" si="469"/>
        <v>-0.08</v>
      </c>
      <c r="T1425" s="30">
        <f t="shared" si="470"/>
        <v>184.53</v>
      </c>
      <c r="U1425" s="30">
        <f t="shared" si="464"/>
        <v>188.22</v>
      </c>
    </row>
    <row r="1426" spans="1:21" ht="15" customHeight="1" x14ac:dyDescent="0.25">
      <c r="A1426" s="5">
        <v>33363</v>
      </c>
      <c r="B1426" s="5">
        <f t="shared" ref="B1426:B1489" si="471">EOMONTH(A1426,0)</f>
        <v>33389</v>
      </c>
      <c r="C1426">
        <v>380.8</v>
      </c>
      <c r="D1426" s="29">
        <f t="shared" ref="D1426:D1489" si="472">ROUND((C1426-AVERAGE(C1427:C1430))/AVERAGE(C1427:C1430),4)</f>
        <v>2.8E-3</v>
      </c>
      <c r="E1426" s="39">
        <f t="shared" ref="E1426:E1489" si="473">AVERAGE(C1426:C1438)</f>
        <v>373.50384615384615</v>
      </c>
      <c r="F1426" s="39">
        <f t="shared" ref="F1426:F1489" si="474">AVERAGE(C1426:C1464)</f>
        <v>337.99846153846153</v>
      </c>
      <c r="G1426" s="29">
        <f t="shared" si="467"/>
        <v>1.95E-2</v>
      </c>
      <c r="H1426" s="29">
        <f t="shared" si="467"/>
        <v>0.12659999999999999</v>
      </c>
      <c r="I1426">
        <f t="shared" ref="I1426:I1489" si="475">C1426</f>
        <v>380.8</v>
      </c>
      <c r="J1426">
        <f>IF(A1426&gt;=Quarterly!B$2,Quarterly!C$2,IF(COUNTIFS(Quarterly!B:B,"&gt;="&amp;A1426-92,Quarterly!B:B,"&lt;="&amp;A1426)&gt;1,SUMIFS(Quarterly!C:C,Quarterly!B:B,"&gt;="&amp;A1426-88,Quarterly!B:B,"&lt;="&amp;A1426),SUMIFS(Quarterly!C:C,Quarterly!B:B,"&gt;="&amp;A1426-92,Quarterly!B:B,"&lt;="&amp;A1426)))</f>
        <v>6054.9</v>
      </c>
      <c r="K1426" s="13">
        <f t="shared" ref="K1426:K1489" si="476">ROUND(I1426/J1426,4)</f>
        <v>6.2899999999999998E-2</v>
      </c>
      <c r="L1426">
        <f t="shared" si="465"/>
        <v>380.8</v>
      </c>
      <c r="M1426">
        <f>IF(A1426&gt;=Quarterly!B$2,Quarterly!D$2,IF(COUNTIFS(Quarterly!B:B,"&gt;="&amp;A1426-92,Quarterly!B:B,"&lt;="&amp;A1426)&gt;1,SUMIFS(Quarterly!D:D,Quarterly!B:B,"&gt;="&amp;A1426-88,Quarterly!B:B,"&lt;="&amp;A1426),SUMIFS(Quarterly!D:D,Quarterly!B:B,"&gt;="&amp;A1426-92,Quarterly!B:B,"&lt;="&amp;A1426)))</f>
        <v>281.81299999999999</v>
      </c>
      <c r="N1426" s="13">
        <f t="shared" si="466"/>
        <v>0.13513</v>
      </c>
      <c r="O1426">
        <f t="shared" si="468"/>
        <v>380.8</v>
      </c>
      <c r="P1426" s="56"/>
      <c r="Q1426" s="13"/>
      <c r="R1426" s="41">
        <v>1.24</v>
      </c>
      <c r="S1426">
        <f t="shared" si="469"/>
        <v>0.06</v>
      </c>
      <c r="T1426" s="30">
        <f t="shared" si="470"/>
        <v>189.96</v>
      </c>
      <c r="U1426" s="30">
        <f t="shared" ref="U1426:U1489" si="477">ROUND(AVERAGE(T1426:T1428),2)</f>
        <v>190.52</v>
      </c>
    </row>
    <row r="1427" spans="1:21" ht="15" customHeight="1" x14ac:dyDescent="0.25">
      <c r="A1427" s="5">
        <v>33356</v>
      </c>
      <c r="B1427" s="5">
        <f t="shared" si="471"/>
        <v>33358</v>
      </c>
      <c r="C1427">
        <v>379.02</v>
      </c>
      <c r="D1427" s="29">
        <f t="shared" si="472"/>
        <v>5.9999999999999995E-4</v>
      </c>
      <c r="E1427" s="39">
        <f t="shared" si="473"/>
        <v>370.60000000000008</v>
      </c>
      <c r="F1427" s="39">
        <f t="shared" si="474"/>
        <v>337.07692307692309</v>
      </c>
      <c r="G1427" s="29">
        <f t="shared" si="467"/>
        <v>2.2700000000000001E-2</v>
      </c>
      <c r="H1427" s="29">
        <f t="shared" si="467"/>
        <v>0.1244</v>
      </c>
      <c r="I1427">
        <f t="shared" si="475"/>
        <v>379.02</v>
      </c>
      <c r="J1427">
        <f>IF(A1427&gt;=Quarterly!B$2,Quarterly!C$2,IF(COUNTIFS(Quarterly!B:B,"&gt;="&amp;A1427-92,Quarterly!B:B,"&lt;="&amp;A1427)&gt;1,SUMIFS(Quarterly!C:C,Quarterly!B:B,"&gt;="&amp;A1427-88,Quarterly!B:B,"&lt;="&amp;A1427),SUMIFS(Quarterly!C:C,Quarterly!B:B,"&gt;="&amp;A1427-92,Quarterly!B:B,"&lt;="&amp;A1427)))</f>
        <v>6023.3</v>
      </c>
      <c r="K1427" s="13">
        <f t="shared" si="476"/>
        <v>6.2899999999999998E-2</v>
      </c>
      <c r="L1427">
        <f t="shared" si="465"/>
        <v>379.02</v>
      </c>
      <c r="M1427">
        <f>IF(A1427&gt;=Quarterly!B$2,Quarterly!D$2,IF(COUNTIFS(Quarterly!B:B,"&gt;="&amp;A1427-92,Quarterly!B:B,"&lt;="&amp;A1427)&gt;1,SUMIFS(Quarterly!D:D,Quarterly!B:B,"&gt;="&amp;A1427-88,Quarterly!B:B,"&lt;="&amp;A1427),SUMIFS(Quarterly!D:D,Quarterly!B:B,"&gt;="&amp;A1427-92,Quarterly!B:B,"&lt;="&amp;A1427)))</f>
        <v>265.565</v>
      </c>
      <c r="N1427" s="13">
        <f t="shared" si="466"/>
        <v>0.14272000000000001</v>
      </c>
      <c r="O1427">
        <f t="shared" si="468"/>
        <v>379.02</v>
      </c>
      <c r="P1427" s="56"/>
      <c r="Q1427" s="13"/>
      <c r="R1427" s="41">
        <v>1.17</v>
      </c>
      <c r="S1427">
        <f t="shared" si="469"/>
        <v>0.1</v>
      </c>
      <c r="T1427" s="30">
        <f t="shared" si="470"/>
        <v>190.18</v>
      </c>
      <c r="U1427" s="30">
        <f t="shared" si="477"/>
        <v>191.95</v>
      </c>
    </row>
    <row r="1428" spans="1:21" ht="15" customHeight="1" x14ac:dyDescent="0.25">
      <c r="A1428" s="5">
        <v>33349</v>
      </c>
      <c r="B1428" s="5">
        <f t="shared" si="471"/>
        <v>33358</v>
      </c>
      <c r="C1428">
        <v>384.2</v>
      </c>
      <c r="D1428" s="29">
        <f t="shared" si="472"/>
        <v>2.5600000000000001E-2</v>
      </c>
      <c r="E1428" s="39">
        <f t="shared" si="473"/>
        <v>367.2961538461538</v>
      </c>
      <c r="F1428" s="39">
        <f t="shared" si="474"/>
        <v>336.42102564102566</v>
      </c>
      <c r="G1428" s="29">
        <f t="shared" si="467"/>
        <v>4.5999999999999999E-2</v>
      </c>
      <c r="H1428" s="29">
        <f t="shared" si="467"/>
        <v>0.14199999999999999</v>
      </c>
      <c r="I1428">
        <f t="shared" si="475"/>
        <v>384.2</v>
      </c>
      <c r="J1428">
        <f>IF(A1428&gt;=Quarterly!B$2,Quarterly!C$2,IF(COUNTIFS(Quarterly!B:B,"&gt;="&amp;A1428-92,Quarterly!B:B,"&lt;="&amp;A1428)&gt;1,SUMIFS(Quarterly!C:C,Quarterly!B:B,"&gt;="&amp;A1428-88,Quarterly!B:B,"&lt;="&amp;A1428),SUMIFS(Quarterly!C:C,Quarterly!B:B,"&gt;="&amp;A1428-92,Quarterly!B:B,"&lt;="&amp;A1428)))</f>
        <v>6023.3</v>
      </c>
      <c r="K1428" s="13">
        <f t="shared" si="476"/>
        <v>6.3799999999999996E-2</v>
      </c>
      <c r="L1428">
        <f t="shared" si="465"/>
        <v>384.2</v>
      </c>
      <c r="M1428">
        <f>IF(A1428&gt;=Quarterly!B$2,Quarterly!D$2,IF(COUNTIFS(Quarterly!B:B,"&gt;="&amp;A1428-92,Quarterly!B:B,"&lt;="&amp;A1428)&gt;1,SUMIFS(Quarterly!D:D,Quarterly!B:B,"&gt;="&amp;A1428-88,Quarterly!B:B,"&lt;="&amp;A1428),SUMIFS(Quarterly!D:D,Quarterly!B:B,"&gt;="&amp;A1428-92,Quarterly!B:B,"&lt;="&amp;A1428)))</f>
        <v>265.565</v>
      </c>
      <c r="N1428" s="13">
        <f t="shared" si="466"/>
        <v>0.14467000000000002</v>
      </c>
      <c r="O1428">
        <f t="shared" si="468"/>
        <v>384.2</v>
      </c>
      <c r="P1428" s="56"/>
      <c r="Q1428" s="13"/>
      <c r="R1428" s="41">
        <v>1.07</v>
      </c>
      <c r="S1428">
        <f t="shared" si="469"/>
        <v>0.06</v>
      </c>
      <c r="T1428" s="30">
        <f t="shared" si="470"/>
        <v>191.43</v>
      </c>
      <c r="U1428" s="30">
        <f t="shared" si="477"/>
        <v>195.34</v>
      </c>
    </row>
    <row r="1429" spans="1:21" ht="15" customHeight="1" x14ac:dyDescent="0.25">
      <c r="A1429" s="5">
        <v>33342</v>
      </c>
      <c r="B1429" s="5">
        <f t="shared" si="471"/>
        <v>33358</v>
      </c>
      <c r="C1429">
        <v>380.4</v>
      </c>
      <c r="D1429" s="29">
        <f t="shared" si="472"/>
        <v>2.01E-2</v>
      </c>
      <c r="E1429" s="39">
        <f t="shared" si="473"/>
        <v>363.29846153846159</v>
      </c>
      <c r="F1429" s="39">
        <f t="shared" si="474"/>
        <v>335.84179487179489</v>
      </c>
      <c r="G1429" s="29">
        <f t="shared" si="467"/>
        <v>4.7100000000000003E-2</v>
      </c>
      <c r="H1429" s="29">
        <f t="shared" si="467"/>
        <v>0.13270000000000001</v>
      </c>
      <c r="I1429">
        <f t="shared" si="475"/>
        <v>380.4</v>
      </c>
      <c r="J1429">
        <f>IF(A1429&gt;=Quarterly!B$2,Quarterly!C$2,IF(COUNTIFS(Quarterly!B:B,"&gt;="&amp;A1429-92,Quarterly!B:B,"&lt;="&amp;A1429)&gt;1,SUMIFS(Quarterly!C:C,Quarterly!B:B,"&gt;="&amp;A1429-88,Quarterly!B:B,"&lt;="&amp;A1429),SUMIFS(Quarterly!C:C,Quarterly!B:B,"&gt;="&amp;A1429-92,Quarterly!B:B,"&lt;="&amp;A1429)))</f>
        <v>6023.3</v>
      </c>
      <c r="K1429" s="13">
        <f t="shared" si="476"/>
        <v>6.3200000000000006E-2</v>
      </c>
      <c r="L1429">
        <f t="shared" si="465"/>
        <v>380.4</v>
      </c>
      <c r="M1429">
        <f>IF(A1429&gt;=Quarterly!B$2,Quarterly!D$2,IF(COUNTIFS(Quarterly!B:B,"&gt;="&amp;A1429-92,Quarterly!B:B,"&lt;="&amp;A1429)&gt;1,SUMIFS(Quarterly!D:D,Quarterly!B:B,"&gt;="&amp;A1429-88,Quarterly!B:B,"&lt;="&amp;A1429),SUMIFS(Quarterly!D:D,Quarterly!B:B,"&gt;="&amp;A1429-92,Quarterly!B:B,"&lt;="&amp;A1429)))</f>
        <v>265.565</v>
      </c>
      <c r="N1429" s="13">
        <f t="shared" si="466"/>
        <v>0.14324000000000001</v>
      </c>
      <c r="O1429">
        <f t="shared" si="468"/>
        <v>380.4</v>
      </c>
      <c r="P1429" s="56"/>
      <c r="Q1429" s="13"/>
      <c r="R1429" s="41">
        <v>1.1000000000000001</v>
      </c>
      <c r="S1429">
        <f t="shared" si="469"/>
        <v>0.06</v>
      </c>
      <c r="T1429" s="30">
        <f t="shared" si="470"/>
        <v>194.25</v>
      </c>
      <c r="U1429" s="30">
        <f t="shared" si="477"/>
        <v>200.25</v>
      </c>
    </row>
    <row r="1430" spans="1:21" ht="15" customHeight="1" x14ac:dyDescent="0.25">
      <c r="A1430" s="5">
        <v>33335</v>
      </c>
      <c r="B1430" s="5">
        <f t="shared" si="471"/>
        <v>33358</v>
      </c>
      <c r="C1430">
        <v>375.36</v>
      </c>
      <c r="D1430" s="29">
        <f t="shared" si="472"/>
        <v>6.7999999999999996E-3</v>
      </c>
      <c r="E1430" s="39">
        <f t="shared" si="473"/>
        <v>358.28538461538454</v>
      </c>
      <c r="F1430" s="39">
        <f t="shared" si="474"/>
        <v>335.50615384615384</v>
      </c>
      <c r="G1430" s="29">
        <f t="shared" si="467"/>
        <v>4.7699999999999999E-2</v>
      </c>
      <c r="H1430" s="29">
        <f t="shared" si="467"/>
        <v>0.1188</v>
      </c>
      <c r="I1430">
        <f t="shared" si="475"/>
        <v>375.36</v>
      </c>
      <c r="J1430">
        <f>IF(A1430&gt;=Quarterly!B$2,Quarterly!C$2,IF(COUNTIFS(Quarterly!B:B,"&gt;="&amp;A1430-92,Quarterly!B:B,"&lt;="&amp;A1430)&gt;1,SUMIFS(Quarterly!C:C,Quarterly!B:B,"&gt;="&amp;A1430-88,Quarterly!B:B,"&lt;="&amp;A1430),SUMIFS(Quarterly!C:C,Quarterly!B:B,"&gt;="&amp;A1430-92,Quarterly!B:B,"&lt;="&amp;A1430)))</f>
        <v>6023.3</v>
      </c>
      <c r="K1430" s="13">
        <f t="shared" si="476"/>
        <v>6.2300000000000001E-2</v>
      </c>
      <c r="L1430">
        <f t="shared" si="465"/>
        <v>375.36</v>
      </c>
      <c r="M1430">
        <f>IF(A1430&gt;=Quarterly!B$2,Quarterly!D$2,IF(COUNTIFS(Quarterly!B:B,"&gt;="&amp;A1430-92,Quarterly!B:B,"&lt;="&amp;A1430)&gt;1,SUMIFS(Quarterly!D:D,Quarterly!B:B,"&gt;="&amp;A1430-88,Quarterly!B:B,"&lt;="&amp;A1430),SUMIFS(Quarterly!D:D,Quarterly!B:B,"&gt;="&amp;A1430-92,Quarterly!B:B,"&lt;="&amp;A1430)))</f>
        <v>265.565</v>
      </c>
      <c r="N1430" s="13">
        <f t="shared" si="466"/>
        <v>0.14133999999999999</v>
      </c>
      <c r="O1430">
        <f t="shared" si="468"/>
        <v>375.36</v>
      </c>
      <c r="P1430" s="56"/>
      <c r="Q1430" s="13"/>
      <c r="R1430" s="41">
        <v>1.07</v>
      </c>
      <c r="S1430">
        <f t="shared" si="469"/>
        <v>0.13</v>
      </c>
      <c r="T1430" s="30">
        <f t="shared" si="470"/>
        <v>200.34</v>
      </c>
      <c r="U1430" s="30">
        <f t="shared" si="477"/>
        <v>203.41</v>
      </c>
    </row>
    <row r="1431" spans="1:21" ht="15" customHeight="1" x14ac:dyDescent="0.25">
      <c r="A1431" s="5">
        <v>33328</v>
      </c>
      <c r="B1431" s="5">
        <f t="shared" si="471"/>
        <v>33328</v>
      </c>
      <c r="C1431">
        <v>375.22</v>
      </c>
      <c r="D1431" s="29">
        <f t="shared" si="472"/>
        <v>9.7000000000000003E-3</v>
      </c>
      <c r="E1431" s="39">
        <f t="shared" si="473"/>
        <v>354.10384615384618</v>
      </c>
      <c r="F1431" s="39">
        <f t="shared" si="474"/>
        <v>335.07179487179491</v>
      </c>
      <c r="G1431" s="29">
        <f t="shared" si="467"/>
        <v>5.96E-2</v>
      </c>
      <c r="H1431" s="29">
        <f t="shared" si="467"/>
        <v>0.1198</v>
      </c>
      <c r="I1431">
        <f t="shared" si="475"/>
        <v>375.22</v>
      </c>
      <c r="J1431">
        <f>IF(A1431&gt;=Quarterly!B$2,Quarterly!C$2,IF(COUNTIFS(Quarterly!B:B,"&gt;="&amp;A1431-92,Quarterly!B:B,"&lt;="&amp;A1431)&gt;1,SUMIFS(Quarterly!C:C,Quarterly!B:B,"&gt;="&amp;A1431-88,Quarterly!B:B,"&lt;="&amp;A1431),SUMIFS(Quarterly!C:C,Quarterly!B:B,"&gt;="&amp;A1431-92,Quarterly!B:B,"&lt;="&amp;A1431)))</f>
        <v>6023.3</v>
      </c>
      <c r="K1431" s="13">
        <f t="shared" si="476"/>
        <v>6.2300000000000001E-2</v>
      </c>
      <c r="L1431">
        <f t="shared" ref="L1431:L1494" si="478">C1431</f>
        <v>375.22</v>
      </c>
      <c r="M1431">
        <f>IF(A1431&gt;=Quarterly!B$2,Quarterly!D$2,IF(COUNTIFS(Quarterly!B:B,"&gt;="&amp;A1431-92,Quarterly!B:B,"&lt;="&amp;A1431)&gt;1,SUMIFS(Quarterly!D:D,Quarterly!B:B,"&gt;="&amp;A1431-88,Quarterly!B:B,"&lt;="&amp;A1431),SUMIFS(Quarterly!D:D,Quarterly!B:B,"&gt;="&amp;A1431-92,Quarterly!B:B,"&lt;="&amp;A1431)))</f>
        <v>265.565</v>
      </c>
      <c r="N1431" s="13">
        <f t="shared" ref="N1431:N1494" si="479">ROUND(L1431/M1431,4)*0.1</f>
        <v>0.14129</v>
      </c>
      <c r="O1431">
        <f t="shared" si="468"/>
        <v>375.22</v>
      </c>
      <c r="P1431" s="56"/>
      <c r="Q1431" s="13"/>
      <c r="R1431" s="41">
        <v>1.03</v>
      </c>
      <c r="S1431">
        <f t="shared" si="469"/>
        <v>0.21</v>
      </c>
      <c r="T1431" s="30">
        <f t="shared" si="470"/>
        <v>206.17</v>
      </c>
      <c r="U1431" s="30">
        <f t="shared" si="477"/>
        <v>206.63</v>
      </c>
    </row>
    <row r="1432" spans="1:21" ht="15" customHeight="1" x14ac:dyDescent="0.25">
      <c r="A1432" s="5">
        <v>33321</v>
      </c>
      <c r="B1432" s="5">
        <f t="shared" si="471"/>
        <v>33328</v>
      </c>
      <c r="C1432">
        <v>367.48</v>
      </c>
      <c r="D1432" s="29">
        <f t="shared" si="472"/>
        <v>-9.9000000000000008E-3</v>
      </c>
      <c r="E1432" s="39">
        <f t="shared" si="473"/>
        <v>350.52692307692308</v>
      </c>
      <c r="F1432" s="39">
        <f t="shared" si="474"/>
        <v>334.63076923076926</v>
      </c>
      <c r="G1432" s="29">
        <f t="shared" si="467"/>
        <v>4.8399999999999999E-2</v>
      </c>
      <c r="H1432" s="29">
        <f t="shared" si="467"/>
        <v>9.8199999999999996E-2</v>
      </c>
      <c r="I1432">
        <f t="shared" si="475"/>
        <v>367.48</v>
      </c>
      <c r="J1432">
        <f>IF(A1432&gt;=Quarterly!B$2,Quarterly!C$2,IF(COUNTIFS(Quarterly!B:B,"&gt;="&amp;A1432-92,Quarterly!B:B,"&lt;="&amp;A1432)&gt;1,SUMIFS(Quarterly!C:C,Quarterly!B:B,"&gt;="&amp;A1432-88,Quarterly!B:B,"&lt;="&amp;A1432),SUMIFS(Quarterly!C:C,Quarterly!B:B,"&gt;="&amp;A1432-92,Quarterly!B:B,"&lt;="&amp;A1432)))</f>
        <v>6023.3</v>
      </c>
      <c r="K1432" s="13">
        <f t="shared" si="476"/>
        <v>6.0999999999999999E-2</v>
      </c>
      <c r="L1432">
        <f t="shared" si="478"/>
        <v>367.48</v>
      </c>
      <c r="M1432">
        <f>IF(A1432&gt;=Quarterly!B$2,Quarterly!D$2,IF(COUNTIFS(Quarterly!B:B,"&gt;="&amp;A1432-92,Quarterly!B:B,"&lt;="&amp;A1432)&gt;1,SUMIFS(Quarterly!D:D,Quarterly!B:B,"&gt;="&amp;A1432-88,Quarterly!B:B,"&lt;="&amp;A1432),SUMIFS(Quarterly!D:D,Quarterly!B:B,"&gt;="&amp;A1432-92,Quarterly!B:B,"&lt;="&amp;A1432)))</f>
        <v>265.565</v>
      </c>
      <c r="N1432" s="13">
        <f t="shared" si="479"/>
        <v>0.13838</v>
      </c>
      <c r="O1432">
        <f t="shared" si="468"/>
        <v>367.48</v>
      </c>
      <c r="P1432" s="56"/>
      <c r="Q1432" s="13"/>
      <c r="R1432" s="41">
        <v>1</v>
      </c>
      <c r="S1432">
        <f t="shared" si="469"/>
        <v>0.06</v>
      </c>
      <c r="T1432" s="30">
        <f t="shared" si="470"/>
        <v>203.72</v>
      </c>
      <c r="U1432" s="30">
        <f t="shared" si="477"/>
        <v>208.15</v>
      </c>
    </row>
    <row r="1433" spans="1:21" ht="15" customHeight="1" x14ac:dyDescent="0.25">
      <c r="A1433" s="5">
        <v>33314</v>
      </c>
      <c r="B1433" s="5">
        <f t="shared" si="471"/>
        <v>33328</v>
      </c>
      <c r="C1433">
        <v>373.59</v>
      </c>
      <c r="D1433" s="29">
        <f t="shared" si="472"/>
        <v>9.5999999999999992E-3</v>
      </c>
      <c r="E1433" s="39">
        <f t="shared" si="473"/>
        <v>347.77846153846156</v>
      </c>
      <c r="F1433" s="39">
        <f t="shared" si="474"/>
        <v>334.32179487179491</v>
      </c>
      <c r="G1433" s="29">
        <f t="shared" si="467"/>
        <v>7.4200000000000002E-2</v>
      </c>
      <c r="H1433" s="29">
        <f t="shared" si="467"/>
        <v>0.11749999999999999</v>
      </c>
      <c r="I1433">
        <f t="shared" si="475"/>
        <v>373.59</v>
      </c>
      <c r="J1433">
        <f>IF(A1433&gt;=Quarterly!B$2,Quarterly!C$2,IF(COUNTIFS(Quarterly!B:B,"&gt;="&amp;A1433-92,Quarterly!B:B,"&lt;="&amp;A1433)&gt;1,SUMIFS(Quarterly!C:C,Quarterly!B:B,"&gt;="&amp;A1433-88,Quarterly!B:B,"&lt;="&amp;A1433),SUMIFS(Quarterly!C:C,Quarterly!B:B,"&gt;="&amp;A1433-92,Quarterly!B:B,"&lt;="&amp;A1433)))</f>
        <v>6023.3</v>
      </c>
      <c r="K1433" s="13">
        <f t="shared" si="476"/>
        <v>6.2E-2</v>
      </c>
      <c r="L1433">
        <f t="shared" si="478"/>
        <v>373.59</v>
      </c>
      <c r="M1433">
        <f>IF(A1433&gt;=Quarterly!B$2,Quarterly!D$2,IF(COUNTIFS(Quarterly!B:B,"&gt;="&amp;A1433-92,Quarterly!B:B,"&lt;="&amp;A1433)&gt;1,SUMIFS(Quarterly!D:D,Quarterly!B:B,"&gt;="&amp;A1433-88,Quarterly!B:B,"&lt;="&amp;A1433),SUMIFS(Quarterly!D:D,Quarterly!B:B,"&gt;="&amp;A1433-92,Quarterly!B:B,"&lt;="&amp;A1433)))</f>
        <v>265.565</v>
      </c>
      <c r="N1433" s="13">
        <f t="shared" si="479"/>
        <v>0.14068</v>
      </c>
      <c r="O1433">
        <f t="shared" si="468"/>
        <v>373.59</v>
      </c>
      <c r="P1433" s="56"/>
      <c r="Q1433" s="13"/>
      <c r="R1433" s="41">
        <v>1.0900000000000001</v>
      </c>
      <c r="S1433">
        <f t="shared" si="469"/>
        <v>0.17</v>
      </c>
      <c r="T1433" s="30">
        <f t="shared" si="470"/>
        <v>210.01</v>
      </c>
      <c r="U1433" s="30">
        <f t="shared" si="477"/>
        <v>210.39</v>
      </c>
    </row>
    <row r="1434" spans="1:21" ht="15" customHeight="1" x14ac:dyDescent="0.25">
      <c r="A1434" s="5">
        <v>33307</v>
      </c>
      <c r="B1434" s="5">
        <f t="shared" si="471"/>
        <v>33328</v>
      </c>
      <c r="C1434">
        <v>374.95</v>
      </c>
      <c r="D1434" s="29">
        <f t="shared" si="472"/>
        <v>2.41E-2</v>
      </c>
      <c r="E1434" s="39">
        <f t="shared" si="473"/>
        <v>344.18076923076927</v>
      </c>
      <c r="F1434" s="39">
        <f t="shared" si="474"/>
        <v>334.04794871794877</v>
      </c>
      <c r="G1434" s="29">
        <f t="shared" si="467"/>
        <v>8.9399999999999993E-2</v>
      </c>
      <c r="H1434" s="29">
        <f t="shared" si="467"/>
        <v>0.12239999999999999</v>
      </c>
      <c r="I1434">
        <f t="shared" si="475"/>
        <v>374.95</v>
      </c>
      <c r="J1434">
        <f>IF(A1434&gt;=Quarterly!B$2,Quarterly!C$2,IF(COUNTIFS(Quarterly!B:B,"&gt;="&amp;A1434-92,Quarterly!B:B,"&lt;="&amp;A1434)&gt;1,SUMIFS(Quarterly!C:C,Quarterly!B:B,"&gt;="&amp;A1434-88,Quarterly!B:B,"&lt;="&amp;A1434),SUMIFS(Quarterly!C:C,Quarterly!B:B,"&gt;="&amp;A1434-92,Quarterly!B:B,"&lt;="&amp;A1434)))</f>
        <v>6023.3</v>
      </c>
      <c r="K1434" s="13">
        <f t="shared" si="476"/>
        <v>6.2199999999999998E-2</v>
      </c>
      <c r="L1434">
        <f t="shared" si="478"/>
        <v>374.95</v>
      </c>
      <c r="M1434">
        <f>IF(A1434&gt;=Quarterly!B$2,Quarterly!D$2,IF(COUNTIFS(Quarterly!B:B,"&gt;="&amp;A1434-92,Quarterly!B:B,"&lt;="&amp;A1434)&gt;1,SUMIFS(Quarterly!D:D,Quarterly!B:B,"&gt;="&amp;A1434-88,Quarterly!B:B,"&lt;="&amp;A1434),SUMIFS(Quarterly!D:D,Quarterly!B:B,"&gt;="&amp;A1434-92,Quarterly!B:B,"&lt;="&amp;A1434)))</f>
        <v>265.565</v>
      </c>
      <c r="N1434" s="13">
        <f t="shared" si="479"/>
        <v>0.14119000000000001</v>
      </c>
      <c r="O1434">
        <f t="shared" si="468"/>
        <v>374.95</v>
      </c>
      <c r="P1434" s="56"/>
      <c r="Q1434" s="13"/>
      <c r="R1434" s="41">
        <v>1.05</v>
      </c>
      <c r="S1434">
        <f t="shared" si="469"/>
        <v>0.09</v>
      </c>
      <c r="T1434" s="30">
        <f t="shared" si="470"/>
        <v>210.72</v>
      </c>
      <c r="U1434" s="30">
        <f t="shared" si="477"/>
        <v>211.45</v>
      </c>
    </row>
    <row r="1435" spans="1:21" ht="15" customHeight="1" x14ac:dyDescent="0.25">
      <c r="A1435" s="5">
        <v>33300</v>
      </c>
      <c r="B1435" s="5">
        <f t="shared" si="471"/>
        <v>33328</v>
      </c>
      <c r="C1435">
        <v>370.47</v>
      </c>
      <c r="D1435" s="29">
        <f t="shared" si="472"/>
        <v>3.1199999999999999E-2</v>
      </c>
      <c r="E1435" s="39">
        <f t="shared" si="473"/>
        <v>340.54999999999995</v>
      </c>
      <c r="F1435" s="39">
        <f t="shared" si="474"/>
        <v>333.63153846153847</v>
      </c>
      <c r="G1435" s="29">
        <f t="shared" si="467"/>
        <v>8.7900000000000006E-2</v>
      </c>
      <c r="H1435" s="29">
        <f t="shared" si="467"/>
        <v>0.1104</v>
      </c>
      <c r="I1435">
        <f t="shared" si="475"/>
        <v>370.47</v>
      </c>
      <c r="J1435">
        <f>IF(A1435&gt;=Quarterly!B$2,Quarterly!C$2,IF(COUNTIFS(Quarterly!B:B,"&gt;="&amp;A1435-92,Quarterly!B:B,"&lt;="&amp;A1435)&gt;1,SUMIFS(Quarterly!C:C,Quarterly!B:B,"&gt;="&amp;A1435-88,Quarterly!B:B,"&lt;="&amp;A1435),SUMIFS(Quarterly!C:C,Quarterly!B:B,"&gt;="&amp;A1435-92,Quarterly!B:B,"&lt;="&amp;A1435)))</f>
        <v>6023.3</v>
      </c>
      <c r="K1435" s="13">
        <f t="shared" si="476"/>
        <v>6.1499999999999999E-2</v>
      </c>
      <c r="L1435">
        <f t="shared" si="478"/>
        <v>370.47</v>
      </c>
      <c r="M1435">
        <f>IF(A1435&gt;=Quarterly!B$2,Quarterly!D$2,IF(COUNTIFS(Quarterly!B:B,"&gt;="&amp;A1435-92,Quarterly!B:B,"&lt;="&amp;A1435)&gt;1,SUMIFS(Quarterly!D:D,Quarterly!B:B,"&gt;="&amp;A1435-88,Quarterly!B:B,"&lt;="&amp;A1435),SUMIFS(Quarterly!D:D,Quarterly!B:B,"&gt;="&amp;A1435-92,Quarterly!B:B,"&lt;="&amp;A1435)))</f>
        <v>265.565</v>
      </c>
      <c r="N1435" s="13">
        <f t="shared" si="479"/>
        <v>0.13950000000000001</v>
      </c>
      <c r="O1435">
        <f t="shared" si="468"/>
        <v>370.47</v>
      </c>
      <c r="P1435" s="56"/>
      <c r="Q1435" s="13"/>
      <c r="R1435" s="41">
        <v>0.94</v>
      </c>
      <c r="T1435" s="30">
        <f t="shared" si="470"/>
        <v>210.44</v>
      </c>
      <c r="U1435" s="30">
        <f t="shared" si="477"/>
        <v>213.55</v>
      </c>
    </row>
    <row r="1436" spans="1:21" ht="15" customHeight="1" x14ac:dyDescent="0.25">
      <c r="A1436" s="5">
        <v>33293</v>
      </c>
      <c r="B1436" s="5">
        <f t="shared" si="471"/>
        <v>33297</v>
      </c>
      <c r="C1436">
        <v>365.65</v>
      </c>
      <c r="D1436" s="29">
        <f t="shared" si="472"/>
        <v>3.9100000000000003E-2</v>
      </c>
      <c r="E1436" s="39">
        <f t="shared" si="473"/>
        <v>336.8384615384615</v>
      </c>
      <c r="F1436" s="39">
        <f t="shared" si="474"/>
        <v>333.44410256410254</v>
      </c>
      <c r="G1436" s="29">
        <f t="shared" si="467"/>
        <v>8.5500000000000007E-2</v>
      </c>
      <c r="H1436" s="29">
        <f t="shared" si="467"/>
        <v>9.6600000000000005E-2</v>
      </c>
      <c r="I1436">
        <f t="shared" si="475"/>
        <v>365.65</v>
      </c>
      <c r="J1436">
        <f>IF(A1436&gt;=Quarterly!B$2,Quarterly!C$2,IF(COUNTIFS(Quarterly!B:B,"&gt;="&amp;A1436-92,Quarterly!B:B,"&lt;="&amp;A1436)&gt;1,SUMIFS(Quarterly!C:C,Quarterly!B:B,"&gt;="&amp;A1436-88,Quarterly!B:B,"&lt;="&amp;A1436),SUMIFS(Quarterly!C:C,Quarterly!B:B,"&gt;="&amp;A1436-92,Quarterly!B:B,"&lt;="&amp;A1436)))</f>
        <v>6023.3</v>
      </c>
      <c r="K1436" s="13">
        <f t="shared" si="476"/>
        <v>6.0699999999999997E-2</v>
      </c>
      <c r="L1436">
        <f t="shared" si="478"/>
        <v>365.65</v>
      </c>
      <c r="M1436">
        <f>IF(A1436&gt;=Quarterly!B$2,Quarterly!D$2,IF(COUNTIFS(Quarterly!B:B,"&gt;="&amp;A1436-92,Quarterly!B:B,"&lt;="&amp;A1436)&gt;1,SUMIFS(Quarterly!D:D,Quarterly!B:B,"&gt;="&amp;A1436-88,Quarterly!B:B,"&lt;="&amp;A1436),SUMIFS(Quarterly!D:D,Quarterly!B:B,"&gt;="&amp;A1436-92,Quarterly!B:B,"&lt;="&amp;A1436)))</f>
        <v>265.565</v>
      </c>
      <c r="N1436" s="13">
        <f t="shared" si="479"/>
        <v>0.13769000000000001</v>
      </c>
      <c r="O1436">
        <f t="shared" si="468"/>
        <v>365.65</v>
      </c>
      <c r="P1436" s="56"/>
      <c r="Q1436" s="13"/>
      <c r="R1436" s="41">
        <v>0.93</v>
      </c>
      <c r="T1436" s="30">
        <f t="shared" si="470"/>
        <v>213.19</v>
      </c>
      <c r="U1436" s="30">
        <f t="shared" si="477"/>
        <v>216.54</v>
      </c>
    </row>
    <row r="1437" spans="1:21" ht="15" customHeight="1" x14ac:dyDescent="0.25">
      <c r="A1437" s="5">
        <v>33286</v>
      </c>
      <c r="B1437" s="5">
        <f t="shared" si="471"/>
        <v>33297</v>
      </c>
      <c r="C1437">
        <v>369.06</v>
      </c>
      <c r="D1437" s="29">
        <f t="shared" si="472"/>
        <v>7.6999999999999999E-2</v>
      </c>
      <c r="E1437" s="39">
        <f t="shared" si="473"/>
        <v>332.95000000000005</v>
      </c>
      <c r="F1437" s="39">
        <f t="shared" si="474"/>
        <v>333.16025641025641</v>
      </c>
      <c r="G1437" s="29">
        <f t="shared" si="467"/>
        <v>0.1085</v>
      </c>
      <c r="H1437" s="29">
        <f t="shared" si="467"/>
        <v>0.10780000000000001</v>
      </c>
      <c r="I1437">
        <f t="shared" si="475"/>
        <v>369.06</v>
      </c>
      <c r="J1437">
        <f>IF(A1437&gt;=Quarterly!B$2,Quarterly!C$2,IF(COUNTIFS(Quarterly!B:B,"&gt;="&amp;A1437-92,Quarterly!B:B,"&lt;="&amp;A1437)&gt;1,SUMIFS(Quarterly!C:C,Quarterly!B:B,"&gt;="&amp;A1437-88,Quarterly!B:B,"&lt;="&amp;A1437),SUMIFS(Quarterly!C:C,Quarterly!B:B,"&gt;="&amp;A1437-92,Quarterly!B:B,"&lt;="&amp;A1437)))</f>
        <v>6023.3</v>
      </c>
      <c r="K1437" s="13">
        <f t="shared" si="476"/>
        <v>6.13E-2</v>
      </c>
      <c r="L1437">
        <f t="shared" si="478"/>
        <v>369.06</v>
      </c>
      <c r="M1437">
        <f>IF(A1437&gt;=Quarterly!B$2,Quarterly!D$2,IF(COUNTIFS(Quarterly!B:B,"&gt;="&amp;A1437-92,Quarterly!B:B,"&lt;="&amp;A1437)&gt;1,SUMIFS(Quarterly!D:D,Quarterly!B:B,"&gt;="&amp;A1437-88,Quarterly!B:B,"&lt;="&amp;A1437),SUMIFS(Quarterly!D:D,Quarterly!B:B,"&gt;="&amp;A1437-92,Quarterly!B:B,"&lt;="&amp;A1437)))</f>
        <v>265.565</v>
      </c>
      <c r="N1437" s="13">
        <f t="shared" si="479"/>
        <v>0.13897000000000001</v>
      </c>
      <c r="O1437">
        <f t="shared" si="468"/>
        <v>369.06</v>
      </c>
      <c r="P1437" s="56"/>
      <c r="Q1437" s="13"/>
      <c r="R1437" s="41">
        <v>0.96</v>
      </c>
      <c r="T1437" s="30">
        <f t="shared" si="470"/>
        <v>217.02</v>
      </c>
      <c r="U1437" s="30">
        <f t="shared" si="477"/>
        <v>218.94</v>
      </c>
    </row>
    <row r="1438" spans="1:21" ht="15" customHeight="1" x14ac:dyDescent="0.25">
      <c r="A1438" s="5">
        <v>33279</v>
      </c>
      <c r="B1438" s="5">
        <f t="shared" si="471"/>
        <v>33297</v>
      </c>
      <c r="C1438">
        <v>359.35</v>
      </c>
      <c r="D1438" s="29">
        <f t="shared" si="472"/>
        <v>8.3500000000000005E-2</v>
      </c>
      <c r="E1438" s="39">
        <f t="shared" si="473"/>
        <v>328.95461538461547</v>
      </c>
      <c r="F1438" s="39">
        <f t="shared" si="474"/>
        <v>332.79051282051284</v>
      </c>
      <c r="G1438" s="29">
        <f t="shared" si="467"/>
        <v>9.2399999999999996E-2</v>
      </c>
      <c r="H1438" s="29">
        <f t="shared" si="467"/>
        <v>7.9799999999999996E-2</v>
      </c>
      <c r="I1438">
        <f t="shared" si="475"/>
        <v>359.35</v>
      </c>
      <c r="J1438">
        <f>IF(A1438&gt;=Quarterly!B$2,Quarterly!C$2,IF(COUNTIFS(Quarterly!B:B,"&gt;="&amp;A1438-92,Quarterly!B:B,"&lt;="&amp;A1438)&gt;1,SUMIFS(Quarterly!C:C,Quarterly!B:B,"&gt;="&amp;A1438-88,Quarterly!B:B,"&lt;="&amp;A1438),SUMIFS(Quarterly!C:C,Quarterly!B:B,"&gt;="&amp;A1438-92,Quarterly!B:B,"&lt;="&amp;A1438)))</f>
        <v>6023.3</v>
      </c>
      <c r="K1438" s="13">
        <f t="shared" si="476"/>
        <v>5.9700000000000003E-2</v>
      </c>
      <c r="L1438">
        <f t="shared" si="478"/>
        <v>359.35</v>
      </c>
      <c r="M1438">
        <f>IF(A1438&gt;=Quarterly!B$2,Quarterly!D$2,IF(COUNTIFS(Quarterly!B:B,"&gt;="&amp;A1438-92,Quarterly!B:B,"&lt;="&amp;A1438)&gt;1,SUMIFS(Quarterly!D:D,Quarterly!B:B,"&gt;="&amp;A1438-88,Quarterly!B:B,"&lt;="&amp;A1438),SUMIFS(Quarterly!D:D,Quarterly!B:B,"&gt;="&amp;A1438-92,Quarterly!B:B,"&lt;="&amp;A1438)))</f>
        <v>265.565</v>
      </c>
      <c r="N1438" s="13">
        <f t="shared" si="479"/>
        <v>0.13532</v>
      </c>
      <c r="O1438">
        <f t="shared" si="468"/>
        <v>359.35</v>
      </c>
      <c r="P1438" s="56"/>
      <c r="Q1438" s="13"/>
      <c r="R1438" s="41">
        <v>0.97</v>
      </c>
      <c r="T1438" s="30">
        <f t="shared" si="470"/>
        <v>219.4</v>
      </c>
      <c r="U1438" s="30">
        <f t="shared" si="477"/>
        <v>220.46</v>
      </c>
    </row>
    <row r="1439" spans="1:21" ht="15" customHeight="1" x14ac:dyDescent="0.25">
      <c r="A1439" s="5">
        <v>33272</v>
      </c>
      <c r="B1439" s="5">
        <f t="shared" si="471"/>
        <v>33297</v>
      </c>
      <c r="C1439">
        <v>343.05</v>
      </c>
      <c r="D1439" s="29">
        <f t="shared" si="472"/>
        <v>5.1900000000000002E-2</v>
      </c>
      <c r="E1439" s="39">
        <f t="shared" si="473"/>
        <v>325.44615384615383</v>
      </c>
      <c r="F1439" s="39">
        <f t="shared" si="474"/>
        <v>332.60205128205126</v>
      </c>
      <c r="G1439" s="29">
        <f t="shared" si="467"/>
        <v>5.4100000000000002E-2</v>
      </c>
      <c r="H1439" s="29">
        <f t="shared" si="467"/>
        <v>3.1399999999999997E-2</v>
      </c>
      <c r="I1439">
        <f t="shared" si="475"/>
        <v>343.05</v>
      </c>
      <c r="J1439">
        <f>IF(A1439&gt;=Quarterly!B$2,Quarterly!C$2,IF(COUNTIFS(Quarterly!B:B,"&gt;="&amp;A1439-92,Quarterly!B:B,"&lt;="&amp;A1439)&gt;1,SUMIFS(Quarterly!C:C,Quarterly!B:B,"&gt;="&amp;A1439-88,Quarterly!B:B,"&lt;="&amp;A1439),SUMIFS(Quarterly!C:C,Quarterly!B:B,"&gt;="&amp;A1439-92,Quarterly!B:B,"&lt;="&amp;A1439)))</f>
        <v>6023.3</v>
      </c>
      <c r="K1439" s="13">
        <f t="shared" si="476"/>
        <v>5.7000000000000002E-2</v>
      </c>
      <c r="L1439">
        <f t="shared" si="478"/>
        <v>343.05</v>
      </c>
      <c r="M1439">
        <f>IF(A1439&gt;=Quarterly!B$2,Quarterly!D$2,IF(COUNTIFS(Quarterly!B:B,"&gt;="&amp;A1439-92,Quarterly!B:B,"&lt;="&amp;A1439)&gt;1,SUMIFS(Quarterly!D:D,Quarterly!B:B,"&gt;="&amp;A1439-88,Quarterly!B:B,"&lt;="&amp;A1439),SUMIFS(Quarterly!D:D,Quarterly!B:B,"&gt;="&amp;A1439-92,Quarterly!B:B,"&lt;="&amp;A1439)))</f>
        <v>265.565</v>
      </c>
      <c r="N1439" s="13">
        <f t="shared" si="479"/>
        <v>0.12918000000000002</v>
      </c>
      <c r="O1439">
        <f t="shared" si="468"/>
        <v>343.05</v>
      </c>
      <c r="P1439" s="56"/>
      <c r="Q1439" s="13"/>
      <c r="R1439" s="41">
        <v>1.08</v>
      </c>
      <c r="T1439" s="30">
        <f t="shared" si="470"/>
        <v>220.39</v>
      </c>
      <c r="U1439" s="30">
        <f t="shared" si="477"/>
        <v>221.68</v>
      </c>
    </row>
    <row r="1440" spans="1:21" ht="15" customHeight="1" x14ac:dyDescent="0.25">
      <c r="A1440" s="5">
        <v>33265</v>
      </c>
      <c r="B1440" s="5">
        <f t="shared" si="471"/>
        <v>33269</v>
      </c>
      <c r="C1440">
        <v>336.07</v>
      </c>
      <c r="D1440" s="29">
        <f t="shared" si="472"/>
        <v>3.6299999999999999E-2</v>
      </c>
      <c r="E1440" s="39">
        <f t="shared" si="473"/>
        <v>323.04615384615386</v>
      </c>
      <c r="F1440" s="39">
        <f t="shared" si="474"/>
        <v>332.48256410256408</v>
      </c>
      <c r="G1440" s="29">
        <f t="shared" si="467"/>
        <v>4.0300000000000002E-2</v>
      </c>
      <c r="H1440" s="29">
        <f t="shared" si="467"/>
        <v>1.0800000000000001E-2</v>
      </c>
      <c r="I1440">
        <f t="shared" si="475"/>
        <v>336.07</v>
      </c>
      <c r="J1440">
        <f>IF(A1440&gt;=Quarterly!B$2,Quarterly!C$2,IF(COUNTIFS(Quarterly!B:B,"&gt;="&amp;A1440-92,Quarterly!B:B,"&lt;="&amp;A1440)&gt;1,SUMIFS(Quarterly!C:C,Quarterly!B:B,"&gt;="&amp;A1440-88,Quarterly!B:B,"&lt;="&amp;A1440),SUMIFS(Quarterly!C:C,Quarterly!B:B,"&gt;="&amp;A1440-92,Quarterly!B:B,"&lt;="&amp;A1440)))</f>
        <v>6029.5</v>
      </c>
      <c r="K1440" s="13">
        <f t="shared" si="476"/>
        <v>5.57E-2</v>
      </c>
      <c r="L1440">
        <f t="shared" si="478"/>
        <v>336.07</v>
      </c>
      <c r="M1440">
        <f>IF(A1440&gt;=Quarterly!B$2,Quarterly!D$2,IF(COUNTIFS(Quarterly!B:B,"&gt;="&amp;A1440-92,Quarterly!B:B,"&lt;="&amp;A1440)&gt;1,SUMIFS(Quarterly!D:D,Quarterly!B:B,"&gt;="&amp;A1440-88,Quarterly!B:B,"&lt;="&amp;A1440),SUMIFS(Quarterly!D:D,Quarterly!B:B,"&gt;="&amp;A1440-92,Quarterly!B:B,"&lt;="&amp;A1440)))</f>
        <v>263.512</v>
      </c>
      <c r="N1440" s="13">
        <f t="shared" si="479"/>
        <v>0.12753</v>
      </c>
      <c r="O1440">
        <f t="shared" si="468"/>
        <v>336.07</v>
      </c>
      <c r="P1440" s="56"/>
      <c r="Q1440" s="13"/>
      <c r="R1440" s="41">
        <v>0.96</v>
      </c>
      <c r="T1440" s="30">
        <f t="shared" si="470"/>
        <v>221.58</v>
      </c>
      <c r="U1440" s="30">
        <f t="shared" si="477"/>
        <v>222.15</v>
      </c>
    </row>
    <row r="1441" spans="1:21" ht="15" customHeight="1" x14ac:dyDescent="0.25">
      <c r="A1441" s="5">
        <v>33258</v>
      </c>
      <c r="B1441" s="5">
        <f t="shared" si="471"/>
        <v>33269</v>
      </c>
      <c r="C1441">
        <v>332.23</v>
      </c>
      <c r="D1441" s="29">
        <f t="shared" si="472"/>
        <v>2.4799999999999999E-2</v>
      </c>
      <c r="E1441" s="39">
        <f t="shared" si="473"/>
        <v>320.63384615384615</v>
      </c>
      <c r="F1441" s="39">
        <f t="shared" si="474"/>
        <v>332.30410256410249</v>
      </c>
      <c r="G1441" s="29">
        <f t="shared" si="467"/>
        <v>3.6200000000000003E-2</v>
      </c>
      <c r="H1441" s="29">
        <f t="shared" si="467"/>
        <v>-2.0000000000000001E-4</v>
      </c>
      <c r="I1441">
        <f t="shared" si="475"/>
        <v>332.23</v>
      </c>
      <c r="J1441">
        <f>IF(A1441&gt;=Quarterly!B$2,Quarterly!C$2,IF(COUNTIFS(Quarterly!B:B,"&gt;="&amp;A1441-92,Quarterly!B:B,"&lt;="&amp;A1441)&gt;1,SUMIFS(Quarterly!C:C,Quarterly!B:B,"&gt;="&amp;A1441-88,Quarterly!B:B,"&lt;="&amp;A1441),SUMIFS(Quarterly!C:C,Quarterly!B:B,"&gt;="&amp;A1441-92,Quarterly!B:B,"&lt;="&amp;A1441)))</f>
        <v>6029.5</v>
      </c>
      <c r="K1441" s="13">
        <f t="shared" si="476"/>
        <v>5.5100000000000003E-2</v>
      </c>
      <c r="L1441">
        <f t="shared" si="478"/>
        <v>332.23</v>
      </c>
      <c r="M1441">
        <f>IF(A1441&gt;=Quarterly!B$2,Quarterly!D$2,IF(COUNTIFS(Quarterly!B:B,"&gt;="&amp;A1441-92,Quarterly!B:B,"&lt;="&amp;A1441)&gt;1,SUMIFS(Quarterly!D:D,Quarterly!B:B,"&gt;="&amp;A1441-88,Quarterly!B:B,"&lt;="&amp;A1441),SUMIFS(Quarterly!D:D,Quarterly!B:B,"&gt;="&amp;A1441-92,Quarterly!B:B,"&lt;="&amp;A1441)))</f>
        <v>263.512</v>
      </c>
      <c r="N1441" s="13">
        <f t="shared" si="479"/>
        <v>0.12608</v>
      </c>
      <c r="O1441">
        <f t="shared" si="468"/>
        <v>332.23</v>
      </c>
      <c r="P1441" s="56"/>
      <c r="Q1441" s="13"/>
      <c r="R1441" s="41">
        <v>0.89</v>
      </c>
      <c r="T1441" s="30">
        <f t="shared" si="470"/>
        <v>223.08</v>
      </c>
      <c r="U1441" s="30">
        <f t="shared" si="477"/>
        <v>222.97</v>
      </c>
    </row>
    <row r="1442" spans="1:21" ht="15" customHeight="1" x14ac:dyDescent="0.25">
      <c r="A1442" s="5">
        <v>33251</v>
      </c>
      <c r="B1442" s="5">
        <f t="shared" si="471"/>
        <v>33269</v>
      </c>
      <c r="C1442">
        <v>315.23</v>
      </c>
      <c r="D1442" s="29">
        <f t="shared" si="472"/>
        <v>-3.6200000000000003E-2</v>
      </c>
      <c r="E1442" s="39">
        <f t="shared" si="473"/>
        <v>319.11461538461538</v>
      </c>
      <c r="F1442" s="39">
        <f t="shared" si="474"/>
        <v>332.37820512820508</v>
      </c>
      <c r="G1442" s="29">
        <f t="shared" si="467"/>
        <v>-1.2200000000000001E-2</v>
      </c>
      <c r="H1442" s="29">
        <f t="shared" si="467"/>
        <v>-5.16E-2</v>
      </c>
      <c r="I1442">
        <f t="shared" si="475"/>
        <v>315.23</v>
      </c>
      <c r="J1442">
        <f>IF(A1442&gt;=Quarterly!B$2,Quarterly!C$2,IF(COUNTIFS(Quarterly!B:B,"&gt;="&amp;A1442-92,Quarterly!B:B,"&lt;="&amp;A1442)&gt;1,SUMIFS(Quarterly!C:C,Quarterly!B:B,"&gt;="&amp;A1442-88,Quarterly!B:B,"&lt;="&amp;A1442),SUMIFS(Quarterly!C:C,Quarterly!B:B,"&gt;="&amp;A1442-92,Quarterly!B:B,"&lt;="&amp;A1442)))</f>
        <v>6029.5</v>
      </c>
      <c r="K1442" s="13">
        <f t="shared" si="476"/>
        <v>5.2299999999999999E-2</v>
      </c>
      <c r="L1442">
        <f t="shared" si="478"/>
        <v>315.23</v>
      </c>
      <c r="M1442">
        <f>IF(A1442&gt;=Quarterly!B$2,Quarterly!D$2,IF(COUNTIFS(Quarterly!B:B,"&gt;="&amp;A1442-92,Quarterly!B:B,"&lt;="&amp;A1442)&gt;1,SUMIFS(Quarterly!D:D,Quarterly!B:B,"&gt;="&amp;A1442-88,Quarterly!B:B,"&lt;="&amp;A1442),SUMIFS(Quarterly!D:D,Quarterly!B:B,"&gt;="&amp;A1442-92,Quarterly!B:B,"&lt;="&amp;A1442)))</f>
        <v>263.512</v>
      </c>
      <c r="N1442" s="13">
        <f t="shared" si="479"/>
        <v>0.11963</v>
      </c>
      <c r="O1442">
        <f t="shared" si="468"/>
        <v>315.23</v>
      </c>
      <c r="P1442" s="56"/>
      <c r="Q1442" s="13"/>
      <c r="R1442" s="41">
        <v>1.06</v>
      </c>
      <c r="T1442" s="30">
        <f t="shared" si="470"/>
        <v>221.8</v>
      </c>
      <c r="U1442" s="30">
        <f t="shared" si="477"/>
        <v>223.95</v>
      </c>
    </row>
    <row r="1443" spans="1:21" ht="15" customHeight="1" x14ac:dyDescent="0.25">
      <c r="A1443" s="5">
        <v>33244</v>
      </c>
      <c r="B1443" s="5">
        <f t="shared" si="471"/>
        <v>33269</v>
      </c>
      <c r="C1443">
        <v>321</v>
      </c>
      <c r="D1443" s="29">
        <f t="shared" si="472"/>
        <v>-2.3599999999999999E-2</v>
      </c>
      <c r="E1443" s="39">
        <f t="shared" si="473"/>
        <v>317.94538461538463</v>
      </c>
      <c r="F1443" s="39">
        <f t="shared" si="474"/>
        <v>333.12461538461537</v>
      </c>
      <c r="G1443" s="29">
        <f t="shared" si="467"/>
        <v>9.5999999999999992E-3</v>
      </c>
      <c r="H1443" s="29">
        <f t="shared" si="467"/>
        <v>-3.6400000000000002E-2</v>
      </c>
      <c r="I1443">
        <f t="shared" si="475"/>
        <v>321</v>
      </c>
      <c r="J1443">
        <f>IF(A1443&gt;=Quarterly!B$2,Quarterly!C$2,IF(COUNTIFS(Quarterly!B:B,"&gt;="&amp;A1443-92,Quarterly!B:B,"&lt;="&amp;A1443)&gt;1,SUMIFS(Quarterly!C:C,Quarterly!B:B,"&gt;="&amp;A1443-88,Quarterly!B:B,"&lt;="&amp;A1443),SUMIFS(Quarterly!C:C,Quarterly!B:B,"&gt;="&amp;A1443-92,Quarterly!B:B,"&lt;="&amp;A1443)))</f>
        <v>6029.5</v>
      </c>
      <c r="K1443" s="13">
        <f t="shared" si="476"/>
        <v>5.3199999999999997E-2</v>
      </c>
      <c r="L1443">
        <f t="shared" si="478"/>
        <v>321</v>
      </c>
      <c r="M1443">
        <f>IF(A1443&gt;=Quarterly!B$2,Quarterly!D$2,IF(COUNTIFS(Quarterly!B:B,"&gt;="&amp;A1443-92,Quarterly!B:B,"&lt;="&amp;A1443)&gt;1,SUMIFS(Quarterly!D:D,Quarterly!B:B,"&gt;="&amp;A1443-88,Quarterly!B:B,"&lt;="&amp;A1443),SUMIFS(Quarterly!D:D,Quarterly!B:B,"&gt;="&amp;A1443-92,Quarterly!B:B,"&lt;="&amp;A1443)))</f>
        <v>263.512</v>
      </c>
      <c r="N1443" s="13">
        <f t="shared" si="479"/>
        <v>0.12182</v>
      </c>
      <c r="O1443">
        <f t="shared" si="468"/>
        <v>321</v>
      </c>
      <c r="P1443" s="56"/>
      <c r="Q1443" s="13"/>
      <c r="R1443" s="41">
        <v>0.85</v>
      </c>
      <c r="T1443" s="30">
        <f t="shared" si="470"/>
        <v>224.03</v>
      </c>
      <c r="U1443" s="30">
        <f t="shared" si="477"/>
        <v>226.07</v>
      </c>
    </row>
    <row r="1444" spans="1:21" ht="15" customHeight="1" x14ac:dyDescent="0.25">
      <c r="A1444" s="5">
        <v>33237</v>
      </c>
      <c r="B1444" s="5">
        <f t="shared" si="471"/>
        <v>33238</v>
      </c>
      <c r="C1444">
        <v>328.72</v>
      </c>
      <c r="D1444" s="29">
        <f t="shared" si="472"/>
        <v>4.7999999999999996E-3</v>
      </c>
      <c r="E1444" s="39">
        <f t="shared" si="473"/>
        <v>317.2146153846154</v>
      </c>
      <c r="F1444" s="39">
        <f t="shared" si="474"/>
        <v>333.61384615384611</v>
      </c>
      <c r="G1444" s="29">
        <f t="shared" si="467"/>
        <v>3.6299999999999999E-2</v>
      </c>
      <c r="H1444" s="29">
        <f t="shared" si="467"/>
        <v>-1.47E-2</v>
      </c>
      <c r="I1444">
        <f t="shared" si="475"/>
        <v>328.72</v>
      </c>
      <c r="J1444">
        <f>IF(A1444&gt;=Quarterly!B$2,Quarterly!C$2,IF(COUNTIFS(Quarterly!B:B,"&gt;="&amp;A1444-92,Quarterly!B:B,"&lt;="&amp;A1444)&gt;1,SUMIFS(Quarterly!C:C,Quarterly!B:B,"&gt;="&amp;A1444-88,Quarterly!B:B,"&lt;="&amp;A1444),SUMIFS(Quarterly!C:C,Quarterly!B:B,"&gt;="&amp;A1444-92,Quarterly!B:B,"&lt;="&amp;A1444)))</f>
        <v>6029.5</v>
      </c>
      <c r="K1444" s="13">
        <f t="shared" si="476"/>
        <v>5.45E-2</v>
      </c>
      <c r="L1444">
        <f t="shared" si="478"/>
        <v>328.72</v>
      </c>
      <c r="M1444">
        <f>IF(A1444&gt;=Quarterly!B$2,Quarterly!D$2,IF(COUNTIFS(Quarterly!B:B,"&gt;="&amp;A1444-92,Quarterly!B:B,"&lt;="&amp;A1444)&gt;1,SUMIFS(Quarterly!D:D,Quarterly!B:B,"&gt;="&amp;A1444-88,Quarterly!B:B,"&lt;="&amp;A1444),SUMIFS(Quarterly!D:D,Quarterly!B:B,"&gt;="&amp;A1444-92,Quarterly!B:B,"&lt;="&amp;A1444)))</f>
        <v>263.512</v>
      </c>
      <c r="N1444" s="13">
        <f t="shared" si="479"/>
        <v>0.12475000000000001</v>
      </c>
      <c r="O1444">
        <f t="shared" si="468"/>
        <v>328.72</v>
      </c>
      <c r="P1444" s="56"/>
      <c r="Q1444" s="13"/>
      <c r="R1444" s="41">
        <v>0.89</v>
      </c>
      <c r="T1444" s="30">
        <f t="shared" si="470"/>
        <v>226.01</v>
      </c>
      <c r="U1444" s="30">
        <f t="shared" si="477"/>
        <v>227.67</v>
      </c>
    </row>
    <row r="1445" spans="1:21" ht="15" customHeight="1" x14ac:dyDescent="0.25">
      <c r="A1445" s="5">
        <v>33230</v>
      </c>
      <c r="B1445" s="5">
        <f t="shared" si="471"/>
        <v>33238</v>
      </c>
      <c r="C1445">
        <v>331.75</v>
      </c>
      <c r="D1445" s="29">
        <f t="shared" si="472"/>
        <v>2.7199999999999998E-2</v>
      </c>
      <c r="E1445" s="39">
        <f t="shared" si="473"/>
        <v>315.47076923076924</v>
      </c>
      <c r="F1445" s="39">
        <f t="shared" si="474"/>
        <v>333.90153846153845</v>
      </c>
      <c r="G1445" s="29">
        <f t="shared" si="467"/>
        <v>5.16E-2</v>
      </c>
      <c r="H1445" s="29">
        <f t="shared" si="467"/>
        <v>-6.4000000000000003E-3</v>
      </c>
      <c r="I1445">
        <f t="shared" si="475"/>
        <v>331.75</v>
      </c>
      <c r="J1445">
        <f>IF(A1445&gt;=Quarterly!B$2,Quarterly!C$2,IF(COUNTIFS(Quarterly!B:B,"&gt;="&amp;A1445-92,Quarterly!B:B,"&lt;="&amp;A1445)&gt;1,SUMIFS(Quarterly!C:C,Quarterly!B:B,"&gt;="&amp;A1445-88,Quarterly!B:B,"&lt;="&amp;A1445),SUMIFS(Quarterly!C:C,Quarterly!B:B,"&gt;="&amp;A1445-92,Quarterly!B:B,"&lt;="&amp;A1445)))</f>
        <v>6029.5</v>
      </c>
      <c r="K1445" s="13">
        <f t="shared" si="476"/>
        <v>5.5E-2</v>
      </c>
      <c r="L1445">
        <f t="shared" si="478"/>
        <v>331.75</v>
      </c>
      <c r="M1445">
        <f>IF(A1445&gt;=Quarterly!B$2,Quarterly!D$2,IF(COUNTIFS(Quarterly!B:B,"&gt;="&amp;A1445-92,Quarterly!B:B,"&lt;="&amp;A1445)&gt;1,SUMIFS(Quarterly!D:D,Quarterly!B:B,"&gt;="&amp;A1445-88,Quarterly!B:B,"&lt;="&amp;A1445),SUMIFS(Quarterly!D:D,Quarterly!B:B,"&gt;="&amp;A1445-92,Quarterly!B:B,"&lt;="&amp;A1445)))</f>
        <v>263.512</v>
      </c>
      <c r="N1445" s="13">
        <f t="shared" si="479"/>
        <v>0.12589999999999998</v>
      </c>
      <c r="O1445">
        <f t="shared" si="468"/>
        <v>331.75</v>
      </c>
      <c r="P1445" s="56"/>
      <c r="Q1445" s="13"/>
      <c r="R1445" s="41">
        <v>0.81</v>
      </c>
      <c r="T1445" s="30">
        <f t="shared" si="470"/>
        <v>228.17</v>
      </c>
      <c r="U1445" s="30">
        <f t="shared" si="477"/>
        <v>228.89</v>
      </c>
    </row>
    <row r="1446" spans="1:21" ht="15" customHeight="1" x14ac:dyDescent="0.25">
      <c r="A1446" s="5">
        <v>33223</v>
      </c>
      <c r="B1446" s="5">
        <f t="shared" si="471"/>
        <v>33238</v>
      </c>
      <c r="C1446">
        <v>326.82</v>
      </c>
      <c r="D1446" s="29">
        <f t="shared" si="472"/>
        <v>1.9599999999999999E-2</v>
      </c>
      <c r="E1446" s="39">
        <f t="shared" si="473"/>
        <v>313.89923076923077</v>
      </c>
      <c r="F1446" s="39">
        <f t="shared" si="474"/>
        <v>334.04179487179488</v>
      </c>
      <c r="G1446" s="29">
        <f t="shared" si="467"/>
        <v>4.1200000000000001E-2</v>
      </c>
      <c r="H1446" s="29">
        <f t="shared" si="467"/>
        <v>-2.1600000000000001E-2</v>
      </c>
      <c r="I1446">
        <f t="shared" si="475"/>
        <v>326.82</v>
      </c>
      <c r="J1446">
        <f>IF(A1446&gt;=Quarterly!B$2,Quarterly!C$2,IF(COUNTIFS(Quarterly!B:B,"&gt;="&amp;A1446-92,Quarterly!B:B,"&lt;="&amp;A1446)&gt;1,SUMIFS(Quarterly!C:C,Quarterly!B:B,"&gt;="&amp;A1446-88,Quarterly!B:B,"&lt;="&amp;A1446),SUMIFS(Quarterly!C:C,Quarterly!B:B,"&gt;="&amp;A1446-92,Quarterly!B:B,"&lt;="&amp;A1446)))</f>
        <v>6029.5</v>
      </c>
      <c r="K1446" s="13">
        <f t="shared" si="476"/>
        <v>5.4199999999999998E-2</v>
      </c>
      <c r="L1446">
        <f t="shared" si="478"/>
        <v>326.82</v>
      </c>
      <c r="M1446">
        <f>IF(A1446&gt;=Quarterly!B$2,Quarterly!D$2,IF(COUNTIFS(Quarterly!B:B,"&gt;="&amp;A1446-92,Quarterly!B:B,"&lt;="&amp;A1446)&gt;1,SUMIFS(Quarterly!D:D,Quarterly!B:B,"&gt;="&amp;A1446-88,Quarterly!B:B,"&lt;="&amp;A1446),SUMIFS(Quarterly!D:D,Quarterly!B:B,"&gt;="&amp;A1446-92,Quarterly!B:B,"&lt;="&amp;A1446)))</f>
        <v>263.512</v>
      </c>
      <c r="N1446" s="13">
        <f t="shared" si="479"/>
        <v>0.12402000000000001</v>
      </c>
      <c r="O1446">
        <f t="shared" si="468"/>
        <v>326.82</v>
      </c>
      <c r="P1446" s="56"/>
      <c r="Q1446" s="13"/>
      <c r="R1446" s="41">
        <v>0.7</v>
      </c>
      <c r="T1446" s="30">
        <f t="shared" si="470"/>
        <v>228.82</v>
      </c>
      <c r="U1446" s="30">
        <f t="shared" si="477"/>
        <v>229.25</v>
      </c>
    </row>
    <row r="1447" spans="1:21" ht="15" customHeight="1" x14ac:dyDescent="0.25">
      <c r="A1447" s="5">
        <v>33216</v>
      </c>
      <c r="B1447" s="5">
        <f t="shared" si="471"/>
        <v>33238</v>
      </c>
      <c r="C1447">
        <v>327.75</v>
      </c>
      <c r="D1447" s="29">
        <f t="shared" si="472"/>
        <v>3.3799999999999997E-2</v>
      </c>
      <c r="E1447" s="39">
        <f t="shared" si="473"/>
        <v>313.13076923076926</v>
      </c>
      <c r="F1447" s="39">
        <f t="shared" si="474"/>
        <v>334.42871794871792</v>
      </c>
      <c r="G1447" s="29">
        <f t="shared" si="467"/>
        <v>4.6699999999999998E-2</v>
      </c>
      <c r="H1447" s="29">
        <f t="shared" si="467"/>
        <v>-0.02</v>
      </c>
      <c r="I1447">
        <f t="shared" si="475"/>
        <v>327.75</v>
      </c>
      <c r="J1447">
        <f>IF(A1447&gt;=Quarterly!B$2,Quarterly!C$2,IF(COUNTIFS(Quarterly!B:B,"&gt;="&amp;A1447-92,Quarterly!B:B,"&lt;="&amp;A1447)&gt;1,SUMIFS(Quarterly!C:C,Quarterly!B:B,"&gt;="&amp;A1447-88,Quarterly!B:B,"&lt;="&amp;A1447),SUMIFS(Quarterly!C:C,Quarterly!B:B,"&gt;="&amp;A1447-92,Quarterly!B:B,"&lt;="&amp;A1447)))</f>
        <v>6029.5</v>
      </c>
      <c r="K1447" s="13">
        <f t="shared" si="476"/>
        <v>5.4399999999999997E-2</v>
      </c>
      <c r="L1447">
        <f t="shared" si="478"/>
        <v>327.75</v>
      </c>
      <c r="M1447">
        <f>IF(A1447&gt;=Quarterly!B$2,Quarterly!D$2,IF(COUNTIFS(Quarterly!B:B,"&gt;="&amp;A1447-92,Quarterly!B:B,"&lt;="&amp;A1447)&gt;1,SUMIFS(Quarterly!D:D,Quarterly!B:B,"&gt;="&amp;A1447-88,Quarterly!B:B,"&lt;="&amp;A1447),SUMIFS(Quarterly!D:D,Quarterly!B:B,"&gt;="&amp;A1447-92,Quarterly!B:B,"&lt;="&amp;A1447)))</f>
        <v>263.512</v>
      </c>
      <c r="N1447" s="13">
        <f t="shared" si="479"/>
        <v>0.12438</v>
      </c>
      <c r="O1447">
        <f t="shared" si="468"/>
        <v>327.75</v>
      </c>
      <c r="P1447" s="56"/>
      <c r="Q1447" s="13"/>
      <c r="R1447" s="41">
        <v>0.7</v>
      </c>
      <c r="T1447" s="30">
        <f t="shared" si="470"/>
        <v>229.67</v>
      </c>
      <c r="U1447" s="30">
        <f t="shared" si="477"/>
        <v>228.94</v>
      </c>
    </row>
    <row r="1448" spans="1:21" ht="15" customHeight="1" x14ac:dyDescent="0.25">
      <c r="A1448" s="5">
        <v>33209</v>
      </c>
      <c r="B1448" s="5">
        <f t="shared" si="471"/>
        <v>33238</v>
      </c>
      <c r="C1448">
        <v>322.22000000000003</v>
      </c>
      <c r="D1448" s="29">
        <f t="shared" si="472"/>
        <v>2.47E-2</v>
      </c>
      <c r="E1448" s="39">
        <f t="shared" si="473"/>
        <v>312.79615384615386</v>
      </c>
      <c r="F1448" s="39">
        <f t="shared" si="474"/>
        <v>334.68974358974356</v>
      </c>
      <c r="G1448" s="29">
        <f t="shared" si="467"/>
        <v>3.0099999999999998E-2</v>
      </c>
      <c r="H1448" s="29">
        <f t="shared" si="467"/>
        <v>-3.73E-2</v>
      </c>
      <c r="I1448">
        <f t="shared" si="475"/>
        <v>322.22000000000003</v>
      </c>
      <c r="J1448">
        <f>IF(A1448&gt;=Quarterly!B$2,Quarterly!C$2,IF(COUNTIFS(Quarterly!B:B,"&gt;="&amp;A1448-92,Quarterly!B:B,"&lt;="&amp;A1448)&gt;1,SUMIFS(Quarterly!C:C,Quarterly!B:B,"&gt;="&amp;A1448-88,Quarterly!B:B,"&lt;="&amp;A1448),SUMIFS(Quarterly!C:C,Quarterly!B:B,"&gt;="&amp;A1448-92,Quarterly!B:B,"&lt;="&amp;A1448)))</f>
        <v>6029.5</v>
      </c>
      <c r="K1448" s="13">
        <f t="shared" si="476"/>
        <v>5.3400000000000003E-2</v>
      </c>
      <c r="L1448">
        <f t="shared" si="478"/>
        <v>322.22000000000003</v>
      </c>
      <c r="M1448">
        <f>IF(A1448&gt;=Quarterly!B$2,Quarterly!D$2,IF(COUNTIFS(Quarterly!B:B,"&gt;="&amp;A1448-92,Quarterly!B:B,"&lt;="&amp;A1448)&gt;1,SUMIFS(Quarterly!D:D,Quarterly!B:B,"&gt;="&amp;A1448-88,Quarterly!B:B,"&lt;="&amp;A1448),SUMIFS(Quarterly!D:D,Quarterly!B:B,"&gt;="&amp;A1448-92,Quarterly!B:B,"&lt;="&amp;A1448)))</f>
        <v>263.512</v>
      </c>
      <c r="N1448" s="13">
        <f t="shared" si="479"/>
        <v>0.12228000000000001</v>
      </c>
      <c r="O1448">
        <f t="shared" si="468"/>
        <v>322.22000000000003</v>
      </c>
      <c r="P1448" s="56"/>
      <c r="Q1448" s="13"/>
      <c r="R1448" s="41">
        <v>0.73</v>
      </c>
      <c r="T1448" s="30">
        <f t="shared" si="470"/>
        <v>229.26</v>
      </c>
      <c r="U1448" s="30">
        <f t="shared" si="477"/>
        <v>228.59</v>
      </c>
    </row>
    <row r="1449" spans="1:21" ht="15" customHeight="1" x14ac:dyDescent="0.25">
      <c r="A1449" s="5">
        <v>33202</v>
      </c>
      <c r="B1449" s="5">
        <f t="shared" si="471"/>
        <v>33207</v>
      </c>
      <c r="C1449">
        <v>315.10000000000002</v>
      </c>
      <c r="D1449" s="29">
        <f t="shared" si="472"/>
        <v>1.04E-2</v>
      </c>
      <c r="E1449" s="39">
        <f t="shared" si="473"/>
        <v>312.82230769230767</v>
      </c>
      <c r="F1449" s="39">
        <f t="shared" si="474"/>
        <v>335.03128205128206</v>
      </c>
      <c r="G1449" s="29">
        <f t="shared" si="467"/>
        <v>7.3000000000000001E-3</v>
      </c>
      <c r="H1449" s="29">
        <f t="shared" si="467"/>
        <v>-5.9499999999999997E-2</v>
      </c>
      <c r="I1449">
        <f t="shared" si="475"/>
        <v>315.10000000000002</v>
      </c>
      <c r="J1449">
        <f>IF(A1449&gt;=Quarterly!B$2,Quarterly!C$2,IF(COUNTIFS(Quarterly!B:B,"&gt;="&amp;A1449-92,Quarterly!B:B,"&lt;="&amp;A1449)&gt;1,SUMIFS(Quarterly!C:C,Quarterly!B:B,"&gt;="&amp;A1449-88,Quarterly!B:B,"&lt;="&amp;A1449),SUMIFS(Quarterly!C:C,Quarterly!B:B,"&gt;="&amp;A1449-92,Quarterly!B:B,"&lt;="&amp;A1449)))</f>
        <v>6029.5</v>
      </c>
      <c r="K1449" s="13">
        <f t="shared" si="476"/>
        <v>5.2299999999999999E-2</v>
      </c>
      <c r="L1449">
        <f t="shared" si="478"/>
        <v>315.10000000000002</v>
      </c>
      <c r="M1449">
        <f>IF(A1449&gt;=Quarterly!B$2,Quarterly!D$2,IF(COUNTIFS(Quarterly!B:B,"&gt;="&amp;A1449-92,Quarterly!B:B,"&lt;="&amp;A1449)&gt;1,SUMIFS(Quarterly!D:D,Quarterly!B:B,"&gt;="&amp;A1449-88,Quarterly!B:B,"&lt;="&amp;A1449),SUMIFS(Quarterly!D:D,Quarterly!B:B,"&gt;="&amp;A1449-92,Quarterly!B:B,"&lt;="&amp;A1449)))</f>
        <v>263.512</v>
      </c>
      <c r="N1449" s="13">
        <f t="shared" si="479"/>
        <v>0.11958000000000001</v>
      </c>
      <c r="O1449">
        <f t="shared" si="468"/>
        <v>315.10000000000002</v>
      </c>
      <c r="P1449" s="56"/>
      <c r="Q1449" s="13"/>
      <c r="R1449" s="41">
        <v>0.75</v>
      </c>
      <c r="T1449" s="30">
        <f t="shared" si="470"/>
        <v>227.9</v>
      </c>
      <c r="U1449" s="30">
        <f t="shared" si="477"/>
        <v>228</v>
      </c>
    </row>
    <row r="1450" spans="1:21" ht="15" customHeight="1" x14ac:dyDescent="0.25">
      <c r="A1450" s="5">
        <v>33195</v>
      </c>
      <c r="B1450" s="5">
        <f t="shared" si="471"/>
        <v>33207</v>
      </c>
      <c r="C1450">
        <v>317.12</v>
      </c>
      <c r="D1450" s="29">
        <f t="shared" si="472"/>
        <v>2.07E-2</v>
      </c>
      <c r="E1450" s="39">
        <f t="shared" si="473"/>
        <v>312.54615384615386</v>
      </c>
      <c r="F1450" s="39">
        <f t="shared" si="474"/>
        <v>335.26333333333338</v>
      </c>
      <c r="G1450" s="29">
        <f t="shared" si="467"/>
        <v>1.46E-2</v>
      </c>
      <c r="H1450" s="29">
        <f t="shared" si="467"/>
        <v>-5.4100000000000002E-2</v>
      </c>
      <c r="I1450">
        <f t="shared" si="475"/>
        <v>317.12</v>
      </c>
      <c r="J1450">
        <f>IF(A1450&gt;=Quarterly!B$2,Quarterly!C$2,IF(COUNTIFS(Quarterly!B:B,"&gt;="&amp;A1450-92,Quarterly!B:B,"&lt;="&amp;A1450)&gt;1,SUMIFS(Quarterly!C:C,Quarterly!B:B,"&gt;="&amp;A1450-88,Quarterly!B:B,"&lt;="&amp;A1450),SUMIFS(Quarterly!C:C,Quarterly!B:B,"&gt;="&amp;A1450-92,Quarterly!B:B,"&lt;="&amp;A1450)))</f>
        <v>6029.5</v>
      </c>
      <c r="K1450" s="13">
        <f t="shared" si="476"/>
        <v>5.2600000000000001E-2</v>
      </c>
      <c r="L1450">
        <f t="shared" si="478"/>
        <v>317.12</v>
      </c>
      <c r="M1450">
        <f>IF(A1450&gt;=Quarterly!B$2,Quarterly!D$2,IF(COUNTIFS(Quarterly!B:B,"&gt;="&amp;A1450-92,Quarterly!B:B,"&lt;="&amp;A1450)&gt;1,SUMIFS(Quarterly!D:D,Quarterly!B:B,"&gt;="&amp;A1450-88,Quarterly!B:B,"&lt;="&amp;A1450),SUMIFS(Quarterly!D:D,Quarterly!B:B,"&gt;="&amp;A1450-92,Quarterly!B:B,"&lt;="&amp;A1450)))</f>
        <v>263.512</v>
      </c>
      <c r="N1450" s="13">
        <f t="shared" si="479"/>
        <v>0.12034</v>
      </c>
      <c r="O1450">
        <f t="shared" si="468"/>
        <v>317.12</v>
      </c>
      <c r="P1450" s="56"/>
      <c r="Q1450" s="13"/>
      <c r="R1450" s="41">
        <v>0.72</v>
      </c>
      <c r="T1450" s="30">
        <f t="shared" si="470"/>
        <v>228.62</v>
      </c>
      <c r="U1450" s="30">
        <f t="shared" si="477"/>
        <v>227.3</v>
      </c>
    </row>
    <row r="1451" spans="1:21" ht="15" customHeight="1" x14ac:dyDescent="0.25">
      <c r="A1451" s="5">
        <v>33188</v>
      </c>
      <c r="B1451" s="5">
        <f t="shared" si="471"/>
        <v>33207</v>
      </c>
      <c r="C1451">
        <v>313.74</v>
      </c>
      <c r="D1451" s="29">
        <f t="shared" si="472"/>
        <v>2.1100000000000001E-2</v>
      </c>
      <c r="E1451" s="39">
        <f t="shared" si="473"/>
        <v>313.37</v>
      </c>
      <c r="F1451" s="39">
        <f t="shared" si="474"/>
        <v>335.66333333333336</v>
      </c>
      <c r="G1451" s="29">
        <f t="shared" si="467"/>
        <v>1.1999999999999999E-3</v>
      </c>
      <c r="H1451" s="29">
        <f t="shared" si="467"/>
        <v>-6.5299999999999997E-2</v>
      </c>
      <c r="I1451">
        <f t="shared" si="475"/>
        <v>313.74</v>
      </c>
      <c r="J1451">
        <f>IF(A1451&gt;=Quarterly!B$2,Quarterly!C$2,IF(COUNTIFS(Quarterly!B:B,"&gt;="&amp;A1451-92,Quarterly!B:B,"&lt;="&amp;A1451)&gt;1,SUMIFS(Quarterly!C:C,Quarterly!B:B,"&gt;="&amp;A1451-88,Quarterly!B:B,"&lt;="&amp;A1451),SUMIFS(Quarterly!C:C,Quarterly!B:B,"&gt;="&amp;A1451-92,Quarterly!B:B,"&lt;="&amp;A1451)))</f>
        <v>6029.5</v>
      </c>
      <c r="K1451" s="13">
        <f t="shared" si="476"/>
        <v>5.1999999999999998E-2</v>
      </c>
      <c r="L1451">
        <f t="shared" si="478"/>
        <v>313.74</v>
      </c>
      <c r="M1451">
        <f>IF(A1451&gt;=Quarterly!B$2,Quarterly!D$2,IF(COUNTIFS(Quarterly!B:B,"&gt;="&amp;A1451-92,Quarterly!B:B,"&lt;="&amp;A1451)&gt;1,SUMIFS(Quarterly!D:D,Quarterly!B:B,"&gt;="&amp;A1451-88,Quarterly!B:B,"&lt;="&amp;A1451),SUMIFS(Quarterly!D:D,Quarterly!B:B,"&gt;="&amp;A1451-92,Quarterly!B:B,"&lt;="&amp;A1451)))</f>
        <v>263.512</v>
      </c>
      <c r="N1451" s="13">
        <f t="shared" si="479"/>
        <v>0.11906000000000001</v>
      </c>
      <c r="O1451">
        <f t="shared" si="468"/>
        <v>313.74</v>
      </c>
      <c r="P1451" s="56"/>
      <c r="Q1451" s="13"/>
      <c r="R1451" s="41">
        <v>0.88</v>
      </c>
      <c r="T1451" s="30">
        <f t="shared" si="470"/>
        <v>227.49</v>
      </c>
      <c r="U1451" s="30">
        <f t="shared" si="477"/>
        <v>224.71</v>
      </c>
    </row>
    <row r="1452" spans="1:21" ht="15" customHeight="1" x14ac:dyDescent="0.25">
      <c r="A1452" s="5">
        <v>33181</v>
      </c>
      <c r="B1452" s="5">
        <f t="shared" si="471"/>
        <v>33207</v>
      </c>
      <c r="C1452">
        <v>311.85000000000002</v>
      </c>
      <c r="D1452" s="29">
        <f t="shared" si="472"/>
        <v>1.52E-2</v>
      </c>
      <c r="E1452" s="39">
        <f t="shared" si="473"/>
        <v>315.04538461538459</v>
      </c>
      <c r="F1452" s="39">
        <f t="shared" si="474"/>
        <v>336.17307692307696</v>
      </c>
      <c r="G1452" s="29">
        <f t="shared" si="467"/>
        <v>-1.01E-2</v>
      </c>
      <c r="H1452" s="29">
        <f t="shared" si="467"/>
        <v>-7.2400000000000006E-2</v>
      </c>
      <c r="I1452">
        <f t="shared" si="475"/>
        <v>311.85000000000002</v>
      </c>
      <c r="J1452">
        <f>IF(A1452&gt;=Quarterly!B$2,Quarterly!C$2,IF(COUNTIFS(Quarterly!B:B,"&gt;="&amp;A1452-92,Quarterly!B:B,"&lt;="&amp;A1452)&gt;1,SUMIFS(Quarterly!C:C,Quarterly!B:B,"&gt;="&amp;A1452-88,Quarterly!B:B,"&lt;="&amp;A1452),SUMIFS(Quarterly!C:C,Quarterly!B:B,"&gt;="&amp;A1452-92,Quarterly!B:B,"&lt;="&amp;A1452)))</f>
        <v>6029.5</v>
      </c>
      <c r="K1452" s="13">
        <f t="shared" si="476"/>
        <v>5.1700000000000003E-2</v>
      </c>
      <c r="L1452">
        <f t="shared" si="478"/>
        <v>311.85000000000002</v>
      </c>
      <c r="M1452">
        <f>IF(A1452&gt;=Quarterly!B$2,Quarterly!D$2,IF(COUNTIFS(Quarterly!B:B,"&gt;="&amp;A1452-92,Quarterly!B:B,"&lt;="&amp;A1452)&gt;1,SUMIFS(Quarterly!D:D,Quarterly!B:B,"&gt;="&amp;A1452-88,Quarterly!B:B,"&lt;="&amp;A1452),SUMIFS(Quarterly!D:D,Quarterly!B:B,"&gt;="&amp;A1452-92,Quarterly!B:B,"&lt;="&amp;A1452)))</f>
        <v>263.512</v>
      </c>
      <c r="N1452" s="13">
        <f t="shared" si="479"/>
        <v>0.11834</v>
      </c>
      <c r="O1452">
        <f t="shared" si="468"/>
        <v>311.85000000000002</v>
      </c>
      <c r="P1452" s="56"/>
      <c r="Q1452" s="13"/>
      <c r="R1452" s="41">
        <v>0.89</v>
      </c>
      <c r="T1452" s="30">
        <f t="shared" si="470"/>
        <v>225.78</v>
      </c>
      <c r="U1452" s="30">
        <f t="shared" si="477"/>
        <v>221.86</v>
      </c>
    </row>
    <row r="1453" spans="1:21" ht="15" customHeight="1" x14ac:dyDescent="0.25">
      <c r="A1453" s="5">
        <v>33174</v>
      </c>
      <c r="B1453" s="5">
        <f t="shared" si="471"/>
        <v>33177</v>
      </c>
      <c r="C1453">
        <v>304.70999999999998</v>
      </c>
      <c r="D1453" s="29">
        <f t="shared" si="472"/>
        <v>-9.1000000000000004E-3</v>
      </c>
      <c r="E1453" s="39">
        <f t="shared" si="473"/>
        <v>317.5846153846154</v>
      </c>
      <c r="F1453" s="39">
        <f t="shared" si="474"/>
        <v>336.66205128205132</v>
      </c>
      <c r="G1453" s="29">
        <f t="shared" si="467"/>
        <v>-4.0500000000000001E-2</v>
      </c>
      <c r="H1453" s="29">
        <f t="shared" si="467"/>
        <v>-9.4899999999999998E-2</v>
      </c>
      <c r="I1453">
        <f t="shared" si="475"/>
        <v>304.70999999999998</v>
      </c>
      <c r="J1453">
        <f>IF(A1453&gt;=Quarterly!B$2,Quarterly!C$2,IF(COUNTIFS(Quarterly!B:B,"&gt;="&amp;A1453-92,Quarterly!B:B,"&lt;="&amp;A1453)&gt;1,SUMIFS(Quarterly!C:C,Quarterly!B:B,"&gt;="&amp;A1453-88,Quarterly!B:B,"&lt;="&amp;A1453),SUMIFS(Quarterly!C:C,Quarterly!B:B,"&gt;="&amp;A1453-92,Quarterly!B:B,"&lt;="&amp;A1453)))</f>
        <v>5974.7</v>
      </c>
      <c r="K1453" s="13">
        <f t="shared" si="476"/>
        <v>5.0999999999999997E-2</v>
      </c>
      <c r="L1453">
        <f t="shared" si="478"/>
        <v>304.70999999999998</v>
      </c>
      <c r="M1453">
        <f>IF(A1453&gt;=Quarterly!B$2,Quarterly!D$2,IF(COUNTIFS(Quarterly!B:B,"&gt;="&amp;A1453-92,Quarterly!B:B,"&lt;="&amp;A1453)&gt;1,SUMIFS(Quarterly!D:D,Quarterly!B:B,"&gt;="&amp;A1453-88,Quarterly!B:B,"&lt;="&amp;A1453),SUMIFS(Quarterly!D:D,Quarterly!B:B,"&gt;="&amp;A1453-92,Quarterly!B:B,"&lt;="&amp;A1453)))</f>
        <v>259.13400000000001</v>
      </c>
      <c r="N1453" s="13">
        <f t="shared" si="479"/>
        <v>0.11759</v>
      </c>
      <c r="O1453">
        <f t="shared" si="468"/>
        <v>304.70999999999998</v>
      </c>
      <c r="P1453" s="56"/>
      <c r="Q1453" s="13"/>
      <c r="R1453" s="41">
        <v>0.83</v>
      </c>
      <c r="T1453" s="30">
        <f t="shared" si="470"/>
        <v>220.86</v>
      </c>
      <c r="U1453" s="30">
        <f t="shared" si="477"/>
        <v>218.04</v>
      </c>
    </row>
    <row r="1454" spans="1:21" ht="15" customHeight="1" x14ac:dyDescent="0.25">
      <c r="A1454" s="5">
        <v>33167</v>
      </c>
      <c r="B1454" s="5">
        <f t="shared" si="471"/>
        <v>33177</v>
      </c>
      <c r="C1454">
        <v>312.48</v>
      </c>
      <c r="D1454" s="29">
        <f t="shared" si="472"/>
        <v>1.7100000000000001E-2</v>
      </c>
      <c r="E1454" s="39">
        <f t="shared" si="473"/>
        <v>321.33307692307687</v>
      </c>
      <c r="F1454" s="39">
        <f t="shared" si="474"/>
        <v>337.20282051282049</v>
      </c>
      <c r="G1454" s="29">
        <f t="shared" si="467"/>
        <v>-2.76E-2</v>
      </c>
      <c r="H1454" s="29">
        <f t="shared" si="467"/>
        <v>-7.3300000000000004E-2</v>
      </c>
      <c r="I1454">
        <f t="shared" si="475"/>
        <v>312.48</v>
      </c>
      <c r="J1454">
        <f>IF(A1454&gt;=Quarterly!B$2,Quarterly!C$2,IF(COUNTIFS(Quarterly!B:B,"&gt;="&amp;A1454-92,Quarterly!B:B,"&lt;="&amp;A1454)&gt;1,SUMIFS(Quarterly!C:C,Quarterly!B:B,"&gt;="&amp;A1454-88,Quarterly!B:B,"&lt;="&amp;A1454),SUMIFS(Quarterly!C:C,Quarterly!B:B,"&gt;="&amp;A1454-92,Quarterly!B:B,"&lt;="&amp;A1454)))</f>
        <v>5974.7</v>
      </c>
      <c r="K1454" s="13">
        <f t="shared" si="476"/>
        <v>5.2299999999999999E-2</v>
      </c>
      <c r="L1454">
        <f t="shared" si="478"/>
        <v>312.48</v>
      </c>
      <c r="M1454">
        <f>IF(A1454&gt;=Quarterly!B$2,Quarterly!D$2,IF(COUNTIFS(Quarterly!B:B,"&gt;="&amp;A1454-92,Quarterly!B:B,"&lt;="&amp;A1454)&gt;1,SUMIFS(Quarterly!D:D,Quarterly!B:B,"&gt;="&amp;A1454-88,Quarterly!B:B,"&lt;="&amp;A1454),SUMIFS(Quarterly!D:D,Quarterly!B:B,"&gt;="&amp;A1454-92,Quarterly!B:B,"&lt;="&amp;A1454)))</f>
        <v>259.13400000000001</v>
      </c>
      <c r="N1454" s="13">
        <f t="shared" si="479"/>
        <v>0.12059</v>
      </c>
      <c r="O1454">
        <f t="shared" si="468"/>
        <v>312.48</v>
      </c>
      <c r="P1454" s="56"/>
      <c r="Q1454" s="13"/>
      <c r="R1454" s="41">
        <v>0.77</v>
      </c>
      <c r="T1454" s="30">
        <f t="shared" si="470"/>
        <v>218.95</v>
      </c>
      <c r="U1454" s="30">
        <f t="shared" si="477"/>
        <v>215.06</v>
      </c>
    </row>
    <row r="1455" spans="1:21" ht="15" customHeight="1" x14ac:dyDescent="0.25">
      <c r="A1455" s="5">
        <v>33160</v>
      </c>
      <c r="B1455" s="5">
        <f t="shared" si="471"/>
        <v>33177</v>
      </c>
      <c r="C1455">
        <v>300.02999999999997</v>
      </c>
      <c r="D1455" s="29">
        <f t="shared" si="472"/>
        <v>-3.6600000000000001E-2</v>
      </c>
      <c r="E1455" s="39">
        <f t="shared" si="473"/>
        <v>325.1123076923077</v>
      </c>
      <c r="F1455" s="39">
        <f t="shared" si="474"/>
        <v>337.88666666666671</v>
      </c>
      <c r="G1455" s="29">
        <f t="shared" si="467"/>
        <v>-7.7100000000000002E-2</v>
      </c>
      <c r="H1455" s="29">
        <f t="shared" si="467"/>
        <v>-0.112</v>
      </c>
      <c r="I1455">
        <f t="shared" si="475"/>
        <v>300.02999999999997</v>
      </c>
      <c r="J1455">
        <f>IF(A1455&gt;=Quarterly!B$2,Quarterly!C$2,IF(COUNTIFS(Quarterly!B:B,"&gt;="&amp;A1455-92,Quarterly!B:B,"&lt;="&amp;A1455)&gt;1,SUMIFS(Quarterly!C:C,Quarterly!B:B,"&gt;="&amp;A1455-88,Quarterly!B:B,"&lt;="&amp;A1455),SUMIFS(Quarterly!C:C,Quarterly!B:B,"&gt;="&amp;A1455-92,Quarterly!B:B,"&lt;="&amp;A1455)))</f>
        <v>5974.7</v>
      </c>
      <c r="K1455" s="13">
        <f t="shared" si="476"/>
        <v>5.0200000000000002E-2</v>
      </c>
      <c r="L1455">
        <f t="shared" si="478"/>
        <v>300.02999999999997</v>
      </c>
      <c r="M1455">
        <f>IF(A1455&gt;=Quarterly!B$2,Quarterly!D$2,IF(COUNTIFS(Quarterly!B:B,"&gt;="&amp;A1455-92,Quarterly!B:B,"&lt;="&amp;A1455)&gt;1,SUMIFS(Quarterly!D:D,Quarterly!B:B,"&gt;="&amp;A1455-88,Quarterly!B:B,"&lt;="&amp;A1455),SUMIFS(Quarterly!D:D,Quarterly!B:B,"&gt;="&amp;A1455-92,Quarterly!B:B,"&lt;="&amp;A1455)))</f>
        <v>259.13400000000001</v>
      </c>
      <c r="N1455" s="13">
        <f t="shared" si="479"/>
        <v>0.11577999999999999</v>
      </c>
      <c r="O1455">
        <f t="shared" si="468"/>
        <v>300.02999999999997</v>
      </c>
      <c r="P1455" s="56"/>
      <c r="Q1455" s="13"/>
      <c r="R1455" s="41">
        <v>0.9</v>
      </c>
      <c r="T1455" s="30">
        <f t="shared" si="470"/>
        <v>214.3</v>
      </c>
      <c r="U1455" s="30">
        <f t="shared" si="477"/>
        <v>211.62</v>
      </c>
    </row>
    <row r="1456" spans="1:21" ht="15" customHeight="1" x14ac:dyDescent="0.25">
      <c r="A1456" s="5">
        <v>33153</v>
      </c>
      <c r="B1456" s="5">
        <f t="shared" si="471"/>
        <v>33177</v>
      </c>
      <c r="C1456">
        <v>311.5</v>
      </c>
      <c r="D1456" s="29">
        <f t="shared" si="472"/>
        <v>-9.1999999999999998E-3</v>
      </c>
      <c r="E1456" s="39">
        <f t="shared" si="473"/>
        <v>330.28769230769234</v>
      </c>
      <c r="F1456" s="39">
        <f t="shared" si="474"/>
        <v>338.90974358974364</v>
      </c>
      <c r="G1456" s="29">
        <f t="shared" si="467"/>
        <v>-5.6899999999999999E-2</v>
      </c>
      <c r="H1456" s="29">
        <f t="shared" si="467"/>
        <v>-8.09E-2</v>
      </c>
      <c r="I1456">
        <f t="shared" si="475"/>
        <v>311.5</v>
      </c>
      <c r="J1456">
        <f>IF(A1456&gt;=Quarterly!B$2,Quarterly!C$2,IF(COUNTIFS(Quarterly!B:B,"&gt;="&amp;A1456-92,Quarterly!B:B,"&lt;="&amp;A1456)&gt;1,SUMIFS(Quarterly!C:C,Quarterly!B:B,"&gt;="&amp;A1456-88,Quarterly!B:B,"&lt;="&amp;A1456),SUMIFS(Quarterly!C:C,Quarterly!B:B,"&gt;="&amp;A1456-92,Quarterly!B:B,"&lt;="&amp;A1456)))</f>
        <v>5974.7</v>
      </c>
      <c r="K1456" s="13">
        <f t="shared" si="476"/>
        <v>5.21E-2</v>
      </c>
      <c r="L1456">
        <f t="shared" si="478"/>
        <v>311.5</v>
      </c>
      <c r="M1456">
        <f>IF(A1456&gt;=Quarterly!B$2,Quarterly!D$2,IF(COUNTIFS(Quarterly!B:B,"&gt;="&amp;A1456-92,Quarterly!B:B,"&lt;="&amp;A1456)&gt;1,SUMIFS(Quarterly!D:D,Quarterly!B:B,"&gt;="&amp;A1456-88,Quarterly!B:B,"&lt;="&amp;A1456),SUMIFS(Quarterly!D:D,Quarterly!B:B,"&gt;="&amp;A1456-92,Quarterly!B:B,"&lt;="&amp;A1456)))</f>
        <v>259.13400000000001</v>
      </c>
      <c r="N1456" s="13">
        <f t="shared" si="479"/>
        <v>0.12021</v>
      </c>
      <c r="O1456">
        <f t="shared" si="468"/>
        <v>311.5</v>
      </c>
      <c r="P1456" s="56"/>
      <c r="Q1456" s="13"/>
      <c r="R1456" s="41">
        <v>0.84</v>
      </c>
      <c r="T1456" s="30">
        <f t="shared" si="470"/>
        <v>211.92</v>
      </c>
      <c r="U1456" s="30">
        <f t="shared" si="477"/>
        <v>208.98</v>
      </c>
    </row>
    <row r="1457" spans="1:21" ht="15" customHeight="1" x14ac:dyDescent="0.25">
      <c r="A1457" s="5">
        <v>33146</v>
      </c>
      <c r="B1457" s="5">
        <f t="shared" si="471"/>
        <v>33146</v>
      </c>
      <c r="C1457">
        <v>306.05</v>
      </c>
      <c r="D1457" s="29">
        <f t="shared" si="472"/>
        <v>-3.9199999999999999E-2</v>
      </c>
      <c r="E1457" s="39">
        <f t="shared" si="473"/>
        <v>333.89692307692309</v>
      </c>
      <c r="F1457" s="39">
        <f t="shared" si="474"/>
        <v>339.95333333333338</v>
      </c>
      <c r="G1457" s="29">
        <f t="shared" si="467"/>
        <v>-8.3400000000000002E-2</v>
      </c>
      <c r="H1457" s="29">
        <f t="shared" si="467"/>
        <v>-9.9699999999999997E-2</v>
      </c>
      <c r="I1457">
        <f t="shared" si="475"/>
        <v>306.05</v>
      </c>
      <c r="J1457">
        <f>IF(A1457&gt;=Quarterly!B$2,Quarterly!C$2,IF(COUNTIFS(Quarterly!B:B,"&gt;="&amp;A1457-92,Quarterly!B:B,"&lt;="&amp;A1457)&gt;1,SUMIFS(Quarterly!C:C,Quarterly!B:B,"&gt;="&amp;A1457-88,Quarterly!B:B,"&lt;="&amp;A1457),SUMIFS(Quarterly!C:C,Quarterly!B:B,"&gt;="&amp;A1457-92,Quarterly!B:B,"&lt;="&amp;A1457)))</f>
        <v>5974.7</v>
      </c>
      <c r="K1457" s="13">
        <f t="shared" si="476"/>
        <v>5.1200000000000002E-2</v>
      </c>
      <c r="L1457">
        <f t="shared" si="478"/>
        <v>306.05</v>
      </c>
      <c r="M1457">
        <f>IF(A1457&gt;=Quarterly!B$2,Quarterly!D$2,IF(COUNTIFS(Quarterly!B:B,"&gt;="&amp;A1457-92,Quarterly!B:B,"&lt;="&amp;A1457)&gt;1,SUMIFS(Quarterly!D:D,Quarterly!B:B,"&gt;="&amp;A1457-88,Quarterly!B:B,"&lt;="&amp;A1457),SUMIFS(Quarterly!D:D,Quarterly!B:B,"&gt;="&amp;A1457-92,Quarterly!B:B,"&lt;="&amp;A1457)))</f>
        <v>259.13400000000001</v>
      </c>
      <c r="N1457" s="13">
        <f t="shared" si="479"/>
        <v>0.11810000000000001</v>
      </c>
      <c r="O1457">
        <f t="shared" si="468"/>
        <v>306.05</v>
      </c>
      <c r="P1457" s="56"/>
      <c r="Q1457" s="13"/>
      <c r="R1457" s="41">
        <v>0.8</v>
      </c>
      <c r="T1457" s="30">
        <f t="shared" si="470"/>
        <v>208.63</v>
      </c>
      <c r="U1457" s="30">
        <f t="shared" si="477"/>
        <v>206.54</v>
      </c>
    </row>
    <row r="1458" spans="1:21" ht="15" customHeight="1" x14ac:dyDescent="0.25">
      <c r="A1458" s="5">
        <v>33139</v>
      </c>
      <c r="B1458" s="5">
        <f t="shared" si="471"/>
        <v>33146</v>
      </c>
      <c r="C1458">
        <v>311.32</v>
      </c>
      <c r="D1458" s="29">
        <f t="shared" si="472"/>
        <v>-2.2800000000000001E-2</v>
      </c>
      <c r="E1458" s="39">
        <f t="shared" si="473"/>
        <v>337.89461538461541</v>
      </c>
      <c r="F1458" s="39">
        <f t="shared" si="474"/>
        <v>341.16743589743589</v>
      </c>
      <c r="G1458" s="29">
        <f t="shared" si="467"/>
        <v>-7.8600000000000003E-2</v>
      </c>
      <c r="H1458" s="29">
        <f t="shared" si="467"/>
        <v>-8.7499999999999994E-2</v>
      </c>
      <c r="I1458">
        <f t="shared" si="475"/>
        <v>311.32</v>
      </c>
      <c r="J1458">
        <f>IF(A1458&gt;=Quarterly!B$2,Quarterly!C$2,IF(COUNTIFS(Quarterly!B:B,"&gt;="&amp;A1458-92,Quarterly!B:B,"&lt;="&amp;A1458)&gt;1,SUMIFS(Quarterly!C:C,Quarterly!B:B,"&gt;="&amp;A1458-88,Quarterly!B:B,"&lt;="&amp;A1458),SUMIFS(Quarterly!C:C,Quarterly!B:B,"&gt;="&amp;A1458-92,Quarterly!B:B,"&lt;="&amp;A1458)))</f>
        <v>5974.7</v>
      </c>
      <c r="K1458" s="13">
        <f t="shared" si="476"/>
        <v>5.21E-2</v>
      </c>
      <c r="L1458">
        <f t="shared" si="478"/>
        <v>311.32</v>
      </c>
      <c r="M1458">
        <f>IF(A1458&gt;=Quarterly!B$2,Quarterly!D$2,IF(COUNTIFS(Quarterly!B:B,"&gt;="&amp;A1458-92,Quarterly!B:B,"&lt;="&amp;A1458)&gt;1,SUMIFS(Quarterly!D:D,Quarterly!B:B,"&gt;="&amp;A1458-88,Quarterly!B:B,"&lt;="&amp;A1458),SUMIFS(Quarterly!D:D,Quarterly!B:B,"&gt;="&amp;A1458-92,Quarterly!B:B,"&lt;="&amp;A1458)))</f>
        <v>259.13400000000001</v>
      </c>
      <c r="N1458" s="13">
        <f t="shared" si="479"/>
        <v>0.12014000000000001</v>
      </c>
      <c r="O1458">
        <f t="shared" si="468"/>
        <v>311.32</v>
      </c>
      <c r="P1458" s="56"/>
      <c r="Q1458" s="13"/>
      <c r="R1458" s="41">
        <v>0.87</v>
      </c>
      <c r="T1458" s="30">
        <f t="shared" si="470"/>
        <v>206.39</v>
      </c>
      <c r="U1458" s="30">
        <f t="shared" si="477"/>
        <v>204.56</v>
      </c>
    </row>
    <row r="1459" spans="1:21" ht="15" customHeight="1" x14ac:dyDescent="0.25">
      <c r="A1459" s="5">
        <v>33132</v>
      </c>
      <c r="B1459" s="5">
        <f t="shared" si="471"/>
        <v>33146</v>
      </c>
      <c r="C1459">
        <v>316.83</v>
      </c>
      <c r="D1459" s="29">
        <f t="shared" si="472"/>
        <v>-1.4E-2</v>
      </c>
      <c r="E1459" s="39">
        <f t="shared" si="473"/>
        <v>341.28769230769228</v>
      </c>
      <c r="F1459" s="39">
        <f t="shared" si="474"/>
        <v>342.09307692307692</v>
      </c>
      <c r="G1459" s="29">
        <f t="shared" si="467"/>
        <v>-7.17E-2</v>
      </c>
      <c r="H1459" s="29">
        <f t="shared" si="467"/>
        <v>-7.3800000000000004E-2</v>
      </c>
      <c r="I1459">
        <f t="shared" si="475"/>
        <v>316.83</v>
      </c>
      <c r="J1459">
        <f>IF(A1459&gt;=Quarterly!B$2,Quarterly!C$2,IF(COUNTIFS(Quarterly!B:B,"&gt;="&amp;A1459-92,Quarterly!B:B,"&lt;="&amp;A1459)&gt;1,SUMIFS(Quarterly!C:C,Quarterly!B:B,"&gt;="&amp;A1459-88,Quarterly!B:B,"&lt;="&amp;A1459),SUMIFS(Quarterly!C:C,Quarterly!B:B,"&gt;="&amp;A1459-92,Quarterly!B:B,"&lt;="&amp;A1459)))</f>
        <v>5974.7</v>
      </c>
      <c r="K1459" s="13">
        <f t="shared" si="476"/>
        <v>5.2999999999999999E-2</v>
      </c>
      <c r="L1459">
        <f t="shared" si="478"/>
        <v>316.83</v>
      </c>
      <c r="M1459">
        <f>IF(A1459&gt;=Quarterly!B$2,Quarterly!D$2,IF(COUNTIFS(Quarterly!B:B,"&gt;="&amp;A1459-92,Quarterly!B:B,"&lt;="&amp;A1459)&gt;1,SUMIFS(Quarterly!D:D,Quarterly!B:B,"&gt;="&amp;A1459-88,Quarterly!B:B,"&lt;="&amp;A1459),SUMIFS(Quarterly!D:D,Quarterly!B:B,"&gt;="&amp;A1459-92,Quarterly!B:B,"&lt;="&amp;A1459)))</f>
        <v>259.13400000000001</v>
      </c>
      <c r="N1459" s="13">
        <f t="shared" si="479"/>
        <v>0.12225999999999999</v>
      </c>
      <c r="O1459">
        <f t="shared" si="468"/>
        <v>316.83</v>
      </c>
      <c r="P1459" s="56"/>
      <c r="Q1459" s="13"/>
      <c r="R1459" s="41">
        <v>0.84</v>
      </c>
      <c r="T1459" s="30">
        <f t="shared" si="470"/>
        <v>204.59</v>
      </c>
      <c r="U1459" s="30">
        <f t="shared" si="477"/>
        <v>202.64</v>
      </c>
    </row>
    <row r="1460" spans="1:21" ht="15" customHeight="1" x14ac:dyDescent="0.25">
      <c r="A1460" s="5">
        <v>33125</v>
      </c>
      <c r="B1460" s="5">
        <f t="shared" si="471"/>
        <v>33146</v>
      </c>
      <c r="C1460">
        <v>323.39999999999998</v>
      </c>
      <c r="D1460" s="29">
        <f t="shared" si="472"/>
        <v>-2.8999999999999998E-3</v>
      </c>
      <c r="E1460" s="39">
        <f t="shared" si="473"/>
        <v>344.83230769230767</v>
      </c>
      <c r="F1460" s="39">
        <f t="shared" si="474"/>
        <v>342.94717948717943</v>
      </c>
      <c r="G1460" s="29">
        <f t="shared" si="467"/>
        <v>-6.2199999999999998E-2</v>
      </c>
      <c r="H1460" s="29">
        <f t="shared" si="467"/>
        <v>-5.7000000000000002E-2</v>
      </c>
      <c r="I1460">
        <f t="shared" si="475"/>
        <v>323.39999999999998</v>
      </c>
      <c r="J1460">
        <f>IF(A1460&gt;=Quarterly!B$2,Quarterly!C$2,IF(COUNTIFS(Quarterly!B:B,"&gt;="&amp;A1460-92,Quarterly!B:B,"&lt;="&amp;A1460)&gt;1,SUMIFS(Quarterly!C:C,Quarterly!B:B,"&gt;="&amp;A1460-88,Quarterly!B:B,"&lt;="&amp;A1460),SUMIFS(Quarterly!C:C,Quarterly!B:B,"&gt;="&amp;A1460-92,Quarterly!B:B,"&lt;="&amp;A1460)))</f>
        <v>5974.7</v>
      </c>
      <c r="K1460" s="13">
        <f t="shared" si="476"/>
        <v>5.4100000000000002E-2</v>
      </c>
      <c r="L1460">
        <f t="shared" si="478"/>
        <v>323.39999999999998</v>
      </c>
      <c r="M1460">
        <f>IF(A1460&gt;=Quarterly!B$2,Quarterly!D$2,IF(COUNTIFS(Quarterly!B:B,"&gt;="&amp;A1460-92,Quarterly!B:B,"&lt;="&amp;A1460)&gt;1,SUMIFS(Quarterly!D:D,Quarterly!B:B,"&gt;="&amp;A1460-88,Quarterly!B:B,"&lt;="&amp;A1460),SUMIFS(Quarterly!D:D,Quarterly!B:B,"&gt;="&amp;A1460-92,Quarterly!B:B,"&lt;="&amp;A1460)))</f>
        <v>259.13400000000001</v>
      </c>
      <c r="N1460" s="13">
        <f t="shared" si="479"/>
        <v>0.12480000000000001</v>
      </c>
      <c r="O1460">
        <f t="shared" si="468"/>
        <v>323.39999999999998</v>
      </c>
      <c r="P1460" s="56"/>
      <c r="Q1460" s="13"/>
      <c r="R1460" s="41">
        <v>0.77</v>
      </c>
      <c r="T1460" s="30">
        <f t="shared" si="470"/>
        <v>202.7</v>
      </c>
      <c r="U1460" s="30">
        <f t="shared" si="477"/>
        <v>200.36</v>
      </c>
    </row>
    <row r="1461" spans="1:21" ht="15" customHeight="1" x14ac:dyDescent="0.25">
      <c r="A1461" s="5">
        <v>33118</v>
      </c>
      <c r="B1461" s="5">
        <f t="shared" si="471"/>
        <v>33146</v>
      </c>
      <c r="C1461">
        <v>322.56</v>
      </c>
      <c r="D1461" s="29">
        <f t="shared" si="472"/>
        <v>-2.23E-2</v>
      </c>
      <c r="E1461" s="39">
        <f t="shared" si="473"/>
        <v>347.54846153846154</v>
      </c>
      <c r="F1461" s="39">
        <f t="shared" si="474"/>
        <v>343.59564102564099</v>
      </c>
      <c r="G1461" s="29">
        <f t="shared" si="467"/>
        <v>-7.1900000000000006E-2</v>
      </c>
      <c r="H1461" s="29">
        <f t="shared" si="467"/>
        <v>-6.1199999999999997E-2</v>
      </c>
      <c r="I1461">
        <f t="shared" si="475"/>
        <v>322.56</v>
      </c>
      <c r="J1461">
        <f>IF(A1461&gt;=Quarterly!B$2,Quarterly!C$2,IF(COUNTIFS(Quarterly!B:B,"&gt;="&amp;A1461-92,Quarterly!B:B,"&lt;="&amp;A1461)&gt;1,SUMIFS(Quarterly!C:C,Quarterly!B:B,"&gt;="&amp;A1461-88,Quarterly!B:B,"&lt;="&amp;A1461),SUMIFS(Quarterly!C:C,Quarterly!B:B,"&gt;="&amp;A1461-92,Quarterly!B:B,"&lt;="&amp;A1461)))</f>
        <v>5974.7</v>
      </c>
      <c r="K1461" s="13">
        <f t="shared" si="476"/>
        <v>5.3999999999999999E-2</v>
      </c>
      <c r="L1461">
        <f t="shared" si="478"/>
        <v>322.56</v>
      </c>
      <c r="M1461">
        <f>IF(A1461&gt;=Quarterly!B$2,Quarterly!D$2,IF(COUNTIFS(Quarterly!B:B,"&gt;="&amp;A1461-92,Quarterly!B:B,"&lt;="&amp;A1461)&gt;1,SUMIFS(Quarterly!D:D,Quarterly!B:B,"&gt;="&amp;A1461-88,Quarterly!B:B,"&lt;="&amp;A1461),SUMIFS(Quarterly!D:D,Quarterly!B:B,"&gt;="&amp;A1461-92,Quarterly!B:B,"&lt;="&amp;A1461)))</f>
        <v>259.13400000000001</v>
      </c>
      <c r="N1461" s="13">
        <f t="shared" si="479"/>
        <v>0.12447999999999999</v>
      </c>
      <c r="O1461">
        <f t="shared" si="468"/>
        <v>322.56</v>
      </c>
      <c r="P1461" s="56"/>
      <c r="Q1461" s="13"/>
      <c r="R1461" s="41">
        <v>0.79</v>
      </c>
      <c r="T1461" s="30">
        <f t="shared" si="470"/>
        <v>200.64</v>
      </c>
      <c r="U1461" s="30">
        <f t="shared" si="477"/>
        <v>198.32</v>
      </c>
    </row>
    <row r="1462" spans="1:21" ht="15" customHeight="1" x14ac:dyDescent="0.25">
      <c r="A1462" s="5">
        <v>33111</v>
      </c>
      <c r="B1462" s="5">
        <f t="shared" si="471"/>
        <v>33116</v>
      </c>
      <c r="C1462">
        <v>311.51</v>
      </c>
      <c r="D1462" s="29">
        <f t="shared" si="472"/>
        <v>-8.4900000000000003E-2</v>
      </c>
      <c r="E1462" s="39">
        <f t="shared" si="473"/>
        <v>350.67153846153843</v>
      </c>
      <c r="F1462" s="39">
        <f t="shared" si="474"/>
        <v>344.31538461538457</v>
      </c>
      <c r="G1462" s="29">
        <f t="shared" si="467"/>
        <v>-0.11169999999999999</v>
      </c>
      <c r="H1462" s="29">
        <f t="shared" si="467"/>
        <v>-9.5299999999999996E-2</v>
      </c>
      <c r="I1462">
        <f t="shared" si="475"/>
        <v>311.51</v>
      </c>
      <c r="J1462">
        <f>IF(A1462&gt;=Quarterly!B$2,Quarterly!C$2,IF(COUNTIFS(Quarterly!B:B,"&gt;="&amp;A1462-92,Quarterly!B:B,"&lt;="&amp;A1462)&gt;1,SUMIFS(Quarterly!C:C,Quarterly!B:B,"&gt;="&amp;A1462-88,Quarterly!B:B,"&lt;="&amp;A1462),SUMIFS(Quarterly!C:C,Quarterly!B:B,"&gt;="&amp;A1462-92,Quarterly!B:B,"&lt;="&amp;A1462)))</f>
        <v>5974.7</v>
      </c>
      <c r="K1462" s="13">
        <f t="shared" si="476"/>
        <v>5.21E-2</v>
      </c>
      <c r="L1462">
        <f t="shared" si="478"/>
        <v>311.51</v>
      </c>
      <c r="M1462">
        <f>IF(A1462&gt;=Quarterly!B$2,Quarterly!D$2,IF(COUNTIFS(Quarterly!B:B,"&gt;="&amp;A1462-92,Quarterly!B:B,"&lt;="&amp;A1462)&gt;1,SUMIFS(Quarterly!D:D,Quarterly!B:B,"&gt;="&amp;A1462-88,Quarterly!B:B,"&lt;="&amp;A1462),SUMIFS(Quarterly!D:D,Quarterly!B:B,"&gt;="&amp;A1462-92,Quarterly!B:B,"&lt;="&amp;A1462)))</f>
        <v>259.13400000000001</v>
      </c>
      <c r="N1462" s="13">
        <f t="shared" si="479"/>
        <v>0.12021</v>
      </c>
      <c r="O1462">
        <f t="shared" si="468"/>
        <v>311.51</v>
      </c>
      <c r="P1462" s="56"/>
      <c r="Q1462" s="13"/>
      <c r="R1462" s="41">
        <v>0.73</v>
      </c>
      <c r="T1462" s="30">
        <f t="shared" si="470"/>
        <v>197.73</v>
      </c>
      <c r="U1462" s="30">
        <f t="shared" si="477"/>
        <v>196.65</v>
      </c>
    </row>
    <row r="1463" spans="1:21" ht="15" customHeight="1" x14ac:dyDescent="0.25">
      <c r="A1463" s="5">
        <v>33104</v>
      </c>
      <c r="B1463" s="5">
        <f t="shared" si="471"/>
        <v>33116</v>
      </c>
      <c r="C1463">
        <v>327.83</v>
      </c>
      <c r="D1463" s="29">
        <f t="shared" si="472"/>
        <v>-6.0299999999999999E-2</v>
      </c>
      <c r="E1463" s="39">
        <f t="shared" si="473"/>
        <v>353.98461538461532</v>
      </c>
      <c r="F1463" s="39">
        <f t="shared" si="474"/>
        <v>345.14769230769224</v>
      </c>
      <c r="G1463" s="29">
        <f t="shared" si="467"/>
        <v>-7.3899999999999993E-2</v>
      </c>
      <c r="H1463" s="29">
        <f t="shared" si="467"/>
        <v>-5.0200000000000002E-2</v>
      </c>
      <c r="I1463">
        <f t="shared" si="475"/>
        <v>327.83</v>
      </c>
      <c r="J1463">
        <f>IF(A1463&gt;=Quarterly!B$2,Quarterly!C$2,IF(COUNTIFS(Quarterly!B:B,"&gt;="&amp;A1463-92,Quarterly!B:B,"&lt;="&amp;A1463)&gt;1,SUMIFS(Quarterly!C:C,Quarterly!B:B,"&gt;="&amp;A1463-88,Quarterly!B:B,"&lt;="&amp;A1463),SUMIFS(Quarterly!C:C,Quarterly!B:B,"&gt;="&amp;A1463-92,Quarterly!B:B,"&lt;="&amp;A1463)))</f>
        <v>5974.7</v>
      </c>
      <c r="K1463" s="13">
        <f t="shared" si="476"/>
        <v>5.4899999999999997E-2</v>
      </c>
      <c r="L1463">
        <f t="shared" si="478"/>
        <v>327.83</v>
      </c>
      <c r="M1463">
        <f>IF(A1463&gt;=Quarterly!B$2,Quarterly!D$2,IF(COUNTIFS(Quarterly!B:B,"&gt;="&amp;A1463-92,Quarterly!B:B,"&lt;="&amp;A1463)&gt;1,SUMIFS(Quarterly!D:D,Quarterly!B:B,"&gt;="&amp;A1463-88,Quarterly!B:B,"&lt;="&amp;A1463),SUMIFS(Quarterly!D:D,Quarterly!B:B,"&gt;="&amp;A1463-92,Quarterly!B:B,"&lt;="&amp;A1463)))</f>
        <v>259.13400000000001</v>
      </c>
      <c r="N1463" s="13">
        <f t="shared" si="479"/>
        <v>0.12650999999999998</v>
      </c>
      <c r="O1463">
        <f t="shared" si="468"/>
        <v>327.83</v>
      </c>
      <c r="P1463" s="56"/>
      <c r="Q1463" s="13"/>
      <c r="R1463" s="41">
        <v>0.69</v>
      </c>
      <c r="T1463" s="30">
        <f t="shared" si="470"/>
        <v>196.59</v>
      </c>
      <c r="U1463" s="30">
        <f t="shared" si="477"/>
        <v>195.9</v>
      </c>
    </row>
    <row r="1464" spans="1:21" ht="15" customHeight="1" x14ac:dyDescent="0.25">
      <c r="A1464" s="5">
        <v>33097</v>
      </c>
      <c r="B1464" s="5">
        <f t="shared" si="471"/>
        <v>33116</v>
      </c>
      <c r="C1464">
        <v>335.52</v>
      </c>
      <c r="D1464" s="29">
        <f t="shared" si="472"/>
        <v>-5.9700000000000003E-2</v>
      </c>
      <c r="E1464" s="39">
        <f t="shared" si="473"/>
        <v>356.04692307692306</v>
      </c>
      <c r="F1464" s="39">
        <f t="shared" si="474"/>
        <v>345.50102564102559</v>
      </c>
      <c r="G1464" s="29">
        <f t="shared" si="467"/>
        <v>-5.7700000000000001E-2</v>
      </c>
      <c r="H1464" s="29">
        <f t="shared" si="467"/>
        <v>-2.8899999999999999E-2</v>
      </c>
      <c r="I1464">
        <f t="shared" si="475"/>
        <v>335.52</v>
      </c>
      <c r="J1464">
        <f>IF(A1464&gt;=Quarterly!B$2,Quarterly!C$2,IF(COUNTIFS(Quarterly!B:B,"&gt;="&amp;A1464-92,Quarterly!B:B,"&lt;="&amp;A1464)&gt;1,SUMIFS(Quarterly!C:C,Quarterly!B:B,"&gt;="&amp;A1464-88,Quarterly!B:B,"&lt;="&amp;A1464),SUMIFS(Quarterly!C:C,Quarterly!B:B,"&gt;="&amp;A1464-92,Quarterly!B:B,"&lt;="&amp;A1464)))</f>
        <v>5974.7</v>
      </c>
      <c r="K1464" s="13">
        <f t="shared" si="476"/>
        <v>5.62E-2</v>
      </c>
      <c r="L1464">
        <f t="shared" si="478"/>
        <v>335.52</v>
      </c>
      <c r="M1464">
        <f>IF(A1464&gt;=Quarterly!B$2,Quarterly!D$2,IF(COUNTIFS(Quarterly!B:B,"&gt;="&amp;A1464-92,Quarterly!B:B,"&lt;="&amp;A1464)&gt;1,SUMIFS(Quarterly!D:D,Quarterly!B:B,"&gt;="&amp;A1464-88,Quarterly!B:B,"&lt;="&amp;A1464),SUMIFS(Quarterly!D:D,Quarterly!B:B,"&gt;="&amp;A1464-92,Quarterly!B:B,"&lt;="&amp;A1464)))</f>
        <v>259.13400000000001</v>
      </c>
      <c r="N1464" s="13">
        <f t="shared" si="479"/>
        <v>0.12948000000000001</v>
      </c>
      <c r="O1464">
        <f t="shared" si="468"/>
        <v>335.52</v>
      </c>
      <c r="P1464" s="56"/>
      <c r="Q1464" s="13"/>
      <c r="R1464" s="41">
        <v>0.73</v>
      </c>
      <c r="T1464" s="30">
        <f t="shared" si="470"/>
        <v>195.64</v>
      </c>
      <c r="U1464" s="30">
        <f t="shared" si="477"/>
        <v>194.51</v>
      </c>
    </row>
    <row r="1465" spans="1:21" ht="15" customHeight="1" x14ac:dyDescent="0.25">
      <c r="A1465" s="5">
        <v>33090</v>
      </c>
      <c r="B1465" s="5">
        <f t="shared" si="471"/>
        <v>33116</v>
      </c>
      <c r="C1465">
        <v>344.86</v>
      </c>
      <c r="D1465" s="29">
        <f t="shared" si="472"/>
        <v>-4.2599999999999999E-2</v>
      </c>
      <c r="E1465" s="39">
        <f t="shared" si="473"/>
        <v>357.31461538461531</v>
      </c>
      <c r="F1465" s="39">
        <f t="shared" si="474"/>
        <v>345.59282051282048</v>
      </c>
      <c r="G1465" s="29">
        <f t="shared" si="467"/>
        <v>-3.49E-2</v>
      </c>
      <c r="H1465" s="29">
        <f t="shared" si="467"/>
        <v>-2.0999999999999999E-3</v>
      </c>
      <c r="I1465">
        <f t="shared" si="475"/>
        <v>344.86</v>
      </c>
      <c r="J1465">
        <f>IF(A1465&gt;=Quarterly!B$2,Quarterly!C$2,IF(COUNTIFS(Quarterly!B:B,"&gt;="&amp;A1465-92,Quarterly!B:B,"&lt;="&amp;A1465)&gt;1,SUMIFS(Quarterly!C:C,Quarterly!B:B,"&gt;="&amp;A1465-88,Quarterly!B:B,"&lt;="&amp;A1465),SUMIFS(Quarterly!C:C,Quarterly!B:B,"&gt;="&amp;A1465-92,Quarterly!B:B,"&lt;="&amp;A1465)))</f>
        <v>5974.7</v>
      </c>
      <c r="K1465" s="13">
        <f t="shared" si="476"/>
        <v>5.7700000000000001E-2</v>
      </c>
      <c r="L1465">
        <f t="shared" si="478"/>
        <v>344.86</v>
      </c>
      <c r="M1465">
        <f>IF(A1465&gt;=Quarterly!B$2,Quarterly!D$2,IF(COUNTIFS(Quarterly!B:B,"&gt;="&amp;A1465-92,Quarterly!B:B,"&lt;="&amp;A1465)&gt;1,SUMIFS(Quarterly!D:D,Quarterly!B:B,"&gt;="&amp;A1465-88,Quarterly!B:B,"&lt;="&amp;A1465),SUMIFS(Quarterly!D:D,Quarterly!B:B,"&gt;="&amp;A1465-92,Quarterly!B:B,"&lt;="&amp;A1465)))</f>
        <v>259.13400000000001</v>
      </c>
      <c r="N1465" s="13">
        <f t="shared" si="479"/>
        <v>0.13308</v>
      </c>
      <c r="O1465">
        <f t="shared" si="468"/>
        <v>344.86</v>
      </c>
      <c r="P1465" s="56"/>
      <c r="Q1465" s="13"/>
      <c r="R1465" s="41">
        <v>0.64</v>
      </c>
      <c r="T1465" s="30">
        <f t="shared" si="470"/>
        <v>195.47</v>
      </c>
      <c r="U1465" s="30">
        <f t="shared" si="477"/>
        <v>194.04</v>
      </c>
    </row>
    <row r="1466" spans="1:21" ht="15" customHeight="1" x14ac:dyDescent="0.25">
      <c r="A1466" s="5">
        <v>33083</v>
      </c>
      <c r="B1466" s="5">
        <f t="shared" si="471"/>
        <v>33085</v>
      </c>
      <c r="C1466">
        <v>353.44</v>
      </c>
      <c r="D1466" s="29">
        <f t="shared" si="472"/>
        <v>-2.1899999999999999E-2</v>
      </c>
      <c r="E1466" s="39">
        <f t="shared" si="473"/>
        <v>356.81692307692305</v>
      </c>
      <c r="F1466" s="39">
        <f t="shared" si="474"/>
        <v>345.40717948717946</v>
      </c>
      <c r="G1466" s="29">
        <f t="shared" si="467"/>
        <v>-9.4999999999999998E-3</v>
      </c>
      <c r="H1466" s="29">
        <f t="shared" si="467"/>
        <v>2.3300000000000001E-2</v>
      </c>
      <c r="I1466">
        <f t="shared" si="475"/>
        <v>353.44</v>
      </c>
      <c r="J1466">
        <f>IF(A1466&gt;=Quarterly!B$2,Quarterly!C$2,IF(COUNTIFS(Quarterly!B:B,"&gt;="&amp;A1466-92,Quarterly!B:B,"&lt;="&amp;A1466)&gt;1,SUMIFS(Quarterly!C:C,Quarterly!B:B,"&gt;="&amp;A1466-88,Quarterly!B:B,"&lt;="&amp;A1466),SUMIFS(Quarterly!C:C,Quarterly!B:B,"&gt;="&amp;A1466-92,Quarterly!B:B,"&lt;="&amp;A1466)))</f>
        <v>5890.8</v>
      </c>
      <c r="K1466" s="13">
        <f t="shared" si="476"/>
        <v>0.06</v>
      </c>
      <c r="L1466">
        <f t="shared" si="478"/>
        <v>353.44</v>
      </c>
      <c r="M1466">
        <f>IF(A1466&gt;=Quarterly!B$2,Quarterly!D$2,IF(COUNTIFS(Quarterly!B:B,"&gt;="&amp;A1466-92,Quarterly!B:B,"&lt;="&amp;A1466)&gt;1,SUMIFS(Quarterly!D:D,Quarterly!B:B,"&gt;="&amp;A1466-88,Quarterly!B:B,"&lt;="&amp;A1466),SUMIFS(Quarterly!D:D,Quarterly!B:B,"&gt;="&amp;A1466-92,Quarterly!B:B,"&lt;="&amp;A1466)))</f>
        <v>246.297</v>
      </c>
      <c r="N1466" s="13">
        <f t="shared" si="479"/>
        <v>0.14350000000000002</v>
      </c>
      <c r="O1466">
        <f t="shared" si="468"/>
        <v>353.44</v>
      </c>
      <c r="P1466" s="56"/>
      <c r="Q1466" s="13"/>
      <c r="R1466" s="41">
        <v>0.42</v>
      </c>
      <c r="T1466" s="30">
        <f t="shared" si="470"/>
        <v>192.42</v>
      </c>
      <c r="U1466" s="30">
        <f t="shared" si="477"/>
        <v>194.24</v>
      </c>
    </row>
    <row r="1467" spans="1:21" ht="15" customHeight="1" x14ac:dyDescent="0.25">
      <c r="A1467" s="5">
        <v>33076</v>
      </c>
      <c r="B1467" s="5">
        <f t="shared" si="471"/>
        <v>33085</v>
      </c>
      <c r="C1467">
        <v>361.61</v>
      </c>
      <c r="D1467" s="29">
        <f t="shared" si="472"/>
        <v>5.0000000000000001E-3</v>
      </c>
      <c r="E1467" s="39">
        <f t="shared" si="473"/>
        <v>354.94538461538463</v>
      </c>
      <c r="F1467" s="39">
        <f t="shared" si="474"/>
        <v>344.93589743589746</v>
      </c>
      <c r="G1467" s="29">
        <f t="shared" si="467"/>
        <v>1.8800000000000001E-2</v>
      </c>
      <c r="H1467" s="29">
        <f t="shared" si="467"/>
        <v>4.8300000000000003E-2</v>
      </c>
      <c r="I1467">
        <f t="shared" si="475"/>
        <v>361.61</v>
      </c>
      <c r="J1467">
        <f>IF(A1467&gt;=Quarterly!B$2,Quarterly!C$2,IF(COUNTIFS(Quarterly!B:B,"&gt;="&amp;A1467-92,Quarterly!B:B,"&lt;="&amp;A1467)&gt;1,SUMIFS(Quarterly!C:C,Quarterly!B:B,"&gt;="&amp;A1467-88,Quarterly!B:B,"&lt;="&amp;A1467),SUMIFS(Quarterly!C:C,Quarterly!B:B,"&gt;="&amp;A1467-92,Quarterly!B:B,"&lt;="&amp;A1467)))</f>
        <v>5890.8</v>
      </c>
      <c r="K1467" s="13">
        <f t="shared" si="476"/>
        <v>6.1400000000000003E-2</v>
      </c>
      <c r="L1467">
        <f t="shared" si="478"/>
        <v>361.61</v>
      </c>
      <c r="M1467">
        <f>IF(A1467&gt;=Quarterly!B$2,Quarterly!D$2,IF(COUNTIFS(Quarterly!B:B,"&gt;="&amp;A1467-92,Quarterly!B:B,"&lt;="&amp;A1467)&gt;1,SUMIFS(Quarterly!D:D,Quarterly!B:B,"&gt;="&amp;A1467-88,Quarterly!B:B,"&lt;="&amp;A1467),SUMIFS(Quarterly!D:D,Quarterly!B:B,"&gt;="&amp;A1467-92,Quarterly!B:B,"&lt;="&amp;A1467)))</f>
        <v>246.297</v>
      </c>
      <c r="N1467" s="13">
        <f t="shared" si="479"/>
        <v>0.14682000000000001</v>
      </c>
      <c r="O1467">
        <f t="shared" si="468"/>
        <v>361.61</v>
      </c>
      <c r="P1467" s="56"/>
      <c r="Q1467" s="13"/>
      <c r="R1467" s="41">
        <v>0.4</v>
      </c>
      <c r="T1467" s="30">
        <f t="shared" si="470"/>
        <v>194.23</v>
      </c>
      <c r="U1467" s="30">
        <f t="shared" si="477"/>
        <v>195.74</v>
      </c>
    </row>
    <row r="1468" spans="1:21" ht="15" customHeight="1" x14ac:dyDescent="0.25">
      <c r="A1468" s="5">
        <v>33069</v>
      </c>
      <c r="B1468" s="5">
        <f t="shared" si="471"/>
        <v>33085</v>
      </c>
      <c r="C1468">
        <v>367.31</v>
      </c>
      <c r="D1468" s="29">
        <f t="shared" si="472"/>
        <v>2.4E-2</v>
      </c>
      <c r="E1468" s="39">
        <f t="shared" si="473"/>
        <v>352.90769230769223</v>
      </c>
      <c r="F1468" s="39">
        <f t="shared" si="474"/>
        <v>344.56538461538457</v>
      </c>
      <c r="G1468" s="29">
        <f t="shared" si="467"/>
        <v>4.0800000000000003E-2</v>
      </c>
      <c r="H1468" s="29">
        <f t="shared" si="467"/>
        <v>6.6000000000000003E-2</v>
      </c>
      <c r="I1468">
        <f t="shared" si="475"/>
        <v>367.31</v>
      </c>
      <c r="J1468">
        <f>IF(A1468&gt;=Quarterly!B$2,Quarterly!C$2,IF(COUNTIFS(Quarterly!B:B,"&gt;="&amp;A1468-92,Quarterly!B:B,"&lt;="&amp;A1468)&gt;1,SUMIFS(Quarterly!C:C,Quarterly!B:B,"&gt;="&amp;A1468-88,Quarterly!B:B,"&lt;="&amp;A1468),SUMIFS(Quarterly!C:C,Quarterly!B:B,"&gt;="&amp;A1468-92,Quarterly!B:B,"&lt;="&amp;A1468)))</f>
        <v>5890.8</v>
      </c>
      <c r="K1468" s="13">
        <f t="shared" si="476"/>
        <v>6.2399999999999997E-2</v>
      </c>
      <c r="L1468">
        <f t="shared" si="478"/>
        <v>367.31</v>
      </c>
      <c r="M1468">
        <f>IF(A1468&gt;=Quarterly!B$2,Quarterly!D$2,IF(COUNTIFS(Quarterly!B:B,"&gt;="&amp;A1468-92,Quarterly!B:B,"&lt;="&amp;A1468)&gt;1,SUMIFS(Quarterly!D:D,Quarterly!B:B,"&gt;="&amp;A1468-88,Quarterly!B:B,"&lt;="&amp;A1468),SUMIFS(Quarterly!D:D,Quarterly!B:B,"&gt;="&amp;A1468-92,Quarterly!B:B,"&lt;="&amp;A1468)))</f>
        <v>246.297</v>
      </c>
      <c r="N1468" s="13">
        <f t="shared" si="479"/>
        <v>0.14913000000000001</v>
      </c>
      <c r="O1468">
        <f t="shared" si="468"/>
        <v>367.31</v>
      </c>
      <c r="P1468" s="56"/>
      <c r="Q1468" s="13"/>
      <c r="R1468" s="41">
        <v>0.32</v>
      </c>
      <c r="T1468" s="30">
        <f t="shared" si="470"/>
        <v>196.06</v>
      </c>
      <c r="U1468" s="30">
        <f t="shared" si="477"/>
        <v>196.97</v>
      </c>
    </row>
    <row r="1469" spans="1:21" ht="15" customHeight="1" x14ac:dyDescent="0.25">
      <c r="A1469" s="5">
        <v>33062</v>
      </c>
      <c r="B1469" s="5">
        <f t="shared" si="471"/>
        <v>33085</v>
      </c>
      <c r="C1469">
        <v>358.42</v>
      </c>
      <c r="D1469" s="29">
        <f t="shared" si="472"/>
        <v>-1E-3</v>
      </c>
      <c r="E1469" s="39">
        <f t="shared" si="473"/>
        <v>351.14076923076925</v>
      </c>
      <c r="F1469" s="39">
        <f t="shared" si="474"/>
        <v>343.70230769230767</v>
      </c>
      <c r="G1469" s="29">
        <f t="shared" si="467"/>
        <v>2.07E-2</v>
      </c>
      <c r="H1469" s="29">
        <f t="shared" si="467"/>
        <v>4.2799999999999998E-2</v>
      </c>
      <c r="I1469">
        <f t="shared" si="475"/>
        <v>358.42</v>
      </c>
      <c r="J1469">
        <f>IF(A1469&gt;=Quarterly!B$2,Quarterly!C$2,IF(COUNTIFS(Quarterly!B:B,"&gt;="&amp;A1469-92,Quarterly!B:B,"&lt;="&amp;A1469)&gt;1,SUMIFS(Quarterly!C:C,Quarterly!B:B,"&gt;="&amp;A1469-88,Quarterly!B:B,"&lt;="&amp;A1469),SUMIFS(Quarterly!C:C,Quarterly!B:B,"&gt;="&amp;A1469-92,Quarterly!B:B,"&lt;="&amp;A1469)))</f>
        <v>5890.8</v>
      </c>
      <c r="K1469" s="13">
        <f t="shared" si="476"/>
        <v>6.08E-2</v>
      </c>
      <c r="L1469">
        <f t="shared" si="478"/>
        <v>358.42</v>
      </c>
      <c r="M1469">
        <f>IF(A1469&gt;=Quarterly!B$2,Quarterly!D$2,IF(COUNTIFS(Quarterly!B:B,"&gt;="&amp;A1469-92,Quarterly!B:B,"&lt;="&amp;A1469)&gt;1,SUMIFS(Quarterly!D:D,Quarterly!B:B,"&gt;="&amp;A1469-88,Quarterly!B:B,"&lt;="&amp;A1469),SUMIFS(Quarterly!D:D,Quarterly!B:B,"&gt;="&amp;A1469-92,Quarterly!B:B,"&lt;="&amp;A1469)))</f>
        <v>246.297</v>
      </c>
      <c r="N1469" s="13">
        <f t="shared" si="479"/>
        <v>0.14552000000000001</v>
      </c>
      <c r="O1469">
        <f t="shared" si="468"/>
        <v>358.42</v>
      </c>
      <c r="P1469" s="56"/>
      <c r="Q1469" s="13"/>
      <c r="R1469" s="41">
        <v>0.19</v>
      </c>
      <c r="T1469" s="30">
        <f t="shared" si="470"/>
        <v>196.94</v>
      </c>
      <c r="U1469" s="30">
        <f t="shared" si="477"/>
        <v>197.94</v>
      </c>
    </row>
    <row r="1470" spans="1:21" ht="15" customHeight="1" x14ac:dyDescent="0.25">
      <c r="A1470" s="5">
        <v>33055</v>
      </c>
      <c r="B1470" s="5">
        <f t="shared" si="471"/>
        <v>33085</v>
      </c>
      <c r="C1470">
        <v>358.02</v>
      </c>
      <c r="D1470" s="29">
        <f t="shared" si="472"/>
        <v>-5.5999999999999999E-3</v>
      </c>
      <c r="E1470" s="39">
        <f t="shared" si="473"/>
        <v>349.72999999999996</v>
      </c>
      <c r="F1470" s="39">
        <f t="shared" si="474"/>
        <v>343.71153846153845</v>
      </c>
      <c r="G1470" s="29">
        <f t="shared" si="467"/>
        <v>2.3699999999999999E-2</v>
      </c>
      <c r="H1470" s="29">
        <f t="shared" si="467"/>
        <v>4.1599999999999998E-2</v>
      </c>
      <c r="I1470">
        <f t="shared" si="475"/>
        <v>358.02</v>
      </c>
      <c r="J1470">
        <f>IF(A1470&gt;=Quarterly!B$2,Quarterly!C$2,IF(COUNTIFS(Quarterly!B:B,"&gt;="&amp;A1470-92,Quarterly!B:B,"&lt;="&amp;A1470)&gt;1,SUMIFS(Quarterly!C:C,Quarterly!B:B,"&gt;="&amp;A1470-88,Quarterly!B:B,"&lt;="&amp;A1470),SUMIFS(Quarterly!C:C,Quarterly!B:B,"&gt;="&amp;A1470-92,Quarterly!B:B,"&lt;="&amp;A1470)))</f>
        <v>5890.8</v>
      </c>
      <c r="K1470" s="13">
        <f t="shared" si="476"/>
        <v>6.08E-2</v>
      </c>
      <c r="L1470">
        <f t="shared" si="478"/>
        <v>358.02</v>
      </c>
      <c r="M1470">
        <f>IF(A1470&gt;=Quarterly!B$2,Quarterly!D$2,IF(COUNTIFS(Quarterly!B:B,"&gt;="&amp;A1470-92,Quarterly!B:B,"&lt;="&amp;A1470)&gt;1,SUMIFS(Quarterly!D:D,Quarterly!B:B,"&gt;="&amp;A1470-88,Quarterly!B:B,"&lt;="&amp;A1470),SUMIFS(Quarterly!D:D,Quarterly!B:B,"&gt;="&amp;A1470-92,Quarterly!B:B,"&lt;="&amp;A1470)))</f>
        <v>246.297</v>
      </c>
      <c r="N1470" s="13">
        <f t="shared" si="479"/>
        <v>0.14536000000000002</v>
      </c>
      <c r="O1470">
        <f t="shared" si="468"/>
        <v>358.02</v>
      </c>
      <c r="P1470" s="56"/>
      <c r="Q1470" s="13"/>
      <c r="R1470" s="41">
        <v>0.19</v>
      </c>
      <c r="T1470" s="30">
        <f t="shared" si="470"/>
        <v>197.91</v>
      </c>
      <c r="U1470" s="30">
        <f t="shared" si="477"/>
        <v>199.14</v>
      </c>
    </row>
    <row r="1471" spans="1:21" ht="15" customHeight="1" x14ac:dyDescent="0.25">
      <c r="A1471" s="5">
        <v>33048</v>
      </c>
      <c r="B1471" s="5">
        <f t="shared" si="471"/>
        <v>33054</v>
      </c>
      <c r="C1471">
        <v>355.43</v>
      </c>
      <c r="D1471" s="29">
        <f t="shared" si="472"/>
        <v>-1.23E-2</v>
      </c>
      <c r="E1471" s="39">
        <f t="shared" si="473"/>
        <v>348.33923076923077</v>
      </c>
      <c r="F1471" s="39">
        <f t="shared" si="474"/>
        <v>343.48410256410256</v>
      </c>
      <c r="G1471" s="29">
        <f t="shared" si="467"/>
        <v>2.0400000000000001E-2</v>
      </c>
      <c r="H1471" s="29">
        <f t="shared" si="467"/>
        <v>3.4799999999999998E-2</v>
      </c>
      <c r="I1471">
        <f t="shared" si="475"/>
        <v>355.43</v>
      </c>
      <c r="J1471">
        <f>IF(A1471&gt;=Quarterly!B$2,Quarterly!C$2,IF(COUNTIFS(Quarterly!B:B,"&gt;="&amp;A1471-92,Quarterly!B:B,"&lt;="&amp;A1471)&gt;1,SUMIFS(Quarterly!C:C,Quarterly!B:B,"&gt;="&amp;A1471-88,Quarterly!B:B,"&lt;="&amp;A1471),SUMIFS(Quarterly!C:C,Quarterly!B:B,"&gt;="&amp;A1471-92,Quarterly!B:B,"&lt;="&amp;A1471)))</f>
        <v>5890.8</v>
      </c>
      <c r="K1471" s="13">
        <f t="shared" si="476"/>
        <v>6.0299999999999999E-2</v>
      </c>
      <c r="L1471">
        <f t="shared" si="478"/>
        <v>355.43</v>
      </c>
      <c r="M1471">
        <f>IF(A1471&gt;=Quarterly!B$2,Quarterly!D$2,IF(COUNTIFS(Quarterly!B:B,"&gt;="&amp;A1471-92,Quarterly!B:B,"&lt;="&amp;A1471)&gt;1,SUMIFS(Quarterly!D:D,Quarterly!B:B,"&gt;="&amp;A1471-88,Quarterly!B:B,"&lt;="&amp;A1471),SUMIFS(Quarterly!D:D,Quarterly!B:B,"&gt;="&amp;A1471-92,Quarterly!B:B,"&lt;="&amp;A1471)))</f>
        <v>246.297</v>
      </c>
      <c r="N1471" s="13">
        <f t="shared" si="479"/>
        <v>0.14431000000000002</v>
      </c>
      <c r="O1471">
        <f t="shared" si="468"/>
        <v>355.43</v>
      </c>
      <c r="P1471" s="56"/>
      <c r="Q1471" s="13"/>
      <c r="R1471" s="41">
        <v>0.11</v>
      </c>
      <c r="T1471" s="30">
        <f t="shared" si="470"/>
        <v>198.96</v>
      </c>
      <c r="U1471" s="30">
        <f t="shared" si="477"/>
        <v>200.32</v>
      </c>
    </row>
    <row r="1472" spans="1:21" ht="15" customHeight="1" x14ac:dyDescent="0.25">
      <c r="A1472" s="5">
        <v>33041</v>
      </c>
      <c r="B1472" s="5">
        <f t="shared" si="471"/>
        <v>33054</v>
      </c>
      <c r="C1472">
        <v>362.91</v>
      </c>
      <c r="D1472" s="29">
        <f t="shared" si="472"/>
        <v>1.44E-2</v>
      </c>
      <c r="E1472" s="39">
        <f t="shared" si="473"/>
        <v>346.93846153846152</v>
      </c>
      <c r="F1472" s="39">
        <f t="shared" si="474"/>
        <v>343.26923076923072</v>
      </c>
      <c r="G1472" s="29">
        <f t="shared" si="467"/>
        <v>4.5999999999999999E-2</v>
      </c>
      <c r="H1472" s="29">
        <f t="shared" si="467"/>
        <v>5.7200000000000001E-2</v>
      </c>
      <c r="I1472">
        <f t="shared" si="475"/>
        <v>362.91</v>
      </c>
      <c r="J1472">
        <f>IF(A1472&gt;=Quarterly!B$2,Quarterly!C$2,IF(COUNTIFS(Quarterly!B:B,"&gt;="&amp;A1472-92,Quarterly!B:B,"&lt;="&amp;A1472)&gt;1,SUMIFS(Quarterly!C:C,Quarterly!B:B,"&gt;="&amp;A1472-88,Quarterly!B:B,"&lt;="&amp;A1472),SUMIFS(Quarterly!C:C,Quarterly!B:B,"&gt;="&amp;A1472-92,Quarterly!B:B,"&lt;="&amp;A1472)))</f>
        <v>5890.8</v>
      </c>
      <c r="K1472" s="13">
        <f t="shared" si="476"/>
        <v>6.1600000000000002E-2</v>
      </c>
      <c r="L1472">
        <f t="shared" si="478"/>
        <v>362.91</v>
      </c>
      <c r="M1472">
        <f>IF(A1472&gt;=Quarterly!B$2,Quarterly!D$2,IF(COUNTIFS(Quarterly!B:B,"&gt;="&amp;A1472-92,Quarterly!B:B,"&lt;="&amp;A1472)&gt;1,SUMIFS(Quarterly!D:D,Quarterly!B:B,"&gt;="&amp;A1472-88,Quarterly!B:B,"&lt;="&amp;A1472),SUMIFS(Quarterly!D:D,Quarterly!B:B,"&gt;="&amp;A1472-92,Quarterly!B:B,"&lt;="&amp;A1472)))</f>
        <v>246.297</v>
      </c>
      <c r="N1472" s="13">
        <f t="shared" si="479"/>
        <v>0.14735000000000001</v>
      </c>
      <c r="O1472">
        <f t="shared" si="468"/>
        <v>362.91</v>
      </c>
      <c r="P1472" s="56"/>
      <c r="Q1472" s="13"/>
      <c r="R1472" s="41">
        <v>0.13</v>
      </c>
      <c r="T1472" s="30">
        <f t="shared" si="470"/>
        <v>200.54</v>
      </c>
      <c r="U1472" s="30">
        <f t="shared" si="477"/>
        <v>201.74</v>
      </c>
    </row>
    <row r="1473" spans="1:21" ht="15" customHeight="1" x14ac:dyDescent="0.25">
      <c r="A1473" s="5">
        <v>33034</v>
      </c>
      <c r="B1473" s="5">
        <f t="shared" si="471"/>
        <v>33054</v>
      </c>
      <c r="C1473">
        <v>358.71</v>
      </c>
      <c r="D1473" s="29">
        <f t="shared" si="472"/>
        <v>7.3000000000000001E-3</v>
      </c>
      <c r="E1473" s="39">
        <f t="shared" si="473"/>
        <v>345.32307692307688</v>
      </c>
      <c r="F1473" s="39">
        <f t="shared" si="474"/>
        <v>342.81153846153842</v>
      </c>
      <c r="G1473" s="29">
        <f t="shared" si="467"/>
        <v>3.8800000000000001E-2</v>
      </c>
      <c r="H1473" s="29">
        <f t="shared" si="467"/>
        <v>4.6399999999999997E-2</v>
      </c>
      <c r="I1473">
        <f t="shared" si="475"/>
        <v>358.71</v>
      </c>
      <c r="J1473">
        <f>IF(A1473&gt;=Quarterly!B$2,Quarterly!C$2,IF(COUNTIFS(Quarterly!B:B,"&gt;="&amp;A1473-92,Quarterly!B:B,"&lt;="&amp;A1473)&gt;1,SUMIFS(Quarterly!C:C,Quarterly!B:B,"&gt;="&amp;A1473-88,Quarterly!B:B,"&lt;="&amp;A1473),SUMIFS(Quarterly!C:C,Quarterly!B:B,"&gt;="&amp;A1473-92,Quarterly!B:B,"&lt;="&amp;A1473)))</f>
        <v>5890.8</v>
      </c>
      <c r="K1473" s="13">
        <f t="shared" si="476"/>
        <v>6.0900000000000003E-2</v>
      </c>
      <c r="L1473">
        <f t="shared" si="478"/>
        <v>358.71</v>
      </c>
      <c r="M1473">
        <f>IF(A1473&gt;=Quarterly!B$2,Quarterly!D$2,IF(COUNTIFS(Quarterly!B:B,"&gt;="&amp;A1473-92,Quarterly!B:B,"&lt;="&amp;A1473)&gt;1,SUMIFS(Quarterly!D:D,Quarterly!B:B,"&gt;="&amp;A1473-88,Quarterly!B:B,"&lt;="&amp;A1473),SUMIFS(Quarterly!D:D,Quarterly!B:B,"&gt;="&amp;A1473-92,Quarterly!B:B,"&lt;="&amp;A1473)))</f>
        <v>246.297</v>
      </c>
      <c r="N1473" s="13">
        <f t="shared" si="479"/>
        <v>0.14563999999999999</v>
      </c>
      <c r="O1473">
        <f t="shared" si="468"/>
        <v>358.71</v>
      </c>
      <c r="P1473" s="56"/>
      <c r="Q1473" s="13"/>
      <c r="R1473" s="41">
        <v>0.13</v>
      </c>
      <c r="T1473" s="30">
        <f t="shared" si="470"/>
        <v>201.45</v>
      </c>
      <c r="U1473" s="30">
        <f t="shared" si="477"/>
        <v>202.94</v>
      </c>
    </row>
    <row r="1474" spans="1:21" ht="15" customHeight="1" x14ac:dyDescent="0.25">
      <c r="A1474" s="5">
        <v>33027</v>
      </c>
      <c r="B1474" s="5">
        <f t="shared" si="471"/>
        <v>33054</v>
      </c>
      <c r="C1474">
        <v>363.16</v>
      </c>
      <c r="D1474" s="29">
        <f t="shared" si="472"/>
        <v>3.7900000000000003E-2</v>
      </c>
      <c r="E1474" s="39">
        <f t="shared" si="473"/>
        <v>343.72461538461539</v>
      </c>
      <c r="F1474" s="39">
        <f t="shared" si="474"/>
        <v>342.55641025641023</v>
      </c>
      <c r="G1474" s="29">
        <f t="shared" ref="G1474:H1494" si="480">ROUND(($C1474-E1474)/E1474,4)</f>
        <v>5.6500000000000002E-2</v>
      </c>
      <c r="H1474" s="29">
        <f t="shared" si="480"/>
        <v>6.0100000000000001E-2</v>
      </c>
      <c r="I1474">
        <f t="shared" si="475"/>
        <v>363.16</v>
      </c>
      <c r="J1474">
        <f>IF(A1474&gt;=Quarterly!B$2,Quarterly!C$2,IF(COUNTIFS(Quarterly!B:B,"&gt;="&amp;A1474-92,Quarterly!B:B,"&lt;="&amp;A1474)&gt;1,SUMIFS(Quarterly!C:C,Quarterly!B:B,"&gt;="&amp;A1474-88,Quarterly!B:B,"&lt;="&amp;A1474),SUMIFS(Quarterly!C:C,Quarterly!B:B,"&gt;="&amp;A1474-92,Quarterly!B:B,"&lt;="&amp;A1474)))</f>
        <v>5890.8</v>
      </c>
      <c r="K1474" s="13">
        <f t="shared" si="476"/>
        <v>6.1600000000000002E-2</v>
      </c>
      <c r="L1474">
        <f t="shared" si="478"/>
        <v>363.16</v>
      </c>
      <c r="M1474">
        <f>IF(A1474&gt;=Quarterly!B$2,Quarterly!D$2,IF(COUNTIFS(Quarterly!B:B,"&gt;="&amp;A1474-92,Quarterly!B:B,"&lt;="&amp;A1474)&gt;1,SUMIFS(Quarterly!D:D,Quarterly!B:B,"&gt;="&amp;A1474-88,Quarterly!B:B,"&lt;="&amp;A1474),SUMIFS(Quarterly!D:D,Quarterly!B:B,"&gt;="&amp;A1474-92,Quarterly!B:B,"&lt;="&amp;A1474)))</f>
        <v>246.297</v>
      </c>
      <c r="N1474" s="13">
        <f t="shared" si="479"/>
        <v>0.14745</v>
      </c>
      <c r="O1474">
        <f t="shared" si="468"/>
        <v>363.16</v>
      </c>
      <c r="P1474" s="56"/>
      <c r="Q1474" s="13"/>
      <c r="R1474" s="41">
        <v>0.11</v>
      </c>
      <c r="T1474" s="30">
        <f t="shared" si="470"/>
        <v>203.22</v>
      </c>
      <c r="U1474" s="30">
        <f t="shared" si="477"/>
        <v>204.5</v>
      </c>
    </row>
    <row r="1475" spans="1:21" ht="15" customHeight="1" x14ac:dyDescent="0.25">
      <c r="A1475" s="5">
        <v>33020</v>
      </c>
      <c r="B1475" s="5">
        <f t="shared" si="471"/>
        <v>33024</v>
      </c>
      <c r="C1475">
        <v>354.58</v>
      </c>
      <c r="D1475" s="29">
        <f t="shared" si="472"/>
        <v>3.2199999999999999E-2</v>
      </c>
      <c r="E1475" s="39">
        <f t="shared" si="473"/>
        <v>341.6</v>
      </c>
      <c r="F1475" s="39">
        <f t="shared" si="474"/>
        <v>342.31461538461537</v>
      </c>
      <c r="G1475" s="29">
        <f t="shared" si="480"/>
        <v>3.7999999999999999E-2</v>
      </c>
      <c r="H1475" s="29">
        <f t="shared" si="480"/>
        <v>3.5799999999999998E-2</v>
      </c>
      <c r="I1475">
        <f t="shared" si="475"/>
        <v>354.58</v>
      </c>
      <c r="J1475">
        <f>IF(A1475&gt;=Quarterly!B$2,Quarterly!C$2,IF(COUNTIFS(Quarterly!B:B,"&gt;="&amp;A1475-92,Quarterly!B:B,"&lt;="&amp;A1475)&gt;1,SUMIFS(Quarterly!C:C,Quarterly!B:B,"&gt;="&amp;A1475-88,Quarterly!B:B,"&lt;="&amp;A1475),SUMIFS(Quarterly!C:C,Quarterly!B:B,"&gt;="&amp;A1475-92,Quarterly!B:B,"&lt;="&amp;A1475)))</f>
        <v>5890.8</v>
      </c>
      <c r="K1475" s="13">
        <f t="shared" si="476"/>
        <v>6.0199999999999997E-2</v>
      </c>
      <c r="L1475">
        <f t="shared" si="478"/>
        <v>354.58</v>
      </c>
      <c r="M1475">
        <f>IF(A1475&gt;=Quarterly!B$2,Quarterly!D$2,IF(COUNTIFS(Quarterly!B:B,"&gt;="&amp;A1475-92,Quarterly!B:B,"&lt;="&amp;A1475)&gt;1,SUMIFS(Quarterly!D:D,Quarterly!B:B,"&gt;="&amp;A1475-88,Quarterly!B:B,"&lt;="&amp;A1475),SUMIFS(Quarterly!D:D,Quarterly!B:B,"&gt;="&amp;A1475-92,Quarterly!B:B,"&lt;="&amp;A1475)))</f>
        <v>246.297</v>
      </c>
      <c r="N1475" s="13">
        <f t="shared" si="479"/>
        <v>0.14396</v>
      </c>
      <c r="O1475">
        <f t="shared" si="468"/>
        <v>354.58</v>
      </c>
      <c r="P1475" s="56"/>
      <c r="Q1475" s="13"/>
      <c r="R1475" s="41">
        <v>0.16</v>
      </c>
      <c r="T1475" s="30">
        <f t="shared" si="470"/>
        <v>204.14</v>
      </c>
      <c r="U1475" s="30">
        <f t="shared" si="477"/>
        <v>205.81</v>
      </c>
    </row>
    <row r="1476" spans="1:21" ht="15" customHeight="1" x14ac:dyDescent="0.25">
      <c r="A1476" s="5">
        <v>33013</v>
      </c>
      <c r="B1476" s="5">
        <f t="shared" si="471"/>
        <v>33024</v>
      </c>
      <c r="C1476">
        <v>354.64</v>
      </c>
      <c r="D1476" s="29">
        <f t="shared" si="472"/>
        <v>4.7199999999999999E-2</v>
      </c>
      <c r="E1476" s="39">
        <f t="shared" si="473"/>
        <v>339.25923076923078</v>
      </c>
      <c r="F1476" s="39">
        <f t="shared" si="474"/>
        <v>342.2105128205128</v>
      </c>
      <c r="G1476" s="29">
        <f t="shared" si="480"/>
        <v>4.53E-2</v>
      </c>
      <c r="H1476" s="29">
        <f t="shared" si="480"/>
        <v>3.6299999999999999E-2</v>
      </c>
      <c r="I1476">
        <f t="shared" si="475"/>
        <v>354.64</v>
      </c>
      <c r="J1476">
        <f>IF(A1476&gt;=Quarterly!B$2,Quarterly!C$2,IF(COUNTIFS(Quarterly!B:B,"&gt;="&amp;A1476-92,Quarterly!B:B,"&lt;="&amp;A1476)&gt;1,SUMIFS(Quarterly!C:C,Quarterly!B:B,"&gt;="&amp;A1476-88,Quarterly!B:B,"&lt;="&amp;A1476),SUMIFS(Quarterly!C:C,Quarterly!B:B,"&gt;="&amp;A1476-92,Quarterly!B:B,"&lt;="&amp;A1476)))</f>
        <v>5890.8</v>
      </c>
      <c r="K1476" s="13">
        <f t="shared" si="476"/>
        <v>6.0199999999999997E-2</v>
      </c>
      <c r="L1476">
        <f t="shared" si="478"/>
        <v>354.64</v>
      </c>
      <c r="M1476">
        <f>IF(A1476&gt;=Quarterly!B$2,Quarterly!D$2,IF(COUNTIFS(Quarterly!B:B,"&gt;="&amp;A1476-92,Quarterly!B:B,"&lt;="&amp;A1476)&gt;1,SUMIFS(Quarterly!D:D,Quarterly!B:B,"&gt;="&amp;A1476-88,Quarterly!B:B,"&lt;="&amp;A1476),SUMIFS(Quarterly!D:D,Quarterly!B:B,"&gt;="&amp;A1476-92,Quarterly!B:B,"&lt;="&amp;A1476)))</f>
        <v>246.297</v>
      </c>
      <c r="N1476" s="13">
        <f t="shared" si="479"/>
        <v>0.14399000000000001</v>
      </c>
      <c r="O1476">
        <f t="shared" si="468"/>
        <v>354.64</v>
      </c>
      <c r="P1476" s="56"/>
      <c r="Q1476" s="13"/>
      <c r="R1476" s="41">
        <v>0.12</v>
      </c>
      <c r="T1476" s="30">
        <f t="shared" si="470"/>
        <v>206.13</v>
      </c>
      <c r="U1476" s="30">
        <f t="shared" si="477"/>
        <v>206.83</v>
      </c>
    </row>
    <row r="1477" spans="1:21" ht="15" customHeight="1" x14ac:dyDescent="0.25">
      <c r="A1477" s="5">
        <v>33006</v>
      </c>
      <c r="B1477" s="5">
        <f t="shared" si="471"/>
        <v>33024</v>
      </c>
      <c r="C1477">
        <v>352</v>
      </c>
      <c r="D1477" s="29">
        <f t="shared" si="472"/>
        <v>4.53E-2</v>
      </c>
      <c r="E1477" s="39">
        <f t="shared" si="473"/>
        <v>337.57307692307688</v>
      </c>
      <c r="F1477" s="39">
        <f t="shared" si="474"/>
        <v>341.98974358974363</v>
      </c>
      <c r="G1477" s="29">
        <f t="shared" si="480"/>
        <v>4.2700000000000002E-2</v>
      </c>
      <c r="H1477" s="29">
        <f t="shared" si="480"/>
        <v>2.93E-2</v>
      </c>
      <c r="I1477">
        <f t="shared" si="475"/>
        <v>352</v>
      </c>
      <c r="J1477">
        <f>IF(A1477&gt;=Quarterly!B$2,Quarterly!C$2,IF(COUNTIFS(Quarterly!B:B,"&gt;="&amp;A1477-92,Quarterly!B:B,"&lt;="&amp;A1477)&gt;1,SUMIFS(Quarterly!C:C,Quarterly!B:B,"&gt;="&amp;A1477-88,Quarterly!B:B,"&lt;="&amp;A1477),SUMIFS(Quarterly!C:C,Quarterly!B:B,"&gt;="&amp;A1477-92,Quarterly!B:B,"&lt;="&amp;A1477)))</f>
        <v>5890.8</v>
      </c>
      <c r="K1477" s="13">
        <f t="shared" si="476"/>
        <v>5.9799999999999999E-2</v>
      </c>
      <c r="L1477">
        <f t="shared" si="478"/>
        <v>352</v>
      </c>
      <c r="M1477">
        <f>IF(A1477&gt;=Quarterly!B$2,Quarterly!D$2,IF(COUNTIFS(Quarterly!B:B,"&gt;="&amp;A1477-92,Quarterly!B:B,"&lt;="&amp;A1477)&gt;1,SUMIFS(Quarterly!D:D,Quarterly!B:B,"&gt;="&amp;A1477-88,Quarterly!B:B,"&lt;="&amp;A1477),SUMIFS(Quarterly!D:D,Quarterly!B:B,"&gt;="&amp;A1477-92,Quarterly!B:B,"&lt;="&amp;A1477)))</f>
        <v>246.297</v>
      </c>
      <c r="N1477" s="13">
        <f t="shared" si="479"/>
        <v>0.14292000000000002</v>
      </c>
      <c r="O1477">
        <f t="shared" si="468"/>
        <v>352</v>
      </c>
      <c r="P1477" s="56"/>
      <c r="Q1477" s="13"/>
      <c r="R1477" s="41">
        <v>0.09</v>
      </c>
      <c r="T1477" s="30">
        <f t="shared" si="470"/>
        <v>207.17</v>
      </c>
      <c r="U1477" s="30">
        <f t="shared" si="477"/>
        <v>205.56</v>
      </c>
    </row>
    <row r="1478" spans="1:21" ht="15" customHeight="1" x14ac:dyDescent="0.25">
      <c r="A1478" s="5">
        <v>32999</v>
      </c>
      <c r="B1478" s="5">
        <f t="shared" si="471"/>
        <v>33024</v>
      </c>
      <c r="C1478">
        <v>338.39</v>
      </c>
      <c r="D1478" s="29">
        <f t="shared" si="472"/>
        <v>3.5999999999999999E-3</v>
      </c>
      <c r="E1478" s="39">
        <f t="shared" si="473"/>
        <v>336.15923076923076</v>
      </c>
      <c r="F1478" s="39">
        <f t="shared" si="474"/>
        <v>341.80358974358973</v>
      </c>
      <c r="G1478" s="29">
        <f t="shared" si="480"/>
        <v>6.6E-3</v>
      </c>
      <c r="H1478" s="29">
        <f t="shared" si="480"/>
        <v>-0.01</v>
      </c>
      <c r="I1478">
        <f t="shared" si="475"/>
        <v>338.39</v>
      </c>
      <c r="J1478">
        <f>IF(A1478&gt;=Quarterly!B$2,Quarterly!C$2,IF(COUNTIFS(Quarterly!B:B,"&gt;="&amp;A1478-92,Quarterly!B:B,"&lt;="&amp;A1478)&gt;1,SUMIFS(Quarterly!C:C,Quarterly!B:B,"&gt;="&amp;A1478-88,Quarterly!B:B,"&lt;="&amp;A1478),SUMIFS(Quarterly!C:C,Quarterly!B:B,"&gt;="&amp;A1478-92,Quarterly!B:B,"&lt;="&amp;A1478)))</f>
        <v>5890.8</v>
      </c>
      <c r="K1478" s="13">
        <f t="shared" si="476"/>
        <v>5.74E-2</v>
      </c>
      <c r="L1478">
        <f t="shared" si="478"/>
        <v>338.39</v>
      </c>
      <c r="M1478">
        <f>IF(A1478&gt;=Quarterly!B$2,Quarterly!D$2,IF(COUNTIFS(Quarterly!B:B,"&gt;="&amp;A1478-92,Quarterly!B:B,"&lt;="&amp;A1478)&gt;1,SUMIFS(Quarterly!D:D,Quarterly!B:B,"&gt;="&amp;A1478-88,Quarterly!B:B,"&lt;="&amp;A1478),SUMIFS(Quarterly!D:D,Quarterly!B:B,"&gt;="&amp;A1478-92,Quarterly!B:B,"&lt;="&amp;A1478)))</f>
        <v>246.297</v>
      </c>
      <c r="N1478" s="13">
        <f t="shared" si="479"/>
        <v>0.13738999999999998</v>
      </c>
      <c r="O1478">
        <f t="shared" ref="O1478:O1541" si="481">C1478</f>
        <v>338.39</v>
      </c>
      <c r="P1478" s="56"/>
      <c r="Q1478" s="13"/>
      <c r="R1478" s="41">
        <v>0.14000000000000001</v>
      </c>
      <c r="T1478" s="30">
        <f t="shared" ref="T1478:T1532" si="482">IF((ROUND((S1478*40)+(G1478*350)-(H1478*100)-((N1478-0.15)*350)-(((K1478*10.5)-1)*270)-(Q1478*100),2)+144)*0.8&lt;0,0,ROUND((ROUND((S1478*40)+(G1478*350)-(H1478*100)-((N1478-0.15)*350)-(((K1478*10.5)-1)*270)-(Q1478*100),2)+144)*0.8,2))</f>
        <v>207.19</v>
      </c>
      <c r="U1478" s="30">
        <f t="shared" si="477"/>
        <v>204.25</v>
      </c>
    </row>
    <row r="1479" spans="1:21" ht="15" customHeight="1" x14ac:dyDescent="0.25">
      <c r="A1479" s="5">
        <v>32992</v>
      </c>
      <c r="B1479" s="5">
        <f t="shared" si="471"/>
        <v>32993</v>
      </c>
      <c r="C1479">
        <v>329.11</v>
      </c>
      <c r="D1479" s="29">
        <f t="shared" si="472"/>
        <v>-3.1699999999999999E-2</v>
      </c>
      <c r="E1479" s="39">
        <f t="shared" si="473"/>
        <v>335.58461538461535</v>
      </c>
      <c r="F1479" s="39">
        <f t="shared" si="474"/>
        <v>341.94538461538457</v>
      </c>
      <c r="G1479" s="29">
        <f t="shared" si="480"/>
        <v>-1.9300000000000001E-2</v>
      </c>
      <c r="H1479" s="29">
        <f t="shared" si="480"/>
        <v>-3.7499999999999999E-2</v>
      </c>
      <c r="I1479">
        <f t="shared" si="475"/>
        <v>329.11</v>
      </c>
      <c r="J1479">
        <f>IF(A1479&gt;=Quarterly!B$2,Quarterly!C$2,IF(COUNTIFS(Quarterly!B:B,"&gt;="&amp;A1479-92,Quarterly!B:B,"&lt;="&amp;A1479)&gt;1,SUMIFS(Quarterly!C:C,Quarterly!B:B,"&gt;="&amp;A1479-88,Quarterly!B:B,"&lt;="&amp;A1479),SUMIFS(Quarterly!C:C,Quarterly!B:B,"&gt;="&amp;A1479-92,Quarterly!B:B,"&lt;="&amp;A1479)))</f>
        <v>5763.4</v>
      </c>
      <c r="K1479" s="13">
        <f t="shared" si="476"/>
        <v>5.7099999999999998E-2</v>
      </c>
      <c r="L1479">
        <f t="shared" si="478"/>
        <v>329.11</v>
      </c>
      <c r="M1479">
        <f>IF(A1479&gt;=Quarterly!B$2,Quarterly!D$2,IF(COUNTIFS(Quarterly!B:B,"&gt;="&amp;A1479-92,Quarterly!B:B,"&lt;="&amp;A1479)&gt;1,SUMIFS(Quarterly!D:D,Quarterly!B:B,"&gt;="&amp;A1479-88,Quarterly!B:B,"&lt;="&amp;A1479),SUMIFS(Quarterly!D:D,Quarterly!B:B,"&gt;="&amp;A1479-92,Quarterly!B:B,"&lt;="&amp;A1479)))</f>
        <v>236.42500000000001</v>
      </c>
      <c r="N1479" s="13">
        <f t="shared" si="479"/>
        <v>0.13919999999999999</v>
      </c>
      <c r="O1479">
        <f t="shared" si="481"/>
        <v>329.11</v>
      </c>
      <c r="P1479" s="56"/>
      <c r="Q1479" s="13"/>
      <c r="R1479" s="41">
        <v>0.08</v>
      </c>
      <c r="T1479" s="30">
        <f t="shared" si="482"/>
        <v>202.32</v>
      </c>
      <c r="U1479" s="30">
        <f t="shared" si="477"/>
        <v>203.12</v>
      </c>
    </row>
    <row r="1480" spans="1:21" ht="15" customHeight="1" x14ac:dyDescent="0.25">
      <c r="A1480" s="5">
        <v>32985</v>
      </c>
      <c r="B1480" s="5">
        <f t="shared" si="471"/>
        <v>32993</v>
      </c>
      <c r="C1480">
        <v>335.12</v>
      </c>
      <c r="D1480" s="29">
        <f t="shared" si="472"/>
        <v>-1.55E-2</v>
      </c>
      <c r="E1480" s="39">
        <f t="shared" si="473"/>
        <v>335.33</v>
      </c>
      <c r="F1480" s="39">
        <f t="shared" si="474"/>
        <v>342.27974358974353</v>
      </c>
      <c r="G1480" s="29">
        <f t="shared" si="480"/>
        <v>-5.9999999999999995E-4</v>
      </c>
      <c r="H1480" s="29">
        <f t="shared" si="480"/>
        <v>-2.0899999999999998E-2</v>
      </c>
      <c r="I1480">
        <f t="shared" si="475"/>
        <v>335.12</v>
      </c>
      <c r="J1480">
        <f>IF(A1480&gt;=Quarterly!B$2,Quarterly!C$2,IF(COUNTIFS(Quarterly!B:B,"&gt;="&amp;A1480-92,Quarterly!B:B,"&lt;="&amp;A1480)&gt;1,SUMIFS(Quarterly!C:C,Quarterly!B:B,"&gt;="&amp;A1480-88,Quarterly!B:B,"&lt;="&amp;A1480),SUMIFS(Quarterly!C:C,Quarterly!B:B,"&gt;="&amp;A1480-92,Quarterly!B:B,"&lt;="&amp;A1480)))</f>
        <v>5763.4</v>
      </c>
      <c r="K1480" s="13">
        <f t="shared" si="476"/>
        <v>5.8099999999999999E-2</v>
      </c>
      <c r="L1480">
        <f t="shared" si="478"/>
        <v>335.12</v>
      </c>
      <c r="M1480">
        <f>IF(A1480&gt;=Quarterly!B$2,Quarterly!D$2,IF(COUNTIFS(Quarterly!B:B,"&gt;="&amp;A1480-92,Quarterly!B:B,"&lt;="&amp;A1480)&gt;1,SUMIFS(Quarterly!D:D,Quarterly!B:B,"&gt;="&amp;A1480-88,Quarterly!B:B,"&lt;="&amp;A1480),SUMIFS(Quarterly!D:D,Quarterly!B:B,"&gt;="&amp;A1480-92,Quarterly!B:B,"&lt;="&amp;A1480)))</f>
        <v>236.42500000000001</v>
      </c>
      <c r="N1480" s="13">
        <f t="shared" si="479"/>
        <v>0.14174</v>
      </c>
      <c r="O1480">
        <f t="shared" si="481"/>
        <v>335.12</v>
      </c>
      <c r="P1480" s="56"/>
      <c r="Q1480" s="13"/>
      <c r="R1480" s="41">
        <v>0.13</v>
      </c>
      <c r="T1480" s="30">
        <f t="shared" si="482"/>
        <v>203.25</v>
      </c>
      <c r="U1480" s="30">
        <f t="shared" si="477"/>
        <v>203.54</v>
      </c>
    </row>
    <row r="1481" spans="1:21" ht="15" customHeight="1" x14ac:dyDescent="0.25">
      <c r="A1481" s="5">
        <v>32978</v>
      </c>
      <c r="B1481" s="5">
        <f t="shared" si="471"/>
        <v>32993</v>
      </c>
      <c r="C1481">
        <v>344.34</v>
      </c>
      <c r="D1481" s="29">
        <f t="shared" si="472"/>
        <v>1.34E-2</v>
      </c>
      <c r="E1481" s="39">
        <f t="shared" si="473"/>
        <v>335.64</v>
      </c>
      <c r="F1481" s="39">
        <f t="shared" si="474"/>
        <v>342.29974358974357</v>
      </c>
      <c r="G1481" s="29">
        <f t="shared" si="480"/>
        <v>2.5899999999999999E-2</v>
      </c>
      <c r="H1481" s="29">
        <f t="shared" si="480"/>
        <v>6.0000000000000001E-3</v>
      </c>
      <c r="I1481">
        <f t="shared" si="475"/>
        <v>344.34</v>
      </c>
      <c r="J1481">
        <f>IF(A1481&gt;=Quarterly!B$2,Quarterly!C$2,IF(COUNTIFS(Quarterly!B:B,"&gt;="&amp;A1481-92,Quarterly!B:B,"&lt;="&amp;A1481)&gt;1,SUMIFS(Quarterly!C:C,Quarterly!B:B,"&gt;="&amp;A1481-88,Quarterly!B:B,"&lt;="&amp;A1481),SUMIFS(Quarterly!C:C,Quarterly!B:B,"&gt;="&amp;A1481-92,Quarterly!B:B,"&lt;="&amp;A1481)))</f>
        <v>5763.4</v>
      </c>
      <c r="K1481" s="13">
        <f t="shared" si="476"/>
        <v>5.9700000000000003E-2</v>
      </c>
      <c r="L1481">
        <f t="shared" si="478"/>
        <v>344.34</v>
      </c>
      <c r="M1481">
        <f>IF(A1481&gt;=Quarterly!B$2,Quarterly!D$2,IF(COUNTIFS(Quarterly!B:B,"&gt;="&amp;A1481-92,Quarterly!B:B,"&lt;="&amp;A1481)&gt;1,SUMIFS(Quarterly!D:D,Quarterly!B:B,"&gt;="&amp;A1481-88,Quarterly!B:B,"&lt;="&amp;A1481),SUMIFS(Quarterly!D:D,Quarterly!B:B,"&gt;="&amp;A1481-92,Quarterly!B:B,"&lt;="&amp;A1481)))</f>
        <v>236.42500000000001</v>
      </c>
      <c r="N1481" s="13">
        <f t="shared" si="479"/>
        <v>0.14563999999999999</v>
      </c>
      <c r="O1481">
        <f t="shared" si="481"/>
        <v>344.34</v>
      </c>
      <c r="P1481" s="56"/>
      <c r="Q1481" s="13"/>
      <c r="R1481" s="41">
        <v>7.0000000000000007E-2</v>
      </c>
      <c r="T1481" s="30">
        <f t="shared" si="482"/>
        <v>203.79</v>
      </c>
      <c r="U1481" s="30">
        <f t="shared" si="477"/>
        <v>203.32</v>
      </c>
    </row>
    <row r="1482" spans="1:21" ht="15" customHeight="1" x14ac:dyDescent="0.25">
      <c r="A1482" s="5">
        <v>32971</v>
      </c>
      <c r="B1482" s="5">
        <f t="shared" si="471"/>
        <v>32993</v>
      </c>
      <c r="C1482">
        <v>340.08</v>
      </c>
      <c r="D1482" s="29">
        <f t="shared" si="472"/>
        <v>2.3999999999999998E-3</v>
      </c>
      <c r="E1482" s="39">
        <f t="shared" si="473"/>
        <v>335.30076923076922</v>
      </c>
      <c r="F1482" s="39">
        <f t="shared" si="474"/>
        <v>341.97923076923075</v>
      </c>
      <c r="G1482" s="29">
        <f t="shared" si="480"/>
        <v>1.43E-2</v>
      </c>
      <c r="H1482" s="29">
        <f t="shared" si="480"/>
        <v>-5.5999999999999999E-3</v>
      </c>
      <c r="I1482">
        <f t="shared" si="475"/>
        <v>340.08</v>
      </c>
      <c r="J1482">
        <f>IF(A1482&gt;=Quarterly!B$2,Quarterly!C$2,IF(COUNTIFS(Quarterly!B:B,"&gt;="&amp;A1482-92,Quarterly!B:B,"&lt;="&amp;A1482)&gt;1,SUMIFS(Quarterly!C:C,Quarterly!B:B,"&gt;="&amp;A1482-88,Quarterly!B:B,"&lt;="&amp;A1482),SUMIFS(Quarterly!C:C,Quarterly!B:B,"&gt;="&amp;A1482-92,Quarterly!B:B,"&lt;="&amp;A1482)))</f>
        <v>5763.4</v>
      </c>
      <c r="K1482" s="13">
        <f t="shared" si="476"/>
        <v>5.8999999999999997E-2</v>
      </c>
      <c r="L1482">
        <f t="shared" si="478"/>
        <v>340.08</v>
      </c>
      <c r="M1482">
        <f>IF(A1482&gt;=Quarterly!B$2,Quarterly!D$2,IF(COUNTIFS(Quarterly!B:B,"&gt;="&amp;A1482-92,Quarterly!B:B,"&lt;="&amp;A1482)&gt;1,SUMIFS(Quarterly!D:D,Quarterly!B:B,"&gt;="&amp;A1482-88,Quarterly!B:B,"&lt;="&amp;A1482),SUMIFS(Quarterly!D:D,Quarterly!B:B,"&gt;="&amp;A1482-92,Quarterly!B:B,"&lt;="&amp;A1482)))</f>
        <v>236.42500000000001</v>
      </c>
      <c r="N1482" s="13">
        <f t="shared" si="479"/>
        <v>0.14384</v>
      </c>
      <c r="O1482">
        <f t="shared" si="481"/>
        <v>340.08</v>
      </c>
      <c r="P1482" s="56"/>
      <c r="Q1482" s="13"/>
      <c r="R1482" s="41">
        <v>0.04</v>
      </c>
      <c r="T1482" s="30">
        <f t="shared" si="482"/>
        <v>203.57</v>
      </c>
      <c r="U1482" s="30">
        <f t="shared" si="477"/>
        <v>202.54</v>
      </c>
    </row>
    <row r="1483" spans="1:21" ht="15" customHeight="1" x14ac:dyDescent="0.25">
      <c r="A1483" s="5">
        <v>32964</v>
      </c>
      <c r="B1483" s="5">
        <f t="shared" si="471"/>
        <v>32993</v>
      </c>
      <c r="C1483">
        <v>339.94</v>
      </c>
      <c r="D1483" s="29">
        <f t="shared" si="472"/>
        <v>5.3E-3</v>
      </c>
      <c r="E1483" s="39">
        <f t="shared" si="473"/>
        <v>336.23307692307691</v>
      </c>
      <c r="F1483" s="39">
        <f t="shared" si="474"/>
        <v>341.59025641025636</v>
      </c>
      <c r="G1483" s="29">
        <f t="shared" si="480"/>
        <v>1.0999999999999999E-2</v>
      </c>
      <c r="H1483" s="29">
        <f t="shared" si="480"/>
        <v>-4.7999999999999996E-3</v>
      </c>
      <c r="I1483">
        <f t="shared" si="475"/>
        <v>339.94</v>
      </c>
      <c r="J1483">
        <f>IF(A1483&gt;=Quarterly!B$2,Quarterly!C$2,IF(COUNTIFS(Quarterly!B:B,"&gt;="&amp;A1483-92,Quarterly!B:B,"&lt;="&amp;A1483)&gt;1,SUMIFS(Quarterly!C:C,Quarterly!B:B,"&gt;="&amp;A1483-88,Quarterly!B:B,"&lt;="&amp;A1483),SUMIFS(Quarterly!C:C,Quarterly!B:B,"&gt;="&amp;A1483-92,Quarterly!B:B,"&lt;="&amp;A1483)))</f>
        <v>5763.4</v>
      </c>
      <c r="K1483" s="13">
        <f t="shared" si="476"/>
        <v>5.8999999999999997E-2</v>
      </c>
      <c r="L1483">
        <f t="shared" si="478"/>
        <v>339.94</v>
      </c>
      <c r="M1483">
        <f>IF(A1483&gt;=Quarterly!B$2,Quarterly!D$2,IF(COUNTIFS(Quarterly!B:B,"&gt;="&amp;A1483-92,Quarterly!B:B,"&lt;="&amp;A1483)&gt;1,SUMIFS(Quarterly!D:D,Quarterly!B:B,"&gt;="&amp;A1483-88,Quarterly!B:B,"&lt;="&amp;A1483),SUMIFS(Quarterly!D:D,Quarterly!B:B,"&gt;="&amp;A1483-92,Quarterly!B:B,"&lt;="&amp;A1483)))</f>
        <v>236.42500000000001</v>
      </c>
      <c r="N1483" s="13">
        <f t="shared" si="479"/>
        <v>0.14377999999999999</v>
      </c>
      <c r="O1483">
        <f t="shared" si="481"/>
        <v>339.94</v>
      </c>
      <c r="P1483" s="56"/>
      <c r="Q1483" s="13"/>
      <c r="R1483" s="41">
        <v>0.01</v>
      </c>
      <c r="T1483" s="30">
        <f t="shared" si="482"/>
        <v>202.59</v>
      </c>
      <c r="U1483" s="30">
        <f t="shared" si="477"/>
        <v>201.73</v>
      </c>
    </row>
    <row r="1484" spans="1:21" ht="15" customHeight="1" x14ac:dyDescent="0.25">
      <c r="A1484" s="5">
        <v>32957</v>
      </c>
      <c r="B1484" s="5">
        <f t="shared" si="471"/>
        <v>32963</v>
      </c>
      <c r="C1484">
        <v>337.22</v>
      </c>
      <c r="D1484" s="29">
        <f t="shared" si="472"/>
        <v>7.0000000000000001E-3</v>
      </c>
      <c r="E1484" s="39">
        <f t="shared" si="473"/>
        <v>337.26846153846151</v>
      </c>
      <c r="F1484" s="39">
        <f t="shared" si="474"/>
        <v>341.02717948717941</v>
      </c>
      <c r="G1484" s="29">
        <f t="shared" si="480"/>
        <v>-1E-4</v>
      </c>
      <c r="H1484" s="29">
        <f t="shared" si="480"/>
        <v>-1.12E-2</v>
      </c>
      <c r="I1484">
        <f t="shared" si="475"/>
        <v>337.22</v>
      </c>
      <c r="J1484">
        <f>IF(A1484&gt;=Quarterly!B$2,Quarterly!C$2,IF(COUNTIFS(Quarterly!B:B,"&gt;="&amp;A1484-92,Quarterly!B:B,"&lt;="&amp;A1484)&gt;1,SUMIFS(Quarterly!C:C,Quarterly!B:B,"&gt;="&amp;A1484-88,Quarterly!B:B,"&lt;="&amp;A1484),SUMIFS(Quarterly!C:C,Quarterly!B:B,"&gt;="&amp;A1484-92,Quarterly!B:B,"&lt;="&amp;A1484)))</f>
        <v>5763.4</v>
      </c>
      <c r="K1484" s="13">
        <f t="shared" si="476"/>
        <v>5.8500000000000003E-2</v>
      </c>
      <c r="L1484">
        <f t="shared" si="478"/>
        <v>337.22</v>
      </c>
      <c r="M1484">
        <f>IF(A1484&gt;=Quarterly!B$2,Quarterly!D$2,IF(COUNTIFS(Quarterly!B:B,"&gt;="&amp;A1484-92,Quarterly!B:B,"&lt;="&amp;A1484)&gt;1,SUMIFS(Quarterly!D:D,Quarterly!B:B,"&gt;="&amp;A1484-88,Quarterly!B:B,"&lt;="&amp;A1484),SUMIFS(Quarterly!D:D,Quarterly!B:B,"&gt;="&amp;A1484-92,Quarterly!B:B,"&lt;="&amp;A1484)))</f>
        <v>236.42500000000001</v>
      </c>
      <c r="N1484" s="13">
        <f t="shared" si="479"/>
        <v>0.14263000000000001</v>
      </c>
      <c r="O1484">
        <f t="shared" si="481"/>
        <v>337.22</v>
      </c>
      <c r="P1484" s="56"/>
      <c r="Q1484" s="13"/>
      <c r="R1484" s="41">
        <v>-0.09</v>
      </c>
      <c r="T1484" s="30">
        <f t="shared" si="482"/>
        <v>201.46</v>
      </c>
      <c r="U1484" s="30">
        <f t="shared" si="477"/>
        <v>200.94</v>
      </c>
    </row>
    <row r="1485" spans="1:21" ht="15" customHeight="1" x14ac:dyDescent="0.25">
      <c r="A1485" s="5">
        <v>32950</v>
      </c>
      <c r="B1485" s="5">
        <f t="shared" si="471"/>
        <v>32963</v>
      </c>
      <c r="C1485">
        <v>341.91</v>
      </c>
      <c r="D1485" s="29">
        <f t="shared" si="472"/>
        <v>2.8000000000000001E-2</v>
      </c>
      <c r="E1485" s="39">
        <f t="shared" si="473"/>
        <v>338.05307692307696</v>
      </c>
      <c r="F1485" s="39">
        <f t="shared" si="474"/>
        <v>340.79076923076917</v>
      </c>
      <c r="G1485" s="29">
        <f t="shared" si="480"/>
        <v>1.14E-2</v>
      </c>
      <c r="H1485" s="29">
        <f t="shared" si="480"/>
        <v>3.3E-3</v>
      </c>
      <c r="I1485">
        <f t="shared" si="475"/>
        <v>341.91</v>
      </c>
      <c r="J1485">
        <f>IF(A1485&gt;=Quarterly!B$2,Quarterly!C$2,IF(COUNTIFS(Quarterly!B:B,"&gt;="&amp;A1485-92,Quarterly!B:B,"&lt;="&amp;A1485)&gt;1,SUMIFS(Quarterly!C:C,Quarterly!B:B,"&gt;="&amp;A1485-88,Quarterly!B:B,"&lt;="&amp;A1485),SUMIFS(Quarterly!C:C,Quarterly!B:B,"&gt;="&amp;A1485-92,Quarterly!B:B,"&lt;="&amp;A1485)))</f>
        <v>5763.4</v>
      </c>
      <c r="K1485" s="13">
        <f t="shared" si="476"/>
        <v>5.9299999999999999E-2</v>
      </c>
      <c r="L1485">
        <f t="shared" si="478"/>
        <v>341.91</v>
      </c>
      <c r="M1485">
        <f>IF(A1485&gt;=Quarterly!B$2,Quarterly!D$2,IF(COUNTIFS(Quarterly!B:B,"&gt;="&amp;A1485-92,Quarterly!B:B,"&lt;="&amp;A1485)&gt;1,SUMIFS(Quarterly!D:D,Quarterly!B:B,"&gt;="&amp;A1485-88,Quarterly!B:B,"&lt;="&amp;A1485),SUMIFS(Quarterly!D:D,Quarterly!B:B,"&gt;="&amp;A1485-92,Quarterly!B:B,"&lt;="&amp;A1485)))</f>
        <v>236.42500000000001</v>
      </c>
      <c r="N1485" s="13">
        <f t="shared" si="479"/>
        <v>0.14462</v>
      </c>
      <c r="O1485">
        <f t="shared" si="481"/>
        <v>341.91</v>
      </c>
      <c r="P1485" s="56"/>
      <c r="Q1485" s="13"/>
      <c r="R1485" s="41">
        <v>-0.05</v>
      </c>
      <c r="T1485" s="30">
        <f t="shared" si="482"/>
        <v>201.14</v>
      </c>
      <c r="U1485" s="30">
        <f t="shared" si="477"/>
        <v>200.19</v>
      </c>
    </row>
    <row r="1486" spans="1:21" ht="15" customHeight="1" x14ac:dyDescent="0.25">
      <c r="A1486" s="5">
        <v>32943</v>
      </c>
      <c r="B1486" s="5">
        <f t="shared" si="471"/>
        <v>32963</v>
      </c>
      <c r="C1486">
        <v>337.93</v>
      </c>
      <c r="D1486" s="29">
        <f t="shared" si="472"/>
        <v>1.9400000000000001E-2</v>
      </c>
      <c r="E1486" s="39">
        <f t="shared" si="473"/>
        <v>338.68615384615384</v>
      </c>
      <c r="F1486" s="39">
        <f t="shared" si="474"/>
        <v>340.2635897435897</v>
      </c>
      <c r="G1486" s="29">
        <f t="shared" si="480"/>
        <v>-2.2000000000000001E-3</v>
      </c>
      <c r="H1486" s="29">
        <f t="shared" si="480"/>
        <v>-6.8999999999999999E-3</v>
      </c>
      <c r="I1486">
        <f t="shared" si="475"/>
        <v>337.93</v>
      </c>
      <c r="J1486">
        <f>IF(A1486&gt;=Quarterly!B$2,Quarterly!C$2,IF(COUNTIFS(Quarterly!B:B,"&gt;="&amp;A1486-92,Quarterly!B:B,"&lt;="&amp;A1486)&gt;1,SUMIFS(Quarterly!C:C,Quarterly!B:B,"&gt;="&amp;A1486-88,Quarterly!B:B,"&lt;="&amp;A1486),SUMIFS(Quarterly!C:C,Quarterly!B:B,"&gt;="&amp;A1486-92,Quarterly!B:B,"&lt;="&amp;A1486)))</f>
        <v>5763.4</v>
      </c>
      <c r="K1486" s="13">
        <f t="shared" si="476"/>
        <v>5.8599999999999999E-2</v>
      </c>
      <c r="L1486">
        <f t="shared" si="478"/>
        <v>337.93</v>
      </c>
      <c r="M1486">
        <f>IF(A1486&gt;=Quarterly!B$2,Quarterly!D$2,IF(COUNTIFS(Quarterly!B:B,"&gt;="&amp;A1486-92,Quarterly!B:B,"&lt;="&amp;A1486)&gt;1,SUMIFS(Quarterly!D:D,Quarterly!B:B,"&gt;="&amp;A1486-88,Quarterly!B:B,"&lt;="&amp;A1486),SUMIFS(Quarterly!D:D,Quarterly!B:B,"&gt;="&amp;A1486-92,Quarterly!B:B,"&lt;="&amp;A1486)))</f>
        <v>236.42500000000001</v>
      </c>
      <c r="N1486" s="13">
        <f t="shared" si="479"/>
        <v>0.14293</v>
      </c>
      <c r="O1486">
        <f t="shared" si="481"/>
        <v>337.93</v>
      </c>
      <c r="P1486" s="56"/>
      <c r="Q1486" s="13"/>
      <c r="R1486" s="41">
        <v>-0.08</v>
      </c>
      <c r="T1486" s="30">
        <f t="shared" si="482"/>
        <v>200.21</v>
      </c>
      <c r="U1486" s="30">
        <f t="shared" si="477"/>
        <v>198.96</v>
      </c>
    </row>
    <row r="1487" spans="1:21" ht="15" customHeight="1" x14ac:dyDescent="0.25">
      <c r="A1487" s="5">
        <v>32936</v>
      </c>
      <c r="B1487" s="5">
        <f t="shared" si="471"/>
        <v>32963</v>
      </c>
      <c r="C1487">
        <v>335.54</v>
      </c>
      <c r="D1487" s="29">
        <f t="shared" si="472"/>
        <v>1.5699999999999999E-2</v>
      </c>
      <c r="E1487" s="39">
        <f t="shared" si="473"/>
        <v>339.51384615384609</v>
      </c>
      <c r="F1487" s="39">
        <f t="shared" si="474"/>
        <v>339.9753846153846</v>
      </c>
      <c r="G1487" s="29">
        <f t="shared" si="480"/>
        <v>-1.17E-2</v>
      </c>
      <c r="H1487" s="29">
        <f t="shared" si="480"/>
        <v>-1.2999999999999999E-2</v>
      </c>
      <c r="I1487">
        <f t="shared" si="475"/>
        <v>335.54</v>
      </c>
      <c r="J1487">
        <f>IF(A1487&gt;=Quarterly!B$2,Quarterly!C$2,IF(COUNTIFS(Quarterly!B:B,"&gt;="&amp;A1487-92,Quarterly!B:B,"&lt;="&amp;A1487)&gt;1,SUMIFS(Quarterly!C:C,Quarterly!B:B,"&gt;="&amp;A1487-88,Quarterly!B:B,"&lt;="&amp;A1487),SUMIFS(Quarterly!C:C,Quarterly!B:B,"&gt;="&amp;A1487-92,Quarterly!B:B,"&lt;="&amp;A1487)))</f>
        <v>5763.4</v>
      </c>
      <c r="K1487" s="13">
        <f t="shared" si="476"/>
        <v>5.8200000000000002E-2</v>
      </c>
      <c r="L1487">
        <f t="shared" si="478"/>
        <v>335.54</v>
      </c>
      <c r="M1487">
        <f>IF(A1487&gt;=Quarterly!B$2,Quarterly!D$2,IF(COUNTIFS(Quarterly!B:B,"&gt;="&amp;A1487-92,Quarterly!B:B,"&lt;="&amp;A1487)&gt;1,SUMIFS(Quarterly!D:D,Quarterly!B:B,"&gt;="&amp;A1487-88,Quarterly!B:B,"&lt;="&amp;A1487),SUMIFS(Quarterly!D:D,Quarterly!B:B,"&gt;="&amp;A1487-92,Quarterly!B:B,"&lt;="&amp;A1487)))</f>
        <v>236.42500000000001</v>
      </c>
      <c r="N1487" s="13">
        <f t="shared" si="479"/>
        <v>0.14192000000000002</v>
      </c>
      <c r="O1487">
        <f t="shared" si="481"/>
        <v>335.54</v>
      </c>
      <c r="P1487" s="56"/>
      <c r="Q1487" s="13"/>
      <c r="R1487" s="41">
        <v>0.06</v>
      </c>
      <c r="T1487" s="30">
        <f t="shared" si="482"/>
        <v>199.23</v>
      </c>
      <c r="U1487" s="30">
        <f t="shared" si="477"/>
        <v>197.82</v>
      </c>
    </row>
    <row r="1488" spans="1:21" ht="15" customHeight="1" x14ac:dyDescent="0.25">
      <c r="A1488" s="5">
        <v>32929</v>
      </c>
      <c r="B1488" s="5">
        <f t="shared" si="471"/>
        <v>32932</v>
      </c>
      <c r="C1488">
        <v>324.14999999999998</v>
      </c>
      <c r="D1488" s="29">
        <f t="shared" si="472"/>
        <v>-0.02</v>
      </c>
      <c r="E1488" s="39">
        <f t="shared" si="473"/>
        <v>340.67461538461532</v>
      </c>
      <c r="F1488" s="39">
        <f t="shared" si="474"/>
        <v>339.71846153846155</v>
      </c>
      <c r="G1488" s="29">
        <f t="shared" si="480"/>
        <v>-4.8500000000000001E-2</v>
      </c>
      <c r="H1488" s="29">
        <f t="shared" si="480"/>
        <v>-4.58E-2</v>
      </c>
      <c r="I1488">
        <f t="shared" si="475"/>
        <v>324.14999999999998</v>
      </c>
      <c r="J1488">
        <f>IF(A1488&gt;=Quarterly!B$2,Quarterly!C$2,IF(COUNTIFS(Quarterly!B:B,"&gt;="&amp;A1488-92,Quarterly!B:B,"&lt;="&amp;A1488)&gt;1,SUMIFS(Quarterly!C:C,Quarterly!B:B,"&gt;="&amp;A1488-88,Quarterly!B:B,"&lt;="&amp;A1488),SUMIFS(Quarterly!C:C,Quarterly!B:B,"&gt;="&amp;A1488-92,Quarterly!B:B,"&lt;="&amp;A1488)))</f>
        <v>5763.4</v>
      </c>
      <c r="K1488" s="13">
        <f t="shared" si="476"/>
        <v>5.62E-2</v>
      </c>
      <c r="L1488">
        <f t="shared" si="478"/>
        <v>324.14999999999998</v>
      </c>
      <c r="M1488">
        <f>IF(A1488&gt;=Quarterly!B$2,Quarterly!D$2,IF(COUNTIFS(Quarterly!B:B,"&gt;="&amp;A1488-92,Quarterly!B:B,"&lt;="&amp;A1488)&gt;1,SUMIFS(Quarterly!D:D,Quarterly!B:B,"&gt;="&amp;A1488-88,Quarterly!B:B,"&lt;="&amp;A1488),SUMIFS(Quarterly!D:D,Quarterly!B:B,"&gt;="&amp;A1488-92,Quarterly!B:B,"&lt;="&amp;A1488)))</f>
        <v>236.42500000000001</v>
      </c>
      <c r="N1488" s="13">
        <f t="shared" si="479"/>
        <v>0.1371</v>
      </c>
      <c r="O1488">
        <f t="shared" si="481"/>
        <v>324.14999999999998</v>
      </c>
      <c r="P1488" s="56"/>
      <c r="Q1488" s="13"/>
      <c r="R1488" s="41">
        <v>0.1</v>
      </c>
      <c r="T1488" s="30">
        <f t="shared" si="482"/>
        <v>197.43</v>
      </c>
      <c r="U1488" s="30">
        <f t="shared" si="477"/>
        <v>196.8</v>
      </c>
    </row>
    <row r="1489" spans="1:21" ht="15" customHeight="1" x14ac:dyDescent="0.25">
      <c r="A1489" s="5">
        <v>32922</v>
      </c>
      <c r="B1489" s="5">
        <f t="shared" si="471"/>
        <v>32932</v>
      </c>
      <c r="C1489">
        <v>332.72</v>
      </c>
      <c r="D1489" s="29">
        <f t="shared" si="472"/>
        <v>1E-3</v>
      </c>
      <c r="E1489" s="39">
        <f t="shared" si="473"/>
        <v>342.19923076923078</v>
      </c>
      <c r="F1489" s="39">
        <f t="shared" si="474"/>
        <v>339.65282051282054</v>
      </c>
      <c r="G1489" s="29">
        <f t="shared" si="480"/>
        <v>-2.7699999999999999E-2</v>
      </c>
      <c r="H1489" s="29">
        <f t="shared" si="480"/>
        <v>-2.0400000000000001E-2</v>
      </c>
      <c r="I1489">
        <f t="shared" si="475"/>
        <v>332.72</v>
      </c>
      <c r="J1489">
        <f>IF(A1489&gt;=Quarterly!B$2,Quarterly!C$2,IF(COUNTIFS(Quarterly!B:B,"&gt;="&amp;A1489-92,Quarterly!B:B,"&lt;="&amp;A1489)&gt;1,SUMIFS(Quarterly!C:C,Quarterly!B:B,"&gt;="&amp;A1489-88,Quarterly!B:B,"&lt;="&amp;A1489),SUMIFS(Quarterly!C:C,Quarterly!B:B,"&gt;="&amp;A1489-92,Quarterly!B:B,"&lt;="&amp;A1489)))</f>
        <v>5763.4</v>
      </c>
      <c r="K1489" s="13">
        <f t="shared" si="476"/>
        <v>5.7700000000000001E-2</v>
      </c>
      <c r="L1489">
        <f t="shared" si="478"/>
        <v>332.72</v>
      </c>
      <c r="M1489">
        <f>IF(A1489&gt;=Quarterly!B$2,Quarterly!D$2,IF(COUNTIFS(Quarterly!B:B,"&gt;="&amp;A1489-92,Quarterly!B:B,"&lt;="&amp;A1489)&gt;1,SUMIFS(Quarterly!D:D,Quarterly!B:B,"&gt;="&amp;A1489-88,Quarterly!B:B,"&lt;="&amp;A1489),SUMIFS(Quarterly!D:D,Quarterly!B:B,"&gt;="&amp;A1489-92,Quarterly!B:B,"&lt;="&amp;A1489)))</f>
        <v>236.42500000000001</v>
      </c>
      <c r="N1489" s="13">
        <f t="shared" si="479"/>
        <v>0.14072999999999999</v>
      </c>
      <c r="O1489">
        <f t="shared" si="481"/>
        <v>332.72</v>
      </c>
      <c r="P1489" s="56"/>
      <c r="Q1489" s="13"/>
      <c r="R1489" s="41">
        <v>0.06</v>
      </c>
      <c r="T1489" s="30">
        <f t="shared" si="482"/>
        <v>196.81</v>
      </c>
      <c r="U1489" s="30">
        <f t="shared" si="477"/>
        <v>196.19</v>
      </c>
    </row>
    <row r="1490" spans="1:21" ht="15" customHeight="1" x14ac:dyDescent="0.25">
      <c r="A1490" s="5">
        <v>32915</v>
      </c>
      <c r="B1490" s="5">
        <f t="shared" ref="B1490:B1532" si="483">EOMONTH(A1490,0)</f>
        <v>32932</v>
      </c>
      <c r="C1490">
        <v>333.62</v>
      </c>
      <c r="D1490" s="29">
        <f t="shared" ref="D1490:D1528" si="484">ROUND((C1490-AVERAGE(C1491:C1494))/AVERAGE(C1491:C1494),4)</f>
        <v>-1E-3</v>
      </c>
      <c r="E1490" s="39">
        <f t="shared" ref="E1490:E1494" si="485">AVERAGE(C1490:C1502)</f>
        <v>342.88307692307689</v>
      </c>
      <c r="F1490" s="39">
        <f t="shared" ref="F1490:F1494" si="486">AVERAGE(C1490:C1528)</f>
        <v>339.3584615384616</v>
      </c>
      <c r="G1490" s="29">
        <f t="shared" si="480"/>
        <v>-2.7E-2</v>
      </c>
      <c r="H1490" s="29">
        <f t="shared" si="480"/>
        <v>-1.6899999999999998E-2</v>
      </c>
      <c r="I1490">
        <f t="shared" ref="I1490:I1500" si="487">C1490</f>
        <v>333.62</v>
      </c>
      <c r="J1490">
        <f>IF(A1490&gt;=Quarterly!B$2,Quarterly!C$2,IF(COUNTIFS(Quarterly!B:B,"&gt;="&amp;A1490-92,Quarterly!B:B,"&lt;="&amp;A1490)&gt;1,SUMIFS(Quarterly!C:C,Quarterly!B:B,"&gt;="&amp;A1490-88,Quarterly!B:B,"&lt;="&amp;A1490),SUMIFS(Quarterly!C:C,Quarterly!B:B,"&gt;="&amp;A1490-92,Quarterly!B:B,"&lt;="&amp;A1490)))</f>
        <v>5763.4</v>
      </c>
      <c r="K1490" s="13">
        <f t="shared" ref="K1490:K1500" si="488">ROUND(I1490/J1490,4)</f>
        <v>5.79E-2</v>
      </c>
      <c r="L1490">
        <f t="shared" si="478"/>
        <v>333.62</v>
      </c>
      <c r="M1490">
        <f>IF(A1490&gt;=Quarterly!B$2,Quarterly!D$2,IF(COUNTIFS(Quarterly!B:B,"&gt;="&amp;A1490-92,Quarterly!B:B,"&lt;="&amp;A1490)&gt;1,SUMIFS(Quarterly!D:D,Quarterly!B:B,"&gt;="&amp;A1490-88,Quarterly!B:B,"&lt;="&amp;A1490),SUMIFS(Quarterly!D:D,Quarterly!B:B,"&gt;="&amp;A1490-92,Quarterly!B:B,"&lt;="&amp;A1490)))</f>
        <v>236.42500000000001</v>
      </c>
      <c r="N1490" s="13">
        <f t="shared" si="479"/>
        <v>0.14111000000000001</v>
      </c>
      <c r="O1490">
        <f t="shared" si="481"/>
        <v>333.62</v>
      </c>
      <c r="P1490" s="56"/>
      <c r="Q1490" s="13"/>
      <c r="R1490" s="41">
        <v>0.06</v>
      </c>
      <c r="T1490" s="30">
        <f t="shared" si="482"/>
        <v>196.17</v>
      </c>
      <c r="U1490" s="30">
        <f t="shared" ref="U1490:U1530" si="489">ROUND(AVERAGE(T1490:T1492),2)</f>
        <v>195.13</v>
      </c>
    </row>
    <row r="1491" spans="1:21" ht="15" customHeight="1" x14ac:dyDescent="0.25">
      <c r="A1491" s="5">
        <v>32908</v>
      </c>
      <c r="B1491" s="5">
        <f t="shared" si="483"/>
        <v>32932</v>
      </c>
      <c r="C1491">
        <v>330.92</v>
      </c>
      <c r="D1491" s="29">
        <f t="shared" si="484"/>
        <v>-2.46E-2</v>
      </c>
      <c r="E1491" s="39">
        <f t="shared" si="485"/>
        <v>343.30461538461537</v>
      </c>
      <c r="F1491" s="39">
        <f t="shared" si="486"/>
        <v>338.85128205128206</v>
      </c>
      <c r="G1491" s="29">
        <f t="shared" si="480"/>
        <v>-3.61E-2</v>
      </c>
      <c r="H1491" s="29">
        <f t="shared" si="480"/>
        <v>-2.3400000000000001E-2</v>
      </c>
      <c r="I1491">
        <f t="shared" si="487"/>
        <v>330.92</v>
      </c>
      <c r="J1491">
        <f>IF(A1491&gt;=Quarterly!B$2,Quarterly!C$2,IF(COUNTIFS(Quarterly!B:B,"&gt;="&amp;A1491-92,Quarterly!B:B,"&lt;="&amp;A1491)&gt;1,SUMIFS(Quarterly!C:C,Quarterly!B:B,"&gt;="&amp;A1491-88,Quarterly!B:B,"&lt;="&amp;A1491),SUMIFS(Quarterly!C:C,Quarterly!B:B,"&gt;="&amp;A1491-92,Quarterly!B:B,"&lt;="&amp;A1491)))</f>
        <v>5763.4</v>
      </c>
      <c r="K1491" s="13">
        <f t="shared" si="488"/>
        <v>5.74E-2</v>
      </c>
      <c r="L1491">
        <f t="shared" si="478"/>
        <v>330.92</v>
      </c>
      <c r="M1491">
        <f>IF(A1491&gt;=Quarterly!B$2,Quarterly!D$2,IF(COUNTIFS(Quarterly!B:B,"&gt;="&amp;A1491-92,Quarterly!B:B,"&lt;="&amp;A1491)&gt;1,SUMIFS(Quarterly!D:D,Quarterly!B:B,"&gt;="&amp;A1491-88,Quarterly!B:B,"&lt;="&amp;A1491),SUMIFS(Quarterly!D:D,Quarterly!B:B,"&gt;="&amp;A1491-92,Quarterly!B:B,"&lt;="&amp;A1491)))</f>
        <v>236.42500000000001</v>
      </c>
      <c r="N1491" s="13">
        <f t="shared" si="479"/>
        <v>0.13997000000000001</v>
      </c>
      <c r="O1491">
        <f t="shared" si="481"/>
        <v>330.92</v>
      </c>
      <c r="P1491" s="56"/>
      <c r="Q1491" s="13"/>
      <c r="R1491" s="41">
        <v>0.13</v>
      </c>
      <c r="T1491" s="30">
        <f t="shared" si="482"/>
        <v>195.59</v>
      </c>
      <c r="U1491" s="30">
        <f t="shared" si="489"/>
        <v>194.28</v>
      </c>
    </row>
    <row r="1492" spans="1:21" ht="15" customHeight="1" x14ac:dyDescent="0.25">
      <c r="A1492" s="5">
        <v>32901</v>
      </c>
      <c r="B1492" s="5">
        <f t="shared" si="483"/>
        <v>32904</v>
      </c>
      <c r="C1492">
        <v>325.8</v>
      </c>
      <c r="D1492" s="29">
        <f t="shared" si="484"/>
        <v>-5.8799999999999998E-2</v>
      </c>
      <c r="E1492" s="39">
        <f t="shared" si="485"/>
        <v>343.82</v>
      </c>
      <c r="F1492" s="39">
        <f t="shared" si="486"/>
        <v>338.25358974358977</v>
      </c>
      <c r="G1492" s="29">
        <f t="shared" si="480"/>
        <v>-5.2400000000000002E-2</v>
      </c>
      <c r="H1492" s="29">
        <f t="shared" si="480"/>
        <v>-3.6799999999999999E-2</v>
      </c>
      <c r="I1492">
        <f t="shared" si="487"/>
        <v>325.8</v>
      </c>
      <c r="J1492">
        <f>IF(A1492&gt;=Quarterly!B$2,Quarterly!C$2,IF(COUNTIFS(Quarterly!B:B,"&gt;="&amp;A1492-92,Quarterly!B:B,"&lt;="&amp;A1492)&gt;1,SUMIFS(Quarterly!C:C,Quarterly!B:B,"&gt;="&amp;A1492-88,Quarterly!B:B,"&lt;="&amp;A1492),SUMIFS(Quarterly!C:C,Quarterly!B:B,"&gt;="&amp;A1492-92,Quarterly!B:B,"&lt;="&amp;A1492)))</f>
        <v>5711.6</v>
      </c>
      <c r="K1492" s="13">
        <f t="shared" si="488"/>
        <v>5.7000000000000002E-2</v>
      </c>
      <c r="L1492">
        <f t="shared" si="478"/>
        <v>325.8</v>
      </c>
      <c r="M1492">
        <f>IF(A1492&gt;=Quarterly!B$2,Quarterly!D$2,IF(COUNTIFS(Quarterly!B:B,"&gt;="&amp;A1492-92,Quarterly!B:B,"&lt;="&amp;A1492)&gt;1,SUMIFS(Quarterly!D:D,Quarterly!B:B,"&gt;="&amp;A1492-88,Quarterly!B:B,"&lt;="&amp;A1492),SUMIFS(Quarterly!D:D,Quarterly!B:B,"&gt;="&amp;A1492-92,Quarterly!B:B,"&lt;="&amp;A1492)))</f>
        <v>236.422</v>
      </c>
      <c r="N1492" s="13">
        <f t="shared" si="479"/>
        <v>0.13780000000000001</v>
      </c>
      <c r="O1492">
        <f t="shared" si="481"/>
        <v>325.8</v>
      </c>
      <c r="P1492" s="56"/>
      <c r="Q1492" s="13"/>
      <c r="R1492" s="41">
        <v>0.21</v>
      </c>
      <c r="T1492" s="30">
        <f t="shared" si="482"/>
        <v>193.62</v>
      </c>
      <c r="U1492" s="30">
        <f t="shared" si="489"/>
        <v>193.45</v>
      </c>
    </row>
    <row r="1493" spans="1:21" ht="15" customHeight="1" x14ac:dyDescent="0.25">
      <c r="A1493" s="5">
        <v>32894</v>
      </c>
      <c r="B1493" s="5">
        <f t="shared" si="483"/>
        <v>32904</v>
      </c>
      <c r="C1493">
        <v>339.15</v>
      </c>
      <c r="D1493" s="29">
        <f t="shared" si="484"/>
        <v>-2.6100000000000002E-2</v>
      </c>
      <c r="E1493" s="39">
        <f t="shared" si="485"/>
        <v>344.53230769230771</v>
      </c>
      <c r="F1493" s="39">
        <f t="shared" si="486"/>
        <v>337.83923076923082</v>
      </c>
      <c r="G1493" s="29">
        <f t="shared" si="480"/>
        <v>-1.5599999999999999E-2</v>
      </c>
      <c r="H1493" s="29">
        <f t="shared" si="480"/>
        <v>3.8999999999999998E-3</v>
      </c>
      <c r="I1493">
        <f t="shared" si="487"/>
        <v>339.15</v>
      </c>
      <c r="J1493">
        <f>IF(A1493&gt;=Quarterly!B$2,Quarterly!C$2,IF(COUNTIFS(Quarterly!B:B,"&gt;="&amp;A1493-92,Quarterly!B:B,"&lt;="&amp;A1493)&gt;1,SUMIFS(Quarterly!C:C,Quarterly!B:B,"&gt;="&amp;A1493-88,Quarterly!B:B,"&lt;="&amp;A1493),SUMIFS(Quarterly!C:C,Quarterly!B:B,"&gt;="&amp;A1493-92,Quarterly!B:B,"&lt;="&amp;A1493)))</f>
        <v>5711.6</v>
      </c>
      <c r="K1493" s="13">
        <f t="shared" si="488"/>
        <v>5.9400000000000001E-2</v>
      </c>
      <c r="L1493">
        <f t="shared" si="478"/>
        <v>339.15</v>
      </c>
      <c r="M1493">
        <f>IF(A1493&gt;=Quarterly!B$2,Quarterly!D$2,IF(COUNTIFS(Quarterly!B:B,"&gt;="&amp;A1493-92,Quarterly!B:B,"&lt;="&amp;A1493)&gt;1,SUMIFS(Quarterly!D:D,Quarterly!B:B,"&gt;="&amp;A1493-88,Quarterly!B:B,"&lt;="&amp;A1493),SUMIFS(Quarterly!D:D,Quarterly!B:B,"&gt;="&amp;A1493-92,Quarterly!B:B,"&lt;="&amp;A1493)))</f>
        <v>236.422</v>
      </c>
      <c r="N1493" s="13">
        <f t="shared" si="479"/>
        <v>0.14345000000000002</v>
      </c>
      <c r="O1493">
        <f t="shared" si="481"/>
        <v>339.15</v>
      </c>
      <c r="P1493" s="56"/>
      <c r="Q1493" s="13"/>
      <c r="R1493" s="41">
        <v>0.06</v>
      </c>
      <c r="T1493" s="30">
        <f t="shared" si="482"/>
        <v>193.63</v>
      </c>
      <c r="U1493" s="30">
        <f t="shared" si="489"/>
        <v>192.76</v>
      </c>
    </row>
    <row r="1494" spans="1:21" ht="15" customHeight="1" x14ac:dyDescent="0.25">
      <c r="A1494" s="5">
        <v>32887</v>
      </c>
      <c r="B1494" s="5">
        <f t="shared" si="483"/>
        <v>32904</v>
      </c>
      <c r="C1494">
        <v>339.93</v>
      </c>
      <c r="D1494" s="29">
        <f t="shared" si="484"/>
        <v>-3.1E-2</v>
      </c>
      <c r="E1494" s="39">
        <f t="shared" si="485"/>
        <v>345.14846153846156</v>
      </c>
      <c r="F1494" s="39">
        <f t="shared" si="486"/>
        <v>337.0817948717949</v>
      </c>
      <c r="G1494" s="29">
        <f t="shared" si="480"/>
        <v>-1.5100000000000001E-2</v>
      </c>
      <c r="H1494" s="29">
        <f t="shared" si="480"/>
        <v>8.3999999999999995E-3</v>
      </c>
      <c r="I1494">
        <f t="shared" si="487"/>
        <v>339.93</v>
      </c>
      <c r="J1494">
        <f>IF(A1494&gt;=Quarterly!B$2,Quarterly!C$2,IF(COUNTIFS(Quarterly!B:B,"&gt;="&amp;A1494-92,Quarterly!B:B,"&lt;="&amp;A1494)&gt;1,SUMIFS(Quarterly!C:C,Quarterly!B:B,"&gt;="&amp;A1494-88,Quarterly!B:B,"&lt;="&amp;A1494),SUMIFS(Quarterly!C:C,Quarterly!B:B,"&gt;="&amp;A1494-92,Quarterly!B:B,"&lt;="&amp;A1494)))</f>
        <v>5711.6</v>
      </c>
      <c r="K1494" s="13">
        <f t="shared" si="488"/>
        <v>5.9499999999999997E-2</v>
      </c>
      <c r="L1494">
        <f t="shared" si="478"/>
        <v>339.93</v>
      </c>
      <c r="M1494">
        <f>IF(A1494&gt;=Quarterly!B$2,Quarterly!D$2,IF(COUNTIFS(Quarterly!B:B,"&gt;="&amp;A1494-92,Quarterly!B:B,"&lt;="&amp;A1494)&gt;1,SUMIFS(Quarterly!D:D,Quarterly!B:B,"&gt;="&amp;A1494-88,Quarterly!B:B,"&lt;="&amp;A1494),SUMIFS(Quarterly!D:D,Quarterly!B:B,"&gt;="&amp;A1494-92,Quarterly!B:B,"&lt;="&amp;A1494)))</f>
        <v>236.422</v>
      </c>
      <c r="N1494" s="13">
        <f t="shared" si="479"/>
        <v>0.14377999999999999</v>
      </c>
      <c r="O1494">
        <f t="shared" si="481"/>
        <v>339.93</v>
      </c>
      <c r="P1494" s="56"/>
      <c r="Q1494" s="13"/>
      <c r="R1494" s="41">
        <v>0.17</v>
      </c>
      <c r="T1494" s="30">
        <f t="shared" si="482"/>
        <v>193.1</v>
      </c>
      <c r="U1494" s="30">
        <f t="shared" si="489"/>
        <v>191.87</v>
      </c>
    </row>
    <row r="1495" spans="1:21" ht="15" customHeight="1" x14ac:dyDescent="0.25">
      <c r="A1495" s="5">
        <v>32880</v>
      </c>
      <c r="B1495" s="5">
        <f t="shared" si="483"/>
        <v>32904</v>
      </c>
      <c r="C1495">
        <v>352.2</v>
      </c>
      <c r="D1495" s="29">
        <f t="shared" si="484"/>
        <v>6.4999999999999997E-3</v>
      </c>
      <c r="E1495" s="29"/>
      <c r="F1495" s="29"/>
      <c r="G1495" s="29"/>
      <c r="H1495" s="29"/>
      <c r="I1495">
        <f t="shared" si="487"/>
        <v>352.2</v>
      </c>
      <c r="J1495">
        <f>IF(A1495&gt;=Quarterly!B$2,Quarterly!C$2,IF(COUNTIFS(Quarterly!B:B,"&gt;="&amp;A1495-92,Quarterly!B:B,"&lt;="&amp;A1495)&gt;1,SUMIFS(Quarterly!C:C,Quarterly!B:B,"&gt;="&amp;A1495-88,Quarterly!B:B,"&lt;="&amp;A1495),SUMIFS(Quarterly!C:C,Quarterly!B:B,"&gt;="&amp;A1495-92,Quarterly!B:B,"&lt;="&amp;A1495)))</f>
        <v>5711.6</v>
      </c>
      <c r="K1495" s="13">
        <f t="shared" si="488"/>
        <v>6.1699999999999998E-2</v>
      </c>
      <c r="L1495">
        <f t="shared" ref="L1495:L1545" si="490">C1495</f>
        <v>352.2</v>
      </c>
      <c r="M1495">
        <f>IF(A1495&gt;=Quarterly!B$2,Quarterly!D$2,IF(COUNTIFS(Quarterly!B:B,"&gt;="&amp;A1495-92,Quarterly!B:B,"&lt;="&amp;A1495)&gt;1,SUMIFS(Quarterly!D:D,Quarterly!B:B,"&gt;="&amp;A1495-88,Quarterly!B:B,"&lt;="&amp;A1495),SUMIFS(Quarterly!D:D,Quarterly!B:B,"&gt;="&amp;A1495-92,Quarterly!B:B,"&lt;="&amp;A1495)))</f>
        <v>236.422</v>
      </c>
      <c r="N1495" s="13">
        <f t="shared" ref="N1495:N1517" si="491">ROUND(L1495/M1495,4)*0.1</f>
        <v>0.14897000000000002</v>
      </c>
      <c r="O1495">
        <f t="shared" si="481"/>
        <v>352.2</v>
      </c>
      <c r="P1495" s="56"/>
      <c r="Q1495" s="13"/>
      <c r="R1495" s="41">
        <v>0.09</v>
      </c>
      <c r="T1495" s="30">
        <f t="shared" si="482"/>
        <v>191.55</v>
      </c>
      <c r="U1495" s="30">
        <f t="shared" si="489"/>
        <v>192.22</v>
      </c>
    </row>
    <row r="1496" spans="1:21" ht="15" customHeight="1" x14ac:dyDescent="0.25">
      <c r="A1496" s="5">
        <v>32873</v>
      </c>
      <c r="B1496" s="5">
        <f t="shared" si="483"/>
        <v>32873</v>
      </c>
      <c r="C1496">
        <v>353.4</v>
      </c>
      <c r="D1496" s="29">
        <f t="shared" si="484"/>
        <v>1.2E-2</v>
      </c>
      <c r="E1496" s="29"/>
      <c r="F1496" s="29"/>
      <c r="G1496" s="29"/>
      <c r="H1496" s="29"/>
      <c r="I1496">
        <f t="shared" si="487"/>
        <v>353.4</v>
      </c>
      <c r="J1496">
        <f>IF(A1496&gt;=Quarterly!B$2,Quarterly!C$2,IF(COUNTIFS(Quarterly!B:B,"&gt;="&amp;A1496-92,Quarterly!B:B,"&lt;="&amp;A1496)&gt;1,SUMIFS(Quarterly!C:C,Quarterly!B:B,"&gt;="&amp;A1496-88,Quarterly!B:B,"&lt;="&amp;A1496),SUMIFS(Quarterly!C:C,Quarterly!B:B,"&gt;="&amp;A1496-92,Quarterly!B:B,"&lt;="&amp;A1496)))</f>
        <v>5711.6</v>
      </c>
      <c r="K1496" s="13">
        <f t="shared" si="488"/>
        <v>6.1899999999999997E-2</v>
      </c>
      <c r="L1496">
        <f t="shared" si="490"/>
        <v>353.4</v>
      </c>
      <c r="M1496">
        <f>IF(A1496&gt;=Quarterly!B$2,Quarterly!D$2,IF(COUNTIFS(Quarterly!B:B,"&gt;="&amp;A1496-92,Quarterly!B:B,"&lt;="&amp;A1496)&gt;1,SUMIFS(Quarterly!D:D,Quarterly!B:B,"&gt;="&amp;A1496-88,Quarterly!B:B,"&lt;="&amp;A1496),SUMIFS(Quarterly!D:D,Quarterly!B:B,"&gt;="&amp;A1496-92,Quarterly!B:B,"&lt;="&amp;A1496)))</f>
        <v>236.422</v>
      </c>
      <c r="N1496" s="13">
        <f t="shared" si="491"/>
        <v>0.14948</v>
      </c>
      <c r="O1496">
        <f t="shared" si="481"/>
        <v>353.4</v>
      </c>
      <c r="P1496" s="56"/>
      <c r="Q1496" s="13"/>
      <c r="R1496" s="13"/>
      <c r="T1496" s="30">
        <f t="shared" si="482"/>
        <v>190.96</v>
      </c>
      <c r="U1496" s="30">
        <f t="shared" si="489"/>
        <v>192.61</v>
      </c>
    </row>
    <row r="1497" spans="1:21" ht="15" customHeight="1" x14ac:dyDescent="0.25">
      <c r="A1497" s="5">
        <v>32866</v>
      </c>
      <c r="B1497" s="5">
        <f t="shared" si="483"/>
        <v>32873</v>
      </c>
      <c r="C1497">
        <v>347.42</v>
      </c>
      <c r="D1497" s="29">
        <f t="shared" si="484"/>
        <v>-2.7000000000000001E-3</v>
      </c>
      <c r="E1497" s="29"/>
      <c r="F1497" s="29"/>
      <c r="G1497" s="29"/>
      <c r="H1497" s="29"/>
      <c r="I1497">
        <f t="shared" si="487"/>
        <v>347.42</v>
      </c>
      <c r="J1497">
        <f>IF(A1497&gt;=Quarterly!B$2,Quarterly!C$2,IF(COUNTIFS(Quarterly!B:B,"&gt;="&amp;A1497-92,Quarterly!B:B,"&lt;="&amp;A1497)&gt;1,SUMIFS(Quarterly!C:C,Quarterly!B:B,"&gt;="&amp;A1497-88,Quarterly!B:B,"&lt;="&amp;A1497),SUMIFS(Quarterly!C:C,Quarterly!B:B,"&gt;="&amp;A1497-92,Quarterly!B:B,"&lt;="&amp;A1497)))</f>
        <v>5711.6</v>
      </c>
      <c r="K1497" s="13">
        <f t="shared" si="488"/>
        <v>6.08E-2</v>
      </c>
      <c r="L1497">
        <f t="shared" si="490"/>
        <v>347.42</v>
      </c>
      <c r="M1497">
        <f>IF(A1497&gt;=Quarterly!B$2,Quarterly!D$2,IF(COUNTIFS(Quarterly!B:B,"&gt;="&amp;A1497-92,Quarterly!B:B,"&lt;="&amp;A1497)&gt;1,SUMIFS(Quarterly!D:D,Quarterly!B:B,"&gt;="&amp;A1497-88,Quarterly!B:B,"&lt;="&amp;A1497),SUMIFS(Quarterly!D:D,Quarterly!B:B,"&gt;="&amp;A1497-92,Quarterly!B:B,"&lt;="&amp;A1497)))</f>
        <v>236.422</v>
      </c>
      <c r="N1497" s="13">
        <f t="shared" si="491"/>
        <v>0.14695</v>
      </c>
      <c r="O1497">
        <f t="shared" si="481"/>
        <v>347.42</v>
      </c>
      <c r="P1497" s="56"/>
      <c r="Q1497" s="13"/>
      <c r="R1497" s="13"/>
      <c r="T1497" s="30">
        <f t="shared" si="482"/>
        <v>194.16</v>
      </c>
      <c r="U1497" s="30">
        <f t="shared" si="489"/>
        <v>193.47</v>
      </c>
    </row>
    <row r="1498" spans="1:21" ht="15" customHeight="1" x14ac:dyDescent="0.25">
      <c r="A1498" s="5">
        <v>32859</v>
      </c>
      <c r="B1498" s="5">
        <f t="shared" si="483"/>
        <v>32873</v>
      </c>
      <c r="C1498">
        <v>350.14</v>
      </c>
      <c r="D1498" s="29">
        <f t="shared" si="484"/>
        <v>1.1299999999999999E-2</v>
      </c>
      <c r="E1498" s="29"/>
      <c r="F1498" s="29"/>
      <c r="G1498" s="29"/>
      <c r="H1498" s="29"/>
      <c r="I1498">
        <f t="shared" si="487"/>
        <v>350.14</v>
      </c>
      <c r="J1498">
        <f>IF(A1498&gt;=Quarterly!B$2,Quarterly!C$2,IF(COUNTIFS(Quarterly!B:B,"&gt;="&amp;A1498-92,Quarterly!B:B,"&lt;="&amp;A1498)&gt;1,SUMIFS(Quarterly!C:C,Quarterly!B:B,"&gt;="&amp;A1498-88,Quarterly!B:B,"&lt;="&amp;A1498),SUMIFS(Quarterly!C:C,Quarterly!B:B,"&gt;="&amp;A1498-92,Quarterly!B:B,"&lt;="&amp;A1498)))</f>
        <v>5711.6</v>
      </c>
      <c r="K1498" s="13">
        <f t="shared" si="488"/>
        <v>6.13E-2</v>
      </c>
      <c r="L1498">
        <f t="shared" si="490"/>
        <v>350.14</v>
      </c>
      <c r="M1498">
        <f>IF(A1498&gt;=Quarterly!B$2,Quarterly!D$2,IF(COUNTIFS(Quarterly!B:B,"&gt;="&amp;A1498-92,Quarterly!B:B,"&lt;="&amp;A1498)&gt;1,SUMIFS(Quarterly!D:D,Quarterly!B:B,"&gt;="&amp;A1498-88,Quarterly!B:B,"&lt;="&amp;A1498),SUMIFS(Quarterly!D:D,Quarterly!B:B,"&gt;="&amp;A1498-92,Quarterly!B:B,"&lt;="&amp;A1498)))</f>
        <v>236.422</v>
      </c>
      <c r="N1498" s="13">
        <f t="shared" si="491"/>
        <v>0.14810000000000001</v>
      </c>
      <c r="O1498">
        <f t="shared" si="481"/>
        <v>350.14</v>
      </c>
      <c r="P1498" s="56"/>
      <c r="Q1498" s="13"/>
      <c r="R1498" s="13"/>
      <c r="T1498" s="30">
        <f t="shared" si="482"/>
        <v>192.7</v>
      </c>
      <c r="U1498" s="30">
        <f t="shared" si="489"/>
        <v>192.89</v>
      </c>
    </row>
    <row r="1499" spans="1:21" ht="15" customHeight="1" x14ac:dyDescent="0.25">
      <c r="A1499" s="5">
        <v>32852</v>
      </c>
      <c r="B1499" s="5">
        <f t="shared" si="483"/>
        <v>32873</v>
      </c>
      <c r="C1499">
        <v>348.69</v>
      </c>
      <c r="D1499" s="29">
        <f t="shared" si="484"/>
        <v>1.41E-2</v>
      </c>
      <c r="E1499" s="29"/>
      <c r="F1499" s="29"/>
      <c r="G1499" s="29"/>
      <c r="H1499" s="29"/>
      <c r="I1499">
        <f t="shared" si="487"/>
        <v>348.69</v>
      </c>
      <c r="J1499">
        <f>IF(A1499&gt;=Quarterly!B$2,Quarterly!C$2,IF(COUNTIFS(Quarterly!B:B,"&gt;="&amp;A1499-92,Quarterly!B:B,"&lt;="&amp;A1499)&gt;1,SUMIFS(Quarterly!C:C,Quarterly!B:B,"&gt;="&amp;A1499-88,Quarterly!B:B,"&lt;="&amp;A1499),SUMIFS(Quarterly!C:C,Quarterly!B:B,"&gt;="&amp;A1499-92,Quarterly!B:B,"&lt;="&amp;A1499)))</f>
        <v>5711.6</v>
      </c>
      <c r="K1499" s="13">
        <f t="shared" si="488"/>
        <v>6.0999999999999999E-2</v>
      </c>
      <c r="L1499">
        <f t="shared" si="490"/>
        <v>348.69</v>
      </c>
      <c r="M1499">
        <f>IF(A1499&gt;=Quarterly!B$2,Quarterly!D$2,IF(COUNTIFS(Quarterly!B:B,"&gt;="&amp;A1499-92,Quarterly!B:B,"&lt;="&amp;A1499)&gt;1,SUMIFS(Quarterly!D:D,Quarterly!B:B,"&gt;="&amp;A1499-88,Quarterly!B:B,"&lt;="&amp;A1499),SUMIFS(Quarterly!D:D,Quarterly!B:B,"&gt;="&amp;A1499-92,Quarterly!B:B,"&lt;="&amp;A1499)))</f>
        <v>236.422</v>
      </c>
      <c r="N1499" s="13">
        <f t="shared" si="491"/>
        <v>0.14749000000000001</v>
      </c>
      <c r="O1499">
        <f t="shared" si="481"/>
        <v>348.69</v>
      </c>
      <c r="P1499" s="56"/>
      <c r="Q1499" s="13"/>
      <c r="R1499" s="13"/>
      <c r="T1499" s="30">
        <f t="shared" si="482"/>
        <v>193.55</v>
      </c>
      <c r="U1499" s="30">
        <f t="shared" si="489"/>
        <v>239.48</v>
      </c>
    </row>
    <row r="1500" spans="1:21" ht="15" customHeight="1" x14ac:dyDescent="0.25">
      <c r="A1500" s="5">
        <v>32845</v>
      </c>
      <c r="B1500" s="5">
        <f t="shared" si="483"/>
        <v>32873</v>
      </c>
      <c r="C1500">
        <v>350.63</v>
      </c>
      <c r="D1500" s="29">
        <f t="shared" si="484"/>
        <v>2.9499999999999998E-2</v>
      </c>
      <c r="E1500" s="29"/>
      <c r="F1500" s="29"/>
      <c r="G1500" s="29"/>
      <c r="H1500" s="29"/>
      <c r="I1500">
        <f t="shared" si="487"/>
        <v>350.63</v>
      </c>
      <c r="J1500">
        <f>IF(A1500&gt;=Quarterly!B$2,Quarterly!C$2,IF(COUNTIFS(Quarterly!B:B,"&gt;="&amp;A1500-92,Quarterly!B:B,"&lt;="&amp;A1500)&gt;1,SUMIFS(Quarterly!C:C,Quarterly!B:B,"&gt;="&amp;A1500-88,Quarterly!B:B,"&lt;="&amp;A1500),SUMIFS(Quarterly!C:C,Quarterly!B:B,"&gt;="&amp;A1500-92,Quarterly!B:B,"&lt;="&amp;A1500)))</f>
        <v>5711.6</v>
      </c>
      <c r="K1500" s="13">
        <f t="shared" si="488"/>
        <v>6.1400000000000003E-2</v>
      </c>
      <c r="L1500">
        <f t="shared" si="490"/>
        <v>350.63</v>
      </c>
      <c r="M1500">
        <f>IF(A1500&gt;=Quarterly!B$2,Quarterly!D$2,IF(COUNTIFS(Quarterly!B:B,"&gt;="&amp;A1500-92,Quarterly!B:B,"&lt;="&amp;A1500)&gt;1,SUMIFS(Quarterly!D:D,Quarterly!B:B,"&gt;="&amp;A1500-88,Quarterly!B:B,"&lt;="&amp;A1500),SUMIFS(Quarterly!D:D,Quarterly!B:B,"&gt;="&amp;A1500-92,Quarterly!B:B,"&lt;="&amp;A1500)))</f>
        <v>236.422</v>
      </c>
      <c r="N1500" s="13">
        <f t="shared" si="491"/>
        <v>0.14831000000000003</v>
      </c>
      <c r="O1500">
        <f t="shared" si="481"/>
        <v>350.63</v>
      </c>
      <c r="P1500" s="56"/>
      <c r="Q1500" s="13"/>
      <c r="R1500" s="13"/>
      <c r="T1500" s="30">
        <f t="shared" si="482"/>
        <v>192.42</v>
      </c>
      <c r="U1500" s="30">
        <f t="shared" si="489"/>
        <v>285.87</v>
      </c>
    </row>
    <row r="1501" spans="1:21" ht="15" customHeight="1" x14ac:dyDescent="0.25">
      <c r="A1501" s="5">
        <v>32838</v>
      </c>
      <c r="B1501" s="5">
        <f t="shared" si="483"/>
        <v>32842</v>
      </c>
      <c r="C1501">
        <v>343.97</v>
      </c>
      <c r="D1501" s="29">
        <f t="shared" si="484"/>
        <v>1.66E-2</v>
      </c>
      <c r="E1501" s="29"/>
      <c r="F1501" s="29"/>
      <c r="G1501" s="29"/>
      <c r="H1501" s="29"/>
      <c r="I1501"/>
      <c r="J1501"/>
      <c r="K1501"/>
      <c r="L1501">
        <f t="shared" si="490"/>
        <v>343.97</v>
      </c>
      <c r="M1501">
        <f>IF(A1501&gt;=Quarterly!B$2,Quarterly!D$2,IF(COUNTIFS(Quarterly!B:B,"&gt;="&amp;A1501-92,Quarterly!B:B,"&lt;="&amp;A1501)&gt;1,SUMIFS(Quarterly!D:D,Quarterly!B:B,"&gt;="&amp;A1501-88,Quarterly!B:B,"&lt;="&amp;A1501),SUMIFS(Quarterly!D:D,Quarterly!B:B,"&gt;="&amp;A1501-92,Quarterly!B:B,"&lt;="&amp;A1501)))</f>
        <v>236.422</v>
      </c>
      <c r="N1501" s="13">
        <f t="shared" si="491"/>
        <v>0.14549000000000001</v>
      </c>
      <c r="O1501">
        <f t="shared" si="481"/>
        <v>343.97</v>
      </c>
      <c r="P1501" s="56"/>
      <c r="Q1501" s="13"/>
      <c r="R1501" s="13"/>
      <c r="T1501" s="30">
        <f t="shared" si="482"/>
        <v>332.46</v>
      </c>
      <c r="U1501" s="30">
        <f t="shared" si="489"/>
        <v>332.75</v>
      </c>
    </row>
    <row r="1502" spans="1:21" ht="15" customHeight="1" x14ac:dyDescent="0.25">
      <c r="A1502" s="5">
        <v>32831</v>
      </c>
      <c r="B1502" s="5">
        <f t="shared" si="483"/>
        <v>32842</v>
      </c>
      <c r="C1502">
        <v>341.61</v>
      </c>
      <c r="D1502" s="29">
        <f t="shared" si="484"/>
        <v>5.4999999999999997E-3</v>
      </c>
      <c r="E1502" s="29"/>
      <c r="F1502" s="29"/>
      <c r="G1502" s="29"/>
      <c r="H1502" s="29"/>
      <c r="I1502"/>
      <c r="J1502"/>
      <c r="K1502"/>
      <c r="L1502">
        <f t="shared" si="490"/>
        <v>341.61</v>
      </c>
      <c r="M1502">
        <f>IF(A1502&gt;=Quarterly!B$2,Quarterly!D$2,IF(COUNTIFS(Quarterly!B:B,"&gt;="&amp;A1502-92,Quarterly!B:B,"&lt;="&amp;A1502)&gt;1,SUMIFS(Quarterly!D:D,Quarterly!B:B,"&gt;="&amp;A1502-88,Quarterly!B:B,"&lt;="&amp;A1502),SUMIFS(Quarterly!D:D,Quarterly!B:B,"&gt;="&amp;A1502-92,Quarterly!B:B,"&lt;="&amp;A1502)))</f>
        <v>236.422</v>
      </c>
      <c r="N1502" s="13">
        <f t="shared" si="491"/>
        <v>0.14449000000000001</v>
      </c>
      <c r="O1502">
        <f t="shared" si="481"/>
        <v>341.61</v>
      </c>
      <c r="P1502" s="56"/>
      <c r="Q1502" s="13"/>
      <c r="R1502" s="13"/>
      <c r="T1502" s="30">
        <f t="shared" si="482"/>
        <v>332.74</v>
      </c>
      <c r="U1502" s="30">
        <f t="shared" si="489"/>
        <v>333</v>
      </c>
    </row>
    <row r="1503" spans="1:21" ht="15" customHeight="1" x14ac:dyDescent="0.25">
      <c r="A1503" s="5">
        <v>32824</v>
      </c>
      <c r="B1503" s="5">
        <f t="shared" si="483"/>
        <v>32842</v>
      </c>
      <c r="C1503">
        <v>339.1</v>
      </c>
      <c r="D1503" s="29">
        <f t="shared" si="484"/>
        <v>2.0999999999999999E-3</v>
      </c>
      <c r="E1503" s="29"/>
      <c r="F1503" s="29"/>
      <c r="G1503" s="29"/>
      <c r="H1503" s="29"/>
      <c r="I1503"/>
      <c r="J1503"/>
      <c r="K1503"/>
      <c r="L1503">
        <f t="shared" si="490"/>
        <v>339.1</v>
      </c>
      <c r="M1503">
        <f>IF(A1503&gt;=Quarterly!B$2,Quarterly!D$2,IF(COUNTIFS(Quarterly!B:B,"&gt;="&amp;A1503-92,Quarterly!B:B,"&lt;="&amp;A1503)&gt;1,SUMIFS(Quarterly!D:D,Quarterly!B:B,"&gt;="&amp;A1503-88,Quarterly!B:B,"&lt;="&amp;A1503),SUMIFS(Quarterly!D:D,Quarterly!B:B,"&gt;="&amp;A1503-92,Quarterly!B:B,"&lt;="&amp;A1503)))</f>
        <v>236.422</v>
      </c>
      <c r="N1503" s="13">
        <f t="shared" si="491"/>
        <v>0.14343</v>
      </c>
      <c r="O1503">
        <f t="shared" si="481"/>
        <v>339.1</v>
      </c>
      <c r="P1503" s="56"/>
      <c r="Q1503" s="13"/>
      <c r="R1503" s="13"/>
      <c r="T1503" s="30">
        <f t="shared" si="482"/>
        <v>333.04</v>
      </c>
      <c r="U1503" s="30">
        <f t="shared" si="489"/>
        <v>333.8</v>
      </c>
    </row>
    <row r="1504" spans="1:21" ht="15" customHeight="1" x14ac:dyDescent="0.25">
      <c r="A1504" s="5">
        <v>32817</v>
      </c>
      <c r="B1504" s="5">
        <f t="shared" si="483"/>
        <v>32842</v>
      </c>
      <c r="C1504">
        <v>337.62</v>
      </c>
      <c r="D1504" s="29">
        <f t="shared" si="484"/>
        <v>-1.7600000000000001E-2</v>
      </c>
      <c r="E1504" s="29"/>
      <c r="F1504" s="29"/>
      <c r="G1504" s="29"/>
      <c r="H1504" s="29"/>
      <c r="I1504"/>
      <c r="J1504"/>
      <c r="K1504"/>
      <c r="L1504">
        <f t="shared" si="490"/>
        <v>337.62</v>
      </c>
      <c r="M1504">
        <f>IF(A1504&gt;=Quarterly!B$2,Quarterly!D$2,IF(COUNTIFS(Quarterly!B:B,"&gt;="&amp;A1504-92,Quarterly!B:B,"&lt;="&amp;A1504)&gt;1,SUMIFS(Quarterly!D:D,Quarterly!B:B,"&gt;="&amp;A1504-88,Quarterly!B:B,"&lt;="&amp;A1504),SUMIFS(Quarterly!D:D,Quarterly!B:B,"&gt;="&amp;A1504-92,Quarterly!B:B,"&lt;="&amp;A1504)))</f>
        <v>236.422</v>
      </c>
      <c r="N1504" s="13">
        <f t="shared" si="491"/>
        <v>0.14280000000000001</v>
      </c>
      <c r="O1504">
        <f t="shared" si="481"/>
        <v>337.62</v>
      </c>
      <c r="P1504" s="56"/>
      <c r="Q1504" s="13"/>
      <c r="R1504" s="13"/>
      <c r="T1504" s="30">
        <f t="shared" si="482"/>
        <v>333.22</v>
      </c>
      <c r="U1504" s="30">
        <f t="shared" si="489"/>
        <v>334.05</v>
      </c>
    </row>
    <row r="1505" spans="1:21" ht="15" customHeight="1" x14ac:dyDescent="0.25">
      <c r="A1505" s="5">
        <v>32810</v>
      </c>
      <c r="B1505" s="5">
        <f t="shared" si="483"/>
        <v>32812</v>
      </c>
      <c r="C1505">
        <v>335.06</v>
      </c>
      <c r="D1505" s="29">
        <f t="shared" si="484"/>
        <v>-3.49E-2</v>
      </c>
      <c r="E1505" s="29"/>
      <c r="F1505" s="29"/>
      <c r="G1505" s="29"/>
      <c r="H1505" s="29"/>
      <c r="I1505"/>
      <c r="J1505"/>
      <c r="K1505"/>
      <c r="L1505">
        <f t="shared" si="490"/>
        <v>335.06</v>
      </c>
      <c r="M1505">
        <f>IF(A1505&gt;=Quarterly!B$2,Quarterly!D$2,IF(COUNTIFS(Quarterly!B:B,"&gt;="&amp;A1505-92,Quarterly!B:B,"&lt;="&amp;A1505)&gt;1,SUMIFS(Quarterly!D:D,Quarterly!B:B,"&gt;="&amp;A1505-88,Quarterly!B:B,"&lt;="&amp;A1505),SUMIFS(Quarterly!D:D,Quarterly!B:B,"&gt;="&amp;A1505-92,Quarterly!B:B,"&lt;="&amp;A1505)))</f>
        <v>246.58199999999999</v>
      </c>
      <c r="N1505" s="13">
        <f t="shared" si="491"/>
        <v>0.13588</v>
      </c>
      <c r="O1505">
        <f t="shared" si="481"/>
        <v>335.06</v>
      </c>
      <c r="P1505" s="56"/>
      <c r="Q1505" s="13"/>
      <c r="R1505" s="13"/>
      <c r="T1505" s="30">
        <f t="shared" si="482"/>
        <v>335.15</v>
      </c>
      <c r="U1505" s="30">
        <f t="shared" si="489"/>
        <v>334.75</v>
      </c>
    </row>
    <row r="1506" spans="1:21" ht="15" customHeight="1" x14ac:dyDescent="0.25">
      <c r="A1506" s="5">
        <v>32803</v>
      </c>
      <c r="B1506" s="5">
        <f t="shared" si="483"/>
        <v>32812</v>
      </c>
      <c r="C1506">
        <v>347.16</v>
      </c>
      <c r="D1506" s="29">
        <f t="shared" si="484"/>
        <v>0</v>
      </c>
      <c r="E1506" s="29"/>
      <c r="F1506" s="29"/>
      <c r="G1506" s="29"/>
      <c r="H1506" s="29"/>
      <c r="I1506"/>
      <c r="J1506"/>
      <c r="K1506"/>
      <c r="L1506">
        <f t="shared" si="490"/>
        <v>347.16</v>
      </c>
      <c r="M1506">
        <f>IF(A1506&gt;=Quarterly!B$2,Quarterly!D$2,IF(COUNTIFS(Quarterly!B:B,"&gt;="&amp;A1506-92,Quarterly!B:B,"&lt;="&amp;A1506)&gt;1,SUMIFS(Quarterly!D:D,Quarterly!B:B,"&gt;="&amp;A1506-88,Quarterly!B:B,"&lt;="&amp;A1506),SUMIFS(Quarterly!D:D,Quarterly!B:B,"&gt;="&amp;A1506-92,Quarterly!B:B,"&lt;="&amp;A1506)))</f>
        <v>246.58199999999999</v>
      </c>
      <c r="N1506" s="13">
        <f t="shared" si="491"/>
        <v>0.14079</v>
      </c>
      <c r="O1506">
        <f t="shared" si="481"/>
        <v>347.16</v>
      </c>
      <c r="P1506" s="56"/>
      <c r="Q1506" s="13"/>
      <c r="R1506" s="13"/>
      <c r="T1506" s="30">
        <f t="shared" si="482"/>
        <v>333.78</v>
      </c>
      <c r="U1506" s="30">
        <f t="shared" si="489"/>
        <v>333.85</v>
      </c>
    </row>
    <row r="1507" spans="1:21" ht="15" customHeight="1" x14ac:dyDescent="0.25">
      <c r="A1507" s="5">
        <v>32796</v>
      </c>
      <c r="B1507" s="5">
        <f t="shared" si="483"/>
        <v>32812</v>
      </c>
      <c r="C1507">
        <v>333.65</v>
      </c>
      <c r="D1507" s="29">
        <f t="shared" si="484"/>
        <v>-4.6699999999999998E-2</v>
      </c>
      <c r="E1507" s="29"/>
      <c r="F1507" s="29"/>
      <c r="G1507" s="29"/>
      <c r="H1507" s="29"/>
      <c r="I1507"/>
      <c r="J1507"/>
      <c r="K1507"/>
      <c r="L1507">
        <f t="shared" si="490"/>
        <v>333.65</v>
      </c>
      <c r="M1507">
        <f>IF(A1507&gt;=Quarterly!B$2,Quarterly!D$2,IF(COUNTIFS(Quarterly!B:B,"&gt;="&amp;A1507-92,Quarterly!B:B,"&lt;="&amp;A1507)&gt;1,SUMIFS(Quarterly!D:D,Quarterly!B:B,"&gt;="&amp;A1507-88,Quarterly!B:B,"&lt;="&amp;A1507),SUMIFS(Quarterly!D:D,Quarterly!B:B,"&gt;="&amp;A1507-92,Quarterly!B:B,"&lt;="&amp;A1507)))</f>
        <v>246.58199999999999</v>
      </c>
      <c r="N1507" s="13">
        <f t="shared" si="491"/>
        <v>0.13531000000000001</v>
      </c>
      <c r="O1507">
        <f t="shared" si="481"/>
        <v>333.65</v>
      </c>
      <c r="P1507" s="56"/>
      <c r="Q1507" s="13"/>
      <c r="R1507" s="13"/>
      <c r="T1507" s="30">
        <f t="shared" si="482"/>
        <v>335.31</v>
      </c>
      <c r="U1507" s="30">
        <f t="shared" si="489"/>
        <v>333.77</v>
      </c>
    </row>
    <row r="1508" spans="1:21" ht="15" customHeight="1" x14ac:dyDescent="0.25">
      <c r="A1508" s="5">
        <v>32789</v>
      </c>
      <c r="B1508" s="5">
        <f t="shared" si="483"/>
        <v>32812</v>
      </c>
      <c r="C1508">
        <v>358.78</v>
      </c>
      <c r="D1508" s="29">
        <f t="shared" si="484"/>
        <v>3.2399999999999998E-2</v>
      </c>
      <c r="E1508" s="29"/>
      <c r="F1508" s="29"/>
      <c r="G1508" s="29"/>
      <c r="H1508" s="29"/>
      <c r="I1508"/>
      <c r="J1508"/>
      <c r="K1508"/>
      <c r="L1508">
        <f t="shared" si="490"/>
        <v>358.78</v>
      </c>
      <c r="M1508">
        <f>IF(A1508&gt;=Quarterly!B$2,Quarterly!D$2,IF(COUNTIFS(Quarterly!B:B,"&gt;="&amp;A1508-92,Quarterly!B:B,"&lt;="&amp;A1508)&gt;1,SUMIFS(Quarterly!D:D,Quarterly!B:B,"&gt;="&amp;A1508-88,Quarterly!B:B,"&lt;="&amp;A1508),SUMIFS(Quarterly!D:D,Quarterly!B:B,"&gt;="&amp;A1508-92,Quarterly!B:B,"&lt;="&amp;A1508)))</f>
        <v>246.58199999999999</v>
      </c>
      <c r="N1508" s="13">
        <f t="shared" si="491"/>
        <v>0.14550000000000002</v>
      </c>
      <c r="O1508">
        <f t="shared" si="481"/>
        <v>358.78</v>
      </c>
      <c r="P1508" s="56"/>
      <c r="Q1508" s="13"/>
      <c r="R1508" s="13"/>
      <c r="T1508" s="30">
        <f t="shared" si="482"/>
        <v>332.46</v>
      </c>
      <c r="U1508" s="30">
        <f t="shared" si="489"/>
        <v>333.27</v>
      </c>
    </row>
    <row r="1509" spans="1:21" ht="15" customHeight="1" x14ac:dyDescent="0.25">
      <c r="A1509" s="5">
        <v>32782</v>
      </c>
      <c r="B1509" s="5">
        <f t="shared" si="483"/>
        <v>32812</v>
      </c>
      <c r="C1509">
        <v>349.15</v>
      </c>
      <c r="D1509" s="29">
        <f t="shared" si="484"/>
        <v>1.4E-3</v>
      </c>
      <c r="E1509" s="29"/>
      <c r="F1509" s="29"/>
      <c r="G1509" s="29"/>
      <c r="H1509" s="29"/>
      <c r="I1509"/>
      <c r="J1509"/>
      <c r="K1509"/>
      <c r="L1509">
        <f t="shared" si="490"/>
        <v>349.15</v>
      </c>
      <c r="M1509">
        <f>IF(A1509&gt;=Quarterly!B$2,Quarterly!D$2,IF(COUNTIFS(Quarterly!B:B,"&gt;="&amp;A1509-92,Quarterly!B:B,"&lt;="&amp;A1509)&gt;1,SUMIFS(Quarterly!D:D,Quarterly!B:B,"&gt;="&amp;A1509-88,Quarterly!B:B,"&lt;="&amp;A1509),SUMIFS(Quarterly!D:D,Quarterly!B:B,"&gt;="&amp;A1509-92,Quarterly!B:B,"&lt;="&amp;A1509)))</f>
        <v>246.58199999999999</v>
      </c>
      <c r="N1509" s="13">
        <f t="shared" si="491"/>
        <v>0.1416</v>
      </c>
      <c r="O1509">
        <f t="shared" si="481"/>
        <v>349.15</v>
      </c>
      <c r="P1509" s="56"/>
      <c r="Q1509" s="13"/>
      <c r="R1509" s="13"/>
      <c r="T1509" s="30">
        <f t="shared" si="482"/>
        <v>333.55</v>
      </c>
      <c r="U1509" s="30">
        <f t="shared" si="489"/>
        <v>333.79</v>
      </c>
    </row>
    <row r="1510" spans="1:21" ht="15" customHeight="1" x14ac:dyDescent="0.25">
      <c r="A1510" s="5">
        <v>32775</v>
      </c>
      <c r="B1510" s="5">
        <f t="shared" si="483"/>
        <v>32781</v>
      </c>
      <c r="C1510">
        <v>347.05</v>
      </c>
      <c r="D1510" s="29">
        <f t="shared" si="484"/>
        <v>-7.1000000000000004E-3</v>
      </c>
      <c r="E1510" s="29"/>
      <c r="F1510" s="29"/>
      <c r="G1510" s="29"/>
      <c r="H1510" s="29"/>
      <c r="I1510"/>
      <c r="J1510"/>
      <c r="K1510"/>
      <c r="L1510">
        <f t="shared" si="490"/>
        <v>347.05</v>
      </c>
      <c r="M1510">
        <f>IF(A1510&gt;=Quarterly!B$2,Quarterly!D$2,IF(COUNTIFS(Quarterly!B:B,"&gt;="&amp;A1510-92,Quarterly!B:B,"&lt;="&amp;A1510)&gt;1,SUMIFS(Quarterly!D:D,Quarterly!B:B,"&gt;="&amp;A1510-88,Quarterly!B:B,"&lt;="&amp;A1510),SUMIFS(Quarterly!D:D,Quarterly!B:B,"&gt;="&amp;A1510-92,Quarterly!B:B,"&lt;="&amp;A1510)))</f>
        <v>246.58199999999999</v>
      </c>
      <c r="N1510" s="13">
        <f t="shared" si="491"/>
        <v>0.14074</v>
      </c>
      <c r="O1510">
        <f t="shared" si="481"/>
        <v>347.05</v>
      </c>
      <c r="P1510" s="56"/>
      <c r="Q1510" s="13"/>
      <c r="R1510" s="13"/>
      <c r="T1510" s="30">
        <f t="shared" si="482"/>
        <v>333.79</v>
      </c>
      <c r="U1510" s="30">
        <f t="shared" si="489"/>
        <v>333.8</v>
      </c>
    </row>
    <row r="1511" spans="1:21" ht="15" customHeight="1" x14ac:dyDescent="0.25">
      <c r="A1511" s="5">
        <v>32768</v>
      </c>
      <c r="B1511" s="5">
        <f t="shared" si="483"/>
        <v>32781</v>
      </c>
      <c r="C1511">
        <v>345.06</v>
      </c>
      <c r="D1511" s="29">
        <f t="shared" si="484"/>
        <v>-1.34E-2</v>
      </c>
      <c r="E1511" s="29"/>
      <c r="F1511" s="29"/>
      <c r="G1511" s="29"/>
      <c r="H1511" s="29"/>
      <c r="I1511"/>
      <c r="J1511"/>
      <c r="K1511"/>
      <c r="L1511">
        <f t="shared" si="490"/>
        <v>345.06</v>
      </c>
      <c r="M1511">
        <f>IF(A1511&gt;=Quarterly!B$2,Quarterly!D$2,IF(COUNTIFS(Quarterly!B:B,"&gt;="&amp;A1511-92,Quarterly!B:B,"&lt;="&amp;A1511)&gt;1,SUMIFS(Quarterly!D:D,Quarterly!B:B,"&gt;="&amp;A1511-88,Quarterly!B:B,"&lt;="&amp;A1511),SUMIFS(Quarterly!D:D,Quarterly!B:B,"&gt;="&amp;A1511-92,Quarterly!B:B,"&lt;="&amp;A1511)))</f>
        <v>246.58199999999999</v>
      </c>
      <c r="N1511" s="13">
        <f t="shared" si="491"/>
        <v>0.13994000000000001</v>
      </c>
      <c r="O1511">
        <f t="shared" si="481"/>
        <v>345.06</v>
      </c>
      <c r="P1511" s="56"/>
      <c r="Q1511" s="13"/>
      <c r="R1511" s="13"/>
      <c r="T1511" s="30">
        <f t="shared" si="482"/>
        <v>334.02</v>
      </c>
      <c r="U1511" s="30">
        <f t="shared" si="489"/>
        <v>333.55</v>
      </c>
    </row>
    <row r="1512" spans="1:21" ht="15" customHeight="1" x14ac:dyDescent="0.25">
      <c r="A1512" s="5">
        <v>32761</v>
      </c>
      <c r="B1512" s="5">
        <f t="shared" si="483"/>
        <v>32781</v>
      </c>
      <c r="C1512">
        <v>348.76</v>
      </c>
      <c r="D1512" s="29">
        <f t="shared" si="484"/>
        <v>0</v>
      </c>
      <c r="E1512" s="29"/>
      <c r="F1512" s="29"/>
      <c r="G1512" s="29"/>
      <c r="H1512" s="29"/>
      <c r="I1512"/>
      <c r="J1512"/>
      <c r="K1512"/>
      <c r="L1512">
        <f t="shared" si="490"/>
        <v>348.76</v>
      </c>
      <c r="M1512">
        <f>IF(A1512&gt;=Quarterly!B$2,Quarterly!D$2,IF(COUNTIFS(Quarterly!B:B,"&gt;="&amp;A1512-92,Quarterly!B:B,"&lt;="&amp;A1512)&gt;1,SUMIFS(Quarterly!D:D,Quarterly!B:B,"&gt;="&amp;A1512-88,Quarterly!B:B,"&lt;="&amp;A1512),SUMIFS(Quarterly!D:D,Quarterly!B:B,"&gt;="&amp;A1512-92,Quarterly!B:B,"&lt;="&amp;A1512)))</f>
        <v>246.58199999999999</v>
      </c>
      <c r="N1512" s="13">
        <f t="shared" si="491"/>
        <v>0.14144000000000001</v>
      </c>
      <c r="O1512">
        <f t="shared" si="481"/>
        <v>348.76</v>
      </c>
      <c r="P1512" s="56"/>
      <c r="Q1512" s="13"/>
      <c r="R1512" s="13"/>
      <c r="T1512" s="30">
        <f t="shared" si="482"/>
        <v>333.6</v>
      </c>
      <c r="U1512" s="30">
        <f t="shared" si="489"/>
        <v>333.34</v>
      </c>
    </row>
    <row r="1513" spans="1:21" ht="15" customHeight="1" x14ac:dyDescent="0.25">
      <c r="A1513" s="5">
        <v>32754</v>
      </c>
      <c r="B1513" s="5">
        <f t="shared" si="483"/>
        <v>32781</v>
      </c>
      <c r="C1513">
        <v>353.73</v>
      </c>
      <c r="D1513" s="29">
        <f t="shared" si="484"/>
        <v>2.1399999999999999E-2</v>
      </c>
      <c r="E1513" s="29"/>
      <c r="F1513" s="29"/>
      <c r="G1513" s="29"/>
      <c r="H1513" s="29"/>
      <c r="I1513"/>
      <c r="J1513"/>
      <c r="K1513"/>
      <c r="L1513">
        <f t="shared" si="490"/>
        <v>353.73</v>
      </c>
      <c r="M1513">
        <f>IF(A1513&gt;=Quarterly!B$2,Quarterly!D$2,IF(COUNTIFS(Quarterly!B:B,"&gt;="&amp;A1513-92,Quarterly!B:B,"&lt;="&amp;A1513)&gt;1,SUMIFS(Quarterly!D:D,Quarterly!B:B,"&gt;="&amp;A1513-88,Quarterly!B:B,"&lt;="&amp;A1513),SUMIFS(Quarterly!D:D,Quarterly!B:B,"&gt;="&amp;A1513-92,Quarterly!B:B,"&lt;="&amp;A1513)))</f>
        <v>246.58199999999999</v>
      </c>
      <c r="N1513" s="13">
        <f t="shared" si="491"/>
        <v>0.14345000000000002</v>
      </c>
      <c r="O1513">
        <f t="shared" si="481"/>
        <v>353.73</v>
      </c>
      <c r="P1513" s="56"/>
      <c r="Q1513" s="13"/>
      <c r="R1513" s="13"/>
      <c r="T1513" s="30">
        <f t="shared" si="482"/>
        <v>333.03</v>
      </c>
      <c r="U1513" s="30">
        <f t="shared" si="489"/>
        <v>333.44</v>
      </c>
    </row>
    <row r="1514" spans="1:21" ht="15" customHeight="1" x14ac:dyDescent="0.25">
      <c r="A1514" s="5">
        <v>32747</v>
      </c>
      <c r="B1514" s="5">
        <f t="shared" si="483"/>
        <v>32751</v>
      </c>
      <c r="C1514">
        <v>350.52</v>
      </c>
      <c r="D1514" s="29">
        <f t="shared" si="484"/>
        <v>1.83E-2</v>
      </c>
      <c r="E1514" s="29"/>
      <c r="F1514" s="29"/>
      <c r="G1514" s="29"/>
      <c r="H1514" s="29"/>
      <c r="I1514"/>
      <c r="J1514"/>
      <c r="K1514"/>
      <c r="L1514">
        <f t="shared" si="490"/>
        <v>350.52</v>
      </c>
      <c r="M1514">
        <f>IF(A1514&gt;=Quarterly!B$2,Quarterly!D$2,IF(COUNTIFS(Quarterly!B:B,"&gt;="&amp;A1514-92,Quarterly!B:B,"&lt;="&amp;A1514)&gt;1,SUMIFS(Quarterly!D:D,Quarterly!B:B,"&gt;="&amp;A1514-88,Quarterly!B:B,"&lt;="&amp;A1514),SUMIFS(Quarterly!D:D,Quarterly!B:B,"&gt;="&amp;A1514-92,Quarterly!B:B,"&lt;="&amp;A1514)))</f>
        <v>246.58199999999999</v>
      </c>
      <c r="N1514" s="13">
        <f t="shared" si="491"/>
        <v>0.14215</v>
      </c>
      <c r="O1514">
        <f t="shared" si="481"/>
        <v>350.52</v>
      </c>
      <c r="P1514" s="56"/>
      <c r="Q1514" s="13"/>
      <c r="R1514" s="13"/>
      <c r="T1514" s="30">
        <f t="shared" si="482"/>
        <v>333.4</v>
      </c>
      <c r="U1514" s="30">
        <f t="shared" si="489"/>
        <v>333.79</v>
      </c>
    </row>
    <row r="1515" spans="1:21" ht="15" customHeight="1" x14ac:dyDescent="0.25">
      <c r="A1515" s="5">
        <v>32740</v>
      </c>
      <c r="B1515" s="5">
        <f t="shared" si="483"/>
        <v>32751</v>
      </c>
      <c r="C1515">
        <v>346.03</v>
      </c>
      <c r="D1515" s="29">
        <f t="shared" si="484"/>
        <v>1.2699999999999999E-2</v>
      </c>
      <c r="E1515" s="29"/>
      <c r="F1515" s="29"/>
      <c r="G1515" s="29"/>
      <c r="H1515" s="29"/>
      <c r="I1515"/>
      <c r="J1515"/>
      <c r="K1515"/>
      <c r="L1515">
        <f t="shared" si="490"/>
        <v>346.03</v>
      </c>
      <c r="M1515">
        <f>IF(A1515&gt;=Quarterly!B$2,Quarterly!D$2,IF(COUNTIFS(Quarterly!B:B,"&gt;="&amp;A1515-92,Quarterly!B:B,"&lt;="&amp;A1515)&gt;1,SUMIFS(Quarterly!D:D,Quarterly!B:B,"&gt;="&amp;A1515-88,Quarterly!B:B,"&lt;="&amp;A1515),SUMIFS(Quarterly!D:D,Quarterly!B:B,"&gt;="&amp;A1515-92,Quarterly!B:B,"&lt;="&amp;A1515)))</f>
        <v>246.58199999999999</v>
      </c>
      <c r="N1515" s="13">
        <f t="shared" si="491"/>
        <v>0.14033000000000001</v>
      </c>
      <c r="O1515">
        <f t="shared" si="481"/>
        <v>346.03</v>
      </c>
      <c r="P1515" s="56"/>
      <c r="Q1515" s="13"/>
      <c r="R1515" s="13"/>
      <c r="T1515" s="30">
        <f t="shared" si="482"/>
        <v>333.9</v>
      </c>
      <c r="U1515" s="30">
        <f t="shared" si="489"/>
        <v>334.04</v>
      </c>
    </row>
    <row r="1516" spans="1:21" ht="15" customHeight="1" x14ac:dyDescent="0.25">
      <c r="A1516" s="5">
        <v>32733</v>
      </c>
      <c r="B1516" s="5">
        <f t="shared" si="483"/>
        <v>32751</v>
      </c>
      <c r="C1516">
        <v>344.74</v>
      </c>
      <c r="D1516" s="29">
        <f t="shared" si="484"/>
        <v>1.8599999999999998E-2</v>
      </c>
      <c r="E1516" s="29"/>
      <c r="F1516" s="29"/>
      <c r="G1516" s="29"/>
      <c r="H1516" s="29"/>
      <c r="I1516"/>
      <c r="J1516"/>
      <c r="K1516"/>
      <c r="L1516">
        <f t="shared" si="490"/>
        <v>344.74</v>
      </c>
      <c r="M1516">
        <f>IF(A1516&gt;=Quarterly!B$2,Quarterly!D$2,IF(COUNTIFS(Quarterly!B:B,"&gt;="&amp;A1516-92,Quarterly!B:B,"&lt;="&amp;A1516)&gt;1,SUMIFS(Quarterly!D:D,Quarterly!B:B,"&gt;="&amp;A1516-88,Quarterly!B:B,"&lt;="&amp;A1516),SUMIFS(Quarterly!D:D,Quarterly!B:B,"&gt;="&amp;A1516-92,Quarterly!B:B,"&lt;="&amp;A1516)))</f>
        <v>246.58199999999999</v>
      </c>
      <c r="N1516" s="13">
        <f t="shared" si="491"/>
        <v>0.13980999999999999</v>
      </c>
      <c r="O1516">
        <f t="shared" si="481"/>
        <v>344.74</v>
      </c>
      <c r="P1516" s="56"/>
      <c r="Q1516" s="13"/>
      <c r="R1516" s="13"/>
      <c r="T1516" s="30">
        <f t="shared" si="482"/>
        <v>334.06</v>
      </c>
      <c r="U1516" s="30">
        <f t="shared" si="489"/>
        <v>347.14</v>
      </c>
    </row>
    <row r="1517" spans="1:21" ht="15" customHeight="1" x14ac:dyDescent="0.25">
      <c r="A1517" s="5">
        <v>32726</v>
      </c>
      <c r="B1517" s="5">
        <f t="shared" si="483"/>
        <v>32751</v>
      </c>
      <c r="C1517">
        <v>343.92</v>
      </c>
      <c r="D1517" s="29">
        <f t="shared" si="484"/>
        <v>3.0599999999999999E-2</v>
      </c>
      <c r="E1517" s="29"/>
      <c r="F1517" s="29"/>
      <c r="G1517" s="29"/>
      <c r="H1517" s="29"/>
      <c r="I1517"/>
      <c r="J1517"/>
      <c r="K1517"/>
      <c r="L1517">
        <f t="shared" si="490"/>
        <v>343.92</v>
      </c>
      <c r="M1517">
        <f>IF(A1517&gt;=Quarterly!B$2,Quarterly!D$2,IF(COUNTIFS(Quarterly!B:B,"&gt;="&amp;A1517-92,Quarterly!B:B,"&lt;="&amp;A1517)&gt;1,SUMIFS(Quarterly!D:D,Quarterly!B:B,"&gt;="&amp;A1517-88,Quarterly!B:B,"&lt;="&amp;A1517),SUMIFS(Quarterly!D:D,Quarterly!B:B,"&gt;="&amp;A1517-92,Quarterly!B:B,"&lt;="&amp;A1517)))</f>
        <v>246.58199999999999</v>
      </c>
      <c r="N1517" s="13">
        <f t="shared" si="491"/>
        <v>0.13947000000000001</v>
      </c>
      <c r="O1517">
        <f t="shared" si="481"/>
        <v>343.92</v>
      </c>
      <c r="P1517" s="56"/>
      <c r="Q1517" s="13"/>
      <c r="R1517" s="13"/>
      <c r="T1517" s="30">
        <f t="shared" si="482"/>
        <v>334.15</v>
      </c>
      <c r="U1517" s="30">
        <f t="shared" si="489"/>
        <v>360.18</v>
      </c>
    </row>
    <row r="1518" spans="1:21" ht="15" customHeight="1" x14ac:dyDescent="0.25">
      <c r="A1518" s="5">
        <v>32719</v>
      </c>
      <c r="B1518" s="5">
        <f t="shared" si="483"/>
        <v>32720</v>
      </c>
      <c r="C1518">
        <v>342.15</v>
      </c>
      <c r="D1518" s="29">
        <f t="shared" si="484"/>
        <v>4.4200000000000003E-2</v>
      </c>
      <c r="E1518" s="29"/>
      <c r="F1518" s="29"/>
      <c r="G1518" s="29"/>
      <c r="H1518" s="29"/>
      <c r="I1518"/>
      <c r="J1518"/>
      <c r="K1518"/>
      <c r="L1518">
        <f t="shared" si="490"/>
        <v>342.15</v>
      </c>
      <c r="M1518">
        <f>IF(A1518&gt;=Quarterly!B$2,Quarterly!D$2,IF(COUNTIFS(Quarterly!B:B,"&gt;="&amp;A1518-92,Quarterly!B:B,"&lt;="&amp;A1518)&gt;1,SUMIFS(Quarterly!D:D,Quarterly!B:B,"&gt;="&amp;A1518-88,Quarterly!B:B,"&lt;="&amp;A1518),SUMIFS(Quarterly!D:D,Quarterly!B:B,"&gt;="&amp;A1518-92,Quarterly!B:B,"&lt;="&amp;A1518)))</f>
        <v>0</v>
      </c>
      <c r="O1518">
        <f t="shared" si="481"/>
        <v>342.15</v>
      </c>
      <c r="P1518" s="56"/>
      <c r="Q1518" s="13"/>
      <c r="R1518" s="13"/>
      <c r="T1518" s="30">
        <f t="shared" si="482"/>
        <v>373.2</v>
      </c>
      <c r="U1518" s="30">
        <f t="shared" si="489"/>
        <v>373.2</v>
      </c>
    </row>
    <row r="1519" spans="1:21" ht="15" customHeight="1" x14ac:dyDescent="0.25">
      <c r="A1519" s="5">
        <v>32712</v>
      </c>
      <c r="B1519" s="5">
        <f t="shared" si="483"/>
        <v>32720</v>
      </c>
      <c r="C1519">
        <v>335.9</v>
      </c>
      <c r="D1519" s="29">
        <f t="shared" si="484"/>
        <v>3.1399999999999997E-2</v>
      </c>
      <c r="E1519" s="29"/>
      <c r="F1519" s="29"/>
      <c r="G1519" s="29"/>
      <c r="H1519" s="29"/>
      <c r="I1519"/>
      <c r="J1519"/>
      <c r="K1519"/>
      <c r="L1519">
        <f t="shared" si="490"/>
        <v>335.9</v>
      </c>
      <c r="M1519">
        <f>IF(A1519&gt;=Quarterly!B$2,Quarterly!D$2,IF(COUNTIFS(Quarterly!B:B,"&gt;="&amp;A1519-92,Quarterly!B:B,"&lt;="&amp;A1519)&gt;1,SUMIFS(Quarterly!D:D,Quarterly!B:B,"&gt;="&amp;A1519-88,Quarterly!B:B,"&lt;="&amp;A1519),SUMIFS(Quarterly!D:D,Quarterly!B:B,"&gt;="&amp;A1519-92,Quarterly!B:B,"&lt;="&amp;A1519)))</f>
        <v>0</v>
      </c>
      <c r="O1519">
        <f t="shared" si="481"/>
        <v>335.9</v>
      </c>
      <c r="P1519" s="56"/>
      <c r="Q1519" s="13"/>
      <c r="R1519" s="13"/>
      <c r="T1519" s="30">
        <f t="shared" si="482"/>
        <v>373.2</v>
      </c>
      <c r="U1519" s="30">
        <f t="shared" si="489"/>
        <v>373.2</v>
      </c>
    </row>
    <row r="1520" spans="1:21" ht="15" customHeight="1" x14ac:dyDescent="0.25">
      <c r="A1520" s="5">
        <v>32705</v>
      </c>
      <c r="B1520" s="5">
        <f t="shared" si="483"/>
        <v>32720</v>
      </c>
      <c r="C1520">
        <v>331.84</v>
      </c>
      <c r="D1520" s="29">
        <f t="shared" si="484"/>
        <v>2.7199999999999998E-2</v>
      </c>
      <c r="E1520" s="29"/>
      <c r="F1520" s="29"/>
      <c r="G1520" s="29"/>
      <c r="H1520" s="29"/>
      <c r="I1520"/>
      <c r="J1520"/>
      <c r="K1520"/>
      <c r="L1520">
        <f t="shared" si="490"/>
        <v>331.84</v>
      </c>
      <c r="M1520">
        <f>IF(A1520&gt;=Quarterly!B$2,Quarterly!D$2,IF(COUNTIFS(Quarterly!B:B,"&gt;="&amp;A1520-92,Quarterly!B:B,"&lt;="&amp;A1520)&gt;1,SUMIFS(Quarterly!D:D,Quarterly!B:B,"&gt;="&amp;A1520-88,Quarterly!B:B,"&lt;="&amp;A1520),SUMIFS(Quarterly!D:D,Quarterly!B:B,"&gt;="&amp;A1520-92,Quarterly!B:B,"&lt;="&amp;A1520)))</f>
        <v>0</v>
      </c>
      <c r="O1520">
        <f t="shared" si="481"/>
        <v>331.84</v>
      </c>
      <c r="P1520" s="56"/>
      <c r="Q1520" s="13"/>
      <c r="R1520" s="13"/>
      <c r="T1520" s="30">
        <f t="shared" si="482"/>
        <v>373.2</v>
      </c>
      <c r="U1520" s="30">
        <f t="shared" si="489"/>
        <v>373.2</v>
      </c>
    </row>
    <row r="1521" spans="1:21" ht="15" customHeight="1" x14ac:dyDescent="0.25">
      <c r="A1521" s="5">
        <v>32698</v>
      </c>
      <c r="B1521" s="5">
        <f t="shared" si="483"/>
        <v>32720</v>
      </c>
      <c r="C1521">
        <v>324.91000000000003</v>
      </c>
      <c r="D1521" s="29">
        <f t="shared" si="484"/>
        <v>4.3E-3</v>
      </c>
      <c r="E1521" s="29"/>
      <c r="F1521" s="29"/>
      <c r="G1521" s="29"/>
      <c r="H1521" s="29"/>
      <c r="I1521"/>
      <c r="J1521"/>
      <c r="K1521"/>
      <c r="L1521">
        <f t="shared" si="490"/>
        <v>324.91000000000003</v>
      </c>
      <c r="M1521">
        <f>IF(A1521&gt;=Quarterly!B$2,Quarterly!D$2,IF(COUNTIFS(Quarterly!B:B,"&gt;="&amp;A1521-92,Quarterly!B:B,"&lt;="&amp;A1521)&gt;1,SUMIFS(Quarterly!D:D,Quarterly!B:B,"&gt;="&amp;A1521-88,Quarterly!B:B,"&lt;="&amp;A1521),SUMIFS(Quarterly!D:D,Quarterly!B:B,"&gt;="&amp;A1521-92,Quarterly!B:B,"&lt;="&amp;A1521)))</f>
        <v>0</v>
      </c>
      <c r="O1521">
        <f t="shared" si="481"/>
        <v>324.91000000000003</v>
      </c>
      <c r="P1521" s="56"/>
      <c r="Q1521" s="13"/>
      <c r="R1521" s="13"/>
      <c r="T1521" s="30">
        <f t="shared" si="482"/>
        <v>373.2</v>
      </c>
      <c r="U1521" s="30">
        <f t="shared" si="489"/>
        <v>373.2</v>
      </c>
    </row>
    <row r="1522" spans="1:21" ht="15" customHeight="1" x14ac:dyDescent="0.25">
      <c r="A1522" s="5">
        <v>32691</v>
      </c>
      <c r="B1522" s="5">
        <f t="shared" si="483"/>
        <v>32720</v>
      </c>
      <c r="C1522">
        <v>317.98</v>
      </c>
      <c r="D1522" s="29">
        <f t="shared" si="484"/>
        <v>-2.2800000000000001E-2</v>
      </c>
      <c r="E1522" s="29"/>
      <c r="F1522" s="29"/>
      <c r="G1522" s="29"/>
      <c r="H1522" s="29"/>
      <c r="I1522"/>
      <c r="J1522"/>
      <c r="K1522"/>
      <c r="L1522">
        <f t="shared" si="490"/>
        <v>317.98</v>
      </c>
      <c r="M1522">
        <f>IF(A1522&gt;=Quarterly!B$2,Quarterly!D$2,IF(COUNTIFS(Quarterly!B:B,"&gt;="&amp;A1522-92,Quarterly!B:B,"&lt;="&amp;A1522)&gt;1,SUMIFS(Quarterly!D:D,Quarterly!B:B,"&gt;="&amp;A1522-88,Quarterly!B:B,"&lt;="&amp;A1522),SUMIFS(Quarterly!D:D,Quarterly!B:B,"&gt;="&amp;A1522-92,Quarterly!B:B,"&lt;="&amp;A1522)))</f>
        <v>0</v>
      </c>
      <c r="O1522">
        <f t="shared" si="481"/>
        <v>317.98</v>
      </c>
      <c r="P1522" s="56"/>
      <c r="Q1522" s="13"/>
      <c r="R1522" s="13"/>
      <c r="T1522" s="30">
        <f t="shared" si="482"/>
        <v>373.2</v>
      </c>
      <c r="U1522" s="30">
        <f t="shared" si="489"/>
        <v>373.2</v>
      </c>
    </row>
    <row r="1523" spans="1:21" ht="15" customHeight="1" x14ac:dyDescent="0.25">
      <c r="A1523" s="5">
        <v>32684</v>
      </c>
      <c r="B1523" s="5">
        <f t="shared" si="483"/>
        <v>32689</v>
      </c>
      <c r="C1523">
        <v>328</v>
      </c>
      <c r="D1523" s="29">
        <f t="shared" si="484"/>
        <v>1.2999999999999999E-2</v>
      </c>
      <c r="E1523" s="29"/>
      <c r="F1523" s="29"/>
      <c r="G1523" s="29"/>
      <c r="H1523" s="29"/>
      <c r="I1523"/>
      <c r="J1523"/>
      <c r="K1523"/>
      <c r="L1523">
        <f t="shared" si="490"/>
        <v>328</v>
      </c>
      <c r="M1523">
        <f>IF(A1523&gt;=Quarterly!B$2,Quarterly!D$2,IF(COUNTIFS(Quarterly!B:B,"&gt;="&amp;A1523-92,Quarterly!B:B,"&lt;="&amp;A1523)&gt;1,SUMIFS(Quarterly!D:D,Quarterly!B:B,"&gt;="&amp;A1523-88,Quarterly!B:B,"&lt;="&amp;A1523),SUMIFS(Quarterly!D:D,Quarterly!B:B,"&gt;="&amp;A1523-92,Quarterly!B:B,"&lt;="&amp;A1523)))</f>
        <v>0</v>
      </c>
      <c r="O1523">
        <f t="shared" si="481"/>
        <v>328</v>
      </c>
      <c r="P1523" s="56"/>
      <c r="Q1523" s="13"/>
      <c r="R1523" s="13"/>
      <c r="T1523" s="30">
        <f t="shared" si="482"/>
        <v>373.2</v>
      </c>
      <c r="U1523" s="30">
        <f t="shared" si="489"/>
        <v>373.2</v>
      </c>
    </row>
    <row r="1524" spans="1:21" ht="15" customHeight="1" x14ac:dyDescent="0.25">
      <c r="A1524" s="5">
        <v>32677</v>
      </c>
      <c r="B1524" s="5">
        <f t="shared" si="483"/>
        <v>32689</v>
      </c>
      <c r="C1524">
        <v>321.35000000000002</v>
      </c>
      <c r="D1524" s="29">
        <f t="shared" si="484"/>
        <v>-7.4000000000000003E-3</v>
      </c>
      <c r="E1524" s="29"/>
      <c r="F1524" s="29"/>
      <c r="G1524" s="29"/>
      <c r="H1524" s="29"/>
      <c r="I1524"/>
      <c r="J1524"/>
      <c r="K1524"/>
      <c r="L1524">
        <f t="shared" si="490"/>
        <v>321.35000000000002</v>
      </c>
      <c r="M1524">
        <f>IF(A1524&gt;=Quarterly!B$2,Quarterly!D$2,IF(COUNTIFS(Quarterly!B:B,"&gt;="&amp;A1524-92,Quarterly!B:B,"&lt;="&amp;A1524)&gt;1,SUMIFS(Quarterly!D:D,Quarterly!B:B,"&gt;="&amp;A1524-88,Quarterly!B:B,"&lt;="&amp;A1524),SUMIFS(Quarterly!D:D,Quarterly!B:B,"&gt;="&amp;A1524-92,Quarterly!B:B,"&lt;="&amp;A1524)))</f>
        <v>0</v>
      </c>
      <c r="O1524">
        <f t="shared" si="481"/>
        <v>321.35000000000002</v>
      </c>
      <c r="P1524" s="56"/>
      <c r="Q1524" s="13"/>
      <c r="R1524" s="13"/>
      <c r="T1524" s="30">
        <f t="shared" si="482"/>
        <v>373.2</v>
      </c>
      <c r="U1524" s="30">
        <f t="shared" si="489"/>
        <v>373.2</v>
      </c>
    </row>
    <row r="1525" spans="1:21" ht="15" customHeight="1" x14ac:dyDescent="0.25">
      <c r="A1525" s="5">
        <v>32670</v>
      </c>
      <c r="B1525" s="5">
        <f t="shared" si="483"/>
        <v>32689</v>
      </c>
      <c r="C1525">
        <v>326.69</v>
      </c>
      <c r="D1525" s="29">
        <f t="shared" si="484"/>
        <v>1.9199999999999998E-2</v>
      </c>
      <c r="E1525" s="29"/>
      <c r="F1525" s="29"/>
      <c r="G1525" s="29"/>
      <c r="H1525" s="29"/>
      <c r="I1525"/>
      <c r="J1525"/>
      <c r="K1525"/>
      <c r="L1525">
        <f t="shared" si="490"/>
        <v>326.69</v>
      </c>
      <c r="M1525">
        <f>IF(A1525&gt;=Quarterly!B$2,Quarterly!D$2,IF(COUNTIFS(Quarterly!B:B,"&gt;="&amp;A1525-92,Quarterly!B:B,"&lt;="&amp;A1525)&gt;1,SUMIFS(Quarterly!D:D,Quarterly!B:B,"&gt;="&amp;A1525-88,Quarterly!B:B,"&lt;="&amp;A1525),SUMIFS(Quarterly!D:D,Quarterly!B:B,"&gt;="&amp;A1525-92,Quarterly!B:B,"&lt;="&amp;A1525)))</f>
        <v>0</v>
      </c>
      <c r="O1525">
        <f t="shared" si="481"/>
        <v>326.69</v>
      </c>
      <c r="P1525" s="56"/>
      <c r="Q1525" s="13"/>
      <c r="R1525" s="13"/>
      <c r="T1525" s="30">
        <f t="shared" si="482"/>
        <v>373.2</v>
      </c>
      <c r="U1525" s="30">
        <f t="shared" si="489"/>
        <v>373.2</v>
      </c>
    </row>
    <row r="1526" spans="1:21" ht="15" customHeight="1" x14ac:dyDescent="0.25">
      <c r="A1526" s="5">
        <v>32663</v>
      </c>
      <c r="B1526" s="5">
        <f t="shared" si="483"/>
        <v>32689</v>
      </c>
      <c r="C1526">
        <v>325.52</v>
      </c>
      <c r="D1526" s="29">
        <f t="shared" si="484"/>
        <v>2.9899999999999999E-2</v>
      </c>
      <c r="E1526" s="29"/>
      <c r="F1526" s="29"/>
      <c r="G1526" s="29"/>
      <c r="H1526" s="29"/>
      <c r="I1526"/>
      <c r="J1526"/>
      <c r="K1526"/>
      <c r="L1526">
        <f t="shared" si="490"/>
        <v>325.52</v>
      </c>
      <c r="M1526">
        <f>IF(A1526&gt;=Quarterly!B$2,Quarterly!D$2,IF(COUNTIFS(Quarterly!B:B,"&gt;="&amp;A1526-92,Quarterly!B:B,"&lt;="&amp;A1526)&gt;1,SUMIFS(Quarterly!D:D,Quarterly!B:B,"&gt;="&amp;A1526-88,Quarterly!B:B,"&lt;="&amp;A1526),SUMIFS(Quarterly!D:D,Quarterly!B:B,"&gt;="&amp;A1526-92,Quarterly!B:B,"&lt;="&amp;A1526)))</f>
        <v>0</v>
      </c>
      <c r="O1526">
        <f t="shared" si="481"/>
        <v>325.52</v>
      </c>
      <c r="P1526" s="56"/>
      <c r="Q1526" s="13"/>
      <c r="R1526" s="13"/>
      <c r="T1526" s="30">
        <f t="shared" si="482"/>
        <v>373.2</v>
      </c>
      <c r="U1526" s="30">
        <f t="shared" si="489"/>
        <v>373.2</v>
      </c>
    </row>
    <row r="1527" spans="1:21" ht="15" customHeight="1" x14ac:dyDescent="0.25">
      <c r="A1527" s="5">
        <v>32656</v>
      </c>
      <c r="B1527" s="5">
        <f t="shared" si="483"/>
        <v>32659</v>
      </c>
      <c r="C1527">
        <v>321.58999999999997</v>
      </c>
      <c r="D1527" s="29">
        <f t="shared" si="484"/>
        <v>2.7199999999999998E-2</v>
      </c>
      <c r="E1527" s="29"/>
      <c r="F1527" s="29"/>
      <c r="G1527" s="29"/>
      <c r="H1527" s="29"/>
      <c r="I1527"/>
      <c r="J1527"/>
      <c r="K1527"/>
      <c r="L1527">
        <f t="shared" si="490"/>
        <v>321.58999999999997</v>
      </c>
      <c r="M1527">
        <f>IF(A1527&gt;=Quarterly!B$2,Quarterly!D$2,IF(COUNTIFS(Quarterly!B:B,"&gt;="&amp;A1527-92,Quarterly!B:B,"&lt;="&amp;A1527)&gt;1,SUMIFS(Quarterly!D:D,Quarterly!B:B,"&gt;="&amp;A1527-88,Quarterly!B:B,"&lt;="&amp;A1527),SUMIFS(Quarterly!D:D,Quarterly!B:B,"&gt;="&amp;A1527-92,Quarterly!B:B,"&lt;="&amp;A1527)))</f>
        <v>0</v>
      </c>
      <c r="O1527">
        <f t="shared" si="481"/>
        <v>321.58999999999997</v>
      </c>
      <c r="P1527" s="56"/>
      <c r="Q1527" s="13"/>
      <c r="R1527" s="13"/>
      <c r="T1527" s="30">
        <f t="shared" si="482"/>
        <v>373.2</v>
      </c>
      <c r="U1527" s="30">
        <f t="shared" si="489"/>
        <v>373.2</v>
      </c>
    </row>
    <row r="1528" spans="1:21" ht="15" customHeight="1" x14ac:dyDescent="0.25">
      <c r="A1528" s="5">
        <v>32649</v>
      </c>
      <c r="B1528" s="5">
        <f t="shared" si="483"/>
        <v>32659</v>
      </c>
      <c r="C1528">
        <v>321.24</v>
      </c>
      <c r="D1528" s="29">
        <f t="shared" si="484"/>
        <v>3.5700000000000003E-2</v>
      </c>
      <c r="E1528" s="29"/>
      <c r="F1528" s="29"/>
      <c r="G1528" s="29"/>
      <c r="H1528" s="29"/>
      <c r="I1528"/>
      <c r="J1528"/>
      <c r="K1528"/>
      <c r="L1528">
        <f t="shared" si="490"/>
        <v>321.24</v>
      </c>
      <c r="M1528">
        <f>IF(A1528&gt;=Quarterly!B$2,Quarterly!D$2,IF(COUNTIFS(Quarterly!B:B,"&gt;="&amp;A1528-92,Quarterly!B:B,"&lt;="&amp;A1528)&gt;1,SUMIFS(Quarterly!D:D,Quarterly!B:B,"&gt;="&amp;A1528-88,Quarterly!B:B,"&lt;="&amp;A1528),SUMIFS(Quarterly!D:D,Quarterly!B:B,"&gt;="&amp;A1528-92,Quarterly!B:B,"&lt;="&amp;A1528)))</f>
        <v>0</v>
      </c>
      <c r="O1528">
        <f t="shared" si="481"/>
        <v>321.24</v>
      </c>
      <c r="P1528" s="56"/>
      <c r="Q1528" s="13"/>
      <c r="R1528" s="13"/>
      <c r="T1528" s="30">
        <f t="shared" si="482"/>
        <v>373.2</v>
      </c>
      <c r="U1528" s="30">
        <f t="shared" si="489"/>
        <v>373.2</v>
      </c>
    </row>
    <row r="1529" spans="1:21" ht="15" customHeight="1" x14ac:dyDescent="0.25">
      <c r="A1529" s="5">
        <v>32642</v>
      </c>
      <c r="B1529" s="5">
        <f t="shared" si="483"/>
        <v>32659</v>
      </c>
      <c r="C1529">
        <v>313.83999999999997</v>
      </c>
      <c r="D1529" s="29">
        <f>ROUND((C1529-AVERAGE(C1530:C1532))/AVERAGE(C1530:C1532),4)</f>
        <v>1.5800000000000002E-2</v>
      </c>
      <c r="E1529" s="29"/>
      <c r="F1529" s="29"/>
      <c r="G1529" s="29"/>
      <c r="H1529" s="29"/>
      <c r="I1529"/>
      <c r="J1529"/>
      <c r="K1529"/>
      <c r="L1529">
        <f t="shared" si="490"/>
        <v>313.83999999999997</v>
      </c>
      <c r="M1529">
        <f>IF(A1529&gt;=Quarterly!B$2,Quarterly!D$2,IF(COUNTIFS(Quarterly!B:B,"&gt;="&amp;A1529-92,Quarterly!B:B,"&lt;="&amp;A1529)&gt;1,SUMIFS(Quarterly!D:D,Quarterly!B:B,"&gt;="&amp;A1529-88,Quarterly!B:B,"&lt;="&amp;A1529),SUMIFS(Quarterly!D:D,Quarterly!B:B,"&gt;="&amp;A1529-92,Quarterly!B:B,"&lt;="&amp;A1529)))</f>
        <v>0</v>
      </c>
      <c r="O1529">
        <f t="shared" si="481"/>
        <v>313.83999999999997</v>
      </c>
      <c r="P1529" s="56"/>
      <c r="Q1529" s="13"/>
      <c r="R1529" s="13"/>
      <c r="T1529" s="30">
        <f t="shared" si="482"/>
        <v>373.2</v>
      </c>
      <c r="U1529" s="30">
        <f t="shared" si="489"/>
        <v>373.2</v>
      </c>
    </row>
    <row r="1530" spans="1:21" ht="15" customHeight="1" x14ac:dyDescent="0.25">
      <c r="A1530" s="5">
        <v>32635</v>
      </c>
      <c r="B1530" s="5">
        <f t="shared" si="483"/>
        <v>32659</v>
      </c>
      <c r="C1530">
        <v>307.61</v>
      </c>
      <c r="D1530" s="29">
        <f>ROUND((C1530-AVERAGE(C1531:C1532))/AVERAGE(C1531:C1532),4)</f>
        <v>-6.4999999999999997E-3</v>
      </c>
      <c r="E1530" s="29"/>
      <c r="F1530" s="29"/>
      <c r="G1530" s="29"/>
      <c r="H1530" s="29"/>
      <c r="I1530"/>
      <c r="J1530"/>
      <c r="K1530"/>
      <c r="L1530">
        <f t="shared" si="490"/>
        <v>307.61</v>
      </c>
      <c r="M1530">
        <f>IF(A1530&gt;=Quarterly!B$2,Quarterly!D$2,IF(COUNTIFS(Quarterly!B:B,"&gt;="&amp;A1530-92,Quarterly!B:B,"&lt;="&amp;A1530)&gt;1,SUMIFS(Quarterly!D:D,Quarterly!B:B,"&gt;="&amp;A1530-88,Quarterly!B:B,"&lt;="&amp;A1530),SUMIFS(Quarterly!D:D,Quarterly!B:B,"&gt;="&amp;A1530-92,Quarterly!B:B,"&lt;="&amp;A1530)))</f>
        <v>0</v>
      </c>
      <c r="O1530">
        <f t="shared" si="481"/>
        <v>307.61</v>
      </c>
      <c r="P1530" s="56"/>
      <c r="Q1530" s="13"/>
      <c r="R1530" s="13"/>
      <c r="T1530" s="30">
        <f t="shared" si="482"/>
        <v>373.2</v>
      </c>
      <c r="U1530" s="30">
        <f t="shared" si="489"/>
        <v>373.2</v>
      </c>
    </row>
    <row r="1531" spans="1:21" ht="15" customHeight="1" x14ac:dyDescent="0.25">
      <c r="A1531" s="5">
        <v>32628</v>
      </c>
      <c r="B1531" s="5">
        <f t="shared" si="483"/>
        <v>32628</v>
      </c>
      <c r="C1531">
        <v>309.64</v>
      </c>
      <c r="D1531" s="29">
        <f>ROUND((C1531-AVERAGE(C1532:C1532))/AVERAGE(C1532:C1532),4)</f>
        <v>1E-4</v>
      </c>
      <c r="E1531" s="29"/>
      <c r="F1531" s="29"/>
      <c r="G1531" s="29"/>
      <c r="H1531" s="29"/>
      <c r="I1531"/>
      <c r="J1531"/>
      <c r="K1531"/>
      <c r="L1531">
        <f t="shared" si="490"/>
        <v>309.64</v>
      </c>
      <c r="M1531">
        <f>IF(A1531&gt;=Quarterly!B$2,Quarterly!D$2,IF(COUNTIFS(Quarterly!B:B,"&gt;="&amp;A1531-92,Quarterly!B:B,"&lt;="&amp;A1531)&gt;1,SUMIFS(Quarterly!D:D,Quarterly!B:B,"&gt;="&amp;A1531-88,Quarterly!B:B,"&lt;="&amp;A1531),SUMIFS(Quarterly!D:D,Quarterly!B:B,"&gt;="&amp;A1531-92,Quarterly!B:B,"&lt;="&amp;A1531)))</f>
        <v>0</v>
      </c>
      <c r="O1531">
        <f t="shared" si="481"/>
        <v>309.64</v>
      </c>
      <c r="P1531" s="56"/>
      <c r="Q1531" s="13"/>
      <c r="R1531" s="13"/>
      <c r="T1531" s="30">
        <f t="shared" si="482"/>
        <v>373.2</v>
      </c>
      <c r="U1531" s="30">
        <f>ROUND(AVERAGE(T1531:T1532),2)</f>
        <v>373.2</v>
      </c>
    </row>
    <row r="1532" spans="1:21" ht="15" customHeight="1" x14ac:dyDescent="0.25">
      <c r="A1532" s="5">
        <v>32621</v>
      </c>
      <c r="B1532" s="5">
        <f t="shared" si="483"/>
        <v>32628</v>
      </c>
      <c r="C1532">
        <v>309.61</v>
      </c>
      <c r="E1532" s="29"/>
      <c r="F1532" s="29"/>
      <c r="G1532" s="29"/>
      <c r="H1532" s="29"/>
      <c r="I1532"/>
      <c r="J1532"/>
      <c r="K1532"/>
      <c r="L1532">
        <f t="shared" si="490"/>
        <v>309.61</v>
      </c>
      <c r="M1532">
        <f>IF(A1532&gt;=Quarterly!B$2,Quarterly!D$2,IF(COUNTIFS(Quarterly!B:B,"&gt;="&amp;A1532-92,Quarterly!B:B,"&lt;="&amp;A1532)&gt;1,SUMIFS(Quarterly!D:D,Quarterly!B:B,"&gt;="&amp;A1532-88,Quarterly!B:B,"&lt;="&amp;A1532),SUMIFS(Quarterly!D:D,Quarterly!B:B,"&gt;="&amp;A1532-92,Quarterly!B:B,"&lt;="&amp;A1532)))</f>
        <v>0</v>
      </c>
      <c r="O1532">
        <f t="shared" si="481"/>
        <v>309.61</v>
      </c>
      <c r="P1532" s="56"/>
      <c r="Q1532" s="13"/>
      <c r="R1532" s="13"/>
      <c r="T1532" s="30">
        <f t="shared" si="482"/>
        <v>373.2</v>
      </c>
      <c r="U1532" s="30">
        <f>ROUND(AVERAGE(T1532:T1532),2)</f>
        <v>373.2</v>
      </c>
    </row>
    <row r="1533" spans="1:21" ht="15" customHeight="1" x14ac:dyDescent="0.25">
      <c r="C1533">
        <v>153.18</v>
      </c>
      <c r="E1533" s="29"/>
      <c r="F1533" s="29"/>
      <c r="G1533" s="29"/>
      <c r="H1533" s="29"/>
      <c r="I1533"/>
      <c r="J1533"/>
      <c r="K1533"/>
      <c r="L1533">
        <f t="shared" si="490"/>
        <v>153.18</v>
      </c>
      <c r="M1533">
        <f>IF(A1533&gt;=Quarterly!B$2,Quarterly!D$2,IF(COUNTIFS(Quarterly!B:B,"&gt;="&amp;A1533-92,Quarterly!B:B,"&lt;="&amp;A1533)&gt;1,SUMIFS(Quarterly!D:D,Quarterly!B:B,"&gt;="&amp;A1533-88,Quarterly!B:B,"&lt;="&amp;A1533),SUMIFS(Quarterly!D:D,Quarterly!B:B,"&gt;="&amp;A1533-92,Quarterly!B:B,"&lt;="&amp;A1533)))</f>
        <v>0</v>
      </c>
      <c r="O1533">
        <f t="shared" si="481"/>
        <v>153.18</v>
      </c>
      <c r="P1533" s="56"/>
      <c r="Q1533" s="13"/>
      <c r="R1533" s="13"/>
    </row>
    <row r="1534" spans="1:21" ht="15" customHeight="1" x14ac:dyDescent="0.25">
      <c r="C1534">
        <v>154.46</v>
      </c>
      <c r="E1534" s="29"/>
      <c r="F1534" s="29"/>
      <c r="G1534" s="29"/>
      <c r="H1534" s="29"/>
      <c r="I1534"/>
      <c r="J1534"/>
      <c r="K1534"/>
      <c r="L1534">
        <f t="shared" si="490"/>
        <v>154.46</v>
      </c>
      <c r="M1534">
        <f>IF(A1534&gt;=Quarterly!B$2,Quarterly!D$2,IF(COUNTIFS(Quarterly!B:B,"&gt;="&amp;A1534-92,Quarterly!B:B,"&lt;="&amp;A1534)&gt;1,SUMIFS(Quarterly!D:D,Quarterly!B:B,"&gt;="&amp;A1534-88,Quarterly!B:B,"&lt;="&amp;A1534),SUMIFS(Quarterly!D:D,Quarterly!B:B,"&gt;="&amp;A1534-92,Quarterly!B:B,"&lt;="&amp;A1534)))</f>
        <v>0</v>
      </c>
      <c r="O1534">
        <f t="shared" si="481"/>
        <v>154.46</v>
      </c>
      <c r="P1534" s="56"/>
      <c r="Q1534" s="13"/>
      <c r="R1534" s="13"/>
    </row>
    <row r="1535" spans="1:21" ht="15" customHeight="1" x14ac:dyDescent="0.25">
      <c r="C1535">
        <v>149.03</v>
      </c>
      <c r="E1535" s="29"/>
      <c r="F1535" s="29"/>
      <c r="G1535" s="29"/>
      <c r="H1535" s="29"/>
      <c r="I1535"/>
      <c r="J1535"/>
      <c r="K1535"/>
      <c r="L1535">
        <f t="shared" si="490"/>
        <v>149.03</v>
      </c>
      <c r="M1535">
        <f>IF(A1535&gt;=Quarterly!B$2,Quarterly!D$2,IF(COUNTIFS(Quarterly!B:B,"&gt;="&amp;A1535-92,Quarterly!B:B,"&lt;="&amp;A1535)&gt;1,SUMIFS(Quarterly!D:D,Quarterly!B:B,"&gt;="&amp;A1535-88,Quarterly!B:B,"&lt;="&amp;A1535),SUMIFS(Quarterly!D:D,Quarterly!B:B,"&gt;="&amp;A1535-92,Quarterly!B:B,"&lt;="&amp;A1535)))</f>
        <v>0</v>
      </c>
      <c r="O1535">
        <f t="shared" si="481"/>
        <v>149.03</v>
      </c>
      <c r="P1535" s="56"/>
      <c r="Q1535" s="13"/>
      <c r="R1535" s="13"/>
    </row>
    <row r="1536" spans="1:21" ht="15" customHeight="1" x14ac:dyDescent="0.25">
      <c r="C1536">
        <v>155.16999999999999</v>
      </c>
      <c r="E1536" s="29"/>
      <c r="F1536" s="29"/>
      <c r="G1536" s="29"/>
      <c r="H1536" s="29"/>
      <c r="I1536"/>
      <c r="J1536"/>
      <c r="K1536"/>
      <c r="L1536">
        <f t="shared" si="490"/>
        <v>155.16999999999999</v>
      </c>
      <c r="M1536">
        <f>IF(A1536&gt;=Quarterly!B$2,Quarterly!D$2,IF(COUNTIFS(Quarterly!B:B,"&gt;="&amp;A1536-92,Quarterly!B:B,"&lt;="&amp;A1536)&gt;1,SUMIFS(Quarterly!D:D,Quarterly!B:B,"&gt;="&amp;A1536-88,Quarterly!B:B,"&lt;="&amp;A1536),SUMIFS(Quarterly!D:D,Quarterly!B:B,"&gt;="&amp;A1536-92,Quarterly!B:B,"&lt;="&amp;A1536)))</f>
        <v>0</v>
      </c>
      <c r="O1536">
        <f t="shared" si="481"/>
        <v>155.16999999999999</v>
      </c>
      <c r="P1536" s="56"/>
      <c r="Q1536" s="13"/>
      <c r="R1536" s="13"/>
    </row>
    <row r="1537" spans="3:18" ht="15" customHeight="1" x14ac:dyDescent="0.25">
      <c r="C1537">
        <v>153.24</v>
      </c>
      <c r="E1537" s="29"/>
      <c r="F1537" s="29"/>
      <c r="G1537" s="29"/>
      <c r="H1537" s="29"/>
      <c r="I1537"/>
      <c r="J1537"/>
      <c r="K1537"/>
      <c r="L1537">
        <f t="shared" si="490"/>
        <v>153.24</v>
      </c>
      <c r="M1537">
        <f>IF(A1537&gt;=Quarterly!B$2,Quarterly!D$2,IF(COUNTIFS(Quarterly!B:B,"&gt;="&amp;A1537-92,Quarterly!B:B,"&lt;="&amp;A1537)&gt;1,SUMIFS(Quarterly!D:D,Quarterly!B:B,"&gt;="&amp;A1537-88,Quarterly!B:B,"&lt;="&amp;A1537),SUMIFS(Quarterly!D:D,Quarterly!B:B,"&gt;="&amp;A1537-92,Quarterly!B:B,"&lt;="&amp;A1537)))</f>
        <v>0</v>
      </c>
      <c r="O1537">
        <f t="shared" si="481"/>
        <v>153.24</v>
      </c>
      <c r="P1537" s="56"/>
      <c r="Q1537" s="13"/>
      <c r="R1537" s="13"/>
    </row>
    <row r="1538" spans="3:18" ht="15" customHeight="1" x14ac:dyDescent="0.25">
      <c r="C1538">
        <v>151.62</v>
      </c>
      <c r="E1538" s="29"/>
      <c r="F1538" s="29"/>
      <c r="G1538" s="29"/>
      <c r="H1538" s="29"/>
      <c r="I1538"/>
      <c r="J1538"/>
      <c r="K1538"/>
      <c r="L1538">
        <f t="shared" si="490"/>
        <v>151.62</v>
      </c>
      <c r="M1538">
        <f>IF(A1538&gt;=Quarterly!B$2,Quarterly!D$2,IF(COUNTIFS(Quarterly!B:B,"&gt;="&amp;A1538-92,Quarterly!B:B,"&lt;="&amp;A1538)&gt;1,SUMIFS(Quarterly!D:D,Quarterly!B:B,"&gt;="&amp;A1538-88,Quarterly!B:B,"&lt;="&amp;A1538),SUMIFS(Quarterly!D:D,Quarterly!B:B,"&gt;="&amp;A1538-92,Quarterly!B:B,"&lt;="&amp;A1538)))</f>
        <v>0</v>
      </c>
      <c r="O1538">
        <f t="shared" si="481"/>
        <v>151.62</v>
      </c>
      <c r="P1538" s="56"/>
      <c r="Q1538" s="13"/>
      <c r="R1538" s="13"/>
    </row>
    <row r="1539" spans="3:18" ht="15" customHeight="1" x14ac:dyDescent="0.25">
      <c r="C1539">
        <v>155.78</v>
      </c>
      <c r="E1539" s="29"/>
      <c r="F1539" s="29"/>
      <c r="G1539" s="29"/>
      <c r="H1539" s="29"/>
      <c r="I1539"/>
      <c r="J1539"/>
      <c r="K1539"/>
      <c r="L1539">
        <f t="shared" si="490"/>
        <v>155.78</v>
      </c>
      <c r="M1539">
        <f>IF(A1539&gt;=Quarterly!B$2,Quarterly!D$2,IF(COUNTIFS(Quarterly!B:B,"&gt;="&amp;A1539-92,Quarterly!B:B,"&lt;="&amp;A1539)&gt;1,SUMIFS(Quarterly!D:D,Quarterly!B:B,"&gt;="&amp;A1539-88,Quarterly!B:B,"&lt;="&amp;A1539),SUMIFS(Quarterly!D:D,Quarterly!B:B,"&gt;="&amp;A1539-92,Quarterly!B:B,"&lt;="&amp;A1539)))</f>
        <v>0</v>
      </c>
      <c r="O1539">
        <f t="shared" si="481"/>
        <v>155.78</v>
      </c>
      <c r="P1539" s="56"/>
      <c r="Q1539" s="13"/>
      <c r="R1539" s="13"/>
    </row>
    <row r="1540" spans="3:18" ht="15" customHeight="1" x14ac:dyDescent="0.25">
      <c r="C1540">
        <v>158.49</v>
      </c>
      <c r="E1540" s="29"/>
      <c r="F1540" s="29"/>
      <c r="G1540" s="29"/>
      <c r="H1540" s="29"/>
      <c r="I1540"/>
      <c r="J1540"/>
      <c r="K1540"/>
      <c r="L1540">
        <f t="shared" si="490"/>
        <v>158.49</v>
      </c>
      <c r="M1540">
        <f>IF(A1540&gt;=Quarterly!B$2,Quarterly!D$2,IF(COUNTIFS(Quarterly!B:B,"&gt;="&amp;A1540-92,Quarterly!B:B,"&lt;="&amp;A1540)&gt;1,SUMIFS(Quarterly!D:D,Quarterly!B:B,"&gt;="&amp;A1540-88,Quarterly!B:B,"&lt;="&amp;A1540),SUMIFS(Quarterly!D:D,Quarterly!B:B,"&gt;="&amp;A1540-92,Quarterly!B:B,"&lt;="&amp;A1540)))</f>
        <v>0</v>
      </c>
      <c r="O1540">
        <f t="shared" si="481"/>
        <v>158.49</v>
      </c>
      <c r="P1540" s="56"/>
      <c r="Q1540" s="13"/>
      <c r="R1540" s="13"/>
    </row>
    <row r="1541" spans="3:18" ht="15" customHeight="1" x14ac:dyDescent="0.25">
      <c r="C1541">
        <v>159.11000000000001</v>
      </c>
      <c r="E1541" s="29"/>
      <c r="F1541" s="29"/>
      <c r="G1541" s="29"/>
      <c r="H1541" s="29"/>
      <c r="I1541"/>
      <c r="J1541"/>
      <c r="K1541"/>
      <c r="L1541">
        <f t="shared" si="490"/>
        <v>159.11000000000001</v>
      </c>
      <c r="M1541">
        <f>IF(A1541&gt;=Quarterly!B$2,Quarterly!D$2,IF(COUNTIFS(Quarterly!B:B,"&gt;="&amp;A1541-92,Quarterly!B:B,"&lt;="&amp;A1541)&gt;1,SUMIFS(Quarterly!D:D,Quarterly!B:B,"&gt;="&amp;A1541-88,Quarterly!B:B,"&lt;="&amp;A1541),SUMIFS(Quarterly!D:D,Quarterly!B:B,"&gt;="&amp;A1541-92,Quarterly!B:B,"&lt;="&amp;A1541)))</f>
        <v>0</v>
      </c>
      <c r="O1541">
        <f t="shared" si="481"/>
        <v>159.11000000000001</v>
      </c>
      <c r="P1541" s="56"/>
      <c r="Q1541" s="13"/>
      <c r="R1541" s="13"/>
    </row>
    <row r="1542" spans="3:18" ht="15" customHeight="1" x14ac:dyDescent="0.25">
      <c r="C1542">
        <v>159.88999999999999</v>
      </c>
      <c r="E1542" s="29"/>
      <c r="F1542" s="29"/>
      <c r="G1542" s="29"/>
      <c r="H1542" s="29"/>
      <c r="I1542"/>
      <c r="J1542"/>
      <c r="K1542"/>
      <c r="L1542">
        <f t="shared" si="490"/>
        <v>159.88999999999999</v>
      </c>
      <c r="M1542">
        <f>IF(A1542&gt;=Quarterly!B$2,Quarterly!D$2,IF(COUNTIFS(Quarterly!B:B,"&gt;="&amp;A1542-92,Quarterly!B:B,"&lt;="&amp;A1542)&gt;1,SUMIFS(Quarterly!D:D,Quarterly!B:B,"&gt;="&amp;A1542-88,Quarterly!B:B,"&lt;="&amp;A1542),SUMIFS(Quarterly!D:D,Quarterly!B:B,"&gt;="&amp;A1542-92,Quarterly!B:B,"&lt;="&amp;A1542)))</f>
        <v>0</v>
      </c>
      <c r="O1542">
        <f t="shared" ref="O1542:O1545" si="492">C1542</f>
        <v>159.88999999999999</v>
      </c>
      <c r="P1542" s="56"/>
      <c r="Q1542" s="13"/>
      <c r="R1542" s="13"/>
    </row>
    <row r="1543" spans="3:18" ht="15" customHeight="1" x14ac:dyDescent="0.25">
      <c r="C1543">
        <v>158.02000000000001</v>
      </c>
      <c r="E1543" s="29"/>
      <c r="F1543" s="29"/>
      <c r="G1543" s="29"/>
      <c r="H1543" s="29"/>
      <c r="I1543"/>
      <c r="J1543"/>
      <c r="K1543"/>
      <c r="L1543">
        <f t="shared" si="490"/>
        <v>158.02000000000001</v>
      </c>
      <c r="M1543">
        <f>IF(A1543&gt;=Quarterly!B$2,Quarterly!D$2,IF(COUNTIFS(Quarterly!B:B,"&gt;="&amp;A1543-92,Quarterly!B:B,"&lt;="&amp;A1543)&gt;1,SUMIFS(Quarterly!D:D,Quarterly!B:B,"&gt;="&amp;A1543-88,Quarterly!B:B,"&lt;="&amp;A1543),SUMIFS(Quarterly!D:D,Quarterly!B:B,"&gt;="&amp;A1543-92,Quarterly!B:B,"&lt;="&amp;A1543)))</f>
        <v>0</v>
      </c>
      <c r="O1543">
        <f t="shared" si="492"/>
        <v>158.02000000000001</v>
      </c>
      <c r="P1543" s="56"/>
      <c r="Q1543" s="13"/>
      <c r="R1543" s="13"/>
    </row>
    <row r="1544" spans="3:18" ht="15" customHeight="1" x14ac:dyDescent="0.25">
      <c r="C1544">
        <v>157.31</v>
      </c>
      <c r="E1544" s="29"/>
      <c r="F1544" s="29"/>
      <c r="G1544" s="29"/>
      <c r="H1544" s="29"/>
      <c r="I1544"/>
      <c r="J1544"/>
      <c r="K1544"/>
      <c r="L1544">
        <f t="shared" si="490"/>
        <v>157.31</v>
      </c>
      <c r="M1544">
        <f>IF(A1544&gt;=Quarterly!B$2,Quarterly!D$2,IF(COUNTIFS(Quarterly!B:B,"&gt;="&amp;A1544-92,Quarterly!B:B,"&lt;="&amp;A1544)&gt;1,SUMIFS(Quarterly!D:D,Quarterly!B:B,"&gt;="&amp;A1544-88,Quarterly!B:B,"&lt;="&amp;A1544),SUMIFS(Quarterly!D:D,Quarterly!B:B,"&gt;="&amp;A1544-92,Quarterly!B:B,"&lt;="&amp;A1544)))</f>
        <v>0</v>
      </c>
      <c r="O1544">
        <f t="shared" si="492"/>
        <v>157.31</v>
      </c>
      <c r="P1544" s="56"/>
      <c r="Q1544" s="13"/>
      <c r="R1544" s="13"/>
    </row>
    <row r="1545" spans="3:18" ht="15" customHeight="1" x14ac:dyDescent="0.25">
      <c r="C1545">
        <v>155.47999999999999</v>
      </c>
      <c r="E1545" s="29"/>
      <c r="F1545" s="29"/>
      <c r="G1545" s="29"/>
      <c r="H1545" s="29"/>
      <c r="I1545"/>
      <c r="J1545"/>
      <c r="K1545"/>
      <c r="L1545">
        <f t="shared" si="490"/>
        <v>155.47999999999999</v>
      </c>
      <c r="M1545">
        <f>IF(A1545&gt;=Quarterly!B$2,Quarterly!D$2,IF(COUNTIFS(Quarterly!B:B,"&gt;="&amp;A1545-92,Quarterly!B:B,"&lt;="&amp;A1545)&gt;1,SUMIFS(Quarterly!D:D,Quarterly!B:B,"&gt;="&amp;A1545-88,Quarterly!B:B,"&lt;="&amp;A1545),SUMIFS(Quarterly!D:D,Quarterly!B:B,"&gt;="&amp;A1545-92,Quarterly!B:B,"&lt;="&amp;A1545)))</f>
        <v>0</v>
      </c>
      <c r="O1545">
        <f t="shared" si="492"/>
        <v>155.47999999999999</v>
      </c>
      <c r="P1545" s="56"/>
      <c r="Q1545" s="13"/>
      <c r="R1545" s="13"/>
    </row>
  </sheetData>
  <autoFilter ref="A2:U1545" xr:uid="{00000000-0009-0000-0000-000001000000}"/>
  <mergeCells count="6">
    <mergeCell ref="C1:D1"/>
    <mergeCell ref="E1:H1"/>
    <mergeCell ref="I1:K1"/>
    <mergeCell ref="L1:N1"/>
    <mergeCell ref="R1:S1"/>
    <mergeCell ref="O1:Q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391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4" sqref="I4"/>
    </sheetView>
  </sheetViews>
  <sheetFormatPr defaultColWidth="15.140625" defaultRowHeight="15" customHeight="1" x14ac:dyDescent="0.25"/>
  <cols>
    <col min="1" max="1" width="11.140625" style="11" customWidth="1"/>
    <col min="2" max="2" width="18.5703125" style="11" bestFit="1" customWidth="1"/>
    <col min="3" max="3" width="13.42578125" style="11" customWidth="1"/>
    <col min="4" max="4" width="22" style="11" bestFit="1" customWidth="1"/>
    <col min="5" max="6" width="22" style="11" customWidth="1"/>
    <col min="7" max="7" width="15.85546875" style="11" bestFit="1" customWidth="1"/>
    <col min="8" max="8" width="18.42578125" style="11" bestFit="1" customWidth="1"/>
    <col min="9" max="9" width="6.42578125" style="11" bestFit="1" customWidth="1"/>
    <col min="10" max="10" width="6.28515625" style="11" bestFit="1" customWidth="1"/>
    <col min="11" max="12" width="8.140625" style="11" bestFit="1" customWidth="1"/>
    <col min="13" max="14" width="16.140625" style="11" bestFit="1" customWidth="1"/>
    <col min="15" max="23" width="16.140625" style="11" customWidth="1"/>
    <col min="24" max="24" width="25" style="11" bestFit="1" customWidth="1"/>
    <col min="25" max="16384" width="15.140625" style="11"/>
  </cols>
  <sheetData>
    <row r="1" spans="1:25" ht="18" customHeight="1" thickBot="1" x14ac:dyDescent="0.35">
      <c r="A1" s="1"/>
      <c r="B1" s="59" t="s">
        <v>53</v>
      </c>
      <c r="C1" s="59"/>
      <c r="D1" s="59" t="s">
        <v>54</v>
      </c>
      <c r="E1" s="59"/>
      <c r="F1" s="59"/>
      <c r="G1" s="59"/>
      <c r="H1" s="59" t="s">
        <v>55</v>
      </c>
      <c r="I1" s="59"/>
      <c r="J1" s="59"/>
      <c r="K1" s="59"/>
      <c r="L1" s="59"/>
      <c r="M1" s="27" t="s">
        <v>56</v>
      </c>
      <c r="N1" s="59" t="s">
        <v>57</v>
      </c>
      <c r="O1" s="59"/>
      <c r="P1" s="59"/>
      <c r="Q1" s="59"/>
      <c r="R1" s="59"/>
      <c r="S1" s="59" t="s">
        <v>58</v>
      </c>
      <c r="T1" s="59"/>
      <c r="U1" s="59"/>
      <c r="V1" s="59"/>
      <c r="W1" s="59"/>
      <c r="X1" s="28" t="s">
        <v>59</v>
      </c>
      <c r="Y1" s="28" t="s">
        <v>59</v>
      </c>
    </row>
    <row r="2" spans="1:25" ht="16.5" customHeight="1" thickTop="1" thickBot="1" x14ac:dyDescent="0.3">
      <c r="A2" s="3" t="s">
        <v>0</v>
      </c>
      <c r="B2" s="4" t="s">
        <v>60</v>
      </c>
      <c r="C2" s="4" t="s">
        <v>61</v>
      </c>
      <c r="D2" s="4" t="s">
        <v>62</v>
      </c>
      <c r="E2" s="4" t="s">
        <v>63</v>
      </c>
      <c r="F2" s="4" t="s">
        <v>201</v>
      </c>
      <c r="G2" s="4" t="s">
        <v>202</v>
      </c>
      <c r="H2" s="4" t="s">
        <v>64</v>
      </c>
      <c r="I2" s="4" t="s">
        <v>189</v>
      </c>
      <c r="J2" s="4" t="s">
        <v>190</v>
      </c>
      <c r="K2" s="4" t="s">
        <v>65</v>
      </c>
      <c r="L2" s="4" t="s">
        <v>67</v>
      </c>
      <c r="M2" s="4" t="s">
        <v>68</v>
      </c>
      <c r="N2" s="4" t="s">
        <v>69</v>
      </c>
      <c r="O2" s="4" t="s">
        <v>142</v>
      </c>
      <c r="P2" s="4" t="s">
        <v>197</v>
      </c>
      <c r="Q2" s="4" t="s">
        <v>70</v>
      </c>
      <c r="R2" s="4" t="s">
        <v>198</v>
      </c>
      <c r="S2" s="4" t="s">
        <v>196</v>
      </c>
      <c r="T2" s="4" t="s">
        <v>142</v>
      </c>
      <c r="U2" s="4" t="s">
        <v>197</v>
      </c>
      <c r="V2" s="4" t="s">
        <v>199</v>
      </c>
      <c r="W2" s="4" t="s">
        <v>200</v>
      </c>
      <c r="X2" s="4" t="s">
        <v>59</v>
      </c>
      <c r="Y2" s="4" t="s">
        <v>59</v>
      </c>
    </row>
    <row r="3" spans="1:25" ht="16.5" customHeight="1" x14ac:dyDescent="0.25">
      <c r="A3" s="5">
        <v>43324</v>
      </c>
      <c r="B3" s="18">
        <v>2223.73</v>
      </c>
      <c r="C3" s="29">
        <f t="shared" ref="C3:C6" si="0">ROUND((B3-AVERAGE(B4:B7))/AVERAGE(B4:B7),4)</f>
        <v>-1.1000000000000001E-3</v>
      </c>
      <c r="D3" s="18">
        <v>-0.84</v>
      </c>
      <c r="E3" s="18">
        <v>-1.214</v>
      </c>
      <c r="F3" s="18">
        <f t="shared" ref="F3" si="1">(((D3*10)+(E3*8))*-1)-(((D4*10)+(E4*8))*-1)</f>
        <v>4.8000000000001819E-2</v>
      </c>
      <c r="G3" s="18">
        <f t="shared" ref="G3" si="2">SUM(F3:F5)</f>
        <v>0.7640000000000029</v>
      </c>
      <c r="H3" s="18">
        <v>3.37</v>
      </c>
      <c r="I3" s="18">
        <v>1.85</v>
      </c>
      <c r="J3">
        <f t="shared" ref="J3" si="3">ROUND(AVERAGE(H3:I3),2)</f>
        <v>2.61</v>
      </c>
      <c r="K3" s="6">
        <f t="shared" ref="K3" si="4">ROUND(AVERAGE(J3:J5),2)</f>
        <v>2.63</v>
      </c>
      <c r="L3" s="6">
        <f t="shared" ref="L3" si="5">K3-K4</f>
        <v>-5.0000000000000266E-2</v>
      </c>
      <c r="M3" s="18">
        <v>0.6</v>
      </c>
      <c r="N3" s="18">
        <v>214250</v>
      </c>
      <c r="O3" s="18">
        <f>ROUND(N3/VLOOKUP(EOMONTH(A3,-1),Employment!A:P,16,FALSE),4)</f>
        <v>0.83089999999999997</v>
      </c>
      <c r="P3" s="18">
        <f t="shared" ref="P3" si="6">ROUND(AVERAGE(O3:O5),4)</f>
        <v>0.83630000000000004</v>
      </c>
      <c r="Q3" s="29">
        <f t="shared" ref="Q3" si="7">ROUND((P3/P55)-1,4)</f>
        <v>-0.11940000000000001</v>
      </c>
      <c r="R3" s="29">
        <f t="shared" ref="R3" si="8">ROUND(AVERAGE(Q3:Q4)-AVERAGE(Q3:Q7),4)*-1</f>
        <v>1.03E-2</v>
      </c>
      <c r="S3" s="18">
        <v>1755000</v>
      </c>
      <c r="T3" s="18">
        <f>ROUND((S3/7)/VLOOKUP(EOMONTH(A3,-1),Employment!A:P,16,FALSE),4)</f>
        <v>0.97240000000000004</v>
      </c>
      <c r="U3" s="18">
        <f t="shared" ref="U3" si="9">ROUND(AVERAGE(T3:T5),4)</f>
        <v>0.96509999999999996</v>
      </c>
      <c r="V3" s="29">
        <f t="shared" ref="V3" si="10">ROUND((U3/U55)-1,4)</f>
        <v>-0.1206</v>
      </c>
      <c r="W3" s="29">
        <f t="shared" ref="W3" si="11">ROUND(AVERAGE(V3:V4)-AVERAGE(V3:V7),4)*-1</f>
        <v>1E-4</v>
      </c>
      <c r="X3" s="30">
        <f t="shared" ref="X3" si="12">IF(ROUND((C3*500)-(D3*10)-(E3*8)+(M3*1.2)-(P3*23)-(Q3*10)+(R3*600)-(U3*2)-(V3*5)+(W3*100)-(K3*5)-(L3*5)+(G3*3),2)+170&lt;0,0,ROUND((C3*500)-(D3*10)-(E3*8)+(M3*1.2)-(P3*23)-(Q3*10)+(R3*600)-(U3*2)-(V3*5)+(W3*100)-(K3*5)-(L3*5)+(G3*3),2)+170)</f>
        <v>164.5</v>
      </c>
      <c r="Y3" s="31">
        <f t="shared" ref="Y3" si="13">ROUND(AVERAGE(AVERAGE(X3:X4),AVERAGE(X3:X5)),2)</f>
        <v>165.38</v>
      </c>
    </row>
    <row r="4" spans="1:25" ht="16.5" customHeight="1" x14ac:dyDescent="0.25">
      <c r="A4" s="5">
        <v>43317</v>
      </c>
      <c r="B4" s="18">
        <v>2225.87</v>
      </c>
      <c r="C4" s="29">
        <f t="shared" si="0"/>
        <v>1.1999999999999999E-3</v>
      </c>
      <c r="D4" s="18">
        <v>-0.84</v>
      </c>
      <c r="E4" s="18">
        <v>-1.208</v>
      </c>
      <c r="F4" s="18">
        <f t="shared" ref="F4" si="14">(((D4*10)+(E4*8))*-1)-(((D5*10)+(E5*8))*-1)</f>
        <v>2.0000000000003126E-2</v>
      </c>
      <c r="G4" s="18">
        <f t="shared" ref="G4" si="15">SUM(F4:F6)</f>
        <v>1.3200000000000003</v>
      </c>
      <c r="H4" s="18">
        <v>3.43</v>
      </c>
      <c r="I4" s="18">
        <v>1.84</v>
      </c>
      <c r="J4">
        <f t="shared" ref="J4" si="16">ROUND(AVERAGE(H4:I4),2)</f>
        <v>2.64</v>
      </c>
      <c r="K4" s="6">
        <f t="shared" ref="K4" si="17">ROUND(AVERAGE(J4:J6),2)</f>
        <v>2.68</v>
      </c>
      <c r="L4" s="6">
        <f t="shared" ref="L4" si="18">K4-K5</f>
        <v>-4.0000000000000036E-2</v>
      </c>
      <c r="M4" s="18">
        <v>1</v>
      </c>
      <c r="N4" s="18">
        <v>214500</v>
      </c>
      <c r="O4" s="18">
        <f>ROUND(N4/VLOOKUP(EOMONTH(A4,-1),Employment!A:P,16,FALSE),4)</f>
        <v>0.83189999999999997</v>
      </c>
      <c r="P4" s="18">
        <f t="shared" ref="P4" si="19">ROUND(AVERAGE(O4:O6),4)</f>
        <v>0.84460000000000002</v>
      </c>
      <c r="Q4" s="29">
        <f t="shared" ref="Q4" si="20">ROUND((P4/P56)-1,4)</f>
        <v>-0.1142</v>
      </c>
      <c r="R4" s="29">
        <f t="shared" ref="R4" si="21">ROUND(AVERAGE(Q4:Q5)-AVERAGE(Q4:Q8),4)*-1</f>
        <v>9.2999999999999992E-3</v>
      </c>
      <c r="S4" s="18">
        <v>1724000</v>
      </c>
      <c r="T4" s="18">
        <f>ROUND((S4/7)/VLOOKUP(EOMONTH(A4,-1),Employment!A:P,16,FALSE),4)</f>
        <v>0.95520000000000005</v>
      </c>
      <c r="U4" s="18">
        <f t="shared" ref="U4" si="22">ROUND(AVERAGE(T4:T6),4)</f>
        <v>0.96460000000000001</v>
      </c>
      <c r="V4" s="29">
        <f t="shared" ref="V4" si="23">ROUND((U4/U56)-1,4)</f>
        <v>-0.12379999999999999</v>
      </c>
      <c r="W4" s="29">
        <f t="shared" ref="W4" si="24">ROUND(AVERAGE(V4:V5)-AVERAGE(V4:V8),4)*-1</f>
        <v>-1.8E-3</v>
      </c>
      <c r="X4" s="30">
        <f t="shared" ref="X4" si="25">IF(ROUND((C4*500)-(D4*10)-(E4*8)+(M4*1.2)-(P4*23)-(Q4*10)+(R4*600)-(U4*2)-(V4*5)+(W4*100)-(K4*5)-(L4*5)+(G4*3),2)+170&lt;0,0,ROUND((C4*500)-(D4*10)-(E4*8)+(M4*1.2)-(P4*23)-(Q4*10)+(R4*600)-(U4*2)-(V4*5)+(W4*100)-(K4*5)-(L4*5)+(G4*3),2)+170)</f>
        <v>166.43</v>
      </c>
      <c r="Y4" s="31">
        <f t="shared" ref="Y4" si="26">ROUND(AVERAGE(AVERAGE(X4:X5),AVERAGE(X4:X6)),2)</f>
        <v>164.76</v>
      </c>
    </row>
    <row r="5" spans="1:25" ht="16.5" customHeight="1" x14ac:dyDescent="0.25">
      <c r="A5" s="5">
        <v>43310</v>
      </c>
      <c r="B5" s="18">
        <v>2229.19</v>
      </c>
      <c r="C5" s="29">
        <f t="shared" si="0"/>
        <v>3.7000000000000002E-3</v>
      </c>
      <c r="D5" s="18">
        <v>-0.83</v>
      </c>
      <c r="E5" s="18">
        <v>-1.218</v>
      </c>
      <c r="F5" s="18">
        <f t="shared" ref="F5" si="27">(((D5*10)+(E5*8))*-1)-(((D6*10)+(E6*8))*-1)</f>
        <v>0.69599999999999795</v>
      </c>
      <c r="G5" s="18">
        <f t="shared" ref="G5" si="28">SUM(F5:F7)</f>
        <v>1.6439999999999984</v>
      </c>
      <c r="H5" s="18">
        <v>3.42</v>
      </c>
      <c r="I5" s="18">
        <v>1.85</v>
      </c>
      <c r="J5">
        <f t="shared" ref="J5" si="29">ROUND(AVERAGE(H5:I5),2)</f>
        <v>2.64</v>
      </c>
      <c r="K5" s="6">
        <f t="shared" ref="K5" si="30">ROUND(AVERAGE(J5:J7),2)</f>
        <v>2.72</v>
      </c>
      <c r="L5" s="6">
        <f t="shared" ref="L5" si="31">K5-K6</f>
        <v>-6.999999999999984E-2</v>
      </c>
      <c r="M5" s="18">
        <v>0.8</v>
      </c>
      <c r="N5" s="18">
        <v>218000</v>
      </c>
      <c r="O5" s="18">
        <f>ROUND(N5/VLOOKUP(EOMONTH(A5,-1),Employment!A:P,16,FALSE),4)</f>
        <v>0.84609999999999996</v>
      </c>
      <c r="P5" s="18">
        <f t="shared" ref="P5" si="32">ROUND(AVERAGE(O5:O7),4)</f>
        <v>0.85580000000000001</v>
      </c>
      <c r="Q5" s="29">
        <f t="shared" ref="Q5" si="33">ROUND((P5/P57)-1,4)</f>
        <v>-0.1076</v>
      </c>
      <c r="R5" s="29">
        <f t="shared" ref="R5" si="34">ROUND(AVERAGE(Q5:Q6)-AVERAGE(Q5:Q9),4)*-1</f>
        <v>4.7000000000000002E-3</v>
      </c>
      <c r="S5" s="18">
        <v>1745000</v>
      </c>
      <c r="T5" s="18">
        <f>ROUND((S5/7)/VLOOKUP(EOMONTH(A5,-1),Employment!A:P,16,FALSE),4)</f>
        <v>0.96760000000000002</v>
      </c>
      <c r="U5" s="18">
        <f t="shared" ref="U5" si="35">ROUND(AVERAGE(T5:T7),4)</f>
        <v>0.96760000000000002</v>
      </c>
      <c r="V5" s="29">
        <f t="shared" ref="V5" si="36">ROUND((U5/U57)-1,4)</f>
        <v>-0.1196</v>
      </c>
      <c r="W5" s="29">
        <f t="shared" ref="W5" si="37">ROUND(AVERAGE(V5:V6)-AVERAGE(V5:V9),4)*-1</f>
        <v>-4.7999999999999996E-3</v>
      </c>
      <c r="X5" s="30">
        <f t="shared" ref="X5" si="38">IF(ROUND((C5*500)-(D5*10)-(E5*8)+(M5*1.2)-(P5*23)-(Q5*10)+(R5*600)-(U5*2)-(V5*5)+(W5*100)-(K5*5)-(L5*5)+(G5*3),2)+170&lt;0,0,ROUND((C5*500)-(D5*10)-(E5*8)+(M5*1.2)-(P5*23)-(Q5*10)+(R5*600)-(U5*2)-(V5*5)+(W5*100)-(K5*5)-(L5*5)+(G5*3),2)+170)</f>
        <v>164.93</v>
      </c>
      <c r="Y5" s="31">
        <f t="shared" ref="Y5" si="39">ROUND(AVERAGE(AVERAGE(X5:X6),AVERAGE(X5:X7)),2)</f>
        <v>161.72</v>
      </c>
    </row>
    <row r="6" spans="1:25" ht="16.5" customHeight="1" x14ac:dyDescent="0.25">
      <c r="A6" s="5">
        <v>43303</v>
      </c>
      <c r="B6" s="18">
        <v>2234.54</v>
      </c>
      <c r="C6" s="29">
        <f t="shared" si="0"/>
        <v>1.0200000000000001E-2</v>
      </c>
      <c r="D6" s="18">
        <v>-0.79</v>
      </c>
      <c r="E6" s="18">
        <v>-1.181</v>
      </c>
      <c r="F6" s="18">
        <f t="shared" ref="F6" si="40">(((D6*10)+(E6*8))*-1)-(((D7*10)+(E7*8))*-1)</f>
        <v>0.6039999999999992</v>
      </c>
      <c r="G6" s="18">
        <f t="shared" ref="G6" si="41">SUM(F6:F8)</f>
        <v>0.11199999999999832</v>
      </c>
      <c r="H6" s="18">
        <v>3.59</v>
      </c>
      <c r="I6" s="18">
        <v>1.9</v>
      </c>
      <c r="J6">
        <f t="shared" ref="J6" si="42">ROUND(AVERAGE(H6:I6),2)</f>
        <v>2.75</v>
      </c>
      <c r="K6" s="6">
        <f t="shared" ref="K6" si="43">ROUND(AVERAGE(J6:J8),2)</f>
        <v>2.79</v>
      </c>
      <c r="L6" s="6">
        <f t="shared" ref="L6" si="44">K6-K7</f>
        <v>-2.0000000000000018E-2</v>
      </c>
      <c r="M6" s="18">
        <v>0.9</v>
      </c>
      <c r="N6" s="18">
        <v>220500</v>
      </c>
      <c r="O6" s="18">
        <f>ROUND(N6/VLOOKUP(EOMONTH(A6,-1),Employment!A:P,16,FALSE),4)</f>
        <v>0.85580000000000001</v>
      </c>
      <c r="P6" s="18">
        <f t="shared" ref="P6" si="45">ROUND(AVERAGE(O6:O8),4)</f>
        <v>0.86419999999999997</v>
      </c>
      <c r="Q6" s="29">
        <f t="shared" ref="Q6" si="46">ROUND((P6/P58)-1,4)</f>
        <v>-9.7600000000000006E-2</v>
      </c>
      <c r="R6" s="29">
        <f t="shared" ref="R6" si="47">ROUND(AVERAGE(Q6:Q7)-AVERAGE(Q6:Q10),4)*-1</f>
        <v>1.1000000000000001E-3</v>
      </c>
      <c r="S6" s="18">
        <v>1751000</v>
      </c>
      <c r="T6" s="18">
        <f>ROUND((S6/7)/VLOOKUP(EOMONTH(A6,-1),Employment!A:P,16,FALSE),4)</f>
        <v>0.97089999999999999</v>
      </c>
      <c r="U6" s="18">
        <f t="shared" ref="U6" si="48">ROUND(AVERAGE(T6:T8),4)</f>
        <v>0.96640000000000004</v>
      </c>
      <c r="V6" s="29">
        <f t="shared" ref="V6" si="49">ROUND((U6/U58)-1,4)</f>
        <v>-0.121</v>
      </c>
      <c r="W6" s="29">
        <f t="shared" ref="W6" si="50">ROUND(AVERAGE(V6:V7)-AVERAGE(V6:V10),4)*-1</f>
        <v>-2.7000000000000001E-3</v>
      </c>
      <c r="X6" s="30">
        <f t="shared" ref="X6" si="51">IF(ROUND((C6*500)-(D6*10)-(E6*8)+(M6*1.2)-(P6*23)-(Q6*10)+(R6*600)-(U6*2)-(V6*5)+(W6*100)-(K6*5)-(L6*5)+(G6*3),2)+170&lt;0,0,ROUND((C6*500)-(D6*10)-(E6*8)+(M6*1.2)-(P6*23)-(Q6*10)+(R6*600)-(U6*2)-(V6*5)+(W6*100)-(K6*5)-(L6*5)+(G6*3),2)+170)</f>
        <v>160.18</v>
      </c>
      <c r="Y6" s="31">
        <f t="shared" ref="Y6" si="52">ROUND(AVERAGE(AVERAGE(X6:X7),AVERAGE(X6:X8)),2)</f>
        <v>159.22999999999999</v>
      </c>
    </row>
    <row r="7" spans="1:25" ht="16.5" customHeight="1" x14ac:dyDescent="0.25">
      <c r="A7" s="5">
        <v>43296</v>
      </c>
      <c r="B7" s="18">
        <v>2215.37</v>
      </c>
      <c r="C7" s="29">
        <f t="shared" ref="C7:C8" si="53">ROUND((B7-AVERAGE(B8:B11))/AVERAGE(B8:B11),4)</f>
        <v>6.0000000000000001E-3</v>
      </c>
      <c r="D7" s="18">
        <v>-0.78</v>
      </c>
      <c r="E7" s="18">
        <v>-1.1180000000000001</v>
      </c>
      <c r="F7" s="18">
        <f t="shared" ref="F7" si="54">(((D7*10)+(E7*8))*-1)-(((D8*10)+(E8*8))*-1)</f>
        <v>0.34400000000000119</v>
      </c>
      <c r="G7" s="18">
        <f t="shared" ref="G7" si="55">SUM(F7:F9)</f>
        <v>-0.54800000000000182</v>
      </c>
      <c r="H7" s="18">
        <v>3.61</v>
      </c>
      <c r="I7" s="18">
        <v>1.9</v>
      </c>
      <c r="J7">
        <f t="shared" ref="J7" si="56">ROUND(AVERAGE(H7:I7),2)</f>
        <v>2.76</v>
      </c>
      <c r="K7" s="6">
        <f t="shared" ref="K7" si="57">ROUND(AVERAGE(J7:J9),2)</f>
        <v>2.81</v>
      </c>
      <c r="L7" s="6">
        <f t="shared" ref="L7" si="58">K7-K8</f>
        <v>3.0000000000000249E-2</v>
      </c>
      <c r="M7" s="18">
        <v>1.5</v>
      </c>
      <c r="N7" s="18">
        <v>223000</v>
      </c>
      <c r="O7" s="18">
        <f>ROUND(N7/VLOOKUP(EOMONTH(A7,-1),Employment!A:P,16,FALSE),4)</f>
        <v>0.86550000000000005</v>
      </c>
      <c r="P7" s="18">
        <f t="shared" ref="P7" si="59">ROUND(AVERAGE(O7:O9),4)</f>
        <v>0.86619999999999997</v>
      </c>
      <c r="Q7" s="29">
        <f t="shared" ref="Q7" si="60">ROUND((P7/P59)-1,4)</f>
        <v>-9.3600000000000003E-2</v>
      </c>
      <c r="R7" s="29">
        <f t="shared" ref="R7" si="61">ROUND(AVERAGE(Q7:Q8)-AVERAGE(Q7:Q11),4)*-1</f>
        <v>3.3999999999999998E-3</v>
      </c>
      <c r="S7" s="18">
        <v>1739000</v>
      </c>
      <c r="T7" s="18">
        <f>ROUND((S7/7)/VLOOKUP(EOMONTH(A7,-1),Employment!A:P,16,FALSE),4)</f>
        <v>0.96419999999999995</v>
      </c>
      <c r="U7" s="18">
        <f t="shared" ref="U7" si="62">ROUND(AVERAGE(T7:T9),4)</f>
        <v>0.95789999999999997</v>
      </c>
      <c r="V7" s="29">
        <f t="shared" ref="V7" si="63">ROUND((U7/U59)-1,4)</f>
        <v>-0.1255</v>
      </c>
      <c r="W7" s="29">
        <f t="shared" ref="W7" si="64">ROUND(AVERAGE(V7:V8)-AVERAGE(V7:V11),4)*-1</f>
        <v>5.9999999999999995E-4</v>
      </c>
      <c r="X7" s="30">
        <f t="shared" ref="X7" si="65">IF(ROUND((C7*500)-(D7*10)-(E7*8)+(M7*1.2)-(P7*23)-(Q7*10)+(R7*600)-(U7*2)-(V7*5)+(W7*100)-(K7*5)-(L7*5)+(G7*3),2)+170&lt;0,0,ROUND((C7*500)-(D7*10)-(E7*8)+(M7*1.2)-(P7*23)-(Q7*10)+(R7*600)-(U7*2)-(V7*5)+(W7*100)-(K7*5)-(L7*5)+(G7*3),2)+170)</f>
        <v>157.53</v>
      </c>
      <c r="Y7" s="31">
        <f t="shared" ref="Y7" si="66">ROUND(AVERAGE(AVERAGE(X7:X8),AVERAGE(X7:X9)),2)</f>
        <v>161.56</v>
      </c>
    </row>
    <row r="8" spans="1:25" ht="16.5" customHeight="1" x14ac:dyDescent="0.25">
      <c r="A8" s="5">
        <v>43289</v>
      </c>
      <c r="B8" s="18">
        <v>2213.69</v>
      </c>
      <c r="C8" s="29">
        <f t="shared" si="53"/>
        <v>1.03E-2</v>
      </c>
      <c r="D8" s="18">
        <v>-0.78</v>
      </c>
      <c r="E8" s="18">
        <v>-1.075</v>
      </c>
      <c r="F8" s="18">
        <f t="shared" ref="F8" si="67">(((D8*10)+(E8*8))*-1)-(((D9*10)+(E9*8))*-1)</f>
        <v>-0.83600000000000207</v>
      </c>
      <c r="G8" s="18">
        <f t="shared" ref="G8" si="68">SUM(F8:F10)</f>
        <v>-1.3079999999999998</v>
      </c>
      <c r="H8" s="18">
        <v>3.74</v>
      </c>
      <c r="I8" s="18">
        <v>1.95</v>
      </c>
      <c r="J8">
        <f t="shared" ref="J8" si="69">ROUND(AVERAGE(H8:I8),2)</f>
        <v>2.85</v>
      </c>
      <c r="K8" s="6">
        <f t="shared" ref="K8" si="70">ROUND(AVERAGE(J8:J10),2)</f>
        <v>2.78</v>
      </c>
      <c r="L8" s="6">
        <f t="shared" ref="L8" si="71">K8-K9</f>
        <v>7.9999999999999627E-2</v>
      </c>
      <c r="M8" s="18">
        <v>2.2000000000000002</v>
      </c>
      <c r="N8" s="18">
        <v>224500</v>
      </c>
      <c r="O8" s="18">
        <f>ROUND(N8/VLOOKUP(EOMONTH(A8,-1),Employment!A:P,16,FALSE),4)</f>
        <v>0.87139999999999995</v>
      </c>
      <c r="P8" s="18">
        <f t="shared" ref="P8" si="72">ROUND(AVERAGE(O8:O10),4)</f>
        <v>0.86380000000000001</v>
      </c>
      <c r="Q8" s="29">
        <f t="shared" ref="Q8" si="73">ROUND((P8/P60)-1,4)</f>
        <v>-9.5200000000000007E-2</v>
      </c>
      <c r="R8" s="29">
        <f t="shared" ref="R8" si="74">ROUND(AVERAGE(Q8:Q9)-AVERAGE(Q8:Q12),4)*-1</f>
        <v>7.7999999999999996E-3</v>
      </c>
      <c r="S8" s="18">
        <v>1739000</v>
      </c>
      <c r="T8" s="18">
        <f>ROUND((S8/7)/VLOOKUP(EOMONTH(A8,-1),Employment!A:P,16,FALSE),4)</f>
        <v>0.96419999999999995</v>
      </c>
      <c r="U8" s="18">
        <f t="shared" ref="U8" si="75">ROUND(AVERAGE(T8:T10),4)</f>
        <v>0.95520000000000005</v>
      </c>
      <c r="V8" s="29">
        <f t="shared" ref="V8" si="76">ROUND((U8/U60)-1,4)</f>
        <v>-0.12770000000000001</v>
      </c>
      <c r="W8" s="29">
        <f t="shared" ref="W8" si="77">ROUND(AVERAGE(V8:V9)-AVERAGE(V8:V12),4)*-1</f>
        <v>6.4999999999999997E-3</v>
      </c>
      <c r="X8" s="30">
        <f t="shared" ref="X8" si="78">IF(ROUND((C8*500)-(D8*10)-(E8*8)+(M8*1.2)-(P8*23)-(Q8*10)+(R8*600)-(U8*2)-(V8*5)+(W8*100)-(K8*5)-(L8*5)+(G8*3),2)+170&lt;0,0,ROUND((C8*500)-(D8*10)-(E8*8)+(M8*1.2)-(P8*23)-(Q8*10)+(R8*600)-(U8*2)-(V8*5)+(W8*100)-(K8*5)-(L8*5)+(G8*3),2)+170)</f>
        <v>161.11000000000001</v>
      </c>
      <c r="Y8" s="31">
        <f t="shared" ref="Y8" si="79">ROUND(AVERAGE(AVERAGE(X8:X9),AVERAGE(X8:X10)),2)</f>
        <v>166.07</v>
      </c>
    </row>
    <row r="9" spans="1:25" ht="16.5" customHeight="1" x14ac:dyDescent="0.25">
      <c r="A9" s="5">
        <v>43282</v>
      </c>
      <c r="B9" s="18">
        <v>2220.23</v>
      </c>
      <c r="C9" s="29">
        <f t="shared" ref="C9:C10" si="80">ROUND((B9-AVERAGE(B10:B13))/AVERAGE(B10:B13),4)</f>
        <v>0.02</v>
      </c>
      <c r="D9" s="18">
        <v>-0.81</v>
      </c>
      <c r="E9" s="18">
        <v>-1.1419999999999999</v>
      </c>
      <c r="F9" s="18">
        <f t="shared" ref="F9:F14" si="81">(((D9*10)+(E9*8))*-1)-(((D10*10)+(E10*8))*-1)</f>
        <v>-5.6000000000000938E-2</v>
      </c>
      <c r="G9" s="18">
        <f t="shared" ref="G9:G14" si="82">SUM(F9:F11)</f>
        <v>0.55600000000000094</v>
      </c>
      <c r="H9" s="18">
        <v>3.64</v>
      </c>
      <c r="I9" s="18">
        <v>2</v>
      </c>
      <c r="J9">
        <f t="shared" ref="J9" si="83">ROUND(AVERAGE(H9:I9),2)</f>
        <v>2.82</v>
      </c>
      <c r="K9" s="6">
        <f t="shared" ref="K9" si="84">ROUND(AVERAGE(J9:J11),2)</f>
        <v>2.7</v>
      </c>
      <c r="L9" s="6">
        <f t="shared" ref="L9" si="85">K9-K10</f>
        <v>5.0000000000000266E-2</v>
      </c>
      <c r="M9" s="18">
        <v>2.8</v>
      </c>
      <c r="N9" s="18">
        <v>222000</v>
      </c>
      <c r="O9" s="18">
        <f>ROUND(N9/VLOOKUP(EOMONTH(A9,-1),Employment!A:P,16,FALSE),4)</f>
        <v>0.86170000000000002</v>
      </c>
      <c r="P9" s="18">
        <f t="shared" ref="P9:P14" si="86">ROUND(AVERAGE(O9:O11),4)</f>
        <v>0.86370000000000002</v>
      </c>
      <c r="Q9" s="29">
        <f t="shared" ref="Q9:Q14" si="87">ROUND((P9/P61)-1,4)</f>
        <v>-9.5500000000000002E-2</v>
      </c>
      <c r="R9" s="29">
        <f t="shared" ref="R9:R14" si="88">ROUND(AVERAGE(Q9:Q10)-AVERAGE(Q9:Q13),4)*-1</f>
        <v>6.1000000000000004E-3</v>
      </c>
      <c r="S9" s="18">
        <v>1705000</v>
      </c>
      <c r="T9" s="18">
        <f>ROUND((S9/7)/VLOOKUP(EOMONTH(A9,-1),Employment!A:P,16,FALSE),4)</f>
        <v>0.94540000000000002</v>
      </c>
      <c r="U9" s="18">
        <f t="shared" ref="U9:U14" si="89">ROUND(AVERAGE(T9:T11),4)</f>
        <v>0.94769999999999999</v>
      </c>
      <c r="V9" s="29">
        <f t="shared" ref="V9:V14" si="90">ROUND((U9/U61)-1,4)</f>
        <v>-0.13189999999999999</v>
      </c>
      <c r="W9" s="29">
        <f t="shared" ref="W9:W14" si="91">ROUND(AVERAGE(V9:V10)-AVERAGE(V9:V13),4)*-1</f>
        <v>7.1999999999999998E-3</v>
      </c>
      <c r="X9" s="30">
        <f t="shared" ref="X9:X14" si="92">IF(ROUND((C9*500)-(D9*10)-(E9*8)+(M9*1.2)-(P9*23)-(Q9*10)+(R9*600)-(U9*2)-(V9*5)+(W9*100)-(K9*5)-(L9*5)+(G9*3),2)+170&lt;0,0,ROUND((C9*500)-(D9*10)-(E9*8)+(M9*1.2)-(P9*23)-(Q9*10)+(R9*600)-(U9*2)-(V9*5)+(W9*100)-(K9*5)-(L9*5)+(G9*3),2)+170)</f>
        <v>172.75</v>
      </c>
      <c r="Y9" s="31">
        <f t="shared" ref="Y9:Y14" si="93">ROUND(AVERAGE(AVERAGE(X9:X10),AVERAGE(X9:X11)),2)</f>
        <v>164.82</v>
      </c>
    </row>
    <row r="10" spans="1:25" ht="16.5" customHeight="1" x14ac:dyDescent="0.25">
      <c r="A10" s="5">
        <v>43275</v>
      </c>
      <c r="B10" s="18">
        <v>2198.2600000000002</v>
      </c>
      <c r="C10" s="29">
        <f t="shared" si="80"/>
        <v>1.43E-2</v>
      </c>
      <c r="D10" s="18">
        <v>-0.81</v>
      </c>
      <c r="E10" s="18">
        <v>-1.149</v>
      </c>
      <c r="F10" s="18">
        <f t="shared" si="81"/>
        <v>-0.41599999999999682</v>
      </c>
      <c r="G10" s="18">
        <f t="shared" si="82"/>
        <v>-0.39199999999999591</v>
      </c>
      <c r="H10" s="18">
        <v>3.39</v>
      </c>
      <c r="I10" s="18">
        <v>1.95</v>
      </c>
      <c r="J10">
        <f t="shared" ref="J10:J15" si="94">ROUND(AVERAGE(H10:I10),2)</f>
        <v>2.67</v>
      </c>
      <c r="K10" s="6">
        <f t="shared" ref="K10:K15" si="95">ROUND(AVERAGE(J10:J12),2)</f>
        <v>2.65</v>
      </c>
      <c r="L10" s="6">
        <f t="shared" ref="L10:L15" si="96">K10-K11</f>
        <v>0</v>
      </c>
      <c r="M10" s="18">
        <v>3.1</v>
      </c>
      <c r="N10" s="18">
        <v>221000</v>
      </c>
      <c r="O10" s="18">
        <f>ROUND(N10/VLOOKUP(EOMONTH(A10,-1),Employment!A:P,16,FALSE),4)</f>
        <v>0.85840000000000005</v>
      </c>
      <c r="P10" s="18">
        <f t="shared" si="86"/>
        <v>0.86839999999999995</v>
      </c>
      <c r="Q10" s="29">
        <f t="shared" si="87"/>
        <v>-9.0499999999999997E-2</v>
      </c>
      <c r="R10" s="29">
        <f t="shared" si="88"/>
        <v>-3.8999999999999998E-3</v>
      </c>
      <c r="S10" s="18">
        <v>1723000</v>
      </c>
      <c r="T10" s="18">
        <f>ROUND((S10/7)/VLOOKUP(EOMONTH(A10,-1),Employment!A:P,16,FALSE),4)</f>
        <v>0.95609999999999995</v>
      </c>
      <c r="U10" s="18">
        <f t="shared" si="89"/>
        <v>0.9546</v>
      </c>
      <c r="V10" s="29">
        <f t="shared" si="90"/>
        <v>-0.12379999999999999</v>
      </c>
      <c r="W10" s="29">
        <f t="shared" si="91"/>
        <v>7.4999999999999997E-3</v>
      </c>
      <c r="X10" s="30">
        <f t="shared" si="92"/>
        <v>161.79</v>
      </c>
      <c r="Y10" s="31">
        <f t="shared" si="93"/>
        <v>155.82</v>
      </c>
    </row>
    <row r="11" spans="1:25" ht="16.5" customHeight="1" x14ac:dyDescent="0.25">
      <c r="A11" s="5">
        <v>43268</v>
      </c>
      <c r="B11" s="18">
        <v>2176.36</v>
      </c>
      <c r="C11" s="29">
        <f t="shared" ref="C11" si="97">ROUND((B11-AVERAGE(B12:B15))/AVERAGE(B12:B15),4)</f>
        <v>5.5999999999999999E-3</v>
      </c>
      <c r="D11" s="18">
        <v>-0.85</v>
      </c>
      <c r="E11" s="18">
        <v>-1.151</v>
      </c>
      <c r="F11" s="18">
        <f t="shared" si="81"/>
        <v>1.0279999999999987</v>
      </c>
      <c r="G11" s="18">
        <f t="shared" si="82"/>
        <v>0.47200000000000131</v>
      </c>
      <c r="H11" s="18">
        <v>3.31</v>
      </c>
      <c r="I11" s="18">
        <v>1.88</v>
      </c>
      <c r="J11">
        <f t="shared" si="94"/>
        <v>2.6</v>
      </c>
      <c r="K11" s="6">
        <f t="shared" si="95"/>
        <v>2.65</v>
      </c>
      <c r="L11" s="6">
        <f t="shared" si="96"/>
        <v>-2.0000000000000018E-2</v>
      </c>
      <c r="M11" s="18">
        <v>2.7</v>
      </c>
      <c r="N11" s="18">
        <v>224250</v>
      </c>
      <c r="O11" s="18">
        <f>ROUND(N11/VLOOKUP(EOMONTH(A11,-1),Employment!A:P,16,FALSE),4)</f>
        <v>0.871</v>
      </c>
      <c r="P11" s="18">
        <f t="shared" si="86"/>
        <v>0.87009999999999998</v>
      </c>
      <c r="Q11" s="29">
        <f t="shared" si="87"/>
        <v>-8.0199999999999994E-2</v>
      </c>
      <c r="R11" s="29">
        <f t="shared" si="88"/>
        <v>-1.5699999999999999E-2</v>
      </c>
      <c r="S11" s="18">
        <v>1697000</v>
      </c>
      <c r="T11" s="18">
        <f>ROUND((S11/7)/VLOOKUP(EOMONTH(A11,-1),Employment!A:P,16,FALSE),4)</f>
        <v>0.94159999999999999</v>
      </c>
      <c r="U11" s="18">
        <f t="shared" si="89"/>
        <v>0.95509999999999995</v>
      </c>
      <c r="V11" s="29">
        <f t="shared" si="90"/>
        <v>-0.1211</v>
      </c>
      <c r="W11" s="29">
        <f t="shared" si="91"/>
        <v>5.0000000000000001E-3</v>
      </c>
      <c r="X11" s="30">
        <f t="shared" si="92"/>
        <v>152.57999999999998</v>
      </c>
      <c r="Y11" s="31">
        <f t="shared" si="93"/>
        <v>153.03</v>
      </c>
    </row>
    <row r="12" spans="1:25" ht="16.5" customHeight="1" x14ac:dyDescent="0.25">
      <c r="A12" s="5">
        <v>43261</v>
      </c>
      <c r="B12" s="18">
        <v>2169.44</v>
      </c>
      <c r="C12" s="29">
        <f t="shared" ref="C12:C13" si="98">ROUND((B12-AVERAGE(B13:B16))/AVERAGE(B13:B16),4)</f>
        <v>2.8E-3</v>
      </c>
      <c r="D12" s="18">
        <v>-0.8</v>
      </c>
      <c r="E12" s="18">
        <v>-1.085</v>
      </c>
      <c r="F12" s="18">
        <f t="shared" si="81"/>
        <v>-1.0039999999999978</v>
      </c>
      <c r="G12" s="18">
        <f t="shared" si="82"/>
        <v>-0.3960000000000008</v>
      </c>
      <c r="H12" s="18">
        <v>3.44</v>
      </c>
      <c r="I12" s="18">
        <v>1.89</v>
      </c>
      <c r="J12">
        <f t="shared" si="94"/>
        <v>2.67</v>
      </c>
      <c r="K12" s="6">
        <f t="shared" si="95"/>
        <v>2.67</v>
      </c>
      <c r="L12" s="6">
        <f t="shared" si="96"/>
        <v>2.9999999999999805E-2</v>
      </c>
      <c r="M12" s="18">
        <v>2.6</v>
      </c>
      <c r="N12" s="18">
        <v>225500</v>
      </c>
      <c r="O12" s="18">
        <f>ROUND(N12/VLOOKUP(EOMONTH(A12,-1),Employment!A:P,16,FALSE),4)</f>
        <v>0.87590000000000001</v>
      </c>
      <c r="P12" s="18">
        <f t="shared" si="86"/>
        <v>0.86450000000000005</v>
      </c>
      <c r="Q12" s="29">
        <f t="shared" si="87"/>
        <v>-7.6399999999999996E-2</v>
      </c>
      <c r="R12" s="29">
        <f t="shared" si="88"/>
        <v>-1.2800000000000001E-2</v>
      </c>
      <c r="S12" s="18">
        <v>1741000</v>
      </c>
      <c r="T12" s="18">
        <f>ROUND((S12/7)/VLOOKUP(EOMONTH(A12,-1),Employment!A:P,16,FALSE),4)</f>
        <v>0.96609999999999996</v>
      </c>
      <c r="U12" s="18">
        <f t="shared" si="89"/>
        <v>0.96350000000000002</v>
      </c>
      <c r="V12" s="29">
        <f t="shared" si="90"/>
        <v>-0.11210000000000001</v>
      </c>
      <c r="W12" s="29">
        <f t="shared" si="91"/>
        <v>6.7000000000000002E-3</v>
      </c>
      <c r="X12" s="30">
        <f t="shared" si="92"/>
        <v>149.02000000000001</v>
      </c>
      <c r="Y12" s="31">
        <f t="shared" si="93"/>
        <v>159.44</v>
      </c>
    </row>
    <row r="13" spans="1:25" ht="16.5" customHeight="1" x14ac:dyDescent="0.25">
      <c r="A13" s="5">
        <v>43254</v>
      </c>
      <c r="B13" s="18">
        <v>2162.48</v>
      </c>
      <c r="C13" s="29">
        <f t="shared" si="98"/>
        <v>-1.2999999999999999E-3</v>
      </c>
      <c r="D13" s="18">
        <v>-0.85</v>
      </c>
      <c r="E13" s="18">
        <v>-1.1479999999999999</v>
      </c>
      <c r="F13" s="18">
        <f t="shared" si="81"/>
        <v>0.4480000000000004</v>
      </c>
      <c r="G13" s="18">
        <f t="shared" si="82"/>
        <v>1.3359999999999985</v>
      </c>
      <c r="H13" s="18">
        <v>3.49</v>
      </c>
      <c r="I13" s="18">
        <v>1.84</v>
      </c>
      <c r="J13">
        <f t="shared" si="94"/>
        <v>2.67</v>
      </c>
      <c r="K13" s="6">
        <f t="shared" si="95"/>
        <v>2.64</v>
      </c>
      <c r="L13" s="6">
        <f t="shared" si="96"/>
        <v>1.0000000000000231E-2</v>
      </c>
      <c r="M13" s="18">
        <v>3.1</v>
      </c>
      <c r="N13" s="18">
        <v>222250</v>
      </c>
      <c r="O13" s="18">
        <f>ROUND(N13/VLOOKUP(EOMONTH(A13,-1),Employment!A:P,16,FALSE),4)</f>
        <v>0.86329999999999996</v>
      </c>
      <c r="P13" s="18">
        <f t="shared" si="86"/>
        <v>0.8488</v>
      </c>
      <c r="Q13" s="29">
        <f t="shared" si="87"/>
        <v>-9.1800000000000007E-2</v>
      </c>
      <c r="R13" s="29">
        <f t="shared" si="88"/>
        <v>3.3E-3</v>
      </c>
      <c r="S13">
        <v>1726000</v>
      </c>
      <c r="T13" s="18">
        <f>ROUND((S13/7)/VLOOKUP(EOMONTH(A13,-1),Employment!A:P,16,FALSE),4)</f>
        <v>0.9577</v>
      </c>
      <c r="U13" s="18">
        <f t="shared" si="89"/>
        <v>0.95830000000000004</v>
      </c>
      <c r="V13" s="29">
        <f t="shared" si="90"/>
        <v>-0.1145</v>
      </c>
      <c r="W13" s="29">
        <f t="shared" si="91"/>
        <v>6.4999999999999997E-3</v>
      </c>
      <c r="X13" s="30">
        <f t="shared" si="92"/>
        <v>164.19</v>
      </c>
      <c r="Y13" s="31">
        <f t="shared" si="93"/>
        <v>169.68</v>
      </c>
    </row>
    <row r="14" spans="1:25" ht="16.5" customHeight="1" x14ac:dyDescent="0.25">
      <c r="A14" s="5">
        <v>43247</v>
      </c>
      <c r="B14" s="18">
        <v>2161.15</v>
      </c>
      <c r="C14" s="29">
        <f t="shared" ref="C14" si="99">ROUND((B14-AVERAGE(B15:B18))/AVERAGE(B15:B18),4)</f>
        <v>-2.0999999999999999E-3</v>
      </c>
      <c r="D14" s="18">
        <v>-0.83</v>
      </c>
      <c r="E14" s="18">
        <v>-1.117</v>
      </c>
      <c r="F14" s="18">
        <f t="shared" si="81"/>
        <v>0.15999999999999659</v>
      </c>
      <c r="G14" s="18">
        <f t="shared" si="82"/>
        <v>1.0999999999999943</v>
      </c>
      <c r="H14" s="18">
        <v>3.49</v>
      </c>
      <c r="I14" s="18">
        <v>1.84</v>
      </c>
      <c r="J14">
        <f t="shared" si="94"/>
        <v>2.67</v>
      </c>
      <c r="K14" s="6">
        <f t="shared" si="95"/>
        <v>2.63</v>
      </c>
      <c r="L14" s="6">
        <f t="shared" si="96"/>
        <v>0</v>
      </c>
      <c r="M14" s="18">
        <v>3.5</v>
      </c>
      <c r="N14" s="18">
        <v>219750</v>
      </c>
      <c r="O14" s="18">
        <f>ROUND(N14/VLOOKUP(EOMONTH(A14,-1),Employment!A:P,16,FALSE),4)</f>
        <v>0.85419999999999996</v>
      </c>
      <c r="P14" s="18">
        <f t="shared" si="86"/>
        <v>0.84089999999999998</v>
      </c>
      <c r="Q14" s="29">
        <f t="shared" si="87"/>
        <v>-0.10730000000000001</v>
      </c>
      <c r="R14" s="29">
        <f t="shared" si="88"/>
        <v>1.9599999999999999E-2</v>
      </c>
      <c r="S14">
        <v>1741000</v>
      </c>
      <c r="T14" s="18">
        <f>ROUND((S14/7)/VLOOKUP(EOMONTH(A14,-1),Employment!A:P,16,FALSE),4)</f>
        <v>0.9667</v>
      </c>
      <c r="U14" s="18">
        <f t="shared" si="89"/>
        <v>0.97119999999999995</v>
      </c>
      <c r="V14" s="29">
        <f t="shared" si="90"/>
        <v>-0.1032</v>
      </c>
      <c r="W14" s="29">
        <f t="shared" si="91"/>
        <v>1.0200000000000001E-2</v>
      </c>
      <c r="X14" s="30">
        <f t="shared" si="92"/>
        <v>173.62</v>
      </c>
      <c r="Y14" s="31">
        <f t="shared" si="93"/>
        <v>171.84</v>
      </c>
    </row>
    <row r="15" spans="1:25" ht="16.5" customHeight="1" x14ac:dyDescent="0.25">
      <c r="A15" s="5">
        <v>43240</v>
      </c>
      <c r="B15" s="18">
        <v>2163.79</v>
      </c>
      <c r="C15" s="29">
        <f t="shared" ref="C15" si="100">ROUND((B15-AVERAGE(B16:B19))/AVERAGE(B16:B19),4)</f>
        <v>-5.0000000000000001E-4</v>
      </c>
      <c r="D15" s="18">
        <v>-0.81</v>
      </c>
      <c r="E15" s="18">
        <v>-1.1220000000000001</v>
      </c>
      <c r="F15" s="18">
        <f t="shared" ref="F15:F78" si="101">(((D15*10)+(E15*8))*-1)-(((D16*10)+(E16*8))*-1)</f>
        <v>0.72800000000000153</v>
      </c>
      <c r="G15" s="18">
        <f t="shared" ref="G15:G78" si="102">SUM(F15:F17)</f>
        <v>0.6319999999999979</v>
      </c>
      <c r="H15" s="18">
        <v>3.36</v>
      </c>
      <c r="I15">
        <v>1.82</v>
      </c>
      <c r="J15">
        <f t="shared" si="94"/>
        <v>2.59</v>
      </c>
      <c r="K15" s="6">
        <f t="shared" si="95"/>
        <v>2.63</v>
      </c>
      <c r="L15" s="6">
        <f t="shared" si="96"/>
        <v>-1.0000000000000231E-2</v>
      </c>
      <c r="M15" s="18">
        <v>4.3</v>
      </c>
      <c r="N15" s="18">
        <v>213250</v>
      </c>
      <c r="O15" s="18">
        <f>ROUND(N15/VLOOKUP(EOMONTH(A15,-1),Employment!A:P,16,FALSE),4)</f>
        <v>0.82889999999999997</v>
      </c>
      <c r="P15" s="18">
        <f t="shared" ref="P15:P78" si="103">ROUND(AVERAGE(O15:O17),4)</f>
        <v>0.84319999999999995</v>
      </c>
      <c r="Q15" s="29">
        <f t="shared" ref="Q15:Q78" si="104">ROUND((P15/P67)-1,4)</f>
        <v>-0.1145</v>
      </c>
      <c r="R15" s="29">
        <f t="shared" ref="R15:R78" si="105">ROUND(AVERAGE(Q15:Q16)-AVERAGE(Q15:Q19),4)*-1</f>
        <v>1.9E-2</v>
      </c>
      <c r="S15">
        <v>1712000</v>
      </c>
      <c r="T15" s="18">
        <f>ROUND((S15/7)/VLOOKUP(EOMONTH(A15,-1),Employment!A:P,16,FALSE),4)</f>
        <v>0.9506</v>
      </c>
      <c r="U15" s="18">
        <f t="shared" ref="U15:U78" si="106">ROUND(AVERAGE(T15:T17),4)</f>
        <v>0.97470000000000001</v>
      </c>
      <c r="V15" s="29">
        <f t="shared" ref="V15:V78" si="107">ROUND((U15/U67)-1,4)</f>
        <v>-0.1069</v>
      </c>
      <c r="W15" s="29">
        <f t="shared" ref="W15:W78" si="108">ROUND(AVERAGE(V15:V16)-AVERAGE(V15:V19),4)*-1</f>
        <v>1.01E-2</v>
      </c>
      <c r="X15" s="30">
        <f t="shared" ref="X15:X78" si="109">IF(ROUND((C15*500)-(D15*10)-(E15*8)+(M15*1.2)-(P15*23)-(Q15*10)+(R15*600)-(U15*2)-(V15*5)+(W15*100)-(K15*5)-(L15*5)+(G15*3),2)+170&lt;0,0,ROUND((C15*500)-(D15*10)-(E15*8)+(M15*1.2)-(P15*23)-(Q15*10)+(R15*600)-(U15*2)-(V15*5)+(W15*100)-(K15*5)-(L15*5)+(G15*3),2)+170)</f>
        <v>173.53</v>
      </c>
      <c r="Y15" s="31">
        <f t="shared" ref="Y15:Y78" si="110">ROUND(AVERAGE(AVERAGE(X15:X16),AVERAGE(X15:X17)),2)</f>
        <v>166.13</v>
      </c>
    </row>
    <row r="16" spans="1:25" ht="16.5" customHeight="1" x14ac:dyDescent="0.25">
      <c r="A16" s="5">
        <v>43233</v>
      </c>
      <c r="B16" s="18">
        <v>2165.84</v>
      </c>
      <c r="C16" s="29">
        <f t="shared" ref="C16:C17" si="111">ROUND((B16-AVERAGE(B17:B20))/AVERAGE(B17:B20),4)</f>
        <v>1.6000000000000001E-3</v>
      </c>
      <c r="D16" s="18">
        <v>-0.79</v>
      </c>
      <c r="E16" s="18">
        <v>-1.056</v>
      </c>
      <c r="F16" s="18">
        <f t="shared" si="101"/>
        <v>0.21199999999999619</v>
      </c>
      <c r="G16" s="18">
        <f t="shared" si="102"/>
        <v>1.0879999999999992</v>
      </c>
      <c r="H16" s="18">
        <v>3.41</v>
      </c>
      <c r="I16">
        <v>1.82</v>
      </c>
      <c r="J16">
        <f t="shared" ref="J16:J79" si="112">ROUND(AVERAGE(H16:I16),2)</f>
        <v>2.62</v>
      </c>
      <c r="K16" s="6">
        <f t="shared" ref="K16:K79" si="113">ROUND(AVERAGE(J16:J18),2)</f>
        <v>2.64</v>
      </c>
      <c r="L16" s="6">
        <f t="shared" ref="L16:L79" si="114">K16-K17</f>
        <v>2.0000000000000018E-2</v>
      </c>
      <c r="M16" s="18">
        <v>4.5</v>
      </c>
      <c r="N16" s="18">
        <v>216000</v>
      </c>
      <c r="O16" s="18">
        <f>ROUND(N16/VLOOKUP(EOMONTH(A16,-1),Employment!A:P,16,FALSE),4)</f>
        <v>0.83960000000000001</v>
      </c>
      <c r="P16" s="18">
        <f t="shared" si="103"/>
        <v>0.86409999999999998</v>
      </c>
      <c r="Q16" s="29">
        <f t="shared" si="104"/>
        <v>-9.4600000000000004E-2</v>
      </c>
      <c r="R16" s="29">
        <f t="shared" si="105"/>
        <v>1E-3</v>
      </c>
      <c r="S16">
        <v>1794000</v>
      </c>
      <c r="T16" s="18">
        <f>ROUND((S16/7)/VLOOKUP(EOMONTH(A16,-1),Employment!A:P,16,FALSE),4)</f>
        <v>0.99619999999999997</v>
      </c>
      <c r="U16" s="18">
        <f t="shared" si="106"/>
        <v>0.99750000000000005</v>
      </c>
      <c r="V16" s="29">
        <f t="shared" si="107"/>
        <v>-9.6100000000000005E-2</v>
      </c>
      <c r="W16" s="29">
        <f t="shared" si="108"/>
        <v>5.1000000000000004E-3</v>
      </c>
      <c r="X16" s="30">
        <f t="shared" si="109"/>
        <v>163.18</v>
      </c>
      <c r="Y16" s="31">
        <f t="shared" si="110"/>
        <v>157.72999999999999</v>
      </c>
    </row>
    <row r="17" spans="1:25" ht="16.5" customHeight="1" x14ac:dyDescent="0.25">
      <c r="A17" s="5">
        <v>43226</v>
      </c>
      <c r="B17" s="18">
        <v>2170.5100000000002</v>
      </c>
      <c r="C17" s="29">
        <f t="shared" si="111"/>
        <v>6.1999999999999998E-3</v>
      </c>
      <c r="D17" s="18">
        <v>-0.78</v>
      </c>
      <c r="E17" s="18">
        <v>-1.042</v>
      </c>
      <c r="F17" s="18">
        <f t="shared" si="101"/>
        <v>-0.30799999999999983</v>
      </c>
      <c r="G17" s="18">
        <f t="shared" si="102"/>
        <v>1.6520000000000028</v>
      </c>
      <c r="H17" s="18">
        <v>3.5</v>
      </c>
      <c r="I17">
        <v>1.86</v>
      </c>
      <c r="J17">
        <f t="shared" si="112"/>
        <v>2.68</v>
      </c>
      <c r="K17" s="6">
        <f t="shared" si="113"/>
        <v>2.62</v>
      </c>
      <c r="L17" s="6">
        <f t="shared" si="114"/>
        <v>2.0000000000000018E-2</v>
      </c>
      <c r="M17" s="18">
        <v>4.0999999999999996</v>
      </c>
      <c r="N17" s="18">
        <v>221500</v>
      </c>
      <c r="O17" s="18">
        <f>ROUND(N17/VLOOKUP(EOMONTH(A17,-1),Employment!A:P,16,FALSE),4)</f>
        <v>0.86099999999999999</v>
      </c>
      <c r="P17" s="18">
        <f t="shared" si="103"/>
        <v>0.8841</v>
      </c>
      <c r="Q17" s="29">
        <f t="shared" si="104"/>
        <v>-7.3200000000000001E-2</v>
      </c>
      <c r="R17" s="29">
        <f t="shared" si="105"/>
        <v>-1.55E-2</v>
      </c>
      <c r="S17">
        <v>1760000</v>
      </c>
      <c r="T17" s="18">
        <f>ROUND((S17/7)/VLOOKUP(EOMONTH(A17,-1),Employment!A:P,16,FALSE),4)</f>
        <v>0.97729999999999995</v>
      </c>
      <c r="U17" s="18">
        <f t="shared" si="106"/>
        <v>1.0111000000000001</v>
      </c>
      <c r="V17" s="29">
        <f t="shared" si="107"/>
        <v>-9.11E-2</v>
      </c>
      <c r="W17" s="29">
        <f t="shared" si="108"/>
        <v>-4.3E-3</v>
      </c>
      <c r="X17" s="30">
        <f t="shared" si="109"/>
        <v>155.01</v>
      </c>
      <c r="Y17" s="31">
        <f t="shared" si="110"/>
        <v>152.78</v>
      </c>
    </row>
    <row r="18" spans="1:25" ht="16.5" customHeight="1" x14ac:dyDescent="0.25">
      <c r="A18" s="5">
        <v>43219</v>
      </c>
      <c r="B18" s="18">
        <v>2162.4899999999998</v>
      </c>
      <c r="C18" s="29">
        <f t="shared" ref="C18:C81" si="115">ROUND((B18-AVERAGE(B19:B22))/AVERAGE(B19:B22),4)</f>
        <v>4.5999999999999999E-3</v>
      </c>
      <c r="D18" s="18">
        <v>-0.79</v>
      </c>
      <c r="E18" s="18">
        <v>-1.0680000000000001</v>
      </c>
      <c r="F18" s="18">
        <f t="shared" si="101"/>
        <v>1.1840000000000028</v>
      </c>
      <c r="G18" s="18">
        <f t="shared" si="102"/>
        <v>1.6920000000000019</v>
      </c>
      <c r="H18" s="18">
        <v>3.43</v>
      </c>
      <c r="I18">
        <v>1.8</v>
      </c>
      <c r="J18">
        <f t="shared" si="112"/>
        <v>2.62</v>
      </c>
      <c r="K18" s="6">
        <f t="shared" si="113"/>
        <v>2.6</v>
      </c>
      <c r="L18" s="6">
        <f t="shared" si="114"/>
        <v>-2.9999999999999805E-2</v>
      </c>
      <c r="M18" s="18">
        <v>3.5</v>
      </c>
      <c r="N18" s="18">
        <v>229250</v>
      </c>
      <c r="O18" s="18">
        <f>ROUND(N18/VLOOKUP(EOMONTH(A18,-1),Employment!A:P,16,FALSE),4)</f>
        <v>0.89170000000000005</v>
      </c>
      <c r="P18" s="18">
        <f t="shared" si="103"/>
        <v>0.89529999999999998</v>
      </c>
      <c r="Q18" s="29">
        <f t="shared" si="104"/>
        <v>-6.7100000000000007E-2</v>
      </c>
      <c r="R18" s="29">
        <f t="shared" si="105"/>
        <v>-2.0199999999999999E-2</v>
      </c>
      <c r="S18">
        <v>1834000</v>
      </c>
      <c r="T18" s="18">
        <f>ROUND((S18/7)/VLOOKUP(EOMONTH(A18,-1),Employment!A:P,16,FALSE),4)</f>
        <v>1.0190999999999999</v>
      </c>
      <c r="U18" s="18">
        <f t="shared" si="106"/>
        <v>1.0331999999999999</v>
      </c>
      <c r="V18" s="29">
        <f t="shared" si="107"/>
        <v>-7.7100000000000002E-2</v>
      </c>
      <c r="W18" s="29">
        <f t="shared" si="108"/>
        <v>-5.7000000000000002E-3</v>
      </c>
      <c r="X18" s="30">
        <f t="shared" si="109"/>
        <v>150.88</v>
      </c>
      <c r="Y18" s="31">
        <f t="shared" si="110"/>
        <v>151.69</v>
      </c>
    </row>
    <row r="19" spans="1:25" ht="16.5" customHeight="1" x14ac:dyDescent="0.25">
      <c r="A19" s="5">
        <v>43212</v>
      </c>
      <c r="B19" s="18">
        <v>2161.04</v>
      </c>
      <c r="C19" s="29">
        <f t="shared" si="115"/>
        <v>5.8999999999999999E-3</v>
      </c>
      <c r="D19" s="18">
        <v>-0.75</v>
      </c>
      <c r="E19" s="18">
        <v>-0.97</v>
      </c>
      <c r="F19" s="18">
        <f t="shared" si="101"/>
        <v>0.7759999999999998</v>
      </c>
      <c r="G19" s="18">
        <f t="shared" si="102"/>
        <v>-8.799999999999919E-2</v>
      </c>
      <c r="H19" s="18">
        <v>3.33</v>
      </c>
      <c r="I19">
        <v>1.78</v>
      </c>
      <c r="J19">
        <f t="shared" si="112"/>
        <v>2.56</v>
      </c>
      <c r="K19" s="6">
        <f t="shared" si="113"/>
        <v>2.63</v>
      </c>
      <c r="L19" s="6">
        <f t="shared" si="114"/>
        <v>-8.0000000000000071E-2</v>
      </c>
      <c r="M19" s="18">
        <v>3.2</v>
      </c>
      <c r="N19" s="18">
        <v>231250</v>
      </c>
      <c r="O19" s="18">
        <f>ROUND(N19/VLOOKUP(EOMONTH(A19,-1),Employment!A:P,16,FALSE),4)</f>
        <v>0.89949999999999997</v>
      </c>
      <c r="P19" s="18">
        <f t="shared" si="103"/>
        <v>0.89400000000000002</v>
      </c>
      <c r="Q19" s="29">
        <f t="shared" si="104"/>
        <v>-7.8299999999999995E-2</v>
      </c>
      <c r="R19" s="29">
        <f t="shared" si="105"/>
        <v>-9.4000000000000004E-3</v>
      </c>
      <c r="S19">
        <v>1866000</v>
      </c>
      <c r="T19" s="18">
        <f>ROUND((S19/7)/VLOOKUP(EOMONTH(A19,-1),Employment!A:P,16,FALSE),4)</f>
        <v>1.0368999999999999</v>
      </c>
      <c r="U19" s="18">
        <f t="shared" si="106"/>
        <v>1.0302</v>
      </c>
      <c r="V19" s="29">
        <f t="shared" si="107"/>
        <v>-8.5900000000000004E-2</v>
      </c>
      <c r="W19" s="29">
        <f t="shared" si="108"/>
        <v>-4.0000000000000002E-4</v>
      </c>
      <c r="X19" s="30">
        <f t="shared" si="109"/>
        <v>151.94999999999999</v>
      </c>
      <c r="Y19" s="31">
        <f t="shared" si="110"/>
        <v>153.38999999999999</v>
      </c>
    </row>
    <row r="20" spans="1:25" ht="16.5" customHeight="1" x14ac:dyDescent="0.25">
      <c r="A20" s="5">
        <v>43205</v>
      </c>
      <c r="B20" s="18">
        <v>2155.39</v>
      </c>
      <c r="C20" s="29">
        <f t="shared" si="115"/>
        <v>5.4000000000000003E-3</v>
      </c>
      <c r="D20" s="18">
        <v>-0.73</v>
      </c>
      <c r="E20" s="18">
        <v>-0.89800000000000002</v>
      </c>
      <c r="F20" s="18">
        <f t="shared" si="101"/>
        <v>-0.26800000000000068</v>
      </c>
      <c r="G20" s="18">
        <f t="shared" si="102"/>
        <v>-2.2040000000000024</v>
      </c>
      <c r="H20" s="18">
        <v>3.42</v>
      </c>
      <c r="I20">
        <v>1.79</v>
      </c>
      <c r="J20">
        <f t="shared" si="112"/>
        <v>2.61</v>
      </c>
      <c r="K20" s="6">
        <f t="shared" si="113"/>
        <v>2.71</v>
      </c>
      <c r="L20" s="6">
        <f t="shared" si="114"/>
        <v>-6.0000000000000053E-2</v>
      </c>
      <c r="M20" s="18">
        <v>3.9</v>
      </c>
      <c r="N20" s="18">
        <v>230000</v>
      </c>
      <c r="O20" s="18">
        <f>ROUND(N20/VLOOKUP(EOMONTH(A20,-1),Employment!A:P,16,FALSE),4)</f>
        <v>0.89459999999999995</v>
      </c>
      <c r="P20" s="18">
        <f t="shared" si="103"/>
        <v>0.88519999999999999</v>
      </c>
      <c r="Q20" s="29">
        <f t="shared" si="104"/>
        <v>-0.1012</v>
      </c>
      <c r="R20" s="29">
        <f t="shared" si="105"/>
        <v>2.5000000000000001E-3</v>
      </c>
      <c r="S20">
        <v>1878000</v>
      </c>
      <c r="T20" s="18">
        <f>ROUND((S20/7)/VLOOKUP(EOMONTH(A20,-1),Employment!A:P,16,FALSE),4)</f>
        <v>1.0435000000000001</v>
      </c>
      <c r="U20" s="18">
        <f t="shared" si="106"/>
        <v>1.032</v>
      </c>
      <c r="V20" s="29">
        <f t="shared" si="107"/>
        <v>-9.2499999999999999E-2</v>
      </c>
      <c r="W20" s="29">
        <f t="shared" si="108"/>
        <v>5.1000000000000004E-3</v>
      </c>
      <c r="X20" s="30">
        <f t="shared" si="109"/>
        <v>153.06</v>
      </c>
      <c r="Y20" s="31">
        <f t="shared" si="110"/>
        <v>156.13</v>
      </c>
    </row>
    <row r="21" spans="1:25" ht="16.5" customHeight="1" x14ac:dyDescent="0.25">
      <c r="A21" s="5">
        <v>43198</v>
      </c>
      <c r="B21" s="18">
        <v>2149.7399999999998</v>
      </c>
      <c r="C21" s="29">
        <f t="shared" si="115"/>
        <v>4.4999999999999997E-3</v>
      </c>
      <c r="D21" s="18">
        <v>-0.74</v>
      </c>
      <c r="E21" s="18">
        <v>-0.91900000000000004</v>
      </c>
      <c r="F21" s="18">
        <f t="shared" si="101"/>
        <v>-0.59599999999999831</v>
      </c>
      <c r="G21" s="18">
        <f t="shared" si="102"/>
        <v>-1.7879999999999985</v>
      </c>
      <c r="H21" s="18">
        <v>3.59</v>
      </c>
      <c r="I21">
        <v>1.84</v>
      </c>
      <c r="J21">
        <f t="shared" si="112"/>
        <v>2.72</v>
      </c>
      <c r="K21" s="6">
        <f t="shared" si="113"/>
        <v>2.77</v>
      </c>
      <c r="L21" s="6">
        <f t="shared" si="114"/>
        <v>0</v>
      </c>
      <c r="M21" s="18">
        <v>4.5</v>
      </c>
      <c r="N21" s="18">
        <v>228250</v>
      </c>
      <c r="O21" s="18">
        <f>ROUND(N21/VLOOKUP(EOMONTH(A21,-1),Employment!A:P,16,FALSE),4)</f>
        <v>0.88780000000000003</v>
      </c>
      <c r="P21" s="18">
        <f t="shared" si="103"/>
        <v>0.87729999999999997</v>
      </c>
      <c r="Q21" s="29">
        <f t="shared" si="104"/>
        <v>-0.1086</v>
      </c>
      <c r="R21" s="29">
        <f t="shared" si="105"/>
        <v>8.3999999999999995E-3</v>
      </c>
      <c r="S21">
        <v>1818000</v>
      </c>
      <c r="T21" s="18">
        <f>ROUND((S21/7)/VLOOKUP(EOMONTH(A21,-1),Employment!A:P,16,FALSE),4)</f>
        <v>1.0102</v>
      </c>
      <c r="U21" s="18">
        <f t="shared" si="106"/>
        <v>1.0245</v>
      </c>
      <c r="V21" s="29">
        <f t="shared" si="107"/>
        <v>-9.5600000000000004E-2</v>
      </c>
      <c r="W21" s="29">
        <f t="shared" si="108"/>
        <v>2.3E-3</v>
      </c>
      <c r="X21" s="30">
        <f t="shared" si="109"/>
        <v>157.80000000000001</v>
      </c>
      <c r="Y21" s="31">
        <f t="shared" si="110"/>
        <v>159.31</v>
      </c>
    </row>
    <row r="22" spans="1:25" ht="16.5" customHeight="1" x14ac:dyDescent="0.25">
      <c r="A22" s="5">
        <v>43191</v>
      </c>
      <c r="B22" s="18">
        <v>2144.34</v>
      </c>
      <c r="C22" s="29">
        <f t="shared" si="115"/>
        <v>3.2000000000000002E-3</v>
      </c>
      <c r="D22" s="18">
        <v>-0.77</v>
      </c>
      <c r="E22" s="18">
        <v>-0.95599999999999996</v>
      </c>
      <c r="F22" s="18">
        <f t="shared" si="101"/>
        <v>-1.3400000000000034</v>
      </c>
      <c r="G22" s="18">
        <f t="shared" si="102"/>
        <v>-1.2480000000000011</v>
      </c>
      <c r="H22" s="18">
        <v>3.77</v>
      </c>
      <c r="I22">
        <v>1.85</v>
      </c>
      <c r="J22">
        <f t="shared" si="112"/>
        <v>2.81</v>
      </c>
      <c r="K22" s="6">
        <f t="shared" si="113"/>
        <v>2.77</v>
      </c>
      <c r="L22" s="6">
        <f t="shared" si="114"/>
        <v>4.9999999999999822E-2</v>
      </c>
      <c r="M22" s="18">
        <v>5.2</v>
      </c>
      <c r="N22" s="18">
        <v>224500</v>
      </c>
      <c r="O22" s="18">
        <f>ROUND(N22/VLOOKUP(EOMONTH(A22,-1),Employment!A:P,16,FALSE),4)</f>
        <v>0.87319999999999998</v>
      </c>
      <c r="P22" s="18">
        <f t="shared" si="103"/>
        <v>0.86870000000000003</v>
      </c>
      <c r="Q22" s="29">
        <f t="shared" si="104"/>
        <v>-0.10920000000000001</v>
      </c>
      <c r="R22" s="29">
        <f t="shared" si="105"/>
        <v>7.6E-3</v>
      </c>
      <c r="S22">
        <v>1876000</v>
      </c>
      <c r="T22" s="18">
        <f>ROUND((S22/7)/VLOOKUP(EOMONTH(A22,-1),Employment!A:P,16,FALSE),4)</f>
        <v>1.0424</v>
      </c>
      <c r="U22" s="18">
        <f t="shared" si="106"/>
        <v>1.0356000000000001</v>
      </c>
      <c r="V22" s="29">
        <f t="shared" si="107"/>
        <v>-8.5099999999999995E-2</v>
      </c>
      <c r="W22" s="29">
        <f t="shared" si="108"/>
        <v>2.3E-3</v>
      </c>
      <c r="X22" s="30">
        <f t="shared" si="109"/>
        <v>159.6</v>
      </c>
      <c r="Y22" s="31">
        <f t="shared" si="110"/>
        <v>161.19</v>
      </c>
    </row>
    <row r="23" spans="1:25" ht="16.5" customHeight="1" x14ac:dyDescent="0.25">
      <c r="A23" s="5">
        <v>43184</v>
      </c>
      <c r="B23" s="18">
        <v>2144.34</v>
      </c>
      <c r="C23" s="29">
        <f t="shared" si="115"/>
        <v>4.8999999999999998E-3</v>
      </c>
      <c r="D23" s="18">
        <v>-0.78</v>
      </c>
      <c r="E23" s="18">
        <v>-1.111</v>
      </c>
      <c r="F23" s="18">
        <f t="shared" si="101"/>
        <v>0.14800000000000324</v>
      </c>
      <c r="G23" s="18">
        <f t="shared" si="102"/>
        <v>-0.6039999999999992</v>
      </c>
      <c r="H23" s="18">
        <v>3.7</v>
      </c>
      <c r="I23">
        <v>1.87</v>
      </c>
      <c r="J23">
        <f t="shared" si="112"/>
        <v>2.79</v>
      </c>
      <c r="K23" s="6">
        <f t="shared" si="113"/>
        <v>2.72</v>
      </c>
      <c r="L23" s="6">
        <f t="shared" si="114"/>
        <v>4.0000000000000036E-2</v>
      </c>
      <c r="M23" s="18">
        <v>5.5</v>
      </c>
      <c r="N23" s="18">
        <v>223750</v>
      </c>
      <c r="O23" s="18">
        <f>ROUND(N23/VLOOKUP(EOMONTH(A23,-1),Employment!A:P,16,FALSE),4)</f>
        <v>0.87080000000000002</v>
      </c>
      <c r="P23" s="18">
        <f t="shared" si="103"/>
        <v>0.86629999999999996</v>
      </c>
      <c r="Q23" s="29">
        <f t="shared" si="104"/>
        <v>-9.8500000000000004E-2</v>
      </c>
      <c r="R23" s="29">
        <f t="shared" si="105"/>
        <v>4.4000000000000003E-3</v>
      </c>
      <c r="S23">
        <v>1836000</v>
      </c>
      <c r="T23" s="18">
        <f>ROUND((S23/7)/VLOOKUP(EOMONTH(A23,-1),Employment!A:P,16,FALSE),4)</f>
        <v>1.0207999999999999</v>
      </c>
      <c r="U23" s="18">
        <f t="shared" si="106"/>
        <v>1.0331999999999999</v>
      </c>
      <c r="V23" s="29">
        <f t="shared" si="107"/>
        <v>-8.8800000000000004E-2</v>
      </c>
      <c r="W23" s="29">
        <f t="shared" si="108"/>
        <v>1.6999999999999999E-3</v>
      </c>
      <c r="X23" s="30">
        <f t="shared" si="109"/>
        <v>162.37</v>
      </c>
      <c r="Y23" s="31">
        <f t="shared" si="110"/>
        <v>162.85</v>
      </c>
    </row>
    <row r="24" spans="1:25" ht="16.5" customHeight="1" x14ac:dyDescent="0.25">
      <c r="A24" s="5">
        <v>43177</v>
      </c>
      <c r="B24" s="18">
        <v>2136.92</v>
      </c>
      <c r="C24" s="29">
        <f t="shared" si="115"/>
        <v>3.0999999999999999E-3</v>
      </c>
      <c r="D24" s="18">
        <v>-0.77</v>
      </c>
      <c r="E24" s="18">
        <v>-1.105</v>
      </c>
      <c r="F24" s="18">
        <f t="shared" si="101"/>
        <v>-5.6000000000000938E-2</v>
      </c>
      <c r="G24" s="18">
        <f t="shared" si="102"/>
        <v>-0.62800000000000011</v>
      </c>
      <c r="H24" s="18">
        <v>3.62</v>
      </c>
      <c r="I24">
        <v>1.79</v>
      </c>
      <c r="J24">
        <f t="shared" si="112"/>
        <v>2.71</v>
      </c>
      <c r="K24" s="6">
        <f t="shared" si="113"/>
        <v>2.68</v>
      </c>
      <c r="L24" s="6">
        <f t="shared" si="114"/>
        <v>3.0000000000000249E-2</v>
      </c>
      <c r="M24" s="18">
        <v>5.6</v>
      </c>
      <c r="N24" s="18">
        <v>221500</v>
      </c>
      <c r="O24" s="18">
        <f>ROUND(N24/VLOOKUP(EOMONTH(A24,-1),Employment!A:P,16,FALSE),4)</f>
        <v>0.86209999999999998</v>
      </c>
      <c r="P24" s="18">
        <f t="shared" si="103"/>
        <v>0.86209999999999998</v>
      </c>
      <c r="Q24" s="29">
        <f t="shared" si="104"/>
        <v>-9.4600000000000004E-2</v>
      </c>
      <c r="R24" s="29">
        <f t="shared" si="105"/>
        <v>4.7999999999999996E-3</v>
      </c>
      <c r="S24">
        <v>1877000</v>
      </c>
      <c r="T24" s="18">
        <f>ROUND((S24/7)/VLOOKUP(EOMONTH(A24,-1),Employment!A:P,16,FALSE),4)</f>
        <v>1.0436000000000001</v>
      </c>
      <c r="U24" s="18">
        <f t="shared" si="106"/>
        <v>1.0491999999999999</v>
      </c>
      <c r="V24" s="29">
        <f t="shared" si="107"/>
        <v>-8.2500000000000004E-2</v>
      </c>
      <c r="W24" s="29">
        <f t="shared" si="108"/>
        <v>5.1000000000000004E-3</v>
      </c>
      <c r="X24" s="30">
        <f t="shared" si="109"/>
        <v>162.19999999999999</v>
      </c>
      <c r="Y24" s="31">
        <f t="shared" si="110"/>
        <v>164.69</v>
      </c>
    </row>
    <row r="25" spans="1:25" ht="16.5" customHeight="1" x14ac:dyDescent="0.25">
      <c r="A25" s="5">
        <v>43170</v>
      </c>
      <c r="B25" s="18">
        <v>2134.48</v>
      </c>
      <c r="C25" s="29">
        <f t="shared" si="115"/>
        <v>3.3E-3</v>
      </c>
      <c r="D25" s="18">
        <v>-0.77</v>
      </c>
      <c r="E25" s="18">
        <v>-1.1120000000000001</v>
      </c>
      <c r="F25" s="18">
        <f t="shared" si="101"/>
        <v>-0.69600000000000151</v>
      </c>
      <c r="G25" s="18">
        <f t="shared" si="102"/>
        <v>-0.10800000000000054</v>
      </c>
      <c r="H25" s="18">
        <v>3.56</v>
      </c>
      <c r="I25">
        <v>1.77</v>
      </c>
      <c r="J25">
        <f t="shared" si="112"/>
        <v>2.67</v>
      </c>
      <c r="K25" s="6">
        <f t="shared" si="113"/>
        <v>2.65</v>
      </c>
      <c r="L25" s="6">
        <f t="shared" si="114"/>
        <v>2.0000000000000018E-2</v>
      </c>
      <c r="M25" s="18">
        <v>5.3</v>
      </c>
      <c r="N25" s="18">
        <v>222500</v>
      </c>
      <c r="O25" s="18">
        <f>ROUND(N25/VLOOKUP(EOMONTH(A25,-1),Employment!A:P,16,FALSE),4)</f>
        <v>0.86599999999999999</v>
      </c>
      <c r="P25" s="18">
        <f t="shared" si="103"/>
        <v>0.86809999999999998</v>
      </c>
      <c r="Q25" s="29">
        <f t="shared" si="104"/>
        <v>-9.1600000000000001E-2</v>
      </c>
      <c r="R25" s="29">
        <f t="shared" si="105"/>
        <v>8.3000000000000001E-3</v>
      </c>
      <c r="S25">
        <v>1862000</v>
      </c>
      <c r="T25" s="18">
        <f>ROUND((S25/7)/VLOOKUP(EOMONTH(A25,-1),Employment!A:P,16,FALSE),4)</f>
        <v>1.0353000000000001</v>
      </c>
      <c r="U25" s="18">
        <f t="shared" si="106"/>
        <v>1.0466</v>
      </c>
      <c r="V25" s="29">
        <f t="shared" si="107"/>
        <v>-8.8499999999999995E-2</v>
      </c>
      <c r="W25" s="29">
        <f t="shared" si="108"/>
        <v>4.8999999999999998E-3</v>
      </c>
      <c r="X25" s="30">
        <f t="shared" si="109"/>
        <v>165.7</v>
      </c>
      <c r="Y25" s="31">
        <f t="shared" si="110"/>
        <v>167.43</v>
      </c>
    </row>
    <row r="26" spans="1:25" ht="16.5" customHeight="1" x14ac:dyDescent="0.25">
      <c r="A26" s="5">
        <v>43163</v>
      </c>
      <c r="B26" s="18">
        <v>2134.41</v>
      </c>
      <c r="C26" s="29">
        <f t="shared" si="115"/>
        <v>4.4999999999999997E-3</v>
      </c>
      <c r="D26" s="18">
        <v>-0.79</v>
      </c>
      <c r="E26" s="18">
        <v>-1.1739999999999999</v>
      </c>
      <c r="F26" s="18">
        <f t="shared" si="101"/>
        <v>0.12400000000000233</v>
      </c>
      <c r="G26" s="18">
        <f t="shared" si="102"/>
        <v>-2.3320000000000007</v>
      </c>
      <c r="H26" s="18">
        <v>3.59</v>
      </c>
      <c r="I26">
        <v>1.72</v>
      </c>
      <c r="J26">
        <f t="shared" si="112"/>
        <v>2.66</v>
      </c>
      <c r="K26" s="6">
        <f t="shared" si="113"/>
        <v>2.63</v>
      </c>
      <c r="L26" s="6">
        <f t="shared" si="114"/>
        <v>9.9999999999997868E-3</v>
      </c>
      <c r="M26" s="18">
        <v>6.9</v>
      </c>
      <c r="N26" s="18">
        <v>220500</v>
      </c>
      <c r="O26" s="18">
        <f>ROUND(N26/VLOOKUP(EOMONTH(A26,-1),Employment!A:P,16,FALSE),4)</f>
        <v>0.85819999999999996</v>
      </c>
      <c r="P26" s="18">
        <f t="shared" si="103"/>
        <v>0.87609999999999999</v>
      </c>
      <c r="Q26" s="29">
        <f t="shared" si="104"/>
        <v>-8.7499999999999994E-2</v>
      </c>
      <c r="R26" s="29">
        <f t="shared" si="105"/>
        <v>1.8599999999999998E-2</v>
      </c>
      <c r="S26">
        <v>1922000</v>
      </c>
      <c r="T26" s="18">
        <f>ROUND((S26/7)/VLOOKUP(EOMONTH(A26,-1),Employment!A:P,16,FALSE),4)</f>
        <v>1.0686</v>
      </c>
      <c r="U26" s="18">
        <f t="shared" si="106"/>
        <v>1.0603</v>
      </c>
      <c r="V26" s="29">
        <f t="shared" si="107"/>
        <v>-7.8399999999999997E-2</v>
      </c>
      <c r="W26" s="29">
        <f t="shared" si="108"/>
        <v>6.3E-3</v>
      </c>
      <c r="X26" s="30">
        <f t="shared" si="109"/>
        <v>168.41</v>
      </c>
      <c r="Y26" s="31">
        <f t="shared" si="110"/>
        <v>168.05</v>
      </c>
    </row>
    <row r="27" spans="1:25" ht="16.5" customHeight="1" x14ac:dyDescent="0.25">
      <c r="A27" s="5">
        <v>43156</v>
      </c>
      <c r="B27" s="18">
        <v>2129.75</v>
      </c>
      <c r="C27" s="29">
        <f t="shared" si="115"/>
        <v>2.3999999999999998E-3</v>
      </c>
      <c r="D27" s="18">
        <v>-0.8</v>
      </c>
      <c r="E27" s="18">
        <v>-1.1459999999999999</v>
      </c>
      <c r="F27" s="18">
        <f t="shared" si="101"/>
        <v>0.46399999999999864</v>
      </c>
      <c r="G27" s="18">
        <f t="shared" si="102"/>
        <v>-3.6799999999999997</v>
      </c>
      <c r="H27" s="18">
        <v>3.53</v>
      </c>
      <c r="I27">
        <v>1.68</v>
      </c>
      <c r="J27">
        <f t="shared" si="112"/>
        <v>2.61</v>
      </c>
      <c r="K27" s="6">
        <f t="shared" si="113"/>
        <v>2.62</v>
      </c>
      <c r="L27" s="6">
        <f t="shared" si="114"/>
        <v>6.0000000000000053E-2</v>
      </c>
      <c r="M27" s="18">
        <v>7.5</v>
      </c>
      <c r="N27" s="18">
        <v>226000</v>
      </c>
      <c r="O27" s="18">
        <f>ROUND(N27/VLOOKUP(EOMONTH(A27,-1),Employment!A:P,16,FALSE),4)</f>
        <v>0.88009999999999999</v>
      </c>
      <c r="P27" s="18">
        <f t="shared" si="103"/>
        <v>0.88139999999999996</v>
      </c>
      <c r="Q27" s="29">
        <f t="shared" si="104"/>
        <v>-8.8700000000000001E-2</v>
      </c>
      <c r="R27" s="29">
        <f t="shared" si="105"/>
        <v>2.87E-2</v>
      </c>
      <c r="S27">
        <v>1862000</v>
      </c>
      <c r="T27" s="18">
        <f>ROUND((S27/7)/VLOOKUP(EOMONTH(A27,-1),Employment!A:P,16,FALSE),4)</f>
        <v>1.0359</v>
      </c>
      <c r="U27" s="18">
        <f t="shared" si="106"/>
        <v>1.0585</v>
      </c>
      <c r="V27" s="29">
        <f t="shared" si="107"/>
        <v>-8.1799999999999998E-2</v>
      </c>
      <c r="W27" s="29">
        <f t="shared" si="108"/>
        <v>2.3E-3</v>
      </c>
      <c r="X27" s="30">
        <f t="shared" si="109"/>
        <v>169.28</v>
      </c>
      <c r="Y27" s="31">
        <f t="shared" si="110"/>
        <v>166.21</v>
      </c>
    </row>
    <row r="28" spans="1:25" ht="16.5" customHeight="1" x14ac:dyDescent="0.25">
      <c r="A28" s="5">
        <v>43149</v>
      </c>
      <c r="B28" s="18">
        <v>2122.9499999999998</v>
      </c>
      <c r="C28" s="29">
        <f t="shared" si="115"/>
        <v>-1.5E-3</v>
      </c>
      <c r="D28" s="18">
        <v>-0.82</v>
      </c>
      <c r="E28" s="18">
        <v>-1.0629999999999999</v>
      </c>
      <c r="F28" s="18">
        <f t="shared" si="101"/>
        <v>-2.9200000000000017</v>
      </c>
      <c r="G28" s="18">
        <f t="shared" si="102"/>
        <v>-4.3999999999999986</v>
      </c>
      <c r="H28" s="18">
        <v>3.57</v>
      </c>
      <c r="I28">
        <v>1.66</v>
      </c>
      <c r="J28">
        <f t="shared" si="112"/>
        <v>2.62</v>
      </c>
      <c r="K28" s="6">
        <f t="shared" si="113"/>
        <v>2.56</v>
      </c>
      <c r="L28" s="6">
        <f t="shared" si="114"/>
        <v>6.0000000000000053E-2</v>
      </c>
      <c r="M28" s="18">
        <v>8.5</v>
      </c>
      <c r="N28" s="18">
        <v>228500</v>
      </c>
      <c r="O28" s="18">
        <f>ROUND(N28/VLOOKUP(EOMONTH(A28,-1),Employment!A:P,16,FALSE),4)</f>
        <v>0.88990000000000002</v>
      </c>
      <c r="P28" s="18">
        <f t="shared" si="103"/>
        <v>0.89249999999999996</v>
      </c>
      <c r="Q28" s="29">
        <f t="shared" si="104"/>
        <v>-7.9100000000000004E-2</v>
      </c>
      <c r="R28" s="29">
        <f t="shared" si="105"/>
        <v>2.6800000000000001E-2</v>
      </c>
      <c r="S28">
        <v>1935000</v>
      </c>
      <c r="T28" s="18">
        <f>ROUND((S28/7)/VLOOKUP(EOMONTH(A28,-1),Employment!A:P,16,FALSE),4)</f>
        <v>1.0765</v>
      </c>
      <c r="U28" s="18">
        <f t="shared" si="106"/>
        <v>1.073</v>
      </c>
      <c r="V28" s="29">
        <f t="shared" si="107"/>
        <v>-7.0599999999999996E-2</v>
      </c>
      <c r="W28" s="29">
        <f t="shared" si="108"/>
        <v>-3.5000000000000001E-3</v>
      </c>
      <c r="X28" s="30">
        <f t="shared" si="109"/>
        <v>164.05</v>
      </c>
      <c r="Y28" s="31">
        <f t="shared" si="110"/>
        <v>161.82</v>
      </c>
    </row>
    <row r="29" spans="1:25" ht="16.5" customHeight="1" x14ac:dyDescent="0.25">
      <c r="A29" s="5">
        <v>43142</v>
      </c>
      <c r="B29" s="18">
        <v>2122.8000000000002</v>
      </c>
      <c r="C29" s="29">
        <f t="shared" si="115"/>
        <v>-2.8999999999999998E-3</v>
      </c>
      <c r="D29" s="18">
        <v>-0.88</v>
      </c>
      <c r="E29" s="18">
        <v>-1.353</v>
      </c>
      <c r="F29" s="18">
        <f t="shared" si="101"/>
        <v>-1.2239999999999966</v>
      </c>
      <c r="G29" s="18">
        <f t="shared" si="102"/>
        <v>-1.6119999999999983</v>
      </c>
      <c r="H29" s="18">
        <v>3.59</v>
      </c>
      <c r="I29">
        <v>1.67</v>
      </c>
      <c r="J29">
        <f t="shared" si="112"/>
        <v>2.63</v>
      </c>
      <c r="K29" s="6">
        <f t="shared" si="113"/>
        <v>2.5</v>
      </c>
      <c r="L29" s="6">
        <f t="shared" si="114"/>
        <v>4.0000000000000036E-2</v>
      </c>
      <c r="M29" s="18">
        <v>8.8000000000000007</v>
      </c>
      <c r="N29" s="18">
        <v>224500</v>
      </c>
      <c r="O29" s="18">
        <f>ROUND(N29/VLOOKUP(EOMONTH(A29,-1),Employment!A:P,16,FALSE),4)</f>
        <v>0.87429999999999997</v>
      </c>
      <c r="P29" s="18">
        <f t="shared" si="103"/>
        <v>0.90820000000000001</v>
      </c>
      <c r="Q29" s="29">
        <f t="shared" si="104"/>
        <v>-5.9499999999999997E-2</v>
      </c>
      <c r="R29" s="29">
        <f t="shared" si="105"/>
        <v>9.9000000000000008E-3</v>
      </c>
      <c r="S29">
        <v>1911000</v>
      </c>
      <c r="T29" s="18">
        <f>ROUND((S29/7)/VLOOKUP(EOMONTH(A29,-1),Employment!A:P,16,FALSE),4)</f>
        <v>1.0631999999999999</v>
      </c>
      <c r="U29" s="18">
        <f t="shared" si="106"/>
        <v>1.0714999999999999</v>
      </c>
      <c r="V29" s="29">
        <f t="shared" si="107"/>
        <v>-7.3300000000000004E-2</v>
      </c>
      <c r="W29" s="29">
        <f t="shared" si="108"/>
        <v>-1.15E-2</v>
      </c>
      <c r="X29" s="30">
        <f t="shared" si="109"/>
        <v>163.92</v>
      </c>
      <c r="Y29" s="31">
        <f t="shared" si="110"/>
        <v>155.44999999999999</v>
      </c>
    </row>
    <row r="30" spans="1:25" ht="16.5" customHeight="1" x14ac:dyDescent="0.25">
      <c r="A30" s="5">
        <v>43135</v>
      </c>
      <c r="B30" s="18">
        <v>2124.09</v>
      </c>
      <c r="C30" s="29">
        <f t="shared" si="115"/>
        <v>-2.7000000000000001E-3</v>
      </c>
      <c r="D30" s="18">
        <v>-0.94</v>
      </c>
      <c r="E30" s="18">
        <v>-1.431</v>
      </c>
      <c r="F30" s="18">
        <f t="shared" si="101"/>
        <v>-0.25600000000000023</v>
      </c>
      <c r="G30" s="18">
        <f t="shared" si="102"/>
        <v>-0.80400000000000205</v>
      </c>
      <c r="H30" s="18">
        <v>3.29</v>
      </c>
      <c r="I30">
        <v>1.58</v>
      </c>
      <c r="J30">
        <f t="shared" si="112"/>
        <v>2.44</v>
      </c>
      <c r="K30" s="6">
        <f t="shared" si="113"/>
        <v>2.46</v>
      </c>
      <c r="L30" s="6">
        <f t="shared" si="114"/>
        <v>-3.0000000000000249E-2</v>
      </c>
      <c r="M30" s="18">
        <v>7.3</v>
      </c>
      <c r="N30" s="18">
        <v>234500</v>
      </c>
      <c r="O30" s="18">
        <f>ROUND(N30/VLOOKUP(EOMONTH(A30,-1),Employment!A:P,16,FALSE),4)</f>
        <v>0.91320000000000001</v>
      </c>
      <c r="P30" s="18">
        <f t="shared" si="103"/>
        <v>0.93500000000000005</v>
      </c>
      <c r="Q30" s="29">
        <f t="shared" si="104"/>
        <v>-3.2599999999999997E-2</v>
      </c>
      <c r="R30" s="29">
        <f t="shared" si="105"/>
        <v>-1.44E-2</v>
      </c>
      <c r="S30">
        <v>1940000</v>
      </c>
      <c r="T30" s="18">
        <f>ROUND((S30/7)/VLOOKUP(EOMONTH(A30,-1),Employment!A:P,16,FALSE),4)</f>
        <v>1.0792999999999999</v>
      </c>
      <c r="U30" s="18">
        <f t="shared" si="106"/>
        <v>1.0786</v>
      </c>
      <c r="V30" s="29">
        <f t="shared" si="107"/>
        <v>-6.4899999999999999E-2</v>
      </c>
      <c r="W30" s="29">
        <f t="shared" si="108"/>
        <v>-1.04E-2</v>
      </c>
      <c r="X30" s="30">
        <f t="shared" si="109"/>
        <v>151</v>
      </c>
      <c r="Y30" s="31">
        <f t="shared" si="110"/>
        <v>148.59</v>
      </c>
    </row>
    <row r="31" spans="1:25" ht="16.5" customHeight="1" x14ac:dyDescent="0.25">
      <c r="A31" s="5">
        <v>43128</v>
      </c>
      <c r="B31" s="18">
        <v>2128.9499999999998</v>
      </c>
      <c r="C31" s="29">
        <f t="shared" si="115"/>
        <v>6.9999999999999999E-4</v>
      </c>
      <c r="D31" s="18">
        <v>-0.94</v>
      </c>
      <c r="E31" s="18">
        <v>-1.4630000000000001</v>
      </c>
      <c r="F31" s="18">
        <f t="shared" si="101"/>
        <v>-0.13200000000000145</v>
      </c>
      <c r="G31" s="18">
        <f t="shared" si="102"/>
        <v>-0.29200000000000159</v>
      </c>
      <c r="H31" s="18">
        <v>3.28</v>
      </c>
      <c r="I31">
        <v>1.6</v>
      </c>
      <c r="J31">
        <f t="shared" si="112"/>
        <v>2.44</v>
      </c>
      <c r="K31" s="6">
        <f t="shared" si="113"/>
        <v>2.4900000000000002</v>
      </c>
      <c r="L31" s="6">
        <f t="shared" si="114"/>
        <v>-4.9999999999999822E-2</v>
      </c>
      <c r="M31" s="18">
        <v>5.8</v>
      </c>
      <c r="N31" s="18">
        <v>240000</v>
      </c>
      <c r="O31" s="18">
        <f>ROUND(N31/VLOOKUP(EOMONTH(A31,-1),Employment!A:P,16,FALSE),4)</f>
        <v>0.93710000000000004</v>
      </c>
      <c r="P31" s="18">
        <f t="shared" si="103"/>
        <v>0.95699999999999996</v>
      </c>
      <c r="Q31" s="29">
        <f t="shared" si="104"/>
        <v>-1.6E-2</v>
      </c>
      <c r="R31" s="29">
        <f t="shared" si="105"/>
        <v>-2.75E-2</v>
      </c>
      <c r="S31">
        <v>1922000</v>
      </c>
      <c r="T31" s="18">
        <f>ROUND((S31/7)/VLOOKUP(EOMONTH(A31,-1),Employment!A:P,16,FALSE),4)</f>
        <v>1.0721000000000001</v>
      </c>
      <c r="U31" s="18">
        <f t="shared" si="106"/>
        <v>1.0670999999999999</v>
      </c>
      <c r="V31" s="29">
        <f t="shared" si="107"/>
        <v>-7.8799999999999995E-2</v>
      </c>
      <c r="W31" s="29">
        <f t="shared" si="108"/>
        <v>1.1999999999999999E-3</v>
      </c>
      <c r="X31" s="30">
        <f t="shared" si="109"/>
        <v>145.37</v>
      </c>
      <c r="Y31" s="31">
        <f t="shared" si="110"/>
        <v>150.51</v>
      </c>
    </row>
    <row r="32" spans="1:25" ht="16.5" customHeight="1" x14ac:dyDescent="0.25">
      <c r="A32" s="5">
        <v>43121</v>
      </c>
      <c r="B32" s="18">
        <v>2128.9499999999998</v>
      </c>
      <c r="C32" s="29">
        <f t="shared" si="115"/>
        <v>2.0999999999999999E-3</v>
      </c>
      <c r="D32" s="18">
        <v>-0.93</v>
      </c>
      <c r="E32" s="18">
        <v>-1.492</v>
      </c>
      <c r="F32" s="18">
        <f t="shared" si="101"/>
        <v>-0.41600000000000037</v>
      </c>
      <c r="G32" s="18">
        <f t="shared" si="102"/>
        <v>0.34799999999999898</v>
      </c>
      <c r="H32" s="18">
        <v>3.35</v>
      </c>
      <c r="I32">
        <v>1.64</v>
      </c>
      <c r="J32">
        <f t="shared" si="112"/>
        <v>2.5</v>
      </c>
      <c r="K32" s="6">
        <f t="shared" si="113"/>
        <v>2.54</v>
      </c>
      <c r="L32" s="6">
        <f t="shared" si="114"/>
        <v>-4.9999999999999822E-2</v>
      </c>
      <c r="M32" s="18">
        <v>4.5</v>
      </c>
      <c r="N32" s="18">
        <v>244500</v>
      </c>
      <c r="O32" s="18">
        <f>ROUND(N32/VLOOKUP(EOMONTH(A32,-1),Employment!A:P,16,FALSE),4)</f>
        <v>0.95469999999999999</v>
      </c>
      <c r="P32" s="18">
        <f t="shared" si="103"/>
        <v>0.95920000000000005</v>
      </c>
      <c r="Q32" s="29">
        <f t="shared" si="104"/>
        <v>-2.5499999999999998E-2</v>
      </c>
      <c r="R32" s="29">
        <f t="shared" si="105"/>
        <v>-2.2499999999999999E-2</v>
      </c>
      <c r="S32">
        <v>1944000</v>
      </c>
      <c r="T32" s="18">
        <f>ROUND((S32/7)/VLOOKUP(EOMONTH(A32,-1),Employment!A:P,16,FALSE),4)</f>
        <v>1.0844</v>
      </c>
      <c r="U32" s="18">
        <f t="shared" si="106"/>
        <v>1.0612999999999999</v>
      </c>
      <c r="V32" s="29">
        <f t="shared" si="107"/>
        <v>-8.9599999999999999E-2</v>
      </c>
      <c r="W32" s="29">
        <f t="shared" si="108"/>
        <v>1.32E-2</v>
      </c>
      <c r="X32" s="30">
        <f t="shared" si="109"/>
        <v>150.62</v>
      </c>
      <c r="Y32" s="31">
        <f t="shared" si="110"/>
        <v>159.34</v>
      </c>
    </row>
    <row r="33" spans="1:25" ht="16.5" customHeight="1" x14ac:dyDescent="0.25">
      <c r="A33" s="5">
        <v>43114</v>
      </c>
      <c r="B33" s="18">
        <v>2133.63</v>
      </c>
      <c r="C33" s="29">
        <f t="shared" si="115"/>
        <v>6.7000000000000002E-3</v>
      </c>
      <c r="D33" s="18">
        <v>-0.91</v>
      </c>
      <c r="E33" s="18">
        <v>-1.569</v>
      </c>
      <c r="F33" s="18">
        <f t="shared" si="101"/>
        <v>0.25600000000000023</v>
      </c>
      <c r="G33" s="18">
        <f t="shared" si="102"/>
        <v>0.33600000000000207</v>
      </c>
      <c r="H33" s="18">
        <v>3.4</v>
      </c>
      <c r="I33">
        <v>1.68</v>
      </c>
      <c r="J33">
        <f t="shared" si="112"/>
        <v>2.54</v>
      </c>
      <c r="K33" s="6">
        <f t="shared" si="113"/>
        <v>2.59</v>
      </c>
      <c r="L33" s="6">
        <f t="shared" si="114"/>
        <v>-5.0000000000000266E-2</v>
      </c>
      <c r="M33" s="18">
        <v>3.3</v>
      </c>
      <c r="N33" s="18">
        <v>250750</v>
      </c>
      <c r="O33" s="18">
        <f>ROUND(N33/VLOOKUP(EOMONTH(A33,-1),Employment!A:P,16,FALSE),4)</f>
        <v>0.97909999999999997</v>
      </c>
      <c r="P33" s="18">
        <f t="shared" si="103"/>
        <v>0.9506</v>
      </c>
      <c r="Q33" s="29">
        <f t="shared" si="104"/>
        <v>-4.6899999999999997E-2</v>
      </c>
      <c r="R33" s="29">
        <f t="shared" si="105"/>
        <v>-4.1999999999999997E-3</v>
      </c>
      <c r="S33">
        <v>1873000</v>
      </c>
      <c r="T33" s="18">
        <f>ROUND((S33/7)/VLOOKUP(EOMONTH(A33,-1),Employment!A:P,16,FALSE),4)</f>
        <v>1.0448</v>
      </c>
      <c r="U33" s="18">
        <f t="shared" si="106"/>
        <v>1.0601</v>
      </c>
      <c r="V33" s="29">
        <f t="shared" si="107"/>
        <v>-9.6600000000000005E-2</v>
      </c>
      <c r="W33" s="29">
        <f t="shared" si="108"/>
        <v>1.3899999999999999E-2</v>
      </c>
      <c r="X33" s="30">
        <f t="shared" si="109"/>
        <v>163.11000000000001</v>
      </c>
      <c r="Y33" s="31">
        <f t="shared" si="110"/>
        <v>167.63</v>
      </c>
    </row>
    <row r="34" spans="1:25" ht="16.5" customHeight="1" x14ac:dyDescent="0.25">
      <c r="A34" s="5">
        <v>43107</v>
      </c>
      <c r="B34" s="18">
        <v>2127.65</v>
      </c>
      <c r="C34" s="29">
        <f t="shared" si="115"/>
        <v>5.1999999999999998E-3</v>
      </c>
      <c r="D34">
        <v>-0.89</v>
      </c>
      <c r="E34" s="18">
        <v>-1.5620000000000001</v>
      </c>
      <c r="F34" s="18">
        <f t="shared" si="101"/>
        <v>0.50799999999999912</v>
      </c>
      <c r="G34" s="18">
        <f t="shared" si="102"/>
        <v>-7.1999999999999176E-2</v>
      </c>
      <c r="H34" s="18">
        <v>3.4</v>
      </c>
      <c r="I34">
        <v>1.76</v>
      </c>
      <c r="J34">
        <f t="shared" si="112"/>
        <v>2.58</v>
      </c>
      <c r="K34" s="6">
        <f t="shared" si="113"/>
        <v>2.64</v>
      </c>
      <c r="L34" s="6">
        <f t="shared" si="114"/>
        <v>-4.9999999999999822E-2</v>
      </c>
      <c r="M34" s="18">
        <v>3.5</v>
      </c>
      <c r="N34" s="18">
        <v>241750</v>
      </c>
      <c r="O34" s="18">
        <f>ROUND(N34/VLOOKUP(EOMONTH(A34,-1),Employment!A:P,16,FALSE),4)</f>
        <v>0.94389999999999996</v>
      </c>
      <c r="P34" s="18">
        <f t="shared" si="103"/>
        <v>0.93159999999999998</v>
      </c>
      <c r="Q34" s="29">
        <f t="shared" si="104"/>
        <v>-7.2300000000000003E-2</v>
      </c>
      <c r="R34" s="29">
        <f t="shared" si="105"/>
        <v>1.41E-2</v>
      </c>
      <c r="S34">
        <v>1891000</v>
      </c>
      <c r="T34" s="18">
        <f>ROUND((S34/7)/VLOOKUP(EOMONTH(A34,-1),Employment!A:P,16,FALSE),4)</f>
        <v>1.0548</v>
      </c>
      <c r="U34" s="18">
        <f t="shared" si="106"/>
        <v>1.0705</v>
      </c>
      <c r="V34" s="29">
        <f t="shared" si="107"/>
        <v>-8.1199999999999994E-2</v>
      </c>
      <c r="W34" s="29">
        <f t="shared" si="108"/>
        <v>6.7000000000000002E-3</v>
      </c>
      <c r="X34" s="30">
        <f t="shared" si="109"/>
        <v>171.72</v>
      </c>
      <c r="Y34" s="31">
        <f t="shared" si="110"/>
        <v>168.06</v>
      </c>
    </row>
    <row r="35" spans="1:25" ht="16.5" customHeight="1" x14ac:dyDescent="0.25">
      <c r="A35" s="5">
        <v>43100</v>
      </c>
      <c r="B35" s="18">
        <v>2119.9899999999998</v>
      </c>
      <c r="C35" s="29">
        <f t="shared" si="115"/>
        <v>1.6999999999999999E-3</v>
      </c>
      <c r="D35" s="18">
        <v>-0.92</v>
      </c>
      <c r="E35" s="18">
        <v>-1.4610000000000001</v>
      </c>
      <c r="F35" s="18">
        <f t="shared" si="101"/>
        <v>-0.42799999999999727</v>
      </c>
      <c r="G35" s="18">
        <f t="shared" si="102"/>
        <v>-0.71199999999999974</v>
      </c>
      <c r="H35" s="18">
        <v>3.55</v>
      </c>
      <c r="I35">
        <v>1.77</v>
      </c>
      <c r="J35">
        <f t="shared" si="112"/>
        <v>2.66</v>
      </c>
      <c r="K35" s="6">
        <f t="shared" si="113"/>
        <v>2.69</v>
      </c>
      <c r="L35" s="6">
        <f t="shared" si="114"/>
        <v>-3.0000000000000249E-2</v>
      </c>
      <c r="M35" s="18">
        <v>3.5</v>
      </c>
      <c r="N35" s="18">
        <v>237750</v>
      </c>
      <c r="O35" s="18">
        <f>ROUND(N35/VLOOKUP(EOMONTH(A35,-1),Employment!A:P,16,FALSE),4)</f>
        <v>0.92889999999999995</v>
      </c>
      <c r="P35" s="18">
        <f t="shared" si="103"/>
        <v>0.92269999999999996</v>
      </c>
      <c r="Q35" s="29">
        <f t="shared" si="104"/>
        <v>-8.0500000000000002E-2</v>
      </c>
      <c r="R35" s="29">
        <f t="shared" si="105"/>
        <v>1.7299999999999999E-2</v>
      </c>
      <c r="S35">
        <v>1936000</v>
      </c>
      <c r="T35" s="18">
        <f>ROUND((S35/7)/VLOOKUP(EOMONTH(A35,-1),Employment!A:P,16,FALSE),4)</f>
        <v>1.0806</v>
      </c>
      <c r="U35" s="18">
        <f t="shared" si="106"/>
        <v>1.0716000000000001</v>
      </c>
      <c r="V35" s="29">
        <f t="shared" si="107"/>
        <v>-6.9000000000000006E-2</v>
      </c>
      <c r="W35" s="29">
        <f t="shared" si="108"/>
        <v>2.9999999999999997E-4</v>
      </c>
      <c r="X35" s="30">
        <f t="shared" si="109"/>
        <v>168.7</v>
      </c>
      <c r="Y35" s="31">
        <f t="shared" si="110"/>
        <v>160.66</v>
      </c>
    </row>
    <row r="36" spans="1:25" ht="16.5" customHeight="1" x14ac:dyDescent="0.25">
      <c r="A36" s="5">
        <v>43093</v>
      </c>
      <c r="B36" s="18">
        <v>2116.41</v>
      </c>
      <c r="C36" s="29">
        <f t="shared" si="115"/>
        <v>-4.0000000000000002E-4</v>
      </c>
      <c r="D36" s="18">
        <v>-0.91</v>
      </c>
      <c r="E36" s="18">
        <v>-1.5269999999999999</v>
      </c>
      <c r="F36" s="18">
        <f t="shared" si="101"/>
        <v>-0.15200000000000102</v>
      </c>
      <c r="G36" s="18">
        <f t="shared" si="102"/>
        <v>-1.5160000000000018</v>
      </c>
      <c r="H36" s="18">
        <v>3.57</v>
      </c>
      <c r="I36">
        <v>1.79</v>
      </c>
      <c r="J36">
        <f t="shared" si="112"/>
        <v>2.68</v>
      </c>
      <c r="K36" s="6">
        <f t="shared" si="113"/>
        <v>2.72</v>
      </c>
      <c r="L36" s="6">
        <f t="shared" si="114"/>
        <v>-2.0000000000000018E-2</v>
      </c>
      <c r="M36" s="18">
        <v>3.4</v>
      </c>
      <c r="N36" s="18">
        <v>236000</v>
      </c>
      <c r="O36" s="18">
        <f>ROUND(N36/VLOOKUP(EOMONTH(A36,-1),Employment!A:P,16,FALSE),4)</f>
        <v>0.92210000000000003</v>
      </c>
      <c r="P36" s="18">
        <f t="shared" si="103"/>
        <v>0.92759999999999998</v>
      </c>
      <c r="Q36" s="29">
        <f t="shared" si="104"/>
        <v>-6.83E-2</v>
      </c>
      <c r="R36" s="29">
        <f t="shared" si="105"/>
        <v>4.7999999999999996E-3</v>
      </c>
      <c r="S36">
        <v>1928000</v>
      </c>
      <c r="T36" s="18">
        <f>ROUND((S36/7)/VLOOKUP(EOMONTH(A36,-1),Employment!A:P,16,FALSE),4)</f>
        <v>1.0761000000000001</v>
      </c>
      <c r="U36" s="18">
        <f t="shared" si="106"/>
        <v>1.0672999999999999</v>
      </c>
      <c r="V36" s="29">
        <f t="shared" si="107"/>
        <v>-6.3E-2</v>
      </c>
      <c r="W36" s="29">
        <f t="shared" si="108"/>
        <v>-2.3E-3</v>
      </c>
      <c r="X36" s="30">
        <f t="shared" si="109"/>
        <v>157.33000000000001</v>
      </c>
      <c r="Y36" s="31">
        <f t="shared" si="110"/>
        <v>151.24</v>
      </c>
    </row>
    <row r="37" spans="1:25" ht="16.5" customHeight="1" x14ac:dyDescent="0.25">
      <c r="A37" s="5">
        <v>43086</v>
      </c>
      <c r="B37" s="18">
        <v>2114.02</v>
      </c>
      <c r="C37" s="29">
        <f t="shared" si="115"/>
        <v>-2.5999999999999999E-3</v>
      </c>
      <c r="D37" s="18">
        <v>-0.91</v>
      </c>
      <c r="E37" s="18">
        <v>-1.546</v>
      </c>
      <c r="F37" s="18">
        <f t="shared" si="101"/>
        <v>-0.13200000000000145</v>
      </c>
      <c r="G37" s="18">
        <f t="shared" si="102"/>
        <v>-0.25600000000000023</v>
      </c>
      <c r="H37" s="18">
        <v>3.63</v>
      </c>
      <c r="I37">
        <v>1.8</v>
      </c>
      <c r="J37">
        <f t="shared" si="112"/>
        <v>2.72</v>
      </c>
      <c r="K37" s="6">
        <f t="shared" si="113"/>
        <v>2.74</v>
      </c>
      <c r="L37" s="6">
        <f t="shared" si="114"/>
        <v>-1.9999999999999574E-2</v>
      </c>
      <c r="M37" s="18">
        <v>3.5</v>
      </c>
      <c r="N37" s="18">
        <v>234750</v>
      </c>
      <c r="O37" s="18">
        <f>ROUND(N37/VLOOKUP(EOMONTH(A37,-1),Employment!A:P,16,FALSE),4)</f>
        <v>0.91720000000000002</v>
      </c>
      <c r="P37" s="18">
        <f t="shared" si="103"/>
        <v>0.93569999999999998</v>
      </c>
      <c r="Q37" s="29">
        <f t="shared" si="104"/>
        <v>-5.0799999999999998E-2</v>
      </c>
      <c r="R37" s="29">
        <f t="shared" si="105"/>
        <v>-1.2999999999999999E-2</v>
      </c>
      <c r="S37">
        <v>1896000</v>
      </c>
      <c r="T37" s="18">
        <f>ROUND((S37/7)/VLOOKUP(EOMONTH(A37,-1),Employment!A:P,16,FALSE),4)</f>
        <v>1.0582</v>
      </c>
      <c r="U37" s="18">
        <f t="shared" si="106"/>
        <v>1.0705</v>
      </c>
      <c r="V37" s="29">
        <f t="shared" si="107"/>
        <v>-6.5000000000000002E-2</v>
      </c>
      <c r="W37" s="29">
        <f t="shared" si="108"/>
        <v>-4.5999999999999999E-3</v>
      </c>
      <c r="X37" s="30">
        <f t="shared" si="109"/>
        <v>148.91</v>
      </c>
      <c r="Y37" s="31">
        <f t="shared" si="110"/>
        <v>146.81</v>
      </c>
    </row>
    <row r="38" spans="1:25" ht="16.5" customHeight="1" x14ac:dyDescent="0.25">
      <c r="A38" s="5">
        <v>43079</v>
      </c>
      <c r="B38" s="18">
        <v>2116.5700000000002</v>
      </c>
      <c r="C38" s="29">
        <f t="shared" si="115"/>
        <v>-2.3999999999999998E-3</v>
      </c>
      <c r="D38" s="18">
        <v>-0.9</v>
      </c>
      <c r="E38" s="18">
        <v>-1.575</v>
      </c>
      <c r="F38" s="18">
        <f t="shared" si="101"/>
        <v>-1.2319999999999993</v>
      </c>
      <c r="G38" s="18">
        <f t="shared" si="102"/>
        <v>-0.56400000000000006</v>
      </c>
      <c r="H38" s="18">
        <v>3.63</v>
      </c>
      <c r="I38">
        <v>1.87</v>
      </c>
      <c r="J38">
        <f t="shared" si="112"/>
        <v>2.75</v>
      </c>
      <c r="K38" s="6">
        <f t="shared" si="113"/>
        <v>2.76</v>
      </c>
      <c r="L38" s="6">
        <f t="shared" si="114"/>
        <v>-4.0000000000000036E-2</v>
      </c>
      <c r="M38" s="18">
        <v>2.9</v>
      </c>
      <c r="N38" s="18">
        <v>241500</v>
      </c>
      <c r="O38" s="18">
        <f>ROUND(N38/VLOOKUP(EOMONTH(A38,-1),Employment!A:P,16,FALSE),4)</f>
        <v>0.94350000000000001</v>
      </c>
      <c r="P38" s="18">
        <f t="shared" si="103"/>
        <v>0.9425</v>
      </c>
      <c r="Q38" s="29">
        <f t="shared" si="104"/>
        <v>-3.9699999999999999E-2</v>
      </c>
      <c r="R38" s="29">
        <f t="shared" si="105"/>
        <v>-2.18E-2</v>
      </c>
      <c r="S38">
        <v>1913000</v>
      </c>
      <c r="T38" s="18">
        <f>ROUND((S38/7)/VLOOKUP(EOMONTH(A38,-1),Employment!A:P,16,FALSE),4)</f>
        <v>1.0677000000000001</v>
      </c>
      <c r="U38" s="18">
        <f t="shared" si="106"/>
        <v>1.0745</v>
      </c>
      <c r="V38" s="29">
        <f t="shared" si="107"/>
        <v>-6.3600000000000004E-2</v>
      </c>
      <c r="W38" s="29">
        <f t="shared" si="108"/>
        <v>-5.7000000000000002E-3</v>
      </c>
      <c r="X38" s="30">
        <f t="shared" si="109"/>
        <v>141.82999999999998</v>
      </c>
      <c r="Y38" s="31">
        <f t="shared" si="110"/>
        <v>151.08000000000001</v>
      </c>
    </row>
    <row r="39" spans="1:25" ht="16.5" customHeight="1" x14ac:dyDescent="0.25">
      <c r="A39" s="5">
        <v>43072</v>
      </c>
      <c r="B39" s="18">
        <v>2118.7199999999998</v>
      </c>
      <c r="C39" s="29">
        <f t="shared" si="115"/>
        <v>-2.2000000000000001E-3</v>
      </c>
      <c r="D39" s="18">
        <v>-0.94</v>
      </c>
      <c r="E39" s="18">
        <v>-1.679</v>
      </c>
      <c r="F39" s="18">
        <f t="shared" si="101"/>
        <v>1.1080000000000005</v>
      </c>
      <c r="G39" s="18">
        <f t="shared" si="102"/>
        <v>0.93200000000000216</v>
      </c>
      <c r="H39" s="18">
        <v>3.61</v>
      </c>
      <c r="I39">
        <v>1.87</v>
      </c>
      <c r="J39">
        <f t="shared" si="112"/>
        <v>2.74</v>
      </c>
      <c r="K39" s="6">
        <f t="shared" si="113"/>
        <v>2.8</v>
      </c>
      <c r="L39" s="6">
        <f t="shared" si="114"/>
        <v>-4.0000000000000036E-2</v>
      </c>
      <c r="M39" s="18">
        <v>2.6</v>
      </c>
      <c r="N39" s="18">
        <v>242250</v>
      </c>
      <c r="O39" s="18">
        <f>ROUND(N39/VLOOKUP(EOMONTH(A39,-1),Employment!A:P,16,FALSE),4)</f>
        <v>0.94650000000000001</v>
      </c>
      <c r="P39" s="18">
        <f t="shared" si="103"/>
        <v>0.93779999999999997</v>
      </c>
      <c r="Q39" s="29">
        <f t="shared" si="104"/>
        <v>-4.6399999999999997E-2</v>
      </c>
      <c r="R39" s="29">
        <f t="shared" si="105"/>
        <v>-1.0699999999999999E-2</v>
      </c>
      <c r="S39">
        <v>1945000</v>
      </c>
      <c r="T39" s="18">
        <f>ROUND((S39/7)/VLOOKUP(EOMONTH(A39,-1),Employment!A:P,16,FALSE),4)</f>
        <v>1.0855999999999999</v>
      </c>
      <c r="U39" s="18">
        <f t="shared" si="106"/>
        <v>1.0705</v>
      </c>
      <c r="V39" s="29">
        <f t="shared" si="107"/>
        <v>-6.8000000000000005E-2</v>
      </c>
      <c r="W39" s="29">
        <f t="shared" si="108"/>
        <v>-5.1999999999999998E-3</v>
      </c>
      <c r="X39" s="30">
        <f t="shared" si="109"/>
        <v>154</v>
      </c>
      <c r="Y39" s="31">
        <f t="shared" si="110"/>
        <v>164.42</v>
      </c>
    </row>
    <row r="40" spans="1:25" ht="16.5" customHeight="1" x14ac:dyDescent="0.25">
      <c r="A40" s="5">
        <v>43065</v>
      </c>
      <c r="B40" s="18">
        <v>2119.65</v>
      </c>
      <c r="C40" s="29">
        <f t="shared" si="115"/>
        <v>-1.8E-3</v>
      </c>
      <c r="D40" s="18">
        <v>-0.93</v>
      </c>
      <c r="E40" s="18">
        <v>-1.5529999999999999</v>
      </c>
      <c r="F40" s="18">
        <f t="shared" si="101"/>
        <v>-0.44000000000000128</v>
      </c>
      <c r="G40" s="18">
        <f t="shared" si="102"/>
        <v>0.39199999999999946</v>
      </c>
      <c r="H40" s="18">
        <v>3.7</v>
      </c>
      <c r="I40">
        <v>1.9</v>
      </c>
      <c r="J40">
        <f t="shared" si="112"/>
        <v>2.8</v>
      </c>
      <c r="K40" s="6">
        <f t="shared" si="113"/>
        <v>2.84</v>
      </c>
      <c r="L40" s="6">
        <f t="shared" si="114"/>
        <v>2.9999999999999805E-2</v>
      </c>
      <c r="M40" s="18">
        <v>2.6</v>
      </c>
      <c r="N40" s="18">
        <v>239750</v>
      </c>
      <c r="O40" s="18">
        <f>ROUND(N40/VLOOKUP(EOMONTH(A40,-1),Employment!A:P,16,FALSE),4)</f>
        <v>0.93740000000000001</v>
      </c>
      <c r="P40" s="18">
        <f t="shared" si="103"/>
        <v>0.92369999999999997</v>
      </c>
      <c r="Q40" s="29">
        <f t="shared" si="104"/>
        <v>-6.8699999999999997E-2</v>
      </c>
      <c r="R40" s="29">
        <f t="shared" si="105"/>
        <v>1.4800000000000001E-2</v>
      </c>
      <c r="S40">
        <v>1916000</v>
      </c>
      <c r="T40" s="18">
        <f>ROUND((S40/7)/VLOOKUP(EOMONTH(A40,-1),Employment!A:P,16,FALSE),4)</f>
        <v>1.0702</v>
      </c>
      <c r="U40" s="18">
        <f t="shared" si="106"/>
        <v>1.0630999999999999</v>
      </c>
      <c r="V40" s="29">
        <f t="shared" si="107"/>
        <v>-7.1800000000000003E-2</v>
      </c>
      <c r="W40" s="29">
        <f t="shared" si="108"/>
        <v>-3.8999999999999998E-3</v>
      </c>
      <c r="X40" s="30">
        <f t="shared" si="109"/>
        <v>166.93</v>
      </c>
      <c r="Y40" s="31">
        <f t="shared" si="110"/>
        <v>178.46</v>
      </c>
    </row>
    <row r="41" spans="1:25" ht="16.5" customHeight="1" x14ac:dyDescent="0.25">
      <c r="A41" s="5">
        <v>43058</v>
      </c>
      <c r="B41" s="18">
        <v>2123.02</v>
      </c>
      <c r="C41" s="29">
        <f t="shared" si="115"/>
        <v>-1.1000000000000001E-3</v>
      </c>
      <c r="D41" s="18">
        <v>-0.93</v>
      </c>
      <c r="E41" s="18">
        <v>-1.6080000000000001</v>
      </c>
      <c r="F41" s="18">
        <f t="shared" si="101"/>
        <v>0.2640000000000029</v>
      </c>
      <c r="G41" s="18">
        <f t="shared" si="102"/>
        <v>0.54400000000000404</v>
      </c>
      <c r="H41" s="18">
        <v>3.79</v>
      </c>
      <c r="I41">
        <v>1.93</v>
      </c>
      <c r="J41">
        <f t="shared" si="112"/>
        <v>2.86</v>
      </c>
      <c r="K41" s="6">
        <f t="shared" si="113"/>
        <v>2.81</v>
      </c>
      <c r="L41" s="6">
        <f t="shared" si="114"/>
        <v>6.0000000000000053E-2</v>
      </c>
      <c r="M41" s="18">
        <v>2.7</v>
      </c>
      <c r="N41" s="18">
        <v>237750</v>
      </c>
      <c r="O41" s="18">
        <f>ROUND(N41/VLOOKUP(EOMONTH(A41,-1),Employment!A:P,16,FALSE),4)</f>
        <v>0.92959999999999998</v>
      </c>
      <c r="P41" s="18">
        <f t="shared" si="103"/>
        <v>0.91420000000000001</v>
      </c>
      <c r="Q41" s="29">
        <f t="shared" si="104"/>
        <v>-8.5500000000000007E-2</v>
      </c>
      <c r="R41" s="29">
        <f t="shared" si="105"/>
        <v>4.0399999999999998E-2</v>
      </c>
      <c r="S41">
        <v>1890000</v>
      </c>
      <c r="T41" s="18">
        <f>ROUND((S41/7)/VLOOKUP(EOMONTH(A41,-1),Employment!A:P,16,FALSE),4)</f>
        <v>1.0557000000000001</v>
      </c>
      <c r="U41" s="18">
        <f t="shared" si="106"/>
        <v>1.06</v>
      </c>
      <c r="V41" s="29">
        <f t="shared" si="107"/>
        <v>-7.5899999999999995E-2</v>
      </c>
      <c r="W41" s="29">
        <f t="shared" si="108"/>
        <v>-2.8E-3</v>
      </c>
      <c r="X41" s="30">
        <f t="shared" si="109"/>
        <v>184.18</v>
      </c>
      <c r="Y41" s="31">
        <f t="shared" si="110"/>
        <v>188.49</v>
      </c>
    </row>
    <row r="42" spans="1:25" ht="16.5" customHeight="1" x14ac:dyDescent="0.25">
      <c r="A42" s="5">
        <v>43051</v>
      </c>
      <c r="B42" s="18">
        <v>2125.19</v>
      </c>
      <c r="C42" s="29">
        <f t="shared" si="115"/>
        <v>-1.1999999999999999E-3</v>
      </c>
      <c r="D42" s="18">
        <v>-0.91</v>
      </c>
      <c r="E42" s="18">
        <v>-1.6</v>
      </c>
      <c r="F42" s="18">
        <f t="shared" si="101"/>
        <v>0.56799999999999784</v>
      </c>
      <c r="G42" s="18">
        <f t="shared" si="102"/>
        <v>0.55999999999999872</v>
      </c>
      <c r="H42" s="18">
        <v>3.79</v>
      </c>
      <c r="I42">
        <v>1.93</v>
      </c>
      <c r="J42">
        <f t="shared" si="112"/>
        <v>2.86</v>
      </c>
      <c r="K42" s="6">
        <f t="shared" si="113"/>
        <v>2.75</v>
      </c>
      <c r="L42" s="6">
        <f t="shared" si="114"/>
        <v>4.9999999999999822E-2</v>
      </c>
      <c r="M42" s="18">
        <v>3.2</v>
      </c>
      <c r="N42" s="18">
        <v>231250</v>
      </c>
      <c r="O42" s="18">
        <f>ROUND(N42/VLOOKUP(EOMONTH(A42,-1),Employment!A:P,16,FALSE),4)</f>
        <v>0.90410000000000001</v>
      </c>
      <c r="P42" s="18">
        <f t="shared" si="103"/>
        <v>0.91679999999999995</v>
      </c>
      <c r="Q42" s="29">
        <f t="shared" si="104"/>
        <v>-8.4099999999999994E-2</v>
      </c>
      <c r="R42" s="29">
        <f t="shared" si="105"/>
        <v>5.3800000000000001E-2</v>
      </c>
      <c r="S42">
        <v>1904000</v>
      </c>
      <c r="T42" s="18">
        <f>ROUND((S42/7)/VLOOKUP(EOMONTH(A42,-1),Employment!A:P,16,FALSE),4)</f>
        <v>1.0634999999999999</v>
      </c>
      <c r="U42" s="18">
        <f t="shared" si="106"/>
        <v>1.0633999999999999</v>
      </c>
      <c r="V42" s="29">
        <f t="shared" si="107"/>
        <v>-7.8200000000000006E-2</v>
      </c>
      <c r="W42" s="29">
        <f t="shared" si="108"/>
        <v>-1.1000000000000001E-3</v>
      </c>
      <c r="X42" s="30">
        <f t="shared" si="109"/>
        <v>193.01</v>
      </c>
      <c r="Y42" s="31">
        <f t="shared" si="110"/>
        <v>187.87</v>
      </c>
    </row>
    <row r="43" spans="1:25" ht="16.5" customHeight="1" x14ac:dyDescent="0.25">
      <c r="A43" s="5">
        <v>43044</v>
      </c>
      <c r="B43" s="18">
        <v>2126.02</v>
      </c>
      <c r="C43" s="29">
        <f t="shared" si="115"/>
        <v>-1.4E-3</v>
      </c>
      <c r="D43" s="18">
        <v>-0.91</v>
      </c>
      <c r="E43" s="18">
        <v>-1.5289999999999999</v>
      </c>
      <c r="F43" s="18">
        <f t="shared" si="101"/>
        <v>-0.2879999999999967</v>
      </c>
      <c r="G43" s="18">
        <f t="shared" si="102"/>
        <v>0.11200000000000188</v>
      </c>
      <c r="H43" s="18">
        <v>3.52</v>
      </c>
      <c r="I43">
        <v>1.91</v>
      </c>
      <c r="J43">
        <f t="shared" si="112"/>
        <v>2.72</v>
      </c>
      <c r="K43" s="6">
        <f t="shared" si="113"/>
        <v>2.7</v>
      </c>
      <c r="L43" s="6">
        <f t="shared" si="114"/>
        <v>-2.0000000000000018E-2</v>
      </c>
      <c r="M43" s="18">
        <v>3.2</v>
      </c>
      <c r="N43" s="18">
        <v>232500</v>
      </c>
      <c r="O43" s="18">
        <f>ROUND(N43/VLOOKUP(EOMONTH(A43,-1),Employment!A:P,16,FALSE),4)</f>
        <v>0.90900000000000003</v>
      </c>
      <c r="P43" s="18">
        <f t="shared" si="103"/>
        <v>0.93920000000000003</v>
      </c>
      <c r="Q43" s="29">
        <f t="shared" si="104"/>
        <v>-5.6500000000000002E-2</v>
      </c>
      <c r="R43" s="29">
        <f t="shared" si="105"/>
        <v>4.87E-2</v>
      </c>
      <c r="S43">
        <v>1899000</v>
      </c>
      <c r="T43" s="18">
        <f>ROUND((S43/7)/VLOOKUP(EOMONTH(A43,-1),Employment!A:P,16,FALSE),4)</f>
        <v>1.0607</v>
      </c>
      <c r="U43" s="18">
        <f t="shared" si="106"/>
        <v>1.0634999999999999</v>
      </c>
      <c r="V43" s="29">
        <f t="shared" si="107"/>
        <v>-8.1500000000000003E-2</v>
      </c>
      <c r="W43" s="29">
        <f t="shared" si="108"/>
        <v>8.9999999999999998E-4</v>
      </c>
      <c r="X43" s="30">
        <f t="shared" si="109"/>
        <v>187.96</v>
      </c>
      <c r="Y43" s="31">
        <f t="shared" si="110"/>
        <v>177.05</v>
      </c>
    </row>
    <row r="44" spans="1:25" ht="16.5" customHeight="1" x14ac:dyDescent="0.25">
      <c r="A44" s="5">
        <v>43037</v>
      </c>
      <c r="B44" s="18">
        <v>2120.04</v>
      </c>
      <c r="C44" s="29">
        <f t="shared" si="115"/>
        <v>-5.7000000000000002E-3</v>
      </c>
      <c r="D44" s="18">
        <v>-0.91</v>
      </c>
      <c r="E44" s="18">
        <v>-1.5649999999999999</v>
      </c>
      <c r="F44" s="18">
        <f t="shared" si="101"/>
        <v>0.27999999999999758</v>
      </c>
      <c r="G44" s="18">
        <f t="shared" si="102"/>
        <v>0.6039999999999992</v>
      </c>
      <c r="H44" s="18">
        <v>3.41</v>
      </c>
      <c r="I44">
        <v>1.93</v>
      </c>
      <c r="J44">
        <f t="shared" si="112"/>
        <v>2.67</v>
      </c>
      <c r="K44" s="6">
        <f t="shared" si="113"/>
        <v>2.72</v>
      </c>
      <c r="L44" s="6">
        <f t="shared" si="114"/>
        <v>-2.0000000000000018E-2</v>
      </c>
      <c r="M44" s="18">
        <v>2.8</v>
      </c>
      <c r="N44" s="18">
        <v>239500</v>
      </c>
      <c r="O44" s="18">
        <f>ROUND(N44/VLOOKUP(EOMONTH(A44,-1),Employment!A:P,16,FALSE),4)</f>
        <v>0.93720000000000003</v>
      </c>
      <c r="P44" s="18">
        <f t="shared" si="103"/>
        <v>0.97209999999999996</v>
      </c>
      <c r="Q44" s="29">
        <f t="shared" si="104"/>
        <v>-1.66E-2</v>
      </c>
      <c r="R44" s="29">
        <f t="shared" si="105"/>
        <v>3.0300000000000001E-2</v>
      </c>
      <c r="S44">
        <v>1907000</v>
      </c>
      <c r="T44" s="18">
        <f>ROUND((S44/7)/VLOOKUP(EOMONTH(A44,-1),Employment!A:P,16,FALSE),4)</f>
        <v>1.0660000000000001</v>
      </c>
      <c r="U44" s="18">
        <f t="shared" si="106"/>
        <v>1.0666</v>
      </c>
      <c r="V44" s="29">
        <f t="shared" si="107"/>
        <v>-8.1500000000000003E-2</v>
      </c>
      <c r="W44" s="29">
        <f t="shared" si="108"/>
        <v>1.1000000000000001E-3</v>
      </c>
      <c r="X44" s="30">
        <f t="shared" si="109"/>
        <v>174.81</v>
      </c>
      <c r="Y44" s="31">
        <f t="shared" si="110"/>
        <v>160.33000000000001</v>
      </c>
    </row>
    <row r="45" spans="1:25" ht="16.5" customHeight="1" x14ac:dyDescent="0.25">
      <c r="A45" s="5">
        <v>43030</v>
      </c>
      <c r="B45" s="18">
        <v>2130.04</v>
      </c>
      <c r="C45" s="29">
        <f t="shared" si="115"/>
        <v>5.9999999999999995E-4</v>
      </c>
      <c r="D45">
        <v>-0.89</v>
      </c>
      <c r="E45" s="18">
        <v>-1.5549999999999999</v>
      </c>
      <c r="F45" s="18">
        <f t="shared" si="101"/>
        <v>0.12000000000000099</v>
      </c>
      <c r="G45" s="18">
        <f t="shared" si="102"/>
        <v>8.0000000000001847E-2</v>
      </c>
      <c r="H45" s="18">
        <v>3.48</v>
      </c>
      <c r="I45">
        <v>1.94</v>
      </c>
      <c r="J45">
        <f t="shared" si="112"/>
        <v>2.71</v>
      </c>
      <c r="K45" s="6">
        <f t="shared" si="113"/>
        <v>2.74</v>
      </c>
      <c r="L45" s="6">
        <f t="shared" si="114"/>
        <v>-2.9999999999999805E-2</v>
      </c>
      <c r="M45" s="18">
        <v>2.2999999999999998</v>
      </c>
      <c r="N45" s="18">
        <v>248250</v>
      </c>
      <c r="O45" s="18">
        <f>ROUND(N45/VLOOKUP(EOMONTH(A45,-1),Employment!A:P,16,FALSE),4)</f>
        <v>0.97140000000000004</v>
      </c>
      <c r="P45" s="18">
        <f t="shared" si="103"/>
        <v>1.0095000000000001</v>
      </c>
      <c r="Q45" s="29">
        <f t="shared" si="104"/>
        <v>2.06E-2</v>
      </c>
      <c r="R45" s="29">
        <f t="shared" si="105"/>
        <v>-8.9999999999999998E-4</v>
      </c>
      <c r="S45">
        <v>1903000</v>
      </c>
      <c r="T45" s="18">
        <f>ROUND((S45/7)/VLOOKUP(EOMONTH(A45,-1),Employment!A:P,16,FALSE),4)</f>
        <v>1.0638000000000001</v>
      </c>
      <c r="U45" s="18">
        <f t="shared" si="106"/>
        <v>1.0677000000000001</v>
      </c>
      <c r="V45" s="29">
        <f t="shared" si="107"/>
        <v>-8.2299999999999998E-2</v>
      </c>
      <c r="W45" s="29">
        <f t="shared" si="108"/>
        <v>0</v>
      </c>
      <c r="X45" s="30">
        <f t="shared" si="109"/>
        <v>155.4</v>
      </c>
      <c r="Y45" s="31">
        <f t="shared" si="110"/>
        <v>142.03</v>
      </c>
    </row>
    <row r="46" spans="1:25" ht="16.5" customHeight="1" x14ac:dyDescent="0.25">
      <c r="A46" s="5">
        <v>43023</v>
      </c>
      <c r="B46" s="18">
        <v>2135.2399999999998</v>
      </c>
      <c r="C46" s="29">
        <f t="shared" si="115"/>
        <v>5.8999999999999999E-3</v>
      </c>
      <c r="D46">
        <v>-0.89</v>
      </c>
      <c r="E46" s="18">
        <v>-1.54</v>
      </c>
      <c r="F46" s="18">
        <f t="shared" si="101"/>
        <v>0.20400000000000063</v>
      </c>
      <c r="G46" s="18">
        <f t="shared" si="102"/>
        <v>0.33999999999999986</v>
      </c>
      <c r="H46" s="18">
        <v>3.56</v>
      </c>
      <c r="I46">
        <v>1.97</v>
      </c>
      <c r="J46">
        <f t="shared" si="112"/>
        <v>2.77</v>
      </c>
      <c r="K46" s="6">
        <f t="shared" si="113"/>
        <v>2.77</v>
      </c>
      <c r="L46" s="6">
        <f t="shared" si="114"/>
        <v>-2.0000000000000018E-2</v>
      </c>
      <c r="M46" s="18">
        <v>1.4</v>
      </c>
      <c r="N46" s="18">
        <v>257500</v>
      </c>
      <c r="O46" s="18">
        <f>ROUND(N46/VLOOKUP(EOMONTH(A46,-1),Employment!A:P,16,FALSE),4)</f>
        <v>1.0076000000000001</v>
      </c>
      <c r="P46" s="18">
        <f t="shared" si="103"/>
        <v>1.0474000000000001</v>
      </c>
      <c r="Q46" s="29">
        <f t="shared" si="104"/>
        <v>5.3999999999999999E-2</v>
      </c>
      <c r="R46" s="29">
        <f t="shared" si="105"/>
        <v>-3.2800000000000003E-2</v>
      </c>
      <c r="S46">
        <v>1914000</v>
      </c>
      <c r="T46" s="18">
        <f>ROUND((S46/7)/VLOOKUP(EOMONTH(A46,-1),Employment!A:P,16,FALSE),4)</f>
        <v>1.0699000000000001</v>
      </c>
      <c r="U46" s="18">
        <f t="shared" si="106"/>
        <v>1.0713999999999999</v>
      </c>
      <c r="V46" s="29">
        <f t="shared" si="107"/>
        <v>-8.1199999999999994E-2</v>
      </c>
      <c r="W46" s="29">
        <f t="shared" si="108"/>
        <v>-5.8999999999999999E-3</v>
      </c>
      <c r="X46" s="30">
        <f t="shared" si="109"/>
        <v>136.47999999999999</v>
      </c>
      <c r="Y46" s="31">
        <f t="shared" si="110"/>
        <v>128.19999999999999</v>
      </c>
    </row>
    <row r="47" spans="1:25" ht="16.5" customHeight="1" x14ac:dyDescent="0.25">
      <c r="A47" s="5">
        <v>43016</v>
      </c>
      <c r="B47" s="18">
        <v>2131.02</v>
      </c>
      <c r="C47" s="29">
        <f t="shared" si="115"/>
        <v>7.0000000000000001E-3</v>
      </c>
      <c r="D47">
        <v>-0.86</v>
      </c>
      <c r="E47" s="18">
        <v>-1.552</v>
      </c>
      <c r="F47" s="18">
        <f t="shared" si="101"/>
        <v>-0.24399999999999977</v>
      </c>
      <c r="G47" s="18">
        <f t="shared" si="102"/>
        <v>0.41999999999999815</v>
      </c>
      <c r="H47" s="18">
        <v>3.52</v>
      </c>
      <c r="I47">
        <v>1.98</v>
      </c>
      <c r="J47">
        <f t="shared" si="112"/>
        <v>2.75</v>
      </c>
      <c r="K47" s="6">
        <f t="shared" si="113"/>
        <v>2.79</v>
      </c>
      <c r="L47" s="6">
        <f t="shared" si="114"/>
        <v>-6.0000000000000053E-2</v>
      </c>
      <c r="M47" s="18">
        <v>0.7</v>
      </c>
      <c r="N47" s="18">
        <v>268250</v>
      </c>
      <c r="O47" s="18">
        <f>ROUND(N47/VLOOKUP(EOMONTH(A47,-1),Employment!A:P,16,FALSE),4)</f>
        <v>1.0496000000000001</v>
      </c>
      <c r="P47" s="18">
        <f t="shared" si="103"/>
        <v>1.0623</v>
      </c>
      <c r="Q47" s="29">
        <f t="shared" si="104"/>
        <v>5.9200000000000003E-2</v>
      </c>
      <c r="R47" s="29">
        <f t="shared" si="105"/>
        <v>-5.4899999999999997E-2</v>
      </c>
      <c r="S47">
        <v>1913000</v>
      </c>
      <c r="T47" s="18">
        <f>ROUND((S47/7)/VLOOKUP(EOMONTH(A47,-1),Employment!A:P,16,FALSE),4)</f>
        <v>1.0693999999999999</v>
      </c>
      <c r="U47" s="18">
        <f t="shared" si="106"/>
        <v>1.0811999999999999</v>
      </c>
      <c r="V47" s="29">
        <f t="shared" si="107"/>
        <v>-7.6399999999999996E-2</v>
      </c>
      <c r="W47" s="29">
        <f t="shared" si="108"/>
        <v>-7.7000000000000002E-3</v>
      </c>
      <c r="X47" s="30">
        <f t="shared" si="109"/>
        <v>122.45</v>
      </c>
      <c r="Y47" s="31">
        <f t="shared" si="110"/>
        <v>123.29</v>
      </c>
    </row>
    <row r="48" spans="1:25" ht="16.5" customHeight="1" x14ac:dyDescent="0.25">
      <c r="A48" s="5">
        <v>43009</v>
      </c>
      <c r="B48" s="18">
        <v>2132.77</v>
      </c>
      <c r="C48" s="29">
        <f t="shared" si="115"/>
        <v>1.0999999999999999E-2</v>
      </c>
      <c r="D48">
        <v>-0.89</v>
      </c>
      <c r="E48" s="18">
        <v>-1.5449999999999999</v>
      </c>
      <c r="F48" s="18">
        <f t="shared" si="101"/>
        <v>0.37999999999999901</v>
      </c>
      <c r="G48" s="18">
        <f t="shared" si="102"/>
        <v>0.41999999999999815</v>
      </c>
      <c r="H48" s="18">
        <v>3.57</v>
      </c>
      <c r="I48">
        <v>2</v>
      </c>
      <c r="J48">
        <f t="shared" si="112"/>
        <v>2.79</v>
      </c>
      <c r="K48" s="6">
        <f t="shared" si="113"/>
        <v>2.85</v>
      </c>
      <c r="L48" s="6">
        <f t="shared" si="114"/>
        <v>-8.0000000000000071E-2</v>
      </c>
      <c r="M48" s="18">
        <v>-0.1</v>
      </c>
      <c r="N48" s="18">
        <v>277250</v>
      </c>
      <c r="O48" s="18">
        <f>ROUND(N48/VLOOKUP(EOMONTH(A48,-1),Employment!A:P,16,FALSE),4)</f>
        <v>1.0849</v>
      </c>
      <c r="P48" s="18">
        <f t="shared" si="103"/>
        <v>1.0564</v>
      </c>
      <c r="Q48" s="29">
        <f t="shared" si="104"/>
        <v>4.4499999999999998E-2</v>
      </c>
      <c r="R48" s="29">
        <f t="shared" si="105"/>
        <v>-5.8299999999999998E-2</v>
      </c>
      <c r="S48">
        <v>1923000</v>
      </c>
      <c r="T48" s="18">
        <f>ROUND((S48/7)/VLOOKUP(EOMONTH(A48,-1),Employment!A:P,16,FALSE),4)</f>
        <v>1.0749</v>
      </c>
      <c r="U48" s="18">
        <f t="shared" si="106"/>
        <v>1.0865</v>
      </c>
      <c r="V48" s="29">
        <f t="shared" si="107"/>
        <v>-8.2799999999999999E-2</v>
      </c>
      <c r="W48" s="29">
        <f t="shared" si="108"/>
        <v>-7.1000000000000004E-3</v>
      </c>
      <c r="X48" s="30">
        <f t="shared" si="109"/>
        <v>121.86</v>
      </c>
      <c r="Y48" s="31">
        <f t="shared" si="110"/>
        <v>128.24</v>
      </c>
    </row>
    <row r="49" spans="1:25" ht="16.5" customHeight="1" x14ac:dyDescent="0.25">
      <c r="A49" s="5">
        <v>43002</v>
      </c>
      <c r="B49" s="18">
        <v>2116.34</v>
      </c>
      <c r="C49" s="29">
        <f t="shared" si="115"/>
        <v>4.5999999999999999E-3</v>
      </c>
      <c r="D49">
        <v>-0.86</v>
      </c>
      <c r="E49" s="18">
        <v>-1.5349999999999999</v>
      </c>
      <c r="F49" s="18">
        <f t="shared" si="101"/>
        <v>0.28399999999999892</v>
      </c>
      <c r="G49" s="18">
        <f t="shared" si="102"/>
        <v>0.37999999999999901</v>
      </c>
      <c r="H49" s="18">
        <v>3.62</v>
      </c>
      <c r="I49">
        <v>2.0499999999999998</v>
      </c>
      <c r="J49">
        <f t="shared" si="112"/>
        <v>2.84</v>
      </c>
      <c r="K49" s="6">
        <f t="shared" si="113"/>
        <v>2.93</v>
      </c>
      <c r="L49" s="6">
        <f t="shared" si="114"/>
        <v>-4.9999999999999822E-2</v>
      </c>
      <c r="M49" s="18">
        <v>0</v>
      </c>
      <c r="N49" s="18">
        <v>268750</v>
      </c>
      <c r="O49" s="18">
        <f>ROUND(N49/VLOOKUP(EOMONTH(A49,-1),Employment!A:P,16,FALSE),4)</f>
        <v>1.0524</v>
      </c>
      <c r="P49" s="18">
        <f t="shared" si="103"/>
        <v>1.0214000000000001</v>
      </c>
      <c r="Q49" s="29">
        <f t="shared" si="104"/>
        <v>3.7000000000000002E-3</v>
      </c>
      <c r="R49" s="29">
        <f t="shared" si="105"/>
        <v>-4.2299999999999997E-2</v>
      </c>
      <c r="S49">
        <v>1965000</v>
      </c>
      <c r="T49" s="18">
        <f>ROUND((S49/7)/VLOOKUP(EOMONTH(A49,-1),Employment!A:P,16,FALSE),4)</f>
        <v>1.0992999999999999</v>
      </c>
      <c r="U49" s="18">
        <f t="shared" si="106"/>
        <v>1.0905</v>
      </c>
      <c r="V49" s="29">
        <f t="shared" si="107"/>
        <v>-8.6199999999999999E-2</v>
      </c>
      <c r="W49" s="29">
        <f t="shared" si="108"/>
        <v>-2.8999999999999998E-3</v>
      </c>
      <c r="X49" s="30">
        <f t="shared" si="109"/>
        <v>128.97</v>
      </c>
      <c r="Y49" s="31">
        <f t="shared" si="110"/>
        <v>138.93</v>
      </c>
    </row>
    <row r="50" spans="1:25" ht="16.5" customHeight="1" x14ac:dyDescent="0.25">
      <c r="A50" s="5">
        <v>42995</v>
      </c>
      <c r="B50" s="18">
        <v>2110.4299999999998</v>
      </c>
      <c r="C50" s="29">
        <f t="shared" si="115"/>
        <v>2.3E-3</v>
      </c>
      <c r="D50" s="18">
        <v>-0.85</v>
      </c>
      <c r="E50" s="18">
        <v>-1.512</v>
      </c>
      <c r="F50" s="18">
        <f t="shared" si="101"/>
        <v>-0.24399999999999977</v>
      </c>
      <c r="G50" s="18">
        <f t="shared" si="102"/>
        <v>-4.4000000000000483E-2</v>
      </c>
      <c r="H50" s="18">
        <v>3.74</v>
      </c>
      <c r="I50">
        <v>2.1</v>
      </c>
      <c r="J50">
        <f t="shared" si="112"/>
        <v>2.92</v>
      </c>
      <c r="K50" s="6">
        <f t="shared" si="113"/>
        <v>2.98</v>
      </c>
      <c r="L50" s="6">
        <f t="shared" si="114"/>
        <v>-2.9999999999999805E-2</v>
      </c>
      <c r="M50" s="18">
        <v>0.3</v>
      </c>
      <c r="N50" s="18">
        <v>263500</v>
      </c>
      <c r="O50" s="18">
        <f>ROUND(N50/VLOOKUP(EOMONTH(A50,-1),Employment!A:P,16,FALSE),4)</f>
        <v>1.0319</v>
      </c>
      <c r="P50" s="18">
        <f t="shared" si="103"/>
        <v>0.97970000000000002</v>
      </c>
      <c r="Q50" s="29">
        <f t="shared" si="104"/>
        <v>-4.2500000000000003E-2</v>
      </c>
      <c r="R50" s="29">
        <f t="shared" si="105"/>
        <v>-1.83E-2</v>
      </c>
      <c r="S50">
        <v>1940000</v>
      </c>
      <c r="T50" s="18">
        <f>ROUND((S50/7)/VLOOKUP(EOMONTH(A50,-1),Employment!A:P,16,FALSE),4)</f>
        <v>1.0852999999999999</v>
      </c>
      <c r="U50" s="18">
        <f t="shared" si="106"/>
        <v>1.0871999999999999</v>
      </c>
      <c r="V50" s="29">
        <f t="shared" si="107"/>
        <v>-9.6799999999999997E-2</v>
      </c>
      <c r="W50" s="29">
        <f t="shared" si="108"/>
        <v>-5.9999999999999995E-4</v>
      </c>
      <c r="X50" s="30">
        <f t="shared" si="109"/>
        <v>142.38999999999999</v>
      </c>
      <c r="Y50" s="31">
        <f t="shared" si="110"/>
        <v>150.52000000000001</v>
      </c>
    </row>
    <row r="51" spans="1:25" ht="16.5" customHeight="1" x14ac:dyDescent="0.25">
      <c r="A51" s="5">
        <v>42988</v>
      </c>
      <c r="B51" s="18">
        <v>2104.87</v>
      </c>
      <c r="C51" s="29">
        <f t="shared" si="115"/>
        <v>-2.9999999999999997E-4</v>
      </c>
      <c r="D51" s="18">
        <v>-0.88</v>
      </c>
      <c r="E51" s="18">
        <v>-1.5049999999999999</v>
      </c>
      <c r="F51" s="18">
        <f t="shared" si="101"/>
        <v>0.33999999999999986</v>
      </c>
      <c r="G51" s="18">
        <f t="shared" si="102"/>
        <v>-0.11599999999999966</v>
      </c>
      <c r="H51" s="18">
        <v>3.88</v>
      </c>
      <c r="I51">
        <v>2.17</v>
      </c>
      <c r="J51">
        <f t="shared" si="112"/>
        <v>3.03</v>
      </c>
      <c r="K51" s="6">
        <f t="shared" si="113"/>
        <v>3.01</v>
      </c>
      <c r="L51" s="6">
        <f t="shared" si="114"/>
        <v>-1.0000000000000231E-2</v>
      </c>
      <c r="M51" s="18">
        <v>0.9</v>
      </c>
      <c r="N51" s="18">
        <v>250250</v>
      </c>
      <c r="O51" s="18">
        <f>ROUND(N51/VLOOKUP(EOMONTH(A51,-1),Employment!A:P,16,FALSE),4)</f>
        <v>0.98</v>
      </c>
      <c r="P51" s="18">
        <f t="shared" si="103"/>
        <v>0.94630000000000003</v>
      </c>
      <c r="Q51" s="29">
        <f t="shared" si="104"/>
        <v>-7.9899999999999999E-2</v>
      </c>
      <c r="R51" s="29">
        <f t="shared" si="105"/>
        <v>2.2000000000000001E-3</v>
      </c>
      <c r="S51">
        <v>1943000</v>
      </c>
      <c r="T51" s="18">
        <f>ROUND((S51/7)/VLOOKUP(EOMONTH(A51,-1),Employment!A:P,16,FALSE),4)</f>
        <v>1.087</v>
      </c>
      <c r="U51" s="18">
        <f t="shared" si="106"/>
        <v>1.0892999999999999</v>
      </c>
      <c r="V51" s="29">
        <f t="shared" si="107"/>
        <v>-9.4399999999999998E-2</v>
      </c>
      <c r="W51" s="29">
        <f t="shared" si="108"/>
        <v>1E-3</v>
      </c>
      <c r="X51" s="30">
        <f t="shared" si="109"/>
        <v>155.16999999999999</v>
      </c>
      <c r="Y51" s="31">
        <f t="shared" si="110"/>
        <v>157.27000000000001</v>
      </c>
    </row>
    <row r="52" spans="1:25" ht="16.5" customHeight="1" x14ac:dyDescent="0.25">
      <c r="A52" s="5">
        <v>42981</v>
      </c>
      <c r="B52" s="18">
        <v>2107.0100000000002</v>
      </c>
      <c r="C52" s="29">
        <f t="shared" si="115"/>
        <v>1E-4</v>
      </c>
      <c r="D52" s="18">
        <v>-0.87</v>
      </c>
      <c r="E52" s="18">
        <v>-1.4750000000000001</v>
      </c>
      <c r="F52" s="18">
        <f t="shared" si="101"/>
        <v>-0.14000000000000057</v>
      </c>
      <c r="G52" s="18">
        <f t="shared" si="102"/>
        <v>-1.1559999999999988</v>
      </c>
      <c r="H52">
        <v>3.85</v>
      </c>
      <c r="I52">
        <v>2.15</v>
      </c>
      <c r="J52">
        <f t="shared" si="112"/>
        <v>3</v>
      </c>
      <c r="K52" s="6">
        <f t="shared" si="113"/>
        <v>3.02</v>
      </c>
      <c r="L52" s="6">
        <f t="shared" si="114"/>
        <v>-2.0000000000000018E-2</v>
      </c>
      <c r="M52" s="18">
        <v>1.9</v>
      </c>
      <c r="N52" s="18">
        <v>236750</v>
      </c>
      <c r="O52" s="18">
        <f>ROUND(N52/VLOOKUP(EOMONTH(A52,-1),Employment!A:P,16,FALSE),4)</f>
        <v>0.92710000000000004</v>
      </c>
      <c r="P52" s="18">
        <f t="shared" si="103"/>
        <v>0.93379999999999996</v>
      </c>
      <c r="Q52" s="29">
        <f t="shared" si="104"/>
        <v>-9.6600000000000005E-2</v>
      </c>
      <c r="R52" s="29">
        <f t="shared" si="105"/>
        <v>1.11E-2</v>
      </c>
      <c r="S52">
        <v>1947000</v>
      </c>
      <c r="T52" s="18">
        <f>ROUND((S52/7)/VLOOKUP(EOMONTH(A52,-1),Employment!A:P,16,FALSE),4)</f>
        <v>1.0891999999999999</v>
      </c>
      <c r="U52" s="18">
        <f t="shared" si="106"/>
        <v>1.0912999999999999</v>
      </c>
      <c r="V52" s="29">
        <f t="shared" si="107"/>
        <v>-9.7600000000000006E-2</v>
      </c>
      <c r="W52" s="29">
        <f t="shared" si="108"/>
        <v>4.0000000000000001E-3</v>
      </c>
      <c r="X52" s="30">
        <f t="shared" si="109"/>
        <v>159.22</v>
      </c>
      <c r="Y52" s="31">
        <f t="shared" si="110"/>
        <v>158.26</v>
      </c>
    </row>
    <row r="53" spans="1:25" ht="16.5" customHeight="1" x14ac:dyDescent="0.25">
      <c r="A53" s="5">
        <v>42974</v>
      </c>
      <c r="B53" s="18">
        <v>2104.02</v>
      </c>
      <c r="C53" s="29">
        <f t="shared" si="115"/>
        <v>-1.5E-3</v>
      </c>
      <c r="D53" s="18">
        <v>-0.88</v>
      </c>
      <c r="E53" s="18">
        <v>-1.48</v>
      </c>
      <c r="F53" s="18">
        <f t="shared" si="101"/>
        <v>-0.31599999999999895</v>
      </c>
      <c r="G53" s="18">
        <f t="shared" si="102"/>
        <v>-1.6159999999999997</v>
      </c>
      <c r="H53">
        <v>3.89</v>
      </c>
      <c r="I53">
        <v>2.12</v>
      </c>
      <c r="J53">
        <f t="shared" si="112"/>
        <v>3.01</v>
      </c>
      <c r="K53" s="6">
        <f t="shared" si="113"/>
        <v>3.04</v>
      </c>
      <c r="L53" s="6">
        <f t="shared" si="114"/>
        <v>6.0000000000000053E-2</v>
      </c>
      <c r="M53" s="18">
        <v>2.2999999999999998</v>
      </c>
      <c r="N53" s="18">
        <v>237750</v>
      </c>
      <c r="O53" s="18">
        <f>ROUND(N53/VLOOKUP(EOMONTH(A53,-1),Employment!A:P,16,FALSE),4)</f>
        <v>0.93179999999999996</v>
      </c>
      <c r="P53" s="18">
        <f t="shared" si="103"/>
        <v>0.93959999999999999</v>
      </c>
      <c r="Q53" s="29">
        <f t="shared" si="104"/>
        <v>-9.3100000000000002E-2</v>
      </c>
      <c r="R53" s="29">
        <f t="shared" si="105"/>
        <v>1.21E-2</v>
      </c>
      <c r="S53">
        <v>1950000</v>
      </c>
      <c r="T53" s="18">
        <f>ROUND((S53/7)/VLOOKUP(EOMONTH(A53,-1),Employment!A:P,16,FALSE),4)</f>
        <v>1.0918000000000001</v>
      </c>
      <c r="U53" s="18">
        <f t="shared" si="106"/>
        <v>1.0929</v>
      </c>
      <c r="V53" s="29">
        <f t="shared" si="107"/>
        <v>-9.69E-2</v>
      </c>
      <c r="W53" s="29">
        <f t="shared" si="108"/>
        <v>4.5999999999999999E-3</v>
      </c>
      <c r="X53" s="30">
        <f t="shared" si="109"/>
        <v>157.63999999999999</v>
      </c>
      <c r="Y53" s="31">
        <f t="shared" si="110"/>
        <v>157.65</v>
      </c>
    </row>
    <row r="54" spans="1:25" ht="16.5" customHeight="1" x14ac:dyDescent="0.25">
      <c r="A54" s="5">
        <v>42967</v>
      </c>
      <c r="B54" s="18">
        <v>2106.0500000000002</v>
      </c>
      <c r="C54" s="29">
        <f t="shared" si="115"/>
        <v>-2.0000000000000001E-4</v>
      </c>
      <c r="D54" s="18">
        <v>-0.89</v>
      </c>
      <c r="E54" s="18">
        <v>-1.5069999999999999</v>
      </c>
      <c r="F54" s="18">
        <f t="shared" si="101"/>
        <v>-0.69999999999999929</v>
      </c>
      <c r="G54" s="18">
        <f t="shared" si="102"/>
        <v>-1.1040000000000028</v>
      </c>
      <c r="H54">
        <v>3.98</v>
      </c>
      <c r="I54">
        <v>2.12</v>
      </c>
      <c r="J54">
        <f t="shared" si="112"/>
        <v>3.05</v>
      </c>
      <c r="K54" s="6">
        <f t="shared" si="113"/>
        <v>2.98</v>
      </c>
      <c r="L54" s="6">
        <f t="shared" si="114"/>
        <v>6.999999999999984E-2</v>
      </c>
      <c r="M54" s="18">
        <v>2.5</v>
      </c>
      <c r="N54" s="18">
        <v>240500</v>
      </c>
      <c r="O54" s="18">
        <f>ROUND(N54/VLOOKUP(EOMONTH(A54,-1),Employment!A:P,16,FALSE),4)</f>
        <v>0.94259999999999999</v>
      </c>
      <c r="P54" s="18">
        <f t="shared" si="103"/>
        <v>0.94489999999999996</v>
      </c>
      <c r="Q54" s="29">
        <f t="shared" si="104"/>
        <v>-8.5300000000000001E-2</v>
      </c>
      <c r="R54" s="29">
        <f t="shared" si="105"/>
        <v>7.1999999999999998E-3</v>
      </c>
      <c r="S54">
        <v>1952000</v>
      </c>
      <c r="T54" s="18">
        <f>ROUND((S54/7)/VLOOKUP(EOMONTH(A54,-1),Employment!A:P,16,FALSE),4)</f>
        <v>1.0929</v>
      </c>
      <c r="U54" s="18">
        <f t="shared" si="106"/>
        <v>1.0952999999999999</v>
      </c>
      <c r="V54" s="29">
        <f t="shared" si="107"/>
        <v>-9.5200000000000007E-2</v>
      </c>
      <c r="W54" s="29">
        <f t="shared" si="108"/>
        <v>3.5999999999999999E-3</v>
      </c>
      <c r="X54" s="30">
        <f t="shared" si="109"/>
        <v>157.38</v>
      </c>
      <c r="Y54" s="31">
        <f t="shared" si="110"/>
        <v>158.11000000000001</v>
      </c>
    </row>
    <row r="55" spans="1:25" ht="16.5" customHeight="1" x14ac:dyDescent="0.25">
      <c r="A55" s="5">
        <v>42960</v>
      </c>
      <c r="B55" s="18">
        <v>2105.14</v>
      </c>
      <c r="C55" s="29">
        <f t="shared" si="115"/>
        <v>0</v>
      </c>
      <c r="D55" s="18">
        <v>-0.9</v>
      </c>
      <c r="E55" s="18">
        <v>-1.5820000000000001</v>
      </c>
      <c r="F55" s="18">
        <f t="shared" si="101"/>
        <v>-0.60000000000000142</v>
      </c>
      <c r="G55" s="18">
        <f t="shared" si="102"/>
        <v>0.61599999999999966</v>
      </c>
      <c r="H55">
        <v>4</v>
      </c>
      <c r="I55">
        <v>2.12</v>
      </c>
      <c r="J55">
        <f t="shared" si="112"/>
        <v>3.06</v>
      </c>
      <c r="K55" s="6">
        <f t="shared" si="113"/>
        <v>2.91</v>
      </c>
      <c r="L55" s="6">
        <f t="shared" si="114"/>
        <v>7.0000000000000284E-2</v>
      </c>
      <c r="M55" s="18">
        <v>2.7</v>
      </c>
      <c r="N55" s="18">
        <v>241000</v>
      </c>
      <c r="O55" s="18">
        <f>ROUND(N55/VLOOKUP(EOMONTH(A55,-1),Employment!A:P,16,FALSE),4)</f>
        <v>0.94450000000000001</v>
      </c>
      <c r="P55" s="18">
        <f t="shared" si="103"/>
        <v>0.94969999999999999</v>
      </c>
      <c r="Q55" s="29">
        <f t="shared" si="104"/>
        <v>-7.5399999999999995E-2</v>
      </c>
      <c r="R55" s="29">
        <f t="shared" si="105"/>
        <v>-8.9999999999999998E-4</v>
      </c>
      <c r="S55">
        <v>1954000</v>
      </c>
      <c r="T55" s="18">
        <f>ROUND((S55/7)/VLOOKUP(EOMONTH(A55,-1),Employment!A:P,16,FALSE),4)</f>
        <v>1.0940000000000001</v>
      </c>
      <c r="U55" s="18">
        <f t="shared" si="106"/>
        <v>1.0974999999999999</v>
      </c>
      <c r="V55" s="29">
        <f t="shared" si="107"/>
        <v>-9.0800000000000006E-2</v>
      </c>
      <c r="W55" s="29">
        <f t="shared" si="108"/>
        <v>-1E-3</v>
      </c>
      <c r="X55" s="30">
        <f t="shared" si="109"/>
        <v>158.37</v>
      </c>
      <c r="Y55" s="31">
        <f t="shared" si="110"/>
        <v>157.97999999999999</v>
      </c>
    </row>
    <row r="56" spans="1:25" ht="16.5" customHeight="1" x14ac:dyDescent="0.25">
      <c r="A56" s="5">
        <v>42953</v>
      </c>
      <c r="B56" s="18">
        <v>2111.81</v>
      </c>
      <c r="C56" s="29">
        <f t="shared" si="115"/>
        <v>4.3E-3</v>
      </c>
      <c r="D56" s="18">
        <v>-0.94</v>
      </c>
      <c r="E56" s="18">
        <v>-1.607</v>
      </c>
      <c r="F56" s="18">
        <f t="shared" si="101"/>
        <v>0.19599999999999795</v>
      </c>
      <c r="G56" s="18">
        <f t="shared" si="102"/>
        <v>1.6559999999999988</v>
      </c>
      <c r="H56">
        <v>3.63</v>
      </c>
      <c r="I56">
        <v>2.0499999999999998</v>
      </c>
      <c r="J56">
        <f t="shared" si="112"/>
        <v>2.84</v>
      </c>
      <c r="K56" s="6">
        <f t="shared" si="113"/>
        <v>2.84</v>
      </c>
      <c r="L56" s="6">
        <f t="shared" si="114"/>
        <v>-2.0000000000000018E-2</v>
      </c>
      <c r="M56" s="18">
        <v>2.8</v>
      </c>
      <c r="N56" s="18">
        <v>241750</v>
      </c>
      <c r="O56" s="18">
        <f>ROUND(N56/VLOOKUP(EOMONTH(A56,-1),Employment!A:P,16,FALSE),4)</f>
        <v>0.94750000000000001</v>
      </c>
      <c r="P56" s="18">
        <f t="shared" si="103"/>
        <v>0.95350000000000001</v>
      </c>
      <c r="Q56" s="29">
        <f t="shared" si="104"/>
        <v>-6.83E-2</v>
      </c>
      <c r="R56" s="29">
        <f t="shared" si="105"/>
        <v>-1.01E-2</v>
      </c>
      <c r="S56">
        <v>1963000</v>
      </c>
      <c r="T56" s="18">
        <f>ROUND((S56/7)/VLOOKUP(EOMONTH(A56,-1),Employment!A:P,16,FALSE),4)</f>
        <v>1.0991</v>
      </c>
      <c r="U56" s="18">
        <f t="shared" si="106"/>
        <v>1.1009</v>
      </c>
      <c r="V56" s="29">
        <f t="shared" si="107"/>
        <v>-8.5599999999999996E-2</v>
      </c>
      <c r="W56" s="29">
        <f t="shared" si="108"/>
        <v>-2.8999999999999998E-3</v>
      </c>
      <c r="X56" s="30">
        <f t="shared" si="109"/>
        <v>159.26</v>
      </c>
      <c r="Y56" s="31">
        <f t="shared" si="110"/>
        <v>155.46</v>
      </c>
    </row>
    <row r="57" spans="1:25" ht="16.5" customHeight="1" x14ac:dyDescent="0.25">
      <c r="A57" s="5">
        <v>42946</v>
      </c>
      <c r="B57" s="18">
        <v>2105.46</v>
      </c>
      <c r="C57" s="29">
        <f t="shared" si="115"/>
        <v>4.0000000000000002E-4</v>
      </c>
      <c r="D57" s="18">
        <v>-0.93</v>
      </c>
      <c r="E57" s="18">
        <v>-1.595</v>
      </c>
      <c r="F57" s="18">
        <f t="shared" si="101"/>
        <v>1.0200000000000031</v>
      </c>
      <c r="G57" s="18">
        <f t="shared" si="102"/>
        <v>1.3200000000000038</v>
      </c>
      <c r="H57">
        <v>3.59</v>
      </c>
      <c r="I57">
        <v>2.0499999999999998</v>
      </c>
      <c r="J57">
        <f t="shared" si="112"/>
        <v>2.82</v>
      </c>
      <c r="K57" s="6">
        <f t="shared" si="113"/>
        <v>2.86</v>
      </c>
      <c r="L57" s="6">
        <f t="shared" si="114"/>
        <v>-5.0000000000000266E-2</v>
      </c>
      <c r="M57" s="18">
        <v>2.8</v>
      </c>
      <c r="N57" s="18">
        <v>244000</v>
      </c>
      <c r="O57" s="18">
        <f>ROUND(N57/VLOOKUP(EOMONTH(A57,-1),Employment!A:P,16,FALSE),4)</f>
        <v>0.95699999999999996</v>
      </c>
      <c r="P57" s="18">
        <f t="shared" si="103"/>
        <v>0.95899999999999996</v>
      </c>
      <c r="Q57" s="29">
        <f t="shared" si="104"/>
        <v>-6.3600000000000004E-2</v>
      </c>
      <c r="R57" s="29">
        <f t="shared" si="105"/>
        <v>-1.3299999999999999E-2</v>
      </c>
      <c r="S57">
        <v>1962000</v>
      </c>
      <c r="T57" s="18">
        <f>ROUND((S57/7)/VLOOKUP(EOMONTH(A57,-1),Employment!A:P,16,FALSE),4)</f>
        <v>1.0992999999999999</v>
      </c>
      <c r="U57" s="18">
        <f t="shared" si="106"/>
        <v>1.099</v>
      </c>
      <c r="V57" s="29">
        <f t="shared" si="107"/>
        <v>-8.8800000000000004E-2</v>
      </c>
      <c r="W57" s="29">
        <f t="shared" si="108"/>
        <v>-5.7999999999999996E-3</v>
      </c>
      <c r="X57" s="30">
        <f t="shared" si="109"/>
        <v>153.79</v>
      </c>
      <c r="Y57" s="31">
        <f t="shared" si="110"/>
        <v>151.08000000000001</v>
      </c>
    </row>
    <row r="58" spans="1:25" ht="16.5" customHeight="1" x14ac:dyDescent="0.25">
      <c r="A58" s="5">
        <v>42939</v>
      </c>
      <c r="B58" s="18">
        <v>2103.42</v>
      </c>
      <c r="C58" s="29">
        <f t="shared" si="115"/>
        <v>1E-4</v>
      </c>
      <c r="D58" s="18">
        <v>-0.9</v>
      </c>
      <c r="E58" s="18">
        <v>-1.5049999999999999</v>
      </c>
      <c r="F58" s="18">
        <f t="shared" si="101"/>
        <v>0.43999999999999773</v>
      </c>
      <c r="G58" s="18">
        <f t="shared" si="102"/>
        <v>0.10000000000000142</v>
      </c>
      <c r="H58">
        <v>3.64</v>
      </c>
      <c r="I58">
        <v>2.0499999999999998</v>
      </c>
      <c r="J58">
        <f t="shared" si="112"/>
        <v>2.85</v>
      </c>
      <c r="K58" s="6">
        <f t="shared" si="113"/>
        <v>2.91</v>
      </c>
      <c r="L58" s="6">
        <f t="shared" si="114"/>
        <v>-2.0000000000000018E-2</v>
      </c>
      <c r="M58" s="18">
        <v>2.6</v>
      </c>
      <c r="N58" s="18">
        <v>243750</v>
      </c>
      <c r="O58" s="18">
        <f>ROUND(N58/VLOOKUP(EOMONTH(A58,-1),Employment!A:P,16,FALSE),4)</f>
        <v>0.95599999999999996</v>
      </c>
      <c r="P58" s="18">
        <f t="shared" si="103"/>
        <v>0.9577</v>
      </c>
      <c r="Q58" s="29">
        <f t="shared" si="104"/>
        <v>-7.2900000000000006E-2</v>
      </c>
      <c r="R58" s="29">
        <f t="shared" si="105"/>
        <v>-1.0500000000000001E-2</v>
      </c>
      <c r="S58">
        <v>1971000</v>
      </c>
      <c r="T58" s="18">
        <f>ROUND((S58/7)/VLOOKUP(EOMONTH(A58,-1),Employment!A:P,16,FALSE),4)</f>
        <v>1.1044</v>
      </c>
      <c r="U58" s="18">
        <f t="shared" si="106"/>
        <v>1.0993999999999999</v>
      </c>
      <c r="V58" s="29">
        <f t="shared" si="107"/>
        <v>-8.6699999999999999E-2</v>
      </c>
      <c r="W58" s="29">
        <f t="shared" si="108"/>
        <v>-5.5999999999999999E-3</v>
      </c>
      <c r="X58" s="30">
        <f t="shared" si="109"/>
        <v>150.13999999999999</v>
      </c>
      <c r="Y58" s="31">
        <f t="shared" si="110"/>
        <v>148.06</v>
      </c>
    </row>
    <row r="59" spans="1:25" ht="16.5" customHeight="1" x14ac:dyDescent="0.25">
      <c r="A59" s="5">
        <v>42932</v>
      </c>
      <c r="B59" s="18">
        <v>2100.04</v>
      </c>
      <c r="C59" s="29">
        <f t="shared" si="115"/>
        <v>-1.5E-3</v>
      </c>
      <c r="D59" s="18">
        <v>-0.88</v>
      </c>
      <c r="E59" s="18">
        <v>-1.4750000000000001</v>
      </c>
      <c r="F59" s="18">
        <f t="shared" si="101"/>
        <v>-0.13999999999999702</v>
      </c>
      <c r="G59" s="18">
        <f t="shared" si="102"/>
        <v>-0.82000000000000028</v>
      </c>
      <c r="H59">
        <v>3.73</v>
      </c>
      <c r="I59">
        <v>2.09</v>
      </c>
      <c r="J59">
        <f t="shared" si="112"/>
        <v>2.91</v>
      </c>
      <c r="K59" s="6">
        <f t="shared" si="113"/>
        <v>2.93</v>
      </c>
      <c r="L59" s="6">
        <f t="shared" si="114"/>
        <v>-4.0000000000000036E-2</v>
      </c>
      <c r="M59" s="18">
        <v>2.4</v>
      </c>
      <c r="N59" s="18">
        <v>245750</v>
      </c>
      <c r="O59" s="18">
        <f>ROUND(N59/VLOOKUP(EOMONTH(A59,-1),Employment!A:P,16,FALSE),4)</f>
        <v>0.96389999999999998</v>
      </c>
      <c r="P59" s="18">
        <f t="shared" si="103"/>
        <v>0.95569999999999999</v>
      </c>
      <c r="Q59" s="29">
        <f t="shared" si="104"/>
        <v>-8.3299999999999999E-2</v>
      </c>
      <c r="R59" s="29">
        <f t="shared" si="105"/>
        <v>-9.5999999999999992E-3</v>
      </c>
      <c r="S59">
        <v>1951000</v>
      </c>
      <c r="T59" s="18">
        <f>ROUND((S59/7)/VLOOKUP(EOMONTH(A59,-1),Employment!A:P,16,FALSE),4)</f>
        <v>1.0931999999999999</v>
      </c>
      <c r="U59" s="18">
        <f t="shared" si="106"/>
        <v>1.0953999999999999</v>
      </c>
      <c r="V59" s="29">
        <f t="shared" si="107"/>
        <v>-9.4200000000000006E-2</v>
      </c>
      <c r="W59" s="29">
        <f t="shared" si="108"/>
        <v>-5.4999999999999997E-3</v>
      </c>
      <c r="X59" s="30">
        <f t="shared" si="109"/>
        <v>146.63999999999999</v>
      </c>
      <c r="Y59" s="31">
        <f t="shared" si="110"/>
        <v>146.85</v>
      </c>
    </row>
    <row r="60" spans="1:25" ht="16.5" customHeight="1" x14ac:dyDescent="0.25">
      <c r="A60" s="5">
        <v>42925</v>
      </c>
      <c r="B60" s="18">
        <v>2102.42</v>
      </c>
      <c r="C60" s="29">
        <f t="shared" si="115"/>
        <v>6.9999999999999999E-4</v>
      </c>
      <c r="D60" s="18">
        <v>-0.87</v>
      </c>
      <c r="E60" s="18">
        <v>-1.5049999999999999</v>
      </c>
      <c r="F60" s="18">
        <f t="shared" si="101"/>
        <v>-0.19999999999999929</v>
      </c>
      <c r="G60" s="18">
        <f t="shared" si="102"/>
        <v>-0.57199999999999918</v>
      </c>
      <c r="H60">
        <v>3.83</v>
      </c>
      <c r="I60">
        <v>2.08</v>
      </c>
      <c r="J60">
        <f t="shared" si="112"/>
        <v>2.96</v>
      </c>
      <c r="K60" s="6">
        <f t="shared" si="113"/>
        <v>2.97</v>
      </c>
      <c r="L60" s="6">
        <f t="shared" si="114"/>
        <v>0</v>
      </c>
      <c r="M60" s="18">
        <v>2.7</v>
      </c>
      <c r="N60" s="18">
        <v>243000</v>
      </c>
      <c r="O60" s="18">
        <f>ROUND(N60/VLOOKUP(EOMONTH(A60,-1),Employment!A:P,16,FALSE),4)</f>
        <v>0.95309999999999995</v>
      </c>
      <c r="P60" s="18">
        <f t="shared" si="103"/>
        <v>0.95469999999999999</v>
      </c>
      <c r="Q60" s="29">
        <f t="shared" si="104"/>
        <v>-9.1999999999999998E-2</v>
      </c>
      <c r="R60" s="29">
        <f t="shared" si="105"/>
        <v>-1.3599999999999999E-2</v>
      </c>
      <c r="S60">
        <v>1964000</v>
      </c>
      <c r="T60" s="18">
        <f>ROUND((S60/7)/VLOOKUP(EOMONTH(A60,-1),Employment!A:P,16,FALSE),4)</f>
        <v>1.1005</v>
      </c>
      <c r="U60" s="18">
        <f t="shared" si="106"/>
        <v>1.095</v>
      </c>
      <c r="V60" s="29">
        <f t="shared" si="107"/>
        <v>-9.5299999999999996E-2</v>
      </c>
      <c r="W60" s="29">
        <f t="shared" si="108"/>
        <v>-4.4000000000000003E-3</v>
      </c>
      <c r="X60" s="30">
        <f t="shared" si="109"/>
        <v>146.41</v>
      </c>
      <c r="Y60" s="31">
        <f t="shared" si="110"/>
        <v>147.62</v>
      </c>
    </row>
    <row r="61" spans="1:25" ht="16.5" customHeight="1" x14ac:dyDescent="0.25">
      <c r="A61" s="5">
        <v>42918</v>
      </c>
      <c r="B61" s="18">
        <v>2112.75</v>
      </c>
      <c r="C61" s="29">
        <f t="shared" si="115"/>
        <v>7.3000000000000001E-3</v>
      </c>
      <c r="D61" s="18">
        <v>-0.89</v>
      </c>
      <c r="E61" s="18">
        <v>-1.5049999999999999</v>
      </c>
      <c r="F61" s="18">
        <f t="shared" si="101"/>
        <v>-0.48000000000000398</v>
      </c>
      <c r="G61" s="18">
        <f t="shared" si="102"/>
        <v>9.1999999999998749E-2</v>
      </c>
      <c r="H61">
        <v>3.77</v>
      </c>
      <c r="I61">
        <v>2.09</v>
      </c>
      <c r="J61">
        <f t="shared" si="112"/>
        <v>2.93</v>
      </c>
      <c r="K61" s="6">
        <f t="shared" si="113"/>
        <v>2.97</v>
      </c>
      <c r="L61" s="6">
        <f t="shared" si="114"/>
        <v>-2.0000000000000018E-2</v>
      </c>
      <c r="M61" s="18">
        <v>3</v>
      </c>
      <c r="N61" s="18">
        <v>242250</v>
      </c>
      <c r="O61" s="18">
        <f>ROUND(N61/VLOOKUP(EOMONTH(A61,-1),Employment!A:P,16,FALSE),4)</f>
        <v>0.95020000000000004</v>
      </c>
      <c r="P61" s="18">
        <f t="shared" si="103"/>
        <v>0.95489999999999997</v>
      </c>
      <c r="Q61" s="29">
        <f t="shared" si="104"/>
        <v>-9.5699999999999993E-2</v>
      </c>
      <c r="R61" s="29">
        <f t="shared" si="105"/>
        <v>-1.9900000000000001E-2</v>
      </c>
      <c r="S61">
        <v>1950000</v>
      </c>
      <c r="T61" s="18">
        <f>ROUND((S61/7)/VLOOKUP(EOMONTH(A61,-1),Employment!A:P,16,FALSE),4)</f>
        <v>1.0926</v>
      </c>
      <c r="U61" s="18">
        <f t="shared" si="106"/>
        <v>1.0916999999999999</v>
      </c>
      <c r="V61" s="29">
        <f t="shared" si="107"/>
        <v>-0.10299999999999999</v>
      </c>
      <c r="W61" s="29">
        <f t="shared" si="108"/>
        <v>-6.1999999999999998E-3</v>
      </c>
      <c r="X61" s="30">
        <f t="shared" si="109"/>
        <v>148.47999999999999</v>
      </c>
      <c r="Y61" s="31">
        <f t="shared" si="110"/>
        <v>150.84</v>
      </c>
    </row>
    <row r="62" spans="1:25" ht="16.5" customHeight="1" x14ac:dyDescent="0.25">
      <c r="A62" s="5">
        <v>42911</v>
      </c>
      <c r="B62" s="18">
        <v>2097.9699999999998</v>
      </c>
      <c r="C62" s="29">
        <f t="shared" si="115"/>
        <v>0</v>
      </c>
      <c r="D62" s="18">
        <v>-0.89</v>
      </c>
      <c r="E62" s="18">
        <v>-1.5649999999999999</v>
      </c>
      <c r="F62" s="18">
        <f t="shared" si="101"/>
        <v>0.10800000000000409</v>
      </c>
      <c r="G62" s="18">
        <f t="shared" si="102"/>
        <v>0.45200000000000173</v>
      </c>
      <c r="H62">
        <v>3.86</v>
      </c>
      <c r="I62">
        <v>2.15</v>
      </c>
      <c r="J62">
        <f t="shared" si="112"/>
        <v>3.01</v>
      </c>
      <c r="K62" s="6">
        <f t="shared" si="113"/>
        <v>2.99</v>
      </c>
      <c r="L62" s="6">
        <f t="shared" si="114"/>
        <v>2.0000000000000018E-2</v>
      </c>
      <c r="M62" s="18">
        <v>3.4</v>
      </c>
      <c r="N62" s="18">
        <v>244750</v>
      </c>
      <c r="O62" s="18">
        <f>ROUND(N62/VLOOKUP(EOMONTH(A62,-1),Employment!A:P,16,FALSE),4)</f>
        <v>0.9607</v>
      </c>
      <c r="P62" s="18">
        <f t="shared" si="103"/>
        <v>0.95479999999999998</v>
      </c>
      <c r="Q62" s="29">
        <f t="shared" si="104"/>
        <v>-9.9199999999999997E-2</v>
      </c>
      <c r="R62" s="29">
        <f t="shared" si="105"/>
        <v>-1.66E-2</v>
      </c>
      <c r="S62">
        <v>1947000</v>
      </c>
      <c r="T62" s="18">
        <f>ROUND((S62/7)/VLOOKUP(EOMONTH(A62,-1),Employment!A:P,16,FALSE),4)</f>
        <v>1.0918000000000001</v>
      </c>
      <c r="U62" s="18">
        <f t="shared" si="106"/>
        <v>1.0894999999999999</v>
      </c>
      <c r="V62" s="29">
        <f t="shared" si="107"/>
        <v>-0.1011</v>
      </c>
      <c r="W62" s="29">
        <f t="shared" si="108"/>
        <v>-7.1999999999999998E-3</v>
      </c>
      <c r="X62" s="30">
        <f t="shared" si="109"/>
        <v>148.47999999999999</v>
      </c>
      <c r="Y62" s="31">
        <f t="shared" si="110"/>
        <v>158.07</v>
      </c>
    </row>
    <row r="63" spans="1:25" ht="16.5" customHeight="1" x14ac:dyDescent="0.25">
      <c r="A63" s="5">
        <v>42904</v>
      </c>
      <c r="B63" s="18">
        <v>2099.52</v>
      </c>
      <c r="C63" s="29">
        <f t="shared" si="115"/>
        <v>1.2999999999999999E-3</v>
      </c>
      <c r="D63">
        <v>-0.86</v>
      </c>
      <c r="E63" s="18">
        <v>-1.589</v>
      </c>
      <c r="F63" s="18">
        <f t="shared" si="101"/>
        <v>0.46399999999999864</v>
      </c>
      <c r="G63" s="18">
        <f t="shared" si="102"/>
        <v>1.3039999999999985</v>
      </c>
      <c r="H63">
        <v>3.76</v>
      </c>
      <c r="I63">
        <v>2.19</v>
      </c>
      <c r="J63">
        <f t="shared" si="112"/>
        <v>2.98</v>
      </c>
      <c r="K63" s="6">
        <f t="shared" si="113"/>
        <v>2.97</v>
      </c>
      <c r="L63" s="6">
        <f t="shared" si="114"/>
        <v>0</v>
      </c>
      <c r="M63" s="18">
        <v>3.7</v>
      </c>
      <c r="N63" s="18">
        <v>243000</v>
      </c>
      <c r="O63" s="18">
        <f>ROUND(N63/VLOOKUP(EOMONTH(A63,-1),Employment!A:P,16,FALSE),4)</f>
        <v>0.95379999999999998</v>
      </c>
      <c r="P63" s="18">
        <f t="shared" si="103"/>
        <v>0.94599999999999995</v>
      </c>
      <c r="Q63" s="29">
        <f t="shared" si="104"/>
        <v>-0.11600000000000001</v>
      </c>
      <c r="R63" s="29">
        <f t="shared" si="105"/>
        <v>-4.0000000000000002E-4</v>
      </c>
      <c r="S63">
        <v>1945000</v>
      </c>
      <c r="T63" s="18">
        <f>ROUND((S63/7)/VLOOKUP(EOMONTH(A63,-1),Employment!A:P,16,FALSE),4)</f>
        <v>1.0906</v>
      </c>
      <c r="U63" s="18">
        <f t="shared" si="106"/>
        <v>1.0867</v>
      </c>
      <c r="V63" s="29">
        <f t="shared" si="107"/>
        <v>-0.1076</v>
      </c>
      <c r="W63" s="29">
        <f t="shared" si="108"/>
        <v>-3.8E-3</v>
      </c>
      <c r="X63" s="30">
        <f t="shared" si="109"/>
        <v>162.61000000000001</v>
      </c>
      <c r="Y63" s="31">
        <f t="shared" si="110"/>
        <v>168.98</v>
      </c>
    </row>
    <row r="64" spans="1:25" ht="16.5" customHeight="1" x14ac:dyDescent="0.25">
      <c r="A64" s="5">
        <v>42897</v>
      </c>
      <c r="B64" s="18">
        <v>2093.7600000000002</v>
      </c>
      <c r="C64" s="29">
        <f t="shared" si="115"/>
        <v>-2.5000000000000001E-3</v>
      </c>
      <c r="D64">
        <v>-0.82</v>
      </c>
      <c r="E64" s="18">
        <v>-1.581</v>
      </c>
      <c r="F64" s="18">
        <f t="shared" si="101"/>
        <v>-0.12000000000000099</v>
      </c>
      <c r="G64" s="18">
        <f t="shared" si="102"/>
        <v>0.47999999999999687</v>
      </c>
      <c r="H64">
        <v>3.73</v>
      </c>
      <c r="I64">
        <v>2.21</v>
      </c>
      <c r="J64">
        <f t="shared" si="112"/>
        <v>2.97</v>
      </c>
      <c r="K64" s="6">
        <f t="shared" si="113"/>
        <v>2.97</v>
      </c>
      <c r="L64" s="6">
        <f t="shared" si="114"/>
        <v>-9.9999999999997868E-3</v>
      </c>
      <c r="M64" s="18">
        <v>4.2</v>
      </c>
      <c r="N64" s="18">
        <v>242000</v>
      </c>
      <c r="O64" s="18">
        <f>ROUND(N64/VLOOKUP(EOMONTH(A64,-1),Employment!A:P,16,FALSE),4)</f>
        <v>0.94989999999999997</v>
      </c>
      <c r="P64" s="18">
        <f t="shared" si="103"/>
        <v>0.93600000000000005</v>
      </c>
      <c r="Q64" s="29">
        <f t="shared" si="104"/>
        <v>-0.1343</v>
      </c>
      <c r="R64" s="29">
        <f t="shared" si="105"/>
        <v>1.7899999999999999E-2</v>
      </c>
      <c r="S64">
        <v>1937000</v>
      </c>
      <c r="T64" s="18">
        <f>ROUND((S64/7)/VLOOKUP(EOMONTH(A64,-1),Employment!A:P,16,FALSE),4)</f>
        <v>1.0861000000000001</v>
      </c>
      <c r="U64" s="18">
        <f t="shared" si="106"/>
        <v>1.0851</v>
      </c>
      <c r="V64" s="29">
        <f t="shared" si="107"/>
        <v>-0.1105</v>
      </c>
      <c r="W64" s="29">
        <f t="shared" si="108"/>
        <v>4.8999999999999998E-3</v>
      </c>
      <c r="X64" s="30">
        <f t="shared" si="109"/>
        <v>170.71</v>
      </c>
      <c r="Y64" s="31">
        <f t="shared" si="110"/>
        <v>175.65</v>
      </c>
    </row>
    <row r="65" spans="1:25" ht="16.5" customHeight="1" x14ac:dyDescent="0.25">
      <c r="A65" s="5">
        <v>42890</v>
      </c>
      <c r="B65">
        <v>2098.13</v>
      </c>
      <c r="C65" s="29">
        <f t="shared" si="115"/>
        <v>-4.0000000000000002E-4</v>
      </c>
      <c r="D65">
        <v>-0.86</v>
      </c>
      <c r="E65">
        <v>-1.546</v>
      </c>
      <c r="F65" s="18">
        <f t="shared" si="101"/>
        <v>0.96000000000000085</v>
      </c>
      <c r="G65" s="18">
        <f t="shared" si="102"/>
        <v>1.259999999999998</v>
      </c>
      <c r="H65">
        <v>3.69</v>
      </c>
      <c r="I65">
        <v>2.2400000000000002</v>
      </c>
      <c r="J65">
        <f t="shared" si="112"/>
        <v>2.97</v>
      </c>
      <c r="K65" s="6">
        <f t="shared" si="113"/>
        <v>2.98</v>
      </c>
      <c r="L65" s="6">
        <f t="shared" si="114"/>
        <v>-2.0000000000000018E-2</v>
      </c>
      <c r="M65">
        <v>4.5999999999999996</v>
      </c>
      <c r="N65">
        <v>238000</v>
      </c>
      <c r="O65" s="18">
        <f>ROUND(N65/VLOOKUP(EOMONTH(A65,-1),Employment!A:P,16,FALSE),4)</f>
        <v>0.93420000000000003</v>
      </c>
      <c r="P65" s="18">
        <f t="shared" si="103"/>
        <v>0.93459999999999999</v>
      </c>
      <c r="Q65" s="29">
        <f t="shared" si="104"/>
        <v>-0.1416</v>
      </c>
      <c r="R65" s="29">
        <f t="shared" si="105"/>
        <v>2.58E-2</v>
      </c>
      <c r="S65">
        <v>1932000</v>
      </c>
      <c r="T65" s="18">
        <f>ROUND((S65/7)/VLOOKUP(EOMONTH(A65,-1),Employment!A:P,16,FALSE),4)</f>
        <v>1.0832999999999999</v>
      </c>
      <c r="U65" s="18">
        <f t="shared" si="106"/>
        <v>1.0822000000000001</v>
      </c>
      <c r="V65" s="29">
        <f t="shared" si="107"/>
        <v>-0.1192</v>
      </c>
      <c r="W65" s="29">
        <f t="shared" si="108"/>
        <v>1.4999999999999999E-2</v>
      </c>
      <c r="X65" s="30">
        <f t="shared" si="109"/>
        <v>180.6</v>
      </c>
      <c r="Y65" s="31">
        <f t="shared" si="110"/>
        <v>176.91</v>
      </c>
    </row>
    <row r="66" spans="1:25" ht="16.5" customHeight="1" x14ac:dyDescent="0.25">
      <c r="A66" s="5">
        <v>42883</v>
      </c>
      <c r="B66">
        <v>2100.13</v>
      </c>
      <c r="C66" s="29">
        <f t="shared" si="115"/>
        <v>2E-3</v>
      </c>
      <c r="D66">
        <v>-0.82</v>
      </c>
      <c r="E66">
        <v>-1.476</v>
      </c>
      <c r="F66" s="18">
        <f t="shared" si="101"/>
        <v>-0.36000000000000298</v>
      </c>
      <c r="G66" s="18">
        <f t="shared" si="102"/>
        <v>0.69199999999999662</v>
      </c>
      <c r="H66">
        <v>3.67</v>
      </c>
      <c r="I66">
        <v>2.2400000000000002</v>
      </c>
      <c r="J66">
        <f t="shared" si="112"/>
        <v>2.96</v>
      </c>
      <c r="K66" s="6">
        <f t="shared" si="113"/>
        <v>3</v>
      </c>
      <c r="L66" s="6">
        <f t="shared" si="114"/>
        <v>-2.0000000000000018E-2</v>
      </c>
      <c r="M66">
        <v>5.0999999999999996</v>
      </c>
      <c r="N66">
        <v>235250</v>
      </c>
      <c r="O66" s="18">
        <f>ROUND(N66/VLOOKUP(EOMONTH(A66,-1),Employment!A:P,16,FALSE),4)</f>
        <v>0.92400000000000004</v>
      </c>
      <c r="P66" s="18">
        <f t="shared" si="103"/>
        <v>0.94199999999999995</v>
      </c>
      <c r="Q66" s="29">
        <f t="shared" si="104"/>
        <v>-0.13</v>
      </c>
      <c r="R66" s="29">
        <f t="shared" si="105"/>
        <v>1.9199999999999998E-2</v>
      </c>
      <c r="S66">
        <v>1935000</v>
      </c>
      <c r="T66" s="18">
        <f>ROUND((S66/7)/VLOOKUP(EOMONTH(A66,-1),Employment!A:P,16,FALSE),4)</f>
        <v>1.0858000000000001</v>
      </c>
      <c r="U66" s="18">
        <f t="shared" si="106"/>
        <v>1.083</v>
      </c>
      <c r="V66" s="29">
        <f t="shared" si="107"/>
        <v>-0.1191</v>
      </c>
      <c r="W66" s="29">
        <f t="shared" si="108"/>
        <v>1.72E-2</v>
      </c>
      <c r="X66" s="30">
        <f t="shared" si="109"/>
        <v>175.61</v>
      </c>
      <c r="Y66" s="31">
        <f t="shared" si="110"/>
        <v>172.18</v>
      </c>
    </row>
    <row r="67" spans="1:25" ht="16.5" customHeight="1" x14ac:dyDescent="0.25">
      <c r="A67" s="5">
        <v>42876</v>
      </c>
      <c r="B67">
        <v>2095.4699999999998</v>
      </c>
      <c r="C67" s="29">
        <f t="shared" si="115"/>
        <v>2.9999999999999997E-4</v>
      </c>
      <c r="D67">
        <v>-0.84</v>
      </c>
      <c r="E67">
        <v>-1.496</v>
      </c>
      <c r="F67" s="18">
        <f t="shared" si="101"/>
        <v>0.66000000000000014</v>
      </c>
      <c r="G67" s="18">
        <f t="shared" si="102"/>
        <v>2.1240000000000023</v>
      </c>
      <c r="H67">
        <v>3.78</v>
      </c>
      <c r="I67">
        <v>2.2599999999999998</v>
      </c>
      <c r="J67">
        <f t="shared" si="112"/>
        <v>3.02</v>
      </c>
      <c r="K67" s="6">
        <f t="shared" si="113"/>
        <v>3.02</v>
      </c>
      <c r="L67" s="6">
        <f t="shared" si="114"/>
        <v>0</v>
      </c>
      <c r="M67">
        <v>5</v>
      </c>
      <c r="N67">
        <v>240750</v>
      </c>
      <c r="O67" s="18">
        <f>ROUND(N67/VLOOKUP(EOMONTH(A67,-1),Employment!A:P,16,FALSE),4)</f>
        <v>0.9456</v>
      </c>
      <c r="P67" s="18">
        <f t="shared" si="103"/>
        <v>0.95220000000000005</v>
      </c>
      <c r="Q67" s="29">
        <f t="shared" si="104"/>
        <v>-0.1057</v>
      </c>
      <c r="R67" s="29">
        <f t="shared" si="105"/>
        <v>7.4000000000000003E-3</v>
      </c>
      <c r="S67">
        <v>1920000</v>
      </c>
      <c r="T67" s="18">
        <f>ROUND((S67/7)/VLOOKUP(EOMONTH(A67,-1),Employment!A:P,16,FALSE),4)</f>
        <v>1.0773999999999999</v>
      </c>
      <c r="U67" s="18">
        <f t="shared" si="106"/>
        <v>1.0913999999999999</v>
      </c>
      <c r="V67" s="29">
        <f t="shared" si="107"/>
        <v>-0.1081</v>
      </c>
      <c r="W67" s="29">
        <f t="shared" si="108"/>
        <v>1.18E-2</v>
      </c>
      <c r="X67" s="30">
        <f t="shared" si="109"/>
        <v>170.92</v>
      </c>
      <c r="Y67" s="31">
        <f t="shared" si="110"/>
        <v>168.11</v>
      </c>
    </row>
    <row r="68" spans="1:25" ht="16.5" customHeight="1" x14ac:dyDescent="0.25">
      <c r="A68" s="5">
        <v>42869</v>
      </c>
      <c r="B68">
        <v>2101.92</v>
      </c>
      <c r="C68" s="29">
        <f t="shared" si="115"/>
        <v>4.4000000000000003E-3</v>
      </c>
      <c r="D68">
        <v>-0.81</v>
      </c>
      <c r="E68">
        <v>-1.4510000000000001</v>
      </c>
      <c r="F68" s="18">
        <f t="shared" si="101"/>
        <v>0.39199999999999946</v>
      </c>
      <c r="G68" s="18">
        <f t="shared" si="102"/>
        <v>1.4360000000000035</v>
      </c>
      <c r="H68">
        <v>3.77</v>
      </c>
      <c r="I68">
        <v>2.25</v>
      </c>
      <c r="J68">
        <f t="shared" si="112"/>
        <v>3.01</v>
      </c>
      <c r="K68" s="6">
        <f t="shared" si="113"/>
        <v>3.02</v>
      </c>
      <c r="L68" s="6">
        <f t="shared" si="114"/>
        <v>-4.0000000000000036E-2</v>
      </c>
      <c r="M68">
        <v>5.0999999999999996</v>
      </c>
      <c r="N68">
        <v>243500</v>
      </c>
      <c r="O68" s="18">
        <f>ROUND(N68/VLOOKUP(EOMONTH(A68,-1),Employment!A:P,16,FALSE),4)</f>
        <v>0.95640000000000003</v>
      </c>
      <c r="P68" s="18">
        <f t="shared" si="103"/>
        <v>0.95440000000000003</v>
      </c>
      <c r="Q68" s="29">
        <f t="shared" si="104"/>
        <v>-8.8599999999999998E-2</v>
      </c>
      <c r="R68" s="29">
        <f t="shared" si="105"/>
        <v>2.7000000000000001E-3</v>
      </c>
      <c r="S68">
        <v>1935000</v>
      </c>
      <c r="T68" s="18">
        <f>ROUND((S68/7)/VLOOKUP(EOMONTH(A68,-1),Employment!A:P,16,FALSE),4)</f>
        <v>1.0858000000000001</v>
      </c>
      <c r="U68" s="18">
        <f t="shared" si="106"/>
        <v>1.1035999999999999</v>
      </c>
      <c r="V68" s="29">
        <f t="shared" si="107"/>
        <v>-9.2899999999999996E-2</v>
      </c>
      <c r="W68" s="29">
        <f t="shared" si="108"/>
        <v>5.3E-3</v>
      </c>
      <c r="X68" s="30">
        <f t="shared" si="109"/>
        <v>166.78</v>
      </c>
      <c r="Y68" s="31">
        <f t="shared" si="110"/>
        <v>164.7</v>
      </c>
    </row>
    <row r="69" spans="1:25" ht="16.5" customHeight="1" x14ac:dyDescent="0.25">
      <c r="A69" s="5">
        <v>42862</v>
      </c>
      <c r="B69">
        <v>2098.4699999999998</v>
      </c>
      <c r="C69" s="29">
        <f t="shared" si="115"/>
        <v>4.4000000000000003E-3</v>
      </c>
      <c r="D69">
        <v>-0.79</v>
      </c>
      <c r="E69">
        <v>-1.427</v>
      </c>
      <c r="F69" s="18">
        <f t="shared" si="101"/>
        <v>1.0720000000000027</v>
      </c>
      <c r="G69" s="18">
        <f t="shared" si="102"/>
        <v>0.56400000000000006</v>
      </c>
      <c r="H69">
        <v>3.82</v>
      </c>
      <c r="I69">
        <v>2.2400000000000002</v>
      </c>
      <c r="J69">
        <f t="shared" si="112"/>
        <v>3.03</v>
      </c>
      <c r="K69" s="6">
        <f t="shared" si="113"/>
        <v>3.06</v>
      </c>
      <c r="L69" s="6">
        <f t="shared" si="114"/>
        <v>-4.0000000000000036E-2</v>
      </c>
      <c r="M69">
        <v>5.4</v>
      </c>
      <c r="N69">
        <v>243000</v>
      </c>
      <c r="O69" s="18">
        <f>ROUND(N69/VLOOKUP(EOMONTH(A69,-1),Employment!A:P,16,FALSE),4)</f>
        <v>0.95450000000000002</v>
      </c>
      <c r="P69" s="18">
        <f t="shared" si="103"/>
        <v>0.95389999999999997</v>
      </c>
      <c r="Q69" s="29">
        <f t="shared" si="104"/>
        <v>-8.3900000000000002E-2</v>
      </c>
      <c r="R69" s="29">
        <f t="shared" si="105"/>
        <v>4.3E-3</v>
      </c>
      <c r="S69">
        <v>1980000</v>
      </c>
      <c r="T69" s="18">
        <f>ROUND((S69/7)/VLOOKUP(EOMONTH(A69,-1),Employment!A:P,16,FALSE),4)</f>
        <v>1.111</v>
      </c>
      <c r="U69" s="18">
        <f t="shared" si="106"/>
        <v>1.1125</v>
      </c>
      <c r="V69" s="29">
        <f t="shared" si="107"/>
        <v>-8.14E-2</v>
      </c>
      <c r="W69" s="29">
        <f t="shared" si="108"/>
        <v>1.8E-3</v>
      </c>
      <c r="X69" s="30">
        <f t="shared" si="109"/>
        <v>164.43</v>
      </c>
      <c r="Y69" s="31">
        <f t="shared" si="110"/>
        <v>161.63999999999999</v>
      </c>
    </row>
    <row r="70" spans="1:25" ht="16.5" customHeight="1" x14ac:dyDescent="0.25">
      <c r="A70" s="5">
        <v>42855</v>
      </c>
      <c r="B70">
        <v>2087.63</v>
      </c>
      <c r="C70" s="29">
        <f t="shared" si="115"/>
        <v>1E-4</v>
      </c>
      <c r="D70">
        <v>-0.77</v>
      </c>
      <c r="E70">
        <v>-1.3180000000000001</v>
      </c>
      <c r="F70" s="18">
        <f t="shared" si="101"/>
        <v>-2.7999999999998693E-2</v>
      </c>
      <c r="G70" s="18">
        <f t="shared" si="102"/>
        <v>-0.25999999999999801</v>
      </c>
      <c r="H70">
        <v>3.75</v>
      </c>
      <c r="I70">
        <v>2.2799999999999998</v>
      </c>
      <c r="J70">
        <f t="shared" si="112"/>
        <v>3.02</v>
      </c>
      <c r="K70" s="6">
        <f t="shared" si="113"/>
        <v>3.1</v>
      </c>
      <c r="L70" s="6">
        <f t="shared" si="114"/>
        <v>-9.9999999999997868E-3</v>
      </c>
      <c r="M70">
        <v>5.9</v>
      </c>
      <c r="N70">
        <v>242250</v>
      </c>
      <c r="O70" s="18">
        <f>ROUND(N70/VLOOKUP(EOMONTH(A70,-1),Employment!A:P,16,FALSE),4)</f>
        <v>0.95220000000000005</v>
      </c>
      <c r="P70" s="18">
        <f t="shared" si="103"/>
        <v>0.9597</v>
      </c>
      <c r="Q70" s="29">
        <f t="shared" si="104"/>
        <v>-8.5199999999999998E-2</v>
      </c>
      <c r="R70" s="29">
        <f t="shared" si="105"/>
        <v>6.7000000000000002E-3</v>
      </c>
      <c r="S70">
        <v>1984000</v>
      </c>
      <c r="T70" s="18">
        <f>ROUND((S70/7)/VLOOKUP(EOMONTH(A70,-1),Employment!A:P,16,FALSE),4)</f>
        <v>1.1140000000000001</v>
      </c>
      <c r="U70" s="18">
        <f t="shared" si="106"/>
        <v>1.1194999999999999</v>
      </c>
      <c r="V70" s="29">
        <f t="shared" si="107"/>
        <v>-8.0399999999999999E-2</v>
      </c>
      <c r="W70" s="29">
        <f t="shared" si="108"/>
        <v>8.9999999999999998E-4</v>
      </c>
      <c r="X70" s="30">
        <f t="shared" si="109"/>
        <v>160.19999999999999</v>
      </c>
      <c r="Y70" s="31">
        <f t="shared" si="110"/>
        <v>158.72</v>
      </c>
    </row>
    <row r="71" spans="1:25" ht="16.5" customHeight="1" x14ac:dyDescent="0.25">
      <c r="A71" s="5">
        <v>42848</v>
      </c>
      <c r="B71">
        <v>2091.0100000000002</v>
      </c>
      <c r="C71" s="29">
        <f t="shared" si="115"/>
        <v>1.8E-3</v>
      </c>
      <c r="D71">
        <v>-0.78</v>
      </c>
      <c r="E71">
        <v>-1.3089999999999999</v>
      </c>
      <c r="F71" s="18">
        <f t="shared" si="101"/>
        <v>-0.48000000000000398</v>
      </c>
      <c r="G71" s="18">
        <f t="shared" si="102"/>
        <v>1.1999999999996902E-2</v>
      </c>
      <c r="H71">
        <v>3.97</v>
      </c>
      <c r="I71">
        <v>2.29</v>
      </c>
      <c r="J71">
        <f t="shared" si="112"/>
        <v>3.13</v>
      </c>
      <c r="K71" s="6">
        <f t="shared" si="113"/>
        <v>3.11</v>
      </c>
      <c r="L71" s="6">
        <f t="shared" si="114"/>
        <v>9.9999999999997868E-3</v>
      </c>
      <c r="M71">
        <v>6.5</v>
      </c>
      <c r="N71">
        <v>243000</v>
      </c>
      <c r="O71" s="18">
        <f>ROUND(N71/VLOOKUP(EOMONTH(A71,-1),Employment!A:P,16,FALSE),4)</f>
        <v>0.95509999999999995</v>
      </c>
      <c r="P71" s="18">
        <f t="shared" si="103"/>
        <v>0.96989999999999998</v>
      </c>
      <c r="Q71" s="29">
        <f t="shared" si="104"/>
        <v>-8.5500000000000007E-2</v>
      </c>
      <c r="R71" s="29">
        <f t="shared" si="105"/>
        <v>8.0000000000000004E-4</v>
      </c>
      <c r="S71">
        <v>1981000</v>
      </c>
      <c r="T71" s="18">
        <f>ROUND((S71/7)/VLOOKUP(EOMONTH(A71,-1),Employment!A:P,16,FALSE),4)</f>
        <v>1.1124000000000001</v>
      </c>
      <c r="U71" s="18">
        <f t="shared" si="106"/>
        <v>1.127</v>
      </c>
      <c r="V71" s="29">
        <f t="shared" si="107"/>
        <v>-8.0600000000000005E-2</v>
      </c>
      <c r="W71" s="29">
        <f t="shared" si="108"/>
        <v>-3.2000000000000002E-3</v>
      </c>
      <c r="X71" s="30">
        <f t="shared" si="109"/>
        <v>158.26</v>
      </c>
      <c r="Y71" s="31">
        <f t="shared" si="110"/>
        <v>155.91999999999999</v>
      </c>
    </row>
    <row r="72" spans="1:25" ht="16.5" customHeight="1" x14ac:dyDescent="0.25">
      <c r="A72" s="5">
        <v>42841</v>
      </c>
      <c r="B72">
        <v>2093.4499999999998</v>
      </c>
      <c r="C72" s="29">
        <f t="shared" si="115"/>
        <v>4.7999999999999996E-3</v>
      </c>
      <c r="D72">
        <v>-0.78</v>
      </c>
      <c r="E72">
        <v>-1.369</v>
      </c>
      <c r="F72" s="18">
        <f t="shared" si="101"/>
        <v>0.24800000000000466</v>
      </c>
      <c r="G72" s="18">
        <f t="shared" si="102"/>
        <v>0.4360000000000035</v>
      </c>
      <c r="H72">
        <v>4.03</v>
      </c>
      <c r="I72">
        <v>2.2799999999999998</v>
      </c>
      <c r="J72">
        <f t="shared" si="112"/>
        <v>3.16</v>
      </c>
      <c r="K72" s="6">
        <f t="shared" si="113"/>
        <v>3.1</v>
      </c>
      <c r="L72" s="6">
        <f t="shared" si="114"/>
        <v>1.0000000000000231E-2</v>
      </c>
      <c r="M72">
        <v>7.1</v>
      </c>
      <c r="N72">
        <v>247250</v>
      </c>
      <c r="O72" s="18">
        <f>ROUND(N72/VLOOKUP(EOMONTH(A72,-1),Employment!A:P,16,FALSE),4)</f>
        <v>0.9718</v>
      </c>
      <c r="P72" s="18">
        <f t="shared" si="103"/>
        <v>0.9849</v>
      </c>
      <c r="Q72" s="29">
        <f t="shared" si="104"/>
        <v>-7.4499999999999997E-2</v>
      </c>
      <c r="R72" s="29">
        <f t="shared" si="105"/>
        <v>-8.3999999999999995E-3</v>
      </c>
      <c r="S72">
        <v>2016000</v>
      </c>
      <c r="T72" s="18">
        <f>ROUND((S72/7)/VLOOKUP(EOMONTH(A72,-1),Employment!A:P,16,FALSE),4)</f>
        <v>1.1319999999999999</v>
      </c>
      <c r="U72" s="18">
        <f t="shared" si="106"/>
        <v>1.1372</v>
      </c>
      <c r="V72" s="29">
        <f t="shared" si="107"/>
        <v>-7.4200000000000002E-2</v>
      </c>
      <c r="W72" s="29">
        <f t="shared" si="108"/>
        <v>-4.0000000000000001E-3</v>
      </c>
      <c r="X72" s="30">
        <f t="shared" si="109"/>
        <v>156.18</v>
      </c>
      <c r="Y72" s="31">
        <f t="shared" si="110"/>
        <v>152.11000000000001</v>
      </c>
    </row>
    <row r="73" spans="1:25" ht="16.5" customHeight="1" x14ac:dyDescent="0.25">
      <c r="A73" s="5">
        <v>42834</v>
      </c>
      <c r="B73">
        <v>2085.0677000000001</v>
      </c>
      <c r="C73" s="29">
        <f t="shared" si="115"/>
        <v>-5.9999999999999995E-4</v>
      </c>
      <c r="D73">
        <v>-0.76</v>
      </c>
      <c r="E73">
        <v>-1.363</v>
      </c>
      <c r="F73" s="18">
        <f t="shared" si="101"/>
        <v>0.24399999999999622</v>
      </c>
      <c r="G73" s="18">
        <f t="shared" si="102"/>
        <v>-0.15200000000000102</v>
      </c>
      <c r="H73">
        <v>3.86</v>
      </c>
      <c r="I73">
        <v>2.2400000000000002</v>
      </c>
      <c r="J73">
        <f t="shared" si="112"/>
        <v>3.05</v>
      </c>
      <c r="K73" s="6">
        <f t="shared" si="113"/>
        <v>3.09</v>
      </c>
      <c r="L73" s="6">
        <f t="shared" si="114"/>
        <v>-1.0000000000000231E-2</v>
      </c>
      <c r="M73">
        <v>7.5105708106950999</v>
      </c>
      <c r="N73">
        <v>250000</v>
      </c>
      <c r="O73" s="18">
        <f>ROUND(N73/VLOOKUP(EOMONTH(A73,-1),Employment!A:P,16,FALSE),4)</f>
        <v>0.98270000000000002</v>
      </c>
      <c r="P73" s="18">
        <f t="shared" si="103"/>
        <v>0.98419999999999996</v>
      </c>
      <c r="Q73" s="29">
        <f t="shared" si="104"/>
        <v>-7.2300000000000003E-2</v>
      </c>
      <c r="R73" s="29">
        <f t="shared" si="105"/>
        <v>-1.35E-2</v>
      </c>
      <c r="S73">
        <v>2024000</v>
      </c>
      <c r="T73" s="18">
        <f>ROUND((S73/7)/VLOOKUP(EOMONTH(A73,-1),Employment!A:P,16,FALSE),4)</f>
        <v>1.1365000000000001</v>
      </c>
      <c r="U73" s="18">
        <f t="shared" si="106"/>
        <v>1.1328</v>
      </c>
      <c r="V73" s="29">
        <f t="shared" si="107"/>
        <v>-7.9100000000000004E-2</v>
      </c>
      <c r="W73" s="29">
        <f t="shared" si="108"/>
        <v>-4.0000000000000002E-4</v>
      </c>
      <c r="X73" s="30">
        <f t="shared" si="109"/>
        <v>149.44</v>
      </c>
      <c r="Y73" s="31">
        <f t="shared" si="110"/>
        <v>150.02000000000001</v>
      </c>
    </row>
    <row r="74" spans="1:25" x14ac:dyDescent="0.25">
      <c r="A74" s="5">
        <v>42827</v>
      </c>
      <c r="B74">
        <v>2080.1835000000001</v>
      </c>
      <c r="C74" s="29">
        <f t="shared" si="115"/>
        <v>-5.3E-3</v>
      </c>
      <c r="D74">
        <v>-0.77</v>
      </c>
      <c r="E74">
        <v>-1.32</v>
      </c>
      <c r="F74" s="18">
        <f t="shared" si="101"/>
        <v>-5.5999999999997385E-2</v>
      </c>
      <c r="G74" s="18">
        <f t="shared" si="102"/>
        <v>-9.6000000000000085E-2</v>
      </c>
      <c r="H74">
        <v>3.92</v>
      </c>
      <c r="I74">
        <v>2.2400000000000002</v>
      </c>
      <c r="J74">
        <f t="shared" si="112"/>
        <v>3.08</v>
      </c>
      <c r="K74" s="6">
        <f t="shared" si="113"/>
        <v>3.1</v>
      </c>
      <c r="L74" s="6">
        <f t="shared" si="114"/>
        <v>1.0000000000000231E-2</v>
      </c>
      <c r="M74">
        <v>7.8397149069793999</v>
      </c>
      <c r="N74">
        <v>254500</v>
      </c>
      <c r="O74" s="18">
        <f>ROUND(N74/VLOOKUP(EOMONTH(A74,-1),Employment!A:P,16,FALSE),4)</f>
        <v>1.0003</v>
      </c>
      <c r="P74" s="18">
        <f t="shared" si="103"/>
        <v>0.97519999999999996</v>
      </c>
      <c r="Q74" s="29">
        <f t="shared" si="104"/>
        <v>-7.5800000000000006E-2</v>
      </c>
      <c r="R74" s="29">
        <f t="shared" si="105"/>
        <v>-1.21E-2</v>
      </c>
      <c r="S74">
        <v>2036000</v>
      </c>
      <c r="T74" s="18">
        <f>ROUND((S74/7)/VLOOKUP(EOMONTH(A74,-1),Employment!A:P,16,FALSE),4)</f>
        <v>1.1432</v>
      </c>
      <c r="U74" s="18">
        <f t="shared" si="106"/>
        <v>1.1318999999999999</v>
      </c>
      <c r="V74" s="29">
        <f t="shared" si="107"/>
        <v>-8.3599999999999994E-2</v>
      </c>
      <c r="W74" s="29">
        <f t="shared" si="108"/>
        <v>1.9E-3</v>
      </c>
      <c r="X74" s="30">
        <f t="shared" si="109"/>
        <v>148.59</v>
      </c>
      <c r="Y74" s="31">
        <f t="shared" si="110"/>
        <v>152.38</v>
      </c>
    </row>
    <row r="75" spans="1:25" x14ac:dyDescent="0.25">
      <c r="A75" s="5">
        <v>42820</v>
      </c>
      <c r="B75">
        <v>2090.1170000000002</v>
      </c>
      <c r="C75" s="29">
        <f t="shared" si="115"/>
        <v>-1.6999999999999999E-3</v>
      </c>
      <c r="D75">
        <v>-0.77</v>
      </c>
      <c r="E75">
        <v>-1.327</v>
      </c>
      <c r="F75" s="18">
        <f t="shared" si="101"/>
        <v>-0.33999999999999986</v>
      </c>
      <c r="G75" s="18">
        <f t="shared" si="102"/>
        <v>0.20399999999999707</v>
      </c>
      <c r="H75">
        <v>4.07</v>
      </c>
      <c r="I75">
        <v>2.2200000000000002</v>
      </c>
      <c r="J75">
        <f t="shared" si="112"/>
        <v>3.15</v>
      </c>
      <c r="K75" s="6">
        <f t="shared" si="113"/>
        <v>3.09</v>
      </c>
      <c r="L75" s="6">
        <f t="shared" si="114"/>
        <v>8.9999999999999858E-2</v>
      </c>
      <c r="M75">
        <v>8.7905138108756997</v>
      </c>
      <c r="N75">
        <v>246500</v>
      </c>
      <c r="O75" s="18">
        <f>ROUND(N75/VLOOKUP(EOMONTH(A75,-1),Employment!A:P,16,FALSE),4)</f>
        <v>0.96950000000000003</v>
      </c>
      <c r="P75" s="18">
        <f t="shared" si="103"/>
        <v>0.96099999999999997</v>
      </c>
      <c r="Q75" s="29">
        <f t="shared" si="104"/>
        <v>-8.8099999999999998E-2</v>
      </c>
      <c r="R75" s="29">
        <f t="shared" si="105"/>
        <v>-7.7999999999999996E-3</v>
      </c>
      <c r="S75">
        <v>1991000</v>
      </c>
      <c r="T75" s="18">
        <f>ROUND((S75/7)/VLOOKUP(EOMONTH(A75,-1),Employment!A:P,16,FALSE),4)</f>
        <v>1.1187</v>
      </c>
      <c r="U75" s="18">
        <f t="shared" si="106"/>
        <v>1.1338999999999999</v>
      </c>
      <c r="V75" s="29">
        <f t="shared" si="107"/>
        <v>-8.5300000000000001E-2</v>
      </c>
      <c r="W75" s="29">
        <f t="shared" si="108"/>
        <v>8.0000000000000004E-4</v>
      </c>
      <c r="X75" s="30">
        <f t="shared" si="109"/>
        <v>155.06</v>
      </c>
      <c r="Y75" s="31">
        <f t="shared" si="110"/>
        <v>155.41999999999999</v>
      </c>
    </row>
    <row r="76" spans="1:25" x14ac:dyDescent="0.25">
      <c r="A76" s="5">
        <v>42813</v>
      </c>
      <c r="B76">
        <v>2078.3429000000001</v>
      </c>
      <c r="C76" s="29">
        <f t="shared" si="115"/>
        <v>-9.9000000000000008E-3</v>
      </c>
      <c r="D76">
        <v>-0.78</v>
      </c>
      <c r="E76">
        <v>-1.357</v>
      </c>
      <c r="F76" s="18">
        <f t="shared" si="101"/>
        <v>0.29999999999999716</v>
      </c>
      <c r="G76" s="18">
        <f t="shared" si="102"/>
        <v>0.6039999999999992</v>
      </c>
      <c r="H76">
        <v>3.91</v>
      </c>
      <c r="I76">
        <v>2.2200000000000002</v>
      </c>
      <c r="J76">
        <f t="shared" si="112"/>
        <v>3.07</v>
      </c>
      <c r="K76" s="6">
        <f t="shared" si="113"/>
        <v>3</v>
      </c>
      <c r="L76" s="6">
        <f t="shared" si="114"/>
        <v>9.9999999999997868E-3</v>
      </c>
      <c r="M76">
        <v>9.3267543455782995</v>
      </c>
      <c r="N76">
        <v>243000</v>
      </c>
      <c r="O76" s="18">
        <f>ROUND(N76/VLOOKUP(EOMONTH(A76,-1),Employment!A:P,16,FALSE),4)</f>
        <v>0.95579999999999998</v>
      </c>
      <c r="P76" s="18">
        <f t="shared" si="103"/>
        <v>0.95220000000000005</v>
      </c>
      <c r="Q76" s="29">
        <f t="shared" si="104"/>
        <v>-9.8100000000000007E-2</v>
      </c>
      <c r="R76" s="29">
        <f t="shared" si="105"/>
        <v>-5.8999999999999999E-3</v>
      </c>
      <c r="S76">
        <v>2018000</v>
      </c>
      <c r="T76" s="18">
        <f>ROUND((S76/7)/VLOOKUP(EOMONTH(A76,-1),Employment!A:P,16,FALSE),4)</f>
        <v>1.1338999999999999</v>
      </c>
      <c r="U76" s="18">
        <f t="shared" si="106"/>
        <v>1.1435999999999999</v>
      </c>
      <c r="V76" s="29">
        <f t="shared" si="107"/>
        <v>-8.1199999999999994E-2</v>
      </c>
      <c r="W76" s="29">
        <f t="shared" si="108"/>
        <v>-1.4E-3</v>
      </c>
      <c r="X76" s="30">
        <f t="shared" si="109"/>
        <v>155.18</v>
      </c>
      <c r="Y76" s="31">
        <f t="shared" si="110"/>
        <v>156.41</v>
      </c>
    </row>
    <row r="77" spans="1:25" x14ac:dyDescent="0.25">
      <c r="A77" s="5">
        <v>42806</v>
      </c>
      <c r="B77">
        <v>2096.7386000000001</v>
      </c>
      <c r="C77" s="29">
        <f t="shared" si="115"/>
        <v>-1.5E-3</v>
      </c>
      <c r="D77">
        <v>-0.77</v>
      </c>
      <c r="E77">
        <v>-1.3320000000000001</v>
      </c>
      <c r="F77" s="18">
        <f t="shared" si="101"/>
        <v>0.24399999999999977</v>
      </c>
      <c r="G77" s="18">
        <f t="shared" si="102"/>
        <v>0.24399999999999977</v>
      </c>
      <c r="H77">
        <v>3.89</v>
      </c>
      <c r="I77">
        <v>2.1800000000000002</v>
      </c>
      <c r="J77">
        <f t="shared" si="112"/>
        <v>3.04</v>
      </c>
      <c r="K77" s="6">
        <f t="shared" si="113"/>
        <v>2.99</v>
      </c>
      <c r="L77" s="6">
        <f t="shared" si="114"/>
        <v>0</v>
      </c>
      <c r="M77">
        <v>9.4573857903017</v>
      </c>
      <c r="N77">
        <v>243500</v>
      </c>
      <c r="O77" s="18">
        <f>ROUND(N77/VLOOKUP(EOMONTH(A77,-1),Employment!A:P,16,FALSE),4)</f>
        <v>0.9577</v>
      </c>
      <c r="P77" s="18">
        <f t="shared" si="103"/>
        <v>0.9556</v>
      </c>
      <c r="Q77" s="29">
        <f t="shared" si="104"/>
        <v>-0.1032</v>
      </c>
      <c r="R77" s="29">
        <f t="shared" si="105"/>
        <v>-8.2000000000000007E-3</v>
      </c>
      <c r="S77">
        <v>2045000</v>
      </c>
      <c r="T77" s="18">
        <f>ROUND((S77/7)/VLOOKUP(EOMONTH(A77,-1),Employment!A:P,16,FALSE),4)</f>
        <v>1.1491</v>
      </c>
      <c r="U77" s="18">
        <f t="shared" si="106"/>
        <v>1.1482000000000001</v>
      </c>
      <c r="V77" s="29">
        <f t="shared" si="107"/>
        <v>-7.9699999999999993E-2</v>
      </c>
      <c r="W77" s="29">
        <f t="shared" si="108"/>
        <v>-5.0000000000000001E-4</v>
      </c>
      <c r="X77" s="30">
        <f t="shared" si="109"/>
        <v>156.91999999999999</v>
      </c>
      <c r="Y77" s="31">
        <f t="shared" si="110"/>
        <v>157.86000000000001</v>
      </c>
    </row>
    <row r="78" spans="1:25" x14ac:dyDescent="0.25">
      <c r="A78" s="5">
        <v>42799</v>
      </c>
      <c r="B78">
        <v>2099.4856</v>
      </c>
      <c r="C78" s="29">
        <f t="shared" si="115"/>
        <v>-4.0000000000000002E-4</v>
      </c>
      <c r="D78">
        <v>-0.78</v>
      </c>
      <c r="E78">
        <v>-1.2889999999999999</v>
      </c>
      <c r="F78" s="18">
        <f t="shared" si="101"/>
        <v>6.0000000000002274E-2</v>
      </c>
      <c r="G78" s="18">
        <f t="shared" si="102"/>
        <v>0.56400000000000006</v>
      </c>
      <c r="H78">
        <v>3.6</v>
      </c>
      <c r="I78">
        <v>2.16</v>
      </c>
      <c r="J78">
        <f t="shared" si="112"/>
        <v>2.88</v>
      </c>
      <c r="K78" s="6">
        <f t="shared" si="113"/>
        <v>2.99</v>
      </c>
      <c r="L78" s="6">
        <f t="shared" si="114"/>
        <v>-5.9999999999999609E-2</v>
      </c>
      <c r="M78">
        <v>10.228640274702</v>
      </c>
      <c r="N78">
        <v>239750</v>
      </c>
      <c r="O78" s="18">
        <f>ROUND(N78/VLOOKUP(EOMONTH(A78,-1),Employment!A:P,16,FALSE),4)</f>
        <v>0.94299999999999995</v>
      </c>
      <c r="P78" s="18">
        <f t="shared" si="103"/>
        <v>0.96009999999999995</v>
      </c>
      <c r="Q78" s="29">
        <f t="shared" si="104"/>
        <v>-0.1051</v>
      </c>
      <c r="R78" s="29">
        <f t="shared" si="105"/>
        <v>-1.03E-2</v>
      </c>
      <c r="S78">
        <v>2043000</v>
      </c>
      <c r="T78" s="18">
        <f>ROUND((S78/7)/VLOOKUP(EOMONTH(A78,-1),Employment!A:P,16,FALSE),4)</f>
        <v>1.1478999999999999</v>
      </c>
      <c r="U78" s="18">
        <f t="shared" si="106"/>
        <v>1.1505000000000001</v>
      </c>
      <c r="V78" s="29">
        <f t="shared" si="107"/>
        <v>-8.3199999999999996E-2</v>
      </c>
      <c r="W78" s="29">
        <f t="shared" si="108"/>
        <v>5.0000000000000001E-4</v>
      </c>
      <c r="X78" s="30">
        <f t="shared" si="109"/>
        <v>158.18</v>
      </c>
      <c r="Y78" s="31">
        <f t="shared" si="110"/>
        <v>160.28</v>
      </c>
    </row>
    <row r="79" spans="1:25" x14ac:dyDescent="0.25">
      <c r="A79" s="5">
        <v>42792</v>
      </c>
      <c r="B79">
        <v>2099.9243000000001</v>
      </c>
      <c r="C79" s="29">
        <f t="shared" si="115"/>
        <v>-5.0000000000000001E-4</v>
      </c>
      <c r="D79">
        <v>-0.79</v>
      </c>
      <c r="E79">
        <v>-1.2689999999999999</v>
      </c>
      <c r="F79" s="18">
        <f t="shared" ref="F79:F142" si="116">(((D79*10)+(E79*8))*-1)-(((D80*10)+(E80*8))*-1)</f>
        <v>-6.0000000000002274E-2</v>
      </c>
      <c r="G79" s="18">
        <f t="shared" ref="G79:G142" si="117">SUM(F79:F81)</f>
        <v>0.51200000000000045</v>
      </c>
      <c r="H79">
        <v>3.84</v>
      </c>
      <c r="I79">
        <v>2.23</v>
      </c>
      <c r="J79">
        <f t="shared" si="112"/>
        <v>3.04</v>
      </c>
      <c r="K79" s="6">
        <f t="shared" si="113"/>
        <v>3.05</v>
      </c>
      <c r="L79" s="6">
        <f t="shared" si="114"/>
        <v>0</v>
      </c>
      <c r="M79">
        <v>10.579069307634001</v>
      </c>
      <c r="N79">
        <v>245500</v>
      </c>
      <c r="O79" s="18">
        <f>ROUND(N79/VLOOKUP(EOMONTH(A79,-1),Employment!A:P,16,FALSE),4)</f>
        <v>0.96619999999999995</v>
      </c>
      <c r="P79" s="18">
        <f t="shared" ref="P79:P142" si="118">ROUND(AVERAGE(O79:O81),4)</f>
        <v>0.96719999999999995</v>
      </c>
      <c r="Q79" s="29">
        <f t="shared" ref="Q79:Q142" si="119">ROUND((P79/P131)-1,4)</f>
        <v>-0.1099</v>
      </c>
      <c r="R79" s="29">
        <f t="shared" ref="R79:R142" si="120">ROUND(AVERAGE(Q79:Q80)-AVERAGE(Q79:Q83),4)*-1</f>
        <v>-7.3000000000000001E-3</v>
      </c>
      <c r="S79">
        <v>2041000</v>
      </c>
      <c r="T79" s="18">
        <f>ROUND((S79/7)/VLOOKUP(EOMONTH(A79,-1),Employment!A:P,16,FALSE),4)</f>
        <v>1.1475</v>
      </c>
      <c r="U79" s="18">
        <f t="shared" ref="U79:U142" si="121">ROUND(AVERAGE(T79:T81),4)</f>
        <v>1.1528</v>
      </c>
      <c r="V79" s="29">
        <f t="shared" ref="V79:V142" si="122">ROUND((U79/U131)-1,4)</f>
        <v>-8.3000000000000004E-2</v>
      </c>
      <c r="W79" s="29">
        <f t="shared" ref="W79:W142" si="123">ROUND(AVERAGE(V79:V80)-AVERAGE(V79:V83),4)*-1</f>
        <v>5.0000000000000001E-4</v>
      </c>
      <c r="X79" s="30">
        <f t="shared" ref="X79:X142" si="124">IF(ROUND((C79*500)-(D79*10)-(E79*8)+(M79*1.2)-(P79*23)-(Q79*10)+(R79*600)-(U79*2)-(V79*5)+(W79*100)-(K79*5)-(L79*5)+(G79*3),2)+170&lt;0,0,ROUND((C79*500)-(D79*10)-(E79*8)+(M79*1.2)-(P79*23)-(Q79*10)+(R79*600)-(U79*2)-(V79*5)+(W79*100)-(K79*5)-(L79*5)+(G79*3),2)+170)</f>
        <v>159.41999999999999</v>
      </c>
      <c r="Y79" s="31">
        <f t="shared" ref="Y79:Y142" si="125">ROUND(AVERAGE(AVERAGE(X79:X80),AVERAGE(X79:X81)),2)</f>
        <v>165.49</v>
      </c>
    </row>
    <row r="80" spans="1:25" x14ac:dyDescent="0.25">
      <c r="A80" s="5">
        <v>42785</v>
      </c>
      <c r="B80">
        <v>2100.5385000000001</v>
      </c>
      <c r="C80" s="29">
        <f t="shared" si="115"/>
        <v>-6.9999999999999999E-4</v>
      </c>
      <c r="D80">
        <v>-0.8</v>
      </c>
      <c r="E80">
        <v>-1.264</v>
      </c>
      <c r="F80" s="18">
        <f t="shared" si="116"/>
        <v>0.56400000000000006</v>
      </c>
      <c r="G80" s="18">
        <f t="shared" si="117"/>
        <v>0.84799999999999898</v>
      </c>
      <c r="H80">
        <v>3.86</v>
      </c>
      <c r="I80">
        <v>2.21</v>
      </c>
      <c r="J80">
        <f t="shared" ref="J80:J143" si="126">ROUND(AVERAGE(H80:I80),2)</f>
        <v>3.04</v>
      </c>
      <c r="K80" s="6">
        <f t="shared" ref="K80:K143" si="127">ROUND(AVERAGE(J80:J82),2)</f>
        <v>3.05</v>
      </c>
      <c r="L80" s="6">
        <f t="shared" ref="L80:L143" si="128">K80-K81</f>
        <v>-1.0000000000000231E-2</v>
      </c>
      <c r="M80">
        <v>11.3274373693</v>
      </c>
      <c r="N80">
        <v>246750</v>
      </c>
      <c r="O80" s="18">
        <f>ROUND(N80/VLOOKUP(EOMONTH(A80,-1),Employment!A:P,16,FALSE),4)</f>
        <v>0.97109999999999996</v>
      </c>
      <c r="P80" s="18">
        <f t="shared" si="118"/>
        <v>0.96919999999999995</v>
      </c>
      <c r="Q80" s="29">
        <f t="shared" si="119"/>
        <v>-0.1166</v>
      </c>
      <c r="R80" s="29">
        <f t="shared" si="120"/>
        <v>3.0000000000000001E-3</v>
      </c>
      <c r="S80">
        <v>2056000</v>
      </c>
      <c r="T80" s="18">
        <f>ROUND((S80/7)/VLOOKUP(EOMONTH(A80,-1),Employment!A:P,16,FALSE),4)</f>
        <v>1.1559999999999999</v>
      </c>
      <c r="U80" s="18">
        <f t="shared" si="121"/>
        <v>1.1545000000000001</v>
      </c>
      <c r="V80" s="29">
        <f t="shared" si="122"/>
        <v>-8.1900000000000001E-2</v>
      </c>
      <c r="W80" s="29">
        <f t="shared" si="123"/>
        <v>1.8E-3</v>
      </c>
      <c r="X80" s="30">
        <f t="shared" si="124"/>
        <v>167.65</v>
      </c>
      <c r="Y80" s="31">
        <f t="shared" si="125"/>
        <v>173.21</v>
      </c>
    </row>
    <row r="81" spans="1:25" x14ac:dyDescent="0.25">
      <c r="A81" s="5">
        <v>42778</v>
      </c>
      <c r="B81">
        <v>2099.2465000000002</v>
      </c>
      <c r="C81" s="29">
        <f t="shared" si="115"/>
        <v>-1.1999999999999999E-3</v>
      </c>
      <c r="D81">
        <v>-0.79</v>
      </c>
      <c r="E81">
        <v>-1.206</v>
      </c>
      <c r="F81" s="18">
        <f t="shared" si="116"/>
        <v>8.0000000000026716E-3</v>
      </c>
      <c r="G81" s="18">
        <f t="shared" si="117"/>
        <v>0.30799999999999983</v>
      </c>
      <c r="H81">
        <v>3.9</v>
      </c>
      <c r="I81">
        <v>2.23</v>
      </c>
      <c r="J81">
        <f t="shared" si="126"/>
        <v>3.07</v>
      </c>
      <c r="K81" s="6">
        <f t="shared" si="127"/>
        <v>3.06</v>
      </c>
      <c r="L81" s="6">
        <f t="shared" si="128"/>
        <v>-2.0000000000000018E-2</v>
      </c>
      <c r="M81">
        <v>11.920236285676999</v>
      </c>
      <c r="N81">
        <v>245000</v>
      </c>
      <c r="O81" s="18">
        <f>ROUND(N81/VLOOKUP(EOMONTH(A81,-1),Employment!A:P,16,FALSE),4)</f>
        <v>0.96430000000000005</v>
      </c>
      <c r="P81" s="18">
        <f t="shared" si="118"/>
        <v>0.9657</v>
      </c>
      <c r="Q81" s="29">
        <f t="shared" si="119"/>
        <v>-0.12690000000000001</v>
      </c>
      <c r="R81" s="29">
        <f t="shared" si="120"/>
        <v>1.7600000000000001E-2</v>
      </c>
      <c r="S81">
        <v>2054000</v>
      </c>
      <c r="T81" s="18">
        <f>ROUND((S81/7)/VLOOKUP(EOMONTH(A81,-1),Employment!A:P,16,FALSE),4)</f>
        <v>1.1549</v>
      </c>
      <c r="U81" s="18">
        <f t="shared" si="121"/>
        <v>1.1563000000000001</v>
      </c>
      <c r="V81" s="29">
        <f t="shared" si="122"/>
        <v>-8.2000000000000003E-2</v>
      </c>
      <c r="W81" s="29">
        <f t="shared" si="123"/>
        <v>5.5999999999999999E-3</v>
      </c>
      <c r="X81" s="30">
        <f t="shared" si="124"/>
        <v>175.25</v>
      </c>
      <c r="Y81" s="31">
        <f t="shared" si="125"/>
        <v>179.16</v>
      </c>
    </row>
    <row r="82" spans="1:25" x14ac:dyDescent="0.25">
      <c r="A82" s="5">
        <v>42771</v>
      </c>
      <c r="B82">
        <v>2101.3497000000002</v>
      </c>
      <c r="C82" s="29">
        <f t="shared" ref="C82:C145" si="129">ROUND((B82-AVERAGE(B83:B86))/AVERAGE(B83:B86),4)</f>
        <v>2.9999999999999997E-4</v>
      </c>
      <c r="D82">
        <v>-0.79</v>
      </c>
      <c r="E82">
        <v>-1.2050000000000001</v>
      </c>
      <c r="F82" s="18">
        <f t="shared" si="116"/>
        <v>0.27599999999999625</v>
      </c>
      <c r="G82" s="18">
        <f t="shared" si="117"/>
        <v>0.64799999999999969</v>
      </c>
      <c r="H82">
        <v>3.86</v>
      </c>
      <c r="I82">
        <v>2.2400000000000002</v>
      </c>
      <c r="J82">
        <f t="shared" si="126"/>
        <v>3.05</v>
      </c>
      <c r="K82" s="6">
        <f t="shared" si="127"/>
        <v>3.08</v>
      </c>
      <c r="L82" s="6">
        <f t="shared" si="128"/>
        <v>-2.0000000000000018E-2</v>
      </c>
      <c r="M82">
        <v>11.968780005239999</v>
      </c>
      <c r="N82">
        <v>247000</v>
      </c>
      <c r="O82" s="18">
        <f>ROUND(N82/VLOOKUP(EOMONTH(A82,-1),Employment!A:P,16,FALSE),4)</f>
        <v>0.97209999999999996</v>
      </c>
      <c r="P82" s="18">
        <f t="shared" si="118"/>
        <v>0.96650000000000003</v>
      </c>
      <c r="Q82" s="29">
        <f t="shared" si="119"/>
        <v>-0.13059999999999999</v>
      </c>
      <c r="R82" s="29">
        <f t="shared" si="120"/>
        <v>2.5600000000000001E-2</v>
      </c>
      <c r="S82">
        <v>2050000</v>
      </c>
      <c r="T82" s="18">
        <f>ROUND((S82/7)/VLOOKUP(EOMONTH(A82,-1),Employment!A:P,16,FALSE),4)</f>
        <v>1.1526000000000001</v>
      </c>
      <c r="U82" s="18">
        <f t="shared" si="121"/>
        <v>1.1534</v>
      </c>
      <c r="V82" s="29">
        <f t="shared" si="122"/>
        <v>-8.2799999999999999E-2</v>
      </c>
      <c r="W82" s="29">
        <f t="shared" si="123"/>
        <v>7.6E-3</v>
      </c>
      <c r="X82" s="30">
        <f t="shared" si="124"/>
        <v>182</v>
      </c>
      <c r="Y82" s="31">
        <f t="shared" si="125"/>
        <v>180.63</v>
      </c>
    </row>
    <row r="83" spans="1:25" x14ac:dyDescent="0.25">
      <c r="A83" s="5">
        <v>42764</v>
      </c>
      <c r="B83">
        <v>2103.1844999999998</v>
      </c>
      <c r="C83" s="29">
        <f t="shared" si="129"/>
        <v>1.6999999999999999E-3</v>
      </c>
      <c r="D83">
        <v>-0.78</v>
      </c>
      <c r="E83">
        <v>-1.1830000000000001</v>
      </c>
      <c r="F83" s="18">
        <f t="shared" si="116"/>
        <v>2.4000000000000909E-2</v>
      </c>
      <c r="G83" s="18">
        <f t="shared" si="117"/>
        <v>0.92000000000000171</v>
      </c>
      <c r="H83">
        <v>3.93</v>
      </c>
      <c r="I83">
        <v>2.19</v>
      </c>
      <c r="J83">
        <f t="shared" si="126"/>
        <v>3.06</v>
      </c>
      <c r="K83" s="6">
        <f t="shared" si="127"/>
        <v>3.1</v>
      </c>
      <c r="L83" s="6">
        <f t="shared" si="128"/>
        <v>-2.0000000000000018E-2</v>
      </c>
      <c r="M83">
        <v>11.988228857111</v>
      </c>
      <c r="N83">
        <v>244750</v>
      </c>
      <c r="O83" s="18">
        <f>ROUND(N83/VLOOKUP(EOMONTH(A83,-1),Employment!A:P,16,FALSE),4)</f>
        <v>0.96079999999999999</v>
      </c>
      <c r="P83" s="18">
        <f t="shared" si="118"/>
        <v>0.97260000000000002</v>
      </c>
      <c r="Q83" s="29">
        <f t="shared" si="119"/>
        <v>-0.11849999999999999</v>
      </c>
      <c r="R83" s="29">
        <f t="shared" si="120"/>
        <v>2.4500000000000001E-2</v>
      </c>
      <c r="S83">
        <v>2071000</v>
      </c>
      <c r="T83" s="18">
        <f>ROUND((S83/7)/VLOOKUP(EOMONTH(A83,-1),Employment!A:P,16,FALSE),4)</f>
        <v>1.1614</v>
      </c>
      <c r="U83" s="18">
        <f t="shared" si="121"/>
        <v>1.1584000000000001</v>
      </c>
      <c r="V83" s="29">
        <f t="shared" si="122"/>
        <v>-8.0199999999999994E-2</v>
      </c>
      <c r="W83" s="29">
        <f t="shared" si="123"/>
        <v>3.5000000000000001E-3</v>
      </c>
      <c r="X83" s="30">
        <f t="shared" si="124"/>
        <v>181.81</v>
      </c>
      <c r="Y83" s="31">
        <f t="shared" si="125"/>
        <v>175.42</v>
      </c>
    </row>
    <row r="84" spans="1:25" x14ac:dyDescent="0.25">
      <c r="A84" s="5">
        <v>42757</v>
      </c>
      <c r="B84">
        <v>2104.0196000000001</v>
      </c>
      <c r="C84" s="29">
        <f t="shared" si="129"/>
        <v>2.5999999999999999E-3</v>
      </c>
      <c r="D84">
        <v>-0.76</v>
      </c>
      <c r="E84">
        <v>-1.2050000000000001</v>
      </c>
      <c r="F84" s="18">
        <f t="shared" si="116"/>
        <v>0.34800000000000253</v>
      </c>
      <c r="G84" s="18">
        <f t="shared" si="117"/>
        <v>0.90800000000000125</v>
      </c>
      <c r="H84">
        <v>4.0199999999999996</v>
      </c>
      <c r="I84">
        <v>2.21</v>
      </c>
      <c r="J84">
        <f t="shared" si="126"/>
        <v>3.12</v>
      </c>
      <c r="K84" s="6">
        <f t="shared" si="127"/>
        <v>3.12</v>
      </c>
      <c r="L84" s="6">
        <f t="shared" si="128"/>
        <v>-4.0000000000000036E-2</v>
      </c>
      <c r="M84">
        <v>11.784412530499001</v>
      </c>
      <c r="N84">
        <v>246250</v>
      </c>
      <c r="O84" s="18">
        <f>ROUND(N84/VLOOKUP(EOMONTH(A84,-1),Employment!A:P,16,FALSE),4)</f>
        <v>0.9667</v>
      </c>
      <c r="P84" s="18">
        <f t="shared" si="118"/>
        <v>0.98429999999999995</v>
      </c>
      <c r="Q84" s="29">
        <f t="shared" si="119"/>
        <v>-0.1013</v>
      </c>
      <c r="R84" s="29">
        <f t="shared" si="120"/>
        <v>1.44E-2</v>
      </c>
      <c r="S84">
        <v>2044000</v>
      </c>
      <c r="T84" s="18">
        <f>ROUND((S84/7)/VLOOKUP(EOMONTH(A84,-1),Employment!A:P,16,FALSE),4)</f>
        <v>1.1463000000000001</v>
      </c>
      <c r="U84" s="18">
        <f t="shared" si="121"/>
        <v>1.1657</v>
      </c>
      <c r="V84" s="29">
        <f t="shared" si="122"/>
        <v>-7.3999999999999996E-2</v>
      </c>
      <c r="W84" s="29">
        <f t="shared" si="123"/>
        <v>-8.2000000000000007E-3</v>
      </c>
      <c r="X84" s="30">
        <f t="shared" si="124"/>
        <v>174.24</v>
      </c>
      <c r="Y84" s="31">
        <f t="shared" si="125"/>
        <v>165.54</v>
      </c>
    </row>
    <row r="85" spans="1:25" x14ac:dyDescent="0.25">
      <c r="A85" s="5">
        <v>42750</v>
      </c>
      <c r="B85">
        <v>2098.4133999999999</v>
      </c>
      <c r="C85" s="29">
        <f t="shared" si="129"/>
        <v>-6.9999999999999999E-4</v>
      </c>
      <c r="D85">
        <v>-0.75</v>
      </c>
      <c r="E85">
        <v>-1.1739999999999999</v>
      </c>
      <c r="F85" s="18">
        <f t="shared" si="116"/>
        <v>0.54799999999999827</v>
      </c>
      <c r="G85" s="18">
        <f t="shared" si="117"/>
        <v>0.78399999999999892</v>
      </c>
      <c r="H85">
        <v>4.0199999999999996</v>
      </c>
      <c r="I85">
        <v>2.23</v>
      </c>
      <c r="J85">
        <f t="shared" si="126"/>
        <v>3.13</v>
      </c>
      <c r="K85" s="6">
        <f t="shared" si="127"/>
        <v>3.16</v>
      </c>
      <c r="L85" s="6">
        <f t="shared" si="128"/>
        <v>-2.9999999999999805E-2</v>
      </c>
      <c r="M85">
        <v>11.84663328271</v>
      </c>
      <c r="N85">
        <v>252250</v>
      </c>
      <c r="O85" s="18">
        <f>ROUND(N85/VLOOKUP(EOMONTH(A85,-1),Employment!A:P,16,FALSE),4)</f>
        <v>0.99019999999999997</v>
      </c>
      <c r="P85" s="18">
        <f t="shared" si="118"/>
        <v>0.99739999999999995</v>
      </c>
      <c r="Q85" s="29">
        <f t="shared" si="119"/>
        <v>-7.8399999999999997E-2</v>
      </c>
      <c r="R85" s="29">
        <f t="shared" si="120"/>
        <v>1.1000000000000001E-3</v>
      </c>
      <c r="S85">
        <v>2082000</v>
      </c>
      <c r="T85" s="18">
        <f>ROUND((S85/7)/VLOOKUP(EOMONTH(A85,-1),Employment!A:P,16,FALSE),4)</f>
        <v>1.1676</v>
      </c>
      <c r="U85" s="18">
        <f t="shared" si="121"/>
        <v>1.1734</v>
      </c>
      <c r="V85" s="29">
        <f t="shared" si="122"/>
        <v>-6.4899999999999999E-2</v>
      </c>
      <c r="W85" s="29">
        <f t="shared" si="123"/>
        <v>-1.55E-2</v>
      </c>
      <c r="X85" s="30">
        <f t="shared" si="124"/>
        <v>162.38999999999999</v>
      </c>
      <c r="Y85" s="31">
        <f t="shared" si="125"/>
        <v>156.4</v>
      </c>
    </row>
    <row r="86" spans="1:25" x14ac:dyDescent="0.25">
      <c r="A86" s="5">
        <v>42743</v>
      </c>
      <c r="B86">
        <v>2097.2201</v>
      </c>
      <c r="C86" s="29">
        <f t="shared" si="129"/>
        <v>-1.9E-3</v>
      </c>
      <c r="D86">
        <v>-0.72</v>
      </c>
      <c r="E86">
        <v>-1.143</v>
      </c>
      <c r="F86" s="18">
        <f t="shared" si="116"/>
        <v>1.2000000000000455E-2</v>
      </c>
      <c r="G86" s="18">
        <f t="shared" si="117"/>
        <v>-0.45599999999999952</v>
      </c>
      <c r="H86">
        <v>3.98</v>
      </c>
      <c r="I86">
        <v>2.2400000000000002</v>
      </c>
      <c r="J86">
        <f t="shared" si="126"/>
        <v>3.11</v>
      </c>
      <c r="K86" s="6">
        <f t="shared" si="127"/>
        <v>3.19</v>
      </c>
      <c r="L86" s="6">
        <f t="shared" si="128"/>
        <v>-5.0000000000000266E-2</v>
      </c>
      <c r="M86">
        <v>11.617419066065001</v>
      </c>
      <c r="N86">
        <v>253750</v>
      </c>
      <c r="O86" s="18">
        <f>ROUND(N86/VLOOKUP(EOMONTH(A86,-1),Employment!A:P,16,FALSE),4)</f>
        <v>0.99609999999999999</v>
      </c>
      <c r="P86" s="18">
        <f t="shared" si="118"/>
        <v>1.0042</v>
      </c>
      <c r="Q86" s="29">
        <f t="shared" si="119"/>
        <v>-6.6000000000000003E-2</v>
      </c>
      <c r="R86" s="29">
        <f t="shared" si="120"/>
        <v>-8.5000000000000006E-3</v>
      </c>
      <c r="S86">
        <v>2110000</v>
      </c>
      <c r="T86" s="18">
        <f>ROUND((S86/7)/VLOOKUP(EOMONTH(A86,-1),Employment!A:P,16,FALSE),4)</f>
        <v>1.1833</v>
      </c>
      <c r="U86" s="18">
        <f t="shared" si="121"/>
        <v>1.1651</v>
      </c>
      <c r="V86" s="29">
        <f t="shared" si="122"/>
        <v>-6.7400000000000002E-2</v>
      </c>
      <c r="W86" s="29">
        <f t="shared" si="123"/>
        <v>-1.0699999999999999E-2</v>
      </c>
      <c r="X86" s="30">
        <f t="shared" si="124"/>
        <v>151.67000000000002</v>
      </c>
      <c r="Y86" s="31">
        <f t="shared" si="125"/>
        <v>153</v>
      </c>
    </row>
    <row r="87" spans="1:25" x14ac:dyDescent="0.25">
      <c r="A87" s="5">
        <v>42736</v>
      </c>
      <c r="B87">
        <v>2098.6124</v>
      </c>
      <c r="C87" s="29">
        <f t="shared" si="129"/>
        <v>-1.6999999999999999E-3</v>
      </c>
      <c r="D87">
        <v>-0.73</v>
      </c>
      <c r="E87">
        <v>-1.129</v>
      </c>
      <c r="F87" s="18">
        <f t="shared" si="116"/>
        <v>0.2240000000000002</v>
      </c>
      <c r="G87" s="18">
        <f t="shared" si="117"/>
        <v>0.26399999999999935</v>
      </c>
      <c r="H87">
        <v>4.21</v>
      </c>
      <c r="I87">
        <v>2.2799999999999998</v>
      </c>
      <c r="J87">
        <f t="shared" si="126"/>
        <v>3.25</v>
      </c>
      <c r="K87" s="6">
        <f t="shared" si="127"/>
        <v>3.24</v>
      </c>
      <c r="L87" s="6">
        <f t="shared" si="128"/>
        <v>-2.9999999999999805E-2</v>
      </c>
      <c r="M87">
        <v>11.481785165494999</v>
      </c>
      <c r="N87">
        <v>256250</v>
      </c>
      <c r="O87" s="18">
        <f>ROUND(N87/VLOOKUP(EOMONTH(A87,-1),Employment!A:P,16,FALSE),4)</f>
        <v>1.0059</v>
      </c>
      <c r="P87" s="18">
        <f t="shared" si="118"/>
        <v>1.0035000000000001</v>
      </c>
      <c r="Q87" s="29">
        <f t="shared" si="119"/>
        <v>-6.2700000000000006E-2</v>
      </c>
      <c r="R87" s="29">
        <f t="shared" si="120"/>
        <v>-1.14E-2</v>
      </c>
      <c r="S87">
        <v>2085000</v>
      </c>
      <c r="T87" s="18">
        <f>ROUND((S87/7)/VLOOKUP(EOMONTH(A87,-1),Employment!A:P,16,FALSE),4)</f>
        <v>1.1693</v>
      </c>
      <c r="U87" s="18">
        <f t="shared" si="121"/>
        <v>1.151</v>
      </c>
      <c r="V87" s="29">
        <f t="shared" si="122"/>
        <v>-8.1299999999999997E-2</v>
      </c>
      <c r="W87" s="29">
        <f t="shared" si="123"/>
        <v>4.4000000000000003E-3</v>
      </c>
      <c r="X87" s="30">
        <f t="shared" si="124"/>
        <v>153.25</v>
      </c>
      <c r="Y87" s="31">
        <f t="shared" si="125"/>
        <v>156.35</v>
      </c>
    </row>
    <row r="88" spans="1:25" x14ac:dyDescent="0.25">
      <c r="A88" s="5">
        <v>42729</v>
      </c>
      <c r="B88">
        <v>2099.9515000000001</v>
      </c>
      <c r="C88" s="29">
        <f t="shared" si="129"/>
        <v>-1.6999999999999999E-3</v>
      </c>
      <c r="D88">
        <v>-0.73</v>
      </c>
      <c r="E88">
        <v>-1.101</v>
      </c>
      <c r="F88" s="18">
        <f t="shared" si="116"/>
        <v>-0.69200000000000017</v>
      </c>
      <c r="G88" s="18">
        <f t="shared" si="117"/>
        <v>-0.16799999999999926</v>
      </c>
      <c r="H88">
        <v>4.16</v>
      </c>
      <c r="I88">
        <v>2.25</v>
      </c>
      <c r="J88">
        <f t="shared" si="126"/>
        <v>3.21</v>
      </c>
      <c r="K88" s="6">
        <f t="shared" si="127"/>
        <v>3.27</v>
      </c>
      <c r="L88" s="6">
        <f t="shared" si="128"/>
        <v>-0.10999999999999988</v>
      </c>
      <c r="M88">
        <v>10.997579701414001</v>
      </c>
      <c r="N88">
        <v>257250</v>
      </c>
      <c r="O88" s="18">
        <f>ROUND(N88/VLOOKUP(EOMONTH(A88,-1),Employment!A:P,16,FALSE),4)</f>
        <v>1.0105999999999999</v>
      </c>
      <c r="P88" s="18">
        <f t="shared" si="118"/>
        <v>0.99560000000000004</v>
      </c>
      <c r="Q88" s="29">
        <f t="shared" si="119"/>
        <v>-6.88E-2</v>
      </c>
      <c r="R88" s="29">
        <f t="shared" si="120"/>
        <v>-6.0000000000000001E-3</v>
      </c>
      <c r="S88">
        <v>2036000</v>
      </c>
      <c r="T88" s="18">
        <f>ROUND((S88/7)/VLOOKUP(EOMONTH(A88,-1),Employment!A:P,16,FALSE),4)</f>
        <v>1.1427</v>
      </c>
      <c r="U88" s="18">
        <f t="shared" si="121"/>
        <v>1.1391</v>
      </c>
      <c r="V88" s="29">
        <f t="shared" si="122"/>
        <v>-0.1007</v>
      </c>
      <c r="W88" s="29">
        <f t="shared" si="123"/>
        <v>1.0999999999999999E-2</v>
      </c>
      <c r="X88" s="30">
        <f t="shared" si="124"/>
        <v>155.66999999999999</v>
      </c>
      <c r="Y88" s="31">
        <f t="shared" si="125"/>
        <v>161.44999999999999</v>
      </c>
    </row>
    <row r="89" spans="1:25" x14ac:dyDescent="0.25">
      <c r="A89" s="5">
        <v>42722</v>
      </c>
      <c r="B89">
        <v>2104.0617999999999</v>
      </c>
      <c r="C89" s="29">
        <f t="shared" si="129"/>
        <v>2.9999999999999997E-4</v>
      </c>
      <c r="D89">
        <v>-0.74</v>
      </c>
      <c r="E89">
        <v>-1.175</v>
      </c>
      <c r="F89" s="18">
        <f t="shared" si="116"/>
        <v>0.73199999999999932</v>
      </c>
      <c r="G89" s="18">
        <f t="shared" si="117"/>
        <v>1.0960000000000019</v>
      </c>
      <c r="H89">
        <v>4.21</v>
      </c>
      <c r="I89">
        <v>2.2799999999999998</v>
      </c>
      <c r="J89">
        <f t="shared" si="126"/>
        <v>3.25</v>
      </c>
      <c r="K89" s="6">
        <f t="shared" si="127"/>
        <v>3.38</v>
      </c>
      <c r="L89" s="6">
        <f t="shared" si="128"/>
        <v>-0.10000000000000009</v>
      </c>
      <c r="M89">
        <v>10.357301098988</v>
      </c>
      <c r="N89">
        <v>253000</v>
      </c>
      <c r="O89" s="18">
        <f>ROUND(N89/VLOOKUP(EOMONTH(A89,-1),Employment!A:P,16,FALSE),4)</f>
        <v>0.99390000000000001</v>
      </c>
      <c r="P89" s="18">
        <f t="shared" si="118"/>
        <v>0.98580000000000001</v>
      </c>
      <c r="Q89" s="29">
        <f t="shared" si="119"/>
        <v>-7.9500000000000001E-2</v>
      </c>
      <c r="R89" s="29">
        <f t="shared" si="120"/>
        <v>4.4999999999999997E-3</v>
      </c>
      <c r="S89">
        <v>2033000</v>
      </c>
      <c r="T89" s="18">
        <f>ROUND((S89/7)/VLOOKUP(EOMONTH(A89,-1),Employment!A:P,16,FALSE),4)</f>
        <v>1.141</v>
      </c>
      <c r="U89" s="18">
        <f t="shared" si="121"/>
        <v>1.1449</v>
      </c>
      <c r="V89" s="29">
        <f t="shared" si="122"/>
        <v>-9.3899999999999997E-2</v>
      </c>
      <c r="W89" s="29">
        <f t="shared" si="123"/>
        <v>5.1000000000000004E-3</v>
      </c>
      <c r="X89" s="30">
        <f t="shared" si="124"/>
        <v>165.78</v>
      </c>
      <c r="Y89" s="31">
        <f t="shared" si="125"/>
        <v>165.65</v>
      </c>
    </row>
    <row r="90" spans="1:25" x14ac:dyDescent="0.25">
      <c r="A90" s="5">
        <v>42715</v>
      </c>
      <c r="B90">
        <v>2102.3449999999998</v>
      </c>
      <c r="C90" s="29">
        <f t="shared" si="129"/>
        <v>-5.9999999999999995E-4</v>
      </c>
      <c r="D90">
        <v>-0.73</v>
      </c>
      <c r="E90">
        <v>-1.0960000000000001</v>
      </c>
      <c r="F90" s="18">
        <f t="shared" si="116"/>
        <v>-0.20799999999999841</v>
      </c>
      <c r="G90" s="18">
        <f t="shared" si="117"/>
        <v>0.16400000000000148</v>
      </c>
      <c r="H90">
        <v>4.28</v>
      </c>
      <c r="I90">
        <v>2.4300000000000002</v>
      </c>
      <c r="J90">
        <f t="shared" si="126"/>
        <v>3.36</v>
      </c>
      <c r="K90" s="6">
        <f t="shared" si="127"/>
        <v>3.48</v>
      </c>
      <c r="L90" s="6">
        <f t="shared" si="128"/>
        <v>-0.10999999999999988</v>
      </c>
      <c r="M90">
        <v>8.9840139303739992</v>
      </c>
      <c r="N90">
        <v>250000</v>
      </c>
      <c r="O90" s="18">
        <f>ROUND(N90/VLOOKUP(EOMONTH(A90,-1),Employment!A:P,16,FALSE),4)</f>
        <v>0.98219999999999996</v>
      </c>
      <c r="P90" s="18">
        <f t="shared" si="118"/>
        <v>0.98150000000000004</v>
      </c>
      <c r="Q90" s="29">
        <f t="shared" si="119"/>
        <v>-8.7300000000000003E-2</v>
      </c>
      <c r="R90" s="29">
        <f t="shared" si="120"/>
        <v>1.4200000000000001E-2</v>
      </c>
      <c r="S90">
        <v>2020000</v>
      </c>
      <c r="T90" s="18">
        <f>ROUND((S90/7)/VLOOKUP(EOMONTH(A90,-1),Employment!A:P,16,FALSE),4)</f>
        <v>1.1336999999999999</v>
      </c>
      <c r="U90" s="18">
        <f t="shared" si="121"/>
        <v>1.1475</v>
      </c>
      <c r="V90" s="29">
        <f t="shared" si="122"/>
        <v>-8.1900000000000001E-2</v>
      </c>
      <c r="W90" s="29">
        <f t="shared" si="123"/>
        <v>-4.0000000000000002E-4</v>
      </c>
      <c r="X90" s="30">
        <f t="shared" si="124"/>
        <v>165.08</v>
      </c>
      <c r="Y90" s="31">
        <f t="shared" si="125"/>
        <v>164.2</v>
      </c>
    </row>
    <row r="91" spans="1:25" x14ac:dyDescent="0.25">
      <c r="A91" s="5">
        <v>42708</v>
      </c>
      <c r="B91">
        <v>2102.7986999999998</v>
      </c>
      <c r="C91" s="29">
        <f t="shared" si="129"/>
        <v>-4.0000000000000002E-4</v>
      </c>
      <c r="D91">
        <v>-0.73</v>
      </c>
      <c r="E91">
        <v>-1.1220000000000001</v>
      </c>
      <c r="F91" s="18">
        <f t="shared" si="116"/>
        <v>0.57200000000000095</v>
      </c>
      <c r="G91" s="18">
        <f t="shared" si="117"/>
        <v>1.0919999999999987</v>
      </c>
      <c r="H91">
        <v>4.6399999999999997</v>
      </c>
      <c r="I91">
        <v>2.42</v>
      </c>
      <c r="J91">
        <f t="shared" si="126"/>
        <v>3.53</v>
      </c>
      <c r="K91" s="6">
        <f t="shared" si="127"/>
        <v>3.59</v>
      </c>
      <c r="L91" s="6">
        <f t="shared" si="128"/>
        <v>-9.0000000000000302E-2</v>
      </c>
      <c r="M91">
        <v>7.5283593474139003</v>
      </c>
      <c r="N91">
        <v>249750</v>
      </c>
      <c r="O91" s="18">
        <f>ROUND(N91/VLOOKUP(EOMONTH(A91,-1),Employment!A:P,16,FALSE),4)</f>
        <v>0.98119999999999996</v>
      </c>
      <c r="P91" s="18">
        <f t="shared" si="118"/>
        <v>0.98340000000000005</v>
      </c>
      <c r="Q91" s="29">
        <f t="shared" si="119"/>
        <v>-8.7499999999999994E-2</v>
      </c>
      <c r="R91" s="29">
        <f t="shared" si="120"/>
        <v>1.5800000000000002E-2</v>
      </c>
      <c r="S91">
        <v>2067000</v>
      </c>
      <c r="T91" s="18">
        <f>ROUND((S91/7)/VLOOKUP(EOMONTH(A91,-1),Employment!A:P,16,FALSE),4)</f>
        <v>1.1600999999999999</v>
      </c>
      <c r="U91" s="18">
        <f t="shared" si="121"/>
        <v>1.1486000000000001</v>
      </c>
      <c r="V91" s="29">
        <f t="shared" si="122"/>
        <v>-7.4999999999999997E-2</v>
      </c>
      <c r="W91" s="29">
        <f t="shared" si="123"/>
        <v>5.9999999999999995E-4</v>
      </c>
      <c r="X91" s="30">
        <f t="shared" si="124"/>
        <v>166.76</v>
      </c>
      <c r="Y91" s="31">
        <f t="shared" si="125"/>
        <v>158.77000000000001</v>
      </c>
    </row>
    <row r="92" spans="1:25" x14ac:dyDescent="0.25">
      <c r="A92" s="5">
        <v>42701</v>
      </c>
      <c r="B92">
        <v>2105.0219999999999</v>
      </c>
      <c r="C92" s="29">
        <f t="shared" si="129"/>
        <v>1.2999999999999999E-3</v>
      </c>
      <c r="D92">
        <v>-0.72</v>
      </c>
      <c r="E92">
        <v>-1.0629999999999999</v>
      </c>
      <c r="F92" s="18">
        <f t="shared" si="116"/>
        <v>-0.20000000000000107</v>
      </c>
      <c r="G92" s="18">
        <f t="shared" si="117"/>
        <v>-0.58000000000000007</v>
      </c>
      <c r="H92">
        <v>4.6399999999999997</v>
      </c>
      <c r="I92">
        <v>2.48</v>
      </c>
      <c r="J92">
        <f t="shared" si="126"/>
        <v>3.56</v>
      </c>
      <c r="K92" s="6">
        <f t="shared" si="127"/>
        <v>3.68</v>
      </c>
      <c r="L92" s="6">
        <f t="shared" si="128"/>
        <v>-0.11999999999999966</v>
      </c>
      <c r="M92">
        <v>6.4594392120163997</v>
      </c>
      <c r="N92">
        <v>249500</v>
      </c>
      <c r="O92" s="18">
        <f>ROUND(N92/VLOOKUP(EOMONTH(A92,-1),Employment!A:P,16,FALSE),4)</f>
        <v>0.98099999999999998</v>
      </c>
      <c r="P92" s="18">
        <f t="shared" si="118"/>
        <v>0.99180000000000001</v>
      </c>
      <c r="Q92" s="29">
        <f t="shared" si="119"/>
        <v>-7.7700000000000005E-2</v>
      </c>
      <c r="R92" s="29">
        <f t="shared" si="120"/>
        <v>7.1999999999999998E-3</v>
      </c>
      <c r="S92">
        <v>2045000</v>
      </c>
      <c r="T92" s="18">
        <f>ROUND((S92/7)/VLOOKUP(EOMONTH(A92,-1),Employment!A:P,16,FALSE),4)</f>
        <v>1.1487000000000001</v>
      </c>
      <c r="U92" s="18">
        <f t="shared" si="121"/>
        <v>1.1453</v>
      </c>
      <c r="V92" s="29">
        <f t="shared" si="122"/>
        <v>-7.9899999999999999E-2</v>
      </c>
      <c r="W92" s="29">
        <f t="shared" si="123"/>
        <v>6.1999999999999998E-3</v>
      </c>
      <c r="X92" s="30">
        <f t="shared" si="124"/>
        <v>155.58000000000001</v>
      </c>
      <c r="Y92" s="31">
        <f t="shared" si="125"/>
        <v>149.71</v>
      </c>
    </row>
    <row r="93" spans="1:25" x14ac:dyDescent="0.25">
      <c r="A93" s="5">
        <v>42694</v>
      </c>
      <c r="B93">
        <v>2103.2467000000001</v>
      </c>
      <c r="C93" s="29">
        <f t="shared" si="129"/>
        <v>1.6999999999999999E-3</v>
      </c>
      <c r="D93">
        <v>-0.7</v>
      </c>
      <c r="E93">
        <v>-1.113</v>
      </c>
      <c r="F93" s="18">
        <f t="shared" si="116"/>
        <v>0.71999999999999886</v>
      </c>
      <c r="G93" s="18">
        <f t="shared" si="117"/>
        <v>-0.16399999999999793</v>
      </c>
      <c r="H93">
        <v>4.84</v>
      </c>
      <c r="I93">
        <v>2.52</v>
      </c>
      <c r="J93">
        <f t="shared" si="126"/>
        <v>3.68</v>
      </c>
      <c r="K93" s="6">
        <f t="shared" si="127"/>
        <v>3.8</v>
      </c>
      <c r="L93" s="6">
        <f t="shared" si="128"/>
        <v>0</v>
      </c>
      <c r="M93">
        <v>5.6439226861223002</v>
      </c>
      <c r="N93">
        <v>251250</v>
      </c>
      <c r="O93" s="18">
        <f>ROUND(N93/VLOOKUP(EOMONTH(A93,-1),Employment!A:P,16,FALSE),4)</f>
        <v>0.9879</v>
      </c>
      <c r="P93" s="18">
        <f t="shared" si="118"/>
        <v>0.99970000000000003</v>
      </c>
      <c r="Q93" s="29">
        <f t="shared" si="119"/>
        <v>-6.2300000000000001E-2</v>
      </c>
      <c r="R93" s="29">
        <f t="shared" si="120"/>
        <v>-5.7999999999999996E-3</v>
      </c>
      <c r="S93">
        <v>2024000</v>
      </c>
      <c r="T93" s="18">
        <f>ROUND((S93/7)/VLOOKUP(EOMONTH(A93,-1),Employment!A:P,16,FALSE),4)</f>
        <v>1.1369</v>
      </c>
      <c r="U93" s="18">
        <f t="shared" si="121"/>
        <v>1.147</v>
      </c>
      <c r="V93" s="29">
        <f t="shared" si="122"/>
        <v>-8.3299999999999999E-2</v>
      </c>
      <c r="W93" s="29">
        <f t="shared" si="123"/>
        <v>4.7000000000000002E-3</v>
      </c>
      <c r="X93" s="30">
        <f t="shared" si="124"/>
        <v>146.78</v>
      </c>
      <c r="Y93" s="31">
        <f t="shared" si="125"/>
        <v>145.5</v>
      </c>
    </row>
    <row r="94" spans="1:25" x14ac:dyDescent="0.25">
      <c r="A94" s="5">
        <v>42687</v>
      </c>
      <c r="B94">
        <v>2103.1698000000001</v>
      </c>
      <c r="C94" s="29">
        <f t="shared" si="129"/>
        <v>3.2000000000000002E-3</v>
      </c>
      <c r="D94">
        <v>-0.68</v>
      </c>
      <c r="E94">
        <v>-1.048</v>
      </c>
      <c r="F94" s="18">
        <f t="shared" si="116"/>
        <v>-1.0999999999999979</v>
      </c>
      <c r="G94" s="18">
        <f t="shared" si="117"/>
        <v>-0.28399999999999892</v>
      </c>
      <c r="H94">
        <v>4.97</v>
      </c>
      <c r="I94">
        <v>2.6</v>
      </c>
      <c r="J94">
        <f t="shared" si="126"/>
        <v>3.79</v>
      </c>
      <c r="K94" s="6">
        <f t="shared" si="127"/>
        <v>3.8</v>
      </c>
      <c r="L94" s="6">
        <f t="shared" si="128"/>
        <v>5.9999999999999609E-2</v>
      </c>
      <c r="M94">
        <v>6.2485996178078</v>
      </c>
      <c r="N94">
        <v>256000</v>
      </c>
      <c r="O94" s="18">
        <f>ROUND(N94/VLOOKUP(EOMONTH(A94,-1),Employment!A:P,16,FALSE),4)</f>
        <v>1.0065999999999999</v>
      </c>
      <c r="P94" s="18">
        <f t="shared" si="118"/>
        <v>1.0009999999999999</v>
      </c>
      <c r="Q94" s="29">
        <f t="shared" si="119"/>
        <v>-5.0999999999999997E-2</v>
      </c>
      <c r="R94" s="29">
        <f t="shared" si="120"/>
        <v>-1.23E-2</v>
      </c>
      <c r="S94">
        <v>2048000</v>
      </c>
      <c r="T94" s="18">
        <f>ROUND((S94/7)/VLOOKUP(EOMONTH(A94,-1),Employment!A:P,16,FALSE),4)</f>
        <v>1.1504000000000001</v>
      </c>
      <c r="U94" s="18">
        <f t="shared" si="121"/>
        <v>1.1536</v>
      </c>
      <c r="V94" s="29">
        <f t="shared" si="122"/>
        <v>-7.4099999999999999E-2</v>
      </c>
      <c r="W94" s="29">
        <f t="shared" si="123"/>
        <v>6.9999999999999999E-4</v>
      </c>
      <c r="X94" s="30">
        <f t="shared" si="124"/>
        <v>142.37</v>
      </c>
      <c r="Y94" s="31">
        <f t="shared" si="125"/>
        <v>147.99</v>
      </c>
    </row>
    <row r="95" spans="1:25" x14ac:dyDescent="0.25">
      <c r="A95" s="5">
        <v>42680</v>
      </c>
      <c r="B95">
        <v>2103.3434999999999</v>
      </c>
      <c r="C95" s="29">
        <f t="shared" si="129"/>
        <v>5.1999999999999998E-3</v>
      </c>
      <c r="D95">
        <v>-0.67</v>
      </c>
      <c r="E95">
        <v>-1.198</v>
      </c>
      <c r="F95" s="18">
        <f t="shared" si="116"/>
        <v>0.21600000000000108</v>
      </c>
      <c r="G95" s="18">
        <f t="shared" si="117"/>
        <v>0.56400000000000006</v>
      </c>
      <c r="H95">
        <v>5.2</v>
      </c>
      <c r="I95">
        <v>2.67</v>
      </c>
      <c r="J95">
        <f t="shared" si="126"/>
        <v>3.94</v>
      </c>
      <c r="K95" s="6">
        <f t="shared" si="127"/>
        <v>3.74</v>
      </c>
      <c r="L95" s="6">
        <f t="shared" si="128"/>
        <v>8.0000000000000071E-2</v>
      </c>
      <c r="M95">
        <v>6.9179663481068996</v>
      </c>
      <c r="N95">
        <v>255500</v>
      </c>
      <c r="O95" s="18">
        <f>ROUND(N95/VLOOKUP(EOMONTH(A95,-1),Employment!A:P,16,FALSE),4)</f>
        <v>1.0045999999999999</v>
      </c>
      <c r="P95" s="18">
        <f t="shared" si="118"/>
        <v>0.99539999999999995</v>
      </c>
      <c r="Q95" s="29">
        <f t="shared" si="119"/>
        <v>-5.5399999999999998E-2</v>
      </c>
      <c r="R95" s="29">
        <f t="shared" si="120"/>
        <v>-8.5000000000000006E-3</v>
      </c>
      <c r="S95">
        <v>2054000</v>
      </c>
      <c r="T95" s="18">
        <f>ROUND((S95/7)/VLOOKUP(EOMONTH(A95,-1),Employment!A:P,16,FALSE),4)</f>
        <v>1.1537999999999999</v>
      </c>
      <c r="U95" s="18">
        <f t="shared" si="121"/>
        <v>1.1578999999999999</v>
      </c>
      <c r="V95" s="29">
        <f t="shared" si="122"/>
        <v>-7.17E-2</v>
      </c>
      <c r="W95" s="29">
        <f t="shared" si="123"/>
        <v>-2.7000000000000001E-3</v>
      </c>
      <c r="X95" s="30">
        <f t="shared" si="124"/>
        <v>150.11000000000001</v>
      </c>
      <c r="Y95" s="31">
        <f t="shared" si="125"/>
        <v>154.66999999999999</v>
      </c>
    </row>
    <row r="96" spans="1:25" x14ac:dyDescent="0.25">
      <c r="A96" s="5">
        <v>42673</v>
      </c>
      <c r="B96">
        <v>2099.1871999999998</v>
      </c>
      <c r="C96" s="29">
        <f t="shared" si="129"/>
        <v>4.7999999999999996E-3</v>
      </c>
      <c r="D96">
        <v>-0.65</v>
      </c>
      <c r="E96">
        <v>-1.196</v>
      </c>
      <c r="F96" s="18">
        <f t="shared" si="116"/>
        <v>0.59999999999999787</v>
      </c>
      <c r="G96" s="18">
        <f t="shared" si="117"/>
        <v>0.6839999999999975</v>
      </c>
      <c r="H96">
        <v>4.76</v>
      </c>
      <c r="I96">
        <v>2.6</v>
      </c>
      <c r="J96">
        <f t="shared" si="126"/>
        <v>3.68</v>
      </c>
      <c r="K96" s="6">
        <f t="shared" si="127"/>
        <v>3.66</v>
      </c>
      <c r="L96" s="6">
        <f t="shared" si="128"/>
        <v>0</v>
      </c>
      <c r="M96">
        <v>7.6650324291857004</v>
      </c>
      <c r="N96">
        <v>252000</v>
      </c>
      <c r="O96" s="18">
        <f>ROUND(N96/VLOOKUP(EOMONTH(A96,-1),Employment!A:P,16,FALSE),4)</f>
        <v>0.99180000000000001</v>
      </c>
      <c r="P96" s="18">
        <f t="shared" si="118"/>
        <v>0.98850000000000005</v>
      </c>
      <c r="Q96" s="29">
        <f t="shared" si="119"/>
        <v>-6.7799999999999999E-2</v>
      </c>
      <c r="R96" s="29">
        <f t="shared" si="120"/>
        <v>-8.9999999999999998E-4</v>
      </c>
      <c r="S96">
        <v>2057000</v>
      </c>
      <c r="T96" s="18">
        <f>ROUND((S96/7)/VLOOKUP(EOMONTH(A96,-1),Employment!A:P,16,FALSE),4)</f>
        <v>1.1565000000000001</v>
      </c>
      <c r="U96" s="18">
        <f t="shared" si="121"/>
        <v>1.1612</v>
      </c>
      <c r="V96" s="29">
        <f t="shared" si="122"/>
        <v>-6.8099999999999994E-2</v>
      </c>
      <c r="W96" s="29">
        <f t="shared" si="123"/>
        <v>-1.1000000000000001E-3</v>
      </c>
      <c r="X96" s="30">
        <f t="shared" si="124"/>
        <v>156.72999999999999</v>
      </c>
      <c r="Y96" s="31">
        <f t="shared" si="125"/>
        <v>159.66</v>
      </c>
    </row>
    <row r="97" spans="1:25" x14ac:dyDescent="0.25">
      <c r="A97" s="5">
        <v>42666</v>
      </c>
      <c r="B97">
        <v>2092.6880000000001</v>
      </c>
      <c r="C97" s="29">
        <f t="shared" si="129"/>
        <v>3.5999999999999999E-3</v>
      </c>
      <c r="D97">
        <v>-0.63</v>
      </c>
      <c r="E97">
        <v>-1.1459999999999999</v>
      </c>
      <c r="F97" s="18">
        <f t="shared" si="116"/>
        <v>-0.25199999999999889</v>
      </c>
      <c r="G97" s="18">
        <f t="shared" si="117"/>
        <v>0.92399999999999949</v>
      </c>
      <c r="H97">
        <v>4.62</v>
      </c>
      <c r="I97">
        <v>2.6</v>
      </c>
      <c r="J97">
        <f t="shared" si="126"/>
        <v>3.61</v>
      </c>
      <c r="K97" s="6">
        <f t="shared" si="127"/>
        <v>3.66</v>
      </c>
      <c r="L97" s="6">
        <f t="shared" si="128"/>
        <v>-8.0000000000000071E-2</v>
      </c>
      <c r="M97">
        <v>8.2322509893323996</v>
      </c>
      <c r="N97">
        <v>251500</v>
      </c>
      <c r="O97" s="18">
        <f>ROUND(N97/VLOOKUP(EOMONTH(A97,-1),Employment!A:P,16,FALSE),4)</f>
        <v>0.98980000000000001</v>
      </c>
      <c r="P97" s="18">
        <f t="shared" si="118"/>
        <v>0.98909999999999998</v>
      </c>
      <c r="Q97" s="29">
        <f t="shared" si="119"/>
        <v>-7.5899999999999995E-2</v>
      </c>
      <c r="R97" s="29">
        <f t="shared" si="120"/>
        <v>4.3E-3</v>
      </c>
      <c r="S97">
        <v>2069000</v>
      </c>
      <c r="T97" s="18">
        <f>ROUND((S97/7)/VLOOKUP(EOMONTH(A97,-1),Employment!A:P,16,FALSE),4)</f>
        <v>1.1633</v>
      </c>
      <c r="U97" s="18">
        <f t="shared" si="121"/>
        <v>1.1635</v>
      </c>
      <c r="V97" s="29">
        <f t="shared" si="122"/>
        <v>-7.2999999999999995E-2</v>
      </c>
      <c r="W97" s="29">
        <f t="shared" si="123"/>
        <v>2.8E-3</v>
      </c>
      <c r="X97" s="30">
        <f t="shared" si="124"/>
        <v>160.93</v>
      </c>
      <c r="Y97" s="31">
        <f t="shared" si="125"/>
        <v>161.78</v>
      </c>
    </row>
    <row r="98" spans="1:25" x14ac:dyDescent="0.25">
      <c r="A98" s="5">
        <v>42659</v>
      </c>
      <c r="B98">
        <v>2090.7482</v>
      </c>
      <c r="C98" s="29">
        <f t="shared" si="129"/>
        <v>4.4000000000000003E-3</v>
      </c>
      <c r="D98">
        <v>-0.62</v>
      </c>
      <c r="E98">
        <v>-1.19</v>
      </c>
      <c r="F98" s="18">
        <f t="shared" si="116"/>
        <v>0.33599999999999852</v>
      </c>
      <c r="G98" s="18">
        <f t="shared" si="117"/>
        <v>1.363999999999999</v>
      </c>
      <c r="H98">
        <v>4.72</v>
      </c>
      <c r="I98">
        <v>2.63</v>
      </c>
      <c r="J98">
        <f t="shared" si="126"/>
        <v>3.68</v>
      </c>
      <c r="K98" s="6">
        <f t="shared" si="127"/>
        <v>3.74</v>
      </c>
      <c r="L98" s="6">
        <f t="shared" si="128"/>
        <v>-6.999999999999984E-2</v>
      </c>
      <c r="M98">
        <v>8.3413634740073004</v>
      </c>
      <c r="N98">
        <v>250000</v>
      </c>
      <c r="O98" s="18">
        <f>ROUND(N98/VLOOKUP(EOMONTH(A98,-1),Employment!A:P,16,FALSE),4)</f>
        <v>0.9839</v>
      </c>
      <c r="P98" s="18">
        <f t="shared" si="118"/>
        <v>0.99370000000000003</v>
      </c>
      <c r="Q98" s="29">
        <f t="shared" si="119"/>
        <v>-7.7600000000000002E-2</v>
      </c>
      <c r="R98" s="29">
        <f t="shared" si="120"/>
        <v>5.7000000000000002E-3</v>
      </c>
      <c r="S98">
        <v>2070000</v>
      </c>
      <c r="T98" s="18">
        <f>ROUND((S98/7)/VLOOKUP(EOMONTH(A98,-1),Employment!A:P,16,FALSE),4)</f>
        <v>1.1637999999999999</v>
      </c>
      <c r="U98" s="18">
        <f t="shared" si="121"/>
        <v>1.1660999999999999</v>
      </c>
      <c r="V98" s="29">
        <f t="shared" si="122"/>
        <v>-7.4099999999999999E-2</v>
      </c>
      <c r="W98" s="29">
        <f t="shared" si="123"/>
        <v>7.4999999999999997E-3</v>
      </c>
      <c r="X98" s="30">
        <f t="shared" si="124"/>
        <v>163.80000000000001</v>
      </c>
      <c r="Y98" s="31">
        <f t="shared" si="125"/>
        <v>160.47999999999999</v>
      </c>
    </row>
    <row r="99" spans="1:25" x14ac:dyDescent="0.25">
      <c r="A99" s="5">
        <v>42652</v>
      </c>
      <c r="B99">
        <v>2086.9157</v>
      </c>
      <c r="C99" s="29">
        <f t="shared" si="129"/>
        <v>5.1999999999999998E-3</v>
      </c>
      <c r="D99">
        <v>-0.6</v>
      </c>
      <c r="E99">
        <v>-1.173</v>
      </c>
      <c r="F99" s="18">
        <f t="shared" si="116"/>
        <v>0.83999999999999986</v>
      </c>
      <c r="G99" s="18">
        <f t="shared" si="117"/>
        <v>-0.19599999999999795</v>
      </c>
      <c r="H99">
        <v>4.76</v>
      </c>
      <c r="I99">
        <v>2.63</v>
      </c>
      <c r="J99">
        <f t="shared" si="126"/>
        <v>3.7</v>
      </c>
      <c r="K99" s="6">
        <f t="shared" si="127"/>
        <v>3.81</v>
      </c>
      <c r="L99" s="6">
        <f t="shared" si="128"/>
        <v>-8.9999999999999858E-2</v>
      </c>
      <c r="M99">
        <v>8.8562929733679994</v>
      </c>
      <c r="N99">
        <v>252500</v>
      </c>
      <c r="O99" s="18">
        <f>ROUND(N99/VLOOKUP(EOMONTH(A99,-1),Employment!A:P,16,FALSE),4)</f>
        <v>0.99370000000000003</v>
      </c>
      <c r="P99" s="18">
        <f t="shared" si="118"/>
        <v>1.0028999999999999</v>
      </c>
      <c r="Q99" s="29">
        <f t="shared" si="119"/>
        <v>-7.3599999999999999E-2</v>
      </c>
      <c r="R99" s="29">
        <f t="shared" si="120"/>
        <v>5.1000000000000004E-3</v>
      </c>
      <c r="S99">
        <v>2069000</v>
      </c>
      <c r="T99" s="18">
        <f>ROUND((S99/7)/VLOOKUP(EOMONTH(A99,-1),Employment!A:P,16,FALSE),4)</f>
        <v>1.1633</v>
      </c>
      <c r="U99" s="18">
        <f t="shared" si="121"/>
        <v>1.1707000000000001</v>
      </c>
      <c r="V99" s="29">
        <f t="shared" si="122"/>
        <v>-7.6300000000000007E-2</v>
      </c>
      <c r="W99" s="29">
        <f t="shared" si="123"/>
        <v>6.6E-3</v>
      </c>
      <c r="X99" s="30">
        <f t="shared" si="124"/>
        <v>158.85</v>
      </c>
      <c r="Y99" s="31">
        <f t="shared" si="125"/>
        <v>157.09</v>
      </c>
    </row>
    <row r="100" spans="1:25" x14ac:dyDescent="0.25">
      <c r="A100" s="5">
        <v>42645</v>
      </c>
      <c r="B100">
        <v>2086.3526999999999</v>
      </c>
      <c r="C100" s="29">
        <f t="shared" si="129"/>
        <v>7.6E-3</v>
      </c>
      <c r="D100">
        <v>-0.6</v>
      </c>
      <c r="E100">
        <v>-1.0680000000000001</v>
      </c>
      <c r="F100" s="18">
        <f t="shared" si="116"/>
        <v>0.18800000000000061</v>
      </c>
      <c r="G100" s="18">
        <f t="shared" si="117"/>
        <v>-1.08</v>
      </c>
      <c r="H100">
        <v>4.97</v>
      </c>
      <c r="I100">
        <v>2.69</v>
      </c>
      <c r="J100">
        <f t="shared" si="126"/>
        <v>3.83</v>
      </c>
      <c r="K100" s="6">
        <f t="shared" si="127"/>
        <v>3.9</v>
      </c>
      <c r="L100" s="6">
        <f t="shared" si="128"/>
        <v>-2.0000000000000018E-2</v>
      </c>
      <c r="M100">
        <v>9.0359739434122996</v>
      </c>
      <c r="N100">
        <v>255000</v>
      </c>
      <c r="O100" s="18">
        <f>ROUND(N100/VLOOKUP(EOMONTH(A100,-1),Employment!A:P,16,FALSE),4)</f>
        <v>1.0036</v>
      </c>
      <c r="P100" s="18">
        <f t="shared" si="118"/>
        <v>1.0114000000000001</v>
      </c>
      <c r="Q100" s="29">
        <f t="shared" si="119"/>
        <v>-6.8599999999999994E-2</v>
      </c>
      <c r="R100" s="29">
        <f t="shared" si="120"/>
        <v>6.4999999999999997E-3</v>
      </c>
      <c r="S100">
        <v>2083000</v>
      </c>
      <c r="T100" s="18">
        <f>ROUND((S100/7)/VLOOKUP(EOMONTH(A100,-1),Employment!A:P,16,FALSE),4)</f>
        <v>1.1711</v>
      </c>
      <c r="U100" s="18">
        <f t="shared" si="121"/>
        <v>1.1846000000000001</v>
      </c>
      <c r="V100" s="29">
        <f t="shared" si="122"/>
        <v>-6.6900000000000001E-2</v>
      </c>
      <c r="W100" s="29">
        <f t="shared" si="123"/>
        <v>4.4000000000000003E-3</v>
      </c>
      <c r="X100" s="30">
        <f t="shared" si="124"/>
        <v>156.28</v>
      </c>
      <c r="Y100" s="31">
        <f t="shared" si="125"/>
        <v>156.08000000000001</v>
      </c>
    </row>
    <row r="101" spans="1:25" x14ac:dyDescent="0.25">
      <c r="A101" s="5">
        <v>42638</v>
      </c>
      <c r="B101">
        <v>2076.8541</v>
      </c>
      <c r="C101" s="29">
        <f t="shared" si="129"/>
        <v>4.8999999999999998E-3</v>
      </c>
      <c r="D101">
        <v>-0.61</v>
      </c>
      <c r="E101">
        <v>-1.032</v>
      </c>
      <c r="F101" s="18">
        <f t="shared" si="116"/>
        <v>-1.2239999999999984</v>
      </c>
      <c r="G101" s="18">
        <f t="shared" si="117"/>
        <v>-1.4440000000000008</v>
      </c>
      <c r="H101">
        <v>5.0999999999999996</v>
      </c>
      <c r="I101">
        <v>2.68</v>
      </c>
      <c r="J101">
        <f t="shared" si="126"/>
        <v>3.89</v>
      </c>
      <c r="K101" s="6">
        <f t="shared" si="127"/>
        <v>3.92</v>
      </c>
      <c r="L101" s="6">
        <f t="shared" si="128"/>
        <v>9.9999999999997868E-3</v>
      </c>
      <c r="M101">
        <v>9.1267712346198007</v>
      </c>
      <c r="N101">
        <v>256750</v>
      </c>
      <c r="O101" s="18">
        <f>ROUND(N101/VLOOKUP(EOMONTH(A101,-1),Employment!A:P,16,FALSE),4)</f>
        <v>1.0114000000000001</v>
      </c>
      <c r="P101" s="18">
        <f t="shared" si="118"/>
        <v>1.0176000000000001</v>
      </c>
      <c r="Q101" s="29">
        <f t="shared" si="119"/>
        <v>-6.6600000000000006E-2</v>
      </c>
      <c r="R101" s="29">
        <f t="shared" si="120"/>
        <v>9.2999999999999992E-3</v>
      </c>
      <c r="S101">
        <v>2093000</v>
      </c>
      <c r="T101" s="18">
        <f>ROUND((S101/7)/VLOOKUP(EOMONTH(A101,-1),Employment!A:P,16,FALSE),4)</f>
        <v>1.1778</v>
      </c>
      <c r="U101" s="18">
        <f t="shared" si="121"/>
        <v>1.1934</v>
      </c>
      <c r="V101" s="29">
        <f t="shared" si="122"/>
        <v>-6.3700000000000007E-2</v>
      </c>
      <c r="W101" s="29">
        <f t="shared" si="123"/>
        <v>1.6999999999999999E-3</v>
      </c>
      <c r="X101" s="30">
        <f t="shared" si="124"/>
        <v>154.72</v>
      </c>
      <c r="Y101" s="31">
        <f t="shared" si="125"/>
        <v>156.38999999999999</v>
      </c>
    </row>
    <row r="102" spans="1:25" x14ac:dyDescent="0.25">
      <c r="A102" s="5">
        <v>42631</v>
      </c>
      <c r="B102">
        <v>2076.1062000000002</v>
      </c>
      <c r="C102" s="29">
        <f t="shared" si="129"/>
        <v>6.1000000000000004E-3</v>
      </c>
      <c r="D102">
        <v>-0.63</v>
      </c>
      <c r="E102">
        <v>-1.1599999999999999</v>
      </c>
      <c r="F102" s="18">
        <f t="shared" si="116"/>
        <v>-4.400000000000226E-2</v>
      </c>
      <c r="G102" s="18">
        <f t="shared" si="117"/>
        <v>-0.66000000000000369</v>
      </c>
      <c r="H102">
        <v>5.27</v>
      </c>
      <c r="I102">
        <v>2.71</v>
      </c>
      <c r="J102">
        <f t="shared" si="126"/>
        <v>3.99</v>
      </c>
      <c r="K102" s="6">
        <f t="shared" si="127"/>
        <v>3.91</v>
      </c>
      <c r="L102" s="6">
        <f t="shared" si="128"/>
        <v>5.0000000000000266E-2</v>
      </c>
      <c r="M102">
        <v>9.0674858541153007</v>
      </c>
      <c r="N102">
        <v>258750</v>
      </c>
      <c r="O102" s="18">
        <f>ROUND(N102/VLOOKUP(EOMONTH(A102,-1),Employment!A:P,16,FALSE),4)</f>
        <v>1.0193000000000001</v>
      </c>
      <c r="P102" s="18">
        <f t="shared" si="118"/>
        <v>1.0232000000000001</v>
      </c>
      <c r="Q102" s="29">
        <f t="shared" si="119"/>
        <v>-6.3200000000000006E-2</v>
      </c>
      <c r="R102" s="29">
        <f t="shared" si="120"/>
        <v>1.0200000000000001E-2</v>
      </c>
      <c r="S102">
        <v>2141000</v>
      </c>
      <c r="T102" s="18">
        <f>ROUND((S102/7)/VLOOKUP(EOMONTH(A102,-1),Employment!A:P,16,FALSE),4)</f>
        <v>1.2049000000000001</v>
      </c>
      <c r="U102" s="18">
        <f t="shared" si="121"/>
        <v>1.2037</v>
      </c>
      <c r="V102" s="29">
        <f t="shared" si="122"/>
        <v>-5.7500000000000002E-2</v>
      </c>
      <c r="W102" s="29">
        <f t="shared" si="123"/>
        <v>1.6999999999999999E-3</v>
      </c>
      <c r="X102" s="30">
        <f t="shared" si="124"/>
        <v>159</v>
      </c>
      <c r="Y102" s="31">
        <f t="shared" si="125"/>
        <v>155.13999999999999</v>
      </c>
    </row>
    <row r="103" spans="1:25" x14ac:dyDescent="0.25">
      <c r="A103" s="5">
        <v>42624</v>
      </c>
      <c r="B103">
        <v>2065.0810999999999</v>
      </c>
      <c r="C103" s="29">
        <f t="shared" si="129"/>
        <v>1.1000000000000001E-3</v>
      </c>
      <c r="D103">
        <v>-0.64</v>
      </c>
      <c r="E103">
        <v>-1.153</v>
      </c>
      <c r="F103" s="18">
        <f t="shared" si="116"/>
        <v>-0.17600000000000016</v>
      </c>
      <c r="G103" s="18">
        <f t="shared" si="117"/>
        <v>-0.35599999999999987</v>
      </c>
      <c r="H103">
        <v>5.0999999999999996</v>
      </c>
      <c r="I103">
        <v>2.67</v>
      </c>
      <c r="J103">
        <f t="shared" si="126"/>
        <v>3.89</v>
      </c>
      <c r="K103" s="6">
        <f t="shared" si="127"/>
        <v>3.86</v>
      </c>
      <c r="L103" s="6">
        <f t="shared" si="128"/>
        <v>-1.0000000000000231E-2</v>
      </c>
      <c r="M103">
        <v>8.5380513500405009</v>
      </c>
      <c r="N103">
        <v>259500</v>
      </c>
      <c r="O103" s="18">
        <f>ROUND(N103/VLOOKUP(EOMONTH(A103,-1),Employment!A:P,16,FALSE),4)</f>
        <v>1.0222</v>
      </c>
      <c r="P103" s="18">
        <f t="shared" si="118"/>
        <v>1.0285</v>
      </c>
      <c r="Q103" s="29">
        <f t="shared" si="119"/>
        <v>-5.8099999999999999E-2</v>
      </c>
      <c r="R103" s="29">
        <f t="shared" si="120"/>
        <v>5.1999999999999998E-3</v>
      </c>
      <c r="S103">
        <v>2128000</v>
      </c>
      <c r="T103" s="18">
        <f>ROUND((S103/7)/VLOOKUP(EOMONTH(A103,-1),Employment!A:P,16,FALSE),4)</f>
        <v>1.1975</v>
      </c>
      <c r="U103" s="18">
        <f t="shared" si="121"/>
        <v>1.2028000000000001</v>
      </c>
      <c r="V103" s="29">
        <f t="shared" si="122"/>
        <v>-6.08E-2</v>
      </c>
      <c r="W103" s="29">
        <f t="shared" si="123"/>
        <v>0</v>
      </c>
      <c r="X103" s="30">
        <f t="shared" si="124"/>
        <v>154.05000000000001</v>
      </c>
      <c r="Y103" s="31">
        <f t="shared" si="125"/>
        <v>149.49</v>
      </c>
    </row>
    <row r="104" spans="1:25" x14ac:dyDescent="0.25">
      <c r="A104" s="5">
        <v>42617</v>
      </c>
      <c r="B104">
        <v>2064.3389000000002</v>
      </c>
      <c r="C104" s="29">
        <f t="shared" si="129"/>
        <v>5.0000000000000001E-4</v>
      </c>
      <c r="D104">
        <v>-0.66</v>
      </c>
      <c r="E104">
        <v>-1.1499999999999999</v>
      </c>
      <c r="F104" s="18">
        <f t="shared" si="116"/>
        <v>-0.44000000000000128</v>
      </c>
      <c r="G104" s="18">
        <f t="shared" si="117"/>
        <v>9.6000000000000085E-2</v>
      </c>
      <c r="H104">
        <v>5.09</v>
      </c>
      <c r="I104">
        <v>2.63</v>
      </c>
      <c r="J104">
        <f t="shared" si="126"/>
        <v>3.86</v>
      </c>
      <c r="K104" s="6">
        <f t="shared" si="127"/>
        <v>3.87</v>
      </c>
      <c r="L104" s="6">
        <f t="shared" si="128"/>
        <v>-6.0000000000000053E-2</v>
      </c>
      <c r="M104">
        <v>8.3010467961866006</v>
      </c>
      <c r="N104">
        <v>261000</v>
      </c>
      <c r="O104" s="18">
        <f>ROUND(N104/VLOOKUP(EOMONTH(A104,-1),Employment!A:P,16,FALSE),4)</f>
        <v>1.0282</v>
      </c>
      <c r="P104" s="18">
        <f t="shared" si="118"/>
        <v>1.0337000000000001</v>
      </c>
      <c r="Q104" s="29">
        <f t="shared" si="119"/>
        <v>-4.9200000000000001E-2</v>
      </c>
      <c r="R104" s="29">
        <f t="shared" si="120"/>
        <v>-5.7000000000000002E-3</v>
      </c>
      <c r="S104">
        <v>2148000</v>
      </c>
      <c r="T104" s="18">
        <f>ROUND((S104/7)/VLOOKUP(EOMONTH(A104,-1),Employment!A:P,16,FALSE),4)</f>
        <v>1.2088000000000001</v>
      </c>
      <c r="U104" s="18">
        <f t="shared" si="121"/>
        <v>1.2093</v>
      </c>
      <c r="V104" s="29">
        <f t="shared" si="122"/>
        <v>-5.5800000000000002E-2</v>
      </c>
      <c r="W104" s="29">
        <f t="shared" si="123"/>
        <v>-1.8E-3</v>
      </c>
      <c r="X104" s="30">
        <f t="shared" si="124"/>
        <v>148.22999999999999</v>
      </c>
      <c r="Y104" s="31">
        <f t="shared" si="125"/>
        <v>143.85</v>
      </c>
    </row>
    <row r="105" spans="1:25" x14ac:dyDescent="0.25">
      <c r="A105" s="5">
        <v>42610</v>
      </c>
      <c r="B105">
        <v>2061.7168000000001</v>
      </c>
      <c r="C105" s="29">
        <f t="shared" si="129"/>
        <v>-1.4E-3</v>
      </c>
      <c r="D105">
        <v>-0.68</v>
      </c>
      <c r="E105">
        <v>-1.18</v>
      </c>
      <c r="F105" s="18">
        <f t="shared" si="116"/>
        <v>0.26000000000000156</v>
      </c>
      <c r="G105" s="18">
        <f t="shared" si="117"/>
        <v>0.15600000000000236</v>
      </c>
      <c r="H105">
        <v>5.04</v>
      </c>
      <c r="I105">
        <v>2.63</v>
      </c>
      <c r="J105">
        <f t="shared" si="126"/>
        <v>3.84</v>
      </c>
      <c r="K105" s="6">
        <f t="shared" si="127"/>
        <v>3.93</v>
      </c>
      <c r="L105" s="6">
        <f t="shared" si="128"/>
        <v>-7.9999999999999627E-2</v>
      </c>
      <c r="M105">
        <v>8.1370086450663006</v>
      </c>
      <c r="N105">
        <v>262500</v>
      </c>
      <c r="O105" s="18">
        <f>ROUND(N105/VLOOKUP(EOMONTH(A105,-1),Employment!A:P,16,FALSE),4)</f>
        <v>1.0349999999999999</v>
      </c>
      <c r="P105" s="18">
        <f t="shared" si="118"/>
        <v>1.036</v>
      </c>
      <c r="Q105" s="29">
        <f t="shared" si="119"/>
        <v>-4.07E-2</v>
      </c>
      <c r="R105" s="29">
        <f t="shared" si="120"/>
        <v>-1.6E-2</v>
      </c>
      <c r="S105">
        <v>2134000</v>
      </c>
      <c r="T105" s="18">
        <f>ROUND((S105/7)/VLOOKUP(EOMONTH(A105,-1),Employment!A:P,16,FALSE),4)</f>
        <v>1.202</v>
      </c>
      <c r="U105" s="18">
        <f t="shared" si="121"/>
        <v>1.2101</v>
      </c>
      <c r="V105" s="29">
        <f t="shared" si="122"/>
        <v>-5.67E-2</v>
      </c>
      <c r="W105" s="29">
        <f t="shared" si="123"/>
        <v>-1.2999999999999999E-3</v>
      </c>
      <c r="X105" s="30">
        <f t="shared" si="124"/>
        <v>141.22999999999999</v>
      </c>
      <c r="Y105" s="31">
        <f t="shared" si="125"/>
        <v>140.96</v>
      </c>
    </row>
    <row r="106" spans="1:25" x14ac:dyDescent="0.25">
      <c r="A106" s="5">
        <v>42603</v>
      </c>
      <c r="B106">
        <v>2062.6023</v>
      </c>
      <c r="C106" s="29">
        <f t="shared" si="129"/>
        <v>-2E-3</v>
      </c>
      <c r="D106">
        <v>-0.69</v>
      </c>
      <c r="E106">
        <v>-1.135</v>
      </c>
      <c r="F106" s="18">
        <f t="shared" si="116"/>
        <v>0.2759999999999998</v>
      </c>
      <c r="G106" s="18">
        <f t="shared" si="117"/>
        <v>-0.11199999999999832</v>
      </c>
      <c r="H106">
        <v>5.15</v>
      </c>
      <c r="I106">
        <v>2.67</v>
      </c>
      <c r="J106">
        <f t="shared" si="126"/>
        <v>3.91</v>
      </c>
      <c r="K106" s="6">
        <f t="shared" si="127"/>
        <v>4.01</v>
      </c>
      <c r="L106" s="6">
        <f t="shared" si="128"/>
        <v>-8.9999999999999858E-2</v>
      </c>
      <c r="M106">
        <v>8.3543965520133003</v>
      </c>
      <c r="N106">
        <v>263250</v>
      </c>
      <c r="O106" s="18">
        <f>ROUND(N106/VLOOKUP(EOMONTH(A106,-1),Employment!A:P,16,FALSE),4)</f>
        <v>1.038</v>
      </c>
      <c r="P106" s="18">
        <f t="shared" si="118"/>
        <v>1.0329999999999999</v>
      </c>
      <c r="Q106" s="29">
        <f t="shared" si="119"/>
        <v>-4.1300000000000003E-2</v>
      </c>
      <c r="R106" s="29">
        <f t="shared" si="120"/>
        <v>-1.6899999999999998E-2</v>
      </c>
      <c r="S106">
        <v>2161000</v>
      </c>
      <c r="T106" s="18">
        <f>ROUND((S106/7)/VLOOKUP(EOMONTH(A106,-1),Employment!A:P,16,FALSE),4)</f>
        <v>1.2172000000000001</v>
      </c>
      <c r="U106" s="18">
        <f t="shared" si="121"/>
        <v>1.2105999999999999</v>
      </c>
      <c r="V106" s="29">
        <f t="shared" si="122"/>
        <v>-5.6500000000000002E-2</v>
      </c>
      <c r="W106" s="29">
        <f t="shared" si="123"/>
        <v>-2.0000000000000001E-4</v>
      </c>
      <c r="X106" s="30">
        <f t="shared" si="124"/>
        <v>139.42000000000002</v>
      </c>
      <c r="Y106" s="31">
        <f t="shared" si="125"/>
        <v>144.52000000000001</v>
      </c>
    </row>
    <row r="107" spans="1:25" x14ac:dyDescent="0.25">
      <c r="A107" s="5">
        <v>42596</v>
      </c>
      <c r="B107">
        <v>2062.7021</v>
      </c>
      <c r="C107" s="29">
        <f t="shared" si="129"/>
        <v>-2.8E-3</v>
      </c>
      <c r="D107">
        <v>-0.68</v>
      </c>
      <c r="E107">
        <v>-1.113</v>
      </c>
      <c r="F107" s="18">
        <f t="shared" si="116"/>
        <v>-0.37999999999999901</v>
      </c>
      <c r="G107" s="18">
        <f t="shared" si="117"/>
        <v>-0.12399999999999878</v>
      </c>
      <c r="H107">
        <v>5.34</v>
      </c>
      <c r="I107">
        <v>2.71</v>
      </c>
      <c r="J107">
        <f t="shared" si="126"/>
        <v>4.03</v>
      </c>
      <c r="K107" s="6">
        <f t="shared" si="127"/>
        <v>4.0999999999999996</v>
      </c>
      <c r="L107" s="6">
        <f t="shared" si="128"/>
        <v>0</v>
      </c>
      <c r="M107">
        <v>8.6213374715672995</v>
      </c>
      <c r="N107">
        <v>262500</v>
      </c>
      <c r="O107" s="18">
        <f>ROUND(N107/VLOOKUP(EOMONTH(A107,-1),Employment!A:P,16,FALSE),4)</f>
        <v>1.0349999999999999</v>
      </c>
      <c r="P107" s="18">
        <f t="shared" si="118"/>
        <v>1.0270999999999999</v>
      </c>
      <c r="Q107" s="29">
        <f t="shared" si="119"/>
        <v>-5.2900000000000003E-2</v>
      </c>
      <c r="R107" s="29">
        <f t="shared" si="120"/>
        <v>-7.3000000000000001E-3</v>
      </c>
      <c r="S107">
        <v>2150000</v>
      </c>
      <c r="T107" s="18">
        <f>ROUND((S107/7)/VLOOKUP(EOMONTH(A107,-1),Employment!A:P,16,FALSE),4)</f>
        <v>1.2110000000000001</v>
      </c>
      <c r="U107" s="18">
        <f t="shared" si="121"/>
        <v>1.2071000000000001</v>
      </c>
      <c r="V107" s="29">
        <f t="shared" si="122"/>
        <v>-6.1699999999999998E-2</v>
      </c>
      <c r="W107" s="29">
        <f t="shared" si="123"/>
        <v>-4.0000000000000002E-4</v>
      </c>
      <c r="X107" s="30">
        <f t="shared" si="124"/>
        <v>144.16</v>
      </c>
      <c r="Y107" s="31">
        <f t="shared" si="125"/>
        <v>154.04</v>
      </c>
    </row>
    <row r="108" spans="1:25" x14ac:dyDescent="0.25">
      <c r="A108" s="5">
        <v>42589</v>
      </c>
      <c r="B108">
        <v>2066.0365000000002</v>
      </c>
      <c r="C108" s="29">
        <f t="shared" si="129"/>
        <v>-8.0000000000000004E-4</v>
      </c>
      <c r="D108">
        <v>-0.67</v>
      </c>
      <c r="E108">
        <v>-1.173</v>
      </c>
      <c r="F108" s="18">
        <f t="shared" si="116"/>
        <v>-7.9999999999991189E-3</v>
      </c>
      <c r="G108" s="18">
        <f t="shared" si="117"/>
        <v>1.1760000000000002</v>
      </c>
      <c r="H108">
        <v>5.46</v>
      </c>
      <c r="I108">
        <v>2.73</v>
      </c>
      <c r="J108">
        <f t="shared" si="126"/>
        <v>4.0999999999999996</v>
      </c>
      <c r="K108" s="6">
        <f t="shared" si="127"/>
        <v>4.0999999999999996</v>
      </c>
      <c r="L108" s="6">
        <f t="shared" si="128"/>
        <v>1.9999999999999574E-2</v>
      </c>
      <c r="M108">
        <v>8.4854004399194007</v>
      </c>
      <c r="N108">
        <v>260250</v>
      </c>
      <c r="O108" s="18">
        <f>ROUND(N108/VLOOKUP(EOMONTH(A108,-1),Employment!A:P,16,FALSE),4)</f>
        <v>1.0261</v>
      </c>
      <c r="P108" s="18">
        <f t="shared" si="118"/>
        <v>1.0234000000000001</v>
      </c>
      <c r="Q108" s="29">
        <f t="shared" si="119"/>
        <v>-6.8900000000000003E-2</v>
      </c>
      <c r="R108" s="29">
        <f t="shared" si="120"/>
        <v>8.0999999999999996E-3</v>
      </c>
      <c r="S108">
        <v>2137000</v>
      </c>
      <c r="T108" s="18">
        <f>ROUND((S108/7)/VLOOKUP(EOMONTH(A108,-1),Employment!A:P,16,FALSE),4)</f>
        <v>1.2037</v>
      </c>
      <c r="U108" s="18">
        <f t="shared" si="121"/>
        <v>1.2039</v>
      </c>
      <c r="V108" s="29">
        <f t="shared" si="122"/>
        <v>-5.9499999999999997E-2</v>
      </c>
      <c r="W108" s="29">
        <f t="shared" si="123"/>
        <v>-5.0000000000000001E-3</v>
      </c>
      <c r="X108" s="30">
        <f t="shared" si="124"/>
        <v>158.19</v>
      </c>
      <c r="Y108" s="31">
        <f t="shared" si="125"/>
        <v>164.03</v>
      </c>
    </row>
    <row r="109" spans="1:25" x14ac:dyDescent="0.25">
      <c r="A109" s="5">
        <v>42582</v>
      </c>
      <c r="B109">
        <v>2067.2467000000001</v>
      </c>
      <c r="C109" s="29">
        <f t="shared" si="129"/>
        <v>6.9999999999999999E-4</v>
      </c>
      <c r="D109">
        <v>-0.65</v>
      </c>
      <c r="E109">
        <v>-1.1990000000000001</v>
      </c>
      <c r="F109" s="18">
        <f t="shared" si="116"/>
        <v>0.26399999999999935</v>
      </c>
      <c r="G109" s="18">
        <f t="shared" si="117"/>
        <v>2.3239999999999981</v>
      </c>
      <c r="H109">
        <v>5.61</v>
      </c>
      <c r="I109">
        <v>2.71</v>
      </c>
      <c r="J109">
        <f t="shared" si="126"/>
        <v>4.16</v>
      </c>
      <c r="K109" s="6">
        <f t="shared" si="127"/>
        <v>4.08</v>
      </c>
      <c r="L109" s="6">
        <f t="shared" si="128"/>
        <v>-4.9999999999999822E-2</v>
      </c>
      <c r="M109">
        <v>8.1430248063332993</v>
      </c>
      <c r="N109">
        <v>258500</v>
      </c>
      <c r="O109" s="18">
        <f>ROUND(N109/VLOOKUP(EOMONTH(A109,-1),Employment!A:P,16,FALSE),4)</f>
        <v>1.0201</v>
      </c>
      <c r="P109" s="18">
        <f t="shared" si="118"/>
        <v>1.0241</v>
      </c>
      <c r="Q109" s="29">
        <f t="shared" si="119"/>
        <v>-8.1000000000000003E-2</v>
      </c>
      <c r="R109" s="29">
        <f t="shared" si="120"/>
        <v>1.7299999999999999E-2</v>
      </c>
      <c r="S109">
        <v>2140000</v>
      </c>
      <c r="T109" s="18">
        <f>ROUND((S109/7)/VLOOKUP(EOMONTH(A109,-1),Employment!A:P,16,FALSE),4)</f>
        <v>1.2064999999999999</v>
      </c>
      <c r="U109" s="18">
        <f t="shared" si="121"/>
        <v>1.2060999999999999</v>
      </c>
      <c r="V109" s="29">
        <f t="shared" si="122"/>
        <v>-5.5E-2</v>
      </c>
      <c r="W109" s="29">
        <f t="shared" si="123"/>
        <v>-1.5E-3</v>
      </c>
      <c r="X109" s="30">
        <f t="shared" si="124"/>
        <v>168.38</v>
      </c>
      <c r="Y109" s="31">
        <f t="shared" si="125"/>
        <v>166.71</v>
      </c>
    </row>
    <row r="110" spans="1:25" x14ac:dyDescent="0.25">
      <c r="A110" s="5">
        <v>42575</v>
      </c>
      <c r="B110">
        <v>2070.6129000000001</v>
      </c>
      <c r="C110" s="29">
        <f t="shared" si="129"/>
        <v>3.8999999999999998E-3</v>
      </c>
      <c r="D110">
        <v>-0.63</v>
      </c>
      <c r="E110">
        <v>-1.1910000000000001</v>
      </c>
      <c r="F110" s="18">
        <f t="shared" si="116"/>
        <v>0.91999999999999993</v>
      </c>
      <c r="G110" s="18">
        <f t="shared" si="117"/>
        <v>2.0359999999999996</v>
      </c>
      <c r="H110">
        <v>5.39</v>
      </c>
      <c r="I110">
        <v>2.66</v>
      </c>
      <c r="J110">
        <f t="shared" si="126"/>
        <v>4.03</v>
      </c>
      <c r="K110" s="6">
        <f t="shared" si="127"/>
        <v>4.13</v>
      </c>
      <c r="L110" s="6">
        <f t="shared" si="128"/>
        <v>-0.16000000000000014</v>
      </c>
      <c r="M110">
        <v>7.5634205516922002</v>
      </c>
      <c r="N110">
        <v>259500</v>
      </c>
      <c r="O110" s="18">
        <f>ROUND(N110/VLOOKUP(EOMONTH(A110,-1),Employment!A:P,16,FALSE),4)</f>
        <v>1.0241</v>
      </c>
      <c r="P110" s="18">
        <f t="shared" si="118"/>
        <v>1.0329999999999999</v>
      </c>
      <c r="Q110" s="29">
        <f t="shared" si="119"/>
        <v>-7.5800000000000006E-2</v>
      </c>
      <c r="R110" s="29">
        <f t="shared" si="120"/>
        <v>1.5900000000000001E-2</v>
      </c>
      <c r="S110">
        <v>2131000</v>
      </c>
      <c r="T110" s="18">
        <f>ROUND((S110/7)/VLOOKUP(EOMONTH(A110,-1),Employment!A:P,16,FALSE),4)</f>
        <v>1.2014</v>
      </c>
      <c r="U110" s="18">
        <f t="shared" si="121"/>
        <v>1.2038</v>
      </c>
      <c r="V110" s="29">
        <f t="shared" si="122"/>
        <v>-6.3799999999999996E-2</v>
      </c>
      <c r="W110" s="29">
        <f t="shared" si="123"/>
        <v>2.2000000000000001E-3</v>
      </c>
      <c r="X110" s="30">
        <f t="shared" si="124"/>
        <v>167.78</v>
      </c>
      <c r="Y110" s="31">
        <f t="shared" si="125"/>
        <v>160.77000000000001</v>
      </c>
    </row>
    <row r="111" spans="1:25" x14ac:dyDescent="0.25">
      <c r="A111" s="5">
        <v>42568</v>
      </c>
      <c r="B111">
        <v>2069.8276000000001</v>
      </c>
      <c r="C111" s="29">
        <f t="shared" si="129"/>
        <v>4.5999999999999999E-3</v>
      </c>
      <c r="D111">
        <v>-0.61</v>
      </c>
      <c r="E111">
        <v>-1.101</v>
      </c>
      <c r="F111" s="18">
        <f t="shared" si="116"/>
        <v>1.1399999999999988</v>
      </c>
      <c r="G111" s="18">
        <f t="shared" si="117"/>
        <v>1.211999999999998</v>
      </c>
      <c r="H111">
        <v>5.42</v>
      </c>
      <c r="I111">
        <v>2.66</v>
      </c>
      <c r="J111">
        <f t="shared" si="126"/>
        <v>4.04</v>
      </c>
      <c r="K111" s="6">
        <f t="shared" si="127"/>
        <v>4.29</v>
      </c>
      <c r="L111" s="6">
        <f t="shared" si="128"/>
        <v>-0.20000000000000018</v>
      </c>
      <c r="M111">
        <v>6.9753689528214</v>
      </c>
      <c r="N111">
        <v>260500</v>
      </c>
      <c r="O111" s="18">
        <f>ROUND(N111/VLOOKUP(EOMONTH(A111,-1),Employment!A:P,16,FALSE),4)</f>
        <v>1.028</v>
      </c>
      <c r="P111" s="18">
        <f t="shared" si="118"/>
        <v>1.0425</v>
      </c>
      <c r="Q111" s="29">
        <f t="shared" si="119"/>
        <v>-6.2199999999999998E-2</v>
      </c>
      <c r="R111" s="29">
        <f t="shared" si="120"/>
        <v>9.7999999999999997E-3</v>
      </c>
      <c r="S111">
        <v>2147000</v>
      </c>
      <c r="T111" s="18">
        <f>ROUND((S111/7)/VLOOKUP(EOMONTH(A111,-1),Employment!A:P,16,FALSE),4)</f>
        <v>1.2103999999999999</v>
      </c>
      <c r="U111" s="18">
        <f t="shared" si="121"/>
        <v>1.2093</v>
      </c>
      <c r="V111" s="29">
        <f t="shared" si="122"/>
        <v>-6.4899999999999999E-2</v>
      </c>
      <c r="W111" s="29">
        <f t="shared" si="123"/>
        <v>6.4999999999999997E-3</v>
      </c>
      <c r="X111" s="30">
        <f t="shared" si="124"/>
        <v>159.84</v>
      </c>
      <c r="Y111" s="31">
        <f t="shared" si="125"/>
        <v>151.91</v>
      </c>
    </row>
    <row r="112" spans="1:25" x14ac:dyDescent="0.25">
      <c r="A112" s="5">
        <v>42561</v>
      </c>
      <c r="B112">
        <v>2063.0965000000001</v>
      </c>
      <c r="C112" s="29">
        <f t="shared" si="129"/>
        <v>1.6999999999999999E-3</v>
      </c>
      <c r="D112">
        <v>-0.57999999999999996</v>
      </c>
      <c r="E112">
        <v>-0.996</v>
      </c>
      <c r="F112" s="18">
        <f t="shared" si="116"/>
        <v>-2.3999999999999133E-2</v>
      </c>
      <c r="G112" s="18">
        <f t="shared" si="117"/>
        <v>-1.427999999999999</v>
      </c>
      <c r="H112">
        <v>5.88</v>
      </c>
      <c r="I112">
        <v>2.78</v>
      </c>
      <c r="J112">
        <f t="shared" si="126"/>
        <v>4.33</v>
      </c>
      <c r="K112" s="6">
        <f t="shared" si="127"/>
        <v>4.49</v>
      </c>
      <c r="L112" s="6">
        <f t="shared" si="128"/>
        <v>-8.0000000000000071E-2</v>
      </c>
      <c r="M112">
        <v>6.8629148699705</v>
      </c>
      <c r="N112">
        <v>265250</v>
      </c>
      <c r="O112" s="18">
        <f>ROUND(N112/VLOOKUP(EOMONTH(A112,-1),Employment!A:P,16,FALSE),4)</f>
        <v>1.0468</v>
      </c>
      <c r="P112" s="18">
        <f t="shared" si="118"/>
        <v>1.0513999999999999</v>
      </c>
      <c r="Q112" s="29">
        <f t="shared" si="119"/>
        <v>-4.65E-2</v>
      </c>
      <c r="R112" s="29">
        <f t="shared" si="120"/>
        <v>7.4999999999999997E-3</v>
      </c>
      <c r="S112">
        <v>2128000</v>
      </c>
      <c r="T112" s="18">
        <f>ROUND((S112/7)/VLOOKUP(EOMONTH(A112,-1),Employment!A:P,16,FALSE),4)</f>
        <v>1.1997</v>
      </c>
      <c r="U112" s="18">
        <f t="shared" si="121"/>
        <v>1.2103999999999999</v>
      </c>
      <c r="V112" s="29">
        <f t="shared" si="122"/>
        <v>-6.7900000000000002E-2</v>
      </c>
      <c r="W112" s="29">
        <f t="shared" si="123"/>
        <v>3.2000000000000002E-3</v>
      </c>
      <c r="X112" s="30">
        <f t="shared" si="124"/>
        <v>145.54</v>
      </c>
      <c r="Y112" s="31">
        <f t="shared" si="125"/>
        <v>147.16</v>
      </c>
    </row>
    <row r="113" spans="1:25" x14ac:dyDescent="0.25">
      <c r="A113" s="5">
        <v>42554</v>
      </c>
      <c r="B113">
        <v>2059.7386000000001</v>
      </c>
      <c r="C113" s="29">
        <f t="shared" si="129"/>
        <v>-1E-4</v>
      </c>
      <c r="D113">
        <v>-0.6</v>
      </c>
      <c r="E113">
        <v>-0.97399999999999998</v>
      </c>
      <c r="F113" s="18">
        <f t="shared" si="116"/>
        <v>9.5999999999998309E-2</v>
      </c>
      <c r="G113" s="18">
        <f t="shared" si="117"/>
        <v>-1.4360000000000017</v>
      </c>
      <c r="H113">
        <v>6.12</v>
      </c>
      <c r="I113">
        <v>2.86</v>
      </c>
      <c r="J113">
        <f t="shared" si="126"/>
        <v>4.49</v>
      </c>
      <c r="K113" s="6">
        <f t="shared" si="127"/>
        <v>4.57</v>
      </c>
      <c r="L113" s="6">
        <f t="shared" si="128"/>
        <v>3.0000000000000249E-2</v>
      </c>
      <c r="M113">
        <v>7.2833124109314999</v>
      </c>
      <c r="N113">
        <v>266750</v>
      </c>
      <c r="O113" s="18">
        <f>ROUND(N113/VLOOKUP(EOMONTH(A113,-1),Employment!A:P,16,FALSE),4)</f>
        <v>1.0527</v>
      </c>
      <c r="P113" s="18">
        <f t="shared" si="118"/>
        <v>1.0559000000000001</v>
      </c>
      <c r="Q113" s="29">
        <f t="shared" si="119"/>
        <v>-4.0099999999999997E-2</v>
      </c>
      <c r="R113" s="29">
        <f t="shared" si="120"/>
        <v>1.3899999999999999E-2</v>
      </c>
      <c r="S113">
        <v>2160000</v>
      </c>
      <c r="T113" s="18">
        <f>ROUND((S113/7)/VLOOKUP(EOMONTH(A113,-1),Employment!A:P,16,FALSE),4)</f>
        <v>1.2177</v>
      </c>
      <c r="U113" s="18">
        <f t="shared" si="121"/>
        <v>1.2171000000000001</v>
      </c>
      <c r="V113" s="29">
        <f t="shared" si="122"/>
        <v>-5.3100000000000001E-2</v>
      </c>
      <c r="W113" s="29">
        <f t="shared" si="123"/>
        <v>5.4000000000000003E-3</v>
      </c>
      <c r="X113" s="30">
        <f t="shared" si="124"/>
        <v>148</v>
      </c>
      <c r="Y113" s="31">
        <f t="shared" si="125"/>
        <v>148.97999999999999</v>
      </c>
    </row>
    <row r="114" spans="1:25" x14ac:dyDescent="0.25">
      <c r="A114" s="5">
        <v>42547</v>
      </c>
      <c r="B114">
        <v>2057.6785</v>
      </c>
      <c r="C114" s="29">
        <f t="shared" si="129"/>
        <v>-5.0000000000000001E-4</v>
      </c>
      <c r="D114">
        <v>-0.62</v>
      </c>
      <c r="E114">
        <v>-0.93700000000000006</v>
      </c>
      <c r="F114" s="18">
        <f t="shared" si="116"/>
        <v>-1.4999999999999982</v>
      </c>
      <c r="G114" s="18">
        <f t="shared" si="117"/>
        <v>-1.6159999999999997</v>
      </c>
      <c r="H114">
        <v>6.33</v>
      </c>
      <c r="I114">
        <v>2.98</v>
      </c>
      <c r="J114">
        <f t="shared" si="126"/>
        <v>4.66</v>
      </c>
      <c r="K114" s="6">
        <f t="shared" si="127"/>
        <v>4.54</v>
      </c>
      <c r="L114" s="6">
        <f t="shared" si="128"/>
        <v>5.9999999999999609E-2</v>
      </c>
      <c r="M114">
        <v>7.1796466465073001</v>
      </c>
      <c r="N114">
        <v>267000</v>
      </c>
      <c r="O114" s="18">
        <f>ROUND(N114/VLOOKUP(EOMONTH(A114,-1),Employment!A:P,16,FALSE),4)</f>
        <v>1.0546</v>
      </c>
      <c r="P114" s="18">
        <f t="shared" si="118"/>
        <v>1.0599000000000001</v>
      </c>
      <c r="Q114" s="29">
        <f t="shared" si="119"/>
        <v>-4.1099999999999998E-2</v>
      </c>
      <c r="R114" s="29">
        <f t="shared" si="120"/>
        <v>1.7000000000000001E-2</v>
      </c>
      <c r="S114">
        <v>2151000</v>
      </c>
      <c r="T114" s="18">
        <f>ROUND((S114/7)/VLOOKUP(EOMONTH(A114,-1),Employment!A:P,16,FALSE),4)</f>
        <v>1.2137</v>
      </c>
      <c r="U114" s="18">
        <f t="shared" si="121"/>
        <v>1.212</v>
      </c>
      <c r="V114" s="29">
        <f t="shared" si="122"/>
        <v>-6.08E-2</v>
      </c>
      <c r="W114" s="29">
        <f t="shared" si="123"/>
        <v>7.6E-3</v>
      </c>
      <c r="X114" s="30">
        <f t="shared" si="124"/>
        <v>149.09</v>
      </c>
      <c r="Y114" s="31">
        <f t="shared" si="125"/>
        <v>147.79</v>
      </c>
    </row>
    <row r="115" spans="1:25" x14ac:dyDescent="0.25">
      <c r="A115" s="5">
        <v>42540</v>
      </c>
      <c r="B115">
        <v>2061.0544</v>
      </c>
      <c r="C115" s="29">
        <f t="shared" si="129"/>
        <v>2E-3</v>
      </c>
      <c r="D115">
        <v>-0.65</v>
      </c>
      <c r="E115">
        <v>-1.087</v>
      </c>
      <c r="F115" s="18">
        <f t="shared" si="116"/>
        <v>-3.2000000000001805E-2</v>
      </c>
      <c r="G115" s="18">
        <f t="shared" si="117"/>
        <v>9.1999999999998749E-2</v>
      </c>
      <c r="H115">
        <v>6.21</v>
      </c>
      <c r="I115">
        <v>2.89</v>
      </c>
      <c r="J115">
        <f t="shared" si="126"/>
        <v>4.55</v>
      </c>
      <c r="K115" s="6">
        <f t="shared" si="127"/>
        <v>4.4800000000000004</v>
      </c>
      <c r="L115" s="6">
        <f t="shared" si="128"/>
        <v>2.0000000000000462E-2</v>
      </c>
      <c r="M115">
        <v>7.2196549105659997</v>
      </c>
      <c r="N115">
        <v>268500</v>
      </c>
      <c r="O115" s="18">
        <f>ROUND(N115/VLOOKUP(EOMONTH(A115,-1),Employment!A:P,16,FALSE),4)</f>
        <v>1.0605</v>
      </c>
      <c r="P115" s="18">
        <f t="shared" si="118"/>
        <v>1.0701000000000001</v>
      </c>
      <c r="Q115" s="29">
        <f t="shared" si="119"/>
        <v>-3.27E-2</v>
      </c>
      <c r="R115" s="29">
        <f t="shared" si="120"/>
        <v>7.3000000000000001E-3</v>
      </c>
      <c r="S115">
        <v>2162000</v>
      </c>
      <c r="T115" s="18">
        <f>ROUND((S115/7)/VLOOKUP(EOMONTH(A115,-1),Employment!A:P,16,FALSE),4)</f>
        <v>1.2199</v>
      </c>
      <c r="U115" s="18">
        <f t="shared" si="121"/>
        <v>1.2177</v>
      </c>
      <c r="V115" s="29">
        <f t="shared" si="122"/>
        <v>-5.2900000000000003E-2</v>
      </c>
      <c r="W115" s="29">
        <f t="shared" si="123"/>
        <v>5.7999999999999996E-3</v>
      </c>
      <c r="X115" s="30">
        <f t="shared" si="124"/>
        <v>151.13999999999999</v>
      </c>
      <c r="Y115" s="31">
        <f t="shared" si="125"/>
        <v>140.63</v>
      </c>
    </row>
    <row r="116" spans="1:25" x14ac:dyDescent="0.25">
      <c r="A116" s="5">
        <v>42533</v>
      </c>
      <c r="B116">
        <v>2060.2593999999999</v>
      </c>
      <c r="C116" s="29">
        <f t="shared" si="129"/>
        <v>2.8E-3</v>
      </c>
      <c r="D116">
        <v>-0.67</v>
      </c>
      <c r="E116">
        <v>-1.0660000000000001</v>
      </c>
      <c r="F116" s="18">
        <f t="shared" si="116"/>
        <v>-8.3999999999999631E-2</v>
      </c>
      <c r="G116" s="18">
        <f t="shared" si="117"/>
        <v>4.0000000000013358E-3</v>
      </c>
      <c r="H116">
        <v>5.98</v>
      </c>
      <c r="I116">
        <v>2.86</v>
      </c>
      <c r="J116">
        <f t="shared" si="126"/>
        <v>4.42</v>
      </c>
      <c r="K116" s="6">
        <f t="shared" si="127"/>
        <v>4.46</v>
      </c>
      <c r="L116" s="6">
        <f t="shared" si="128"/>
        <v>-4.0000000000000036E-2</v>
      </c>
      <c r="M116">
        <v>6.7603068456301001</v>
      </c>
      <c r="N116">
        <v>269500</v>
      </c>
      <c r="O116" s="18">
        <f>ROUND(N116/VLOOKUP(EOMONTH(A116,-1),Employment!A:P,16,FALSE),4)</f>
        <v>1.0645</v>
      </c>
      <c r="P116" s="18">
        <f t="shared" si="118"/>
        <v>1.0811999999999999</v>
      </c>
      <c r="Q116" s="29">
        <f t="shared" si="119"/>
        <v>-1.8499999999999999E-2</v>
      </c>
      <c r="R116" s="29">
        <f t="shared" si="120"/>
        <v>-1.5699999999999999E-2</v>
      </c>
      <c r="S116">
        <v>2131000</v>
      </c>
      <c r="T116" s="18">
        <f>ROUND((S116/7)/VLOOKUP(EOMONTH(A116,-1),Employment!A:P,16,FALSE),4)</f>
        <v>1.2023999999999999</v>
      </c>
      <c r="U116" s="18">
        <f t="shared" si="121"/>
        <v>1.2199</v>
      </c>
      <c r="V116" s="29">
        <f t="shared" si="122"/>
        <v>-5.1799999999999999E-2</v>
      </c>
      <c r="W116" s="29">
        <f t="shared" si="123"/>
        <v>-1.8E-3</v>
      </c>
      <c r="X116" s="30">
        <f t="shared" si="124"/>
        <v>136.19</v>
      </c>
      <c r="Y116" s="31">
        <f t="shared" si="125"/>
        <v>129.49</v>
      </c>
    </row>
    <row r="117" spans="1:25" x14ac:dyDescent="0.25">
      <c r="A117" s="5">
        <v>42526</v>
      </c>
      <c r="B117">
        <v>2060.6790999999998</v>
      </c>
      <c r="C117" s="29">
        <f t="shared" si="129"/>
        <v>4.7000000000000002E-3</v>
      </c>
      <c r="D117">
        <v>-0.68</v>
      </c>
      <c r="E117">
        <v>-1.0640000000000001</v>
      </c>
      <c r="F117" s="18">
        <f t="shared" si="116"/>
        <v>0.20800000000000018</v>
      </c>
      <c r="G117" s="18">
        <f t="shared" si="117"/>
        <v>0.70800000000000196</v>
      </c>
      <c r="H117">
        <v>6.09</v>
      </c>
      <c r="I117">
        <v>2.86</v>
      </c>
      <c r="J117">
        <f t="shared" si="126"/>
        <v>4.4800000000000004</v>
      </c>
      <c r="K117" s="6">
        <f t="shared" si="127"/>
        <v>4.5</v>
      </c>
      <c r="L117" s="6">
        <f t="shared" si="128"/>
        <v>-5.9999999999999609E-2</v>
      </c>
      <c r="M117">
        <v>6.1887266533769001</v>
      </c>
      <c r="N117">
        <v>274750</v>
      </c>
      <c r="O117" s="18">
        <f>ROUND(N117/VLOOKUP(EOMONTH(A117,-1),Employment!A:P,16,FALSE),4)</f>
        <v>1.0851999999999999</v>
      </c>
      <c r="P117" s="18">
        <f t="shared" si="118"/>
        <v>1.0888</v>
      </c>
      <c r="Q117" s="29">
        <f t="shared" si="119"/>
        <v>-1E-3</v>
      </c>
      <c r="R117" s="29">
        <f t="shared" si="120"/>
        <v>-3.5299999999999998E-2</v>
      </c>
      <c r="S117">
        <v>2181000</v>
      </c>
      <c r="T117" s="18">
        <f>ROUND((S117/7)/VLOOKUP(EOMONTH(A117,-1),Employment!A:P,16,FALSE),4)</f>
        <v>1.2306999999999999</v>
      </c>
      <c r="U117" s="18">
        <f t="shared" si="121"/>
        <v>1.2286999999999999</v>
      </c>
      <c r="V117" s="29">
        <f t="shared" si="122"/>
        <v>-3.9300000000000002E-2</v>
      </c>
      <c r="W117" s="29">
        <f t="shared" si="123"/>
        <v>-1.0999999999999999E-2</v>
      </c>
      <c r="X117" s="30">
        <f t="shared" si="124"/>
        <v>125.44</v>
      </c>
      <c r="Y117" s="31">
        <f t="shared" si="125"/>
        <v>126.23</v>
      </c>
    </row>
    <row r="118" spans="1:25" x14ac:dyDescent="0.25">
      <c r="A118" s="5">
        <v>42519</v>
      </c>
      <c r="B118">
        <v>2052.5119</v>
      </c>
      <c r="C118" s="29">
        <f t="shared" si="129"/>
        <v>2.0999999999999999E-3</v>
      </c>
      <c r="D118">
        <v>-0.68</v>
      </c>
      <c r="E118">
        <v>-1.038</v>
      </c>
      <c r="F118" s="18">
        <f t="shared" si="116"/>
        <v>-0.11999999999999922</v>
      </c>
      <c r="G118" s="18">
        <f t="shared" si="117"/>
        <v>0.36000000000000121</v>
      </c>
      <c r="H118">
        <v>6.08</v>
      </c>
      <c r="I118">
        <v>2.85</v>
      </c>
      <c r="J118">
        <f t="shared" si="126"/>
        <v>4.47</v>
      </c>
      <c r="K118" s="6">
        <f t="shared" si="127"/>
        <v>4.5599999999999996</v>
      </c>
      <c r="L118" s="6">
        <f t="shared" si="128"/>
        <v>-7.0000000000000284E-2</v>
      </c>
      <c r="M118">
        <v>6.3050535246745998</v>
      </c>
      <c r="N118">
        <v>276750</v>
      </c>
      <c r="O118" s="18">
        <f>ROUND(N118/VLOOKUP(EOMONTH(A118,-1),Employment!A:P,16,FALSE),4)</f>
        <v>1.0940000000000001</v>
      </c>
      <c r="P118" s="18">
        <f t="shared" si="118"/>
        <v>1.0828</v>
      </c>
      <c r="Q118" s="29">
        <f t="shared" si="119"/>
        <v>-6.1000000000000004E-3</v>
      </c>
      <c r="R118" s="29">
        <f t="shared" si="120"/>
        <v>-3.5099999999999999E-2</v>
      </c>
      <c r="S118">
        <v>2172000</v>
      </c>
      <c r="T118" s="18">
        <f>ROUND((S118/7)/VLOOKUP(EOMONTH(A118,-1),Employment!A:P,16,FALSE),4)</f>
        <v>1.2265999999999999</v>
      </c>
      <c r="U118" s="18">
        <f t="shared" si="121"/>
        <v>1.2294</v>
      </c>
      <c r="V118" s="29">
        <f t="shared" si="122"/>
        <v>-4.1300000000000003E-2</v>
      </c>
      <c r="W118" s="29">
        <f t="shared" si="123"/>
        <v>-1.34E-2</v>
      </c>
      <c r="X118" s="30">
        <f t="shared" si="124"/>
        <v>122.85</v>
      </c>
      <c r="Y118" s="31">
        <f t="shared" si="125"/>
        <v>133.1</v>
      </c>
    </row>
    <row r="119" spans="1:25" x14ac:dyDescent="0.25">
      <c r="A119" s="5">
        <v>42512</v>
      </c>
      <c r="B119">
        <v>2054.0974999999999</v>
      </c>
      <c r="C119" s="29">
        <f t="shared" si="129"/>
        <v>4.8999999999999998E-3</v>
      </c>
      <c r="D119">
        <v>-0.68</v>
      </c>
      <c r="E119">
        <v>-1.0529999999999999</v>
      </c>
      <c r="F119" s="18">
        <f t="shared" si="116"/>
        <v>0.62000000000000099</v>
      </c>
      <c r="G119" s="18">
        <f t="shared" si="117"/>
        <v>0.64000000000000057</v>
      </c>
      <c r="H119">
        <v>6.22</v>
      </c>
      <c r="I119">
        <v>2.86</v>
      </c>
      <c r="J119">
        <f t="shared" si="126"/>
        <v>4.54</v>
      </c>
      <c r="K119" s="6">
        <f t="shared" si="127"/>
        <v>4.63</v>
      </c>
      <c r="L119" s="6">
        <f t="shared" si="128"/>
        <v>0</v>
      </c>
      <c r="M119">
        <v>6.2283410435516</v>
      </c>
      <c r="N119">
        <v>275000</v>
      </c>
      <c r="O119" s="18">
        <f>ROUND(N119/VLOOKUP(EOMONTH(A119,-1),Employment!A:P,16,FALSE),4)</f>
        <v>1.0871</v>
      </c>
      <c r="P119" s="18">
        <f t="shared" si="118"/>
        <v>1.0647</v>
      </c>
      <c r="Q119" s="29">
        <f t="shared" si="119"/>
        <v>-3.3399999999999999E-2</v>
      </c>
      <c r="R119" s="29">
        <f t="shared" si="120"/>
        <v>-1.6400000000000001E-2</v>
      </c>
      <c r="S119">
        <v>2176000</v>
      </c>
      <c r="T119" s="18">
        <f>ROUND((S119/7)/VLOOKUP(EOMONTH(A119,-1),Employment!A:P,16,FALSE),4)</f>
        <v>1.2287999999999999</v>
      </c>
      <c r="U119" s="18">
        <f t="shared" si="121"/>
        <v>1.2237</v>
      </c>
      <c r="V119" s="29">
        <f t="shared" si="122"/>
        <v>-4.7300000000000002E-2</v>
      </c>
      <c r="W119" s="29">
        <f t="shared" si="123"/>
        <v>-1.0699999999999999E-2</v>
      </c>
      <c r="X119" s="30">
        <f t="shared" si="124"/>
        <v>136.63999999999999</v>
      </c>
      <c r="Y119" s="31">
        <f t="shared" si="125"/>
        <v>145.01</v>
      </c>
    </row>
    <row r="120" spans="1:25" x14ac:dyDescent="0.25">
      <c r="A120" s="5">
        <v>42505</v>
      </c>
      <c r="B120">
        <v>2051.0016999999998</v>
      </c>
      <c r="C120" s="29">
        <f t="shared" si="129"/>
        <v>5.3E-3</v>
      </c>
      <c r="D120">
        <v>-0.67</v>
      </c>
      <c r="E120">
        <v>-0.98799999999999999</v>
      </c>
      <c r="F120" s="18">
        <f t="shared" si="116"/>
        <v>-0.14000000000000057</v>
      </c>
      <c r="G120" s="18">
        <f t="shared" si="117"/>
        <v>0.63599999999999923</v>
      </c>
      <c r="H120">
        <v>6.41</v>
      </c>
      <c r="I120">
        <v>2.9</v>
      </c>
      <c r="J120">
        <f t="shared" si="126"/>
        <v>4.66</v>
      </c>
      <c r="K120" s="6">
        <f t="shared" si="127"/>
        <v>4.63</v>
      </c>
      <c r="L120" s="6">
        <f t="shared" si="128"/>
        <v>1.9999999999999574E-2</v>
      </c>
      <c r="M120">
        <v>6.3173577234509004</v>
      </c>
      <c r="N120">
        <v>270000</v>
      </c>
      <c r="O120" s="18">
        <f>ROUND(N120/VLOOKUP(EOMONTH(A120,-1),Employment!A:P,16,FALSE),4)</f>
        <v>1.0672999999999999</v>
      </c>
      <c r="P120" s="18">
        <f t="shared" si="118"/>
        <v>1.0471999999999999</v>
      </c>
      <c r="Q120" s="29">
        <f t="shared" si="119"/>
        <v>-6.8199999999999997E-2</v>
      </c>
      <c r="R120" s="29">
        <f t="shared" si="120"/>
        <v>3.5000000000000001E-3</v>
      </c>
      <c r="S120">
        <v>2183000</v>
      </c>
      <c r="T120" s="18">
        <f>ROUND((S120/7)/VLOOKUP(EOMONTH(A120,-1),Employment!A:P,16,FALSE),4)</f>
        <v>1.2327999999999999</v>
      </c>
      <c r="U120" s="18">
        <f t="shared" si="121"/>
        <v>1.2165999999999999</v>
      </c>
      <c r="V120" s="29">
        <f t="shared" si="122"/>
        <v>-5.6800000000000003E-2</v>
      </c>
      <c r="W120" s="29">
        <f t="shared" si="123"/>
        <v>-1.5E-3</v>
      </c>
      <c r="X120" s="30">
        <f t="shared" si="124"/>
        <v>149.88999999999999</v>
      </c>
      <c r="Y120" s="31">
        <f t="shared" si="125"/>
        <v>150.5</v>
      </c>
    </row>
    <row r="121" spans="1:25" x14ac:dyDescent="0.25">
      <c r="A121" s="5">
        <v>42498</v>
      </c>
      <c r="B121">
        <v>2046.2904000000001</v>
      </c>
      <c r="C121" s="29">
        <f t="shared" si="129"/>
        <v>5.1999999999999998E-3</v>
      </c>
      <c r="D121">
        <v>-0.66</v>
      </c>
      <c r="E121">
        <v>-1.018</v>
      </c>
      <c r="F121" s="18">
        <f t="shared" si="116"/>
        <v>0.16000000000000014</v>
      </c>
      <c r="G121" s="18">
        <f t="shared" si="117"/>
        <v>1.0279999999999987</v>
      </c>
      <c r="H121">
        <v>6.48</v>
      </c>
      <c r="I121">
        <v>2.87</v>
      </c>
      <c r="J121">
        <f t="shared" si="126"/>
        <v>4.68</v>
      </c>
      <c r="K121" s="6">
        <f t="shared" si="127"/>
        <v>4.6100000000000003</v>
      </c>
      <c r="L121" s="6">
        <f t="shared" si="128"/>
        <v>-4.0000000000000036E-2</v>
      </c>
      <c r="M121">
        <v>5.8101602139819999</v>
      </c>
      <c r="N121">
        <v>263000</v>
      </c>
      <c r="O121" s="18">
        <f>ROUND(N121/VLOOKUP(EOMONTH(A121,-1),Employment!A:P,16,FALSE),4)</f>
        <v>1.0397000000000001</v>
      </c>
      <c r="P121" s="18">
        <f t="shared" si="118"/>
        <v>1.0412999999999999</v>
      </c>
      <c r="Q121" s="29">
        <f t="shared" si="119"/>
        <v>-8.5500000000000007E-2</v>
      </c>
      <c r="R121" s="29">
        <f t="shared" si="120"/>
        <v>6.8999999999999999E-3</v>
      </c>
      <c r="S121">
        <v>2142000</v>
      </c>
      <c r="T121" s="18">
        <f>ROUND((S121/7)/VLOOKUP(EOMONTH(A121,-1),Employment!A:P,16,FALSE),4)</f>
        <v>1.2096</v>
      </c>
      <c r="U121" s="18">
        <f t="shared" si="121"/>
        <v>1.2111000000000001</v>
      </c>
      <c r="V121" s="29">
        <f t="shared" si="122"/>
        <v>-7.1999999999999995E-2</v>
      </c>
      <c r="W121" s="29">
        <f t="shared" si="123"/>
        <v>1.9E-3</v>
      </c>
      <c r="X121" s="30">
        <f t="shared" si="124"/>
        <v>153.72</v>
      </c>
      <c r="Y121" s="31">
        <f t="shared" si="125"/>
        <v>145.13</v>
      </c>
    </row>
    <row r="122" spans="1:25" x14ac:dyDescent="0.25">
      <c r="A122" s="5">
        <v>42491</v>
      </c>
      <c r="B122">
        <v>2041.8492000000001</v>
      </c>
      <c r="C122" s="29">
        <f t="shared" si="129"/>
        <v>5.0000000000000001E-3</v>
      </c>
      <c r="D122">
        <v>-0.66</v>
      </c>
      <c r="E122">
        <v>-0.998</v>
      </c>
      <c r="F122" s="18">
        <f t="shared" si="116"/>
        <v>0.61599999999999966</v>
      </c>
      <c r="G122" s="18">
        <f t="shared" si="117"/>
        <v>1.0239999999999991</v>
      </c>
      <c r="H122">
        <v>6.24</v>
      </c>
      <c r="I122">
        <v>2.86</v>
      </c>
      <c r="J122">
        <f t="shared" si="126"/>
        <v>4.55</v>
      </c>
      <c r="K122" s="6">
        <f t="shared" si="127"/>
        <v>4.6500000000000004</v>
      </c>
      <c r="L122" s="6">
        <f t="shared" si="128"/>
        <v>-0.16999999999999993</v>
      </c>
      <c r="M122">
        <v>4.6954241783343997</v>
      </c>
      <c r="N122">
        <v>261750</v>
      </c>
      <c r="O122" s="18">
        <f>ROUND(N122/VLOOKUP(EOMONTH(A122,-1),Employment!A:P,16,FALSE),4)</f>
        <v>1.0347</v>
      </c>
      <c r="P122" s="18">
        <f t="shared" si="118"/>
        <v>1.0490999999999999</v>
      </c>
      <c r="Q122" s="29">
        <f t="shared" si="119"/>
        <v>-8.1100000000000005E-2</v>
      </c>
      <c r="R122" s="29">
        <f t="shared" si="120"/>
        <v>-6.1999999999999998E-3</v>
      </c>
      <c r="S122">
        <v>2138000</v>
      </c>
      <c r="T122" s="18">
        <f>ROUND((S122/7)/VLOOKUP(EOMONTH(A122,-1),Employment!A:P,16,FALSE),4)</f>
        <v>1.2074</v>
      </c>
      <c r="U122" s="18">
        <f t="shared" si="121"/>
        <v>1.2174</v>
      </c>
      <c r="V122" s="29">
        <f t="shared" si="122"/>
        <v>-7.0900000000000005E-2</v>
      </c>
      <c r="W122" s="29">
        <f t="shared" si="123"/>
        <v>-2.8E-3</v>
      </c>
      <c r="X122" s="30">
        <f t="shared" si="124"/>
        <v>143.99</v>
      </c>
      <c r="Y122" s="31">
        <f t="shared" si="125"/>
        <v>133.16</v>
      </c>
    </row>
    <row r="123" spans="1:25" x14ac:dyDescent="0.25">
      <c r="A123" s="5">
        <v>42484</v>
      </c>
      <c r="B123">
        <v>2036.9947</v>
      </c>
      <c r="C123" s="29">
        <f t="shared" si="129"/>
        <v>4.3E-3</v>
      </c>
      <c r="D123">
        <v>-0.64</v>
      </c>
      <c r="E123">
        <v>-0.94599999999999995</v>
      </c>
      <c r="F123" s="18">
        <f t="shared" si="116"/>
        <v>0.25199999999999889</v>
      </c>
      <c r="G123" s="18">
        <f t="shared" si="117"/>
        <v>-4.0000000000000924E-2</v>
      </c>
      <c r="H123">
        <v>6.29</v>
      </c>
      <c r="I123">
        <v>2.89</v>
      </c>
      <c r="J123">
        <f t="shared" si="126"/>
        <v>4.59</v>
      </c>
      <c r="K123" s="6">
        <f t="shared" si="127"/>
        <v>4.82</v>
      </c>
      <c r="L123" s="6">
        <f t="shared" si="128"/>
        <v>-0.16000000000000014</v>
      </c>
      <c r="M123">
        <v>3.6539378467241002</v>
      </c>
      <c r="N123">
        <v>265250</v>
      </c>
      <c r="O123" s="18">
        <f>ROUND(N123/VLOOKUP(EOMONTH(A123,-1),Employment!A:P,16,FALSE),4)</f>
        <v>1.0494000000000001</v>
      </c>
      <c r="P123" s="18">
        <f t="shared" si="118"/>
        <v>1.0606</v>
      </c>
      <c r="Q123" s="29">
        <f t="shared" si="119"/>
        <v>-6.7699999999999996E-2</v>
      </c>
      <c r="R123" s="29">
        <f t="shared" si="120"/>
        <v>-2.29E-2</v>
      </c>
      <c r="S123">
        <v>2152000</v>
      </c>
      <c r="T123" s="18">
        <f>ROUND((S123/7)/VLOOKUP(EOMONTH(A123,-1),Employment!A:P,16,FALSE),4)</f>
        <v>1.2161999999999999</v>
      </c>
      <c r="U123" s="18">
        <f t="shared" si="121"/>
        <v>1.2258</v>
      </c>
      <c r="V123" s="29">
        <f t="shared" si="122"/>
        <v>-6.6799999999999998E-2</v>
      </c>
      <c r="W123" s="29">
        <f t="shared" si="123"/>
        <v>-9.9000000000000008E-3</v>
      </c>
      <c r="X123" s="30">
        <f t="shared" si="124"/>
        <v>126.52000000000001</v>
      </c>
      <c r="Y123" s="31">
        <f t="shared" si="125"/>
        <v>125.69</v>
      </c>
    </row>
    <row r="124" spans="1:25" x14ac:dyDescent="0.25">
      <c r="A124" s="5">
        <v>42477</v>
      </c>
      <c r="B124">
        <v>2035.3244</v>
      </c>
      <c r="C124" s="29">
        <f t="shared" si="129"/>
        <v>5.4999999999999997E-3</v>
      </c>
      <c r="D124">
        <v>-0.65</v>
      </c>
      <c r="E124">
        <v>-0.90200000000000002</v>
      </c>
      <c r="F124" s="18">
        <f t="shared" si="116"/>
        <v>0.15600000000000058</v>
      </c>
      <c r="G124" s="18">
        <f t="shared" si="117"/>
        <v>0.21199999999999974</v>
      </c>
      <c r="H124">
        <v>6.62</v>
      </c>
      <c r="I124">
        <v>2.99</v>
      </c>
      <c r="J124">
        <f t="shared" si="126"/>
        <v>4.8099999999999996</v>
      </c>
      <c r="K124" s="6">
        <f t="shared" si="127"/>
        <v>4.9800000000000004</v>
      </c>
      <c r="L124" s="6">
        <f t="shared" si="128"/>
        <v>-5.9999999999999609E-2</v>
      </c>
      <c r="M124">
        <v>2.5046609872748999</v>
      </c>
      <c r="N124">
        <v>268750</v>
      </c>
      <c r="O124" s="18">
        <f>ROUND(N124/VLOOKUP(EOMONTH(A124,-1),Employment!A:P,16,FALSE),4)</f>
        <v>1.0631999999999999</v>
      </c>
      <c r="P124" s="18">
        <f t="shared" si="118"/>
        <v>1.0642</v>
      </c>
      <c r="Q124" s="29">
        <f t="shared" si="119"/>
        <v>-6.4500000000000002E-2</v>
      </c>
      <c r="R124" s="29">
        <f t="shared" si="120"/>
        <v>-2.6599999999999999E-2</v>
      </c>
      <c r="S124">
        <v>2174000</v>
      </c>
      <c r="T124" s="18">
        <f>ROUND((S124/7)/VLOOKUP(EOMONTH(A124,-1),Employment!A:P,16,FALSE),4)</f>
        <v>1.2286999999999999</v>
      </c>
      <c r="U124" s="18">
        <f t="shared" si="121"/>
        <v>1.2282999999999999</v>
      </c>
      <c r="V124" s="29">
        <f t="shared" si="122"/>
        <v>-6.3100000000000003E-2</v>
      </c>
      <c r="W124" s="29">
        <f t="shared" si="123"/>
        <v>-8.6E-3</v>
      </c>
      <c r="X124" s="30">
        <f t="shared" si="124"/>
        <v>122.71000000000001</v>
      </c>
      <c r="Y124" s="31">
        <f t="shared" si="125"/>
        <v>130.29</v>
      </c>
    </row>
    <row r="125" spans="1:25" x14ac:dyDescent="0.25">
      <c r="A125" s="5">
        <v>42470</v>
      </c>
      <c r="B125">
        <v>2028.8481999999999</v>
      </c>
      <c r="C125" s="29">
        <f t="shared" si="129"/>
        <v>4.0000000000000001E-3</v>
      </c>
      <c r="D125">
        <v>-0.64</v>
      </c>
      <c r="E125">
        <v>-0.89500000000000002</v>
      </c>
      <c r="F125" s="18">
        <f t="shared" si="116"/>
        <v>-0.4480000000000004</v>
      </c>
      <c r="G125" s="18">
        <f t="shared" si="117"/>
        <v>1.104000000000001</v>
      </c>
      <c r="H125">
        <v>7.03</v>
      </c>
      <c r="I125">
        <v>3.07</v>
      </c>
      <c r="J125">
        <f t="shared" si="126"/>
        <v>5.05</v>
      </c>
      <c r="K125" s="6">
        <f t="shared" si="127"/>
        <v>5.04</v>
      </c>
      <c r="L125" s="6">
        <f t="shared" si="128"/>
        <v>3.0000000000000249E-2</v>
      </c>
      <c r="M125">
        <v>1.4898710387527001</v>
      </c>
      <c r="N125">
        <v>270250</v>
      </c>
      <c r="O125" s="18">
        <f>ROUND(N125/VLOOKUP(EOMONTH(A125,-1),Employment!A:P,16,FALSE),4)</f>
        <v>1.0691999999999999</v>
      </c>
      <c r="P125" s="18">
        <f t="shared" si="118"/>
        <v>1.0609</v>
      </c>
      <c r="Q125" s="29">
        <f t="shared" si="119"/>
        <v>-8.3000000000000004E-2</v>
      </c>
      <c r="R125" s="29">
        <f t="shared" si="120"/>
        <v>-1.41E-2</v>
      </c>
      <c r="S125">
        <v>2181000</v>
      </c>
      <c r="T125" s="18">
        <f>ROUND((S125/7)/VLOOKUP(EOMONTH(A125,-1),Employment!A:P,16,FALSE),4)</f>
        <v>1.2325999999999999</v>
      </c>
      <c r="U125" s="18">
        <f t="shared" si="121"/>
        <v>1.2301</v>
      </c>
      <c r="V125" s="29">
        <f t="shared" si="122"/>
        <v>-7.4999999999999997E-2</v>
      </c>
      <c r="W125" s="29">
        <f t="shared" si="123"/>
        <v>-1.2999999999999999E-3</v>
      </c>
      <c r="X125" s="30">
        <f t="shared" si="124"/>
        <v>131.06</v>
      </c>
      <c r="Y125" s="31">
        <f t="shared" si="125"/>
        <v>142.85</v>
      </c>
    </row>
    <row r="126" spans="1:25" x14ac:dyDescent="0.25">
      <c r="A126" s="5">
        <v>42463</v>
      </c>
      <c r="B126">
        <v>2025.5429999999999</v>
      </c>
      <c r="C126" s="29">
        <f t="shared" si="129"/>
        <v>6.8999999999999999E-3</v>
      </c>
      <c r="D126">
        <v>-0.66</v>
      </c>
      <c r="E126">
        <v>-0.92600000000000005</v>
      </c>
      <c r="F126" s="18">
        <f t="shared" si="116"/>
        <v>0.50399999999999956</v>
      </c>
      <c r="G126" s="18">
        <f t="shared" si="117"/>
        <v>1.9240000000000013</v>
      </c>
      <c r="H126">
        <v>7.05</v>
      </c>
      <c r="I126">
        <v>3.1</v>
      </c>
      <c r="J126">
        <f t="shared" si="126"/>
        <v>5.08</v>
      </c>
      <c r="K126" s="6">
        <f t="shared" si="127"/>
        <v>5.01</v>
      </c>
      <c r="L126" s="6">
        <f t="shared" si="128"/>
        <v>1.9999999999999574E-2</v>
      </c>
      <c r="M126">
        <v>0.45839156719376001</v>
      </c>
      <c r="N126">
        <v>268000</v>
      </c>
      <c r="O126" s="18">
        <f>ROUND(N126/VLOOKUP(EOMONTH(A126,-1),Employment!A:P,16,FALSE),4)</f>
        <v>1.0603</v>
      </c>
      <c r="P126" s="18">
        <f t="shared" si="118"/>
        <v>1.0551999999999999</v>
      </c>
      <c r="Q126" s="29">
        <f t="shared" si="119"/>
        <v>-0.1069</v>
      </c>
      <c r="R126" s="29">
        <f t="shared" si="120"/>
        <v>5.4999999999999997E-3</v>
      </c>
      <c r="S126">
        <v>2165000</v>
      </c>
      <c r="T126" s="18">
        <f>ROUND((S126/7)/VLOOKUP(EOMONTH(A126,-1),Employment!A:P,16,FALSE),4)</f>
        <v>1.2236</v>
      </c>
      <c r="U126" s="18">
        <f t="shared" si="121"/>
        <v>1.2351000000000001</v>
      </c>
      <c r="V126" s="29">
        <f t="shared" si="122"/>
        <v>-8.2400000000000001E-2</v>
      </c>
      <c r="W126" s="29">
        <f t="shared" si="123"/>
        <v>6.4000000000000003E-3</v>
      </c>
      <c r="X126" s="30">
        <f t="shared" si="124"/>
        <v>147.31</v>
      </c>
      <c r="Y126" s="31">
        <f t="shared" si="125"/>
        <v>156.1</v>
      </c>
    </row>
    <row r="127" spans="1:25" x14ac:dyDescent="0.25">
      <c r="A127" s="5">
        <v>42456</v>
      </c>
      <c r="B127">
        <v>2023.2393999999999</v>
      </c>
      <c r="C127" s="29">
        <f t="shared" si="129"/>
        <v>1.04E-2</v>
      </c>
      <c r="D127">
        <v>-0.66</v>
      </c>
      <c r="E127">
        <v>-0.86299999999999999</v>
      </c>
      <c r="F127" s="18">
        <f t="shared" si="116"/>
        <v>1.0480000000000018</v>
      </c>
      <c r="G127" s="18">
        <f t="shared" si="117"/>
        <v>2.5760000000000005</v>
      </c>
      <c r="H127">
        <v>6.93</v>
      </c>
      <c r="I127">
        <v>3.06</v>
      </c>
      <c r="J127">
        <f t="shared" si="126"/>
        <v>5</v>
      </c>
      <c r="K127" s="6">
        <f t="shared" si="127"/>
        <v>4.99</v>
      </c>
      <c r="L127" s="6">
        <f t="shared" si="128"/>
        <v>-8.9999999999999858E-2</v>
      </c>
      <c r="M127">
        <v>-1.0722514618004999</v>
      </c>
      <c r="N127">
        <v>266000</v>
      </c>
      <c r="O127" s="18">
        <f>ROUND(N127/VLOOKUP(EOMONTH(A127,-1),Employment!A:P,16,FALSE),4)</f>
        <v>1.0530999999999999</v>
      </c>
      <c r="P127" s="18">
        <f t="shared" si="118"/>
        <v>1.0538000000000001</v>
      </c>
      <c r="Q127" s="29">
        <f t="shared" si="119"/>
        <v>-0.1229</v>
      </c>
      <c r="R127" s="29">
        <f t="shared" si="120"/>
        <v>2.4299999999999999E-2</v>
      </c>
      <c r="S127">
        <v>2182000</v>
      </c>
      <c r="T127" s="18">
        <f>ROUND((S127/7)/VLOOKUP(EOMONTH(A127,-1),Employment!A:P,16,FALSE),4)</f>
        <v>1.2341</v>
      </c>
      <c r="U127" s="18">
        <f t="shared" si="121"/>
        <v>1.2396</v>
      </c>
      <c r="V127" s="29">
        <f t="shared" si="122"/>
        <v>-8.7099999999999997E-2</v>
      </c>
      <c r="W127" s="29">
        <f t="shared" si="123"/>
        <v>1.01E-2</v>
      </c>
      <c r="X127" s="30">
        <f t="shared" si="124"/>
        <v>161.18</v>
      </c>
      <c r="Y127" s="31">
        <f t="shared" si="125"/>
        <v>163.25</v>
      </c>
    </row>
    <row r="128" spans="1:25" x14ac:dyDescent="0.25">
      <c r="A128" s="5">
        <v>42449</v>
      </c>
      <c r="B128">
        <v>2018.8543999999999</v>
      </c>
      <c r="C128" s="29">
        <f t="shared" si="129"/>
        <v>1.2699999999999999E-2</v>
      </c>
      <c r="D128">
        <v>-0.64</v>
      </c>
      <c r="E128">
        <v>-0.75700000000000001</v>
      </c>
      <c r="F128" s="18">
        <f t="shared" si="116"/>
        <v>0.37199999999999989</v>
      </c>
      <c r="G128" s="18">
        <f t="shared" si="117"/>
        <v>2.5199999999999996</v>
      </c>
      <c r="H128">
        <v>6.71</v>
      </c>
      <c r="I128">
        <v>3.17</v>
      </c>
      <c r="J128">
        <f t="shared" si="126"/>
        <v>4.9400000000000004</v>
      </c>
      <c r="K128" s="6">
        <f t="shared" si="127"/>
        <v>5.08</v>
      </c>
      <c r="L128" s="6">
        <f t="shared" si="128"/>
        <v>-0.25</v>
      </c>
      <c r="M128">
        <v>-2.3882451145732002</v>
      </c>
      <c r="N128">
        <v>265750</v>
      </c>
      <c r="O128" s="18">
        <f>ROUND(N128/VLOOKUP(EOMONTH(A128,-1),Employment!A:P,16,FALSE),4)</f>
        <v>1.0522</v>
      </c>
      <c r="P128" s="18">
        <f t="shared" si="118"/>
        <v>1.0558000000000001</v>
      </c>
      <c r="Q128" s="29">
        <f t="shared" si="119"/>
        <v>-0.1242</v>
      </c>
      <c r="R128" s="29">
        <f t="shared" si="120"/>
        <v>3.3799999999999997E-2</v>
      </c>
      <c r="S128">
        <v>2206000</v>
      </c>
      <c r="T128" s="18">
        <f>ROUND((S128/7)/VLOOKUP(EOMONTH(A128,-1),Employment!A:P,16,FALSE),4)</f>
        <v>1.2477</v>
      </c>
      <c r="U128" s="18">
        <f t="shared" si="121"/>
        <v>1.2446999999999999</v>
      </c>
      <c r="V128" s="29">
        <f t="shared" si="122"/>
        <v>-8.0799999999999997E-2</v>
      </c>
      <c r="W128" s="29">
        <f t="shared" si="123"/>
        <v>8.9999999999999993E-3</v>
      </c>
      <c r="X128" s="30">
        <f t="shared" si="124"/>
        <v>165.4</v>
      </c>
      <c r="Y128" s="31">
        <f t="shared" si="125"/>
        <v>159.68</v>
      </c>
    </row>
    <row r="129" spans="1:25" x14ac:dyDescent="0.25">
      <c r="A129" s="5">
        <v>42442</v>
      </c>
      <c r="B129">
        <v>2015.1994999999999</v>
      </c>
      <c r="C129" s="29">
        <f t="shared" si="129"/>
        <v>1.3899999999999999E-2</v>
      </c>
      <c r="D129">
        <v>-0.63</v>
      </c>
      <c r="E129">
        <v>-0.72299999999999998</v>
      </c>
      <c r="F129" s="18">
        <f t="shared" si="116"/>
        <v>1.1559999999999988</v>
      </c>
      <c r="G129" s="18">
        <f t="shared" si="117"/>
        <v>3.2279999999999998</v>
      </c>
      <c r="H129">
        <v>6.82</v>
      </c>
      <c r="I129">
        <v>3.26</v>
      </c>
      <c r="J129">
        <f t="shared" si="126"/>
        <v>5.04</v>
      </c>
      <c r="K129" s="6">
        <f t="shared" si="127"/>
        <v>5.33</v>
      </c>
      <c r="L129" s="6">
        <f t="shared" si="128"/>
        <v>-0.28000000000000025</v>
      </c>
      <c r="M129">
        <v>-3.7202416858788001</v>
      </c>
      <c r="N129">
        <v>266750</v>
      </c>
      <c r="O129" s="18">
        <f>ROUND(N129/VLOOKUP(EOMONTH(A129,-1),Employment!A:P,16,FALSE),4)</f>
        <v>1.0561</v>
      </c>
      <c r="P129" s="18">
        <f t="shared" si="118"/>
        <v>1.0656000000000001</v>
      </c>
      <c r="Q129" s="29">
        <f t="shared" si="119"/>
        <v>-0.1084</v>
      </c>
      <c r="R129" s="29">
        <f t="shared" si="120"/>
        <v>3.1600000000000003E-2</v>
      </c>
      <c r="S129">
        <v>2187000</v>
      </c>
      <c r="T129" s="18">
        <f>ROUND((S129/7)/VLOOKUP(EOMONTH(A129,-1),Employment!A:P,16,FALSE),4)</f>
        <v>1.2370000000000001</v>
      </c>
      <c r="U129" s="18">
        <f t="shared" si="121"/>
        <v>1.2476</v>
      </c>
      <c r="V129" s="29">
        <f t="shared" si="122"/>
        <v>-7.46E-2</v>
      </c>
      <c r="W129" s="29">
        <f t="shared" si="123"/>
        <v>6.4000000000000003E-3</v>
      </c>
      <c r="X129" s="30">
        <f t="shared" si="124"/>
        <v>163.06</v>
      </c>
      <c r="Y129" s="31">
        <f t="shared" si="125"/>
        <v>144.79</v>
      </c>
    </row>
    <row r="130" spans="1:25" x14ac:dyDescent="0.25">
      <c r="A130" s="5">
        <v>42435</v>
      </c>
      <c r="B130">
        <v>1989.3793000000001</v>
      </c>
      <c r="C130" s="29">
        <f t="shared" si="129"/>
        <v>2.5000000000000001E-3</v>
      </c>
      <c r="D130">
        <v>-0.6</v>
      </c>
      <c r="E130">
        <v>-0.61599999999999999</v>
      </c>
      <c r="F130" s="18">
        <f t="shared" si="116"/>
        <v>0.99200000000000088</v>
      </c>
      <c r="G130" s="18">
        <f t="shared" si="117"/>
        <v>0.34000000000000163</v>
      </c>
      <c r="H130">
        <v>7.08</v>
      </c>
      <c r="I130">
        <v>3.43</v>
      </c>
      <c r="J130">
        <f t="shared" si="126"/>
        <v>5.26</v>
      </c>
      <c r="K130" s="6">
        <f t="shared" si="127"/>
        <v>5.61</v>
      </c>
      <c r="L130" s="6">
        <f t="shared" si="128"/>
        <v>-0.29000000000000004</v>
      </c>
      <c r="M130">
        <v>-3.9927515676044001</v>
      </c>
      <c r="N130">
        <v>267500</v>
      </c>
      <c r="O130" s="18">
        <f>ROUND(N130/VLOOKUP(EOMONTH(A130,-1),Employment!A:P,16,FALSE),4)</f>
        <v>1.0590999999999999</v>
      </c>
      <c r="P130" s="18">
        <f t="shared" si="118"/>
        <v>1.0728</v>
      </c>
      <c r="Q130" s="29">
        <f t="shared" si="119"/>
        <v>-8.4699999999999998E-2</v>
      </c>
      <c r="R130" s="29">
        <f t="shared" si="120"/>
        <v>1.8599999999999998E-2</v>
      </c>
      <c r="S130">
        <v>2209000</v>
      </c>
      <c r="T130" s="18">
        <f>ROUND((S130/7)/VLOOKUP(EOMONTH(A130,-1),Employment!A:P,16,FALSE),4)</f>
        <v>1.2494000000000001</v>
      </c>
      <c r="U130" s="18">
        <f t="shared" si="121"/>
        <v>1.2548999999999999</v>
      </c>
      <c r="V130" s="29">
        <f t="shared" si="122"/>
        <v>-6.6799999999999998E-2</v>
      </c>
      <c r="W130" s="29">
        <f t="shared" si="123"/>
        <v>-4.0000000000000002E-4</v>
      </c>
      <c r="X130" s="30">
        <f t="shared" si="124"/>
        <v>136.92000000000002</v>
      </c>
      <c r="Y130" s="31">
        <f t="shared" si="125"/>
        <v>125.04</v>
      </c>
    </row>
    <row r="131" spans="1:25" x14ac:dyDescent="0.25">
      <c r="A131" s="5">
        <v>42428</v>
      </c>
      <c r="B131">
        <v>1985.951</v>
      </c>
      <c r="C131" s="29">
        <f t="shared" si="129"/>
        <v>3.0000000000000001E-3</v>
      </c>
      <c r="D131">
        <v>-0.57999999999999996</v>
      </c>
      <c r="E131">
        <v>-0.51700000000000002</v>
      </c>
      <c r="F131" s="18">
        <f t="shared" si="116"/>
        <v>1.08</v>
      </c>
      <c r="G131" s="18">
        <f t="shared" si="117"/>
        <v>-0.73999999999999844</v>
      </c>
      <c r="H131">
        <v>7.8</v>
      </c>
      <c r="I131">
        <v>3.56</v>
      </c>
      <c r="J131">
        <f t="shared" si="126"/>
        <v>5.68</v>
      </c>
      <c r="K131" s="6">
        <f t="shared" si="127"/>
        <v>5.9</v>
      </c>
      <c r="L131" s="6">
        <f t="shared" si="128"/>
        <v>-4.0000000000000036E-2</v>
      </c>
      <c r="M131">
        <v>-4.0073837466597002</v>
      </c>
      <c r="N131">
        <v>273000</v>
      </c>
      <c r="O131" s="18">
        <f>ROUND(N131/VLOOKUP(EOMONTH(A131,-1),Employment!A:P,16,FALSE),4)</f>
        <v>1.0815999999999999</v>
      </c>
      <c r="P131" s="18">
        <f t="shared" si="118"/>
        <v>1.0866</v>
      </c>
      <c r="Q131" s="29">
        <f t="shared" si="119"/>
        <v>-5.6300000000000003E-2</v>
      </c>
      <c r="R131" s="29">
        <f t="shared" si="120"/>
        <v>1.4E-3</v>
      </c>
      <c r="S131">
        <v>2220000</v>
      </c>
      <c r="T131" s="18">
        <f>ROUND((S131/7)/VLOOKUP(EOMONTH(A131,-1),Employment!A:P,16,FALSE),4)</f>
        <v>1.2565</v>
      </c>
      <c r="U131" s="18">
        <f t="shared" si="121"/>
        <v>1.2571000000000001</v>
      </c>
      <c r="V131" s="29">
        <f t="shared" si="122"/>
        <v>-6.0199999999999997E-2</v>
      </c>
      <c r="W131" s="29">
        <f t="shared" si="123"/>
        <v>-5.1999999999999998E-3</v>
      </c>
      <c r="X131" s="30">
        <f t="shared" si="124"/>
        <v>118.78999999999999</v>
      </c>
      <c r="Y131" s="31">
        <f t="shared" si="125"/>
        <v>115.67</v>
      </c>
    </row>
    <row r="132" spans="1:25" x14ac:dyDescent="0.25">
      <c r="A132" s="5">
        <v>42421</v>
      </c>
      <c r="B132">
        <v>1983.8929000000001</v>
      </c>
      <c r="C132" s="29">
        <f t="shared" si="129"/>
        <v>5.4999999999999997E-3</v>
      </c>
      <c r="D132">
        <v>-0.56000000000000005</v>
      </c>
      <c r="E132">
        <v>-0.40699999999999997</v>
      </c>
      <c r="F132" s="18">
        <f t="shared" si="116"/>
        <v>-1.7319999999999993</v>
      </c>
      <c r="G132" s="18">
        <f t="shared" si="117"/>
        <v>-0.75599999999999845</v>
      </c>
      <c r="H132">
        <v>8.23</v>
      </c>
      <c r="I132">
        <v>3.56</v>
      </c>
      <c r="J132">
        <f t="shared" si="126"/>
        <v>5.9</v>
      </c>
      <c r="K132" s="6">
        <f t="shared" si="127"/>
        <v>5.94</v>
      </c>
      <c r="L132" s="6">
        <f t="shared" si="128"/>
        <v>9.0000000000000746E-2</v>
      </c>
      <c r="M132">
        <v>-3.5086908080704999</v>
      </c>
      <c r="N132">
        <v>272000</v>
      </c>
      <c r="O132" s="18">
        <f>ROUND(N132/VLOOKUP(EOMONTH(A132,-1),Employment!A:P,16,FALSE),4)</f>
        <v>1.0777000000000001</v>
      </c>
      <c r="P132" s="18">
        <f t="shared" si="118"/>
        <v>1.0971</v>
      </c>
      <c r="Q132" s="29">
        <f t="shared" si="119"/>
        <v>-3.8699999999999998E-2</v>
      </c>
      <c r="R132" s="29">
        <f t="shared" si="120"/>
        <v>-9.5999999999999992E-3</v>
      </c>
      <c r="S132">
        <v>2224000</v>
      </c>
      <c r="T132" s="18">
        <f>ROUND((S132/7)/VLOOKUP(EOMONTH(A132,-1),Employment!A:P,16,FALSE),4)</f>
        <v>1.2587999999999999</v>
      </c>
      <c r="U132" s="18">
        <f t="shared" si="121"/>
        <v>1.2575000000000001</v>
      </c>
      <c r="V132" s="29">
        <f t="shared" si="122"/>
        <v>-6.13E-2</v>
      </c>
      <c r="W132" s="29">
        <f t="shared" si="123"/>
        <v>-1.18E-2</v>
      </c>
      <c r="X132" s="30">
        <f t="shared" si="124"/>
        <v>110.97999999999999</v>
      </c>
      <c r="Y132" s="31">
        <f t="shared" si="125"/>
        <v>116.12</v>
      </c>
    </row>
    <row r="133" spans="1:25" x14ac:dyDescent="0.25">
      <c r="A133" s="5">
        <v>42414</v>
      </c>
      <c r="B133">
        <v>1991.1276</v>
      </c>
      <c r="C133" s="29">
        <f t="shared" si="129"/>
        <v>1.3100000000000001E-2</v>
      </c>
      <c r="D133">
        <v>-0.56999999999999995</v>
      </c>
      <c r="E133">
        <v>-0.61099999999999999</v>
      </c>
      <c r="F133" s="18">
        <f t="shared" si="116"/>
        <v>-8.799999999999919E-2</v>
      </c>
      <c r="G133" s="18">
        <f t="shared" si="117"/>
        <v>0.4399999999999995</v>
      </c>
      <c r="H133">
        <v>8.64</v>
      </c>
      <c r="I133">
        <v>3.6</v>
      </c>
      <c r="J133">
        <f t="shared" si="126"/>
        <v>6.12</v>
      </c>
      <c r="K133" s="6">
        <f t="shared" si="127"/>
        <v>5.85</v>
      </c>
      <c r="L133" s="6">
        <f t="shared" si="128"/>
        <v>0.15999999999999925</v>
      </c>
      <c r="M133">
        <v>-2.8814037357485001</v>
      </c>
      <c r="N133">
        <v>277750</v>
      </c>
      <c r="O133" s="18">
        <f>ROUND(N133/VLOOKUP(EOMONTH(A133,-1),Employment!A:P,16,FALSE),4)</f>
        <v>1.1004</v>
      </c>
      <c r="P133" s="18">
        <f t="shared" si="118"/>
        <v>1.1060000000000001</v>
      </c>
      <c r="Q133" s="29">
        <f t="shared" si="119"/>
        <v>-3.6600000000000001E-2</v>
      </c>
      <c r="R133" s="29">
        <f t="shared" si="120"/>
        <v>-1.17E-2</v>
      </c>
      <c r="S133">
        <v>2219000</v>
      </c>
      <c r="T133" s="18">
        <f>ROUND((S133/7)/VLOOKUP(EOMONTH(A133,-1),Employment!A:P,16,FALSE),4)</f>
        <v>1.256</v>
      </c>
      <c r="U133" s="18">
        <f t="shared" si="121"/>
        <v>1.2596000000000001</v>
      </c>
      <c r="V133" s="29">
        <f t="shared" si="122"/>
        <v>-5.8500000000000003E-2</v>
      </c>
      <c r="W133" s="29">
        <f t="shared" si="123"/>
        <v>-1.0500000000000001E-2</v>
      </c>
      <c r="X133" s="30">
        <f t="shared" si="124"/>
        <v>119.58</v>
      </c>
      <c r="Y133" s="31">
        <f t="shared" si="125"/>
        <v>119.17</v>
      </c>
    </row>
    <row r="134" spans="1:25" x14ac:dyDescent="0.25">
      <c r="A134" s="5">
        <v>42407</v>
      </c>
      <c r="B134">
        <v>1976.9365</v>
      </c>
      <c r="C134" s="29">
        <f t="shared" si="129"/>
        <v>8.2000000000000007E-3</v>
      </c>
      <c r="D134">
        <v>-0.56999999999999995</v>
      </c>
      <c r="E134">
        <v>-0.622</v>
      </c>
      <c r="F134" s="18">
        <f t="shared" si="116"/>
        <v>1.0640000000000001</v>
      </c>
      <c r="G134" s="18">
        <f t="shared" si="117"/>
        <v>-9.2000000000002302E-2</v>
      </c>
      <c r="H134">
        <v>8.1</v>
      </c>
      <c r="I134">
        <v>3.52</v>
      </c>
      <c r="J134">
        <f t="shared" si="126"/>
        <v>5.81</v>
      </c>
      <c r="K134" s="6">
        <f t="shared" si="127"/>
        <v>5.69</v>
      </c>
      <c r="L134" s="6">
        <f t="shared" si="128"/>
        <v>6.0000000000000497E-2</v>
      </c>
      <c r="M134">
        <v>-2.5038671614632002</v>
      </c>
      <c r="N134">
        <v>281000</v>
      </c>
      <c r="O134" s="18">
        <f>ROUND(N134/VLOOKUP(EOMONTH(A134,-1),Employment!A:P,16,FALSE),4)</f>
        <v>1.1133</v>
      </c>
      <c r="P134" s="18">
        <f t="shared" si="118"/>
        <v>1.1116999999999999</v>
      </c>
      <c r="Q134" s="29">
        <f t="shared" si="119"/>
        <v>-4.3400000000000001E-2</v>
      </c>
      <c r="R134" s="29">
        <f t="shared" si="120"/>
        <v>-7.4000000000000003E-3</v>
      </c>
      <c r="S134">
        <v>2222000</v>
      </c>
      <c r="T134" s="18">
        <f>ROUND((S134/7)/VLOOKUP(EOMONTH(A134,-1),Employment!A:P,16,FALSE),4)</f>
        <v>1.2577</v>
      </c>
      <c r="U134" s="18">
        <f t="shared" si="121"/>
        <v>1.2575000000000001</v>
      </c>
      <c r="V134" s="29">
        <f t="shared" si="122"/>
        <v>-7.2800000000000004E-2</v>
      </c>
      <c r="W134" s="29">
        <f t="shared" si="123"/>
        <v>-6.8999999999999999E-3</v>
      </c>
      <c r="X134" s="30">
        <f t="shared" si="124"/>
        <v>120.33</v>
      </c>
      <c r="Y134" s="31">
        <f t="shared" si="125"/>
        <v>116.93</v>
      </c>
    </row>
    <row r="135" spans="1:25" x14ac:dyDescent="0.25">
      <c r="A135" s="5">
        <v>42400</v>
      </c>
      <c r="B135">
        <v>1967.8462999999999</v>
      </c>
      <c r="C135" s="29">
        <f t="shared" si="129"/>
        <v>5.0000000000000001E-3</v>
      </c>
      <c r="D135">
        <v>-0.56999999999999995</v>
      </c>
      <c r="E135">
        <v>-0.48899999999999999</v>
      </c>
      <c r="F135" s="18">
        <f t="shared" si="116"/>
        <v>-0.53600000000000136</v>
      </c>
      <c r="G135" s="18">
        <f t="shared" si="117"/>
        <v>-2.0040000000000013</v>
      </c>
      <c r="H135">
        <v>7.74</v>
      </c>
      <c r="I135">
        <v>3.48</v>
      </c>
      <c r="J135">
        <f t="shared" si="126"/>
        <v>5.61</v>
      </c>
      <c r="K135" s="6">
        <f t="shared" si="127"/>
        <v>5.63</v>
      </c>
      <c r="L135" s="6">
        <f t="shared" si="128"/>
        <v>0.11000000000000032</v>
      </c>
      <c r="M135">
        <v>-2.1903058836336</v>
      </c>
      <c r="N135">
        <v>278250</v>
      </c>
      <c r="O135" s="18">
        <f>ROUND(N135/VLOOKUP(EOMONTH(A135,-1),Employment!A:P,16,FALSE),4)</f>
        <v>1.1044</v>
      </c>
      <c r="P135" s="18">
        <f t="shared" si="118"/>
        <v>1.1033999999999999</v>
      </c>
      <c r="Q135" s="29">
        <f t="shared" si="119"/>
        <v>-5.57E-2</v>
      </c>
      <c r="R135" s="29">
        <f t="shared" si="120"/>
        <v>-4.3E-3</v>
      </c>
      <c r="S135">
        <v>2231000</v>
      </c>
      <c r="T135" s="18">
        <f>ROUND((S135/7)/VLOOKUP(EOMONTH(A135,-1),Employment!A:P,16,FALSE),4)</f>
        <v>1.2650999999999999</v>
      </c>
      <c r="U135" s="18">
        <f t="shared" si="121"/>
        <v>1.2594000000000001</v>
      </c>
      <c r="V135" s="29">
        <f t="shared" si="122"/>
        <v>-7.7100000000000002E-2</v>
      </c>
      <c r="W135" s="29">
        <f t="shared" si="123"/>
        <v>-1E-4</v>
      </c>
      <c r="X135" s="30">
        <f t="shared" si="124"/>
        <v>115.22999999999999</v>
      </c>
      <c r="Y135" s="31">
        <f t="shared" si="125"/>
        <v>114.16</v>
      </c>
    </row>
    <row r="136" spans="1:25" x14ac:dyDescent="0.25">
      <c r="A136" s="5">
        <v>42393</v>
      </c>
      <c r="B136">
        <v>1956.4211</v>
      </c>
      <c r="C136" s="29">
        <f t="shared" si="129"/>
        <v>-8.9999999999999998E-4</v>
      </c>
      <c r="D136">
        <v>-0.56999999999999995</v>
      </c>
      <c r="E136">
        <v>-0.55600000000000005</v>
      </c>
      <c r="F136" s="18">
        <f t="shared" si="116"/>
        <v>-0.62000000000000099</v>
      </c>
      <c r="G136" s="18">
        <f t="shared" si="117"/>
        <v>-1.6440000000000001</v>
      </c>
      <c r="H136">
        <v>7.87</v>
      </c>
      <c r="I136">
        <v>3.42</v>
      </c>
      <c r="J136">
        <f t="shared" si="126"/>
        <v>5.65</v>
      </c>
      <c r="K136" s="6">
        <f t="shared" si="127"/>
        <v>5.52</v>
      </c>
      <c r="L136" s="6">
        <f t="shared" si="128"/>
        <v>0.1899999999999995</v>
      </c>
      <c r="M136">
        <v>-1.9946840874195999</v>
      </c>
      <c r="N136">
        <v>281500</v>
      </c>
      <c r="O136" s="18">
        <f>ROUND(N136/VLOOKUP(EOMONTH(A136,-1),Employment!A:P,16,FALSE),4)</f>
        <v>1.1173</v>
      </c>
      <c r="P136" s="18">
        <f t="shared" si="118"/>
        <v>1.0952</v>
      </c>
      <c r="Q136" s="29">
        <f t="shared" si="119"/>
        <v>-6.1699999999999998E-2</v>
      </c>
      <c r="R136" s="29">
        <f t="shared" si="120"/>
        <v>-7.7000000000000002E-3</v>
      </c>
      <c r="S136">
        <v>2204000</v>
      </c>
      <c r="T136" s="18">
        <f>ROUND((S136/7)/VLOOKUP(EOMONTH(A136,-1),Employment!A:P,16,FALSE),4)</f>
        <v>1.2498</v>
      </c>
      <c r="U136" s="18">
        <f t="shared" si="121"/>
        <v>1.2588999999999999</v>
      </c>
      <c r="V136" s="29">
        <f t="shared" si="122"/>
        <v>-8.8900000000000007E-2</v>
      </c>
      <c r="W136" s="29">
        <f t="shared" si="123"/>
        <v>1.2999999999999999E-3</v>
      </c>
      <c r="X136" s="30">
        <f t="shared" si="124"/>
        <v>112.69</v>
      </c>
      <c r="Y136" s="31">
        <f t="shared" si="125"/>
        <v>114.3</v>
      </c>
    </row>
    <row r="137" spans="1:25" x14ac:dyDescent="0.25">
      <c r="A137" s="5">
        <v>42386</v>
      </c>
      <c r="B137">
        <v>1960.1020000000001</v>
      </c>
      <c r="C137" s="29">
        <f t="shared" si="129"/>
        <v>1.6000000000000001E-3</v>
      </c>
      <c r="D137">
        <v>-0.57999999999999996</v>
      </c>
      <c r="E137">
        <v>-0.621</v>
      </c>
      <c r="F137" s="18">
        <f t="shared" si="116"/>
        <v>-0.84799999999999898</v>
      </c>
      <c r="G137" s="18">
        <f t="shared" si="117"/>
        <v>-0.87599999999999767</v>
      </c>
      <c r="H137">
        <v>7.89</v>
      </c>
      <c r="I137">
        <v>3.38</v>
      </c>
      <c r="J137">
        <f t="shared" si="126"/>
        <v>5.64</v>
      </c>
      <c r="K137" s="6">
        <f t="shared" si="127"/>
        <v>5.33</v>
      </c>
      <c r="L137" s="6">
        <f t="shared" si="128"/>
        <v>0.16000000000000014</v>
      </c>
      <c r="M137">
        <v>-1.3939488607199999</v>
      </c>
      <c r="N137">
        <v>274250</v>
      </c>
      <c r="O137" s="18">
        <f>ROUND(N137/VLOOKUP(EOMONTH(A137,-1),Employment!A:P,16,FALSE),4)</f>
        <v>1.0886</v>
      </c>
      <c r="P137" s="18">
        <f t="shared" si="118"/>
        <v>1.0823</v>
      </c>
      <c r="Q137" s="29">
        <f t="shared" si="119"/>
        <v>-6.1199999999999997E-2</v>
      </c>
      <c r="R137" s="29">
        <f t="shared" si="120"/>
        <v>-1.38E-2</v>
      </c>
      <c r="S137">
        <v>2228000</v>
      </c>
      <c r="T137" s="18">
        <f>ROUND((S137/7)/VLOOKUP(EOMONTH(A137,-1),Employment!A:P,16,FALSE),4)</f>
        <v>1.2634000000000001</v>
      </c>
      <c r="U137" s="18">
        <f t="shared" si="121"/>
        <v>1.2548999999999999</v>
      </c>
      <c r="V137" s="29">
        <f t="shared" si="122"/>
        <v>-8.3500000000000005E-2</v>
      </c>
      <c r="W137" s="29">
        <f t="shared" si="123"/>
        <v>2.0000000000000001E-4</v>
      </c>
      <c r="X137" s="30">
        <f t="shared" si="124"/>
        <v>115.18</v>
      </c>
      <c r="Y137" s="31">
        <f t="shared" si="125"/>
        <v>116.08</v>
      </c>
    </row>
    <row r="138" spans="1:25" x14ac:dyDescent="0.25">
      <c r="A138" s="5">
        <v>42379</v>
      </c>
      <c r="B138">
        <v>1958.9262000000001</v>
      </c>
      <c r="C138" s="29">
        <f t="shared" si="129"/>
        <v>1.6000000000000001E-3</v>
      </c>
      <c r="D138">
        <v>-0.57999999999999996</v>
      </c>
      <c r="E138">
        <v>-0.72699999999999998</v>
      </c>
      <c r="F138" s="18">
        <f t="shared" si="116"/>
        <v>-0.17600000000000016</v>
      </c>
      <c r="G138" s="18">
        <f t="shared" si="117"/>
        <v>-1.3520000000000003</v>
      </c>
      <c r="H138">
        <v>7.23</v>
      </c>
      <c r="I138">
        <v>3.31</v>
      </c>
      <c r="J138">
        <f t="shared" si="126"/>
        <v>5.27</v>
      </c>
      <c r="K138" s="6">
        <f t="shared" si="127"/>
        <v>5.17</v>
      </c>
      <c r="L138" s="6">
        <f t="shared" si="128"/>
        <v>1.9999999999999574E-2</v>
      </c>
      <c r="M138">
        <v>-1.2832405474788</v>
      </c>
      <c r="N138">
        <v>272000</v>
      </c>
      <c r="O138" s="18">
        <f>ROUND(N138/VLOOKUP(EOMONTH(A138,-1),Employment!A:P,16,FALSE),4)</f>
        <v>1.0795999999999999</v>
      </c>
      <c r="P138" s="18">
        <f t="shared" si="118"/>
        <v>1.0751999999999999</v>
      </c>
      <c r="Q138" s="29">
        <f t="shared" si="119"/>
        <v>-6.2899999999999998E-2</v>
      </c>
      <c r="R138" s="29">
        <f t="shared" si="120"/>
        <v>-1.3599999999999999E-2</v>
      </c>
      <c r="S138">
        <v>2228000</v>
      </c>
      <c r="T138" s="18">
        <f>ROUND((S138/7)/VLOOKUP(EOMONTH(A138,-1),Employment!A:P,16,FALSE),4)</f>
        <v>1.2634000000000001</v>
      </c>
      <c r="U138" s="18">
        <f t="shared" si="121"/>
        <v>1.2493000000000001</v>
      </c>
      <c r="V138" s="29">
        <f t="shared" si="122"/>
        <v>-8.7099999999999997E-2</v>
      </c>
      <c r="W138" s="29">
        <f t="shared" si="123"/>
        <v>-4.4999999999999997E-3</v>
      </c>
      <c r="X138" s="30">
        <f t="shared" si="124"/>
        <v>116.1</v>
      </c>
      <c r="Y138" s="31">
        <f t="shared" si="125"/>
        <v>118.17</v>
      </c>
    </row>
    <row r="139" spans="1:25" x14ac:dyDescent="0.25">
      <c r="A139" s="5">
        <v>42372</v>
      </c>
      <c r="B139">
        <v>1956.6198999999999</v>
      </c>
      <c r="C139" s="29">
        <f t="shared" si="129"/>
        <v>1.1999999999999999E-3</v>
      </c>
      <c r="D139">
        <v>-0.6</v>
      </c>
      <c r="E139">
        <v>-0.72399999999999998</v>
      </c>
      <c r="F139" s="18">
        <f t="shared" si="116"/>
        <v>0.14800000000000146</v>
      </c>
      <c r="G139" s="18">
        <f t="shared" si="117"/>
        <v>-2.5239999999999991</v>
      </c>
      <c r="H139">
        <v>6.95</v>
      </c>
      <c r="I139">
        <v>3.23</v>
      </c>
      <c r="J139">
        <f t="shared" si="126"/>
        <v>5.09</v>
      </c>
      <c r="K139" s="6">
        <f t="shared" si="127"/>
        <v>5.15</v>
      </c>
      <c r="L139" s="6">
        <f t="shared" si="128"/>
        <v>-2.9999999999999361E-2</v>
      </c>
      <c r="M139">
        <v>-0.71741973990767005</v>
      </c>
      <c r="N139">
        <v>271750</v>
      </c>
      <c r="O139" s="18">
        <f>ROUND(N139/VLOOKUP(EOMONTH(A139,-1),Employment!A:P,16,FALSE),4)</f>
        <v>1.0786</v>
      </c>
      <c r="P139" s="18">
        <f t="shared" si="118"/>
        <v>1.0706</v>
      </c>
      <c r="Q139" s="29">
        <f t="shared" si="119"/>
        <v>-7.3599999999999999E-2</v>
      </c>
      <c r="R139" s="29">
        <f t="shared" si="120"/>
        <v>-5.8999999999999999E-3</v>
      </c>
      <c r="S139">
        <v>2183000</v>
      </c>
      <c r="T139" s="18">
        <f>ROUND((S139/7)/VLOOKUP(EOMONTH(A139,-1),Employment!A:P,16,FALSE),4)</f>
        <v>1.2378</v>
      </c>
      <c r="U139" s="18">
        <f t="shared" si="121"/>
        <v>1.2527999999999999</v>
      </c>
      <c r="V139" s="29">
        <f t="shared" si="122"/>
        <v>-7.8799999999999995E-2</v>
      </c>
      <c r="W139" s="29">
        <f t="shared" si="123"/>
        <v>-5.3E-3</v>
      </c>
      <c r="X139" s="30">
        <f t="shared" si="124"/>
        <v>118.28999999999999</v>
      </c>
      <c r="Y139" s="31">
        <f t="shared" si="125"/>
        <v>122.5</v>
      </c>
    </row>
    <row r="140" spans="1:25" x14ac:dyDescent="0.25">
      <c r="A140" s="5">
        <v>42365</v>
      </c>
      <c r="B140">
        <v>1957.4229</v>
      </c>
      <c r="C140" s="29">
        <f t="shared" si="129"/>
        <v>2.8999999999999998E-3</v>
      </c>
      <c r="D140">
        <v>-0.61</v>
      </c>
      <c r="E140">
        <v>-0.69299999999999995</v>
      </c>
      <c r="F140" s="18">
        <f t="shared" si="116"/>
        <v>-1.3240000000000016</v>
      </c>
      <c r="G140" s="18">
        <f t="shared" si="117"/>
        <v>-3.2120000000000015</v>
      </c>
      <c r="H140">
        <v>7.05</v>
      </c>
      <c r="I140">
        <v>3.22</v>
      </c>
      <c r="J140">
        <f t="shared" si="126"/>
        <v>5.14</v>
      </c>
      <c r="K140" s="6">
        <f t="shared" si="127"/>
        <v>5.18</v>
      </c>
      <c r="L140" s="6">
        <f t="shared" si="128"/>
        <v>0.12999999999999989</v>
      </c>
      <c r="M140">
        <v>-0.3869378317835</v>
      </c>
      <c r="N140">
        <v>268750</v>
      </c>
      <c r="O140" s="18">
        <f>ROUND(N140/VLOOKUP(EOMONTH(A140,-1),Employment!A:P,16,FALSE),4)</f>
        <v>1.0674999999999999</v>
      </c>
      <c r="P140" s="18">
        <f t="shared" si="118"/>
        <v>1.0691999999999999</v>
      </c>
      <c r="Q140" s="29">
        <f t="shared" si="119"/>
        <v>-8.6199999999999999E-2</v>
      </c>
      <c r="R140" s="29">
        <f t="shared" si="120"/>
        <v>4.4999999999999997E-3</v>
      </c>
      <c r="S140">
        <v>2197000</v>
      </c>
      <c r="T140" s="18">
        <f>ROUND((S140/7)/VLOOKUP(EOMONTH(A140,-1),Employment!A:P,16,FALSE),4)</f>
        <v>1.2466999999999999</v>
      </c>
      <c r="U140" s="18">
        <f t="shared" si="121"/>
        <v>1.2665999999999999</v>
      </c>
      <c r="V140" s="29">
        <f t="shared" si="122"/>
        <v>-8.6400000000000005E-2</v>
      </c>
      <c r="W140" s="29">
        <f t="shared" si="123"/>
        <v>-2.5000000000000001E-3</v>
      </c>
      <c r="X140" s="30">
        <f t="shared" si="124"/>
        <v>123.06</v>
      </c>
      <c r="Y140" s="31">
        <f t="shared" si="125"/>
        <v>128.57</v>
      </c>
    </row>
    <row r="141" spans="1:25" x14ac:dyDescent="0.25">
      <c r="A141" s="5">
        <v>42358</v>
      </c>
      <c r="B141">
        <v>1955.1262999999999</v>
      </c>
      <c r="C141" s="29">
        <f t="shared" si="129"/>
        <v>2.5000000000000001E-3</v>
      </c>
      <c r="D141">
        <v>-0.64</v>
      </c>
      <c r="E141">
        <v>-0.82099999999999995</v>
      </c>
      <c r="F141" s="18">
        <f t="shared" si="116"/>
        <v>-1.347999999999999</v>
      </c>
      <c r="G141" s="18">
        <f t="shared" si="117"/>
        <v>-1.9639999999999986</v>
      </c>
      <c r="H141">
        <v>7.2</v>
      </c>
      <c r="I141">
        <v>3.25</v>
      </c>
      <c r="J141">
        <f t="shared" si="126"/>
        <v>5.23</v>
      </c>
      <c r="K141" s="6">
        <f t="shared" si="127"/>
        <v>5.05</v>
      </c>
      <c r="L141" s="6">
        <f t="shared" si="128"/>
        <v>0.13999999999999968</v>
      </c>
      <c r="M141">
        <v>-0.57701254731865004</v>
      </c>
      <c r="N141">
        <v>268250</v>
      </c>
      <c r="O141" s="18">
        <f>ROUND(N141/VLOOKUP(EOMONTH(A141,-1),Employment!A:P,16,FALSE),4)</f>
        <v>1.0656000000000001</v>
      </c>
      <c r="P141" s="18">
        <f t="shared" si="118"/>
        <v>1.0709</v>
      </c>
      <c r="Q141" s="29">
        <f t="shared" si="119"/>
        <v>-9.5100000000000004E-2</v>
      </c>
      <c r="R141" s="29">
        <f t="shared" si="120"/>
        <v>9.4000000000000004E-3</v>
      </c>
      <c r="S141">
        <v>2245000</v>
      </c>
      <c r="T141" s="18">
        <f>ROUND((S141/7)/VLOOKUP(EOMONTH(A141,-1),Employment!A:P,16,FALSE),4)</f>
        <v>1.274</v>
      </c>
      <c r="U141" s="18">
        <f t="shared" si="121"/>
        <v>1.2636000000000001</v>
      </c>
      <c r="V141" s="29">
        <f t="shared" si="122"/>
        <v>-8.9800000000000005E-2</v>
      </c>
      <c r="W141" s="29">
        <f t="shared" si="123"/>
        <v>4.0000000000000002E-4</v>
      </c>
      <c r="X141" s="30">
        <f t="shared" si="124"/>
        <v>131.61000000000001</v>
      </c>
      <c r="Y141" s="31">
        <f t="shared" si="125"/>
        <v>132.97999999999999</v>
      </c>
    </row>
    <row r="142" spans="1:25" x14ac:dyDescent="0.25">
      <c r="A142" s="5">
        <v>42351</v>
      </c>
      <c r="B142">
        <v>1954.1765</v>
      </c>
      <c r="C142" s="29">
        <f t="shared" si="129"/>
        <v>4.7000000000000002E-3</v>
      </c>
      <c r="D142">
        <v>-0.67</v>
      </c>
      <c r="E142">
        <v>-0.95199999999999996</v>
      </c>
      <c r="F142" s="18">
        <f t="shared" si="116"/>
        <v>-0.54000000000000092</v>
      </c>
      <c r="G142" s="18">
        <f t="shared" si="117"/>
        <v>-1.0160000000000018</v>
      </c>
      <c r="H142">
        <v>7.1</v>
      </c>
      <c r="I142">
        <v>3.24</v>
      </c>
      <c r="J142">
        <f t="shared" si="126"/>
        <v>5.17</v>
      </c>
      <c r="K142" s="6">
        <f t="shared" si="127"/>
        <v>4.91</v>
      </c>
      <c r="L142" s="6">
        <f t="shared" si="128"/>
        <v>0.14000000000000057</v>
      </c>
      <c r="M142">
        <v>-0.76048622420138001</v>
      </c>
      <c r="N142">
        <v>270500</v>
      </c>
      <c r="O142" s="18">
        <f>ROUND(N142/VLOOKUP(EOMONTH(A142,-1),Employment!A:P,16,FALSE),4)</f>
        <v>1.0745</v>
      </c>
      <c r="P142" s="18">
        <f t="shared" si="118"/>
        <v>1.0753999999999999</v>
      </c>
      <c r="Q142" s="29">
        <f t="shared" si="119"/>
        <v>-9.1300000000000006E-2</v>
      </c>
      <c r="R142" s="29">
        <f t="shared" si="120"/>
        <v>5.7000000000000002E-3</v>
      </c>
      <c r="S142">
        <v>2254000</v>
      </c>
      <c r="T142" s="18">
        <f>ROUND((S142/7)/VLOOKUP(EOMONTH(A142,-1),Employment!A:P,16,FALSE),4)</f>
        <v>1.2790999999999999</v>
      </c>
      <c r="U142" s="18">
        <f t="shared" si="121"/>
        <v>1.2499</v>
      </c>
      <c r="V142" s="29">
        <f t="shared" si="122"/>
        <v>-9.5299999999999996E-2</v>
      </c>
      <c r="W142" s="29">
        <f t="shared" si="123"/>
        <v>-2.8E-3</v>
      </c>
      <c r="X142" s="30">
        <f t="shared" si="124"/>
        <v>134.75</v>
      </c>
      <c r="Y142" s="31">
        <f t="shared" si="125"/>
        <v>132.52000000000001</v>
      </c>
    </row>
    <row r="143" spans="1:25" x14ac:dyDescent="0.25">
      <c r="A143" s="5">
        <v>42344</v>
      </c>
      <c r="B143">
        <v>1950.3321000000001</v>
      </c>
      <c r="C143" s="29">
        <f t="shared" si="129"/>
        <v>5.1999999999999998E-3</v>
      </c>
      <c r="D143">
        <v>-0.7</v>
      </c>
      <c r="E143">
        <v>-0.98199999999999998</v>
      </c>
      <c r="F143" s="18">
        <f t="shared" ref="F143:F206" si="130">(((D143*10)+(E143*8))*-1)-(((D144*10)+(E144*8))*-1)</f>
        <v>-7.5999999999998735E-2</v>
      </c>
      <c r="G143" s="18">
        <f t="shared" ref="G143:G206" si="131">SUM(F143:F145)</f>
        <v>-0.97199999999999953</v>
      </c>
      <c r="H143">
        <v>6.37</v>
      </c>
      <c r="I143">
        <v>3.15</v>
      </c>
      <c r="J143">
        <f t="shared" si="126"/>
        <v>4.76</v>
      </c>
      <c r="K143" s="6">
        <f t="shared" si="127"/>
        <v>4.7699999999999996</v>
      </c>
      <c r="L143" s="6">
        <f t="shared" si="128"/>
        <v>9.9999999999997868E-3</v>
      </c>
      <c r="M143">
        <v>-1.3454462744847</v>
      </c>
      <c r="N143">
        <v>270000</v>
      </c>
      <c r="O143" s="18">
        <f>ROUND(N143/VLOOKUP(EOMONTH(A143,-1),Employment!A:P,16,FALSE),4)</f>
        <v>1.0725</v>
      </c>
      <c r="P143" s="18">
        <f t="shared" ref="P143:P206" si="132">ROUND(AVERAGE(O143:O145),4)</f>
        <v>1.0777000000000001</v>
      </c>
      <c r="Q143" s="29">
        <f t="shared" ref="Q143:Q206" si="133">ROUND((P143/P195)-1,4)</f>
        <v>-8.2799999999999999E-2</v>
      </c>
      <c r="R143" s="29">
        <f t="shared" ref="R143:R206" si="134">ROUND(AVERAGE(Q143:Q144)-AVERAGE(Q143:Q147),4)*-1</f>
        <v>-8.9999999999999998E-4</v>
      </c>
      <c r="S143">
        <v>2181000</v>
      </c>
      <c r="T143" s="18">
        <f>ROUND((S143/7)/VLOOKUP(EOMONTH(A143,-1),Employment!A:P,16,FALSE),4)</f>
        <v>1.2376</v>
      </c>
      <c r="U143" s="18">
        <f t="shared" ref="U143:U206" si="135">ROUND(AVERAGE(T143:T145),4)</f>
        <v>1.2417</v>
      </c>
      <c r="V143" s="29">
        <f t="shared" ref="V143:V206" si="136">ROUND((U143/U195)-1,4)</f>
        <v>-8.8999999999999996E-2</v>
      </c>
      <c r="W143" s="29">
        <f t="shared" ref="W143:W206" si="137">ROUND(AVERAGE(V143:V144)-AVERAGE(V143:V147),4)*-1</f>
        <v>-4.8999999999999998E-3</v>
      </c>
      <c r="X143" s="30">
        <f t="shared" ref="X143:X206" si="138">IF(ROUND((C143*500)-(D143*10)-(E143*8)+(M143*1.2)-(P143*23)-(Q143*10)+(R143*600)-(U143*2)-(V143*5)+(W143*100)-(K143*5)-(L143*5)+(G143*3),2)+170&lt;0,0,ROUND((C143*500)-(D143*10)-(E143*8)+(M143*1.2)-(P143*23)-(Q143*10)+(R143*600)-(U143*2)-(V143*5)+(W143*100)-(K143*5)-(L143*5)+(G143*3),2)+170)</f>
        <v>132</v>
      </c>
      <c r="Y143" s="31">
        <f t="shared" ref="Y143:Y206" si="139">ROUND(AVERAGE(AVERAGE(X143:X144),AVERAGE(X143:X145)),2)</f>
        <v>130.72999999999999</v>
      </c>
    </row>
    <row r="144" spans="1:25" x14ac:dyDescent="0.25">
      <c r="A144" s="5">
        <v>42337</v>
      </c>
      <c r="B144">
        <v>1947.4142999999999</v>
      </c>
      <c r="C144" s="29">
        <f t="shared" si="129"/>
        <v>6.4000000000000003E-3</v>
      </c>
      <c r="D144">
        <v>-0.73</v>
      </c>
      <c r="E144">
        <v>-0.95399999999999996</v>
      </c>
      <c r="F144" s="18">
        <f t="shared" si="130"/>
        <v>-0.40000000000000213</v>
      </c>
      <c r="G144" s="18">
        <f t="shared" si="131"/>
        <v>-0.94000000000000128</v>
      </c>
      <c r="H144">
        <v>6.38</v>
      </c>
      <c r="I144">
        <v>3.22</v>
      </c>
      <c r="J144">
        <f t="shared" ref="J144:J207" si="140">ROUND(AVERAGE(H144:I144),2)</f>
        <v>4.8</v>
      </c>
      <c r="K144" s="6">
        <f t="shared" ref="K144:K207" si="141">ROUND(AVERAGE(J144:J146),2)</f>
        <v>4.76</v>
      </c>
      <c r="L144" s="6">
        <f t="shared" ref="L144:L207" si="142">K144-K145</f>
        <v>9.9999999999999645E-2</v>
      </c>
      <c r="M144">
        <v>-2.2008423422182002</v>
      </c>
      <c r="N144">
        <v>271500</v>
      </c>
      <c r="O144" s="18">
        <f>ROUND(N144/VLOOKUP(EOMONTH(A144,-1),Employment!A:P,16,FALSE),4)</f>
        <v>1.0792999999999999</v>
      </c>
      <c r="P144" s="18">
        <f t="shared" si="132"/>
        <v>1.0752999999999999</v>
      </c>
      <c r="Q144" s="29">
        <f t="shared" si="133"/>
        <v>-7.5600000000000001E-2</v>
      </c>
      <c r="R144" s="29">
        <f t="shared" si="134"/>
        <v>-6.0000000000000001E-3</v>
      </c>
      <c r="S144">
        <v>2171000</v>
      </c>
      <c r="T144" s="18">
        <f>ROUND((S144/7)/VLOOKUP(EOMONTH(A144,-1),Employment!A:P,16,FALSE),4)</f>
        <v>1.2330000000000001</v>
      </c>
      <c r="U144" s="18">
        <f t="shared" si="135"/>
        <v>1.2446999999999999</v>
      </c>
      <c r="V144" s="29">
        <f t="shared" si="136"/>
        <v>-9.2399999999999996E-2</v>
      </c>
      <c r="W144" s="29">
        <f t="shared" si="137"/>
        <v>-5.4999999999999997E-3</v>
      </c>
      <c r="X144" s="30">
        <f t="shared" si="138"/>
        <v>128.22</v>
      </c>
      <c r="Y144" s="31">
        <f t="shared" si="139"/>
        <v>131.96</v>
      </c>
    </row>
    <row r="145" spans="1:25" x14ac:dyDescent="0.25">
      <c r="A145" s="5">
        <v>42330</v>
      </c>
      <c r="B145">
        <v>1949.0890999999999</v>
      </c>
      <c r="C145" s="29">
        <f t="shared" si="129"/>
        <v>9.4999999999999998E-3</v>
      </c>
      <c r="D145">
        <v>-0.75</v>
      </c>
      <c r="E145">
        <v>-0.97899999999999998</v>
      </c>
      <c r="F145" s="18">
        <f t="shared" si="130"/>
        <v>-0.49599999999999866</v>
      </c>
      <c r="G145" s="18">
        <f t="shared" si="131"/>
        <v>-0.23199999999999932</v>
      </c>
      <c r="H145">
        <v>6.32</v>
      </c>
      <c r="I145">
        <v>3.2</v>
      </c>
      <c r="J145">
        <f t="shared" si="140"/>
        <v>4.76</v>
      </c>
      <c r="K145" s="6">
        <f t="shared" si="141"/>
        <v>4.66</v>
      </c>
      <c r="L145" s="6">
        <f t="shared" si="142"/>
        <v>7.0000000000000284E-2</v>
      </c>
      <c r="M145">
        <v>-2.8158685350478998</v>
      </c>
      <c r="N145">
        <v>272000</v>
      </c>
      <c r="O145" s="18">
        <f>ROUND(N145/VLOOKUP(EOMONTH(A145,-1),Employment!A:P,16,FALSE),4)</f>
        <v>1.0812999999999999</v>
      </c>
      <c r="P145" s="18">
        <f t="shared" si="132"/>
        <v>1.0661</v>
      </c>
      <c r="Q145" s="29">
        <f t="shared" si="133"/>
        <v>-7.4200000000000002E-2</v>
      </c>
      <c r="R145" s="29">
        <f t="shared" si="134"/>
        <v>-4.4000000000000003E-3</v>
      </c>
      <c r="S145">
        <v>2209000</v>
      </c>
      <c r="T145" s="18">
        <f>ROUND((S145/7)/VLOOKUP(EOMONTH(A145,-1),Employment!A:P,16,FALSE),4)</f>
        <v>1.2545999999999999</v>
      </c>
      <c r="U145" s="18">
        <f t="shared" si="135"/>
        <v>1.2512000000000001</v>
      </c>
      <c r="V145" s="29">
        <f t="shared" si="136"/>
        <v>-9.4200000000000006E-2</v>
      </c>
      <c r="W145" s="29">
        <f t="shared" si="137"/>
        <v>-8.0000000000000004E-4</v>
      </c>
      <c r="X145" s="30">
        <f t="shared" si="138"/>
        <v>133.82999999999998</v>
      </c>
      <c r="Y145" s="31">
        <f t="shared" si="139"/>
        <v>135.94</v>
      </c>
    </row>
    <row r="146" spans="1:25" x14ac:dyDescent="0.25">
      <c r="A146" s="5">
        <v>42323</v>
      </c>
      <c r="B146">
        <v>1933.4815000000001</v>
      </c>
      <c r="C146" s="29">
        <f t="shared" ref="C146:C209" si="143">ROUND((B146-AVERAGE(B147:B150))/AVERAGE(B147:B150),4)</f>
        <v>2.5999999999999999E-3</v>
      </c>
      <c r="D146">
        <v>-0.77</v>
      </c>
      <c r="E146">
        <v>-1.016</v>
      </c>
      <c r="F146" s="18">
        <f t="shared" si="130"/>
        <v>-4.4000000000000483E-2</v>
      </c>
      <c r="G146" s="18">
        <f t="shared" si="131"/>
        <v>0.98000000000000043</v>
      </c>
      <c r="H146">
        <v>6.24</v>
      </c>
      <c r="I146">
        <v>3.2</v>
      </c>
      <c r="J146">
        <f t="shared" si="140"/>
        <v>4.72</v>
      </c>
      <c r="K146" s="6">
        <f t="shared" si="141"/>
        <v>4.59</v>
      </c>
      <c r="L146" s="6">
        <f t="shared" si="142"/>
        <v>4.0000000000000036E-2</v>
      </c>
      <c r="M146">
        <v>-3.2684041261584</v>
      </c>
      <c r="N146">
        <v>268000</v>
      </c>
      <c r="O146" s="18">
        <f>ROUND(N146/VLOOKUP(EOMONTH(A146,-1),Employment!A:P,16,FALSE),4)</f>
        <v>1.0653999999999999</v>
      </c>
      <c r="P146" s="18">
        <f t="shared" si="132"/>
        <v>1.0548</v>
      </c>
      <c r="Q146" s="29">
        <f t="shared" si="133"/>
        <v>-8.2600000000000007E-2</v>
      </c>
      <c r="R146" s="29">
        <f t="shared" si="134"/>
        <v>-1.6999999999999999E-3</v>
      </c>
      <c r="S146">
        <v>2195000</v>
      </c>
      <c r="T146" s="18">
        <f>ROUND((S146/7)/VLOOKUP(EOMONTH(A146,-1),Employment!A:P,16,FALSE),4)</f>
        <v>1.2465999999999999</v>
      </c>
      <c r="U146" s="18">
        <f t="shared" si="135"/>
        <v>1.2459</v>
      </c>
      <c r="V146" s="29">
        <f t="shared" si="136"/>
        <v>-0.1037</v>
      </c>
      <c r="W146" s="29">
        <f t="shared" si="137"/>
        <v>5.0000000000000001E-4</v>
      </c>
      <c r="X146" s="30">
        <f t="shared" si="138"/>
        <v>136.62</v>
      </c>
      <c r="Y146" s="31">
        <f t="shared" si="139"/>
        <v>138.54</v>
      </c>
    </row>
    <row r="147" spans="1:25" x14ac:dyDescent="0.25">
      <c r="A147" s="5">
        <v>42316</v>
      </c>
      <c r="B147">
        <v>1931.2407000000001</v>
      </c>
      <c r="C147" s="29">
        <f t="shared" si="143"/>
        <v>3.0000000000000001E-3</v>
      </c>
      <c r="D147">
        <v>-0.76</v>
      </c>
      <c r="E147">
        <v>-1.034</v>
      </c>
      <c r="F147" s="18">
        <f t="shared" si="130"/>
        <v>0.30799999999999983</v>
      </c>
      <c r="G147" s="18">
        <f t="shared" si="131"/>
        <v>1.9080000000000013</v>
      </c>
      <c r="H147">
        <v>5.82</v>
      </c>
      <c r="I147">
        <v>3.17</v>
      </c>
      <c r="J147">
        <f t="shared" si="140"/>
        <v>4.5</v>
      </c>
      <c r="K147" s="6">
        <f t="shared" si="141"/>
        <v>4.55</v>
      </c>
      <c r="L147" s="6">
        <f t="shared" si="142"/>
        <v>-7.0000000000000284E-2</v>
      </c>
      <c r="M147">
        <v>-4.0050498899848996</v>
      </c>
      <c r="N147">
        <v>264500</v>
      </c>
      <c r="O147" s="18">
        <f>ROUND(N147/VLOOKUP(EOMONTH(A147,-1),Employment!A:P,16,FALSE),4)</f>
        <v>1.0515000000000001</v>
      </c>
      <c r="P147" s="18">
        <f t="shared" si="132"/>
        <v>1.0538000000000001</v>
      </c>
      <c r="Q147" s="29">
        <f t="shared" si="133"/>
        <v>-8.5400000000000004E-2</v>
      </c>
      <c r="R147" s="29">
        <f t="shared" si="134"/>
        <v>-2.0999999999999999E-3</v>
      </c>
      <c r="S147">
        <v>2205000</v>
      </c>
      <c r="T147" s="18">
        <f>ROUND((S147/7)/VLOOKUP(EOMONTH(A147,-1),Employment!A:P,16,FALSE),4)</f>
        <v>1.2523</v>
      </c>
      <c r="U147" s="18">
        <f t="shared" si="135"/>
        <v>1.2474000000000001</v>
      </c>
      <c r="V147" s="29">
        <f t="shared" si="136"/>
        <v>-9.8799999999999999E-2</v>
      </c>
      <c r="W147" s="29">
        <f t="shared" si="137"/>
        <v>2.3999999999999998E-3</v>
      </c>
      <c r="X147" s="30">
        <f t="shared" si="138"/>
        <v>139.49</v>
      </c>
      <c r="Y147" s="31">
        <f t="shared" si="139"/>
        <v>139.58000000000001</v>
      </c>
    </row>
    <row r="148" spans="1:25" x14ac:dyDescent="0.25">
      <c r="A148" s="5">
        <v>42309</v>
      </c>
      <c r="B148">
        <v>1926.6048000000001</v>
      </c>
      <c r="C148" s="29">
        <f t="shared" si="143"/>
        <v>2.5999999999999999E-3</v>
      </c>
      <c r="D148">
        <v>-0.75</v>
      </c>
      <c r="E148">
        <v>-1.008</v>
      </c>
      <c r="F148" s="18">
        <f t="shared" si="130"/>
        <v>0.71600000000000108</v>
      </c>
      <c r="G148" s="18">
        <f t="shared" si="131"/>
        <v>3.032</v>
      </c>
      <c r="H148">
        <v>5.88</v>
      </c>
      <c r="I148">
        <v>3.19</v>
      </c>
      <c r="J148">
        <f t="shared" si="140"/>
        <v>4.54</v>
      </c>
      <c r="K148" s="6">
        <f t="shared" si="141"/>
        <v>4.62</v>
      </c>
      <c r="L148" s="6">
        <f t="shared" si="142"/>
        <v>-5.9999999999999609E-2</v>
      </c>
      <c r="M148">
        <v>-3.2828903538055001</v>
      </c>
      <c r="N148">
        <v>263500</v>
      </c>
      <c r="O148" s="18">
        <f>ROUND(N148/VLOOKUP(EOMONTH(A148,-1),Employment!A:P,16,FALSE),4)</f>
        <v>1.0475000000000001</v>
      </c>
      <c r="P148" s="18">
        <f t="shared" si="132"/>
        <v>1.0604</v>
      </c>
      <c r="Q148" s="29">
        <f t="shared" si="133"/>
        <v>-8.6800000000000002E-2</v>
      </c>
      <c r="R148" s="29">
        <f t="shared" si="134"/>
        <v>-4.8999999999999998E-3</v>
      </c>
      <c r="S148">
        <v>2181000</v>
      </c>
      <c r="T148" s="18">
        <f>ROUND((S148/7)/VLOOKUP(EOMONTH(A148,-1),Employment!A:P,16,FALSE),4)</f>
        <v>1.2386999999999999</v>
      </c>
      <c r="U148" s="18">
        <f t="shared" si="135"/>
        <v>1.246</v>
      </c>
      <c r="V148" s="29">
        <f t="shared" si="136"/>
        <v>-0.1047</v>
      </c>
      <c r="W148" s="29">
        <f t="shared" si="137"/>
        <v>1.6999999999999999E-3</v>
      </c>
      <c r="X148" s="30">
        <f t="shared" si="138"/>
        <v>140.96</v>
      </c>
      <c r="Y148" s="31">
        <f t="shared" si="139"/>
        <v>137.51</v>
      </c>
    </row>
    <row r="149" spans="1:25" x14ac:dyDescent="0.25">
      <c r="A149" s="5">
        <v>42302</v>
      </c>
      <c r="B149">
        <v>1931.3434999999999</v>
      </c>
      <c r="C149" s="29">
        <f t="shared" si="143"/>
        <v>7.4000000000000003E-3</v>
      </c>
      <c r="D149">
        <v>-0.72</v>
      </c>
      <c r="E149">
        <v>-0.95599999999999996</v>
      </c>
      <c r="F149" s="18">
        <f t="shared" si="130"/>
        <v>0.88400000000000034</v>
      </c>
      <c r="G149" s="18">
        <f t="shared" si="131"/>
        <v>1.379999999999999</v>
      </c>
      <c r="H149">
        <v>5.97</v>
      </c>
      <c r="I149">
        <v>3.23</v>
      </c>
      <c r="J149">
        <f t="shared" si="140"/>
        <v>4.5999999999999996</v>
      </c>
      <c r="K149" s="6">
        <f t="shared" si="141"/>
        <v>4.68</v>
      </c>
      <c r="L149" s="6">
        <f t="shared" si="142"/>
        <v>-0.16000000000000014</v>
      </c>
      <c r="M149">
        <v>-3.2250658008772</v>
      </c>
      <c r="N149">
        <v>267000</v>
      </c>
      <c r="O149" s="18">
        <f>ROUND(N149/VLOOKUP(EOMONTH(A149,-1),Employment!A:P,16,FALSE),4)</f>
        <v>1.0624</v>
      </c>
      <c r="P149" s="18">
        <f t="shared" si="132"/>
        <v>1.0703</v>
      </c>
      <c r="Q149" s="29">
        <f t="shared" si="133"/>
        <v>-8.5099999999999995E-2</v>
      </c>
      <c r="R149" s="29">
        <f t="shared" si="134"/>
        <v>-6.7999999999999996E-3</v>
      </c>
      <c r="S149">
        <v>2201000</v>
      </c>
      <c r="T149" s="18">
        <f>ROUND((S149/7)/VLOOKUP(EOMONTH(A149,-1),Employment!A:P,16,FALSE),4)</f>
        <v>1.2511000000000001</v>
      </c>
      <c r="U149" s="18">
        <f t="shared" si="135"/>
        <v>1.2551000000000001</v>
      </c>
      <c r="V149" s="29">
        <f t="shared" si="136"/>
        <v>-9.7199999999999995E-2</v>
      </c>
      <c r="W149" s="29">
        <f t="shared" si="137"/>
        <v>-1E-4</v>
      </c>
      <c r="X149" s="30">
        <f t="shared" si="138"/>
        <v>136.34</v>
      </c>
      <c r="Y149" s="31">
        <f t="shared" si="139"/>
        <v>132.97999999999999</v>
      </c>
    </row>
    <row r="150" spans="1:25" x14ac:dyDescent="0.25">
      <c r="A150" s="5">
        <v>42295</v>
      </c>
      <c r="B150">
        <v>1925.0141000000001</v>
      </c>
      <c r="C150" s="29">
        <f t="shared" si="143"/>
        <v>6.1999999999999998E-3</v>
      </c>
      <c r="D150">
        <v>-0.69</v>
      </c>
      <c r="E150">
        <v>-0.88300000000000001</v>
      </c>
      <c r="F150" s="18">
        <f t="shared" si="130"/>
        <v>1.4319999999999986</v>
      </c>
      <c r="G150" s="18">
        <f t="shared" si="131"/>
        <v>0.51999999999999957</v>
      </c>
      <c r="H150">
        <v>6.18</v>
      </c>
      <c r="I150">
        <v>3.28</v>
      </c>
      <c r="J150">
        <f t="shared" si="140"/>
        <v>4.7300000000000004</v>
      </c>
      <c r="K150" s="6">
        <f t="shared" si="141"/>
        <v>4.84</v>
      </c>
      <c r="L150" s="6">
        <f t="shared" si="142"/>
        <v>1.9999999999999574E-2</v>
      </c>
      <c r="M150">
        <v>-2.7271808021798001</v>
      </c>
      <c r="N150">
        <v>269250</v>
      </c>
      <c r="O150" s="18">
        <f>ROUND(N150/VLOOKUP(EOMONTH(A150,-1),Employment!A:P,16,FALSE),4)</f>
        <v>1.0712999999999999</v>
      </c>
      <c r="P150" s="18">
        <f t="shared" si="132"/>
        <v>1.0772999999999999</v>
      </c>
      <c r="Q150" s="29">
        <f t="shared" si="133"/>
        <v>-8.8800000000000004E-2</v>
      </c>
      <c r="R150" s="29">
        <f t="shared" si="134"/>
        <v>-5.3E-3</v>
      </c>
      <c r="S150">
        <v>2196000</v>
      </c>
      <c r="T150" s="18">
        <f>ROUND((S150/7)/VLOOKUP(EOMONTH(A150,-1),Employment!A:P,16,FALSE),4)</f>
        <v>1.2482</v>
      </c>
      <c r="U150" s="18">
        <f t="shared" si="135"/>
        <v>1.2594000000000001</v>
      </c>
      <c r="V150" s="29">
        <f t="shared" si="136"/>
        <v>-9.9299999999999999E-2</v>
      </c>
      <c r="W150" s="29">
        <f t="shared" si="137"/>
        <v>-1.4E-3</v>
      </c>
      <c r="X150" s="30">
        <f t="shared" si="138"/>
        <v>131.82</v>
      </c>
      <c r="Y150" s="31">
        <f t="shared" si="139"/>
        <v>129.78</v>
      </c>
    </row>
    <row r="151" spans="1:25" x14ac:dyDescent="0.25">
      <c r="A151" s="5">
        <v>42288</v>
      </c>
      <c r="B151">
        <v>1918.9093</v>
      </c>
      <c r="C151" s="29">
        <f t="shared" si="143"/>
        <v>4.1000000000000003E-3</v>
      </c>
      <c r="D151">
        <v>-0.65</v>
      </c>
      <c r="E151">
        <v>-0.754</v>
      </c>
      <c r="F151" s="18">
        <f t="shared" si="130"/>
        <v>-0.93599999999999994</v>
      </c>
      <c r="G151" s="18">
        <f t="shared" si="131"/>
        <v>-0.67999999999999972</v>
      </c>
      <c r="H151">
        <v>6.13</v>
      </c>
      <c r="I151">
        <v>3.26</v>
      </c>
      <c r="J151">
        <f t="shared" si="140"/>
        <v>4.7</v>
      </c>
      <c r="K151" s="6">
        <f t="shared" si="141"/>
        <v>4.82</v>
      </c>
      <c r="L151" s="6">
        <f t="shared" si="142"/>
        <v>7.0000000000000284E-2</v>
      </c>
      <c r="M151">
        <v>-1.9903307073006</v>
      </c>
      <c r="N151">
        <v>270750</v>
      </c>
      <c r="O151" s="18">
        <f>ROUND(N151/VLOOKUP(EOMONTH(A151,-1),Employment!A:P,16,FALSE),4)</f>
        <v>1.0772999999999999</v>
      </c>
      <c r="P151" s="18">
        <f t="shared" si="132"/>
        <v>1.0826</v>
      </c>
      <c r="Q151" s="29">
        <f t="shared" si="133"/>
        <v>-9.4700000000000006E-2</v>
      </c>
      <c r="R151" s="29">
        <f t="shared" si="134"/>
        <v>-3.0999999999999999E-3</v>
      </c>
      <c r="S151">
        <v>2227000</v>
      </c>
      <c r="T151" s="18">
        <f>ROUND((S151/7)/VLOOKUP(EOMONTH(A151,-1),Employment!A:P,16,FALSE),4)</f>
        <v>1.2659</v>
      </c>
      <c r="U151" s="18">
        <f t="shared" si="135"/>
        <v>1.2674000000000001</v>
      </c>
      <c r="V151" s="29">
        <f t="shared" si="136"/>
        <v>-9.6500000000000002E-2</v>
      </c>
      <c r="W151" s="29">
        <f t="shared" si="137"/>
        <v>-3.5999999999999999E-3</v>
      </c>
      <c r="X151" s="30">
        <f t="shared" si="138"/>
        <v>127.47999999999999</v>
      </c>
      <c r="Y151" s="31">
        <f t="shared" si="139"/>
        <v>129.77000000000001</v>
      </c>
    </row>
    <row r="152" spans="1:25" x14ac:dyDescent="0.25">
      <c r="A152" s="5">
        <v>42281</v>
      </c>
      <c r="B152">
        <v>1911.3448000000001</v>
      </c>
      <c r="C152" s="29">
        <f t="shared" si="143"/>
        <v>2.0000000000000001E-4</v>
      </c>
      <c r="D152">
        <v>-0.65</v>
      </c>
      <c r="E152">
        <v>-0.871</v>
      </c>
      <c r="F152" s="18">
        <f t="shared" si="130"/>
        <v>2.4000000000000909E-2</v>
      </c>
      <c r="G152" s="18">
        <f t="shared" si="131"/>
        <v>0.87199999999999989</v>
      </c>
      <c r="H152">
        <v>6.83</v>
      </c>
      <c r="I152">
        <v>3.34</v>
      </c>
      <c r="J152">
        <f t="shared" si="140"/>
        <v>5.09</v>
      </c>
      <c r="K152" s="6">
        <f t="shared" si="141"/>
        <v>4.75</v>
      </c>
      <c r="L152" s="6">
        <f t="shared" si="142"/>
        <v>0.24000000000000021</v>
      </c>
      <c r="M152">
        <v>-2.5333063732398999</v>
      </c>
      <c r="N152">
        <v>272250</v>
      </c>
      <c r="O152" s="18">
        <f>ROUND(N152/VLOOKUP(EOMONTH(A152,-1),Employment!A:P,16,FALSE),4)</f>
        <v>1.0832999999999999</v>
      </c>
      <c r="P152" s="18">
        <f t="shared" si="132"/>
        <v>1.0859000000000001</v>
      </c>
      <c r="Q152" s="29">
        <f t="shared" si="133"/>
        <v>-9.9000000000000005E-2</v>
      </c>
      <c r="R152" s="29">
        <f t="shared" si="134"/>
        <v>-2.0999999999999999E-3</v>
      </c>
      <c r="S152">
        <v>2224000</v>
      </c>
      <c r="T152" s="18">
        <f>ROUND((S152/7)/VLOOKUP(EOMONTH(A152,-1),Employment!A:P,16,FALSE),4)</f>
        <v>1.2642</v>
      </c>
      <c r="U152" s="18">
        <f t="shared" si="135"/>
        <v>1.2695000000000001</v>
      </c>
      <c r="V152" s="29">
        <f t="shared" si="136"/>
        <v>-9.8400000000000001E-2</v>
      </c>
      <c r="W152" s="29">
        <f t="shared" si="137"/>
        <v>-4.4999999999999997E-3</v>
      </c>
      <c r="X152" s="30">
        <f t="shared" si="138"/>
        <v>130.44999999999999</v>
      </c>
      <c r="Y152" s="31">
        <f t="shared" si="139"/>
        <v>130.88</v>
      </c>
    </row>
    <row r="153" spans="1:25" x14ac:dyDescent="0.25">
      <c r="A153" s="5">
        <v>42274</v>
      </c>
      <c r="B153">
        <v>1913.4103</v>
      </c>
      <c r="C153" s="29">
        <f t="shared" si="143"/>
        <v>2.7000000000000001E-3</v>
      </c>
      <c r="D153">
        <v>-0.63</v>
      </c>
      <c r="E153">
        <v>-0.89300000000000002</v>
      </c>
      <c r="F153" s="18">
        <f t="shared" si="130"/>
        <v>0.23199999999999932</v>
      </c>
      <c r="G153" s="18">
        <f t="shared" si="131"/>
        <v>1.1759999999999984</v>
      </c>
      <c r="H153">
        <v>6.15</v>
      </c>
      <c r="I153">
        <v>3.19</v>
      </c>
      <c r="J153">
        <f t="shared" si="140"/>
        <v>4.67</v>
      </c>
      <c r="K153" s="6">
        <f t="shared" si="141"/>
        <v>4.51</v>
      </c>
      <c r="L153" s="6">
        <f t="shared" si="142"/>
        <v>8.0000000000000071E-2</v>
      </c>
      <c r="M153">
        <v>-2.5320917984635001</v>
      </c>
      <c r="N153">
        <v>273000</v>
      </c>
      <c r="O153" s="18">
        <f>ROUND(N153/VLOOKUP(EOMONTH(A153,-1),Employment!A:P,16,FALSE),4)</f>
        <v>1.0871999999999999</v>
      </c>
      <c r="P153" s="18">
        <f t="shared" si="132"/>
        <v>1.0902000000000001</v>
      </c>
      <c r="Q153" s="29">
        <f t="shared" si="133"/>
        <v>-0.1012</v>
      </c>
      <c r="R153" s="29">
        <f t="shared" si="134"/>
        <v>-3.0000000000000001E-3</v>
      </c>
      <c r="S153">
        <v>2236000</v>
      </c>
      <c r="T153" s="18">
        <f>ROUND((S153/7)/VLOOKUP(EOMONTH(A153,-1),Employment!A:P,16,FALSE),4)</f>
        <v>1.2721</v>
      </c>
      <c r="U153" s="18">
        <f t="shared" si="135"/>
        <v>1.2746</v>
      </c>
      <c r="V153" s="29">
        <f t="shared" si="136"/>
        <v>-0.10059999999999999</v>
      </c>
      <c r="W153" s="29">
        <f t="shared" si="137"/>
        <v>-6.1000000000000004E-3</v>
      </c>
      <c r="X153" s="30">
        <f t="shared" si="138"/>
        <v>133.81</v>
      </c>
      <c r="Y153" s="31">
        <f t="shared" si="139"/>
        <v>127.81</v>
      </c>
    </row>
    <row r="154" spans="1:25" x14ac:dyDescent="0.25">
      <c r="A154" s="5">
        <v>42267</v>
      </c>
      <c r="B154">
        <v>1909.2660000000001</v>
      </c>
      <c r="C154" s="29">
        <f t="shared" si="143"/>
        <v>2E-3</v>
      </c>
      <c r="D154">
        <v>-0.63</v>
      </c>
      <c r="E154">
        <v>-0.86399999999999999</v>
      </c>
      <c r="F154" s="18">
        <f t="shared" si="130"/>
        <v>0.61599999999999966</v>
      </c>
      <c r="G154" s="18">
        <f t="shared" si="131"/>
        <v>-1.6559999999999988</v>
      </c>
      <c r="H154">
        <v>5.8</v>
      </c>
      <c r="I154">
        <v>3.15</v>
      </c>
      <c r="J154">
        <f t="shared" si="140"/>
        <v>4.4800000000000004</v>
      </c>
      <c r="K154" s="6">
        <f t="shared" si="141"/>
        <v>4.43</v>
      </c>
      <c r="L154" s="6">
        <f t="shared" si="142"/>
        <v>9.9999999999997868E-3</v>
      </c>
      <c r="M154">
        <v>-2.6973963755689998</v>
      </c>
      <c r="N154">
        <v>273000</v>
      </c>
      <c r="O154" s="18">
        <f>ROUND(N154/VLOOKUP(EOMONTH(A154,-1),Employment!A:P,16,FALSE),4)</f>
        <v>1.0871999999999999</v>
      </c>
      <c r="P154" s="18">
        <f t="shared" si="132"/>
        <v>1.0922000000000001</v>
      </c>
      <c r="Q154" s="29">
        <f t="shared" si="133"/>
        <v>-0.1017</v>
      </c>
      <c r="R154" s="29">
        <f t="shared" si="134"/>
        <v>-4.1000000000000003E-3</v>
      </c>
      <c r="S154">
        <v>2236000</v>
      </c>
      <c r="T154" s="18">
        <f>ROUND((S154/7)/VLOOKUP(EOMONTH(A154,-1),Employment!A:P,16,FALSE),4)</f>
        <v>1.2721</v>
      </c>
      <c r="U154" s="18">
        <f t="shared" si="135"/>
        <v>1.2771999999999999</v>
      </c>
      <c r="V154" s="29">
        <f t="shared" si="136"/>
        <v>-0.1019</v>
      </c>
      <c r="W154" s="29">
        <f t="shared" si="137"/>
        <v>-5.4999999999999997E-3</v>
      </c>
      <c r="X154" s="30">
        <f t="shared" si="138"/>
        <v>124.65</v>
      </c>
      <c r="Y154" s="31">
        <f t="shared" si="139"/>
        <v>122.76</v>
      </c>
    </row>
    <row r="155" spans="1:25" x14ac:dyDescent="0.25">
      <c r="A155" s="5">
        <v>42260</v>
      </c>
      <c r="B155">
        <v>1909.9597000000001</v>
      </c>
      <c r="C155" s="29">
        <f t="shared" si="143"/>
        <v>4.3E-3</v>
      </c>
      <c r="D155">
        <v>-0.63</v>
      </c>
      <c r="E155">
        <v>-0.78700000000000003</v>
      </c>
      <c r="F155" s="18">
        <f t="shared" si="130"/>
        <v>0.3279999999999994</v>
      </c>
      <c r="G155" s="18">
        <f t="shared" si="131"/>
        <v>-3.6999999999999993</v>
      </c>
      <c r="H155">
        <v>5.62</v>
      </c>
      <c r="I155">
        <v>3.11</v>
      </c>
      <c r="J155">
        <f t="shared" si="140"/>
        <v>4.37</v>
      </c>
      <c r="K155" s="6">
        <f t="shared" si="141"/>
        <v>4.42</v>
      </c>
      <c r="L155" s="6">
        <f t="shared" si="142"/>
        <v>-3.0000000000000249E-2</v>
      </c>
      <c r="M155">
        <v>-2.4798313427944998</v>
      </c>
      <c r="N155">
        <v>275250</v>
      </c>
      <c r="O155" s="18">
        <f>ROUND(N155/VLOOKUP(EOMONTH(A155,-1),Employment!A:P,16,FALSE),4)</f>
        <v>1.0962000000000001</v>
      </c>
      <c r="P155" s="18">
        <f t="shared" si="132"/>
        <v>1.0919000000000001</v>
      </c>
      <c r="Q155" s="29">
        <f t="shared" si="133"/>
        <v>-0.10299999999999999</v>
      </c>
      <c r="R155" s="29">
        <f t="shared" si="134"/>
        <v>-2.5000000000000001E-3</v>
      </c>
      <c r="S155">
        <v>2249000</v>
      </c>
      <c r="T155" s="18">
        <f>ROUND((S155/7)/VLOOKUP(EOMONTH(A155,-1),Employment!A:P,16,FALSE),4)</f>
        <v>1.2795000000000001</v>
      </c>
      <c r="U155" s="18">
        <f t="shared" si="135"/>
        <v>1.2806999999999999</v>
      </c>
      <c r="V155" s="29">
        <f t="shared" si="136"/>
        <v>-0.1081</v>
      </c>
      <c r="W155" s="29">
        <f t="shared" si="137"/>
        <v>-4.1999999999999997E-3</v>
      </c>
      <c r="X155" s="30">
        <f t="shared" si="138"/>
        <v>120.7</v>
      </c>
      <c r="Y155" s="31">
        <f t="shared" si="139"/>
        <v>124.07</v>
      </c>
    </row>
    <row r="156" spans="1:25" x14ac:dyDescent="0.25">
      <c r="A156" s="5">
        <v>42253</v>
      </c>
      <c r="B156">
        <v>1911.4491</v>
      </c>
      <c r="C156" s="29">
        <f t="shared" si="143"/>
        <v>8.0999999999999996E-3</v>
      </c>
      <c r="D156">
        <v>-0.65</v>
      </c>
      <c r="E156">
        <v>-0.72099999999999997</v>
      </c>
      <c r="F156" s="18">
        <f t="shared" si="130"/>
        <v>-2.5999999999999979</v>
      </c>
      <c r="G156" s="18">
        <f t="shared" si="131"/>
        <v>-4.4639999999999986</v>
      </c>
      <c r="H156">
        <v>5.74</v>
      </c>
      <c r="I156">
        <v>3.15</v>
      </c>
      <c r="J156">
        <f t="shared" si="140"/>
        <v>4.45</v>
      </c>
      <c r="K156" s="6">
        <f t="shared" si="141"/>
        <v>4.45</v>
      </c>
      <c r="L156" s="6">
        <f t="shared" si="142"/>
        <v>6.0000000000000497E-2</v>
      </c>
      <c r="M156">
        <v>-2.0500316417404001</v>
      </c>
      <c r="N156">
        <v>274500</v>
      </c>
      <c r="O156" s="18">
        <f>ROUND(N156/VLOOKUP(EOMONTH(A156,-1),Employment!A:P,16,FALSE),4)</f>
        <v>1.0931999999999999</v>
      </c>
      <c r="P156" s="18">
        <f t="shared" si="132"/>
        <v>1.0871999999999999</v>
      </c>
      <c r="Q156" s="29">
        <f t="shared" si="133"/>
        <v>-0.1061</v>
      </c>
      <c r="R156" s="29">
        <f t="shared" si="134"/>
        <v>2.5999999999999999E-3</v>
      </c>
      <c r="S156">
        <v>2250000</v>
      </c>
      <c r="T156" s="18">
        <f>ROUND((S156/7)/VLOOKUP(EOMONTH(A156,-1),Employment!A:P,16,FALSE),4)</f>
        <v>1.2801</v>
      </c>
      <c r="U156" s="18">
        <f t="shared" si="135"/>
        <v>1.2806999999999999</v>
      </c>
      <c r="V156" s="29">
        <f t="shared" si="136"/>
        <v>-0.1109</v>
      </c>
      <c r="W156" s="29">
        <f t="shared" si="137"/>
        <v>-3.5999999999999999E-3</v>
      </c>
      <c r="X156" s="30">
        <f t="shared" si="138"/>
        <v>123.16</v>
      </c>
      <c r="Y156" s="31">
        <f t="shared" si="139"/>
        <v>130.69999999999999</v>
      </c>
    </row>
    <row r="157" spans="1:25" x14ac:dyDescent="0.25">
      <c r="A157" s="5">
        <v>42246</v>
      </c>
      <c r="B157">
        <v>1902.3018</v>
      </c>
      <c r="C157" s="29">
        <f t="shared" si="143"/>
        <v>4.5999999999999999E-3</v>
      </c>
      <c r="D157">
        <v>-0.69</v>
      </c>
      <c r="E157">
        <v>-0.996</v>
      </c>
      <c r="F157" s="18">
        <f t="shared" si="130"/>
        <v>-1.4280000000000008</v>
      </c>
      <c r="G157" s="18">
        <f t="shared" si="131"/>
        <v>-2.3440000000000012</v>
      </c>
      <c r="H157">
        <v>5.72</v>
      </c>
      <c r="I157">
        <v>3.13</v>
      </c>
      <c r="J157">
        <f t="shared" si="140"/>
        <v>4.43</v>
      </c>
      <c r="K157" s="6">
        <f t="shared" si="141"/>
        <v>4.3899999999999997</v>
      </c>
      <c r="L157" s="6">
        <f t="shared" si="142"/>
        <v>6.9999999999999396E-2</v>
      </c>
      <c r="M157">
        <v>-1.2578805413765</v>
      </c>
      <c r="N157">
        <v>272500</v>
      </c>
      <c r="O157" s="18">
        <f>ROUND(N157/VLOOKUP(EOMONTH(A157,-1),Employment!A:P,16,FALSE),4)</f>
        <v>1.0862000000000001</v>
      </c>
      <c r="P157" s="18">
        <f t="shared" si="132"/>
        <v>1.0799000000000001</v>
      </c>
      <c r="Q157" s="29">
        <f t="shared" si="133"/>
        <v>-0.1104</v>
      </c>
      <c r="R157" s="29">
        <f t="shared" si="134"/>
        <v>7.6E-3</v>
      </c>
      <c r="S157">
        <v>2252000</v>
      </c>
      <c r="T157" s="18">
        <f>ROUND((S157/7)/VLOOKUP(EOMONTH(A157,-1),Employment!A:P,16,FALSE),4)</f>
        <v>1.2824</v>
      </c>
      <c r="U157" s="18">
        <f t="shared" si="135"/>
        <v>1.2828999999999999</v>
      </c>
      <c r="V157" s="29">
        <f t="shared" si="136"/>
        <v>-0.1152</v>
      </c>
      <c r="W157" s="29">
        <f t="shared" si="137"/>
        <v>-3.8999999999999998E-3</v>
      </c>
      <c r="X157" s="30">
        <f t="shared" si="138"/>
        <v>134.77000000000001</v>
      </c>
      <c r="Y157" s="31">
        <f t="shared" si="139"/>
        <v>137.19</v>
      </c>
    </row>
    <row r="158" spans="1:25" x14ac:dyDescent="0.25">
      <c r="A158" s="5">
        <v>42239</v>
      </c>
      <c r="B158">
        <v>1898.038</v>
      </c>
      <c r="C158" s="29">
        <f t="shared" si="143"/>
        <v>3.0999999999999999E-3</v>
      </c>
      <c r="D158">
        <v>-0.72</v>
      </c>
      <c r="E158">
        <v>-1.137</v>
      </c>
      <c r="F158" s="18">
        <f t="shared" si="130"/>
        <v>-0.43599999999999994</v>
      </c>
      <c r="G158" s="18">
        <f t="shared" si="131"/>
        <v>-1.1280000000000001</v>
      </c>
      <c r="H158">
        <v>5.86</v>
      </c>
      <c r="I158">
        <v>3.1</v>
      </c>
      <c r="J158">
        <f t="shared" si="140"/>
        <v>4.4800000000000004</v>
      </c>
      <c r="K158" s="6">
        <f t="shared" si="141"/>
        <v>4.32</v>
      </c>
      <c r="L158" s="6">
        <f t="shared" si="142"/>
        <v>0.11000000000000032</v>
      </c>
      <c r="M158">
        <v>-0.74030964994946002</v>
      </c>
      <c r="N158">
        <v>271500</v>
      </c>
      <c r="O158" s="18">
        <f>ROUND(N158/VLOOKUP(EOMONTH(A158,-1),Employment!A:P,16,FALSE),4)</f>
        <v>1.0822000000000001</v>
      </c>
      <c r="P158" s="18">
        <f t="shared" si="132"/>
        <v>1.0774999999999999</v>
      </c>
      <c r="Q158" s="29">
        <f t="shared" si="133"/>
        <v>-0.1109</v>
      </c>
      <c r="R158" s="29">
        <f t="shared" si="134"/>
        <v>6.7999999999999996E-3</v>
      </c>
      <c r="S158">
        <v>2247000</v>
      </c>
      <c r="T158" s="18">
        <f>ROUND((S158/7)/VLOOKUP(EOMONTH(A158,-1),Employment!A:P,16,FALSE),4)</f>
        <v>1.2795000000000001</v>
      </c>
      <c r="U158" s="18">
        <f t="shared" si="135"/>
        <v>1.2830999999999999</v>
      </c>
      <c r="V158" s="29">
        <f t="shared" si="136"/>
        <v>-0.1166</v>
      </c>
      <c r="W158" s="29">
        <f t="shared" si="137"/>
        <v>-4.4999999999999997E-3</v>
      </c>
      <c r="X158" s="30">
        <f t="shared" si="138"/>
        <v>139.4</v>
      </c>
      <c r="Y158" s="31">
        <f t="shared" si="139"/>
        <v>137.83000000000001</v>
      </c>
    </row>
    <row r="159" spans="1:25" x14ac:dyDescent="0.25">
      <c r="A159" s="5">
        <v>42232</v>
      </c>
      <c r="B159">
        <v>1895.1851999999999</v>
      </c>
      <c r="C159" s="29">
        <f t="shared" si="143"/>
        <v>2.3999999999999998E-3</v>
      </c>
      <c r="D159">
        <v>-0.75</v>
      </c>
      <c r="E159">
        <v>-1.1539999999999999</v>
      </c>
      <c r="F159" s="18">
        <f t="shared" si="130"/>
        <v>-0.48000000000000043</v>
      </c>
      <c r="G159" s="18">
        <f t="shared" si="131"/>
        <v>-0.5</v>
      </c>
      <c r="H159">
        <v>5.52</v>
      </c>
      <c r="I159">
        <v>2.97</v>
      </c>
      <c r="J159">
        <f t="shared" si="140"/>
        <v>4.25</v>
      </c>
      <c r="K159" s="6">
        <f t="shared" si="141"/>
        <v>4.21</v>
      </c>
      <c r="L159" s="6">
        <f t="shared" si="142"/>
        <v>4.9999999999999822E-2</v>
      </c>
      <c r="M159">
        <v>-0.24023729466898</v>
      </c>
      <c r="N159">
        <v>268750</v>
      </c>
      <c r="O159" s="18">
        <f>ROUND(N159/VLOOKUP(EOMONTH(A159,-1),Employment!A:P,16,FALSE),4)</f>
        <v>1.0711999999999999</v>
      </c>
      <c r="P159" s="18">
        <f t="shared" si="132"/>
        <v>1.0845</v>
      </c>
      <c r="Q159" s="29">
        <f t="shared" si="133"/>
        <v>-0.1046</v>
      </c>
      <c r="R159" s="29">
        <f t="shared" si="134"/>
        <v>-1.5E-3</v>
      </c>
      <c r="S159">
        <v>2260000</v>
      </c>
      <c r="T159" s="18">
        <f>ROUND((S159/7)/VLOOKUP(EOMONTH(A159,-1),Employment!A:P,16,FALSE),4)</f>
        <v>1.2868999999999999</v>
      </c>
      <c r="U159" s="18">
        <f t="shared" si="135"/>
        <v>1.2865</v>
      </c>
      <c r="V159" s="29">
        <f t="shared" si="136"/>
        <v>-0.1179</v>
      </c>
      <c r="W159" s="29">
        <f t="shared" si="137"/>
        <v>-3.3999999999999998E-3</v>
      </c>
      <c r="X159" s="30">
        <f t="shared" si="138"/>
        <v>137.72</v>
      </c>
      <c r="Y159" s="31">
        <f t="shared" si="139"/>
        <v>135.57</v>
      </c>
    </row>
    <row r="160" spans="1:25" x14ac:dyDescent="0.25">
      <c r="A160" s="5">
        <v>42225</v>
      </c>
      <c r="B160">
        <v>1888.9559999999999</v>
      </c>
      <c r="C160" s="29">
        <f t="shared" si="143"/>
        <v>-8.0000000000000004E-4</v>
      </c>
      <c r="D160">
        <v>-0.77</v>
      </c>
      <c r="E160">
        <v>-1.1890000000000001</v>
      </c>
      <c r="F160" s="18">
        <f t="shared" si="130"/>
        <v>-0.21199999999999974</v>
      </c>
      <c r="G160" s="18">
        <f t="shared" si="131"/>
        <v>0.86400000000000077</v>
      </c>
      <c r="H160">
        <v>5.52</v>
      </c>
      <c r="I160">
        <v>2.91</v>
      </c>
      <c r="J160">
        <f t="shared" si="140"/>
        <v>4.22</v>
      </c>
      <c r="K160" s="6">
        <f t="shared" si="141"/>
        <v>4.16</v>
      </c>
      <c r="L160" s="6">
        <f t="shared" si="142"/>
        <v>0.11000000000000032</v>
      </c>
      <c r="M160">
        <v>-0.18829011021559</v>
      </c>
      <c r="N160">
        <v>270750</v>
      </c>
      <c r="O160" s="18">
        <f>ROUND(N160/VLOOKUP(EOMONTH(A160,-1),Employment!A:P,16,FALSE),4)</f>
        <v>1.0791999999999999</v>
      </c>
      <c r="P160" s="18">
        <f t="shared" si="132"/>
        <v>1.0991</v>
      </c>
      <c r="Q160" s="29">
        <f t="shared" si="133"/>
        <v>-9.6100000000000005E-2</v>
      </c>
      <c r="R160" s="29">
        <f t="shared" si="134"/>
        <v>-1.2200000000000001E-2</v>
      </c>
      <c r="S160">
        <v>2253000</v>
      </c>
      <c r="T160" s="18">
        <f>ROUND((S160/7)/VLOOKUP(EOMONTH(A160,-1),Employment!A:P,16,FALSE),4)</f>
        <v>1.2828999999999999</v>
      </c>
      <c r="U160" s="18">
        <f t="shared" si="135"/>
        <v>1.2801</v>
      </c>
      <c r="V160" s="29">
        <f t="shared" si="136"/>
        <v>-0.1225</v>
      </c>
      <c r="W160" s="29">
        <f t="shared" si="137"/>
        <v>-8.9999999999999998E-4</v>
      </c>
      <c r="X160" s="30">
        <f t="shared" si="138"/>
        <v>134.15</v>
      </c>
      <c r="Y160" s="31">
        <f t="shared" si="139"/>
        <v>133.81</v>
      </c>
    </row>
    <row r="161" spans="1:25" x14ac:dyDescent="0.25">
      <c r="A161" s="5">
        <v>42218</v>
      </c>
      <c r="B161">
        <v>1892.3779999999999</v>
      </c>
      <c r="C161" s="29">
        <f t="shared" si="143"/>
        <v>2.0999999999999999E-3</v>
      </c>
      <c r="D161">
        <v>-0.78</v>
      </c>
      <c r="E161">
        <v>-1.2030000000000001</v>
      </c>
      <c r="F161" s="18">
        <f t="shared" si="130"/>
        <v>0.19200000000000017</v>
      </c>
      <c r="G161" s="18">
        <f t="shared" si="131"/>
        <v>1.1080000000000005</v>
      </c>
      <c r="H161">
        <v>5.36</v>
      </c>
      <c r="I161">
        <v>2.94</v>
      </c>
      <c r="J161">
        <f t="shared" si="140"/>
        <v>4.1500000000000004</v>
      </c>
      <c r="K161" s="6">
        <f t="shared" si="141"/>
        <v>4.05</v>
      </c>
      <c r="L161" s="6">
        <f t="shared" si="142"/>
        <v>6.999999999999984E-2</v>
      </c>
      <c r="M161">
        <v>-6.0767105905413003E-2</v>
      </c>
      <c r="N161">
        <v>276750</v>
      </c>
      <c r="O161" s="18">
        <f>ROUND(N161/VLOOKUP(EOMONTH(A161,-1),Employment!A:P,16,FALSE),4)</f>
        <v>1.1031</v>
      </c>
      <c r="P161" s="18">
        <f t="shared" si="132"/>
        <v>1.1144000000000001</v>
      </c>
      <c r="Q161" s="29">
        <f t="shared" si="133"/>
        <v>-9.2999999999999999E-2</v>
      </c>
      <c r="R161" s="29">
        <f t="shared" si="134"/>
        <v>-1.7399999999999999E-2</v>
      </c>
      <c r="S161">
        <v>2265000</v>
      </c>
      <c r="T161" s="18">
        <f>ROUND((S161/7)/VLOOKUP(EOMONTH(A161,-1),Employment!A:P,16,FALSE),4)</f>
        <v>1.2898000000000001</v>
      </c>
      <c r="U161" s="18">
        <f t="shared" si="135"/>
        <v>1.2763</v>
      </c>
      <c r="V161" s="29">
        <f t="shared" si="136"/>
        <v>-0.1268</v>
      </c>
      <c r="W161" s="29">
        <f t="shared" si="137"/>
        <v>-3.0999999999999999E-3</v>
      </c>
      <c r="X161" s="30">
        <f t="shared" si="138"/>
        <v>133.76</v>
      </c>
      <c r="Y161" s="31">
        <f t="shared" si="139"/>
        <v>133.91999999999999</v>
      </c>
    </row>
    <row r="162" spans="1:25" x14ac:dyDescent="0.25">
      <c r="A162" s="5">
        <v>42211</v>
      </c>
      <c r="B162">
        <v>1892.0101999999999</v>
      </c>
      <c r="C162" s="29">
        <f t="shared" si="143"/>
        <v>3.7000000000000002E-3</v>
      </c>
      <c r="D162">
        <v>-0.78</v>
      </c>
      <c r="E162">
        <v>-1.179</v>
      </c>
      <c r="F162" s="18">
        <f t="shared" si="130"/>
        <v>0.88400000000000034</v>
      </c>
      <c r="G162" s="18">
        <f t="shared" si="131"/>
        <v>-0.15200000000000102</v>
      </c>
      <c r="H162">
        <v>5.32</v>
      </c>
      <c r="I162">
        <v>2.87</v>
      </c>
      <c r="J162">
        <f t="shared" si="140"/>
        <v>4.0999999999999996</v>
      </c>
      <c r="K162" s="6">
        <f t="shared" si="141"/>
        <v>3.98</v>
      </c>
      <c r="L162" s="6">
        <f t="shared" si="142"/>
        <v>6.999999999999984E-2</v>
      </c>
      <c r="M162">
        <v>9.7840494240886006E-2</v>
      </c>
      <c r="N162">
        <v>279500</v>
      </c>
      <c r="O162" s="18">
        <f>ROUND(N162/VLOOKUP(EOMONTH(A162,-1),Employment!A:P,16,FALSE),4)</f>
        <v>1.115</v>
      </c>
      <c r="P162" s="18">
        <f t="shared" si="132"/>
        <v>1.1176999999999999</v>
      </c>
      <c r="Q162" s="29">
        <f t="shared" si="133"/>
        <v>-0.1002</v>
      </c>
      <c r="R162" s="29">
        <f t="shared" si="134"/>
        <v>-1.35E-2</v>
      </c>
      <c r="S162">
        <v>2224000</v>
      </c>
      <c r="T162" s="18">
        <f>ROUND((S162/7)/VLOOKUP(EOMONTH(A162,-1),Employment!A:P,16,FALSE),4)</f>
        <v>1.2675000000000001</v>
      </c>
      <c r="U162" s="18">
        <f t="shared" si="135"/>
        <v>1.2859</v>
      </c>
      <c r="V162" s="29">
        <f t="shared" si="136"/>
        <v>-0.12479999999999999</v>
      </c>
      <c r="W162" s="29">
        <f t="shared" si="137"/>
        <v>-6.4000000000000003E-3</v>
      </c>
      <c r="X162" s="30">
        <f t="shared" si="138"/>
        <v>133.1</v>
      </c>
      <c r="Y162" s="31">
        <f t="shared" si="139"/>
        <v>135.96</v>
      </c>
    </row>
    <row r="163" spans="1:25" x14ac:dyDescent="0.25">
      <c r="A163" s="5">
        <v>42204</v>
      </c>
      <c r="B163">
        <v>1889.4041999999999</v>
      </c>
      <c r="C163" s="29">
        <f t="shared" si="143"/>
        <v>4.1000000000000003E-3</v>
      </c>
      <c r="D163">
        <v>-0.77</v>
      </c>
      <c r="E163">
        <v>-1.081</v>
      </c>
      <c r="F163" s="18">
        <f t="shared" si="130"/>
        <v>3.2000000000000028E-2</v>
      </c>
      <c r="G163" s="18">
        <f t="shared" si="131"/>
        <v>-0.88400000000000034</v>
      </c>
      <c r="H163">
        <v>4.95</v>
      </c>
      <c r="I163">
        <v>2.87</v>
      </c>
      <c r="J163">
        <f t="shared" si="140"/>
        <v>3.91</v>
      </c>
      <c r="K163" s="6">
        <f t="shared" si="141"/>
        <v>3.91</v>
      </c>
      <c r="L163" s="6">
        <f t="shared" si="142"/>
        <v>6.0000000000000053E-2</v>
      </c>
      <c r="M163">
        <v>0.30635898502043002</v>
      </c>
      <c r="N163">
        <v>282000</v>
      </c>
      <c r="O163" s="18">
        <f>ROUND(N163/VLOOKUP(EOMONTH(A163,-1),Employment!A:P,16,FALSE),4)</f>
        <v>1.125</v>
      </c>
      <c r="P163" s="18">
        <f t="shared" si="132"/>
        <v>1.1116999999999999</v>
      </c>
      <c r="Q163" s="29">
        <f t="shared" si="133"/>
        <v>-0.1154</v>
      </c>
      <c r="R163" s="29">
        <f t="shared" si="134"/>
        <v>-4.1999999999999997E-3</v>
      </c>
      <c r="S163">
        <v>2231000</v>
      </c>
      <c r="T163" s="18">
        <f>ROUND((S163/7)/VLOOKUP(EOMONTH(A163,-1),Employment!A:P,16,FALSE),4)</f>
        <v>1.2715000000000001</v>
      </c>
      <c r="U163" s="18">
        <f t="shared" si="135"/>
        <v>1.2931999999999999</v>
      </c>
      <c r="V163" s="29">
        <f t="shared" si="136"/>
        <v>-0.12590000000000001</v>
      </c>
      <c r="W163" s="29">
        <f t="shared" si="137"/>
        <v>-1.01E-2</v>
      </c>
      <c r="X163" s="30">
        <f t="shared" si="138"/>
        <v>136.36000000000001</v>
      </c>
      <c r="Y163" s="31">
        <f t="shared" si="139"/>
        <v>140.06</v>
      </c>
    </row>
    <row r="164" spans="1:25" x14ac:dyDescent="0.25">
      <c r="A164" s="5">
        <v>42197</v>
      </c>
      <c r="B164">
        <v>1888.0349000000001</v>
      </c>
      <c r="C164" s="29">
        <f t="shared" si="143"/>
        <v>5.8999999999999999E-3</v>
      </c>
      <c r="D164">
        <v>-0.77</v>
      </c>
      <c r="E164">
        <v>-1.077</v>
      </c>
      <c r="F164" s="18">
        <f t="shared" si="130"/>
        <v>-1.0680000000000014</v>
      </c>
      <c r="G164" s="18">
        <f t="shared" si="131"/>
        <v>-0.92000000000000171</v>
      </c>
      <c r="H164">
        <v>4.97</v>
      </c>
      <c r="I164">
        <v>2.9</v>
      </c>
      <c r="J164">
        <f t="shared" si="140"/>
        <v>3.94</v>
      </c>
      <c r="K164" s="6">
        <f t="shared" si="141"/>
        <v>3.85</v>
      </c>
      <c r="L164" s="6">
        <f t="shared" si="142"/>
        <v>5.0000000000000266E-2</v>
      </c>
      <c r="M164">
        <v>0.93815004912755995</v>
      </c>
      <c r="N164">
        <v>279000</v>
      </c>
      <c r="O164" s="18">
        <f>ROUND(N164/VLOOKUP(EOMONTH(A164,-1),Employment!A:P,16,FALSE),4)</f>
        <v>1.113</v>
      </c>
      <c r="P164" s="18">
        <f t="shared" si="132"/>
        <v>1.1027</v>
      </c>
      <c r="Q164" s="29">
        <f t="shared" si="133"/>
        <v>-0.1288</v>
      </c>
      <c r="R164" s="29">
        <f t="shared" si="134"/>
        <v>1.6000000000000001E-3</v>
      </c>
      <c r="S164">
        <v>2314000</v>
      </c>
      <c r="T164" s="18">
        <f>ROUND((S164/7)/VLOOKUP(EOMONTH(A164,-1),Employment!A:P,16,FALSE),4)</f>
        <v>1.3188</v>
      </c>
      <c r="U164" s="18">
        <f t="shared" si="135"/>
        <v>1.2986</v>
      </c>
      <c r="V164" s="29">
        <f t="shared" si="136"/>
        <v>-0.1278</v>
      </c>
      <c r="W164" s="29">
        <f t="shared" si="137"/>
        <v>-9.4999999999999998E-3</v>
      </c>
      <c r="X164" s="30">
        <f t="shared" si="138"/>
        <v>142.11000000000001</v>
      </c>
      <c r="Y164" s="31">
        <f t="shared" si="139"/>
        <v>141.99</v>
      </c>
    </row>
    <row r="165" spans="1:25" x14ac:dyDescent="0.25">
      <c r="A165" s="5">
        <v>42190</v>
      </c>
      <c r="B165">
        <v>1884.2991</v>
      </c>
      <c r="C165" s="29">
        <f t="shared" si="143"/>
        <v>5.8999999999999999E-3</v>
      </c>
      <c r="D165">
        <v>-0.78</v>
      </c>
      <c r="E165">
        <v>-1.198</v>
      </c>
      <c r="F165" s="18">
        <f t="shared" si="130"/>
        <v>0.15200000000000102</v>
      </c>
      <c r="G165" s="18">
        <f t="shared" si="131"/>
        <v>-0.1319999999999979</v>
      </c>
      <c r="H165">
        <v>4.91</v>
      </c>
      <c r="I165">
        <v>2.86</v>
      </c>
      <c r="J165">
        <f t="shared" si="140"/>
        <v>3.89</v>
      </c>
      <c r="K165" s="6">
        <f t="shared" si="141"/>
        <v>3.8</v>
      </c>
      <c r="L165" s="6">
        <f t="shared" si="142"/>
        <v>6.999999999999984E-2</v>
      </c>
      <c r="M165">
        <v>1.2340206034600001</v>
      </c>
      <c r="N165">
        <v>275000</v>
      </c>
      <c r="O165" s="18">
        <f>ROUND(N165/VLOOKUP(EOMONTH(A165,-1),Employment!A:P,16,FALSE),4)</f>
        <v>1.0971</v>
      </c>
      <c r="P165" s="18">
        <f t="shared" si="132"/>
        <v>1.1000000000000001</v>
      </c>
      <c r="Q165" s="29">
        <f t="shared" si="133"/>
        <v>-0.1326</v>
      </c>
      <c r="R165" s="29">
        <f t="shared" si="134"/>
        <v>-1.6000000000000001E-3</v>
      </c>
      <c r="S165">
        <v>2262000</v>
      </c>
      <c r="T165" s="18">
        <f>ROUND((S165/7)/VLOOKUP(EOMONTH(A165,-1),Employment!A:P,16,FALSE),4)</f>
        <v>1.2891999999999999</v>
      </c>
      <c r="U165" s="18">
        <f t="shared" si="135"/>
        <v>1.2853000000000001</v>
      </c>
      <c r="V165" s="29">
        <f t="shared" si="136"/>
        <v>-0.1391</v>
      </c>
      <c r="W165" s="29">
        <f t="shared" si="137"/>
        <v>-1.06E-2</v>
      </c>
      <c r="X165" s="30">
        <f t="shared" si="138"/>
        <v>144.19999999999999</v>
      </c>
      <c r="Y165" s="31">
        <f t="shared" si="139"/>
        <v>138.99</v>
      </c>
    </row>
    <row r="166" spans="1:25" x14ac:dyDescent="0.25">
      <c r="A166" s="5">
        <v>42183</v>
      </c>
      <c r="B166">
        <v>1878.4889000000001</v>
      </c>
      <c r="C166" s="29">
        <f t="shared" si="143"/>
        <v>4.4999999999999997E-3</v>
      </c>
      <c r="D166">
        <v>-0.78</v>
      </c>
      <c r="E166">
        <v>-1.179</v>
      </c>
      <c r="F166" s="18">
        <f t="shared" si="130"/>
        <v>-4.0000000000013358E-3</v>
      </c>
      <c r="G166" s="18">
        <f t="shared" si="131"/>
        <v>-0.76000000000000156</v>
      </c>
      <c r="H166">
        <v>4.6500000000000004</v>
      </c>
      <c r="I166">
        <v>2.81</v>
      </c>
      <c r="J166">
        <f t="shared" si="140"/>
        <v>3.73</v>
      </c>
      <c r="K166" s="6">
        <f t="shared" si="141"/>
        <v>3.73</v>
      </c>
      <c r="L166" s="6">
        <f t="shared" si="142"/>
        <v>4.0000000000000036E-2</v>
      </c>
      <c r="M166">
        <v>1.0398494085272001</v>
      </c>
      <c r="N166">
        <v>275000</v>
      </c>
      <c r="O166" s="18">
        <f>ROUND(N166/VLOOKUP(EOMONTH(A166,-1),Employment!A:P,16,FALSE),4)</f>
        <v>1.0980000000000001</v>
      </c>
      <c r="P166" s="18">
        <f t="shared" si="132"/>
        <v>1.1052999999999999</v>
      </c>
      <c r="Q166" s="29">
        <f t="shared" si="133"/>
        <v>-0.1295</v>
      </c>
      <c r="R166" s="29">
        <f t="shared" si="134"/>
        <v>-1.06E-2</v>
      </c>
      <c r="S166">
        <v>2258000</v>
      </c>
      <c r="T166" s="18">
        <f>ROUND((S166/7)/VLOOKUP(EOMONTH(A166,-1),Employment!A:P,16,FALSE),4)</f>
        <v>1.2879</v>
      </c>
      <c r="U166" s="18">
        <f t="shared" si="135"/>
        <v>1.2904</v>
      </c>
      <c r="V166" s="29">
        <f t="shared" si="136"/>
        <v>-0.14130000000000001</v>
      </c>
      <c r="W166" s="29">
        <f t="shared" si="137"/>
        <v>-1.0999999999999999E-2</v>
      </c>
      <c r="X166" s="30">
        <f t="shared" si="138"/>
        <v>136.13999999999999</v>
      </c>
      <c r="Y166" s="31">
        <f t="shared" si="139"/>
        <v>135.22999999999999</v>
      </c>
    </row>
    <row r="167" spans="1:25" x14ac:dyDescent="0.25">
      <c r="A167" s="5">
        <v>42176</v>
      </c>
      <c r="B167">
        <v>1875.9126000000001</v>
      </c>
      <c r="C167" s="29">
        <f t="shared" si="143"/>
        <v>5.7000000000000002E-3</v>
      </c>
      <c r="D167">
        <v>-0.79</v>
      </c>
      <c r="E167">
        <v>-1.167</v>
      </c>
      <c r="F167" s="18">
        <f t="shared" si="130"/>
        <v>-0.27999999999999758</v>
      </c>
      <c r="G167" s="18">
        <f t="shared" si="131"/>
        <v>-0.7759999999999998</v>
      </c>
      <c r="H167">
        <v>4.7300000000000004</v>
      </c>
      <c r="I167">
        <v>2.82</v>
      </c>
      <c r="J167">
        <f t="shared" si="140"/>
        <v>3.78</v>
      </c>
      <c r="K167" s="6">
        <f t="shared" si="141"/>
        <v>3.69</v>
      </c>
      <c r="L167" s="6">
        <f t="shared" si="142"/>
        <v>4.9999999999999822E-2</v>
      </c>
      <c r="M167">
        <v>0.92509491580938996</v>
      </c>
      <c r="N167">
        <v>276750</v>
      </c>
      <c r="O167" s="18">
        <f>ROUND(N167/VLOOKUP(EOMONTH(A167,-1),Employment!A:P,16,FALSE),4)</f>
        <v>1.105</v>
      </c>
      <c r="P167" s="18">
        <f t="shared" si="132"/>
        <v>1.1063000000000001</v>
      </c>
      <c r="Q167" s="29">
        <f t="shared" si="133"/>
        <v>-0.125</v>
      </c>
      <c r="R167" s="29">
        <f t="shared" si="134"/>
        <v>-1.67E-2</v>
      </c>
      <c r="S167">
        <v>2242000</v>
      </c>
      <c r="T167" s="18">
        <f>ROUND((S167/7)/VLOOKUP(EOMONTH(A167,-1),Employment!A:P,16,FALSE),4)</f>
        <v>1.2787999999999999</v>
      </c>
      <c r="U167" s="18">
        <f t="shared" si="135"/>
        <v>1.2857000000000001</v>
      </c>
      <c r="V167" s="29">
        <f t="shared" si="136"/>
        <v>-0.15079999999999999</v>
      </c>
      <c r="W167" s="29">
        <f t="shared" si="137"/>
        <v>-1.04E-2</v>
      </c>
      <c r="X167" s="30">
        <f t="shared" si="138"/>
        <v>133.1</v>
      </c>
      <c r="Y167" s="31">
        <f t="shared" si="139"/>
        <v>138.30000000000001</v>
      </c>
    </row>
    <row r="168" spans="1:25" x14ac:dyDescent="0.25">
      <c r="A168" s="5">
        <v>42169</v>
      </c>
      <c r="B168">
        <v>1868.9653000000001</v>
      </c>
      <c r="C168" s="29">
        <f t="shared" si="143"/>
        <v>4.1999999999999997E-3</v>
      </c>
      <c r="D168">
        <v>-0.79</v>
      </c>
      <c r="E168">
        <v>-1.202</v>
      </c>
      <c r="F168" s="18">
        <f t="shared" si="130"/>
        <v>-0.47600000000000264</v>
      </c>
      <c r="G168" s="18">
        <f t="shared" si="131"/>
        <v>-0.43599999999999994</v>
      </c>
      <c r="H168">
        <v>4.63</v>
      </c>
      <c r="I168">
        <v>2.7</v>
      </c>
      <c r="J168">
        <f t="shared" si="140"/>
        <v>3.67</v>
      </c>
      <c r="K168" s="6">
        <f t="shared" si="141"/>
        <v>3.64</v>
      </c>
      <c r="L168" s="6">
        <f t="shared" si="142"/>
        <v>2.0000000000000018E-2</v>
      </c>
      <c r="M168">
        <v>0.71163770571442997</v>
      </c>
      <c r="N168">
        <v>278750</v>
      </c>
      <c r="O168" s="18">
        <f>ROUND(N168/VLOOKUP(EOMONTH(A168,-1),Employment!A:P,16,FALSE),4)</f>
        <v>1.113</v>
      </c>
      <c r="P168" s="18">
        <f t="shared" si="132"/>
        <v>1.1015999999999999</v>
      </c>
      <c r="Q168" s="29">
        <f t="shared" si="133"/>
        <v>-0.12970000000000001</v>
      </c>
      <c r="R168" s="29">
        <f t="shared" si="134"/>
        <v>-9.9000000000000008E-3</v>
      </c>
      <c r="S168">
        <v>2287000</v>
      </c>
      <c r="T168" s="18">
        <f>ROUND((S168/7)/VLOOKUP(EOMONTH(A168,-1),Employment!A:P,16,FALSE),4)</f>
        <v>1.3045</v>
      </c>
      <c r="U168" s="18">
        <f t="shared" si="135"/>
        <v>1.2866</v>
      </c>
      <c r="V168" s="29">
        <f t="shared" si="136"/>
        <v>-0.15590000000000001</v>
      </c>
      <c r="W168" s="29">
        <f t="shared" si="137"/>
        <v>-8.0000000000000002E-3</v>
      </c>
      <c r="X168" s="30">
        <f t="shared" si="138"/>
        <v>138.29</v>
      </c>
      <c r="Y168" s="31">
        <f t="shared" si="139"/>
        <v>146.91</v>
      </c>
    </row>
    <row r="169" spans="1:25" x14ac:dyDescent="0.25">
      <c r="A169" s="5">
        <v>42162</v>
      </c>
      <c r="B169">
        <v>1869.3033</v>
      </c>
      <c r="C169" s="29">
        <f t="shared" si="143"/>
        <v>6.7000000000000002E-3</v>
      </c>
      <c r="D169">
        <v>-0.78</v>
      </c>
      <c r="E169">
        <v>-1.274</v>
      </c>
      <c r="F169" s="18">
        <f t="shared" si="130"/>
        <v>-1.9999999999999574E-2</v>
      </c>
      <c r="G169" s="18">
        <f t="shared" si="131"/>
        <v>-7.9999999999991189E-3</v>
      </c>
      <c r="H169">
        <v>4.5599999999999996</v>
      </c>
      <c r="I169">
        <v>2.69</v>
      </c>
      <c r="J169">
        <f t="shared" si="140"/>
        <v>3.63</v>
      </c>
      <c r="K169" s="6">
        <f t="shared" si="141"/>
        <v>3.62</v>
      </c>
      <c r="L169" s="6">
        <f t="shared" si="142"/>
        <v>0</v>
      </c>
      <c r="M169">
        <v>0.79868115781007998</v>
      </c>
      <c r="N169">
        <v>275750</v>
      </c>
      <c r="O169" s="18">
        <f>ROUND(N169/VLOOKUP(EOMONTH(A169,-1),Employment!A:P,16,FALSE),4)</f>
        <v>1.101</v>
      </c>
      <c r="P169" s="18">
        <f t="shared" si="132"/>
        <v>1.0899000000000001</v>
      </c>
      <c r="Q169" s="29">
        <f t="shared" si="133"/>
        <v>-0.1462</v>
      </c>
      <c r="R169" s="29">
        <f t="shared" si="134"/>
        <v>4.7000000000000002E-3</v>
      </c>
      <c r="S169">
        <v>2233000</v>
      </c>
      <c r="T169" s="18">
        <f>ROUND((S169/7)/VLOOKUP(EOMONTH(A169,-1),Employment!A:P,16,FALSE),4)</f>
        <v>1.2737000000000001</v>
      </c>
      <c r="U169" s="18">
        <f t="shared" si="135"/>
        <v>1.2788999999999999</v>
      </c>
      <c r="V169" s="29">
        <f t="shared" si="136"/>
        <v>-0.1671</v>
      </c>
      <c r="W169" s="29">
        <f t="shared" si="137"/>
        <v>-3.5999999999999999E-3</v>
      </c>
      <c r="X169" s="30">
        <f t="shared" si="138"/>
        <v>151.31</v>
      </c>
      <c r="Y169" s="31">
        <f t="shared" si="139"/>
        <v>154.56</v>
      </c>
    </row>
    <row r="170" spans="1:25" x14ac:dyDescent="0.25">
      <c r="A170" s="5">
        <v>42155</v>
      </c>
      <c r="B170">
        <v>1866.3409999999999</v>
      </c>
      <c r="C170" s="29">
        <f t="shared" si="143"/>
        <v>7.9000000000000008E-3</v>
      </c>
      <c r="D170">
        <v>-0.79</v>
      </c>
      <c r="E170">
        <v>-1.264</v>
      </c>
      <c r="F170" s="18">
        <f t="shared" si="130"/>
        <v>6.0000000000002274E-2</v>
      </c>
      <c r="G170" s="18">
        <f t="shared" si="131"/>
        <v>-1.0159999999999982</v>
      </c>
      <c r="H170">
        <v>4.5199999999999996</v>
      </c>
      <c r="I170">
        <v>2.72</v>
      </c>
      <c r="J170">
        <f t="shared" si="140"/>
        <v>3.62</v>
      </c>
      <c r="K170" s="6">
        <f t="shared" si="141"/>
        <v>3.62</v>
      </c>
      <c r="L170" s="6">
        <f t="shared" si="142"/>
        <v>1.0000000000000231E-2</v>
      </c>
      <c r="M170">
        <v>1.2166714347262999</v>
      </c>
      <c r="N170">
        <v>273000</v>
      </c>
      <c r="O170" s="18">
        <f>ROUND(N170/VLOOKUP(EOMONTH(A170,-1),Employment!A:P,16,FALSE),4)</f>
        <v>1.0908</v>
      </c>
      <c r="P170" s="18">
        <f t="shared" si="132"/>
        <v>1.0894999999999999</v>
      </c>
      <c r="Q170" s="29">
        <f t="shared" si="133"/>
        <v>-0.15870000000000001</v>
      </c>
      <c r="R170" s="29">
        <f t="shared" si="134"/>
        <v>1.7399999999999999E-2</v>
      </c>
      <c r="S170">
        <v>2245000</v>
      </c>
      <c r="T170" s="18">
        <f>ROUND((S170/7)/VLOOKUP(EOMONTH(A170,-1),Employment!A:P,16,FALSE),4)</f>
        <v>1.2815000000000001</v>
      </c>
      <c r="U170" s="18">
        <f t="shared" si="135"/>
        <v>1.2823</v>
      </c>
      <c r="V170" s="29">
        <f t="shared" si="136"/>
        <v>-0.17</v>
      </c>
      <c r="W170" s="29">
        <f t="shared" si="137"/>
        <v>-1E-4</v>
      </c>
      <c r="X170" s="30">
        <f t="shared" si="138"/>
        <v>157.47</v>
      </c>
      <c r="Y170" s="31">
        <f t="shared" si="139"/>
        <v>155.34</v>
      </c>
    </row>
    <row r="171" spans="1:25" x14ac:dyDescent="0.25">
      <c r="A171" s="5">
        <v>42148</v>
      </c>
      <c r="B171">
        <v>1856.3490999999999</v>
      </c>
      <c r="C171" s="29">
        <f t="shared" si="143"/>
        <v>3.8999999999999998E-3</v>
      </c>
      <c r="D171">
        <v>-0.78</v>
      </c>
      <c r="E171">
        <v>-1.2689999999999999</v>
      </c>
      <c r="F171" s="18">
        <f t="shared" si="130"/>
        <v>-4.8000000000001819E-2</v>
      </c>
      <c r="G171" s="18">
        <f t="shared" si="131"/>
        <v>-1.3560000000000016</v>
      </c>
      <c r="H171">
        <v>4.47</v>
      </c>
      <c r="I171">
        <v>2.74</v>
      </c>
      <c r="J171">
        <f t="shared" si="140"/>
        <v>3.61</v>
      </c>
      <c r="K171" s="6">
        <f t="shared" si="141"/>
        <v>3.61</v>
      </c>
      <c r="L171" s="6">
        <f t="shared" si="142"/>
        <v>9.9999999999997868E-3</v>
      </c>
      <c r="M171">
        <v>1.3771157105548999</v>
      </c>
      <c r="N171">
        <v>269750</v>
      </c>
      <c r="O171" s="18">
        <f>ROUND(N171/VLOOKUP(EOMONTH(A171,-1),Employment!A:P,16,FALSE),4)</f>
        <v>1.0779000000000001</v>
      </c>
      <c r="P171" s="18">
        <f t="shared" si="132"/>
        <v>1.1014999999999999</v>
      </c>
      <c r="Q171" s="29">
        <f t="shared" si="133"/>
        <v>-0.16070000000000001</v>
      </c>
      <c r="R171" s="29">
        <f t="shared" si="134"/>
        <v>1.8100000000000002E-2</v>
      </c>
      <c r="S171">
        <v>2245000</v>
      </c>
      <c r="T171" s="18">
        <f>ROUND((S171/7)/VLOOKUP(EOMONTH(A171,-1),Employment!A:P,16,FALSE),4)</f>
        <v>1.2815000000000001</v>
      </c>
      <c r="U171" s="18">
        <f t="shared" si="135"/>
        <v>1.2844</v>
      </c>
      <c r="V171" s="29">
        <f t="shared" si="136"/>
        <v>-0.17510000000000001</v>
      </c>
      <c r="W171" s="29">
        <f t="shared" si="137"/>
        <v>5.5999999999999999E-3</v>
      </c>
      <c r="X171" s="30">
        <f t="shared" si="138"/>
        <v>155.38999999999999</v>
      </c>
      <c r="Y171" s="31">
        <f t="shared" si="139"/>
        <v>152.21</v>
      </c>
    </row>
    <row r="172" spans="1:25" x14ac:dyDescent="0.25">
      <c r="A172" s="5">
        <v>42141</v>
      </c>
      <c r="B172">
        <v>1852.2784999999999</v>
      </c>
      <c r="C172" s="29">
        <f t="shared" si="143"/>
        <v>3.7000000000000002E-3</v>
      </c>
      <c r="D172">
        <v>-0.78</v>
      </c>
      <c r="E172">
        <v>-1.2749999999999999</v>
      </c>
      <c r="F172" s="18">
        <f t="shared" si="130"/>
        <v>-1.0279999999999987</v>
      </c>
      <c r="G172" s="18">
        <f t="shared" si="131"/>
        <v>-1.0640000000000001</v>
      </c>
      <c r="H172">
        <v>4.55</v>
      </c>
      <c r="I172">
        <v>2.72</v>
      </c>
      <c r="J172">
        <f t="shared" si="140"/>
        <v>3.64</v>
      </c>
      <c r="K172" s="6">
        <f t="shared" si="141"/>
        <v>3.6</v>
      </c>
      <c r="L172" s="6">
        <f t="shared" si="142"/>
        <v>3.0000000000000249E-2</v>
      </c>
      <c r="M172">
        <v>1.0936735246596001</v>
      </c>
      <c r="N172">
        <v>275250</v>
      </c>
      <c r="O172" s="18">
        <f>ROUND(N172/VLOOKUP(EOMONTH(A172,-1),Employment!A:P,16,FALSE),4)</f>
        <v>1.0998000000000001</v>
      </c>
      <c r="P172" s="18">
        <f t="shared" si="132"/>
        <v>1.1237999999999999</v>
      </c>
      <c r="Q172" s="29">
        <f t="shared" si="133"/>
        <v>-0.14419999999999999</v>
      </c>
      <c r="R172" s="29">
        <f t="shared" si="134"/>
        <v>9.9000000000000008E-3</v>
      </c>
      <c r="S172">
        <v>2249000</v>
      </c>
      <c r="T172" s="18">
        <f>ROUND((S172/7)/VLOOKUP(EOMONTH(A172,-1),Employment!A:P,16,FALSE),4)</f>
        <v>1.2838000000000001</v>
      </c>
      <c r="U172" s="18">
        <f t="shared" si="135"/>
        <v>1.2899</v>
      </c>
      <c r="V172" s="29">
        <f t="shared" si="136"/>
        <v>-0.17929999999999999</v>
      </c>
      <c r="W172" s="29">
        <f t="shared" si="137"/>
        <v>2.0999999999999999E-3</v>
      </c>
      <c r="X172" s="30">
        <f t="shared" si="138"/>
        <v>149.88</v>
      </c>
      <c r="Y172" s="31">
        <f t="shared" si="139"/>
        <v>150.30000000000001</v>
      </c>
    </row>
    <row r="173" spans="1:25" x14ac:dyDescent="0.25">
      <c r="A173" s="5">
        <v>42134</v>
      </c>
      <c r="B173">
        <v>1852.1891000000001</v>
      </c>
      <c r="C173" s="29">
        <f t="shared" si="143"/>
        <v>5.1000000000000004E-3</v>
      </c>
      <c r="D173">
        <v>-0.79</v>
      </c>
      <c r="E173">
        <v>-1.391</v>
      </c>
      <c r="F173" s="18">
        <f t="shared" si="130"/>
        <v>-0.28000000000000114</v>
      </c>
      <c r="G173" s="18">
        <f t="shared" si="131"/>
        <v>0.1839999999999975</v>
      </c>
      <c r="H173">
        <v>4.53</v>
      </c>
      <c r="I173">
        <v>2.65</v>
      </c>
      <c r="J173">
        <f t="shared" si="140"/>
        <v>3.59</v>
      </c>
      <c r="K173" s="6">
        <f t="shared" si="141"/>
        <v>3.57</v>
      </c>
      <c r="L173" s="6">
        <f t="shared" si="142"/>
        <v>-1.0000000000000231E-2</v>
      </c>
      <c r="M173">
        <v>0.35358888617744999</v>
      </c>
      <c r="N173">
        <v>282000</v>
      </c>
      <c r="O173" s="18">
        <f>ROUND(N173/VLOOKUP(EOMONTH(A173,-1),Employment!A:P,16,FALSE),4)</f>
        <v>1.1268</v>
      </c>
      <c r="P173" s="18">
        <f t="shared" si="132"/>
        <v>1.1387</v>
      </c>
      <c r="Q173" s="29">
        <f t="shared" si="133"/>
        <v>-0.12920000000000001</v>
      </c>
      <c r="R173" s="29">
        <f t="shared" si="134"/>
        <v>3.5000000000000001E-3</v>
      </c>
      <c r="S173">
        <v>2256000</v>
      </c>
      <c r="T173" s="18">
        <f>ROUND((S173/7)/VLOOKUP(EOMONTH(A173,-1),Employment!A:P,16,FALSE),4)</f>
        <v>1.2878000000000001</v>
      </c>
      <c r="U173" s="18">
        <f t="shared" si="135"/>
        <v>1.3049999999999999</v>
      </c>
      <c r="V173" s="29">
        <f t="shared" si="136"/>
        <v>-0.16930000000000001</v>
      </c>
      <c r="W173" s="29">
        <f t="shared" si="137"/>
        <v>-1E-3</v>
      </c>
      <c r="X173" s="30">
        <f t="shared" si="138"/>
        <v>150.09</v>
      </c>
      <c r="Y173" s="31">
        <f t="shared" si="139"/>
        <v>152.02000000000001</v>
      </c>
    </row>
    <row r="174" spans="1:25" x14ac:dyDescent="0.25">
      <c r="A174" s="5">
        <v>42127</v>
      </c>
      <c r="B174">
        <v>1846.3207</v>
      </c>
      <c r="C174" s="29">
        <f t="shared" si="143"/>
        <v>3.5000000000000001E-3</v>
      </c>
      <c r="D174">
        <v>-0.79</v>
      </c>
      <c r="E174">
        <v>-1.4259999999999999</v>
      </c>
      <c r="F174" s="18">
        <f t="shared" si="130"/>
        <v>0.24399999999999977</v>
      </c>
      <c r="G174" s="18">
        <f t="shared" si="131"/>
        <v>1.0839999999999996</v>
      </c>
      <c r="H174">
        <v>4.53</v>
      </c>
      <c r="I174">
        <v>2.61</v>
      </c>
      <c r="J174">
        <f t="shared" si="140"/>
        <v>3.57</v>
      </c>
      <c r="K174" s="6">
        <f t="shared" si="141"/>
        <v>3.58</v>
      </c>
      <c r="L174" s="6">
        <f t="shared" si="142"/>
        <v>0</v>
      </c>
      <c r="M174">
        <v>-0.23952551996105001</v>
      </c>
      <c r="N174">
        <v>286500</v>
      </c>
      <c r="O174" s="18">
        <f>ROUND(N174/VLOOKUP(EOMONTH(A174,-1),Employment!A:P,16,FALSE),4)</f>
        <v>1.1448</v>
      </c>
      <c r="P174" s="18">
        <f t="shared" si="132"/>
        <v>1.1416999999999999</v>
      </c>
      <c r="Q174" s="29">
        <f t="shared" si="133"/>
        <v>-0.11849999999999999</v>
      </c>
      <c r="R174" s="29">
        <f t="shared" si="134"/>
        <v>4.7999999999999996E-3</v>
      </c>
      <c r="S174">
        <v>2274000</v>
      </c>
      <c r="T174" s="18">
        <f>ROUND((S174/7)/VLOOKUP(EOMONTH(A174,-1),Employment!A:P,16,FALSE),4)</f>
        <v>1.298</v>
      </c>
      <c r="U174" s="18">
        <f t="shared" si="135"/>
        <v>1.3103</v>
      </c>
      <c r="V174" s="29">
        <f t="shared" si="136"/>
        <v>-0.1694</v>
      </c>
      <c r="W174" s="29">
        <f t="shared" si="137"/>
        <v>-2.8E-3</v>
      </c>
      <c r="X174" s="30">
        <f t="shared" si="138"/>
        <v>151.87</v>
      </c>
      <c r="Y174" s="31">
        <f t="shared" si="139"/>
        <v>154.72999999999999</v>
      </c>
    </row>
    <row r="175" spans="1:25" x14ac:dyDescent="0.25">
      <c r="A175" s="5">
        <v>42120</v>
      </c>
      <c r="B175">
        <v>1846.0382</v>
      </c>
      <c r="C175" s="29">
        <f t="shared" si="143"/>
        <v>5.1999999999999998E-3</v>
      </c>
      <c r="D175">
        <v>-0.78</v>
      </c>
      <c r="E175">
        <v>-1.4079999999999999</v>
      </c>
      <c r="F175" s="18">
        <f t="shared" si="130"/>
        <v>0.21999999999999886</v>
      </c>
      <c r="G175" s="18">
        <f t="shared" si="131"/>
        <v>0.98799999999999955</v>
      </c>
      <c r="H175">
        <v>4.5599999999999996</v>
      </c>
      <c r="I175">
        <v>2.56</v>
      </c>
      <c r="J175">
        <f t="shared" si="140"/>
        <v>3.56</v>
      </c>
      <c r="K175" s="6">
        <f t="shared" si="141"/>
        <v>3.58</v>
      </c>
      <c r="L175" s="6">
        <f t="shared" si="142"/>
        <v>-4.0000000000000036E-2</v>
      </c>
      <c r="M175">
        <v>-0.79255188846265001</v>
      </c>
      <c r="N175">
        <v>286250</v>
      </c>
      <c r="O175" s="18">
        <f>ROUND(N175/VLOOKUP(EOMONTH(A175,-1),Employment!A:P,16,FALSE),4)</f>
        <v>1.1446000000000001</v>
      </c>
      <c r="P175" s="18">
        <f t="shared" si="132"/>
        <v>1.1375999999999999</v>
      </c>
      <c r="Q175" s="29">
        <f t="shared" si="133"/>
        <v>-0.11940000000000001</v>
      </c>
      <c r="R175" s="29">
        <f t="shared" si="134"/>
        <v>1.2800000000000001E-2</v>
      </c>
      <c r="S175">
        <v>2327000</v>
      </c>
      <c r="T175" s="18">
        <f>ROUND((S175/7)/VLOOKUP(EOMONTH(A175,-1),Employment!A:P,16,FALSE),4)</f>
        <v>1.3292999999999999</v>
      </c>
      <c r="U175" s="18">
        <f t="shared" si="135"/>
        <v>1.3134999999999999</v>
      </c>
      <c r="V175" s="29">
        <f t="shared" si="136"/>
        <v>-0.16500000000000001</v>
      </c>
      <c r="W175" s="29">
        <f t="shared" si="137"/>
        <v>3.3E-3</v>
      </c>
      <c r="X175" s="30">
        <f t="shared" si="138"/>
        <v>157.21</v>
      </c>
      <c r="Y175" s="31">
        <f t="shared" si="139"/>
        <v>155.15</v>
      </c>
    </row>
    <row r="176" spans="1:25" x14ac:dyDescent="0.25">
      <c r="A176" s="5">
        <v>42113</v>
      </c>
      <c r="B176">
        <v>1837.5791999999999</v>
      </c>
      <c r="C176" s="29">
        <f t="shared" si="143"/>
        <v>2.3999999999999998E-3</v>
      </c>
      <c r="D176">
        <v>-0.79</v>
      </c>
      <c r="E176">
        <v>-1.3680000000000001</v>
      </c>
      <c r="F176" s="18">
        <f t="shared" si="130"/>
        <v>0.62000000000000099</v>
      </c>
      <c r="G176" s="18">
        <f t="shared" si="131"/>
        <v>1.0920000000000023</v>
      </c>
      <c r="H176">
        <v>4.66</v>
      </c>
      <c r="I176">
        <v>2.5299999999999998</v>
      </c>
      <c r="J176">
        <f t="shared" si="140"/>
        <v>3.6</v>
      </c>
      <c r="K176" s="6">
        <f t="shared" si="141"/>
        <v>3.62</v>
      </c>
      <c r="L176" s="6">
        <f t="shared" si="142"/>
        <v>-2.0000000000000018E-2</v>
      </c>
      <c r="M176">
        <v>-1.4335958681187</v>
      </c>
      <c r="N176">
        <v>284000</v>
      </c>
      <c r="O176" s="18">
        <f>ROUND(N176/VLOOKUP(EOMONTH(A176,-1),Employment!A:P,16,FALSE),4)</f>
        <v>1.1355999999999999</v>
      </c>
      <c r="P176" s="18">
        <f t="shared" si="132"/>
        <v>1.1375999999999999</v>
      </c>
      <c r="Q176" s="29">
        <f t="shared" si="133"/>
        <v>-0.1226</v>
      </c>
      <c r="R176" s="29">
        <f t="shared" si="134"/>
        <v>1.37E-2</v>
      </c>
      <c r="S176">
        <v>2282000</v>
      </c>
      <c r="T176" s="18">
        <f>ROUND((S176/7)/VLOOKUP(EOMONTH(A176,-1),Employment!A:P,16,FALSE),4)</f>
        <v>1.3036000000000001</v>
      </c>
      <c r="U176" s="18">
        <f t="shared" si="135"/>
        <v>1.3109999999999999</v>
      </c>
      <c r="V176" s="29">
        <f t="shared" si="136"/>
        <v>-0.17810000000000001</v>
      </c>
      <c r="W176" s="29">
        <f t="shared" si="137"/>
        <v>5.1999999999999998E-3</v>
      </c>
      <c r="X176" s="30">
        <f t="shared" si="138"/>
        <v>155.66999999999999</v>
      </c>
      <c r="Y176" s="31">
        <f t="shared" si="139"/>
        <v>149.31</v>
      </c>
    </row>
    <row r="177" spans="1:25" x14ac:dyDescent="0.25">
      <c r="A177" s="5">
        <v>42106</v>
      </c>
      <c r="B177">
        <v>1841.3652</v>
      </c>
      <c r="C177" s="29">
        <f t="shared" si="143"/>
        <v>7.1000000000000004E-3</v>
      </c>
      <c r="D177">
        <v>-0.78</v>
      </c>
      <c r="E177">
        <v>-1.3029999999999999</v>
      </c>
      <c r="F177" s="18">
        <f t="shared" si="130"/>
        <v>0.14799999999999969</v>
      </c>
      <c r="G177" s="18">
        <f t="shared" si="131"/>
        <v>0.77999999999999758</v>
      </c>
      <c r="H177">
        <v>4.5999999999999996</v>
      </c>
      <c r="I177">
        <v>2.5299999999999998</v>
      </c>
      <c r="J177">
        <f t="shared" si="140"/>
        <v>3.57</v>
      </c>
      <c r="K177" s="6">
        <f t="shared" si="141"/>
        <v>3.64</v>
      </c>
      <c r="L177" s="6">
        <f t="shared" si="142"/>
        <v>-2.9999999999999805E-2</v>
      </c>
      <c r="M177">
        <v>-1.9687526318037001</v>
      </c>
      <c r="N177">
        <v>283250</v>
      </c>
      <c r="O177" s="18">
        <f>ROUND(N177/VLOOKUP(EOMONTH(A177,-1),Employment!A:P,16,FALSE),4)</f>
        <v>1.1326000000000001</v>
      </c>
      <c r="P177" s="18">
        <f t="shared" si="132"/>
        <v>1.1569</v>
      </c>
      <c r="Q177" s="29">
        <f t="shared" si="133"/>
        <v>-0.1119</v>
      </c>
      <c r="R177" s="29">
        <f t="shared" si="134"/>
        <v>3.8E-3</v>
      </c>
      <c r="S177">
        <v>2289000</v>
      </c>
      <c r="T177" s="18">
        <f>ROUND((S177/7)/VLOOKUP(EOMONTH(A177,-1),Employment!A:P,16,FALSE),4)</f>
        <v>1.3076000000000001</v>
      </c>
      <c r="U177" s="18">
        <f t="shared" si="135"/>
        <v>1.3298000000000001</v>
      </c>
      <c r="V177" s="29">
        <f t="shared" si="136"/>
        <v>-0.16980000000000001</v>
      </c>
      <c r="W177" s="29">
        <f t="shared" si="137"/>
        <v>4.0000000000000002E-4</v>
      </c>
      <c r="X177" s="30">
        <f t="shared" si="138"/>
        <v>148.72</v>
      </c>
      <c r="Y177" s="31">
        <f t="shared" si="139"/>
        <v>139.12</v>
      </c>
    </row>
    <row r="178" spans="1:25" x14ac:dyDescent="0.25">
      <c r="A178" s="5">
        <v>42099</v>
      </c>
      <c r="B178">
        <v>1834.4063000000001</v>
      </c>
      <c r="C178" s="29">
        <f t="shared" si="143"/>
        <v>6.1000000000000004E-3</v>
      </c>
      <c r="D178">
        <v>-0.77</v>
      </c>
      <c r="E178">
        <v>-1.2969999999999999</v>
      </c>
      <c r="F178" s="18">
        <f t="shared" si="130"/>
        <v>0.32400000000000162</v>
      </c>
      <c r="G178" s="18">
        <f t="shared" si="131"/>
        <v>0.51200000000000045</v>
      </c>
      <c r="H178">
        <v>4.82</v>
      </c>
      <c r="I178">
        <v>2.58</v>
      </c>
      <c r="J178">
        <f t="shared" si="140"/>
        <v>3.7</v>
      </c>
      <c r="K178" s="6">
        <f t="shared" si="141"/>
        <v>3.67</v>
      </c>
      <c r="L178" s="6">
        <f t="shared" si="142"/>
        <v>4.0000000000000036E-2</v>
      </c>
      <c r="M178">
        <v>-2.4531757617903001</v>
      </c>
      <c r="N178">
        <v>286250</v>
      </c>
      <c r="O178" s="18">
        <f>ROUND(N178/VLOOKUP(EOMONTH(A178,-1),Employment!A:P,16,FALSE),4)</f>
        <v>1.1446000000000001</v>
      </c>
      <c r="P178" s="18">
        <f t="shared" si="132"/>
        <v>1.1815</v>
      </c>
      <c r="Q178" s="29">
        <f t="shared" si="133"/>
        <v>-9.8599999999999993E-2</v>
      </c>
      <c r="R178" s="29">
        <f t="shared" si="134"/>
        <v>-1.2500000000000001E-2</v>
      </c>
      <c r="S178">
        <v>2314000</v>
      </c>
      <c r="T178" s="18">
        <f>ROUND((S178/7)/VLOOKUP(EOMONTH(A178,-1),Employment!A:P,16,FALSE),4)</f>
        <v>1.3219000000000001</v>
      </c>
      <c r="U178" s="18">
        <f t="shared" si="135"/>
        <v>1.3460000000000001</v>
      </c>
      <c r="V178" s="29">
        <f t="shared" si="136"/>
        <v>-0.16789999999999999</v>
      </c>
      <c r="W178" s="29">
        <f t="shared" si="137"/>
        <v>-7.6E-3</v>
      </c>
      <c r="X178" s="30">
        <f t="shared" si="138"/>
        <v>134.87</v>
      </c>
      <c r="Y178" s="31">
        <f t="shared" si="139"/>
        <v>129.57</v>
      </c>
    </row>
    <row r="179" spans="1:25" x14ac:dyDescent="0.25">
      <c r="A179" s="5">
        <v>42092</v>
      </c>
      <c r="B179">
        <v>1832.5027</v>
      </c>
      <c r="C179" s="29">
        <f t="shared" si="143"/>
        <v>8.6E-3</v>
      </c>
      <c r="D179">
        <v>-0.76</v>
      </c>
      <c r="E179">
        <v>-1.2689999999999999</v>
      </c>
      <c r="F179" s="18">
        <f t="shared" si="130"/>
        <v>0.30799999999999628</v>
      </c>
      <c r="G179" s="18">
        <f t="shared" si="131"/>
        <v>0.23199999999999932</v>
      </c>
      <c r="H179">
        <v>4.76</v>
      </c>
      <c r="I179">
        <v>2.5299999999999998</v>
      </c>
      <c r="J179">
        <f t="shared" si="140"/>
        <v>3.65</v>
      </c>
      <c r="K179" s="6">
        <f t="shared" si="141"/>
        <v>3.63</v>
      </c>
      <c r="L179" s="6">
        <f t="shared" si="142"/>
        <v>6.999999999999984E-2</v>
      </c>
      <c r="M179">
        <v>-3.2332500541667999</v>
      </c>
      <c r="N179">
        <v>298250</v>
      </c>
      <c r="O179" s="18">
        <f>ROUND(N179/VLOOKUP(EOMONTH(A179,-1),Employment!A:P,16,FALSE),4)</f>
        <v>1.1935</v>
      </c>
      <c r="P179" s="18">
        <f t="shared" si="132"/>
        <v>1.2015</v>
      </c>
      <c r="Q179" s="29">
        <f t="shared" si="133"/>
        <v>-8.8700000000000001E-2</v>
      </c>
      <c r="R179" s="29">
        <f t="shared" si="134"/>
        <v>-2.4500000000000001E-2</v>
      </c>
      <c r="S179">
        <v>2379000</v>
      </c>
      <c r="T179" s="18">
        <f>ROUND((S179/7)/VLOOKUP(EOMONTH(A179,-1),Employment!A:P,16,FALSE),4)</f>
        <v>1.36</v>
      </c>
      <c r="U179" s="18">
        <f t="shared" si="135"/>
        <v>1.3579000000000001</v>
      </c>
      <c r="V179" s="29">
        <f t="shared" si="136"/>
        <v>-0.16020000000000001</v>
      </c>
      <c r="W179" s="29">
        <f t="shared" si="137"/>
        <v>-1.2800000000000001E-2</v>
      </c>
      <c r="X179" s="30">
        <f t="shared" si="138"/>
        <v>125.72999999999999</v>
      </c>
      <c r="Y179" s="31">
        <f t="shared" si="139"/>
        <v>127.65</v>
      </c>
    </row>
    <row r="180" spans="1:25" x14ac:dyDescent="0.25">
      <c r="A180" s="5">
        <v>42085</v>
      </c>
      <c r="B180">
        <v>1824.1713</v>
      </c>
      <c r="C180" s="29">
        <f t="shared" si="143"/>
        <v>7.7000000000000002E-3</v>
      </c>
      <c r="D180">
        <v>-0.75</v>
      </c>
      <c r="E180">
        <v>-1.2430000000000001</v>
      </c>
      <c r="F180" s="18">
        <f t="shared" si="130"/>
        <v>-0.11999999999999744</v>
      </c>
      <c r="G180" s="18">
        <f t="shared" si="131"/>
        <v>0.74000000000000199</v>
      </c>
      <c r="H180">
        <v>4.8099999999999996</v>
      </c>
      <c r="I180">
        <v>2.5099999999999998</v>
      </c>
      <c r="J180">
        <f t="shared" si="140"/>
        <v>3.66</v>
      </c>
      <c r="K180" s="6">
        <f t="shared" si="141"/>
        <v>3.56</v>
      </c>
      <c r="L180" s="6">
        <f t="shared" si="142"/>
        <v>6.999999999999984E-2</v>
      </c>
      <c r="M180">
        <v>-3.5003942002935</v>
      </c>
      <c r="N180">
        <v>301500</v>
      </c>
      <c r="O180" s="18">
        <f>ROUND(N180/VLOOKUP(EOMONTH(A180,-1),Employment!A:P,16,FALSE),4)</f>
        <v>1.2064999999999999</v>
      </c>
      <c r="P180" s="18">
        <f t="shared" si="132"/>
        <v>1.2055</v>
      </c>
      <c r="Q180" s="29">
        <f t="shared" si="133"/>
        <v>-9.6000000000000002E-2</v>
      </c>
      <c r="R180" s="29">
        <f t="shared" si="134"/>
        <v>-2.5899999999999999E-2</v>
      </c>
      <c r="S180">
        <v>2372000</v>
      </c>
      <c r="T180" s="18">
        <f>ROUND((S180/7)/VLOOKUP(EOMONTH(A180,-1),Employment!A:P,16,FALSE),4)</f>
        <v>1.3560000000000001</v>
      </c>
      <c r="U180" s="18">
        <f t="shared" si="135"/>
        <v>1.3541000000000001</v>
      </c>
      <c r="V180" s="29">
        <f t="shared" si="136"/>
        <v>-0.1678</v>
      </c>
      <c r="W180" s="29">
        <f t="shared" si="137"/>
        <v>-1.0800000000000001E-2</v>
      </c>
      <c r="X180" s="30">
        <f t="shared" si="138"/>
        <v>125.91</v>
      </c>
      <c r="Y180" s="31">
        <f t="shared" si="139"/>
        <v>134.16999999999999</v>
      </c>
    </row>
    <row r="181" spans="1:25" x14ac:dyDescent="0.25">
      <c r="A181" s="5">
        <v>42078</v>
      </c>
      <c r="B181">
        <v>1822.7311999999999</v>
      </c>
      <c r="C181" s="29">
        <f t="shared" si="143"/>
        <v>1.1299999999999999E-2</v>
      </c>
      <c r="D181">
        <v>-0.73</v>
      </c>
      <c r="E181">
        <v>-1.2829999999999999</v>
      </c>
      <c r="F181" s="18">
        <f t="shared" si="130"/>
        <v>4.4000000000000483E-2</v>
      </c>
      <c r="G181" s="18">
        <f t="shared" si="131"/>
        <v>1.2480000000000011</v>
      </c>
      <c r="H181">
        <v>4.68</v>
      </c>
      <c r="I181">
        <v>2.4700000000000002</v>
      </c>
      <c r="J181">
        <f t="shared" si="140"/>
        <v>3.58</v>
      </c>
      <c r="K181" s="6">
        <f t="shared" si="141"/>
        <v>3.49</v>
      </c>
      <c r="L181" s="6">
        <f t="shared" si="142"/>
        <v>2.0000000000000018E-2</v>
      </c>
      <c r="M181">
        <v>-3.8931293703232002</v>
      </c>
      <c r="N181">
        <v>301000</v>
      </c>
      <c r="O181" s="18">
        <f>ROUND(N181/VLOOKUP(EOMONTH(A181,-1),Employment!A:P,16,FALSE),4)</f>
        <v>1.2044999999999999</v>
      </c>
      <c r="P181" s="18">
        <f t="shared" si="132"/>
        <v>1.1952</v>
      </c>
      <c r="Q181" s="29">
        <f t="shared" si="133"/>
        <v>-0.112</v>
      </c>
      <c r="R181" s="29">
        <f t="shared" si="134"/>
        <v>-1.5100000000000001E-2</v>
      </c>
      <c r="S181">
        <v>2375000</v>
      </c>
      <c r="T181" s="18">
        <f>ROUND((S181/7)/VLOOKUP(EOMONTH(A181,-1),Employment!A:P,16,FALSE),4)</f>
        <v>1.3576999999999999</v>
      </c>
      <c r="U181" s="18">
        <f t="shared" si="135"/>
        <v>1.3482000000000001</v>
      </c>
      <c r="V181" s="29">
        <f t="shared" si="136"/>
        <v>-0.1767</v>
      </c>
      <c r="W181" s="29">
        <f t="shared" si="137"/>
        <v>-6.7000000000000002E-3</v>
      </c>
      <c r="X181" s="30">
        <f t="shared" si="138"/>
        <v>136.82</v>
      </c>
      <c r="Y181" s="31">
        <f t="shared" si="139"/>
        <v>144.27000000000001</v>
      </c>
    </row>
    <row r="182" spans="1:25" x14ac:dyDescent="0.25">
      <c r="A182" s="5">
        <v>42071</v>
      </c>
      <c r="B182">
        <v>1813.4323999999999</v>
      </c>
      <c r="C182" s="29">
        <f t="shared" si="143"/>
        <v>9.1999999999999998E-3</v>
      </c>
      <c r="D182">
        <v>-0.72</v>
      </c>
      <c r="E182">
        <v>-1.29</v>
      </c>
      <c r="F182" s="18">
        <f t="shared" si="130"/>
        <v>0.81599999999999895</v>
      </c>
      <c r="G182" s="18">
        <f t="shared" si="131"/>
        <v>1.3399999999999999</v>
      </c>
      <c r="H182">
        <v>4.42</v>
      </c>
      <c r="I182">
        <v>2.4500000000000002</v>
      </c>
      <c r="J182">
        <f t="shared" si="140"/>
        <v>3.44</v>
      </c>
      <c r="K182" s="6">
        <f t="shared" si="141"/>
        <v>3.47</v>
      </c>
      <c r="L182" s="6">
        <f t="shared" si="142"/>
        <v>-5.9999999999999609E-2</v>
      </c>
      <c r="M182">
        <v>-4.4036263428908002</v>
      </c>
      <c r="N182">
        <v>301250</v>
      </c>
      <c r="O182" s="18">
        <f>ROUND(N182/VLOOKUP(EOMONTH(A182,-1),Employment!A:P,16,FALSE),4)</f>
        <v>1.2055</v>
      </c>
      <c r="P182" s="18">
        <f t="shared" si="132"/>
        <v>1.1720999999999999</v>
      </c>
      <c r="Q182" s="29">
        <f t="shared" si="133"/>
        <v>-0.13550000000000001</v>
      </c>
      <c r="R182" s="29">
        <f t="shared" si="134"/>
        <v>2.8999999999999998E-3</v>
      </c>
      <c r="S182">
        <v>2359000</v>
      </c>
      <c r="T182" s="18">
        <f>ROUND((S182/7)/VLOOKUP(EOMONTH(A182,-1),Employment!A:P,16,FALSE),4)</f>
        <v>1.3485</v>
      </c>
      <c r="U182" s="18">
        <f t="shared" si="135"/>
        <v>1.3447</v>
      </c>
      <c r="V182" s="29">
        <f t="shared" si="136"/>
        <v>-0.1855</v>
      </c>
      <c r="W182" s="29">
        <f t="shared" si="137"/>
        <v>1E-4</v>
      </c>
      <c r="X182" s="30">
        <f t="shared" si="138"/>
        <v>148.19</v>
      </c>
      <c r="Y182" s="31">
        <f t="shared" si="139"/>
        <v>150.47</v>
      </c>
    </row>
    <row r="183" spans="1:25" x14ac:dyDescent="0.25">
      <c r="A183" s="5">
        <v>42064</v>
      </c>
      <c r="B183">
        <v>1807.2527</v>
      </c>
      <c r="C183" s="29">
        <f t="shared" si="143"/>
        <v>7.6E-3</v>
      </c>
      <c r="D183">
        <v>-0.7</v>
      </c>
      <c r="E183">
        <v>-1.2130000000000001</v>
      </c>
      <c r="F183" s="18">
        <f t="shared" si="130"/>
        <v>0.38800000000000168</v>
      </c>
      <c r="G183" s="18">
        <f t="shared" si="131"/>
        <v>0.69599999999999795</v>
      </c>
      <c r="H183">
        <v>4.43</v>
      </c>
      <c r="I183">
        <v>2.46</v>
      </c>
      <c r="J183">
        <f t="shared" si="140"/>
        <v>3.45</v>
      </c>
      <c r="K183" s="6">
        <f t="shared" si="141"/>
        <v>3.53</v>
      </c>
      <c r="L183" s="6">
        <f t="shared" si="142"/>
        <v>-8.0000000000000071E-2</v>
      </c>
      <c r="M183">
        <v>-4.4201357045472003</v>
      </c>
      <c r="N183">
        <v>293750</v>
      </c>
      <c r="O183" s="18">
        <f>ROUND(N183/VLOOKUP(EOMONTH(A183,-1),Employment!A:P,16,FALSE),4)</f>
        <v>1.1755</v>
      </c>
      <c r="P183" s="18">
        <f t="shared" si="132"/>
        <v>1.1514</v>
      </c>
      <c r="Q183" s="29">
        <f t="shared" si="133"/>
        <v>-0.1522</v>
      </c>
      <c r="R183" s="29">
        <f t="shared" si="134"/>
        <v>1.5599999999999999E-2</v>
      </c>
      <c r="S183">
        <v>2341000</v>
      </c>
      <c r="T183" s="18">
        <f>ROUND((S183/7)/VLOOKUP(EOMONTH(A183,-1),Employment!A:P,16,FALSE),4)</f>
        <v>1.3383</v>
      </c>
      <c r="U183" s="18">
        <f t="shared" si="135"/>
        <v>1.3375999999999999</v>
      </c>
      <c r="V183" s="29">
        <f t="shared" si="136"/>
        <v>-0.19370000000000001</v>
      </c>
      <c r="W183" s="29">
        <f t="shared" si="137"/>
        <v>3.3999999999999998E-3</v>
      </c>
      <c r="X183" s="30">
        <f t="shared" si="138"/>
        <v>153.07</v>
      </c>
      <c r="Y183" s="31">
        <f t="shared" si="139"/>
        <v>149.1</v>
      </c>
    </row>
    <row r="184" spans="1:25" x14ac:dyDescent="0.25">
      <c r="A184" s="5">
        <v>42057</v>
      </c>
      <c r="B184">
        <v>1797.5726</v>
      </c>
      <c r="C184" s="29">
        <f t="shared" si="143"/>
        <v>2.8E-3</v>
      </c>
      <c r="D184">
        <v>-0.67</v>
      </c>
      <c r="E184">
        <v>-1.202</v>
      </c>
      <c r="F184" s="18">
        <f t="shared" si="130"/>
        <v>0.13599999999999923</v>
      </c>
      <c r="G184" s="18">
        <f t="shared" si="131"/>
        <v>0.50799999999999912</v>
      </c>
      <c r="H184">
        <v>4.53</v>
      </c>
      <c r="I184">
        <v>2.5</v>
      </c>
      <c r="J184">
        <f t="shared" si="140"/>
        <v>3.52</v>
      </c>
      <c r="K184" s="6">
        <f t="shared" si="141"/>
        <v>3.61</v>
      </c>
      <c r="L184" s="6">
        <f t="shared" si="142"/>
        <v>-0.14999999999999991</v>
      </c>
      <c r="M184">
        <v>-4.1316956594898002</v>
      </c>
      <c r="N184">
        <v>283500</v>
      </c>
      <c r="O184" s="18">
        <f>ROUND(N184/VLOOKUP(EOMONTH(A184,-1),Employment!A:P,16,FALSE),4)</f>
        <v>1.1353</v>
      </c>
      <c r="P184" s="18">
        <f t="shared" si="132"/>
        <v>1.1413</v>
      </c>
      <c r="Q184" s="29">
        <f t="shared" si="133"/>
        <v>-0.1537</v>
      </c>
      <c r="R184" s="29">
        <f t="shared" si="134"/>
        <v>1.4E-2</v>
      </c>
      <c r="S184">
        <v>2355000</v>
      </c>
      <c r="T184" s="18">
        <f>ROUND((S184/7)/VLOOKUP(EOMONTH(A184,-1),Employment!A:P,16,FALSE),4)</f>
        <v>1.3472</v>
      </c>
      <c r="U184" s="18">
        <f t="shared" si="135"/>
        <v>1.3395999999999999</v>
      </c>
      <c r="V184" s="29">
        <f t="shared" si="136"/>
        <v>-0.19139999999999999</v>
      </c>
      <c r="W184" s="29">
        <f t="shared" si="137"/>
        <v>7.4000000000000003E-3</v>
      </c>
      <c r="X184" s="30">
        <f t="shared" si="138"/>
        <v>149.69</v>
      </c>
      <c r="Y184" s="31">
        <f t="shared" si="139"/>
        <v>140.68</v>
      </c>
    </row>
    <row r="185" spans="1:25" x14ac:dyDescent="0.25">
      <c r="A185" s="5">
        <v>42050</v>
      </c>
      <c r="B185">
        <v>1791.2611999999999</v>
      </c>
      <c r="C185" s="29">
        <f t="shared" si="143"/>
        <v>2.9999999999999997E-4</v>
      </c>
      <c r="D185">
        <v>-0.65</v>
      </c>
      <c r="E185">
        <v>-1.21</v>
      </c>
      <c r="F185" s="18">
        <f t="shared" si="130"/>
        <v>0.17199999999999704</v>
      </c>
      <c r="G185" s="18">
        <f t="shared" si="131"/>
        <v>0.64400000000000013</v>
      </c>
      <c r="H185">
        <v>4.71</v>
      </c>
      <c r="I185">
        <v>2.5499999999999998</v>
      </c>
      <c r="J185">
        <f t="shared" si="140"/>
        <v>3.63</v>
      </c>
      <c r="K185" s="6">
        <f t="shared" si="141"/>
        <v>3.76</v>
      </c>
      <c r="L185" s="6">
        <f t="shared" si="142"/>
        <v>-0.11000000000000032</v>
      </c>
      <c r="M185">
        <v>-4.0263567754954996</v>
      </c>
      <c r="N185">
        <v>285500</v>
      </c>
      <c r="O185" s="18">
        <f>ROUND(N185/VLOOKUP(EOMONTH(A185,-1),Employment!A:P,16,FALSE),4)</f>
        <v>1.1433</v>
      </c>
      <c r="P185" s="18">
        <f t="shared" si="132"/>
        <v>1.1479999999999999</v>
      </c>
      <c r="Q185" s="29">
        <f t="shared" si="133"/>
        <v>-0.1406</v>
      </c>
      <c r="R185" s="29">
        <f t="shared" si="134"/>
        <v>-2.7000000000000001E-3</v>
      </c>
      <c r="S185">
        <v>2320000</v>
      </c>
      <c r="T185" s="18">
        <f>ROUND((S185/7)/VLOOKUP(EOMONTH(A185,-1),Employment!A:P,16,FALSE),4)</f>
        <v>1.3271999999999999</v>
      </c>
      <c r="U185" s="18">
        <f t="shared" si="135"/>
        <v>1.3379000000000001</v>
      </c>
      <c r="V185" s="29">
        <f t="shared" si="136"/>
        <v>-0.19189999999999999</v>
      </c>
      <c r="W185" s="29">
        <f t="shared" si="137"/>
        <v>8.5000000000000006E-3</v>
      </c>
      <c r="X185" s="30">
        <f t="shared" si="138"/>
        <v>137.69999999999999</v>
      </c>
      <c r="Y185" s="31">
        <f t="shared" si="139"/>
        <v>129.38999999999999</v>
      </c>
    </row>
    <row r="186" spans="1:25" x14ac:dyDescent="0.25">
      <c r="A186" s="5">
        <v>42043</v>
      </c>
      <c r="B186">
        <v>1791.8168000000001</v>
      </c>
      <c r="C186" s="29">
        <f t="shared" si="143"/>
        <v>3.0999999999999999E-3</v>
      </c>
      <c r="D186">
        <v>-0.64</v>
      </c>
      <c r="E186">
        <v>-1.2010000000000001</v>
      </c>
      <c r="F186" s="18">
        <f t="shared" si="130"/>
        <v>0.20000000000000284</v>
      </c>
      <c r="G186" s="18">
        <f t="shared" si="131"/>
        <v>7.2000000000002728E-2</v>
      </c>
      <c r="H186">
        <v>4.78</v>
      </c>
      <c r="I186">
        <v>2.5499999999999998</v>
      </c>
      <c r="J186">
        <f t="shared" si="140"/>
        <v>3.67</v>
      </c>
      <c r="K186" s="6">
        <f t="shared" si="141"/>
        <v>3.87</v>
      </c>
      <c r="L186" s="6">
        <f t="shared" si="142"/>
        <v>-0.12000000000000011</v>
      </c>
      <c r="M186">
        <v>-3.6225489173923999</v>
      </c>
      <c r="N186">
        <v>286000</v>
      </c>
      <c r="O186" s="18">
        <f>ROUND(N186/VLOOKUP(EOMONTH(A186,-1),Employment!A:P,16,FALSE),4)</f>
        <v>1.1453</v>
      </c>
      <c r="P186" s="18">
        <f t="shared" si="132"/>
        <v>1.1620999999999999</v>
      </c>
      <c r="Q186" s="29">
        <f t="shared" si="133"/>
        <v>-0.1227</v>
      </c>
      <c r="R186" s="29">
        <f t="shared" si="134"/>
        <v>-2.1100000000000001E-2</v>
      </c>
      <c r="S186">
        <v>2350000</v>
      </c>
      <c r="T186" s="18">
        <f>ROUND((S186/7)/VLOOKUP(EOMONTH(A186,-1),Employment!A:P,16,FALSE),4)</f>
        <v>1.3443000000000001</v>
      </c>
      <c r="U186" s="18">
        <f t="shared" si="135"/>
        <v>1.3563000000000001</v>
      </c>
      <c r="V186" s="29">
        <f t="shared" si="136"/>
        <v>-0.18479999999999999</v>
      </c>
      <c r="W186" s="29">
        <f t="shared" si="137"/>
        <v>8.8999999999999999E-3</v>
      </c>
      <c r="X186" s="30">
        <f t="shared" si="138"/>
        <v>125.62</v>
      </c>
      <c r="Y186" s="31">
        <f t="shared" si="139"/>
        <v>122.47</v>
      </c>
    </row>
    <row r="187" spans="1:25" x14ac:dyDescent="0.25">
      <c r="A187" s="5">
        <v>42036</v>
      </c>
      <c r="B187">
        <v>1793.7329999999999</v>
      </c>
      <c r="C187" s="29">
        <f t="shared" si="143"/>
        <v>5.7999999999999996E-3</v>
      </c>
      <c r="D187">
        <v>-0.64</v>
      </c>
      <c r="E187">
        <v>-1.1759999999999999</v>
      </c>
      <c r="F187" s="18">
        <f t="shared" si="130"/>
        <v>0.27200000000000024</v>
      </c>
      <c r="G187" s="18">
        <f t="shared" si="131"/>
        <v>-1.0599999999999987</v>
      </c>
      <c r="H187">
        <v>5.37</v>
      </c>
      <c r="I187">
        <v>2.61</v>
      </c>
      <c r="J187">
        <f t="shared" si="140"/>
        <v>3.99</v>
      </c>
      <c r="K187" s="6">
        <f t="shared" si="141"/>
        <v>3.99</v>
      </c>
      <c r="L187" s="6">
        <f t="shared" si="142"/>
        <v>4.0000000000000036E-2</v>
      </c>
      <c r="M187">
        <v>-3.8297111117607998</v>
      </c>
      <c r="N187">
        <v>288500</v>
      </c>
      <c r="O187" s="18">
        <f>ROUND(N187/VLOOKUP(EOMONTH(A187,-1),Employment!A:P,16,FALSE),4)</f>
        <v>1.1553</v>
      </c>
      <c r="P187" s="18">
        <f t="shared" si="132"/>
        <v>1.1685000000000001</v>
      </c>
      <c r="Q187" s="29">
        <f t="shared" si="133"/>
        <v>-0.1176</v>
      </c>
      <c r="R187" s="29">
        <f t="shared" si="134"/>
        <v>-2.5600000000000001E-2</v>
      </c>
      <c r="S187">
        <v>2346000</v>
      </c>
      <c r="T187" s="18">
        <f>ROUND((S187/7)/VLOOKUP(EOMONTH(A187,-1),Employment!A:P,16,FALSE),4)</f>
        <v>1.3421000000000001</v>
      </c>
      <c r="U187" s="18">
        <f t="shared" si="135"/>
        <v>1.3646</v>
      </c>
      <c r="V187" s="29">
        <f t="shared" si="136"/>
        <v>-0.18410000000000001</v>
      </c>
      <c r="W187" s="29">
        <f t="shared" si="137"/>
        <v>1.4E-3</v>
      </c>
      <c r="X187" s="30">
        <f t="shared" si="138"/>
        <v>118.05</v>
      </c>
      <c r="Y187" s="31">
        <f t="shared" si="139"/>
        <v>125.56</v>
      </c>
    </row>
    <row r="188" spans="1:25" x14ac:dyDescent="0.25">
      <c r="A188" s="5">
        <v>42029</v>
      </c>
      <c r="B188">
        <v>1793.1066000000001</v>
      </c>
      <c r="C188" s="29">
        <f t="shared" si="143"/>
        <v>8.2000000000000007E-3</v>
      </c>
      <c r="D188">
        <v>-0.64</v>
      </c>
      <c r="E188">
        <v>-1.1419999999999999</v>
      </c>
      <c r="F188" s="18">
        <f t="shared" si="130"/>
        <v>-0.40000000000000036</v>
      </c>
      <c r="G188" s="18">
        <f t="shared" si="131"/>
        <v>-1.8480000000000008</v>
      </c>
      <c r="H188">
        <v>5.3</v>
      </c>
      <c r="I188">
        <v>2.6</v>
      </c>
      <c r="J188">
        <f t="shared" si="140"/>
        <v>3.95</v>
      </c>
      <c r="K188" s="6">
        <f t="shared" si="141"/>
        <v>3.95</v>
      </c>
      <c r="L188" s="6">
        <f t="shared" si="142"/>
        <v>5.0000000000000266E-2</v>
      </c>
      <c r="M188">
        <v>-4.4511069631388001</v>
      </c>
      <c r="N188">
        <v>295250</v>
      </c>
      <c r="O188" s="18">
        <f>ROUND(N188/VLOOKUP(EOMONTH(A188,-1),Employment!A:P,16,FALSE),4)</f>
        <v>1.1856</v>
      </c>
      <c r="P188" s="18">
        <f t="shared" si="132"/>
        <v>1.1672</v>
      </c>
      <c r="Q188" s="29">
        <f t="shared" si="133"/>
        <v>-0.13100000000000001</v>
      </c>
      <c r="R188" s="29">
        <f t="shared" si="134"/>
        <v>-8.9999999999999993E-3</v>
      </c>
      <c r="S188">
        <v>2410000</v>
      </c>
      <c r="T188" s="18">
        <f>ROUND((S188/7)/VLOOKUP(EOMONTH(A188,-1),Employment!A:P,16,FALSE),4)</f>
        <v>1.3825000000000001</v>
      </c>
      <c r="U188" s="18">
        <f t="shared" si="135"/>
        <v>1.3816999999999999</v>
      </c>
      <c r="V188" s="29">
        <f t="shared" si="136"/>
        <v>-0.16919999999999999</v>
      </c>
      <c r="W188" s="29">
        <f t="shared" si="137"/>
        <v>-2.3E-3</v>
      </c>
      <c r="X188" s="30">
        <f t="shared" si="138"/>
        <v>125.67</v>
      </c>
      <c r="Y188" s="31">
        <f t="shared" si="139"/>
        <v>137.83000000000001</v>
      </c>
    </row>
    <row r="189" spans="1:25" x14ac:dyDescent="0.25">
      <c r="A189" s="5">
        <v>42022</v>
      </c>
      <c r="B189">
        <v>1784.2130999999999</v>
      </c>
      <c r="C189" s="29">
        <f t="shared" si="143"/>
        <v>5.3E-3</v>
      </c>
      <c r="D189">
        <v>-0.66</v>
      </c>
      <c r="E189">
        <v>-1.167</v>
      </c>
      <c r="F189" s="18">
        <f t="shared" si="130"/>
        <v>-0.93199999999999861</v>
      </c>
      <c r="G189" s="18">
        <f t="shared" si="131"/>
        <v>-0.67999999999999972</v>
      </c>
      <c r="H189">
        <v>5.42</v>
      </c>
      <c r="I189">
        <v>2.62</v>
      </c>
      <c r="J189">
        <f t="shared" si="140"/>
        <v>4.0199999999999996</v>
      </c>
      <c r="K189" s="6">
        <f t="shared" si="141"/>
        <v>3.9</v>
      </c>
      <c r="L189" s="6">
        <f t="shared" si="142"/>
        <v>0.10000000000000009</v>
      </c>
      <c r="M189">
        <v>-4.3814985134461004</v>
      </c>
      <c r="N189">
        <v>290000</v>
      </c>
      <c r="O189" s="18">
        <f>ROUND(N189/VLOOKUP(EOMONTH(A189,-1),Employment!A:P,16,FALSE),4)</f>
        <v>1.1645000000000001</v>
      </c>
      <c r="P189" s="18">
        <f t="shared" si="132"/>
        <v>1.1528</v>
      </c>
      <c r="Q189" s="29">
        <f t="shared" si="133"/>
        <v>-0.15989999999999999</v>
      </c>
      <c r="R189" s="29">
        <f t="shared" si="134"/>
        <v>1.5800000000000002E-2</v>
      </c>
      <c r="S189">
        <v>2387000</v>
      </c>
      <c r="T189" s="18">
        <f>ROUND((S189/7)/VLOOKUP(EOMONTH(A189,-1),Employment!A:P,16,FALSE),4)</f>
        <v>1.3693</v>
      </c>
      <c r="U189" s="18">
        <f t="shared" si="135"/>
        <v>1.3693</v>
      </c>
      <c r="V189" s="29">
        <f t="shared" si="136"/>
        <v>-0.1694</v>
      </c>
      <c r="W189" s="29">
        <f t="shared" si="137"/>
        <v>8.9999999999999998E-4</v>
      </c>
      <c r="X189" s="30">
        <f t="shared" si="138"/>
        <v>144.05000000000001</v>
      </c>
      <c r="Y189" s="31">
        <f t="shared" si="139"/>
        <v>148.68</v>
      </c>
    </row>
    <row r="190" spans="1:25" x14ac:dyDescent="0.25">
      <c r="A190" s="5">
        <v>42015</v>
      </c>
      <c r="B190">
        <v>1774.3447000000001</v>
      </c>
      <c r="C190" s="29">
        <f t="shared" si="143"/>
        <v>1.9E-3</v>
      </c>
      <c r="D190">
        <v>-0.69</v>
      </c>
      <c r="E190">
        <v>-1.246</v>
      </c>
      <c r="F190" s="18">
        <f t="shared" si="130"/>
        <v>-0.51600000000000179</v>
      </c>
      <c r="G190" s="18">
        <f t="shared" si="131"/>
        <v>-0.6720000000000006</v>
      </c>
      <c r="H190">
        <v>5.2</v>
      </c>
      <c r="I190">
        <v>2.5499999999999998</v>
      </c>
      <c r="J190">
        <f t="shared" si="140"/>
        <v>3.88</v>
      </c>
      <c r="K190" s="6">
        <f t="shared" si="141"/>
        <v>3.8</v>
      </c>
      <c r="L190" s="6">
        <f t="shared" si="142"/>
        <v>2.0000000000000018E-2</v>
      </c>
      <c r="M190">
        <v>-4.5297070024780002</v>
      </c>
      <c r="N190">
        <v>286750</v>
      </c>
      <c r="O190" s="18">
        <f>ROUND(N190/VLOOKUP(EOMONTH(A190,-1),Employment!A:P,16,FALSE),4)</f>
        <v>1.1515</v>
      </c>
      <c r="P190" s="18">
        <f t="shared" si="132"/>
        <v>1.1474</v>
      </c>
      <c r="Q190" s="29">
        <f t="shared" si="133"/>
        <v>-0.17499999999999999</v>
      </c>
      <c r="R190" s="29">
        <f t="shared" si="134"/>
        <v>2.81E-2</v>
      </c>
      <c r="S190">
        <v>2429000</v>
      </c>
      <c r="T190" s="18">
        <f>ROUND((S190/7)/VLOOKUP(EOMONTH(A190,-1),Employment!A:P,16,FALSE),4)</f>
        <v>1.3934</v>
      </c>
      <c r="U190" s="18">
        <f t="shared" si="135"/>
        <v>1.3685</v>
      </c>
      <c r="V190" s="29">
        <f t="shared" si="136"/>
        <v>-0.1701</v>
      </c>
      <c r="W190" s="29">
        <f t="shared" si="137"/>
        <v>1.0999999999999999E-2</v>
      </c>
      <c r="X190" s="30">
        <f t="shared" si="138"/>
        <v>152.69999999999999</v>
      </c>
      <c r="Y190" s="31">
        <f t="shared" si="139"/>
        <v>147.65</v>
      </c>
    </row>
    <row r="191" spans="1:25" x14ac:dyDescent="0.25">
      <c r="A191" s="5">
        <v>42008</v>
      </c>
      <c r="B191">
        <v>1782.1753000000001</v>
      </c>
      <c r="C191" s="29">
        <f t="shared" si="143"/>
        <v>8.8000000000000005E-3</v>
      </c>
      <c r="D191">
        <v>-0.72</v>
      </c>
      <c r="E191">
        <v>-1.2729999999999999</v>
      </c>
      <c r="F191" s="18">
        <f t="shared" si="130"/>
        <v>0.76800000000000068</v>
      </c>
      <c r="G191" s="18">
        <f t="shared" si="131"/>
        <v>-1.4480000000000004</v>
      </c>
      <c r="H191">
        <v>5.08</v>
      </c>
      <c r="I191">
        <v>2.5099999999999998</v>
      </c>
      <c r="J191">
        <f t="shared" si="140"/>
        <v>3.8</v>
      </c>
      <c r="K191" s="6">
        <f t="shared" si="141"/>
        <v>3.78</v>
      </c>
      <c r="L191" s="6">
        <f t="shared" si="142"/>
        <v>-8.0000000000000071E-2</v>
      </c>
      <c r="M191">
        <v>-3.7549511604707</v>
      </c>
      <c r="N191">
        <v>284500</v>
      </c>
      <c r="O191" s="18">
        <f>ROUND(N191/VLOOKUP(EOMONTH(A191,-1),Employment!A:P,16,FALSE),4)</f>
        <v>1.1424000000000001</v>
      </c>
      <c r="P191" s="18">
        <f t="shared" si="132"/>
        <v>1.1556999999999999</v>
      </c>
      <c r="Q191" s="29">
        <f t="shared" si="133"/>
        <v>-0.16600000000000001</v>
      </c>
      <c r="R191" s="29">
        <f t="shared" si="134"/>
        <v>1.9599999999999999E-2</v>
      </c>
      <c r="S191">
        <v>2345000</v>
      </c>
      <c r="T191" s="18">
        <f>ROUND((S191/7)/VLOOKUP(EOMONTH(A191,-1),Employment!A:P,16,FALSE),4)</f>
        <v>1.3452</v>
      </c>
      <c r="U191" s="18">
        <f t="shared" si="135"/>
        <v>1.36</v>
      </c>
      <c r="V191" s="29">
        <f t="shared" si="136"/>
        <v>-0.1835</v>
      </c>
      <c r="W191" s="29">
        <f t="shared" si="137"/>
        <v>7.3000000000000001E-3</v>
      </c>
      <c r="X191" s="30">
        <f t="shared" si="138"/>
        <v>150.19999999999999</v>
      </c>
      <c r="Y191" s="31">
        <f t="shared" si="139"/>
        <v>136.15</v>
      </c>
    </row>
    <row r="192" spans="1:25" x14ac:dyDescent="0.25">
      <c r="A192" s="5">
        <v>42001</v>
      </c>
      <c r="B192">
        <v>1773.3264999999999</v>
      </c>
      <c r="C192" s="29">
        <f t="shared" si="143"/>
        <v>6.7999999999999996E-3</v>
      </c>
      <c r="D192">
        <v>-0.74</v>
      </c>
      <c r="E192">
        <v>-1.1519999999999999</v>
      </c>
      <c r="F192" s="18">
        <f t="shared" si="130"/>
        <v>-0.92399999999999949</v>
      </c>
      <c r="G192" s="18">
        <f t="shared" si="131"/>
        <v>-2.8719999999999999</v>
      </c>
      <c r="H192">
        <v>4.93</v>
      </c>
      <c r="I192">
        <v>2.5</v>
      </c>
      <c r="J192">
        <f t="shared" si="140"/>
        <v>3.72</v>
      </c>
      <c r="K192" s="6">
        <f t="shared" si="141"/>
        <v>3.86</v>
      </c>
      <c r="L192" s="6">
        <f t="shared" si="142"/>
        <v>2.9999999999999805E-2</v>
      </c>
      <c r="M192">
        <v>-2.9894176799790002</v>
      </c>
      <c r="N192">
        <v>285750</v>
      </c>
      <c r="O192" s="18">
        <f>ROUND(N192/VLOOKUP(EOMONTH(A192,-1),Employment!A:P,16,FALSE),4)</f>
        <v>1.1483000000000001</v>
      </c>
      <c r="P192" s="18">
        <f t="shared" si="132"/>
        <v>1.1700999999999999</v>
      </c>
      <c r="Q192" s="29">
        <f t="shared" si="133"/>
        <v>-0.14050000000000001</v>
      </c>
      <c r="R192" s="29">
        <f t="shared" si="134"/>
        <v>-2.8999999999999998E-3</v>
      </c>
      <c r="S192">
        <v>2381000</v>
      </c>
      <c r="T192" s="18">
        <f>ROUND((S192/7)/VLOOKUP(EOMONTH(A192,-1),Employment!A:P,16,FALSE),4)</f>
        <v>1.3669</v>
      </c>
      <c r="U192" s="18">
        <f t="shared" si="135"/>
        <v>1.3864000000000001</v>
      </c>
      <c r="V192" s="29">
        <f t="shared" si="136"/>
        <v>-0.1656</v>
      </c>
      <c r="W192" s="29">
        <f t="shared" si="137"/>
        <v>-5.4999999999999997E-3</v>
      </c>
      <c r="X192" s="30">
        <f t="shared" si="138"/>
        <v>128.62</v>
      </c>
      <c r="Y192" s="31">
        <f t="shared" si="139"/>
        <v>123.29</v>
      </c>
    </row>
    <row r="193" spans="1:25" x14ac:dyDescent="0.25">
      <c r="A193" s="5">
        <v>41994</v>
      </c>
      <c r="B193">
        <v>1769.2755999999999</v>
      </c>
      <c r="C193" s="29">
        <f t="shared" si="143"/>
        <v>8.2000000000000007E-3</v>
      </c>
      <c r="D193">
        <v>-0.77</v>
      </c>
      <c r="E193">
        <v>-1.23</v>
      </c>
      <c r="F193" s="18">
        <f t="shared" si="130"/>
        <v>-1.2920000000000016</v>
      </c>
      <c r="G193" s="18">
        <f t="shared" si="131"/>
        <v>-1.6640000000000015</v>
      </c>
      <c r="H193">
        <v>5.09</v>
      </c>
      <c r="I193">
        <v>2.56</v>
      </c>
      <c r="J193">
        <f t="shared" si="140"/>
        <v>3.83</v>
      </c>
      <c r="K193" s="6">
        <f t="shared" si="141"/>
        <v>3.83</v>
      </c>
      <c r="L193" s="6">
        <f t="shared" si="142"/>
        <v>8.0000000000000071E-2</v>
      </c>
      <c r="M193">
        <v>-2.7661980399495998</v>
      </c>
      <c r="N193">
        <v>292750</v>
      </c>
      <c r="O193" s="18">
        <f>ROUND(N193/VLOOKUP(EOMONTH(A193,-1),Employment!A:P,16,FALSE),4)</f>
        <v>1.1763999999999999</v>
      </c>
      <c r="P193" s="18">
        <f t="shared" si="132"/>
        <v>1.1835</v>
      </c>
      <c r="Q193" s="29">
        <f t="shared" si="133"/>
        <v>-0.1169</v>
      </c>
      <c r="R193" s="29">
        <f t="shared" si="134"/>
        <v>-2.41E-2</v>
      </c>
      <c r="S193">
        <v>2383000</v>
      </c>
      <c r="T193" s="18">
        <f>ROUND((S193/7)/VLOOKUP(EOMONTH(A193,-1),Employment!A:P,16,FALSE),4)</f>
        <v>1.3680000000000001</v>
      </c>
      <c r="U193" s="18">
        <f t="shared" si="135"/>
        <v>1.3883000000000001</v>
      </c>
      <c r="V193" s="29">
        <f t="shared" si="136"/>
        <v>-0.15559999999999999</v>
      </c>
      <c r="W193" s="29">
        <f t="shared" si="137"/>
        <v>-1.43E-2</v>
      </c>
      <c r="X193" s="30">
        <f t="shared" si="138"/>
        <v>119.84</v>
      </c>
      <c r="Y193" s="31">
        <f t="shared" si="139"/>
        <v>121.07</v>
      </c>
    </row>
    <row r="194" spans="1:25" x14ac:dyDescent="0.25">
      <c r="A194" s="5">
        <v>41987</v>
      </c>
      <c r="B194">
        <v>1759.0404000000001</v>
      </c>
      <c r="C194" s="29">
        <f t="shared" si="143"/>
        <v>5.5999999999999999E-3</v>
      </c>
      <c r="D194">
        <v>-0.8</v>
      </c>
      <c r="E194">
        <v>-1.3540000000000001</v>
      </c>
      <c r="F194" s="18">
        <f t="shared" si="130"/>
        <v>-0.65599999999999881</v>
      </c>
      <c r="G194" s="18">
        <f t="shared" si="131"/>
        <v>-0.81599999999999895</v>
      </c>
      <c r="H194">
        <v>5.47</v>
      </c>
      <c r="I194">
        <v>2.58</v>
      </c>
      <c r="J194">
        <f t="shared" si="140"/>
        <v>4.03</v>
      </c>
      <c r="K194" s="6">
        <f t="shared" si="141"/>
        <v>3.75</v>
      </c>
      <c r="L194" s="6">
        <f t="shared" si="142"/>
        <v>0.16999999999999993</v>
      </c>
      <c r="M194">
        <v>-2.1662948756982998</v>
      </c>
      <c r="N194">
        <v>295000</v>
      </c>
      <c r="O194" s="18">
        <f>ROUND(N194/VLOOKUP(EOMONTH(A194,-1),Employment!A:P,16,FALSE),4)</f>
        <v>1.1855</v>
      </c>
      <c r="P194" s="18">
        <f t="shared" si="132"/>
        <v>1.1834</v>
      </c>
      <c r="Q194" s="29">
        <f t="shared" si="133"/>
        <v>-0.1138</v>
      </c>
      <c r="R194" s="29">
        <f t="shared" si="134"/>
        <v>-3.2599999999999997E-2</v>
      </c>
      <c r="S194">
        <v>2481000</v>
      </c>
      <c r="T194" s="18">
        <f>ROUND((S194/7)/VLOOKUP(EOMONTH(A194,-1),Employment!A:P,16,FALSE),4)</f>
        <v>1.4242999999999999</v>
      </c>
      <c r="U194" s="18">
        <f t="shared" si="135"/>
        <v>1.3815999999999999</v>
      </c>
      <c r="V194" s="29">
        <f t="shared" si="136"/>
        <v>-0.1542</v>
      </c>
      <c r="W194" s="29">
        <f t="shared" si="137"/>
        <v>-7.7000000000000002E-3</v>
      </c>
      <c r="X194" s="30">
        <f t="shared" si="138"/>
        <v>118.58</v>
      </c>
      <c r="Y194" s="31">
        <f t="shared" si="139"/>
        <v>126.53</v>
      </c>
    </row>
    <row r="195" spans="1:25" x14ac:dyDescent="0.25">
      <c r="A195" s="5">
        <v>41980</v>
      </c>
      <c r="B195">
        <v>1764.9670000000001</v>
      </c>
      <c r="C195" s="29">
        <f t="shared" si="143"/>
        <v>1.3299999999999999E-2</v>
      </c>
      <c r="D195">
        <v>-0.82</v>
      </c>
      <c r="E195">
        <v>-1.411</v>
      </c>
      <c r="F195" s="18">
        <f t="shared" si="130"/>
        <v>0.28399999999999892</v>
      </c>
      <c r="G195" s="18">
        <f t="shared" si="131"/>
        <v>-1.9999999999999574E-2</v>
      </c>
      <c r="H195">
        <v>4.7699999999999996</v>
      </c>
      <c r="I195">
        <v>2.48</v>
      </c>
      <c r="J195">
        <f t="shared" si="140"/>
        <v>3.63</v>
      </c>
      <c r="K195" s="6">
        <f t="shared" si="141"/>
        <v>3.58</v>
      </c>
      <c r="L195" s="6">
        <f t="shared" si="142"/>
        <v>6.0000000000000053E-2</v>
      </c>
      <c r="M195">
        <v>-2.3217878706707</v>
      </c>
      <c r="N195">
        <v>295750</v>
      </c>
      <c r="O195" s="18">
        <f>ROUND(N195/VLOOKUP(EOMONTH(A195,-1),Employment!A:P,16,FALSE),4)</f>
        <v>1.1884999999999999</v>
      </c>
      <c r="P195" s="18">
        <f t="shared" si="132"/>
        <v>1.175</v>
      </c>
      <c r="Q195" s="29">
        <f t="shared" si="133"/>
        <v>-0.13089999999999999</v>
      </c>
      <c r="R195" s="29">
        <f t="shared" si="134"/>
        <v>-2.8299999999999999E-2</v>
      </c>
      <c r="S195">
        <v>2391000</v>
      </c>
      <c r="T195" s="18">
        <f>ROUND((S195/7)/VLOOKUP(EOMONTH(A195,-1),Employment!A:P,16,FALSE),4)</f>
        <v>1.3726</v>
      </c>
      <c r="U195" s="18">
        <f t="shared" si="135"/>
        <v>1.363</v>
      </c>
      <c r="V195" s="29">
        <f t="shared" si="136"/>
        <v>-0.1772</v>
      </c>
      <c r="W195" s="29">
        <f t="shared" si="137"/>
        <v>-1.9E-3</v>
      </c>
      <c r="X195" s="30">
        <f t="shared" si="138"/>
        <v>130.37</v>
      </c>
      <c r="Y195" s="31">
        <f t="shared" si="139"/>
        <v>136.44999999999999</v>
      </c>
    </row>
    <row r="196" spans="1:25" x14ac:dyDescent="0.25">
      <c r="A196" s="5">
        <v>41973</v>
      </c>
      <c r="B196">
        <v>1751.7947999999999</v>
      </c>
      <c r="C196" s="29">
        <f t="shared" si="143"/>
        <v>8.6999999999999994E-3</v>
      </c>
      <c r="D196">
        <v>-0.83</v>
      </c>
      <c r="E196">
        <v>-1.363</v>
      </c>
      <c r="F196" s="18">
        <f t="shared" si="130"/>
        <v>-0.44399999999999906</v>
      </c>
      <c r="G196" s="18">
        <f t="shared" si="131"/>
        <v>6.4000000000000057E-2</v>
      </c>
      <c r="H196">
        <v>4.6399999999999997</v>
      </c>
      <c r="I196">
        <v>2.52</v>
      </c>
      <c r="J196">
        <f t="shared" si="140"/>
        <v>3.58</v>
      </c>
      <c r="K196" s="6">
        <f t="shared" si="141"/>
        <v>3.52</v>
      </c>
      <c r="L196" s="6">
        <f t="shared" si="142"/>
        <v>6.0000000000000053E-2</v>
      </c>
      <c r="M196">
        <v>-2.3111197337785998</v>
      </c>
      <c r="N196">
        <v>292500</v>
      </c>
      <c r="O196" s="18">
        <f>ROUND(N196/VLOOKUP(EOMONTH(A196,-1),Employment!A:P,16,FALSE),4)</f>
        <v>1.1762999999999999</v>
      </c>
      <c r="P196" s="18">
        <f t="shared" si="132"/>
        <v>1.1632</v>
      </c>
      <c r="Q196" s="29">
        <f t="shared" si="133"/>
        <v>-0.15609999999999999</v>
      </c>
      <c r="R196" s="29">
        <f t="shared" si="134"/>
        <v>-1.52E-2</v>
      </c>
      <c r="S196">
        <v>2346000</v>
      </c>
      <c r="T196" s="18">
        <f>ROUND((S196/7)/VLOOKUP(EOMONTH(A196,-1),Employment!A:P,16,FALSE),4)</f>
        <v>1.3478000000000001</v>
      </c>
      <c r="U196" s="18">
        <f t="shared" si="135"/>
        <v>1.3714</v>
      </c>
      <c r="V196" s="29">
        <f t="shared" si="136"/>
        <v>-0.17810000000000001</v>
      </c>
      <c r="W196" s="29">
        <f t="shared" si="137"/>
        <v>-8.0000000000000004E-4</v>
      </c>
      <c r="X196" s="30">
        <f t="shared" si="138"/>
        <v>136.82999999999998</v>
      </c>
      <c r="Y196" s="31">
        <f t="shared" si="139"/>
        <v>147.53</v>
      </c>
    </row>
    <row r="197" spans="1:25" x14ac:dyDescent="0.25">
      <c r="A197" s="5">
        <v>41966</v>
      </c>
      <c r="B197">
        <v>1743.5483999999999</v>
      </c>
      <c r="C197" s="29">
        <f t="shared" si="143"/>
        <v>6.1999999999999998E-3</v>
      </c>
      <c r="D197">
        <v>-0.84</v>
      </c>
      <c r="E197">
        <v>-1.4059999999999999</v>
      </c>
      <c r="F197" s="18">
        <f t="shared" si="130"/>
        <v>0.14000000000000057</v>
      </c>
      <c r="G197" s="18">
        <f t="shared" si="131"/>
        <v>1.1039999999999992</v>
      </c>
      <c r="H197">
        <v>4.54</v>
      </c>
      <c r="I197">
        <v>2.4900000000000002</v>
      </c>
      <c r="J197">
        <f t="shared" si="140"/>
        <v>3.52</v>
      </c>
      <c r="K197" s="6">
        <f t="shared" si="141"/>
        <v>3.46</v>
      </c>
      <c r="L197" s="6">
        <f t="shared" si="142"/>
        <v>6.0000000000000053E-2</v>
      </c>
      <c r="M197">
        <v>-2.4216044455382</v>
      </c>
      <c r="N197">
        <v>288500</v>
      </c>
      <c r="O197" s="18">
        <f>ROUND(N197/VLOOKUP(EOMONTH(A197,-1),Employment!A:P,16,FALSE),4)</f>
        <v>1.1601999999999999</v>
      </c>
      <c r="P197" s="18">
        <f t="shared" si="132"/>
        <v>1.1515</v>
      </c>
      <c r="Q197" s="29">
        <f t="shared" si="133"/>
        <v>-0.1794</v>
      </c>
      <c r="R197" s="29">
        <f t="shared" si="134"/>
        <v>3.2000000000000002E-3</v>
      </c>
      <c r="S197">
        <v>2382000</v>
      </c>
      <c r="T197" s="18">
        <f>ROUND((S197/7)/VLOOKUP(EOMONTH(A197,-1),Employment!A:P,16,FALSE),4)</f>
        <v>1.3685</v>
      </c>
      <c r="U197" s="18">
        <f t="shared" si="135"/>
        <v>1.3813</v>
      </c>
      <c r="V197" s="29">
        <f t="shared" si="136"/>
        <v>-0.18090000000000001</v>
      </c>
      <c r="W197" s="29">
        <f t="shared" si="137"/>
        <v>-2.5999999999999999E-3</v>
      </c>
      <c r="X197" s="30">
        <f t="shared" si="138"/>
        <v>150.67000000000002</v>
      </c>
      <c r="Y197" s="31">
        <f t="shared" si="139"/>
        <v>160.69999999999999</v>
      </c>
    </row>
    <row r="198" spans="1:25" x14ac:dyDescent="0.25">
      <c r="A198" s="5">
        <v>41959</v>
      </c>
      <c r="B198">
        <v>1736.6427000000001</v>
      </c>
      <c r="C198" s="29">
        <f t="shared" si="143"/>
        <v>3.8999999999999998E-3</v>
      </c>
      <c r="D198">
        <v>-0.83</v>
      </c>
      <c r="E198">
        <v>-1.401</v>
      </c>
      <c r="F198" s="18">
        <f t="shared" si="130"/>
        <v>0.36799999999999855</v>
      </c>
      <c r="G198" s="18">
        <f t="shared" si="131"/>
        <v>2.4439999999999991</v>
      </c>
      <c r="H198">
        <v>4.43</v>
      </c>
      <c r="I198">
        <v>2.48</v>
      </c>
      <c r="J198">
        <f t="shared" si="140"/>
        <v>3.46</v>
      </c>
      <c r="K198" s="6">
        <f t="shared" si="141"/>
        <v>3.4</v>
      </c>
      <c r="L198" s="6">
        <f t="shared" si="142"/>
        <v>9.9999999999997868E-3</v>
      </c>
      <c r="M198">
        <v>-2.9083894389187002</v>
      </c>
      <c r="N198">
        <v>286750</v>
      </c>
      <c r="O198" s="18">
        <f>ROUND(N198/VLOOKUP(EOMONTH(A198,-1),Employment!A:P,16,FALSE),4)</f>
        <v>1.1532</v>
      </c>
      <c r="P198" s="18">
        <f t="shared" si="132"/>
        <v>1.1497999999999999</v>
      </c>
      <c r="Q198" s="29">
        <f t="shared" si="133"/>
        <v>-0.19450000000000001</v>
      </c>
      <c r="R198" s="29">
        <f t="shared" si="134"/>
        <v>2.4400000000000002E-2</v>
      </c>
      <c r="S198">
        <v>2433000</v>
      </c>
      <c r="T198" s="18">
        <f>ROUND((S198/7)/VLOOKUP(EOMONTH(A198,-1),Employment!A:P,16,FALSE),4)</f>
        <v>1.3977999999999999</v>
      </c>
      <c r="U198" s="18">
        <f t="shared" si="135"/>
        <v>1.3900999999999999</v>
      </c>
      <c r="V198" s="29">
        <f t="shared" si="136"/>
        <v>-0.1764</v>
      </c>
      <c r="W198" s="29">
        <f t="shared" si="137"/>
        <v>-5.9999999999999995E-4</v>
      </c>
      <c r="X198" s="30">
        <f t="shared" si="138"/>
        <v>166.43</v>
      </c>
      <c r="Y198" s="31">
        <f t="shared" si="139"/>
        <v>169.47</v>
      </c>
    </row>
    <row r="199" spans="1:25" x14ac:dyDescent="0.25">
      <c r="A199" s="5">
        <v>41952</v>
      </c>
      <c r="B199">
        <v>1735.5595000000001</v>
      </c>
      <c r="C199" s="29">
        <f t="shared" si="143"/>
        <v>4.3E-3</v>
      </c>
      <c r="D199">
        <v>-0.81</v>
      </c>
      <c r="E199">
        <v>-1.38</v>
      </c>
      <c r="F199" s="18">
        <f t="shared" si="130"/>
        <v>0.59600000000000009</v>
      </c>
      <c r="G199" s="18">
        <f t="shared" si="131"/>
        <v>0.21600000000000108</v>
      </c>
      <c r="H199">
        <v>4.3600000000000003</v>
      </c>
      <c r="I199">
        <v>2.4300000000000002</v>
      </c>
      <c r="J199">
        <f t="shared" si="140"/>
        <v>3.4</v>
      </c>
      <c r="K199" s="6">
        <f t="shared" si="141"/>
        <v>3.39</v>
      </c>
      <c r="L199" s="6">
        <f t="shared" si="142"/>
        <v>-4.9999999999999822E-2</v>
      </c>
      <c r="M199">
        <v>-2.3229150381235999</v>
      </c>
      <c r="N199">
        <v>283750</v>
      </c>
      <c r="O199" s="18">
        <f>ROUND(N199/VLOOKUP(EOMONTH(A199,-1),Employment!A:P,16,FALSE),4)</f>
        <v>1.1411</v>
      </c>
      <c r="P199" s="18">
        <f t="shared" si="132"/>
        <v>1.1521999999999999</v>
      </c>
      <c r="Q199" s="29">
        <f t="shared" si="133"/>
        <v>-0.1983</v>
      </c>
      <c r="R199" s="29">
        <f t="shared" si="134"/>
        <v>4.1799999999999997E-2</v>
      </c>
      <c r="S199">
        <v>2398000</v>
      </c>
      <c r="T199" s="18">
        <f>ROUND((S199/7)/VLOOKUP(EOMONTH(A199,-1),Employment!A:P,16,FALSE),4)</f>
        <v>1.3776999999999999</v>
      </c>
      <c r="U199" s="18">
        <f t="shared" si="135"/>
        <v>1.3842000000000001</v>
      </c>
      <c r="V199" s="29">
        <f t="shared" si="136"/>
        <v>-0.185</v>
      </c>
      <c r="W199" s="29">
        <f t="shared" si="137"/>
        <v>2.5000000000000001E-3</v>
      </c>
      <c r="X199" s="30">
        <f t="shared" si="138"/>
        <v>171.42</v>
      </c>
      <c r="Y199" s="31">
        <f t="shared" si="139"/>
        <v>169.58</v>
      </c>
    </row>
    <row r="200" spans="1:25" x14ac:dyDescent="0.25">
      <c r="A200" s="5">
        <v>41945</v>
      </c>
      <c r="B200">
        <v>1731.1904</v>
      </c>
      <c r="C200" s="29">
        <f t="shared" si="143"/>
        <v>2.5999999999999999E-3</v>
      </c>
      <c r="D200">
        <v>-0.8</v>
      </c>
      <c r="E200">
        <v>-1.3180000000000001</v>
      </c>
      <c r="F200" s="18">
        <f t="shared" si="130"/>
        <v>1.4800000000000004</v>
      </c>
      <c r="G200" s="18">
        <f t="shared" si="131"/>
        <v>-0.56800000000000139</v>
      </c>
      <c r="H200">
        <v>4.3</v>
      </c>
      <c r="I200">
        <v>2.39</v>
      </c>
      <c r="J200">
        <f t="shared" si="140"/>
        <v>3.35</v>
      </c>
      <c r="K200" s="6">
        <f t="shared" si="141"/>
        <v>3.44</v>
      </c>
      <c r="L200" s="6">
        <f t="shared" si="142"/>
        <v>-5.0000000000000266E-2</v>
      </c>
      <c r="M200">
        <v>-1.7159927253277001</v>
      </c>
      <c r="N200">
        <v>287250</v>
      </c>
      <c r="O200" s="18">
        <f>ROUND(N200/VLOOKUP(EOMONTH(A200,-1),Employment!A:P,16,FALSE),4)</f>
        <v>1.1552</v>
      </c>
      <c r="P200" s="18">
        <f t="shared" si="132"/>
        <v>1.1612</v>
      </c>
      <c r="Q200" s="29">
        <f t="shared" si="133"/>
        <v>-0.1862</v>
      </c>
      <c r="R200" s="29">
        <f t="shared" si="134"/>
        <v>4.8500000000000001E-2</v>
      </c>
      <c r="S200">
        <v>2428000</v>
      </c>
      <c r="T200" s="18">
        <f>ROUND((S200/7)/VLOOKUP(EOMONTH(A200,-1),Employment!A:P,16,FALSE),4)</f>
        <v>1.3949</v>
      </c>
      <c r="U200" s="18">
        <f t="shared" si="135"/>
        <v>1.3916999999999999</v>
      </c>
      <c r="V200" s="29">
        <f t="shared" si="136"/>
        <v>-0.18099999999999999</v>
      </c>
      <c r="W200" s="29">
        <f t="shared" si="137"/>
        <v>6.8999999999999999E-3</v>
      </c>
      <c r="X200" s="30">
        <f t="shared" si="138"/>
        <v>172.2</v>
      </c>
      <c r="Y200" s="31">
        <f t="shared" si="139"/>
        <v>163.13</v>
      </c>
    </row>
    <row r="201" spans="1:25" x14ac:dyDescent="0.25">
      <c r="A201" s="5">
        <v>41938</v>
      </c>
      <c r="B201">
        <v>1727.8498999999999</v>
      </c>
      <c r="C201" s="29">
        <f t="shared" si="143"/>
        <v>4.0000000000000002E-4</v>
      </c>
      <c r="D201">
        <v>-0.78</v>
      </c>
      <c r="E201">
        <v>-1.1579999999999999</v>
      </c>
      <c r="F201" s="18">
        <f t="shared" si="130"/>
        <v>-1.8599999999999994</v>
      </c>
      <c r="G201" s="18">
        <f t="shared" si="131"/>
        <v>-2.6280000000000001</v>
      </c>
      <c r="H201">
        <v>4.38</v>
      </c>
      <c r="I201">
        <v>2.4300000000000002</v>
      </c>
      <c r="J201">
        <f t="shared" si="140"/>
        <v>3.41</v>
      </c>
      <c r="K201" s="6">
        <f t="shared" si="141"/>
        <v>3.49</v>
      </c>
      <c r="L201" s="6">
        <f t="shared" si="142"/>
        <v>4.0000000000000036E-2</v>
      </c>
      <c r="M201">
        <v>-0.59391733081081</v>
      </c>
      <c r="N201">
        <v>288250</v>
      </c>
      <c r="O201" s="18">
        <f>ROUND(N201/VLOOKUP(EOMONTH(A201,-1),Employment!A:P,16,FALSE),4)</f>
        <v>1.1601999999999999</v>
      </c>
      <c r="P201" s="18">
        <f t="shared" si="132"/>
        <v>1.1698999999999999</v>
      </c>
      <c r="Q201" s="29">
        <f t="shared" si="133"/>
        <v>-0.16020000000000001</v>
      </c>
      <c r="R201" s="29">
        <f t="shared" si="134"/>
        <v>3.85E-2</v>
      </c>
      <c r="S201">
        <v>2400000</v>
      </c>
      <c r="T201" s="18">
        <f>ROUND((S201/7)/VLOOKUP(EOMONTH(A201,-1),Employment!A:P,16,FALSE),4)</f>
        <v>1.38</v>
      </c>
      <c r="U201" s="18">
        <f t="shared" si="135"/>
        <v>1.3903000000000001</v>
      </c>
      <c r="V201" s="29">
        <f t="shared" si="136"/>
        <v>-0.18310000000000001</v>
      </c>
      <c r="W201" s="29">
        <f t="shared" si="137"/>
        <v>1.49E-2</v>
      </c>
      <c r="X201" s="30">
        <f t="shared" si="138"/>
        <v>158.44</v>
      </c>
      <c r="Y201" s="31">
        <f t="shared" si="139"/>
        <v>152.87</v>
      </c>
    </row>
    <row r="202" spans="1:25" x14ac:dyDescent="0.25">
      <c r="A202" s="5">
        <v>41931</v>
      </c>
      <c r="B202">
        <v>1724.8175000000001</v>
      </c>
      <c r="C202" s="29">
        <f t="shared" si="143"/>
        <v>-5.9999999999999995E-4</v>
      </c>
      <c r="D202">
        <v>-0.81</v>
      </c>
      <c r="E202">
        <v>-1.353</v>
      </c>
      <c r="F202" s="18">
        <f t="shared" si="130"/>
        <v>-0.18800000000000239</v>
      </c>
      <c r="G202" s="18">
        <f t="shared" si="131"/>
        <v>-1.240000000000002</v>
      </c>
      <c r="H202">
        <v>4.68</v>
      </c>
      <c r="I202">
        <v>2.44</v>
      </c>
      <c r="J202">
        <f t="shared" si="140"/>
        <v>3.56</v>
      </c>
      <c r="K202" s="6">
        <f t="shared" si="141"/>
        <v>3.45</v>
      </c>
      <c r="L202" s="6">
        <f t="shared" si="142"/>
        <v>7.0000000000000284E-2</v>
      </c>
      <c r="M202">
        <v>0.58464016038685995</v>
      </c>
      <c r="N202">
        <v>290250</v>
      </c>
      <c r="O202" s="18">
        <f>ROUND(N202/VLOOKUP(EOMONTH(A202,-1),Employment!A:P,16,FALSE),4)</f>
        <v>1.1682999999999999</v>
      </c>
      <c r="P202" s="18">
        <f t="shared" si="132"/>
        <v>1.1822999999999999</v>
      </c>
      <c r="Q202" s="29">
        <f t="shared" si="133"/>
        <v>-0.1207</v>
      </c>
      <c r="R202" s="29">
        <f t="shared" si="134"/>
        <v>1.72E-2</v>
      </c>
      <c r="S202">
        <v>2435000</v>
      </c>
      <c r="T202" s="18">
        <f>ROUND((S202/7)/VLOOKUP(EOMONTH(A202,-1),Employment!A:P,16,FALSE),4)</f>
        <v>1.4000999999999999</v>
      </c>
      <c r="U202" s="18">
        <f t="shared" si="135"/>
        <v>1.3982000000000001</v>
      </c>
      <c r="V202" s="29">
        <f t="shared" si="136"/>
        <v>-0.18110000000000001</v>
      </c>
      <c r="W202" s="29">
        <f t="shared" si="137"/>
        <v>1.72E-2</v>
      </c>
      <c r="X202" s="30">
        <f t="shared" si="138"/>
        <v>152.17000000000002</v>
      </c>
      <c r="Y202" s="31">
        <f t="shared" si="139"/>
        <v>144.41</v>
      </c>
    </row>
    <row r="203" spans="1:25" x14ac:dyDescent="0.25">
      <c r="A203" s="5">
        <v>41924</v>
      </c>
      <c r="B203">
        <v>1728.8831</v>
      </c>
      <c r="C203" s="29">
        <f t="shared" si="143"/>
        <v>2.8999999999999998E-3</v>
      </c>
      <c r="D203">
        <v>-0.82</v>
      </c>
      <c r="E203">
        <v>-1.3640000000000001</v>
      </c>
      <c r="F203" s="18">
        <f t="shared" si="130"/>
        <v>-0.57999999999999829</v>
      </c>
      <c r="G203" s="18">
        <f t="shared" si="131"/>
        <v>-1.4319999999999986</v>
      </c>
      <c r="H203">
        <v>4.66</v>
      </c>
      <c r="I203">
        <v>2.36</v>
      </c>
      <c r="J203">
        <f t="shared" si="140"/>
        <v>3.51</v>
      </c>
      <c r="K203" s="6">
        <f t="shared" si="141"/>
        <v>3.38</v>
      </c>
      <c r="L203" s="6">
        <f t="shared" si="142"/>
        <v>0.12999999999999989</v>
      </c>
      <c r="M203">
        <v>1.1630154814208</v>
      </c>
      <c r="N203">
        <v>293500</v>
      </c>
      <c r="O203" s="18">
        <f>ROUND(N203/VLOOKUP(EOMONTH(A203,-1),Employment!A:P,16,FALSE),4)</f>
        <v>1.1813</v>
      </c>
      <c r="P203" s="18">
        <f t="shared" si="132"/>
        <v>1.1958</v>
      </c>
      <c r="Q203" s="29">
        <f t="shared" si="133"/>
        <v>-8.6999999999999994E-2</v>
      </c>
      <c r="R203" s="29">
        <f t="shared" si="134"/>
        <v>-3.3E-3</v>
      </c>
      <c r="S203">
        <v>2419000</v>
      </c>
      <c r="T203" s="18">
        <f>ROUND((S203/7)/VLOOKUP(EOMONTH(A203,-1),Employment!A:P,16,FALSE),4)</f>
        <v>1.3909</v>
      </c>
      <c r="U203" s="18">
        <f t="shared" si="135"/>
        <v>1.4028</v>
      </c>
      <c r="V203" s="29">
        <f t="shared" si="136"/>
        <v>-0.17249999999999999</v>
      </c>
      <c r="W203" s="29">
        <f t="shared" si="137"/>
        <v>1.15E-2</v>
      </c>
      <c r="X203" s="30">
        <f t="shared" si="138"/>
        <v>140.71</v>
      </c>
      <c r="Y203" s="31">
        <f t="shared" si="139"/>
        <v>137.22999999999999</v>
      </c>
    </row>
    <row r="204" spans="1:25" x14ac:dyDescent="0.25">
      <c r="A204" s="5">
        <v>41917</v>
      </c>
      <c r="B204">
        <v>1725.3393000000001</v>
      </c>
      <c r="C204" s="29">
        <f t="shared" si="143"/>
        <v>2.7000000000000001E-3</v>
      </c>
      <c r="D204">
        <v>-0.85</v>
      </c>
      <c r="E204">
        <v>-1.399</v>
      </c>
      <c r="F204" s="18">
        <f t="shared" si="130"/>
        <v>-0.47200000000000131</v>
      </c>
      <c r="G204" s="18">
        <f t="shared" si="131"/>
        <v>-1.4639999999999986</v>
      </c>
      <c r="H204">
        <v>4.29</v>
      </c>
      <c r="I204">
        <v>2.29</v>
      </c>
      <c r="J204">
        <f t="shared" si="140"/>
        <v>3.29</v>
      </c>
      <c r="K204" s="6">
        <f t="shared" si="141"/>
        <v>3.25</v>
      </c>
      <c r="L204" s="6">
        <f t="shared" si="142"/>
        <v>4.9999999999999822E-2</v>
      </c>
      <c r="M204">
        <v>1.3786107400973</v>
      </c>
      <c r="N204">
        <v>297500</v>
      </c>
      <c r="O204" s="18">
        <f>ROUND(N204/VLOOKUP(EOMONTH(A204,-1),Employment!A:P,16,FALSE),4)</f>
        <v>1.1974</v>
      </c>
      <c r="P204" s="18">
        <f t="shared" si="132"/>
        <v>1.2052</v>
      </c>
      <c r="Q204" s="29">
        <f t="shared" si="133"/>
        <v>-6.93E-2</v>
      </c>
      <c r="R204" s="29">
        <f t="shared" si="134"/>
        <v>-1.38E-2</v>
      </c>
      <c r="S204">
        <v>2441000</v>
      </c>
      <c r="T204" s="18">
        <f>ROUND((S204/7)/VLOOKUP(EOMONTH(A204,-1),Employment!A:P,16,FALSE),4)</f>
        <v>1.4036</v>
      </c>
      <c r="U204" s="18">
        <f t="shared" si="135"/>
        <v>1.4079999999999999</v>
      </c>
      <c r="V204" s="29">
        <f t="shared" si="136"/>
        <v>-0.15790000000000001</v>
      </c>
      <c r="W204" s="29">
        <f t="shared" si="137"/>
        <v>-2.3E-3</v>
      </c>
      <c r="X204" s="30">
        <f t="shared" si="138"/>
        <v>134.24</v>
      </c>
      <c r="Y204" s="31">
        <f t="shared" si="139"/>
        <v>135.55000000000001</v>
      </c>
    </row>
    <row r="205" spans="1:25" x14ac:dyDescent="0.25">
      <c r="A205" s="5">
        <v>41910</v>
      </c>
      <c r="B205">
        <v>1729.6138000000001</v>
      </c>
      <c r="C205" s="29">
        <f t="shared" si="143"/>
        <v>7.4999999999999997E-3</v>
      </c>
      <c r="D205">
        <v>-0.87</v>
      </c>
      <c r="E205">
        <v>-1.4330000000000001</v>
      </c>
      <c r="F205" s="18">
        <f t="shared" si="130"/>
        <v>-0.37999999999999901</v>
      </c>
      <c r="G205" s="18">
        <f t="shared" si="131"/>
        <v>-1.3919999999999995</v>
      </c>
      <c r="H205">
        <v>4.4000000000000004</v>
      </c>
      <c r="I205">
        <v>2.27</v>
      </c>
      <c r="J205">
        <f t="shared" si="140"/>
        <v>3.34</v>
      </c>
      <c r="K205" s="6">
        <f t="shared" si="141"/>
        <v>3.2</v>
      </c>
      <c r="L205" s="6">
        <f t="shared" si="142"/>
        <v>7.0000000000000284E-2</v>
      </c>
      <c r="M205">
        <v>1.6602768739519</v>
      </c>
      <c r="N205">
        <v>300000</v>
      </c>
      <c r="O205" s="18">
        <f>ROUND(N205/VLOOKUP(EOMONTH(A205,-1),Employment!A:P,16,FALSE),4)</f>
        <v>1.2085999999999999</v>
      </c>
      <c r="P205" s="18">
        <f t="shared" si="132"/>
        <v>1.2129000000000001</v>
      </c>
      <c r="Q205" s="29">
        <f t="shared" si="133"/>
        <v>-7.2800000000000004E-2</v>
      </c>
      <c r="R205" s="29">
        <f t="shared" si="134"/>
        <v>-1.5299999999999999E-2</v>
      </c>
      <c r="S205">
        <v>2457000</v>
      </c>
      <c r="T205" s="18">
        <f>ROUND((S205/7)/VLOOKUP(EOMONTH(A205,-1),Employment!A:P,16,FALSE),4)</f>
        <v>1.4139999999999999</v>
      </c>
      <c r="U205" s="18">
        <f t="shared" si="135"/>
        <v>1.4171</v>
      </c>
      <c r="V205" s="29">
        <f t="shared" si="136"/>
        <v>-0.14130000000000001</v>
      </c>
      <c r="W205" s="29">
        <f t="shared" si="137"/>
        <v>-8.6999999999999994E-3</v>
      </c>
      <c r="X205" s="30">
        <f t="shared" si="138"/>
        <v>136.03</v>
      </c>
      <c r="Y205" s="31">
        <f t="shared" si="139"/>
        <v>137.91999999999999</v>
      </c>
    </row>
    <row r="206" spans="1:25" x14ac:dyDescent="0.25">
      <c r="A206" s="5">
        <v>41903</v>
      </c>
      <c r="B206">
        <v>1719.8059000000001</v>
      </c>
      <c r="C206" s="29">
        <f t="shared" si="143"/>
        <v>3.0000000000000001E-3</v>
      </c>
      <c r="D206">
        <v>-0.88</v>
      </c>
      <c r="E206">
        <v>-1.468</v>
      </c>
      <c r="F206" s="18">
        <f t="shared" si="130"/>
        <v>-0.61199999999999832</v>
      </c>
      <c r="G206" s="18">
        <f t="shared" si="131"/>
        <v>-0.77999999999999758</v>
      </c>
      <c r="H206">
        <v>3.97</v>
      </c>
      <c r="I206">
        <v>2.2599999999999998</v>
      </c>
      <c r="J206">
        <f t="shared" si="140"/>
        <v>3.12</v>
      </c>
      <c r="K206" s="6">
        <f t="shared" si="141"/>
        <v>3.13</v>
      </c>
      <c r="L206" s="6">
        <f t="shared" si="142"/>
        <v>4.0000000000000036E-2</v>
      </c>
      <c r="M206">
        <v>1.8337470618841001</v>
      </c>
      <c r="N206">
        <v>300250</v>
      </c>
      <c r="O206" s="18">
        <f>ROUND(N206/VLOOKUP(EOMONTH(A206,-1),Employment!A:P,16,FALSE),4)</f>
        <v>1.2096</v>
      </c>
      <c r="P206" s="18">
        <f t="shared" si="132"/>
        <v>1.2159</v>
      </c>
      <c r="Q206" s="29">
        <f t="shared" si="133"/>
        <v>-8.3599999999999994E-2</v>
      </c>
      <c r="R206" s="29">
        <f t="shared" si="134"/>
        <v>-1.4E-2</v>
      </c>
      <c r="S206">
        <v>2444000</v>
      </c>
      <c r="T206" s="18">
        <f>ROUND((S206/7)/VLOOKUP(EOMONTH(A206,-1),Employment!A:P,16,FALSE),4)</f>
        <v>1.4065000000000001</v>
      </c>
      <c r="U206" s="18">
        <f t="shared" si="135"/>
        <v>1.4220999999999999</v>
      </c>
      <c r="V206" s="29">
        <f t="shared" si="136"/>
        <v>-0.1454</v>
      </c>
      <c r="W206" s="29">
        <f t="shared" si="137"/>
        <v>-7.7000000000000002E-3</v>
      </c>
      <c r="X206" s="30">
        <f t="shared" si="138"/>
        <v>137.63999999999999</v>
      </c>
      <c r="Y206" s="31">
        <f t="shared" si="139"/>
        <v>141.43</v>
      </c>
    </row>
    <row r="207" spans="1:25" x14ac:dyDescent="0.25">
      <c r="A207" s="5">
        <v>41896</v>
      </c>
      <c r="B207">
        <v>1721.0009</v>
      </c>
      <c r="C207" s="29">
        <f t="shared" si="143"/>
        <v>6.1000000000000004E-3</v>
      </c>
      <c r="D207">
        <v>-0.89</v>
      </c>
      <c r="E207">
        <v>-1.532</v>
      </c>
      <c r="F207" s="18">
        <f t="shared" ref="F207:F270" si="144">(((D207*10)+(E207*8))*-1)-(((D208*10)+(E208*8))*-1)</f>
        <v>-0.40000000000000213</v>
      </c>
      <c r="G207" s="18">
        <f t="shared" ref="G207:G270" si="145">SUM(F207:F209)</f>
        <v>1.5999999999998238E-2</v>
      </c>
      <c r="H207">
        <v>4.03</v>
      </c>
      <c r="I207">
        <v>2.27</v>
      </c>
      <c r="J207">
        <f t="shared" si="140"/>
        <v>3.15</v>
      </c>
      <c r="K207" s="6">
        <f t="shared" si="141"/>
        <v>3.09</v>
      </c>
      <c r="L207" s="6">
        <f t="shared" si="142"/>
        <v>4.0000000000000036E-2</v>
      </c>
      <c r="M207">
        <v>1.6150810046102999</v>
      </c>
      <c r="N207">
        <v>303000</v>
      </c>
      <c r="O207" s="18">
        <f>ROUND(N207/VLOOKUP(EOMONTH(A207,-1),Employment!A:P,16,FALSE),4)</f>
        <v>1.2205999999999999</v>
      </c>
      <c r="P207" s="18">
        <f t="shared" ref="P207:P270" si="146">ROUND(AVERAGE(O207:O209),4)</f>
        <v>1.2173</v>
      </c>
      <c r="Q207" s="29">
        <f t="shared" ref="Q207:Q270" si="147">ROUND((P207/P259)-1,4)</f>
        <v>-9.4700000000000006E-2</v>
      </c>
      <c r="R207" s="29">
        <f t="shared" ref="R207:R270" si="148">ROUND(AVERAGE(Q207:Q208)-AVERAGE(Q207:Q211),4)*-1</f>
        <v>-1.3299999999999999E-2</v>
      </c>
      <c r="S207">
        <v>2486000</v>
      </c>
      <c r="T207" s="18">
        <f>ROUND((S207/7)/VLOOKUP(EOMONTH(A207,-1),Employment!A:P,16,FALSE),4)</f>
        <v>1.4307000000000001</v>
      </c>
      <c r="U207" s="18">
        <f t="shared" ref="U207:U270" si="149">ROUND(AVERAGE(T207:T209),4)</f>
        <v>1.4359</v>
      </c>
      <c r="V207" s="29">
        <f t="shared" ref="V207:V270" si="150">ROUND((U207/U259)-1,4)</f>
        <v>-0.1515</v>
      </c>
      <c r="W207" s="29">
        <f t="shared" ref="W207:W270" si="151">ROUND(AVERAGE(V207:V208)-AVERAGE(V207:V211),4)*-1</f>
        <v>-5.9999999999999995E-4</v>
      </c>
      <c r="X207" s="30">
        <f t="shared" ref="X207:X270" si="152">IF(ROUND((C207*500)-(D207*10)-(E207*8)+(M207*1.2)-(P207*23)-(Q207*10)+(R207*600)-(U207*2)-(V207*5)+(W207*100)-(K207*5)-(L207*5)+(G207*3),2)+170&lt;0,0,ROUND((C207*500)-(D207*10)-(E207*8)+(M207*1.2)-(P207*23)-(Q207*10)+(R207*600)-(U207*2)-(V207*5)+(W207*100)-(K207*5)-(L207*5)+(G207*3),2)+170)</f>
        <v>143.34</v>
      </c>
      <c r="Y207" s="31">
        <f t="shared" ref="Y207:Y270" si="153">ROUND(AVERAGE(AVERAGE(X207:X208),AVERAGE(X207:X209)),2)</f>
        <v>145.34</v>
      </c>
    </row>
    <row r="208" spans="1:25" x14ac:dyDescent="0.25">
      <c r="A208" s="5">
        <v>41889</v>
      </c>
      <c r="B208">
        <v>1712.2242000000001</v>
      </c>
      <c r="C208" s="29">
        <f t="shared" si="143"/>
        <v>2.8E-3</v>
      </c>
      <c r="D208">
        <v>-0.89</v>
      </c>
      <c r="E208">
        <v>-1.5820000000000001</v>
      </c>
      <c r="F208" s="18">
        <f t="shared" si="144"/>
        <v>0.23200000000000287</v>
      </c>
      <c r="G208" s="18">
        <f t="shared" si="145"/>
        <v>0.8960000000000008</v>
      </c>
      <c r="H208">
        <v>3.93</v>
      </c>
      <c r="I208">
        <v>2.29</v>
      </c>
      <c r="J208">
        <f t="shared" ref="J208:J271" si="154">ROUND(AVERAGE(H208:I208),2)</f>
        <v>3.11</v>
      </c>
      <c r="K208" s="6">
        <f t="shared" ref="K208:K271" si="155">ROUND(AVERAGE(J208:J210),2)</f>
        <v>3.05</v>
      </c>
      <c r="L208" s="6">
        <f t="shared" ref="L208:L271" si="156">K208-K209</f>
        <v>-1.0000000000000231E-2</v>
      </c>
      <c r="M208">
        <v>1.7629188517656</v>
      </c>
      <c r="N208">
        <v>302250</v>
      </c>
      <c r="O208" s="18">
        <f>ROUND(N208/VLOOKUP(EOMONTH(A208,-1),Employment!A:P,16,FALSE),4)</f>
        <v>1.2176</v>
      </c>
      <c r="P208" s="18">
        <f t="shared" si="146"/>
        <v>1.2162999999999999</v>
      </c>
      <c r="Q208" s="29">
        <f t="shared" si="147"/>
        <v>-0.10390000000000001</v>
      </c>
      <c r="R208" s="29">
        <f t="shared" si="148"/>
        <v>-1.26E-2</v>
      </c>
      <c r="S208">
        <v>2483000</v>
      </c>
      <c r="T208" s="18">
        <f>ROUND((S208/7)/VLOOKUP(EOMONTH(A208,-1),Employment!A:P,16,FALSE),4)</f>
        <v>1.429</v>
      </c>
      <c r="U208" s="18">
        <f t="shared" si="149"/>
        <v>1.4404999999999999</v>
      </c>
      <c r="V208" s="29">
        <f t="shared" si="150"/>
        <v>-0.16320000000000001</v>
      </c>
      <c r="W208" s="29">
        <f t="shared" si="151"/>
        <v>1.2999999999999999E-3</v>
      </c>
      <c r="X208" s="30">
        <f t="shared" si="152"/>
        <v>146.13</v>
      </c>
      <c r="Y208" s="31">
        <f t="shared" si="153"/>
        <v>147.79</v>
      </c>
    </row>
    <row r="209" spans="1:25" x14ac:dyDescent="0.25">
      <c r="A209" s="5">
        <v>41882</v>
      </c>
      <c r="B209">
        <v>1714.0717</v>
      </c>
      <c r="C209" s="29">
        <f t="shared" si="143"/>
        <v>6.8999999999999999E-3</v>
      </c>
      <c r="D209">
        <v>-0.89</v>
      </c>
      <c r="E209">
        <v>-1.5529999999999999</v>
      </c>
      <c r="F209" s="18">
        <f t="shared" si="144"/>
        <v>0.1839999999999975</v>
      </c>
      <c r="G209" s="18">
        <f t="shared" si="145"/>
        <v>0.13599999999999568</v>
      </c>
      <c r="H209">
        <v>3.8</v>
      </c>
      <c r="I209">
        <v>2.23</v>
      </c>
      <c r="J209">
        <f t="shared" si="154"/>
        <v>3.02</v>
      </c>
      <c r="K209" s="6">
        <f t="shared" si="155"/>
        <v>3.06</v>
      </c>
      <c r="L209" s="6">
        <f t="shared" si="156"/>
        <v>-6.999999999999984E-2</v>
      </c>
      <c r="M209">
        <v>2.1488643243013001</v>
      </c>
      <c r="N209">
        <v>301000</v>
      </c>
      <c r="O209" s="18">
        <f>ROUND(N209/VLOOKUP(EOMONTH(A209,-1),Employment!A:P,16,FALSE),4)</f>
        <v>1.2136</v>
      </c>
      <c r="P209" s="18">
        <f t="shared" si="146"/>
        <v>1.2139</v>
      </c>
      <c r="Q209" s="29">
        <f t="shared" si="147"/>
        <v>-0.1125</v>
      </c>
      <c r="R209" s="29">
        <f t="shared" si="148"/>
        <v>-9.1000000000000004E-3</v>
      </c>
      <c r="S209">
        <v>2514000</v>
      </c>
      <c r="T209" s="18">
        <f>ROUND((S209/7)/VLOOKUP(EOMONTH(A209,-1),Employment!A:P,16,FALSE),4)</f>
        <v>1.448</v>
      </c>
      <c r="U209" s="18">
        <f t="shared" si="149"/>
        <v>1.4499</v>
      </c>
      <c r="V209" s="29">
        <f t="shared" si="150"/>
        <v>-0.15890000000000001</v>
      </c>
      <c r="W209" s="29">
        <f t="shared" si="151"/>
        <v>-5.9999999999999995E-4</v>
      </c>
      <c r="X209" s="30">
        <f t="shared" si="152"/>
        <v>148.38999999999999</v>
      </c>
      <c r="Y209" s="31">
        <f t="shared" si="153"/>
        <v>150.02000000000001</v>
      </c>
    </row>
    <row r="210" spans="1:25" x14ac:dyDescent="0.25">
      <c r="A210" s="5">
        <v>41875</v>
      </c>
      <c r="B210">
        <v>1711.5252</v>
      </c>
      <c r="C210" s="29">
        <f t="shared" ref="C210:C273" si="157">ROUND((B210-AVERAGE(B211:B214))/AVERAGE(B211:B214),4)</f>
        <v>8.0000000000000002E-3</v>
      </c>
      <c r="D210">
        <v>-0.89</v>
      </c>
      <c r="E210">
        <v>-1.53</v>
      </c>
      <c r="F210" s="18">
        <f t="shared" si="144"/>
        <v>0.48000000000000043</v>
      </c>
      <c r="G210" s="18">
        <f t="shared" si="145"/>
        <v>-0.7759999999999998</v>
      </c>
      <c r="H210">
        <v>3.79</v>
      </c>
      <c r="I210">
        <v>2.2599999999999998</v>
      </c>
      <c r="J210">
        <f t="shared" si="154"/>
        <v>3.03</v>
      </c>
      <c r="K210" s="6">
        <f t="shared" si="155"/>
        <v>3.13</v>
      </c>
      <c r="L210" s="6">
        <f t="shared" si="156"/>
        <v>-7.0000000000000284E-2</v>
      </c>
      <c r="M210">
        <v>2.5846299742219001</v>
      </c>
      <c r="N210">
        <v>302000</v>
      </c>
      <c r="O210" s="18">
        <f>ROUND(N210/VLOOKUP(EOMONTH(A210,-1),Employment!A:P,16,FALSE),4)</f>
        <v>1.2176</v>
      </c>
      <c r="P210" s="18">
        <f t="shared" si="146"/>
        <v>1.2119</v>
      </c>
      <c r="Q210" s="29">
        <f t="shared" si="147"/>
        <v>-0.121</v>
      </c>
      <c r="R210" s="29">
        <f t="shared" si="148"/>
        <v>-1.5E-3</v>
      </c>
      <c r="S210">
        <v>2508000</v>
      </c>
      <c r="T210" s="18">
        <f>ROUND((S210/7)/VLOOKUP(EOMONTH(A210,-1),Employment!A:P,16,FALSE),4)</f>
        <v>1.4446000000000001</v>
      </c>
      <c r="U210" s="18">
        <f t="shared" si="149"/>
        <v>1.4523999999999999</v>
      </c>
      <c r="V210" s="29">
        <f t="shared" si="150"/>
        <v>-0.16159999999999999</v>
      </c>
      <c r="W210" s="29">
        <f t="shared" si="151"/>
        <v>-5.1000000000000004E-3</v>
      </c>
      <c r="X210" s="30">
        <f t="shared" si="152"/>
        <v>150.44</v>
      </c>
      <c r="Y210" s="31">
        <f t="shared" si="153"/>
        <v>152.74</v>
      </c>
    </row>
    <row r="211" spans="1:25" x14ac:dyDescent="0.25">
      <c r="A211" s="5">
        <v>41868</v>
      </c>
      <c r="B211">
        <v>1704.7429999999999</v>
      </c>
      <c r="C211" s="29">
        <f t="shared" si="157"/>
        <v>5.7000000000000002E-3</v>
      </c>
      <c r="D211">
        <v>-0.89</v>
      </c>
      <c r="E211">
        <v>-1.47</v>
      </c>
      <c r="F211" s="18">
        <f t="shared" si="144"/>
        <v>-0.52800000000000225</v>
      </c>
      <c r="G211" s="18">
        <f t="shared" si="145"/>
        <v>-1.2920000000000016</v>
      </c>
      <c r="H211">
        <v>3.97</v>
      </c>
      <c r="I211">
        <v>2.29</v>
      </c>
      <c r="J211">
        <f t="shared" si="154"/>
        <v>3.13</v>
      </c>
      <c r="K211" s="6">
        <f t="shared" si="155"/>
        <v>3.2</v>
      </c>
      <c r="L211" s="6">
        <f t="shared" si="156"/>
        <v>5.0000000000000266E-2</v>
      </c>
      <c r="M211">
        <v>3.2014436204711001</v>
      </c>
      <c r="N211">
        <v>300250</v>
      </c>
      <c r="O211" s="18">
        <f>ROUND(N211/VLOOKUP(EOMONTH(A211,-1),Employment!A:P,16,FALSE),4)</f>
        <v>1.2105999999999999</v>
      </c>
      <c r="P211" s="18">
        <f t="shared" si="146"/>
        <v>1.2112000000000001</v>
      </c>
      <c r="Q211" s="29">
        <f t="shared" si="147"/>
        <v>-0.13109999999999999</v>
      </c>
      <c r="R211" s="29">
        <f t="shared" si="148"/>
        <v>8.3999999999999995E-3</v>
      </c>
      <c r="S211">
        <v>2530000</v>
      </c>
      <c r="T211" s="18">
        <f>ROUND((S211/7)/VLOOKUP(EOMONTH(A211,-1),Employment!A:P,16,FALSE),4)</f>
        <v>1.4572000000000001</v>
      </c>
      <c r="U211" s="18">
        <f t="shared" si="149"/>
        <v>1.4583999999999999</v>
      </c>
      <c r="V211" s="29">
        <f t="shared" si="150"/>
        <v>-0.15440000000000001</v>
      </c>
      <c r="W211" s="29">
        <f t="shared" si="151"/>
        <v>-5.1000000000000004E-3</v>
      </c>
      <c r="X211" s="30">
        <f t="shared" si="152"/>
        <v>153.06</v>
      </c>
      <c r="Y211" s="31">
        <f t="shared" si="153"/>
        <v>156.21</v>
      </c>
    </row>
    <row r="212" spans="1:25" x14ac:dyDescent="0.25">
      <c r="A212" s="5">
        <v>41861</v>
      </c>
      <c r="B212">
        <v>1699.5640000000001</v>
      </c>
      <c r="C212" s="29">
        <f t="shared" si="157"/>
        <v>3.7000000000000002E-3</v>
      </c>
      <c r="D212">
        <v>-0.89</v>
      </c>
      <c r="E212">
        <v>-1.536</v>
      </c>
      <c r="F212" s="18">
        <f t="shared" si="144"/>
        <v>-0.72799999999999798</v>
      </c>
      <c r="G212" s="18">
        <f t="shared" si="145"/>
        <v>-0.99199999999999733</v>
      </c>
      <c r="H212">
        <v>4.2</v>
      </c>
      <c r="I212">
        <v>2.27</v>
      </c>
      <c r="J212">
        <f t="shared" si="154"/>
        <v>3.24</v>
      </c>
      <c r="K212" s="6">
        <f t="shared" si="155"/>
        <v>3.15</v>
      </c>
      <c r="L212" s="6">
        <f t="shared" si="156"/>
        <v>8.0000000000000071E-2</v>
      </c>
      <c r="M212">
        <v>3.6091825168476999</v>
      </c>
      <c r="N212">
        <v>299500</v>
      </c>
      <c r="O212" s="18">
        <f>ROUND(N212/VLOOKUP(EOMONTH(A212,-1),Employment!A:P,16,FALSE),4)</f>
        <v>1.2075</v>
      </c>
      <c r="P212" s="18">
        <f t="shared" si="146"/>
        <v>1.2159</v>
      </c>
      <c r="Q212" s="29">
        <f t="shared" si="147"/>
        <v>-0.1356</v>
      </c>
      <c r="R212" s="29">
        <f t="shared" si="148"/>
        <v>1.29E-2</v>
      </c>
      <c r="S212">
        <v>2527000</v>
      </c>
      <c r="T212" s="18">
        <f>ROUND((S212/7)/VLOOKUP(EOMONTH(A212,-1),Employment!A:P,16,FALSE),4)</f>
        <v>1.4555</v>
      </c>
      <c r="U212" s="18">
        <f t="shared" si="149"/>
        <v>1.4588000000000001</v>
      </c>
      <c r="V212" s="29">
        <f t="shared" si="150"/>
        <v>-0.16070000000000001</v>
      </c>
      <c r="W212" s="29">
        <f t="shared" si="151"/>
        <v>4.1999999999999997E-3</v>
      </c>
      <c r="X212" s="30">
        <f t="shared" si="152"/>
        <v>157.68</v>
      </c>
      <c r="Y212" s="31">
        <f t="shared" si="153"/>
        <v>159.06</v>
      </c>
    </row>
    <row r="213" spans="1:25" x14ac:dyDescent="0.25">
      <c r="A213" s="5">
        <v>41854</v>
      </c>
      <c r="B213">
        <v>1693.7328</v>
      </c>
      <c r="C213" s="29">
        <f t="shared" si="157"/>
        <v>1.8E-3</v>
      </c>
      <c r="D213">
        <v>-0.91</v>
      </c>
      <c r="E213">
        <v>-1.6020000000000001</v>
      </c>
      <c r="F213" s="18">
        <f t="shared" si="144"/>
        <v>-3.6000000000001364E-2</v>
      </c>
      <c r="G213" s="18">
        <f t="shared" si="145"/>
        <v>-0.41199999999999903</v>
      </c>
      <c r="H213">
        <v>4.25</v>
      </c>
      <c r="I213">
        <v>2.23</v>
      </c>
      <c r="J213">
        <f t="shared" si="154"/>
        <v>3.24</v>
      </c>
      <c r="K213" s="6">
        <f t="shared" si="155"/>
        <v>3.07</v>
      </c>
      <c r="L213" s="6">
        <f t="shared" si="156"/>
        <v>0.10999999999999988</v>
      </c>
      <c r="M213">
        <v>3.9751188612115</v>
      </c>
      <c r="N213">
        <v>301500</v>
      </c>
      <c r="O213" s="18">
        <f>ROUND(N213/VLOOKUP(EOMONTH(A213,-1),Employment!A:P,16,FALSE),4)</f>
        <v>1.2156</v>
      </c>
      <c r="P213" s="18">
        <f t="shared" si="146"/>
        <v>1.2286999999999999</v>
      </c>
      <c r="Q213" s="29">
        <f t="shared" si="147"/>
        <v>-0.1288</v>
      </c>
      <c r="R213" s="29">
        <f t="shared" si="148"/>
        <v>1.29E-2</v>
      </c>
      <c r="S213">
        <v>2539000</v>
      </c>
      <c r="T213" s="18">
        <f>ROUND((S213/7)/VLOOKUP(EOMONTH(A213,-1),Employment!A:P,16,FALSE),4)</f>
        <v>1.4623999999999999</v>
      </c>
      <c r="U213" s="18">
        <f t="shared" si="149"/>
        <v>1.4617</v>
      </c>
      <c r="V213" s="29">
        <f t="shared" si="150"/>
        <v>-0.16880000000000001</v>
      </c>
      <c r="W213" s="29">
        <f t="shared" si="151"/>
        <v>1.2699999999999999E-2</v>
      </c>
      <c r="X213" s="30">
        <f t="shared" si="152"/>
        <v>160.41</v>
      </c>
      <c r="Y213" s="31">
        <f t="shared" si="153"/>
        <v>159.41999999999999</v>
      </c>
    </row>
    <row r="214" spans="1:25" x14ac:dyDescent="0.25">
      <c r="A214" s="5">
        <v>41847</v>
      </c>
      <c r="B214">
        <v>1693.4918</v>
      </c>
      <c r="C214" s="29">
        <f t="shared" si="157"/>
        <v>4.4000000000000003E-3</v>
      </c>
      <c r="D214">
        <v>-0.92</v>
      </c>
      <c r="E214">
        <v>-1.5940000000000001</v>
      </c>
      <c r="F214" s="18">
        <f t="shared" si="144"/>
        <v>-0.22799999999999798</v>
      </c>
      <c r="G214" s="18">
        <f t="shared" si="145"/>
        <v>-0.5919999999999952</v>
      </c>
      <c r="H214">
        <v>3.75</v>
      </c>
      <c r="I214">
        <v>2.19</v>
      </c>
      <c r="J214">
        <f t="shared" si="154"/>
        <v>2.97</v>
      </c>
      <c r="K214" s="6">
        <f t="shared" si="155"/>
        <v>2.96</v>
      </c>
      <c r="L214" s="6">
        <f t="shared" si="156"/>
        <v>4.9999999999999822E-2</v>
      </c>
      <c r="M214">
        <v>4.0908920079777999</v>
      </c>
      <c r="N214">
        <v>303500</v>
      </c>
      <c r="O214" s="18">
        <f>ROUND(N214/VLOOKUP(EOMONTH(A214,-1),Employment!A:P,16,FALSE),4)</f>
        <v>1.2246999999999999</v>
      </c>
      <c r="P214" s="18">
        <f t="shared" si="146"/>
        <v>1.2422</v>
      </c>
      <c r="Q214" s="29">
        <f t="shared" si="147"/>
        <v>-0.12139999999999999</v>
      </c>
      <c r="R214" s="29">
        <f t="shared" si="148"/>
        <v>8.2000000000000007E-3</v>
      </c>
      <c r="S214">
        <v>2530000</v>
      </c>
      <c r="T214" s="18">
        <f>ROUND((S214/7)/VLOOKUP(EOMONTH(A214,-1),Employment!A:P,16,FALSE),4)</f>
        <v>1.4584999999999999</v>
      </c>
      <c r="U214" s="18">
        <f t="shared" si="149"/>
        <v>1.4692000000000001</v>
      </c>
      <c r="V214" s="29">
        <f t="shared" si="150"/>
        <v>-0.1699</v>
      </c>
      <c r="W214" s="29">
        <f t="shared" si="151"/>
        <v>1.4E-2</v>
      </c>
      <c r="X214" s="30">
        <f t="shared" si="152"/>
        <v>159.11000000000001</v>
      </c>
      <c r="Y214" s="31">
        <f t="shared" si="153"/>
        <v>158.36000000000001</v>
      </c>
    </row>
    <row r="215" spans="1:25" x14ac:dyDescent="0.25">
      <c r="A215" s="5">
        <v>41840</v>
      </c>
      <c r="B215">
        <v>1693.5930000000001</v>
      </c>
      <c r="C215" s="29">
        <f t="shared" si="157"/>
        <v>7.9000000000000008E-3</v>
      </c>
      <c r="D215">
        <v>-0.93</v>
      </c>
      <c r="E215">
        <v>-1.61</v>
      </c>
      <c r="F215" s="18">
        <f t="shared" si="144"/>
        <v>-0.14799999999999969</v>
      </c>
      <c r="G215" s="18">
        <f t="shared" si="145"/>
        <v>-0.11599999999999966</v>
      </c>
      <c r="H215">
        <v>3.78</v>
      </c>
      <c r="I215">
        <v>2.2000000000000002</v>
      </c>
      <c r="J215">
        <f t="shared" si="154"/>
        <v>2.99</v>
      </c>
      <c r="K215" s="6">
        <f t="shared" si="155"/>
        <v>2.91</v>
      </c>
      <c r="L215" s="6">
        <f t="shared" si="156"/>
        <v>5.0000000000000266E-2</v>
      </c>
      <c r="M215">
        <v>4.1882464934795998</v>
      </c>
      <c r="N215">
        <v>308750</v>
      </c>
      <c r="O215" s="18">
        <f>ROUND(N215/VLOOKUP(EOMONTH(A215,-1),Employment!A:P,16,FALSE),4)</f>
        <v>1.2459</v>
      </c>
      <c r="P215" s="18">
        <f t="shared" si="146"/>
        <v>1.2566999999999999</v>
      </c>
      <c r="Q215" s="29">
        <f t="shared" si="147"/>
        <v>-0.1081</v>
      </c>
      <c r="R215" s="29">
        <f t="shared" si="148"/>
        <v>1.5E-3</v>
      </c>
      <c r="S215">
        <v>2540000</v>
      </c>
      <c r="T215" s="18">
        <f>ROUND((S215/7)/VLOOKUP(EOMONTH(A215,-1),Employment!A:P,16,FALSE),4)</f>
        <v>1.4641999999999999</v>
      </c>
      <c r="U215" s="18">
        <f t="shared" si="149"/>
        <v>1.4794</v>
      </c>
      <c r="V215" s="29">
        <f t="shared" si="150"/>
        <v>-0.15970000000000001</v>
      </c>
      <c r="W215" s="29">
        <f t="shared" si="151"/>
        <v>7.7999999999999996E-3</v>
      </c>
      <c r="X215" s="30">
        <f t="shared" si="152"/>
        <v>157.69999999999999</v>
      </c>
      <c r="Y215" s="31">
        <f t="shared" si="153"/>
        <v>158.12</v>
      </c>
    </row>
    <row r="216" spans="1:25" x14ac:dyDescent="0.25">
      <c r="A216" s="5">
        <v>41833</v>
      </c>
      <c r="B216">
        <v>1692.5717999999999</v>
      </c>
      <c r="C216" s="29">
        <f t="shared" si="157"/>
        <v>1.15E-2</v>
      </c>
      <c r="D216">
        <v>-0.94</v>
      </c>
      <c r="E216">
        <v>-1.6160000000000001</v>
      </c>
      <c r="F216" s="18">
        <f t="shared" si="144"/>
        <v>-0.21599999999999753</v>
      </c>
      <c r="G216" s="18">
        <f t="shared" si="145"/>
        <v>0.11199999999999832</v>
      </c>
      <c r="H216">
        <v>3.61</v>
      </c>
      <c r="I216">
        <v>2.2000000000000002</v>
      </c>
      <c r="J216">
        <f t="shared" si="154"/>
        <v>2.91</v>
      </c>
      <c r="K216" s="6">
        <f t="shared" si="155"/>
        <v>2.86</v>
      </c>
      <c r="L216" s="6">
        <f t="shared" si="156"/>
        <v>4.0000000000000036E-2</v>
      </c>
      <c r="M216">
        <v>4.4093361492479</v>
      </c>
      <c r="N216">
        <v>311250</v>
      </c>
      <c r="O216" s="18">
        <f>ROUND(N216/VLOOKUP(EOMONTH(A216,-1),Employment!A:P,16,FALSE),4)</f>
        <v>1.256</v>
      </c>
      <c r="P216" s="18">
        <f t="shared" si="146"/>
        <v>1.2657</v>
      </c>
      <c r="Q216" s="29">
        <f t="shared" si="147"/>
        <v>-0.1024</v>
      </c>
      <c r="R216" s="29">
        <f t="shared" si="148"/>
        <v>-2E-3</v>
      </c>
      <c r="S216">
        <v>2576000</v>
      </c>
      <c r="T216" s="18">
        <f>ROUND((S216/7)/VLOOKUP(EOMONTH(A216,-1),Employment!A:P,16,FALSE),4)</f>
        <v>1.4850000000000001</v>
      </c>
      <c r="U216" s="18">
        <f t="shared" si="149"/>
        <v>1.4887999999999999</v>
      </c>
      <c r="V216" s="29">
        <f t="shared" si="150"/>
        <v>-0.14349999999999999</v>
      </c>
      <c r="W216" s="29">
        <f t="shared" si="151"/>
        <v>4.5999999999999999E-3</v>
      </c>
      <c r="X216" s="30">
        <f t="shared" si="152"/>
        <v>158.12</v>
      </c>
      <c r="Y216" s="31">
        <f t="shared" si="153"/>
        <v>158.97999999999999</v>
      </c>
    </row>
    <row r="217" spans="1:25" x14ac:dyDescent="0.25">
      <c r="A217" s="5">
        <v>41826</v>
      </c>
      <c r="B217">
        <v>1683.4126000000001</v>
      </c>
      <c r="C217" s="29">
        <f t="shared" si="157"/>
        <v>8.3999999999999995E-3</v>
      </c>
      <c r="D217">
        <v>-0.94</v>
      </c>
      <c r="E217">
        <v>-1.643</v>
      </c>
      <c r="F217" s="18">
        <f t="shared" si="144"/>
        <v>0.24799999999999756</v>
      </c>
      <c r="G217" s="18">
        <f t="shared" si="145"/>
        <v>0.65999999999999659</v>
      </c>
      <c r="H217">
        <v>3.44</v>
      </c>
      <c r="I217">
        <v>2.21</v>
      </c>
      <c r="J217">
        <f t="shared" si="154"/>
        <v>2.83</v>
      </c>
      <c r="K217" s="6">
        <f t="shared" si="155"/>
        <v>2.82</v>
      </c>
      <c r="L217" s="6">
        <f t="shared" si="156"/>
        <v>0</v>
      </c>
      <c r="M217">
        <v>4.4120888990889</v>
      </c>
      <c r="N217">
        <v>314250</v>
      </c>
      <c r="O217" s="18">
        <f>ROUND(N217/VLOOKUP(EOMONTH(A217,-1),Employment!A:P,16,FALSE),4)</f>
        <v>1.2681</v>
      </c>
      <c r="P217" s="18">
        <f t="shared" si="146"/>
        <v>1.2681</v>
      </c>
      <c r="Q217" s="29">
        <f t="shared" si="147"/>
        <v>-0.10050000000000001</v>
      </c>
      <c r="R217" s="29">
        <f t="shared" si="148"/>
        <v>-1.6999999999999999E-3</v>
      </c>
      <c r="S217">
        <v>2583000</v>
      </c>
      <c r="T217" s="18">
        <f>ROUND((S217/7)/VLOOKUP(EOMONTH(A217,-1),Employment!A:P,16,FALSE),4)</f>
        <v>1.4890000000000001</v>
      </c>
      <c r="U217" s="18">
        <f t="shared" si="149"/>
        <v>1.4928999999999999</v>
      </c>
      <c r="V217" s="29">
        <f t="shared" si="150"/>
        <v>-0.14149999999999999</v>
      </c>
      <c r="W217" s="29">
        <f t="shared" si="151"/>
        <v>6.8999999999999999E-3</v>
      </c>
      <c r="X217" s="30">
        <f t="shared" si="152"/>
        <v>159.15</v>
      </c>
      <c r="Y217" s="31">
        <f t="shared" si="153"/>
        <v>161.33000000000001</v>
      </c>
    </row>
    <row r="218" spans="1:25" x14ac:dyDescent="0.25">
      <c r="A218" s="5">
        <v>41819</v>
      </c>
      <c r="B218">
        <v>1674.6239</v>
      </c>
      <c r="C218" s="29">
        <f t="shared" si="157"/>
        <v>4.7000000000000002E-3</v>
      </c>
      <c r="D218">
        <v>-0.94</v>
      </c>
      <c r="E218">
        <v>-1.6120000000000001</v>
      </c>
      <c r="F218" s="18">
        <f t="shared" si="144"/>
        <v>7.9999999999998295E-2</v>
      </c>
      <c r="G218" s="18">
        <f t="shared" si="145"/>
        <v>0.19999999999999574</v>
      </c>
      <c r="H218">
        <v>3.48</v>
      </c>
      <c r="I218">
        <v>2.2000000000000002</v>
      </c>
      <c r="J218">
        <f t="shared" si="154"/>
        <v>2.84</v>
      </c>
      <c r="K218" s="6">
        <f t="shared" si="155"/>
        <v>2.82</v>
      </c>
      <c r="L218" s="6">
        <f t="shared" si="156"/>
        <v>-1.0000000000000231E-2</v>
      </c>
      <c r="M218">
        <v>4.2454546058444</v>
      </c>
      <c r="N218">
        <v>315250</v>
      </c>
      <c r="O218" s="18">
        <f>ROUND(N218/VLOOKUP(EOMONTH(A218,-1),Employment!A:P,16,FALSE),4)</f>
        <v>1.2730999999999999</v>
      </c>
      <c r="P218" s="18">
        <f t="shared" si="146"/>
        <v>1.2697000000000001</v>
      </c>
      <c r="Q218" s="29">
        <f t="shared" si="147"/>
        <v>-0.1003</v>
      </c>
      <c r="R218" s="29">
        <f t="shared" si="148"/>
        <v>6.8999999999999999E-3</v>
      </c>
      <c r="S218">
        <v>2587000</v>
      </c>
      <c r="T218" s="18">
        <f>ROUND((S218/7)/VLOOKUP(EOMONTH(A218,-1),Employment!A:P,16,FALSE),4)</f>
        <v>1.4924999999999999</v>
      </c>
      <c r="U218" s="18">
        <f t="shared" si="149"/>
        <v>1.5026999999999999</v>
      </c>
      <c r="V218" s="29">
        <f t="shared" si="150"/>
        <v>-0.1396</v>
      </c>
      <c r="W218" s="29">
        <f t="shared" si="151"/>
        <v>7.9000000000000008E-3</v>
      </c>
      <c r="X218" s="30">
        <f t="shared" si="152"/>
        <v>160.71</v>
      </c>
      <c r="Y218" s="31">
        <f t="shared" si="153"/>
        <v>165.01</v>
      </c>
    </row>
    <row r="219" spans="1:25" x14ac:dyDescent="0.25">
      <c r="A219" s="5">
        <v>41812</v>
      </c>
      <c r="B219">
        <v>1670.7653</v>
      </c>
      <c r="C219" s="29">
        <f t="shared" si="157"/>
        <v>3.5000000000000001E-3</v>
      </c>
      <c r="D219">
        <v>-0.94</v>
      </c>
      <c r="E219">
        <v>-1.6020000000000001</v>
      </c>
      <c r="F219" s="18">
        <f t="shared" si="144"/>
        <v>0.33200000000000074</v>
      </c>
      <c r="G219" s="18">
        <f t="shared" si="145"/>
        <v>0.46399999999999864</v>
      </c>
      <c r="H219">
        <v>3.36</v>
      </c>
      <c r="I219">
        <v>2.2000000000000002</v>
      </c>
      <c r="J219">
        <f t="shared" si="154"/>
        <v>2.78</v>
      </c>
      <c r="K219" s="6">
        <f t="shared" si="155"/>
        <v>2.83</v>
      </c>
      <c r="L219" s="6">
        <f t="shared" si="156"/>
        <v>-6.999999999999984E-2</v>
      </c>
      <c r="M219">
        <v>4.2914624721732002</v>
      </c>
      <c r="N219">
        <v>312750</v>
      </c>
      <c r="O219" s="18">
        <f>ROUND(N219/VLOOKUP(EOMONTH(A219,-1),Employment!A:P,16,FALSE),4)</f>
        <v>1.2629999999999999</v>
      </c>
      <c r="P219" s="18">
        <f t="shared" si="146"/>
        <v>1.2644</v>
      </c>
      <c r="Q219" s="29">
        <f t="shared" si="147"/>
        <v>-0.1077</v>
      </c>
      <c r="R219" s="29">
        <f t="shared" si="148"/>
        <v>1.8599999999999998E-2</v>
      </c>
      <c r="S219">
        <v>2595000</v>
      </c>
      <c r="T219" s="18">
        <f>ROUND((S219/7)/VLOOKUP(EOMONTH(A219,-1),Employment!A:P,16,FALSE),4)</f>
        <v>1.4971000000000001</v>
      </c>
      <c r="U219" s="18">
        <f t="shared" si="149"/>
        <v>1.514</v>
      </c>
      <c r="V219" s="29">
        <f t="shared" si="150"/>
        <v>-0.13469999999999999</v>
      </c>
      <c r="W219" s="29">
        <f t="shared" si="151"/>
        <v>8.3000000000000001E-3</v>
      </c>
      <c r="X219" s="30">
        <f t="shared" si="152"/>
        <v>168.34</v>
      </c>
      <c r="Y219" s="31">
        <f t="shared" si="153"/>
        <v>167.26</v>
      </c>
    </row>
    <row r="220" spans="1:25" x14ac:dyDescent="0.25">
      <c r="A220" s="5">
        <v>41805</v>
      </c>
      <c r="B220">
        <v>1664.3281999999999</v>
      </c>
      <c r="C220" s="29">
        <f t="shared" si="157"/>
        <v>2.0000000000000001E-4</v>
      </c>
      <c r="D220">
        <v>-0.93</v>
      </c>
      <c r="E220">
        <v>-1.573</v>
      </c>
      <c r="F220" s="18">
        <f t="shared" si="144"/>
        <v>-0.2120000000000033</v>
      </c>
      <c r="G220" s="18">
        <f t="shared" si="145"/>
        <v>0.38799999999999812</v>
      </c>
      <c r="H220">
        <v>3.47</v>
      </c>
      <c r="I220">
        <v>2.19</v>
      </c>
      <c r="J220">
        <f t="shared" si="154"/>
        <v>2.83</v>
      </c>
      <c r="K220" s="6">
        <f t="shared" si="155"/>
        <v>2.9</v>
      </c>
      <c r="L220" s="6">
        <f t="shared" si="156"/>
        <v>-6.0000000000000053E-2</v>
      </c>
      <c r="M220">
        <v>4.3142707836226997</v>
      </c>
      <c r="N220">
        <v>315250</v>
      </c>
      <c r="O220" s="18">
        <f>ROUND(N220/VLOOKUP(EOMONTH(A220,-1),Employment!A:P,16,FALSE),4)</f>
        <v>1.2730999999999999</v>
      </c>
      <c r="P220" s="18">
        <f t="shared" si="146"/>
        <v>1.2657</v>
      </c>
      <c r="Q220" s="29">
        <f t="shared" si="147"/>
        <v>-0.10630000000000001</v>
      </c>
      <c r="R220" s="29">
        <f t="shared" si="148"/>
        <v>2.18E-2</v>
      </c>
      <c r="S220">
        <v>2632000</v>
      </c>
      <c r="T220" s="18">
        <f>ROUND((S220/7)/VLOOKUP(EOMONTH(A220,-1),Employment!A:P,16,FALSE),4)</f>
        <v>1.5184</v>
      </c>
      <c r="U220" s="18">
        <f t="shared" si="149"/>
        <v>1.5242</v>
      </c>
      <c r="V220" s="29">
        <f t="shared" si="150"/>
        <v>-0.13039999999999999</v>
      </c>
      <c r="W220" s="29">
        <f t="shared" si="151"/>
        <v>6.4999999999999997E-3</v>
      </c>
      <c r="X220" s="30">
        <f t="shared" si="152"/>
        <v>167.41</v>
      </c>
      <c r="Y220" s="31">
        <f t="shared" si="153"/>
        <v>163.04</v>
      </c>
    </row>
    <row r="221" spans="1:25" x14ac:dyDescent="0.25">
      <c r="A221" s="5">
        <v>41798</v>
      </c>
      <c r="B221">
        <v>1668.1695</v>
      </c>
      <c r="C221" s="29">
        <f t="shared" si="157"/>
        <v>4.3E-3</v>
      </c>
      <c r="D221">
        <v>-0.92</v>
      </c>
      <c r="E221">
        <v>-1.6120000000000001</v>
      </c>
      <c r="F221" s="18">
        <f t="shared" si="144"/>
        <v>0.34400000000000119</v>
      </c>
      <c r="G221" s="18">
        <f t="shared" si="145"/>
        <v>0.78400000000000603</v>
      </c>
      <c r="H221">
        <v>3.53</v>
      </c>
      <c r="I221">
        <v>2.23</v>
      </c>
      <c r="J221">
        <f t="shared" si="154"/>
        <v>2.88</v>
      </c>
      <c r="K221" s="6">
        <f t="shared" si="155"/>
        <v>2.96</v>
      </c>
      <c r="L221" s="6">
        <f t="shared" si="156"/>
        <v>-4.0000000000000036E-2</v>
      </c>
      <c r="M221">
        <v>4.5936357825099003</v>
      </c>
      <c r="N221">
        <v>311250</v>
      </c>
      <c r="O221" s="18">
        <f>ROUND(N221/VLOOKUP(EOMONTH(A221,-1),Employment!A:P,16,FALSE),4)</f>
        <v>1.2569999999999999</v>
      </c>
      <c r="P221" s="18">
        <f t="shared" si="146"/>
        <v>1.2765</v>
      </c>
      <c r="Q221" s="29">
        <f t="shared" si="147"/>
        <v>-9.5699999999999993E-2</v>
      </c>
      <c r="R221" s="29">
        <f t="shared" si="148"/>
        <v>1.17E-2</v>
      </c>
      <c r="S221">
        <v>2646000</v>
      </c>
      <c r="T221" s="18">
        <f>ROUND((S221/7)/VLOOKUP(EOMONTH(A221,-1),Employment!A:P,16,FALSE),4)</f>
        <v>1.5265</v>
      </c>
      <c r="U221" s="18">
        <f t="shared" si="149"/>
        <v>1.5354000000000001</v>
      </c>
      <c r="V221" s="29">
        <f t="shared" si="150"/>
        <v>-0.12189999999999999</v>
      </c>
      <c r="W221" s="29">
        <f t="shared" si="151"/>
        <v>5.1000000000000004E-3</v>
      </c>
      <c r="X221" s="30">
        <f t="shared" si="152"/>
        <v>164.18</v>
      </c>
      <c r="Y221" s="31">
        <f t="shared" si="153"/>
        <v>153.66999999999999</v>
      </c>
    </row>
    <row r="222" spans="1:25" x14ac:dyDescent="0.25">
      <c r="A222" s="5">
        <v>41791</v>
      </c>
      <c r="B222">
        <v>1663.6361999999999</v>
      </c>
      <c r="C222" s="29">
        <f t="shared" si="157"/>
        <v>3.5000000000000001E-3</v>
      </c>
      <c r="D222">
        <v>-0.92</v>
      </c>
      <c r="E222">
        <v>-1.569</v>
      </c>
      <c r="F222" s="18">
        <f t="shared" si="144"/>
        <v>0.25600000000000023</v>
      </c>
      <c r="G222" s="18">
        <f t="shared" si="145"/>
        <v>0.53600000000000136</v>
      </c>
      <c r="H222">
        <v>3.75</v>
      </c>
      <c r="I222">
        <v>2.2200000000000002</v>
      </c>
      <c r="J222">
        <f t="shared" si="154"/>
        <v>2.99</v>
      </c>
      <c r="K222" s="6">
        <f t="shared" si="155"/>
        <v>3</v>
      </c>
      <c r="L222" s="6">
        <f t="shared" si="156"/>
        <v>9.9999999999997868E-3</v>
      </c>
      <c r="M222">
        <v>5.1369469058004</v>
      </c>
      <c r="N222">
        <v>313750</v>
      </c>
      <c r="O222" s="18">
        <f>ROUND(N222/VLOOKUP(EOMONTH(A222,-1),Employment!A:P,16,FALSE),4)</f>
        <v>1.2670999999999999</v>
      </c>
      <c r="P222" s="18">
        <f t="shared" si="146"/>
        <v>1.2949999999999999</v>
      </c>
      <c r="Q222" s="29">
        <f t="shared" si="147"/>
        <v>-7.5300000000000006E-2</v>
      </c>
      <c r="R222" s="29">
        <f t="shared" si="148"/>
        <v>-9.7000000000000003E-3</v>
      </c>
      <c r="S222">
        <v>2648000</v>
      </c>
      <c r="T222" s="18">
        <f>ROUND((S222/7)/VLOOKUP(EOMONTH(A222,-1),Employment!A:P,16,FALSE),4)</f>
        <v>1.5277000000000001</v>
      </c>
      <c r="U222" s="18">
        <f t="shared" si="149"/>
        <v>1.5449999999999999</v>
      </c>
      <c r="V222" s="29">
        <f t="shared" si="150"/>
        <v>-0.1196</v>
      </c>
      <c r="W222" s="29">
        <f t="shared" si="151"/>
        <v>3.8E-3</v>
      </c>
      <c r="X222" s="30">
        <f t="shared" si="152"/>
        <v>149.26</v>
      </c>
      <c r="Y222" s="31">
        <f t="shared" si="153"/>
        <v>142.97</v>
      </c>
    </row>
    <row r="223" spans="1:25" x14ac:dyDescent="0.25">
      <c r="A223" s="5">
        <v>41784</v>
      </c>
      <c r="B223">
        <v>1663.3520000000001</v>
      </c>
      <c r="C223" s="29">
        <f t="shared" si="157"/>
        <v>5.0000000000000001E-3</v>
      </c>
      <c r="D223">
        <v>-0.9</v>
      </c>
      <c r="E223">
        <v>-1.5620000000000001</v>
      </c>
      <c r="F223" s="18">
        <f t="shared" si="144"/>
        <v>0.1840000000000046</v>
      </c>
      <c r="G223" s="18">
        <f t="shared" si="145"/>
        <v>0.32000000000000028</v>
      </c>
      <c r="H223">
        <v>3.78</v>
      </c>
      <c r="I223">
        <v>2.2400000000000002</v>
      </c>
      <c r="J223">
        <f t="shared" si="154"/>
        <v>3.01</v>
      </c>
      <c r="K223" s="6">
        <f t="shared" si="155"/>
        <v>2.99</v>
      </c>
      <c r="L223" s="6">
        <f t="shared" si="156"/>
        <v>2.0000000000000018E-2</v>
      </c>
      <c r="M223">
        <v>4.9181023769468002</v>
      </c>
      <c r="N223">
        <v>323000</v>
      </c>
      <c r="O223" s="18">
        <f>ROUND(N223/VLOOKUP(EOMONTH(A223,-1),Employment!A:P,16,FALSE),4)</f>
        <v>1.3053999999999999</v>
      </c>
      <c r="P223" s="18">
        <f t="shared" si="146"/>
        <v>1.3124</v>
      </c>
      <c r="Q223" s="29">
        <f t="shared" si="147"/>
        <v>-5.7099999999999998E-2</v>
      </c>
      <c r="R223" s="29">
        <f t="shared" si="148"/>
        <v>-2.5399999999999999E-2</v>
      </c>
      <c r="S223">
        <v>2688000</v>
      </c>
      <c r="T223" s="18">
        <f>ROUND((S223/7)/VLOOKUP(EOMONTH(A223,-1),Employment!A:P,16,FALSE),4)</f>
        <v>1.5519000000000001</v>
      </c>
      <c r="U223" s="18">
        <f t="shared" si="149"/>
        <v>1.5570999999999999</v>
      </c>
      <c r="V223" s="29">
        <f t="shared" si="150"/>
        <v>-0.1147</v>
      </c>
      <c r="W223" s="29">
        <f t="shared" si="151"/>
        <v>0</v>
      </c>
      <c r="X223" s="30">
        <f t="shared" si="152"/>
        <v>138.41</v>
      </c>
      <c r="Y223" s="31">
        <f t="shared" si="153"/>
        <v>140.1</v>
      </c>
    </row>
    <row r="224" spans="1:25" x14ac:dyDescent="0.25">
      <c r="A224" s="5">
        <v>41777</v>
      </c>
      <c r="B224">
        <v>1661.0652</v>
      </c>
      <c r="C224" s="29">
        <f t="shared" si="157"/>
        <v>5.5999999999999999E-3</v>
      </c>
      <c r="D224">
        <v>-0.9</v>
      </c>
      <c r="E224">
        <v>-1.5389999999999999</v>
      </c>
      <c r="F224" s="18">
        <f t="shared" si="144"/>
        <v>9.5999999999996533E-2</v>
      </c>
      <c r="G224" s="18">
        <f t="shared" si="145"/>
        <v>0.41599999999999682</v>
      </c>
      <c r="H224">
        <v>3.77</v>
      </c>
      <c r="I224">
        <v>2.2000000000000002</v>
      </c>
      <c r="J224">
        <f t="shared" si="154"/>
        <v>2.99</v>
      </c>
      <c r="K224" s="6">
        <f t="shared" si="155"/>
        <v>2.97</v>
      </c>
      <c r="L224" s="6">
        <f t="shared" si="156"/>
        <v>3.0000000000000249E-2</v>
      </c>
      <c r="M224">
        <v>4.8499503922161997</v>
      </c>
      <c r="N224">
        <v>324750</v>
      </c>
      <c r="O224" s="18">
        <f>ROUND(N224/VLOOKUP(EOMONTH(A224,-1),Employment!A:P,16,FALSE),4)</f>
        <v>1.3124</v>
      </c>
      <c r="P224" s="18">
        <f t="shared" si="146"/>
        <v>1.3130999999999999</v>
      </c>
      <c r="Q224" s="29">
        <f t="shared" si="147"/>
        <v>-6.1400000000000003E-2</v>
      </c>
      <c r="R224" s="29">
        <f t="shared" si="148"/>
        <v>-2.5499999999999998E-2</v>
      </c>
      <c r="S224">
        <v>2694000</v>
      </c>
      <c r="T224" s="18">
        <f>ROUND((S224/7)/VLOOKUP(EOMONTH(A224,-1),Employment!A:P,16,FALSE),4)</f>
        <v>1.5553999999999999</v>
      </c>
      <c r="U224" s="18">
        <f t="shared" si="149"/>
        <v>1.5717000000000001</v>
      </c>
      <c r="V224" s="29">
        <f t="shared" si="150"/>
        <v>-0.1115</v>
      </c>
      <c r="W224" s="29">
        <f t="shared" si="151"/>
        <v>-8.9999999999999998E-4</v>
      </c>
      <c r="X224" s="30">
        <f t="shared" si="152"/>
        <v>138.62</v>
      </c>
      <c r="Y224" s="31">
        <f t="shared" si="153"/>
        <v>146.44999999999999</v>
      </c>
    </row>
    <row r="225" spans="1:25" x14ac:dyDescent="0.25">
      <c r="A225" s="5">
        <v>41770</v>
      </c>
      <c r="B225">
        <v>1655.9235000000001</v>
      </c>
      <c r="C225" s="29">
        <f t="shared" si="157"/>
        <v>5.1999999999999998E-3</v>
      </c>
      <c r="D225">
        <v>-0.9</v>
      </c>
      <c r="E225">
        <v>-1.5269999999999999</v>
      </c>
      <c r="F225" s="18">
        <f t="shared" si="144"/>
        <v>3.9999999999999147E-2</v>
      </c>
      <c r="G225" s="18">
        <f t="shared" si="145"/>
        <v>0.48400000000000176</v>
      </c>
      <c r="H225">
        <v>3.74</v>
      </c>
      <c r="I225">
        <v>2.21</v>
      </c>
      <c r="J225">
        <f t="shared" si="154"/>
        <v>2.98</v>
      </c>
      <c r="K225" s="6">
        <f t="shared" si="155"/>
        <v>2.94</v>
      </c>
      <c r="L225" s="6">
        <f t="shared" si="156"/>
        <v>2.0000000000000018E-2</v>
      </c>
      <c r="M225">
        <v>4.4725496722790998</v>
      </c>
      <c r="N225">
        <v>326500</v>
      </c>
      <c r="O225" s="18">
        <f>ROUND(N225/VLOOKUP(EOMONTH(A225,-1),Employment!A:P,16,FALSE),4)</f>
        <v>1.3194999999999999</v>
      </c>
      <c r="P225" s="18">
        <f t="shared" si="146"/>
        <v>1.3077000000000001</v>
      </c>
      <c r="Q225" s="29">
        <f t="shared" si="147"/>
        <v>-7.9600000000000004E-2</v>
      </c>
      <c r="R225" s="29">
        <f t="shared" si="148"/>
        <v>-1.01E-2</v>
      </c>
      <c r="S225">
        <v>2709000</v>
      </c>
      <c r="T225" s="18">
        <f>ROUND((S225/7)/VLOOKUP(EOMONTH(A225,-1),Employment!A:P,16,FALSE),4)</f>
        <v>1.5640000000000001</v>
      </c>
      <c r="U225" s="18">
        <f t="shared" si="149"/>
        <v>1.5709</v>
      </c>
      <c r="V225" s="29">
        <f t="shared" si="150"/>
        <v>-0.1104</v>
      </c>
      <c r="W225" s="29">
        <f t="shared" si="151"/>
        <v>1E-3</v>
      </c>
      <c r="X225" s="30">
        <f t="shared" si="152"/>
        <v>148</v>
      </c>
      <c r="Y225" s="31">
        <f t="shared" si="153"/>
        <v>157.75</v>
      </c>
    </row>
    <row r="226" spans="1:25" x14ac:dyDescent="0.25">
      <c r="A226" s="5">
        <v>41763</v>
      </c>
      <c r="B226">
        <v>1650.6986999999999</v>
      </c>
      <c r="C226" s="29">
        <f t="shared" si="157"/>
        <v>4.5999999999999999E-3</v>
      </c>
      <c r="D226">
        <v>-0.9</v>
      </c>
      <c r="E226">
        <v>-1.522</v>
      </c>
      <c r="F226" s="18">
        <f t="shared" si="144"/>
        <v>0.28000000000000114</v>
      </c>
      <c r="G226" s="18">
        <f t="shared" si="145"/>
        <v>0.74000000000000199</v>
      </c>
      <c r="H226">
        <v>3.73</v>
      </c>
      <c r="I226">
        <v>2.14</v>
      </c>
      <c r="J226">
        <f t="shared" si="154"/>
        <v>2.94</v>
      </c>
      <c r="K226" s="6">
        <f t="shared" si="155"/>
        <v>2.92</v>
      </c>
      <c r="L226" s="6">
        <f t="shared" si="156"/>
        <v>-3.0000000000000249E-2</v>
      </c>
      <c r="M226">
        <v>4.1879875259989996</v>
      </c>
      <c r="N226">
        <v>323500</v>
      </c>
      <c r="O226" s="18">
        <f>ROUND(N226/VLOOKUP(EOMONTH(A226,-1),Employment!A:P,16,FALSE),4)</f>
        <v>1.3073999999999999</v>
      </c>
      <c r="P226" s="18">
        <f t="shared" si="146"/>
        <v>1.2951999999999999</v>
      </c>
      <c r="Q226" s="29">
        <f t="shared" si="147"/>
        <v>-0.10630000000000001</v>
      </c>
      <c r="R226" s="29">
        <f t="shared" si="148"/>
        <v>1.04E-2</v>
      </c>
      <c r="S226">
        <v>2764000</v>
      </c>
      <c r="T226" s="18">
        <f>ROUND((S226/7)/VLOOKUP(EOMONTH(A226,-1),Employment!A:P,16,FALSE),4)</f>
        <v>1.5958000000000001</v>
      </c>
      <c r="U226" s="18">
        <f t="shared" si="149"/>
        <v>1.5774999999999999</v>
      </c>
      <c r="V226" s="29">
        <f t="shared" si="150"/>
        <v>-0.1106</v>
      </c>
      <c r="W226" s="29">
        <f t="shared" si="151"/>
        <v>9.9000000000000008E-3</v>
      </c>
      <c r="X226" s="30">
        <f t="shared" si="152"/>
        <v>162.16999999999999</v>
      </c>
      <c r="Y226" s="31">
        <f t="shared" si="153"/>
        <v>167.38</v>
      </c>
    </row>
    <row r="227" spans="1:25" x14ac:dyDescent="0.25">
      <c r="A227" s="5">
        <v>41756</v>
      </c>
      <c r="B227">
        <v>1652.8973000000001</v>
      </c>
      <c r="C227" s="29">
        <f t="shared" si="157"/>
        <v>9.2999999999999992E-3</v>
      </c>
      <c r="D227">
        <v>-0.9</v>
      </c>
      <c r="E227">
        <v>-1.4870000000000001</v>
      </c>
      <c r="F227" s="18">
        <f t="shared" si="144"/>
        <v>0.16400000000000148</v>
      </c>
      <c r="G227" s="18">
        <f t="shared" si="145"/>
        <v>0.43200000000000216</v>
      </c>
      <c r="H227">
        <v>3.69</v>
      </c>
      <c r="I227">
        <v>2.13</v>
      </c>
      <c r="J227">
        <f t="shared" si="154"/>
        <v>2.91</v>
      </c>
      <c r="K227" s="6">
        <f t="shared" si="155"/>
        <v>2.95</v>
      </c>
      <c r="L227" s="6">
        <f t="shared" si="156"/>
        <v>-2.0000000000000018E-2</v>
      </c>
      <c r="M227">
        <v>4.0644615656481999</v>
      </c>
      <c r="N227">
        <v>320500</v>
      </c>
      <c r="O227" s="18">
        <f>ROUND(N227/VLOOKUP(EOMONTH(A227,-1),Employment!A:P,16,FALSE),4)</f>
        <v>1.2962</v>
      </c>
      <c r="P227" s="18">
        <f t="shared" si="146"/>
        <v>1.2918000000000001</v>
      </c>
      <c r="Q227" s="29">
        <f t="shared" si="147"/>
        <v>-0.11899999999999999</v>
      </c>
      <c r="R227" s="29">
        <f t="shared" si="148"/>
        <v>2.2800000000000001E-2</v>
      </c>
      <c r="S227">
        <v>2688000</v>
      </c>
      <c r="T227" s="18">
        <f>ROUND((S227/7)/VLOOKUP(EOMONTH(A227,-1),Employment!A:P,16,FALSE),4)</f>
        <v>1.5529999999999999</v>
      </c>
      <c r="U227" s="18">
        <f t="shared" si="149"/>
        <v>1.5730999999999999</v>
      </c>
      <c r="V227" s="29">
        <f t="shared" si="150"/>
        <v>-0.11840000000000001</v>
      </c>
      <c r="W227" s="29">
        <f t="shared" si="151"/>
        <v>1.43E-2</v>
      </c>
      <c r="X227" s="30">
        <f t="shared" si="152"/>
        <v>171.1</v>
      </c>
      <c r="Y227" s="31">
        <f t="shared" si="153"/>
        <v>169.39</v>
      </c>
    </row>
    <row r="228" spans="1:25" x14ac:dyDescent="0.25">
      <c r="A228" s="5">
        <v>41749</v>
      </c>
      <c r="B228">
        <v>1647.6106</v>
      </c>
      <c r="C228" s="29">
        <f t="shared" si="157"/>
        <v>8.6999999999999994E-3</v>
      </c>
      <c r="D228">
        <v>-0.89</v>
      </c>
      <c r="E228">
        <v>-1.4790000000000001</v>
      </c>
      <c r="F228" s="18">
        <f t="shared" si="144"/>
        <v>0.29599999999999937</v>
      </c>
      <c r="G228" s="18">
        <f t="shared" si="145"/>
        <v>0.39999999999999858</v>
      </c>
      <c r="H228">
        <v>3.68</v>
      </c>
      <c r="I228">
        <v>2.16</v>
      </c>
      <c r="J228">
        <f t="shared" si="154"/>
        <v>2.92</v>
      </c>
      <c r="K228" s="6">
        <f t="shared" si="155"/>
        <v>2.97</v>
      </c>
      <c r="L228" s="6">
        <f t="shared" si="156"/>
        <v>-2.9999999999999805E-2</v>
      </c>
      <c r="M228">
        <v>3.7391952055109998</v>
      </c>
      <c r="N228">
        <v>317000</v>
      </c>
      <c r="O228" s="18">
        <f>ROUND(N228/VLOOKUP(EOMONTH(A228,-1),Employment!A:P,16,FALSE),4)</f>
        <v>1.2821</v>
      </c>
      <c r="P228" s="18">
        <f t="shared" si="146"/>
        <v>1.2966</v>
      </c>
      <c r="Q228" s="29">
        <f t="shared" si="147"/>
        <v>-0.1135</v>
      </c>
      <c r="R228" s="29">
        <f t="shared" si="148"/>
        <v>2.5100000000000001E-2</v>
      </c>
      <c r="S228">
        <v>2741000</v>
      </c>
      <c r="T228" s="18">
        <f>ROUND((S228/7)/VLOOKUP(EOMONTH(A228,-1),Employment!A:P,16,FALSE),4)</f>
        <v>1.5837000000000001</v>
      </c>
      <c r="U228" s="18">
        <f t="shared" si="149"/>
        <v>1.595</v>
      </c>
      <c r="V228" s="29">
        <f t="shared" si="150"/>
        <v>-0.1082</v>
      </c>
      <c r="W228" s="29">
        <f t="shared" si="151"/>
        <v>1.3100000000000001E-2</v>
      </c>
      <c r="X228" s="30">
        <f t="shared" si="152"/>
        <v>171.1</v>
      </c>
      <c r="Y228" s="31">
        <f t="shared" si="153"/>
        <v>163.83000000000001</v>
      </c>
    </row>
    <row r="229" spans="1:25" x14ac:dyDescent="0.25">
      <c r="A229" s="5">
        <v>41742</v>
      </c>
      <c r="B229">
        <v>1638.4802</v>
      </c>
      <c r="C229" s="29">
        <f t="shared" si="157"/>
        <v>3.3E-3</v>
      </c>
      <c r="D229">
        <v>-0.89</v>
      </c>
      <c r="E229">
        <v>-1.4419999999999999</v>
      </c>
      <c r="F229" s="18">
        <f t="shared" si="144"/>
        <v>-2.7999999999998693E-2</v>
      </c>
      <c r="G229" s="18">
        <f t="shared" si="145"/>
        <v>-6.799999999999784E-2</v>
      </c>
      <c r="H229">
        <v>3.82</v>
      </c>
      <c r="I229">
        <v>2.23</v>
      </c>
      <c r="J229">
        <f t="shared" si="154"/>
        <v>3.03</v>
      </c>
      <c r="K229" s="6">
        <f t="shared" si="155"/>
        <v>3</v>
      </c>
      <c r="L229" s="6">
        <f t="shared" si="156"/>
        <v>0</v>
      </c>
      <c r="M229">
        <v>3.1281463824275999</v>
      </c>
      <c r="N229">
        <v>320750</v>
      </c>
      <c r="O229" s="18">
        <f>ROUND(N229/VLOOKUP(EOMONTH(A229,-1),Employment!A:P,16,FALSE),4)</f>
        <v>1.2971999999999999</v>
      </c>
      <c r="P229" s="18">
        <f t="shared" si="146"/>
        <v>1.3026</v>
      </c>
      <c r="Q229" s="29">
        <f t="shared" si="147"/>
        <v>-9.6799999999999997E-2</v>
      </c>
      <c r="R229" s="29">
        <f t="shared" si="148"/>
        <v>1.84E-2</v>
      </c>
      <c r="S229">
        <v>2739000</v>
      </c>
      <c r="T229" s="18">
        <f>ROUND((S229/7)/VLOOKUP(EOMONTH(A229,-1),Employment!A:P,16,FALSE),4)</f>
        <v>1.5825</v>
      </c>
      <c r="U229" s="18">
        <f t="shared" si="149"/>
        <v>1.6016999999999999</v>
      </c>
      <c r="V229" s="29">
        <f t="shared" si="150"/>
        <v>-0.1</v>
      </c>
      <c r="W229" s="29">
        <f t="shared" si="151"/>
        <v>8.6999999999999994E-3</v>
      </c>
      <c r="X229" s="30">
        <f t="shared" si="152"/>
        <v>160.85</v>
      </c>
      <c r="Y229" s="31">
        <f t="shared" si="153"/>
        <v>155.07</v>
      </c>
    </row>
    <row r="230" spans="1:25" x14ac:dyDescent="0.25">
      <c r="A230" s="5">
        <v>41735</v>
      </c>
      <c r="B230">
        <v>1633.5319</v>
      </c>
      <c r="C230" s="29">
        <f t="shared" si="157"/>
        <v>1.1000000000000001E-3</v>
      </c>
      <c r="D230">
        <v>-0.88</v>
      </c>
      <c r="E230">
        <v>-1.458</v>
      </c>
      <c r="F230" s="18">
        <f t="shared" si="144"/>
        <v>0.1319999999999979</v>
      </c>
      <c r="G230" s="18">
        <f t="shared" si="145"/>
        <v>-0.11200000000000188</v>
      </c>
      <c r="H230">
        <v>3.68</v>
      </c>
      <c r="I230">
        <v>2.25</v>
      </c>
      <c r="J230">
        <f t="shared" si="154"/>
        <v>2.97</v>
      </c>
      <c r="K230" s="6">
        <f t="shared" si="155"/>
        <v>3</v>
      </c>
      <c r="L230" s="6">
        <f t="shared" si="156"/>
        <v>-6.999999999999984E-2</v>
      </c>
      <c r="M230">
        <v>2.7258821738528001</v>
      </c>
      <c r="N230">
        <v>324000</v>
      </c>
      <c r="O230" s="18">
        <f>ROUND(N230/VLOOKUP(EOMONTH(A230,-1),Employment!A:P,16,FALSE),4)</f>
        <v>1.3104</v>
      </c>
      <c r="P230" s="18">
        <f t="shared" si="146"/>
        <v>1.3107</v>
      </c>
      <c r="Q230" s="29">
        <f t="shared" si="147"/>
        <v>-7.5700000000000003E-2</v>
      </c>
      <c r="R230" s="29">
        <f t="shared" si="148"/>
        <v>9.1000000000000004E-3</v>
      </c>
      <c r="S230">
        <v>2802000</v>
      </c>
      <c r="T230" s="18">
        <f>ROUND((S230/7)/VLOOKUP(EOMONTH(A230,-1),Employment!A:P,16,FALSE),4)</f>
        <v>1.6189</v>
      </c>
      <c r="U230" s="18">
        <f t="shared" si="149"/>
        <v>1.6174999999999999</v>
      </c>
      <c r="V230" s="29">
        <f t="shared" si="150"/>
        <v>-8.5699999999999998E-2</v>
      </c>
      <c r="W230" s="29">
        <f t="shared" si="151"/>
        <v>5.4000000000000003E-3</v>
      </c>
      <c r="X230" s="30">
        <f t="shared" si="152"/>
        <v>153.1</v>
      </c>
      <c r="Y230" s="31">
        <f t="shared" si="153"/>
        <v>148.36000000000001</v>
      </c>
    </row>
    <row r="231" spans="1:25" x14ac:dyDescent="0.25">
      <c r="A231" s="5">
        <v>41728</v>
      </c>
      <c r="B231">
        <v>1630.8417999999999</v>
      </c>
      <c r="C231" s="29">
        <f t="shared" si="157"/>
        <v>5.9999999999999995E-4</v>
      </c>
      <c r="D231">
        <v>-0.89</v>
      </c>
      <c r="E231">
        <v>-1.429</v>
      </c>
      <c r="F231" s="18">
        <f t="shared" si="144"/>
        <v>-0.17199999999999704</v>
      </c>
      <c r="G231" s="18">
        <f t="shared" si="145"/>
        <v>-0.37999999999999901</v>
      </c>
      <c r="H231">
        <v>3.73</v>
      </c>
      <c r="I231">
        <v>2.25</v>
      </c>
      <c r="J231">
        <f t="shared" si="154"/>
        <v>2.99</v>
      </c>
      <c r="K231" s="6">
        <f t="shared" si="155"/>
        <v>3.07</v>
      </c>
      <c r="L231" s="6">
        <f t="shared" si="156"/>
        <v>-3.0000000000000249E-2</v>
      </c>
      <c r="M231">
        <v>2.7902036141846001</v>
      </c>
      <c r="N231">
        <v>321250</v>
      </c>
      <c r="O231" s="18">
        <f>ROUND(N231/VLOOKUP(EOMONTH(A231,-1),Employment!A:P,16,FALSE),4)</f>
        <v>1.3002</v>
      </c>
      <c r="P231" s="18">
        <f t="shared" si="146"/>
        <v>1.3184</v>
      </c>
      <c r="Q231" s="29">
        <f t="shared" si="147"/>
        <v>-6.2399999999999997E-2</v>
      </c>
      <c r="R231" s="29">
        <f t="shared" si="148"/>
        <v>0</v>
      </c>
      <c r="S231">
        <v>2774000</v>
      </c>
      <c r="T231" s="18">
        <f>ROUND((S231/7)/VLOOKUP(EOMONTH(A231,-1),Employment!A:P,16,FALSE),4)</f>
        <v>1.6037999999999999</v>
      </c>
      <c r="U231" s="18">
        <f t="shared" si="149"/>
        <v>1.6169</v>
      </c>
      <c r="V231" s="29">
        <f t="shared" si="150"/>
        <v>-8.2699999999999996E-2</v>
      </c>
      <c r="W231" s="29">
        <f t="shared" si="151"/>
        <v>4.3E-3</v>
      </c>
      <c r="X231" s="30">
        <f t="shared" si="152"/>
        <v>145.55000000000001</v>
      </c>
      <c r="Y231" s="31">
        <f t="shared" si="153"/>
        <v>144.88999999999999</v>
      </c>
    </row>
    <row r="232" spans="1:25" x14ac:dyDescent="0.25">
      <c r="A232" s="5">
        <v>41721</v>
      </c>
      <c r="B232">
        <v>1631.0651</v>
      </c>
      <c r="C232" s="29">
        <f t="shared" si="157"/>
        <v>3.5000000000000001E-3</v>
      </c>
      <c r="D232">
        <v>-0.9</v>
      </c>
      <c r="E232">
        <v>-1.4379999999999999</v>
      </c>
      <c r="F232" s="18">
        <f t="shared" si="144"/>
        <v>-7.2000000000002728E-2</v>
      </c>
      <c r="G232" s="18">
        <f t="shared" si="145"/>
        <v>0.15999999999999659</v>
      </c>
      <c r="H232">
        <v>3.76</v>
      </c>
      <c r="I232">
        <v>2.3199999999999998</v>
      </c>
      <c r="J232">
        <f t="shared" si="154"/>
        <v>3.04</v>
      </c>
      <c r="K232" s="6">
        <f t="shared" si="155"/>
        <v>3.1</v>
      </c>
      <c r="L232" s="6">
        <f t="shared" si="156"/>
        <v>-9.9999999999997868E-3</v>
      </c>
      <c r="M232">
        <v>2.3182767154027002</v>
      </c>
      <c r="N232">
        <v>326500</v>
      </c>
      <c r="O232" s="18">
        <f>ROUND(N232/VLOOKUP(EOMONTH(A232,-1),Employment!A:P,16,FALSE),4)</f>
        <v>1.3213999999999999</v>
      </c>
      <c r="P232" s="18">
        <f t="shared" si="146"/>
        <v>1.3334999999999999</v>
      </c>
      <c r="Q232" s="29">
        <f t="shared" si="147"/>
        <v>-5.1799999999999999E-2</v>
      </c>
      <c r="R232" s="29">
        <f t="shared" si="148"/>
        <v>-5.7999999999999996E-3</v>
      </c>
      <c r="S232">
        <v>2819000</v>
      </c>
      <c r="T232" s="18">
        <f>ROUND((S232/7)/VLOOKUP(EOMONTH(A232,-1),Employment!A:P,16,FALSE),4)</f>
        <v>1.6298999999999999</v>
      </c>
      <c r="U232" s="18">
        <f t="shared" si="149"/>
        <v>1.6272</v>
      </c>
      <c r="V232" s="29">
        <f t="shared" si="150"/>
        <v>-7.8399999999999997E-2</v>
      </c>
      <c r="W232" s="29">
        <f t="shared" si="151"/>
        <v>-4.0000000000000002E-4</v>
      </c>
      <c r="X232" s="30">
        <f t="shared" si="152"/>
        <v>143.53</v>
      </c>
      <c r="Y232" s="31">
        <f t="shared" si="153"/>
        <v>145.69999999999999</v>
      </c>
    </row>
    <row r="233" spans="1:25" x14ac:dyDescent="0.25">
      <c r="A233" s="5">
        <v>41714</v>
      </c>
      <c r="B233">
        <v>1636.6893</v>
      </c>
      <c r="C233" s="29">
        <f t="shared" si="157"/>
        <v>1.21E-2</v>
      </c>
      <c r="D233">
        <v>-0.9</v>
      </c>
      <c r="E233">
        <v>-1.4470000000000001</v>
      </c>
      <c r="F233" s="18">
        <f t="shared" si="144"/>
        <v>-0.13599999999999923</v>
      </c>
      <c r="G233" s="18">
        <f t="shared" si="145"/>
        <v>0.46799999999999997</v>
      </c>
      <c r="H233">
        <v>3.96</v>
      </c>
      <c r="I233">
        <v>2.4</v>
      </c>
      <c r="J233">
        <f t="shared" si="154"/>
        <v>3.18</v>
      </c>
      <c r="K233" s="6">
        <f t="shared" si="155"/>
        <v>3.11</v>
      </c>
      <c r="L233" s="6">
        <f t="shared" si="156"/>
        <v>9.9999999999997868E-3</v>
      </c>
      <c r="M233">
        <v>2.098037855122</v>
      </c>
      <c r="N233">
        <v>329500</v>
      </c>
      <c r="O233" s="18">
        <f>ROUND(N233/VLOOKUP(EOMONTH(A233,-1),Employment!A:P,16,FALSE),4)</f>
        <v>1.3334999999999999</v>
      </c>
      <c r="P233" s="18">
        <f t="shared" si="146"/>
        <v>1.3460000000000001</v>
      </c>
      <c r="Q233" s="29">
        <f t="shared" si="147"/>
        <v>-5.28E-2</v>
      </c>
      <c r="R233" s="29">
        <f t="shared" si="148"/>
        <v>-7.4000000000000003E-3</v>
      </c>
      <c r="S233">
        <v>2797000</v>
      </c>
      <c r="T233" s="18">
        <f>ROUND((S233/7)/VLOOKUP(EOMONTH(A233,-1),Employment!A:P,16,FALSE),4)</f>
        <v>1.6171</v>
      </c>
      <c r="U233" s="18">
        <f t="shared" si="149"/>
        <v>1.6375999999999999</v>
      </c>
      <c r="V233" s="29">
        <f t="shared" si="150"/>
        <v>-7.3800000000000004E-2</v>
      </c>
      <c r="W233" s="29">
        <f t="shared" si="151"/>
        <v>-5.1999999999999998E-3</v>
      </c>
      <c r="X233" s="30">
        <f t="shared" si="152"/>
        <v>146.65</v>
      </c>
      <c r="Y233" s="31">
        <f t="shared" si="153"/>
        <v>147.69</v>
      </c>
    </row>
    <row r="234" spans="1:25" x14ac:dyDescent="0.25">
      <c r="A234" s="5">
        <v>41707</v>
      </c>
      <c r="B234">
        <v>1628.5306</v>
      </c>
      <c r="C234" s="29">
        <f t="shared" si="157"/>
        <v>1.2999999999999999E-2</v>
      </c>
      <c r="D234">
        <v>-0.9</v>
      </c>
      <c r="E234">
        <v>-1.464</v>
      </c>
      <c r="F234" s="18">
        <f t="shared" si="144"/>
        <v>0.36799999999999855</v>
      </c>
      <c r="G234" s="18">
        <f t="shared" si="145"/>
        <v>1.5079999999999991</v>
      </c>
      <c r="H234">
        <v>3.79</v>
      </c>
      <c r="I234">
        <v>2.34</v>
      </c>
      <c r="J234">
        <f t="shared" si="154"/>
        <v>3.07</v>
      </c>
      <c r="K234" s="6">
        <f t="shared" si="155"/>
        <v>3.1</v>
      </c>
      <c r="L234" s="6">
        <f t="shared" si="156"/>
        <v>-4.0000000000000036E-2</v>
      </c>
      <c r="M234">
        <v>1.7282836988948</v>
      </c>
      <c r="N234">
        <v>332500</v>
      </c>
      <c r="O234" s="18">
        <f>ROUND(N234/VLOOKUP(EOMONTH(A234,-1),Employment!A:P,16,FALSE),4)</f>
        <v>1.3456999999999999</v>
      </c>
      <c r="P234" s="18">
        <f t="shared" si="146"/>
        <v>1.3557999999999999</v>
      </c>
      <c r="Q234" s="29">
        <f t="shared" si="147"/>
        <v>-5.7200000000000001E-2</v>
      </c>
      <c r="R234" s="29">
        <f t="shared" si="148"/>
        <v>-8.8999999999999999E-3</v>
      </c>
      <c r="S234">
        <v>2827000</v>
      </c>
      <c r="T234" s="18">
        <f>ROUND((S234/7)/VLOOKUP(EOMONTH(A234,-1),Employment!A:P,16,FALSE),4)</f>
        <v>1.6345000000000001</v>
      </c>
      <c r="U234" s="18">
        <f t="shared" si="149"/>
        <v>1.6509</v>
      </c>
      <c r="V234" s="29">
        <f t="shared" si="150"/>
        <v>-7.3599999999999999E-2</v>
      </c>
      <c r="W234" s="29">
        <f t="shared" si="151"/>
        <v>-8.8999999999999999E-3</v>
      </c>
      <c r="X234" s="30">
        <f t="shared" si="152"/>
        <v>148.72999999999999</v>
      </c>
      <c r="Y234" s="31">
        <f t="shared" si="153"/>
        <v>148</v>
      </c>
    </row>
    <row r="235" spans="1:25" x14ac:dyDescent="0.25">
      <c r="A235" s="5">
        <v>41700</v>
      </c>
      <c r="B235">
        <v>1622.9291000000001</v>
      </c>
      <c r="C235" s="29">
        <f t="shared" si="157"/>
        <v>1.5100000000000001E-2</v>
      </c>
      <c r="D235">
        <v>-0.9</v>
      </c>
      <c r="E235">
        <v>-1.4179999999999999</v>
      </c>
      <c r="F235" s="18">
        <f t="shared" si="144"/>
        <v>0.23600000000000065</v>
      </c>
      <c r="G235" s="18">
        <f t="shared" si="145"/>
        <v>1.0800000000000018</v>
      </c>
      <c r="H235">
        <v>3.81</v>
      </c>
      <c r="I235">
        <v>2.35</v>
      </c>
      <c r="J235">
        <f t="shared" si="154"/>
        <v>3.08</v>
      </c>
      <c r="K235" s="6">
        <f t="shared" si="155"/>
        <v>3.14</v>
      </c>
      <c r="L235" s="6">
        <f t="shared" si="156"/>
        <v>-8.0000000000000071E-2</v>
      </c>
      <c r="M235">
        <v>1.7210838079119</v>
      </c>
      <c r="N235">
        <v>335750</v>
      </c>
      <c r="O235" s="18">
        <f>ROUND(N235/VLOOKUP(EOMONTH(A235,-1),Employment!A:P,16,FALSE),4)</f>
        <v>1.3588</v>
      </c>
      <c r="P235" s="18">
        <f t="shared" si="146"/>
        <v>1.3581000000000001</v>
      </c>
      <c r="Q235" s="29">
        <f t="shared" si="147"/>
        <v>-6.1199999999999997E-2</v>
      </c>
      <c r="R235" s="29">
        <f t="shared" si="148"/>
        <v>-0.01</v>
      </c>
      <c r="S235">
        <v>2873000</v>
      </c>
      <c r="T235" s="18">
        <f>ROUND((S235/7)/VLOOKUP(EOMONTH(A235,-1),Employment!A:P,16,FALSE),4)</f>
        <v>1.6611</v>
      </c>
      <c r="U235" s="18">
        <f t="shared" si="149"/>
        <v>1.659</v>
      </c>
      <c r="V235" s="29">
        <f t="shared" si="150"/>
        <v>-7.2499999999999995E-2</v>
      </c>
      <c r="W235" s="29">
        <f t="shared" si="151"/>
        <v>-6.1000000000000004E-3</v>
      </c>
      <c r="X235" s="30">
        <f t="shared" si="152"/>
        <v>147.71</v>
      </c>
      <c r="Y235" s="31">
        <f t="shared" si="153"/>
        <v>147.07</v>
      </c>
    </row>
    <row r="236" spans="1:25" x14ac:dyDescent="0.25">
      <c r="A236" s="5">
        <v>41693</v>
      </c>
      <c r="B236">
        <v>1613.2044000000001</v>
      </c>
      <c r="C236" s="29">
        <f t="shared" si="157"/>
        <v>1.4200000000000001E-2</v>
      </c>
      <c r="D236">
        <v>-0.89</v>
      </c>
      <c r="E236">
        <v>-1.401</v>
      </c>
      <c r="F236" s="18">
        <f t="shared" si="144"/>
        <v>0.90399999999999991</v>
      </c>
      <c r="G236" s="18">
        <f t="shared" si="145"/>
        <v>0.29200000000000159</v>
      </c>
      <c r="H236">
        <v>3.9</v>
      </c>
      <c r="I236">
        <v>2.38</v>
      </c>
      <c r="J236">
        <f t="shared" si="154"/>
        <v>3.14</v>
      </c>
      <c r="K236" s="6">
        <f t="shared" si="155"/>
        <v>3.22</v>
      </c>
      <c r="L236" s="6">
        <f t="shared" si="156"/>
        <v>-5.9999999999999609E-2</v>
      </c>
      <c r="M236">
        <v>2.577774190495</v>
      </c>
      <c r="N236">
        <v>336500</v>
      </c>
      <c r="O236" s="18">
        <f>ROUND(N236/VLOOKUP(EOMONTH(A236,-1),Employment!A:P,16,FALSE),4)</f>
        <v>1.3628</v>
      </c>
      <c r="P236" s="18">
        <f t="shared" si="146"/>
        <v>1.3486</v>
      </c>
      <c r="Q236" s="29">
        <f t="shared" si="147"/>
        <v>-6.7699999999999996E-2</v>
      </c>
      <c r="R236" s="29">
        <f t="shared" si="148"/>
        <v>-8.6E-3</v>
      </c>
      <c r="S236">
        <v>2864000</v>
      </c>
      <c r="T236" s="18">
        <f>ROUND((S236/7)/VLOOKUP(EOMONTH(A236,-1),Employment!A:P,16,FALSE),4)</f>
        <v>1.657</v>
      </c>
      <c r="U236" s="18">
        <f t="shared" si="149"/>
        <v>1.6566000000000001</v>
      </c>
      <c r="V236" s="29">
        <f t="shared" si="150"/>
        <v>-8.4199999999999997E-2</v>
      </c>
      <c r="W236" s="29">
        <f t="shared" si="151"/>
        <v>-8.0000000000000004E-4</v>
      </c>
      <c r="X236" s="30">
        <f t="shared" si="152"/>
        <v>146.9</v>
      </c>
      <c r="Y236" s="31">
        <f t="shared" si="153"/>
        <v>147.31</v>
      </c>
    </row>
    <row r="237" spans="1:25" x14ac:dyDescent="0.25">
      <c r="A237" s="5">
        <v>41686</v>
      </c>
      <c r="B237">
        <v>1603.7338</v>
      </c>
      <c r="C237" s="29">
        <f t="shared" si="157"/>
        <v>1.1599999999999999E-2</v>
      </c>
      <c r="D237">
        <v>-0.87</v>
      </c>
      <c r="E237">
        <v>-1.3129999999999999</v>
      </c>
      <c r="F237" s="18">
        <f t="shared" si="144"/>
        <v>-5.9999999999998721E-2</v>
      </c>
      <c r="G237" s="18">
        <f t="shared" si="145"/>
        <v>-0.98399999999999821</v>
      </c>
      <c r="H237">
        <v>4.03</v>
      </c>
      <c r="I237">
        <v>2.38</v>
      </c>
      <c r="J237">
        <f t="shared" si="154"/>
        <v>3.21</v>
      </c>
      <c r="K237" s="6">
        <f t="shared" si="155"/>
        <v>3.28</v>
      </c>
      <c r="L237" s="6">
        <f t="shared" si="156"/>
        <v>0</v>
      </c>
      <c r="M237">
        <v>3.3616567871498</v>
      </c>
      <c r="N237">
        <v>334000</v>
      </c>
      <c r="O237" s="18">
        <f>ROUND(N237/VLOOKUP(EOMONTH(A237,-1),Employment!A:P,16,FALSE),4)</f>
        <v>1.3527</v>
      </c>
      <c r="P237" s="18">
        <f t="shared" si="146"/>
        <v>1.3358000000000001</v>
      </c>
      <c r="Q237" s="29">
        <f t="shared" si="147"/>
        <v>-7.2900000000000006E-2</v>
      </c>
      <c r="R237" s="29">
        <f t="shared" si="148"/>
        <v>-1E-3</v>
      </c>
      <c r="S237">
        <v>2867000</v>
      </c>
      <c r="T237" s="18">
        <f>ROUND((S237/7)/VLOOKUP(EOMONTH(A237,-1),Employment!A:P,16,FALSE),4)</f>
        <v>1.6588000000000001</v>
      </c>
      <c r="U237" s="18">
        <f t="shared" si="149"/>
        <v>1.6556999999999999</v>
      </c>
      <c r="V237" s="29">
        <f t="shared" si="150"/>
        <v>-9.0300000000000005E-2</v>
      </c>
      <c r="W237" s="29">
        <f t="shared" si="151"/>
        <v>-3.2000000000000002E-3</v>
      </c>
      <c r="X237" s="30">
        <f t="shared" si="152"/>
        <v>145.91</v>
      </c>
      <c r="Y237" s="31">
        <f t="shared" si="153"/>
        <v>150.47999999999999</v>
      </c>
    </row>
    <row r="238" spans="1:25" x14ac:dyDescent="0.25">
      <c r="A238" s="5">
        <v>41679</v>
      </c>
      <c r="B238">
        <v>1590.4266</v>
      </c>
      <c r="C238" s="29">
        <f t="shared" si="157"/>
        <v>4.1999999999999997E-3</v>
      </c>
      <c r="D238">
        <v>-0.86</v>
      </c>
      <c r="E238">
        <v>-1.333</v>
      </c>
      <c r="F238" s="18">
        <f t="shared" si="144"/>
        <v>-0.5519999999999996</v>
      </c>
      <c r="G238" s="18">
        <f t="shared" si="145"/>
        <v>-0.3559999999999981</v>
      </c>
      <c r="H238">
        <v>4.2</v>
      </c>
      <c r="I238">
        <v>2.42</v>
      </c>
      <c r="J238">
        <f t="shared" si="154"/>
        <v>3.31</v>
      </c>
      <c r="K238" s="6">
        <f t="shared" si="155"/>
        <v>3.28</v>
      </c>
      <c r="L238" s="6">
        <f t="shared" si="156"/>
        <v>6.999999999999984E-2</v>
      </c>
      <c r="M238">
        <v>4.4180908793959999</v>
      </c>
      <c r="N238">
        <v>328500</v>
      </c>
      <c r="O238" s="18">
        <f>ROUND(N238/VLOOKUP(EOMONTH(A238,-1),Employment!A:P,16,FALSE),4)</f>
        <v>1.3304</v>
      </c>
      <c r="P238" s="18">
        <f t="shared" si="146"/>
        <v>1.3246</v>
      </c>
      <c r="Q238" s="29">
        <f t="shared" si="147"/>
        <v>-8.1699999999999995E-2</v>
      </c>
      <c r="R238" s="29">
        <f t="shared" si="148"/>
        <v>1.0800000000000001E-2</v>
      </c>
      <c r="S238">
        <v>2859000</v>
      </c>
      <c r="T238" s="18">
        <f>ROUND((S238/7)/VLOOKUP(EOMONTH(A238,-1),Employment!A:P,16,FALSE),4)</f>
        <v>1.6540999999999999</v>
      </c>
      <c r="U238" s="18">
        <f t="shared" si="149"/>
        <v>1.6637999999999999</v>
      </c>
      <c r="V238" s="29">
        <f t="shared" si="150"/>
        <v>-8.9399999999999993E-2</v>
      </c>
      <c r="W238" s="29">
        <f t="shared" si="151"/>
        <v>-9.7000000000000003E-3</v>
      </c>
      <c r="X238" s="30">
        <f t="shared" si="152"/>
        <v>151.82999999999998</v>
      </c>
      <c r="Y238" s="31">
        <f t="shared" si="153"/>
        <v>154.41999999999999</v>
      </c>
    </row>
    <row r="239" spans="1:25" x14ac:dyDescent="0.25">
      <c r="A239" s="5">
        <v>41672</v>
      </c>
      <c r="B239">
        <v>1587.5402999999999</v>
      </c>
      <c r="C239" s="29">
        <f t="shared" si="157"/>
        <v>4.1000000000000003E-3</v>
      </c>
      <c r="D239">
        <v>-0.86</v>
      </c>
      <c r="E239">
        <v>-1.4019999999999999</v>
      </c>
      <c r="F239" s="18">
        <f t="shared" si="144"/>
        <v>-0.37199999999999989</v>
      </c>
      <c r="G239" s="18">
        <f t="shared" si="145"/>
        <v>0.48399999999999821</v>
      </c>
      <c r="H239">
        <v>4.21</v>
      </c>
      <c r="I239">
        <v>2.4</v>
      </c>
      <c r="J239">
        <f t="shared" si="154"/>
        <v>3.31</v>
      </c>
      <c r="K239" s="6">
        <f t="shared" si="155"/>
        <v>3.21</v>
      </c>
      <c r="L239" s="6">
        <f t="shared" si="156"/>
        <v>4.9999999999999822E-2</v>
      </c>
      <c r="M239">
        <v>4.6185303427506996</v>
      </c>
      <c r="N239">
        <v>327000</v>
      </c>
      <c r="O239" s="18">
        <f>ROUND(N239/VLOOKUP(EOMONTH(A239,-1),Employment!A:P,16,FALSE),4)</f>
        <v>1.3243</v>
      </c>
      <c r="P239" s="18">
        <f t="shared" si="146"/>
        <v>1.3243</v>
      </c>
      <c r="Q239" s="29">
        <f t="shared" si="147"/>
        <v>-8.8499999999999995E-2</v>
      </c>
      <c r="R239" s="29">
        <f t="shared" si="148"/>
        <v>1.6400000000000001E-2</v>
      </c>
      <c r="S239">
        <v>2859000</v>
      </c>
      <c r="T239" s="18">
        <f>ROUND((S239/7)/VLOOKUP(EOMONTH(A239,-1),Employment!A:P,16,FALSE),4)</f>
        <v>1.6540999999999999</v>
      </c>
      <c r="U239" s="18">
        <f t="shared" si="149"/>
        <v>1.6726000000000001</v>
      </c>
      <c r="V239" s="29">
        <f t="shared" si="150"/>
        <v>-8.5900000000000004E-2</v>
      </c>
      <c r="W239" s="29">
        <f t="shared" si="151"/>
        <v>-1.3899999999999999E-2</v>
      </c>
      <c r="X239" s="30">
        <f t="shared" si="152"/>
        <v>158.52000000000001</v>
      </c>
      <c r="Y239" s="31">
        <f t="shared" si="153"/>
        <v>151.02000000000001</v>
      </c>
    </row>
    <row r="240" spans="1:25" x14ac:dyDescent="0.25">
      <c r="A240" s="5">
        <v>41665</v>
      </c>
      <c r="B240">
        <v>1580.7339999999999</v>
      </c>
      <c r="C240" s="29">
        <f t="shared" si="157"/>
        <v>1.6999999999999999E-3</v>
      </c>
      <c r="D240">
        <v>-0.87</v>
      </c>
      <c r="E240">
        <v>-1.4359999999999999</v>
      </c>
      <c r="F240" s="18">
        <f t="shared" si="144"/>
        <v>0.56800000000000139</v>
      </c>
      <c r="G240" s="18">
        <f t="shared" si="145"/>
        <v>0.52799999999999869</v>
      </c>
      <c r="H240">
        <v>4.08</v>
      </c>
      <c r="I240">
        <v>2.35</v>
      </c>
      <c r="J240">
        <f t="shared" si="154"/>
        <v>3.22</v>
      </c>
      <c r="K240" s="6">
        <f t="shared" si="155"/>
        <v>3.16</v>
      </c>
      <c r="L240" s="6">
        <f t="shared" si="156"/>
        <v>2.0000000000000018E-2</v>
      </c>
      <c r="M240">
        <v>4.4905995209725003</v>
      </c>
      <c r="N240">
        <v>325500</v>
      </c>
      <c r="O240" s="18">
        <f>ROUND(N240/VLOOKUP(EOMONTH(A240,-1),Employment!A:P,16,FALSE),4)</f>
        <v>1.3191999999999999</v>
      </c>
      <c r="P240" s="18">
        <f t="shared" si="146"/>
        <v>1.3431999999999999</v>
      </c>
      <c r="Q240" s="29">
        <f t="shared" si="147"/>
        <v>-8.3500000000000005E-2</v>
      </c>
      <c r="R240" s="29">
        <f t="shared" si="148"/>
        <v>3.7000000000000002E-3</v>
      </c>
      <c r="S240">
        <v>2907000</v>
      </c>
      <c r="T240" s="18">
        <f>ROUND((S240/7)/VLOOKUP(EOMONTH(A240,-1),Employment!A:P,16,FALSE),4)</f>
        <v>1.6831</v>
      </c>
      <c r="U240" s="18">
        <f t="shared" si="149"/>
        <v>1.663</v>
      </c>
      <c r="V240" s="29">
        <f t="shared" si="150"/>
        <v>-9.0499999999999997E-2</v>
      </c>
      <c r="W240" s="29">
        <f t="shared" si="151"/>
        <v>-7.7000000000000002E-3</v>
      </c>
      <c r="X240" s="30">
        <f t="shared" si="152"/>
        <v>150.63</v>
      </c>
      <c r="Y240" s="31">
        <f t="shared" si="153"/>
        <v>137.76</v>
      </c>
    </row>
    <row r="241" spans="1:25" x14ac:dyDescent="0.25">
      <c r="A241" s="5">
        <v>41658</v>
      </c>
      <c r="B241">
        <v>1582.6333</v>
      </c>
      <c r="C241" s="29">
        <f t="shared" si="157"/>
        <v>4.5999999999999999E-3</v>
      </c>
      <c r="D241">
        <v>-0.87</v>
      </c>
      <c r="E241">
        <v>-1.365</v>
      </c>
      <c r="F241" s="18">
        <f t="shared" si="144"/>
        <v>0.2879999999999967</v>
      </c>
      <c r="G241" s="18">
        <f t="shared" si="145"/>
        <v>0.18799999999999528</v>
      </c>
      <c r="H241">
        <v>3.88</v>
      </c>
      <c r="I241">
        <v>2.33</v>
      </c>
      <c r="J241">
        <f t="shared" si="154"/>
        <v>3.11</v>
      </c>
      <c r="K241" s="6">
        <f t="shared" si="155"/>
        <v>3.14</v>
      </c>
      <c r="L241" s="6">
        <f t="shared" si="156"/>
        <v>-2.0000000000000018E-2</v>
      </c>
      <c r="M241">
        <v>3.8969939464821999</v>
      </c>
      <c r="N241">
        <v>328000</v>
      </c>
      <c r="O241" s="18">
        <f>ROUND(N241/VLOOKUP(EOMONTH(A241,-1),Employment!A:P,16,FALSE),4)</f>
        <v>1.3292999999999999</v>
      </c>
      <c r="P241" s="18">
        <f t="shared" si="146"/>
        <v>1.3722000000000001</v>
      </c>
      <c r="Q241" s="29">
        <f t="shared" si="147"/>
        <v>-6.5100000000000005E-2</v>
      </c>
      <c r="R241" s="29">
        <f t="shared" si="148"/>
        <v>-2.3699999999999999E-2</v>
      </c>
      <c r="S241">
        <v>2903000</v>
      </c>
      <c r="T241" s="18">
        <f>ROUND((S241/7)/VLOOKUP(EOMONTH(A241,-1),Employment!A:P,16,FALSE),4)</f>
        <v>1.6807000000000001</v>
      </c>
      <c r="U241" s="18">
        <f t="shared" si="149"/>
        <v>1.6485000000000001</v>
      </c>
      <c r="V241" s="29">
        <f t="shared" si="150"/>
        <v>-0.1091</v>
      </c>
      <c r="W241" s="29">
        <f t="shared" si="151"/>
        <v>-4.4000000000000003E-3</v>
      </c>
      <c r="X241" s="30">
        <f t="shared" si="152"/>
        <v>133.24</v>
      </c>
      <c r="Y241" s="31">
        <f t="shared" si="153"/>
        <v>123.15</v>
      </c>
    </row>
    <row r="242" spans="1:25" x14ac:dyDescent="0.25">
      <c r="A242" s="5">
        <v>41651</v>
      </c>
      <c r="B242">
        <v>1584.0458000000001</v>
      </c>
      <c r="C242" s="29">
        <f t="shared" si="157"/>
        <v>7.9000000000000008E-3</v>
      </c>
      <c r="D242">
        <v>-0.87</v>
      </c>
      <c r="E242">
        <v>-1.329</v>
      </c>
      <c r="F242" s="18">
        <f t="shared" si="144"/>
        <v>-0.3279999999999994</v>
      </c>
      <c r="G242" s="18">
        <f t="shared" si="145"/>
        <v>0.11599999999999966</v>
      </c>
      <c r="H242">
        <v>3.95</v>
      </c>
      <c r="I242">
        <v>2.3199999999999998</v>
      </c>
      <c r="J242">
        <f t="shared" si="154"/>
        <v>3.14</v>
      </c>
      <c r="K242" s="6">
        <f t="shared" si="155"/>
        <v>3.16</v>
      </c>
      <c r="L242" s="6">
        <f t="shared" si="156"/>
        <v>-2.0000000000000018E-2</v>
      </c>
      <c r="M242">
        <v>2.7317997384661998</v>
      </c>
      <c r="N242">
        <v>340750</v>
      </c>
      <c r="O242" s="18">
        <f>ROUND(N242/VLOOKUP(EOMONTH(A242,-1),Employment!A:P,16,FALSE),4)</f>
        <v>1.381</v>
      </c>
      <c r="P242" s="18">
        <f t="shared" si="146"/>
        <v>1.3908</v>
      </c>
      <c r="Q242" s="29">
        <f t="shared" si="147"/>
        <v>-5.2499999999999998E-2</v>
      </c>
      <c r="R242" s="29">
        <f t="shared" si="148"/>
        <v>-4.87E-2</v>
      </c>
      <c r="S242">
        <v>2807000</v>
      </c>
      <c r="T242" s="18">
        <f>ROUND((S242/7)/VLOOKUP(EOMONTH(A242,-1),Employment!A:P,16,FALSE),4)</f>
        <v>1.6252</v>
      </c>
      <c r="U242" s="18">
        <f t="shared" si="149"/>
        <v>1.6489</v>
      </c>
      <c r="V242" s="29">
        <f t="shared" si="150"/>
        <v>-0.11210000000000001</v>
      </c>
      <c r="W242" s="29">
        <f t="shared" si="151"/>
        <v>-9.2999999999999992E-3</v>
      </c>
      <c r="X242" s="30">
        <f t="shared" si="152"/>
        <v>116.86</v>
      </c>
      <c r="Y242" s="31">
        <f t="shared" si="153"/>
        <v>116.82</v>
      </c>
    </row>
    <row r="243" spans="1:25" x14ac:dyDescent="0.25">
      <c r="A243" s="5">
        <v>41644</v>
      </c>
      <c r="B243">
        <v>1577.0844</v>
      </c>
      <c r="C243" s="29">
        <f t="shared" si="157"/>
        <v>4.7999999999999996E-3</v>
      </c>
      <c r="D243">
        <v>-0.87</v>
      </c>
      <c r="E243">
        <v>-1.37</v>
      </c>
      <c r="F243" s="18">
        <f t="shared" si="144"/>
        <v>0.22799999999999798</v>
      </c>
      <c r="G243" s="18">
        <f t="shared" si="145"/>
        <v>0.58799999999999741</v>
      </c>
      <c r="H243">
        <v>3.98</v>
      </c>
      <c r="I243">
        <v>2.34</v>
      </c>
      <c r="J243">
        <f t="shared" si="154"/>
        <v>3.16</v>
      </c>
      <c r="K243" s="6">
        <f t="shared" si="155"/>
        <v>3.18</v>
      </c>
      <c r="L243" s="6">
        <f t="shared" si="156"/>
        <v>-4.9999999999999822E-2</v>
      </c>
      <c r="M243">
        <v>2.2141283910189</v>
      </c>
      <c r="N243">
        <v>347000</v>
      </c>
      <c r="O243" s="18">
        <f>ROUND(N243/VLOOKUP(EOMONTH(A243,-1),Employment!A:P,16,FALSE),4)</f>
        <v>1.4063000000000001</v>
      </c>
      <c r="P243" s="18">
        <f t="shared" si="146"/>
        <v>1.3856999999999999</v>
      </c>
      <c r="Q243" s="29">
        <f t="shared" si="147"/>
        <v>-5.8200000000000002E-2</v>
      </c>
      <c r="R243" s="29">
        <f t="shared" si="148"/>
        <v>-5.2600000000000001E-2</v>
      </c>
      <c r="S243">
        <v>2832000</v>
      </c>
      <c r="T243" s="18">
        <f>ROUND((S243/7)/VLOOKUP(EOMONTH(A243,-1),Employment!A:P,16,FALSE),4)</f>
        <v>1.6395999999999999</v>
      </c>
      <c r="U243" s="18">
        <f t="shared" si="149"/>
        <v>1.6657</v>
      </c>
      <c r="V243" s="29">
        <f t="shared" si="150"/>
        <v>-0.1128</v>
      </c>
      <c r="W243" s="29">
        <f t="shared" si="151"/>
        <v>-1.5599999999999999E-2</v>
      </c>
      <c r="X243" s="30">
        <f t="shared" si="152"/>
        <v>113.65</v>
      </c>
      <c r="Y243" s="31">
        <f t="shared" si="153"/>
        <v>124.24</v>
      </c>
    </row>
    <row r="244" spans="1:25" x14ac:dyDescent="0.25">
      <c r="A244" s="5">
        <v>41637</v>
      </c>
      <c r="B244">
        <v>1568.7355</v>
      </c>
      <c r="C244" s="29">
        <f t="shared" si="157"/>
        <v>1.8E-3</v>
      </c>
      <c r="D244">
        <v>-0.88</v>
      </c>
      <c r="E244">
        <v>-1.329</v>
      </c>
      <c r="F244" s="18">
        <f t="shared" si="144"/>
        <v>0.21600000000000108</v>
      </c>
      <c r="G244" s="18">
        <f t="shared" si="145"/>
        <v>-0.26399999999999935</v>
      </c>
      <c r="H244">
        <v>3.96</v>
      </c>
      <c r="I244">
        <v>2.37</v>
      </c>
      <c r="J244">
        <f t="shared" si="154"/>
        <v>3.17</v>
      </c>
      <c r="K244" s="6">
        <f t="shared" si="155"/>
        <v>3.23</v>
      </c>
      <c r="L244" s="6">
        <f t="shared" si="156"/>
        <v>-6.0000000000000053E-2</v>
      </c>
      <c r="M244">
        <v>2.0315530267483002</v>
      </c>
      <c r="N244">
        <v>341500</v>
      </c>
      <c r="O244" s="18">
        <f>ROUND(N244/VLOOKUP(EOMONTH(A244,-1),Employment!A:P,16,FALSE),4)</f>
        <v>1.385</v>
      </c>
      <c r="P244" s="18">
        <f t="shared" si="146"/>
        <v>1.3613999999999999</v>
      </c>
      <c r="Q244" s="29">
        <f t="shared" si="147"/>
        <v>-9.3600000000000003E-2</v>
      </c>
      <c r="R244" s="29">
        <f t="shared" si="148"/>
        <v>-2.8000000000000001E-2</v>
      </c>
      <c r="S244">
        <v>2903000</v>
      </c>
      <c r="T244" s="18">
        <f>ROUND((S244/7)/VLOOKUP(EOMONTH(A244,-1),Employment!A:P,16,FALSE),4)</f>
        <v>1.6819999999999999</v>
      </c>
      <c r="U244" s="18">
        <f t="shared" si="149"/>
        <v>1.6615</v>
      </c>
      <c r="V244" s="29">
        <f t="shared" si="150"/>
        <v>-0.1128</v>
      </c>
      <c r="W244" s="29">
        <f t="shared" si="151"/>
        <v>-1.52E-2</v>
      </c>
      <c r="X244" s="30">
        <f t="shared" si="152"/>
        <v>124.67</v>
      </c>
      <c r="Y244" s="31">
        <f t="shared" si="153"/>
        <v>142.59</v>
      </c>
    </row>
    <row r="245" spans="1:25" x14ac:dyDescent="0.25">
      <c r="A245" s="5">
        <v>41630</v>
      </c>
      <c r="B245">
        <v>1571.7452000000001</v>
      </c>
      <c r="C245" s="29">
        <f t="shared" si="157"/>
        <v>6.4000000000000003E-3</v>
      </c>
      <c r="D245">
        <v>-0.88</v>
      </c>
      <c r="E245">
        <v>-1.302</v>
      </c>
      <c r="F245" s="18">
        <f t="shared" si="144"/>
        <v>0.14399999999999835</v>
      </c>
      <c r="G245" s="18">
        <f t="shared" si="145"/>
        <v>-0.62800000000000011</v>
      </c>
      <c r="H245">
        <v>4.04</v>
      </c>
      <c r="I245">
        <v>2.38</v>
      </c>
      <c r="J245">
        <f t="shared" si="154"/>
        <v>3.21</v>
      </c>
      <c r="K245" s="6">
        <f t="shared" si="155"/>
        <v>3.29</v>
      </c>
      <c r="L245" s="6">
        <f t="shared" si="156"/>
        <v>-6.999999999999984E-2</v>
      </c>
      <c r="M245">
        <v>2.3337925925629999</v>
      </c>
      <c r="N245">
        <v>336750</v>
      </c>
      <c r="O245" s="18">
        <f>ROUND(N245/VLOOKUP(EOMONTH(A245,-1),Employment!A:P,16,FALSE),4)</f>
        <v>1.3657999999999999</v>
      </c>
      <c r="P245" s="18">
        <f t="shared" si="146"/>
        <v>1.3401000000000001</v>
      </c>
      <c r="Q245" s="29">
        <f t="shared" si="147"/>
        <v>-0.14319999999999999</v>
      </c>
      <c r="R245" s="29">
        <f t="shared" si="148"/>
        <v>8.0999999999999996E-3</v>
      </c>
      <c r="S245">
        <v>2892000</v>
      </c>
      <c r="T245" s="18">
        <f>ROUND((S245/7)/VLOOKUP(EOMONTH(A245,-1),Employment!A:P,16,FALSE),4)</f>
        <v>1.6756</v>
      </c>
      <c r="U245" s="18">
        <f t="shared" si="149"/>
        <v>1.6440999999999999</v>
      </c>
      <c r="V245" s="29">
        <f t="shared" si="150"/>
        <v>-0.12839999999999999</v>
      </c>
      <c r="W245" s="29">
        <f t="shared" si="151"/>
        <v>-4.1999999999999997E-3</v>
      </c>
      <c r="X245" s="30">
        <f t="shared" si="152"/>
        <v>149.63999999999999</v>
      </c>
      <c r="Y245" s="31">
        <f t="shared" si="153"/>
        <v>163.22</v>
      </c>
    </row>
    <row r="246" spans="1:25" x14ac:dyDescent="0.25">
      <c r="A246" s="5">
        <v>41623</v>
      </c>
      <c r="B246">
        <v>1568.8960999999999</v>
      </c>
      <c r="C246" s="29">
        <f t="shared" si="157"/>
        <v>7.4999999999999997E-3</v>
      </c>
      <c r="D246">
        <v>-0.88</v>
      </c>
      <c r="E246">
        <v>-1.284</v>
      </c>
      <c r="F246" s="18">
        <f t="shared" si="144"/>
        <v>-0.62399999999999878</v>
      </c>
      <c r="G246" s="18">
        <f t="shared" si="145"/>
        <v>-0.52799999999999869</v>
      </c>
      <c r="H246">
        <v>4.12</v>
      </c>
      <c r="I246">
        <v>2.5</v>
      </c>
      <c r="J246">
        <f t="shared" si="154"/>
        <v>3.31</v>
      </c>
      <c r="K246" s="6">
        <f t="shared" si="155"/>
        <v>3.36</v>
      </c>
      <c r="L246" s="6">
        <f t="shared" si="156"/>
        <v>-6.0000000000000053E-2</v>
      </c>
      <c r="M246">
        <v>2.7202732959089002</v>
      </c>
      <c r="N246">
        <v>328750</v>
      </c>
      <c r="O246" s="18">
        <f>ROUND(N246/VLOOKUP(EOMONTH(A246,-1),Employment!A:P,16,FALSE),4)</f>
        <v>1.3332999999999999</v>
      </c>
      <c r="P246" s="18">
        <f t="shared" si="146"/>
        <v>1.3352999999999999</v>
      </c>
      <c r="Q246" s="29">
        <f t="shared" si="147"/>
        <v>-0.1726</v>
      </c>
      <c r="R246" s="29">
        <f t="shared" si="148"/>
        <v>3.7999999999999999E-2</v>
      </c>
      <c r="S246">
        <v>2808000</v>
      </c>
      <c r="T246" s="18">
        <f>ROUND((S246/7)/VLOOKUP(EOMONTH(A246,-1),Employment!A:P,16,FALSE),4)</f>
        <v>1.6269</v>
      </c>
      <c r="U246" s="18">
        <f t="shared" si="149"/>
        <v>1.6335</v>
      </c>
      <c r="V246" s="29">
        <f t="shared" si="150"/>
        <v>-0.14249999999999999</v>
      </c>
      <c r="W246" s="29">
        <f t="shared" si="151"/>
        <v>5.1000000000000004E-3</v>
      </c>
      <c r="X246" s="30">
        <f t="shared" si="152"/>
        <v>169.77</v>
      </c>
      <c r="Y246" s="31">
        <f t="shared" si="153"/>
        <v>174.31</v>
      </c>
    </row>
    <row r="247" spans="1:25" x14ac:dyDescent="0.25">
      <c r="A247" s="5">
        <v>41616</v>
      </c>
      <c r="B247">
        <v>1568.6327000000001</v>
      </c>
      <c r="C247" s="29">
        <f t="shared" si="157"/>
        <v>9.7999999999999997E-3</v>
      </c>
      <c r="D247">
        <v>-0.88</v>
      </c>
      <c r="E247">
        <v>-1.3620000000000001</v>
      </c>
      <c r="F247" s="18">
        <f t="shared" si="144"/>
        <v>-0.14799999999999969</v>
      </c>
      <c r="G247" s="18">
        <f t="shared" si="145"/>
        <v>0.3160000000000025</v>
      </c>
      <c r="H247">
        <v>4.13</v>
      </c>
      <c r="I247">
        <v>2.58</v>
      </c>
      <c r="J247">
        <f t="shared" si="154"/>
        <v>3.36</v>
      </c>
      <c r="K247" s="6">
        <f t="shared" si="155"/>
        <v>3.42</v>
      </c>
      <c r="L247" s="6">
        <f t="shared" si="156"/>
        <v>-6.0000000000000053E-2</v>
      </c>
      <c r="M247">
        <v>2.6203866310457</v>
      </c>
      <c r="N247">
        <v>325750</v>
      </c>
      <c r="O247" s="18">
        <f>ROUND(N247/VLOOKUP(EOMONTH(A247,-1),Employment!A:P,16,FALSE),4)</f>
        <v>1.3210999999999999</v>
      </c>
      <c r="P247" s="18">
        <f t="shared" si="146"/>
        <v>1.3519000000000001</v>
      </c>
      <c r="Q247" s="29">
        <f t="shared" si="147"/>
        <v>-0.17510000000000001</v>
      </c>
      <c r="R247" s="29">
        <f t="shared" si="148"/>
        <v>4.9000000000000002E-2</v>
      </c>
      <c r="S247">
        <v>2813000</v>
      </c>
      <c r="T247" s="18">
        <f>ROUND((S247/7)/VLOOKUP(EOMONTH(A247,-1),Employment!A:P,16,FALSE),4)</f>
        <v>1.6297999999999999</v>
      </c>
      <c r="U247" s="18">
        <f t="shared" si="149"/>
        <v>1.6565000000000001</v>
      </c>
      <c r="V247" s="29">
        <f t="shared" si="150"/>
        <v>-0.1454</v>
      </c>
      <c r="W247" s="29">
        <f t="shared" si="151"/>
        <v>1.46E-2</v>
      </c>
      <c r="X247" s="30">
        <f t="shared" si="152"/>
        <v>180.82</v>
      </c>
      <c r="Y247" s="31">
        <f t="shared" si="153"/>
        <v>171.25</v>
      </c>
    </row>
    <row r="248" spans="1:25" x14ac:dyDescent="0.25">
      <c r="A248" s="5">
        <v>41609</v>
      </c>
      <c r="B248">
        <v>1554.5009</v>
      </c>
      <c r="C248" s="29">
        <f t="shared" si="157"/>
        <v>1.6000000000000001E-3</v>
      </c>
      <c r="D248">
        <v>-0.89</v>
      </c>
      <c r="E248">
        <v>-1.3680000000000001</v>
      </c>
      <c r="F248" s="18">
        <f t="shared" si="144"/>
        <v>0.24399999999999977</v>
      </c>
      <c r="G248" s="18">
        <f t="shared" si="145"/>
        <v>0.34400000000000119</v>
      </c>
      <c r="H248">
        <v>4.2300000000000004</v>
      </c>
      <c r="I248">
        <v>2.61</v>
      </c>
      <c r="J248">
        <f t="shared" si="154"/>
        <v>3.42</v>
      </c>
      <c r="K248" s="6">
        <f t="shared" si="155"/>
        <v>3.48</v>
      </c>
      <c r="L248" s="6">
        <f t="shared" si="156"/>
        <v>-4.0000000000000036E-2</v>
      </c>
      <c r="M248">
        <v>2.3174594969753</v>
      </c>
      <c r="N248">
        <v>333250</v>
      </c>
      <c r="O248" s="18">
        <f>ROUND(N248/VLOOKUP(EOMONTH(A248,-1),Employment!A:P,16,FALSE),4)</f>
        <v>1.3515999999999999</v>
      </c>
      <c r="P248" s="18">
        <f t="shared" si="146"/>
        <v>1.3783000000000001</v>
      </c>
      <c r="Q248" s="29">
        <f t="shared" si="147"/>
        <v>-0.14749999999999999</v>
      </c>
      <c r="R248" s="29">
        <f t="shared" si="148"/>
        <v>3.9399999999999998E-2</v>
      </c>
      <c r="S248">
        <v>2837000</v>
      </c>
      <c r="T248" s="18">
        <f>ROUND((S248/7)/VLOOKUP(EOMONTH(A248,-1),Employment!A:P,16,FALSE),4)</f>
        <v>1.6436999999999999</v>
      </c>
      <c r="U248" s="18">
        <f t="shared" si="149"/>
        <v>1.6685000000000001</v>
      </c>
      <c r="V248" s="29">
        <f t="shared" si="150"/>
        <v>-0.1497</v>
      </c>
      <c r="W248" s="29">
        <f t="shared" si="151"/>
        <v>1.3100000000000001E-2</v>
      </c>
      <c r="X248" s="30">
        <f t="shared" si="152"/>
        <v>169.39</v>
      </c>
      <c r="Y248" s="31">
        <f t="shared" si="153"/>
        <v>155.91999999999999</v>
      </c>
    </row>
    <row r="249" spans="1:25" x14ac:dyDescent="0.25">
      <c r="A249" s="5">
        <v>41602</v>
      </c>
      <c r="B249">
        <v>1555.1954000000001</v>
      </c>
      <c r="C249" s="29">
        <f t="shared" si="157"/>
        <v>2.3E-3</v>
      </c>
      <c r="D249">
        <v>-0.88</v>
      </c>
      <c r="E249">
        <v>-1.35</v>
      </c>
      <c r="F249" s="18">
        <f t="shared" si="144"/>
        <v>0.22000000000000242</v>
      </c>
      <c r="G249" s="18">
        <f t="shared" si="145"/>
        <v>0.33200000000000074</v>
      </c>
      <c r="H249">
        <v>4.3</v>
      </c>
      <c r="I249">
        <v>2.65</v>
      </c>
      <c r="J249">
        <f t="shared" si="154"/>
        <v>3.48</v>
      </c>
      <c r="K249" s="6">
        <f t="shared" si="155"/>
        <v>3.52</v>
      </c>
      <c r="L249" s="6">
        <f t="shared" si="156"/>
        <v>0</v>
      </c>
      <c r="M249">
        <v>2.0415828118468</v>
      </c>
      <c r="N249">
        <v>340750</v>
      </c>
      <c r="O249" s="18">
        <f>ROUND(N249/VLOOKUP(EOMONTH(A249,-1),Employment!A:P,16,FALSE),4)</f>
        <v>1.383</v>
      </c>
      <c r="P249" s="18">
        <f t="shared" si="146"/>
        <v>1.4033</v>
      </c>
      <c r="Q249" s="29">
        <f t="shared" si="147"/>
        <v>-0.1105</v>
      </c>
      <c r="R249" s="29">
        <f t="shared" si="148"/>
        <v>1.44E-2</v>
      </c>
      <c r="S249">
        <v>2925000</v>
      </c>
      <c r="T249" s="18">
        <f>ROUND((S249/7)/VLOOKUP(EOMONTH(A249,-1),Employment!A:P,16,FALSE),4)</f>
        <v>1.696</v>
      </c>
      <c r="U249" s="18">
        <f t="shared" si="149"/>
        <v>1.6862999999999999</v>
      </c>
      <c r="V249" s="29">
        <f t="shared" si="150"/>
        <v>-0.1321</v>
      </c>
      <c r="W249" s="29">
        <f t="shared" si="151"/>
        <v>6.3E-3</v>
      </c>
      <c r="X249" s="30">
        <f t="shared" si="152"/>
        <v>151.97999999999999</v>
      </c>
      <c r="Y249" s="31">
        <f t="shared" si="153"/>
        <v>138.74</v>
      </c>
    </row>
    <row r="250" spans="1:25" x14ac:dyDescent="0.25">
      <c r="A250" s="5">
        <v>41595</v>
      </c>
      <c r="B250">
        <v>1550.3516</v>
      </c>
      <c r="C250" s="29">
        <f t="shared" si="157"/>
        <v>5.9999999999999995E-4</v>
      </c>
      <c r="D250">
        <v>-0.87</v>
      </c>
      <c r="E250">
        <v>-1.335</v>
      </c>
      <c r="F250" s="18">
        <f t="shared" si="144"/>
        <v>-0.12000000000000099</v>
      </c>
      <c r="G250" s="18">
        <f t="shared" si="145"/>
        <v>1.0879999999999974</v>
      </c>
      <c r="H250">
        <v>4.38</v>
      </c>
      <c r="I250">
        <v>2.7</v>
      </c>
      <c r="J250">
        <f t="shared" si="154"/>
        <v>3.54</v>
      </c>
      <c r="K250" s="6">
        <f t="shared" si="155"/>
        <v>3.52</v>
      </c>
      <c r="L250" s="6">
        <f t="shared" si="156"/>
        <v>0</v>
      </c>
      <c r="M250">
        <v>1.8374647453354001</v>
      </c>
      <c r="N250">
        <v>345000</v>
      </c>
      <c r="O250" s="18">
        <f>ROUND(N250/VLOOKUP(EOMONTH(A250,-1),Employment!A:P,16,FALSE),4)</f>
        <v>1.4003000000000001</v>
      </c>
      <c r="P250" s="18">
        <f t="shared" si="146"/>
        <v>1.4274</v>
      </c>
      <c r="Q250" s="29">
        <f t="shared" si="147"/>
        <v>-7.3800000000000004E-2</v>
      </c>
      <c r="R250" s="29">
        <f t="shared" si="148"/>
        <v>-1.7600000000000001E-2</v>
      </c>
      <c r="S250">
        <v>2873000</v>
      </c>
      <c r="T250" s="18">
        <f>ROUND((S250/7)/VLOOKUP(EOMONTH(A250,-1),Employment!A:P,16,FALSE),4)</f>
        <v>1.6657999999999999</v>
      </c>
      <c r="U250" s="18">
        <f t="shared" si="149"/>
        <v>1.6878</v>
      </c>
      <c r="V250" s="29">
        <f t="shared" si="150"/>
        <v>-0.1244</v>
      </c>
      <c r="W250" s="29">
        <f t="shared" si="151"/>
        <v>-2.9999999999999997E-4</v>
      </c>
      <c r="X250" s="30">
        <f t="shared" si="152"/>
        <v>132.11000000000001</v>
      </c>
      <c r="Y250" s="31">
        <f t="shared" si="153"/>
        <v>125.46</v>
      </c>
    </row>
    <row r="251" spans="1:25" x14ac:dyDescent="0.25">
      <c r="A251" s="5">
        <v>41588</v>
      </c>
      <c r="B251">
        <v>1553.5369000000001</v>
      </c>
      <c r="C251" s="29">
        <f t="shared" si="157"/>
        <v>3.3999999999999998E-3</v>
      </c>
      <c r="D251">
        <v>-0.85</v>
      </c>
      <c r="E251">
        <v>-1.375</v>
      </c>
      <c r="F251" s="18">
        <f t="shared" si="144"/>
        <v>0.23199999999999932</v>
      </c>
      <c r="G251" s="18">
        <f t="shared" si="145"/>
        <v>2.3279999999999994</v>
      </c>
      <c r="H251">
        <v>4.38</v>
      </c>
      <c r="I251">
        <v>2.69</v>
      </c>
      <c r="J251">
        <f t="shared" si="154"/>
        <v>3.54</v>
      </c>
      <c r="K251" s="6">
        <f t="shared" si="155"/>
        <v>3.52</v>
      </c>
      <c r="L251" s="6">
        <f t="shared" si="156"/>
        <v>-9.9999999999997868E-3</v>
      </c>
      <c r="M251">
        <v>1.5801835469828001</v>
      </c>
      <c r="N251">
        <v>351500</v>
      </c>
      <c r="O251" s="18">
        <f>ROUND(N251/VLOOKUP(EOMONTH(A251,-1),Employment!A:P,16,FALSE),4)</f>
        <v>1.4267000000000001</v>
      </c>
      <c r="P251" s="18">
        <f t="shared" si="146"/>
        <v>1.4372</v>
      </c>
      <c r="Q251" s="29">
        <f t="shared" si="147"/>
        <v>-5.45E-2</v>
      </c>
      <c r="R251" s="29">
        <f t="shared" si="148"/>
        <v>-4.1099999999999998E-2</v>
      </c>
      <c r="S251">
        <v>2927000</v>
      </c>
      <c r="T251" s="18">
        <f>ROUND((S251/7)/VLOOKUP(EOMONTH(A251,-1),Employment!A:P,16,FALSE),4)</f>
        <v>1.6971000000000001</v>
      </c>
      <c r="U251" s="18">
        <f t="shared" si="149"/>
        <v>1.6983999999999999</v>
      </c>
      <c r="V251" s="29">
        <f t="shared" si="150"/>
        <v>-0.1132</v>
      </c>
      <c r="W251" s="29">
        <f t="shared" si="151"/>
        <v>-3.3E-3</v>
      </c>
      <c r="X251" s="30">
        <f t="shared" si="152"/>
        <v>122.2</v>
      </c>
      <c r="Y251" s="31">
        <f t="shared" si="153"/>
        <v>120.19</v>
      </c>
    </row>
    <row r="252" spans="1:25" x14ac:dyDescent="0.25">
      <c r="A252" s="5">
        <v>41581</v>
      </c>
      <c r="B252">
        <v>1548.7831000000001</v>
      </c>
      <c r="C252" s="29">
        <f t="shared" si="157"/>
        <v>2.3999999999999998E-3</v>
      </c>
      <c r="D252">
        <v>-0.83</v>
      </c>
      <c r="E252">
        <v>-1.371</v>
      </c>
      <c r="F252" s="18">
        <f t="shared" si="144"/>
        <v>0.97599999999999909</v>
      </c>
      <c r="G252" s="18">
        <f t="shared" si="145"/>
        <v>2.3599999999999994</v>
      </c>
      <c r="H252">
        <v>4.3099999999999996</v>
      </c>
      <c r="I252">
        <v>2.64</v>
      </c>
      <c r="J252">
        <f t="shared" si="154"/>
        <v>3.48</v>
      </c>
      <c r="K252" s="6">
        <f t="shared" si="155"/>
        <v>3.53</v>
      </c>
      <c r="L252" s="6">
        <f t="shared" si="156"/>
        <v>-5.0000000000000266E-2</v>
      </c>
      <c r="M252">
        <v>1.3313804131478999</v>
      </c>
      <c r="N252">
        <v>358500</v>
      </c>
      <c r="O252" s="18">
        <f>ROUND(N252/VLOOKUP(EOMONTH(A252,-1),Employment!A:P,16,FALSE),4)</f>
        <v>1.4551000000000001</v>
      </c>
      <c r="P252" s="18">
        <f t="shared" si="146"/>
        <v>1.4268000000000001</v>
      </c>
      <c r="Q252" s="29">
        <f t="shared" si="147"/>
        <v>-6.1600000000000002E-2</v>
      </c>
      <c r="R252" s="29">
        <f t="shared" si="148"/>
        <v>-4.8800000000000003E-2</v>
      </c>
      <c r="S252">
        <v>2933000</v>
      </c>
      <c r="T252" s="18">
        <f>ROUND((S252/7)/VLOOKUP(EOMONTH(A252,-1),Employment!A:P,16,FALSE),4)</f>
        <v>1.7005999999999999</v>
      </c>
      <c r="U252" s="18">
        <f t="shared" si="149"/>
        <v>1.6993</v>
      </c>
      <c r="V252" s="29">
        <f t="shared" si="150"/>
        <v>-0.11940000000000001</v>
      </c>
      <c r="W252" s="29">
        <f t="shared" si="151"/>
        <v>-4.7999999999999996E-3</v>
      </c>
      <c r="X252" s="30">
        <f t="shared" si="152"/>
        <v>116.97999999999999</v>
      </c>
      <c r="Y252" s="31">
        <f t="shared" si="153"/>
        <v>122.36</v>
      </c>
    </row>
    <row r="253" spans="1:25" x14ac:dyDescent="0.25">
      <c r="A253" s="5">
        <v>41574</v>
      </c>
      <c r="B253">
        <v>1553.7528</v>
      </c>
      <c r="C253" s="29">
        <f t="shared" si="157"/>
        <v>7.7000000000000002E-3</v>
      </c>
      <c r="D253">
        <v>-0.81</v>
      </c>
      <c r="E253">
        <v>-1.274</v>
      </c>
      <c r="F253" s="18">
        <f t="shared" si="144"/>
        <v>1.120000000000001</v>
      </c>
      <c r="G253" s="18">
        <f t="shared" si="145"/>
        <v>1.0240000000000009</v>
      </c>
      <c r="H253">
        <v>4.42</v>
      </c>
      <c r="I253">
        <v>2.66</v>
      </c>
      <c r="J253">
        <f t="shared" si="154"/>
        <v>3.54</v>
      </c>
      <c r="K253" s="6">
        <f t="shared" si="155"/>
        <v>3.58</v>
      </c>
      <c r="L253" s="6">
        <f t="shared" si="156"/>
        <v>-6.999999999999984E-2</v>
      </c>
      <c r="M253">
        <v>1.5555124880758</v>
      </c>
      <c r="N253">
        <v>352000</v>
      </c>
      <c r="O253" s="18">
        <f>ROUND(N253/VLOOKUP(EOMONTH(A253,-1),Employment!A:P,16,FALSE),4)</f>
        <v>1.4298999999999999</v>
      </c>
      <c r="P253" s="18">
        <f t="shared" si="146"/>
        <v>1.393</v>
      </c>
      <c r="Q253" s="29">
        <f t="shared" si="147"/>
        <v>-8.8400000000000006E-2</v>
      </c>
      <c r="R253" s="29">
        <f t="shared" si="148"/>
        <v>-3.5299999999999998E-2</v>
      </c>
      <c r="S253">
        <v>2925000</v>
      </c>
      <c r="T253" s="18">
        <f>ROUND((S253/7)/VLOOKUP(EOMONTH(A253,-1),Employment!A:P,16,FALSE),4)</f>
        <v>1.6974</v>
      </c>
      <c r="U253" s="18">
        <f t="shared" si="149"/>
        <v>1.7019</v>
      </c>
      <c r="V253" s="29">
        <f t="shared" si="150"/>
        <v>-0.1205</v>
      </c>
      <c r="W253" s="29">
        <f t="shared" si="151"/>
        <v>-1.1900000000000001E-2</v>
      </c>
      <c r="X253" s="30">
        <f t="shared" si="152"/>
        <v>123.2</v>
      </c>
      <c r="Y253" s="31">
        <f t="shared" si="153"/>
        <v>133.09</v>
      </c>
    </row>
    <row r="254" spans="1:25" x14ac:dyDescent="0.25">
      <c r="A254" s="5">
        <v>41567</v>
      </c>
      <c r="B254">
        <v>1541.6114</v>
      </c>
      <c r="C254" s="29">
        <f t="shared" si="157"/>
        <v>5.0000000000000001E-4</v>
      </c>
      <c r="D254">
        <v>-0.79</v>
      </c>
      <c r="E254">
        <v>-1.159</v>
      </c>
      <c r="F254" s="18">
        <f t="shared" si="144"/>
        <v>0.26399999999999935</v>
      </c>
      <c r="G254" s="18">
        <f t="shared" si="145"/>
        <v>0.56800000000000139</v>
      </c>
      <c r="H254">
        <v>4.46</v>
      </c>
      <c r="I254">
        <v>2.66</v>
      </c>
      <c r="J254">
        <f t="shared" si="154"/>
        <v>3.56</v>
      </c>
      <c r="K254" s="6">
        <f t="shared" si="155"/>
        <v>3.65</v>
      </c>
      <c r="L254" s="6">
        <f t="shared" si="156"/>
        <v>-6.0000000000000053E-2</v>
      </c>
      <c r="M254">
        <v>2.2594556972183999</v>
      </c>
      <c r="N254">
        <v>343500</v>
      </c>
      <c r="O254" s="18">
        <f>ROUND(N254/VLOOKUP(EOMONTH(A254,-1),Employment!A:P,16,FALSE),4)</f>
        <v>1.3954</v>
      </c>
      <c r="P254" s="18">
        <f t="shared" si="146"/>
        <v>1.3446</v>
      </c>
      <c r="Q254" s="29">
        <f t="shared" si="147"/>
        <v>-0.13020000000000001</v>
      </c>
      <c r="R254" s="29">
        <f t="shared" si="148"/>
        <v>-1.06E-2</v>
      </c>
      <c r="S254">
        <v>2929000</v>
      </c>
      <c r="T254" s="18">
        <f>ROUND((S254/7)/VLOOKUP(EOMONTH(A254,-1),Employment!A:P,16,FALSE),4)</f>
        <v>1.6998</v>
      </c>
      <c r="U254" s="18">
        <f t="shared" si="149"/>
        <v>1.7075</v>
      </c>
      <c r="V254" s="29">
        <f t="shared" si="150"/>
        <v>-0.1182</v>
      </c>
      <c r="W254" s="29">
        <f t="shared" si="151"/>
        <v>-1.3899999999999999E-2</v>
      </c>
      <c r="X254" s="30">
        <f t="shared" si="152"/>
        <v>133.69</v>
      </c>
      <c r="Y254" s="31">
        <f t="shared" si="153"/>
        <v>148.65</v>
      </c>
    </row>
    <row r="255" spans="1:25" x14ac:dyDescent="0.25">
      <c r="A255" s="5">
        <v>41560</v>
      </c>
      <c r="B255">
        <v>1548.7773</v>
      </c>
      <c r="C255" s="29">
        <f t="shared" si="157"/>
        <v>6.8999999999999999E-3</v>
      </c>
      <c r="D255">
        <v>-0.77</v>
      </c>
      <c r="E255">
        <v>-1.151</v>
      </c>
      <c r="F255" s="18">
        <f t="shared" si="144"/>
        <v>-0.35999999999999943</v>
      </c>
      <c r="G255" s="18">
        <f t="shared" si="145"/>
        <v>1.4880000000000013</v>
      </c>
      <c r="H255">
        <v>4.62</v>
      </c>
      <c r="I255">
        <v>2.68</v>
      </c>
      <c r="J255">
        <f t="shared" si="154"/>
        <v>3.65</v>
      </c>
      <c r="K255" s="6">
        <f t="shared" si="155"/>
        <v>3.71</v>
      </c>
      <c r="L255" s="6">
        <f t="shared" si="156"/>
        <v>2.0000000000000018E-2</v>
      </c>
      <c r="M255">
        <v>3.1121586259759999</v>
      </c>
      <c r="N255">
        <v>333250</v>
      </c>
      <c r="O255" s="18">
        <f>ROUND(N255/VLOOKUP(EOMONTH(A255,-1),Employment!A:P,16,FALSE),4)</f>
        <v>1.3537999999999999</v>
      </c>
      <c r="P255" s="18">
        <f t="shared" si="146"/>
        <v>1.3098000000000001</v>
      </c>
      <c r="Q255" s="29">
        <f t="shared" si="147"/>
        <v>-0.16109999999999999</v>
      </c>
      <c r="R255" s="29">
        <f t="shared" si="148"/>
        <v>1.38E-2</v>
      </c>
      <c r="S255">
        <v>2944000</v>
      </c>
      <c r="T255" s="18">
        <f>ROUND((S255/7)/VLOOKUP(EOMONTH(A255,-1),Employment!A:P,16,FALSE),4)</f>
        <v>1.7084999999999999</v>
      </c>
      <c r="U255" s="18">
        <f t="shared" si="149"/>
        <v>1.6952</v>
      </c>
      <c r="V255" s="29">
        <f t="shared" si="150"/>
        <v>-0.12659999999999999</v>
      </c>
      <c r="W255" s="29">
        <f t="shared" si="151"/>
        <v>-5.8999999999999999E-3</v>
      </c>
      <c r="X255" s="30">
        <f t="shared" si="152"/>
        <v>156.32</v>
      </c>
      <c r="Y255" s="31">
        <f t="shared" si="153"/>
        <v>162.09</v>
      </c>
    </row>
    <row r="256" spans="1:25" x14ac:dyDescent="0.25">
      <c r="A256" s="5">
        <v>41553</v>
      </c>
      <c r="B256">
        <v>1536.0763999999999</v>
      </c>
      <c r="C256" s="29">
        <f t="shared" si="157"/>
        <v>-8.0000000000000004E-4</v>
      </c>
      <c r="D256">
        <v>-0.75</v>
      </c>
      <c r="E256">
        <v>-1.2210000000000001</v>
      </c>
      <c r="F256" s="18">
        <f t="shared" si="144"/>
        <v>0.66400000000000148</v>
      </c>
      <c r="G256" s="18">
        <f t="shared" si="145"/>
        <v>2.6960000000000015</v>
      </c>
      <c r="H256">
        <v>4.7</v>
      </c>
      <c r="I256">
        <v>2.76</v>
      </c>
      <c r="J256">
        <f t="shared" si="154"/>
        <v>3.73</v>
      </c>
      <c r="K256" s="6">
        <f t="shared" si="155"/>
        <v>3.69</v>
      </c>
      <c r="L256" s="6">
        <f t="shared" si="156"/>
        <v>2.9999999999999805E-2</v>
      </c>
      <c r="M256">
        <v>4.0359183469879003</v>
      </c>
      <c r="N256">
        <v>316250</v>
      </c>
      <c r="O256" s="18">
        <f>ROUND(N256/VLOOKUP(EOMONTH(A256,-1),Employment!A:P,16,FALSE),4)</f>
        <v>1.2847</v>
      </c>
      <c r="P256" s="18">
        <f t="shared" si="146"/>
        <v>1.2948999999999999</v>
      </c>
      <c r="Q256" s="29">
        <f t="shared" si="147"/>
        <v>-0.1777</v>
      </c>
      <c r="R256" s="29">
        <f t="shared" si="148"/>
        <v>2.5600000000000001E-2</v>
      </c>
      <c r="S256">
        <v>2954000</v>
      </c>
      <c r="T256" s="18">
        <f>ROUND((S256/7)/VLOOKUP(EOMONTH(A256,-1),Employment!A:P,16,FALSE),4)</f>
        <v>1.7142999999999999</v>
      </c>
      <c r="U256" s="18">
        <f t="shared" si="149"/>
        <v>1.6720999999999999</v>
      </c>
      <c r="V256" s="29">
        <f t="shared" si="150"/>
        <v>-0.13900000000000001</v>
      </c>
      <c r="W256" s="29">
        <f t="shared" si="151"/>
        <v>9.5999999999999992E-3</v>
      </c>
      <c r="X256" s="30">
        <f t="shared" si="152"/>
        <v>166.86</v>
      </c>
      <c r="Y256" s="31">
        <f t="shared" si="153"/>
        <v>163.97</v>
      </c>
    </row>
    <row r="257" spans="1:25" x14ac:dyDescent="0.25">
      <c r="A257" s="5">
        <v>41546</v>
      </c>
      <c r="B257">
        <v>1540.8931</v>
      </c>
      <c r="C257" s="29">
        <f t="shared" si="157"/>
        <v>3.5000000000000001E-3</v>
      </c>
      <c r="D257">
        <v>-0.73</v>
      </c>
      <c r="E257">
        <v>-1.163</v>
      </c>
      <c r="F257" s="18">
        <f t="shared" si="144"/>
        <v>1.1839999999999993</v>
      </c>
      <c r="G257" s="18">
        <f t="shared" si="145"/>
        <v>1.3679999999999986</v>
      </c>
      <c r="H257">
        <v>4.75</v>
      </c>
      <c r="I257">
        <v>2.73</v>
      </c>
      <c r="J257">
        <f t="shared" si="154"/>
        <v>3.74</v>
      </c>
      <c r="K257" s="6">
        <f t="shared" si="155"/>
        <v>3.66</v>
      </c>
      <c r="L257" s="6">
        <f t="shared" si="156"/>
        <v>5.0000000000000266E-2</v>
      </c>
      <c r="M257">
        <v>4.2217141092726997</v>
      </c>
      <c r="N257">
        <v>317500</v>
      </c>
      <c r="O257" s="18">
        <f>ROUND(N257/VLOOKUP(EOMONTH(A257,-1),Employment!A:P,16,FALSE),4)</f>
        <v>1.2908999999999999</v>
      </c>
      <c r="P257" s="18">
        <f t="shared" si="146"/>
        <v>1.3082</v>
      </c>
      <c r="Q257" s="29">
        <f t="shared" si="147"/>
        <v>-0.16569999999999999</v>
      </c>
      <c r="R257" s="29">
        <f t="shared" si="148"/>
        <v>2.46E-2</v>
      </c>
      <c r="S257">
        <v>2863000</v>
      </c>
      <c r="T257" s="18">
        <f>ROUND((S257/7)/VLOOKUP(EOMONTH(A257,-1),Employment!A:P,16,FALSE),4)</f>
        <v>1.6629</v>
      </c>
      <c r="U257" s="18">
        <f t="shared" si="149"/>
        <v>1.6503000000000001</v>
      </c>
      <c r="V257" s="29">
        <f t="shared" si="150"/>
        <v>-0.15210000000000001</v>
      </c>
      <c r="W257" s="29">
        <f t="shared" si="151"/>
        <v>1.8499999999999999E-2</v>
      </c>
      <c r="X257" s="30">
        <f t="shared" si="152"/>
        <v>164.61</v>
      </c>
      <c r="Y257" s="31">
        <f t="shared" si="153"/>
        <v>157.19</v>
      </c>
    </row>
    <row r="258" spans="1:25" x14ac:dyDescent="0.25">
      <c r="A258" s="5">
        <v>41539</v>
      </c>
      <c r="B258">
        <v>1537.5987</v>
      </c>
      <c r="C258" s="29">
        <f t="shared" si="157"/>
        <v>2.2000000000000001E-3</v>
      </c>
      <c r="D258">
        <v>-0.71</v>
      </c>
      <c r="E258">
        <v>-1.04</v>
      </c>
      <c r="F258" s="18">
        <f t="shared" si="144"/>
        <v>0.84800000000000075</v>
      </c>
      <c r="G258" s="18">
        <f t="shared" si="145"/>
        <v>0.1720000000000006</v>
      </c>
      <c r="H258">
        <v>4.54</v>
      </c>
      <c r="I258">
        <v>2.68</v>
      </c>
      <c r="J258">
        <f t="shared" si="154"/>
        <v>3.61</v>
      </c>
      <c r="K258" s="6">
        <f t="shared" si="155"/>
        <v>3.61</v>
      </c>
      <c r="L258" s="6">
        <f t="shared" si="156"/>
        <v>-2.0000000000000018E-2</v>
      </c>
      <c r="M258">
        <v>4.0163695872391001</v>
      </c>
      <c r="N258">
        <v>322000</v>
      </c>
      <c r="O258" s="18">
        <f>ROUND(N258/VLOOKUP(EOMONTH(A258,-1),Employment!A:P,16,FALSE),4)</f>
        <v>1.3091999999999999</v>
      </c>
      <c r="P258" s="18">
        <f t="shared" si="146"/>
        <v>1.3268</v>
      </c>
      <c r="Q258" s="29">
        <f t="shared" si="147"/>
        <v>-0.1464</v>
      </c>
      <c r="R258" s="29">
        <f t="shared" si="148"/>
        <v>1.8700000000000001E-2</v>
      </c>
      <c r="S258">
        <v>2822000</v>
      </c>
      <c r="T258" s="18">
        <f>ROUND((S258/7)/VLOOKUP(EOMONTH(A258,-1),Employment!A:P,16,FALSE),4)</f>
        <v>1.6391</v>
      </c>
      <c r="U258" s="18">
        <f t="shared" si="149"/>
        <v>1.6639999999999999</v>
      </c>
      <c r="V258" s="29">
        <f t="shared" si="150"/>
        <v>-0.14549999999999999</v>
      </c>
      <c r="W258" s="29">
        <f t="shared" si="151"/>
        <v>1.6799999999999999E-2</v>
      </c>
      <c r="X258" s="30">
        <f t="shared" si="152"/>
        <v>155.15</v>
      </c>
      <c r="Y258" s="31">
        <f t="shared" si="153"/>
        <v>147.72</v>
      </c>
    </row>
    <row r="259" spans="1:25" x14ac:dyDescent="0.25">
      <c r="A259" s="5">
        <v>41532</v>
      </c>
      <c r="B259">
        <v>1538.0325</v>
      </c>
      <c r="C259" s="29">
        <f t="shared" si="157"/>
        <v>3.3E-3</v>
      </c>
      <c r="D259">
        <v>-0.69</v>
      </c>
      <c r="E259">
        <v>-0.95899999999999996</v>
      </c>
      <c r="F259" s="18">
        <f t="shared" si="144"/>
        <v>-0.66400000000000148</v>
      </c>
      <c r="G259" s="18">
        <f t="shared" si="145"/>
        <v>-1.9120000000000026</v>
      </c>
      <c r="H259">
        <v>4.5999999999999996</v>
      </c>
      <c r="I259">
        <v>2.64</v>
      </c>
      <c r="J259">
        <f t="shared" si="154"/>
        <v>3.62</v>
      </c>
      <c r="K259" s="6">
        <f t="shared" si="155"/>
        <v>3.63</v>
      </c>
      <c r="L259" s="6">
        <f t="shared" si="156"/>
        <v>-3.0000000000000249E-2</v>
      </c>
      <c r="M259">
        <v>3.9275843544770002</v>
      </c>
      <c r="N259">
        <v>325750</v>
      </c>
      <c r="O259" s="18">
        <f>ROUND(N259/VLOOKUP(EOMONTH(A259,-1),Employment!A:P,16,FALSE),4)</f>
        <v>1.3244</v>
      </c>
      <c r="P259" s="18">
        <f t="shared" si="146"/>
        <v>1.3447</v>
      </c>
      <c r="Q259" s="29">
        <f t="shared" si="147"/>
        <v>-0.12720000000000001</v>
      </c>
      <c r="R259" s="29">
        <f t="shared" si="148"/>
        <v>1.3599999999999999E-2</v>
      </c>
      <c r="S259">
        <v>2839000</v>
      </c>
      <c r="T259" s="18">
        <f>ROUND((S259/7)/VLOOKUP(EOMONTH(A259,-1),Employment!A:P,16,FALSE),4)</f>
        <v>1.6489</v>
      </c>
      <c r="U259" s="18">
        <f t="shared" si="149"/>
        <v>1.6922999999999999</v>
      </c>
      <c r="V259" s="29">
        <f t="shared" si="150"/>
        <v>-0.13039999999999999</v>
      </c>
      <c r="W259" s="29">
        <f t="shared" si="151"/>
        <v>7.6E-3</v>
      </c>
      <c r="X259" s="30">
        <f t="shared" si="152"/>
        <v>143.72999999999999</v>
      </c>
      <c r="Y259" s="31">
        <f t="shared" si="153"/>
        <v>141.06</v>
      </c>
    </row>
    <row r="260" spans="1:25" x14ac:dyDescent="0.25">
      <c r="A260" s="5">
        <v>41525</v>
      </c>
      <c r="B260">
        <v>1532.6541</v>
      </c>
      <c r="C260" s="29">
        <f t="shared" si="157"/>
        <v>-8.9999999999999998E-4</v>
      </c>
      <c r="D260">
        <v>-0.69</v>
      </c>
      <c r="E260">
        <v>-1.042</v>
      </c>
      <c r="F260" s="18">
        <f t="shared" si="144"/>
        <v>-1.1999999999998678E-2</v>
      </c>
      <c r="G260" s="18">
        <f t="shared" si="145"/>
        <v>-1.9400000000000013</v>
      </c>
      <c r="H260">
        <v>4.63</v>
      </c>
      <c r="I260">
        <v>2.59</v>
      </c>
      <c r="J260">
        <f t="shared" si="154"/>
        <v>3.61</v>
      </c>
      <c r="K260" s="6">
        <f t="shared" si="155"/>
        <v>3.66</v>
      </c>
      <c r="L260" s="6">
        <f t="shared" si="156"/>
        <v>-2.9999999999999805E-2</v>
      </c>
      <c r="M260">
        <v>3.6928393947748002</v>
      </c>
      <c r="N260">
        <v>331250</v>
      </c>
      <c r="O260" s="18">
        <f>ROUND(N260/VLOOKUP(EOMONTH(A260,-1),Employment!A:P,16,FALSE),4)</f>
        <v>1.3468</v>
      </c>
      <c r="P260" s="18">
        <f t="shared" si="146"/>
        <v>1.3573</v>
      </c>
      <c r="Q260" s="29">
        <f t="shared" si="147"/>
        <v>-0.1135</v>
      </c>
      <c r="R260" s="29">
        <f t="shared" si="148"/>
        <v>1.09E-2</v>
      </c>
      <c r="S260">
        <v>2934000</v>
      </c>
      <c r="T260" s="18">
        <f>ROUND((S260/7)/VLOOKUP(EOMONTH(A260,-1),Employment!A:P,16,FALSE),4)</f>
        <v>1.7040999999999999</v>
      </c>
      <c r="U260" s="18">
        <f t="shared" si="149"/>
        <v>1.7214</v>
      </c>
      <c r="V260" s="29">
        <f t="shared" si="150"/>
        <v>-0.113</v>
      </c>
      <c r="W260" s="29">
        <f t="shared" si="151"/>
        <v>2.8999999999999998E-3</v>
      </c>
      <c r="X260" s="30">
        <f t="shared" si="152"/>
        <v>139.12</v>
      </c>
      <c r="Y260" s="31">
        <f t="shared" si="153"/>
        <v>139.51</v>
      </c>
    </row>
    <row r="261" spans="1:25" x14ac:dyDescent="0.25">
      <c r="A261" s="5">
        <v>41518</v>
      </c>
      <c r="B261">
        <v>1533.5444</v>
      </c>
      <c r="C261" s="29">
        <f t="shared" si="157"/>
        <v>-1E-3</v>
      </c>
      <c r="D261">
        <v>-0.7</v>
      </c>
      <c r="E261">
        <v>-1.0309999999999999</v>
      </c>
      <c r="F261" s="18">
        <f t="shared" si="144"/>
        <v>-1.2360000000000024</v>
      </c>
      <c r="G261" s="18">
        <f t="shared" si="145"/>
        <v>-1.6480000000000015</v>
      </c>
      <c r="H261">
        <v>4.76</v>
      </c>
      <c r="I261">
        <v>2.56</v>
      </c>
      <c r="J261">
        <f t="shared" si="154"/>
        <v>3.66</v>
      </c>
      <c r="K261" s="6">
        <f t="shared" si="155"/>
        <v>3.69</v>
      </c>
      <c r="L261" s="6">
        <f t="shared" si="156"/>
        <v>-4.0000000000000036E-2</v>
      </c>
      <c r="M261">
        <v>3.8150184717190001</v>
      </c>
      <c r="N261">
        <v>335250</v>
      </c>
      <c r="O261" s="18">
        <f>ROUND(N261/VLOOKUP(EOMONTH(A261,-1),Employment!A:P,16,FALSE),4)</f>
        <v>1.363</v>
      </c>
      <c r="P261" s="18">
        <f t="shared" si="146"/>
        <v>1.3677999999999999</v>
      </c>
      <c r="Q261" s="29">
        <f t="shared" si="147"/>
        <v>-0.1043</v>
      </c>
      <c r="R261" s="29">
        <f t="shared" si="148"/>
        <v>1.01E-2</v>
      </c>
      <c r="S261">
        <v>2968000</v>
      </c>
      <c r="T261" s="18">
        <f>ROUND((S261/7)/VLOOKUP(EOMONTH(A261,-1),Employment!A:P,16,FALSE),4)</f>
        <v>1.7239</v>
      </c>
      <c r="U261" s="18">
        <f t="shared" si="149"/>
        <v>1.7238</v>
      </c>
      <c r="V261" s="29">
        <f t="shared" si="150"/>
        <v>-0.1103</v>
      </c>
      <c r="W261" s="29">
        <f t="shared" si="151"/>
        <v>3.5999999999999999E-3</v>
      </c>
      <c r="X261" s="30">
        <f t="shared" si="152"/>
        <v>139.24</v>
      </c>
      <c r="Y261" s="31">
        <f t="shared" si="153"/>
        <v>140.56</v>
      </c>
    </row>
    <row r="262" spans="1:25" x14ac:dyDescent="0.25">
      <c r="A262" s="5">
        <v>41511</v>
      </c>
      <c r="B262">
        <v>1532.7434000000001</v>
      </c>
      <c r="C262" s="29">
        <f t="shared" si="157"/>
        <v>-1.6000000000000001E-3</v>
      </c>
      <c r="D262">
        <v>-0.71</v>
      </c>
      <c r="E262">
        <v>-1.173</v>
      </c>
      <c r="F262" s="18">
        <f t="shared" si="144"/>
        <v>-0.69200000000000017</v>
      </c>
      <c r="G262" s="18">
        <f t="shared" si="145"/>
        <v>-0.7879999999999967</v>
      </c>
      <c r="H262">
        <v>4.75</v>
      </c>
      <c r="I262">
        <v>2.67</v>
      </c>
      <c r="J262">
        <f t="shared" si="154"/>
        <v>3.71</v>
      </c>
      <c r="K262" s="6">
        <f t="shared" si="155"/>
        <v>3.73</v>
      </c>
      <c r="L262" s="6">
        <f t="shared" si="156"/>
        <v>0</v>
      </c>
      <c r="M262">
        <v>4.0931874165473996</v>
      </c>
      <c r="N262">
        <v>334750</v>
      </c>
      <c r="O262" s="18">
        <f>ROUND(N262/VLOOKUP(EOMONTH(A262,-1),Employment!A:P,16,FALSE),4)</f>
        <v>1.3621000000000001</v>
      </c>
      <c r="P262" s="18">
        <f t="shared" si="146"/>
        <v>1.3787</v>
      </c>
      <c r="Q262" s="29">
        <f t="shared" si="147"/>
        <v>-9.9099999999999994E-2</v>
      </c>
      <c r="R262" s="29">
        <f t="shared" si="148"/>
        <v>7.4000000000000003E-3</v>
      </c>
      <c r="S262">
        <v>2987000</v>
      </c>
      <c r="T262" s="18">
        <f>ROUND((S262/7)/VLOOKUP(EOMONTH(A262,-1),Employment!A:P,16,FALSE),4)</f>
        <v>1.7363</v>
      </c>
      <c r="U262" s="18">
        <f t="shared" si="149"/>
        <v>1.7323999999999999</v>
      </c>
      <c r="V262" s="29">
        <f t="shared" si="150"/>
        <v>-0.1066</v>
      </c>
      <c r="W262" s="29">
        <f t="shared" si="151"/>
        <v>7.6E-3</v>
      </c>
      <c r="X262" s="30">
        <f t="shared" si="152"/>
        <v>141.13</v>
      </c>
      <c r="Y262" s="31">
        <f t="shared" si="153"/>
        <v>142.16999999999999</v>
      </c>
    </row>
    <row r="263" spans="1:25" x14ac:dyDescent="0.25">
      <c r="A263" s="5">
        <v>41504</v>
      </c>
      <c r="B263">
        <v>1532.847</v>
      </c>
      <c r="C263" s="29">
        <f t="shared" si="157"/>
        <v>0</v>
      </c>
      <c r="D263">
        <v>-0.72</v>
      </c>
      <c r="E263">
        <v>-1.2470000000000001</v>
      </c>
      <c r="F263" s="18">
        <f t="shared" si="144"/>
        <v>0.28000000000000114</v>
      </c>
      <c r="G263" s="18">
        <f t="shared" si="145"/>
        <v>0.3960000000000008</v>
      </c>
      <c r="H263">
        <v>4.7</v>
      </c>
      <c r="I263">
        <v>2.7</v>
      </c>
      <c r="J263">
        <f t="shared" si="154"/>
        <v>3.7</v>
      </c>
      <c r="K263" s="6">
        <f t="shared" si="155"/>
        <v>3.73</v>
      </c>
      <c r="L263" s="6">
        <f t="shared" si="156"/>
        <v>9.9999999999997868E-3</v>
      </c>
      <c r="M263">
        <v>4.2390146581175996</v>
      </c>
      <c r="N263">
        <v>338750</v>
      </c>
      <c r="O263" s="18">
        <f>ROUND(N263/VLOOKUP(EOMONTH(A263,-1),Employment!A:P,16,FALSE),4)</f>
        <v>1.3784000000000001</v>
      </c>
      <c r="P263" s="18">
        <f t="shared" si="146"/>
        <v>1.3939999999999999</v>
      </c>
      <c r="Q263" s="29">
        <f t="shared" si="147"/>
        <v>-8.9499999999999996E-2</v>
      </c>
      <c r="R263" s="29">
        <f t="shared" si="148"/>
        <v>1.5E-3</v>
      </c>
      <c r="S263">
        <v>2944000</v>
      </c>
      <c r="T263" s="18">
        <f>ROUND((S263/7)/VLOOKUP(EOMONTH(A263,-1),Employment!A:P,16,FALSE),4)</f>
        <v>1.7113</v>
      </c>
      <c r="U263" s="18">
        <f t="shared" si="149"/>
        <v>1.7246999999999999</v>
      </c>
      <c r="V263" s="29">
        <f t="shared" si="150"/>
        <v>-0.1101</v>
      </c>
      <c r="W263" s="29">
        <f t="shared" si="151"/>
        <v>8.3999999999999995E-3</v>
      </c>
      <c r="X263" s="30">
        <f t="shared" si="152"/>
        <v>142.42000000000002</v>
      </c>
      <c r="Y263" s="31">
        <f t="shared" si="153"/>
        <v>143.72999999999999</v>
      </c>
    </row>
    <row r="264" spans="1:25" x14ac:dyDescent="0.25">
      <c r="A264" s="5">
        <v>41497</v>
      </c>
      <c r="B264">
        <v>1536.9661000000001</v>
      </c>
      <c r="C264" s="29">
        <f t="shared" si="157"/>
        <v>4.7999999999999996E-3</v>
      </c>
      <c r="D264">
        <v>-0.72</v>
      </c>
      <c r="E264">
        <v>-1.212</v>
      </c>
      <c r="F264" s="18">
        <f t="shared" si="144"/>
        <v>-0.37599999999999767</v>
      </c>
      <c r="G264" s="18">
        <f t="shared" si="145"/>
        <v>1.5440000000000005</v>
      </c>
      <c r="H264">
        <v>4.8</v>
      </c>
      <c r="I264">
        <v>2.74</v>
      </c>
      <c r="J264">
        <f t="shared" si="154"/>
        <v>3.77</v>
      </c>
      <c r="K264" s="6">
        <f t="shared" si="155"/>
        <v>3.72</v>
      </c>
      <c r="L264" s="6">
        <f t="shared" si="156"/>
        <v>4.0000000000000036E-2</v>
      </c>
      <c r="M264">
        <v>4.5140776105437004</v>
      </c>
      <c r="N264">
        <v>343000</v>
      </c>
      <c r="O264" s="18">
        <f>ROUND(N264/VLOOKUP(EOMONTH(A264,-1),Employment!A:P,16,FALSE),4)</f>
        <v>1.3956999999999999</v>
      </c>
      <c r="P264" s="18">
        <f t="shared" si="146"/>
        <v>1.4066000000000001</v>
      </c>
      <c r="Q264" s="29">
        <f t="shared" si="147"/>
        <v>-8.3599999999999994E-2</v>
      </c>
      <c r="R264" s="29">
        <f t="shared" si="148"/>
        <v>-3.3E-3</v>
      </c>
      <c r="S264">
        <v>3010000</v>
      </c>
      <c r="T264" s="18">
        <f>ROUND((S264/7)/VLOOKUP(EOMONTH(A264,-1),Employment!A:P,16,FALSE),4)</f>
        <v>1.7497</v>
      </c>
      <c r="U264" s="18">
        <f t="shared" si="149"/>
        <v>1.7382</v>
      </c>
      <c r="V264" s="29">
        <f t="shared" si="150"/>
        <v>-0.1038</v>
      </c>
      <c r="W264" s="29">
        <f t="shared" si="151"/>
        <v>5.9999999999999995E-4</v>
      </c>
      <c r="X264" s="30">
        <f t="shared" si="152"/>
        <v>144.15</v>
      </c>
      <c r="Y264" s="31">
        <f t="shared" si="153"/>
        <v>144.83000000000001</v>
      </c>
    </row>
    <row r="265" spans="1:25" x14ac:dyDescent="0.25">
      <c r="A265" s="5">
        <v>41490</v>
      </c>
      <c r="B265">
        <v>1538.0646999999999</v>
      </c>
      <c r="C265" s="29">
        <f t="shared" si="157"/>
        <v>7.7999999999999996E-3</v>
      </c>
      <c r="D265">
        <v>-0.72</v>
      </c>
      <c r="E265">
        <v>-1.2589999999999999</v>
      </c>
      <c r="F265" s="18">
        <f t="shared" si="144"/>
        <v>0.49199999999999733</v>
      </c>
      <c r="G265" s="18">
        <f t="shared" si="145"/>
        <v>2.6519999999999992</v>
      </c>
      <c r="H265">
        <v>4.74</v>
      </c>
      <c r="I265">
        <v>2.68</v>
      </c>
      <c r="J265">
        <f t="shared" si="154"/>
        <v>3.71</v>
      </c>
      <c r="K265" s="6">
        <f t="shared" si="155"/>
        <v>3.68</v>
      </c>
      <c r="L265" s="6">
        <f t="shared" si="156"/>
        <v>-2.9999999999999805E-2</v>
      </c>
      <c r="M265">
        <v>4.4090684750450002</v>
      </c>
      <c r="N265">
        <v>346000</v>
      </c>
      <c r="O265" s="18">
        <f>ROUND(N265/VLOOKUP(EOMONTH(A265,-1),Employment!A:P,16,FALSE),4)</f>
        <v>1.4078999999999999</v>
      </c>
      <c r="P265" s="18">
        <f t="shared" si="146"/>
        <v>1.4104000000000001</v>
      </c>
      <c r="Q265" s="29">
        <f t="shared" si="147"/>
        <v>-8.1500000000000003E-2</v>
      </c>
      <c r="R265" s="29">
        <f t="shared" si="148"/>
        <v>-7.9000000000000008E-3</v>
      </c>
      <c r="S265">
        <v>2947000</v>
      </c>
      <c r="T265" s="18">
        <f>ROUND((S265/7)/VLOOKUP(EOMONTH(A265,-1),Employment!A:P,16,FALSE),4)</f>
        <v>1.7131000000000001</v>
      </c>
      <c r="U265" s="18">
        <f t="shared" si="149"/>
        <v>1.7585999999999999</v>
      </c>
      <c r="V265" s="29">
        <f t="shared" si="150"/>
        <v>-9.3700000000000006E-2</v>
      </c>
      <c r="W265" s="29">
        <f t="shared" si="151"/>
        <v>-8.2000000000000007E-3</v>
      </c>
      <c r="X265" s="30">
        <f t="shared" si="152"/>
        <v>145.94</v>
      </c>
      <c r="Y265" s="31">
        <f t="shared" si="153"/>
        <v>143.32</v>
      </c>
    </row>
    <row r="266" spans="1:25" x14ac:dyDescent="0.25">
      <c r="A266" s="5">
        <v>41483</v>
      </c>
      <c r="B266">
        <v>1532.7302</v>
      </c>
      <c r="C266" s="29">
        <f t="shared" si="157"/>
        <v>6.4000000000000003E-3</v>
      </c>
      <c r="D266">
        <v>-0.71</v>
      </c>
      <c r="E266">
        <v>-1.21</v>
      </c>
      <c r="F266" s="18">
        <f t="shared" si="144"/>
        <v>1.4280000000000008</v>
      </c>
      <c r="G266" s="18">
        <f t="shared" si="145"/>
        <v>2.288000000000002</v>
      </c>
      <c r="H266">
        <v>4.71</v>
      </c>
      <c r="I266">
        <v>2.67</v>
      </c>
      <c r="J266">
        <f t="shared" si="154"/>
        <v>3.69</v>
      </c>
      <c r="K266" s="6">
        <f t="shared" si="155"/>
        <v>3.71</v>
      </c>
      <c r="L266" s="6">
        <f t="shared" si="156"/>
        <v>-6.999999999999984E-2</v>
      </c>
      <c r="M266">
        <v>4.2665045712765997</v>
      </c>
      <c r="N266">
        <v>347750</v>
      </c>
      <c r="O266" s="18">
        <f>ROUND(N266/VLOOKUP(EOMONTH(A266,-1),Employment!A:P,16,FALSE),4)</f>
        <v>1.4161999999999999</v>
      </c>
      <c r="P266" s="18">
        <f t="shared" si="146"/>
        <v>1.4137999999999999</v>
      </c>
      <c r="Q266" s="29">
        <f t="shared" si="147"/>
        <v>-8.0799999999999997E-2</v>
      </c>
      <c r="R266" s="29">
        <f t="shared" si="148"/>
        <v>-7.0000000000000001E-3</v>
      </c>
      <c r="S266">
        <v>3011000</v>
      </c>
      <c r="T266" s="18">
        <f>ROUND((S266/7)/VLOOKUP(EOMONTH(A266,-1),Employment!A:P,16,FALSE),4)</f>
        <v>1.7517</v>
      </c>
      <c r="U266" s="18">
        <f t="shared" si="149"/>
        <v>1.77</v>
      </c>
      <c r="V266" s="29">
        <f t="shared" si="150"/>
        <v>-8.9399999999999993E-2</v>
      </c>
      <c r="W266" s="29">
        <f t="shared" si="151"/>
        <v>-0.01</v>
      </c>
      <c r="X266" s="30">
        <f t="shared" si="152"/>
        <v>143.76</v>
      </c>
      <c r="Y266" s="31">
        <f t="shared" si="153"/>
        <v>138.84</v>
      </c>
    </row>
    <row r="267" spans="1:25" x14ac:dyDescent="0.25">
      <c r="A267" s="5">
        <v>41476</v>
      </c>
      <c r="B267">
        <v>1523.4368999999999</v>
      </c>
      <c r="C267" s="29">
        <f t="shared" si="157"/>
        <v>5.9999999999999995E-4</v>
      </c>
      <c r="D267">
        <v>-0.7</v>
      </c>
      <c r="E267">
        <v>-1.044</v>
      </c>
      <c r="F267" s="18">
        <f t="shared" si="144"/>
        <v>0.73200000000000109</v>
      </c>
      <c r="G267" s="18">
        <f t="shared" si="145"/>
        <v>-0.26400000000000112</v>
      </c>
      <c r="H267">
        <v>4.5599999999999996</v>
      </c>
      <c r="I267">
        <v>2.74</v>
      </c>
      <c r="J267">
        <f t="shared" si="154"/>
        <v>3.65</v>
      </c>
      <c r="K267" s="6">
        <f t="shared" si="155"/>
        <v>3.78</v>
      </c>
      <c r="L267" s="6">
        <f t="shared" si="156"/>
        <v>-0.12000000000000011</v>
      </c>
      <c r="M267">
        <v>4.5093890210533001</v>
      </c>
      <c r="N267">
        <v>345500</v>
      </c>
      <c r="O267" s="18">
        <f>ROUND(N267/VLOOKUP(EOMONTH(A267,-1),Employment!A:P,16,FALSE),4)</f>
        <v>1.407</v>
      </c>
      <c r="P267" s="18">
        <f t="shared" si="146"/>
        <v>1.409</v>
      </c>
      <c r="Q267" s="29">
        <f t="shared" si="147"/>
        <v>-8.9899999999999994E-2</v>
      </c>
      <c r="R267" s="29">
        <f t="shared" si="148"/>
        <v>-2.2000000000000001E-3</v>
      </c>
      <c r="S267">
        <v>3113000</v>
      </c>
      <c r="T267" s="18">
        <f>ROUND((S267/7)/VLOOKUP(EOMONTH(A267,-1),Employment!A:P,16,FALSE),4)</f>
        <v>1.8110999999999999</v>
      </c>
      <c r="U267" s="18">
        <f t="shared" si="149"/>
        <v>1.7605</v>
      </c>
      <c r="V267" s="29">
        <f t="shared" si="150"/>
        <v>-9.5899999999999999E-2</v>
      </c>
      <c r="W267" s="29">
        <f t="shared" si="151"/>
        <v>-4.4999999999999997E-3</v>
      </c>
      <c r="X267" s="30">
        <f t="shared" si="152"/>
        <v>135.65</v>
      </c>
      <c r="Y267" s="31">
        <f t="shared" si="153"/>
        <v>135.33000000000001</v>
      </c>
    </row>
    <row r="268" spans="1:25" x14ac:dyDescent="0.25">
      <c r="A268" s="5">
        <v>41469</v>
      </c>
      <c r="B268">
        <v>1524.2683</v>
      </c>
      <c r="C268" s="29">
        <f t="shared" si="157"/>
        <v>1.9E-3</v>
      </c>
      <c r="D268">
        <v>-0.69</v>
      </c>
      <c r="E268">
        <v>-0.96499999999999997</v>
      </c>
      <c r="F268" s="18">
        <f t="shared" si="144"/>
        <v>0.12800000000000011</v>
      </c>
      <c r="G268" s="18">
        <f t="shared" si="145"/>
        <v>-1.8280000000000012</v>
      </c>
      <c r="H268">
        <v>4.8</v>
      </c>
      <c r="I268">
        <v>2.77</v>
      </c>
      <c r="J268">
        <f t="shared" si="154"/>
        <v>3.79</v>
      </c>
      <c r="K268" s="6">
        <f t="shared" si="155"/>
        <v>3.9</v>
      </c>
      <c r="L268" s="6">
        <f t="shared" si="156"/>
        <v>-6.0000000000000053E-2</v>
      </c>
      <c r="M268">
        <v>4.5885852853565998</v>
      </c>
      <c r="N268">
        <v>348250</v>
      </c>
      <c r="O268" s="18">
        <f>ROUND(N268/VLOOKUP(EOMONTH(A268,-1),Employment!A:P,16,FALSE),4)</f>
        <v>1.4181999999999999</v>
      </c>
      <c r="P268" s="18">
        <f t="shared" si="146"/>
        <v>1.4100999999999999</v>
      </c>
      <c r="Q268" s="29">
        <f t="shared" si="147"/>
        <v>-9.35E-2</v>
      </c>
      <c r="R268" s="29">
        <f t="shared" si="148"/>
        <v>4.0000000000000001E-3</v>
      </c>
      <c r="S268">
        <v>3003000</v>
      </c>
      <c r="T268" s="18">
        <f>ROUND((S268/7)/VLOOKUP(EOMONTH(A268,-1),Employment!A:P,16,FALSE),4)</f>
        <v>1.7471000000000001</v>
      </c>
      <c r="U268" s="18">
        <f t="shared" si="149"/>
        <v>1.7382</v>
      </c>
      <c r="V268" s="29">
        <f t="shared" si="150"/>
        <v>-0.1082</v>
      </c>
      <c r="W268" s="29">
        <f t="shared" si="151"/>
        <v>1.6999999999999999E-3</v>
      </c>
      <c r="X268" s="30">
        <f t="shared" si="152"/>
        <v>134.53</v>
      </c>
      <c r="Y268" s="31">
        <f t="shared" si="153"/>
        <v>135.49</v>
      </c>
    </row>
    <row r="269" spans="1:25" x14ac:dyDescent="0.25">
      <c r="A269" s="5">
        <v>41462</v>
      </c>
      <c r="B269">
        <v>1524.2330999999999</v>
      </c>
      <c r="C269" s="29">
        <f t="shared" si="157"/>
        <v>4.0000000000000001E-3</v>
      </c>
      <c r="D269">
        <v>-0.69</v>
      </c>
      <c r="E269">
        <v>-0.94899999999999995</v>
      </c>
      <c r="F269" s="18">
        <f t="shared" si="144"/>
        <v>-1.1240000000000023</v>
      </c>
      <c r="G269" s="18">
        <f t="shared" si="145"/>
        <v>-2.5520000000000014</v>
      </c>
      <c r="H269">
        <v>5.04</v>
      </c>
      <c r="I269">
        <v>2.77</v>
      </c>
      <c r="J269">
        <f t="shared" si="154"/>
        <v>3.91</v>
      </c>
      <c r="K269" s="6">
        <f t="shared" si="155"/>
        <v>3.96</v>
      </c>
      <c r="L269" s="6">
        <f t="shared" si="156"/>
        <v>-3.0000000000000249E-2</v>
      </c>
      <c r="M269">
        <v>5.2703479439591998</v>
      </c>
      <c r="N269">
        <v>344250</v>
      </c>
      <c r="O269" s="18">
        <f>ROUND(N269/VLOOKUP(EOMONTH(A269,-1),Employment!A:P,16,FALSE),4)</f>
        <v>1.4018999999999999</v>
      </c>
      <c r="P269" s="18">
        <f t="shared" si="146"/>
        <v>1.4097999999999999</v>
      </c>
      <c r="Q269" s="29">
        <f t="shared" si="147"/>
        <v>-9.9699999999999997E-2</v>
      </c>
      <c r="R269" s="29">
        <f t="shared" si="148"/>
        <v>8.6E-3</v>
      </c>
      <c r="S269">
        <v>2962000</v>
      </c>
      <c r="T269" s="18">
        <f>ROUND((S269/7)/VLOOKUP(EOMONTH(A269,-1),Employment!A:P,16,FALSE),4)</f>
        <v>1.7232000000000001</v>
      </c>
      <c r="U269" s="18">
        <f t="shared" si="149"/>
        <v>1.7388999999999999</v>
      </c>
      <c r="V269" s="29">
        <f t="shared" si="150"/>
        <v>-0.1115</v>
      </c>
      <c r="W269" s="29">
        <f t="shared" si="151"/>
        <v>1.9E-3</v>
      </c>
      <c r="X269" s="30">
        <f t="shared" si="152"/>
        <v>136.51</v>
      </c>
      <c r="Y269" s="31">
        <f t="shared" si="153"/>
        <v>135.26</v>
      </c>
    </row>
    <row r="270" spans="1:25" x14ac:dyDescent="0.25">
      <c r="A270" s="5">
        <v>41455</v>
      </c>
      <c r="B270">
        <v>1520.0404000000001</v>
      </c>
      <c r="C270" s="29">
        <f t="shared" si="157"/>
        <v>2.7000000000000001E-3</v>
      </c>
      <c r="D270">
        <v>-0.68</v>
      </c>
      <c r="E270">
        <v>-1.1020000000000001</v>
      </c>
      <c r="F270" s="18">
        <f t="shared" si="144"/>
        <v>-0.83199999999999896</v>
      </c>
      <c r="G270" s="18">
        <f t="shared" si="145"/>
        <v>-2.5239999999999991</v>
      </c>
      <c r="H270">
        <v>5.16</v>
      </c>
      <c r="I270">
        <v>2.83</v>
      </c>
      <c r="J270">
        <f t="shared" si="154"/>
        <v>4</v>
      </c>
      <c r="K270" s="6">
        <f t="shared" si="155"/>
        <v>3.99</v>
      </c>
      <c r="L270" s="6">
        <f t="shared" si="156"/>
        <v>4.0000000000000036E-2</v>
      </c>
      <c r="M270">
        <v>5.8932450976597002</v>
      </c>
      <c r="N270">
        <v>346000</v>
      </c>
      <c r="O270" s="18">
        <f>ROUND(N270/VLOOKUP(EOMONTH(A270,-1),Employment!A:P,16,FALSE),4)</f>
        <v>1.4101999999999999</v>
      </c>
      <c r="P270" s="18">
        <f t="shared" si="146"/>
        <v>1.4112</v>
      </c>
      <c r="Q270" s="29">
        <f t="shared" si="147"/>
        <v>-9.7600000000000006E-2</v>
      </c>
      <c r="R270" s="29">
        <f t="shared" si="148"/>
        <v>5.3E-3</v>
      </c>
      <c r="S270">
        <v>2996000</v>
      </c>
      <c r="T270" s="18">
        <f>ROUND((S270/7)/VLOOKUP(EOMONTH(A270,-1),Employment!A:P,16,FALSE),4)</f>
        <v>1.7444</v>
      </c>
      <c r="U270" s="18">
        <f t="shared" si="149"/>
        <v>1.7464999999999999</v>
      </c>
      <c r="V270" s="29">
        <f t="shared" si="150"/>
        <v>-0.108</v>
      </c>
      <c r="W270" s="29">
        <f t="shared" si="151"/>
        <v>2.7000000000000001E-3</v>
      </c>
      <c r="X270" s="30">
        <f t="shared" si="152"/>
        <v>135.32999999999998</v>
      </c>
      <c r="Y270" s="31">
        <f t="shared" si="153"/>
        <v>133.09</v>
      </c>
    </row>
    <row r="271" spans="1:25" x14ac:dyDescent="0.25">
      <c r="A271" s="5">
        <v>41448</v>
      </c>
      <c r="B271">
        <v>1521.7974999999999</v>
      </c>
      <c r="C271" s="29">
        <f t="shared" si="157"/>
        <v>5.4000000000000003E-3</v>
      </c>
      <c r="D271">
        <v>-0.7</v>
      </c>
      <c r="E271">
        <v>-1.181</v>
      </c>
      <c r="F271" s="18">
        <f t="shared" ref="F271:F334" si="158">(((D271*10)+(E271*8))*-1)-(((D272*10)+(E272*8))*-1)</f>
        <v>-0.59600000000000009</v>
      </c>
      <c r="G271" s="18">
        <f t="shared" ref="G271:G334" si="159">SUM(F271:F273)</f>
        <v>-2.9639999999999986</v>
      </c>
      <c r="H271">
        <v>5.09</v>
      </c>
      <c r="I271">
        <v>2.87</v>
      </c>
      <c r="J271">
        <f t="shared" si="154"/>
        <v>3.98</v>
      </c>
      <c r="K271" s="6">
        <f t="shared" si="155"/>
        <v>3.95</v>
      </c>
      <c r="L271" s="6">
        <f t="shared" si="156"/>
        <v>9.0000000000000302E-2</v>
      </c>
      <c r="M271">
        <v>6.3289879523529002</v>
      </c>
      <c r="N271">
        <v>347750</v>
      </c>
      <c r="O271" s="18">
        <f>ROUND(N271/VLOOKUP(EOMONTH(A271,-1),Employment!A:P,16,FALSE),4)</f>
        <v>1.4173</v>
      </c>
      <c r="P271" s="18">
        <f t="shared" ref="P271:P334" si="160">ROUND(AVERAGE(O271:O273),4)</f>
        <v>1.417</v>
      </c>
      <c r="Q271" s="29">
        <f t="shared" ref="Q271:Q334" si="161">ROUND((P271/P323)-1,4)</f>
        <v>-8.8999999999999996E-2</v>
      </c>
      <c r="R271" s="29">
        <f t="shared" ref="R271:R334" si="162">ROUND(AVERAGE(Q271:Q272)-AVERAGE(Q271:Q275),4)*-1</f>
        <v>-2.0999999999999999E-3</v>
      </c>
      <c r="S271">
        <v>3004000</v>
      </c>
      <c r="T271" s="18">
        <f>ROUND((S271/7)/VLOOKUP(EOMONTH(A271,-1),Employment!A:P,16,FALSE),4)</f>
        <v>1.7490000000000001</v>
      </c>
      <c r="U271" s="18">
        <f t="shared" ref="U271:U334" si="163">ROUND(AVERAGE(T271:T273),4)</f>
        <v>1.7496</v>
      </c>
      <c r="V271" s="29">
        <f t="shared" ref="V271:V334" si="164">ROUND((U271/U323)-1,4)</f>
        <v>-0.10920000000000001</v>
      </c>
      <c r="W271" s="29">
        <f t="shared" ref="W271:W334" si="165">ROUND(AVERAGE(V271:V272)-AVERAGE(V271:V275),4)*-1</f>
        <v>2.3E-3</v>
      </c>
      <c r="X271" s="30">
        <f t="shared" ref="X271:X334" si="166">IF(ROUND((C271*500)-(D271*10)-(E271*8)+(M271*1.2)-(P271*23)-(Q271*10)+(R271*600)-(U271*2)-(V271*5)+(W271*100)-(K271*5)-(L271*5)+(G271*3),2)+170&lt;0,0,ROUND((C271*500)-(D271*10)-(E271*8)+(M271*1.2)-(P271*23)-(Q271*10)+(R271*600)-(U271*2)-(V271*5)+(W271*100)-(K271*5)-(L271*5)+(G271*3),2)+170)</f>
        <v>131.97</v>
      </c>
      <c r="Y271" s="31">
        <f t="shared" ref="Y271:Y334" si="167">ROUND(AVERAGE(AVERAGE(X271:X272),AVERAGE(X271:X273)),2)</f>
        <v>131.21</v>
      </c>
    </row>
    <row r="272" spans="1:25" x14ac:dyDescent="0.25">
      <c r="A272" s="5">
        <v>41441</v>
      </c>
      <c r="B272">
        <v>1519.7282</v>
      </c>
      <c r="C272" s="29">
        <f t="shared" si="157"/>
        <v>6.6E-3</v>
      </c>
      <c r="D272">
        <v>-0.71</v>
      </c>
      <c r="E272">
        <v>-1.2430000000000001</v>
      </c>
      <c r="F272" s="18">
        <f t="shared" si="158"/>
        <v>-1.0960000000000001</v>
      </c>
      <c r="G272" s="18">
        <f t="shared" si="159"/>
        <v>-2.8919999999999995</v>
      </c>
      <c r="H272">
        <v>5.04</v>
      </c>
      <c r="I272">
        <v>2.93</v>
      </c>
      <c r="J272">
        <f t="shared" ref="J272:J335" si="168">ROUND(AVERAGE(H272:I272),2)</f>
        <v>3.99</v>
      </c>
      <c r="K272" s="6">
        <f t="shared" ref="K272:K335" si="169">ROUND(AVERAGE(J272:J274),2)</f>
        <v>3.86</v>
      </c>
      <c r="L272" s="6">
        <f t="shared" ref="L272:L335" si="170">K272-K273</f>
        <v>0.12999999999999989</v>
      </c>
      <c r="M272">
        <v>6.7462480085431</v>
      </c>
      <c r="N272">
        <v>345000</v>
      </c>
      <c r="O272" s="18">
        <f>ROUND(N272/VLOOKUP(EOMONTH(A272,-1),Employment!A:P,16,FALSE),4)</f>
        <v>1.4060999999999999</v>
      </c>
      <c r="P272" s="18">
        <f t="shared" si="160"/>
        <v>1.4162999999999999</v>
      </c>
      <c r="Q272" s="29">
        <f t="shared" si="161"/>
        <v>-8.3199999999999996E-2</v>
      </c>
      <c r="R272" s="29">
        <f t="shared" si="162"/>
        <v>-8.8000000000000005E-3</v>
      </c>
      <c r="S272">
        <v>2999000</v>
      </c>
      <c r="T272" s="18">
        <f>ROUND((S272/7)/VLOOKUP(EOMONTH(A272,-1),Employment!A:P,16,FALSE),4)</f>
        <v>1.7461</v>
      </c>
      <c r="U272" s="18">
        <f t="shared" si="163"/>
        <v>1.7526999999999999</v>
      </c>
      <c r="V272" s="29">
        <f t="shared" si="164"/>
        <v>-0.1038</v>
      </c>
      <c r="W272" s="29">
        <f t="shared" si="165"/>
        <v>4.5999999999999999E-3</v>
      </c>
      <c r="X272" s="30">
        <f t="shared" si="166"/>
        <v>130.26</v>
      </c>
      <c r="Y272" s="31">
        <f t="shared" si="167"/>
        <v>133.29</v>
      </c>
    </row>
    <row r="273" spans="1:25" x14ac:dyDescent="0.25">
      <c r="A273" s="5">
        <v>41434</v>
      </c>
      <c r="B273">
        <v>1511.1302000000001</v>
      </c>
      <c r="C273" s="29">
        <f t="shared" si="157"/>
        <v>6.9999999999999999E-4</v>
      </c>
      <c r="D273">
        <v>-0.73</v>
      </c>
      <c r="E273">
        <v>-1.355</v>
      </c>
      <c r="F273" s="18">
        <f t="shared" si="158"/>
        <v>-1.2719999999999985</v>
      </c>
      <c r="G273" s="18">
        <f t="shared" si="159"/>
        <v>-2.3639999999999972</v>
      </c>
      <c r="H273">
        <v>4.8899999999999997</v>
      </c>
      <c r="I273">
        <v>2.89</v>
      </c>
      <c r="J273">
        <f t="shared" si="168"/>
        <v>3.89</v>
      </c>
      <c r="K273" s="6">
        <f t="shared" si="169"/>
        <v>3.73</v>
      </c>
      <c r="L273" s="6">
        <f t="shared" si="170"/>
        <v>0.10000000000000009</v>
      </c>
      <c r="M273">
        <v>6.6636608065698004</v>
      </c>
      <c r="N273">
        <v>350250</v>
      </c>
      <c r="O273" s="18">
        <f>ROUND(N273/VLOOKUP(EOMONTH(A273,-1),Employment!A:P,16,FALSE),4)</f>
        <v>1.4275</v>
      </c>
      <c r="P273" s="18">
        <f t="shared" si="160"/>
        <v>1.4116</v>
      </c>
      <c r="Q273" s="29">
        <f t="shared" si="161"/>
        <v>-8.09E-2</v>
      </c>
      <c r="R273" s="29">
        <f t="shared" si="162"/>
        <v>-7.4000000000000003E-3</v>
      </c>
      <c r="S273">
        <v>3012000</v>
      </c>
      <c r="T273" s="18">
        <f>ROUND((S273/7)/VLOOKUP(EOMONTH(A273,-1),Employment!A:P,16,FALSE),4)</f>
        <v>1.7537</v>
      </c>
      <c r="U273" s="18">
        <f t="shared" si="163"/>
        <v>1.7484999999999999</v>
      </c>
      <c r="V273" s="29">
        <f t="shared" si="164"/>
        <v>-0.1069</v>
      </c>
      <c r="W273" s="29">
        <f t="shared" si="165"/>
        <v>4.7999999999999996E-3</v>
      </c>
      <c r="X273" s="30">
        <f t="shared" si="166"/>
        <v>131.66</v>
      </c>
      <c r="Y273" s="31">
        <f t="shared" si="167"/>
        <v>141.63</v>
      </c>
    </row>
    <row r="274" spans="1:25" x14ac:dyDescent="0.25">
      <c r="A274" s="5">
        <v>41427</v>
      </c>
      <c r="B274">
        <v>1511.2554</v>
      </c>
      <c r="C274" s="29">
        <f t="shared" ref="C274:C337" si="171">ROUND((B274-AVERAGE(B275:B278))/AVERAGE(B275:B278),4)</f>
        <v>1.5E-3</v>
      </c>
      <c r="D274">
        <v>-0.75</v>
      </c>
      <c r="E274">
        <v>-1.4890000000000001</v>
      </c>
      <c r="F274" s="18">
        <f t="shared" si="158"/>
        <v>-0.52400000000000091</v>
      </c>
      <c r="G274" s="18">
        <f t="shared" si="159"/>
        <v>-1.1240000000000023</v>
      </c>
      <c r="H274">
        <v>4.62</v>
      </c>
      <c r="I274">
        <v>2.79</v>
      </c>
      <c r="J274">
        <f t="shared" si="168"/>
        <v>3.71</v>
      </c>
      <c r="K274" s="6">
        <f t="shared" si="169"/>
        <v>3.63</v>
      </c>
      <c r="L274" s="6">
        <f t="shared" si="170"/>
        <v>6.0000000000000053E-2</v>
      </c>
      <c r="M274">
        <v>6.8263342746101996</v>
      </c>
      <c r="N274">
        <v>347250</v>
      </c>
      <c r="O274" s="18">
        <f>ROUND(N274/VLOOKUP(EOMONTH(A274,-1),Employment!A:P,16,FALSE),4)</f>
        <v>1.4153</v>
      </c>
      <c r="P274" s="18">
        <f t="shared" si="160"/>
        <v>1.4004000000000001</v>
      </c>
      <c r="Q274" s="29">
        <f t="shared" si="161"/>
        <v>-8.9099999999999999E-2</v>
      </c>
      <c r="R274" s="29">
        <f t="shared" si="162"/>
        <v>4.0000000000000001E-3</v>
      </c>
      <c r="S274">
        <v>3020000</v>
      </c>
      <c r="T274" s="18">
        <f>ROUND((S274/7)/VLOOKUP(EOMONTH(A274,-1),Employment!A:P,16,FALSE),4)</f>
        <v>1.7583</v>
      </c>
      <c r="U274" s="18">
        <f t="shared" si="163"/>
        <v>1.7547999999999999</v>
      </c>
      <c r="V274" s="29">
        <f t="shared" si="164"/>
        <v>-0.1016</v>
      </c>
      <c r="W274" s="29">
        <f t="shared" si="165"/>
        <v>3.3E-3</v>
      </c>
      <c r="X274" s="30">
        <f t="shared" si="166"/>
        <v>144.94</v>
      </c>
      <c r="Y274" s="31">
        <f t="shared" si="167"/>
        <v>153.80000000000001</v>
      </c>
    </row>
    <row r="275" spans="1:25" x14ac:dyDescent="0.25">
      <c r="A275" s="5">
        <v>41420</v>
      </c>
      <c r="B275">
        <v>1512.4303</v>
      </c>
      <c r="C275" s="29">
        <f t="shared" si="171"/>
        <v>3.0000000000000001E-3</v>
      </c>
      <c r="D275">
        <v>-0.76</v>
      </c>
      <c r="E275">
        <v>-1.542</v>
      </c>
      <c r="F275" s="18">
        <f t="shared" si="158"/>
        <v>-0.56799999999999784</v>
      </c>
      <c r="G275" s="18">
        <f t="shared" si="159"/>
        <v>-0.42399999999999949</v>
      </c>
      <c r="H275">
        <v>4.45</v>
      </c>
      <c r="I275">
        <v>2.75</v>
      </c>
      <c r="J275">
        <f t="shared" si="168"/>
        <v>3.6</v>
      </c>
      <c r="K275" s="6">
        <f t="shared" si="169"/>
        <v>3.57</v>
      </c>
      <c r="L275" s="6">
        <f t="shared" si="170"/>
        <v>0</v>
      </c>
      <c r="M275">
        <v>7.0020195730922996</v>
      </c>
      <c r="N275">
        <v>341250</v>
      </c>
      <c r="O275" s="18">
        <f>ROUND(N275/VLOOKUP(EOMONTH(A275,-1),Employment!A:P,16,FALSE),4)</f>
        <v>1.3918999999999999</v>
      </c>
      <c r="P275" s="18">
        <f t="shared" si="160"/>
        <v>1.3918999999999999</v>
      </c>
      <c r="Q275" s="29">
        <f t="shared" si="161"/>
        <v>-9.8599999999999993E-2</v>
      </c>
      <c r="R275" s="29">
        <f t="shared" si="162"/>
        <v>1.9099999999999999E-2</v>
      </c>
      <c r="S275">
        <v>2975000</v>
      </c>
      <c r="T275" s="18">
        <f>ROUND((S275/7)/VLOOKUP(EOMONTH(A275,-1),Employment!A:P,16,FALSE),4)</f>
        <v>1.7335</v>
      </c>
      <c r="U275" s="18">
        <f t="shared" si="163"/>
        <v>1.7588999999999999</v>
      </c>
      <c r="V275" s="29">
        <f t="shared" si="164"/>
        <v>-9.9299999999999999E-2</v>
      </c>
      <c r="W275" s="29">
        <f t="shared" si="165"/>
        <v>1.4E-3</v>
      </c>
      <c r="X275" s="30">
        <f t="shared" si="166"/>
        <v>158.27000000000001</v>
      </c>
      <c r="Y275" s="31">
        <f t="shared" si="167"/>
        <v>161.79</v>
      </c>
    </row>
    <row r="276" spans="1:25" x14ac:dyDescent="0.25">
      <c r="A276" s="5">
        <v>41413</v>
      </c>
      <c r="B276">
        <v>1504.4305999999999</v>
      </c>
      <c r="C276" s="29">
        <f t="shared" si="171"/>
        <v>-2.2000000000000001E-3</v>
      </c>
      <c r="D276">
        <v>-0.76</v>
      </c>
      <c r="E276">
        <v>-1.613</v>
      </c>
      <c r="F276" s="18">
        <f t="shared" si="158"/>
        <v>-3.2000000000003581E-2</v>
      </c>
      <c r="G276" s="18">
        <f t="shared" si="159"/>
        <v>0.59999999999999787</v>
      </c>
      <c r="H276">
        <v>4.37</v>
      </c>
      <c r="I276">
        <v>2.81</v>
      </c>
      <c r="J276">
        <f t="shared" si="168"/>
        <v>3.59</v>
      </c>
      <c r="K276" s="6">
        <f t="shared" si="169"/>
        <v>3.57</v>
      </c>
      <c r="L276" s="6">
        <f t="shared" si="170"/>
        <v>-4.0000000000000036E-2</v>
      </c>
      <c r="M276">
        <v>7.1300217375938999</v>
      </c>
      <c r="N276">
        <v>341750</v>
      </c>
      <c r="O276" s="18">
        <f>ROUND(N276/VLOOKUP(EOMONTH(A276,-1),Employment!A:P,16,FALSE),4)</f>
        <v>1.3938999999999999</v>
      </c>
      <c r="P276" s="18">
        <f t="shared" si="160"/>
        <v>1.399</v>
      </c>
      <c r="Q276" s="29">
        <f t="shared" si="161"/>
        <v>-0.10249999999999999</v>
      </c>
      <c r="R276" s="29">
        <f t="shared" si="162"/>
        <v>2.76E-2</v>
      </c>
      <c r="S276">
        <v>3042000</v>
      </c>
      <c r="T276" s="18">
        <f>ROUND((S276/7)/VLOOKUP(EOMONTH(A276,-1),Employment!A:P,16,FALSE),4)</f>
        <v>1.7725</v>
      </c>
      <c r="U276" s="18">
        <f t="shared" si="163"/>
        <v>1.7689999999999999</v>
      </c>
      <c r="V276" s="29">
        <f t="shared" si="164"/>
        <v>-9.2399999999999996E-2</v>
      </c>
      <c r="W276" s="29">
        <f t="shared" si="165"/>
        <v>3.3E-3</v>
      </c>
      <c r="X276" s="30">
        <f t="shared" si="166"/>
        <v>164.77</v>
      </c>
      <c r="Y276" s="31">
        <f t="shared" si="167"/>
        <v>161.68</v>
      </c>
    </row>
    <row r="277" spans="1:25" x14ac:dyDescent="0.25">
      <c r="A277" s="5">
        <v>41406</v>
      </c>
      <c r="B277">
        <v>1511.921</v>
      </c>
      <c r="C277" s="29">
        <f t="shared" si="171"/>
        <v>4.1000000000000003E-3</v>
      </c>
      <c r="D277">
        <v>-0.76</v>
      </c>
      <c r="E277">
        <v>-1.617</v>
      </c>
      <c r="F277" s="18">
        <f t="shared" si="158"/>
        <v>0.17600000000000193</v>
      </c>
      <c r="G277" s="18">
        <f t="shared" si="159"/>
        <v>0.18800000000000239</v>
      </c>
      <c r="H277">
        <v>4.2300000000000004</v>
      </c>
      <c r="I277">
        <v>2.82</v>
      </c>
      <c r="J277">
        <f t="shared" si="168"/>
        <v>3.53</v>
      </c>
      <c r="K277" s="6">
        <f t="shared" si="169"/>
        <v>3.61</v>
      </c>
      <c r="L277" s="6">
        <f t="shared" si="170"/>
        <v>-9.0000000000000302E-2</v>
      </c>
      <c r="M277">
        <v>7.4873406824366002</v>
      </c>
      <c r="N277">
        <v>340750</v>
      </c>
      <c r="O277" s="18">
        <f>ROUND(N277/VLOOKUP(EOMONTH(A277,-1),Employment!A:P,16,FALSE),4)</f>
        <v>1.3897999999999999</v>
      </c>
      <c r="P277" s="18">
        <f t="shared" si="160"/>
        <v>1.4208000000000001</v>
      </c>
      <c r="Q277" s="29">
        <f t="shared" si="161"/>
        <v>-9.11E-2</v>
      </c>
      <c r="R277" s="29">
        <f t="shared" si="162"/>
        <v>2.1499999999999998E-2</v>
      </c>
      <c r="S277">
        <v>3039000</v>
      </c>
      <c r="T277" s="18">
        <f>ROUND((S277/7)/VLOOKUP(EOMONTH(A277,-1),Employment!A:P,16,FALSE),4)</f>
        <v>1.7706999999999999</v>
      </c>
      <c r="U277" s="18">
        <f t="shared" si="163"/>
        <v>1.7659</v>
      </c>
      <c r="V277" s="29">
        <f t="shared" si="164"/>
        <v>-9.69E-2</v>
      </c>
      <c r="W277" s="29">
        <f t="shared" si="165"/>
        <v>5.4000000000000003E-3</v>
      </c>
      <c r="X277" s="30">
        <f t="shared" si="166"/>
        <v>163.16</v>
      </c>
      <c r="Y277" s="31">
        <f t="shared" si="167"/>
        <v>153.38999999999999</v>
      </c>
    </row>
    <row r="278" spans="1:25" x14ac:dyDescent="0.25">
      <c r="A278" s="5">
        <v>41399</v>
      </c>
      <c r="B278">
        <v>1506.9974</v>
      </c>
      <c r="C278" s="29">
        <f t="shared" si="171"/>
        <v>1.1000000000000001E-3</v>
      </c>
      <c r="D278">
        <v>-0.76</v>
      </c>
      <c r="E278">
        <v>-1.595</v>
      </c>
      <c r="F278" s="18">
        <f t="shared" si="158"/>
        <v>0.45599999999999952</v>
      </c>
      <c r="G278" s="18">
        <f t="shared" si="159"/>
        <v>0.51599999999999824</v>
      </c>
      <c r="H278">
        <v>4.33</v>
      </c>
      <c r="I278">
        <v>2.82</v>
      </c>
      <c r="J278">
        <f t="shared" si="168"/>
        <v>3.58</v>
      </c>
      <c r="K278" s="6">
        <f t="shared" si="169"/>
        <v>3.7</v>
      </c>
      <c r="L278" s="6">
        <f t="shared" si="170"/>
        <v>-6.999999999999984E-2</v>
      </c>
      <c r="M278">
        <v>7.3707317641921</v>
      </c>
      <c r="N278">
        <v>346500</v>
      </c>
      <c r="O278" s="18">
        <f>ROUND(N278/VLOOKUP(EOMONTH(A278,-1),Employment!A:P,16,FALSE),4)</f>
        <v>1.4133</v>
      </c>
      <c r="P278" s="18">
        <f t="shared" si="160"/>
        <v>1.4493</v>
      </c>
      <c r="Q278" s="29">
        <f t="shared" si="161"/>
        <v>-6.8199999999999997E-2</v>
      </c>
      <c r="R278" s="29">
        <f t="shared" si="162"/>
        <v>4.7000000000000002E-3</v>
      </c>
      <c r="S278">
        <v>3027000</v>
      </c>
      <c r="T278" s="18">
        <f>ROUND((S278/7)/VLOOKUP(EOMONTH(A278,-1),Employment!A:P,16,FALSE),4)</f>
        <v>1.7638</v>
      </c>
      <c r="U278" s="18">
        <f t="shared" si="163"/>
        <v>1.7736000000000001</v>
      </c>
      <c r="V278" s="29">
        <f t="shared" si="164"/>
        <v>-9.5799999999999996E-2</v>
      </c>
      <c r="W278" s="29">
        <f t="shared" si="165"/>
        <v>0</v>
      </c>
      <c r="X278" s="30">
        <f t="shared" si="166"/>
        <v>150.25</v>
      </c>
      <c r="Y278" s="31">
        <f t="shared" si="167"/>
        <v>142.21</v>
      </c>
    </row>
    <row r="279" spans="1:25" x14ac:dyDescent="0.25">
      <c r="A279" s="5">
        <v>41392</v>
      </c>
      <c r="B279">
        <v>1508.1840999999999</v>
      </c>
      <c r="C279" s="29">
        <f t="shared" si="171"/>
        <v>3.8E-3</v>
      </c>
      <c r="D279">
        <v>-0.76</v>
      </c>
      <c r="E279">
        <v>-1.538</v>
      </c>
      <c r="F279" s="18">
        <f t="shared" si="158"/>
        <v>-0.44399999999999906</v>
      </c>
      <c r="G279" s="18">
        <f t="shared" si="159"/>
        <v>-0.18400000000000105</v>
      </c>
      <c r="H279">
        <v>4.5999999999999996</v>
      </c>
      <c r="I279">
        <v>2.81</v>
      </c>
      <c r="J279">
        <f t="shared" si="168"/>
        <v>3.71</v>
      </c>
      <c r="K279" s="6">
        <f t="shared" si="169"/>
        <v>3.77</v>
      </c>
      <c r="L279" s="6">
        <f t="shared" si="170"/>
        <v>-6.0000000000000053E-2</v>
      </c>
      <c r="M279">
        <v>7.1257209570526996</v>
      </c>
      <c r="N279">
        <v>357500</v>
      </c>
      <c r="O279" s="18">
        <f>ROUND(N279/VLOOKUP(EOMONTH(A279,-1),Employment!A:P,16,FALSE),4)</f>
        <v>1.4592000000000001</v>
      </c>
      <c r="P279" s="18">
        <f t="shared" si="160"/>
        <v>1.4662999999999999</v>
      </c>
      <c r="Q279" s="29">
        <f t="shared" si="161"/>
        <v>-4.6699999999999998E-2</v>
      </c>
      <c r="R279" s="29">
        <f t="shared" si="162"/>
        <v>-1.2E-2</v>
      </c>
      <c r="S279">
        <v>3024000</v>
      </c>
      <c r="T279" s="18">
        <f>ROUND((S279/7)/VLOOKUP(EOMONTH(A279,-1),Employment!A:P,16,FALSE),4)</f>
        <v>1.7633000000000001</v>
      </c>
      <c r="U279" s="18">
        <f t="shared" si="163"/>
        <v>1.7843</v>
      </c>
      <c r="V279" s="29">
        <f t="shared" si="164"/>
        <v>-8.7900000000000006E-2</v>
      </c>
      <c r="W279" s="29">
        <f t="shared" si="165"/>
        <v>-8.3999999999999995E-3</v>
      </c>
      <c r="X279" s="30">
        <f t="shared" si="166"/>
        <v>136.82999999999998</v>
      </c>
      <c r="Y279" s="31">
        <f t="shared" si="167"/>
        <v>136.74</v>
      </c>
    </row>
    <row r="280" spans="1:25" x14ac:dyDescent="0.25">
      <c r="A280" s="5">
        <v>41385</v>
      </c>
      <c r="B280">
        <v>1504.1451999999999</v>
      </c>
      <c r="C280" s="29">
        <f t="shared" si="171"/>
        <v>2.2000000000000001E-3</v>
      </c>
      <c r="D280">
        <v>-0.77</v>
      </c>
      <c r="E280">
        <v>-1.581</v>
      </c>
      <c r="F280" s="18">
        <f t="shared" si="158"/>
        <v>0.50399999999999778</v>
      </c>
      <c r="G280" s="18">
        <f t="shared" si="159"/>
        <v>0.70799999999999841</v>
      </c>
      <c r="H280">
        <v>4.78</v>
      </c>
      <c r="I280">
        <v>2.81</v>
      </c>
      <c r="J280">
        <f t="shared" si="168"/>
        <v>3.8</v>
      </c>
      <c r="K280" s="6">
        <f t="shared" si="169"/>
        <v>3.83</v>
      </c>
      <c r="L280" s="6">
        <f t="shared" si="170"/>
        <v>-2.0000000000000018E-2</v>
      </c>
      <c r="M280">
        <v>7.0521503338905003</v>
      </c>
      <c r="N280">
        <v>361500</v>
      </c>
      <c r="O280" s="18">
        <f>ROUND(N280/VLOOKUP(EOMONTH(A280,-1),Employment!A:P,16,FALSE),4)</f>
        <v>1.4755</v>
      </c>
      <c r="P280" s="18">
        <f t="shared" si="160"/>
        <v>1.4625999999999999</v>
      </c>
      <c r="Q280" s="29">
        <f t="shared" si="161"/>
        <v>-3.73E-2</v>
      </c>
      <c r="R280" s="29">
        <f t="shared" si="162"/>
        <v>-1.6400000000000001E-2</v>
      </c>
      <c r="S280">
        <v>3076000</v>
      </c>
      <c r="T280" s="18">
        <f>ROUND((S280/7)/VLOOKUP(EOMONTH(A280,-1),Employment!A:P,16,FALSE),4)</f>
        <v>1.7936000000000001</v>
      </c>
      <c r="U280" s="18">
        <f t="shared" si="163"/>
        <v>1.7886</v>
      </c>
      <c r="V280" s="29">
        <f t="shared" si="164"/>
        <v>-8.3900000000000002E-2</v>
      </c>
      <c r="W280" s="29">
        <f t="shared" si="165"/>
        <v>-1.1900000000000001E-2</v>
      </c>
      <c r="X280" s="30">
        <f t="shared" si="166"/>
        <v>135.53</v>
      </c>
      <c r="Y280" s="31">
        <f t="shared" si="167"/>
        <v>140.13999999999999</v>
      </c>
    </row>
    <row r="281" spans="1:25" x14ac:dyDescent="0.25">
      <c r="A281" s="5">
        <v>41378</v>
      </c>
      <c r="B281">
        <v>1503.7936</v>
      </c>
      <c r="C281" s="29">
        <f t="shared" si="171"/>
        <v>3.2000000000000002E-3</v>
      </c>
      <c r="D281">
        <v>-0.77</v>
      </c>
      <c r="E281">
        <v>-1.518</v>
      </c>
      <c r="F281" s="18">
        <f t="shared" si="158"/>
        <v>-0.24399999999999977</v>
      </c>
      <c r="G281" s="18">
        <f t="shared" si="159"/>
        <v>-7.9999999999998295E-2</v>
      </c>
      <c r="H281">
        <v>4.75</v>
      </c>
      <c r="I281">
        <v>2.82</v>
      </c>
      <c r="J281">
        <f t="shared" si="168"/>
        <v>3.79</v>
      </c>
      <c r="K281" s="6">
        <f t="shared" si="169"/>
        <v>3.85</v>
      </c>
      <c r="L281" s="6">
        <f t="shared" si="170"/>
        <v>-2.0000000000000018E-2</v>
      </c>
      <c r="M281">
        <v>6.8765755032640001</v>
      </c>
      <c r="N281">
        <v>358750</v>
      </c>
      <c r="O281" s="18">
        <f>ROUND(N281/VLOOKUP(EOMONTH(A281,-1),Employment!A:P,16,FALSE),4)</f>
        <v>1.4642999999999999</v>
      </c>
      <c r="P281" s="18">
        <f t="shared" si="160"/>
        <v>1.4421999999999999</v>
      </c>
      <c r="Q281" s="29">
        <f t="shared" si="161"/>
        <v>-4.7699999999999999E-2</v>
      </c>
      <c r="R281" s="29">
        <f t="shared" si="162"/>
        <v>-6.7999999999999996E-3</v>
      </c>
      <c r="S281">
        <v>3080000</v>
      </c>
      <c r="T281" s="18">
        <f>ROUND((S281/7)/VLOOKUP(EOMONTH(A281,-1),Employment!A:P,16,FALSE),4)</f>
        <v>1.796</v>
      </c>
      <c r="U281" s="18">
        <f t="shared" si="163"/>
        <v>1.7796000000000001</v>
      </c>
      <c r="V281" s="29">
        <f t="shared" si="164"/>
        <v>-9.01E-2</v>
      </c>
      <c r="W281" s="29">
        <f t="shared" si="165"/>
        <v>-8.6999999999999994E-3</v>
      </c>
      <c r="X281" s="30">
        <f t="shared" si="166"/>
        <v>139.55000000000001</v>
      </c>
      <c r="Y281" s="31">
        <f t="shared" si="167"/>
        <v>147.99</v>
      </c>
    </row>
    <row r="282" spans="1:25" x14ac:dyDescent="0.25">
      <c r="A282" s="5">
        <v>41371</v>
      </c>
      <c r="B282">
        <v>1505.4483</v>
      </c>
      <c r="C282" s="29">
        <f t="shared" si="171"/>
        <v>6.6E-3</v>
      </c>
      <c r="D282">
        <v>-0.78</v>
      </c>
      <c r="E282">
        <v>-1.536</v>
      </c>
      <c r="F282" s="18">
        <f t="shared" si="158"/>
        <v>0.4480000000000004</v>
      </c>
      <c r="G282" s="18">
        <f t="shared" si="159"/>
        <v>0.62800000000000011</v>
      </c>
      <c r="H282">
        <v>4.95</v>
      </c>
      <c r="I282">
        <v>2.82</v>
      </c>
      <c r="J282">
        <f t="shared" si="168"/>
        <v>3.89</v>
      </c>
      <c r="K282" s="6">
        <f t="shared" si="169"/>
        <v>3.87</v>
      </c>
      <c r="L282" s="6">
        <f t="shared" si="170"/>
        <v>3.0000000000000249E-2</v>
      </c>
      <c r="M282">
        <v>6.9056443254322</v>
      </c>
      <c r="N282">
        <v>354750</v>
      </c>
      <c r="O282" s="18">
        <f>ROUND(N282/VLOOKUP(EOMONTH(A282,-1),Employment!A:P,16,FALSE),4)</f>
        <v>1.448</v>
      </c>
      <c r="P282" s="18">
        <f t="shared" si="160"/>
        <v>1.4179999999999999</v>
      </c>
      <c r="Q282" s="29">
        <f t="shared" si="161"/>
        <v>-6.4100000000000004E-2</v>
      </c>
      <c r="R282" s="29">
        <f t="shared" si="162"/>
        <v>7.3000000000000001E-3</v>
      </c>
      <c r="S282">
        <v>3046000</v>
      </c>
      <c r="T282" s="18">
        <f>ROUND((S282/7)/VLOOKUP(EOMONTH(A282,-1),Employment!A:P,16,FALSE),4)</f>
        <v>1.7761</v>
      </c>
      <c r="U282" s="18">
        <f t="shared" si="163"/>
        <v>1.7690999999999999</v>
      </c>
      <c r="V282" s="29">
        <f t="shared" si="164"/>
        <v>-0.1017</v>
      </c>
      <c r="W282" s="29">
        <f t="shared" si="165"/>
        <v>-2.8E-3</v>
      </c>
      <c r="X282" s="30">
        <f t="shared" si="166"/>
        <v>153.16</v>
      </c>
      <c r="Y282" s="31">
        <f t="shared" si="167"/>
        <v>154.84</v>
      </c>
    </row>
    <row r="283" spans="1:25" x14ac:dyDescent="0.25">
      <c r="A283" s="5">
        <v>41364</v>
      </c>
      <c r="B283">
        <v>1496.7037</v>
      </c>
      <c r="C283" s="29">
        <f t="shared" si="171"/>
        <v>1.5E-3</v>
      </c>
      <c r="D283">
        <v>-0.76</v>
      </c>
      <c r="E283">
        <v>-1.5049999999999999</v>
      </c>
      <c r="F283" s="18">
        <f t="shared" si="158"/>
        <v>-0.28399999999999892</v>
      </c>
      <c r="G283" s="18">
        <f t="shared" si="159"/>
        <v>0.65200000000000102</v>
      </c>
      <c r="H283">
        <v>4.8</v>
      </c>
      <c r="I283">
        <v>2.96</v>
      </c>
      <c r="J283">
        <f t="shared" si="168"/>
        <v>3.88</v>
      </c>
      <c r="K283" s="6">
        <f t="shared" si="169"/>
        <v>3.84</v>
      </c>
      <c r="L283" s="6">
        <f t="shared" si="170"/>
        <v>2.0000000000000018E-2</v>
      </c>
      <c r="M283">
        <v>7.0402678080907002</v>
      </c>
      <c r="N283">
        <v>346250</v>
      </c>
      <c r="O283" s="18">
        <f>ROUND(N283/VLOOKUP(EOMONTH(A283,-1),Employment!A:P,16,FALSE),4)</f>
        <v>1.4142999999999999</v>
      </c>
      <c r="P283" s="18">
        <f t="shared" si="160"/>
        <v>1.4060999999999999</v>
      </c>
      <c r="Q283" s="29">
        <f t="shared" si="161"/>
        <v>-7.4300000000000005E-2</v>
      </c>
      <c r="R283" s="29">
        <f t="shared" si="162"/>
        <v>1.5100000000000001E-2</v>
      </c>
      <c r="S283">
        <v>3028000</v>
      </c>
      <c r="T283" s="18">
        <f>ROUND((S283/7)/VLOOKUP(EOMONTH(A283,-1),Employment!A:P,16,FALSE),4)</f>
        <v>1.7667999999999999</v>
      </c>
      <c r="U283" s="18">
        <f t="shared" si="163"/>
        <v>1.7626999999999999</v>
      </c>
      <c r="V283" s="29">
        <f t="shared" si="164"/>
        <v>-0.1079</v>
      </c>
      <c r="W283" s="29">
        <f t="shared" si="165"/>
        <v>1.8E-3</v>
      </c>
      <c r="X283" s="30">
        <f t="shared" si="166"/>
        <v>156.15</v>
      </c>
      <c r="Y283" s="31">
        <f t="shared" si="167"/>
        <v>154.31</v>
      </c>
    </row>
    <row r="284" spans="1:25" x14ac:dyDescent="0.25">
      <c r="A284" s="5">
        <v>41357</v>
      </c>
      <c r="B284">
        <v>1497.5377000000001</v>
      </c>
      <c r="C284" s="29">
        <f t="shared" si="171"/>
        <v>3.3999999999999998E-3</v>
      </c>
      <c r="D284">
        <v>-0.75</v>
      </c>
      <c r="E284">
        <v>-1.5529999999999999</v>
      </c>
      <c r="F284" s="18">
        <f t="shared" si="158"/>
        <v>0.46399999999999864</v>
      </c>
      <c r="G284" s="18">
        <f t="shared" si="159"/>
        <v>0.83200000000000074</v>
      </c>
      <c r="H284">
        <v>4.78</v>
      </c>
      <c r="I284">
        <v>2.9</v>
      </c>
      <c r="J284">
        <f t="shared" si="168"/>
        <v>3.84</v>
      </c>
      <c r="K284" s="6">
        <f t="shared" si="169"/>
        <v>3.82</v>
      </c>
      <c r="L284" s="6">
        <f t="shared" si="170"/>
        <v>-4.0000000000000036E-2</v>
      </c>
      <c r="M284">
        <v>6.7250166033168002</v>
      </c>
      <c r="N284">
        <v>340750</v>
      </c>
      <c r="O284" s="18">
        <f>ROUND(N284/VLOOKUP(EOMONTH(A284,-1),Employment!A:P,16,FALSE),4)</f>
        <v>1.3917999999999999</v>
      </c>
      <c r="P284" s="18">
        <f t="shared" si="160"/>
        <v>1.4064000000000001</v>
      </c>
      <c r="Q284" s="29">
        <f t="shared" si="161"/>
        <v>-7.1199999999999999E-2</v>
      </c>
      <c r="R284" s="29">
        <f t="shared" si="162"/>
        <v>1.0800000000000001E-2</v>
      </c>
      <c r="S284">
        <v>3024000</v>
      </c>
      <c r="T284" s="18">
        <f>ROUND((S284/7)/VLOOKUP(EOMONTH(A284,-1),Employment!A:P,16,FALSE),4)</f>
        <v>1.7645</v>
      </c>
      <c r="U284" s="18">
        <f t="shared" si="163"/>
        <v>1.7657</v>
      </c>
      <c r="V284" s="29">
        <f t="shared" si="164"/>
        <v>-0.111</v>
      </c>
      <c r="W284" s="29">
        <f t="shared" si="165"/>
        <v>5.8999999999999999E-3</v>
      </c>
      <c r="X284" s="30">
        <f t="shared" si="166"/>
        <v>155.75</v>
      </c>
      <c r="Y284" s="31">
        <f t="shared" si="167"/>
        <v>148.57</v>
      </c>
    </row>
    <row r="285" spans="1:25" x14ac:dyDescent="0.25">
      <c r="A285" s="5">
        <v>41350</v>
      </c>
      <c r="B285">
        <v>1496.1867999999999</v>
      </c>
      <c r="C285" s="29">
        <f t="shared" si="171"/>
        <v>3.3999999999999998E-3</v>
      </c>
      <c r="D285">
        <v>-0.73</v>
      </c>
      <c r="E285">
        <v>-1.52</v>
      </c>
      <c r="F285" s="18">
        <f t="shared" si="158"/>
        <v>0.47200000000000131</v>
      </c>
      <c r="G285" s="18">
        <f t="shared" si="159"/>
        <v>0.57999999999999829</v>
      </c>
      <c r="H285">
        <v>4.72</v>
      </c>
      <c r="I285">
        <v>2.89</v>
      </c>
      <c r="J285">
        <f t="shared" si="168"/>
        <v>3.81</v>
      </c>
      <c r="K285" s="6">
        <f t="shared" si="169"/>
        <v>3.86</v>
      </c>
      <c r="L285" s="6">
        <f t="shared" si="170"/>
        <v>-4.0000000000000036E-2</v>
      </c>
      <c r="M285">
        <v>6.5848891366153</v>
      </c>
      <c r="N285">
        <v>345750</v>
      </c>
      <c r="O285" s="18">
        <f>ROUND(N285/VLOOKUP(EOMONTH(A285,-1),Employment!A:P,16,FALSE),4)</f>
        <v>1.4121999999999999</v>
      </c>
      <c r="P285" s="18">
        <f t="shared" si="160"/>
        <v>1.4211</v>
      </c>
      <c r="Q285" s="29">
        <f t="shared" si="161"/>
        <v>-5.6300000000000003E-2</v>
      </c>
      <c r="R285" s="29">
        <f t="shared" si="162"/>
        <v>-1.8E-3</v>
      </c>
      <c r="S285">
        <v>3011000</v>
      </c>
      <c r="T285" s="18">
        <f>ROUND((S285/7)/VLOOKUP(EOMONTH(A285,-1),Employment!A:P,16,FALSE),4)</f>
        <v>1.7568999999999999</v>
      </c>
      <c r="U285" s="18">
        <f t="shared" si="163"/>
        <v>1.768</v>
      </c>
      <c r="V285" s="29">
        <f t="shared" si="164"/>
        <v>-0.1124</v>
      </c>
      <c r="W285" s="29">
        <f t="shared" si="165"/>
        <v>5.7000000000000002E-3</v>
      </c>
      <c r="X285" s="30">
        <f t="shared" si="166"/>
        <v>146.1</v>
      </c>
      <c r="Y285" s="31">
        <f t="shared" si="167"/>
        <v>140.61000000000001</v>
      </c>
    </row>
    <row r="286" spans="1:25" x14ac:dyDescent="0.25">
      <c r="A286" s="5">
        <v>41343</v>
      </c>
      <c r="B286">
        <v>1491.6419000000001</v>
      </c>
      <c r="C286" s="29">
        <f t="shared" si="171"/>
        <v>1.2999999999999999E-3</v>
      </c>
      <c r="D286">
        <v>-0.71</v>
      </c>
      <c r="E286">
        <v>-1.486</v>
      </c>
      <c r="F286" s="18">
        <f t="shared" si="158"/>
        <v>-0.1039999999999992</v>
      </c>
      <c r="G286" s="18">
        <f t="shared" si="159"/>
        <v>0.38799999999999812</v>
      </c>
      <c r="H286">
        <v>4.76</v>
      </c>
      <c r="I286">
        <v>2.88</v>
      </c>
      <c r="J286">
        <f t="shared" si="168"/>
        <v>3.82</v>
      </c>
      <c r="K286" s="6">
        <f t="shared" si="169"/>
        <v>3.9</v>
      </c>
      <c r="L286" s="6">
        <f t="shared" si="170"/>
        <v>-3.0000000000000249E-2</v>
      </c>
      <c r="M286">
        <v>6.6805069294066</v>
      </c>
      <c r="N286">
        <v>346500</v>
      </c>
      <c r="O286" s="18">
        <f>ROUND(N286/VLOOKUP(EOMONTH(A286,-1),Employment!A:P,16,FALSE),4)</f>
        <v>1.4153</v>
      </c>
      <c r="P286" s="18">
        <f t="shared" si="160"/>
        <v>1.4380999999999999</v>
      </c>
      <c r="Q286" s="29">
        <f t="shared" si="161"/>
        <v>-4.3499999999999997E-2</v>
      </c>
      <c r="R286" s="29">
        <f t="shared" si="162"/>
        <v>-1.1900000000000001E-2</v>
      </c>
      <c r="S286">
        <v>3043000</v>
      </c>
      <c r="T286" s="18">
        <f>ROUND((S286/7)/VLOOKUP(EOMONTH(A286,-1),Employment!A:P,16,FALSE),4)</f>
        <v>1.7756000000000001</v>
      </c>
      <c r="U286" s="18">
        <f t="shared" si="163"/>
        <v>1.782</v>
      </c>
      <c r="V286" s="29">
        <f t="shared" si="164"/>
        <v>-0.1052</v>
      </c>
      <c r="W286" s="29">
        <f t="shared" si="165"/>
        <v>1.5E-3</v>
      </c>
      <c r="X286" s="30">
        <f t="shared" si="166"/>
        <v>136.80000000000001</v>
      </c>
      <c r="Y286" s="31">
        <f t="shared" si="167"/>
        <v>136.27000000000001</v>
      </c>
    </row>
    <row r="287" spans="1:25" x14ac:dyDescent="0.25">
      <c r="A287" s="5">
        <v>41336</v>
      </c>
      <c r="B287">
        <v>1492.3679999999999</v>
      </c>
      <c r="C287" s="29">
        <f t="shared" si="171"/>
        <v>3.3E-3</v>
      </c>
      <c r="D287">
        <v>-0.71</v>
      </c>
      <c r="E287">
        <v>-1.4990000000000001</v>
      </c>
      <c r="F287" s="18">
        <f t="shared" si="158"/>
        <v>0.21199999999999619</v>
      </c>
      <c r="G287" s="18">
        <f t="shared" si="159"/>
        <v>0.6720000000000006</v>
      </c>
      <c r="H287">
        <v>5</v>
      </c>
      <c r="I287">
        <v>2.9</v>
      </c>
      <c r="J287">
        <f t="shared" si="168"/>
        <v>3.95</v>
      </c>
      <c r="K287" s="6">
        <f t="shared" si="169"/>
        <v>3.93</v>
      </c>
      <c r="L287" s="6">
        <f t="shared" si="170"/>
        <v>0</v>
      </c>
      <c r="M287">
        <v>7.1968107143613</v>
      </c>
      <c r="N287">
        <v>351500</v>
      </c>
      <c r="O287" s="18">
        <f>ROUND(N287/VLOOKUP(EOMONTH(A287,-1),Employment!A:P,16,FALSE),4)</f>
        <v>1.4357</v>
      </c>
      <c r="P287" s="18">
        <f t="shared" si="160"/>
        <v>1.4466000000000001</v>
      </c>
      <c r="Q287" s="29">
        <f t="shared" si="161"/>
        <v>-4.2900000000000001E-2</v>
      </c>
      <c r="R287" s="29">
        <f t="shared" si="162"/>
        <v>-1.54E-2</v>
      </c>
      <c r="S287">
        <v>3036000</v>
      </c>
      <c r="T287" s="18">
        <f>ROUND((S287/7)/VLOOKUP(EOMONTH(A287,-1),Employment!A:P,16,FALSE),4)</f>
        <v>1.7715000000000001</v>
      </c>
      <c r="U287" s="18">
        <f t="shared" si="163"/>
        <v>1.7887</v>
      </c>
      <c r="V287" s="29">
        <f t="shared" si="164"/>
        <v>-0.1019</v>
      </c>
      <c r="W287" s="29">
        <f t="shared" si="165"/>
        <v>-1.8E-3</v>
      </c>
      <c r="X287" s="30">
        <f t="shared" si="166"/>
        <v>136.41</v>
      </c>
      <c r="Y287" s="31">
        <f t="shared" si="167"/>
        <v>135.94</v>
      </c>
    </row>
    <row r="288" spans="1:25" x14ac:dyDescent="0.25">
      <c r="A288" s="5">
        <v>41329</v>
      </c>
      <c r="B288">
        <v>1489.4549</v>
      </c>
      <c r="C288" s="29">
        <f t="shared" si="171"/>
        <v>2.5999999999999999E-3</v>
      </c>
      <c r="D288">
        <v>-0.7</v>
      </c>
      <c r="E288">
        <v>-1.4850000000000001</v>
      </c>
      <c r="F288" s="18">
        <f t="shared" si="158"/>
        <v>0.28000000000000114</v>
      </c>
      <c r="G288" s="18">
        <f t="shared" si="159"/>
        <v>-0.17199999999999704</v>
      </c>
      <c r="H288">
        <v>4.97</v>
      </c>
      <c r="I288">
        <v>2.87</v>
      </c>
      <c r="J288">
        <f t="shared" si="168"/>
        <v>3.92</v>
      </c>
      <c r="K288" s="6">
        <f t="shared" si="169"/>
        <v>3.93</v>
      </c>
      <c r="L288" s="6">
        <f t="shared" si="170"/>
        <v>1.0000000000000231E-2</v>
      </c>
      <c r="M288">
        <v>7.8745137529126996</v>
      </c>
      <c r="N288">
        <v>358000</v>
      </c>
      <c r="O288" s="18">
        <f>ROUND(N288/VLOOKUP(EOMONTH(A288,-1),Employment!A:P,16,FALSE),4)</f>
        <v>1.4632000000000001</v>
      </c>
      <c r="P288" s="18">
        <f t="shared" si="160"/>
        <v>1.4464999999999999</v>
      </c>
      <c r="Q288" s="29">
        <f t="shared" si="161"/>
        <v>-5.0700000000000002E-2</v>
      </c>
      <c r="R288" s="29">
        <f t="shared" si="162"/>
        <v>-1.3599999999999999E-2</v>
      </c>
      <c r="S288">
        <v>3081000</v>
      </c>
      <c r="T288" s="18">
        <f>ROUND((S288/7)/VLOOKUP(EOMONTH(A288,-1),Employment!A:P,16,FALSE),4)</f>
        <v>1.7989999999999999</v>
      </c>
      <c r="U288" s="18">
        <f t="shared" si="163"/>
        <v>1.8089</v>
      </c>
      <c r="V288" s="29">
        <f t="shared" si="164"/>
        <v>-9.8299999999999998E-2</v>
      </c>
      <c r="W288" s="29">
        <f t="shared" si="165"/>
        <v>-7.4999999999999997E-3</v>
      </c>
      <c r="X288" s="30">
        <f t="shared" si="166"/>
        <v>134.61000000000001</v>
      </c>
      <c r="Y288" s="31">
        <f t="shared" si="167"/>
        <v>136.96</v>
      </c>
    </row>
    <row r="289" spans="1:25" x14ac:dyDescent="0.25">
      <c r="A289" s="5">
        <v>41322</v>
      </c>
      <c r="B289">
        <v>1490.8805</v>
      </c>
      <c r="C289" s="29">
        <f t="shared" si="171"/>
        <v>4.4000000000000003E-3</v>
      </c>
      <c r="D289">
        <v>-0.7</v>
      </c>
      <c r="E289">
        <v>-1.45</v>
      </c>
      <c r="F289" s="18">
        <f t="shared" si="158"/>
        <v>0.18000000000000327</v>
      </c>
      <c r="G289" s="18">
        <f t="shared" si="159"/>
        <v>-0.4599999999999973</v>
      </c>
      <c r="H289">
        <v>4.96</v>
      </c>
      <c r="I289">
        <v>2.85</v>
      </c>
      <c r="J289">
        <f t="shared" si="168"/>
        <v>3.91</v>
      </c>
      <c r="K289" s="6">
        <f t="shared" si="169"/>
        <v>3.92</v>
      </c>
      <c r="L289" s="6">
        <f t="shared" si="170"/>
        <v>4.0000000000000036E-2</v>
      </c>
      <c r="M289">
        <v>8.5678868016075</v>
      </c>
      <c r="N289">
        <v>352500</v>
      </c>
      <c r="O289" s="18">
        <f>ROUND(N289/VLOOKUP(EOMONTH(A289,-1),Employment!A:P,16,FALSE),4)</f>
        <v>1.4408000000000001</v>
      </c>
      <c r="P289" s="18">
        <f t="shared" si="160"/>
        <v>1.4408000000000001</v>
      </c>
      <c r="Q289" s="29">
        <f t="shared" si="161"/>
        <v>-6.5199999999999994E-2</v>
      </c>
      <c r="R289" s="29">
        <f t="shared" si="162"/>
        <v>-9.1999999999999998E-3</v>
      </c>
      <c r="S289">
        <v>3075000</v>
      </c>
      <c r="T289" s="18">
        <f>ROUND((S289/7)/VLOOKUP(EOMONTH(A289,-1),Employment!A:P,16,FALSE),4)</f>
        <v>1.7955000000000001</v>
      </c>
      <c r="U289" s="18">
        <f t="shared" si="163"/>
        <v>1.82</v>
      </c>
      <c r="V289" s="29">
        <f t="shared" si="164"/>
        <v>-9.7799999999999998E-2</v>
      </c>
      <c r="W289" s="29">
        <f t="shared" si="165"/>
        <v>-6.6E-3</v>
      </c>
      <c r="X289" s="30">
        <f t="shared" si="166"/>
        <v>138.07999999999998</v>
      </c>
      <c r="Y289" s="31">
        <f t="shared" si="167"/>
        <v>140.82</v>
      </c>
    </row>
    <row r="290" spans="1:25" x14ac:dyDescent="0.25">
      <c r="A290" s="5">
        <v>41315</v>
      </c>
      <c r="B290">
        <v>1486.175</v>
      </c>
      <c r="C290" s="29">
        <f t="shared" si="171"/>
        <v>6.9999999999999999E-4</v>
      </c>
      <c r="D290">
        <v>-0.69</v>
      </c>
      <c r="E290">
        <v>-1.44</v>
      </c>
      <c r="F290" s="18">
        <f t="shared" si="158"/>
        <v>-0.63200000000000145</v>
      </c>
      <c r="G290" s="18">
        <f t="shared" si="159"/>
        <v>-0.11600000000000321</v>
      </c>
      <c r="H290">
        <v>5.08</v>
      </c>
      <c r="I290">
        <v>2.86</v>
      </c>
      <c r="J290">
        <f t="shared" si="168"/>
        <v>3.97</v>
      </c>
      <c r="K290" s="6">
        <f t="shared" si="169"/>
        <v>3.88</v>
      </c>
      <c r="L290" s="6">
        <f t="shared" si="170"/>
        <v>4.0000000000000036E-2</v>
      </c>
      <c r="M290">
        <v>8.9791405209236004</v>
      </c>
      <c r="N290">
        <v>351250</v>
      </c>
      <c r="O290" s="18">
        <f>ROUND(N290/VLOOKUP(EOMONTH(A290,-1),Employment!A:P,16,FALSE),4)</f>
        <v>1.4356</v>
      </c>
      <c r="P290" s="18">
        <f t="shared" si="160"/>
        <v>1.4423999999999999</v>
      </c>
      <c r="Q290" s="29">
        <f t="shared" si="161"/>
        <v>-7.3200000000000001E-2</v>
      </c>
      <c r="R290" s="29">
        <f t="shared" si="162"/>
        <v>-5.1999999999999998E-3</v>
      </c>
      <c r="S290">
        <v>3138000</v>
      </c>
      <c r="T290" s="18">
        <f>ROUND((S290/7)/VLOOKUP(EOMONTH(A290,-1),Employment!A:P,16,FALSE),4)</f>
        <v>1.8323</v>
      </c>
      <c r="U290" s="18">
        <f t="shared" si="163"/>
        <v>1.8271999999999999</v>
      </c>
      <c r="V290" s="29">
        <f t="shared" si="164"/>
        <v>-0.1069</v>
      </c>
      <c r="W290" s="29">
        <f t="shared" si="165"/>
        <v>-8.6E-3</v>
      </c>
      <c r="X290" s="30">
        <f t="shared" si="166"/>
        <v>140.05000000000001</v>
      </c>
      <c r="Y290" s="31">
        <f t="shared" si="167"/>
        <v>146.56</v>
      </c>
    </row>
    <row r="291" spans="1:25" x14ac:dyDescent="0.25">
      <c r="A291" s="5">
        <v>41308</v>
      </c>
      <c r="B291">
        <v>1483.5565999999999</v>
      </c>
      <c r="C291" s="29">
        <f t="shared" si="171"/>
        <v>-8.9999999999999998E-4</v>
      </c>
      <c r="D291">
        <v>-0.69</v>
      </c>
      <c r="E291">
        <v>-1.5189999999999999</v>
      </c>
      <c r="F291" s="18">
        <f t="shared" si="158"/>
        <v>-7.9999999999991189E-3</v>
      </c>
      <c r="G291" s="18">
        <f t="shared" si="159"/>
        <v>1.0919999999999987</v>
      </c>
      <c r="H291">
        <v>4.9400000000000004</v>
      </c>
      <c r="I291">
        <v>2.84</v>
      </c>
      <c r="J291">
        <f t="shared" si="168"/>
        <v>3.89</v>
      </c>
      <c r="K291" s="6">
        <f t="shared" si="169"/>
        <v>3.84</v>
      </c>
      <c r="L291" s="6">
        <f t="shared" si="170"/>
        <v>0</v>
      </c>
      <c r="M291">
        <v>8.1842157772915005</v>
      </c>
      <c r="N291">
        <v>353750</v>
      </c>
      <c r="O291" s="18">
        <f>ROUND(N291/VLOOKUP(EOMONTH(A291,-1),Employment!A:P,16,FALSE),4)</f>
        <v>1.4459</v>
      </c>
      <c r="P291" s="18">
        <f t="shared" si="160"/>
        <v>1.4529000000000001</v>
      </c>
      <c r="Q291" s="29">
        <f t="shared" si="161"/>
        <v>-7.8799999999999995E-2</v>
      </c>
      <c r="R291" s="29">
        <f t="shared" si="162"/>
        <v>5.4000000000000003E-3</v>
      </c>
      <c r="S291">
        <v>3138000</v>
      </c>
      <c r="T291" s="18">
        <f>ROUND((S291/7)/VLOOKUP(EOMONTH(A291,-1),Employment!A:P,16,FALSE),4)</f>
        <v>1.8323</v>
      </c>
      <c r="U291" s="18">
        <f t="shared" si="163"/>
        <v>1.8298000000000001</v>
      </c>
      <c r="V291" s="29">
        <f t="shared" si="164"/>
        <v>-0.1048</v>
      </c>
      <c r="W291" s="29">
        <f t="shared" si="165"/>
        <v>-3.5000000000000001E-3</v>
      </c>
      <c r="X291" s="30">
        <f t="shared" si="166"/>
        <v>149.62</v>
      </c>
      <c r="Y291" s="31">
        <f t="shared" si="167"/>
        <v>153.68</v>
      </c>
    </row>
    <row r="292" spans="1:25" x14ac:dyDescent="0.25">
      <c r="A292" s="5">
        <v>41301</v>
      </c>
      <c r="B292">
        <v>1481.8045999999999</v>
      </c>
      <c r="C292" s="29">
        <f t="shared" si="171"/>
        <v>-8.9999999999999998E-4</v>
      </c>
      <c r="D292">
        <v>-0.69</v>
      </c>
      <c r="E292">
        <v>-1.52</v>
      </c>
      <c r="F292" s="18">
        <f t="shared" si="158"/>
        <v>0.52399999999999736</v>
      </c>
      <c r="G292" s="18">
        <f t="shared" si="159"/>
        <v>1.5519999999999996</v>
      </c>
      <c r="H292">
        <v>4.7300000000000004</v>
      </c>
      <c r="I292">
        <v>2.82</v>
      </c>
      <c r="J292">
        <f t="shared" si="168"/>
        <v>3.78</v>
      </c>
      <c r="K292" s="6">
        <f t="shared" si="169"/>
        <v>3.84</v>
      </c>
      <c r="L292" s="6">
        <f t="shared" si="170"/>
        <v>-5.0000000000000266E-2</v>
      </c>
      <c r="M292">
        <v>6.9951589103601997</v>
      </c>
      <c r="N292">
        <v>353250</v>
      </c>
      <c r="O292" s="18">
        <f>ROUND(N292/VLOOKUP(EOMONTH(A292,-1),Employment!A:P,16,FALSE),4)</f>
        <v>1.4457</v>
      </c>
      <c r="P292" s="18">
        <f t="shared" si="160"/>
        <v>1.4655</v>
      </c>
      <c r="Q292" s="29">
        <f t="shared" si="161"/>
        <v>-8.9800000000000005E-2</v>
      </c>
      <c r="R292" s="29">
        <f t="shared" si="162"/>
        <v>1.41E-2</v>
      </c>
      <c r="S292">
        <v>3108000</v>
      </c>
      <c r="T292" s="18">
        <f>ROUND((S292/7)/VLOOKUP(EOMONTH(A292,-1),Employment!A:P,16,FALSE),4)</f>
        <v>1.8170999999999999</v>
      </c>
      <c r="U292" s="18">
        <f t="shared" si="163"/>
        <v>1.8284</v>
      </c>
      <c r="V292" s="29">
        <f t="shared" si="164"/>
        <v>-0.1201</v>
      </c>
      <c r="W292" s="29">
        <f t="shared" si="165"/>
        <v>-1.1000000000000001E-3</v>
      </c>
      <c r="X292" s="30">
        <f t="shared" si="166"/>
        <v>155.19999999999999</v>
      </c>
      <c r="Y292" s="31">
        <f t="shared" si="167"/>
        <v>158.32</v>
      </c>
    </row>
    <row r="293" spans="1:25" x14ac:dyDescent="0.25">
      <c r="A293" s="5">
        <v>41294</v>
      </c>
      <c r="B293">
        <v>1486.0026</v>
      </c>
      <c r="C293" s="29">
        <f t="shared" si="171"/>
        <v>5.5999999999999999E-3</v>
      </c>
      <c r="D293">
        <v>-0.68</v>
      </c>
      <c r="E293">
        <v>-1.4670000000000001</v>
      </c>
      <c r="F293" s="18">
        <f t="shared" si="158"/>
        <v>0.57600000000000051</v>
      </c>
      <c r="G293" s="18">
        <f t="shared" si="159"/>
        <v>0.90400000000000347</v>
      </c>
      <c r="H293">
        <v>4.8899999999999997</v>
      </c>
      <c r="I293">
        <v>2.82</v>
      </c>
      <c r="J293">
        <f t="shared" si="168"/>
        <v>3.86</v>
      </c>
      <c r="K293" s="6">
        <f t="shared" si="169"/>
        <v>3.89</v>
      </c>
      <c r="L293" s="6">
        <f t="shared" si="170"/>
        <v>-6.999999999999984E-2</v>
      </c>
      <c r="M293">
        <v>6.0332337845956996</v>
      </c>
      <c r="N293">
        <v>358500</v>
      </c>
      <c r="O293" s="18">
        <f>ROUND(N293/VLOOKUP(EOMONTH(A293,-1),Employment!A:P,16,FALSE),4)</f>
        <v>1.4672000000000001</v>
      </c>
      <c r="P293" s="18">
        <f t="shared" si="160"/>
        <v>1.4678</v>
      </c>
      <c r="Q293" s="29">
        <f t="shared" si="161"/>
        <v>-8.5000000000000006E-2</v>
      </c>
      <c r="R293" s="29">
        <f t="shared" si="162"/>
        <v>2.2599999999999999E-2</v>
      </c>
      <c r="S293">
        <v>3147000</v>
      </c>
      <c r="T293" s="18">
        <f>ROUND((S293/7)/VLOOKUP(EOMONTH(A293,-1),Employment!A:P,16,FALSE),4)</f>
        <v>1.8399000000000001</v>
      </c>
      <c r="U293" s="18">
        <f t="shared" si="163"/>
        <v>1.8504</v>
      </c>
      <c r="V293" s="29">
        <f t="shared" si="164"/>
        <v>-0.1149</v>
      </c>
      <c r="W293" s="29">
        <f t="shared" si="165"/>
        <v>3.2000000000000002E-3</v>
      </c>
      <c r="X293" s="30">
        <f t="shared" si="166"/>
        <v>160.03</v>
      </c>
      <c r="Y293" s="31">
        <f t="shared" si="167"/>
        <v>161.22</v>
      </c>
    </row>
    <row r="294" spans="1:25" x14ac:dyDescent="0.25">
      <c r="A294" s="5">
        <v>41287</v>
      </c>
      <c r="B294">
        <v>1489.0767000000001</v>
      </c>
      <c r="C294" s="29">
        <f t="shared" si="171"/>
        <v>1.24E-2</v>
      </c>
      <c r="D294">
        <v>-0.66</v>
      </c>
      <c r="E294">
        <v>-1.42</v>
      </c>
      <c r="F294" s="18">
        <f t="shared" si="158"/>
        <v>0.45200000000000173</v>
      </c>
      <c r="G294" s="18">
        <f t="shared" si="159"/>
        <v>-3.2000000000000028E-2</v>
      </c>
      <c r="H294">
        <v>4.93</v>
      </c>
      <c r="I294">
        <v>2.8</v>
      </c>
      <c r="J294">
        <f t="shared" si="168"/>
        <v>3.87</v>
      </c>
      <c r="K294" s="6">
        <f t="shared" si="169"/>
        <v>3.96</v>
      </c>
      <c r="L294" s="6">
        <f t="shared" si="170"/>
        <v>-5.9999999999999609E-2</v>
      </c>
      <c r="M294">
        <v>5.0511191467390999</v>
      </c>
      <c r="N294">
        <v>362500</v>
      </c>
      <c r="O294" s="18">
        <f>ROUND(N294/VLOOKUP(EOMONTH(A294,-1),Employment!A:P,16,FALSE),4)</f>
        <v>1.4835</v>
      </c>
      <c r="P294" s="18">
        <f t="shared" si="160"/>
        <v>1.4678</v>
      </c>
      <c r="Q294" s="29">
        <f t="shared" si="161"/>
        <v>-7.9200000000000007E-2</v>
      </c>
      <c r="R294" s="29">
        <f t="shared" si="162"/>
        <v>2.8500000000000001E-2</v>
      </c>
      <c r="S294">
        <v>3127000</v>
      </c>
      <c r="T294" s="18">
        <f>ROUND((S294/7)/VLOOKUP(EOMONTH(A294,-1),Employment!A:P,16,FALSE),4)</f>
        <v>1.8282</v>
      </c>
      <c r="U294" s="18">
        <f t="shared" si="163"/>
        <v>1.8571</v>
      </c>
      <c r="V294" s="29">
        <f t="shared" si="164"/>
        <v>-0.1255</v>
      </c>
      <c r="W294" s="29">
        <f t="shared" si="165"/>
        <v>1.9E-3</v>
      </c>
      <c r="X294" s="30">
        <f t="shared" si="166"/>
        <v>161.86000000000001</v>
      </c>
      <c r="Y294" s="31">
        <f t="shared" si="167"/>
        <v>161.21</v>
      </c>
    </row>
    <row r="295" spans="1:25" x14ac:dyDescent="0.25">
      <c r="A295" s="5">
        <v>41280</v>
      </c>
      <c r="B295">
        <v>1482.4105999999999</v>
      </c>
      <c r="C295" s="29">
        <f t="shared" si="171"/>
        <v>1.3299999999999999E-2</v>
      </c>
      <c r="D295">
        <v>-0.65</v>
      </c>
      <c r="E295">
        <v>-1.3759999999999999</v>
      </c>
      <c r="F295" s="18">
        <f t="shared" si="158"/>
        <v>-0.12399999999999878</v>
      </c>
      <c r="G295" s="18">
        <f t="shared" si="159"/>
        <v>-0.35999999999999943</v>
      </c>
      <c r="H295">
        <v>5.04</v>
      </c>
      <c r="I295">
        <v>2.81</v>
      </c>
      <c r="J295">
        <f t="shared" si="168"/>
        <v>3.93</v>
      </c>
      <c r="K295" s="6">
        <f t="shared" si="169"/>
        <v>4.0199999999999996</v>
      </c>
      <c r="L295" s="6">
        <f t="shared" si="170"/>
        <v>-6.0000000000000497E-2</v>
      </c>
      <c r="M295">
        <v>5.0271060877271996</v>
      </c>
      <c r="N295">
        <v>355000</v>
      </c>
      <c r="O295" s="18">
        <f>ROUND(N295/VLOOKUP(EOMONTH(A295,-1),Employment!A:P,16,FALSE),4)</f>
        <v>1.4528000000000001</v>
      </c>
      <c r="P295" s="18">
        <f t="shared" si="160"/>
        <v>1.4713000000000001</v>
      </c>
      <c r="Q295" s="29">
        <f t="shared" si="161"/>
        <v>-6.1899999999999997E-2</v>
      </c>
      <c r="R295" s="29">
        <f t="shared" si="162"/>
        <v>3.2599999999999997E-2</v>
      </c>
      <c r="S295">
        <v>3221000</v>
      </c>
      <c r="T295" s="18">
        <f>ROUND((S295/7)/VLOOKUP(EOMONTH(A295,-1),Employment!A:P,16,FALSE),4)</f>
        <v>1.8831</v>
      </c>
      <c r="U295" s="18">
        <f t="shared" si="163"/>
        <v>1.8774</v>
      </c>
      <c r="V295" s="29">
        <f t="shared" si="164"/>
        <v>-0.1142</v>
      </c>
      <c r="W295" s="29">
        <f t="shared" si="165"/>
        <v>1.1000000000000001E-3</v>
      </c>
      <c r="X295" s="30">
        <f t="shared" si="166"/>
        <v>162.58000000000001</v>
      </c>
      <c r="Y295" s="31">
        <f t="shared" si="167"/>
        <v>155.94999999999999</v>
      </c>
    </row>
    <row r="296" spans="1:25" x14ac:dyDescent="0.25">
      <c r="A296" s="5">
        <v>41273</v>
      </c>
      <c r="B296">
        <v>1474.9405999999999</v>
      </c>
      <c r="C296" s="29">
        <f t="shared" si="171"/>
        <v>1.0800000000000001E-2</v>
      </c>
      <c r="D296">
        <v>-0.64</v>
      </c>
      <c r="E296">
        <v>-1.4039999999999999</v>
      </c>
      <c r="F296" s="18">
        <f t="shared" si="158"/>
        <v>-0.36000000000000298</v>
      </c>
      <c r="G296" s="18">
        <f t="shared" si="159"/>
        <v>6.3999999999996504E-2</v>
      </c>
      <c r="H296">
        <v>5.3</v>
      </c>
      <c r="I296">
        <v>2.85</v>
      </c>
      <c r="J296">
        <f t="shared" si="168"/>
        <v>4.08</v>
      </c>
      <c r="K296" s="6">
        <f t="shared" si="169"/>
        <v>4.08</v>
      </c>
      <c r="L296" s="6">
        <f t="shared" si="170"/>
        <v>-3.0000000000000249E-2</v>
      </c>
      <c r="M296">
        <v>5.1668215748720998</v>
      </c>
      <c r="N296">
        <v>358250</v>
      </c>
      <c r="O296" s="18">
        <f>ROUND(N296/VLOOKUP(EOMONTH(A296,-1),Employment!A:P,16,FALSE),4)</f>
        <v>1.4672000000000001</v>
      </c>
      <c r="P296" s="18">
        <f t="shared" si="160"/>
        <v>1.502</v>
      </c>
      <c r="Q296" s="29">
        <f t="shared" si="161"/>
        <v>-5.0700000000000002E-2</v>
      </c>
      <c r="R296" s="29">
        <f t="shared" si="162"/>
        <v>2.3199999999999998E-2</v>
      </c>
      <c r="S296">
        <v>3179000</v>
      </c>
      <c r="T296" s="18">
        <f>ROUND((S296/7)/VLOOKUP(EOMONTH(A296,-1),Employment!A:P,16,FALSE),4)</f>
        <v>1.8599000000000001</v>
      </c>
      <c r="U296" s="18">
        <f t="shared" si="163"/>
        <v>1.8728</v>
      </c>
      <c r="V296" s="29">
        <f t="shared" si="164"/>
        <v>-0.1182</v>
      </c>
      <c r="W296" s="29">
        <f t="shared" si="165"/>
        <v>2.8E-3</v>
      </c>
      <c r="X296" s="30">
        <f t="shared" si="166"/>
        <v>156.18</v>
      </c>
      <c r="Y296" s="31">
        <f t="shared" si="167"/>
        <v>143.04</v>
      </c>
    </row>
    <row r="297" spans="1:25" x14ac:dyDescent="0.25">
      <c r="A297" s="5">
        <v>41266</v>
      </c>
      <c r="B297">
        <v>1464.3222000000001</v>
      </c>
      <c r="C297" s="29">
        <f t="shared" si="171"/>
        <v>4.4999999999999997E-3</v>
      </c>
      <c r="D297">
        <v>-0.64</v>
      </c>
      <c r="E297">
        <v>-1.4490000000000001</v>
      </c>
      <c r="F297" s="18">
        <f t="shared" si="158"/>
        <v>0.12400000000000233</v>
      </c>
      <c r="G297" s="18">
        <f t="shared" si="159"/>
        <v>0.58399999999999963</v>
      </c>
      <c r="H297">
        <v>5.26</v>
      </c>
      <c r="I297">
        <v>2.86</v>
      </c>
      <c r="J297">
        <f t="shared" si="168"/>
        <v>4.0599999999999996</v>
      </c>
      <c r="K297" s="6">
        <f t="shared" si="169"/>
        <v>4.1100000000000003</v>
      </c>
      <c r="L297" s="6">
        <f t="shared" si="170"/>
        <v>-8.0000000000000071E-2</v>
      </c>
      <c r="M297">
        <v>4.7961214385539002</v>
      </c>
      <c r="N297">
        <v>364750</v>
      </c>
      <c r="O297" s="18">
        <f>ROUND(N297/VLOOKUP(EOMONTH(A297,-1),Employment!A:P,16,FALSE),4)</f>
        <v>1.4938</v>
      </c>
      <c r="P297" s="18">
        <f t="shared" si="160"/>
        <v>1.5641</v>
      </c>
      <c r="Q297" s="29">
        <f t="shared" si="161"/>
        <v>-2.0799999999999999E-2</v>
      </c>
      <c r="R297" s="29">
        <f t="shared" si="162"/>
        <v>-6.9999999999999999E-4</v>
      </c>
      <c r="S297">
        <v>3229000</v>
      </c>
      <c r="T297" s="18">
        <f>ROUND((S297/7)/VLOOKUP(EOMONTH(A297,-1),Employment!A:P,16,FALSE),4)</f>
        <v>1.8892</v>
      </c>
      <c r="U297" s="18">
        <f t="shared" si="163"/>
        <v>1.8863000000000001</v>
      </c>
      <c r="V297" s="29">
        <f t="shared" si="164"/>
        <v>-0.1124</v>
      </c>
      <c r="W297" s="29">
        <f t="shared" si="165"/>
        <v>6.1000000000000004E-3</v>
      </c>
      <c r="X297" s="30">
        <f t="shared" si="166"/>
        <v>138.81</v>
      </c>
      <c r="Y297" s="31">
        <f t="shared" si="167"/>
        <v>125.61</v>
      </c>
    </row>
    <row r="298" spans="1:25" x14ac:dyDescent="0.25">
      <c r="A298" s="5">
        <v>41259</v>
      </c>
      <c r="B298">
        <v>1461.6574000000001</v>
      </c>
      <c r="C298" s="29">
        <f t="shared" si="171"/>
        <v>3.2000000000000002E-3</v>
      </c>
      <c r="D298">
        <v>-0.63</v>
      </c>
      <c r="E298">
        <v>-1.446</v>
      </c>
      <c r="F298" s="18">
        <f t="shared" si="158"/>
        <v>0.29999999999999716</v>
      </c>
      <c r="G298" s="18">
        <f t="shared" si="159"/>
        <v>1.0039999999999978</v>
      </c>
      <c r="H298">
        <v>5.28</v>
      </c>
      <c r="I298">
        <v>2.9</v>
      </c>
      <c r="J298">
        <f t="shared" si="168"/>
        <v>4.09</v>
      </c>
      <c r="K298" s="6">
        <f t="shared" si="169"/>
        <v>4.1900000000000004</v>
      </c>
      <c r="L298" s="6">
        <f t="shared" si="170"/>
        <v>-6.9999999999999396E-2</v>
      </c>
      <c r="M298">
        <v>4.1729337621829998</v>
      </c>
      <c r="N298">
        <v>377250</v>
      </c>
      <c r="O298" s="18">
        <f>ROUND(N298/VLOOKUP(EOMONTH(A298,-1),Employment!A:P,16,FALSE),4)</f>
        <v>1.5449999999999999</v>
      </c>
      <c r="P298" s="18">
        <f t="shared" si="160"/>
        <v>1.6138999999999999</v>
      </c>
      <c r="Q298" s="29">
        <f t="shared" si="161"/>
        <v>2.3E-3</v>
      </c>
      <c r="R298" s="29">
        <f t="shared" si="162"/>
        <v>-2.7099999999999999E-2</v>
      </c>
      <c r="S298">
        <v>3195000</v>
      </c>
      <c r="T298" s="18">
        <f>ROUND((S298/7)/VLOOKUP(EOMONTH(A298,-1),Employment!A:P,16,FALSE),4)</f>
        <v>1.8693</v>
      </c>
      <c r="U298" s="18">
        <f t="shared" si="163"/>
        <v>1.905</v>
      </c>
      <c r="V298" s="29">
        <f t="shared" si="164"/>
        <v>-0.1196</v>
      </c>
      <c r="W298" s="29">
        <f t="shared" si="165"/>
        <v>5.1000000000000004E-3</v>
      </c>
      <c r="X298" s="30">
        <f t="shared" si="166"/>
        <v>120.78</v>
      </c>
      <c r="Y298" s="31">
        <f t="shared" si="167"/>
        <v>112.3</v>
      </c>
    </row>
    <row r="299" spans="1:25" x14ac:dyDescent="0.25">
      <c r="A299" s="5">
        <v>41252</v>
      </c>
      <c r="B299">
        <v>1450.6724999999999</v>
      </c>
      <c r="C299" s="29">
        <f t="shared" si="171"/>
        <v>-5.0000000000000001E-3</v>
      </c>
      <c r="D299">
        <v>-0.62</v>
      </c>
      <c r="E299">
        <v>-1.421</v>
      </c>
      <c r="F299" s="18">
        <f t="shared" si="158"/>
        <v>0.16000000000000014</v>
      </c>
      <c r="G299" s="18">
        <f t="shared" si="159"/>
        <v>0.93200000000000216</v>
      </c>
      <c r="H299">
        <v>5.42</v>
      </c>
      <c r="I299">
        <v>2.96</v>
      </c>
      <c r="J299">
        <f t="shared" si="168"/>
        <v>4.1900000000000004</v>
      </c>
      <c r="K299" s="6">
        <f t="shared" si="169"/>
        <v>4.26</v>
      </c>
      <c r="L299" s="6">
        <f t="shared" si="170"/>
        <v>-8.9999999999999858E-2</v>
      </c>
      <c r="M299">
        <v>3.3483967632353999</v>
      </c>
      <c r="N299">
        <v>403750</v>
      </c>
      <c r="O299" s="18">
        <f>ROUND(N299/VLOOKUP(EOMONTH(A299,-1),Employment!A:P,16,FALSE),4)</f>
        <v>1.6535</v>
      </c>
      <c r="P299" s="18">
        <f t="shared" si="160"/>
        <v>1.6389</v>
      </c>
      <c r="Q299" s="29">
        <f t="shared" si="161"/>
        <v>1.2800000000000001E-2</v>
      </c>
      <c r="R299" s="29">
        <f t="shared" si="162"/>
        <v>-4.1000000000000002E-2</v>
      </c>
      <c r="S299">
        <v>3248000</v>
      </c>
      <c r="T299" s="18">
        <f>ROUND((S299/7)/VLOOKUP(EOMONTH(A299,-1),Employment!A:P,16,FALSE),4)</f>
        <v>1.9003000000000001</v>
      </c>
      <c r="U299" s="18">
        <f t="shared" si="163"/>
        <v>1.9383999999999999</v>
      </c>
      <c r="V299" s="29">
        <f t="shared" si="164"/>
        <v>-0.111</v>
      </c>
      <c r="W299" s="29">
        <f t="shared" si="165"/>
        <v>-5.8999999999999999E-3</v>
      </c>
      <c r="X299" s="30">
        <f t="shared" si="166"/>
        <v>104.7</v>
      </c>
      <c r="Y299" s="31">
        <f t="shared" si="167"/>
        <v>109.03</v>
      </c>
    </row>
    <row r="300" spans="1:25" x14ac:dyDescent="0.25">
      <c r="A300" s="5">
        <v>41245</v>
      </c>
      <c r="B300">
        <v>1460.2792999999999</v>
      </c>
      <c r="C300" s="29">
        <f t="shared" si="171"/>
        <v>3.7000000000000002E-3</v>
      </c>
      <c r="D300">
        <v>-0.62</v>
      </c>
      <c r="E300">
        <v>-1.401</v>
      </c>
      <c r="F300" s="18">
        <f t="shared" si="158"/>
        <v>0.54400000000000048</v>
      </c>
      <c r="G300" s="18">
        <f t="shared" si="159"/>
        <v>0.92400000000000304</v>
      </c>
      <c r="H300">
        <v>5.65</v>
      </c>
      <c r="I300">
        <v>2.95</v>
      </c>
      <c r="J300">
        <f t="shared" si="168"/>
        <v>4.3</v>
      </c>
      <c r="K300" s="6">
        <f t="shared" si="169"/>
        <v>4.3499999999999996</v>
      </c>
      <c r="L300" s="6">
        <f t="shared" si="170"/>
        <v>0</v>
      </c>
      <c r="M300">
        <v>3.2395765733258002</v>
      </c>
      <c r="N300">
        <v>401250</v>
      </c>
      <c r="O300" s="18">
        <f>ROUND(N300/VLOOKUP(EOMONTH(A300,-1),Employment!A:P,16,FALSE),4)</f>
        <v>1.6433</v>
      </c>
      <c r="P300" s="18">
        <f t="shared" si="160"/>
        <v>1.6168</v>
      </c>
      <c r="Q300" s="29">
        <f t="shared" si="161"/>
        <v>-6.4999999999999997E-3</v>
      </c>
      <c r="R300" s="29">
        <f t="shared" si="162"/>
        <v>-3.73E-2</v>
      </c>
      <c r="S300">
        <v>3325000</v>
      </c>
      <c r="T300" s="18">
        <f>ROUND((S300/7)/VLOOKUP(EOMONTH(A300,-1),Employment!A:P,16,FALSE),4)</f>
        <v>1.9453</v>
      </c>
      <c r="U300" s="18">
        <f t="shared" si="163"/>
        <v>1.9622999999999999</v>
      </c>
      <c r="V300" s="29">
        <f t="shared" si="164"/>
        <v>-0.1011</v>
      </c>
      <c r="W300" s="29">
        <f t="shared" si="165"/>
        <v>-1.18E-2</v>
      </c>
      <c r="X300" s="30">
        <f t="shared" si="166"/>
        <v>110.07</v>
      </c>
      <c r="Y300" s="31">
        <f t="shared" si="167"/>
        <v>115.87</v>
      </c>
    </row>
    <row r="301" spans="1:25" x14ac:dyDescent="0.25">
      <c r="A301" s="5">
        <v>41238</v>
      </c>
      <c r="B301">
        <v>1458.6047000000001</v>
      </c>
      <c r="C301" s="29">
        <f t="shared" si="171"/>
        <v>4.3E-3</v>
      </c>
      <c r="D301">
        <v>-0.6</v>
      </c>
      <c r="E301">
        <v>-1.3580000000000001</v>
      </c>
      <c r="F301" s="18">
        <f t="shared" si="158"/>
        <v>0.22800000000000153</v>
      </c>
      <c r="G301" s="18">
        <f t="shared" si="159"/>
        <v>0.20800000000000196</v>
      </c>
      <c r="H301">
        <v>5.71</v>
      </c>
      <c r="I301">
        <v>2.89</v>
      </c>
      <c r="J301">
        <f t="shared" si="168"/>
        <v>4.3</v>
      </c>
      <c r="K301" s="6">
        <f t="shared" si="169"/>
        <v>4.3499999999999996</v>
      </c>
      <c r="L301" s="6">
        <f t="shared" si="170"/>
        <v>4.9999999999999822E-2</v>
      </c>
      <c r="M301">
        <v>3.4907396031278002</v>
      </c>
      <c r="N301">
        <v>395250</v>
      </c>
      <c r="O301" s="18">
        <f>ROUND(N301/VLOOKUP(EOMONTH(A301,-1),Employment!A:P,16,FALSE),4)</f>
        <v>1.62</v>
      </c>
      <c r="P301" s="18">
        <f t="shared" si="160"/>
        <v>1.5775999999999999</v>
      </c>
      <c r="Q301" s="29">
        <f t="shared" si="161"/>
        <v>-3.73E-2</v>
      </c>
      <c r="R301" s="29">
        <f t="shared" si="162"/>
        <v>-2.3900000000000001E-2</v>
      </c>
      <c r="S301">
        <v>3364000</v>
      </c>
      <c r="T301" s="18">
        <f>ROUND((S301/7)/VLOOKUP(EOMONTH(A301,-1),Employment!A:P,16,FALSE),4)</f>
        <v>1.9697</v>
      </c>
      <c r="U301" s="18">
        <f t="shared" si="163"/>
        <v>1.9429000000000001</v>
      </c>
      <c r="V301" s="29">
        <f t="shared" si="164"/>
        <v>-0.1052</v>
      </c>
      <c r="W301" s="29">
        <f t="shared" si="165"/>
        <v>-9.7000000000000003E-3</v>
      </c>
      <c r="X301" s="30">
        <f t="shared" si="166"/>
        <v>117.25</v>
      </c>
      <c r="Y301" s="31">
        <f t="shared" si="167"/>
        <v>124.05</v>
      </c>
    </row>
    <row r="302" spans="1:25" x14ac:dyDescent="0.25">
      <c r="A302" s="5">
        <v>41231</v>
      </c>
      <c r="B302">
        <v>1458.1485</v>
      </c>
      <c r="C302" s="29">
        <f t="shared" si="171"/>
        <v>5.5999999999999999E-3</v>
      </c>
      <c r="D302">
        <v>-0.59</v>
      </c>
      <c r="E302">
        <v>-1.3420000000000001</v>
      </c>
      <c r="F302" s="18">
        <f t="shared" si="158"/>
        <v>0.15200000000000102</v>
      </c>
      <c r="G302" s="18">
        <f t="shared" si="159"/>
        <v>-0.45200000000000173</v>
      </c>
      <c r="H302">
        <v>5.98</v>
      </c>
      <c r="I302">
        <v>2.9</v>
      </c>
      <c r="J302">
        <f t="shared" si="168"/>
        <v>4.4400000000000004</v>
      </c>
      <c r="K302" s="6">
        <f t="shared" si="169"/>
        <v>4.3</v>
      </c>
      <c r="L302" s="6">
        <f t="shared" si="170"/>
        <v>0.12000000000000011</v>
      </c>
      <c r="M302">
        <v>4.1327880038598002</v>
      </c>
      <c r="N302">
        <v>387250</v>
      </c>
      <c r="O302" s="18">
        <f>ROUND(N302/VLOOKUP(EOMONTH(A302,-1),Employment!A:P,16,FALSE),4)</f>
        <v>1.5871999999999999</v>
      </c>
      <c r="P302" s="18">
        <f t="shared" si="160"/>
        <v>1.5410999999999999</v>
      </c>
      <c r="Q302" s="29">
        <f t="shared" si="161"/>
        <v>-6.9099999999999995E-2</v>
      </c>
      <c r="R302" s="29">
        <f t="shared" si="162"/>
        <v>-9.7000000000000003E-3</v>
      </c>
      <c r="S302">
        <v>3368000</v>
      </c>
      <c r="T302" s="18">
        <f>ROUND((S302/7)/VLOOKUP(EOMONTH(A302,-1),Employment!A:P,16,FALSE),4)</f>
        <v>1.972</v>
      </c>
      <c r="U302" s="18">
        <f t="shared" si="163"/>
        <v>1.9275</v>
      </c>
      <c r="V302" s="29">
        <f t="shared" si="164"/>
        <v>-0.1142</v>
      </c>
      <c r="W302" s="29">
        <f t="shared" si="165"/>
        <v>-1.9E-3</v>
      </c>
      <c r="X302" s="30">
        <f t="shared" si="166"/>
        <v>126.89</v>
      </c>
      <c r="Y302" s="31">
        <f t="shared" si="167"/>
        <v>131.36000000000001</v>
      </c>
    </row>
    <row r="303" spans="1:25" x14ac:dyDescent="0.25">
      <c r="A303" s="5">
        <v>41224</v>
      </c>
      <c r="B303">
        <v>1454.8391999999999</v>
      </c>
      <c r="C303" s="29">
        <f t="shared" si="171"/>
        <v>5.4000000000000003E-3</v>
      </c>
      <c r="D303">
        <v>-0.59</v>
      </c>
      <c r="E303">
        <v>-1.323</v>
      </c>
      <c r="F303" s="18">
        <f t="shared" si="158"/>
        <v>-0.1720000000000006</v>
      </c>
      <c r="G303" s="18">
        <f t="shared" si="159"/>
        <v>-0.38800000000000168</v>
      </c>
      <c r="H303">
        <v>5.77</v>
      </c>
      <c r="I303">
        <v>2.82</v>
      </c>
      <c r="J303">
        <f t="shared" si="168"/>
        <v>4.3</v>
      </c>
      <c r="K303" s="6">
        <f t="shared" si="169"/>
        <v>4.18</v>
      </c>
      <c r="L303" s="6">
        <f t="shared" si="170"/>
        <v>8.9999999999999858E-2</v>
      </c>
      <c r="M303">
        <v>4.9193180104779</v>
      </c>
      <c r="N303">
        <v>372250</v>
      </c>
      <c r="O303" s="18">
        <f>ROUND(N303/VLOOKUP(EOMONTH(A303,-1),Employment!A:P,16,FALSE),4)</f>
        <v>1.5257000000000001</v>
      </c>
      <c r="P303" s="18">
        <f t="shared" si="160"/>
        <v>1.52</v>
      </c>
      <c r="Q303" s="29">
        <f t="shared" si="161"/>
        <v>-8.8900000000000007E-2</v>
      </c>
      <c r="R303" s="29">
        <f t="shared" si="162"/>
        <v>-2.7000000000000001E-3</v>
      </c>
      <c r="S303">
        <v>3223000</v>
      </c>
      <c r="T303" s="18">
        <f>ROUND((S303/7)/VLOOKUP(EOMONTH(A303,-1),Employment!A:P,16,FALSE),4)</f>
        <v>1.8871</v>
      </c>
      <c r="U303" s="18">
        <f t="shared" si="163"/>
        <v>1.9152</v>
      </c>
      <c r="V303" s="29">
        <f t="shared" si="164"/>
        <v>-0.12809999999999999</v>
      </c>
      <c r="W303" s="29">
        <f t="shared" si="165"/>
        <v>2.3999999999999998E-3</v>
      </c>
      <c r="X303" s="30">
        <f t="shared" si="166"/>
        <v>133.93</v>
      </c>
      <c r="Y303" s="31">
        <f t="shared" si="167"/>
        <v>135.88999999999999</v>
      </c>
    </row>
    <row r="304" spans="1:25" x14ac:dyDescent="0.25">
      <c r="A304" s="5">
        <v>41217</v>
      </c>
      <c r="B304">
        <v>1447.9518</v>
      </c>
      <c r="C304" s="29">
        <f t="shared" si="171"/>
        <v>2E-3</v>
      </c>
      <c r="D304">
        <v>-0.6</v>
      </c>
      <c r="E304">
        <v>-1.3320000000000001</v>
      </c>
      <c r="F304" s="18">
        <f t="shared" si="158"/>
        <v>-0.43200000000000216</v>
      </c>
      <c r="G304" s="18">
        <f t="shared" si="159"/>
        <v>-0.28399999999999892</v>
      </c>
      <c r="H304">
        <v>5.54</v>
      </c>
      <c r="I304">
        <v>2.77</v>
      </c>
      <c r="J304">
        <f t="shared" si="168"/>
        <v>4.16</v>
      </c>
      <c r="K304" s="6">
        <f t="shared" si="169"/>
        <v>4.09</v>
      </c>
      <c r="L304" s="6">
        <f t="shared" si="170"/>
        <v>-9.9999999999997868E-3</v>
      </c>
      <c r="M304">
        <v>5.7641136140766998</v>
      </c>
      <c r="N304">
        <v>368500</v>
      </c>
      <c r="O304" s="18">
        <f>ROUND(N304/VLOOKUP(EOMONTH(A304,-1),Employment!A:P,16,FALSE),4)</f>
        <v>1.5104</v>
      </c>
      <c r="P304" s="18">
        <f t="shared" si="160"/>
        <v>1.5205</v>
      </c>
      <c r="Q304" s="29">
        <f t="shared" si="161"/>
        <v>-9.4E-2</v>
      </c>
      <c r="R304" s="29">
        <f t="shared" si="162"/>
        <v>0</v>
      </c>
      <c r="S304">
        <v>3285000</v>
      </c>
      <c r="T304" s="18">
        <f>ROUND((S304/7)/VLOOKUP(EOMONTH(A304,-1),Employment!A:P,16,FALSE),4)</f>
        <v>1.9234</v>
      </c>
      <c r="U304" s="18">
        <f t="shared" si="163"/>
        <v>1.9298</v>
      </c>
      <c r="V304" s="29">
        <f t="shared" si="164"/>
        <v>-0.126</v>
      </c>
      <c r="W304" s="29">
        <f t="shared" si="165"/>
        <v>2.9999999999999997E-4</v>
      </c>
      <c r="X304" s="30">
        <f t="shared" si="166"/>
        <v>136.09</v>
      </c>
      <c r="Y304" s="31">
        <f t="shared" si="167"/>
        <v>138.43</v>
      </c>
    </row>
    <row r="305" spans="1:25" x14ac:dyDescent="0.25">
      <c r="A305" s="5">
        <v>41210</v>
      </c>
      <c r="B305">
        <v>1448.7571</v>
      </c>
      <c r="C305" s="29">
        <f t="shared" si="171"/>
        <v>5.5999999999999999E-3</v>
      </c>
      <c r="D305">
        <v>-0.6</v>
      </c>
      <c r="E305">
        <v>-1.3859999999999999</v>
      </c>
      <c r="F305" s="18">
        <f t="shared" si="158"/>
        <v>0.21600000000000108</v>
      </c>
      <c r="G305" s="18">
        <f t="shared" si="159"/>
        <v>0.47600000000000264</v>
      </c>
      <c r="H305">
        <v>5.41</v>
      </c>
      <c r="I305">
        <v>2.76</v>
      </c>
      <c r="J305">
        <f t="shared" si="168"/>
        <v>4.09</v>
      </c>
      <c r="K305" s="6">
        <f t="shared" si="169"/>
        <v>4.0999999999999996</v>
      </c>
      <c r="L305" s="6">
        <f t="shared" si="170"/>
        <v>-6.0000000000000497E-2</v>
      </c>
      <c r="M305">
        <v>5.8770113244779996</v>
      </c>
      <c r="N305">
        <v>371500</v>
      </c>
      <c r="O305" s="18">
        <f>ROUND(N305/VLOOKUP(EOMONTH(A305,-1),Employment!A:P,16,FALSE),4)</f>
        <v>1.524</v>
      </c>
      <c r="P305" s="18">
        <f t="shared" si="160"/>
        <v>1.5281</v>
      </c>
      <c r="Q305" s="29">
        <f t="shared" si="161"/>
        <v>-9.64E-2</v>
      </c>
      <c r="R305" s="29">
        <f t="shared" si="162"/>
        <v>-5.0000000000000001E-4</v>
      </c>
      <c r="S305">
        <v>3302000</v>
      </c>
      <c r="T305" s="18">
        <f>ROUND((S305/7)/VLOOKUP(EOMONTH(A305,-1),Employment!A:P,16,FALSE),4)</f>
        <v>1.9351</v>
      </c>
      <c r="U305" s="18">
        <f t="shared" si="163"/>
        <v>1.9351</v>
      </c>
      <c r="V305" s="29">
        <f t="shared" si="164"/>
        <v>-0.1236</v>
      </c>
      <c r="W305" s="29">
        <f t="shared" si="165"/>
        <v>-1.6999999999999999E-3</v>
      </c>
      <c r="X305" s="30">
        <f t="shared" si="166"/>
        <v>140.26</v>
      </c>
      <c r="Y305" s="31">
        <f t="shared" si="167"/>
        <v>139.86000000000001</v>
      </c>
    </row>
    <row r="306" spans="1:25" x14ac:dyDescent="0.25">
      <c r="A306" s="5">
        <v>41203</v>
      </c>
      <c r="B306">
        <v>1448.3389999999999</v>
      </c>
      <c r="C306" s="29">
        <f t="shared" si="171"/>
        <v>8.5000000000000006E-3</v>
      </c>
      <c r="D306">
        <v>-0.6</v>
      </c>
      <c r="E306">
        <v>-1.359</v>
      </c>
      <c r="F306" s="18">
        <f t="shared" si="158"/>
        <v>-6.799999999999784E-2</v>
      </c>
      <c r="G306" s="18">
        <f t="shared" si="159"/>
        <v>0.26000000000000156</v>
      </c>
      <c r="H306">
        <v>5.31</v>
      </c>
      <c r="I306">
        <v>2.71</v>
      </c>
      <c r="J306">
        <f t="shared" si="168"/>
        <v>4.01</v>
      </c>
      <c r="K306" s="6">
        <f t="shared" si="169"/>
        <v>4.16</v>
      </c>
      <c r="L306" s="6">
        <f t="shared" si="170"/>
        <v>-0.12999999999999989</v>
      </c>
      <c r="M306">
        <v>6.0336319449640996</v>
      </c>
      <c r="N306">
        <v>372250</v>
      </c>
      <c r="O306" s="18">
        <f>ROUND(N306/VLOOKUP(EOMONTH(A306,-1),Employment!A:P,16,FALSE),4)</f>
        <v>1.5269999999999999</v>
      </c>
      <c r="P306" s="18">
        <f t="shared" si="160"/>
        <v>1.5458000000000001</v>
      </c>
      <c r="Q306" s="29">
        <f t="shared" si="161"/>
        <v>-9.5100000000000004E-2</v>
      </c>
      <c r="R306" s="29">
        <f t="shared" si="162"/>
        <v>-1.9E-3</v>
      </c>
      <c r="S306">
        <v>3295000</v>
      </c>
      <c r="T306" s="18">
        <f>ROUND((S306/7)/VLOOKUP(EOMONTH(A306,-1),Employment!A:P,16,FALSE),4)</f>
        <v>1.931</v>
      </c>
      <c r="U306" s="18">
        <f t="shared" si="163"/>
        <v>1.9362999999999999</v>
      </c>
      <c r="V306" s="29">
        <f t="shared" si="164"/>
        <v>-0.12330000000000001</v>
      </c>
      <c r="W306" s="29">
        <f t="shared" si="165"/>
        <v>-3.0000000000000001E-3</v>
      </c>
      <c r="X306" s="30">
        <f t="shared" si="166"/>
        <v>139.69</v>
      </c>
      <c r="Y306" s="31">
        <f t="shared" si="167"/>
        <v>139.41999999999999</v>
      </c>
    </row>
    <row r="307" spans="1:25" x14ac:dyDescent="0.25">
      <c r="A307" s="5">
        <v>41196</v>
      </c>
      <c r="B307">
        <v>1443.3271999999999</v>
      </c>
      <c r="C307" s="29">
        <f t="shared" si="171"/>
        <v>7.1999999999999998E-3</v>
      </c>
      <c r="D307">
        <v>-0.61</v>
      </c>
      <c r="E307">
        <v>-1.355</v>
      </c>
      <c r="F307" s="18">
        <f t="shared" si="158"/>
        <v>0.3279999999999994</v>
      </c>
      <c r="G307" s="18">
        <f t="shared" si="159"/>
        <v>1.4520000000000017</v>
      </c>
      <c r="H307">
        <v>5.56</v>
      </c>
      <c r="I307">
        <v>2.85</v>
      </c>
      <c r="J307">
        <f t="shared" si="168"/>
        <v>4.21</v>
      </c>
      <c r="K307" s="6">
        <f t="shared" si="169"/>
        <v>4.29</v>
      </c>
      <c r="L307" s="6">
        <f t="shared" si="170"/>
        <v>-9.9999999999997868E-3</v>
      </c>
      <c r="M307">
        <v>5.6135713250407004</v>
      </c>
      <c r="N307">
        <v>373750</v>
      </c>
      <c r="O307" s="18">
        <f>ROUND(N307/VLOOKUP(EOMONTH(A307,-1),Employment!A:P,16,FALSE),4)</f>
        <v>1.5331999999999999</v>
      </c>
      <c r="P307" s="18">
        <f t="shared" si="160"/>
        <v>1.5612999999999999</v>
      </c>
      <c r="Q307" s="29">
        <f t="shared" si="161"/>
        <v>-9.6100000000000005E-2</v>
      </c>
      <c r="R307" s="29">
        <f t="shared" si="162"/>
        <v>-4.3E-3</v>
      </c>
      <c r="S307">
        <v>3309000</v>
      </c>
      <c r="T307" s="18">
        <f>ROUND((S307/7)/VLOOKUP(EOMONTH(A307,-1),Employment!A:P,16,FALSE),4)</f>
        <v>1.9392</v>
      </c>
      <c r="U307" s="18">
        <f t="shared" si="163"/>
        <v>1.9409000000000001</v>
      </c>
      <c r="V307" s="29">
        <f t="shared" si="164"/>
        <v>-0.1225</v>
      </c>
      <c r="W307" s="29">
        <f t="shared" si="165"/>
        <v>-1.4E-3</v>
      </c>
      <c r="X307" s="30">
        <f t="shared" si="166"/>
        <v>139.29</v>
      </c>
      <c r="Y307" s="31">
        <f t="shared" si="167"/>
        <v>139.07</v>
      </c>
    </row>
    <row r="308" spans="1:25" x14ac:dyDescent="0.25">
      <c r="A308" s="5">
        <v>41189</v>
      </c>
      <c r="B308">
        <v>1439.8698999999999</v>
      </c>
      <c r="C308" s="29">
        <f t="shared" si="171"/>
        <v>7.3000000000000001E-3</v>
      </c>
      <c r="D308">
        <v>-0.59</v>
      </c>
      <c r="E308">
        <v>-1.339</v>
      </c>
      <c r="F308" s="18">
        <f t="shared" si="158"/>
        <v>0</v>
      </c>
      <c r="G308" s="18">
        <f t="shared" si="159"/>
        <v>1.9280000000000026</v>
      </c>
      <c r="H308">
        <v>5.55</v>
      </c>
      <c r="I308">
        <v>2.98</v>
      </c>
      <c r="J308">
        <f t="shared" si="168"/>
        <v>4.2699999999999996</v>
      </c>
      <c r="K308" s="6">
        <f t="shared" si="169"/>
        <v>4.3</v>
      </c>
      <c r="L308" s="6">
        <f t="shared" si="170"/>
        <v>9.9999999999997868E-3</v>
      </c>
      <c r="M308">
        <v>4.6323296013953001</v>
      </c>
      <c r="N308">
        <v>384500</v>
      </c>
      <c r="O308" s="18">
        <f>ROUND(N308/VLOOKUP(EOMONTH(A308,-1),Employment!A:P,16,FALSE),4)</f>
        <v>1.5772999999999999</v>
      </c>
      <c r="P308" s="18">
        <f t="shared" si="160"/>
        <v>1.5748</v>
      </c>
      <c r="Q308" s="29">
        <f t="shared" si="161"/>
        <v>-9.4200000000000006E-2</v>
      </c>
      <c r="R308" s="29">
        <f t="shared" si="162"/>
        <v>-4.4000000000000003E-3</v>
      </c>
      <c r="S308">
        <v>3308000</v>
      </c>
      <c r="T308" s="18">
        <f>ROUND((S308/7)/VLOOKUP(EOMONTH(A308,-1),Employment!A:P,16,FALSE),4)</f>
        <v>1.9386000000000001</v>
      </c>
      <c r="U308" s="18">
        <f t="shared" si="163"/>
        <v>1.9419999999999999</v>
      </c>
      <c r="V308" s="29">
        <f t="shared" si="164"/>
        <v>-0.127</v>
      </c>
      <c r="W308" s="29">
        <f t="shared" si="165"/>
        <v>1.8E-3</v>
      </c>
      <c r="X308" s="30">
        <f t="shared" si="166"/>
        <v>139.07</v>
      </c>
      <c r="Y308" s="31">
        <f t="shared" si="167"/>
        <v>138.27000000000001</v>
      </c>
    </row>
    <row r="309" spans="1:25" x14ac:dyDescent="0.25">
      <c r="A309" s="5">
        <v>41182</v>
      </c>
      <c r="B309">
        <v>1431.1116</v>
      </c>
      <c r="C309" s="29">
        <f t="shared" si="171"/>
        <v>2E-3</v>
      </c>
      <c r="D309">
        <v>-0.56999999999999995</v>
      </c>
      <c r="E309">
        <v>-1.3640000000000001</v>
      </c>
      <c r="F309" s="18">
        <f t="shared" si="158"/>
        <v>1.1240000000000023</v>
      </c>
      <c r="G309" s="18">
        <f t="shared" si="159"/>
        <v>2.3200000000000021</v>
      </c>
      <c r="H309">
        <v>5.72</v>
      </c>
      <c r="I309">
        <v>3.07</v>
      </c>
      <c r="J309">
        <f t="shared" si="168"/>
        <v>4.4000000000000004</v>
      </c>
      <c r="K309" s="6">
        <f t="shared" si="169"/>
        <v>4.29</v>
      </c>
      <c r="L309" s="6">
        <f t="shared" si="170"/>
        <v>-1.9999999999999574E-2</v>
      </c>
      <c r="M309">
        <v>3.8032135511887999</v>
      </c>
      <c r="N309">
        <v>383250</v>
      </c>
      <c r="O309" s="18">
        <f>ROUND(N309/VLOOKUP(EOMONTH(A309,-1),Employment!A:P,16,FALSE),4)</f>
        <v>1.5734999999999999</v>
      </c>
      <c r="P309" s="18">
        <f t="shared" si="160"/>
        <v>1.5680000000000001</v>
      </c>
      <c r="Q309" s="29">
        <f t="shared" si="161"/>
        <v>-9.9199999999999997E-2</v>
      </c>
      <c r="R309" s="29">
        <f t="shared" si="162"/>
        <v>-2E-3</v>
      </c>
      <c r="S309">
        <v>3316000</v>
      </c>
      <c r="T309" s="18">
        <f>ROUND((S309/7)/VLOOKUP(EOMONTH(A309,-1),Employment!A:P,16,FALSE),4)</f>
        <v>1.9449000000000001</v>
      </c>
      <c r="U309" s="18">
        <f t="shared" si="163"/>
        <v>1.9462999999999999</v>
      </c>
      <c r="V309" s="29">
        <f t="shared" si="164"/>
        <v>-0.12939999999999999</v>
      </c>
      <c r="W309" s="29">
        <f t="shared" si="165"/>
        <v>2.3999999999999998E-3</v>
      </c>
      <c r="X309" s="30">
        <f t="shared" si="166"/>
        <v>138.51</v>
      </c>
      <c r="Y309" s="31">
        <f t="shared" si="167"/>
        <v>136.47</v>
      </c>
    </row>
    <row r="310" spans="1:25" x14ac:dyDescent="0.25">
      <c r="A310" s="5">
        <v>41175</v>
      </c>
      <c r="B310">
        <v>1430.3824999999999</v>
      </c>
      <c r="C310" s="29">
        <f t="shared" si="171"/>
        <v>2.5000000000000001E-3</v>
      </c>
      <c r="D310">
        <v>-0.54</v>
      </c>
      <c r="E310">
        <v>-1.2609999999999999</v>
      </c>
      <c r="F310" s="18">
        <f t="shared" si="158"/>
        <v>0.80400000000000027</v>
      </c>
      <c r="G310" s="18">
        <f t="shared" si="159"/>
        <v>1.468</v>
      </c>
      <c r="H310">
        <v>5.42</v>
      </c>
      <c r="I310">
        <v>3.06</v>
      </c>
      <c r="J310">
        <f t="shared" si="168"/>
        <v>4.24</v>
      </c>
      <c r="K310" s="6">
        <f t="shared" si="169"/>
        <v>4.3099999999999996</v>
      </c>
      <c r="L310" s="6">
        <f t="shared" si="170"/>
        <v>-0.12000000000000011</v>
      </c>
      <c r="M310">
        <v>2.7982535655217</v>
      </c>
      <c r="N310">
        <v>383250</v>
      </c>
      <c r="O310" s="18">
        <f>ROUND(N310/VLOOKUP(EOMONTH(A310,-1),Employment!A:P,16,FALSE),4)</f>
        <v>1.5734999999999999</v>
      </c>
      <c r="P310" s="18">
        <f t="shared" si="160"/>
        <v>1.5543</v>
      </c>
      <c r="Q310" s="29">
        <f t="shared" si="161"/>
        <v>-0.1031</v>
      </c>
      <c r="R310" s="29">
        <f t="shared" si="162"/>
        <v>-1E-4</v>
      </c>
      <c r="S310">
        <v>3312000</v>
      </c>
      <c r="T310" s="18">
        <f>ROUND((S310/7)/VLOOKUP(EOMONTH(A310,-1),Employment!A:P,16,FALSE),4)</f>
        <v>1.9426000000000001</v>
      </c>
      <c r="U310" s="18">
        <f t="shared" si="163"/>
        <v>1.9473</v>
      </c>
      <c r="V310" s="29">
        <f t="shared" si="164"/>
        <v>-0.1273</v>
      </c>
      <c r="W310" s="29">
        <f t="shared" si="165"/>
        <v>1.6999999999999999E-3</v>
      </c>
      <c r="X310" s="30">
        <f t="shared" si="166"/>
        <v>135.68</v>
      </c>
      <c r="Y310" s="31">
        <f t="shared" si="167"/>
        <v>133.59</v>
      </c>
    </row>
    <row r="311" spans="1:25" x14ac:dyDescent="0.25">
      <c r="A311" s="5">
        <v>41168</v>
      </c>
      <c r="B311">
        <v>1430.4484</v>
      </c>
      <c r="C311" s="29">
        <f t="shared" si="171"/>
        <v>3.3E-3</v>
      </c>
      <c r="D311">
        <v>-0.51</v>
      </c>
      <c r="E311">
        <v>-1.198</v>
      </c>
      <c r="F311" s="18">
        <f t="shared" si="158"/>
        <v>0.39199999999999946</v>
      </c>
      <c r="G311" s="18">
        <f t="shared" si="159"/>
        <v>1.1760000000000002</v>
      </c>
      <c r="H311">
        <v>5.3</v>
      </c>
      <c r="I311">
        <v>3.15</v>
      </c>
      <c r="J311">
        <f t="shared" si="168"/>
        <v>4.2300000000000004</v>
      </c>
      <c r="K311" s="6">
        <f t="shared" si="169"/>
        <v>4.43</v>
      </c>
      <c r="L311" s="6">
        <f t="shared" si="170"/>
        <v>-0.11000000000000032</v>
      </c>
      <c r="M311">
        <v>2.0872387451108998</v>
      </c>
      <c r="N311">
        <v>379250</v>
      </c>
      <c r="O311" s="18">
        <f>ROUND(N311/VLOOKUP(EOMONTH(A311,-1),Employment!A:P,16,FALSE),4)</f>
        <v>1.5570999999999999</v>
      </c>
      <c r="P311" s="18">
        <f t="shared" si="160"/>
        <v>1.5406</v>
      </c>
      <c r="Q311" s="29">
        <f t="shared" si="161"/>
        <v>-0.1045</v>
      </c>
      <c r="R311" s="29">
        <f t="shared" si="162"/>
        <v>2.9999999999999997E-4</v>
      </c>
      <c r="S311">
        <v>3327000</v>
      </c>
      <c r="T311" s="18">
        <f>ROUND((S311/7)/VLOOKUP(EOMONTH(A311,-1),Employment!A:P,16,FALSE),4)</f>
        <v>1.9514</v>
      </c>
      <c r="U311" s="18">
        <f t="shared" si="163"/>
        <v>1.9460999999999999</v>
      </c>
      <c r="V311" s="29">
        <f t="shared" si="164"/>
        <v>-0.1245</v>
      </c>
      <c r="W311" s="29">
        <f t="shared" si="165"/>
        <v>8.0000000000000004E-4</v>
      </c>
      <c r="X311" s="30">
        <f t="shared" si="166"/>
        <v>133.37</v>
      </c>
      <c r="Y311" s="31">
        <f t="shared" si="167"/>
        <v>130.52000000000001</v>
      </c>
    </row>
    <row r="312" spans="1:25" x14ac:dyDescent="0.25">
      <c r="A312" s="5">
        <v>41161</v>
      </c>
      <c r="B312">
        <v>1425.8653999999999</v>
      </c>
      <c r="C312" s="29">
        <f t="shared" si="171"/>
        <v>8.0000000000000004E-4</v>
      </c>
      <c r="D312">
        <v>-0.49</v>
      </c>
      <c r="E312">
        <v>-1.1739999999999999</v>
      </c>
      <c r="F312" s="18">
        <f t="shared" si="158"/>
        <v>0.27200000000000024</v>
      </c>
      <c r="G312" s="18">
        <f t="shared" si="159"/>
        <v>0.90400000000000169</v>
      </c>
      <c r="H312">
        <v>5.74</v>
      </c>
      <c r="I312">
        <v>3.2</v>
      </c>
      <c r="J312">
        <f t="shared" si="168"/>
        <v>4.47</v>
      </c>
      <c r="K312" s="6">
        <f t="shared" si="169"/>
        <v>4.54</v>
      </c>
      <c r="L312" s="6">
        <f t="shared" si="170"/>
        <v>-3.0000000000000249E-2</v>
      </c>
      <c r="M312">
        <v>1.4420126319694999</v>
      </c>
      <c r="N312">
        <v>373250</v>
      </c>
      <c r="O312" s="18">
        <f>ROUND(N312/VLOOKUP(EOMONTH(A312,-1),Employment!A:P,16,FALSE),4)</f>
        <v>1.5324</v>
      </c>
      <c r="P312" s="18">
        <f t="shared" si="160"/>
        <v>1.5310999999999999</v>
      </c>
      <c r="Q312" s="29">
        <f t="shared" si="161"/>
        <v>-0.1045</v>
      </c>
      <c r="R312" s="29">
        <f t="shared" si="162"/>
        <v>-5.0000000000000001E-4</v>
      </c>
      <c r="S312">
        <v>3321000</v>
      </c>
      <c r="T312" s="18">
        <f>ROUND((S312/7)/VLOOKUP(EOMONTH(A312,-1),Employment!A:P,16,FALSE),4)</f>
        <v>1.9478</v>
      </c>
      <c r="U312" s="18">
        <f t="shared" si="163"/>
        <v>1.9406000000000001</v>
      </c>
      <c r="V312" s="29">
        <f t="shared" si="164"/>
        <v>-0.1239</v>
      </c>
      <c r="W312" s="29">
        <f t="shared" si="165"/>
        <v>6.9999999999999999E-4</v>
      </c>
      <c r="X312" s="30">
        <f t="shared" si="166"/>
        <v>128.92000000000002</v>
      </c>
      <c r="Y312" s="31">
        <f t="shared" si="167"/>
        <v>127.55</v>
      </c>
    </row>
    <row r="313" spans="1:25" x14ac:dyDescent="0.25">
      <c r="A313" s="5">
        <v>41154</v>
      </c>
      <c r="B313">
        <v>1426.1741</v>
      </c>
      <c r="C313" s="29">
        <f t="shared" si="171"/>
        <v>2.8E-3</v>
      </c>
      <c r="D313">
        <v>-0.47</v>
      </c>
      <c r="E313">
        <v>-1.165</v>
      </c>
      <c r="F313" s="18">
        <f t="shared" si="158"/>
        <v>0.51200000000000045</v>
      </c>
      <c r="G313" s="18">
        <f t="shared" si="159"/>
        <v>0.96399999999999864</v>
      </c>
      <c r="H313">
        <v>5.98</v>
      </c>
      <c r="I313">
        <v>3.21</v>
      </c>
      <c r="J313">
        <f t="shared" si="168"/>
        <v>4.5999999999999996</v>
      </c>
      <c r="K313" s="6">
        <f t="shared" si="169"/>
        <v>4.57</v>
      </c>
      <c r="L313" s="6">
        <f t="shared" si="170"/>
        <v>0</v>
      </c>
      <c r="M313">
        <v>0.79973293471861995</v>
      </c>
      <c r="N313">
        <v>373250</v>
      </c>
      <c r="O313" s="18">
        <f>ROUND(N313/VLOOKUP(EOMONTH(A313,-1),Employment!A:P,16,FALSE),4)</f>
        <v>1.5324</v>
      </c>
      <c r="P313" s="18">
        <f t="shared" si="160"/>
        <v>1.5270999999999999</v>
      </c>
      <c r="Q313" s="29">
        <f t="shared" si="161"/>
        <v>-0.1042</v>
      </c>
      <c r="R313" s="29">
        <f t="shared" si="162"/>
        <v>-2.5000000000000001E-3</v>
      </c>
      <c r="S313">
        <v>3306000</v>
      </c>
      <c r="T313" s="18">
        <f>ROUND((S313/7)/VLOOKUP(EOMONTH(A313,-1),Employment!A:P,16,FALSE),4)</f>
        <v>1.9390000000000001</v>
      </c>
      <c r="U313" s="18">
        <f t="shared" si="163"/>
        <v>1.9374</v>
      </c>
      <c r="V313" s="29">
        <f t="shared" si="164"/>
        <v>-0.1245</v>
      </c>
      <c r="W313" s="29">
        <f t="shared" si="165"/>
        <v>-1.6999999999999999E-3</v>
      </c>
      <c r="X313" s="30">
        <f t="shared" si="166"/>
        <v>127.42</v>
      </c>
      <c r="Y313" s="31">
        <f t="shared" si="167"/>
        <v>125.92</v>
      </c>
    </row>
    <row r="314" spans="1:25" x14ac:dyDescent="0.25">
      <c r="A314" s="5">
        <v>41147</v>
      </c>
      <c r="B314">
        <v>1424.5722000000001</v>
      </c>
      <c r="C314" s="29">
        <f t="shared" si="171"/>
        <v>3.5999999999999999E-3</v>
      </c>
      <c r="D314">
        <v>-0.45</v>
      </c>
      <c r="E314">
        <v>-1.1259999999999999</v>
      </c>
      <c r="F314" s="18">
        <f t="shared" si="158"/>
        <v>0.12000000000000099</v>
      </c>
      <c r="G314" s="18">
        <f t="shared" si="159"/>
        <v>0.65599999999999881</v>
      </c>
      <c r="H314">
        <v>5.87</v>
      </c>
      <c r="I314">
        <v>3.21</v>
      </c>
      <c r="J314">
        <f t="shared" si="168"/>
        <v>4.54</v>
      </c>
      <c r="K314" s="6">
        <f t="shared" si="169"/>
        <v>4.57</v>
      </c>
      <c r="L314" s="6">
        <f t="shared" si="170"/>
        <v>-4.0000000000000036E-2</v>
      </c>
      <c r="M314">
        <v>-2.0248951871159999E-2</v>
      </c>
      <c r="N314">
        <v>372000</v>
      </c>
      <c r="O314" s="18">
        <f>ROUND(N314/VLOOKUP(EOMONTH(A314,-1),Employment!A:P,16,FALSE),4)</f>
        <v>1.5286</v>
      </c>
      <c r="P314" s="18">
        <f t="shared" si="160"/>
        <v>1.5303</v>
      </c>
      <c r="Q314" s="29">
        <f t="shared" si="161"/>
        <v>-0.1033</v>
      </c>
      <c r="R314" s="29">
        <f t="shared" si="162"/>
        <v>-4.1000000000000003E-3</v>
      </c>
      <c r="S314">
        <v>3296000</v>
      </c>
      <c r="T314" s="18">
        <f>ROUND((S314/7)/VLOOKUP(EOMONTH(A314,-1),Employment!A:P,16,FALSE),4)</f>
        <v>1.9349000000000001</v>
      </c>
      <c r="U314" s="18">
        <f t="shared" si="163"/>
        <v>1.9392</v>
      </c>
      <c r="V314" s="29">
        <f t="shared" si="164"/>
        <v>-0.12089999999999999</v>
      </c>
      <c r="W314" s="29">
        <f t="shared" si="165"/>
        <v>-2.7000000000000001E-3</v>
      </c>
      <c r="X314" s="30">
        <f t="shared" si="166"/>
        <v>124.43</v>
      </c>
      <c r="Y314" s="31">
        <f t="shared" si="167"/>
        <v>125.44</v>
      </c>
    </row>
    <row r="315" spans="1:25" x14ac:dyDescent="0.25">
      <c r="A315" s="5">
        <v>41140</v>
      </c>
      <c r="B315">
        <v>1426.5637999999999</v>
      </c>
      <c r="C315" s="29">
        <f t="shared" si="171"/>
        <v>8.0999999999999996E-3</v>
      </c>
      <c r="D315">
        <v>-0.43</v>
      </c>
      <c r="E315">
        <v>-1.1359999999999999</v>
      </c>
      <c r="F315" s="18">
        <f t="shared" si="158"/>
        <v>0.33199999999999719</v>
      </c>
      <c r="G315" s="18">
        <f t="shared" si="159"/>
        <v>0.48799999999999777</v>
      </c>
      <c r="H315">
        <v>5.89</v>
      </c>
      <c r="I315">
        <v>3.25</v>
      </c>
      <c r="J315">
        <f t="shared" si="168"/>
        <v>4.57</v>
      </c>
      <c r="K315" s="6">
        <f t="shared" si="169"/>
        <v>4.6100000000000003</v>
      </c>
      <c r="L315" s="6">
        <f t="shared" si="170"/>
        <v>-5.9999999999999609E-2</v>
      </c>
      <c r="M315">
        <v>-0.53442784608859994</v>
      </c>
      <c r="N315">
        <v>370000</v>
      </c>
      <c r="O315" s="18">
        <f>ROUND(N315/VLOOKUP(EOMONTH(A315,-1),Employment!A:P,16,FALSE),4)</f>
        <v>1.5204</v>
      </c>
      <c r="P315" s="18">
        <f t="shared" si="160"/>
        <v>1.5309999999999999</v>
      </c>
      <c r="Q315" s="29">
        <f t="shared" si="161"/>
        <v>-0.1047</v>
      </c>
      <c r="R315" s="29">
        <f t="shared" si="162"/>
        <v>-3.3999999999999998E-3</v>
      </c>
      <c r="S315">
        <v>3302000</v>
      </c>
      <c r="T315" s="18">
        <f>ROUND((S315/7)/VLOOKUP(EOMONTH(A315,-1),Employment!A:P,16,FALSE),4)</f>
        <v>1.9383999999999999</v>
      </c>
      <c r="U315" s="18">
        <f t="shared" si="163"/>
        <v>1.9379999999999999</v>
      </c>
      <c r="V315" s="29">
        <f t="shared" si="164"/>
        <v>-0.12330000000000001</v>
      </c>
      <c r="W315" s="29">
        <f t="shared" si="165"/>
        <v>-1.2999999999999999E-3</v>
      </c>
      <c r="X315" s="30">
        <f t="shared" si="166"/>
        <v>125.92</v>
      </c>
      <c r="Y315" s="31">
        <f t="shared" si="167"/>
        <v>126.88</v>
      </c>
    </row>
    <row r="316" spans="1:25" x14ac:dyDescent="0.25">
      <c r="A316" s="5">
        <v>41133</v>
      </c>
      <c r="B316">
        <v>1421.3262</v>
      </c>
      <c r="C316" s="29">
        <f t="shared" si="171"/>
        <v>7.1000000000000004E-3</v>
      </c>
      <c r="D316">
        <v>-0.42</v>
      </c>
      <c r="E316">
        <v>-1.107</v>
      </c>
      <c r="F316" s="18">
        <f t="shared" si="158"/>
        <v>0.20400000000000063</v>
      </c>
      <c r="G316" s="18">
        <f t="shared" si="159"/>
        <v>0.74400000000000155</v>
      </c>
      <c r="H316">
        <v>5.98</v>
      </c>
      <c r="I316">
        <v>3.23</v>
      </c>
      <c r="J316">
        <f t="shared" si="168"/>
        <v>4.6100000000000003</v>
      </c>
      <c r="K316" s="6">
        <f t="shared" si="169"/>
        <v>4.67</v>
      </c>
      <c r="L316" s="6">
        <f t="shared" si="170"/>
        <v>-6.0000000000000497E-2</v>
      </c>
      <c r="M316">
        <v>-1.2158950024476001</v>
      </c>
      <c r="N316">
        <v>375250</v>
      </c>
      <c r="O316" s="18">
        <f>ROUND(N316/VLOOKUP(EOMONTH(A316,-1),Employment!A:P,16,FALSE),4)</f>
        <v>1.542</v>
      </c>
      <c r="P316" s="18">
        <f t="shared" si="160"/>
        <v>1.5348999999999999</v>
      </c>
      <c r="Q316" s="29">
        <f t="shared" si="161"/>
        <v>-0.1074</v>
      </c>
      <c r="R316" s="29">
        <f t="shared" si="162"/>
        <v>-2.9999999999999997E-4</v>
      </c>
      <c r="S316">
        <v>3312000</v>
      </c>
      <c r="T316" s="18">
        <f>ROUND((S316/7)/VLOOKUP(EOMONTH(A316,-1),Employment!A:P,16,FALSE),4)</f>
        <v>1.9442999999999999</v>
      </c>
      <c r="U316" s="18">
        <f t="shared" si="163"/>
        <v>1.9395</v>
      </c>
      <c r="V316" s="29">
        <f t="shared" si="164"/>
        <v>-0.12479999999999999</v>
      </c>
      <c r="W316" s="29">
        <f t="shared" si="165"/>
        <v>8.9999999999999998E-4</v>
      </c>
      <c r="X316" s="30">
        <f t="shared" si="166"/>
        <v>126.75999999999999</v>
      </c>
      <c r="Y316" s="31">
        <f t="shared" si="167"/>
        <v>128.59</v>
      </c>
    </row>
    <row r="317" spans="1:25" x14ac:dyDescent="0.25">
      <c r="A317" s="5">
        <v>41126</v>
      </c>
      <c r="B317">
        <v>1416.3058000000001</v>
      </c>
      <c r="C317" s="29">
        <f t="shared" si="171"/>
        <v>6.6E-3</v>
      </c>
      <c r="D317">
        <v>-0.41</v>
      </c>
      <c r="E317">
        <v>-1.0940000000000001</v>
      </c>
      <c r="F317" s="18">
        <f t="shared" si="158"/>
        <v>-4.8000000000000043E-2</v>
      </c>
      <c r="G317" s="18">
        <f t="shared" si="159"/>
        <v>1.032</v>
      </c>
      <c r="H317">
        <v>6.01</v>
      </c>
      <c r="I317">
        <v>3.26</v>
      </c>
      <c r="J317">
        <f t="shared" si="168"/>
        <v>4.6399999999999997</v>
      </c>
      <c r="K317" s="6">
        <f t="shared" si="169"/>
        <v>4.7300000000000004</v>
      </c>
      <c r="L317" s="6">
        <f t="shared" si="170"/>
        <v>-8.9999999999999858E-2</v>
      </c>
      <c r="M317">
        <v>-1.3303144060478</v>
      </c>
      <c r="N317">
        <v>372500</v>
      </c>
      <c r="O317" s="18">
        <f>ROUND(N317/VLOOKUP(EOMONTH(A317,-1),Employment!A:P,16,FALSE),4)</f>
        <v>1.5306999999999999</v>
      </c>
      <c r="P317" s="18">
        <f t="shared" si="160"/>
        <v>1.5356000000000001</v>
      </c>
      <c r="Q317" s="29">
        <f t="shared" si="161"/>
        <v>-0.11169999999999999</v>
      </c>
      <c r="R317" s="29">
        <f t="shared" si="162"/>
        <v>3.8999999999999998E-3</v>
      </c>
      <c r="S317">
        <v>3290000</v>
      </c>
      <c r="T317" s="18">
        <f>ROUND((S317/7)/VLOOKUP(EOMONTH(A317,-1),Employment!A:P,16,FALSE),4)</f>
        <v>1.9313</v>
      </c>
      <c r="U317" s="18">
        <f t="shared" si="163"/>
        <v>1.9403999999999999</v>
      </c>
      <c r="V317" s="29">
        <f t="shared" si="164"/>
        <v>-0.12839999999999999</v>
      </c>
      <c r="W317" s="29">
        <f t="shared" si="165"/>
        <v>2.0999999999999999E-3</v>
      </c>
      <c r="X317" s="30">
        <f t="shared" si="166"/>
        <v>129.56</v>
      </c>
      <c r="Y317" s="31">
        <f t="shared" si="167"/>
        <v>129.68</v>
      </c>
    </row>
    <row r="318" spans="1:25" x14ac:dyDescent="0.25">
      <c r="A318" s="5">
        <v>41119</v>
      </c>
      <c r="B318">
        <v>1413.6489999999999</v>
      </c>
      <c r="C318" s="29">
        <f t="shared" si="171"/>
        <v>7.0000000000000001E-3</v>
      </c>
      <c r="D318">
        <v>-0.41</v>
      </c>
      <c r="E318">
        <v>-1.1000000000000001</v>
      </c>
      <c r="F318" s="18">
        <f t="shared" si="158"/>
        <v>0.58800000000000097</v>
      </c>
      <c r="G318" s="18">
        <f t="shared" si="159"/>
        <v>1.7200000000000006</v>
      </c>
      <c r="H318">
        <v>6.22</v>
      </c>
      <c r="I318">
        <v>3.29</v>
      </c>
      <c r="J318">
        <f t="shared" si="168"/>
        <v>4.76</v>
      </c>
      <c r="K318" s="6">
        <f t="shared" si="169"/>
        <v>4.82</v>
      </c>
      <c r="L318" s="6">
        <f t="shared" si="170"/>
        <v>-4.9999999999999822E-2</v>
      </c>
      <c r="M318">
        <v>-1.6878564143532999</v>
      </c>
      <c r="N318">
        <v>372500</v>
      </c>
      <c r="O318" s="18">
        <f>ROUND(N318/VLOOKUP(EOMONTH(A318,-1),Employment!A:P,16,FALSE),4)</f>
        <v>1.5319</v>
      </c>
      <c r="P318" s="18">
        <f t="shared" si="160"/>
        <v>1.5381</v>
      </c>
      <c r="Q318" s="29">
        <f t="shared" si="161"/>
        <v>-0.11360000000000001</v>
      </c>
      <c r="R318" s="29">
        <f t="shared" si="162"/>
        <v>4.1999999999999997E-3</v>
      </c>
      <c r="S318">
        <v>3307000</v>
      </c>
      <c r="T318" s="18">
        <f>ROUND((S318/7)/VLOOKUP(EOMONTH(A318,-1),Employment!A:P,16,FALSE),4)</f>
        <v>1.9429000000000001</v>
      </c>
      <c r="U318" s="18">
        <f t="shared" si="163"/>
        <v>1.9437</v>
      </c>
      <c r="V318" s="29">
        <f t="shared" si="164"/>
        <v>-0.1265</v>
      </c>
      <c r="W318" s="29">
        <f t="shared" si="165"/>
        <v>5.0000000000000001E-4</v>
      </c>
      <c r="X318" s="30">
        <f t="shared" si="166"/>
        <v>130.76</v>
      </c>
      <c r="Y318" s="31">
        <f t="shared" si="167"/>
        <v>128.36000000000001</v>
      </c>
    </row>
    <row r="319" spans="1:25" x14ac:dyDescent="0.25">
      <c r="A319" s="5">
        <v>41112</v>
      </c>
      <c r="B319">
        <v>1409.0338999999999</v>
      </c>
      <c r="C319" s="29">
        <f t="shared" si="171"/>
        <v>6.3E-3</v>
      </c>
      <c r="D319">
        <v>-0.4</v>
      </c>
      <c r="E319">
        <v>-1.0389999999999999</v>
      </c>
      <c r="F319" s="18">
        <f t="shared" si="158"/>
        <v>0.4919999999999991</v>
      </c>
      <c r="G319" s="18">
        <f t="shared" si="159"/>
        <v>1.863999999999999</v>
      </c>
      <c r="H319">
        <v>6.28</v>
      </c>
      <c r="I319">
        <v>3.31</v>
      </c>
      <c r="J319">
        <f t="shared" si="168"/>
        <v>4.8</v>
      </c>
      <c r="K319" s="6">
        <f t="shared" si="169"/>
        <v>4.87</v>
      </c>
      <c r="L319" s="6">
        <f t="shared" si="170"/>
        <v>-3.0000000000000249E-2</v>
      </c>
      <c r="M319">
        <v>-2.1954023078720999</v>
      </c>
      <c r="N319">
        <v>375500</v>
      </c>
      <c r="O319" s="18">
        <f>ROUND(N319/VLOOKUP(EOMONTH(A319,-1),Employment!A:P,16,FALSE),4)</f>
        <v>1.5443</v>
      </c>
      <c r="P319" s="18">
        <f t="shared" si="160"/>
        <v>1.5481</v>
      </c>
      <c r="Q319" s="29">
        <f t="shared" si="161"/>
        <v>-0.10979999999999999</v>
      </c>
      <c r="R319" s="29">
        <f t="shared" si="162"/>
        <v>1.1999999999999999E-3</v>
      </c>
      <c r="S319">
        <v>3314000</v>
      </c>
      <c r="T319" s="18">
        <f>ROUND((S319/7)/VLOOKUP(EOMONTH(A319,-1),Employment!A:P,16,FALSE),4)</f>
        <v>1.9470000000000001</v>
      </c>
      <c r="U319" s="18">
        <f t="shared" si="163"/>
        <v>1.9472</v>
      </c>
      <c r="V319" s="29">
        <f t="shared" si="164"/>
        <v>-0.12379999999999999</v>
      </c>
      <c r="W319" s="29">
        <f t="shared" si="165"/>
        <v>1E-3</v>
      </c>
      <c r="X319" s="30">
        <f t="shared" si="166"/>
        <v>127.25999999999999</v>
      </c>
      <c r="Y319" s="31">
        <f t="shared" si="167"/>
        <v>124.66</v>
      </c>
    </row>
    <row r="320" spans="1:25" x14ac:dyDescent="0.25">
      <c r="A320" s="5">
        <v>41105</v>
      </c>
      <c r="B320">
        <v>1406.3556000000001</v>
      </c>
      <c r="C320" s="29">
        <f t="shared" si="171"/>
        <v>6.7000000000000002E-3</v>
      </c>
      <c r="D320">
        <v>-0.39</v>
      </c>
      <c r="E320">
        <v>-0.99</v>
      </c>
      <c r="F320" s="18">
        <f t="shared" si="158"/>
        <v>0.64000000000000057</v>
      </c>
      <c r="G320" s="18">
        <f t="shared" si="159"/>
        <v>2.7439999999999998</v>
      </c>
      <c r="H320">
        <v>6.41</v>
      </c>
      <c r="I320">
        <v>3.37</v>
      </c>
      <c r="J320">
        <f t="shared" si="168"/>
        <v>4.8899999999999997</v>
      </c>
      <c r="K320" s="6">
        <f t="shared" si="169"/>
        <v>4.9000000000000004</v>
      </c>
      <c r="L320" s="6">
        <f t="shared" si="170"/>
        <v>-1.9999999999999574E-2</v>
      </c>
      <c r="M320">
        <v>-2.5582438138993</v>
      </c>
      <c r="N320">
        <v>374000</v>
      </c>
      <c r="O320" s="18">
        <f>ROUND(N320/VLOOKUP(EOMONTH(A320,-1),Employment!A:P,16,FALSE),4)</f>
        <v>1.5381</v>
      </c>
      <c r="P320" s="18">
        <f t="shared" si="160"/>
        <v>1.5556000000000001</v>
      </c>
      <c r="Q320" s="29">
        <f t="shared" si="161"/>
        <v>-0.1066</v>
      </c>
      <c r="R320" s="29">
        <f t="shared" si="162"/>
        <v>-4.7000000000000002E-3</v>
      </c>
      <c r="S320">
        <v>3304000</v>
      </c>
      <c r="T320" s="18">
        <f>ROUND((S320/7)/VLOOKUP(EOMONTH(A320,-1),Employment!A:P,16,FALSE),4)</f>
        <v>1.9411</v>
      </c>
      <c r="U320" s="18">
        <f t="shared" si="163"/>
        <v>1.9490000000000001</v>
      </c>
      <c r="V320" s="29">
        <f t="shared" si="164"/>
        <v>-0.12509999999999999</v>
      </c>
      <c r="W320" s="29">
        <f t="shared" si="165"/>
        <v>-5.0000000000000001E-4</v>
      </c>
      <c r="X320" s="30">
        <f t="shared" si="166"/>
        <v>125.08</v>
      </c>
      <c r="Y320" s="31">
        <f t="shared" si="167"/>
        <v>119.53</v>
      </c>
    </row>
    <row r="321" spans="1:25" x14ac:dyDescent="0.25">
      <c r="A321" s="5">
        <v>41098</v>
      </c>
      <c r="B321">
        <v>1399.2855</v>
      </c>
      <c r="C321" s="29">
        <f t="shared" si="171"/>
        <v>4.3E-3</v>
      </c>
      <c r="D321">
        <v>-0.35</v>
      </c>
      <c r="E321">
        <v>-0.96</v>
      </c>
      <c r="F321" s="18">
        <f t="shared" si="158"/>
        <v>0.73199999999999932</v>
      </c>
      <c r="G321" s="18">
        <f t="shared" si="159"/>
        <v>2.3359999999999985</v>
      </c>
      <c r="H321">
        <v>6.44</v>
      </c>
      <c r="I321">
        <v>3.41</v>
      </c>
      <c r="J321">
        <f t="shared" si="168"/>
        <v>4.93</v>
      </c>
      <c r="K321" s="6">
        <f t="shared" si="169"/>
        <v>4.92</v>
      </c>
      <c r="L321" s="6">
        <f t="shared" si="170"/>
        <v>-6.0000000000000497E-2</v>
      </c>
      <c r="M321">
        <v>-2.9927858516721999</v>
      </c>
      <c r="N321">
        <v>379750</v>
      </c>
      <c r="O321" s="18">
        <f>ROUND(N321/VLOOKUP(EOMONTH(A321,-1),Employment!A:P,16,FALSE),4)</f>
        <v>1.5618000000000001</v>
      </c>
      <c r="P321" s="18">
        <f t="shared" si="160"/>
        <v>1.5659000000000001</v>
      </c>
      <c r="Q321" s="29">
        <f t="shared" si="161"/>
        <v>-0.1022</v>
      </c>
      <c r="R321" s="29">
        <f t="shared" si="162"/>
        <v>-1.15E-2</v>
      </c>
      <c r="S321">
        <v>3325000</v>
      </c>
      <c r="T321" s="18">
        <f>ROUND((S321/7)/VLOOKUP(EOMONTH(A321,-1),Employment!A:P,16,FALSE),4)</f>
        <v>1.9535</v>
      </c>
      <c r="U321" s="18">
        <f t="shared" si="163"/>
        <v>1.9571000000000001</v>
      </c>
      <c r="V321" s="29">
        <f t="shared" si="164"/>
        <v>-0.1227</v>
      </c>
      <c r="W321" s="29">
        <f t="shared" si="165"/>
        <v>-1.5E-3</v>
      </c>
      <c r="X321" s="30">
        <f t="shared" si="166"/>
        <v>117.1</v>
      </c>
      <c r="Y321" s="31">
        <f t="shared" si="167"/>
        <v>112.51</v>
      </c>
    </row>
    <row r="322" spans="1:25" x14ac:dyDescent="0.25">
      <c r="A322" s="5">
        <v>41091</v>
      </c>
      <c r="B322">
        <v>1400.5205000000001</v>
      </c>
      <c r="C322" s="29">
        <f t="shared" si="171"/>
        <v>8.8000000000000005E-3</v>
      </c>
      <c r="D322">
        <v>-0.32</v>
      </c>
      <c r="E322">
        <v>-0.90600000000000003</v>
      </c>
      <c r="F322" s="18">
        <f t="shared" si="158"/>
        <v>1.3719999999999999</v>
      </c>
      <c r="G322" s="18">
        <f t="shared" si="159"/>
        <v>1.1479999999999997</v>
      </c>
      <c r="H322">
        <v>6.36</v>
      </c>
      <c r="I322">
        <v>3.39</v>
      </c>
      <c r="J322">
        <f t="shared" si="168"/>
        <v>4.88</v>
      </c>
      <c r="K322" s="6">
        <f t="shared" si="169"/>
        <v>4.9800000000000004</v>
      </c>
      <c r="L322" s="6">
        <f t="shared" si="170"/>
        <v>-0.10999999999999943</v>
      </c>
      <c r="M322">
        <v>-3.2649770292937998</v>
      </c>
      <c r="N322">
        <v>381000</v>
      </c>
      <c r="O322" s="18">
        <f>ROUND(N322/VLOOKUP(EOMONTH(A322,-1),Employment!A:P,16,FALSE),4)</f>
        <v>1.5669</v>
      </c>
      <c r="P322" s="18">
        <f t="shared" si="160"/>
        <v>1.5639000000000001</v>
      </c>
      <c r="Q322" s="29">
        <f t="shared" si="161"/>
        <v>-0.1051</v>
      </c>
      <c r="R322" s="29">
        <f t="shared" si="162"/>
        <v>-1.5900000000000001E-2</v>
      </c>
      <c r="S322">
        <v>3323000</v>
      </c>
      <c r="T322" s="18">
        <f>ROUND((S322/7)/VLOOKUP(EOMONTH(A322,-1),Employment!A:P,16,FALSE),4)</f>
        <v>1.9522999999999999</v>
      </c>
      <c r="U322" s="18">
        <f t="shared" si="163"/>
        <v>1.958</v>
      </c>
      <c r="V322" s="29">
        <f t="shared" si="164"/>
        <v>-0.125</v>
      </c>
      <c r="W322" s="29">
        <f t="shared" si="165"/>
        <v>-5.4000000000000003E-3</v>
      </c>
      <c r="X322" s="30">
        <f t="shared" si="166"/>
        <v>111.72999999999999</v>
      </c>
      <c r="Y322" s="31">
        <f t="shared" si="167"/>
        <v>107.16</v>
      </c>
    </row>
    <row r="323" spans="1:25" x14ac:dyDescent="0.25">
      <c r="A323" s="5">
        <v>41084</v>
      </c>
      <c r="B323">
        <v>1394.4511</v>
      </c>
      <c r="C323" s="29">
        <f t="shared" si="171"/>
        <v>7.7000000000000002E-3</v>
      </c>
      <c r="D323">
        <v>-0.28999999999999998</v>
      </c>
      <c r="E323">
        <v>-0.77200000000000002</v>
      </c>
      <c r="F323" s="18">
        <f t="shared" si="158"/>
        <v>0.23199999999999932</v>
      </c>
      <c r="G323" s="18">
        <f t="shared" si="159"/>
        <v>-0.83199999999999896</v>
      </c>
      <c r="H323">
        <v>6.52</v>
      </c>
      <c r="I323">
        <v>3.36</v>
      </c>
      <c r="J323">
        <f t="shared" si="168"/>
        <v>4.9400000000000004</v>
      </c>
      <c r="K323" s="6">
        <f t="shared" si="169"/>
        <v>5.09</v>
      </c>
      <c r="L323" s="6">
        <f t="shared" si="170"/>
        <v>-0.12000000000000011</v>
      </c>
      <c r="M323">
        <v>-3.2224274261749</v>
      </c>
      <c r="N323">
        <v>381250</v>
      </c>
      <c r="O323" s="18">
        <f>ROUND(N323/VLOOKUP(EOMONTH(A323,-1),Employment!A:P,16,FALSE),4)</f>
        <v>1.5690999999999999</v>
      </c>
      <c r="P323" s="18">
        <f t="shared" si="160"/>
        <v>1.5553999999999999</v>
      </c>
      <c r="Q323" s="29">
        <f t="shared" si="161"/>
        <v>-0.1111</v>
      </c>
      <c r="R323" s="29">
        <f t="shared" si="162"/>
        <v>-1.6799999999999999E-2</v>
      </c>
      <c r="S323">
        <v>3343000</v>
      </c>
      <c r="T323" s="18">
        <f>ROUND((S323/7)/VLOOKUP(EOMONTH(A323,-1),Employment!A:P,16,FALSE),4)</f>
        <v>1.9656</v>
      </c>
      <c r="U323" s="18">
        <f t="shared" si="163"/>
        <v>1.964</v>
      </c>
      <c r="V323" s="29">
        <f t="shared" si="164"/>
        <v>-0.1206</v>
      </c>
      <c r="W323" s="29">
        <f t="shared" si="165"/>
        <v>-6.7000000000000002E-3</v>
      </c>
      <c r="X323" s="30">
        <f t="shared" si="166"/>
        <v>102.97</v>
      </c>
      <c r="Y323" s="31">
        <f t="shared" si="167"/>
        <v>105.72</v>
      </c>
    </row>
    <row r="324" spans="1:25" x14ac:dyDescent="0.25">
      <c r="A324" s="5">
        <v>41077</v>
      </c>
      <c r="B324">
        <v>1393.5852</v>
      </c>
      <c r="C324" s="29">
        <f t="shared" si="171"/>
        <v>1.06E-2</v>
      </c>
      <c r="D324">
        <v>-0.27</v>
      </c>
      <c r="E324">
        <v>-0.76800000000000002</v>
      </c>
      <c r="F324" s="18">
        <f t="shared" si="158"/>
        <v>-0.45599999999999952</v>
      </c>
      <c r="G324" s="18">
        <f t="shared" si="159"/>
        <v>-1.5679999999999996</v>
      </c>
      <c r="H324">
        <v>6.84</v>
      </c>
      <c r="I324">
        <v>3.42</v>
      </c>
      <c r="J324">
        <f t="shared" si="168"/>
        <v>5.13</v>
      </c>
      <c r="K324" s="6">
        <f t="shared" si="169"/>
        <v>5.21</v>
      </c>
      <c r="L324" s="6">
        <f t="shared" si="170"/>
        <v>4.9999999999999822E-2</v>
      </c>
      <c r="M324">
        <v>-2.8339063060440002</v>
      </c>
      <c r="N324">
        <v>378000</v>
      </c>
      <c r="O324" s="18">
        <f>ROUND(N324/VLOOKUP(EOMONTH(A324,-1),Employment!A:P,16,FALSE),4)</f>
        <v>1.5558000000000001</v>
      </c>
      <c r="P324" s="18">
        <f t="shared" si="160"/>
        <v>1.5448</v>
      </c>
      <c r="Q324" s="29">
        <f t="shared" si="161"/>
        <v>-0.1207</v>
      </c>
      <c r="R324" s="29">
        <f t="shared" si="162"/>
        <v>-8.8999999999999999E-3</v>
      </c>
      <c r="S324">
        <v>3327000</v>
      </c>
      <c r="T324" s="18">
        <f>ROUND((S324/7)/VLOOKUP(EOMONTH(A324,-1),Employment!A:P,16,FALSE),4)</f>
        <v>1.9561999999999999</v>
      </c>
      <c r="U324" s="18">
        <f t="shared" si="163"/>
        <v>1.9558</v>
      </c>
      <c r="V324" s="29">
        <f t="shared" si="164"/>
        <v>-0.12839999999999999</v>
      </c>
      <c r="W324" s="29">
        <f t="shared" si="165"/>
        <v>-6.3E-3</v>
      </c>
      <c r="X324" s="30">
        <f t="shared" si="166"/>
        <v>106.18</v>
      </c>
      <c r="Y324" s="31">
        <f t="shared" si="167"/>
        <v>111.12</v>
      </c>
    </row>
    <row r="325" spans="1:25" x14ac:dyDescent="0.25">
      <c r="A325" s="5">
        <v>41070</v>
      </c>
      <c r="B325">
        <v>1384.3723</v>
      </c>
      <c r="C325" s="29">
        <f t="shared" si="171"/>
        <v>6.3E-3</v>
      </c>
      <c r="D325">
        <v>-0.27</v>
      </c>
      <c r="E325">
        <v>-0.82499999999999996</v>
      </c>
      <c r="F325" s="18">
        <f t="shared" si="158"/>
        <v>-0.60799999999999876</v>
      </c>
      <c r="G325" s="18">
        <f t="shared" si="159"/>
        <v>-2.5439999999999987</v>
      </c>
      <c r="H325">
        <v>6.95</v>
      </c>
      <c r="I325">
        <v>3.44</v>
      </c>
      <c r="J325">
        <f t="shared" si="168"/>
        <v>5.2</v>
      </c>
      <c r="K325" s="6">
        <f t="shared" si="169"/>
        <v>5.16</v>
      </c>
      <c r="L325" s="6">
        <f t="shared" si="170"/>
        <v>0.10000000000000053</v>
      </c>
      <c r="M325">
        <v>-2.0958461784742002</v>
      </c>
      <c r="N325">
        <v>374500</v>
      </c>
      <c r="O325" s="18">
        <f>ROUND(N325/VLOOKUP(EOMONTH(A325,-1),Employment!A:P,16,FALSE),4)</f>
        <v>1.5414000000000001</v>
      </c>
      <c r="P325" s="18">
        <f t="shared" si="160"/>
        <v>1.5359</v>
      </c>
      <c r="Q325" s="29">
        <f t="shared" si="161"/>
        <v>-0.13669999999999999</v>
      </c>
      <c r="R325" s="29">
        <f t="shared" si="162"/>
        <v>5.0000000000000001E-3</v>
      </c>
      <c r="S325">
        <v>3351000</v>
      </c>
      <c r="T325" s="18">
        <f>ROUND((S325/7)/VLOOKUP(EOMONTH(A325,-1),Employment!A:P,16,FALSE),4)</f>
        <v>1.9702999999999999</v>
      </c>
      <c r="U325" s="18">
        <f t="shared" si="163"/>
        <v>1.9577</v>
      </c>
      <c r="V325" s="29">
        <f t="shared" si="164"/>
        <v>-0.13009999999999999</v>
      </c>
      <c r="W325" s="29">
        <f t="shared" si="165"/>
        <v>-3.3E-3</v>
      </c>
      <c r="X325" s="30">
        <f t="shared" si="166"/>
        <v>111.45</v>
      </c>
      <c r="Y325" s="31">
        <f t="shared" si="167"/>
        <v>119.16</v>
      </c>
    </row>
    <row r="326" spans="1:25" x14ac:dyDescent="0.25">
      <c r="A326" s="5">
        <v>41063</v>
      </c>
      <c r="B326">
        <v>1380.8912</v>
      </c>
      <c r="C326" s="29">
        <f t="shared" si="171"/>
        <v>5.4999999999999997E-3</v>
      </c>
      <c r="D326">
        <v>-0.28999999999999998</v>
      </c>
      <c r="E326">
        <v>-0.876</v>
      </c>
      <c r="F326" s="18">
        <f t="shared" si="158"/>
        <v>-0.50400000000000134</v>
      </c>
      <c r="G326" s="18">
        <f t="shared" si="159"/>
        <v>-2.3040000000000003</v>
      </c>
      <c r="H326">
        <v>7.16</v>
      </c>
      <c r="I326">
        <v>3.41</v>
      </c>
      <c r="J326">
        <f t="shared" si="168"/>
        <v>5.29</v>
      </c>
      <c r="K326" s="6">
        <f t="shared" si="169"/>
        <v>5.0599999999999996</v>
      </c>
      <c r="L326" s="6">
        <f t="shared" si="170"/>
        <v>0.21999999999999975</v>
      </c>
      <c r="M326">
        <v>-0.76613785935531997</v>
      </c>
      <c r="N326">
        <v>373500</v>
      </c>
      <c r="O326" s="18">
        <f>ROUND(N326/VLOOKUP(EOMONTH(A326,-1),Employment!A:P,16,FALSE),4)</f>
        <v>1.5373000000000001</v>
      </c>
      <c r="P326" s="18">
        <f t="shared" si="160"/>
        <v>1.5373000000000001</v>
      </c>
      <c r="Q326" s="29">
        <f t="shared" si="161"/>
        <v>-0.14630000000000001</v>
      </c>
      <c r="R326" s="29">
        <f t="shared" si="162"/>
        <v>1.8499999999999999E-2</v>
      </c>
      <c r="S326">
        <v>3301000</v>
      </c>
      <c r="T326" s="18">
        <f>ROUND((S326/7)/VLOOKUP(EOMONTH(A326,-1),Employment!A:P,16,FALSE),4)</f>
        <v>1.9409000000000001</v>
      </c>
      <c r="U326" s="18">
        <f t="shared" si="163"/>
        <v>1.9533</v>
      </c>
      <c r="V326" s="29">
        <f t="shared" si="164"/>
        <v>-0.1368</v>
      </c>
      <c r="W326" s="29">
        <f t="shared" si="165"/>
        <v>2.5000000000000001E-3</v>
      </c>
      <c r="X326" s="30">
        <f t="shared" si="166"/>
        <v>122.66</v>
      </c>
      <c r="Y326" s="31">
        <f t="shared" si="167"/>
        <v>127.31</v>
      </c>
    </row>
    <row r="327" spans="1:25" x14ac:dyDescent="0.25">
      <c r="A327" s="5">
        <v>41056</v>
      </c>
      <c r="B327">
        <v>1376.1867</v>
      </c>
      <c r="C327" s="29">
        <f t="shared" si="171"/>
        <v>3.5999999999999999E-3</v>
      </c>
      <c r="D327">
        <v>-0.31</v>
      </c>
      <c r="E327">
        <v>-0.91400000000000003</v>
      </c>
      <c r="F327" s="18">
        <f t="shared" si="158"/>
        <v>-1.4319999999999986</v>
      </c>
      <c r="G327" s="18">
        <f t="shared" si="159"/>
        <v>-1.8279999999999976</v>
      </c>
      <c r="H327">
        <v>6.63</v>
      </c>
      <c r="I327">
        <v>3.37</v>
      </c>
      <c r="J327">
        <f t="shared" si="168"/>
        <v>5</v>
      </c>
      <c r="K327" s="6">
        <f t="shared" si="169"/>
        <v>4.84</v>
      </c>
      <c r="L327" s="6">
        <f t="shared" si="170"/>
        <v>0.13999999999999968</v>
      </c>
      <c r="M327">
        <v>2.7220610863731998E-2</v>
      </c>
      <c r="N327">
        <v>371250</v>
      </c>
      <c r="O327" s="18">
        <f>ROUND(N327/VLOOKUP(EOMONTH(A327,-1),Employment!A:P,16,FALSE),4)</f>
        <v>1.5290999999999999</v>
      </c>
      <c r="P327" s="18">
        <f t="shared" si="160"/>
        <v>1.5442</v>
      </c>
      <c r="Q327" s="29">
        <f t="shared" si="161"/>
        <v>-0.14879999999999999</v>
      </c>
      <c r="R327" s="29">
        <f t="shared" si="162"/>
        <v>2.3800000000000002E-2</v>
      </c>
      <c r="S327">
        <v>3334000</v>
      </c>
      <c r="T327" s="18">
        <f>ROUND((S327/7)/VLOOKUP(EOMONTH(A327,-1),Employment!A:P,16,FALSE),4)</f>
        <v>1.9618</v>
      </c>
      <c r="U327" s="18">
        <f t="shared" si="163"/>
        <v>1.9528000000000001</v>
      </c>
      <c r="V327" s="29">
        <f t="shared" si="164"/>
        <v>-0.1399</v>
      </c>
      <c r="W327" s="29">
        <f t="shared" si="165"/>
        <v>7.7000000000000002E-3</v>
      </c>
      <c r="X327" s="30">
        <f t="shared" si="166"/>
        <v>129.68</v>
      </c>
      <c r="Y327" s="31">
        <f t="shared" si="167"/>
        <v>130.78</v>
      </c>
    </row>
    <row r="328" spans="1:25" x14ac:dyDescent="0.25">
      <c r="A328" s="5">
        <v>41049</v>
      </c>
      <c r="B328">
        <v>1374.3507</v>
      </c>
      <c r="C328" s="29">
        <f t="shared" si="171"/>
        <v>3.5000000000000001E-3</v>
      </c>
      <c r="D328">
        <v>-0.35</v>
      </c>
      <c r="E328">
        <v>-1.0429999999999999</v>
      </c>
      <c r="F328" s="18">
        <f t="shared" si="158"/>
        <v>-0.36800000000000033</v>
      </c>
      <c r="G328" s="18">
        <f t="shared" si="159"/>
        <v>-8.799999999999919E-2</v>
      </c>
      <c r="H328">
        <v>6.52</v>
      </c>
      <c r="I328">
        <v>3.27</v>
      </c>
      <c r="J328">
        <f t="shared" si="168"/>
        <v>4.9000000000000004</v>
      </c>
      <c r="K328" s="6">
        <f t="shared" si="169"/>
        <v>4.7</v>
      </c>
      <c r="L328" s="6">
        <f t="shared" si="170"/>
        <v>0.10000000000000053</v>
      </c>
      <c r="M328">
        <v>0.37592043686708998</v>
      </c>
      <c r="N328">
        <v>375250</v>
      </c>
      <c r="O328" s="18">
        <f>ROUND(N328/VLOOKUP(EOMONTH(A328,-1),Employment!A:P,16,FALSE),4)</f>
        <v>1.5456000000000001</v>
      </c>
      <c r="P328" s="18">
        <f t="shared" si="160"/>
        <v>1.5587</v>
      </c>
      <c r="Q328" s="29">
        <f t="shared" si="161"/>
        <v>-0.13539999999999999</v>
      </c>
      <c r="R328" s="29">
        <f t="shared" si="162"/>
        <v>1.7000000000000001E-2</v>
      </c>
      <c r="S328">
        <v>3326000</v>
      </c>
      <c r="T328" s="18">
        <f>ROUND((S328/7)/VLOOKUP(EOMONTH(A328,-1),Employment!A:P,16,FALSE),4)</f>
        <v>1.9571000000000001</v>
      </c>
      <c r="U328" s="18">
        <f t="shared" si="163"/>
        <v>1.9492</v>
      </c>
      <c r="V328" s="29">
        <f t="shared" si="164"/>
        <v>-0.1426</v>
      </c>
      <c r="W328" s="29">
        <f t="shared" si="165"/>
        <v>6.7999999999999996E-3</v>
      </c>
      <c r="X328" s="30">
        <f t="shared" si="166"/>
        <v>132.97999999999999</v>
      </c>
      <c r="Y328" s="31">
        <f t="shared" si="167"/>
        <v>129.29</v>
      </c>
    </row>
    <row r="329" spans="1:25" x14ac:dyDescent="0.25">
      <c r="A329" s="5">
        <v>41042</v>
      </c>
      <c r="B329">
        <v>1371.5423000000001</v>
      </c>
      <c r="C329" s="29">
        <f t="shared" si="171"/>
        <v>3.0999999999999999E-3</v>
      </c>
      <c r="D329">
        <v>-0.39</v>
      </c>
      <c r="E329">
        <v>-1.0389999999999999</v>
      </c>
      <c r="F329" s="18">
        <f t="shared" si="158"/>
        <v>-2.7999999999998693E-2</v>
      </c>
      <c r="G329" s="18">
        <f t="shared" si="159"/>
        <v>0.6039999999999992</v>
      </c>
      <c r="H329">
        <v>6.02</v>
      </c>
      <c r="I329">
        <v>3.22</v>
      </c>
      <c r="J329">
        <f t="shared" si="168"/>
        <v>4.62</v>
      </c>
      <c r="K329" s="6">
        <f t="shared" si="169"/>
        <v>4.5999999999999996</v>
      </c>
      <c r="L329" s="6">
        <f t="shared" si="170"/>
        <v>-1.0000000000000675E-2</v>
      </c>
      <c r="M329">
        <v>6.0143219634012E-2</v>
      </c>
      <c r="N329">
        <v>378250</v>
      </c>
      <c r="O329" s="18">
        <f>ROUND(N329/VLOOKUP(EOMONTH(A329,-1),Employment!A:P,16,FALSE),4)</f>
        <v>1.5580000000000001</v>
      </c>
      <c r="P329" s="18">
        <f t="shared" si="160"/>
        <v>1.5631999999999999</v>
      </c>
      <c r="Q329" s="29">
        <f t="shared" si="161"/>
        <v>-0.1152</v>
      </c>
      <c r="R329" s="29">
        <f t="shared" si="162"/>
        <v>5.4000000000000003E-3</v>
      </c>
      <c r="S329">
        <v>3296000</v>
      </c>
      <c r="T329" s="18">
        <f>ROUND((S329/7)/VLOOKUP(EOMONTH(A329,-1),Employment!A:P,16,FALSE),4)</f>
        <v>1.9394</v>
      </c>
      <c r="U329" s="18">
        <f t="shared" si="163"/>
        <v>1.9554</v>
      </c>
      <c r="V329" s="29">
        <f t="shared" si="164"/>
        <v>-0.13450000000000001</v>
      </c>
      <c r="W329" s="29">
        <f t="shared" si="165"/>
        <v>1E-3</v>
      </c>
      <c r="X329" s="30">
        <f t="shared" si="166"/>
        <v>128</v>
      </c>
      <c r="Y329" s="31">
        <f t="shared" si="167"/>
        <v>125.1</v>
      </c>
    </row>
    <row r="330" spans="1:25" x14ac:dyDescent="0.25">
      <c r="A330" s="5">
        <v>41035</v>
      </c>
      <c r="B330">
        <v>1371.1686</v>
      </c>
      <c r="C330" s="29">
        <f t="shared" si="171"/>
        <v>5.7999999999999996E-3</v>
      </c>
      <c r="D330">
        <v>-0.42</v>
      </c>
      <c r="E330">
        <v>-1.0049999999999999</v>
      </c>
      <c r="F330" s="18">
        <f t="shared" si="158"/>
        <v>0.30799999999999983</v>
      </c>
      <c r="G330" s="18">
        <f t="shared" si="159"/>
        <v>0.31199999999999761</v>
      </c>
      <c r="H330">
        <v>5.94</v>
      </c>
      <c r="I330">
        <v>3.19</v>
      </c>
      <c r="J330">
        <f t="shared" si="168"/>
        <v>4.57</v>
      </c>
      <c r="K330" s="6">
        <f t="shared" si="169"/>
        <v>4.6100000000000003</v>
      </c>
      <c r="L330" s="6">
        <f t="shared" si="170"/>
        <v>-4.9999999999999822E-2</v>
      </c>
      <c r="M330">
        <v>0.13965238407554001</v>
      </c>
      <c r="N330">
        <v>381750</v>
      </c>
      <c r="O330" s="18">
        <f>ROUND(N330/VLOOKUP(EOMONTH(A330,-1),Employment!A:P,16,FALSE),4)</f>
        <v>1.5724</v>
      </c>
      <c r="P330" s="18">
        <f t="shared" si="160"/>
        <v>1.5552999999999999</v>
      </c>
      <c r="Q330" s="29">
        <f t="shared" si="161"/>
        <v>-9.9400000000000002E-2</v>
      </c>
      <c r="R330" s="29">
        <f t="shared" si="162"/>
        <v>-3.2000000000000002E-3</v>
      </c>
      <c r="S330">
        <v>3316000</v>
      </c>
      <c r="T330" s="18">
        <f>ROUND((S330/7)/VLOOKUP(EOMONTH(A330,-1),Employment!A:P,16,FALSE),4)</f>
        <v>1.9512</v>
      </c>
      <c r="U330" s="18">
        <f t="shared" si="163"/>
        <v>1.9616</v>
      </c>
      <c r="V330" s="29">
        <f t="shared" si="164"/>
        <v>-0.12559999999999999</v>
      </c>
      <c r="W330" s="29">
        <f t="shared" si="165"/>
        <v>-1.8E-3</v>
      </c>
      <c r="X330" s="30">
        <f t="shared" si="166"/>
        <v>123.27000000000001</v>
      </c>
      <c r="Y330" s="31">
        <f t="shared" si="167"/>
        <v>123.8</v>
      </c>
    </row>
    <row r="331" spans="1:25" x14ac:dyDescent="0.25">
      <c r="A331" s="5">
        <v>41028</v>
      </c>
      <c r="B331">
        <v>1367.7946999999999</v>
      </c>
      <c r="C331" s="29">
        <f t="shared" si="171"/>
        <v>6.6E-3</v>
      </c>
      <c r="D331">
        <v>-0.43</v>
      </c>
      <c r="E331">
        <v>-0.95399999999999996</v>
      </c>
      <c r="F331" s="18">
        <f t="shared" si="158"/>
        <v>0.32399999999999807</v>
      </c>
      <c r="G331" s="18">
        <f t="shared" si="159"/>
        <v>-0.21600000000000108</v>
      </c>
      <c r="H331">
        <v>6.02</v>
      </c>
      <c r="I331">
        <v>3.19</v>
      </c>
      <c r="J331">
        <f t="shared" si="168"/>
        <v>4.6100000000000003</v>
      </c>
      <c r="K331" s="6">
        <f t="shared" si="169"/>
        <v>4.66</v>
      </c>
      <c r="L331" s="6">
        <f t="shared" si="170"/>
        <v>9.9999999999997868E-3</v>
      </c>
      <c r="M331">
        <v>0.74326192765120003</v>
      </c>
      <c r="N331">
        <v>378250</v>
      </c>
      <c r="O331" s="18">
        <f>ROUND(N331/VLOOKUP(EOMONTH(A331,-1),Employment!A:P,16,FALSE),4)</f>
        <v>1.5590999999999999</v>
      </c>
      <c r="P331" s="18">
        <f t="shared" si="160"/>
        <v>1.5382</v>
      </c>
      <c r="Q331" s="29">
        <f t="shared" si="161"/>
        <v>-9.2799999999999994E-2</v>
      </c>
      <c r="R331" s="29">
        <f t="shared" si="162"/>
        <v>-3.5000000000000001E-3</v>
      </c>
      <c r="S331">
        <v>3355000</v>
      </c>
      <c r="T331" s="18">
        <f>ROUND((S331/7)/VLOOKUP(EOMONTH(A331,-1),Employment!A:P,16,FALSE),4)</f>
        <v>1.9756</v>
      </c>
      <c r="U331" s="18">
        <f t="shared" si="163"/>
        <v>1.9561999999999999</v>
      </c>
      <c r="V331" s="29">
        <f t="shared" si="164"/>
        <v>-0.12509999999999999</v>
      </c>
      <c r="W331" s="29">
        <f t="shared" si="165"/>
        <v>1.5E-3</v>
      </c>
      <c r="X331" s="30">
        <f t="shared" si="166"/>
        <v>122.44</v>
      </c>
      <c r="Y331" s="31">
        <f t="shared" si="167"/>
        <v>126.18</v>
      </c>
    </row>
    <row r="332" spans="1:25" x14ac:dyDescent="0.25">
      <c r="A332" s="5">
        <v>41021</v>
      </c>
      <c r="B332">
        <v>1367.8755000000001</v>
      </c>
      <c r="C332" s="29">
        <f t="shared" si="171"/>
        <v>1.04E-2</v>
      </c>
      <c r="D332">
        <v>-0.44</v>
      </c>
      <c r="E332">
        <v>-0.90100000000000002</v>
      </c>
      <c r="F332" s="18">
        <f t="shared" si="158"/>
        <v>-0.32000000000000028</v>
      </c>
      <c r="G332" s="18">
        <f t="shared" si="159"/>
        <v>6.4000000000000057E-2</v>
      </c>
      <c r="H332">
        <v>6.14</v>
      </c>
      <c r="I332">
        <v>3.17</v>
      </c>
      <c r="J332">
        <f t="shared" si="168"/>
        <v>4.66</v>
      </c>
      <c r="K332" s="6">
        <f t="shared" si="169"/>
        <v>4.6500000000000004</v>
      </c>
      <c r="L332" s="6">
        <f t="shared" si="170"/>
        <v>5.0000000000000711E-2</v>
      </c>
      <c r="M332">
        <v>1.3243413592768001</v>
      </c>
      <c r="N332">
        <v>372250</v>
      </c>
      <c r="O332" s="18">
        <f>ROUND(N332/VLOOKUP(EOMONTH(A332,-1),Employment!A:P,16,FALSE),4)</f>
        <v>1.5344</v>
      </c>
      <c r="P332" s="18">
        <f t="shared" si="160"/>
        <v>1.5193000000000001</v>
      </c>
      <c r="Q332" s="29">
        <f t="shared" si="161"/>
        <v>-9.8599999999999993E-2</v>
      </c>
      <c r="R332" s="29">
        <f t="shared" si="162"/>
        <v>4.0000000000000002E-4</v>
      </c>
      <c r="S332">
        <v>3325000</v>
      </c>
      <c r="T332" s="18">
        <f>ROUND((S332/7)/VLOOKUP(EOMONTH(A332,-1),Employment!A:P,16,FALSE),4)</f>
        <v>1.9579</v>
      </c>
      <c r="U332" s="18">
        <f t="shared" si="163"/>
        <v>1.9523999999999999</v>
      </c>
      <c r="V332" s="29">
        <f t="shared" si="164"/>
        <v>-0.1308</v>
      </c>
      <c r="W332" s="29">
        <f t="shared" si="165"/>
        <v>4.1000000000000003E-3</v>
      </c>
      <c r="X332" s="30">
        <f t="shared" si="166"/>
        <v>128.53</v>
      </c>
      <c r="Y332" s="31">
        <f t="shared" si="167"/>
        <v>128.69</v>
      </c>
    </row>
    <row r="333" spans="1:25" x14ac:dyDescent="0.25">
      <c r="A333" s="5">
        <v>41014</v>
      </c>
      <c r="B333">
        <v>1362.2324000000001</v>
      </c>
      <c r="C333" s="29">
        <f t="shared" si="171"/>
        <v>9.1999999999999998E-3</v>
      </c>
      <c r="D333">
        <v>-0.46</v>
      </c>
      <c r="E333">
        <v>-0.91600000000000004</v>
      </c>
      <c r="F333" s="18">
        <f t="shared" si="158"/>
        <v>-0.21999999999999886</v>
      </c>
      <c r="G333" s="18">
        <f t="shared" si="159"/>
        <v>0.21600000000000108</v>
      </c>
      <c r="H333">
        <v>6.26</v>
      </c>
      <c r="I333">
        <v>3.15</v>
      </c>
      <c r="J333">
        <f t="shared" si="168"/>
        <v>4.71</v>
      </c>
      <c r="K333" s="6">
        <f t="shared" si="169"/>
        <v>4.5999999999999996</v>
      </c>
      <c r="L333" s="6">
        <f t="shared" si="170"/>
        <v>8.0000000000000071E-2</v>
      </c>
      <c r="M333">
        <v>1.7281202095985</v>
      </c>
      <c r="N333">
        <v>369000</v>
      </c>
      <c r="O333" s="18">
        <f>ROUND(N333/VLOOKUP(EOMONTH(A333,-1),Employment!A:P,16,FALSE),4)</f>
        <v>1.5209999999999999</v>
      </c>
      <c r="P333" s="18">
        <f t="shared" si="160"/>
        <v>1.5145</v>
      </c>
      <c r="Q333" s="29">
        <f t="shared" si="161"/>
        <v>-0.1037</v>
      </c>
      <c r="R333" s="29">
        <f t="shared" si="162"/>
        <v>1E-3</v>
      </c>
      <c r="S333">
        <v>3286000</v>
      </c>
      <c r="T333" s="18">
        <f>ROUND((S333/7)/VLOOKUP(EOMONTH(A333,-1),Employment!A:P,16,FALSE),4)</f>
        <v>1.9350000000000001</v>
      </c>
      <c r="U333" s="18">
        <f t="shared" si="163"/>
        <v>1.9558</v>
      </c>
      <c r="V333" s="29">
        <f t="shared" si="164"/>
        <v>-0.1293</v>
      </c>
      <c r="W333" s="29">
        <f t="shared" si="165"/>
        <v>2.5000000000000001E-3</v>
      </c>
      <c r="X333" s="30">
        <f t="shared" si="166"/>
        <v>129.63999999999999</v>
      </c>
      <c r="Y333" s="31">
        <f t="shared" si="167"/>
        <v>126.58</v>
      </c>
    </row>
    <row r="334" spans="1:25" x14ac:dyDescent="0.25">
      <c r="A334" s="5">
        <v>41007</v>
      </c>
      <c r="B334">
        <v>1355.1935000000001</v>
      </c>
      <c r="C334" s="29">
        <f t="shared" si="171"/>
        <v>5.3E-3</v>
      </c>
      <c r="D334">
        <v>-0.45</v>
      </c>
      <c r="E334">
        <v>-0.95599999999999996</v>
      </c>
      <c r="F334" s="18">
        <f t="shared" si="158"/>
        <v>0.6039999999999992</v>
      </c>
      <c r="G334" s="18">
        <f t="shared" si="159"/>
        <v>0.93599999999999994</v>
      </c>
      <c r="H334">
        <v>6.05</v>
      </c>
      <c r="I334">
        <v>3.13</v>
      </c>
      <c r="J334">
        <f t="shared" si="168"/>
        <v>4.59</v>
      </c>
      <c r="K334" s="6">
        <f t="shared" si="169"/>
        <v>4.5199999999999996</v>
      </c>
      <c r="L334" s="6">
        <f t="shared" si="170"/>
        <v>3.9999999999999147E-2</v>
      </c>
      <c r="M334">
        <v>1.157632804768</v>
      </c>
      <c r="N334">
        <v>364500</v>
      </c>
      <c r="O334" s="18">
        <f>ROUND(N334/VLOOKUP(EOMONTH(A334,-1),Employment!A:P,16,FALSE),4)</f>
        <v>1.5024</v>
      </c>
      <c r="P334" s="18">
        <f t="shared" si="160"/>
        <v>1.5152000000000001</v>
      </c>
      <c r="Q334" s="29">
        <f t="shared" si="161"/>
        <v>-0.1022</v>
      </c>
      <c r="R334" s="29">
        <f t="shared" si="162"/>
        <v>-3.7000000000000002E-3</v>
      </c>
      <c r="S334">
        <v>3336000</v>
      </c>
      <c r="T334" s="18">
        <f>ROUND((S334/7)/VLOOKUP(EOMONTH(A334,-1),Employment!A:P,16,FALSE),4)</f>
        <v>1.9643999999999999</v>
      </c>
      <c r="U334" s="18">
        <f t="shared" si="163"/>
        <v>1.9694</v>
      </c>
      <c r="V334" s="29">
        <f t="shared" si="164"/>
        <v>-0.12470000000000001</v>
      </c>
      <c r="W334" s="29">
        <f t="shared" si="165"/>
        <v>-1E-3</v>
      </c>
      <c r="X334" s="30">
        <f t="shared" si="166"/>
        <v>126.72999999999999</v>
      </c>
      <c r="Y334" s="31">
        <f t="shared" si="167"/>
        <v>121.64</v>
      </c>
    </row>
    <row r="335" spans="1:25" x14ac:dyDescent="0.25">
      <c r="A335" s="5">
        <v>41000</v>
      </c>
      <c r="B335">
        <v>1349.9993999999999</v>
      </c>
      <c r="C335" s="29">
        <f t="shared" si="171"/>
        <v>2.5000000000000001E-3</v>
      </c>
      <c r="D335">
        <v>-0.44</v>
      </c>
      <c r="E335">
        <v>-0.89300000000000002</v>
      </c>
      <c r="F335" s="18">
        <f t="shared" ref="F335:F398" si="172">(((D335*10)+(E335*8))*-1)-(((D336*10)+(E336*8))*-1)</f>
        <v>-0.16799999999999926</v>
      </c>
      <c r="G335" s="18">
        <f t="shared" ref="G335:G398" si="173">SUM(F335:F337)</f>
        <v>0.31600000000000072</v>
      </c>
      <c r="H335">
        <v>5.95</v>
      </c>
      <c r="I335">
        <v>3.07</v>
      </c>
      <c r="J335">
        <f t="shared" si="168"/>
        <v>4.51</v>
      </c>
      <c r="K335" s="6">
        <f t="shared" si="169"/>
        <v>4.4800000000000004</v>
      </c>
      <c r="L335" s="6">
        <f t="shared" si="170"/>
        <v>-2.9999999999999361E-2</v>
      </c>
      <c r="M335">
        <v>0.10603290525482</v>
      </c>
      <c r="N335">
        <v>368750</v>
      </c>
      <c r="O335" s="18">
        <f>ROUND(N335/VLOOKUP(EOMONTH(A335,-1),Employment!A:P,16,FALSE),4)</f>
        <v>1.52</v>
      </c>
      <c r="P335" s="18">
        <f t="shared" ref="P335:P398" si="174">ROUND(AVERAGE(O335:O337),4)</f>
        <v>1.5189999999999999</v>
      </c>
      <c r="Q335" s="29">
        <f t="shared" ref="Q335:Q398" si="175">ROUND((P335/P387)-1,4)</f>
        <v>-9.8599999999999993E-2</v>
      </c>
      <c r="R335" s="29">
        <f t="shared" ref="R335:R398" si="176">ROUND(AVERAGE(Q335:Q336)-AVERAGE(Q335:Q339),4)*-1</f>
        <v>-8.8000000000000005E-3</v>
      </c>
      <c r="S335">
        <v>3342000</v>
      </c>
      <c r="T335" s="18">
        <f>ROUND((S335/7)/VLOOKUP(EOMONTH(A335,-1),Employment!A:P,16,FALSE),4)</f>
        <v>1.9679</v>
      </c>
      <c r="U335" s="18">
        <f t="shared" ref="U335:U398" si="177">ROUND(AVERAGE(T335:T337),4)</f>
        <v>1.9759</v>
      </c>
      <c r="V335" s="29">
        <f t="shared" ref="V335:V398" si="178">ROUND((U335/U387)-1,4)</f>
        <v>-0.12239999999999999</v>
      </c>
      <c r="W335" s="29">
        <f t="shared" ref="W335:W398" si="179">ROUND(AVERAGE(V335:V336)-AVERAGE(V335:V339),4)*-1</f>
        <v>-4.7999999999999996E-3</v>
      </c>
      <c r="X335" s="30">
        <f t="shared" ref="X335:X398" si="180">IF(ROUND((C335*500)-(D335*10)-(E335*8)+(M335*1.2)-(P335*23)-(Q335*10)+(R335*600)-(U335*2)-(V335*5)+(W335*100)-(K335*5)-(L335*5)+(G335*3),2)+170&lt;0,0,ROUND((C335*500)-(D335*10)-(E335*8)+(M335*1.2)-(P335*23)-(Q335*10)+(R335*600)-(U335*2)-(V335*5)+(W335*100)-(K335*5)-(L335*5)+(G335*3),2)+170)</f>
        <v>118.57</v>
      </c>
      <c r="Y335" s="31">
        <f t="shared" ref="Y335:Y398" si="181">ROUND(AVERAGE(AVERAGE(X335:X336),AVERAGE(X335:X337)),2)</f>
        <v>117.22</v>
      </c>
    </row>
    <row r="336" spans="1:25" x14ac:dyDescent="0.25">
      <c r="A336" s="5">
        <v>40993</v>
      </c>
      <c r="B336">
        <v>1347.6685</v>
      </c>
      <c r="C336" s="29">
        <f t="shared" si="171"/>
        <v>1.1000000000000001E-3</v>
      </c>
      <c r="D336">
        <v>-0.42</v>
      </c>
      <c r="E336">
        <v>-0.93899999999999995</v>
      </c>
      <c r="F336" s="18">
        <f t="shared" si="172"/>
        <v>0.5</v>
      </c>
      <c r="G336" s="18">
        <f t="shared" si="173"/>
        <v>0.98000000000000043</v>
      </c>
      <c r="H336">
        <v>5.93</v>
      </c>
      <c r="I336">
        <v>3.01</v>
      </c>
      <c r="J336">
        <f t="shared" ref="J336:J399" si="182">ROUND(AVERAGE(H336:I336),2)</f>
        <v>4.47</v>
      </c>
      <c r="K336" s="6">
        <f t="shared" ref="K336:K399" si="183">ROUND(AVERAGE(J336:J338),2)</f>
        <v>4.51</v>
      </c>
      <c r="L336" s="6">
        <f t="shared" ref="L336:L399" si="184">K336-K337</f>
        <v>-2.0000000000000462E-2</v>
      </c>
      <c r="M336">
        <v>-0.78265593854625004</v>
      </c>
      <c r="N336">
        <v>369250</v>
      </c>
      <c r="O336" s="18">
        <f>ROUND(N336/VLOOKUP(EOMONTH(A336,-1),Employment!A:P,16,FALSE),4)</f>
        <v>1.5230999999999999</v>
      </c>
      <c r="P336" s="18">
        <f t="shared" si="174"/>
        <v>1.5142</v>
      </c>
      <c r="Q336" s="29">
        <f t="shared" si="175"/>
        <v>-0.10050000000000001</v>
      </c>
      <c r="R336" s="29">
        <f t="shared" si="176"/>
        <v>-1.2200000000000001E-2</v>
      </c>
      <c r="S336">
        <v>3353000</v>
      </c>
      <c r="T336" s="18">
        <f>ROUND((S336/7)/VLOOKUP(EOMONTH(A336,-1),Employment!A:P,16,FALSE),4)</f>
        <v>1.9758</v>
      </c>
      <c r="U336" s="18">
        <f t="shared" si="177"/>
        <v>1.9862</v>
      </c>
      <c r="V336" s="29">
        <f t="shared" si="178"/>
        <v>-0.1225</v>
      </c>
      <c r="W336" s="29">
        <f t="shared" si="179"/>
        <v>-7.1000000000000004E-3</v>
      </c>
      <c r="X336" s="30">
        <f t="shared" si="180"/>
        <v>116.6</v>
      </c>
      <c r="Y336" s="31">
        <f t="shared" si="181"/>
        <v>116.66</v>
      </c>
    </row>
    <row r="337" spans="1:25" x14ac:dyDescent="0.25">
      <c r="A337" s="5">
        <v>40986</v>
      </c>
      <c r="B337">
        <v>1346.2518</v>
      </c>
      <c r="C337" s="29">
        <f t="shared" si="171"/>
        <v>1.1999999999999999E-3</v>
      </c>
      <c r="D337">
        <v>-0.39</v>
      </c>
      <c r="E337">
        <v>-0.91400000000000003</v>
      </c>
      <c r="F337" s="18">
        <f t="shared" si="172"/>
        <v>-1.6000000000000014E-2</v>
      </c>
      <c r="G337" s="18">
        <f t="shared" si="173"/>
        <v>1.0559999999999992</v>
      </c>
      <c r="H337">
        <v>5.86</v>
      </c>
      <c r="I337">
        <v>3.04</v>
      </c>
      <c r="J337">
        <f t="shared" si="182"/>
        <v>4.45</v>
      </c>
      <c r="K337" s="6">
        <f t="shared" si="183"/>
        <v>4.53</v>
      </c>
      <c r="L337" s="6">
        <f t="shared" si="184"/>
        <v>-4.0000000000000036E-2</v>
      </c>
      <c r="M337">
        <v>-1.8606121415556001</v>
      </c>
      <c r="N337">
        <v>367000</v>
      </c>
      <c r="O337" s="18">
        <f>ROUND(N337/VLOOKUP(EOMONTH(A337,-1),Employment!A:P,16,FALSE),4)</f>
        <v>1.5138</v>
      </c>
      <c r="P337" s="18">
        <f t="shared" si="174"/>
        <v>1.5059</v>
      </c>
      <c r="Q337" s="29">
        <f t="shared" si="175"/>
        <v>-0.1047</v>
      </c>
      <c r="R337" s="29">
        <f t="shared" si="176"/>
        <v>-1.21E-2</v>
      </c>
      <c r="S337">
        <v>3367000</v>
      </c>
      <c r="T337" s="18">
        <f>ROUND((S337/7)/VLOOKUP(EOMONTH(A337,-1),Employment!A:P,16,FALSE),4)</f>
        <v>1.984</v>
      </c>
      <c r="U337" s="18">
        <f t="shared" si="177"/>
        <v>1.9919</v>
      </c>
      <c r="V337" s="29">
        <f t="shared" si="178"/>
        <v>-0.1237</v>
      </c>
      <c r="W337" s="29">
        <f t="shared" si="179"/>
        <v>-6.8999999999999999E-3</v>
      </c>
      <c r="X337" s="30">
        <f t="shared" si="180"/>
        <v>115.39</v>
      </c>
      <c r="Y337" s="31">
        <f t="shared" si="181"/>
        <v>118.75</v>
      </c>
    </row>
    <row r="338" spans="1:25" x14ac:dyDescent="0.25">
      <c r="A338" s="5">
        <v>40979</v>
      </c>
      <c r="B338">
        <v>1348.1174000000001</v>
      </c>
      <c r="C338" s="29">
        <f t="shared" ref="C338:C401" si="185">ROUND((B338-AVERAGE(B339:B342))/AVERAGE(B339:B342),4)</f>
        <v>4.1999999999999997E-3</v>
      </c>
      <c r="D338">
        <v>-0.37</v>
      </c>
      <c r="E338">
        <v>-0.94099999999999995</v>
      </c>
      <c r="F338" s="18">
        <f t="shared" si="172"/>
        <v>0.49600000000000044</v>
      </c>
      <c r="G338" s="18">
        <f t="shared" si="173"/>
        <v>1.3399999999999999</v>
      </c>
      <c r="H338">
        <v>6.09</v>
      </c>
      <c r="I338">
        <v>3.11</v>
      </c>
      <c r="J338">
        <f t="shared" si="182"/>
        <v>4.5999999999999996</v>
      </c>
      <c r="K338" s="6">
        <f t="shared" si="183"/>
        <v>4.57</v>
      </c>
      <c r="L338" s="6">
        <f t="shared" si="184"/>
        <v>-2.9999999999999361E-2</v>
      </c>
      <c r="M338">
        <v>-2.6455423753009999</v>
      </c>
      <c r="N338">
        <v>365000</v>
      </c>
      <c r="O338" s="18">
        <f>ROUND(N338/VLOOKUP(EOMONTH(A338,-1),Employment!A:P,16,FALSE),4)</f>
        <v>1.5056</v>
      </c>
      <c r="P338" s="18">
        <f t="shared" si="174"/>
        <v>1.5035000000000001</v>
      </c>
      <c r="Q338" s="29">
        <f t="shared" si="175"/>
        <v>-0.1144</v>
      </c>
      <c r="R338" s="29">
        <f t="shared" si="176"/>
        <v>-7.7000000000000002E-3</v>
      </c>
      <c r="S338">
        <v>3392000</v>
      </c>
      <c r="T338" s="18">
        <f>ROUND((S338/7)/VLOOKUP(EOMONTH(A338,-1),Employment!A:P,16,FALSE),4)</f>
        <v>1.9987999999999999</v>
      </c>
      <c r="U338" s="18">
        <f t="shared" si="177"/>
        <v>1.9914000000000001</v>
      </c>
      <c r="V338" s="29">
        <f t="shared" si="178"/>
        <v>-0.1293</v>
      </c>
      <c r="W338" s="29">
        <f t="shared" si="179"/>
        <v>-8.0000000000000004E-4</v>
      </c>
      <c r="X338" s="30">
        <f t="shared" si="180"/>
        <v>120</v>
      </c>
      <c r="Y338" s="31">
        <f t="shared" si="181"/>
        <v>124.29</v>
      </c>
    </row>
    <row r="339" spans="1:25" x14ac:dyDescent="0.25">
      <c r="A339" s="5">
        <v>40972</v>
      </c>
      <c r="B339">
        <v>1344.366</v>
      </c>
      <c r="C339" s="29">
        <f t="shared" si="185"/>
        <v>5.7000000000000002E-3</v>
      </c>
      <c r="D339">
        <v>-0.35</v>
      </c>
      <c r="E339">
        <v>-0.90400000000000003</v>
      </c>
      <c r="F339" s="18">
        <f t="shared" si="172"/>
        <v>0.57599999999999874</v>
      </c>
      <c r="G339" s="18">
        <f t="shared" si="173"/>
        <v>1.08</v>
      </c>
      <c r="H339">
        <v>5.97</v>
      </c>
      <c r="I339">
        <v>3.09</v>
      </c>
      <c r="J339">
        <f t="shared" si="182"/>
        <v>4.53</v>
      </c>
      <c r="K339" s="6">
        <f t="shared" si="183"/>
        <v>4.5999999999999996</v>
      </c>
      <c r="L339" s="6">
        <f t="shared" si="184"/>
        <v>-7.0000000000000284E-2</v>
      </c>
      <c r="M339">
        <v>-3.2647517946438001</v>
      </c>
      <c r="N339">
        <v>363250</v>
      </c>
      <c r="O339" s="18">
        <f>ROUND(N339/VLOOKUP(EOMONTH(A339,-1),Employment!A:P,16,FALSE),4)</f>
        <v>1.4983</v>
      </c>
      <c r="P339" s="18">
        <f t="shared" si="174"/>
        <v>1.5114000000000001</v>
      </c>
      <c r="Q339" s="29">
        <f t="shared" si="175"/>
        <v>-0.1235</v>
      </c>
      <c r="R339" s="29">
        <f t="shared" si="176"/>
        <v>5.0000000000000001E-4</v>
      </c>
      <c r="S339">
        <v>3382000</v>
      </c>
      <c r="T339" s="18">
        <f>ROUND((S339/7)/VLOOKUP(EOMONTH(A339,-1),Employment!A:P,16,FALSE),4)</f>
        <v>1.9928999999999999</v>
      </c>
      <c r="U339" s="18">
        <f t="shared" si="177"/>
        <v>1.9916</v>
      </c>
      <c r="V339" s="29">
        <f t="shared" si="178"/>
        <v>-0.13830000000000001</v>
      </c>
      <c r="W339" s="29">
        <f t="shared" si="179"/>
        <v>2.5999999999999999E-3</v>
      </c>
      <c r="X339" s="30">
        <f t="shared" si="180"/>
        <v>124</v>
      </c>
      <c r="Y339" s="31">
        <f t="shared" si="181"/>
        <v>131.72</v>
      </c>
    </row>
    <row r="340" spans="1:25" x14ac:dyDescent="0.25">
      <c r="A340" s="5">
        <v>40965</v>
      </c>
      <c r="B340">
        <v>1346.0374999999999</v>
      </c>
      <c r="C340" s="29">
        <f t="shared" si="185"/>
        <v>1.24E-2</v>
      </c>
      <c r="D340">
        <v>-0.33</v>
      </c>
      <c r="E340">
        <v>-0.85699999999999998</v>
      </c>
      <c r="F340" s="18">
        <f t="shared" si="172"/>
        <v>0.26800000000000068</v>
      </c>
      <c r="G340" s="18">
        <f t="shared" si="173"/>
        <v>1.7760000000000016</v>
      </c>
      <c r="H340">
        <v>6.01</v>
      </c>
      <c r="I340">
        <v>3.12</v>
      </c>
      <c r="J340">
        <f t="shared" si="182"/>
        <v>4.57</v>
      </c>
      <c r="K340" s="6">
        <f t="shared" si="183"/>
        <v>4.67</v>
      </c>
      <c r="L340" s="6">
        <f t="shared" si="184"/>
        <v>-8.9999999999999858E-2</v>
      </c>
      <c r="M340">
        <v>-3.8603101412343999</v>
      </c>
      <c r="N340">
        <v>365000</v>
      </c>
      <c r="O340" s="18">
        <f>ROUND(N340/VLOOKUP(EOMONTH(A340,-1),Employment!A:P,16,FALSE),4)</f>
        <v>1.5065999999999999</v>
      </c>
      <c r="P340" s="18">
        <f t="shared" si="174"/>
        <v>1.5238</v>
      </c>
      <c r="Q340" s="29">
        <f t="shared" si="175"/>
        <v>-0.13100000000000001</v>
      </c>
      <c r="R340" s="29">
        <f t="shared" si="176"/>
        <v>1.32E-2</v>
      </c>
      <c r="S340">
        <v>3362000</v>
      </c>
      <c r="T340" s="18">
        <f>ROUND((S340/7)/VLOOKUP(EOMONTH(A340,-1),Employment!A:P,16,FALSE),4)</f>
        <v>1.9823999999999999</v>
      </c>
      <c r="U340" s="18">
        <f t="shared" si="177"/>
        <v>2.0062000000000002</v>
      </c>
      <c r="V340" s="29">
        <f t="shared" si="178"/>
        <v>-0.1371</v>
      </c>
      <c r="W340" s="29">
        <f t="shared" si="179"/>
        <v>7.4999999999999997E-3</v>
      </c>
      <c r="X340" s="30">
        <f t="shared" si="180"/>
        <v>135.76</v>
      </c>
      <c r="Y340" s="31">
        <f t="shared" si="181"/>
        <v>139.25</v>
      </c>
    </row>
    <row r="341" spans="1:25" x14ac:dyDescent="0.25">
      <c r="A341" s="5">
        <v>40958</v>
      </c>
      <c r="B341">
        <v>1339.8720000000001</v>
      </c>
      <c r="C341" s="29">
        <f t="shared" si="185"/>
        <v>1.24E-2</v>
      </c>
      <c r="D341">
        <v>-0.32</v>
      </c>
      <c r="E341">
        <v>-0.83599999999999997</v>
      </c>
      <c r="F341" s="18">
        <f t="shared" si="172"/>
        <v>0.23600000000000065</v>
      </c>
      <c r="G341" s="18">
        <f t="shared" si="173"/>
        <v>2.1959999999999997</v>
      </c>
      <c r="H341">
        <v>6.2</v>
      </c>
      <c r="I341">
        <v>3.17</v>
      </c>
      <c r="J341">
        <f t="shared" si="182"/>
        <v>4.6900000000000004</v>
      </c>
      <c r="K341" s="6">
        <f t="shared" si="183"/>
        <v>4.76</v>
      </c>
      <c r="L341" s="6">
        <f t="shared" si="184"/>
        <v>-8.0000000000000071E-2</v>
      </c>
      <c r="M341">
        <v>-4.1754364224104004</v>
      </c>
      <c r="N341">
        <v>370500</v>
      </c>
      <c r="O341" s="18">
        <f>ROUND(N341/VLOOKUP(EOMONTH(A341,-1),Employment!A:P,16,FALSE),4)</f>
        <v>1.5293000000000001</v>
      </c>
      <c r="P341" s="18">
        <f t="shared" si="174"/>
        <v>1.5412999999999999</v>
      </c>
      <c r="Q341" s="29">
        <f t="shared" si="175"/>
        <v>-0.1348</v>
      </c>
      <c r="R341" s="29">
        <f t="shared" si="176"/>
        <v>2.2200000000000001E-2</v>
      </c>
      <c r="S341">
        <v>3391000</v>
      </c>
      <c r="T341" s="18">
        <f>ROUND((S341/7)/VLOOKUP(EOMONTH(A341,-1),Employment!A:P,16,FALSE),4)</f>
        <v>1.9995000000000001</v>
      </c>
      <c r="U341" s="18">
        <f t="shared" si="177"/>
        <v>2.0173999999999999</v>
      </c>
      <c r="V341" s="29">
        <f t="shared" si="178"/>
        <v>-0.13869999999999999</v>
      </c>
      <c r="W341" s="29">
        <f t="shared" si="179"/>
        <v>7.4999999999999997E-3</v>
      </c>
      <c r="X341" s="30">
        <f t="shared" si="180"/>
        <v>140.88999999999999</v>
      </c>
      <c r="Y341" s="31">
        <f t="shared" si="181"/>
        <v>139.19</v>
      </c>
    </row>
    <row r="342" spans="1:25" x14ac:dyDescent="0.25">
      <c r="A342" s="5">
        <v>40951</v>
      </c>
      <c r="B342">
        <v>1339.6760999999999</v>
      </c>
      <c r="C342" s="29">
        <f t="shared" si="185"/>
        <v>1.77E-2</v>
      </c>
      <c r="D342">
        <v>-0.31</v>
      </c>
      <c r="E342">
        <v>-0.81899999999999995</v>
      </c>
      <c r="F342" s="18">
        <f t="shared" si="172"/>
        <v>1.2720000000000002</v>
      </c>
      <c r="G342" s="18">
        <f t="shared" si="173"/>
        <v>2.9919999999999991</v>
      </c>
      <c r="H342">
        <v>6.35</v>
      </c>
      <c r="I342">
        <v>3.17</v>
      </c>
      <c r="J342">
        <f t="shared" si="182"/>
        <v>4.76</v>
      </c>
      <c r="K342" s="6">
        <f t="shared" si="183"/>
        <v>4.84</v>
      </c>
      <c r="L342" s="6">
        <f t="shared" si="184"/>
        <v>-7.0000000000000284E-2</v>
      </c>
      <c r="M342">
        <v>-4.4117419448325998</v>
      </c>
      <c r="N342">
        <v>372000</v>
      </c>
      <c r="O342" s="18">
        <f>ROUND(N342/VLOOKUP(EOMONTH(A342,-1),Employment!A:P,16,FALSE),4)</f>
        <v>1.5355000000000001</v>
      </c>
      <c r="P342" s="18">
        <f t="shared" si="174"/>
        <v>1.5563</v>
      </c>
      <c r="Q342" s="29">
        <f t="shared" si="175"/>
        <v>-0.12970000000000001</v>
      </c>
      <c r="R342" s="29">
        <f t="shared" si="176"/>
        <v>2.12E-2</v>
      </c>
      <c r="S342">
        <v>3454000</v>
      </c>
      <c r="T342" s="18">
        <f>ROUND((S342/7)/VLOOKUP(EOMONTH(A342,-1),Employment!A:P,16,FALSE),4)</f>
        <v>2.0367000000000002</v>
      </c>
      <c r="U342" s="18">
        <f t="shared" si="177"/>
        <v>2.0459000000000001</v>
      </c>
      <c r="V342" s="29">
        <f t="shared" si="178"/>
        <v>-0.12970000000000001</v>
      </c>
      <c r="W342" s="29">
        <f t="shared" si="179"/>
        <v>7.9000000000000008E-3</v>
      </c>
      <c r="X342" s="30">
        <f t="shared" si="180"/>
        <v>143.9</v>
      </c>
      <c r="Y342" s="31">
        <f t="shared" si="181"/>
        <v>129.49</v>
      </c>
    </row>
    <row r="343" spans="1:25" x14ac:dyDescent="0.25">
      <c r="A343" s="5">
        <v>40944</v>
      </c>
      <c r="B343">
        <v>1321.2080000000001</v>
      </c>
      <c r="C343" s="29">
        <f t="shared" si="185"/>
        <v>6.1999999999999998E-3</v>
      </c>
      <c r="D343">
        <v>-0.27</v>
      </c>
      <c r="E343">
        <v>-0.71</v>
      </c>
      <c r="F343" s="18">
        <f t="shared" si="172"/>
        <v>0.68799999999999883</v>
      </c>
      <c r="G343" s="18">
        <f t="shared" si="173"/>
        <v>2.7519999999999989</v>
      </c>
      <c r="H343">
        <v>6.42</v>
      </c>
      <c r="I343">
        <v>3.26</v>
      </c>
      <c r="J343">
        <f t="shared" si="182"/>
        <v>4.84</v>
      </c>
      <c r="K343" s="6">
        <f t="shared" si="183"/>
        <v>4.91</v>
      </c>
      <c r="L343" s="6">
        <f t="shared" si="184"/>
        <v>-9.9999999999999645E-2</v>
      </c>
      <c r="M343">
        <v>-5.3264961424442996</v>
      </c>
      <c r="N343">
        <v>377750</v>
      </c>
      <c r="O343" s="18">
        <f>ROUND(N343/VLOOKUP(EOMONTH(A343,-1),Employment!A:P,16,FALSE),4)</f>
        <v>1.5591999999999999</v>
      </c>
      <c r="P343" s="18">
        <f t="shared" si="174"/>
        <v>1.5771999999999999</v>
      </c>
      <c r="Q343" s="29">
        <f t="shared" si="175"/>
        <v>-0.1149</v>
      </c>
      <c r="R343" s="29">
        <f t="shared" si="176"/>
        <v>4.1000000000000003E-3</v>
      </c>
      <c r="S343">
        <v>3419000</v>
      </c>
      <c r="T343" s="18">
        <f>ROUND((S343/7)/VLOOKUP(EOMONTH(A343,-1),Employment!A:P,16,FALSE),4)</f>
        <v>2.0160999999999998</v>
      </c>
      <c r="U343" s="18">
        <f t="shared" si="177"/>
        <v>2.0440999999999998</v>
      </c>
      <c r="V343" s="29">
        <f t="shared" si="178"/>
        <v>-0.13170000000000001</v>
      </c>
      <c r="W343" s="29">
        <f t="shared" si="179"/>
        <v>-2.0000000000000001E-4</v>
      </c>
      <c r="X343" s="30">
        <f t="shared" si="180"/>
        <v>123.18</v>
      </c>
      <c r="Y343" s="31">
        <f t="shared" si="181"/>
        <v>114.36</v>
      </c>
    </row>
    <row r="344" spans="1:25" x14ac:dyDescent="0.25">
      <c r="A344" s="5">
        <v>40937</v>
      </c>
      <c r="B344">
        <v>1317.3798999999999</v>
      </c>
      <c r="C344" s="29">
        <f t="shared" si="185"/>
        <v>5.7000000000000002E-3</v>
      </c>
      <c r="D344">
        <v>-0.23</v>
      </c>
      <c r="E344">
        <v>-0.67400000000000004</v>
      </c>
      <c r="F344" s="18">
        <f t="shared" si="172"/>
        <v>1.032</v>
      </c>
      <c r="G344" s="18">
        <f t="shared" si="173"/>
        <v>2.7320000000000002</v>
      </c>
      <c r="H344">
        <v>6.57</v>
      </c>
      <c r="I344">
        <v>3.28</v>
      </c>
      <c r="J344">
        <f t="shared" si="182"/>
        <v>4.93</v>
      </c>
      <c r="K344" s="6">
        <f t="shared" si="183"/>
        <v>5.01</v>
      </c>
      <c r="L344" s="6">
        <f t="shared" si="184"/>
        <v>-7.0000000000000284E-2</v>
      </c>
      <c r="M344">
        <v>-6.6480153019725003</v>
      </c>
      <c r="N344">
        <v>378750</v>
      </c>
      <c r="O344" s="18">
        <f>ROUND(N344/VLOOKUP(EOMONTH(A344,-1),Employment!A:P,16,FALSE),4)</f>
        <v>1.5743</v>
      </c>
      <c r="P344" s="18">
        <f t="shared" si="174"/>
        <v>1.61</v>
      </c>
      <c r="Q344" s="29">
        <f t="shared" si="175"/>
        <v>-8.8099999999999998E-2</v>
      </c>
      <c r="R344" s="29">
        <f t="shared" si="176"/>
        <v>-1.06E-2</v>
      </c>
      <c r="S344">
        <v>3511000</v>
      </c>
      <c r="T344" s="18">
        <f>ROUND((S344/7)/VLOOKUP(EOMONTH(A344,-1),Employment!A:P,16,FALSE),4)</f>
        <v>2.0848</v>
      </c>
      <c r="U344" s="18">
        <f t="shared" si="177"/>
        <v>2.0779000000000001</v>
      </c>
      <c r="V344" s="29">
        <f t="shared" si="178"/>
        <v>-0.115</v>
      </c>
      <c r="W344" s="29">
        <f t="shared" si="179"/>
        <v>-7.6E-3</v>
      </c>
      <c r="X344" s="30">
        <f t="shared" si="180"/>
        <v>109.21000000000001</v>
      </c>
      <c r="Y344" s="31">
        <f t="shared" si="181"/>
        <v>107.49</v>
      </c>
    </row>
    <row r="345" spans="1:25" x14ac:dyDescent="0.25">
      <c r="A345" s="5">
        <v>40930</v>
      </c>
      <c r="B345">
        <v>1315.3777</v>
      </c>
      <c r="C345" s="29">
        <f t="shared" si="185"/>
        <v>6.8999999999999999E-3</v>
      </c>
      <c r="D345">
        <v>-0.19</v>
      </c>
      <c r="E345">
        <v>-0.59499999999999997</v>
      </c>
      <c r="F345" s="18">
        <f t="shared" si="172"/>
        <v>1.032</v>
      </c>
      <c r="G345" s="18">
        <f t="shared" si="173"/>
        <v>2.3639999999999999</v>
      </c>
      <c r="H345">
        <v>6.69</v>
      </c>
      <c r="I345">
        <v>3.24</v>
      </c>
      <c r="J345">
        <f t="shared" si="182"/>
        <v>4.97</v>
      </c>
      <c r="K345" s="6">
        <f t="shared" si="183"/>
        <v>5.08</v>
      </c>
      <c r="L345" s="6">
        <f t="shared" si="184"/>
        <v>-0.12000000000000011</v>
      </c>
      <c r="M345">
        <v>-7.6165407315652001</v>
      </c>
      <c r="N345">
        <v>384500</v>
      </c>
      <c r="O345" s="18">
        <f>ROUND(N345/VLOOKUP(EOMONTH(A345,-1),Employment!A:P,16,FALSE),4)</f>
        <v>1.5982000000000001</v>
      </c>
      <c r="P345" s="18">
        <f t="shared" si="174"/>
        <v>1.6041000000000001</v>
      </c>
      <c r="Q345" s="29">
        <f t="shared" si="175"/>
        <v>-8.2699999999999996E-2</v>
      </c>
      <c r="R345" s="29">
        <f t="shared" si="176"/>
        <v>-1.2500000000000001E-2</v>
      </c>
      <c r="S345">
        <v>3421000</v>
      </c>
      <c r="T345" s="18">
        <f>ROUND((S345/7)/VLOOKUP(EOMONTH(A345,-1),Employment!A:P,16,FALSE),4)</f>
        <v>2.0314000000000001</v>
      </c>
      <c r="U345" s="18">
        <f t="shared" si="177"/>
        <v>2.0905999999999998</v>
      </c>
      <c r="V345" s="29">
        <f t="shared" si="178"/>
        <v>-0.1182</v>
      </c>
      <c r="W345" s="29">
        <f t="shared" si="179"/>
        <v>-9.4000000000000004E-3</v>
      </c>
      <c r="X345" s="30">
        <f t="shared" si="180"/>
        <v>105.16</v>
      </c>
      <c r="Y345" s="31">
        <f t="shared" si="181"/>
        <v>108.38</v>
      </c>
    </row>
    <row r="346" spans="1:25" x14ac:dyDescent="0.25">
      <c r="A346" s="5">
        <v>40923</v>
      </c>
      <c r="B346">
        <v>1311.6804999999999</v>
      </c>
      <c r="C346" s="29">
        <f t="shared" si="185"/>
        <v>6.7999999999999996E-3</v>
      </c>
      <c r="D346">
        <v>-0.13</v>
      </c>
      <c r="E346">
        <v>-0.54100000000000004</v>
      </c>
      <c r="F346" s="18">
        <f t="shared" si="172"/>
        <v>0.66800000000000015</v>
      </c>
      <c r="G346" s="18">
        <f t="shared" si="173"/>
        <v>2.06</v>
      </c>
      <c r="H346">
        <v>7.02</v>
      </c>
      <c r="I346">
        <v>3.24</v>
      </c>
      <c r="J346">
        <f t="shared" si="182"/>
        <v>5.13</v>
      </c>
      <c r="K346" s="6">
        <f t="shared" si="183"/>
        <v>5.2</v>
      </c>
      <c r="L346" s="6">
        <f t="shared" si="184"/>
        <v>-6.9999999999999396E-2</v>
      </c>
      <c r="M346">
        <v>-8.5239611323613005</v>
      </c>
      <c r="N346">
        <v>398750</v>
      </c>
      <c r="O346" s="18">
        <f>ROUND(N346/VLOOKUP(EOMONTH(A346,-1),Employment!A:P,16,FALSE),4)</f>
        <v>1.6574</v>
      </c>
      <c r="P346" s="18">
        <f t="shared" si="174"/>
        <v>1.5940000000000001</v>
      </c>
      <c r="Q346" s="29">
        <f t="shared" si="175"/>
        <v>-9.01E-2</v>
      </c>
      <c r="R346" s="29">
        <f t="shared" si="176"/>
        <v>-8.0000000000000004E-4</v>
      </c>
      <c r="S346">
        <v>3566000</v>
      </c>
      <c r="T346" s="18">
        <f>ROUND((S346/7)/VLOOKUP(EOMONTH(A346,-1),Employment!A:P,16,FALSE),4)</f>
        <v>2.1175000000000002</v>
      </c>
      <c r="U346" s="18">
        <f t="shared" si="177"/>
        <v>2.1236000000000002</v>
      </c>
      <c r="V346" s="29">
        <f t="shared" si="178"/>
        <v>-0.1195</v>
      </c>
      <c r="W346" s="29">
        <f t="shared" si="179"/>
        <v>-4.3E-3</v>
      </c>
      <c r="X346" s="30">
        <f t="shared" si="180"/>
        <v>109.00999999999999</v>
      </c>
      <c r="Y346" s="31">
        <f t="shared" si="181"/>
        <v>112</v>
      </c>
    </row>
    <row r="347" spans="1:25" x14ac:dyDescent="0.25">
      <c r="A347" s="5">
        <v>40916</v>
      </c>
      <c r="B347">
        <v>1307.9962</v>
      </c>
      <c r="C347" s="29">
        <f t="shared" si="185"/>
        <v>6.7000000000000002E-3</v>
      </c>
      <c r="D347">
        <v>-0.1</v>
      </c>
      <c r="E347">
        <v>-0.495</v>
      </c>
      <c r="F347" s="18">
        <f t="shared" si="172"/>
        <v>0.6639999999999997</v>
      </c>
      <c r="G347" s="18">
        <f t="shared" si="173"/>
        <v>2.1999999999999997</v>
      </c>
      <c r="H347">
        <v>7</v>
      </c>
      <c r="I347">
        <v>3.27</v>
      </c>
      <c r="J347">
        <f t="shared" si="182"/>
        <v>5.14</v>
      </c>
      <c r="K347" s="6">
        <f t="shared" si="183"/>
        <v>5.27</v>
      </c>
      <c r="L347" s="6">
        <f t="shared" si="184"/>
        <v>-0.11000000000000032</v>
      </c>
      <c r="M347">
        <v>-8.3550543012829994</v>
      </c>
      <c r="N347">
        <v>374500</v>
      </c>
      <c r="O347" s="18">
        <f>ROUND(N347/VLOOKUP(EOMONTH(A347,-1),Employment!A:P,16,FALSE),4)</f>
        <v>1.5566</v>
      </c>
      <c r="P347" s="18">
        <f t="shared" si="174"/>
        <v>1.5684</v>
      </c>
      <c r="Q347" s="29">
        <f t="shared" si="175"/>
        <v>-0.111</v>
      </c>
      <c r="R347" s="29">
        <f t="shared" si="176"/>
        <v>6.7999999999999996E-3</v>
      </c>
      <c r="S347">
        <v>3575000</v>
      </c>
      <c r="T347" s="18">
        <f>ROUND((S347/7)/VLOOKUP(EOMONTH(A347,-1),Employment!A:P,16,FALSE),4)</f>
        <v>2.1227999999999998</v>
      </c>
      <c r="U347" s="18">
        <f t="shared" si="177"/>
        <v>2.1194999999999999</v>
      </c>
      <c r="V347" s="29">
        <f t="shared" si="178"/>
        <v>-0.13320000000000001</v>
      </c>
      <c r="W347" s="29">
        <f t="shared" si="179"/>
        <v>2.0999999999999999E-3</v>
      </c>
      <c r="X347" s="30">
        <f t="shared" si="180"/>
        <v>114.84</v>
      </c>
      <c r="Y347" s="31">
        <f t="shared" si="181"/>
        <v>112.42</v>
      </c>
    </row>
    <row r="348" spans="1:25" x14ac:dyDescent="0.25">
      <c r="A348" s="5">
        <v>40909</v>
      </c>
      <c r="B348">
        <v>1304.6802</v>
      </c>
      <c r="C348" s="29">
        <f t="shared" si="185"/>
        <v>6.6E-3</v>
      </c>
      <c r="D348">
        <v>-0.04</v>
      </c>
      <c r="E348">
        <v>-0.48699999999999999</v>
      </c>
      <c r="F348" s="18">
        <f t="shared" si="172"/>
        <v>0.7280000000000002</v>
      </c>
      <c r="G348" s="18">
        <f t="shared" si="173"/>
        <v>2.1760000000000002</v>
      </c>
      <c r="H348">
        <v>7.38</v>
      </c>
      <c r="I348">
        <v>3.27</v>
      </c>
      <c r="J348">
        <f t="shared" si="182"/>
        <v>5.33</v>
      </c>
      <c r="K348" s="6">
        <f t="shared" si="183"/>
        <v>5.38</v>
      </c>
      <c r="L348" s="6">
        <f t="shared" si="184"/>
        <v>-3.0000000000000249E-2</v>
      </c>
      <c r="M348">
        <v>-7.6795371115208999</v>
      </c>
      <c r="N348">
        <v>377250</v>
      </c>
      <c r="O348" s="18">
        <f>ROUND(N348/VLOOKUP(EOMONTH(A348,-1),Employment!A:P,16,FALSE),4)</f>
        <v>1.5681</v>
      </c>
      <c r="P348" s="18">
        <f t="shared" si="174"/>
        <v>1.5822000000000001</v>
      </c>
      <c r="Q348" s="29">
        <f t="shared" si="175"/>
        <v>-0.108</v>
      </c>
      <c r="R348" s="29">
        <f t="shared" si="176"/>
        <v>4.7999999999999996E-3</v>
      </c>
      <c r="S348">
        <v>3588000</v>
      </c>
      <c r="T348" s="18">
        <f>ROUND((S348/7)/VLOOKUP(EOMONTH(A348,-1),Employment!A:P,16,FALSE),4)</f>
        <v>2.1305000000000001</v>
      </c>
      <c r="U348" s="18">
        <f t="shared" si="177"/>
        <v>2.1238999999999999</v>
      </c>
      <c r="V348" s="29">
        <f t="shared" si="178"/>
        <v>-0.13500000000000001</v>
      </c>
      <c r="W348" s="29">
        <f t="shared" si="179"/>
        <v>2.3999999999999998E-3</v>
      </c>
      <c r="X348" s="30">
        <f t="shared" si="180"/>
        <v>112.4</v>
      </c>
      <c r="Y348" s="31">
        <f t="shared" si="181"/>
        <v>107.44</v>
      </c>
    </row>
    <row r="349" spans="1:25" x14ac:dyDescent="0.25">
      <c r="A349" s="5">
        <v>40902</v>
      </c>
      <c r="B349">
        <v>1301.2315000000001</v>
      </c>
      <c r="C349" s="29">
        <f t="shared" si="185"/>
        <v>5.4999999999999997E-3</v>
      </c>
      <c r="D349">
        <v>0</v>
      </c>
      <c r="E349">
        <v>-0.44600000000000001</v>
      </c>
      <c r="F349" s="18">
        <f t="shared" si="172"/>
        <v>0.80799999999999983</v>
      </c>
      <c r="G349" s="18">
        <f t="shared" si="173"/>
        <v>2.1760000000000002</v>
      </c>
      <c r="H349">
        <v>7.37</v>
      </c>
      <c r="I349">
        <v>3.32</v>
      </c>
      <c r="J349">
        <f t="shared" si="182"/>
        <v>5.35</v>
      </c>
      <c r="K349" s="6">
        <f t="shared" si="183"/>
        <v>5.41</v>
      </c>
      <c r="L349" s="6">
        <f t="shared" si="184"/>
        <v>-3.0000000000000249E-2</v>
      </c>
      <c r="M349">
        <v>-7.7282770730132002</v>
      </c>
      <c r="N349">
        <v>380000</v>
      </c>
      <c r="O349" s="18">
        <f>ROUND(N349/VLOOKUP(EOMONTH(A349,-1),Employment!A:P,16,FALSE),4)</f>
        <v>1.5804</v>
      </c>
      <c r="P349" s="18">
        <f t="shared" si="174"/>
        <v>1.5973999999999999</v>
      </c>
      <c r="Q349" s="29">
        <f t="shared" si="175"/>
        <v>-0.1028</v>
      </c>
      <c r="R349" s="29">
        <f t="shared" si="176"/>
        <v>-1.1999999999999999E-3</v>
      </c>
      <c r="S349">
        <v>3543000</v>
      </c>
      <c r="T349" s="18">
        <f>ROUND((S349/7)/VLOOKUP(EOMONTH(A349,-1),Employment!A:P,16,FALSE),4)</f>
        <v>2.1051000000000002</v>
      </c>
      <c r="U349" s="18">
        <f t="shared" si="177"/>
        <v>2.1251000000000002</v>
      </c>
      <c r="V349" s="29">
        <f t="shared" si="178"/>
        <v>-0.1351</v>
      </c>
      <c r="W349" s="29">
        <f t="shared" si="179"/>
        <v>-2.7000000000000001E-3</v>
      </c>
      <c r="X349" s="30">
        <f t="shared" si="180"/>
        <v>106.4</v>
      </c>
      <c r="Y349" s="31">
        <f t="shared" si="181"/>
        <v>100.18</v>
      </c>
    </row>
    <row r="350" spans="1:25" x14ac:dyDescent="0.25">
      <c r="A350" s="5">
        <v>40895</v>
      </c>
      <c r="B350">
        <v>1297.5667000000001</v>
      </c>
      <c r="C350" s="29">
        <f t="shared" si="185"/>
        <v>3.5999999999999999E-3</v>
      </c>
      <c r="D350">
        <v>0.04</v>
      </c>
      <c r="E350">
        <v>-0.39500000000000002</v>
      </c>
      <c r="F350" s="18">
        <f t="shared" si="172"/>
        <v>0.64000000000000012</v>
      </c>
      <c r="G350" s="18">
        <f t="shared" si="173"/>
        <v>0.95600000000000041</v>
      </c>
      <c r="H350">
        <v>7.65</v>
      </c>
      <c r="I350">
        <v>3.26</v>
      </c>
      <c r="J350">
        <f t="shared" si="182"/>
        <v>5.46</v>
      </c>
      <c r="K350" s="6">
        <f t="shared" si="183"/>
        <v>5.44</v>
      </c>
      <c r="L350" s="6">
        <f t="shared" si="184"/>
        <v>-4.0000000000000036E-2</v>
      </c>
      <c r="M350">
        <v>-7.4494033072533998</v>
      </c>
      <c r="N350">
        <v>384250</v>
      </c>
      <c r="O350" s="18">
        <f>ROUND(N350/VLOOKUP(EOMONTH(A350,-1),Employment!A:P,16,FALSE),4)</f>
        <v>1.5981000000000001</v>
      </c>
      <c r="P350" s="18">
        <f t="shared" si="174"/>
        <v>1.6102000000000001</v>
      </c>
      <c r="Q350" s="29">
        <f t="shared" si="175"/>
        <v>-9.4899999999999998E-2</v>
      </c>
      <c r="R350" s="29">
        <f t="shared" si="176"/>
        <v>-4.8999999999999998E-3</v>
      </c>
      <c r="S350">
        <v>3595000</v>
      </c>
      <c r="T350" s="18">
        <f>ROUND((S350/7)/VLOOKUP(EOMONTH(A350,-1),Employment!A:P,16,FALSE),4)</f>
        <v>2.1360000000000001</v>
      </c>
      <c r="U350" s="18">
        <f t="shared" si="177"/>
        <v>2.1638999999999999</v>
      </c>
      <c r="V350" s="29">
        <f t="shared" si="178"/>
        <v>-0.1303</v>
      </c>
      <c r="W350" s="29">
        <f t="shared" si="179"/>
        <v>-1.1299999999999999E-2</v>
      </c>
      <c r="X350" s="30">
        <f t="shared" si="180"/>
        <v>97.66</v>
      </c>
      <c r="Y350" s="31">
        <f t="shared" si="181"/>
        <v>93.38</v>
      </c>
    </row>
    <row r="351" spans="1:25" x14ac:dyDescent="0.25">
      <c r="A351" s="5">
        <v>40888</v>
      </c>
      <c r="B351">
        <v>1293.5213000000001</v>
      </c>
      <c r="C351" s="29">
        <f t="shared" si="185"/>
        <v>1E-3</v>
      </c>
      <c r="D351">
        <v>0.06</v>
      </c>
      <c r="E351">
        <v>-0.34</v>
      </c>
      <c r="F351" s="18">
        <f t="shared" si="172"/>
        <v>0.72799999999999998</v>
      </c>
      <c r="G351" s="18">
        <f t="shared" si="173"/>
        <v>-0.46799999999999997</v>
      </c>
      <c r="H351">
        <v>7.53</v>
      </c>
      <c r="I351">
        <v>3.28</v>
      </c>
      <c r="J351">
        <f t="shared" si="182"/>
        <v>5.41</v>
      </c>
      <c r="K351" s="6">
        <f t="shared" si="183"/>
        <v>5.48</v>
      </c>
      <c r="L351" s="6">
        <f t="shared" si="184"/>
        <v>1.0000000000000675E-2</v>
      </c>
      <c r="M351">
        <v>-7.6786719830462999</v>
      </c>
      <c r="N351">
        <v>388000</v>
      </c>
      <c r="O351" s="18">
        <f>ROUND(N351/VLOOKUP(EOMONTH(A351,-1),Employment!A:P,16,FALSE),4)</f>
        <v>1.6136999999999999</v>
      </c>
      <c r="P351" s="18">
        <f t="shared" si="174"/>
        <v>1.6182000000000001</v>
      </c>
      <c r="Q351" s="29">
        <f t="shared" si="175"/>
        <v>-9.6600000000000005E-2</v>
      </c>
      <c r="R351" s="29">
        <f t="shared" si="176"/>
        <v>-3.8999999999999998E-3</v>
      </c>
      <c r="S351">
        <v>3592000</v>
      </c>
      <c r="T351" s="18">
        <f>ROUND((S351/7)/VLOOKUP(EOMONTH(A351,-1),Employment!A:P,16,FALSE),4)</f>
        <v>2.1341999999999999</v>
      </c>
      <c r="U351" s="18">
        <f t="shared" si="177"/>
        <v>2.1804000000000001</v>
      </c>
      <c r="V351" s="29">
        <f t="shared" si="178"/>
        <v>-0.12659999999999999</v>
      </c>
      <c r="W351" s="29">
        <f t="shared" si="179"/>
        <v>-1.3100000000000001E-2</v>
      </c>
      <c r="X351" s="30">
        <f t="shared" si="180"/>
        <v>90.92</v>
      </c>
      <c r="Y351" s="31">
        <f t="shared" si="181"/>
        <v>90.29</v>
      </c>
    </row>
    <row r="352" spans="1:25" x14ac:dyDescent="0.25">
      <c r="A352" s="5">
        <v>40881</v>
      </c>
      <c r="B352">
        <v>1292.3723</v>
      </c>
      <c r="C352" s="29">
        <f t="shared" si="185"/>
        <v>1.8E-3</v>
      </c>
      <c r="D352">
        <v>0.08</v>
      </c>
      <c r="E352">
        <v>-0.27400000000000002</v>
      </c>
      <c r="F352" s="18">
        <f t="shared" si="172"/>
        <v>-0.4119999999999997</v>
      </c>
      <c r="G352" s="18">
        <f t="shared" si="173"/>
        <v>-1.4840000000000002</v>
      </c>
      <c r="H352">
        <v>7.65</v>
      </c>
      <c r="I352">
        <v>3.24</v>
      </c>
      <c r="J352">
        <f t="shared" si="182"/>
        <v>5.45</v>
      </c>
      <c r="K352" s="6">
        <f t="shared" si="183"/>
        <v>5.47</v>
      </c>
      <c r="L352" s="6">
        <f t="shared" si="184"/>
        <v>4.9999999999999822E-2</v>
      </c>
      <c r="M352">
        <v>-7.8370590548612</v>
      </c>
      <c r="N352">
        <v>389250</v>
      </c>
      <c r="O352" s="18">
        <f>ROUND(N352/VLOOKUP(EOMONTH(A352,-1),Employment!A:P,16,FALSE),4)</f>
        <v>1.6189</v>
      </c>
      <c r="P352" s="18">
        <f t="shared" si="174"/>
        <v>1.6273</v>
      </c>
      <c r="Q352" s="29">
        <f t="shared" si="175"/>
        <v>-0.1009</v>
      </c>
      <c r="R352" s="29">
        <f t="shared" si="176"/>
        <v>-1.9E-3</v>
      </c>
      <c r="S352">
        <v>3739000</v>
      </c>
      <c r="T352" s="18">
        <f>ROUND((S352/7)/VLOOKUP(EOMONTH(A352,-1),Employment!A:P,16,FALSE),4)</f>
        <v>2.2214999999999998</v>
      </c>
      <c r="U352" s="18">
        <f t="shared" si="177"/>
        <v>2.1831</v>
      </c>
      <c r="V352" s="29">
        <f t="shared" si="178"/>
        <v>-0.1363</v>
      </c>
      <c r="W352" s="29">
        <f t="shared" si="179"/>
        <v>-7.7999999999999996E-3</v>
      </c>
      <c r="X352" s="30">
        <f t="shared" si="180"/>
        <v>88.81</v>
      </c>
      <c r="Y352" s="31">
        <f t="shared" si="181"/>
        <v>92.24</v>
      </c>
    </row>
    <row r="353" spans="1:25" x14ac:dyDescent="0.25">
      <c r="A353" s="5">
        <v>40874</v>
      </c>
      <c r="B353">
        <v>1293.2249999999999</v>
      </c>
      <c r="C353" s="29">
        <f t="shared" si="185"/>
        <v>5.3E-3</v>
      </c>
      <c r="D353">
        <v>7.0000000000000007E-2</v>
      </c>
      <c r="E353">
        <v>-0.313</v>
      </c>
      <c r="F353" s="18">
        <f t="shared" si="172"/>
        <v>-0.78400000000000025</v>
      </c>
      <c r="G353" s="18">
        <f t="shared" si="173"/>
        <v>-1.52</v>
      </c>
      <c r="H353">
        <v>8</v>
      </c>
      <c r="I353">
        <v>3.18</v>
      </c>
      <c r="J353">
        <f t="shared" si="182"/>
        <v>5.59</v>
      </c>
      <c r="K353" s="6">
        <f t="shared" si="183"/>
        <v>5.42</v>
      </c>
      <c r="L353" s="6">
        <f t="shared" si="184"/>
        <v>0.13999999999999968</v>
      </c>
      <c r="M353">
        <v>-7.5342491853951996</v>
      </c>
      <c r="N353">
        <v>389750</v>
      </c>
      <c r="O353" s="18">
        <f>ROUND(N353/VLOOKUP(EOMONTH(A353,-1),Employment!A:P,16,FALSE),4)</f>
        <v>1.6221000000000001</v>
      </c>
      <c r="P353" s="18">
        <f t="shared" si="174"/>
        <v>1.6388</v>
      </c>
      <c r="Q353" s="29">
        <f t="shared" si="175"/>
        <v>-0.1048</v>
      </c>
      <c r="R353" s="29">
        <f t="shared" si="176"/>
        <v>-2.9999999999999997E-4</v>
      </c>
      <c r="S353">
        <v>3676000</v>
      </c>
      <c r="T353" s="18">
        <f>ROUND((S353/7)/VLOOKUP(EOMONTH(A353,-1),Employment!A:P,16,FALSE),4)</f>
        <v>2.1856</v>
      </c>
      <c r="U353" s="18">
        <f t="shared" si="177"/>
        <v>2.1713</v>
      </c>
      <c r="V353" s="29">
        <f t="shared" si="178"/>
        <v>-0.14849999999999999</v>
      </c>
      <c r="W353" s="29">
        <f t="shared" si="179"/>
        <v>-2.3E-3</v>
      </c>
      <c r="X353" s="30">
        <f t="shared" si="180"/>
        <v>92.4</v>
      </c>
      <c r="Y353" s="31">
        <f t="shared" si="181"/>
        <v>98.03</v>
      </c>
    </row>
    <row r="354" spans="1:25" x14ac:dyDescent="0.25">
      <c r="A354" s="5">
        <v>40867</v>
      </c>
      <c r="B354">
        <v>1292.4223</v>
      </c>
      <c r="C354" s="29">
        <f t="shared" si="185"/>
        <v>8.0000000000000002E-3</v>
      </c>
      <c r="D354">
        <v>0.05</v>
      </c>
      <c r="E354">
        <v>-0.38600000000000001</v>
      </c>
      <c r="F354" s="18">
        <f t="shared" si="172"/>
        <v>-0.28800000000000026</v>
      </c>
      <c r="G354" s="18">
        <f t="shared" si="173"/>
        <v>0.4520000000000004</v>
      </c>
      <c r="H354">
        <v>7.61</v>
      </c>
      <c r="I354">
        <v>3.14</v>
      </c>
      <c r="J354">
        <f t="shared" si="182"/>
        <v>5.38</v>
      </c>
      <c r="K354" s="6">
        <f t="shared" si="183"/>
        <v>5.28</v>
      </c>
      <c r="L354" s="6">
        <f t="shared" si="184"/>
        <v>0.15000000000000036</v>
      </c>
      <c r="M354">
        <v>-8.0578943910029999</v>
      </c>
      <c r="N354">
        <v>394250</v>
      </c>
      <c r="O354" s="18">
        <f>ROUND(N354/VLOOKUP(EOMONTH(A354,-1),Employment!A:P,16,FALSE),4)</f>
        <v>1.6409</v>
      </c>
      <c r="P354" s="18">
        <f t="shared" si="174"/>
        <v>1.6555</v>
      </c>
      <c r="Q354" s="29">
        <f t="shared" si="175"/>
        <v>-0.1062</v>
      </c>
      <c r="R354" s="29">
        <f t="shared" si="176"/>
        <v>2.0000000000000001E-4</v>
      </c>
      <c r="S354">
        <v>3603000</v>
      </c>
      <c r="T354" s="18">
        <f>ROUND((S354/7)/VLOOKUP(EOMONTH(A354,-1),Employment!A:P,16,FALSE),4)</f>
        <v>2.1421999999999999</v>
      </c>
      <c r="U354" s="18">
        <f t="shared" si="177"/>
        <v>2.1758999999999999</v>
      </c>
      <c r="V354" s="29">
        <f t="shared" si="178"/>
        <v>-0.157</v>
      </c>
      <c r="W354" s="29">
        <f t="shared" si="179"/>
        <v>-2.7000000000000001E-3</v>
      </c>
      <c r="X354" s="30">
        <f t="shared" si="180"/>
        <v>100.39</v>
      </c>
      <c r="Y354" s="31">
        <f t="shared" si="181"/>
        <v>104.79</v>
      </c>
    </row>
    <row r="355" spans="1:25" x14ac:dyDescent="0.25">
      <c r="A355" s="5">
        <v>40860</v>
      </c>
      <c r="B355">
        <v>1291.0144</v>
      </c>
      <c r="C355" s="29">
        <f t="shared" si="185"/>
        <v>1.0500000000000001E-2</v>
      </c>
      <c r="D355">
        <v>0.03</v>
      </c>
      <c r="E355">
        <v>-0.39700000000000002</v>
      </c>
      <c r="F355" s="18">
        <f t="shared" si="172"/>
        <v>-0.44799999999999951</v>
      </c>
      <c r="G355" s="18">
        <f t="shared" si="173"/>
        <v>1.2320000000000004</v>
      </c>
      <c r="H355">
        <v>7.46</v>
      </c>
      <c r="I355">
        <v>3.14</v>
      </c>
      <c r="J355">
        <f t="shared" si="182"/>
        <v>5.3</v>
      </c>
      <c r="K355" s="6">
        <f t="shared" si="183"/>
        <v>5.13</v>
      </c>
      <c r="L355" s="6">
        <f t="shared" si="184"/>
        <v>0</v>
      </c>
      <c r="M355">
        <v>-8.7349342199306008</v>
      </c>
      <c r="N355">
        <v>397250</v>
      </c>
      <c r="O355" s="18">
        <f>ROUND(N355/VLOOKUP(EOMONTH(A355,-1),Employment!A:P,16,FALSE),4)</f>
        <v>1.6534</v>
      </c>
      <c r="P355" s="18">
        <f t="shared" si="174"/>
        <v>1.6684000000000001</v>
      </c>
      <c r="Q355" s="29">
        <f t="shared" si="175"/>
        <v>-0.1046</v>
      </c>
      <c r="R355" s="29">
        <f t="shared" si="176"/>
        <v>3.3999999999999998E-3</v>
      </c>
      <c r="S355">
        <v>3677000</v>
      </c>
      <c r="T355" s="18">
        <f>ROUND((S355/7)/VLOOKUP(EOMONTH(A355,-1),Employment!A:P,16,FALSE),4)</f>
        <v>2.1861999999999999</v>
      </c>
      <c r="U355" s="18">
        <f t="shared" si="177"/>
        <v>2.1964999999999999</v>
      </c>
      <c r="V355" s="29">
        <f t="shared" si="178"/>
        <v>-0.15429999999999999</v>
      </c>
      <c r="W355" s="29">
        <f t="shared" si="179"/>
        <v>-5.7000000000000002E-3</v>
      </c>
      <c r="X355" s="30">
        <f t="shared" si="180"/>
        <v>106.21000000000001</v>
      </c>
      <c r="Y355" s="31">
        <f t="shared" si="181"/>
        <v>108.42</v>
      </c>
    </row>
    <row r="356" spans="1:25" x14ac:dyDescent="0.25">
      <c r="A356" s="5">
        <v>40853</v>
      </c>
      <c r="B356">
        <v>1283.3261</v>
      </c>
      <c r="C356" s="29">
        <f t="shared" si="185"/>
        <v>7.1000000000000004E-3</v>
      </c>
      <c r="D356">
        <v>0.01</v>
      </c>
      <c r="E356">
        <v>-0.42799999999999999</v>
      </c>
      <c r="F356" s="18">
        <f t="shared" si="172"/>
        <v>1.1880000000000002</v>
      </c>
      <c r="G356" s="18">
        <f t="shared" si="173"/>
        <v>3.016</v>
      </c>
      <c r="H356">
        <v>7.26</v>
      </c>
      <c r="I356">
        <v>3.06</v>
      </c>
      <c r="J356">
        <f t="shared" si="182"/>
        <v>5.16</v>
      </c>
      <c r="K356" s="6">
        <f t="shared" si="183"/>
        <v>5.13</v>
      </c>
      <c r="L356" s="6">
        <f t="shared" si="184"/>
        <v>-0.13999999999999968</v>
      </c>
      <c r="M356">
        <v>-9.6928372282599007</v>
      </c>
      <c r="N356">
        <v>401750</v>
      </c>
      <c r="O356" s="18">
        <f>ROUND(N356/VLOOKUP(EOMONTH(A356,-1),Employment!A:P,16,FALSE),4)</f>
        <v>1.6720999999999999</v>
      </c>
      <c r="P356" s="18">
        <f t="shared" si="174"/>
        <v>1.6781999999999999</v>
      </c>
      <c r="Q356" s="29">
        <f t="shared" si="175"/>
        <v>-0.1072</v>
      </c>
      <c r="R356" s="29">
        <f t="shared" si="176"/>
        <v>7.7000000000000002E-3</v>
      </c>
      <c r="S356">
        <v>3699000</v>
      </c>
      <c r="T356" s="18">
        <f>ROUND((S356/7)/VLOOKUP(EOMONTH(A356,-1),Employment!A:P,16,FALSE),4)</f>
        <v>2.1993</v>
      </c>
      <c r="U356" s="18">
        <f t="shared" si="177"/>
        <v>2.2079</v>
      </c>
      <c r="V356" s="29">
        <f t="shared" si="178"/>
        <v>-0.15509999999999999</v>
      </c>
      <c r="W356" s="29">
        <f t="shared" si="179"/>
        <v>-5.4000000000000003E-3</v>
      </c>
      <c r="X356" s="30">
        <f t="shared" si="180"/>
        <v>112.25</v>
      </c>
      <c r="Y356" s="31">
        <f t="shared" si="181"/>
        <v>105.7</v>
      </c>
    </row>
    <row r="357" spans="1:25" x14ac:dyDescent="0.25">
      <c r="A357" s="5">
        <v>40846</v>
      </c>
      <c r="B357">
        <v>1278.8751</v>
      </c>
      <c r="C357" s="29">
        <f t="shared" si="185"/>
        <v>5.4999999999999997E-3</v>
      </c>
      <c r="D357">
        <v>0.02</v>
      </c>
      <c r="E357">
        <v>-0.29199999999999998</v>
      </c>
      <c r="F357" s="18">
        <f t="shared" si="172"/>
        <v>0.49199999999999977</v>
      </c>
      <c r="G357" s="18">
        <f t="shared" si="173"/>
        <v>1.0639999999999996</v>
      </c>
      <c r="H357">
        <v>6.85</v>
      </c>
      <c r="I357">
        <v>2.99</v>
      </c>
      <c r="J357">
        <f t="shared" si="182"/>
        <v>4.92</v>
      </c>
      <c r="K357" s="6">
        <f t="shared" si="183"/>
        <v>5.27</v>
      </c>
      <c r="L357" s="6">
        <f t="shared" si="184"/>
        <v>-0.34000000000000075</v>
      </c>
      <c r="M357">
        <v>-10.391850837746</v>
      </c>
      <c r="N357">
        <v>403250</v>
      </c>
      <c r="O357" s="18">
        <f>ROUND(N357/VLOOKUP(EOMONTH(A357,-1),Employment!A:P,16,FALSE),4)</f>
        <v>1.6797</v>
      </c>
      <c r="P357" s="18">
        <f t="shared" si="174"/>
        <v>1.6912</v>
      </c>
      <c r="Q357" s="29">
        <f t="shared" si="175"/>
        <v>-0.10630000000000001</v>
      </c>
      <c r="R357" s="29">
        <f t="shared" si="176"/>
        <v>8.6E-3</v>
      </c>
      <c r="S357">
        <v>3704000</v>
      </c>
      <c r="T357" s="18">
        <f>ROUND((S357/7)/VLOOKUP(EOMONTH(A357,-1),Employment!A:P,16,FALSE),4)</f>
        <v>2.2040999999999999</v>
      </c>
      <c r="U357" s="18">
        <f t="shared" si="177"/>
        <v>2.2081</v>
      </c>
      <c r="V357" s="29">
        <f t="shared" si="178"/>
        <v>-0.16009999999999999</v>
      </c>
      <c r="W357" s="29">
        <f t="shared" si="179"/>
        <v>-3.0000000000000001E-3</v>
      </c>
      <c r="X357" s="30">
        <f t="shared" si="180"/>
        <v>104.37</v>
      </c>
      <c r="Y357" s="31">
        <f t="shared" si="181"/>
        <v>94.84</v>
      </c>
    </row>
    <row r="358" spans="1:25" x14ac:dyDescent="0.25">
      <c r="A358" s="5">
        <v>40839</v>
      </c>
      <c r="B358">
        <v>1275.3661</v>
      </c>
      <c r="C358" s="29">
        <f t="shared" si="185"/>
        <v>4.0000000000000001E-3</v>
      </c>
      <c r="D358">
        <v>0.03</v>
      </c>
      <c r="E358">
        <v>-0.24299999999999999</v>
      </c>
      <c r="F358" s="18">
        <f t="shared" si="172"/>
        <v>1.3359999999999999</v>
      </c>
      <c r="G358" s="18">
        <f t="shared" si="173"/>
        <v>-0.25600000000000001</v>
      </c>
      <c r="H358">
        <v>7.46</v>
      </c>
      <c r="I358">
        <v>3.18</v>
      </c>
      <c r="J358">
        <f t="shared" si="182"/>
        <v>5.32</v>
      </c>
      <c r="K358" s="6">
        <f t="shared" si="183"/>
        <v>5.61</v>
      </c>
      <c r="L358" s="6">
        <f t="shared" si="184"/>
        <v>-0.17999999999999972</v>
      </c>
      <c r="M358">
        <v>-10.492505210249</v>
      </c>
      <c r="N358">
        <v>404000</v>
      </c>
      <c r="O358" s="18">
        <f>ROUND(N358/VLOOKUP(EOMONTH(A358,-1),Employment!A:P,16,FALSE),4)</f>
        <v>1.6828000000000001</v>
      </c>
      <c r="P358" s="18">
        <f t="shared" si="174"/>
        <v>1.7081999999999999</v>
      </c>
      <c r="Q358" s="29">
        <f t="shared" si="175"/>
        <v>-0.1018</v>
      </c>
      <c r="R358" s="29">
        <f t="shared" si="176"/>
        <v>2.5999999999999999E-3</v>
      </c>
      <c r="S358">
        <v>3731000</v>
      </c>
      <c r="T358" s="18">
        <f>ROUND((S358/7)/VLOOKUP(EOMONTH(A358,-1),Employment!A:P,16,FALSE),4)</f>
        <v>2.2202000000000002</v>
      </c>
      <c r="U358" s="18">
        <f t="shared" si="177"/>
        <v>2.2086999999999999</v>
      </c>
      <c r="V358" s="29">
        <f t="shared" si="178"/>
        <v>-0.16520000000000001</v>
      </c>
      <c r="W358" s="29">
        <f t="shared" si="179"/>
        <v>-2.0999999999999999E-3</v>
      </c>
      <c r="X358" s="30">
        <f t="shared" si="180"/>
        <v>92.62</v>
      </c>
      <c r="Y358" s="31">
        <f t="shared" si="181"/>
        <v>82.4</v>
      </c>
    </row>
    <row r="359" spans="1:25" x14ac:dyDescent="0.25">
      <c r="A359" s="5">
        <v>40832</v>
      </c>
      <c r="B359">
        <v>1272.5833</v>
      </c>
      <c r="C359" s="29">
        <f t="shared" si="185"/>
        <v>2.3E-3</v>
      </c>
      <c r="D359">
        <v>0.05</v>
      </c>
      <c r="E359">
        <v>-0.10100000000000001</v>
      </c>
      <c r="F359" s="18">
        <f t="shared" si="172"/>
        <v>-0.76400000000000001</v>
      </c>
      <c r="G359" s="18">
        <f t="shared" si="173"/>
        <v>-2.04</v>
      </c>
      <c r="H359">
        <v>7.89</v>
      </c>
      <c r="I359">
        <v>3.26</v>
      </c>
      <c r="J359">
        <f t="shared" si="182"/>
        <v>5.58</v>
      </c>
      <c r="K359" s="6">
        <f t="shared" si="183"/>
        <v>5.79</v>
      </c>
      <c r="L359" s="6">
        <f t="shared" si="184"/>
        <v>-3.0000000000000249E-2</v>
      </c>
      <c r="M359">
        <v>-10.065864849226999</v>
      </c>
      <c r="N359">
        <v>410750</v>
      </c>
      <c r="O359" s="18">
        <f>ROUND(N359/VLOOKUP(EOMONTH(A359,-1),Employment!A:P,16,FALSE),4)</f>
        <v>1.7110000000000001</v>
      </c>
      <c r="P359" s="18">
        <f t="shared" si="174"/>
        <v>1.7273000000000001</v>
      </c>
      <c r="Q359" s="29">
        <f t="shared" si="175"/>
        <v>-9.2799999999999994E-2</v>
      </c>
      <c r="R359" s="29">
        <f t="shared" si="176"/>
        <v>-8.8000000000000005E-3</v>
      </c>
      <c r="S359">
        <v>3697000</v>
      </c>
      <c r="T359" s="18">
        <f>ROUND((S359/7)/VLOOKUP(EOMONTH(A359,-1),Employment!A:P,16,FALSE),4)</f>
        <v>2.1999</v>
      </c>
      <c r="U359" s="18">
        <f t="shared" si="177"/>
        <v>2.2118000000000002</v>
      </c>
      <c r="V359" s="29">
        <f t="shared" si="178"/>
        <v>-0.1671</v>
      </c>
      <c r="W359" s="29">
        <f t="shared" si="179"/>
        <v>-2.5000000000000001E-3</v>
      </c>
      <c r="X359" s="30">
        <f t="shared" si="180"/>
        <v>76.540000000000006</v>
      </c>
      <c r="Y359" s="31">
        <f t="shared" si="181"/>
        <v>73.8</v>
      </c>
    </row>
    <row r="360" spans="1:25" x14ac:dyDescent="0.25">
      <c r="A360" s="5">
        <v>40825</v>
      </c>
      <c r="B360">
        <v>1270.2426</v>
      </c>
      <c r="C360" s="29">
        <f t="shared" si="185"/>
        <v>5.9999999999999995E-4</v>
      </c>
      <c r="D360">
        <v>0.04</v>
      </c>
      <c r="E360">
        <v>-0.184</v>
      </c>
      <c r="F360" s="18">
        <f t="shared" si="172"/>
        <v>-0.82799999999999985</v>
      </c>
      <c r="G360" s="18">
        <f t="shared" si="173"/>
        <v>-1.2839999999999998</v>
      </c>
      <c r="H360">
        <v>8.5500000000000007</v>
      </c>
      <c r="I360">
        <v>3.32</v>
      </c>
      <c r="J360">
        <f t="shared" si="182"/>
        <v>5.94</v>
      </c>
      <c r="K360" s="6">
        <f t="shared" si="183"/>
        <v>5.82</v>
      </c>
      <c r="L360" s="6">
        <f t="shared" si="184"/>
        <v>0.1800000000000006</v>
      </c>
      <c r="M360">
        <v>-9.1605964475025008</v>
      </c>
      <c r="N360">
        <v>415500</v>
      </c>
      <c r="O360" s="18">
        <f>ROUND(N360/VLOOKUP(EOMONTH(A360,-1),Employment!A:P,16,FALSE),4)</f>
        <v>1.7306999999999999</v>
      </c>
      <c r="P360" s="18">
        <f t="shared" si="174"/>
        <v>1.7384999999999999</v>
      </c>
      <c r="Q360" s="29">
        <f t="shared" si="175"/>
        <v>-8.6999999999999994E-2</v>
      </c>
      <c r="R360" s="29">
        <f t="shared" si="176"/>
        <v>-0.02</v>
      </c>
      <c r="S360">
        <v>3707000</v>
      </c>
      <c r="T360" s="18">
        <f>ROUND((S360/7)/VLOOKUP(EOMONTH(A360,-1),Employment!A:P,16,FALSE),4)</f>
        <v>2.2059000000000002</v>
      </c>
      <c r="U360" s="18">
        <f t="shared" si="177"/>
        <v>2.2246000000000001</v>
      </c>
      <c r="V360" s="29">
        <f t="shared" si="178"/>
        <v>-0.16750000000000001</v>
      </c>
      <c r="W360" s="29">
        <f t="shared" si="179"/>
        <v>-2.8999999999999998E-3</v>
      </c>
      <c r="X360" s="30">
        <f t="shared" si="180"/>
        <v>71.510000000000005</v>
      </c>
      <c r="Y360" s="31">
        <f t="shared" si="181"/>
        <v>73.81</v>
      </c>
    </row>
    <row r="361" spans="1:25" x14ac:dyDescent="0.25">
      <c r="A361" s="5">
        <v>40818</v>
      </c>
      <c r="B361">
        <v>1269.5628999999999</v>
      </c>
      <c r="C361" s="29">
        <f t="shared" si="185"/>
        <v>4.0000000000000002E-4</v>
      </c>
      <c r="D361">
        <v>7.0000000000000007E-2</v>
      </c>
      <c r="E361">
        <v>-0.32500000000000001</v>
      </c>
      <c r="F361" s="18">
        <f t="shared" si="172"/>
        <v>-0.44799999999999995</v>
      </c>
      <c r="G361" s="18">
        <f t="shared" si="173"/>
        <v>-1.0720000000000001</v>
      </c>
      <c r="H361">
        <v>8.41</v>
      </c>
      <c r="I361">
        <v>3.3</v>
      </c>
      <c r="J361">
        <f t="shared" si="182"/>
        <v>5.86</v>
      </c>
      <c r="K361" s="6">
        <f t="shared" si="183"/>
        <v>5.64</v>
      </c>
      <c r="L361" s="6">
        <f t="shared" si="184"/>
        <v>0.15999999999999925</v>
      </c>
      <c r="M361">
        <v>-8.0397360097877009</v>
      </c>
      <c r="N361">
        <v>417750</v>
      </c>
      <c r="O361" s="18">
        <f>ROUND(N361/VLOOKUP(EOMONTH(A361,-1),Employment!A:P,16,FALSE),4)</f>
        <v>1.7401</v>
      </c>
      <c r="P361" s="18">
        <f t="shared" si="174"/>
        <v>1.7406999999999999</v>
      </c>
      <c r="Q361" s="29">
        <f t="shared" si="175"/>
        <v>-8.9300000000000004E-2</v>
      </c>
      <c r="R361" s="29">
        <f t="shared" si="176"/>
        <v>-2.4500000000000001E-2</v>
      </c>
      <c r="S361">
        <v>3747000</v>
      </c>
      <c r="T361" s="18">
        <f>ROUND((S361/7)/VLOOKUP(EOMONTH(A361,-1),Employment!A:P,16,FALSE),4)</f>
        <v>2.2296999999999998</v>
      </c>
      <c r="U361" s="18">
        <f t="shared" si="177"/>
        <v>2.2355</v>
      </c>
      <c r="V361" s="29">
        <f t="shared" si="178"/>
        <v>-0.1681</v>
      </c>
      <c r="W361" s="29">
        <f t="shared" si="179"/>
        <v>-5.9999999999999995E-4</v>
      </c>
      <c r="X361" s="30">
        <f t="shared" si="180"/>
        <v>72.7</v>
      </c>
      <c r="Y361" s="31">
        <f t="shared" si="181"/>
        <v>79.39</v>
      </c>
    </row>
    <row r="362" spans="1:25" x14ac:dyDescent="0.25">
      <c r="A362" s="5">
        <v>40811</v>
      </c>
      <c r="B362">
        <v>1268.729</v>
      </c>
      <c r="C362" s="29">
        <f t="shared" si="185"/>
        <v>8.9999999999999998E-4</v>
      </c>
      <c r="D362">
        <v>7.0000000000000007E-2</v>
      </c>
      <c r="E362">
        <v>-0.38100000000000001</v>
      </c>
      <c r="F362" s="18">
        <f t="shared" si="172"/>
        <v>-8.0000000000000071E-3</v>
      </c>
      <c r="G362" s="18">
        <f t="shared" si="173"/>
        <v>0.13999999999999968</v>
      </c>
      <c r="H362">
        <v>8.01</v>
      </c>
      <c r="I362">
        <v>3.31</v>
      </c>
      <c r="J362">
        <f t="shared" si="182"/>
        <v>5.66</v>
      </c>
      <c r="K362" s="6">
        <f t="shared" si="183"/>
        <v>5.48</v>
      </c>
      <c r="L362" s="6">
        <f t="shared" si="184"/>
        <v>0.13000000000000078</v>
      </c>
      <c r="M362">
        <v>-7.1664187965480997</v>
      </c>
      <c r="N362">
        <v>418500</v>
      </c>
      <c r="O362" s="18">
        <f>ROUND(N362/VLOOKUP(EOMONTH(A362,-1),Employment!A:P,16,FALSE),4)</f>
        <v>1.7446999999999999</v>
      </c>
      <c r="P362" s="18">
        <f t="shared" si="174"/>
        <v>1.7329000000000001</v>
      </c>
      <c r="Q362" s="29">
        <f t="shared" si="175"/>
        <v>-0.1027</v>
      </c>
      <c r="R362" s="29">
        <f t="shared" si="176"/>
        <v>-1.9699999999999999E-2</v>
      </c>
      <c r="S362">
        <v>3758000</v>
      </c>
      <c r="T362" s="18">
        <f>ROUND((S362/7)/VLOOKUP(EOMONTH(A362,-1),Employment!A:P,16,FALSE),4)</f>
        <v>2.2381000000000002</v>
      </c>
      <c r="U362" s="18">
        <f t="shared" si="177"/>
        <v>2.2313999999999998</v>
      </c>
      <c r="V362" s="29">
        <f t="shared" si="178"/>
        <v>-0.1734</v>
      </c>
      <c r="W362" s="29">
        <f t="shared" si="179"/>
        <v>1E-4</v>
      </c>
      <c r="X362" s="30">
        <f t="shared" si="180"/>
        <v>82.33</v>
      </c>
      <c r="Y362" s="31">
        <f t="shared" si="181"/>
        <v>88.48</v>
      </c>
    </row>
    <row r="363" spans="1:25" x14ac:dyDescent="0.25">
      <c r="A363" s="5">
        <v>40804</v>
      </c>
      <c r="B363">
        <v>1269.9813999999999</v>
      </c>
      <c r="C363" s="29">
        <f t="shared" si="185"/>
        <v>4.4000000000000003E-3</v>
      </c>
      <c r="D363">
        <v>7.0000000000000007E-2</v>
      </c>
      <c r="E363">
        <v>-0.38200000000000001</v>
      </c>
      <c r="F363" s="18">
        <f t="shared" si="172"/>
        <v>-0.6160000000000001</v>
      </c>
      <c r="G363" s="18">
        <f t="shared" si="173"/>
        <v>-1.5960000000000001</v>
      </c>
      <c r="H363">
        <v>7.46</v>
      </c>
      <c r="I363">
        <v>3.31</v>
      </c>
      <c r="J363">
        <f t="shared" si="182"/>
        <v>5.39</v>
      </c>
      <c r="K363" s="6">
        <f t="shared" si="183"/>
        <v>5.35</v>
      </c>
      <c r="L363" s="6">
        <f t="shared" si="184"/>
        <v>0</v>
      </c>
      <c r="M363">
        <v>-6.4034926645523003</v>
      </c>
      <c r="N363">
        <v>416750</v>
      </c>
      <c r="O363" s="18">
        <f>ROUND(N363/VLOOKUP(EOMONTH(A363,-1),Employment!A:P,16,FALSE),4)</f>
        <v>1.7374000000000001</v>
      </c>
      <c r="P363" s="18">
        <f t="shared" si="174"/>
        <v>1.7203999999999999</v>
      </c>
      <c r="Q363" s="29">
        <f t="shared" si="175"/>
        <v>-0.1216</v>
      </c>
      <c r="R363" s="29">
        <f t="shared" si="176"/>
        <v>-7.4000000000000003E-3</v>
      </c>
      <c r="S363">
        <v>3759000</v>
      </c>
      <c r="T363" s="18">
        <f>ROUND((S363/7)/VLOOKUP(EOMONTH(A363,-1),Employment!A:P,16,FALSE),4)</f>
        <v>2.2387000000000001</v>
      </c>
      <c r="U363" s="18">
        <f t="shared" si="177"/>
        <v>2.2227999999999999</v>
      </c>
      <c r="V363" s="29">
        <f t="shared" si="178"/>
        <v>-0.17280000000000001</v>
      </c>
      <c r="W363" s="29">
        <f t="shared" si="179"/>
        <v>-2.0999999999999999E-3</v>
      </c>
      <c r="X363" s="30">
        <f t="shared" si="180"/>
        <v>88.75</v>
      </c>
      <c r="Y363" s="31">
        <f t="shared" si="181"/>
        <v>96.36</v>
      </c>
    </row>
    <row r="364" spans="1:25" x14ac:dyDescent="0.25">
      <c r="A364" s="5">
        <v>40797</v>
      </c>
      <c r="B364">
        <v>1269.8257000000001</v>
      </c>
      <c r="C364" s="29">
        <f t="shared" si="185"/>
        <v>7.4000000000000003E-3</v>
      </c>
      <c r="D364">
        <v>0.05</v>
      </c>
      <c r="E364">
        <v>-0.434</v>
      </c>
      <c r="F364" s="18">
        <f t="shared" si="172"/>
        <v>0.76399999999999979</v>
      </c>
      <c r="G364" s="18">
        <f t="shared" si="173"/>
        <v>-0.83999999999999986</v>
      </c>
      <c r="H364">
        <v>7.51</v>
      </c>
      <c r="I364">
        <v>3.28</v>
      </c>
      <c r="J364">
        <f t="shared" si="182"/>
        <v>5.4</v>
      </c>
      <c r="K364" s="6">
        <f t="shared" si="183"/>
        <v>5.35</v>
      </c>
      <c r="L364" s="6">
        <f t="shared" si="184"/>
        <v>6.9999999999999396E-2</v>
      </c>
      <c r="M364">
        <v>-5.2967720033886003</v>
      </c>
      <c r="N364">
        <v>411750</v>
      </c>
      <c r="O364" s="18">
        <f>ROUND(N364/VLOOKUP(EOMONTH(A364,-1),Employment!A:P,16,FALSE),4)</f>
        <v>1.7164999999999999</v>
      </c>
      <c r="P364" s="18">
        <f t="shared" si="174"/>
        <v>1.7097</v>
      </c>
      <c r="Q364" s="29">
        <f t="shared" si="175"/>
        <v>-0.1399</v>
      </c>
      <c r="R364" s="29">
        <f t="shared" si="176"/>
        <v>7.4999999999999997E-3</v>
      </c>
      <c r="S364">
        <v>3723000</v>
      </c>
      <c r="T364" s="18">
        <f>ROUND((S364/7)/VLOOKUP(EOMONTH(A364,-1),Employment!A:P,16,FALSE),4)</f>
        <v>2.2172999999999998</v>
      </c>
      <c r="U364" s="18">
        <f t="shared" si="177"/>
        <v>2.2151000000000001</v>
      </c>
      <c r="V364" s="29">
        <f t="shared" si="178"/>
        <v>-0.17169999999999999</v>
      </c>
      <c r="W364" s="29">
        <f t="shared" si="179"/>
        <v>-5.1000000000000004E-3</v>
      </c>
      <c r="X364" s="30">
        <f t="shared" si="180"/>
        <v>103.19</v>
      </c>
      <c r="Y364" s="31">
        <f t="shared" si="181"/>
        <v>101.33</v>
      </c>
    </row>
    <row r="365" spans="1:25" x14ac:dyDescent="0.25">
      <c r="A365" s="5">
        <v>40790</v>
      </c>
      <c r="B365">
        <v>1267.789</v>
      </c>
      <c r="C365" s="29">
        <f t="shared" si="185"/>
        <v>9.1000000000000004E-3</v>
      </c>
      <c r="D365">
        <v>0.04</v>
      </c>
      <c r="E365">
        <v>-0.32600000000000001</v>
      </c>
      <c r="F365" s="18">
        <f t="shared" si="172"/>
        <v>-1.7439999999999998</v>
      </c>
      <c r="G365" s="18">
        <f t="shared" si="173"/>
        <v>-5.8559999999999999</v>
      </c>
      <c r="H365">
        <v>7.33</v>
      </c>
      <c r="I365">
        <v>3.18</v>
      </c>
      <c r="J365">
        <f t="shared" si="182"/>
        <v>5.26</v>
      </c>
      <c r="K365" s="6">
        <f t="shared" si="183"/>
        <v>5.28</v>
      </c>
      <c r="L365" s="6">
        <f t="shared" si="184"/>
        <v>1.0000000000000675E-2</v>
      </c>
      <c r="M365">
        <v>-3.2007147337497002</v>
      </c>
      <c r="N365">
        <v>409500</v>
      </c>
      <c r="O365" s="18">
        <f>ROUND(N365/VLOOKUP(EOMONTH(A365,-1),Employment!A:P,16,FALSE),4)</f>
        <v>1.7072000000000001</v>
      </c>
      <c r="P365" s="18">
        <f t="shared" si="174"/>
        <v>1.7047000000000001</v>
      </c>
      <c r="Q365" s="29">
        <f t="shared" si="175"/>
        <v>-0.14879999999999999</v>
      </c>
      <c r="R365" s="29">
        <f t="shared" si="176"/>
        <v>1.8599999999999998E-2</v>
      </c>
      <c r="S365">
        <v>3715000</v>
      </c>
      <c r="T365" s="18">
        <f>ROUND((S365/7)/VLOOKUP(EOMONTH(A365,-1),Employment!A:P,16,FALSE),4)</f>
        <v>2.2124999999999999</v>
      </c>
      <c r="U365" s="18">
        <f t="shared" si="177"/>
        <v>2.2128999999999999</v>
      </c>
      <c r="V365" s="29">
        <f t="shared" si="178"/>
        <v>-0.17080000000000001</v>
      </c>
      <c r="W365" s="29">
        <f t="shared" si="179"/>
        <v>-4.4000000000000003E-3</v>
      </c>
      <c r="X365" s="30">
        <f t="shared" si="180"/>
        <v>98.33</v>
      </c>
      <c r="Y365" s="31">
        <f t="shared" si="181"/>
        <v>101.37</v>
      </c>
    </row>
    <row r="366" spans="1:25" x14ac:dyDescent="0.25">
      <c r="A366" s="5">
        <v>40783</v>
      </c>
      <c r="B366">
        <v>1262.6103000000001</v>
      </c>
      <c r="C366" s="29">
        <f t="shared" si="185"/>
        <v>8.8999999999999999E-3</v>
      </c>
      <c r="D366">
        <v>-0.02</v>
      </c>
      <c r="E366">
        <v>-0.46899999999999997</v>
      </c>
      <c r="F366" s="18">
        <f t="shared" si="172"/>
        <v>0.14000000000000012</v>
      </c>
      <c r="G366" s="18">
        <f t="shared" si="173"/>
        <v>-5.8599999999999994</v>
      </c>
      <c r="H366">
        <v>7.5</v>
      </c>
      <c r="I366">
        <v>3.25</v>
      </c>
      <c r="J366">
        <f t="shared" si="182"/>
        <v>5.38</v>
      </c>
      <c r="K366" s="6">
        <f t="shared" si="183"/>
        <v>5.27</v>
      </c>
      <c r="L366" s="6">
        <f t="shared" si="184"/>
        <v>0.28999999999999915</v>
      </c>
      <c r="M366">
        <v>-0.76980539818227001</v>
      </c>
      <c r="N366">
        <v>408750</v>
      </c>
      <c r="O366" s="18">
        <f>ROUND(N366/VLOOKUP(EOMONTH(A366,-1),Employment!A:P,16,FALSE),4)</f>
        <v>1.7055</v>
      </c>
      <c r="P366" s="18">
        <f t="shared" si="174"/>
        <v>1.7064999999999999</v>
      </c>
      <c r="Q366" s="29">
        <f t="shared" si="175"/>
        <v>-0.14610000000000001</v>
      </c>
      <c r="R366" s="29">
        <f t="shared" si="176"/>
        <v>2.2800000000000001E-2</v>
      </c>
      <c r="S366">
        <v>3717000</v>
      </c>
      <c r="T366" s="18">
        <f>ROUND((S366/7)/VLOOKUP(EOMONTH(A366,-1),Employment!A:P,16,FALSE),4)</f>
        <v>2.2155</v>
      </c>
      <c r="U366" s="18">
        <f t="shared" si="177"/>
        <v>2.2058</v>
      </c>
      <c r="V366" s="29">
        <f t="shared" si="178"/>
        <v>-0.1762</v>
      </c>
      <c r="W366" s="29">
        <f t="shared" si="179"/>
        <v>-2.5999999999999999E-3</v>
      </c>
      <c r="X366" s="30">
        <f t="shared" si="180"/>
        <v>104.2</v>
      </c>
      <c r="Y366" s="31">
        <f t="shared" si="181"/>
        <v>105.21</v>
      </c>
    </row>
    <row r="367" spans="1:25" x14ac:dyDescent="0.25">
      <c r="A367" s="5">
        <v>40776</v>
      </c>
      <c r="B367">
        <v>1257.2379000000001</v>
      </c>
      <c r="C367" s="29">
        <f t="shared" si="185"/>
        <v>8.2000000000000007E-3</v>
      </c>
      <c r="D367">
        <v>-0.09</v>
      </c>
      <c r="E367">
        <v>-0.36399999999999999</v>
      </c>
      <c r="F367" s="18">
        <f t="shared" si="172"/>
        <v>-4.2520000000000007</v>
      </c>
      <c r="G367" s="18">
        <f t="shared" si="173"/>
        <v>-6.6839999999999993</v>
      </c>
      <c r="H367">
        <v>7.3</v>
      </c>
      <c r="I367">
        <v>3.12</v>
      </c>
      <c r="J367">
        <f t="shared" si="182"/>
        <v>5.21</v>
      </c>
      <c r="K367" s="6">
        <f t="shared" si="183"/>
        <v>4.9800000000000004</v>
      </c>
      <c r="L367" s="6">
        <f t="shared" si="184"/>
        <v>0.36000000000000032</v>
      </c>
      <c r="M367">
        <v>1.1621036374566001</v>
      </c>
      <c r="N367">
        <v>407750</v>
      </c>
      <c r="O367" s="18">
        <f>ROUND(N367/VLOOKUP(EOMONTH(A367,-1),Employment!A:P,16,FALSE),4)</f>
        <v>1.7013</v>
      </c>
      <c r="P367" s="18">
        <f t="shared" si="174"/>
        <v>1.71</v>
      </c>
      <c r="Q367" s="29">
        <f t="shared" si="175"/>
        <v>-0.13420000000000001</v>
      </c>
      <c r="R367" s="29">
        <f t="shared" si="176"/>
        <v>1.8200000000000001E-2</v>
      </c>
      <c r="S367">
        <v>3709000</v>
      </c>
      <c r="T367" s="18">
        <f>ROUND((S367/7)/VLOOKUP(EOMONTH(A367,-1),Employment!A:P,16,FALSE),4)</f>
        <v>2.2107999999999999</v>
      </c>
      <c r="U367" s="18">
        <f t="shared" si="177"/>
        <v>2.2105999999999999</v>
      </c>
      <c r="V367" s="29">
        <f t="shared" si="178"/>
        <v>-0.1804</v>
      </c>
      <c r="W367" s="29">
        <f t="shared" si="179"/>
        <v>-1E-3</v>
      </c>
      <c r="X367" s="30">
        <f t="shared" si="180"/>
        <v>101.87</v>
      </c>
      <c r="Y367" s="31">
        <f t="shared" si="181"/>
        <v>110.73</v>
      </c>
    </row>
    <row r="368" spans="1:25" x14ac:dyDescent="0.25">
      <c r="A368" s="5">
        <v>40769</v>
      </c>
      <c r="B368">
        <v>1254.5391</v>
      </c>
      <c r="C368" s="29">
        <f t="shared" si="185"/>
        <v>9.5999999999999992E-3</v>
      </c>
      <c r="D368">
        <v>-0.2</v>
      </c>
      <c r="E368">
        <v>-0.75800000000000001</v>
      </c>
      <c r="F368" s="18">
        <f t="shared" si="172"/>
        <v>-1.7479999999999993</v>
      </c>
      <c r="G368" s="18">
        <f t="shared" si="173"/>
        <v>-2.6359999999999992</v>
      </c>
      <c r="H368">
        <v>7.3</v>
      </c>
      <c r="I368">
        <v>3.14</v>
      </c>
      <c r="J368">
        <f t="shared" si="182"/>
        <v>5.22</v>
      </c>
      <c r="K368" s="6">
        <f t="shared" si="183"/>
        <v>4.62</v>
      </c>
      <c r="L368" s="6">
        <f t="shared" si="184"/>
        <v>0.38999999999999968</v>
      </c>
      <c r="M368">
        <v>2.6130806595481002</v>
      </c>
      <c r="N368">
        <v>410500</v>
      </c>
      <c r="O368" s="18">
        <f>ROUND(N368/VLOOKUP(EOMONTH(A368,-1),Employment!A:P,16,FALSE),4)</f>
        <v>1.7128000000000001</v>
      </c>
      <c r="P368" s="18">
        <f t="shared" si="174"/>
        <v>1.7195</v>
      </c>
      <c r="Q368" s="29">
        <f t="shared" si="175"/>
        <v>-0.1153</v>
      </c>
      <c r="R368" s="29">
        <f t="shared" si="176"/>
        <v>8.8000000000000005E-3</v>
      </c>
      <c r="S368">
        <v>3676000</v>
      </c>
      <c r="T368" s="18">
        <f>ROUND((S368/7)/VLOOKUP(EOMONTH(A368,-1),Employment!A:P,16,FALSE),4)</f>
        <v>2.1911</v>
      </c>
      <c r="U368" s="18">
        <f t="shared" si="177"/>
        <v>2.2161</v>
      </c>
      <c r="V368" s="29">
        <f t="shared" si="178"/>
        <v>-0.18240000000000001</v>
      </c>
      <c r="W368" s="29">
        <f t="shared" si="179"/>
        <v>-3.2000000000000002E-3</v>
      </c>
      <c r="X368" s="30">
        <f t="shared" si="180"/>
        <v>116.09</v>
      </c>
      <c r="Y368" s="31">
        <f t="shared" si="181"/>
        <v>117.95</v>
      </c>
    </row>
    <row r="369" spans="1:25" x14ac:dyDescent="0.25">
      <c r="A369" s="5">
        <v>40762</v>
      </c>
      <c r="B369">
        <v>1251.0731000000001</v>
      </c>
      <c r="C369" s="29">
        <f t="shared" si="185"/>
        <v>0.01</v>
      </c>
      <c r="D369">
        <v>-0.28999999999999998</v>
      </c>
      <c r="E369">
        <v>-0.86399999999999999</v>
      </c>
      <c r="F369" s="18">
        <f t="shared" si="172"/>
        <v>-0.68399999999999928</v>
      </c>
      <c r="G369" s="18">
        <f t="shared" si="173"/>
        <v>-1.6400000000000006</v>
      </c>
      <c r="H369">
        <v>6.24</v>
      </c>
      <c r="I369">
        <v>2.77</v>
      </c>
      <c r="J369">
        <f t="shared" si="182"/>
        <v>4.51</v>
      </c>
      <c r="K369" s="6">
        <f t="shared" si="183"/>
        <v>4.2300000000000004</v>
      </c>
      <c r="L369" s="6">
        <f t="shared" si="184"/>
        <v>0.11000000000000032</v>
      </c>
      <c r="M369">
        <v>3.1129604719156001</v>
      </c>
      <c r="N369">
        <v>411250</v>
      </c>
      <c r="O369" s="18">
        <f>ROUND(N369/VLOOKUP(EOMONTH(A369,-1),Employment!A:P,16,FALSE),4)</f>
        <v>1.7159</v>
      </c>
      <c r="P369" s="18">
        <f t="shared" si="174"/>
        <v>1.7285999999999999</v>
      </c>
      <c r="Q369" s="29">
        <f t="shared" si="175"/>
        <v>-9.9900000000000003E-2</v>
      </c>
      <c r="R369" s="29">
        <f t="shared" si="176"/>
        <v>2.0000000000000001E-4</v>
      </c>
      <c r="S369">
        <v>3741000</v>
      </c>
      <c r="T369" s="18">
        <f>ROUND((S369/7)/VLOOKUP(EOMONTH(A369,-1),Employment!A:P,16,FALSE),4)</f>
        <v>2.2298</v>
      </c>
      <c r="U369" s="18">
        <f t="shared" si="177"/>
        <v>2.2262</v>
      </c>
      <c r="V369" s="29">
        <f t="shared" si="178"/>
        <v>-0.17979999999999999</v>
      </c>
      <c r="W369" s="29">
        <f t="shared" si="179"/>
        <v>-2.5000000000000001E-3</v>
      </c>
      <c r="X369" s="30">
        <f t="shared" si="180"/>
        <v>119.49000000000001</v>
      </c>
      <c r="Y369" s="31">
        <f t="shared" si="181"/>
        <v>119.1</v>
      </c>
    </row>
    <row r="370" spans="1:25" x14ac:dyDescent="0.25">
      <c r="A370" s="5">
        <v>40755</v>
      </c>
      <c r="B370">
        <v>1243.0368000000001</v>
      </c>
      <c r="C370" s="29">
        <f t="shared" si="185"/>
        <v>5.7999999999999996E-3</v>
      </c>
      <c r="D370">
        <v>-0.36</v>
      </c>
      <c r="E370">
        <v>-0.86199999999999999</v>
      </c>
      <c r="F370" s="18">
        <f t="shared" si="172"/>
        <v>-0.20400000000000063</v>
      </c>
      <c r="G370" s="18">
        <f t="shared" si="173"/>
        <v>-0.91600000000000037</v>
      </c>
      <c r="H370">
        <v>5.51</v>
      </c>
      <c r="I370">
        <v>2.77</v>
      </c>
      <c r="J370">
        <f t="shared" si="182"/>
        <v>4.1399999999999997</v>
      </c>
      <c r="K370" s="6">
        <f t="shared" si="183"/>
        <v>4.12</v>
      </c>
      <c r="L370" s="6">
        <f t="shared" si="184"/>
        <v>3.0000000000000249E-2</v>
      </c>
      <c r="M370">
        <v>3.0730057364774002</v>
      </c>
      <c r="N370">
        <v>414250</v>
      </c>
      <c r="O370" s="18">
        <f>ROUND(N370/VLOOKUP(EOMONTH(A370,-1),Employment!A:P,16,FALSE),4)</f>
        <v>1.7297</v>
      </c>
      <c r="P370" s="18">
        <f t="shared" si="174"/>
        <v>1.7353000000000001</v>
      </c>
      <c r="Q370" s="29">
        <f t="shared" si="175"/>
        <v>-9.1200000000000003E-2</v>
      </c>
      <c r="R370" s="29">
        <f t="shared" si="176"/>
        <v>-3.3E-3</v>
      </c>
      <c r="S370">
        <v>3734000</v>
      </c>
      <c r="T370" s="18">
        <f>ROUND((S370/7)/VLOOKUP(EOMONTH(A370,-1),Employment!A:P,16,FALSE),4)</f>
        <v>2.2273999999999998</v>
      </c>
      <c r="U370" s="18">
        <f t="shared" si="177"/>
        <v>2.2252000000000001</v>
      </c>
      <c r="V370" s="29">
        <f t="shared" si="178"/>
        <v>-0.18590000000000001</v>
      </c>
      <c r="W370" s="29">
        <f t="shared" si="179"/>
        <v>-3.3999999999999998E-3</v>
      </c>
      <c r="X370" s="30">
        <f t="shared" si="180"/>
        <v>118.74000000000001</v>
      </c>
      <c r="Y370" s="31">
        <f t="shared" si="181"/>
        <v>119.62</v>
      </c>
    </row>
    <row r="371" spans="1:25" x14ac:dyDescent="0.25">
      <c r="A371" s="5">
        <v>40748</v>
      </c>
      <c r="B371">
        <v>1239.2472</v>
      </c>
      <c r="C371" s="29">
        <f t="shared" si="185"/>
        <v>3.8E-3</v>
      </c>
      <c r="D371">
        <v>-0.41</v>
      </c>
      <c r="E371">
        <v>-0.82499999999999996</v>
      </c>
      <c r="F371" s="18">
        <f t="shared" si="172"/>
        <v>-0.75200000000000067</v>
      </c>
      <c r="G371" s="18">
        <f t="shared" si="173"/>
        <v>-0.69599999999999973</v>
      </c>
      <c r="H371">
        <v>5.35</v>
      </c>
      <c r="I371">
        <v>2.75</v>
      </c>
      <c r="J371">
        <f t="shared" si="182"/>
        <v>4.05</v>
      </c>
      <c r="K371" s="6">
        <f t="shared" si="183"/>
        <v>4.09</v>
      </c>
      <c r="L371" s="6">
        <f t="shared" si="184"/>
        <v>9.9999999999997868E-3</v>
      </c>
      <c r="M371">
        <v>3.0275387743366</v>
      </c>
      <c r="N371">
        <v>416750</v>
      </c>
      <c r="O371" s="18">
        <f>ROUND(N371/VLOOKUP(EOMONTH(A371,-1),Employment!A:P,16,FALSE),4)</f>
        <v>1.7402</v>
      </c>
      <c r="P371" s="18">
        <f t="shared" si="174"/>
        <v>1.7391000000000001</v>
      </c>
      <c r="Q371" s="29">
        <f t="shared" si="175"/>
        <v>-9.2299999999999993E-2</v>
      </c>
      <c r="R371" s="29">
        <f t="shared" si="176"/>
        <v>-2.8999999999999998E-3</v>
      </c>
      <c r="S371">
        <v>3724000</v>
      </c>
      <c r="T371" s="18">
        <f>ROUND((S371/7)/VLOOKUP(EOMONTH(A371,-1),Employment!A:P,16,FALSE),4)</f>
        <v>2.2214</v>
      </c>
      <c r="U371" s="18">
        <f t="shared" si="177"/>
        <v>2.2222</v>
      </c>
      <c r="V371" s="29">
        <f t="shared" si="178"/>
        <v>-0.18360000000000001</v>
      </c>
      <c r="W371" s="29">
        <f t="shared" si="179"/>
        <v>-2.7000000000000001E-3</v>
      </c>
      <c r="X371" s="30">
        <f t="shared" si="180"/>
        <v>119.03</v>
      </c>
      <c r="Y371" s="31">
        <f t="shared" si="181"/>
        <v>121.33</v>
      </c>
    </row>
    <row r="372" spans="1:25" x14ac:dyDescent="0.25">
      <c r="A372" s="5">
        <v>40741</v>
      </c>
      <c r="B372">
        <v>1237.1719000000001</v>
      </c>
      <c r="C372" s="29">
        <f t="shared" si="185"/>
        <v>3.0999999999999999E-3</v>
      </c>
      <c r="D372">
        <v>-0.45</v>
      </c>
      <c r="E372">
        <v>-0.86899999999999999</v>
      </c>
      <c r="F372" s="18">
        <f t="shared" si="172"/>
        <v>4.0000000000000924E-2</v>
      </c>
      <c r="G372" s="18">
        <f t="shared" si="173"/>
        <v>9.2000000000000526E-2</v>
      </c>
      <c r="H372">
        <v>5.51</v>
      </c>
      <c r="I372">
        <v>2.8</v>
      </c>
      <c r="J372">
        <f t="shared" si="182"/>
        <v>4.16</v>
      </c>
      <c r="K372" s="6">
        <f t="shared" si="183"/>
        <v>4.08</v>
      </c>
      <c r="L372" s="6">
        <f t="shared" si="184"/>
        <v>-4.9999999999999822E-2</v>
      </c>
      <c r="M372">
        <v>3.0390473171334</v>
      </c>
      <c r="N372">
        <v>415750</v>
      </c>
      <c r="O372" s="18">
        <f>ROUND(N372/VLOOKUP(EOMONTH(A372,-1),Employment!A:P,16,FALSE),4)</f>
        <v>1.736</v>
      </c>
      <c r="P372" s="18">
        <f t="shared" si="174"/>
        <v>1.7412000000000001</v>
      </c>
      <c r="Q372" s="29">
        <f t="shared" si="175"/>
        <v>-9.5100000000000004E-2</v>
      </c>
      <c r="R372" s="29">
        <f t="shared" si="176"/>
        <v>-1E-3</v>
      </c>
      <c r="S372">
        <v>3733000</v>
      </c>
      <c r="T372" s="18">
        <f>ROUND((S372/7)/VLOOKUP(EOMONTH(A372,-1),Employment!A:P,16,FALSE),4)</f>
        <v>2.2267999999999999</v>
      </c>
      <c r="U372" s="18">
        <f t="shared" si="177"/>
        <v>2.2277999999999998</v>
      </c>
      <c r="V372" s="29">
        <f t="shared" si="178"/>
        <v>-0.18970000000000001</v>
      </c>
      <c r="W372" s="29">
        <f t="shared" si="179"/>
        <v>-2.8999999999999998E-3</v>
      </c>
      <c r="X372" s="30">
        <f t="shared" si="180"/>
        <v>123.28</v>
      </c>
      <c r="Y372" s="31">
        <f t="shared" si="181"/>
        <v>122.85</v>
      </c>
    </row>
    <row r="373" spans="1:25" x14ac:dyDescent="0.25">
      <c r="A373" s="5">
        <v>40734</v>
      </c>
      <c r="B373">
        <v>1235.0726999999999</v>
      </c>
      <c r="C373" s="29">
        <f t="shared" si="185"/>
        <v>1E-3</v>
      </c>
      <c r="D373">
        <v>-0.47</v>
      </c>
      <c r="E373">
        <v>-0.83899999999999997</v>
      </c>
      <c r="F373" s="18">
        <f t="shared" si="172"/>
        <v>1.6000000000000014E-2</v>
      </c>
      <c r="G373" s="18">
        <f t="shared" si="173"/>
        <v>-0.5320000000000018</v>
      </c>
      <c r="H373">
        <v>5.39</v>
      </c>
      <c r="I373">
        <v>2.73</v>
      </c>
      <c r="J373">
        <f t="shared" si="182"/>
        <v>4.0599999999999996</v>
      </c>
      <c r="K373" s="6">
        <f t="shared" si="183"/>
        <v>4.13</v>
      </c>
      <c r="L373" s="6">
        <f t="shared" si="184"/>
        <v>-6.0000000000000497E-2</v>
      </c>
      <c r="M373">
        <v>2.9314124500815999</v>
      </c>
      <c r="N373">
        <v>417000</v>
      </c>
      <c r="O373" s="18">
        <f>ROUND(N373/VLOOKUP(EOMONTH(A373,-1),Employment!A:P,16,FALSE),4)</f>
        <v>1.7412000000000001</v>
      </c>
      <c r="P373" s="18">
        <f t="shared" si="174"/>
        <v>1.7441</v>
      </c>
      <c r="Q373" s="29">
        <f t="shared" si="175"/>
        <v>-9.8199999999999996E-2</v>
      </c>
      <c r="R373" s="29">
        <f t="shared" si="176"/>
        <v>2.7000000000000001E-3</v>
      </c>
      <c r="S373">
        <v>3719000</v>
      </c>
      <c r="T373" s="18">
        <f>ROUND((S373/7)/VLOOKUP(EOMONTH(A373,-1),Employment!A:P,16,FALSE),4)</f>
        <v>2.2183999999999999</v>
      </c>
      <c r="U373" s="18">
        <f t="shared" si="177"/>
        <v>2.2309000000000001</v>
      </c>
      <c r="V373" s="29">
        <f t="shared" si="178"/>
        <v>-0.18790000000000001</v>
      </c>
      <c r="W373" s="29">
        <f t="shared" si="179"/>
        <v>-2.2000000000000001E-3</v>
      </c>
      <c r="X373" s="30">
        <f t="shared" si="180"/>
        <v>122.22999999999999</v>
      </c>
      <c r="Y373" s="31">
        <f t="shared" si="181"/>
        <v>123.95</v>
      </c>
    </row>
    <row r="374" spans="1:25" ht="15" customHeight="1" x14ac:dyDescent="0.25">
      <c r="A374" s="5">
        <v>40727</v>
      </c>
      <c r="B374">
        <v>1231.7684999999999</v>
      </c>
      <c r="C374" s="29">
        <f t="shared" si="185"/>
        <v>-1.2999999999999999E-3</v>
      </c>
      <c r="D374">
        <v>-0.47</v>
      </c>
      <c r="E374">
        <v>-0.83699999999999997</v>
      </c>
      <c r="F374" s="18">
        <f t="shared" si="172"/>
        <v>3.5999999999999588E-2</v>
      </c>
      <c r="G374" s="18">
        <f t="shared" si="173"/>
        <v>-0.88400000000000212</v>
      </c>
      <c r="H374">
        <v>5.34</v>
      </c>
      <c r="I374">
        <v>2.69</v>
      </c>
      <c r="J374">
        <f t="shared" si="182"/>
        <v>4.0199999999999996</v>
      </c>
      <c r="K374" s="6">
        <f t="shared" si="183"/>
        <v>4.1900000000000004</v>
      </c>
      <c r="L374" s="6">
        <f t="shared" si="184"/>
        <v>-9.9999999999997868E-3</v>
      </c>
      <c r="M374">
        <v>3.1099292551856998</v>
      </c>
      <c r="N374">
        <v>418250</v>
      </c>
      <c r="O374" s="18">
        <f>ROUND(N374/VLOOKUP(EOMONTH(A374,-1),Employment!A:P,16,FALSE),4)</f>
        <v>1.7464</v>
      </c>
      <c r="P374" s="18">
        <f t="shared" si="174"/>
        <v>1.7476</v>
      </c>
      <c r="Q374" s="29">
        <f t="shared" si="175"/>
        <v>-9.8299999999999998E-2</v>
      </c>
      <c r="R374" s="29">
        <f t="shared" si="176"/>
        <v>8.9999999999999993E-3</v>
      </c>
      <c r="S374">
        <v>3752000</v>
      </c>
      <c r="T374" s="18">
        <f>ROUND((S374/7)/VLOOKUP(EOMONTH(A374,-1),Employment!A:P,16,FALSE),4)</f>
        <v>2.2381000000000002</v>
      </c>
      <c r="U374" s="18">
        <f t="shared" si="177"/>
        <v>2.2376</v>
      </c>
      <c r="V374" s="29">
        <f t="shared" si="178"/>
        <v>-0.19389999999999999</v>
      </c>
      <c r="W374" s="29">
        <f t="shared" si="179"/>
        <v>-3.0000000000000001E-3</v>
      </c>
      <c r="X374" s="30">
        <f t="shared" si="180"/>
        <v>123.31</v>
      </c>
      <c r="Y374" s="31">
        <f t="shared" si="181"/>
        <v>127.57</v>
      </c>
    </row>
    <row r="375" spans="1:25" ht="15" customHeight="1" x14ac:dyDescent="0.25">
      <c r="A375" s="5">
        <v>40720</v>
      </c>
      <c r="B375">
        <v>1234.4161999999999</v>
      </c>
      <c r="C375" s="29">
        <f t="shared" si="185"/>
        <v>3.0999999999999999E-3</v>
      </c>
      <c r="D375">
        <v>-0.46</v>
      </c>
      <c r="E375">
        <v>-0.84499999999999997</v>
      </c>
      <c r="F375" s="18">
        <f t="shared" si="172"/>
        <v>-0.58400000000000141</v>
      </c>
      <c r="G375" s="18">
        <f t="shared" si="173"/>
        <v>-1.072000000000001</v>
      </c>
      <c r="H375">
        <v>5.8</v>
      </c>
      <c r="I375">
        <v>2.83</v>
      </c>
      <c r="J375">
        <f t="shared" si="182"/>
        <v>4.32</v>
      </c>
      <c r="K375" s="6">
        <f t="shared" si="183"/>
        <v>4.2</v>
      </c>
      <c r="L375" s="6">
        <f t="shared" si="184"/>
        <v>0.11000000000000032</v>
      </c>
      <c r="M375">
        <v>3.9553955550383999</v>
      </c>
      <c r="N375">
        <v>417500</v>
      </c>
      <c r="O375" s="18">
        <f>ROUND(N375/VLOOKUP(EOMONTH(A375,-1),Employment!A:P,16,FALSE),4)</f>
        <v>1.7445999999999999</v>
      </c>
      <c r="P375" s="18">
        <f t="shared" si="174"/>
        <v>1.7498</v>
      </c>
      <c r="Q375" s="29">
        <f t="shared" si="175"/>
        <v>-9.9299999999999999E-2</v>
      </c>
      <c r="R375" s="29">
        <f t="shared" si="176"/>
        <v>1.67E-2</v>
      </c>
      <c r="S375">
        <v>3746000</v>
      </c>
      <c r="T375" s="18">
        <f>ROUND((S375/7)/VLOOKUP(EOMONTH(A375,-1),Employment!A:P,16,FALSE),4)</f>
        <v>2.2362000000000002</v>
      </c>
      <c r="U375" s="18">
        <f t="shared" si="177"/>
        <v>2.2334000000000001</v>
      </c>
      <c r="V375" s="29">
        <f t="shared" si="178"/>
        <v>-0.1918</v>
      </c>
      <c r="W375" s="29">
        <f t="shared" si="179"/>
        <v>-2.8999999999999998E-3</v>
      </c>
      <c r="X375" s="30">
        <f t="shared" si="180"/>
        <v>129.86000000000001</v>
      </c>
      <c r="Y375" s="31">
        <f t="shared" si="181"/>
        <v>131.02000000000001</v>
      </c>
    </row>
    <row r="376" spans="1:25" ht="15" customHeight="1" x14ac:dyDescent="0.25">
      <c r="A376" s="5">
        <v>40713</v>
      </c>
      <c r="B376">
        <v>1232.3227999999999</v>
      </c>
      <c r="C376" s="29">
        <f t="shared" si="185"/>
        <v>1.8E-3</v>
      </c>
      <c r="D376">
        <v>-0.46</v>
      </c>
      <c r="E376">
        <v>-0.91800000000000004</v>
      </c>
      <c r="F376" s="18">
        <f t="shared" si="172"/>
        <v>-0.3360000000000003</v>
      </c>
      <c r="G376" s="18">
        <f t="shared" si="173"/>
        <v>-0.53599999999999959</v>
      </c>
      <c r="H376">
        <v>5.64</v>
      </c>
      <c r="I376">
        <v>2.79</v>
      </c>
      <c r="J376">
        <f t="shared" si="182"/>
        <v>4.22</v>
      </c>
      <c r="K376" s="6">
        <f t="shared" si="183"/>
        <v>4.09</v>
      </c>
      <c r="L376" s="6">
        <f t="shared" si="184"/>
        <v>0.12999999999999989</v>
      </c>
      <c r="M376">
        <v>4.7488309637506001</v>
      </c>
      <c r="N376">
        <v>419250</v>
      </c>
      <c r="O376" s="18">
        <f>ROUND(N376/VLOOKUP(EOMONTH(A376,-1),Employment!A:P,16,FALSE),4)</f>
        <v>1.7519</v>
      </c>
      <c r="P376" s="18">
        <f t="shared" si="174"/>
        <v>1.7567999999999999</v>
      </c>
      <c r="Q376" s="29">
        <f t="shared" si="175"/>
        <v>-9.74E-2</v>
      </c>
      <c r="R376" s="29">
        <f t="shared" si="176"/>
        <v>1.6199999999999999E-2</v>
      </c>
      <c r="S376">
        <v>3750000</v>
      </c>
      <c r="T376" s="18">
        <f>ROUND((S376/7)/VLOOKUP(EOMONTH(A376,-1),Employment!A:P,16,FALSE),4)</f>
        <v>2.2385999999999999</v>
      </c>
      <c r="U376" s="18">
        <f t="shared" si="177"/>
        <v>2.2439</v>
      </c>
      <c r="V376" s="29">
        <f t="shared" si="178"/>
        <v>-0.1953</v>
      </c>
      <c r="W376" s="29">
        <f t="shared" si="179"/>
        <v>-1.1999999999999999E-3</v>
      </c>
      <c r="X376" s="30">
        <f t="shared" si="180"/>
        <v>132.49</v>
      </c>
      <c r="Y376" s="31">
        <f t="shared" si="181"/>
        <v>128.88999999999999</v>
      </c>
    </row>
    <row r="377" spans="1:25" ht="15" customHeight="1" x14ac:dyDescent="0.25">
      <c r="A377" s="5">
        <v>40706</v>
      </c>
      <c r="B377">
        <v>1237.0179000000001</v>
      </c>
      <c r="C377" s="29">
        <f t="shared" si="185"/>
        <v>8.5000000000000006E-3</v>
      </c>
      <c r="D377">
        <v>-0.46</v>
      </c>
      <c r="E377">
        <v>-0.96</v>
      </c>
      <c r="F377" s="18">
        <f t="shared" si="172"/>
        <v>-0.15199999999999925</v>
      </c>
      <c r="G377" s="18">
        <f t="shared" si="173"/>
        <v>-0.18799999999999883</v>
      </c>
      <c r="H377">
        <v>5.43</v>
      </c>
      <c r="I377">
        <v>2.71</v>
      </c>
      <c r="J377">
        <f t="shared" si="182"/>
        <v>4.07</v>
      </c>
      <c r="K377" s="6">
        <f t="shared" si="183"/>
        <v>3.96</v>
      </c>
      <c r="L377" s="6">
        <f t="shared" si="184"/>
        <v>0.10999999999999988</v>
      </c>
      <c r="M377">
        <v>5.2953979117676004</v>
      </c>
      <c r="N377">
        <v>419500</v>
      </c>
      <c r="O377" s="18">
        <f>ROUND(N377/VLOOKUP(EOMONTH(A377,-1),Employment!A:P,16,FALSE),4)</f>
        <v>1.7528999999999999</v>
      </c>
      <c r="P377" s="18">
        <f t="shared" si="174"/>
        <v>1.7790999999999999</v>
      </c>
      <c r="Q377" s="29">
        <f t="shared" si="175"/>
        <v>-8.48E-2</v>
      </c>
      <c r="R377" s="29">
        <f t="shared" si="176"/>
        <v>3.0000000000000001E-3</v>
      </c>
      <c r="S377">
        <v>3728000</v>
      </c>
      <c r="T377" s="18">
        <f>ROUND((S377/7)/VLOOKUP(EOMONTH(A377,-1),Employment!A:P,16,FALSE),4)</f>
        <v>2.2254</v>
      </c>
      <c r="U377" s="18">
        <f t="shared" si="177"/>
        <v>2.2505999999999999</v>
      </c>
      <c r="V377" s="29">
        <f t="shared" si="178"/>
        <v>-0.1968</v>
      </c>
      <c r="W377" s="29">
        <f t="shared" si="179"/>
        <v>5.0000000000000001E-4</v>
      </c>
      <c r="X377" s="30">
        <f t="shared" si="180"/>
        <v>130.22999999999999</v>
      </c>
      <c r="Y377" s="31">
        <f t="shared" si="181"/>
        <v>120.02</v>
      </c>
    </row>
    <row r="378" spans="1:25" ht="15" customHeight="1" x14ac:dyDescent="0.25">
      <c r="A378" s="5">
        <v>40699</v>
      </c>
      <c r="B378">
        <v>1229.6038000000001</v>
      </c>
      <c r="C378" s="29">
        <f t="shared" si="185"/>
        <v>4.8999999999999998E-3</v>
      </c>
      <c r="D378">
        <v>-0.46</v>
      </c>
      <c r="E378">
        <v>-0.97899999999999998</v>
      </c>
      <c r="F378" s="18">
        <f t="shared" si="172"/>
        <v>-4.8000000000000043E-2</v>
      </c>
      <c r="G378" s="18">
        <f t="shared" si="173"/>
        <v>-0.20399999999999885</v>
      </c>
      <c r="H378">
        <v>5.24</v>
      </c>
      <c r="I378">
        <v>2.73</v>
      </c>
      <c r="J378">
        <f t="shared" si="182"/>
        <v>3.99</v>
      </c>
      <c r="K378" s="6">
        <f t="shared" si="183"/>
        <v>3.85</v>
      </c>
      <c r="L378" s="6">
        <f t="shared" si="184"/>
        <v>9.0000000000000302E-2</v>
      </c>
      <c r="M378">
        <v>6.1240046799943002</v>
      </c>
      <c r="N378">
        <v>422500</v>
      </c>
      <c r="O378" s="18">
        <f>ROUND(N378/VLOOKUP(EOMONTH(A378,-1),Employment!A:P,16,FALSE),4)</f>
        <v>1.7655000000000001</v>
      </c>
      <c r="P378" s="18">
        <f t="shared" si="174"/>
        <v>1.8008</v>
      </c>
      <c r="Q378" s="29">
        <f t="shared" si="175"/>
        <v>-6.9000000000000006E-2</v>
      </c>
      <c r="R378" s="29">
        <f t="shared" si="176"/>
        <v>-1.8200000000000001E-2</v>
      </c>
      <c r="S378">
        <v>3799000</v>
      </c>
      <c r="T378" s="18">
        <f>ROUND((S378/7)/VLOOKUP(EOMONTH(A378,-1),Employment!A:P,16,FALSE),4)</f>
        <v>2.2677999999999998</v>
      </c>
      <c r="U378" s="18">
        <f t="shared" si="177"/>
        <v>2.2629000000000001</v>
      </c>
      <c r="V378" s="29">
        <f t="shared" si="178"/>
        <v>-0.2014</v>
      </c>
      <c r="W378" s="29">
        <f t="shared" si="179"/>
        <v>-2.0999999999999999E-3</v>
      </c>
      <c r="X378" s="30">
        <f t="shared" si="180"/>
        <v>116.53999999999999</v>
      </c>
      <c r="Y378" s="31">
        <f t="shared" si="181"/>
        <v>109.56</v>
      </c>
    </row>
    <row r="379" spans="1:25" ht="15" customHeight="1" x14ac:dyDescent="0.25">
      <c r="A379" s="5">
        <v>40692</v>
      </c>
      <c r="B379">
        <v>1223.6971000000001</v>
      </c>
      <c r="C379" s="29">
        <f t="shared" si="185"/>
        <v>1.4E-3</v>
      </c>
      <c r="D379">
        <v>-0.48</v>
      </c>
      <c r="E379">
        <v>-0.96</v>
      </c>
      <c r="F379" s="18">
        <f t="shared" si="172"/>
        <v>1.2000000000000455E-2</v>
      </c>
      <c r="G379" s="18">
        <f t="shared" si="173"/>
        <v>-0.61599999999999966</v>
      </c>
      <c r="H379">
        <v>5.01</v>
      </c>
      <c r="I379">
        <v>2.65</v>
      </c>
      <c r="J379">
        <f t="shared" si="182"/>
        <v>3.83</v>
      </c>
      <c r="K379" s="6">
        <f t="shared" si="183"/>
        <v>3.76</v>
      </c>
      <c r="L379" s="6">
        <f t="shared" si="184"/>
        <v>3.9999999999999591E-2</v>
      </c>
      <c r="M379">
        <v>6.3081984511950999</v>
      </c>
      <c r="N379">
        <v>435000</v>
      </c>
      <c r="O379" s="18">
        <f>ROUND(N379/VLOOKUP(EOMONTH(A379,-1),Employment!A:P,16,FALSE),4)</f>
        <v>1.819</v>
      </c>
      <c r="P379" s="18">
        <f t="shared" si="174"/>
        <v>1.8141</v>
      </c>
      <c r="Q379" s="29">
        <f t="shared" si="175"/>
        <v>-5.79E-2</v>
      </c>
      <c r="R379" s="29">
        <f t="shared" si="176"/>
        <v>-3.5400000000000001E-2</v>
      </c>
      <c r="S379">
        <v>3781000</v>
      </c>
      <c r="T379" s="18">
        <f>ROUND((S379/7)/VLOOKUP(EOMONTH(A379,-1),Employment!A:P,16,FALSE),4)</f>
        <v>2.2585999999999999</v>
      </c>
      <c r="U379" s="18">
        <f t="shared" si="177"/>
        <v>2.2704</v>
      </c>
      <c r="V379" s="29">
        <f t="shared" si="178"/>
        <v>-0.19689999999999999</v>
      </c>
      <c r="W379" s="29">
        <f t="shared" si="179"/>
        <v>-7.9000000000000008E-3</v>
      </c>
      <c r="X379" s="30">
        <f t="shared" si="180"/>
        <v>103.17</v>
      </c>
      <c r="Y379" s="31">
        <f t="shared" si="181"/>
        <v>107.83</v>
      </c>
    </row>
    <row r="380" spans="1:25" ht="15" customHeight="1" x14ac:dyDescent="0.25">
      <c r="A380" s="5">
        <v>40685</v>
      </c>
      <c r="B380">
        <v>1229.9481000000001</v>
      </c>
      <c r="C380" s="29">
        <f t="shared" si="185"/>
        <v>1.0800000000000001E-2</v>
      </c>
      <c r="D380">
        <v>-0.49</v>
      </c>
      <c r="E380">
        <v>-0.94599999999999995</v>
      </c>
      <c r="F380" s="18">
        <f t="shared" si="172"/>
        <v>-0.16799999999999926</v>
      </c>
      <c r="G380" s="18">
        <f t="shared" si="173"/>
        <v>-0.48000000000000043</v>
      </c>
      <c r="H380">
        <v>4.82</v>
      </c>
      <c r="I380">
        <v>2.63</v>
      </c>
      <c r="J380">
        <f t="shared" si="182"/>
        <v>3.73</v>
      </c>
      <c r="K380" s="6">
        <f t="shared" si="183"/>
        <v>3.72</v>
      </c>
      <c r="L380" s="6">
        <f t="shared" si="184"/>
        <v>3.0000000000000249E-2</v>
      </c>
      <c r="M380">
        <v>6.5461712158649998</v>
      </c>
      <c r="N380">
        <v>434750</v>
      </c>
      <c r="O380" s="18">
        <f>ROUND(N380/VLOOKUP(EOMONTH(A380,-1),Employment!A:P,16,FALSE),4)</f>
        <v>1.8179000000000001</v>
      </c>
      <c r="P380" s="18">
        <f t="shared" si="174"/>
        <v>1.8028999999999999</v>
      </c>
      <c r="Q380" s="29">
        <f t="shared" si="175"/>
        <v>-6.5299999999999997E-2</v>
      </c>
      <c r="R380" s="29">
        <f t="shared" si="176"/>
        <v>-3.7100000000000001E-2</v>
      </c>
      <c r="S380">
        <v>3787000</v>
      </c>
      <c r="T380" s="18">
        <f>ROUND((S380/7)/VLOOKUP(EOMONTH(A380,-1),Employment!A:P,16,FALSE),4)</f>
        <v>2.2622</v>
      </c>
      <c r="U380" s="18">
        <f t="shared" si="177"/>
        <v>2.2734000000000001</v>
      </c>
      <c r="V380" s="29">
        <f t="shared" si="178"/>
        <v>-0.19600000000000001</v>
      </c>
      <c r="W380" s="29">
        <f t="shared" si="179"/>
        <v>-8.2000000000000007E-3</v>
      </c>
      <c r="X380" s="30">
        <f t="shared" si="180"/>
        <v>108.07</v>
      </c>
      <c r="Y380" s="31">
        <f t="shared" si="181"/>
        <v>116.58</v>
      </c>
    </row>
    <row r="381" spans="1:25" ht="15" customHeight="1" x14ac:dyDescent="0.25">
      <c r="A381" s="5">
        <v>40678</v>
      </c>
      <c r="B381">
        <v>1222.8849</v>
      </c>
      <c r="C381" s="29">
        <f t="shared" si="185"/>
        <v>7.4999999999999997E-3</v>
      </c>
      <c r="D381">
        <v>-0.51</v>
      </c>
      <c r="E381">
        <v>-0.94199999999999995</v>
      </c>
      <c r="F381" s="18">
        <f t="shared" si="172"/>
        <v>-0.46000000000000085</v>
      </c>
      <c r="G381" s="18">
        <f t="shared" si="173"/>
        <v>0.22799999999999798</v>
      </c>
      <c r="H381">
        <v>4.8</v>
      </c>
      <c r="I381">
        <v>2.64</v>
      </c>
      <c r="J381">
        <f t="shared" si="182"/>
        <v>3.72</v>
      </c>
      <c r="K381" s="6">
        <f t="shared" si="183"/>
        <v>3.69</v>
      </c>
      <c r="L381" s="6">
        <f t="shared" si="184"/>
        <v>2.9999999999999805E-2</v>
      </c>
      <c r="M381">
        <v>7.5022897635117998</v>
      </c>
      <c r="N381">
        <v>431750</v>
      </c>
      <c r="O381" s="18">
        <f>ROUND(N381/VLOOKUP(EOMONTH(A381,-1),Employment!A:P,16,FALSE),4)</f>
        <v>1.8053999999999999</v>
      </c>
      <c r="P381" s="18">
        <f t="shared" si="174"/>
        <v>1.7666999999999999</v>
      </c>
      <c r="Q381" s="29">
        <f t="shared" si="175"/>
        <v>-9.2499999999999999E-2</v>
      </c>
      <c r="R381" s="29">
        <f t="shared" si="176"/>
        <v>-2.5000000000000001E-2</v>
      </c>
      <c r="S381">
        <v>3834000</v>
      </c>
      <c r="T381" s="18">
        <f>ROUND((S381/7)/VLOOKUP(EOMONTH(A381,-1),Employment!A:P,16,FALSE),4)</f>
        <v>2.2902999999999998</v>
      </c>
      <c r="U381" s="18">
        <f t="shared" si="177"/>
        <v>2.2593999999999999</v>
      </c>
      <c r="V381" s="29">
        <f t="shared" si="178"/>
        <v>-0.20169999999999999</v>
      </c>
      <c r="W381" s="29">
        <f t="shared" si="179"/>
        <v>-3.8999999999999998E-3</v>
      </c>
      <c r="X381" s="30">
        <f t="shared" si="180"/>
        <v>118.86</v>
      </c>
      <c r="Y381" s="31">
        <f t="shared" si="181"/>
        <v>127.78</v>
      </c>
    </row>
    <row r="382" spans="1:25" ht="15" customHeight="1" x14ac:dyDescent="0.25">
      <c r="A382" s="5">
        <v>40671</v>
      </c>
      <c r="B382">
        <v>1217.8188</v>
      </c>
      <c r="C382" s="29">
        <f t="shared" si="185"/>
        <v>5.1999999999999998E-3</v>
      </c>
      <c r="D382">
        <v>-0.52</v>
      </c>
      <c r="E382">
        <v>-0.98699999999999999</v>
      </c>
      <c r="F382" s="18">
        <f t="shared" si="172"/>
        <v>0.14799999999999969</v>
      </c>
      <c r="G382" s="18">
        <f t="shared" si="173"/>
        <v>1.2840000000000007</v>
      </c>
      <c r="H382">
        <v>4.8099999999999996</v>
      </c>
      <c r="I382">
        <v>2.6</v>
      </c>
      <c r="J382">
        <f t="shared" si="182"/>
        <v>3.71</v>
      </c>
      <c r="K382" s="6">
        <f t="shared" si="183"/>
        <v>3.66</v>
      </c>
      <c r="L382" s="6">
        <f t="shared" si="184"/>
        <v>3.0000000000000249E-2</v>
      </c>
      <c r="M382">
        <v>7.6673576223144</v>
      </c>
      <c r="N382">
        <v>427000</v>
      </c>
      <c r="O382" s="18">
        <f>ROUND(N382/VLOOKUP(EOMONTH(A382,-1),Employment!A:P,16,FALSE),4)</f>
        <v>1.7855000000000001</v>
      </c>
      <c r="P382" s="18">
        <f t="shared" si="174"/>
        <v>1.7270000000000001</v>
      </c>
      <c r="Q382" s="29">
        <f t="shared" si="175"/>
        <v>-0.1235</v>
      </c>
      <c r="R382" s="29">
        <f t="shared" si="176"/>
        <v>-1.0699999999999999E-2</v>
      </c>
      <c r="S382">
        <v>3796000</v>
      </c>
      <c r="T382" s="18">
        <f>ROUND((S382/7)/VLOOKUP(EOMONTH(A382,-1),Employment!A:P,16,FALSE),4)</f>
        <v>2.2675999999999998</v>
      </c>
      <c r="U382" s="18">
        <f t="shared" si="177"/>
        <v>2.2433999999999998</v>
      </c>
      <c r="V382" s="29">
        <f t="shared" si="178"/>
        <v>-0.2104</v>
      </c>
      <c r="W382" s="29">
        <f t="shared" si="179"/>
        <v>2.2000000000000001E-3</v>
      </c>
      <c r="X382" s="30">
        <f t="shared" si="180"/>
        <v>132.18</v>
      </c>
      <c r="Y382" s="31">
        <f t="shared" si="181"/>
        <v>135.16999999999999</v>
      </c>
    </row>
    <row r="383" spans="1:25" ht="15" customHeight="1" x14ac:dyDescent="0.25">
      <c r="A383" s="5">
        <v>40664</v>
      </c>
      <c r="B383">
        <v>1217.2915</v>
      </c>
      <c r="C383" s="29">
        <f t="shared" si="185"/>
        <v>6.4999999999999997E-3</v>
      </c>
      <c r="D383">
        <v>-0.53</v>
      </c>
      <c r="E383">
        <v>-0.95599999999999996</v>
      </c>
      <c r="F383" s="18">
        <f t="shared" si="172"/>
        <v>0.53999999999999915</v>
      </c>
      <c r="G383" s="18">
        <f t="shared" si="173"/>
        <v>1.4440000000000008</v>
      </c>
      <c r="H383">
        <v>4.71</v>
      </c>
      <c r="I383">
        <v>2.58</v>
      </c>
      <c r="J383">
        <f t="shared" si="182"/>
        <v>3.65</v>
      </c>
      <c r="K383" s="6">
        <f t="shared" si="183"/>
        <v>3.63</v>
      </c>
      <c r="L383" s="6">
        <f t="shared" si="184"/>
        <v>4.0000000000000036E-2</v>
      </c>
      <c r="M383">
        <v>8.3366099967478995</v>
      </c>
      <c r="N383">
        <v>408750</v>
      </c>
      <c r="O383" s="18">
        <f>ROUND(N383/VLOOKUP(EOMONTH(A383,-1),Employment!A:P,16,FALSE),4)</f>
        <v>1.7092000000000001</v>
      </c>
      <c r="P383" s="18">
        <f t="shared" si="174"/>
        <v>1.6956</v>
      </c>
      <c r="Q383" s="29">
        <f t="shared" si="175"/>
        <v>-0.1459</v>
      </c>
      <c r="R383" s="29">
        <f t="shared" si="176"/>
        <v>-3.8999999999999998E-3</v>
      </c>
      <c r="S383">
        <v>3717000</v>
      </c>
      <c r="T383" s="18">
        <f>ROUND((S383/7)/VLOOKUP(EOMONTH(A383,-1),Employment!A:P,16,FALSE),4)</f>
        <v>2.2204000000000002</v>
      </c>
      <c r="U383" s="18">
        <f t="shared" si="177"/>
        <v>2.2359</v>
      </c>
      <c r="V383" s="29">
        <f t="shared" si="178"/>
        <v>-0.21679999999999999</v>
      </c>
      <c r="W383" s="29">
        <f t="shared" si="179"/>
        <v>1.6000000000000001E-3</v>
      </c>
      <c r="X383" s="30">
        <f t="shared" si="180"/>
        <v>139.07999999999998</v>
      </c>
      <c r="Y383" s="31">
        <f t="shared" si="181"/>
        <v>135.18</v>
      </c>
    </row>
    <row r="384" spans="1:25" ht="15" customHeight="1" x14ac:dyDescent="0.25">
      <c r="A384" s="5">
        <v>40657</v>
      </c>
      <c r="B384">
        <v>1209.1996999999999</v>
      </c>
      <c r="C384" s="29">
        <f t="shared" si="185"/>
        <v>1E-4</v>
      </c>
      <c r="D384">
        <v>-0.52</v>
      </c>
      <c r="E384">
        <v>-0.90100000000000002</v>
      </c>
      <c r="F384" s="18">
        <f t="shared" si="172"/>
        <v>0.59600000000000186</v>
      </c>
      <c r="G384" s="18">
        <f t="shared" si="173"/>
        <v>1.1240000000000006</v>
      </c>
      <c r="H384">
        <v>4.6500000000000004</v>
      </c>
      <c r="I384">
        <v>2.57</v>
      </c>
      <c r="J384">
        <f t="shared" si="182"/>
        <v>3.61</v>
      </c>
      <c r="K384" s="6">
        <f t="shared" si="183"/>
        <v>3.59</v>
      </c>
      <c r="L384" s="6">
        <f t="shared" si="184"/>
        <v>-2.0000000000000018E-2</v>
      </c>
      <c r="M384">
        <v>8.3598988572469999</v>
      </c>
      <c r="N384">
        <v>403000</v>
      </c>
      <c r="O384" s="18">
        <f>ROUND(N384/VLOOKUP(EOMONTH(A384,-1),Employment!A:P,16,FALSE),4)</f>
        <v>1.6861999999999999</v>
      </c>
      <c r="P384" s="18">
        <f t="shared" si="174"/>
        <v>1.6855</v>
      </c>
      <c r="Q384" s="29">
        <f t="shared" si="175"/>
        <v>-0.153</v>
      </c>
      <c r="R384" s="29">
        <f t="shared" si="176"/>
        <v>-7.4000000000000003E-3</v>
      </c>
      <c r="S384">
        <v>3751000</v>
      </c>
      <c r="T384" s="18">
        <f>ROUND((S384/7)/VLOOKUP(EOMONTH(A384,-1),Employment!A:P,16,FALSE),4)</f>
        <v>2.2421000000000002</v>
      </c>
      <c r="U384" s="18">
        <f t="shared" si="177"/>
        <v>2.2461000000000002</v>
      </c>
      <c r="V384" s="29">
        <f t="shared" si="178"/>
        <v>-0.21049999999999999</v>
      </c>
      <c r="W384" s="29">
        <f t="shared" si="179"/>
        <v>-4.0000000000000002E-4</v>
      </c>
      <c r="X384" s="30">
        <f t="shared" si="180"/>
        <v>132.86000000000001</v>
      </c>
      <c r="Y384" s="31">
        <f t="shared" si="181"/>
        <v>131.46</v>
      </c>
    </row>
    <row r="385" spans="1:25" ht="15" customHeight="1" x14ac:dyDescent="0.25">
      <c r="A385" s="5">
        <v>40650</v>
      </c>
      <c r="B385">
        <v>1210.7820999999999</v>
      </c>
      <c r="C385" s="29">
        <f t="shared" si="185"/>
        <v>3.2000000000000002E-3</v>
      </c>
      <c r="D385">
        <v>-0.51</v>
      </c>
      <c r="E385">
        <v>-0.83899999999999997</v>
      </c>
      <c r="F385" s="18">
        <f t="shared" si="172"/>
        <v>0.30799999999999983</v>
      </c>
      <c r="G385" s="18">
        <f t="shared" si="173"/>
        <v>1.7840000000000007</v>
      </c>
      <c r="H385">
        <v>4.68</v>
      </c>
      <c r="I385">
        <v>2.56</v>
      </c>
      <c r="J385">
        <f t="shared" si="182"/>
        <v>3.62</v>
      </c>
      <c r="K385" s="6">
        <f t="shared" si="183"/>
        <v>3.61</v>
      </c>
      <c r="L385" s="6">
        <f t="shared" si="184"/>
        <v>-2.0000000000000018E-2</v>
      </c>
      <c r="M385">
        <v>7.0574812007330001</v>
      </c>
      <c r="N385">
        <v>404250</v>
      </c>
      <c r="O385" s="18">
        <f>ROUND(N385/VLOOKUP(EOMONTH(A385,-1),Employment!A:P,16,FALSE),4)</f>
        <v>1.6914</v>
      </c>
      <c r="P385" s="18">
        <f t="shared" si="174"/>
        <v>1.6897</v>
      </c>
      <c r="Q385" s="29">
        <f t="shared" si="175"/>
        <v>-0.15010000000000001</v>
      </c>
      <c r="R385" s="29">
        <f t="shared" si="176"/>
        <v>-1.2E-2</v>
      </c>
      <c r="S385">
        <v>3756000</v>
      </c>
      <c r="T385" s="18">
        <f>ROUND((S385/7)/VLOOKUP(EOMONTH(A385,-1),Employment!A:P,16,FALSE),4)</f>
        <v>2.2450999999999999</v>
      </c>
      <c r="U385" s="18">
        <f t="shared" si="177"/>
        <v>2.2463000000000002</v>
      </c>
      <c r="V385" s="29">
        <f t="shared" si="178"/>
        <v>-0.21029999999999999</v>
      </c>
      <c r="W385" s="29">
        <f t="shared" si="179"/>
        <v>-8.0000000000000004E-4</v>
      </c>
      <c r="X385" s="30">
        <f t="shared" si="180"/>
        <v>131.19999999999999</v>
      </c>
      <c r="Y385" s="31">
        <f t="shared" si="181"/>
        <v>130.38</v>
      </c>
    </row>
    <row r="386" spans="1:25" ht="15" customHeight="1" x14ac:dyDescent="0.25">
      <c r="A386" s="5">
        <v>40643</v>
      </c>
      <c r="B386">
        <v>1208.7855</v>
      </c>
      <c r="C386" s="29">
        <f t="shared" si="185"/>
        <v>2.3999999999999998E-3</v>
      </c>
      <c r="D386">
        <v>-0.5</v>
      </c>
      <c r="E386">
        <v>-0.81299999999999994</v>
      </c>
      <c r="F386" s="18">
        <f t="shared" si="172"/>
        <v>0.21999999999999886</v>
      </c>
      <c r="G386" s="18">
        <f t="shared" si="173"/>
        <v>0.72399999999999842</v>
      </c>
      <c r="H386">
        <v>4.53</v>
      </c>
      <c r="I386">
        <v>2.56</v>
      </c>
      <c r="J386">
        <f t="shared" si="182"/>
        <v>3.55</v>
      </c>
      <c r="K386" s="6">
        <f t="shared" si="183"/>
        <v>3.63</v>
      </c>
      <c r="L386" s="6">
        <f t="shared" si="184"/>
        <v>-0.10000000000000009</v>
      </c>
      <c r="M386">
        <v>6.7100723529252999</v>
      </c>
      <c r="N386">
        <v>401250</v>
      </c>
      <c r="O386" s="18">
        <f>ROUND(N386/VLOOKUP(EOMONTH(A386,-1),Employment!A:P,16,FALSE),4)</f>
        <v>1.6789000000000001</v>
      </c>
      <c r="P386" s="18">
        <f t="shared" si="174"/>
        <v>1.6876</v>
      </c>
      <c r="Q386" s="29">
        <f t="shared" si="175"/>
        <v>-0.1545</v>
      </c>
      <c r="R386" s="29">
        <f t="shared" si="176"/>
        <v>-1.0200000000000001E-2</v>
      </c>
      <c r="S386">
        <v>3766000</v>
      </c>
      <c r="T386" s="18">
        <f>ROUND((S386/7)/VLOOKUP(EOMONTH(A386,-1),Employment!A:P,16,FALSE),4)</f>
        <v>2.2509999999999999</v>
      </c>
      <c r="U386" s="18">
        <f t="shared" si="177"/>
        <v>2.2498999999999998</v>
      </c>
      <c r="V386" s="29">
        <f t="shared" si="178"/>
        <v>-0.2089</v>
      </c>
      <c r="W386" s="29">
        <f t="shared" si="179"/>
        <v>1.8E-3</v>
      </c>
      <c r="X386" s="30">
        <f t="shared" si="180"/>
        <v>128.61000000000001</v>
      </c>
      <c r="Y386" s="31">
        <f t="shared" si="181"/>
        <v>131.47999999999999</v>
      </c>
    </row>
    <row r="387" spans="1:25" ht="15" customHeight="1" x14ac:dyDescent="0.25">
      <c r="A387" s="5">
        <v>40636</v>
      </c>
      <c r="B387">
        <v>1208.7152000000001</v>
      </c>
      <c r="C387" s="29">
        <f t="shared" si="185"/>
        <v>3.8999999999999998E-3</v>
      </c>
      <c r="D387">
        <v>-0.49</v>
      </c>
      <c r="E387">
        <v>-0.79800000000000004</v>
      </c>
      <c r="F387" s="18">
        <f t="shared" si="172"/>
        <v>1.256000000000002</v>
      </c>
      <c r="G387" s="18">
        <f t="shared" si="173"/>
        <v>0.31600000000000072</v>
      </c>
      <c r="H387">
        <v>4.72</v>
      </c>
      <c r="I387">
        <v>2.58</v>
      </c>
      <c r="J387">
        <f t="shared" si="182"/>
        <v>3.65</v>
      </c>
      <c r="K387" s="6">
        <f t="shared" si="183"/>
        <v>3.73</v>
      </c>
      <c r="L387" s="6">
        <f t="shared" si="184"/>
        <v>-4.0000000000000036E-2</v>
      </c>
      <c r="M387">
        <v>6.4514759617752997</v>
      </c>
      <c r="N387">
        <v>406000</v>
      </c>
      <c r="O387" s="18">
        <f>ROUND(N387/VLOOKUP(EOMONTH(A387,-1),Employment!A:P,16,FALSE),4)</f>
        <v>1.6987000000000001</v>
      </c>
      <c r="P387" s="18">
        <f t="shared" si="174"/>
        <v>1.6851</v>
      </c>
      <c r="Q387" s="29">
        <f t="shared" si="175"/>
        <v>-0.1633</v>
      </c>
      <c r="R387" s="29">
        <f t="shared" si="176"/>
        <v>-8.9999999999999998E-4</v>
      </c>
      <c r="S387">
        <v>3752000</v>
      </c>
      <c r="T387" s="18">
        <f>ROUND((S387/7)/VLOOKUP(EOMONTH(A387,-1),Employment!A:P,16,FALSE),4)</f>
        <v>2.2427000000000001</v>
      </c>
      <c r="U387" s="18">
        <f t="shared" si="177"/>
        <v>2.2515999999999998</v>
      </c>
      <c r="V387" s="29">
        <f t="shared" si="178"/>
        <v>-0.21390000000000001</v>
      </c>
      <c r="W387" s="29">
        <f t="shared" si="179"/>
        <v>3.8999999999999998E-3</v>
      </c>
      <c r="X387" s="30">
        <f t="shared" si="180"/>
        <v>132.77000000000001</v>
      </c>
      <c r="Y387" s="31">
        <f t="shared" si="181"/>
        <v>135.36000000000001</v>
      </c>
    </row>
    <row r="388" spans="1:25" ht="15" customHeight="1" x14ac:dyDescent="0.25">
      <c r="A388" s="5">
        <v>40629</v>
      </c>
      <c r="B388">
        <v>1207.9802</v>
      </c>
      <c r="C388" s="29">
        <f t="shared" si="185"/>
        <v>5.1000000000000004E-3</v>
      </c>
      <c r="D388">
        <v>-0.45</v>
      </c>
      <c r="E388">
        <v>-0.69099999999999995</v>
      </c>
      <c r="F388" s="18">
        <f t="shared" si="172"/>
        <v>-0.75200000000000244</v>
      </c>
      <c r="G388" s="18">
        <f t="shared" si="173"/>
        <v>-0.756000000000002</v>
      </c>
      <c r="H388">
        <v>4.79</v>
      </c>
      <c r="I388">
        <v>2.58</v>
      </c>
      <c r="J388">
        <f t="shared" si="182"/>
        <v>3.69</v>
      </c>
      <c r="K388" s="6">
        <f t="shared" si="183"/>
        <v>3.77</v>
      </c>
      <c r="L388" s="6">
        <f t="shared" si="184"/>
        <v>1.0000000000000231E-2</v>
      </c>
      <c r="M388">
        <v>6.0921445117601998</v>
      </c>
      <c r="N388">
        <v>402500</v>
      </c>
      <c r="O388" s="18">
        <f>ROUND(N388/VLOOKUP(EOMONTH(A388,-1),Employment!A:P,16,FALSE),4)</f>
        <v>1.6852</v>
      </c>
      <c r="P388" s="18">
        <f t="shared" si="174"/>
        <v>1.6834</v>
      </c>
      <c r="Q388" s="29">
        <f t="shared" si="175"/>
        <v>-0.1741</v>
      </c>
      <c r="R388" s="29">
        <f t="shared" si="176"/>
        <v>1.1299999999999999E-2</v>
      </c>
      <c r="S388">
        <v>3772000</v>
      </c>
      <c r="T388" s="18">
        <f>ROUND((S388/7)/VLOOKUP(EOMONTH(A388,-1),Employment!A:P,16,FALSE),4)</f>
        <v>2.2559999999999998</v>
      </c>
      <c r="U388" s="18">
        <f t="shared" si="177"/>
        <v>2.2633999999999999</v>
      </c>
      <c r="V388" s="29">
        <f t="shared" si="178"/>
        <v>-0.21060000000000001</v>
      </c>
      <c r="W388" s="29">
        <f t="shared" si="179"/>
        <v>3.8999999999999998E-3</v>
      </c>
      <c r="X388" s="30">
        <f t="shared" si="180"/>
        <v>135.44</v>
      </c>
      <c r="Y388" s="31">
        <f t="shared" si="181"/>
        <v>139.49</v>
      </c>
    </row>
    <row r="389" spans="1:25" ht="15" customHeight="1" x14ac:dyDescent="0.25">
      <c r="A389" s="5">
        <v>40622</v>
      </c>
      <c r="B389">
        <v>1202.3742999999999</v>
      </c>
      <c r="C389" s="29">
        <f t="shared" si="185"/>
        <v>1.6999999999999999E-3</v>
      </c>
      <c r="D389">
        <v>-0.45</v>
      </c>
      <c r="E389">
        <v>-0.78500000000000003</v>
      </c>
      <c r="F389" s="18">
        <f t="shared" si="172"/>
        <v>-0.18799999999999883</v>
      </c>
      <c r="G389" s="18">
        <f t="shared" si="173"/>
        <v>-0.39599999999999902</v>
      </c>
      <c r="H389">
        <v>5.0199999999999996</v>
      </c>
      <c r="I389">
        <v>2.69</v>
      </c>
      <c r="J389">
        <f t="shared" si="182"/>
        <v>3.86</v>
      </c>
      <c r="K389" s="6">
        <f t="shared" si="183"/>
        <v>3.76</v>
      </c>
      <c r="L389" s="6">
        <f t="shared" si="184"/>
        <v>6.999999999999984E-2</v>
      </c>
      <c r="M389">
        <v>6.6516738447605999</v>
      </c>
      <c r="N389">
        <v>399250</v>
      </c>
      <c r="O389" s="18">
        <f>ROUND(N389/VLOOKUP(EOMONTH(A389,-1),Employment!A:P,16,FALSE),4)</f>
        <v>1.6715</v>
      </c>
      <c r="P389" s="18">
        <f t="shared" si="174"/>
        <v>1.6819999999999999</v>
      </c>
      <c r="Q389" s="29">
        <f t="shared" si="175"/>
        <v>-0.17949999999999999</v>
      </c>
      <c r="R389" s="29">
        <f t="shared" si="176"/>
        <v>2.0500000000000001E-2</v>
      </c>
      <c r="S389">
        <v>3772000</v>
      </c>
      <c r="T389" s="18">
        <f>ROUND((S389/7)/VLOOKUP(EOMONTH(A389,-1),Employment!A:P,16,FALSE),4)</f>
        <v>2.2559999999999998</v>
      </c>
      <c r="U389" s="18">
        <f t="shared" si="177"/>
        <v>2.2732000000000001</v>
      </c>
      <c r="V389" s="29">
        <f t="shared" si="178"/>
        <v>-0.2082</v>
      </c>
      <c r="W389" s="29">
        <f t="shared" si="179"/>
        <v>4.7999999999999996E-3</v>
      </c>
      <c r="X389" s="30">
        <f t="shared" si="180"/>
        <v>141.66</v>
      </c>
      <c r="Y389" s="31">
        <f t="shared" si="181"/>
        <v>142.38999999999999</v>
      </c>
    </row>
    <row r="390" spans="1:25" ht="15" customHeight="1" x14ac:dyDescent="0.25">
      <c r="A390" s="5">
        <v>40615</v>
      </c>
      <c r="B390">
        <v>1204.3475000000001</v>
      </c>
      <c r="C390" s="29">
        <f t="shared" si="185"/>
        <v>4.8999999999999998E-3</v>
      </c>
      <c r="D390">
        <v>-0.46</v>
      </c>
      <c r="E390">
        <v>-0.79600000000000004</v>
      </c>
      <c r="F390" s="18">
        <f t="shared" si="172"/>
        <v>0.18399999999999928</v>
      </c>
      <c r="G390" s="18">
        <f t="shared" si="173"/>
        <v>-0.1720000000000006</v>
      </c>
      <c r="H390">
        <v>4.88</v>
      </c>
      <c r="I390">
        <v>2.63</v>
      </c>
      <c r="J390">
        <f t="shared" si="182"/>
        <v>3.76</v>
      </c>
      <c r="K390" s="6">
        <f t="shared" si="183"/>
        <v>3.69</v>
      </c>
      <c r="L390" s="6">
        <f t="shared" si="184"/>
        <v>6.999999999999984E-2</v>
      </c>
      <c r="M390">
        <v>6.5206493446969001</v>
      </c>
      <c r="N390">
        <v>404500</v>
      </c>
      <c r="O390" s="18">
        <f>ROUND(N390/VLOOKUP(EOMONTH(A390,-1),Employment!A:P,16,FALSE),4)</f>
        <v>1.6935</v>
      </c>
      <c r="P390" s="18">
        <f t="shared" si="174"/>
        <v>1.6977</v>
      </c>
      <c r="Q390" s="29">
        <f t="shared" si="175"/>
        <v>-0.1739</v>
      </c>
      <c r="R390" s="29">
        <f t="shared" si="176"/>
        <v>2.0899999999999998E-2</v>
      </c>
      <c r="S390">
        <v>3809000</v>
      </c>
      <c r="T390" s="18">
        <f>ROUND((S390/7)/VLOOKUP(EOMONTH(A390,-1),Employment!A:P,16,FALSE),4)</f>
        <v>2.2782</v>
      </c>
      <c r="U390" s="18">
        <f t="shared" si="177"/>
        <v>2.2869999999999999</v>
      </c>
      <c r="V390" s="29">
        <f t="shared" si="178"/>
        <v>-0.20630000000000001</v>
      </c>
      <c r="W390" s="29">
        <f t="shared" si="179"/>
        <v>5.5999999999999999E-3</v>
      </c>
      <c r="X390" s="30">
        <f t="shared" si="180"/>
        <v>144.18</v>
      </c>
      <c r="Y390" s="31">
        <f t="shared" si="181"/>
        <v>140.84</v>
      </c>
    </row>
    <row r="391" spans="1:25" ht="15" customHeight="1" x14ac:dyDescent="0.25">
      <c r="A391" s="5">
        <v>40608</v>
      </c>
      <c r="B391">
        <v>1201.2760000000001</v>
      </c>
      <c r="C391" s="29">
        <f t="shared" si="185"/>
        <v>3.5999999999999999E-3</v>
      </c>
      <c r="D391">
        <v>-0.46</v>
      </c>
      <c r="E391">
        <v>-0.77300000000000002</v>
      </c>
      <c r="F391" s="18">
        <f t="shared" si="172"/>
        <v>-0.39199999999999946</v>
      </c>
      <c r="G391" s="18">
        <f t="shared" si="173"/>
        <v>-0.29999999999999893</v>
      </c>
      <c r="H391">
        <v>4.6900000000000004</v>
      </c>
      <c r="I391">
        <v>2.6</v>
      </c>
      <c r="J391">
        <f t="shared" si="182"/>
        <v>3.65</v>
      </c>
      <c r="K391" s="6">
        <f t="shared" si="183"/>
        <v>3.62</v>
      </c>
      <c r="L391" s="6">
        <f t="shared" si="184"/>
        <v>2.0000000000000018E-2</v>
      </c>
      <c r="M391">
        <v>6.3365342787963996</v>
      </c>
      <c r="N391">
        <v>401500</v>
      </c>
      <c r="O391" s="18">
        <f>ROUND(N391/VLOOKUP(EOMONTH(A391,-1),Employment!A:P,16,FALSE),4)</f>
        <v>1.681</v>
      </c>
      <c r="P391" s="18">
        <f t="shared" si="174"/>
        <v>1.7242999999999999</v>
      </c>
      <c r="Q391" s="29">
        <f t="shared" si="175"/>
        <v>-0.15720000000000001</v>
      </c>
      <c r="R391" s="29">
        <f t="shared" si="176"/>
        <v>1.6400000000000001E-2</v>
      </c>
      <c r="S391">
        <v>3821000</v>
      </c>
      <c r="T391" s="18">
        <f>ROUND((S391/7)/VLOOKUP(EOMONTH(A391,-1),Employment!A:P,16,FALSE),4)</f>
        <v>2.2852999999999999</v>
      </c>
      <c r="U391" s="18">
        <f t="shared" si="177"/>
        <v>2.3111999999999999</v>
      </c>
      <c r="V391" s="29">
        <f t="shared" si="178"/>
        <v>-0.20269999999999999</v>
      </c>
      <c r="W391" s="29">
        <f t="shared" si="179"/>
        <v>4.7999999999999996E-3</v>
      </c>
      <c r="X391" s="30">
        <f t="shared" si="180"/>
        <v>139.71</v>
      </c>
      <c r="Y391" s="31">
        <f t="shared" si="181"/>
        <v>136.07</v>
      </c>
    </row>
    <row r="392" spans="1:25" ht="15" customHeight="1" x14ac:dyDescent="0.25">
      <c r="A392" s="5">
        <v>40601</v>
      </c>
      <c r="B392">
        <v>1199.6130000000001</v>
      </c>
      <c r="C392" s="29">
        <f t="shared" si="185"/>
        <v>2.7000000000000001E-3</v>
      </c>
      <c r="D392">
        <v>-0.48</v>
      </c>
      <c r="E392">
        <v>-0.79700000000000004</v>
      </c>
      <c r="F392" s="18">
        <f t="shared" si="172"/>
        <v>3.5999999999999588E-2</v>
      </c>
      <c r="G392" s="18">
        <f t="shared" si="173"/>
        <v>-0.11999999999999922</v>
      </c>
      <c r="H392">
        <v>4.72</v>
      </c>
      <c r="I392">
        <v>2.6</v>
      </c>
      <c r="J392">
        <f t="shared" si="182"/>
        <v>3.66</v>
      </c>
      <c r="K392" s="6">
        <f t="shared" si="183"/>
        <v>3.6</v>
      </c>
      <c r="L392" s="6">
        <f t="shared" si="184"/>
        <v>1.0000000000000231E-2</v>
      </c>
      <c r="M392">
        <v>6.2518741725106999</v>
      </c>
      <c r="N392">
        <v>410250</v>
      </c>
      <c r="O392" s="18">
        <f>ROUND(N392/VLOOKUP(EOMONTH(A392,-1),Employment!A:P,16,FALSE),4)</f>
        <v>1.7186999999999999</v>
      </c>
      <c r="P392" s="18">
        <f t="shared" si="174"/>
        <v>1.7536</v>
      </c>
      <c r="Q392" s="29">
        <f t="shared" si="175"/>
        <v>-0.14269999999999999</v>
      </c>
      <c r="R392" s="29">
        <f t="shared" si="176"/>
        <v>1.01E-2</v>
      </c>
      <c r="S392">
        <v>3839000</v>
      </c>
      <c r="T392" s="18">
        <f>ROUND((S392/7)/VLOOKUP(EOMONTH(A392,-1),Employment!A:P,16,FALSE),4)</f>
        <v>2.2974999999999999</v>
      </c>
      <c r="U392" s="18">
        <f t="shared" si="177"/>
        <v>2.3249</v>
      </c>
      <c r="V392" s="29">
        <f t="shared" si="178"/>
        <v>-0.19969999999999999</v>
      </c>
      <c r="W392" s="29">
        <f t="shared" si="179"/>
        <v>2.0999999999999999E-3</v>
      </c>
      <c r="X392" s="30">
        <f t="shared" si="180"/>
        <v>135.32999999999998</v>
      </c>
      <c r="Y392" s="31">
        <f t="shared" si="181"/>
        <v>130.91999999999999</v>
      </c>
    </row>
    <row r="393" spans="1:25" ht="15" customHeight="1" x14ac:dyDescent="0.25">
      <c r="A393" s="5">
        <v>40594</v>
      </c>
      <c r="B393">
        <v>1196.182</v>
      </c>
      <c r="C393" s="29">
        <f t="shared" si="185"/>
        <v>-4.0000000000000002E-4</v>
      </c>
      <c r="D393">
        <v>-0.49</v>
      </c>
      <c r="E393">
        <v>-0.78</v>
      </c>
      <c r="F393" s="18">
        <f t="shared" si="172"/>
        <v>5.6000000000000938E-2</v>
      </c>
      <c r="G393" s="18">
        <f t="shared" si="173"/>
        <v>0.21199999999999974</v>
      </c>
      <c r="H393">
        <v>4.53</v>
      </c>
      <c r="I393">
        <v>2.58</v>
      </c>
      <c r="J393">
        <f t="shared" si="182"/>
        <v>3.56</v>
      </c>
      <c r="K393" s="6">
        <f t="shared" si="183"/>
        <v>3.59</v>
      </c>
      <c r="L393" s="6">
        <f t="shared" si="184"/>
        <v>-0.10000000000000009</v>
      </c>
      <c r="M393">
        <v>5.3127018647417001</v>
      </c>
      <c r="N393">
        <v>423250</v>
      </c>
      <c r="O393" s="18">
        <f>ROUND(N393/VLOOKUP(EOMONTH(A393,-1),Employment!A:P,16,FALSE),4)</f>
        <v>1.7730999999999999</v>
      </c>
      <c r="P393" s="18">
        <f t="shared" si="174"/>
        <v>1.7815000000000001</v>
      </c>
      <c r="Q393" s="29">
        <f t="shared" si="175"/>
        <v>-0.1278</v>
      </c>
      <c r="R393" s="29">
        <f t="shared" si="176"/>
        <v>3.3E-3</v>
      </c>
      <c r="S393">
        <v>3928000</v>
      </c>
      <c r="T393" s="18">
        <f>ROUND((S393/7)/VLOOKUP(EOMONTH(A393,-1),Employment!A:P,16,FALSE),4)</f>
        <v>2.3508</v>
      </c>
      <c r="U393" s="18">
        <f t="shared" si="177"/>
        <v>2.3422000000000001</v>
      </c>
      <c r="V393" s="29">
        <f t="shared" si="178"/>
        <v>-0.19520000000000001</v>
      </c>
      <c r="W393" s="29">
        <f t="shared" si="179"/>
        <v>-2.5000000000000001E-3</v>
      </c>
      <c r="X393" s="30">
        <f t="shared" si="180"/>
        <v>128.82999999999998</v>
      </c>
      <c r="Y393" s="31">
        <f t="shared" si="181"/>
        <v>126.32</v>
      </c>
    </row>
    <row r="394" spans="1:25" ht="15" customHeight="1" x14ac:dyDescent="0.25">
      <c r="A394" s="5">
        <v>40587</v>
      </c>
      <c r="B394">
        <v>1196.9658999999999</v>
      </c>
      <c r="C394" s="29">
        <f t="shared" si="185"/>
        <v>1E-3</v>
      </c>
      <c r="D394">
        <v>-0.49</v>
      </c>
      <c r="E394">
        <v>-0.77300000000000002</v>
      </c>
      <c r="F394" s="18">
        <f t="shared" si="172"/>
        <v>-0.21199999999999974</v>
      </c>
      <c r="G394" s="18">
        <f t="shared" si="173"/>
        <v>0.20799999999999841</v>
      </c>
      <c r="H394">
        <v>4.59</v>
      </c>
      <c r="I394">
        <v>2.56</v>
      </c>
      <c r="J394">
        <f t="shared" si="182"/>
        <v>3.58</v>
      </c>
      <c r="K394" s="6">
        <f t="shared" si="183"/>
        <v>3.69</v>
      </c>
      <c r="L394" s="6">
        <f t="shared" si="184"/>
        <v>-0.10000000000000009</v>
      </c>
      <c r="M394">
        <v>4.8415146077716003</v>
      </c>
      <c r="N394">
        <v>422250</v>
      </c>
      <c r="O394" s="18">
        <f>ROUND(N394/VLOOKUP(EOMONTH(A394,-1),Employment!A:P,16,FALSE),4)</f>
        <v>1.7688999999999999</v>
      </c>
      <c r="P394" s="18">
        <f t="shared" si="174"/>
        <v>1.7883</v>
      </c>
      <c r="Q394" s="29">
        <f t="shared" si="175"/>
        <v>-0.1215</v>
      </c>
      <c r="R394" s="29">
        <f t="shared" si="176"/>
        <v>-1.5E-3</v>
      </c>
      <c r="S394">
        <v>3887000</v>
      </c>
      <c r="T394" s="18">
        <f>ROUND((S394/7)/VLOOKUP(EOMONTH(A394,-1),Employment!A:P,16,FALSE),4)</f>
        <v>2.3262999999999998</v>
      </c>
      <c r="U394" s="18">
        <f t="shared" si="177"/>
        <v>2.3508</v>
      </c>
      <c r="V394" s="29">
        <f t="shared" si="178"/>
        <v>-0.19059999999999999</v>
      </c>
      <c r="W394" s="29">
        <f t="shared" si="179"/>
        <v>-3.5999999999999999E-3</v>
      </c>
      <c r="X394" s="30">
        <f t="shared" si="180"/>
        <v>125.14</v>
      </c>
      <c r="Y394" s="31">
        <f t="shared" si="181"/>
        <v>123.66</v>
      </c>
    </row>
    <row r="395" spans="1:25" ht="15" customHeight="1" x14ac:dyDescent="0.25">
      <c r="A395" s="5">
        <v>40580</v>
      </c>
      <c r="B395">
        <v>1195.0983000000001</v>
      </c>
      <c r="C395" s="29">
        <f t="shared" si="185"/>
        <v>0</v>
      </c>
      <c r="D395">
        <v>-0.48</v>
      </c>
      <c r="E395">
        <v>-0.81200000000000006</v>
      </c>
      <c r="F395" s="18">
        <f t="shared" si="172"/>
        <v>0.36799999999999855</v>
      </c>
      <c r="G395" s="18">
        <f t="shared" si="173"/>
        <v>1.1359999999999992</v>
      </c>
      <c r="H395">
        <v>4.68</v>
      </c>
      <c r="I395">
        <v>2.57</v>
      </c>
      <c r="J395">
        <f t="shared" si="182"/>
        <v>3.63</v>
      </c>
      <c r="K395" s="6">
        <f t="shared" si="183"/>
        <v>3.79</v>
      </c>
      <c r="L395" s="6">
        <f t="shared" si="184"/>
        <v>-0.10000000000000009</v>
      </c>
      <c r="M395">
        <v>4.0136641707085996</v>
      </c>
      <c r="N395">
        <v>430250</v>
      </c>
      <c r="O395" s="18">
        <f>ROUND(N395/VLOOKUP(EOMONTH(A395,-1),Employment!A:P,16,FALSE),4)</f>
        <v>1.8024</v>
      </c>
      <c r="P395" s="18">
        <f t="shared" si="174"/>
        <v>1.782</v>
      </c>
      <c r="Q395" s="29">
        <f t="shared" si="175"/>
        <v>-0.11840000000000001</v>
      </c>
      <c r="R395" s="29">
        <f t="shared" si="176"/>
        <v>-7.1000000000000004E-3</v>
      </c>
      <c r="S395">
        <v>3926000</v>
      </c>
      <c r="T395" s="18">
        <f>ROUND((S395/7)/VLOOKUP(EOMONTH(A395,-1),Employment!A:P,16,FALSE),4)</f>
        <v>2.3496000000000001</v>
      </c>
      <c r="U395" s="18">
        <f t="shared" si="177"/>
        <v>2.3542000000000001</v>
      </c>
      <c r="V395" s="29">
        <f t="shared" si="178"/>
        <v>-0.19389999999999999</v>
      </c>
      <c r="W395" s="29">
        <f t="shared" si="179"/>
        <v>-2.8E-3</v>
      </c>
      <c r="X395" s="30">
        <f t="shared" si="180"/>
        <v>122.99000000000001</v>
      </c>
      <c r="Y395" s="31">
        <f t="shared" si="181"/>
        <v>122.56</v>
      </c>
    </row>
    <row r="396" spans="1:25" ht="15" customHeight="1" x14ac:dyDescent="0.25">
      <c r="A396" s="5">
        <v>40573</v>
      </c>
      <c r="B396">
        <v>1197.2409</v>
      </c>
      <c r="C396" s="29">
        <f t="shared" si="185"/>
        <v>2.0999999999999999E-3</v>
      </c>
      <c r="D396">
        <v>-0.46</v>
      </c>
      <c r="E396">
        <v>-0.79100000000000004</v>
      </c>
      <c r="F396" s="18">
        <f t="shared" si="172"/>
        <v>5.1999999999999602E-2</v>
      </c>
      <c r="G396" s="18">
        <f t="shared" si="173"/>
        <v>0.98400000000000176</v>
      </c>
      <c r="H396">
        <v>5.03</v>
      </c>
      <c r="I396">
        <v>2.7</v>
      </c>
      <c r="J396">
        <f t="shared" si="182"/>
        <v>3.87</v>
      </c>
      <c r="K396" s="6">
        <f t="shared" si="183"/>
        <v>3.89</v>
      </c>
      <c r="L396" s="6">
        <f t="shared" si="184"/>
        <v>-4.0000000000000036E-2</v>
      </c>
      <c r="M396">
        <v>3.7978689312302998</v>
      </c>
      <c r="N396">
        <v>428500</v>
      </c>
      <c r="O396" s="18">
        <f>ROUND(N396/VLOOKUP(EOMONTH(A396,-1),Employment!A:P,16,FALSE),4)</f>
        <v>1.7937000000000001</v>
      </c>
      <c r="P396" s="18">
        <f t="shared" si="174"/>
        <v>1.7655000000000001</v>
      </c>
      <c r="Q396" s="29">
        <f t="shared" si="175"/>
        <v>-0.11550000000000001</v>
      </c>
      <c r="R396" s="29">
        <f t="shared" si="176"/>
        <v>-8.3000000000000001E-3</v>
      </c>
      <c r="S396">
        <v>3974000</v>
      </c>
      <c r="T396" s="18">
        <f>ROUND((S396/7)/VLOOKUP(EOMONTH(A396,-1),Employment!A:P,16,FALSE),4)</f>
        <v>2.3765000000000001</v>
      </c>
      <c r="U396" s="18">
        <f t="shared" si="177"/>
        <v>2.3479999999999999</v>
      </c>
      <c r="V396" s="29">
        <f t="shared" si="178"/>
        <v>-0.19750000000000001</v>
      </c>
      <c r="W396" s="29">
        <f t="shared" si="179"/>
        <v>-4.4000000000000003E-3</v>
      </c>
      <c r="X396" s="30">
        <f t="shared" si="180"/>
        <v>121.66</v>
      </c>
      <c r="Y396" s="31">
        <f t="shared" si="181"/>
        <v>122.51</v>
      </c>
    </row>
    <row r="397" spans="1:25" ht="15" customHeight="1" x14ac:dyDescent="0.25">
      <c r="A397" s="5">
        <v>40566</v>
      </c>
      <c r="B397">
        <v>1197.5187000000001</v>
      </c>
      <c r="C397" s="29">
        <f t="shared" si="185"/>
        <v>3.5000000000000001E-3</v>
      </c>
      <c r="D397">
        <v>-0.45</v>
      </c>
      <c r="E397">
        <v>-0.79700000000000004</v>
      </c>
      <c r="F397" s="18">
        <f t="shared" si="172"/>
        <v>0.71600000000000108</v>
      </c>
      <c r="G397" s="18">
        <f t="shared" si="173"/>
        <v>1.0280000000000022</v>
      </c>
      <c r="H397">
        <v>5.05</v>
      </c>
      <c r="I397">
        <v>2.68</v>
      </c>
      <c r="J397">
        <f t="shared" si="182"/>
        <v>3.87</v>
      </c>
      <c r="K397" s="6">
        <f t="shared" si="183"/>
        <v>3.93</v>
      </c>
      <c r="L397" s="6">
        <f t="shared" si="184"/>
        <v>-6.0000000000000053E-2</v>
      </c>
      <c r="M397">
        <v>3.9895745273972998</v>
      </c>
      <c r="N397">
        <v>418000</v>
      </c>
      <c r="O397" s="18">
        <f>ROUND(N397/VLOOKUP(EOMONTH(A397,-1),Employment!A:P,16,FALSE),4)</f>
        <v>1.7498</v>
      </c>
      <c r="P397" s="18">
        <f t="shared" si="174"/>
        <v>1.7486999999999999</v>
      </c>
      <c r="Q397" s="29">
        <f t="shared" si="175"/>
        <v>-0.1236</v>
      </c>
      <c r="R397" s="29">
        <f t="shared" si="176"/>
        <v>-6.1000000000000004E-3</v>
      </c>
      <c r="S397">
        <v>3907000</v>
      </c>
      <c r="T397" s="18">
        <f>ROUND((S397/7)/VLOOKUP(EOMONTH(A397,-1),Employment!A:P,16,FALSE),4)</f>
        <v>2.3363999999999998</v>
      </c>
      <c r="U397" s="18">
        <f t="shared" si="177"/>
        <v>2.3706999999999998</v>
      </c>
      <c r="V397" s="29">
        <f t="shared" si="178"/>
        <v>-0.1996</v>
      </c>
      <c r="W397" s="29">
        <f t="shared" si="179"/>
        <v>-1.03E-2</v>
      </c>
      <c r="X397" s="30">
        <f t="shared" si="180"/>
        <v>123.72999999999999</v>
      </c>
      <c r="Y397" s="31">
        <f t="shared" si="181"/>
        <v>122.2</v>
      </c>
    </row>
    <row r="398" spans="1:25" ht="15" customHeight="1" x14ac:dyDescent="0.25">
      <c r="A398" s="5">
        <v>40559</v>
      </c>
      <c r="B398">
        <v>1193.0093999999999</v>
      </c>
      <c r="C398" s="29">
        <f t="shared" si="185"/>
        <v>4.0000000000000002E-4</v>
      </c>
      <c r="D398">
        <v>-0.44</v>
      </c>
      <c r="E398">
        <v>-0.72</v>
      </c>
      <c r="F398" s="18">
        <f t="shared" si="172"/>
        <v>0.21600000000000108</v>
      </c>
      <c r="G398" s="18">
        <f t="shared" si="173"/>
        <v>1.2400000000000002</v>
      </c>
      <c r="H398">
        <v>5.12</v>
      </c>
      <c r="I398">
        <v>2.74</v>
      </c>
      <c r="J398">
        <f t="shared" si="182"/>
        <v>3.93</v>
      </c>
      <c r="K398" s="6">
        <f t="shared" si="183"/>
        <v>3.99</v>
      </c>
      <c r="L398" s="6">
        <f t="shared" si="184"/>
        <v>-2.9999999999999361E-2</v>
      </c>
      <c r="M398">
        <v>3.5854449094417999</v>
      </c>
      <c r="N398">
        <v>418750</v>
      </c>
      <c r="O398" s="18">
        <f>ROUND(N398/VLOOKUP(EOMONTH(A398,-1),Employment!A:P,16,FALSE),4)</f>
        <v>1.7528999999999999</v>
      </c>
      <c r="P398" s="18">
        <f t="shared" si="174"/>
        <v>1.7519</v>
      </c>
      <c r="Q398" s="29">
        <f t="shared" si="175"/>
        <v>-0.1285</v>
      </c>
      <c r="R398" s="29">
        <f t="shared" si="176"/>
        <v>-4.4999999999999997E-3</v>
      </c>
      <c r="S398">
        <v>3898000</v>
      </c>
      <c r="T398" s="18">
        <f>ROUND((S398/7)/VLOOKUP(EOMONTH(A398,-1),Employment!A:P,16,FALSE),4)</f>
        <v>2.331</v>
      </c>
      <c r="U398" s="18">
        <f t="shared" si="177"/>
        <v>2.4117999999999999</v>
      </c>
      <c r="V398" s="29">
        <f t="shared" si="178"/>
        <v>-0.19769999999999999</v>
      </c>
      <c r="W398" s="29">
        <f t="shared" si="179"/>
        <v>-1.4500000000000001E-2</v>
      </c>
      <c r="X398" s="30">
        <f t="shared" si="180"/>
        <v>121.59</v>
      </c>
      <c r="Y398" s="31">
        <f t="shared" si="181"/>
        <v>120.57</v>
      </c>
    </row>
    <row r="399" spans="1:25" ht="15" customHeight="1" x14ac:dyDescent="0.25">
      <c r="A399" s="5">
        <v>40552</v>
      </c>
      <c r="B399">
        <v>1192.7724000000001</v>
      </c>
      <c r="C399" s="29">
        <f t="shared" si="185"/>
        <v>1.4E-3</v>
      </c>
      <c r="D399">
        <v>-0.44</v>
      </c>
      <c r="E399">
        <v>-0.69299999999999995</v>
      </c>
      <c r="F399" s="18">
        <f t="shared" ref="F399:F462" si="186">(((D399*10)+(E399*8))*-1)-(((D400*10)+(E400*8))*-1)</f>
        <v>9.6000000000000085E-2</v>
      </c>
      <c r="G399" s="18">
        <f t="shared" ref="G399:G462" si="187">SUM(F399:F401)</f>
        <v>0.65599999999999881</v>
      </c>
      <c r="H399">
        <v>5.23</v>
      </c>
      <c r="I399">
        <v>2.73</v>
      </c>
      <c r="J399">
        <f t="shared" si="182"/>
        <v>3.98</v>
      </c>
      <c r="K399" s="6">
        <f t="shared" si="183"/>
        <v>4.0199999999999996</v>
      </c>
      <c r="L399" s="6">
        <f t="shared" si="184"/>
        <v>-6.0000000000000497E-2</v>
      </c>
      <c r="M399">
        <v>3.0702812976656002</v>
      </c>
      <c r="N399">
        <v>416500</v>
      </c>
      <c r="O399" s="18">
        <f>ROUND(N399/VLOOKUP(EOMONTH(A399,-1),Employment!A:P,16,FALSE),4)</f>
        <v>1.7435</v>
      </c>
      <c r="P399" s="18">
        <f t="shared" ref="P399:P462" si="188">ROUND(AVERAGE(O399:O401),4)</f>
        <v>1.7642</v>
      </c>
      <c r="Q399" s="29">
        <f t="shared" ref="Q399:Q462" si="189">ROUND((P399/P451)-1,4)</f>
        <v>-0.13420000000000001</v>
      </c>
      <c r="R399" s="29">
        <f t="shared" ref="R399:R462" si="190">ROUND(AVERAGE(Q399:Q400)-AVERAGE(Q399:Q403),4)*-1</f>
        <v>-3.5999999999999999E-3</v>
      </c>
      <c r="S399">
        <v>4088000</v>
      </c>
      <c r="T399" s="18">
        <f>ROUND((S399/7)/VLOOKUP(EOMONTH(A399,-1),Employment!A:P,16,FALSE),4)</f>
        <v>2.4447000000000001</v>
      </c>
      <c r="U399" s="18">
        <f t="shared" ref="U399:U462" si="191">ROUND(AVERAGE(T399:T401),4)</f>
        <v>2.4451000000000001</v>
      </c>
      <c r="V399" s="29">
        <f t="shared" ref="V399:V462" si="192">ROUND((U399/U451)-1,4)</f>
        <v>-0.2039</v>
      </c>
      <c r="W399" s="29">
        <f t="shared" ref="W399:W462" si="193">ROUND(AVERAGE(V399:V400)-AVERAGE(V399:V403),4)*-1</f>
        <v>-1.32E-2</v>
      </c>
      <c r="X399" s="30">
        <f t="shared" ref="X399:X462" si="194">IF(ROUND((C399*500)-(D399*10)-(E399*8)+(M399*1.2)-(P399*23)-(Q399*10)+(R399*600)-(U399*2)-(V399*5)+(W399*100)-(K399*5)-(L399*5)+(G399*3),2)+170&lt;0,0,ROUND((C399*500)-(D399*10)-(E399*8)+(M399*1.2)-(P399*23)-(Q399*10)+(R399*600)-(U399*2)-(V399*5)+(W399*100)-(K399*5)-(L399*5)+(G399*3),2)+170)</f>
        <v>119.91</v>
      </c>
      <c r="Y399" s="31">
        <f t="shared" ref="Y399:Y462" si="195">ROUND(AVERAGE(AVERAGE(X399:X400),AVERAGE(X399:X401)),2)</f>
        <v>118.34</v>
      </c>
    </row>
    <row r="400" spans="1:25" ht="15" customHeight="1" x14ac:dyDescent="0.25">
      <c r="A400" s="5">
        <v>40545</v>
      </c>
      <c r="B400">
        <v>1195.5425</v>
      </c>
      <c r="C400" s="29">
        <f t="shared" si="185"/>
        <v>5.5999999999999999E-3</v>
      </c>
      <c r="D400">
        <v>-0.42</v>
      </c>
      <c r="E400">
        <v>-0.70599999999999996</v>
      </c>
      <c r="F400" s="18">
        <f t="shared" si="186"/>
        <v>0.92799999999999905</v>
      </c>
      <c r="G400" s="18">
        <f t="shared" si="187"/>
        <v>0.81599999999999895</v>
      </c>
      <c r="H400">
        <v>5.41</v>
      </c>
      <c r="I400">
        <v>2.68</v>
      </c>
      <c r="J400">
        <f t="shared" ref="J400:J463" si="196">ROUND(AVERAGE(H400:I400),2)</f>
        <v>4.05</v>
      </c>
      <c r="K400" s="6">
        <f t="shared" ref="K400:K463" si="197">ROUND(AVERAGE(J400:J402),2)</f>
        <v>4.08</v>
      </c>
      <c r="L400" s="6">
        <f t="shared" ref="L400:L463" si="198">K400-K401</f>
        <v>-4.0000000000000036E-2</v>
      </c>
      <c r="M400">
        <v>2.0131967386699001</v>
      </c>
      <c r="N400">
        <v>420250</v>
      </c>
      <c r="O400" s="18">
        <f>ROUND(N400/VLOOKUP(EOMONTH(A400,-1),Employment!A:P,16,FALSE),4)</f>
        <v>1.7592000000000001</v>
      </c>
      <c r="P400" s="18">
        <f t="shared" si="188"/>
        <v>1.7737000000000001</v>
      </c>
      <c r="Q400" s="29">
        <f t="shared" si="189"/>
        <v>-0.13739999999999999</v>
      </c>
      <c r="R400" s="29">
        <f t="shared" si="190"/>
        <v>-5.8999999999999999E-3</v>
      </c>
      <c r="S400">
        <v>4113000</v>
      </c>
      <c r="T400" s="18">
        <f>ROUND((S400/7)/VLOOKUP(EOMONTH(A400,-1),Employment!A:P,16,FALSE),4)</f>
        <v>2.4596</v>
      </c>
      <c r="U400" s="18">
        <f t="shared" si="191"/>
        <v>2.4554</v>
      </c>
      <c r="V400" s="29">
        <f t="shared" si="192"/>
        <v>-0.21629999999999999</v>
      </c>
      <c r="W400" s="29">
        <f t="shared" si="193"/>
        <v>-8.8000000000000005E-3</v>
      </c>
      <c r="X400" s="30">
        <f t="shared" si="194"/>
        <v>119.64</v>
      </c>
      <c r="Y400" s="31">
        <f t="shared" si="195"/>
        <v>114.53</v>
      </c>
    </row>
    <row r="401" spans="1:25" ht="15" customHeight="1" x14ac:dyDescent="0.25">
      <c r="A401" s="5">
        <v>40538</v>
      </c>
      <c r="B401">
        <v>1192.2378000000001</v>
      </c>
      <c r="C401" s="29">
        <f t="shared" si="185"/>
        <v>4.0000000000000001E-3</v>
      </c>
      <c r="D401">
        <v>-0.4</v>
      </c>
      <c r="E401">
        <v>-0.61499999999999999</v>
      </c>
      <c r="F401" s="18">
        <f t="shared" si="186"/>
        <v>-0.36800000000000033</v>
      </c>
      <c r="G401" s="18">
        <f t="shared" si="187"/>
        <v>-0.55599999999999916</v>
      </c>
      <c r="H401">
        <v>5.37</v>
      </c>
      <c r="I401">
        <v>2.7</v>
      </c>
      <c r="J401">
        <f t="shared" si="196"/>
        <v>4.04</v>
      </c>
      <c r="K401" s="6">
        <f t="shared" si="197"/>
        <v>4.12</v>
      </c>
      <c r="L401" s="6">
        <f t="shared" si="198"/>
        <v>-0.13999999999999968</v>
      </c>
      <c r="M401">
        <v>0.62491477323456002</v>
      </c>
      <c r="N401">
        <v>427250</v>
      </c>
      <c r="O401" s="18">
        <f>ROUND(N401/VLOOKUP(EOMONTH(A401,-1),Employment!A:P,16,FALSE),4)</f>
        <v>1.7898000000000001</v>
      </c>
      <c r="P401" s="18">
        <f t="shared" si="188"/>
        <v>1.7804</v>
      </c>
      <c r="Q401" s="29">
        <f t="shared" si="189"/>
        <v>-0.13719999999999999</v>
      </c>
      <c r="R401" s="29">
        <f t="shared" si="190"/>
        <v>-8.3000000000000001E-3</v>
      </c>
      <c r="S401">
        <v>4062000</v>
      </c>
      <c r="T401" s="18">
        <f>ROUND((S401/7)/VLOOKUP(EOMONTH(A401,-1),Employment!A:P,16,FALSE),4)</f>
        <v>2.4308999999999998</v>
      </c>
      <c r="U401" s="18">
        <f t="shared" si="191"/>
        <v>2.4569999999999999</v>
      </c>
      <c r="V401" s="29">
        <f t="shared" si="192"/>
        <v>-0.22700000000000001</v>
      </c>
      <c r="W401" s="29">
        <f t="shared" si="193"/>
        <v>-5.8999999999999999E-3</v>
      </c>
      <c r="X401" s="30">
        <f t="shared" si="194"/>
        <v>111.18</v>
      </c>
      <c r="Y401" s="31">
        <f t="shared" si="195"/>
        <v>109.62</v>
      </c>
    </row>
    <row r="402" spans="1:25" ht="15" customHeight="1" x14ac:dyDescent="0.25">
      <c r="A402" s="5">
        <v>40531</v>
      </c>
      <c r="B402">
        <v>1189.3788</v>
      </c>
      <c r="C402" s="29">
        <f t="shared" ref="C402:C465" si="199">ROUND((B402-AVERAGE(B403:B406))/AVERAGE(B403:B406),4)</f>
        <v>2E-3</v>
      </c>
      <c r="D402">
        <v>-0.4</v>
      </c>
      <c r="E402">
        <v>-0.66100000000000003</v>
      </c>
      <c r="F402" s="18">
        <f t="shared" si="186"/>
        <v>0.25600000000000023</v>
      </c>
      <c r="G402" s="18">
        <f t="shared" si="187"/>
        <v>-0.18799999999999883</v>
      </c>
      <c r="H402">
        <v>5.54</v>
      </c>
      <c r="I402">
        <v>2.73</v>
      </c>
      <c r="J402">
        <f t="shared" si="196"/>
        <v>4.1399999999999997</v>
      </c>
      <c r="K402" s="6">
        <f t="shared" si="197"/>
        <v>4.26</v>
      </c>
      <c r="L402" s="6">
        <f t="shared" si="198"/>
        <v>-0.12000000000000011</v>
      </c>
      <c r="M402">
        <v>-0.21050189777065001</v>
      </c>
      <c r="N402">
        <v>423000</v>
      </c>
      <c r="O402" s="18">
        <f>ROUND(N402/VLOOKUP(EOMONTH(A402,-1),Employment!A:P,16,FALSE),4)</f>
        <v>1.772</v>
      </c>
      <c r="P402" s="18">
        <f t="shared" si="188"/>
        <v>1.7789999999999999</v>
      </c>
      <c r="Q402" s="29">
        <f t="shared" si="189"/>
        <v>-0.14180000000000001</v>
      </c>
      <c r="R402" s="29">
        <f t="shared" si="190"/>
        <v>-8.3000000000000001E-3</v>
      </c>
      <c r="S402">
        <v>4137000</v>
      </c>
      <c r="T402" s="18">
        <f>ROUND((S402/7)/VLOOKUP(EOMONTH(A402,-1),Employment!A:P,16,FALSE),4)</f>
        <v>2.4758</v>
      </c>
      <c r="U402" s="18">
        <f t="shared" si="191"/>
        <v>2.4881000000000002</v>
      </c>
      <c r="V402" s="29">
        <f t="shared" si="192"/>
        <v>-0.23169999999999999</v>
      </c>
      <c r="W402" s="29">
        <f t="shared" si="193"/>
        <v>-3.7000000000000002E-3</v>
      </c>
      <c r="X402" s="30">
        <f t="shared" si="194"/>
        <v>110.1</v>
      </c>
      <c r="Y402" s="31">
        <f t="shared" si="195"/>
        <v>107.07</v>
      </c>
    </row>
    <row r="403" spans="1:25" ht="15" customHeight="1" x14ac:dyDescent="0.25">
      <c r="A403" s="5">
        <v>40524</v>
      </c>
      <c r="B403">
        <v>1187.3131000000001</v>
      </c>
      <c r="C403" s="29">
        <f t="shared" si="199"/>
        <v>5.0000000000000001E-4</v>
      </c>
      <c r="D403">
        <v>-0.38</v>
      </c>
      <c r="E403">
        <v>-0.65400000000000003</v>
      </c>
      <c r="F403" s="18">
        <f t="shared" si="186"/>
        <v>-0.44399999999999906</v>
      </c>
      <c r="G403" s="18">
        <f t="shared" si="187"/>
        <v>-1.3919999999999995</v>
      </c>
      <c r="H403">
        <v>5.54</v>
      </c>
      <c r="I403">
        <v>2.79</v>
      </c>
      <c r="J403">
        <f t="shared" si="196"/>
        <v>4.17</v>
      </c>
      <c r="K403" s="6">
        <f t="shared" si="197"/>
        <v>4.38</v>
      </c>
      <c r="L403" s="6">
        <f t="shared" si="198"/>
        <v>-0.10000000000000053</v>
      </c>
      <c r="M403">
        <v>-1.4624981773812</v>
      </c>
      <c r="N403">
        <v>424750</v>
      </c>
      <c r="O403" s="18">
        <f>ROUND(N403/VLOOKUP(EOMONTH(A403,-1),Employment!A:P,16,FALSE),4)</f>
        <v>1.7793000000000001</v>
      </c>
      <c r="P403" s="18">
        <f t="shared" si="188"/>
        <v>1.7912999999999999</v>
      </c>
      <c r="Q403" s="29">
        <f t="shared" si="189"/>
        <v>-0.1464</v>
      </c>
      <c r="R403" s="29">
        <f t="shared" si="190"/>
        <v>-6.1000000000000004E-3</v>
      </c>
      <c r="S403">
        <v>4118000</v>
      </c>
      <c r="T403" s="18">
        <f>ROUND((S403/7)/VLOOKUP(EOMONTH(A403,-1),Employment!A:P,16,FALSE),4)</f>
        <v>2.4643999999999999</v>
      </c>
      <c r="U403" s="18">
        <f t="shared" si="191"/>
        <v>2.4965000000000002</v>
      </c>
      <c r="V403" s="29">
        <f t="shared" si="192"/>
        <v>-0.23749999999999999</v>
      </c>
      <c r="W403" s="29">
        <f t="shared" si="193"/>
        <v>-2.5000000000000001E-3</v>
      </c>
      <c r="X403" s="30">
        <f t="shared" si="194"/>
        <v>104.5</v>
      </c>
      <c r="Y403" s="31">
        <f t="shared" si="195"/>
        <v>105.45</v>
      </c>
    </row>
    <row r="404" spans="1:25" ht="15" customHeight="1" x14ac:dyDescent="0.25">
      <c r="A404" s="5">
        <v>40517</v>
      </c>
      <c r="B404">
        <v>1186.6652999999999</v>
      </c>
      <c r="C404" s="29">
        <f t="shared" si="199"/>
        <v>-4.0000000000000002E-4</v>
      </c>
      <c r="D404">
        <v>-0.37</v>
      </c>
      <c r="E404">
        <v>-0.72199999999999998</v>
      </c>
      <c r="F404" s="18">
        <f t="shared" si="186"/>
        <v>0</v>
      </c>
      <c r="G404" s="18">
        <f t="shared" si="187"/>
        <v>-1.0400000000000009</v>
      </c>
      <c r="H404">
        <v>5.92</v>
      </c>
      <c r="I404">
        <v>3.02</v>
      </c>
      <c r="J404">
        <f t="shared" si="196"/>
        <v>4.47</v>
      </c>
      <c r="K404" s="6">
        <f t="shared" si="197"/>
        <v>4.4800000000000004</v>
      </c>
      <c r="L404" s="6">
        <f t="shared" si="198"/>
        <v>-9.9999999999997868E-3</v>
      </c>
      <c r="M404">
        <v>-2.3516846468215</v>
      </c>
      <c r="N404">
        <v>426250</v>
      </c>
      <c r="O404" s="18">
        <f>ROUND(N404/VLOOKUP(EOMONTH(A404,-1),Employment!A:P,16,FALSE),4)</f>
        <v>1.7856000000000001</v>
      </c>
      <c r="P404" s="18">
        <f t="shared" si="188"/>
        <v>1.8099000000000001</v>
      </c>
      <c r="Q404" s="29">
        <f t="shared" si="189"/>
        <v>-0.15340000000000001</v>
      </c>
      <c r="R404" s="29">
        <f t="shared" si="190"/>
        <v>-1.2999999999999999E-3</v>
      </c>
      <c r="S404">
        <v>4218000</v>
      </c>
      <c r="T404" s="18">
        <f>ROUND((S404/7)/VLOOKUP(EOMONTH(A404,-1),Employment!A:P,16,FALSE),4)</f>
        <v>2.5242</v>
      </c>
      <c r="U404" s="18">
        <f t="shared" si="191"/>
        <v>2.5274999999999999</v>
      </c>
      <c r="V404" s="29">
        <f t="shared" si="192"/>
        <v>-0.2397</v>
      </c>
      <c r="W404" s="29">
        <f t="shared" si="193"/>
        <v>-3.3E-3</v>
      </c>
      <c r="X404" s="30">
        <f t="shared" si="194"/>
        <v>105.92</v>
      </c>
      <c r="Y404" s="31">
        <f t="shared" si="195"/>
        <v>106.64</v>
      </c>
    </row>
    <row r="405" spans="1:25" ht="15" customHeight="1" x14ac:dyDescent="0.25">
      <c r="A405" s="5">
        <v>40510</v>
      </c>
      <c r="B405">
        <v>1186.6207999999999</v>
      </c>
      <c r="C405" s="29">
        <f t="shared" si="199"/>
        <v>-2.0000000000000001E-4</v>
      </c>
      <c r="D405">
        <v>-0.39</v>
      </c>
      <c r="E405">
        <v>-0.69699999999999995</v>
      </c>
      <c r="F405" s="18">
        <f t="shared" si="186"/>
        <v>-0.9480000000000004</v>
      </c>
      <c r="G405" s="18">
        <f t="shared" si="187"/>
        <v>-0.79200000000000159</v>
      </c>
      <c r="H405">
        <v>5.94</v>
      </c>
      <c r="I405">
        <v>3.07</v>
      </c>
      <c r="J405">
        <f t="shared" si="196"/>
        <v>4.51</v>
      </c>
      <c r="K405" s="6">
        <f t="shared" si="197"/>
        <v>4.49</v>
      </c>
      <c r="L405" s="6">
        <f t="shared" si="198"/>
        <v>-9.9999999999997868E-3</v>
      </c>
      <c r="M405">
        <v>-3.2568534563970002</v>
      </c>
      <c r="N405">
        <v>431500</v>
      </c>
      <c r="O405" s="18">
        <f>ROUND(N405/VLOOKUP(EOMONTH(A405,-1),Employment!A:P,16,FALSE),4)</f>
        <v>1.8089999999999999</v>
      </c>
      <c r="P405" s="18">
        <f t="shared" si="188"/>
        <v>1.8307</v>
      </c>
      <c r="Q405" s="29">
        <f t="shared" si="189"/>
        <v>-0.1603</v>
      </c>
      <c r="R405" s="29">
        <f t="shared" si="190"/>
        <v>1.4E-3</v>
      </c>
      <c r="S405">
        <v>4176000</v>
      </c>
      <c r="T405" s="18">
        <f>ROUND((S405/7)/VLOOKUP(EOMONTH(A405,-1),Employment!A:P,16,FALSE),4)</f>
        <v>2.5009999999999999</v>
      </c>
      <c r="U405" s="18">
        <f t="shared" si="191"/>
        <v>2.5501</v>
      </c>
      <c r="V405" s="29">
        <f t="shared" si="192"/>
        <v>-0.24049999999999999</v>
      </c>
      <c r="W405" s="29">
        <f t="shared" si="193"/>
        <v>-4.7000000000000002E-3</v>
      </c>
      <c r="X405" s="30">
        <f t="shared" si="194"/>
        <v>106.66</v>
      </c>
      <c r="Y405" s="31">
        <f t="shared" si="195"/>
        <v>107.07</v>
      </c>
    </row>
    <row r="406" spans="1:25" ht="15" customHeight="1" x14ac:dyDescent="0.25">
      <c r="A406" s="5">
        <v>40503</v>
      </c>
      <c r="B406">
        <v>1187.3726999999999</v>
      </c>
      <c r="C406" s="29">
        <f t="shared" si="199"/>
        <v>1.6999999999999999E-3</v>
      </c>
      <c r="D406">
        <v>-0.4</v>
      </c>
      <c r="E406">
        <v>-0.80300000000000005</v>
      </c>
      <c r="F406" s="18">
        <f t="shared" si="186"/>
        <v>-9.2000000000000526E-2</v>
      </c>
      <c r="G406" s="18">
        <f t="shared" si="187"/>
        <v>-1.9999999999999574E-2</v>
      </c>
      <c r="H406">
        <v>5.81</v>
      </c>
      <c r="I406">
        <v>3.11</v>
      </c>
      <c r="J406">
        <f t="shared" si="196"/>
        <v>4.46</v>
      </c>
      <c r="K406" s="6">
        <f t="shared" si="197"/>
        <v>4.5</v>
      </c>
      <c r="L406" s="6">
        <f t="shared" si="198"/>
        <v>-9.9999999999997868E-3</v>
      </c>
      <c r="M406">
        <v>-4.5114785128815997</v>
      </c>
      <c r="N406">
        <v>437750</v>
      </c>
      <c r="O406" s="18">
        <f>ROUND(N406/VLOOKUP(EOMONTH(A406,-1),Employment!A:P,16,FALSE),4)</f>
        <v>1.8351999999999999</v>
      </c>
      <c r="P406" s="18">
        <f t="shared" si="188"/>
        <v>1.8523000000000001</v>
      </c>
      <c r="Q406" s="29">
        <f t="shared" si="189"/>
        <v>-0.16009999999999999</v>
      </c>
      <c r="R406" s="29">
        <f t="shared" si="190"/>
        <v>8.9999999999999998E-4</v>
      </c>
      <c r="S406">
        <v>4270000</v>
      </c>
      <c r="T406" s="18">
        <f>ROUND((S406/7)/VLOOKUP(EOMONTH(A406,-1),Employment!A:P,16,FALSE),4)</f>
        <v>2.5573000000000001</v>
      </c>
      <c r="U406" s="18">
        <f t="shared" si="191"/>
        <v>2.5811000000000002</v>
      </c>
      <c r="V406" s="29">
        <f t="shared" si="192"/>
        <v>-0.24229999999999999</v>
      </c>
      <c r="W406" s="29">
        <f t="shared" si="193"/>
        <v>-5.3E-3</v>
      </c>
      <c r="X406" s="30">
        <f t="shared" si="194"/>
        <v>108.41</v>
      </c>
      <c r="Y406" s="31">
        <f t="shared" si="195"/>
        <v>105.99</v>
      </c>
    </row>
    <row r="407" spans="1:25" ht="15" customHeight="1" x14ac:dyDescent="0.25">
      <c r="A407" s="5">
        <v>40496</v>
      </c>
      <c r="B407">
        <v>1186.3166000000001</v>
      </c>
      <c r="C407" s="29">
        <f t="shared" si="199"/>
        <v>1.5E-3</v>
      </c>
      <c r="D407">
        <v>-0.41</v>
      </c>
      <c r="E407">
        <v>-0.80200000000000005</v>
      </c>
      <c r="F407" s="18">
        <f t="shared" si="186"/>
        <v>0.24799999999999933</v>
      </c>
      <c r="G407" s="18">
        <f t="shared" si="187"/>
        <v>-0.19199999999999839</v>
      </c>
      <c r="H407">
        <v>5.75</v>
      </c>
      <c r="I407">
        <v>3.24</v>
      </c>
      <c r="J407">
        <f t="shared" si="196"/>
        <v>4.5</v>
      </c>
      <c r="K407" s="6">
        <f t="shared" si="197"/>
        <v>4.51</v>
      </c>
      <c r="L407" s="6">
        <f t="shared" si="198"/>
        <v>-2.0000000000000462E-2</v>
      </c>
      <c r="M407">
        <v>-5.3873133478178001</v>
      </c>
      <c r="N407">
        <v>440750</v>
      </c>
      <c r="O407" s="18">
        <f>ROUND(N407/VLOOKUP(EOMONTH(A407,-1),Employment!A:P,16,FALSE),4)</f>
        <v>1.8478000000000001</v>
      </c>
      <c r="P407" s="18">
        <f t="shared" si="188"/>
        <v>1.8633999999999999</v>
      </c>
      <c r="Q407" s="29">
        <f t="shared" si="189"/>
        <v>-0.15959999999999999</v>
      </c>
      <c r="R407" s="29">
        <f t="shared" si="190"/>
        <v>-2.2000000000000001E-3</v>
      </c>
      <c r="S407">
        <v>4328000</v>
      </c>
      <c r="T407" s="18">
        <f>ROUND((S407/7)/VLOOKUP(EOMONTH(A407,-1),Employment!A:P,16,FALSE),4)</f>
        <v>2.5920999999999998</v>
      </c>
      <c r="U407" s="18">
        <f t="shared" si="191"/>
        <v>2.5973999999999999</v>
      </c>
      <c r="V407" s="29">
        <f t="shared" si="192"/>
        <v>-0.24540000000000001</v>
      </c>
      <c r="W407" s="29">
        <f t="shared" si="193"/>
        <v>-5.0000000000000001E-3</v>
      </c>
      <c r="X407" s="30">
        <f t="shared" si="194"/>
        <v>104.73</v>
      </c>
      <c r="Y407" s="31">
        <f t="shared" si="195"/>
        <v>103.54</v>
      </c>
    </row>
    <row r="408" spans="1:25" ht="15" customHeight="1" x14ac:dyDescent="0.25">
      <c r="A408" s="5">
        <v>40489</v>
      </c>
      <c r="B408">
        <v>1188.0214000000001</v>
      </c>
      <c r="C408" s="29">
        <f t="shared" si="199"/>
        <v>3.5999999999999999E-3</v>
      </c>
      <c r="D408">
        <v>-0.41</v>
      </c>
      <c r="E408">
        <v>-0.77100000000000002</v>
      </c>
      <c r="F408" s="18">
        <f t="shared" si="186"/>
        <v>-0.17599999999999838</v>
      </c>
      <c r="G408" s="18">
        <f t="shared" si="187"/>
        <v>0.36400000000000077</v>
      </c>
      <c r="H408">
        <v>5.79</v>
      </c>
      <c r="I408">
        <v>3.27</v>
      </c>
      <c r="J408">
        <f t="shared" si="196"/>
        <v>4.53</v>
      </c>
      <c r="K408" s="6">
        <f t="shared" si="197"/>
        <v>4.53</v>
      </c>
      <c r="L408" s="6">
        <f t="shared" si="198"/>
        <v>-2.9999999999999361E-2</v>
      </c>
      <c r="M408">
        <v>-6.2556252932470997</v>
      </c>
      <c r="N408">
        <v>447000</v>
      </c>
      <c r="O408" s="18">
        <f>ROUND(N408/VLOOKUP(EOMONTH(A408,-1),Employment!A:P,16,FALSE),4)</f>
        <v>1.8740000000000001</v>
      </c>
      <c r="P408" s="18">
        <f t="shared" si="188"/>
        <v>1.8795999999999999</v>
      </c>
      <c r="Q408" s="29">
        <f t="shared" si="189"/>
        <v>-0.15709999999999999</v>
      </c>
      <c r="R408" s="29">
        <f t="shared" si="190"/>
        <v>-6.7999999999999996E-3</v>
      </c>
      <c r="S408">
        <v>4331000</v>
      </c>
      <c r="T408" s="18">
        <f>ROUND((S408/7)/VLOOKUP(EOMONTH(A408,-1),Employment!A:P,16,FALSE),4)</f>
        <v>2.5939000000000001</v>
      </c>
      <c r="U408" s="18">
        <f t="shared" si="191"/>
        <v>2.6132</v>
      </c>
      <c r="V408" s="29">
        <f t="shared" si="192"/>
        <v>-0.249</v>
      </c>
      <c r="W408" s="29">
        <f t="shared" si="193"/>
        <v>-3.5999999999999999E-3</v>
      </c>
      <c r="X408" s="30">
        <f t="shared" si="194"/>
        <v>103.07</v>
      </c>
      <c r="Y408" s="31">
        <f t="shared" si="195"/>
        <v>102.31</v>
      </c>
    </row>
    <row r="409" spans="1:25" ht="15" customHeight="1" x14ac:dyDescent="0.25">
      <c r="A409" s="5">
        <v>40482</v>
      </c>
      <c r="B409">
        <v>1185.58</v>
      </c>
      <c r="C409" s="29">
        <f t="shared" si="199"/>
        <v>2E-3</v>
      </c>
      <c r="D409">
        <v>-0.41</v>
      </c>
      <c r="E409">
        <v>-0.79300000000000004</v>
      </c>
      <c r="F409" s="18">
        <f t="shared" si="186"/>
        <v>-0.26399999999999935</v>
      </c>
      <c r="G409" s="18">
        <f t="shared" si="187"/>
        <v>0.80399999999999849</v>
      </c>
      <c r="H409">
        <v>5.82</v>
      </c>
      <c r="I409">
        <v>3.15</v>
      </c>
      <c r="J409">
        <f t="shared" si="196"/>
        <v>4.49</v>
      </c>
      <c r="K409" s="6">
        <f t="shared" si="197"/>
        <v>4.5599999999999996</v>
      </c>
      <c r="L409" s="6">
        <f t="shared" si="198"/>
        <v>-6.0000000000000497E-2</v>
      </c>
      <c r="M409">
        <v>-6.3331339439118004</v>
      </c>
      <c r="N409">
        <v>445250</v>
      </c>
      <c r="O409" s="18">
        <f>ROUND(N409/VLOOKUP(EOMONTH(A409,-1),Employment!A:P,16,FALSE),4)</f>
        <v>1.8683000000000001</v>
      </c>
      <c r="P409" s="18">
        <f t="shared" si="188"/>
        <v>1.8924000000000001</v>
      </c>
      <c r="Q409" s="29">
        <f t="shared" si="189"/>
        <v>-0.157</v>
      </c>
      <c r="R409" s="29">
        <f t="shared" si="190"/>
        <v>-9.7000000000000003E-3</v>
      </c>
      <c r="S409">
        <v>4348000</v>
      </c>
      <c r="T409" s="18">
        <f>ROUND((S409/7)/VLOOKUP(EOMONTH(A409,-1),Employment!A:P,16,FALSE),4)</f>
        <v>2.6063000000000001</v>
      </c>
      <c r="U409" s="18">
        <f t="shared" si="191"/>
        <v>2.6291000000000002</v>
      </c>
      <c r="V409" s="29">
        <f t="shared" si="192"/>
        <v>-0.25309999999999999</v>
      </c>
      <c r="W409" s="29">
        <f t="shared" si="193"/>
        <v>-2.5999999999999999E-3</v>
      </c>
      <c r="X409" s="30">
        <f t="shared" si="194"/>
        <v>101.73</v>
      </c>
      <c r="Y409" s="31">
        <f t="shared" si="195"/>
        <v>102.17</v>
      </c>
    </row>
    <row r="410" spans="1:25" ht="15" customHeight="1" x14ac:dyDescent="0.25">
      <c r="A410" s="5">
        <v>40475</v>
      </c>
      <c r="B410">
        <v>1181.6966</v>
      </c>
      <c r="C410" s="29">
        <f t="shared" si="199"/>
        <v>-2.3999999999999998E-3</v>
      </c>
      <c r="D410">
        <v>-0.41</v>
      </c>
      <c r="E410">
        <v>-0.82599999999999996</v>
      </c>
      <c r="F410" s="18">
        <f t="shared" si="186"/>
        <v>0.80399999999999849</v>
      </c>
      <c r="G410" s="18">
        <f t="shared" si="187"/>
        <v>1.6519999999999975</v>
      </c>
      <c r="H410">
        <v>5.96</v>
      </c>
      <c r="I410">
        <v>3.18</v>
      </c>
      <c r="J410">
        <f t="shared" si="196"/>
        <v>4.57</v>
      </c>
      <c r="K410" s="6">
        <f t="shared" si="197"/>
        <v>4.62</v>
      </c>
      <c r="L410" s="6">
        <f t="shared" si="198"/>
        <v>-1.9999999999999574E-2</v>
      </c>
      <c r="M410">
        <v>-6.7664776357059999</v>
      </c>
      <c r="N410">
        <v>452000</v>
      </c>
      <c r="O410" s="18">
        <f>ROUND(N410/VLOOKUP(EOMONTH(A410,-1),Employment!A:P,16,FALSE),4)</f>
        <v>1.8966000000000001</v>
      </c>
      <c r="P410" s="18">
        <f t="shared" si="188"/>
        <v>1.9017999999999999</v>
      </c>
      <c r="Q410" s="29">
        <f t="shared" si="189"/>
        <v>-0.161</v>
      </c>
      <c r="R410" s="29">
        <f t="shared" si="190"/>
        <v>-8.6999999999999994E-3</v>
      </c>
      <c r="S410">
        <v>4403000</v>
      </c>
      <c r="T410" s="18">
        <f>ROUND((S410/7)/VLOOKUP(EOMONTH(A410,-1),Employment!A:P,16,FALSE),4)</f>
        <v>2.6393</v>
      </c>
      <c r="U410" s="18">
        <f t="shared" si="191"/>
        <v>2.6457000000000002</v>
      </c>
      <c r="V410" s="29">
        <f t="shared" si="192"/>
        <v>-0.25569999999999998</v>
      </c>
      <c r="W410" s="29">
        <f t="shared" si="193"/>
        <v>-1.4E-3</v>
      </c>
      <c r="X410" s="30">
        <f t="shared" si="194"/>
        <v>101.84</v>
      </c>
      <c r="Y410" s="31">
        <f t="shared" si="195"/>
        <v>104.2</v>
      </c>
    </row>
    <row r="411" spans="1:25" ht="15" customHeight="1" x14ac:dyDescent="0.25">
      <c r="A411" s="5">
        <v>40468</v>
      </c>
      <c r="B411">
        <v>1182.6464000000001</v>
      </c>
      <c r="C411" s="29">
        <f t="shared" si="199"/>
        <v>-2.8999999999999998E-3</v>
      </c>
      <c r="D411">
        <v>-0.4</v>
      </c>
      <c r="E411">
        <v>-0.73799999999999999</v>
      </c>
      <c r="F411" s="18">
        <f t="shared" si="186"/>
        <v>0.26399999999999935</v>
      </c>
      <c r="G411" s="18">
        <f t="shared" si="187"/>
        <v>1.7880000000000003</v>
      </c>
      <c r="H411">
        <v>5.95</v>
      </c>
      <c r="I411">
        <v>3.26</v>
      </c>
      <c r="J411">
        <f t="shared" si="196"/>
        <v>4.6100000000000003</v>
      </c>
      <c r="K411" s="6">
        <f t="shared" si="197"/>
        <v>4.6399999999999997</v>
      </c>
      <c r="L411" s="6">
        <f t="shared" si="198"/>
        <v>-3.0000000000000249E-2</v>
      </c>
      <c r="M411">
        <v>-6.9437072105470001</v>
      </c>
      <c r="N411">
        <v>455750</v>
      </c>
      <c r="O411" s="18">
        <f>ROUND(N411/VLOOKUP(EOMONTH(A411,-1),Employment!A:P,16,FALSE),4)</f>
        <v>1.9123000000000001</v>
      </c>
      <c r="P411" s="18">
        <f t="shared" si="188"/>
        <v>1.9038999999999999</v>
      </c>
      <c r="Q411" s="29">
        <f t="shared" si="189"/>
        <v>-0.16789999999999999</v>
      </c>
      <c r="R411" s="29">
        <f t="shared" si="190"/>
        <v>-3.3E-3</v>
      </c>
      <c r="S411">
        <v>4407000</v>
      </c>
      <c r="T411" s="18">
        <f>ROUND((S411/7)/VLOOKUP(EOMONTH(A411,-1),Employment!A:P,16,FALSE),4)</f>
        <v>2.6417000000000002</v>
      </c>
      <c r="U411" s="18">
        <f t="shared" si="191"/>
        <v>2.6555</v>
      </c>
      <c r="V411" s="29">
        <f t="shared" si="192"/>
        <v>-0.25769999999999998</v>
      </c>
      <c r="W411" s="29">
        <f t="shared" si="193"/>
        <v>-2.0999999999999999E-3</v>
      </c>
      <c r="X411" s="30">
        <f t="shared" si="194"/>
        <v>104.11</v>
      </c>
      <c r="Y411" s="31">
        <f t="shared" si="195"/>
        <v>107.82</v>
      </c>
    </row>
    <row r="412" spans="1:25" ht="15" customHeight="1" x14ac:dyDescent="0.25">
      <c r="A412" s="5">
        <v>40461</v>
      </c>
      <c r="B412">
        <v>1185.1395</v>
      </c>
      <c r="C412" s="29">
        <f t="shared" si="199"/>
        <v>-1.1999999999999999E-3</v>
      </c>
      <c r="D412">
        <v>-0.38</v>
      </c>
      <c r="E412">
        <v>-0.73</v>
      </c>
      <c r="F412" s="18">
        <f t="shared" si="186"/>
        <v>0.58399999999999963</v>
      </c>
      <c r="G412" s="18">
        <f t="shared" si="187"/>
        <v>2.2480000000000002</v>
      </c>
      <c r="H412">
        <v>6.12</v>
      </c>
      <c r="I412">
        <v>3.21</v>
      </c>
      <c r="J412">
        <f t="shared" si="196"/>
        <v>4.67</v>
      </c>
      <c r="K412" s="6">
        <f t="shared" si="197"/>
        <v>4.67</v>
      </c>
      <c r="L412" s="6">
        <f t="shared" si="198"/>
        <v>9.9999999999997868E-3</v>
      </c>
      <c r="M412">
        <v>-7.0245857135434999</v>
      </c>
      <c r="N412">
        <v>452000</v>
      </c>
      <c r="O412" s="18">
        <f>ROUND(N412/VLOOKUP(EOMONTH(A412,-1),Employment!A:P,16,FALSE),4)</f>
        <v>1.8966000000000001</v>
      </c>
      <c r="P412" s="18">
        <f t="shared" si="188"/>
        <v>1.9041999999999999</v>
      </c>
      <c r="Q412" s="29">
        <f t="shared" si="189"/>
        <v>-0.17649999999999999</v>
      </c>
      <c r="R412" s="29">
        <f t="shared" si="190"/>
        <v>4.4000000000000003E-3</v>
      </c>
      <c r="S412">
        <v>4431000</v>
      </c>
      <c r="T412" s="18">
        <f>ROUND((S412/7)/VLOOKUP(EOMONTH(A412,-1),Employment!A:P,16,FALSE),4)</f>
        <v>2.6560999999999999</v>
      </c>
      <c r="U412" s="18">
        <f t="shared" si="191"/>
        <v>2.6722999999999999</v>
      </c>
      <c r="V412" s="29">
        <f t="shared" si="192"/>
        <v>-0.25769999999999998</v>
      </c>
      <c r="W412" s="29">
        <f t="shared" si="193"/>
        <v>-2.0999999999999999E-3</v>
      </c>
      <c r="X412" s="30">
        <f t="shared" si="194"/>
        <v>110.3</v>
      </c>
      <c r="Y412" s="31">
        <f t="shared" si="195"/>
        <v>110.15</v>
      </c>
    </row>
    <row r="413" spans="1:25" ht="15" customHeight="1" x14ac:dyDescent="0.25">
      <c r="A413" s="5">
        <v>40454</v>
      </c>
      <c r="B413">
        <v>1183.5026</v>
      </c>
      <c r="C413" s="29">
        <f t="shared" si="199"/>
        <v>-3.3E-3</v>
      </c>
      <c r="D413">
        <v>-0.36</v>
      </c>
      <c r="E413">
        <v>-0.68200000000000005</v>
      </c>
      <c r="F413" s="18">
        <f t="shared" si="186"/>
        <v>0.94000000000000128</v>
      </c>
      <c r="G413" s="18">
        <f t="shared" si="187"/>
        <v>2.3640000000000008</v>
      </c>
      <c r="H413">
        <v>6.22</v>
      </c>
      <c r="I413">
        <v>3.07</v>
      </c>
      <c r="J413">
        <f t="shared" si="196"/>
        <v>4.6500000000000004</v>
      </c>
      <c r="K413" s="6">
        <f t="shared" si="197"/>
        <v>4.66</v>
      </c>
      <c r="L413" s="6">
        <f t="shared" si="198"/>
        <v>0</v>
      </c>
      <c r="M413">
        <v>-7.8097298768418</v>
      </c>
      <c r="N413">
        <v>453500</v>
      </c>
      <c r="O413" s="18">
        <f>ROUND(N413/VLOOKUP(EOMONTH(A413,-1),Employment!A:P,16,FALSE),4)</f>
        <v>1.9029</v>
      </c>
      <c r="P413" s="18">
        <f t="shared" si="188"/>
        <v>1.9114</v>
      </c>
      <c r="Q413" s="29">
        <f t="shared" si="189"/>
        <v>-0.18099999999999999</v>
      </c>
      <c r="R413" s="29">
        <f t="shared" si="190"/>
        <v>9.5999999999999992E-3</v>
      </c>
      <c r="S413">
        <v>4452000</v>
      </c>
      <c r="T413" s="18">
        <f>ROUND((S413/7)/VLOOKUP(EOMONTH(A413,-1),Employment!A:P,16,FALSE),4)</f>
        <v>2.6686999999999999</v>
      </c>
      <c r="U413" s="18">
        <f t="shared" si="191"/>
        <v>2.6871999999999998</v>
      </c>
      <c r="V413" s="29">
        <f t="shared" si="192"/>
        <v>-0.26069999999999999</v>
      </c>
      <c r="W413" s="29">
        <f t="shared" si="193"/>
        <v>-4.4000000000000003E-3</v>
      </c>
      <c r="X413" s="30">
        <f t="shared" si="194"/>
        <v>110.92</v>
      </c>
      <c r="Y413" s="31">
        <f t="shared" si="195"/>
        <v>107.59</v>
      </c>
    </row>
    <row r="414" spans="1:25" ht="15" customHeight="1" x14ac:dyDescent="0.25">
      <c r="A414" s="5">
        <v>40447</v>
      </c>
      <c r="B414">
        <v>1187.0486000000001</v>
      </c>
      <c r="C414" s="29">
        <f t="shared" si="199"/>
        <v>-2.9999999999999997E-4</v>
      </c>
      <c r="D414">
        <v>-0.33</v>
      </c>
      <c r="E414">
        <v>-0.60199999999999998</v>
      </c>
      <c r="F414" s="18">
        <f t="shared" si="186"/>
        <v>0.72399999999999931</v>
      </c>
      <c r="G414" s="18">
        <f t="shared" si="187"/>
        <v>1.6039999999999992</v>
      </c>
      <c r="H414">
        <v>6.32</v>
      </c>
      <c r="I414">
        <v>3.05</v>
      </c>
      <c r="J414">
        <f t="shared" si="196"/>
        <v>4.6900000000000004</v>
      </c>
      <c r="K414" s="6">
        <f t="shared" si="197"/>
        <v>4.66</v>
      </c>
      <c r="L414" s="6">
        <f t="shared" si="198"/>
        <v>-4.0000000000000036E-2</v>
      </c>
      <c r="M414">
        <v>-8.5816851577380007</v>
      </c>
      <c r="N414">
        <v>455500</v>
      </c>
      <c r="O414" s="18">
        <f>ROUND(N414/VLOOKUP(EOMONTH(A414,-1),Employment!A:P,16,FALSE),4)</f>
        <v>1.9131</v>
      </c>
      <c r="P414" s="18">
        <f t="shared" si="188"/>
        <v>1.9313</v>
      </c>
      <c r="Q414" s="29">
        <f t="shared" si="189"/>
        <v>-0.1794</v>
      </c>
      <c r="R414" s="29">
        <f t="shared" si="190"/>
        <v>9.4999999999999998E-3</v>
      </c>
      <c r="S414">
        <v>4487000</v>
      </c>
      <c r="T414" s="18">
        <f>ROUND((S414/7)/VLOOKUP(EOMONTH(A414,-1),Employment!A:P,16,FALSE),4)</f>
        <v>2.6922000000000001</v>
      </c>
      <c r="U414" s="18">
        <f t="shared" si="191"/>
        <v>2.6993999999999998</v>
      </c>
      <c r="V414" s="29">
        <f t="shared" si="192"/>
        <v>-0.25879999999999997</v>
      </c>
      <c r="W414" s="29">
        <f t="shared" si="193"/>
        <v>-4.7999999999999996E-3</v>
      </c>
      <c r="X414" s="30">
        <f t="shared" si="194"/>
        <v>107.87</v>
      </c>
      <c r="Y414" s="31">
        <f t="shared" si="195"/>
        <v>100.4</v>
      </c>
    </row>
    <row r="415" spans="1:25" ht="15" customHeight="1" x14ac:dyDescent="0.25">
      <c r="A415" s="5">
        <v>40440</v>
      </c>
      <c r="B415">
        <v>1188.8530000000001</v>
      </c>
      <c r="C415" s="29">
        <f t="shared" si="199"/>
        <v>8.9999999999999998E-4</v>
      </c>
      <c r="D415">
        <v>-0.3</v>
      </c>
      <c r="E415">
        <v>-0.54900000000000004</v>
      </c>
      <c r="F415" s="18">
        <f t="shared" si="186"/>
        <v>0.70000000000000018</v>
      </c>
      <c r="G415" s="18">
        <f t="shared" si="187"/>
        <v>0.50800000000000001</v>
      </c>
      <c r="H415">
        <v>6.24</v>
      </c>
      <c r="I415">
        <v>3.03</v>
      </c>
      <c r="J415">
        <f t="shared" si="196"/>
        <v>4.6399999999999997</v>
      </c>
      <c r="K415" s="6">
        <f t="shared" si="197"/>
        <v>4.7</v>
      </c>
      <c r="L415" s="6">
        <f t="shared" si="198"/>
        <v>-8.0000000000000071E-2</v>
      </c>
      <c r="M415">
        <v>-9.1344870462030006</v>
      </c>
      <c r="N415">
        <v>456750</v>
      </c>
      <c r="O415" s="18">
        <f>ROUND(N415/VLOOKUP(EOMONTH(A415,-1),Employment!A:P,16,FALSE),4)</f>
        <v>1.9182999999999999</v>
      </c>
      <c r="P415" s="18">
        <f t="shared" si="188"/>
        <v>1.9585999999999999</v>
      </c>
      <c r="Q415" s="29">
        <f t="shared" si="189"/>
        <v>-0.1729</v>
      </c>
      <c r="R415" s="29">
        <f t="shared" si="190"/>
        <v>1.8E-3</v>
      </c>
      <c r="S415">
        <v>4501000</v>
      </c>
      <c r="T415" s="18">
        <f>ROUND((S415/7)/VLOOKUP(EOMONTH(A415,-1),Employment!A:P,16,FALSE),4)</f>
        <v>2.7006000000000001</v>
      </c>
      <c r="U415" s="18">
        <f t="shared" si="191"/>
        <v>2.6871999999999998</v>
      </c>
      <c r="V415" s="29">
        <f t="shared" si="192"/>
        <v>-0.26429999999999998</v>
      </c>
      <c r="W415" s="29">
        <f t="shared" si="193"/>
        <v>-4.3E-3</v>
      </c>
      <c r="X415" s="30">
        <f t="shared" si="194"/>
        <v>98.58</v>
      </c>
      <c r="Y415" s="31">
        <f t="shared" si="195"/>
        <v>90.28</v>
      </c>
    </row>
    <row r="416" spans="1:25" ht="15" customHeight="1" x14ac:dyDescent="0.25">
      <c r="A416" s="5">
        <v>40433</v>
      </c>
      <c r="B416">
        <v>1186.9290000000001</v>
      </c>
      <c r="C416" s="29">
        <f t="shared" si="199"/>
        <v>-1E-3</v>
      </c>
      <c r="D416">
        <v>-0.27</v>
      </c>
      <c r="E416">
        <v>-0.499</v>
      </c>
      <c r="F416" s="18">
        <f t="shared" si="186"/>
        <v>0.17999999999999972</v>
      </c>
      <c r="G416" s="18">
        <f t="shared" si="187"/>
        <v>-0.34400000000000031</v>
      </c>
      <c r="H416">
        <v>6.37</v>
      </c>
      <c r="I416">
        <v>2.94</v>
      </c>
      <c r="J416">
        <f t="shared" si="196"/>
        <v>4.66</v>
      </c>
      <c r="K416" s="6">
        <f t="shared" si="197"/>
        <v>4.78</v>
      </c>
      <c r="L416" s="6">
        <f t="shared" si="198"/>
        <v>-6.9999999999999396E-2</v>
      </c>
      <c r="M416">
        <v>-9.8763919665003002</v>
      </c>
      <c r="N416">
        <v>467250</v>
      </c>
      <c r="O416" s="18">
        <f>ROUND(N416/VLOOKUP(EOMONTH(A416,-1),Employment!A:P,16,FALSE),4)</f>
        <v>1.9623999999999999</v>
      </c>
      <c r="P416" s="18">
        <f t="shared" si="188"/>
        <v>1.9879</v>
      </c>
      <c r="Q416" s="29">
        <f t="shared" si="189"/>
        <v>-0.1618</v>
      </c>
      <c r="R416" s="29">
        <f t="shared" si="190"/>
        <v>-8.6999999999999994E-3</v>
      </c>
      <c r="S416">
        <v>4509000</v>
      </c>
      <c r="T416" s="18">
        <f>ROUND((S416/7)/VLOOKUP(EOMONTH(A416,-1),Employment!A:P,16,FALSE),4)</f>
        <v>2.7054</v>
      </c>
      <c r="U416" s="18">
        <f t="shared" si="191"/>
        <v>2.6741999999999999</v>
      </c>
      <c r="V416" s="29">
        <f t="shared" si="192"/>
        <v>-0.26519999999999999</v>
      </c>
      <c r="W416" s="29">
        <f t="shared" si="193"/>
        <v>-1.6000000000000001E-3</v>
      </c>
      <c r="X416" s="30">
        <f t="shared" si="194"/>
        <v>86.25</v>
      </c>
      <c r="Y416" s="31">
        <f t="shared" si="195"/>
        <v>82.68</v>
      </c>
    </row>
    <row r="417" spans="1:25" ht="15" customHeight="1" x14ac:dyDescent="0.25">
      <c r="A417" s="5">
        <v>40426</v>
      </c>
      <c r="B417">
        <v>1186.6310000000001</v>
      </c>
      <c r="C417" s="29">
        <f t="shared" si="199"/>
        <v>-2E-3</v>
      </c>
      <c r="D417">
        <v>-0.26</v>
      </c>
      <c r="E417">
        <v>-0.48899999999999999</v>
      </c>
      <c r="F417" s="18">
        <f t="shared" si="186"/>
        <v>-0.37199999999999989</v>
      </c>
      <c r="G417" s="18">
        <f t="shared" si="187"/>
        <v>-0.59600000000000009</v>
      </c>
      <c r="H417">
        <v>6.62</v>
      </c>
      <c r="I417">
        <v>2.97</v>
      </c>
      <c r="J417">
        <f t="shared" si="196"/>
        <v>4.8</v>
      </c>
      <c r="K417" s="6">
        <f t="shared" si="197"/>
        <v>4.8499999999999996</v>
      </c>
      <c r="L417" s="6">
        <f t="shared" si="198"/>
        <v>-5.0000000000000711E-2</v>
      </c>
      <c r="M417">
        <v>-9.9546999039190993</v>
      </c>
      <c r="N417">
        <v>475000</v>
      </c>
      <c r="O417" s="18">
        <f>ROUND(N417/VLOOKUP(EOMONTH(A417,-1),Employment!A:P,16,FALSE),4)</f>
        <v>1.9950000000000001</v>
      </c>
      <c r="P417" s="18">
        <f t="shared" si="188"/>
        <v>2.0028000000000001</v>
      </c>
      <c r="Q417" s="29">
        <f t="shared" si="189"/>
        <v>-0.15770000000000001</v>
      </c>
      <c r="R417" s="29">
        <f t="shared" si="190"/>
        <v>-1.6299999999999999E-2</v>
      </c>
      <c r="S417">
        <v>4426000</v>
      </c>
      <c r="T417" s="18">
        <f>ROUND((S417/7)/VLOOKUP(EOMONTH(A417,-1),Employment!A:P,16,FALSE),4)</f>
        <v>2.6556000000000002</v>
      </c>
      <c r="U417" s="18">
        <f t="shared" si="191"/>
        <v>2.6686999999999999</v>
      </c>
      <c r="V417" s="29">
        <f t="shared" si="192"/>
        <v>-0.27179999999999999</v>
      </c>
      <c r="W417" s="29">
        <f t="shared" si="193"/>
        <v>5.9999999999999995E-4</v>
      </c>
      <c r="X417" s="30">
        <f t="shared" si="194"/>
        <v>79.59</v>
      </c>
      <c r="Y417" s="31">
        <f t="shared" si="195"/>
        <v>81.58</v>
      </c>
    </row>
    <row r="418" spans="1:25" ht="15" customHeight="1" x14ac:dyDescent="0.25">
      <c r="A418" s="5">
        <v>40419</v>
      </c>
      <c r="B418">
        <v>1187.2950000000001</v>
      </c>
      <c r="C418" s="29">
        <f t="shared" si="199"/>
        <v>-1.5E-3</v>
      </c>
      <c r="D418">
        <v>-0.27</v>
      </c>
      <c r="E418">
        <v>-0.52300000000000002</v>
      </c>
      <c r="F418" s="18">
        <f t="shared" si="186"/>
        <v>-0.15200000000000014</v>
      </c>
      <c r="G418" s="18">
        <f t="shared" si="187"/>
        <v>0.48000000000000043</v>
      </c>
      <c r="H418">
        <v>6.81</v>
      </c>
      <c r="I418">
        <v>2.96</v>
      </c>
      <c r="J418">
        <f t="shared" si="196"/>
        <v>4.8899999999999997</v>
      </c>
      <c r="K418" s="6">
        <f t="shared" si="197"/>
        <v>4.9000000000000004</v>
      </c>
      <c r="L418" s="6">
        <f t="shared" si="198"/>
        <v>4.0000000000000036E-2</v>
      </c>
      <c r="M418">
        <v>-9.7600072976694996</v>
      </c>
      <c r="N418">
        <v>477250</v>
      </c>
      <c r="O418" s="18">
        <f>ROUND(N418/VLOOKUP(EOMONTH(A418,-1),Employment!A:P,16,FALSE),4)</f>
        <v>2.0062000000000002</v>
      </c>
      <c r="P418" s="18">
        <f t="shared" si="188"/>
        <v>1.9984999999999999</v>
      </c>
      <c r="Q418" s="29">
        <f t="shared" si="189"/>
        <v>-0.16170000000000001</v>
      </c>
      <c r="R418" s="29">
        <f t="shared" si="190"/>
        <v>-1.9300000000000001E-2</v>
      </c>
      <c r="S418">
        <v>4432000</v>
      </c>
      <c r="T418" s="18">
        <f>ROUND((S418/7)/VLOOKUP(EOMONTH(A418,-1),Employment!A:P,16,FALSE),4)</f>
        <v>2.6615000000000002</v>
      </c>
      <c r="U418" s="18">
        <f t="shared" si="191"/>
        <v>2.6777000000000002</v>
      </c>
      <c r="V418" s="29">
        <f t="shared" si="192"/>
        <v>-0.27160000000000001</v>
      </c>
      <c r="W418" s="29">
        <f t="shared" si="193"/>
        <v>2.3E-3</v>
      </c>
      <c r="X418" s="30">
        <f t="shared" si="194"/>
        <v>81.47</v>
      </c>
      <c r="Y418" s="31">
        <f t="shared" si="195"/>
        <v>84.89</v>
      </c>
    </row>
    <row r="419" spans="1:25" ht="15" customHeight="1" x14ac:dyDescent="0.25">
      <c r="A419" s="5">
        <v>40412</v>
      </c>
      <c r="B419">
        <v>1190.4803999999999</v>
      </c>
      <c r="C419" s="29">
        <f t="shared" si="199"/>
        <v>1.6999999999999999E-3</v>
      </c>
      <c r="D419">
        <v>-0.27</v>
      </c>
      <c r="E419">
        <v>-0.54200000000000004</v>
      </c>
      <c r="F419" s="18">
        <f t="shared" si="186"/>
        <v>-7.2000000000000064E-2</v>
      </c>
      <c r="G419" s="18">
        <f t="shared" si="187"/>
        <v>1.492</v>
      </c>
      <c r="H419">
        <v>6.8</v>
      </c>
      <c r="I419">
        <v>2.9</v>
      </c>
      <c r="J419">
        <f t="shared" si="196"/>
        <v>4.8499999999999996</v>
      </c>
      <c r="K419" s="6">
        <f t="shared" si="197"/>
        <v>4.8600000000000003</v>
      </c>
      <c r="L419" s="6">
        <f t="shared" si="198"/>
        <v>4.0000000000000036E-2</v>
      </c>
      <c r="M419">
        <v>-10.032994531036</v>
      </c>
      <c r="N419">
        <v>477500</v>
      </c>
      <c r="O419" s="18">
        <f>ROUND(N419/VLOOKUP(EOMONTH(A419,-1),Employment!A:P,16,FALSE),4)</f>
        <v>2.0072000000000001</v>
      </c>
      <c r="P419" s="18">
        <f t="shared" si="188"/>
        <v>1.9750000000000001</v>
      </c>
      <c r="Q419" s="29">
        <f t="shared" si="189"/>
        <v>-0.17349999999999999</v>
      </c>
      <c r="R419" s="29">
        <f t="shared" si="190"/>
        <v>-1.8499999999999999E-2</v>
      </c>
      <c r="S419">
        <v>4478000</v>
      </c>
      <c r="T419" s="18">
        <f>ROUND((S419/7)/VLOOKUP(EOMONTH(A419,-1),Employment!A:P,16,FALSE),4)</f>
        <v>2.6890999999999998</v>
      </c>
      <c r="U419" s="18">
        <f t="shared" si="191"/>
        <v>2.6970999999999998</v>
      </c>
      <c r="V419" s="29">
        <f t="shared" si="192"/>
        <v>-0.27229999999999999</v>
      </c>
      <c r="W419" s="29">
        <f t="shared" si="193"/>
        <v>-1.6999999999999999E-3</v>
      </c>
      <c r="X419" s="30">
        <f t="shared" si="194"/>
        <v>86.83</v>
      </c>
      <c r="Y419" s="31">
        <f t="shared" si="195"/>
        <v>88.34</v>
      </c>
    </row>
    <row r="420" spans="1:25" ht="15" customHeight="1" x14ac:dyDescent="0.25">
      <c r="A420" s="5">
        <v>40405</v>
      </c>
      <c r="B420">
        <v>1188.1874</v>
      </c>
      <c r="C420" s="29">
        <f t="shared" si="199"/>
        <v>-6.9999999999999999E-4</v>
      </c>
      <c r="D420">
        <v>-0.27</v>
      </c>
      <c r="E420">
        <v>-0.55100000000000005</v>
      </c>
      <c r="F420" s="18">
        <f t="shared" si="186"/>
        <v>0.70400000000000063</v>
      </c>
      <c r="G420" s="18">
        <f t="shared" si="187"/>
        <v>2.1480000000000006</v>
      </c>
      <c r="H420">
        <v>6.87</v>
      </c>
      <c r="I420">
        <v>3.05</v>
      </c>
      <c r="J420">
        <f t="shared" si="196"/>
        <v>4.96</v>
      </c>
      <c r="K420" s="6">
        <f t="shared" si="197"/>
        <v>4.82</v>
      </c>
      <c r="L420" s="6">
        <f t="shared" si="198"/>
        <v>6.0000000000000497E-2</v>
      </c>
      <c r="M420">
        <v>-10.257838170883</v>
      </c>
      <c r="N420">
        <v>471500</v>
      </c>
      <c r="O420" s="18">
        <f>ROUND(N420/VLOOKUP(EOMONTH(A420,-1),Employment!A:P,16,FALSE),4)</f>
        <v>1.982</v>
      </c>
      <c r="P420" s="18">
        <f t="shared" si="188"/>
        <v>1.9435</v>
      </c>
      <c r="Q420" s="29">
        <f t="shared" si="189"/>
        <v>-0.18759999999999999</v>
      </c>
      <c r="R420" s="29">
        <f t="shared" si="190"/>
        <v>-1.72E-2</v>
      </c>
      <c r="S420">
        <v>4467000</v>
      </c>
      <c r="T420" s="18">
        <f>ROUND((S420/7)/VLOOKUP(EOMONTH(A420,-1),Employment!A:P,16,FALSE),4)</f>
        <v>2.6825000000000001</v>
      </c>
      <c r="U420" s="18">
        <f t="shared" si="191"/>
        <v>2.7105000000000001</v>
      </c>
      <c r="V420" s="29">
        <f t="shared" si="192"/>
        <v>-0.26979999999999998</v>
      </c>
      <c r="W420" s="29">
        <f t="shared" si="193"/>
        <v>-7.1000000000000004E-3</v>
      </c>
      <c r="X420" s="30">
        <f t="shared" si="194"/>
        <v>88.57</v>
      </c>
      <c r="Y420" s="31">
        <f t="shared" si="195"/>
        <v>90.28</v>
      </c>
    </row>
    <row r="421" spans="1:25" ht="15" customHeight="1" x14ac:dyDescent="0.25">
      <c r="A421" s="5">
        <v>40398</v>
      </c>
      <c r="B421">
        <v>1190.0453</v>
      </c>
      <c r="C421" s="29">
        <f t="shared" si="199"/>
        <v>2.0999999999999999E-3</v>
      </c>
      <c r="D421">
        <v>-0.25</v>
      </c>
      <c r="E421">
        <v>-0.48799999999999999</v>
      </c>
      <c r="F421" s="18">
        <f t="shared" si="186"/>
        <v>0.85999999999999943</v>
      </c>
      <c r="G421" s="18">
        <f t="shared" si="187"/>
        <v>2.512</v>
      </c>
      <c r="H421">
        <v>6.57</v>
      </c>
      <c r="I421">
        <v>2.94</v>
      </c>
      <c r="J421">
        <f t="shared" si="196"/>
        <v>4.76</v>
      </c>
      <c r="K421" s="6">
        <f t="shared" si="197"/>
        <v>4.76</v>
      </c>
      <c r="L421" s="6">
        <f t="shared" si="198"/>
        <v>-4.9999999999999822E-2</v>
      </c>
      <c r="M421">
        <v>-10.920116676618999</v>
      </c>
      <c r="N421">
        <v>460500</v>
      </c>
      <c r="O421" s="18">
        <f>ROUND(N421/VLOOKUP(EOMONTH(A421,-1),Employment!A:P,16,FALSE),4)</f>
        <v>1.9358</v>
      </c>
      <c r="P421" s="18">
        <f t="shared" si="188"/>
        <v>1.9205000000000001</v>
      </c>
      <c r="Q421" s="29">
        <f t="shared" si="189"/>
        <v>-0.1993</v>
      </c>
      <c r="R421" s="29">
        <f t="shared" si="190"/>
        <v>-1.47E-2</v>
      </c>
      <c r="S421">
        <v>4529000</v>
      </c>
      <c r="T421" s="18">
        <f>ROUND((S421/7)/VLOOKUP(EOMONTH(A421,-1),Employment!A:P,16,FALSE),4)</f>
        <v>2.7197</v>
      </c>
      <c r="U421" s="18">
        <f t="shared" si="191"/>
        <v>2.7143000000000002</v>
      </c>
      <c r="V421" s="29">
        <f t="shared" si="192"/>
        <v>-0.27</v>
      </c>
      <c r="W421" s="29">
        <f t="shared" si="193"/>
        <v>-1.7299999999999999E-2</v>
      </c>
      <c r="X421" s="30">
        <f t="shared" si="194"/>
        <v>91.53</v>
      </c>
      <c r="Y421" s="31">
        <f t="shared" si="195"/>
        <v>91.4</v>
      </c>
    </row>
    <row r="422" spans="1:25" ht="15" customHeight="1" x14ac:dyDescent="0.25">
      <c r="A422" s="5">
        <v>40391</v>
      </c>
      <c r="B422">
        <v>1187.4690000000001</v>
      </c>
      <c r="C422" s="29">
        <f t="shared" si="199"/>
        <v>-8.9999999999999998E-4</v>
      </c>
      <c r="D422">
        <v>-0.24</v>
      </c>
      <c r="E422">
        <v>-0.39300000000000002</v>
      </c>
      <c r="F422" s="18">
        <f t="shared" si="186"/>
        <v>0.58400000000000052</v>
      </c>
      <c r="G422" s="18">
        <f t="shared" si="187"/>
        <v>2.5600000000000005</v>
      </c>
      <c r="H422">
        <v>6.57</v>
      </c>
      <c r="I422">
        <v>2.91</v>
      </c>
      <c r="J422">
        <f t="shared" si="196"/>
        <v>4.74</v>
      </c>
      <c r="K422" s="6">
        <f t="shared" si="197"/>
        <v>4.8099999999999996</v>
      </c>
      <c r="L422" s="6">
        <f t="shared" si="198"/>
        <v>-8.0000000000000071E-2</v>
      </c>
      <c r="M422">
        <v>-11.268158122460999</v>
      </c>
      <c r="N422">
        <v>455000</v>
      </c>
      <c r="O422" s="18">
        <f>ROUND(N422/VLOOKUP(EOMONTH(A422,-1),Employment!A:P,16,FALSE),4)</f>
        <v>1.9126000000000001</v>
      </c>
      <c r="P422" s="18">
        <f t="shared" si="188"/>
        <v>1.9095</v>
      </c>
      <c r="Q422" s="29">
        <f t="shared" si="189"/>
        <v>-0.21260000000000001</v>
      </c>
      <c r="R422" s="29">
        <f t="shared" si="190"/>
        <v>-1.14E-2</v>
      </c>
      <c r="S422">
        <v>4545000</v>
      </c>
      <c r="T422" s="18">
        <f>ROUND((S422/7)/VLOOKUP(EOMONTH(A422,-1),Employment!A:P,16,FALSE),4)</f>
        <v>2.7294</v>
      </c>
      <c r="U422" s="18">
        <f t="shared" si="191"/>
        <v>2.7332999999999998</v>
      </c>
      <c r="V422" s="29">
        <f t="shared" si="192"/>
        <v>-0.2646</v>
      </c>
      <c r="W422" s="29">
        <f t="shared" si="193"/>
        <v>-1.4E-2</v>
      </c>
      <c r="X422" s="30">
        <f t="shared" si="194"/>
        <v>91.43</v>
      </c>
      <c r="Y422" s="31">
        <f t="shared" si="195"/>
        <v>91.67</v>
      </c>
    </row>
    <row r="423" spans="1:25" ht="15" customHeight="1" x14ac:dyDescent="0.25">
      <c r="A423" s="5">
        <v>40384</v>
      </c>
      <c r="B423">
        <v>1188.3539000000001</v>
      </c>
      <c r="C423" s="29">
        <f t="shared" si="199"/>
        <v>-1.1999999999999999E-3</v>
      </c>
      <c r="D423">
        <v>-0.22</v>
      </c>
      <c r="E423">
        <v>-0.34499999999999997</v>
      </c>
      <c r="F423" s="18">
        <f t="shared" si="186"/>
        <v>1.0680000000000001</v>
      </c>
      <c r="G423" s="18">
        <f t="shared" si="187"/>
        <v>1.62</v>
      </c>
      <c r="H423">
        <v>6.59</v>
      </c>
      <c r="I423">
        <v>2.95</v>
      </c>
      <c r="J423">
        <f t="shared" si="196"/>
        <v>4.7699999999999996</v>
      </c>
      <c r="K423" s="6">
        <f t="shared" si="197"/>
        <v>4.8899999999999997</v>
      </c>
      <c r="L423" s="6">
        <f t="shared" si="198"/>
        <v>-0.10000000000000053</v>
      </c>
      <c r="M423">
        <v>-10.888627069048001</v>
      </c>
      <c r="N423">
        <v>454750</v>
      </c>
      <c r="O423" s="18">
        <f>ROUND(N423/VLOOKUP(EOMONTH(A423,-1),Employment!A:P,16,FALSE),4)</f>
        <v>1.9132</v>
      </c>
      <c r="P423" s="18">
        <f t="shared" si="188"/>
        <v>1.9159999999999999</v>
      </c>
      <c r="Q423" s="29">
        <f t="shared" si="189"/>
        <v>-0.222</v>
      </c>
      <c r="R423" s="29">
        <f t="shared" si="190"/>
        <v>-7.6E-3</v>
      </c>
      <c r="S423">
        <v>4482000</v>
      </c>
      <c r="T423" s="18">
        <f>ROUND((S423/7)/VLOOKUP(EOMONTH(A423,-1),Employment!A:P,16,FALSE),4)</f>
        <v>2.6938</v>
      </c>
      <c r="U423" s="18">
        <f t="shared" si="191"/>
        <v>2.7218</v>
      </c>
      <c r="V423" s="29">
        <f t="shared" si="192"/>
        <v>-0.2873</v>
      </c>
      <c r="W423" s="29">
        <f t="shared" si="193"/>
        <v>-7.7000000000000002E-3</v>
      </c>
      <c r="X423" s="30">
        <f t="shared" si="194"/>
        <v>91.02</v>
      </c>
      <c r="Y423" s="31">
        <f t="shared" si="195"/>
        <v>92.38</v>
      </c>
    </row>
    <row r="424" spans="1:25" ht="15" customHeight="1" x14ac:dyDescent="0.25">
      <c r="A424" s="5">
        <v>40377</v>
      </c>
      <c r="B424">
        <v>1190.252</v>
      </c>
      <c r="C424" s="29">
        <f t="shared" si="199"/>
        <v>2.9999999999999997E-4</v>
      </c>
      <c r="D424">
        <v>-0.19</v>
      </c>
      <c r="E424">
        <v>-0.249</v>
      </c>
      <c r="F424" s="18">
        <f t="shared" si="186"/>
        <v>0.90799999999999992</v>
      </c>
      <c r="G424" s="18">
        <f t="shared" si="187"/>
        <v>1.8359999999999999</v>
      </c>
      <c r="H424">
        <v>6.77</v>
      </c>
      <c r="I424">
        <v>3.04</v>
      </c>
      <c r="J424">
        <f t="shared" si="196"/>
        <v>4.91</v>
      </c>
      <c r="K424" s="6">
        <f t="shared" si="197"/>
        <v>4.99</v>
      </c>
      <c r="L424" s="6">
        <f t="shared" si="198"/>
        <v>-2.9999999999999361E-2</v>
      </c>
      <c r="M424">
        <v>-10.133812756398999</v>
      </c>
      <c r="N424">
        <v>452250</v>
      </c>
      <c r="O424" s="18">
        <f>ROUND(N424/VLOOKUP(EOMONTH(A424,-1),Employment!A:P,16,FALSE),4)</f>
        <v>1.9027000000000001</v>
      </c>
      <c r="P424" s="18">
        <f t="shared" si="188"/>
        <v>1.9240999999999999</v>
      </c>
      <c r="Q424" s="29">
        <f t="shared" si="189"/>
        <v>-0.2319</v>
      </c>
      <c r="R424" s="29">
        <f t="shared" si="190"/>
        <v>-4.5999999999999999E-3</v>
      </c>
      <c r="S424">
        <v>4620000</v>
      </c>
      <c r="T424" s="18">
        <f>ROUND((S424/7)/VLOOKUP(EOMONTH(A424,-1),Employment!A:P,16,FALSE),4)</f>
        <v>2.7766999999999999</v>
      </c>
      <c r="U424" s="18">
        <f t="shared" si="191"/>
        <v>2.7492999999999999</v>
      </c>
      <c r="V424" s="29">
        <f t="shared" si="192"/>
        <v>-0.29330000000000001</v>
      </c>
      <c r="W424" s="29">
        <f t="shared" si="193"/>
        <v>2.0000000000000001E-4</v>
      </c>
      <c r="X424" s="30">
        <f t="shared" si="194"/>
        <v>93.88</v>
      </c>
      <c r="Y424" s="31">
        <f t="shared" si="195"/>
        <v>93.37</v>
      </c>
    </row>
    <row r="425" spans="1:25" ht="15" customHeight="1" x14ac:dyDescent="0.25">
      <c r="A425" s="5">
        <v>40370</v>
      </c>
      <c r="B425">
        <v>1184.2751000000001</v>
      </c>
      <c r="C425" s="29">
        <f t="shared" si="199"/>
        <v>-6.6E-3</v>
      </c>
      <c r="D425">
        <v>-0.16</v>
      </c>
      <c r="E425">
        <v>-0.17299999999999999</v>
      </c>
      <c r="F425" s="18">
        <f t="shared" si="186"/>
        <v>-0.35599999999999987</v>
      </c>
      <c r="G425" s="18">
        <f t="shared" si="187"/>
        <v>2.56</v>
      </c>
      <c r="H425">
        <v>6.88</v>
      </c>
      <c r="I425">
        <v>3.07</v>
      </c>
      <c r="J425">
        <f t="shared" si="196"/>
        <v>4.9800000000000004</v>
      </c>
      <c r="K425" s="6">
        <f t="shared" si="197"/>
        <v>5.0199999999999996</v>
      </c>
      <c r="L425" s="6">
        <f t="shared" si="198"/>
        <v>9.9999999999997868E-3</v>
      </c>
      <c r="M425">
        <v>-9.4418422709892997</v>
      </c>
      <c r="N425">
        <v>459250</v>
      </c>
      <c r="O425" s="18">
        <f>ROUND(N425/VLOOKUP(EOMONTH(A425,-1),Employment!A:P,16,FALSE),4)</f>
        <v>1.9320999999999999</v>
      </c>
      <c r="P425" s="18">
        <f t="shared" si="188"/>
        <v>1.9339999999999999</v>
      </c>
      <c r="Q425" s="29">
        <f t="shared" si="189"/>
        <v>-0.2374</v>
      </c>
      <c r="R425" s="29">
        <f t="shared" si="190"/>
        <v>-4.7999999999999996E-3</v>
      </c>
      <c r="S425">
        <v>4484000</v>
      </c>
      <c r="T425" s="18">
        <f>ROUND((S425/7)/VLOOKUP(EOMONTH(A425,-1),Employment!A:P,16,FALSE),4)</f>
        <v>2.6949999999999998</v>
      </c>
      <c r="U425" s="18">
        <f t="shared" si="191"/>
        <v>2.7471999999999999</v>
      </c>
      <c r="V425" s="29">
        <f t="shared" si="192"/>
        <v>-0.30769999999999997</v>
      </c>
      <c r="W425" s="29">
        <f t="shared" si="193"/>
        <v>1.1000000000000001E-3</v>
      </c>
      <c r="X425" s="30">
        <f t="shared" si="194"/>
        <v>92.05</v>
      </c>
      <c r="Y425" s="31">
        <f t="shared" si="195"/>
        <v>93.26</v>
      </c>
    </row>
    <row r="426" spans="1:25" ht="15" customHeight="1" x14ac:dyDescent="0.25">
      <c r="A426" s="5">
        <v>40363</v>
      </c>
      <c r="B426">
        <v>1191.4208000000001</v>
      </c>
      <c r="C426" s="29">
        <f t="shared" si="199"/>
        <v>-1.5E-3</v>
      </c>
      <c r="D426">
        <v>-0.15</v>
      </c>
      <c r="E426">
        <v>-0.23</v>
      </c>
      <c r="F426" s="18">
        <f t="shared" si="186"/>
        <v>1.2839999999999998</v>
      </c>
      <c r="G426" s="18">
        <f t="shared" si="187"/>
        <v>2.7039999999999997</v>
      </c>
      <c r="H426">
        <v>7.13</v>
      </c>
      <c r="I426">
        <v>3.04</v>
      </c>
      <c r="J426">
        <f t="shared" si="196"/>
        <v>5.09</v>
      </c>
      <c r="K426" s="6">
        <f t="shared" si="197"/>
        <v>5.01</v>
      </c>
      <c r="L426" s="6">
        <f t="shared" si="198"/>
        <v>-2.0000000000000462E-2</v>
      </c>
      <c r="M426">
        <v>-8.5714700399452006</v>
      </c>
      <c r="N426">
        <v>460500</v>
      </c>
      <c r="O426" s="18">
        <f>ROUND(N426/VLOOKUP(EOMONTH(A426,-1),Employment!A:P,16,FALSE),4)</f>
        <v>1.9374</v>
      </c>
      <c r="P426" s="18">
        <f t="shared" si="188"/>
        <v>1.9380999999999999</v>
      </c>
      <c r="Q426" s="29">
        <f t="shared" si="189"/>
        <v>-0.23949999999999999</v>
      </c>
      <c r="R426" s="29">
        <f t="shared" si="190"/>
        <v>-7.1000000000000004E-3</v>
      </c>
      <c r="S426">
        <v>4619000</v>
      </c>
      <c r="T426" s="18">
        <f>ROUND((S426/7)/VLOOKUP(EOMONTH(A426,-1),Employment!A:P,16,FALSE),4)</f>
        <v>2.7761</v>
      </c>
      <c r="U426" s="18">
        <f t="shared" si="191"/>
        <v>2.7759999999999998</v>
      </c>
      <c r="V426" s="29">
        <f t="shared" si="192"/>
        <v>-0.29659999999999997</v>
      </c>
      <c r="W426" s="29">
        <f t="shared" si="193"/>
        <v>4.4999999999999997E-3</v>
      </c>
      <c r="X426" s="30">
        <f t="shared" si="194"/>
        <v>95.41</v>
      </c>
      <c r="Y426" s="31">
        <f t="shared" si="195"/>
        <v>90.94</v>
      </c>
    </row>
    <row r="427" spans="1:25" ht="15" customHeight="1" x14ac:dyDescent="0.25">
      <c r="A427" s="5">
        <v>40356</v>
      </c>
      <c r="B427">
        <v>1193.2842000000001</v>
      </c>
      <c r="C427" s="29">
        <f t="shared" si="199"/>
        <v>-5.9999999999999995E-4</v>
      </c>
      <c r="D427">
        <v>-0.1</v>
      </c>
      <c r="E427">
        <v>-0.13200000000000001</v>
      </c>
      <c r="F427" s="18">
        <f t="shared" si="186"/>
        <v>1.6320000000000001</v>
      </c>
      <c r="G427" s="18">
        <f t="shared" si="187"/>
        <v>1.4480000000000002</v>
      </c>
      <c r="H427">
        <v>6.9</v>
      </c>
      <c r="I427">
        <v>3.09</v>
      </c>
      <c r="J427">
        <f t="shared" si="196"/>
        <v>5</v>
      </c>
      <c r="K427" s="6">
        <f t="shared" si="197"/>
        <v>5.03</v>
      </c>
      <c r="L427" s="6">
        <f t="shared" si="198"/>
        <v>-1.9999999999999574E-2</v>
      </c>
      <c r="M427">
        <v>-7.6844801745776001</v>
      </c>
      <c r="N427">
        <v>459000</v>
      </c>
      <c r="O427" s="18">
        <f>ROUND(N427/VLOOKUP(EOMONTH(A427,-1),Employment!A:P,16,FALSE),4)</f>
        <v>1.9326000000000001</v>
      </c>
      <c r="P427" s="18">
        <f t="shared" si="188"/>
        <v>1.9428000000000001</v>
      </c>
      <c r="Q427" s="29">
        <f t="shared" si="189"/>
        <v>-0.2417</v>
      </c>
      <c r="R427" s="29">
        <f t="shared" si="190"/>
        <v>-9.1999999999999998E-3</v>
      </c>
      <c r="S427">
        <v>4606000</v>
      </c>
      <c r="T427" s="18">
        <f>ROUND((S427/7)/VLOOKUP(EOMONTH(A427,-1),Employment!A:P,16,FALSE),4)</f>
        <v>2.7705000000000002</v>
      </c>
      <c r="U427" s="18">
        <f t="shared" si="191"/>
        <v>2.7635000000000001</v>
      </c>
      <c r="V427" s="29">
        <f t="shared" si="192"/>
        <v>-0.30520000000000003</v>
      </c>
      <c r="W427" s="29">
        <f t="shared" si="193"/>
        <v>8.3999999999999995E-3</v>
      </c>
      <c r="X427" s="30">
        <f t="shared" si="194"/>
        <v>90.88</v>
      </c>
      <c r="Y427" s="31">
        <f t="shared" si="195"/>
        <v>84.26</v>
      </c>
    </row>
    <row r="428" spans="1:25" ht="15" customHeight="1" x14ac:dyDescent="0.25">
      <c r="A428" s="5">
        <v>40349</v>
      </c>
      <c r="B428">
        <v>1190.7951</v>
      </c>
      <c r="C428" s="29">
        <f t="shared" si="199"/>
        <v>-4.7000000000000002E-3</v>
      </c>
      <c r="D428">
        <v>-0.06</v>
      </c>
      <c r="E428">
        <v>2.1999999999999999E-2</v>
      </c>
      <c r="F428" s="18">
        <f t="shared" si="186"/>
        <v>-0.21200000000000002</v>
      </c>
      <c r="G428" s="18">
        <f t="shared" si="187"/>
        <v>-1.4959999999999998</v>
      </c>
      <c r="H428">
        <v>6.82</v>
      </c>
      <c r="I428">
        <v>3.04</v>
      </c>
      <c r="J428">
        <f t="shared" si="196"/>
        <v>4.93</v>
      </c>
      <c r="K428" s="6">
        <f t="shared" si="197"/>
        <v>5.05</v>
      </c>
      <c r="L428" s="6">
        <f t="shared" si="198"/>
        <v>9.9999999999997868E-3</v>
      </c>
      <c r="M428">
        <v>-6.4162606147136998</v>
      </c>
      <c r="N428">
        <v>461750</v>
      </c>
      <c r="O428" s="18">
        <f>ROUND(N428/VLOOKUP(EOMONTH(A428,-1),Employment!A:P,16,FALSE),4)</f>
        <v>1.9441999999999999</v>
      </c>
      <c r="P428" s="18">
        <f t="shared" si="188"/>
        <v>1.9462999999999999</v>
      </c>
      <c r="Q428" s="29">
        <f t="shared" si="189"/>
        <v>-0.24579999999999999</v>
      </c>
      <c r="R428" s="29">
        <f t="shared" si="190"/>
        <v>-8.8999999999999999E-3</v>
      </c>
      <c r="S428">
        <v>4624000</v>
      </c>
      <c r="T428" s="18">
        <f>ROUND((S428/7)/VLOOKUP(EOMONTH(A428,-1),Employment!A:P,16,FALSE),4)</f>
        <v>2.7814000000000001</v>
      </c>
      <c r="U428" s="18">
        <f t="shared" si="191"/>
        <v>2.7886000000000002</v>
      </c>
      <c r="V428" s="29">
        <f t="shared" si="192"/>
        <v>-0.29880000000000001</v>
      </c>
      <c r="W428" s="29">
        <f t="shared" si="193"/>
        <v>1.0500000000000001E-2</v>
      </c>
      <c r="X428" s="30">
        <f t="shared" si="194"/>
        <v>79.91</v>
      </c>
      <c r="Y428" s="31">
        <f t="shared" si="195"/>
        <v>79.760000000000005</v>
      </c>
    </row>
    <row r="429" spans="1:25" ht="15" customHeight="1" x14ac:dyDescent="0.25">
      <c r="A429" s="5">
        <v>40342</v>
      </c>
      <c r="B429">
        <v>1193.0594000000001</v>
      </c>
      <c r="C429" s="29">
        <f t="shared" si="199"/>
        <v>-3.5999999999999999E-3</v>
      </c>
      <c r="D429">
        <v>-0.05</v>
      </c>
      <c r="E429">
        <v>-1.7000000000000001E-2</v>
      </c>
      <c r="F429" s="18">
        <f t="shared" si="186"/>
        <v>2.8000000000000025E-2</v>
      </c>
      <c r="G429" s="18">
        <f t="shared" si="187"/>
        <v>-3.6840000000000002</v>
      </c>
      <c r="H429">
        <v>7.27</v>
      </c>
      <c r="I429">
        <v>3.04</v>
      </c>
      <c r="J429">
        <f t="shared" si="196"/>
        <v>5.16</v>
      </c>
      <c r="K429" s="6">
        <f t="shared" si="197"/>
        <v>5.04</v>
      </c>
      <c r="L429" s="6">
        <f t="shared" si="198"/>
        <v>8.9999999999999858E-2</v>
      </c>
      <c r="M429">
        <v>-4.1898939759907998</v>
      </c>
      <c r="N429">
        <v>463500</v>
      </c>
      <c r="O429" s="18">
        <f>ROUND(N429/VLOOKUP(EOMONTH(A429,-1),Employment!A:P,16,FALSE),4)</f>
        <v>1.9516</v>
      </c>
      <c r="P429" s="18">
        <f t="shared" si="188"/>
        <v>1.944</v>
      </c>
      <c r="Q429" s="29">
        <f t="shared" si="189"/>
        <v>-0.25190000000000001</v>
      </c>
      <c r="R429" s="29">
        <f t="shared" si="190"/>
        <v>-5.4000000000000003E-3</v>
      </c>
      <c r="S429">
        <v>4553000</v>
      </c>
      <c r="T429" s="18">
        <f>ROUND((S429/7)/VLOOKUP(EOMONTH(A429,-1),Employment!A:P,16,FALSE),4)</f>
        <v>2.7387000000000001</v>
      </c>
      <c r="U429" s="18">
        <f t="shared" si="191"/>
        <v>2.8020999999999998</v>
      </c>
      <c r="V429" s="29">
        <f t="shared" si="192"/>
        <v>-0.29670000000000002</v>
      </c>
      <c r="W429" s="29">
        <f t="shared" si="193"/>
        <v>1.0500000000000001E-2</v>
      </c>
      <c r="X429" s="30">
        <f t="shared" si="194"/>
        <v>78.599999999999994</v>
      </c>
      <c r="Y429" s="31">
        <f t="shared" si="195"/>
        <v>81.52</v>
      </c>
    </row>
    <row r="430" spans="1:25" ht="15" customHeight="1" x14ac:dyDescent="0.25">
      <c r="A430" s="5">
        <v>40335</v>
      </c>
      <c r="B430">
        <v>1195.6346000000001</v>
      </c>
      <c r="C430" s="29">
        <f t="shared" si="199"/>
        <v>-3.3999999999999998E-3</v>
      </c>
      <c r="D430">
        <v>-0.06</v>
      </c>
      <c r="E430">
        <v>-1E-3</v>
      </c>
      <c r="F430" s="18">
        <f t="shared" si="186"/>
        <v>-1.3119999999999998</v>
      </c>
      <c r="G430" s="18">
        <f t="shared" si="187"/>
        <v>-5.2080000000000002</v>
      </c>
      <c r="H430">
        <v>7.14</v>
      </c>
      <c r="I430">
        <v>2.95</v>
      </c>
      <c r="J430">
        <f t="shared" si="196"/>
        <v>5.05</v>
      </c>
      <c r="K430" s="6">
        <f t="shared" si="197"/>
        <v>4.95</v>
      </c>
      <c r="L430" s="6">
        <f t="shared" si="198"/>
        <v>0.20000000000000018</v>
      </c>
      <c r="M430">
        <v>-0.21527673551727</v>
      </c>
      <c r="N430">
        <v>461500</v>
      </c>
      <c r="O430" s="18">
        <f>ROUND(N430/VLOOKUP(EOMONTH(A430,-1),Employment!A:P,16,FALSE),4)</f>
        <v>1.9432</v>
      </c>
      <c r="P430" s="18">
        <f t="shared" si="188"/>
        <v>1.9342999999999999</v>
      </c>
      <c r="Q430" s="29">
        <f t="shared" si="189"/>
        <v>-0.2596</v>
      </c>
      <c r="R430" s="29">
        <f t="shared" si="190"/>
        <v>-2.9999999999999997E-4</v>
      </c>
      <c r="S430">
        <v>4731000</v>
      </c>
      <c r="T430" s="18">
        <f>ROUND((S430/7)/VLOOKUP(EOMONTH(A430,-1),Employment!A:P,16,FALSE),4)</f>
        <v>2.8456999999999999</v>
      </c>
      <c r="U430" s="18">
        <f t="shared" si="191"/>
        <v>2.8336000000000001</v>
      </c>
      <c r="V430" s="29">
        <f t="shared" si="192"/>
        <v>-0.28470000000000001</v>
      </c>
      <c r="W430" s="29">
        <f t="shared" si="193"/>
        <v>1.2999999999999999E-2</v>
      </c>
      <c r="X430" s="30">
        <f t="shared" si="194"/>
        <v>82.26</v>
      </c>
      <c r="Y430" s="31">
        <f t="shared" si="195"/>
        <v>86.49</v>
      </c>
    </row>
    <row r="431" spans="1:25" ht="15" customHeight="1" x14ac:dyDescent="0.25">
      <c r="A431" s="5">
        <v>40328</v>
      </c>
      <c r="B431">
        <v>1196.4656</v>
      </c>
      <c r="C431" s="29">
        <f t="shared" si="199"/>
        <v>-5.1000000000000004E-3</v>
      </c>
      <c r="D431">
        <v>-0.1</v>
      </c>
      <c r="E431">
        <v>-0.115</v>
      </c>
      <c r="F431" s="18">
        <f t="shared" si="186"/>
        <v>-2.4000000000000004</v>
      </c>
      <c r="G431" s="18">
        <f t="shared" si="187"/>
        <v>-6.7560000000000002</v>
      </c>
      <c r="H431">
        <v>6.9</v>
      </c>
      <c r="I431">
        <v>2.89</v>
      </c>
      <c r="J431">
        <f t="shared" si="196"/>
        <v>4.9000000000000004</v>
      </c>
      <c r="K431" s="6">
        <f t="shared" si="197"/>
        <v>4.75</v>
      </c>
      <c r="L431" s="6">
        <f t="shared" si="198"/>
        <v>0.12999999999999989</v>
      </c>
      <c r="M431">
        <v>4.7907370329418004</v>
      </c>
      <c r="N431">
        <v>459750</v>
      </c>
      <c r="O431" s="18">
        <f>ROUND(N431/VLOOKUP(EOMONTH(A431,-1),Employment!A:P,16,FALSE),4)</f>
        <v>1.9372</v>
      </c>
      <c r="P431" s="18">
        <f t="shared" si="188"/>
        <v>1.9256</v>
      </c>
      <c r="Q431" s="29">
        <f t="shared" si="189"/>
        <v>-0.26590000000000003</v>
      </c>
      <c r="R431" s="29">
        <f t="shared" si="190"/>
        <v>1.1000000000000001E-3</v>
      </c>
      <c r="S431">
        <v>4688000</v>
      </c>
      <c r="T431" s="18">
        <f>ROUND((S431/7)/VLOOKUP(EOMONTH(A431,-1),Employment!A:P,16,FALSE),4)</f>
        <v>2.8218999999999999</v>
      </c>
      <c r="U431" s="18">
        <f t="shared" si="191"/>
        <v>2.8271000000000002</v>
      </c>
      <c r="V431" s="29">
        <f t="shared" si="192"/>
        <v>-0.28260000000000002</v>
      </c>
      <c r="W431" s="29">
        <f t="shared" si="193"/>
        <v>1.7299999999999999E-2</v>
      </c>
      <c r="X431" s="30">
        <f t="shared" si="194"/>
        <v>86.97</v>
      </c>
      <c r="Y431" s="31">
        <f t="shared" si="195"/>
        <v>92.99</v>
      </c>
    </row>
    <row r="432" spans="1:25" ht="15" customHeight="1" x14ac:dyDescent="0.25">
      <c r="A432" s="5">
        <v>40321</v>
      </c>
      <c r="B432">
        <v>1200.558</v>
      </c>
      <c r="C432" s="29">
        <f t="shared" si="199"/>
        <v>-3.7000000000000002E-3</v>
      </c>
      <c r="D432">
        <v>-0.18</v>
      </c>
      <c r="E432">
        <v>-0.315</v>
      </c>
      <c r="F432" s="18">
        <f t="shared" si="186"/>
        <v>-1.4960000000000004</v>
      </c>
      <c r="G432" s="18">
        <f t="shared" si="187"/>
        <v>-5.7040000000000006</v>
      </c>
      <c r="H432">
        <v>7.02</v>
      </c>
      <c r="I432">
        <v>2.76</v>
      </c>
      <c r="J432">
        <f t="shared" si="196"/>
        <v>4.8899999999999997</v>
      </c>
      <c r="K432" s="6">
        <f t="shared" si="197"/>
        <v>4.62</v>
      </c>
      <c r="L432" s="6">
        <f t="shared" si="198"/>
        <v>0.29999999999999982</v>
      </c>
      <c r="M432">
        <v>8.9442311695735999</v>
      </c>
      <c r="N432">
        <v>456250</v>
      </c>
      <c r="O432" s="18">
        <f>ROUND(N432/VLOOKUP(EOMONTH(A432,-1),Employment!A:P,16,FALSE),4)</f>
        <v>1.9224000000000001</v>
      </c>
      <c r="P432" s="18">
        <f t="shared" si="188"/>
        <v>1.9288000000000001</v>
      </c>
      <c r="Q432" s="29">
        <f t="shared" si="189"/>
        <v>-0.26540000000000002</v>
      </c>
      <c r="R432" s="29">
        <f t="shared" si="190"/>
        <v>-2.5999999999999999E-3</v>
      </c>
      <c r="S432">
        <v>4707000</v>
      </c>
      <c r="T432" s="18">
        <f>ROUND((S432/7)/VLOOKUP(EOMONTH(A432,-1),Employment!A:P,16,FALSE),4)</f>
        <v>2.8332999999999999</v>
      </c>
      <c r="U432" s="18">
        <f t="shared" si="191"/>
        <v>2.8275000000000001</v>
      </c>
      <c r="V432" s="29">
        <f t="shared" si="192"/>
        <v>-0.27360000000000001</v>
      </c>
      <c r="W432" s="29">
        <f t="shared" si="193"/>
        <v>1.9199999999999998E-2</v>
      </c>
      <c r="X432" s="30">
        <f t="shared" si="194"/>
        <v>95.86</v>
      </c>
      <c r="Y432" s="31">
        <f t="shared" si="195"/>
        <v>101.14</v>
      </c>
    </row>
    <row r="433" spans="1:25" ht="15" customHeight="1" x14ac:dyDescent="0.25">
      <c r="A433" s="5">
        <v>40314</v>
      </c>
      <c r="B433">
        <v>1196.7651000000001</v>
      </c>
      <c r="C433" s="29">
        <f t="shared" si="199"/>
        <v>-9.4000000000000004E-3</v>
      </c>
      <c r="D433">
        <v>-0.26</v>
      </c>
      <c r="E433">
        <v>-0.40200000000000002</v>
      </c>
      <c r="F433" s="18">
        <f t="shared" si="186"/>
        <v>-2.8599999999999994</v>
      </c>
      <c r="G433" s="18">
        <f t="shared" si="187"/>
        <v>-4.211999999999998</v>
      </c>
      <c r="H433">
        <v>6.33</v>
      </c>
      <c r="I433">
        <v>2.59</v>
      </c>
      <c r="J433">
        <f t="shared" si="196"/>
        <v>4.46</v>
      </c>
      <c r="K433" s="6">
        <f t="shared" si="197"/>
        <v>4.32</v>
      </c>
      <c r="L433" s="6">
        <f t="shared" si="198"/>
        <v>0.1800000000000006</v>
      </c>
      <c r="M433">
        <v>12.137345903406001</v>
      </c>
      <c r="N433">
        <v>455000</v>
      </c>
      <c r="O433" s="18">
        <f>ROUND(N433/VLOOKUP(EOMONTH(A433,-1),Employment!A:P,16,FALSE),4)</f>
        <v>1.9172</v>
      </c>
      <c r="P433" s="18">
        <f t="shared" si="188"/>
        <v>1.9467000000000001</v>
      </c>
      <c r="Q433" s="29">
        <f t="shared" si="189"/>
        <v>-0.26300000000000001</v>
      </c>
      <c r="R433" s="29">
        <f t="shared" si="190"/>
        <v>-8.6E-3</v>
      </c>
      <c r="S433">
        <v>4695000</v>
      </c>
      <c r="T433" s="18">
        <f>ROUND((S433/7)/VLOOKUP(EOMONTH(A433,-1),Employment!A:P,16,FALSE),4)</f>
        <v>2.8260999999999998</v>
      </c>
      <c r="U433" s="18">
        <f t="shared" si="191"/>
        <v>2.8302999999999998</v>
      </c>
      <c r="V433" s="29">
        <f t="shared" si="192"/>
        <v>-0.26319999999999999</v>
      </c>
      <c r="W433" s="29">
        <f t="shared" si="193"/>
        <v>1.95E-2</v>
      </c>
      <c r="X433" s="30">
        <f t="shared" si="194"/>
        <v>100.85</v>
      </c>
      <c r="Y433" s="31">
        <f t="shared" si="195"/>
        <v>111.19</v>
      </c>
    </row>
    <row r="434" spans="1:25" ht="15" customHeight="1" x14ac:dyDescent="0.25">
      <c r="A434" s="5">
        <v>40307</v>
      </c>
      <c r="B434">
        <v>1204.9061999999999</v>
      </c>
      <c r="C434" s="29">
        <f t="shared" si="199"/>
        <v>-3.8999999999999998E-3</v>
      </c>
      <c r="D434">
        <v>-0.37</v>
      </c>
      <c r="E434">
        <v>-0.622</v>
      </c>
      <c r="F434" s="18">
        <f t="shared" si="186"/>
        <v>-1.3480000000000008</v>
      </c>
      <c r="G434" s="18">
        <f t="shared" si="187"/>
        <v>-1.104000000000001</v>
      </c>
      <c r="H434">
        <v>6.47</v>
      </c>
      <c r="I434">
        <v>2.5499999999999998</v>
      </c>
      <c r="J434">
        <f t="shared" si="196"/>
        <v>4.51</v>
      </c>
      <c r="K434" s="6">
        <f t="shared" si="197"/>
        <v>4.1399999999999997</v>
      </c>
      <c r="L434" s="6">
        <f t="shared" si="198"/>
        <v>0.16999999999999948</v>
      </c>
      <c r="M434">
        <v>12.640557530655</v>
      </c>
      <c r="N434">
        <v>462000</v>
      </c>
      <c r="O434" s="18">
        <f>ROUND(N434/VLOOKUP(EOMONTH(A434,-1),Employment!A:P,16,FALSE),4)</f>
        <v>1.9467000000000001</v>
      </c>
      <c r="P434" s="18">
        <f t="shared" si="188"/>
        <v>1.9702999999999999</v>
      </c>
      <c r="Q434" s="29">
        <f t="shared" si="189"/>
        <v>-0.26119999999999999</v>
      </c>
      <c r="R434" s="29">
        <f t="shared" si="190"/>
        <v>-1.12E-2</v>
      </c>
      <c r="S434">
        <v>4690000</v>
      </c>
      <c r="T434" s="18">
        <f>ROUND((S434/7)/VLOOKUP(EOMONTH(A434,-1),Employment!A:P,16,FALSE),4)</f>
        <v>2.8231000000000002</v>
      </c>
      <c r="U434" s="18">
        <f t="shared" si="191"/>
        <v>2.8412000000000002</v>
      </c>
      <c r="V434" s="29">
        <f t="shared" si="192"/>
        <v>-0.24929999999999999</v>
      </c>
      <c r="W434" s="29">
        <f t="shared" si="193"/>
        <v>1.9E-2</v>
      </c>
      <c r="X434" s="30">
        <f t="shared" si="194"/>
        <v>115.07</v>
      </c>
      <c r="Y434" s="31">
        <f t="shared" si="195"/>
        <v>123.27</v>
      </c>
    </row>
    <row r="435" spans="1:25" ht="15" customHeight="1" x14ac:dyDescent="0.25">
      <c r="A435" s="5">
        <v>40300</v>
      </c>
      <c r="B435">
        <v>1208.3986</v>
      </c>
      <c r="C435" s="29">
        <f t="shared" si="199"/>
        <v>2.9999999999999997E-4</v>
      </c>
      <c r="D435">
        <v>-0.44</v>
      </c>
      <c r="E435">
        <v>-0.70299999999999996</v>
      </c>
      <c r="F435" s="18">
        <f t="shared" si="186"/>
        <v>-3.9999999999977831E-3</v>
      </c>
      <c r="G435" s="18">
        <f t="shared" si="187"/>
        <v>0.69200000000000195</v>
      </c>
      <c r="H435">
        <v>5.61</v>
      </c>
      <c r="I435">
        <v>2.38</v>
      </c>
      <c r="J435">
        <f t="shared" si="196"/>
        <v>4</v>
      </c>
      <c r="K435" s="6">
        <f t="shared" si="197"/>
        <v>3.97</v>
      </c>
      <c r="L435" s="6">
        <f t="shared" si="198"/>
        <v>-2.0000000000000018E-2</v>
      </c>
      <c r="M435">
        <v>11.937028099138001</v>
      </c>
      <c r="N435">
        <v>469000</v>
      </c>
      <c r="O435" s="18">
        <f>ROUND(N435/VLOOKUP(EOMONTH(A435,-1),Employment!A:P,16,FALSE),4)</f>
        <v>1.9762</v>
      </c>
      <c r="P435" s="18">
        <f t="shared" si="188"/>
        <v>1.9852000000000001</v>
      </c>
      <c r="Q435" s="29">
        <f t="shared" si="189"/>
        <v>-0.26729999999999998</v>
      </c>
      <c r="R435" s="29">
        <f t="shared" si="190"/>
        <v>-6.8999999999999999E-3</v>
      </c>
      <c r="S435">
        <v>4721000</v>
      </c>
      <c r="T435" s="18">
        <f>ROUND((S435/7)/VLOOKUP(EOMONTH(A435,-1),Employment!A:P,16,FALSE),4)</f>
        <v>2.8416999999999999</v>
      </c>
      <c r="U435" s="18">
        <f t="shared" si="191"/>
        <v>2.8549000000000002</v>
      </c>
      <c r="V435" s="29">
        <f t="shared" si="192"/>
        <v>-0.2354</v>
      </c>
      <c r="W435" s="29">
        <f t="shared" si="193"/>
        <v>2.1399999999999999E-2</v>
      </c>
      <c r="X435" s="30">
        <f t="shared" si="194"/>
        <v>127.31</v>
      </c>
      <c r="Y435" s="31">
        <f t="shared" si="195"/>
        <v>131.41999999999999</v>
      </c>
    </row>
    <row r="436" spans="1:25" ht="15" customHeight="1" x14ac:dyDescent="0.25">
      <c r="A436" s="5">
        <v>40293</v>
      </c>
      <c r="B436">
        <v>1210.0174</v>
      </c>
      <c r="C436" s="29">
        <f t="shared" si="199"/>
        <v>1.1000000000000001E-3</v>
      </c>
      <c r="D436">
        <v>-0.47</v>
      </c>
      <c r="E436">
        <v>-0.66600000000000004</v>
      </c>
      <c r="F436" s="18">
        <f t="shared" si="186"/>
        <v>0.24799999999999756</v>
      </c>
      <c r="G436" s="18">
        <f t="shared" si="187"/>
        <v>0.84799999999999898</v>
      </c>
      <c r="H436">
        <v>5.44</v>
      </c>
      <c r="I436">
        <v>2.37</v>
      </c>
      <c r="J436">
        <f t="shared" si="196"/>
        <v>3.91</v>
      </c>
      <c r="K436" s="6">
        <f t="shared" si="197"/>
        <v>3.99</v>
      </c>
      <c r="L436" s="6">
        <f t="shared" si="198"/>
        <v>-6.9999999999999396E-2</v>
      </c>
      <c r="M436">
        <v>11.636074294781</v>
      </c>
      <c r="N436">
        <v>471500</v>
      </c>
      <c r="O436" s="18">
        <f>ROUND(N436/VLOOKUP(EOMONTH(A436,-1),Employment!A:P,16,FALSE),4)</f>
        <v>1.9881</v>
      </c>
      <c r="P436" s="18">
        <f t="shared" si="188"/>
        <v>1.9899</v>
      </c>
      <c r="Q436" s="29">
        <f t="shared" si="189"/>
        <v>-0.27700000000000002</v>
      </c>
      <c r="R436" s="29">
        <f t="shared" si="190"/>
        <v>2E-3</v>
      </c>
      <c r="S436">
        <v>4746000</v>
      </c>
      <c r="T436" s="18">
        <f>ROUND((S436/7)/VLOOKUP(EOMONTH(A436,-1),Employment!A:P,16,FALSE),4)</f>
        <v>2.8588</v>
      </c>
      <c r="U436" s="18">
        <f t="shared" si="191"/>
        <v>2.8450000000000002</v>
      </c>
      <c r="V436" s="29">
        <f t="shared" si="192"/>
        <v>-0.22439999999999999</v>
      </c>
      <c r="W436" s="29">
        <f t="shared" si="193"/>
        <v>2.5499999999999998E-2</v>
      </c>
      <c r="X436" s="30">
        <f t="shared" si="194"/>
        <v>133.67000000000002</v>
      </c>
      <c r="Y436" s="31">
        <f t="shared" si="195"/>
        <v>135.49</v>
      </c>
    </row>
    <row r="437" spans="1:25" ht="15" customHeight="1" x14ac:dyDescent="0.25">
      <c r="A437" s="5">
        <v>40286</v>
      </c>
      <c r="B437">
        <v>1209.3116</v>
      </c>
      <c r="C437" s="29">
        <f t="shared" si="199"/>
        <v>-2.0000000000000001E-4</v>
      </c>
      <c r="D437">
        <v>-0.49</v>
      </c>
      <c r="E437">
        <v>-0.61</v>
      </c>
      <c r="F437" s="18">
        <f t="shared" si="186"/>
        <v>0.44800000000000217</v>
      </c>
      <c r="G437" s="18">
        <f t="shared" si="187"/>
        <v>0.31600000000000072</v>
      </c>
      <c r="H437">
        <v>5.57</v>
      </c>
      <c r="I437">
        <v>2.4300000000000002</v>
      </c>
      <c r="J437">
        <f t="shared" si="196"/>
        <v>4</v>
      </c>
      <c r="K437" s="6">
        <f t="shared" si="197"/>
        <v>4.0599999999999996</v>
      </c>
      <c r="L437" s="6">
        <f t="shared" si="198"/>
        <v>-5.0000000000000711E-2</v>
      </c>
      <c r="M437">
        <v>11.431896437122999</v>
      </c>
      <c r="N437">
        <v>472250</v>
      </c>
      <c r="O437" s="18">
        <f>ROUND(N437/VLOOKUP(EOMONTH(A437,-1),Employment!A:P,16,FALSE),4)</f>
        <v>1.9913000000000001</v>
      </c>
      <c r="P437" s="18">
        <f t="shared" si="188"/>
        <v>1.9881</v>
      </c>
      <c r="Q437" s="29">
        <f t="shared" si="189"/>
        <v>-0.28510000000000002</v>
      </c>
      <c r="R437" s="29">
        <f t="shared" si="190"/>
        <v>1.0500000000000001E-2</v>
      </c>
      <c r="S437">
        <v>4755000</v>
      </c>
      <c r="T437" s="18">
        <f>ROUND((S437/7)/VLOOKUP(EOMONTH(A437,-1),Employment!A:P,16,FALSE),4)</f>
        <v>2.8643000000000001</v>
      </c>
      <c r="U437" s="18">
        <f t="shared" si="191"/>
        <v>2.8443999999999998</v>
      </c>
      <c r="V437" s="29">
        <f t="shared" si="192"/>
        <v>-0.21149999999999999</v>
      </c>
      <c r="W437" s="29">
        <f t="shared" si="193"/>
        <v>2.9499999999999998E-2</v>
      </c>
      <c r="X437" s="30">
        <f t="shared" si="194"/>
        <v>136.04</v>
      </c>
      <c r="Y437" s="31">
        <f t="shared" si="195"/>
        <v>136.9</v>
      </c>
    </row>
    <row r="438" spans="1:25" ht="15" customHeight="1" x14ac:dyDescent="0.25">
      <c r="A438" s="5">
        <v>40279</v>
      </c>
      <c r="B438">
        <v>1210.9892</v>
      </c>
      <c r="C438" s="29">
        <f t="shared" si="199"/>
        <v>2.0000000000000001E-4</v>
      </c>
      <c r="D438">
        <v>-0.47</v>
      </c>
      <c r="E438">
        <v>-0.57899999999999996</v>
      </c>
      <c r="F438" s="18">
        <f t="shared" si="186"/>
        <v>0.15199999999999925</v>
      </c>
      <c r="G438" s="18">
        <f t="shared" si="187"/>
        <v>0.45199999999999996</v>
      </c>
      <c r="H438">
        <v>5.68</v>
      </c>
      <c r="I438">
        <v>2.4300000000000002</v>
      </c>
      <c r="J438">
        <f t="shared" si="196"/>
        <v>4.0599999999999996</v>
      </c>
      <c r="K438" s="6">
        <f t="shared" si="197"/>
        <v>4.1100000000000003</v>
      </c>
      <c r="L438" s="6">
        <f t="shared" si="198"/>
        <v>-5.9999999999999609E-2</v>
      </c>
      <c r="M438">
        <v>11.7659819654</v>
      </c>
      <c r="N438">
        <v>472000</v>
      </c>
      <c r="O438" s="18">
        <f>ROUND(N438/VLOOKUP(EOMONTH(A438,-1),Employment!A:P,16,FALSE),4)</f>
        <v>1.9902</v>
      </c>
      <c r="P438" s="18">
        <f t="shared" si="188"/>
        <v>1.9959</v>
      </c>
      <c r="Q438" s="29">
        <f t="shared" si="189"/>
        <v>-0.28660000000000002</v>
      </c>
      <c r="R438" s="29">
        <f t="shared" si="190"/>
        <v>1.4500000000000001E-2</v>
      </c>
      <c r="S438">
        <v>4668000</v>
      </c>
      <c r="T438" s="18">
        <f>ROUND((S438/7)/VLOOKUP(EOMONTH(A438,-1),Employment!A:P,16,FALSE),4)</f>
        <v>2.8119000000000001</v>
      </c>
      <c r="U438" s="18">
        <f t="shared" si="191"/>
        <v>2.8439999999999999</v>
      </c>
      <c r="V438" s="29">
        <f t="shared" si="192"/>
        <v>-0.19620000000000001</v>
      </c>
      <c r="W438" s="29">
        <f t="shared" si="193"/>
        <v>3.0800000000000001E-2</v>
      </c>
      <c r="X438" s="30">
        <f t="shared" si="194"/>
        <v>138.69</v>
      </c>
      <c r="Y438" s="31">
        <f t="shared" si="195"/>
        <v>137.22</v>
      </c>
    </row>
    <row r="439" spans="1:25" ht="15" customHeight="1" x14ac:dyDescent="0.25">
      <c r="A439" s="5">
        <v>40272</v>
      </c>
      <c r="B439">
        <v>1201.7816</v>
      </c>
      <c r="C439" s="29">
        <f t="shared" si="199"/>
        <v>-1.0999999999999999E-2</v>
      </c>
      <c r="D439">
        <v>-0.45</v>
      </c>
      <c r="E439">
        <v>-0.58499999999999996</v>
      </c>
      <c r="F439" s="18">
        <f t="shared" si="186"/>
        <v>-0.2840000000000007</v>
      </c>
      <c r="G439" s="18">
        <f t="shared" si="187"/>
        <v>1.3999999999999986</v>
      </c>
      <c r="H439">
        <v>5.82</v>
      </c>
      <c r="I439">
        <v>2.44</v>
      </c>
      <c r="J439">
        <f t="shared" si="196"/>
        <v>4.13</v>
      </c>
      <c r="K439" s="6">
        <f t="shared" si="197"/>
        <v>4.17</v>
      </c>
      <c r="L439" s="6">
        <f t="shared" si="198"/>
        <v>-7.0000000000000284E-2</v>
      </c>
      <c r="M439">
        <v>11.895504948811</v>
      </c>
      <c r="N439">
        <v>470250</v>
      </c>
      <c r="O439" s="18">
        <f>ROUND(N439/VLOOKUP(EOMONTH(A439,-1),Employment!A:P,16,FALSE),4)</f>
        <v>1.9827999999999999</v>
      </c>
      <c r="P439" s="18">
        <f t="shared" si="188"/>
        <v>2.0139999999999998</v>
      </c>
      <c r="Q439" s="29">
        <f t="shared" si="189"/>
        <v>-0.2792</v>
      </c>
      <c r="R439" s="29">
        <f t="shared" si="190"/>
        <v>1.3599999999999999E-2</v>
      </c>
      <c r="S439">
        <v>4743000</v>
      </c>
      <c r="T439" s="18">
        <f>ROUND((S439/7)/VLOOKUP(EOMONTH(A439,-1),Employment!A:P,16,FALSE),4)</f>
        <v>2.8570000000000002</v>
      </c>
      <c r="U439" s="18">
        <f t="shared" si="191"/>
        <v>2.8643000000000001</v>
      </c>
      <c r="V439" s="29">
        <f t="shared" si="192"/>
        <v>-0.17480000000000001</v>
      </c>
      <c r="W439" s="29">
        <f t="shared" si="193"/>
        <v>3.1199999999999999E-2</v>
      </c>
      <c r="X439" s="30">
        <f t="shared" si="194"/>
        <v>134.55000000000001</v>
      </c>
      <c r="Y439" s="31">
        <f t="shared" si="195"/>
        <v>137.80000000000001</v>
      </c>
    </row>
    <row r="440" spans="1:25" ht="15" customHeight="1" x14ac:dyDescent="0.25">
      <c r="A440" s="5">
        <v>40265</v>
      </c>
      <c r="B440">
        <v>1212.55</v>
      </c>
      <c r="C440" s="29">
        <f t="shared" si="199"/>
        <v>-4.4000000000000003E-3</v>
      </c>
      <c r="D440">
        <v>-0.42</v>
      </c>
      <c r="E440">
        <v>-0.65800000000000003</v>
      </c>
      <c r="F440" s="18">
        <f t="shared" si="186"/>
        <v>0.58400000000000141</v>
      </c>
      <c r="G440" s="18">
        <f t="shared" si="187"/>
        <v>2.58</v>
      </c>
      <c r="H440">
        <v>5.8</v>
      </c>
      <c r="I440">
        <v>2.4900000000000002</v>
      </c>
      <c r="J440">
        <f t="shared" si="196"/>
        <v>4.1500000000000004</v>
      </c>
      <c r="K440" s="6">
        <f t="shared" si="197"/>
        <v>4.24</v>
      </c>
      <c r="L440" s="6">
        <f t="shared" si="198"/>
        <v>-0.10999999999999943</v>
      </c>
      <c r="M440">
        <v>11.663050018422</v>
      </c>
      <c r="N440">
        <v>477500</v>
      </c>
      <c r="O440" s="18">
        <f>ROUND(N440/VLOOKUP(EOMONTH(A440,-1),Employment!A:P,16,FALSE),4)</f>
        <v>2.0148000000000001</v>
      </c>
      <c r="P440" s="18">
        <f t="shared" si="188"/>
        <v>2.0383</v>
      </c>
      <c r="Q440" s="29">
        <f t="shared" si="189"/>
        <v>-0.26719999999999999</v>
      </c>
      <c r="R440" s="29">
        <f t="shared" si="190"/>
        <v>1.32E-2</v>
      </c>
      <c r="S440">
        <v>4750000</v>
      </c>
      <c r="T440" s="18">
        <f>ROUND((S440/7)/VLOOKUP(EOMONTH(A440,-1),Employment!A:P,16,FALSE),4)</f>
        <v>2.8632</v>
      </c>
      <c r="U440" s="18">
        <f t="shared" si="191"/>
        <v>2.8673999999999999</v>
      </c>
      <c r="V440" s="29">
        <f t="shared" si="192"/>
        <v>-0.1552</v>
      </c>
      <c r="W440" s="29">
        <f t="shared" si="193"/>
        <v>3.1199999999999999E-2</v>
      </c>
      <c r="X440" s="30">
        <f t="shared" si="194"/>
        <v>140.22</v>
      </c>
      <c r="Y440" s="31">
        <f t="shared" si="195"/>
        <v>139.94999999999999</v>
      </c>
    </row>
    <row r="441" spans="1:25" ht="15" customHeight="1" x14ac:dyDescent="0.25">
      <c r="A441" s="5">
        <v>40258</v>
      </c>
      <c r="B441">
        <v>1213.0914</v>
      </c>
      <c r="C441" s="29">
        <f t="shared" si="199"/>
        <v>-7.3000000000000001E-3</v>
      </c>
      <c r="D441">
        <v>-0.38</v>
      </c>
      <c r="E441">
        <v>-0.63500000000000001</v>
      </c>
      <c r="F441" s="18">
        <f t="shared" si="186"/>
        <v>1.0999999999999979</v>
      </c>
      <c r="G441" s="18">
        <f t="shared" si="187"/>
        <v>3.0039999999999996</v>
      </c>
      <c r="H441">
        <v>5.98</v>
      </c>
      <c r="I441">
        <v>2.4900000000000002</v>
      </c>
      <c r="J441">
        <f t="shared" si="196"/>
        <v>4.24</v>
      </c>
      <c r="K441" s="6">
        <f t="shared" si="197"/>
        <v>4.3499999999999996</v>
      </c>
      <c r="L441" s="6">
        <f t="shared" si="198"/>
        <v>-0.14000000000000057</v>
      </c>
      <c r="M441">
        <v>11.270768883344999</v>
      </c>
      <c r="N441">
        <v>484500</v>
      </c>
      <c r="O441" s="18">
        <f>ROUND(N441/VLOOKUP(EOMONTH(A441,-1),Employment!A:P,16,FALSE),4)</f>
        <v>2.0442999999999998</v>
      </c>
      <c r="P441" s="18">
        <f t="shared" si="188"/>
        <v>2.0499000000000001</v>
      </c>
      <c r="Q441" s="29">
        <f t="shared" si="189"/>
        <v>-0.25850000000000001</v>
      </c>
      <c r="R441" s="29">
        <f t="shared" si="190"/>
        <v>1.6199999999999999E-2</v>
      </c>
      <c r="S441">
        <v>4766000</v>
      </c>
      <c r="T441" s="18">
        <f>ROUND((S441/7)/VLOOKUP(EOMONTH(A441,-1),Employment!A:P,16,FALSE),4)</f>
        <v>2.8727999999999998</v>
      </c>
      <c r="U441" s="18">
        <f t="shared" si="191"/>
        <v>2.8708</v>
      </c>
      <c r="V441" s="29">
        <f t="shared" si="192"/>
        <v>-0.13389999999999999</v>
      </c>
      <c r="W441" s="29">
        <f t="shared" si="193"/>
        <v>3.0700000000000002E-2</v>
      </c>
      <c r="X441" s="30">
        <f t="shared" si="194"/>
        <v>139.87</v>
      </c>
      <c r="Y441" s="31">
        <f t="shared" si="195"/>
        <v>139.69</v>
      </c>
    </row>
    <row r="442" spans="1:25" ht="15" customHeight="1" x14ac:dyDescent="0.25">
      <c r="A442" s="5">
        <v>40251</v>
      </c>
      <c r="B442">
        <v>1215.4758999999999</v>
      </c>
      <c r="C442" s="29">
        <f t="shared" si="199"/>
        <v>-8.6E-3</v>
      </c>
      <c r="D442">
        <v>-0.33</v>
      </c>
      <c r="E442">
        <v>-0.56000000000000005</v>
      </c>
      <c r="F442" s="18">
        <f t="shared" si="186"/>
        <v>0.8960000000000008</v>
      </c>
      <c r="G442" s="18">
        <f t="shared" si="187"/>
        <v>2.628000000000001</v>
      </c>
      <c r="H442">
        <v>6.11</v>
      </c>
      <c r="I442">
        <v>2.5499999999999998</v>
      </c>
      <c r="J442">
        <f t="shared" si="196"/>
        <v>4.33</v>
      </c>
      <c r="K442" s="6">
        <f t="shared" si="197"/>
        <v>4.49</v>
      </c>
      <c r="L442" s="6">
        <f t="shared" si="198"/>
        <v>-8.9999999999999858E-2</v>
      </c>
      <c r="M442">
        <v>11.065069359799001</v>
      </c>
      <c r="N442">
        <v>487250</v>
      </c>
      <c r="O442" s="18">
        <f>ROUND(N442/VLOOKUP(EOMONTH(A442,-1),Employment!A:P,16,FALSE),4)</f>
        <v>2.0558999999999998</v>
      </c>
      <c r="P442" s="18">
        <f t="shared" si="188"/>
        <v>2.0550000000000002</v>
      </c>
      <c r="Q442" s="29">
        <f t="shared" si="189"/>
        <v>-0.25040000000000001</v>
      </c>
      <c r="R442" s="29">
        <f t="shared" si="190"/>
        <v>2.3099999999999999E-2</v>
      </c>
      <c r="S442">
        <v>4755000</v>
      </c>
      <c r="T442" s="18">
        <f>ROUND((S442/7)/VLOOKUP(EOMONTH(A442,-1),Employment!A:P,16,FALSE),4)</f>
        <v>2.8662000000000001</v>
      </c>
      <c r="U442" s="18">
        <f t="shared" si="191"/>
        <v>2.8813</v>
      </c>
      <c r="V442" s="29">
        <f t="shared" si="192"/>
        <v>-0.1133</v>
      </c>
      <c r="W442" s="29">
        <f t="shared" si="193"/>
        <v>2.92E-2</v>
      </c>
      <c r="X442" s="30">
        <f t="shared" si="194"/>
        <v>139.46</v>
      </c>
      <c r="Y442" s="31">
        <f t="shared" si="195"/>
        <v>139.41999999999999</v>
      </c>
    </row>
    <row r="443" spans="1:25" ht="15" customHeight="1" x14ac:dyDescent="0.25">
      <c r="A443" s="5">
        <v>40244</v>
      </c>
      <c r="B443">
        <v>1219.4096</v>
      </c>
      <c r="C443" s="29">
        <f t="shared" si="199"/>
        <v>-8.5000000000000006E-3</v>
      </c>
      <c r="D443">
        <v>-0.28999999999999998</v>
      </c>
      <c r="E443">
        <v>-0.498</v>
      </c>
      <c r="F443" s="18">
        <f t="shared" si="186"/>
        <v>1.0080000000000009</v>
      </c>
      <c r="G443" s="18">
        <f t="shared" si="187"/>
        <v>1.2919999999999998</v>
      </c>
      <c r="H443">
        <v>6.37</v>
      </c>
      <c r="I443">
        <v>2.61</v>
      </c>
      <c r="J443">
        <f t="shared" si="196"/>
        <v>4.49</v>
      </c>
      <c r="K443" s="6">
        <f t="shared" si="197"/>
        <v>4.58</v>
      </c>
      <c r="L443" s="6">
        <f t="shared" si="198"/>
        <v>-0.12999999999999989</v>
      </c>
      <c r="M443">
        <v>11.659735910028999</v>
      </c>
      <c r="N443">
        <v>485750</v>
      </c>
      <c r="O443" s="18">
        <f>ROUND(N443/VLOOKUP(EOMONTH(A443,-1),Employment!A:P,16,FALSE),4)</f>
        <v>2.0495999999999999</v>
      </c>
      <c r="P443" s="18">
        <f t="shared" si="188"/>
        <v>2.0459999999999998</v>
      </c>
      <c r="Q443" s="29">
        <f t="shared" si="189"/>
        <v>-0.24260000000000001</v>
      </c>
      <c r="R443" s="29">
        <f t="shared" si="190"/>
        <v>3.1099999999999999E-2</v>
      </c>
      <c r="S443">
        <v>4767000</v>
      </c>
      <c r="T443" s="18">
        <f>ROUND((S443/7)/VLOOKUP(EOMONTH(A443,-1),Employment!A:P,16,FALSE),4)</f>
        <v>2.8734000000000002</v>
      </c>
      <c r="U443" s="18">
        <f t="shared" si="191"/>
        <v>2.8986999999999998</v>
      </c>
      <c r="V443" s="29">
        <f t="shared" si="192"/>
        <v>-9.1899999999999996E-2</v>
      </c>
      <c r="W443" s="29">
        <f t="shared" si="193"/>
        <v>2.8799999999999999E-2</v>
      </c>
      <c r="X443" s="30">
        <f t="shared" si="194"/>
        <v>139.82</v>
      </c>
      <c r="Y443" s="31">
        <f t="shared" si="195"/>
        <v>138.43</v>
      </c>
    </row>
    <row r="444" spans="1:25" ht="15" customHeight="1" x14ac:dyDescent="0.25">
      <c r="A444" s="5">
        <v>40237</v>
      </c>
      <c r="B444">
        <v>1223.5101</v>
      </c>
      <c r="C444" s="29">
        <f t="shared" si="199"/>
        <v>-8.6E-3</v>
      </c>
      <c r="D444">
        <v>-0.25</v>
      </c>
      <c r="E444">
        <v>-0.42199999999999999</v>
      </c>
      <c r="F444" s="18">
        <f t="shared" si="186"/>
        <v>0.72399999999999931</v>
      </c>
      <c r="G444" s="18">
        <f t="shared" si="187"/>
        <v>0.34799999999999898</v>
      </c>
      <c r="H444">
        <v>6.66</v>
      </c>
      <c r="I444">
        <v>2.62</v>
      </c>
      <c r="J444">
        <f t="shared" si="196"/>
        <v>4.6399999999999997</v>
      </c>
      <c r="K444" s="6">
        <f t="shared" si="197"/>
        <v>4.71</v>
      </c>
      <c r="L444" s="6">
        <f t="shared" si="198"/>
        <v>-3.0000000000000249E-2</v>
      </c>
      <c r="M444">
        <v>13.133107397508001</v>
      </c>
      <c r="N444">
        <v>487750</v>
      </c>
      <c r="O444" s="18">
        <f>ROUND(N444/VLOOKUP(EOMONTH(A444,-1),Employment!A:P,16,FALSE),4)</f>
        <v>2.0594999999999999</v>
      </c>
      <c r="P444" s="18">
        <f t="shared" si="188"/>
        <v>2.0453999999999999</v>
      </c>
      <c r="Q444" s="29">
        <f t="shared" si="189"/>
        <v>-0.22950000000000001</v>
      </c>
      <c r="R444" s="29">
        <f t="shared" si="190"/>
        <v>3.4299999999999997E-2</v>
      </c>
      <c r="S444">
        <v>4815000</v>
      </c>
      <c r="T444" s="18">
        <f>ROUND((S444/7)/VLOOKUP(EOMONTH(A444,-1),Employment!A:P,16,FALSE),4)</f>
        <v>2.9043999999999999</v>
      </c>
      <c r="U444" s="18">
        <f t="shared" si="191"/>
        <v>2.9051999999999998</v>
      </c>
      <c r="V444" s="29">
        <f t="shared" si="192"/>
        <v>-7.2599999999999998E-2</v>
      </c>
      <c r="W444" s="29">
        <f t="shared" si="193"/>
        <v>2.93E-2</v>
      </c>
      <c r="X444" s="30">
        <f t="shared" si="194"/>
        <v>138.29</v>
      </c>
      <c r="Y444" s="31">
        <f t="shared" si="195"/>
        <v>135.87</v>
      </c>
    </row>
    <row r="445" spans="1:25" ht="15" customHeight="1" x14ac:dyDescent="0.25">
      <c r="A445" s="5">
        <v>40230</v>
      </c>
      <c r="B445">
        <v>1229.7763</v>
      </c>
      <c r="C445" s="29">
        <f t="shared" si="199"/>
        <v>-5.4000000000000003E-3</v>
      </c>
      <c r="D445">
        <v>-0.22</v>
      </c>
      <c r="E445">
        <v>-0.36899999999999999</v>
      </c>
      <c r="F445" s="18">
        <f t="shared" si="186"/>
        <v>-0.44000000000000039</v>
      </c>
      <c r="G445" s="18">
        <f t="shared" si="187"/>
        <v>-0.81200000000000028</v>
      </c>
      <c r="H445">
        <v>6.56</v>
      </c>
      <c r="I445">
        <v>2.65</v>
      </c>
      <c r="J445">
        <f t="shared" si="196"/>
        <v>4.6100000000000003</v>
      </c>
      <c r="K445" s="6">
        <f t="shared" si="197"/>
        <v>4.74</v>
      </c>
      <c r="L445" s="6">
        <f t="shared" si="198"/>
        <v>3.0000000000000249E-2</v>
      </c>
      <c r="M445">
        <v>15.355487001852</v>
      </c>
      <c r="N445">
        <v>480500</v>
      </c>
      <c r="O445" s="18">
        <f>ROUND(N445/VLOOKUP(EOMONTH(A445,-1),Employment!A:P,16,FALSE),4)</f>
        <v>2.0289000000000001</v>
      </c>
      <c r="P445" s="18">
        <f t="shared" si="188"/>
        <v>2.0426000000000002</v>
      </c>
      <c r="Q445" s="29">
        <f t="shared" si="189"/>
        <v>-0.21010000000000001</v>
      </c>
      <c r="R445" s="29">
        <f t="shared" si="190"/>
        <v>2.98E-2</v>
      </c>
      <c r="S445">
        <v>4838000</v>
      </c>
      <c r="T445" s="18">
        <f>ROUND((S445/7)/VLOOKUP(EOMONTH(A445,-1),Employment!A:P,16,FALSE),4)</f>
        <v>2.9182999999999999</v>
      </c>
      <c r="U445" s="18">
        <f t="shared" si="191"/>
        <v>2.9104000000000001</v>
      </c>
      <c r="V445" s="29">
        <f t="shared" si="192"/>
        <v>-5.28E-2</v>
      </c>
      <c r="W445" s="29">
        <f t="shared" si="193"/>
        <v>3.2500000000000001E-2</v>
      </c>
      <c r="X445" s="30">
        <f t="shared" si="194"/>
        <v>135.29</v>
      </c>
      <c r="Y445" s="31">
        <f t="shared" si="195"/>
        <v>132.80000000000001</v>
      </c>
    </row>
    <row r="446" spans="1:25" ht="15" customHeight="1" x14ac:dyDescent="0.25">
      <c r="A446" s="5">
        <v>40223</v>
      </c>
      <c r="B446">
        <v>1231.3696</v>
      </c>
      <c r="C446" s="29">
        <f t="shared" si="199"/>
        <v>-7.1000000000000004E-3</v>
      </c>
      <c r="D446">
        <v>-0.2</v>
      </c>
      <c r="E446">
        <v>-0.44900000000000001</v>
      </c>
      <c r="F446" s="18">
        <f t="shared" si="186"/>
        <v>6.4000000000000057E-2</v>
      </c>
      <c r="G446" s="18">
        <f t="shared" si="187"/>
        <v>-0.39999999999999947</v>
      </c>
      <c r="H446">
        <v>7.03</v>
      </c>
      <c r="I446">
        <v>2.72</v>
      </c>
      <c r="J446">
        <f t="shared" si="196"/>
        <v>4.88</v>
      </c>
      <c r="K446" s="6">
        <f t="shared" si="197"/>
        <v>4.71</v>
      </c>
      <c r="L446" s="6">
        <f t="shared" si="198"/>
        <v>0.15000000000000036</v>
      </c>
      <c r="M446">
        <v>17.844129036990999</v>
      </c>
      <c r="N446">
        <v>485000</v>
      </c>
      <c r="O446" s="18">
        <f>ROUND(N446/VLOOKUP(EOMONTH(A446,-1),Employment!A:P,16,FALSE),4)</f>
        <v>2.0478999999999998</v>
      </c>
      <c r="P446" s="18">
        <f t="shared" si="188"/>
        <v>2.0356000000000001</v>
      </c>
      <c r="Q446" s="29">
        <f t="shared" si="189"/>
        <v>-0.1845</v>
      </c>
      <c r="R446" s="29">
        <f t="shared" si="190"/>
        <v>1.7100000000000001E-2</v>
      </c>
      <c r="S446">
        <v>4796000</v>
      </c>
      <c r="T446" s="18">
        <f>ROUND((S446/7)/VLOOKUP(EOMONTH(A446,-1),Employment!A:P,16,FALSE),4)</f>
        <v>2.8929</v>
      </c>
      <c r="U446" s="18">
        <f t="shared" si="191"/>
        <v>2.9041999999999999</v>
      </c>
      <c r="V446" s="29">
        <f t="shared" si="192"/>
        <v>-3.6200000000000003E-2</v>
      </c>
      <c r="W446" s="29">
        <f t="shared" si="193"/>
        <v>3.6799999999999999E-2</v>
      </c>
      <c r="X446" s="30">
        <f t="shared" si="194"/>
        <v>131.29</v>
      </c>
      <c r="Y446" s="31">
        <f t="shared" si="195"/>
        <v>131.63999999999999</v>
      </c>
    </row>
    <row r="447" spans="1:25" ht="15" customHeight="1" x14ac:dyDescent="0.25">
      <c r="A447" s="5">
        <v>40216</v>
      </c>
      <c r="B447">
        <v>1234.9835</v>
      </c>
      <c r="C447" s="29">
        <f t="shared" si="199"/>
        <v>-8.6E-3</v>
      </c>
      <c r="D447">
        <v>-0.2</v>
      </c>
      <c r="E447">
        <v>-0.441</v>
      </c>
      <c r="F447" s="18">
        <f t="shared" si="186"/>
        <v>-0.43599999999999994</v>
      </c>
      <c r="G447" s="18">
        <f t="shared" si="187"/>
        <v>0.60000000000000053</v>
      </c>
      <c r="H447">
        <v>6.81</v>
      </c>
      <c r="I447">
        <v>2.62</v>
      </c>
      <c r="J447">
        <f t="shared" si="196"/>
        <v>4.72</v>
      </c>
      <c r="K447" s="6">
        <f t="shared" si="197"/>
        <v>4.5599999999999996</v>
      </c>
      <c r="L447" s="6">
        <f t="shared" si="198"/>
        <v>0.13999999999999968</v>
      </c>
      <c r="M447">
        <v>19.666803638493001</v>
      </c>
      <c r="N447">
        <v>485750</v>
      </c>
      <c r="O447" s="18">
        <f>ROUND(N447/VLOOKUP(EOMONTH(A447,-1),Employment!A:P,16,FALSE),4)</f>
        <v>2.0510000000000002</v>
      </c>
      <c r="P447" s="18">
        <f t="shared" si="188"/>
        <v>2.0213000000000001</v>
      </c>
      <c r="Q447" s="29">
        <f t="shared" si="189"/>
        <v>-0.15809999999999999</v>
      </c>
      <c r="R447" s="29">
        <f t="shared" si="190"/>
        <v>5.8999999999999999E-3</v>
      </c>
      <c r="S447">
        <v>4841000</v>
      </c>
      <c r="T447" s="18">
        <f>ROUND((S447/7)/VLOOKUP(EOMONTH(A447,-1),Employment!A:P,16,FALSE),4)</f>
        <v>2.9201000000000001</v>
      </c>
      <c r="U447" s="18">
        <f t="shared" si="191"/>
        <v>2.9205999999999999</v>
      </c>
      <c r="V447" s="29">
        <f t="shared" si="192"/>
        <v>-1.37E-2</v>
      </c>
      <c r="W447" s="29">
        <f t="shared" si="193"/>
        <v>4.3400000000000001E-2</v>
      </c>
      <c r="X447" s="30">
        <f t="shared" si="194"/>
        <v>130.32999999999998</v>
      </c>
      <c r="Y447" s="31">
        <f t="shared" si="195"/>
        <v>133.78</v>
      </c>
    </row>
    <row r="448" spans="1:25" ht="15" customHeight="1" x14ac:dyDescent="0.25">
      <c r="A448" s="5">
        <v>40209</v>
      </c>
      <c r="B448">
        <v>1240.2128</v>
      </c>
      <c r="C448" s="29">
        <f t="shared" si="199"/>
        <v>-8.3000000000000001E-3</v>
      </c>
      <c r="D448">
        <v>-0.19</v>
      </c>
      <c r="E448">
        <v>-0.50800000000000001</v>
      </c>
      <c r="F448" s="18">
        <f t="shared" si="186"/>
        <v>-2.7999999999999581E-2</v>
      </c>
      <c r="G448" s="18">
        <f t="shared" si="187"/>
        <v>2.0280000000000005</v>
      </c>
      <c r="H448">
        <v>6.46</v>
      </c>
      <c r="I448">
        <v>2.57</v>
      </c>
      <c r="J448">
        <f t="shared" si="196"/>
        <v>4.5199999999999996</v>
      </c>
      <c r="K448" s="6">
        <f t="shared" si="197"/>
        <v>4.42</v>
      </c>
      <c r="L448" s="6">
        <f t="shared" si="198"/>
        <v>8.9999999999999858E-2</v>
      </c>
      <c r="M448">
        <v>20.701084337596001</v>
      </c>
      <c r="N448">
        <v>475750</v>
      </c>
      <c r="O448" s="18">
        <f>ROUND(N448/VLOOKUP(EOMONTH(A448,-1),Employment!A:P,16,FALSE),4)</f>
        <v>2.008</v>
      </c>
      <c r="P448" s="18">
        <f t="shared" si="188"/>
        <v>1.9961</v>
      </c>
      <c r="Q448" s="29">
        <f t="shared" si="189"/>
        <v>-0.14510000000000001</v>
      </c>
      <c r="R448" s="29">
        <f t="shared" si="190"/>
        <v>1.1999999999999999E-3</v>
      </c>
      <c r="S448">
        <v>4809000</v>
      </c>
      <c r="T448" s="18">
        <f>ROUND((S448/7)/VLOOKUP(EOMONTH(A448,-1),Employment!A:P,16,FALSE),4)</f>
        <v>2.8997000000000002</v>
      </c>
      <c r="U448" s="18">
        <f t="shared" si="191"/>
        <v>2.9260000000000002</v>
      </c>
      <c r="V448" s="29">
        <f t="shared" si="192"/>
        <v>8.3999999999999995E-3</v>
      </c>
      <c r="W448" s="29">
        <f t="shared" si="193"/>
        <v>5.2499999999999998E-2</v>
      </c>
      <c r="X448" s="30">
        <f t="shared" si="194"/>
        <v>135.81</v>
      </c>
      <c r="Y448" s="31">
        <f t="shared" si="195"/>
        <v>137.18</v>
      </c>
    </row>
    <row r="449" spans="1:25" ht="15" customHeight="1" x14ac:dyDescent="0.25">
      <c r="A449" s="5">
        <v>40202</v>
      </c>
      <c r="B449">
        <v>1239.0192999999999</v>
      </c>
      <c r="C449" s="29">
        <f t="shared" si="199"/>
        <v>-1.4999999999999999E-2</v>
      </c>
      <c r="D449">
        <v>-0.18</v>
      </c>
      <c r="E449">
        <v>-0.52400000000000002</v>
      </c>
      <c r="F449" s="18">
        <f t="shared" si="186"/>
        <v>1.0640000000000001</v>
      </c>
      <c r="G449" s="18">
        <f t="shared" si="187"/>
        <v>2.2799999999999998</v>
      </c>
      <c r="H449">
        <v>6.36</v>
      </c>
      <c r="I449">
        <v>2.5299999999999998</v>
      </c>
      <c r="J449">
        <f t="shared" si="196"/>
        <v>4.45</v>
      </c>
      <c r="K449" s="6">
        <f t="shared" si="197"/>
        <v>4.33</v>
      </c>
      <c r="L449" s="6">
        <f t="shared" si="198"/>
        <v>-9.9999999999997868E-3</v>
      </c>
      <c r="M449">
        <v>21.094573425909001</v>
      </c>
      <c r="N449">
        <v>475000</v>
      </c>
      <c r="O449" s="18">
        <f>ROUND(N449/VLOOKUP(EOMONTH(A449,-1),Employment!A:P,16,FALSE),4)</f>
        <v>2.0049000000000001</v>
      </c>
      <c r="P449" s="18">
        <f t="shared" si="188"/>
        <v>1.9954000000000001</v>
      </c>
      <c r="Q449" s="29">
        <f t="shared" si="189"/>
        <v>-0.1396</v>
      </c>
      <c r="R449" s="29">
        <f t="shared" si="190"/>
        <v>5.1999999999999998E-3</v>
      </c>
      <c r="S449">
        <v>4879000</v>
      </c>
      <c r="T449" s="18">
        <f>ROUND((S449/7)/VLOOKUP(EOMONTH(A449,-1),Employment!A:P,16,FALSE),4)</f>
        <v>2.9419</v>
      </c>
      <c r="U449" s="18">
        <f t="shared" si="191"/>
        <v>2.9618000000000002</v>
      </c>
      <c r="V449" s="29">
        <f t="shared" si="192"/>
        <v>3.4500000000000003E-2</v>
      </c>
      <c r="W449" s="29">
        <f t="shared" si="193"/>
        <v>5.7599999999999998E-2</v>
      </c>
      <c r="X449" s="30">
        <f t="shared" si="194"/>
        <v>137.32999999999998</v>
      </c>
      <c r="Y449" s="31">
        <f t="shared" si="195"/>
        <v>139.97</v>
      </c>
    </row>
    <row r="450" spans="1:25" ht="15" customHeight="1" x14ac:dyDescent="0.25">
      <c r="A450" s="5">
        <v>40195</v>
      </c>
      <c r="B450">
        <v>1246.4253000000001</v>
      </c>
      <c r="C450" s="29">
        <f t="shared" si="199"/>
        <v>-1.4500000000000001E-2</v>
      </c>
      <c r="D450">
        <v>-0.16</v>
      </c>
      <c r="E450">
        <v>-0.41599999999999998</v>
      </c>
      <c r="F450" s="18">
        <f t="shared" si="186"/>
        <v>0.99199999999999999</v>
      </c>
      <c r="G450" s="18">
        <f t="shared" si="187"/>
        <v>1.5079999999999996</v>
      </c>
      <c r="H450">
        <v>6.1</v>
      </c>
      <c r="I450">
        <v>2.48</v>
      </c>
      <c r="J450">
        <f t="shared" si="196"/>
        <v>4.29</v>
      </c>
      <c r="K450" s="6">
        <f t="shared" si="197"/>
        <v>4.34</v>
      </c>
      <c r="L450" s="6">
        <f t="shared" si="198"/>
        <v>-0.10000000000000053</v>
      </c>
      <c r="M450">
        <v>21.228688414120999</v>
      </c>
      <c r="N450">
        <v>468000</v>
      </c>
      <c r="O450" s="18">
        <f>ROUND(N450/VLOOKUP(EOMONTH(A450,-1),Employment!A:P,16,FALSE),4)</f>
        <v>1.9753000000000001</v>
      </c>
      <c r="P450" s="18">
        <f t="shared" si="188"/>
        <v>2.0101</v>
      </c>
      <c r="Q450" s="29">
        <f t="shared" si="189"/>
        <v>-0.14349999999999999</v>
      </c>
      <c r="R450" s="29">
        <f t="shared" si="190"/>
        <v>1.4800000000000001E-2</v>
      </c>
      <c r="S450">
        <v>4870000</v>
      </c>
      <c r="T450" s="18">
        <f>ROUND((S450/7)/VLOOKUP(EOMONTH(A450,-1),Employment!A:P,16,FALSE),4)</f>
        <v>2.9363999999999999</v>
      </c>
      <c r="U450" s="18">
        <f t="shared" si="191"/>
        <v>3.0062000000000002</v>
      </c>
      <c r="V450" s="29">
        <f t="shared" si="192"/>
        <v>6.6000000000000003E-2</v>
      </c>
      <c r="W450" s="29">
        <f t="shared" si="193"/>
        <v>6.0199999999999997E-2</v>
      </c>
      <c r="X450" s="30">
        <f t="shared" si="194"/>
        <v>140.24</v>
      </c>
      <c r="Y450" s="31">
        <f t="shared" si="195"/>
        <v>144.38</v>
      </c>
    </row>
    <row r="451" spans="1:25" ht="15" customHeight="1" x14ac:dyDescent="0.25">
      <c r="A451" s="5">
        <v>40188</v>
      </c>
      <c r="B451">
        <v>1256.8788999999999</v>
      </c>
      <c r="C451" s="29">
        <f t="shared" si="199"/>
        <v>-1.0699999999999999E-2</v>
      </c>
      <c r="D451">
        <v>-0.12</v>
      </c>
      <c r="E451">
        <v>-0.34200000000000003</v>
      </c>
      <c r="F451" s="18">
        <f t="shared" si="186"/>
        <v>0.22399999999999975</v>
      </c>
      <c r="G451" s="18">
        <f t="shared" si="187"/>
        <v>1.032</v>
      </c>
      <c r="H451">
        <v>6.02</v>
      </c>
      <c r="I451">
        <v>2.4900000000000002</v>
      </c>
      <c r="J451">
        <f t="shared" si="196"/>
        <v>4.26</v>
      </c>
      <c r="K451" s="6">
        <f t="shared" si="197"/>
        <v>4.4400000000000004</v>
      </c>
      <c r="L451" s="6">
        <f t="shared" si="198"/>
        <v>-0.17999999999999972</v>
      </c>
      <c r="M451">
        <v>21.640093175082001</v>
      </c>
      <c r="N451">
        <v>475250</v>
      </c>
      <c r="O451" s="18">
        <f>ROUND(N451/VLOOKUP(EOMONTH(A451,-1),Employment!A:P,16,FALSE),4)</f>
        <v>2.0059</v>
      </c>
      <c r="P451" s="18">
        <f t="shared" si="188"/>
        <v>2.0377000000000001</v>
      </c>
      <c r="Q451" s="29">
        <f t="shared" si="189"/>
        <v>-0.1421</v>
      </c>
      <c r="R451" s="29">
        <f t="shared" si="190"/>
        <v>2.5899999999999999E-2</v>
      </c>
      <c r="S451">
        <v>4987000</v>
      </c>
      <c r="T451" s="18">
        <f>ROUND((S451/7)/VLOOKUP(EOMONTH(A451,-1),Employment!A:P,16,FALSE),4)</f>
        <v>3.0070000000000001</v>
      </c>
      <c r="U451" s="18">
        <f t="shared" si="191"/>
        <v>3.0714999999999999</v>
      </c>
      <c r="V451" s="29">
        <f t="shared" si="192"/>
        <v>0.1085</v>
      </c>
      <c r="W451" s="29">
        <f t="shared" si="193"/>
        <v>6.1100000000000002E-2</v>
      </c>
      <c r="X451" s="30">
        <f t="shared" si="194"/>
        <v>145.87</v>
      </c>
      <c r="Y451" s="31">
        <f t="shared" si="195"/>
        <v>150.01</v>
      </c>
    </row>
    <row r="452" spans="1:25" ht="15" customHeight="1" x14ac:dyDescent="0.25">
      <c r="A452" s="5">
        <v>40181</v>
      </c>
      <c r="B452">
        <v>1260.1077</v>
      </c>
      <c r="C452" s="29">
        <f t="shared" si="199"/>
        <v>-1.34E-2</v>
      </c>
      <c r="D452">
        <v>-0.1</v>
      </c>
      <c r="E452">
        <v>-0.33900000000000002</v>
      </c>
      <c r="F452" s="18">
        <f t="shared" si="186"/>
        <v>0.29199999999999982</v>
      </c>
      <c r="G452" s="18">
        <f t="shared" si="187"/>
        <v>0.78000000000000025</v>
      </c>
      <c r="H452">
        <v>6.39</v>
      </c>
      <c r="I452">
        <v>2.54</v>
      </c>
      <c r="J452">
        <f t="shared" si="196"/>
        <v>4.47</v>
      </c>
      <c r="K452" s="6">
        <f t="shared" si="197"/>
        <v>4.62</v>
      </c>
      <c r="L452" s="6">
        <f t="shared" si="198"/>
        <v>-0.16999999999999993</v>
      </c>
      <c r="M452">
        <v>22.042006092975001</v>
      </c>
      <c r="N452">
        <v>485500</v>
      </c>
      <c r="O452" s="18">
        <f>ROUND(N452/VLOOKUP(EOMONTH(A452,-1),Employment!A:P,16,FALSE),4)</f>
        <v>2.0491999999999999</v>
      </c>
      <c r="P452" s="18">
        <f t="shared" si="188"/>
        <v>2.0562</v>
      </c>
      <c r="Q452" s="29">
        <f t="shared" si="189"/>
        <v>-0.1356</v>
      </c>
      <c r="R452" s="29">
        <f t="shared" si="190"/>
        <v>3.8100000000000002E-2</v>
      </c>
      <c r="S452">
        <v>5100000</v>
      </c>
      <c r="T452" s="18">
        <f>ROUND((S452/7)/VLOOKUP(EOMONTH(A452,-1),Employment!A:P,16,FALSE),4)</f>
        <v>3.0750999999999999</v>
      </c>
      <c r="U452" s="18">
        <f t="shared" si="191"/>
        <v>3.133</v>
      </c>
      <c r="V452" s="29">
        <f t="shared" si="192"/>
        <v>0.1525</v>
      </c>
      <c r="W452" s="29">
        <f t="shared" si="193"/>
        <v>7.5399999999999995E-2</v>
      </c>
      <c r="X452" s="30">
        <f t="shared" si="194"/>
        <v>150.99</v>
      </c>
      <c r="Y452" s="31">
        <f t="shared" si="195"/>
        <v>155.44999999999999</v>
      </c>
    </row>
    <row r="453" spans="1:25" ht="15" customHeight="1" x14ac:dyDescent="0.25">
      <c r="A453" s="5">
        <v>40174</v>
      </c>
      <c r="B453">
        <v>1268.3226</v>
      </c>
      <c r="C453" s="29">
        <f t="shared" si="199"/>
        <v>-1.0800000000000001E-2</v>
      </c>
      <c r="D453">
        <v>-7.0000000000000007E-2</v>
      </c>
      <c r="E453">
        <v>-0.34</v>
      </c>
      <c r="F453" s="18">
        <f t="shared" si="186"/>
        <v>0.51600000000000046</v>
      </c>
      <c r="G453" s="18">
        <f t="shared" si="187"/>
        <v>0.57600000000000051</v>
      </c>
      <c r="H453">
        <v>6.54</v>
      </c>
      <c r="I453">
        <v>2.65</v>
      </c>
      <c r="J453">
        <f t="shared" si="196"/>
        <v>4.5999999999999996</v>
      </c>
      <c r="K453" s="6">
        <f t="shared" si="197"/>
        <v>4.79</v>
      </c>
      <c r="L453" s="6">
        <f t="shared" si="198"/>
        <v>-0.16000000000000014</v>
      </c>
      <c r="M453">
        <v>22.577358935765002</v>
      </c>
      <c r="N453">
        <v>487250</v>
      </c>
      <c r="O453" s="18">
        <f>ROUND(N453/VLOOKUP(EOMONTH(A453,-1),Employment!A:P,16,FALSE),4)</f>
        <v>2.0581</v>
      </c>
      <c r="P453" s="18">
        <f t="shared" si="188"/>
        <v>2.0634000000000001</v>
      </c>
      <c r="Q453" s="29">
        <f t="shared" si="189"/>
        <v>-0.1211</v>
      </c>
      <c r="R453" s="29">
        <f t="shared" si="190"/>
        <v>4.9200000000000001E-2</v>
      </c>
      <c r="S453">
        <v>5191000</v>
      </c>
      <c r="T453" s="18">
        <f>ROUND((S453/7)/VLOOKUP(EOMONTH(A453,-1),Employment!A:P,16,FALSE),4)</f>
        <v>3.1324000000000001</v>
      </c>
      <c r="U453" s="18">
        <f t="shared" si="191"/>
        <v>3.1785999999999999</v>
      </c>
      <c r="V453" s="29">
        <f t="shared" si="192"/>
        <v>0.17780000000000001</v>
      </c>
      <c r="W453" s="29">
        <f t="shared" si="193"/>
        <v>8.2000000000000003E-2</v>
      </c>
      <c r="X453" s="30">
        <f t="shared" si="194"/>
        <v>157.91999999999999</v>
      </c>
      <c r="Y453" s="31">
        <f t="shared" si="195"/>
        <v>159.22</v>
      </c>
    </row>
    <row r="454" spans="1:25" ht="15" customHeight="1" x14ac:dyDescent="0.25">
      <c r="A454" s="5">
        <v>40167</v>
      </c>
      <c r="B454">
        <v>1273.9294</v>
      </c>
      <c r="C454" s="29">
        <f t="shared" si="199"/>
        <v>-1.09E-2</v>
      </c>
      <c r="D454">
        <v>-0.06</v>
      </c>
      <c r="E454">
        <v>-0.28799999999999998</v>
      </c>
      <c r="F454" s="18">
        <f t="shared" si="186"/>
        <v>-2.8000000000000025E-2</v>
      </c>
      <c r="G454" s="18">
        <f t="shared" si="187"/>
        <v>0.3879999999999999</v>
      </c>
      <c r="H454">
        <v>6.84</v>
      </c>
      <c r="I454">
        <v>2.73</v>
      </c>
      <c r="J454">
        <f t="shared" si="196"/>
        <v>4.79</v>
      </c>
      <c r="K454" s="6">
        <f t="shared" si="197"/>
        <v>4.95</v>
      </c>
      <c r="L454" s="6">
        <f t="shared" si="198"/>
        <v>-0.17999999999999972</v>
      </c>
      <c r="M454">
        <v>22.888650476952002</v>
      </c>
      <c r="N454">
        <v>488000</v>
      </c>
      <c r="O454" s="18">
        <f>ROUND(N454/VLOOKUP(EOMONTH(A454,-1),Employment!A:P,16,FALSE),4)</f>
        <v>2.0613000000000001</v>
      </c>
      <c r="P454" s="18">
        <f t="shared" si="188"/>
        <v>2.0729000000000002</v>
      </c>
      <c r="Q454" s="29">
        <f t="shared" si="189"/>
        <v>-9.7600000000000006E-2</v>
      </c>
      <c r="R454" s="29">
        <f t="shared" si="190"/>
        <v>5.8000000000000003E-2</v>
      </c>
      <c r="S454">
        <v>5289000</v>
      </c>
      <c r="T454" s="18">
        <f>ROUND((S454/7)/VLOOKUP(EOMONTH(A454,-1),Employment!A:P,16,FALSE),4)</f>
        <v>3.1915</v>
      </c>
      <c r="U454" s="18">
        <f t="shared" si="191"/>
        <v>3.2385999999999999</v>
      </c>
      <c r="V454" s="29">
        <f t="shared" si="192"/>
        <v>0.2324</v>
      </c>
      <c r="W454" s="29">
        <f t="shared" si="193"/>
        <v>7.7299999999999994E-2</v>
      </c>
      <c r="X454" s="30">
        <f t="shared" si="194"/>
        <v>160.41999999999999</v>
      </c>
      <c r="Y454" s="31">
        <f t="shared" si="195"/>
        <v>159.47</v>
      </c>
    </row>
    <row r="455" spans="1:25" ht="15" customHeight="1" x14ac:dyDescent="0.25">
      <c r="A455" s="5">
        <v>40160</v>
      </c>
      <c r="B455">
        <v>1279.6384</v>
      </c>
      <c r="C455" s="29">
        <f t="shared" si="199"/>
        <v>-0.01</v>
      </c>
      <c r="D455">
        <v>-0.05</v>
      </c>
      <c r="E455">
        <v>-0.30399999999999999</v>
      </c>
      <c r="F455" s="18">
        <f t="shared" si="186"/>
        <v>8.8000000000000078E-2</v>
      </c>
      <c r="G455" s="18">
        <f t="shared" si="187"/>
        <v>1.1599999999999999</v>
      </c>
      <c r="H455">
        <v>7.09</v>
      </c>
      <c r="I455">
        <v>2.86</v>
      </c>
      <c r="J455">
        <f t="shared" si="196"/>
        <v>4.9800000000000004</v>
      </c>
      <c r="K455" s="6">
        <f t="shared" si="197"/>
        <v>5.13</v>
      </c>
      <c r="L455" s="6">
        <f t="shared" si="198"/>
        <v>-8.0000000000000071E-2</v>
      </c>
      <c r="M455">
        <v>22.213130031279</v>
      </c>
      <c r="N455">
        <v>490250</v>
      </c>
      <c r="O455" s="18">
        <f>ROUND(N455/VLOOKUP(EOMONTH(A455,-1),Employment!A:P,16,FALSE),4)</f>
        <v>2.0708000000000002</v>
      </c>
      <c r="P455" s="18">
        <f t="shared" si="188"/>
        <v>2.0985</v>
      </c>
      <c r="Q455" s="29">
        <f t="shared" si="189"/>
        <v>-6.8500000000000005E-2</v>
      </c>
      <c r="R455" s="29">
        <f t="shared" si="190"/>
        <v>5.9400000000000001E-2</v>
      </c>
      <c r="S455">
        <v>5323000</v>
      </c>
      <c r="T455" s="18">
        <f>ROUND((S455/7)/VLOOKUP(EOMONTH(A455,-1),Employment!A:P,16,FALSE),4)</f>
        <v>3.2120000000000002</v>
      </c>
      <c r="U455" s="18">
        <f t="shared" si="191"/>
        <v>3.2743000000000002</v>
      </c>
      <c r="V455" s="29">
        <f t="shared" si="192"/>
        <v>0.2868</v>
      </c>
      <c r="W455" s="29">
        <f t="shared" si="193"/>
        <v>6.59E-2</v>
      </c>
      <c r="X455" s="30">
        <f t="shared" si="194"/>
        <v>159.47999999999999</v>
      </c>
      <c r="Y455" s="31">
        <f t="shared" si="195"/>
        <v>156.24</v>
      </c>
    </row>
    <row r="456" spans="1:25" ht="15" customHeight="1" x14ac:dyDescent="0.25">
      <c r="A456" s="5">
        <v>40153</v>
      </c>
      <c r="B456">
        <v>1286.7789</v>
      </c>
      <c r="C456" s="29">
        <f t="shared" si="199"/>
        <v>-7.7000000000000002E-3</v>
      </c>
      <c r="D456">
        <v>-0.03</v>
      </c>
      <c r="E456">
        <v>-0.318</v>
      </c>
      <c r="F456" s="18">
        <f t="shared" si="186"/>
        <v>0.32799999999999985</v>
      </c>
      <c r="G456" s="18">
        <f t="shared" si="187"/>
        <v>2.5519999999999996</v>
      </c>
      <c r="H456">
        <v>7.24</v>
      </c>
      <c r="I456">
        <v>2.91</v>
      </c>
      <c r="J456">
        <f t="shared" si="196"/>
        <v>5.08</v>
      </c>
      <c r="K456" s="6">
        <f t="shared" si="197"/>
        <v>5.21</v>
      </c>
      <c r="L456" s="6">
        <f t="shared" si="198"/>
        <v>-4.9999999999999822E-2</v>
      </c>
      <c r="M456">
        <v>22.036134663483001</v>
      </c>
      <c r="N456">
        <v>494000</v>
      </c>
      <c r="O456" s="18">
        <f>ROUND(N456/VLOOKUP(EOMONTH(A456,-1),Employment!A:P,16,FALSE),4)</f>
        <v>2.0867</v>
      </c>
      <c r="P456" s="18">
        <f t="shared" si="188"/>
        <v>2.1377999999999999</v>
      </c>
      <c r="Q456" s="29">
        <f t="shared" si="189"/>
        <v>-2.8500000000000001E-2</v>
      </c>
      <c r="R456" s="29">
        <f t="shared" si="190"/>
        <v>5.11E-2</v>
      </c>
      <c r="S456">
        <v>5489000</v>
      </c>
      <c r="T456" s="18">
        <f>ROUND((S456/7)/VLOOKUP(EOMONTH(A456,-1),Employment!A:P,16,FALSE),4)</f>
        <v>3.3121999999999998</v>
      </c>
      <c r="U456" s="18">
        <f t="shared" si="191"/>
        <v>3.3245</v>
      </c>
      <c r="V456" s="29">
        <f t="shared" si="192"/>
        <v>0.35320000000000001</v>
      </c>
      <c r="W456" s="29">
        <f t="shared" si="193"/>
        <v>6.4000000000000001E-2</v>
      </c>
      <c r="X456" s="30">
        <f t="shared" si="194"/>
        <v>157.05000000000001</v>
      </c>
      <c r="Y456" s="31">
        <f t="shared" si="195"/>
        <v>148.81</v>
      </c>
    </row>
    <row r="457" spans="1:25" ht="15" customHeight="1" x14ac:dyDescent="0.25">
      <c r="A457" s="5">
        <v>40146</v>
      </c>
      <c r="B457">
        <v>1288.3158000000001</v>
      </c>
      <c r="C457" s="29">
        <f t="shared" si="199"/>
        <v>-9.1999999999999998E-3</v>
      </c>
      <c r="D457">
        <v>-0.03</v>
      </c>
      <c r="E457">
        <v>-0.27700000000000002</v>
      </c>
      <c r="F457" s="18">
        <f t="shared" si="186"/>
        <v>0.74399999999999999</v>
      </c>
      <c r="G457" s="18">
        <f t="shared" si="187"/>
        <v>2.556</v>
      </c>
      <c r="H457">
        <v>7.64</v>
      </c>
      <c r="I457">
        <v>2.99</v>
      </c>
      <c r="J457">
        <f t="shared" si="196"/>
        <v>5.32</v>
      </c>
      <c r="K457" s="6">
        <f t="shared" si="197"/>
        <v>5.26</v>
      </c>
      <c r="L457" s="6">
        <f t="shared" si="198"/>
        <v>2.9999999999999361E-2</v>
      </c>
      <c r="M457">
        <v>22.742065659836001</v>
      </c>
      <c r="N457">
        <v>505750</v>
      </c>
      <c r="O457" s="18">
        <f>ROUND(N457/VLOOKUP(EOMONTH(A457,-1),Employment!A:P,16,FALSE),4)</f>
        <v>2.1379999999999999</v>
      </c>
      <c r="P457" s="18">
        <f t="shared" si="188"/>
        <v>2.1802999999999999</v>
      </c>
      <c r="Q457" s="29">
        <f t="shared" si="189"/>
        <v>1.49E-2</v>
      </c>
      <c r="R457" s="29">
        <f t="shared" si="190"/>
        <v>3.6299999999999999E-2</v>
      </c>
      <c r="S457">
        <v>5462000</v>
      </c>
      <c r="T457" s="18">
        <f>ROUND((S457/7)/VLOOKUP(EOMONTH(A457,-1),Employment!A:P,16,FALSE),4)</f>
        <v>3.2986</v>
      </c>
      <c r="U457" s="18">
        <f t="shared" si="191"/>
        <v>3.3576000000000001</v>
      </c>
      <c r="V457" s="29">
        <f t="shared" si="192"/>
        <v>0.38529999999999998</v>
      </c>
      <c r="W457" s="29">
        <f t="shared" si="193"/>
        <v>6.8699999999999997E-2</v>
      </c>
      <c r="X457" s="30">
        <f t="shared" si="194"/>
        <v>146.13999999999999</v>
      </c>
      <c r="Y457" s="31">
        <f t="shared" si="195"/>
        <v>138.02000000000001</v>
      </c>
    </row>
    <row r="458" spans="1:25" ht="15" customHeight="1" x14ac:dyDescent="0.25">
      <c r="A458" s="5">
        <v>40139</v>
      </c>
      <c r="B458">
        <v>1297.1306999999999</v>
      </c>
      <c r="C458" s="29">
        <f t="shared" si="199"/>
        <v>-5.0000000000000001E-3</v>
      </c>
      <c r="D458">
        <v>-0.01</v>
      </c>
      <c r="E458">
        <v>-0.20899999999999999</v>
      </c>
      <c r="F458" s="18">
        <f t="shared" si="186"/>
        <v>1.48</v>
      </c>
      <c r="G458" s="18">
        <f t="shared" si="187"/>
        <v>1.1000000000000001</v>
      </c>
      <c r="H458">
        <v>7.54</v>
      </c>
      <c r="I458">
        <v>2.93</v>
      </c>
      <c r="J458">
        <f t="shared" si="196"/>
        <v>5.24</v>
      </c>
      <c r="K458" s="6">
        <f t="shared" si="197"/>
        <v>5.23</v>
      </c>
      <c r="L458" s="6">
        <f t="shared" si="198"/>
        <v>-9.9999999999997868E-3</v>
      </c>
      <c r="M458">
        <v>23.641154186937001</v>
      </c>
      <c r="N458">
        <v>517750</v>
      </c>
      <c r="O458" s="18">
        <f>ROUND(N458/VLOOKUP(EOMONTH(A458,-1),Employment!A:P,16,FALSE),4)</f>
        <v>2.1888000000000001</v>
      </c>
      <c r="P458" s="18">
        <f t="shared" si="188"/>
        <v>2.2052999999999998</v>
      </c>
      <c r="Q458" s="29">
        <f t="shared" si="189"/>
        <v>5.4600000000000003E-2</v>
      </c>
      <c r="R458" s="29">
        <f t="shared" si="190"/>
        <v>2.3099999999999999E-2</v>
      </c>
      <c r="S458">
        <v>5568000</v>
      </c>
      <c r="T458" s="18">
        <f>ROUND((S458/7)/VLOOKUP(EOMONTH(A458,-1),Employment!A:P,16,FALSE),4)</f>
        <v>3.3626</v>
      </c>
      <c r="U458" s="18">
        <f t="shared" si="191"/>
        <v>3.4064999999999999</v>
      </c>
      <c r="V458" s="29">
        <f t="shared" si="192"/>
        <v>0.4269</v>
      </c>
      <c r="W458" s="29">
        <f t="shared" si="193"/>
        <v>6.3899999999999998E-2</v>
      </c>
      <c r="X458" s="30">
        <f t="shared" si="194"/>
        <v>134.88</v>
      </c>
      <c r="Y458" s="31">
        <f t="shared" si="195"/>
        <v>130.09</v>
      </c>
    </row>
    <row r="459" spans="1:25" ht="15" customHeight="1" x14ac:dyDescent="0.25">
      <c r="A459" s="5">
        <v>40132</v>
      </c>
      <c r="B459">
        <v>1298.1327000000001</v>
      </c>
      <c r="C459" s="29">
        <f t="shared" si="199"/>
        <v>-8.0999999999999996E-3</v>
      </c>
      <c r="D459">
        <v>0.01</v>
      </c>
      <c r="E459">
        <v>-4.9000000000000002E-2</v>
      </c>
      <c r="F459" s="18">
        <f t="shared" si="186"/>
        <v>0.33200000000000007</v>
      </c>
      <c r="G459" s="18">
        <f t="shared" si="187"/>
        <v>0.25600000000000001</v>
      </c>
      <c r="H459">
        <v>7.52</v>
      </c>
      <c r="I459">
        <v>2.93</v>
      </c>
      <c r="J459">
        <f t="shared" si="196"/>
        <v>5.23</v>
      </c>
      <c r="K459" s="6">
        <f t="shared" si="197"/>
        <v>5.24</v>
      </c>
      <c r="L459" s="6">
        <f t="shared" si="198"/>
        <v>3.0000000000000249E-2</v>
      </c>
      <c r="M459">
        <v>25.018719717109999</v>
      </c>
      <c r="N459">
        <v>523750</v>
      </c>
      <c r="O459" s="18">
        <f>ROUND(N459/VLOOKUP(EOMONTH(A459,-1),Employment!A:P,16,FALSE),4)</f>
        <v>2.2141000000000002</v>
      </c>
      <c r="P459" s="18">
        <f t="shared" si="188"/>
        <v>2.2172999999999998</v>
      </c>
      <c r="Q459" s="29">
        <f t="shared" si="189"/>
        <v>8.1900000000000001E-2</v>
      </c>
      <c r="R459" s="29">
        <f t="shared" si="190"/>
        <v>1.7500000000000002E-2</v>
      </c>
      <c r="S459">
        <v>5649000</v>
      </c>
      <c r="T459" s="18">
        <f>ROUND((S459/7)/VLOOKUP(EOMONTH(A459,-1),Employment!A:P,16,FALSE),4)</f>
        <v>3.4115000000000002</v>
      </c>
      <c r="U459" s="18">
        <f t="shared" si="191"/>
        <v>3.4422999999999999</v>
      </c>
      <c r="V459" s="29">
        <f t="shared" si="192"/>
        <v>0.4773</v>
      </c>
      <c r="W459" s="29">
        <f t="shared" si="193"/>
        <v>5.4699999999999999E-2</v>
      </c>
      <c r="X459" s="30">
        <f t="shared" si="194"/>
        <v>125.56</v>
      </c>
      <c r="Y459" s="31">
        <f t="shared" si="195"/>
        <v>129.35</v>
      </c>
    </row>
    <row r="460" spans="1:25" ht="15" customHeight="1" x14ac:dyDescent="0.25">
      <c r="A460" s="5">
        <v>40125</v>
      </c>
      <c r="B460">
        <v>1303.6663000000001</v>
      </c>
      <c r="C460" s="29">
        <f t="shared" si="199"/>
        <v>-7.4999999999999997E-3</v>
      </c>
      <c r="D460">
        <v>0.04</v>
      </c>
      <c r="E460">
        <v>-4.4999999999999998E-2</v>
      </c>
      <c r="F460" s="18">
        <f t="shared" si="186"/>
        <v>-0.71200000000000008</v>
      </c>
      <c r="G460" s="18">
        <f t="shared" si="187"/>
        <v>0.28400000000000003</v>
      </c>
      <c r="H460">
        <v>7.6</v>
      </c>
      <c r="I460">
        <v>2.86</v>
      </c>
      <c r="J460">
        <f t="shared" si="196"/>
        <v>5.23</v>
      </c>
      <c r="K460" s="6">
        <f t="shared" si="197"/>
        <v>5.21</v>
      </c>
      <c r="L460" s="6">
        <f t="shared" si="198"/>
        <v>-2.0000000000000462E-2</v>
      </c>
      <c r="M460">
        <v>26.170287833027999</v>
      </c>
      <c r="N460">
        <v>523500</v>
      </c>
      <c r="O460" s="18">
        <f>ROUND(N460/VLOOKUP(EOMONTH(A460,-1),Employment!A:P,16,FALSE),4)</f>
        <v>2.2130999999999998</v>
      </c>
      <c r="P460" s="18">
        <f t="shared" si="188"/>
        <v>2.23</v>
      </c>
      <c r="Q460" s="29">
        <f t="shared" si="189"/>
        <v>9.8400000000000001E-2</v>
      </c>
      <c r="R460" s="29">
        <f t="shared" si="190"/>
        <v>2.3E-2</v>
      </c>
      <c r="S460">
        <v>5705000</v>
      </c>
      <c r="T460" s="18">
        <f>ROUND((S460/7)/VLOOKUP(EOMONTH(A460,-1),Employment!A:P,16,FALSE),4)</f>
        <v>3.4453999999999998</v>
      </c>
      <c r="U460" s="18">
        <f t="shared" si="191"/>
        <v>3.4794999999999998</v>
      </c>
      <c r="V460" s="29">
        <f t="shared" si="192"/>
        <v>0.52359999999999995</v>
      </c>
      <c r="W460" s="29">
        <f t="shared" si="193"/>
        <v>4.9399999999999999E-2</v>
      </c>
      <c r="X460" s="30">
        <f t="shared" si="194"/>
        <v>129.41</v>
      </c>
      <c r="Y460" s="31">
        <f t="shared" si="195"/>
        <v>135.83000000000001</v>
      </c>
    </row>
    <row r="461" spans="1:25" ht="15" customHeight="1" x14ac:dyDescent="0.25">
      <c r="A461" s="5">
        <v>40118</v>
      </c>
      <c r="B461">
        <v>1302.0237999999999</v>
      </c>
      <c r="C461" s="29">
        <f t="shared" si="199"/>
        <v>-1.4999999999999999E-2</v>
      </c>
      <c r="D461">
        <v>0.04</v>
      </c>
      <c r="E461">
        <v>-0.13400000000000001</v>
      </c>
      <c r="F461" s="18">
        <f t="shared" si="186"/>
        <v>0.63600000000000001</v>
      </c>
      <c r="G461" s="18">
        <f t="shared" si="187"/>
        <v>1.6160000000000001</v>
      </c>
      <c r="H461">
        <v>7.66</v>
      </c>
      <c r="I461">
        <v>2.86</v>
      </c>
      <c r="J461">
        <f t="shared" si="196"/>
        <v>5.26</v>
      </c>
      <c r="K461" s="6">
        <f t="shared" si="197"/>
        <v>5.23</v>
      </c>
      <c r="L461" s="6">
        <f t="shared" si="198"/>
        <v>-5.9999999999999609E-2</v>
      </c>
      <c r="M461">
        <v>26.778035786198</v>
      </c>
      <c r="N461">
        <v>526250</v>
      </c>
      <c r="O461" s="18">
        <f>ROUND(N461/VLOOKUP(EOMONTH(A461,-1),Employment!A:P,16,FALSE),4)</f>
        <v>2.2246999999999999</v>
      </c>
      <c r="P461" s="18">
        <f t="shared" si="188"/>
        <v>2.2448000000000001</v>
      </c>
      <c r="Q461" s="29">
        <f t="shared" si="189"/>
        <v>0.1052</v>
      </c>
      <c r="R461" s="29">
        <f t="shared" si="190"/>
        <v>3.61E-2</v>
      </c>
      <c r="S461">
        <v>5746000</v>
      </c>
      <c r="T461" s="18">
        <f>ROUND((S461/7)/VLOOKUP(EOMONTH(A461,-1),Employment!A:P,16,FALSE),4)</f>
        <v>3.4701</v>
      </c>
      <c r="U461" s="18">
        <f t="shared" si="191"/>
        <v>3.5198999999999998</v>
      </c>
      <c r="V461" s="29">
        <f t="shared" si="192"/>
        <v>0.56110000000000004</v>
      </c>
      <c r="W461" s="29">
        <f t="shared" si="193"/>
        <v>5.2600000000000001E-2</v>
      </c>
      <c r="X461" s="30">
        <f t="shared" si="194"/>
        <v>138.69999999999999</v>
      </c>
      <c r="Y461" s="31">
        <f t="shared" si="195"/>
        <v>142.83000000000001</v>
      </c>
    </row>
    <row r="462" spans="1:25" ht="15" customHeight="1" x14ac:dyDescent="0.25">
      <c r="A462" s="5">
        <v>40111</v>
      </c>
      <c r="B462">
        <v>1310.7626</v>
      </c>
      <c r="C462" s="29">
        <f t="shared" si="199"/>
        <v>-1.3899999999999999E-2</v>
      </c>
      <c r="D462">
        <v>0.05</v>
      </c>
      <c r="E462">
        <v>-6.7000000000000004E-2</v>
      </c>
      <c r="F462" s="18">
        <f t="shared" si="186"/>
        <v>0.3600000000000001</v>
      </c>
      <c r="G462" s="18">
        <f t="shared" si="187"/>
        <v>1.1400000000000001</v>
      </c>
      <c r="H462">
        <v>7.45</v>
      </c>
      <c r="I462">
        <v>2.8</v>
      </c>
      <c r="J462">
        <f t="shared" si="196"/>
        <v>5.13</v>
      </c>
      <c r="K462" s="6">
        <f t="shared" si="197"/>
        <v>5.29</v>
      </c>
      <c r="L462" s="6">
        <f t="shared" si="198"/>
        <v>-0.13999999999999968</v>
      </c>
      <c r="M462">
        <v>26.945352044286999</v>
      </c>
      <c r="N462">
        <v>532250</v>
      </c>
      <c r="O462" s="18">
        <f>ROUND(N462/VLOOKUP(EOMONTH(A462,-1),Employment!A:P,16,FALSE),4)</f>
        <v>2.2522000000000002</v>
      </c>
      <c r="P462" s="18">
        <f t="shared" si="188"/>
        <v>2.2667000000000002</v>
      </c>
      <c r="Q462" s="29">
        <f t="shared" si="189"/>
        <v>0.1164</v>
      </c>
      <c r="R462" s="29">
        <f t="shared" si="190"/>
        <v>4.9200000000000001E-2</v>
      </c>
      <c r="S462">
        <v>5828000</v>
      </c>
      <c r="T462" s="18">
        <f>ROUND((S462/7)/VLOOKUP(EOMONTH(A462,-1),Employment!A:P,16,FALSE),4)</f>
        <v>3.5230000000000001</v>
      </c>
      <c r="U462" s="18">
        <f t="shared" si="191"/>
        <v>3.5545</v>
      </c>
      <c r="V462" s="29">
        <f t="shared" si="192"/>
        <v>0.59109999999999996</v>
      </c>
      <c r="W462" s="29">
        <f t="shared" si="193"/>
        <v>5.4699999999999999E-2</v>
      </c>
      <c r="X462" s="30">
        <f t="shared" si="194"/>
        <v>144.72</v>
      </c>
      <c r="Y462" s="31">
        <f t="shared" si="195"/>
        <v>145.63</v>
      </c>
    </row>
    <row r="463" spans="1:25" ht="15" customHeight="1" x14ac:dyDescent="0.25">
      <c r="A463" s="5">
        <v>40104</v>
      </c>
      <c r="B463">
        <v>1318.3972000000001</v>
      </c>
      <c r="C463" s="29">
        <f t="shared" si="199"/>
        <v>-1.38E-2</v>
      </c>
      <c r="D463">
        <v>7.0000000000000007E-2</v>
      </c>
      <c r="E463">
        <v>-4.7E-2</v>
      </c>
      <c r="F463" s="18">
        <f t="shared" ref="F463:F526" si="200">(((D463*10)+(E463*8))*-1)-(((D464*10)+(E464*8))*-1)</f>
        <v>0.61999999999999988</v>
      </c>
      <c r="G463" s="18">
        <f t="shared" ref="G463:G526" si="201">SUM(F463:F465)</f>
        <v>1.6479999999999999</v>
      </c>
      <c r="H463">
        <v>7.69</v>
      </c>
      <c r="I463">
        <v>2.93</v>
      </c>
      <c r="J463">
        <f t="shared" si="196"/>
        <v>5.31</v>
      </c>
      <c r="K463" s="6">
        <f t="shared" si="197"/>
        <v>5.43</v>
      </c>
      <c r="L463" s="6">
        <f t="shared" si="198"/>
        <v>-2.0000000000000462E-2</v>
      </c>
      <c r="M463">
        <v>27.544547768708998</v>
      </c>
      <c r="N463">
        <v>533500</v>
      </c>
      <c r="O463" s="18">
        <f>ROUND(N463/VLOOKUP(EOMONTH(A463,-1),Employment!A:P,16,FALSE),4)</f>
        <v>2.2574999999999998</v>
      </c>
      <c r="P463" s="18">
        <f t="shared" ref="P463:P526" si="202">ROUND(AVERAGE(O463:O465),4)</f>
        <v>2.2881999999999998</v>
      </c>
      <c r="Q463" s="29">
        <f t="shared" ref="Q463:Q526" si="203">ROUND((P463/P515)-1,4)</f>
        <v>0.13650000000000001</v>
      </c>
      <c r="R463" s="29">
        <f t="shared" ref="R463:R526" si="204">ROUND(AVERAGE(Q463:Q464)-AVERAGE(Q463:Q467),4)*-1</f>
        <v>5.6300000000000003E-2</v>
      </c>
      <c r="S463">
        <v>5900000</v>
      </c>
      <c r="T463" s="18">
        <f>ROUND((S463/7)/VLOOKUP(EOMONTH(A463,-1),Employment!A:P,16,FALSE),4)</f>
        <v>3.5666000000000002</v>
      </c>
      <c r="U463" s="18">
        <f t="shared" ref="U463:U526" si="205">ROUND(AVERAGE(T463:T465),4)</f>
        <v>3.5775000000000001</v>
      </c>
      <c r="V463" s="29">
        <f t="shared" ref="V463:V526" si="206">ROUND((U463/U515)-1,4)</f>
        <v>0.62270000000000003</v>
      </c>
      <c r="W463" s="29">
        <f t="shared" ref="W463:W526" si="207">ROUND(AVERAGE(V463:V464)-AVERAGE(V463:V467),4)*-1</f>
        <v>5.16E-2</v>
      </c>
      <c r="X463" s="30">
        <f t="shared" ref="X463:X526" si="208">IF(ROUND((C463*500)-(D463*10)-(E463*8)+(M463*1.2)-(P463*23)-(Q463*10)+(R463*600)-(U463*2)-(V463*5)+(W463*100)-(K463*5)-(L463*5)+(G463*3),2)+170&lt;0,0,ROUND((C463*500)-(D463*10)-(E463*8)+(M463*1.2)-(P463*23)-(Q463*10)+(R463*600)-(U463*2)-(V463*5)+(W463*100)-(K463*5)-(L463*5)+(G463*3),2)+170)</f>
        <v>148.4</v>
      </c>
      <c r="Y463" s="31">
        <f t="shared" ref="Y463:Y526" si="209">ROUND(AVERAGE(AVERAGE(X463:X464),AVERAGE(X463:X465)),2)</f>
        <v>143.16999999999999</v>
      </c>
    </row>
    <row r="464" spans="1:25" ht="15" customHeight="1" x14ac:dyDescent="0.25">
      <c r="A464" s="5">
        <v>40097</v>
      </c>
      <c r="B464">
        <v>1322.8985</v>
      </c>
      <c r="C464" s="29">
        <f t="shared" si="199"/>
        <v>-1.5699999999999999E-2</v>
      </c>
      <c r="D464">
        <v>0.1</v>
      </c>
      <c r="E464">
        <v>-7.0000000000000001E-3</v>
      </c>
      <c r="F464" s="18">
        <f t="shared" si="200"/>
        <v>0.16000000000000014</v>
      </c>
      <c r="G464" s="18">
        <f t="shared" si="201"/>
        <v>2.044</v>
      </c>
      <c r="H464">
        <v>7.87</v>
      </c>
      <c r="I464">
        <v>2.96</v>
      </c>
      <c r="J464">
        <f t="shared" ref="J464:J527" si="210">ROUND(AVERAGE(H464:I464),2)</f>
        <v>5.42</v>
      </c>
      <c r="K464" s="6">
        <f t="shared" ref="K464:K527" si="211">ROUND(AVERAGE(J464:J466),2)</f>
        <v>5.45</v>
      </c>
      <c r="L464" s="6">
        <f t="shared" ref="L464:L527" si="212">K464-K465</f>
        <v>0</v>
      </c>
      <c r="M464">
        <v>27.177866304557</v>
      </c>
      <c r="N464">
        <v>541250</v>
      </c>
      <c r="O464" s="18">
        <f>ROUND(N464/VLOOKUP(EOMONTH(A464,-1),Employment!A:P,16,FALSE),4)</f>
        <v>2.2902999999999998</v>
      </c>
      <c r="P464" s="18">
        <f t="shared" si="202"/>
        <v>2.3121999999999998</v>
      </c>
      <c r="Q464" s="29">
        <f t="shared" si="203"/>
        <v>0.16739999999999999</v>
      </c>
      <c r="R464" s="29">
        <f t="shared" si="204"/>
        <v>5.04E-2</v>
      </c>
      <c r="S464">
        <v>5912000</v>
      </c>
      <c r="T464" s="18">
        <f>ROUND((S464/7)/VLOOKUP(EOMONTH(A464,-1),Employment!A:P,16,FALSE),4)</f>
        <v>3.5737999999999999</v>
      </c>
      <c r="U464" s="18">
        <f t="shared" si="205"/>
        <v>3.6</v>
      </c>
      <c r="V464" s="29">
        <f t="shared" si="206"/>
        <v>0.66039999999999999</v>
      </c>
      <c r="W464" s="29">
        <f t="shared" si="207"/>
        <v>3.3799999999999997E-2</v>
      </c>
      <c r="X464" s="30">
        <f t="shared" si="208"/>
        <v>140.96</v>
      </c>
      <c r="Y464" s="31">
        <f t="shared" si="209"/>
        <v>135.28</v>
      </c>
    </row>
    <row r="465" spans="1:25" ht="15" customHeight="1" x14ac:dyDescent="0.25">
      <c r="A465" s="5">
        <v>40090</v>
      </c>
      <c r="B465">
        <v>1335.124</v>
      </c>
      <c r="C465" s="29">
        <f t="shared" si="199"/>
        <v>-1.0699999999999999E-2</v>
      </c>
      <c r="D465">
        <v>0.1</v>
      </c>
      <c r="E465">
        <v>1.2999999999999999E-2</v>
      </c>
      <c r="F465" s="18">
        <f t="shared" si="200"/>
        <v>0.86799999999999988</v>
      </c>
      <c r="G465" s="18">
        <f t="shared" si="201"/>
        <v>3.5360000000000005</v>
      </c>
      <c r="H465">
        <v>8.1999999999999993</v>
      </c>
      <c r="I465">
        <v>2.93</v>
      </c>
      <c r="J465">
        <f t="shared" si="210"/>
        <v>5.57</v>
      </c>
      <c r="K465" s="6">
        <f t="shared" si="211"/>
        <v>5.45</v>
      </c>
      <c r="L465" s="6">
        <f t="shared" si="212"/>
        <v>-9.9999999999999645E-2</v>
      </c>
      <c r="M465">
        <v>26.342847170618999</v>
      </c>
      <c r="N465">
        <v>547500</v>
      </c>
      <c r="O465" s="18">
        <f>ROUND(N465/VLOOKUP(EOMONTH(A465,-1),Employment!A:P,16,FALSE),4)</f>
        <v>2.3168000000000002</v>
      </c>
      <c r="P465" s="18">
        <f t="shared" si="202"/>
        <v>2.3338000000000001</v>
      </c>
      <c r="Q465" s="29">
        <f t="shared" si="203"/>
        <v>0.2092</v>
      </c>
      <c r="R465" s="29">
        <f t="shared" si="204"/>
        <v>3.4299999999999997E-2</v>
      </c>
      <c r="S465">
        <v>5942000</v>
      </c>
      <c r="T465" s="18">
        <f>ROUND((S465/7)/VLOOKUP(EOMONTH(A465,-1),Employment!A:P,16,FALSE),4)</f>
        <v>3.5920000000000001</v>
      </c>
      <c r="U465" s="18">
        <f t="shared" si="205"/>
        <v>3.6349</v>
      </c>
      <c r="V465" s="29">
        <f t="shared" si="206"/>
        <v>0.70840000000000003</v>
      </c>
      <c r="W465" s="29">
        <f t="shared" si="207"/>
        <v>2.5899999999999999E-2</v>
      </c>
      <c r="X465" s="30">
        <f t="shared" si="208"/>
        <v>135.6</v>
      </c>
      <c r="Y465" s="31">
        <f t="shared" si="209"/>
        <v>125.44</v>
      </c>
    </row>
    <row r="466" spans="1:25" ht="15" customHeight="1" x14ac:dyDescent="0.25">
      <c r="A466" s="5">
        <v>40083</v>
      </c>
      <c r="B466">
        <v>1340.6116</v>
      </c>
      <c r="C466" s="29">
        <f t="shared" ref="C466:C529" si="213">ROUND((B466-AVERAGE(B467:B470))/AVERAGE(B467:B470),4)</f>
        <v>-1.0200000000000001E-2</v>
      </c>
      <c r="D466">
        <v>0.11</v>
      </c>
      <c r="E466">
        <v>0.109</v>
      </c>
      <c r="F466" s="18">
        <f t="shared" si="200"/>
        <v>1.016</v>
      </c>
      <c r="G466" s="18">
        <f t="shared" si="201"/>
        <v>2.9679999999999995</v>
      </c>
      <c r="H466">
        <v>7.89</v>
      </c>
      <c r="I466">
        <v>2.83</v>
      </c>
      <c r="J466">
        <f t="shared" si="210"/>
        <v>5.36</v>
      </c>
      <c r="K466" s="6">
        <f t="shared" si="211"/>
        <v>5.55</v>
      </c>
      <c r="L466" s="6">
        <f t="shared" si="212"/>
        <v>-0.23000000000000043</v>
      </c>
      <c r="M466">
        <v>25.557054430194999</v>
      </c>
      <c r="N466">
        <v>550000</v>
      </c>
      <c r="O466" s="18">
        <f>ROUND(N466/VLOOKUP(EOMONTH(A466,-1),Employment!A:P,16,FALSE),4)</f>
        <v>2.3296000000000001</v>
      </c>
      <c r="P466" s="18">
        <f t="shared" si="202"/>
        <v>2.3536000000000001</v>
      </c>
      <c r="Q466" s="29">
        <f t="shared" si="203"/>
        <v>0.2485</v>
      </c>
      <c r="R466" s="29">
        <f t="shared" si="204"/>
        <v>1.5900000000000001E-2</v>
      </c>
      <c r="S466">
        <v>6006000</v>
      </c>
      <c r="T466" s="18">
        <f>ROUND((S466/7)/VLOOKUP(EOMONTH(A466,-1),Employment!A:P,16,FALSE),4)</f>
        <v>3.6343000000000001</v>
      </c>
      <c r="U466" s="18">
        <f t="shared" si="205"/>
        <v>3.6417000000000002</v>
      </c>
      <c r="V466" s="29">
        <f t="shared" si="206"/>
        <v>0.72529999999999994</v>
      </c>
      <c r="W466" s="29">
        <f t="shared" si="207"/>
        <v>2.3599999999999999E-2</v>
      </c>
      <c r="X466" s="30">
        <f t="shared" si="208"/>
        <v>120.27000000000001</v>
      </c>
      <c r="Y466" s="31">
        <f t="shared" si="209"/>
        <v>115.61</v>
      </c>
    </row>
    <row r="467" spans="1:25" ht="15" customHeight="1" x14ac:dyDescent="0.25">
      <c r="A467" s="5">
        <v>40076</v>
      </c>
      <c r="B467">
        <v>1348.7916</v>
      </c>
      <c r="C467" s="29">
        <f t="shared" si="213"/>
        <v>-7.9000000000000008E-3</v>
      </c>
      <c r="D467">
        <v>0.13</v>
      </c>
      <c r="E467">
        <v>0.21099999999999999</v>
      </c>
      <c r="F467" s="18">
        <f t="shared" si="200"/>
        <v>1.6520000000000006</v>
      </c>
      <c r="G467" s="18">
        <f t="shared" si="201"/>
        <v>2.9519999999999995</v>
      </c>
      <c r="H467">
        <v>7.98</v>
      </c>
      <c r="I467">
        <v>2.85</v>
      </c>
      <c r="J467">
        <f t="shared" si="210"/>
        <v>5.42</v>
      </c>
      <c r="K467" s="6">
        <f t="shared" si="211"/>
        <v>5.78</v>
      </c>
      <c r="L467" s="6">
        <f t="shared" si="212"/>
        <v>-0.20000000000000018</v>
      </c>
      <c r="M467">
        <v>24.188337630696001</v>
      </c>
      <c r="N467">
        <v>556000</v>
      </c>
      <c r="O467" s="18">
        <f>ROUND(N467/VLOOKUP(EOMONTH(A467,-1),Employment!A:P,16,FALSE),4)</f>
        <v>2.3551000000000002</v>
      </c>
      <c r="P467" s="18">
        <f t="shared" si="202"/>
        <v>2.3681000000000001</v>
      </c>
      <c r="Q467" s="29">
        <f t="shared" si="203"/>
        <v>0.27979999999999999</v>
      </c>
      <c r="R467" s="29">
        <f t="shared" si="204"/>
        <v>8.0000000000000002E-3</v>
      </c>
      <c r="S467">
        <v>6079000</v>
      </c>
      <c r="T467" s="18">
        <f>ROUND((S467/7)/VLOOKUP(EOMONTH(A467,-1),Employment!A:P,16,FALSE),4)</f>
        <v>3.6783999999999999</v>
      </c>
      <c r="U467" s="18">
        <f t="shared" si="205"/>
        <v>3.6526000000000001</v>
      </c>
      <c r="V467" s="29">
        <f t="shared" si="206"/>
        <v>0.74880000000000002</v>
      </c>
      <c r="W467" s="29">
        <f t="shared" si="207"/>
        <v>3.4299999999999997E-2</v>
      </c>
      <c r="X467" s="30">
        <f t="shared" si="208"/>
        <v>112.96000000000001</v>
      </c>
      <c r="Y467" s="31">
        <f t="shared" si="209"/>
        <v>113.29</v>
      </c>
    </row>
    <row r="468" spans="1:25" ht="15" customHeight="1" x14ac:dyDescent="0.25">
      <c r="A468" s="5">
        <v>40069</v>
      </c>
      <c r="B468">
        <v>1351.444</v>
      </c>
      <c r="C468" s="29">
        <f t="shared" si="213"/>
        <v>-1.14E-2</v>
      </c>
      <c r="D468">
        <v>0.16</v>
      </c>
      <c r="E468">
        <v>0.38</v>
      </c>
      <c r="F468" s="18">
        <f t="shared" si="200"/>
        <v>0.29999999999999893</v>
      </c>
      <c r="G468" s="18">
        <f t="shared" si="201"/>
        <v>2.0719999999999992</v>
      </c>
      <c r="H468">
        <v>8.7799999999999994</v>
      </c>
      <c r="I468">
        <v>2.97</v>
      </c>
      <c r="J468">
        <f t="shared" si="210"/>
        <v>5.88</v>
      </c>
      <c r="K468" s="6">
        <f t="shared" si="211"/>
        <v>5.98</v>
      </c>
      <c r="L468" s="6">
        <f t="shared" si="212"/>
        <v>-6.9999999999999396E-2</v>
      </c>
      <c r="M468">
        <v>23.813610762252999</v>
      </c>
      <c r="N468">
        <v>561000</v>
      </c>
      <c r="O468" s="18">
        <f>ROUND(N468/VLOOKUP(EOMONTH(A468,-1),Employment!A:P,16,FALSE),4)</f>
        <v>2.3761999999999999</v>
      </c>
      <c r="P468" s="18">
        <f t="shared" si="202"/>
        <v>2.3717000000000001</v>
      </c>
      <c r="Q468" s="29">
        <f t="shared" si="203"/>
        <v>0.2888</v>
      </c>
      <c r="R468" s="29">
        <f t="shared" si="204"/>
        <v>1.7100000000000001E-2</v>
      </c>
      <c r="S468">
        <v>5970000</v>
      </c>
      <c r="T468" s="18">
        <f>ROUND((S468/7)/VLOOKUP(EOMONTH(A468,-1),Employment!A:P,16,FALSE),4)</f>
        <v>3.6124999999999998</v>
      </c>
      <c r="U468" s="18">
        <f t="shared" si="205"/>
        <v>3.6394000000000002</v>
      </c>
      <c r="V468" s="29">
        <f t="shared" si="206"/>
        <v>0.74790000000000001</v>
      </c>
      <c r="W468" s="29">
        <f t="shared" si="207"/>
        <v>3.8600000000000002E-2</v>
      </c>
      <c r="X468" s="30">
        <f t="shared" si="208"/>
        <v>110.57</v>
      </c>
      <c r="Y468" s="31">
        <f t="shared" si="209"/>
        <v>118.33</v>
      </c>
    </row>
    <row r="469" spans="1:25" ht="15" customHeight="1" x14ac:dyDescent="0.25">
      <c r="A469" s="5">
        <v>40062</v>
      </c>
      <c r="B469">
        <v>1357.4694999999999</v>
      </c>
      <c r="C469" s="29">
        <f t="shared" si="213"/>
        <v>-1.2200000000000001E-2</v>
      </c>
      <c r="D469">
        <v>0.19</v>
      </c>
      <c r="E469">
        <v>0.38</v>
      </c>
      <c r="F469" s="18">
        <f t="shared" si="200"/>
        <v>1</v>
      </c>
      <c r="G469" s="18">
        <f t="shared" si="201"/>
        <v>2.3200000000000003</v>
      </c>
      <c r="H469">
        <v>9.09</v>
      </c>
      <c r="I469">
        <v>3</v>
      </c>
      <c r="J469">
        <f t="shared" si="210"/>
        <v>6.05</v>
      </c>
      <c r="K469" s="6">
        <f t="shared" si="211"/>
        <v>6.05</v>
      </c>
      <c r="L469" s="6">
        <f t="shared" si="212"/>
        <v>1.9999999999999574E-2</v>
      </c>
      <c r="M469">
        <v>23.078475788902999</v>
      </c>
      <c r="N469">
        <v>560250</v>
      </c>
      <c r="O469" s="18">
        <f>ROUND(N469/VLOOKUP(EOMONTH(A469,-1),Employment!A:P,16,FALSE),4)</f>
        <v>2.3731</v>
      </c>
      <c r="P469" s="18">
        <f t="shared" si="202"/>
        <v>2.3776999999999999</v>
      </c>
      <c r="Q469" s="29">
        <f t="shared" si="203"/>
        <v>0.28960000000000002</v>
      </c>
      <c r="R469" s="29">
        <f t="shared" si="204"/>
        <v>3.6700000000000003E-2</v>
      </c>
      <c r="S469">
        <v>6060000</v>
      </c>
      <c r="T469" s="18">
        <f>ROUND((S469/7)/VLOOKUP(EOMONTH(A469,-1),Employment!A:P,16,FALSE),4)</f>
        <v>3.6669</v>
      </c>
      <c r="U469" s="18">
        <f t="shared" si="205"/>
        <v>3.6646999999999998</v>
      </c>
      <c r="V469" s="29">
        <f t="shared" si="206"/>
        <v>0.7833</v>
      </c>
      <c r="W469" s="29">
        <f t="shared" si="207"/>
        <v>4.4699999999999997E-2</v>
      </c>
      <c r="X469" s="30">
        <f t="shared" si="208"/>
        <v>120.93</v>
      </c>
      <c r="Y469" s="31">
        <f t="shared" si="209"/>
        <v>128.38</v>
      </c>
    </row>
    <row r="470" spans="1:25" ht="15" customHeight="1" x14ac:dyDescent="0.25">
      <c r="A470" s="5">
        <v>40055</v>
      </c>
      <c r="B470">
        <v>1359.7847999999999</v>
      </c>
      <c r="C470" s="29">
        <f t="shared" si="213"/>
        <v>-1.6500000000000001E-2</v>
      </c>
      <c r="D470">
        <v>0.21</v>
      </c>
      <c r="E470">
        <v>0.48</v>
      </c>
      <c r="F470" s="18">
        <f t="shared" si="200"/>
        <v>0.77200000000000024</v>
      </c>
      <c r="G470" s="18">
        <f t="shared" si="201"/>
        <v>2.9480000000000022</v>
      </c>
      <c r="H470">
        <v>9.0399999999999991</v>
      </c>
      <c r="I470">
        <v>2.95</v>
      </c>
      <c r="J470">
        <f t="shared" si="210"/>
        <v>6</v>
      </c>
      <c r="K470" s="6">
        <f t="shared" si="211"/>
        <v>6.03</v>
      </c>
      <c r="L470" s="6">
        <f t="shared" si="212"/>
        <v>0.10000000000000053</v>
      </c>
      <c r="M470">
        <v>21.361322487511998</v>
      </c>
      <c r="N470">
        <v>558000</v>
      </c>
      <c r="O470" s="18">
        <f>ROUND(N470/VLOOKUP(EOMONTH(A470,-1),Employment!A:P,16,FALSE),4)</f>
        <v>2.3656999999999999</v>
      </c>
      <c r="P470" s="18">
        <f t="shared" si="202"/>
        <v>2.3841000000000001</v>
      </c>
      <c r="Q470" s="29">
        <f t="shared" si="203"/>
        <v>0.29339999999999999</v>
      </c>
      <c r="R470" s="29">
        <f t="shared" si="204"/>
        <v>5.9799999999999999E-2</v>
      </c>
      <c r="S470">
        <v>6008000</v>
      </c>
      <c r="T470" s="18">
        <f>ROUND((S470/7)/VLOOKUP(EOMONTH(A470,-1),Employment!A:P,16,FALSE),4)</f>
        <v>3.6387999999999998</v>
      </c>
      <c r="U470" s="18">
        <f t="shared" si="205"/>
        <v>3.6762000000000001</v>
      </c>
      <c r="V470" s="29">
        <f t="shared" si="206"/>
        <v>0.79790000000000005</v>
      </c>
      <c r="W470" s="29">
        <f t="shared" si="207"/>
        <v>4.8300000000000003E-2</v>
      </c>
      <c r="X470" s="30">
        <f t="shared" si="208"/>
        <v>131.24</v>
      </c>
      <c r="Y470" s="31">
        <f t="shared" si="209"/>
        <v>136.74</v>
      </c>
    </row>
    <row r="471" spans="1:25" ht="15" customHeight="1" x14ac:dyDescent="0.25">
      <c r="A471" s="5">
        <v>40048</v>
      </c>
      <c r="B471">
        <v>1369.6242</v>
      </c>
      <c r="C471" s="29">
        <f t="shared" si="213"/>
        <v>-1.5100000000000001E-2</v>
      </c>
      <c r="D471">
        <v>0.24</v>
      </c>
      <c r="E471">
        <v>0.53900000000000003</v>
      </c>
      <c r="F471" s="18">
        <f t="shared" si="200"/>
        <v>0.54800000000000004</v>
      </c>
      <c r="G471" s="18">
        <f t="shared" si="201"/>
        <v>3.5960000000000001</v>
      </c>
      <c r="H471">
        <v>9.1300000000000008</v>
      </c>
      <c r="I471">
        <v>3.06</v>
      </c>
      <c r="J471">
        <f t="shared" si="210"/>
        <v>6.1</v>
      </c>
      <c r="K471" s="6">
        <f t="shared" si="211"/>
        <v>5.93</v>
      </c>
      <c r="L471" s="6">
        <f t="shared" si="212"/>
        <v>-2.0000000000000462E-2</v>
      </c>
      <c r="M471">
        <v>18.735474566638</v>
      </c>
      <c r="N471">
        <v>564750</v>
      </c>
      <c r="O471" s="18">
        <f>ROUND(N471/VLOOKUP(EOMONTH(A471,-1),Employment!A:P,16,FALSE),4)</f>
        <v>2.3942999999999999</v>
      </c>
      <c r="P471" s="18">
        <f t="shared" si="202"/>
        <v>2.3896999999999999</v>
      </c>
      <c r="Q471" s="29">
        <f t="shared" si="203"/>
        <v>0.31009999999999999</v>
      </c>
      <c r="R471" s="29">
        <f t="shared" si="204"/>
        <v>7.3200000000000001E-2</v>
      </c>
      <c r="S471">
        <v>6090000</v>
      </c>
      <c r="T471" s="18">
        <f>ROUND((S471/7)/VLOOKUP(EOMONTH(A471,-1),Employment!A:P,16,FALSE),4)</f>
        <v>3.6884999999999999</v>
      </c>
      <c r="U471" s="18">
        <f t="shared" si="205"/>
        <v>3.7063000000000001</v>
      </c>
      <c r="V471" s="29">
        <f t="shared" si="206"/>
        <v>0.83530000000000004</v>
      </c>
      <c r="W471" s="29">
        <f t="shared" si="207"/>
        <v>6.1100000000000002E-2</v>
      </c>
      <c r="X471" s="30">
        <f t="shared" si="208"/>
        <v>139.84</v>
      </c>
      <c r="Y471" s="31">
        <f t="shared" si="209"/>
        <v>139.06</v>
      </c>
    </row>
    <row r="472" spans="1:25" ht="15" customHeight="1" x14ac:dyDescent="0.25">
      <c r="A472" s="5">
        <v>40041</v>
      </c>
      <c r="B472">
        <v>1381.3231000000001</v>
      </c>
      <c r="C472" s="29">
        <f t="shared" si="213"/>
        <v>-1.0200000000000001E-2</v>
      </c>
      <c r="D472">
        <v>0.27</v>
      </c>
      <c r="E472">
        <v>0.56999999999999995</v>
      </c>
      <c r="F472" s="18">
        <f t="shared" si="200"/>
        <v>1.6280000000000019</v>
      </c>
      <c r="G472" s="18">
        <f t="shared" si="201"/>
        <v>4.8800000000000008</v>
      </c>
      <c r="H472">
        <v>8.94</v>
      </c>
      <c r="I472">
        <v>3.02</v>
      </c>
      <c r="J472">
        <f t="shared" si="210"/>
        <v>5.98</v>
      </c>
      <c r="K472" s="6">
        <f t="shared" si="211"/>
        <v>5.95</v>
      </c>
      <c r="L472" s="6">
        <f t="shared" si="212"/>
        <v>-0.20999999999999996</v>
      </c>
      <c r="M472">
        <v>15.175723646651001</v>
      </c>
      <c r="N472">
        <v>564250</v>
      </c>
      <c r="O472" s="18">
        <f>ROUND(N472/VLOOKUP(EOMONTH(A472,-1),Employment!A:P,16,FALSE),4)</f>
        <v>2.3921999999999999</v>
      </c>
      <c r="P472" s="18">
        <f t="shared" si="202"/>
        <v>2.3921999999999999</v>
      </c>
      <c r="Q472" s="29">
        <f t="shared" si="203"/>
        <v>0.34939999999999999</v>
      </c>
      <c r="R472" s="29">
        <f t="shared" si="204"/>
        <v>7.3300000000000004E-2</v>
      </c>
      <c r="S472">
        <v>6111000</v>
      </c>
      <c r="T472" s="18">
        <f>ROUND((S472/7)/VLOOKUP(EOMONTH(A472,-1),Employment!A:P,16,FALSE),4)</f>
        <v>3.7012</v>
      </c>
      <c r="U472" s="18">
        <f t="shared" si="205"/>
        <v>3.7119</v>
      </c>
      <c r="V472" s="29">
        <f t="shared" si="206"/>
        <v>0.85680000000000001</v>
      </c>
      <c r="W472" s="29">
        <f t="shared" si="207"/>
        <v>7.1599999999999997E-2</v>
      </c>
      <c r="X472" s="30">
        <f t="shared" si="208"/>
        <v>142.71</v>
      </c>
      <c r="Y472" s="31">
        <f t="shared" si="209"/>
        <v>130.99</v>
      </c>
    </row>
    <row r="473" spans="1:25" ht="15" customHeight="1" x14ac:dyDescent="0.25">
      <c r="A473" s="5">
        <v>40034</v>
      </c>
      <c r="B473">
        <v>1386.0379</v>
      </c>
      <c r="C473" s="29">
        <f t="shared" si="213"/>
        <v>-1.2200000000000001E-2</v>
      </c>
      <c r="D473">
        <v>0.34</v>
      </c>
      <c r="E473">
        <v>0.68600000000000005</v>
      </c>
      <c r="F473" s="18">
        <f t="shared" si="200"/>
        <v>1.4199999999999982</v>
      </c>
      <c r="G473" s="18">
        <f t="shared" si="201"/>
        <v>4.3519999999999985</v>
      </c>
      <c r="H473">
        <v>8.57</v>
      </c>
      <c r="I473">
        <v>2.85</v>
      </c>
      <c r="J473">
        <f t="shared" si="210"/>
        <v>5.71</v>
      </c>
      <c r="K473" s="6">
        <f t="shared" si="211"/>
        <v>6.16</v>
      </c>
      <c r="L473" s="6">
        <f t="shared" si="212"/>
        <v>-0.42999999999999972</v>
      </c>
      <c r="M473">
        <v>11.689828283943999</v>
      </c>
      <c r="N473">
        <v>562000</v>
      </c>
      <c r="O473" s="18">
        <f>ROUND(N473/VLOOKUP(EOMONTH(A473,-1),Employment!A:P,16,FALSE),4)</f>
        <v>2.3826999999999998</v>
      </c>
      <c r="P473" s="18">
        <f t="shared" si="202"/>
        <v>2.3986000000000001</v>
      </c>
      <c r="Q473" s="29">
        <f t="shared" si="203"/>
        <v>0.3987</v>
      </c>
      <c r="R473" s="29">
        <f t="shared" si="204"/>
        <v>6.1899999999999997E-2</v>
      </c>
      <c r="S473">
        <v>6157000</v>
      </c>
      <c r="T473" s="18">
        <f>ROUND((S473/7)/VLOOKUP(EOMONTH(A473,-1),Employment!A:P,16,FALSE),4)</f>
        <v>3.7290999999999999</v>
      </c>
      <c r="U473" s="18">
        <f t="shared" si="205"/>
        <v>3.7181000000000002</v>
      </c>
      <c r="V473" s="29">
        <f t="shared" si="206"/>
        <v>0.90310000000000001</v>
      </c>
      <c r="W473" s="29">
        <f t="shared" si="207"/>
        <v>8.4900000000000003E-2</v>
      </c>
      <c r="X473" s="30">
        <f t="shared" si="208"/>
        <v>127.97</v>
      </c>
      <c r="Y473" s="31">
        <f t="shared" si="209"/>
        <v>114.34</v>
      </c>
    </row>
    <row r="474" spans="1:25" ht="15" customHeight="1" x14ac:dyDescent="0.25">
      <c r="A474" s="5">
        <v>40027</v>
      </c>
      <c r="B474">
        <v>1393.5327</v>
      </c>
      <c r="C474" s="29">
        <f t="shared" si="213"/>
        <v>-1.43E-2</v>
      </c>
      <c r="D474">
        <v>0.39</v>
      </c>
      <c r="E474">
        <v>0.80100000000000005</v>
      </c>
      <c r="F474" s="18">
        <f t="shared" si="200"/>
        <v>1.8320000000000007</v>
      </c>
      <c r="G474" s="18">
        <f t="shared" si="201"/>
        <v>4.2639999999999993</v>
      </c>
      <c r="H474">
        <v>9.2200000000000006</v>
      </c>
      <c r="I474">
        <v>3.11</v>
      </c>
      <c r="J474">
        <f t="shared" si="210"/>
        <v>6.17</v>
      </c>
      <c r="K474" s="6">
        <f t="shared" si="211"/>
        <v>6.59</v>
      </c>
      <c r="L474" s="6">
        <f t="shared" si="212"/>
        <v>-0.37999999999999989</v>
      </c>
      <c r="M474">
        <v>9.7735971252592009</v>
      </c>
      <c r="N474">
        <v>566500</v>
      </c>
      <c r="O474" s="18">
        <f>ROUND(N474/VLOOKUP(EOMONTH(A474,-1),Employment!A:P,16,FALSE),4)</f>
        <v>2.4016999999999999</v>
      </c>
      <c r="P474" s="18">
        <f t="shared" si="202"/>
        <v>2.4251</v>
      </c>
      <c r="Q474" s="29">
        <f t="shared" si="203"/>
        <v>0.45610000000000001</v>
      </c>
      <c r="R474" s="29">
        <f t="shared" si="204"/>
        <v>4.6800000000000001E-2</v>
      </c>
      <c r="S474">
        <v>6118000</v>
      </c>
      <c r="T474" s="18">
        <f>ROUND((S474/7)/VLOOKUP(EOMONTH(A474,-1),Employment!A:P,16,FALSE),4)</f>
        <v>3.7054</v>
      </c>
      <c r="U474" s="18">
        <f t="shared" si="205"/>
        <v>3.7168000000000001</v>
      </c>
      <c r="V474" s="29">
        <f t="shared" si="206"/>
        <v>0.93159999999999998</v>
      </c>
      <c r="W474" s="29">
        <f t="shared" si="207"/>
        <v>7.5700000000000003E-2</v>
      </c>
      <c r="X474" s="30">
        <f t="shared" si="208"/>
        <v>109.22999999999999</v>
      </c>
      <c r="Y474" s="31">
        <f t="shared" si="209"/>
        <v>97.47</v>
      </c>
    </row>
    <row r="475" spans="1:25" ht="15" customHeight="1" x14ac:dyDescent="0.25">
      <c r="A475" s="5">
        <v>40020</v>
      </c>
      <c r="B475">
        <v>1401.6973</v>
      </c>
      <c r="C475" s="29">
        <f t="shared" si="213"/>
        <v>-1.46E-2</v>
      </c>
      <c r="D475">
        <v>0.47</v>
      </c>
      <c r="E475">
        <v>0.93</v>
      </c>
      <c r="F475" s="18">
        <f t="shared" si="200"/>
        <v>1.0999999999999996</v>
      </c>
      <c r="G475" s="18">
        <f t="shared" si="201"/>
        <v>4.1559999999999988</v>
      </c>
      <c r="H475">
        <v>9.8000000000000007</v>
      </c>
      <c r="I475">
        <v>3.41</v>
      </c>
      <c r="J475">
        <f t="shared" si="210"/>
        <v>6.61</v>
      </c>
      <c r="K475" s="6">
        <f t="shared" si="211"/>
        <v>6.97</v>
      </c>
      <c r="L475" s="6">
        <f t="shared" si="212"/>
        <v>-0.15000000000000036</v>
      </c>
      <c r="M475">
        <v>8.3911932942629992</v>
      </c>
      <c r="N475">
        <v>568250</v>
      </c>
      <c r="O475" s="18">
        <f>ROUND(N475/VLOOKUP(EOMONTH(A475,-1),Employment!A:P,16,FALSE),4)</f>
        <v>2.4114</v>
      </c>
      <c r="P475" s="18">
        <f t="shared" si="202"/>
        <v>2.4626999999999999</v>
      </c>
      <c r="Q475" s="29">
        <f t="shared" si="203"/>
        <v>0.50049999999999994</v>
      </c>
      <c r="R475" s="29">
        <f t="shared" si="204"/>
        <v>3.8300000000000001E-2</v>
      </c>
      <c r="S475">
        <v>6136000</v>
      </c>
      <c r="T475" s="18">
        <f>ROUND((S475/7)/VLOOKUP(EOMONTH(A475,-1),Employment!A:P,16,FALSE),4)</f>
        <v>3.7197</v>
      </c>
      <c r="U475" s="18">
        <f t="shared" si="205"/>
        <v>3.8189000000000002</v>
      </c>
      <c r="V475" s="29">
        <f t="shared" si="206"/>
        <v>1.0087999999999999</v>
      </c>
      <c r="W475" s="29">
        <f t="shared" si="207"/>
        <v>5.3999999999999999E-2</v>
      </c>
      <c r="X475" s="30">
        <f t="shared" si="208"/>
        <v>93.05</v>
      </c>
      <c r="Y475" s="31">
        <f t="shared" si="209"/>
        <v>83.7</v>
      </c>
    </row>
    <row r="476" spans="1:25" ht="15" customHeight="1" x14ac:dyDescent="0.25">
      <c r="A476" s="5">
        <v>40013</v>
      </c>
      <c r="B476">
        <v>1400.8063</v>
      </c>
      <c r="C476" s="29">
        <f t="shared" si="213"/>
        <v>-2.3199999999999998E-2</v>
      </c>
      <c r="D476">
        <v>0.54</v>
      </c>
      <c r="E476">
        <v>0.98</v>
      </c>
      <c r="F476" s="18">
        <f t="shared" si="200"/>
        <v>1.331999999999999</v>
      </c>
      <c r="G476" s="18">
        <f t="shared" si="201"/>
        <v>3.9079999999999995</v>
      </c>
      <c r="H476">
        <v>10.41</v>
      </c>
      <c r="I476">
        <v>3.56</v>
      </c>
      <c r="J476">
        <f t="shared" si="210"/>
        <v>6.99</v>
      </c>
      <c r="K476" s="6">
        <f t="shared" si="211"/>
        <v>7.12</v>
      </c>
      <c r="L476" s="6">
        <f t="shared" si="212"/>
        <v>-0.12999999999999989</v>
      </c>
      <c r="M476">
        <v>7.6460206978969998</v>
      </c>
      <c r="N476">
        <v>580250</v>
      </c>
      <c r="O476" s="18">
        <f>ROUND(N476/VLOOKUP(EOMONTH(A476,-1),Employment!A:P,16,FALSE),4)</f>
        <v>2.4622999999999999</v>
      </c>
      <c r="P476" s="18">
        <f t="shared" si="202"/>
        <v>2.5051000000000001</v>
      </c>
      <c r="Q476" s="29">
        <f t="shared" si="203"/>
        <v>0.53210000000000002</v>
      </c>
      <c r="R476" s="29">
        <f t="shared" si="204"/>
        <v>3.4799999999999998E-2</v>
      </c>
      <c r="S476">
        <v>6145000</v>
      </c>
      <c r="T476" s="18">
        <f>ROUND((S476/7)/VLOOKUP(EOMONTH(A476,-1),Employment!A:P,16,FALSE),4)</f>
        <v>3.7252000000000001</v>
      </c>
      <c r="U476" s="18">
        <f t="shared" si="205"/>
        <v>3.8900999999999999</v>
      </c>
      <c r="V476" s="29">
        <f t="shared" si="206"/>
        <v>1.0572999999999999</v>
      </c>
      <c r="W476" s="29">
        <f t="shared" si="207"/>
        <v>3.1099999999999999E-2</v>
      </c>
      <c r="X476" s="30">
        <f t="shared" si="208"/>
        <v>79.09</v>
      </c>
      <c r="Y476" s="31">
        <f t="shared" si="209"/>
        <v>74.37</v>
      </c>
    </row>
    <row r="477" spans="1:25" ht="15" customHeight="1" x14ac:dyDescent="0.25">
      <c r="A477" s="5">
        <v>40006</v>
      </c>
      <c r="B477">
        <v>1416.5245</v>
      </c>
      <c r="C477" s="29">
        <f t="shared" si="213"/>
        <v>-1.8200000000000001E-2</v>
      </c>
      <c r="D477">
        <v>0.61</v>
      </c>
      <c r="E477">
        <v>1.0589999999999999</v>
      </c>
      <c r="F477" s="18">
        <f t="shared" si="200"/>
        <v>1.7240000000000002</v>
      </c>
      <c r="G477" s="18">
        <f t="shared" si="201"/>
        <v>2.6999999999999993</v>
      </c>
      <c r="H477">
        <v>10.89</v>
      </c>
      <c r="I477">
        <v>3.71</v>
      </c>
      <c r="J477">
        <f t="shared" si="210"/>
        <v>7.3</v>
      </c>
      <c r="K477" s="6">
        <f t="shared" si="211"/>
        <v>7.25</v>
      </c>
      <c r="L477" s="6">
        <f t="shared" si="212"/>
        <v>4.9999999999999822E-2</v>
      </c>
      <c r="M477">
        <v>6.9373431123760003</v>
      </c>
      <c r="N477">
        <v>592500</v>
      </c>
      <c r="O477" s="18">
        <f>ROUND(N477/VLOOKUP(EOMONTH(A477,-1),Employment!A:P,16,FALSE),4)</f>
        <v>2.5143</v>
      </c>
      <c r="P477" s="18">
        <f t="shared" si="202"/>
        <v>2.5358999999999998</v>
      </c>
      <c r="Q477" s="29">
        <f t="shared" si="203"/>
        <v>0.55930000000000002</v>
      </c>
      <c r="R477" s="29">
        <f t="shared" si="204"/>
        <v>3.5400000000000001E-2</v>
      </c>
      <c r="S477">
        <v>6618000</v>
      </c>
      <c r="T477" s="18">
        <f>ROUND((S477/7)/VLOOKUP(EOMONTH(A477,-1),Employment!A:P,16,FALSE),4)</f>
        <v>4.0118999999999998</v>
      </c>
      <c r="U477" s="18">
        <f t="shared" si="205"/>
        <v>3.968</v>
      </c>
      <c r="V477" s="29">
        <f t="shared" si="206"/>
        <v>1.1105</v>
      </c>
      <c r="W477" s="29">
        <f t="shared" si="207"/>
        <v>1.78E-2</v>
      </c>
      <c r="X477" s="30">
        <f t="shared" si="208"/>
        <v>71.87</v>
      </c>
      <c r="Y477" s="31">
        <f t="shared" si="209"/>
        <v>67.989999999999995</v>
      </c>
    </row>
    <row r="478" spans="1:25" ht="15" customHeight="1" x14ac:dyDescent="0.25">
      <c r="A478" s="5">
        <v>39999</v>
      </c>
      <c r="B478">
        <v>1436.1922</v>
      </c>
      <c r="C478" s="29">
        <f t="shared" si="213"/>
        <v>-9.7000000000000003E-3</v>
      </c>
      <c r="D478">
        <v>0.66</v>
      </c>
      <c r="E478">
        <v>1.212</v>
      </c>
      <c r="F478" s="18">
        <f t="shared" si="200"/>
        <v>0.85200000000000031</v>
      </c>
      <c r="G478" s="18">
        <f t="shared" si="201"/>
        <v>2.1199999999999974</v>
      </c>
      <c r="H478">
        <v>10.52</v>
      </c>
      <c r="I478">
        <v>3.63</v>
      </c>
      <c r="J478">
        <f t="shared" si="210"/>
        <v>7.08</v>
      </c>
      <c r="K478" s="6">
        <f t="shared" si="211"/>
        <v>7.2</v>
      </c>
      <c r="L478" s="6">
        <f t="shared" si="212"/>
        <v>-9.9999999999997868E-3</v>
      </c>
      <c r="M478">
        <v>5.3025459143509002</v>
      </c>
      <c r="N478">
        <v>598250</v>
      </c>
      <c r="O478" s="18">
        <f>ROUND(N478/VLOOKUP(EOMONTH(A478,-1),Employment!A:P,16,FALSE),4)</f>
        <v>2.5387</v>
      </c>
      <c r="P478" s="18">
        <f t="shared" si="202"/>
        <v>2.5486</v>
      </c>
      <c r="Q478" s="29">
        <f t="shared" si="203"/>
        <v>0.57730000000000004</v>
      </c>
      <c r="R478" s="29">
        <f t="shared" si="204"/>
        <v>3.3000000000000002E-2</v>
      </c>
      <c r="S478">
        <v>6488000</v>
      </c>
      <c r="T478" s="18">
        <f>ROUND((S478/7)/VLOOKUP(EOMONTH(A478,-1),Employment!A:P,16,FALSE),4)</f>
        <v>3.9331</v>
      </c>
      <c r="U478" s="18">
        <f t="shared" si="205"/>
        <v>3.9464999999999999</v>
      </c>
      <c r="V478" s="29">
        <f t="shared" si="206"/>
        <v>1.1214</v>
      </c>
      <c r="W478" s="29">
        <f t="shared" si="207"/>
        <v>1.2800000000000001E-2</v>
      </c>
      <c r="X478" s="30">
        <f t="shared" si="208"/>
        <v>68.819999999999993</v>
      </c>
      <c r="Y478" s="31">
        <f t="shared" si="209"/>
        <v>60.21</v>
      </c>
    </row>
    <row r="479" spans="1:25" ht="15" customHeight="1" x14ac:dyDescent="0.25">
      <c r="A479" s="5">
        <v>39992</v>
      </c>
      <c r="B479">
        <v>1436.4915000000001</v>
      </c>
      <c r="C479" s="29">
        <f t="shared" si="213"/>
        <v>-1.47E-2</v>
      </c>
      <c r="D479">
        <v>0.69</v>
      </c>
      <c r="E479">
        <v>1.2809999999999999</v>
      </c>
      <c r="F479" s="18">
        <f t="shared" si="200"/>
        <v>0.12399999999999878</v>
      </c>
      <c r="G479" s="18">
        <f t="shared" si="201"/>
        <v>2.0599999999999987</v>
      </c>
      <c r="H479">
        <v>11.09</v>
      </c>
      <c r="I479">
        <v>3.65</v>
      </c>
      <c r="J479">
        <f t="shared" si="210"/>
        <v>7.37</v>
      </c>
      <c r="K479" s="6">
        <f t="shared" si="211"/>
        <v>7.21</v>
      </c>
      <c r="L479" s="6">
        <f t="shared" si="212"/>
        <v>1.9999999999999574E-2</v>
      </c>
      <c r="M479">
        <v>3.2341534674007999</v>
      </c>
      <c r="N479">
        <v>601500</v>
      </c>
      <c r="O479" s="18">
        <f>ROUND(N479/VLOOKUP(EOMONTH(A479,-1),Employment!A:P,16,FALSE),4)</f>
        <v>2.5547</v>
      </c>
      <c r="P479" s="18">
        <f t="shared" si="202"/>
        <v>2.5621</v>
      </c>
      <c r="Q479" s="29">
        <f t="shared" si="203"/>
        <v>0.60389999999999999</v>
      </c>
      <c r="R479" s="29">
        <f t="shared" si="204"/>
        <v>2.5100000000000001E-2</v>
      </c>
      <c r="S479">
        <v>6525000</v>
      </c>
      <c r="T479" s="18">
        <f>ROUND((S479/7)/VLOOKUP(EOMONTH(A479,-1),Employment!A:P,16,FALSE),4)</f>
        <v>3.9590000000000001</v>
      </c>
      <c r="U479" s="18">
        <f t="shared" si="205"/>
        <v>3.9773999999999998</v>
      </c>
      <c r="V479" s="29">
        <f t="shared" si="206"/>
        <v>1.1371</v>
      </c>
      <c r="W479" s="29">
        <f t="shared" si="207"/>
        <v>3.7000000000000002E-3</v>
      </c>
      <c r="X479" s="30">
        <f t="shared" si="208"/>
        <v>56.239999999999995</v>
      </c>
      <c r="Y479" s="31">
        <f t="shared" si="209"/>
        <v>50.83</v>
      </c>
    </row>
    <row r="480" spans="1:25" ht="15" customHeight="1" x14ac:dyDescent="0.25">
      <c r="A480" s="5">
        <v>39985</v>
      </c>
      <c r="B480">
        <v>1447.0909999999999</v>
      </c>
      <c r="C480" s="29">
        <f t="shared" si="213"/>
        <v>-1.2E-2</v>
      </c>
      <c r="D480">
        <v>0.7</v>
      </c>
      <c r="E480">
        <v>1.284</v>
      </c>
      <c r="F480" s="18">
        <f t="shared" si="200"/>
        <v>1.1439999999999984</v>
      </c>
      <c r="G480" s="18">
        <f t="shared" si="201"/>
        <v>1.7199999999999989</v>
      </c>
      <c r="H480">
        <v>10.75</v>
      </c>
      <c r="I480">
        <v>3.54</v>
      </c>
      <c r="J480">
        <f t="shared" si="210"/>
        <v>7.15</v>
      </c>
      <c r="K480" s="6">
        <f t="shared" si="211"/>
        <v>7.19</v>
      </c>
      <c r="L480" s="6">
        <f t="shared" si="212"/>
        <v>-0.29999999999999982</v>
      </c>
      <c r="M480">
        <v>0.44675668517801997</v>
      </c>
      <c r="N480">
        <v>601000</v>
      </c>
      <c r="O480" s="18">
        <f>ROUND(N480/VLOOKUP(EOMONTH(A480,-1),Employment!A:P,16,FALSE),4)</f>
        <v>2.5525000000000002</v>
      </c>
      <c r="P480" s="18">
        <f t="shared" si="202"/>
        <v>2.5804999999999998</v>
      </c>
      <c r="Q480" s="29">
        <f t="shared" si="203"/>
        <v>0.62970000000000004</v>
      </c>
      <c r="R480" s="29">
        <f t="shared" si="204"/>
        <v>1.7600000000000001E-2</v>
      </c>
      <c r="S480">
        <v>6506000</v>
      </c>
      <c r="T480" s="18">
        <f>ROUND((S480/7)/VLOOKUP(EOMONTH(A480,-1),Employment!A:P,16,FALSE),4)</f>
        <v>3.9474</v>
      </c>
      <c r="U480" s="18">
        <f t="shared" si="205"/>
        <v>3.9767000000000001</v>
      </c>
      <c r="V480" s="29">
        <f t="shared" si="206"/>
        <v>1.1485000000000001</v>
      </c>
      <c r="W480" s="29">
        <f t="shared" si="207"/>
        <v>-6.1000000000000004E-3</v>
      </c>
      <c r="X480" s="30">
        <f t="shared" si="208"/>
        <v>48.58</v>
      </c>
      <c r="Y480" s="31">
        <f t="shared" si="209"/>
        <v>45.54</v>
      </c>
    </row>
    <row r="481" spans="1:25" ht="15" customHeight="1" x14ac:dyDescent="0.25">
      <c r="A481" s="5">
        <v>39978</v>
      </c>
      <c r="B481">
        <v>1451.5177000000001</v>
      </c>
      <c r="C481" s="29">
        <f t="shared" si="213"/>
        <v>-1.4200000000000001E-2</v>
      </c>
      <c r="D481">
        <v>0.72</v>
      </c>
      <c r="E481">
        <v>1.4019999999999999</v>
      </c>
      <c r="F481" s="18">
        <f t="shared" si="200"/>
        <v>0.79200000000000159</v>
      </c>
      <c r="G481" s="18">
        <f t="shared" si="201"/>
        <v>2.7240000000000038</v>
      </c>
      <c r="H481">
        <v>10.41</v>
      </c>
      <c r="I481">
        <v>3.79</v>
      </c>
      <c r="J481">
        <f t="shared" si="210"/>
        <v>7.1</v>
      </c>
      <c r="K481" s="6">
        <f t="shared" si="211"/>
        <v>7.49</v>
      </c>
      <c r="L481" s="6">
        <f t="shared" si="212"/>
        <v>-0.42999999999999972</v>
      </c>
      <c r="M481">
        <v>-2.4897650116335002</v>
      </c>
      <c r="N481">
        <v>607250</v>
      </c>
      <c r="O481" s="18">
        <f>ROUND(N481/VLOOKUP(EOMONTH(A481,-1),Employment!A:P,16,FALSE),4)</f>
        <v>2.5790999999999999</v>
      </c>
      <c r="P481" s="18">
        <f t="shared" si="202"/>
        <v>2.5985</v>
      </c>
      <c r="Q481" s="29">
        <f t="shared" si="203"/>
        <v>0.64810000000000001</v>
      </c>
      <c r="R481" s="29">
        <f t="shared" si="204"/>
        <v>1.7000000000000001E-2</v>
      </c>
      <c r="S481">
        <v>6635000</v>
      </c>
      <c r="T481" s="18">
        <f>ROUND((S481/7)/VLOOKUP(EOMONTH(A481,-1),Employment!A:P,16,FALSE),4)</f>
        <v>4.0256999999999996</v>
      </c>
      <c r="U481" s="18">
        <f t="shared" si="205"/>
        <v>3.9843999999999999</v>
      </c>
      <c r="V481" s="29">
        <f t="shared" si="206"/>
        <v>1.1513</v>
      </c>
      <c r="W481" s="29">
        <f t="shared" si="207"/>
        <v>-1.6799999999999999E-2</v>
      </c>
      <c r="X481" s="30">
        <f t="shared" si="208"/>
        <v>42.92</v>
      </c>
      <c r="Y481" s="31">
        <f t="shared" si="209"/>
        <v>44.92</v>
      </c>
    </row>
    <row r="482" spans="1:25" ht="15" customHeight="1" x14ac:dyDescent="0.25">
      <c r="A482" s="5">
        <v>39971</v>
      </c>
      <c r="B482">
        <v>1465.7454</v>
      </c>
      <c r="C482" s="29">
        <f t="shared" si="213"/>
        <v>-8.3999999999999995E-3</v>
      </c>
      <c r="D482">
        <v>0.74</v>
      </c>
      <c r="E482">
        <v>1.476</v>
      </c>
      <c r="F482" s="18">
        <f t="shared" si="200"/>
        <v>-0.21600000000000108</v>
      </c>
      <c r="G482" s="18">
        <f t="shared" si="201"/>
        <v>3.9200000000000017</v>
      </c>
      <c r="H482">
        <v>10.7</v>
      </c>
      <c r="I482">
        <v>3.95</v>
      </c>
      <c r="J482">
        <f t="shared" si="210"/>
        <v>7.33</v>
      </c>
      <c r="K482" s="6">
        <f t="shared" si="211"/>
        <v>7.92</v>
      </c>
      <c r="L482" s="6">
        <f t="shared" si="212"/>
        <v>-0.51999999999999957</v>
      </c>
      <c r="M482">
        <v>-5.0328344654811996</v>
      </c>
      <c r="N482">
        <v>614500</v>
      </c>
      <c r="O482" s="18">
        <f>ROUND(N482/VLOOKUP(EOMONTH(A482,-1),Employment!A:P,16,FALSE),4)</f>
        <v>2.6099000000000001</v>
      </c>
      <c r="P482" s="18">
        <f t="shared" si="202"/>
        <v>2.6126</v>
      </c>
      <c r="Q482" s="29">
        <f t="shared" si="203"/>
        <v>0.65920000000000001</v>
      </c>
      <c r="R482" s="29">
        <f t="shared" si="204"/>
        <v>2.0299999999999999E-2</v>
      </c>
      <c r="S482">
        <v>6522000</v>
      </c>
      <c r="T482" s="18">
        <f>ROUND((S482/7)/VLOOKUP(EOMONTH(A482,-1),Employment!A:P,16,FALSE),4)</f>
        <v>3.9571000000000001</v>
      </c>
      <c r="U482" s="18">
        <f t="shared" si="205"/>
        <v>3.9613999999999998</v>
      </c>
      <c r="V482" s="29">
        <f t="shared" si="206"/>
        <v>1.1519999999999999</v>
      </c>
      <c r="W482" s="29">
        <f t="shared" si="207"/>
        <v>-2.6200000000000001E-2</v>
      </c>
      <c r="X482" s="30">
        <f t="shared" si="208"/>
        <v>44.510000000000005</v>
      </c>
      <c r="Y482" s="31">
        <f t="shared" si="209"/>
        <v>47.21</v>
      </c>
    </row>
    <row r="483" spans="1:25" ht="15" customHeight="1" x14ac:dyDescent="0.25">
      <c r="A483" s="5">
        <v>39964</v>
      </c>
      <c r="B483">
        <v>1467.6029000000001</v>
      </c>
      <c r="C483" s="29">
        <f t="shared" si="213"/>
        <v>-9.9000000000000008E-3</v>
      </c>
      <c r="D483">
        <v>0.76</v>
      </c>
      <c r="E483">
        <v>1.4239999999999999</v>
      </c>
      <c r="F483" s="18">
        <f t="shared" si="200"/>
        <v>2.1480000000000032</v>
      </c>
      <c r="G483" s="18">
        <f t="shared" si="201"/>
        <v>7.5720000000000027</v>
      </c>
      <c r="H483">
        <v>11.76</v>
      </c>
      <c r="I483">
        <v>4.29</v>
      </c>
      <c r="J483">
        <f t="shared" si="210"/>
        <v>8.0299999999999994</v>
      </c>
      <c r="K483" s="6">
        <f t="shared" si="211"/>
        <v>8.44</v>
      </c>
      <c r="L483" s="6">
        <f t="shared" si="212"/>
        <v>-0.20000000000000107</v>
      </c>
      <c r="M483">
        <v>-7.4595076755873997</v>
      </c>
      <c r="N483">
        <v>613250</v>
      </c>
      <c r="O483" s="18">
        <f>ROUND(N483/VLOOKUP(EOMONTH(A483,-1),Employment!A:P,16,FALSE),4)</f>
        <v>2.6065999999999998</v>
      </c>
      <c r="P483" s="18">
        <f t="shared" si="202"/>
        <v>2.6232000000000002</v>
      </c>
      <c r="Q483" s="29">
        <f t="shared" si="203"/>
        <v>0.66879999999999995</v>
      </c>
      <c r="R483" s="29">
        <f t="shared" si="204"/>
        <v>2.6599999999999999E-2</v>
      </c>
      <c r="S483">
        <v>6539000</v>
      </c>
      <c r="T483" s="18">
        <f>ROUND((S483/7)/VLOOKUP(EOMONTH(A483,-1),Employment!A:P,16,FALSE),4)</f>
        <v>3.9704999999999999</v>
      </c>
      <c r="U483" s="18">
        <f t="shared" si="205"/>
        <v>3.9409000000000001</v>
      </c>
      <c r="V483" s="29">
        <f t="shared" si="206"/>
        <v>1.1435</v>
      </c>
      <c r="W483" s="29">
        <f t="shared" si="207"/>
        <v>-3.04E-2</v>
      </c>
      <c r="X483" s="30">
        <f t="shared" si="208"/>
        <v>50.92</v>
      </c>
      <c r="Y483" s="31">
        <f t="shared" si="209"/>
        <v>45.6</v>
      </c>
    </row>
    <row r="484" spans="1:25" ht="15" customHeight="1" x14ac:dyDescent="0.25">
      <c r="A484" s="5">
        <v>39957</v>
      </c>
      <c r="B484">
        <v>1473.6196</v>
      </c>
      <c r="C484" s="29">
        <f t="shared" si="213"/>
        <v>-9.2999999999999992E-3</v>
      </c>
      <c r="D484">
        <v>0.83</v>
      </c>
      <c r="E484">
        <v>1.605</v>
      </c>
      <c r="F484" s="18">
        <f t="shared" si="200"/>
        <v>1.9879999999999995</v>
      </c>
      <c r="G484" s="18">
        <f t="shared" si="201"/>
        <v>7.4280000000000008</v>
      </c>
      <c r="H484">
        <v>12.13</v>
      </c>
      <c r="I484">
        <v>4.66</v>
      </c>
      <c r="J484">
        <f t="shared" si="210"/>
        <v>8.4</v>
      </c>
      <c r="K484" s="6">
        <f t="shared" si="211"/>
        <v>8.64</v>
      </c>
      <c r="L484" s="6">
        <f t="shared" si="212"/>
        <v>-0.25999999999999979</v>
      </c>
      <c r="M484">
        <v>-9.7606749961137993</v>
      </c>
      <c r="N484">
        <v>616750</v>
      </c>
      <c r="O484" s="18">
        <f>ROUND(N484/VLOOKUP(EOMONTH(A484,-1),Employment!A:P,16,FALSE),4)</f>
        <v>2.6214</v>
      </c>
      <c r="P484" s="18">
        <f t="shared" si="202"/>
        <v>2.6257000000000001</v>
      </c>
      <c r="Q484" s="29">
        <f t="shared" si="203"/>
        <v>0.67679999999999996</v>
      </c>
      <c r="R484" s="29">
        <f t="shared" si="204"/>
        <v>2.64E-2</v>
      </c>
      <c r="S484">
        <v>6516000</v>
      </c>
      <c r="T484" s="18">
        <f>ROUND((S484/7)/VLOOKUP(EOMONTH(A484,-1),Employment!A:P,16,FALSE),4)</f>
        <v>3.9565000000000001</v>
      </c>
      <c r="U484" s="18">
        <f t="shared" si="205"/>
        <v>3.8925999999999998</v>
      </c>
      <c r="V484" s="29">
        <f t="shared" si="206"/>
        <v>1.1236999999999999</v>
      </c>
      <c r="W484" s="29">
        <f t="shared" si="207"/>
        <v>-3.4599999999999999E-2</v>
      </c>
      <c r="X484" s="30">
        <f t="shared" si="208"/>
        <v>44.7</v>
      </c>
      <c r="Y484" s="31">
        <f t="shared" si="209"/>
        <v>37.020000000000003</v>
      </c>
    </row>
    <row r="485" spans="1:25" ht="15" customHeight="1" x14ac:dyDescent="0.25">
      <c r="A485" s="5">
        <v>39950</v>
      </c>
      <c r="B485">
        <v>1482.6655000000001</v>
      </c>
      <c r="C485" s="29">
        <f t="shared" si="213"/>
        <v>-5.8999999999999999E-3</v>
      </c>
      <c r="D485">
        <v>0.9</v>
      </c>
      <c r="E485">
        <v>1.766</v>
      </c>
      <c r="F485" s="18">
        <f t="shared" si="200"/>
        <v>3.4359999999999999</v>
      </c>
      <c r="G485" s="18">
        <f t="shared" si="201"/>
        <v>6.3359999999999985</v>
      </c>
      <c r="H485">
        <v>12.91</v>
      </c>
      <c r="I485">
        <v>4.8499999999999996</v>
      </c>
      <c r="J485">
        <f t="shared" si="210"/>
        <v>8.8800000000000008</v>
      </c>
      <c r="K485" s="6">
        <f t="shared" si="211"/>
        <v>8.9</v>
      </c>
      <c r="L485" s="6">
        <f t="shared" si="212"/>
        <v>-0.38999999999999879</v>
      </c>
      <c r="M485">
        <v>-11.973363049355999</v>
      </c>
      <c r="N485">
        <v>621500</v>
      </c>
      <c r="O485" s="18">
        <f>ROUND(N485/VLOOKUP(EOMONTH(A485,-1),Employment!A:P,16,FALSE),4)</f>
        <v>2.6415999999999999</v>
      </c>
      <c r="P485" s="18">
        <f t="shared" si="202"/>
        <v>2.6413000000000002</v>
      </c>
      <c r="Q485" s="29">
        <f t="shared" si="203"/>
        <v>0.70030000000000003</v>
      </c>
      <c r="R485" s="29">
        <f t="shared" si="204"/>
        <v>2.2800000000000001E-2</v>
      </c>
      <c r="S485">
        <v>6416000</v>
      </c>
      <c r="T485" s="18">
        <f>ROUND((S485/7)/VLOOKUP(EOMONTH(A485,-1),Employment!A:P,16,FALSE),4)</f>
        <v>3.8957999999999999</v>
      </c>
      <c r="U485" s="18">
        <f t="shared" si="205"/>
        <v>3.8416000000000001</v>
      </c>
      <c r="V485" s="29">
        <f t="shared" si="206"/>
        <v>1.1036999999999999</v>
      </c>
      <c r="W485" s="29">
        <f t="shared" si="207"/>
        <v>-4.2200000000000001E-2</v>
      </c>
      <c r="X485" s="30">
        <f t="shared" si="208"/>
        <v>34.52000000000001</v>
      </c>
      <c r="Y485" s="31">
        <f t="shared" si="209"/>
        <v>26.92</v>
      </c>
    </row>
    <row r="486" spans="1:25" ht="15" customHeight="1" x14ac:dyDescent="0.25">
      <c r="A486" s="5">
        <v>39943</v>
      </c>
      <c r="B486">
        <v>1488.7876000000001</v>
      </c>
      <c r="C486" s="29">
        <f t="shared" si="213"/>
        <v>-4.1000000000000003E-3</v>
      </c>
      <c r="D486">
        <v>1.01</v>
      </c>
      <c r="E486">
        <v>2.0579999999999998</v>
      </c>
      <c r="F486" s="18">
        <f t="shared" si="200"/>
        <v>2.0040000000000013</v>
      </c>
      <c r="G486" s="18">
        <f t="shared" si="201"/>
        <v>5.4200000000000017</v>
      </c>
      <c r="H486">
        <v>12.41</v>
      </c>
      <c r="I486">
        <v>4.8499999999999996</v>
      </c>
      <c r="J486">
        <f t="shared" si="210"/>
        <v>8.6300000000000008</v>
      </c>
      <c r="K486" s="6">
        <f t="shared" si="211"/>
        <v>9.2899999999999991</v>
      </c>
      <c r="L486" s="6">
        <f t="shared" si="212"/>
        <v>-0.54000000000000092</v>
      </c>
      <c r="M486">
        <v>-14.138732666864</v>
      </c>
      <c r="N486">
        <v>615000</v>
      </c>
      <c r="O486" s="18">
        <f>ROUND(N486/VLOOKUP(EOMONTH(A486,-1),Employment!A:P,16,FALSE),4)</f>
        <v>2.6139999999999999</v>
      </c>
      <c r="P486" s="18">
        <f t="shared" si="202"/>
        <v>2.6667999999999998</v>
      </c>
      <c r="Q486" s="29">
        <f t="shared" si="203"/>
        <v>0.71619999999999995</v>
      </c>
      <c r="R486" s="29">
        <f t="shared" si="204"/>
        <v>2.24E-2</v>
      </c>
      <c r="S486">
        <v>6300000</v>
      </c>
      <c r="T486" s="18">
        <f>ROUND((S486/7)/VLOOKUP(EOMONTH(A486,-1),Employment!A:P,16,FALSE),4)</f>
        <v>3.8254000000000001</v>
      </c>
      <c r="U486" s="18">
        <f t="shared" si="205"/>
        <v>3.7847</v>
      </c>
      <c r="V486" s="29">
        <f t="shared" si="206"/>
        <v>1.085</v>
      </c>
      <c r="W486" s="29">
        <f t="shared" si="207"/>
        <v>-4.8000000000000001E-2</v>
      </c>
      <c r="X486" s="30">
        <f t="shared" si="208"/>
        <v>24.080000000000013</v>
      </c>
      <c r="Y486" s="31">
        <f t="shared" si="209"/>
        <v>19.71</v>
      </c>
    </row>
    <row r="487" spans="1:25" ht="15" customHeight="1" x14ac:dyDescent="0.25">
      <c r="A487" s="5">
        <v>39936</v>
      </c>
      <c r="B487">
        <v>1484.0956000000001</v>
      </c>
      <c r="C487" s="29">
        <f t="shared" si="213"/>
        <v>-1.12E-2</v>
      </c>
      <c r="D487">
        <v>1.1000000000000001</v>
      </c>
      <c r="E487">
        <v>2.1960000000000002</v>
      </c>
      <c r="F487" s="18">
        <f t="shared" si="200"/>
        <v>0.89599999999999724</v>
      </c>
      <c r="G487" s="18">
        <f t="shared" si="201"/>
        <v>5.2679999999999971</v>
      </c>
      <c r="H487">
        <v>13.34</v>
      </c>
      <c r="I487">
        <v>5.01</v>
      </c>
      <c r="J487">
        <f t="shared" si="210"/>
        <v>9.18</v>
      </c>
      <c r="K487" s="6">
        <f t="shared" si="211"/>
        <v>9.83</v>
      </c>
      <c r="L487" s="6">
        <f t="shared" si="212"/>
        <v>-0.57000000000000028</v>
      </c>
      <c r="M487">
        <v>-15.760366196039</v>
      </c>
      <c r="N487">
        <v>627750</v>
      </c>
      <c r="O487" s="18">
        <f>ROUND(N487/VLOOKUP(EOMONTH(A487,-1),Employment!A:P,16,FALSE),4)</f>
        <v>2.6682000000000001</v>
      </c>
      <c r="P487" s="18">
        <f t="shared" si="202"/>
        <v>2.7092999999999998</v>
      </c>
      <c r="Q487" s="29">
        <f t="shared" si="203"/>
        <v>0.73509999999999998</v>
      </c>
      <c r="R487" s="29">
        <f t="shared" si="204"/>
        <v>2.5899999999999999E-2</v>
      </c>
      <c r="S487">
        <v>6264000</v>
      </c>
      <c r="T487" s="18">
        <f>ROUND((S487/7)/VLOOKUP(EOMONTH(A487,-1),Employment!A:P,16,FALSE),4)</f>
        <v>3.8035000000000001</v>
      </c>
      <c r="U487" s="18">
        <f t="shared" si="205"/>
        <v>3.7338</v>
      </c>
      <c r="V487" s="29">
        <f t="shared" si="206"/>
        <v>1.0603</v>
      </c>
      <c r="W487" s="29">
        <f t="shared" si="207"/>
        <v>-4.4999999999999998E-2</v>
      </c>
      <c r="X487" s="30">
        <f t="shared" si="208"/>
        <v>15.030000000000001</v>
      </c>
      <c r="Y487" s="31">
        <f t="shared" si="209"/>
        <v>17.18</v>
      </c>
    </row>
    <row r="488" spans="1:25" ht="15" customHeight="1" x14ac:dyDescent="0.25">
      <c r="A488" s="5">
        <v>39929</v>
      </c>
      <c r="B488">
        <v>1494.1318000000001</v>
      </c>
      <c r="C488" s="29">
        <f t="shared" si="213"/>
        <v>-7.1000000000000004E-3</v>
      </c>
      <c r="D488">
        <v>1.18</v>
      </c>
      <c r="E488">
        <v>2.2080000000000002</v>
      </c>
      <c r="F488" s="18">
        <f t="shared" si="200"/>
        <v>2.5200000000000031</v>
      </c>
      <c r="G488" s="18">
        <f t="shared" si="201"/>
        <v>6.8440000000000012</v>
      </c>
      <c r="H488">
        <v>14.87</v>
      </c>
      <c r="I488">
        <v>5.25</v>
      </c>
      <c r="J488">
        <f t="shared" si="210"/>
        <v>10.06</v>
      </c>
      <c r="K488" s="6">
        <f t="shared" si="211"/>
        <v>10.4</v>
      </c>
      <c r="L488" s="6">
        <f t="shared" si="212"/>
        <v>-0.34999999999999964</v>
      </c>
      <c r="M488">
        <v>-17.265189652132001</v>
      </c>
      <c r="N488">
        <v>639000</v>
      </c>
      <c r="O488" s="18">
        <f>ROUND(N488/VLOOKUP(EOMONTH(A488,-1),Employment!A:P,16,FALSE),4)</f>
        <v>2.7181999999999999</v>
      </c>
      <c r="P488" s="18">
        <f t="shared" si="202"/>
        <v>2.7522000000000002</v>
      </c>
      <c r="Q488" s="29">
        <f t="shared" si="203"/>
        <v>0.74609999999999999</v>
      </c>
      <c r="R488" s="29">
        <f t="shared" si="204"/>
        <v>3.49E-2</v>
      </c>
      <c r="S488">
        <v>6130000</v>
      </c>
      <c r="T488" s="18">
        <f>ROUND((S488/7)/VLOOKUP(EOMONTH(A488,-1),Employment!A:P,16,FALSE),4)</f>
        <v>3.7250999999999999</v>
      </c>
      <c r="U488" s="18">
        <f t="shared" si="205"/>
        <v>3.6682000000000001</v>
      </c>
      <c r="V488" s="29">
        <f t="shared" si="206"/>
        <v>1.0226999999999999</v>
      </c>
      <c r="W488" s="29">
        <f t="shared" si="207"/>
        <v>-3.8100000000000002E-2</v>
      </c>
      <c r="X488" s="30">
        <f t="shared" si="208"/>
        <v>20.47</v>
      </c>
      <c r="Y488" s="31">
        <f t="shared" si="209"/>
        <v>15.6</v>
      </c>
    </row>
    <row r="489" spans="1:25" ht="15" customHeight="1" x14ac:dyDescent="0.25">
      <c r="A489" s="5">
        <v>39922</v>
      </c>
      <c r="B489">
        <v>1498.5509</v>
      </c>
      <c r="C489" s="29">
        <f t="shared" si="213"/>
        <v>-7.6E-3</v>
      </c>
      <c r="D489">
        <v>1.28</v>
      </c>
      <c r="E489">
        <v>2.3980000000000001</v>
      </c>
      <c r="F489" s="18">
        <f t="shared" si="200"/>
        <v>1.8519999999999968</v>
      </c>
      <c r="G489" s="18">
        <f t="shared" si="201"/>
        <v>7.0279999999999987</v>
      </c>
      <c r="H489">
        <v>15.05</v>
      </c>
      <c r="I489">
        <v>5.43</v>
      </c>
      <c r="J489">
        <f t="shared" si="210"/>
        <v>10.24</v>
      </c>
      <c r="K489" s="6">
        <f t="shared" si="211"/>
        <v>10.75</v>
      </c>
      <c r="L489" s="6">
        <f t="shared" si="212"/>
        <v>-0.33000000000000007</v>
      </c>
      <c r="M489">
        <v>-18.650077808942999</v>
      </c>
      <c r="N489">
        <v>644500</v>
      </c>
      <c r="O489" s="18">
        <f>ROUND(N489/VLOOKUP(EOMONTH(A489,-1),Employment!A:P,16,FALSE),4)</f>
        <v>2.7414999999999998</v>
      </c>
      <c r="P489" s="18">
        <f t="shared" si="202"/>
        <v>2.7808999999999999</v>
      </c>
      <c r="Q489" s="29">
        <f t="shared" si="203"/>
        <v>0.75749999999999995</v>
      </c>
      <c r="R489" s="29">
        <f t="shared" si="204"/>
        <v>3.5200000000000002E-2</v>
      </c>
      <c r="S489">
        <v>6044000</v>
      </c>
      <c r="T489" s="18">
        <f>ROUND((S489/7)/VLOOKUP(EOMONTH(A489,-1),Employment!A:P,16,FALSE),4)</f>
        <v>3.6728000000000001</v>
      </c>
      <c r="U489" s="18">
        <f t="shared" si="205"/>
        <v>3.6072000000000002</v>
      </c>
      <c r="V489" s="29">
        <f t="shared" si="206"/>
        <v>0.9889</v>
      </c>
      <c r="W489" s="29">
        <f t="shared" si="207"/>
        <v>-3.95E-2</v>
      </c>
      <c r="X489" s="30">
        <f t="shared" si="208"/>
        <v>14.300000000000011</v>
      </c>
      <c r="Y489" s="31">
        <f t="shared" si="209"/>
        <v>8.73</v>
      </c>
    </row>
    <row r="490" spans="1:25" ht="15" customHeight="1" x14ac:dyDescent="0.25">
      <c r="A490" s="5">
        <v>39915</v>
      </c>
      <c r="B490">
        <v>1502.8945000000001</v>
      </c>
      <c r="C490" s="29">
        <f t="shared" si="213"/>
        <v>-7.4000000000000003E-3</v>
      </c>
      <c r="D490">
        <v>1.39</v>
      </c>
      <c r="E490">
        <v>2.492</v>
      </c>
      <c r="F490" s="18">
        <f t="shared" si="200"/>
        <v>2.4720000000000013</v>
      </c>
      <c r="G490" s="18">
        <f t="shared" si="201"/>
        <v>8.2600000000000051</v>
      </c>
      <c r="H490">
        <v>16.190000000000001</v>
      </c>
      <c r="I490">
        <v>5.61</v>
      </c>
      <c r="J490">
        <f t="shared" si="210"/>
        <v>10.9</v>
      </c>
      <c r="K490" s="6">
        <f t="shared" si="211"/>
        <v>11.08</v>
      </c>
      <c r="L490" s="6">
        <f t="shared" si="212"/>
        <v>-0.30000000000000071</v>
      </c>
      <c r="M490">
        <v>-20.175161173281001</v>
      </c>
      <c r="N490">
        <v>657500</v>
      </c>
      <c r="O490" s="18">
        <f>ROUND(N490/VLOOKUP(EOMONTH(A490,-1),Employment!A:P,16,FALSE),4)</f>
        <v>2.7968000000000002</v>
      </c>
      <c r="P490" s="18">
        <f t="shared" si="202"/>
        <v>2.7978999999999998</v>
      </c>
      <c r="Q490" s="29">
        <f t="shared" si="203"/>
        <v>0.78549999999999998</v>
      </c>
      <c r="R490" s="29">
        <f t="shared" si="204"/>
        <v>2.69E-2</v>
      </c>
      <c r="S490">
        <v>5935000</v>
      </c>
      <c r="T490" s="18">
        <f>ROUND((S490/7)/VLOOKUP(EOMONTH(A490,-1),Employment!A:P,16,FALSE),4)</f>
        <v>3.6065999999999998</v>
      </c>
      <c r="U490" s="18">
        <f t="shared" si="205"/>
        <v>3.5381999999999998</v>
      </c>
      <c r="V490" s="29">
        <f t="shared" si="206"/>
        <v>0.96630000000000005</v>
      </c>
      <c r="W490" s="29">
        <f t="shared" si="207"/>
        <v>-4.5100000000000001E-2</v>
      </c>
      <c r="X490" s="30">
        <f t="shared" si="208"/>
        <v>6.6500000000000057</v>
      </c>
      <c r="Y490" s="31">
        <f t="shared" si="209"/>
        <v>2.77</v>
      </c>
    </row>
    <row r="491" spans="1:25" ht="15" customHeight="1" x14ac:dyDescent="0.25">
      <c r="A491" s="5">
        <v>39908</v>
      </c>
      <c r="B491">
        <v>1508.3377</v>
      </c>
      <c r="C491" s="29">
        <f t="shared" si="213"/>
        <v>-6.7999999999999996E-3</v>
      </c>
      <c r="D491">
        <v>1.51</v>
      </c>
      <c r="E491">
        <v>2.6509999999999998</v>
      </c>
      <c r="F491" s="18">
        <f t="shared" si="200"/>
        <v>2.7040000000000006</v>
      </c>
      <c r="G491" s="18">
        <f t="shared" si="201"/>
        <v>7.0599999999999952</v>
      </c>
      <c r="H491">
        <v>16.53</v>
      </c>
      <c r="I491">
        <v>5.68</v>
      </c>
      <c r="J491">
        <f t="shared" si="210"/>
        <v>11.11</v>
      </c>
      <c r="K491" s="6">
        <f t="shared" si="211"/>
        <v>11.38</v>
      </c>
      <c r="L491" s="6">
        <f t="shared" si="212"/>
        <v>-0.22999999999999865</v>
      </c>
      <c r="M491">
        <v>-21.776806074225998</v>
      </c>
      <c r="N491">
        <v>659250</v>
      </c>
      <c r="O491" s="18">
        <f>ROUND(N491/VLOOKUP(EOMONTH(A491,-1),Employment!A:P,16,FALSE),4)</f>
        <v>2.8043</v>
      </c>
      <c r="P491" s="18">
        <f t="shared" si="202"/>
        <v>2.7942999999999998</v>
      </c>
      <c r="Q491" s="29">
        <f t="shared" si="203"/>
        <v>0.80840000000000001</v>
      </c>
      <c r="R491" s="29">
        <f t="shared" si="204"/>
        <v>6.4999999999999997E-3</v>
      </c>
      <c r="S491">
        <v>5829000</v>
      </c>
      <c r="T491" s="18">
        <f>ROUND((S491/7)/VLOOKUP(EOMONTH(A491,-1),Employment!A:P,16,FALSE),4)</f>
        <v>3.5421999999999998</v>
      </c>
      <c r="U491" s="18">
        <f t="shared" si="205"/>
        <v>3.4710999999999999</v>
      </c>
      <c r="V491" s="29">
        <f t="shared" si="206"/>
        <v>0.94440000000000002</v>
      </c>
      <c r="W491" s="29">
        <f t="shared" si="207"/>
        <v>-4.9200000000000001E-2</v>
      </c>
      <c r="X491" s="30">
        <f t="shared" si="208"/>
        <v>0</v>
      </c>
      <c r="Y491" s="31">
        <f t="shared" si="209"/>
        <v>0</v>
      </c>
    </row>
    <row r="492" spans="1:25" ht="15" customHeight="1" x14ac:dyDescent="0.25">
      <c r="A492" s="5">
        <v>39901</v>
      </c>
      <c r="B492">
        <v>1509.4480000000001</v>
      </c>
      <c r="C492" s="29">
        <f t="shared" si="213"/>
        <v>-1.01E-2</v>
      </c>
      <c r="D492">
        <v>1.63</v>
      </c>
      <c r="E492">
        <v>2.839</v>
      </c>
      <c r="F492" s="18">
        <f t="shared" si="200"/>
        <v>3.0840000000000032</v>
      </c>
      <c r="G492" s="18">
        <f t="shared" si="201"/>
        <v>2.7199999999999989</v>
      </c>
      <c r="H492">
        <v>16.75</v>
      </c>
      <c r="I492">
        <v>5.72</v>
      </c>
      <c r="J492">
        <f t="shared" si="210"/>
        <v>11.24</v>
      </c>
      <c r="K492" s="6">
        <f t="shared" si="211"/>
        <v>11.61</v>
      </c>
      <c r="L492" s="6">
        <f t="shared" si="212"/>
        <v>-0.25999999999999979</v>
      </c>
      <c r="M492">
        <v>-22.895350130200001</v>
      </c>
      <c r="N492">
        <v>656000</v>
      </c>
      <c r="O492" s="18">
        <f>ROUND(N492/VLOOKUP(EOMONTH(A492,-1),Employment!A:P,16,FALSE),4)</f>
        <v>2.7925</v>
      </c>
      <c r="P492" s="18">
        <f t="shared" si="202"/>
        <v>2.7814999999999999</v>
      </c>
      <c r="Q492" s="29">
        <f t="shared" si="203"/>
        <v>0.83620000000000005</v>
      </c>
      <c r="R492" s="29">
        <f t="shared" si="204"/>
        <v>-1.8200000000000001E-2</v>
      </c>
      <c r="S492">
        <v>5699000</v>
      </c>
      <c r="T492" s="18">
        <f>ROUND((S492/7)/VLOOKUP(EOMONTH(A492,-1),Employment!A:P,16,FALSE),4)</f>
        <v>3.4657</v>
      </c>
      <c r="U492" s="18">
        <f t="shared" si="205"/>
        <v>3.3942000000000001</v>
      </c>
      <c r="V492" s="29">
        <f t="shared" si="206"/>
        <v>0.91639999999999999</v>
      </c>
      <c r="W492" s="29">
        <f t="shared" si="207"/>
        <v>-4.2599999999999999E-2</v>
      </c>
      <c r="X492" s="30">
        <f t="shared" si="208"/>
        <v>0</v>
      </c>
      <c r="Y492" s="31">
        <f t="shared" si="209"/>
        <v>0</v>
      </c>
    </row>
    <row r="493" spans="1:25" ht="15" customHeight="1" x14ac:dyDescent="0.25">
      <c r="A493" s="5">
        <v>39894</v>
      </c>
      <c r="B493">
        <v>1519.4117000000001</v>
      </c>
      <c r="C493" s="29">
        <f t="shared" si="213"/>
        <v>-6.4999999999999997E-3</v>
      </c>
      <c r="D493">
        <v>1.74</v>
      </c>
      <c r="E493">
        <v>3.0870000000000002</v>
      </c>
      <c r="F493" s="18">
        <f t="shared" si="200"/>
        <v>1.2719999999999914</v>
      </c>
      <c r="G493" s="18">
        <f t="shared" si="201"/>
        <v>-1.3000000000000043</v>
      </c>
      <c r="H493">
        <v>17.739999999999998</v>
      </c>
      <c r="I493">
        <v>5.86</v>
      </c>
      <c r="J493">
        <f t="shared" si="210"/>
        <v>11.8</v>
      </c>
      <c r="K493" s="6">
        <f t="shared" si="211"/>
        <v>11.87</v>
      </c>
      <c r="L493" s="6">
        <f t="shared" si="212"/>
        <v>0.15999999999999837</v>
      </c>
      <c r="M493">
        <v>-23.605235876449999</v>
      </c>
      <c r="N493">
        <v>654500</v>
      </c>
      <c r="O493" s="18">
        <f>ROUND(N493/VLOOKUP(EOMONTH(A493,-1),Employment!A:P,16,FALSE),4)</f>
        <v>2.7860999999999998</v>
      </c>
      <c r="P493" s="18">
        <f t="shared" si="202"/>
        <v>2.7645</v>
      </c>
      <c r="Q493" s="29">
        <f t="shared" si="203"/>
        <v>0.84599999999999997</v>
      </c>
      <c r="R493" s="29">
        <f t="shared" si="204"/>
        <v>-4.02E-2</v>
      </c>
      <c r="S493">
        <v>5600000</v>
      </c>
      <c r="T493" s="18">
        <f>ROUND((S493/7)/VLOOKUP(EOMONTH(A493,-1),Employment!A:P,16,FALSE),4)</f>
        <v>3.4055</v>
      </c>
      <c r="U493" s="18">
        <f t="shared" si="205"/>
        <v>3.3147000000000002</v>
      </c>
      <c r="V493" s="29">
        <f t="shared" si="206"/>
        <v>0.87429999999999997</v>
      </c>
      <c r="W493" s="29">
        <f t="shared" si="207"/>
        <v>-3.9399999999999998E-2</v>
      </c>
      <c r="X493" s="30">
        <f t="shared" si="208"/>
        <v>0</v>
      </c>
      <c r="Y493" s="31">
        <f t="shared" si="209"/>
        <v>0</v>
      </c>
    </row>
    <row r="494" spans="1:25" ht="15" customHeight="1" x14ac:dyDescent="0.25">
      <c r="A494" s="5">
        <v>39887</v>
      </c>
      <c r="B494">
        <v>1519.3367000000001</v>
      </c>
      <c r="C494" s="29">
        <f t="shared" si="213"/>
        <v>-1.06E-2</v>
      </c>
      <c r="D494">
        <v>1.82</v>
      </c>
      <c r="E494">
        <v>3.1459999999999999</v>
      </c>
      <c r="F494" s="18">
        <f t="shared" si="200"/>
        <v>-1.6359999999999957</v>
      </c>
      <c r="G494" s="18">
        <f t="shared" si="201"/>
        <v>-3.8239999999999981</v>
      </c>
      <c r="H494">
        <v>18.04</v>
      </c>
      <c r="I494">
        <v>5.56</v>
      </c>
      <c r="J494">
        <f t="shared" si="210"/>
        <v>11.8</v>
      </c>
      <c r="K494" s="6">
        <f t="shared" si="211"/>
        <v>11.71</v>
      </c>
      <c r="L494" s="6">
        <f t="shared" si="212"/>
        <v>0.27000000000000135</v>
      </c>
      <c r="M494">
        <v>-23.562313777684999</v>
      </c>
      <c r="N494">
        <v>649750</v>
      </c>
      <c r="O494" s="18">
        <f>ROUND(N494/VLOOKUP(EOMONTH(A494,-1),Employment!A:P,16,FALSE),4)</f>
        <v>2.7658999999999998</v>
      </c>
      <c r="P494" s="18">
        <f t="shared" si="202"/>
        <v>2.7414000000000001</v>
      </c>
      <c r="Q494" s="29">
        <f t="shared" si="203"/>
        <v>0.84330000000000005</v>
      </c>
      <c r="R494" s="29">
        <f t="shared" si="204"/>
        <v>-5.1200000000000002E-2</v>
      </c>
      <c r="S494">
        <v>5445000</v>
      </c>
      <c r="T494" s="18">
        <f>ROUND((S494/7)/VLOOKUP(EOMONTH(A494,-1),Employment!A:P,16,FALSE),4)</f>
        <v>3.3113000000000001</v>
      </c>
      <c r="U494" s="18">
        <f t="shared" si="205"/>
        <v>3.2496</v>
      </c>
      <c r="V494" s="29">
        <f t="shared" si="206"/>
        <v>0.84989999999999999</v>
      </c>
      <c r="W494" s="29">
        <f t="shared" si="207"/>
        <v>-3.8300000000000001E-2</v>
      </c>
      <c r="X494" s="30">
        <f t="shared" si="208"/>
        <v>0</v>
      </c>
      <c r="Y494" s="31">
        <f t="shared" si="209"/>
        <v>0</v>
      </c>
    </row>
    <row r="495" spans="1:25" ht="15" customHeight="1" x14ac:dyDescent="0.25">
      <c r="A495" s="5">
        <v>39880</v>
      </c>
      <c r="B495">
        <v>1526.7479000000001</v>
      </c>
      <c r="C495" s="29">
        <f t="shared" si="213"/>
        <v>-8.8000000000000005E-3</v>
      </c>
      <c r="D495">
        <v>1.83</v>
      </c>
      <c r="E495">
        <v>2.9289999999999998</v>
      </c>
      <c r="F495" s="18">
        <f t="shared" si="200"/>
        <v>-0.93599999999999994</v>
      </c>
      <c r="G495" s="18">
        <f t="shared" si="201"/>
        <v>-1.8239999999999981</v>
      </c>
      <c r="H495">
        <v>18.66</v>
      </c>
      <c r="I495">
        <v>5.35</v>
      </c>
      <c r="J495">
        <f t="shared" si="210"/>
        <v>12.01</v>
      </c>
      <c r="K495" s="6">
        <f t="shared" si="211"/>
        <v>11.44</v>
      </c>
      <c r="L495" s="6">
        <f t="shared" si="212"/>
        <v>0.41999999999999993</v>
      </c>
      <c r="M495">
        <v>-23.659234572191</v>
      </c>
      <c r="N495">
        <v>644000</v>
      </c>
      <c r="O495" s="18">
        <f>ROUND(N495/VLOOKUP(EOMONTH(A495,-1),Employment!A:P,16,FALSE),4)</f>
        <v>2.7414000000000001</v>
      </c>
      <c r="P495" s="18">
        <f t="shared" si="202"/>
        <v>2.7012999999999998</v>
      </c>
      <c r="Q495" s="29">
        <f t="shared" si="203"/>
        <v>0.81020000000000003</v>
      </c>
      <c r="R495" s="29">
        <f t="shared" si="204"/>
        <v>-5.7500000000000002E-2</v>
      </c>
      <c r="S495">
        <v>5307000</v>
      </c>
      <c r="T495" s="18">
        <f>ROUND((S495/7)/VLOOKUP(EOMONTH(A495,-1),Employment!A:P,16,FALSE),4)</f>
        <v>3.2273000000000001</v>
      </c>
      <c r="U495" s="18">
        <f t="shared" si="205"/>
        <v>3.1920000000000002</v>
      </c>
      <c r="V495" s="29">
        <f t="shared" si="206"/>
        <v>0.82110000000000005</v>
      </c>
      <c r="W495" s="29">
        <f t="shared" si="207"/>
        <v>-3.8399999999999997E-2</v>
      </c>
      <c r="X495" s="30">
        <f t="shared" si="208"/>
        <v>0</v>
      </c>
      <c r="Y495" s="31">
        <f t="shared" si="209"/>
        <v>0</v>
      </c>
    </row>
    <row r="496" spans="1:25" ht="15" customHeight="1" x14ac:dyDescent="0.25">
      <c r="A496" s="5">
        <v>39873</v>
      </c>
      <c r="B496">
        <v>1534.0094999999999</v>
      </c>
      <c r="C496" s="29">
        <f t="shared" si="213"/>
        <v>-6.3E-3</v>
      </c>
      <c r="D496">
        <v>1.85</v>
      </c>
      <c r="E496">
        <v>2.7869999999999999</v>
      </c>
      <c r="F496" s="18">
        <f t="shared" si="200"/>
        <v>-1.2520000000000024</v>
      </c>
      <c r="G496" s="18">
        <f t="shared" si="201"/>
        <v>1.8800000000000026</v>
      </c>
      <c r="H496">
        <v>17.39</v>
      </c>
      <c r="I496">
        <v>5.22</v>
      </c>
      <c r="J496">
        <f t="shared" si="210"/>
        <v>11.31</v>
      </c>
      <c r="K496" s="6">
        <f t="shared" si="211"/>
        <v>11.02</v>
      </c>
      <c r="L496" s="6">
        <f t="shared" si="212"/>
        <v>0.24000000000000021</v>
      </c>
      <c r="M496">
        <v>-23.634468905666001</v>
      </c>
      <c r="N496">
        <v>638250</v>
      </c>
      <c r="O496" s="18">
        <f>ROUND(N496/VLOOKUP(EOMONTH(A496,-1),Employment!A:P,16,FALSE),4)</f>
        <v>2.7170000000000001</v>
      </c>
      <c r="P496" s="18">
        <f t="shared" si="202"/>
        <v>2.6547999999999998</v>
      </c>
      <c r="Q496" s="29">
        <f t="shared" si="203"/>
        <v>0.77890000000000004</v>
      </c>
      <c r="R496" s="29">
        <f t="shared" si="204"/>
        <v>-6.7000000000000004E-2</v>
      </c>
      <c r="S496">
        <v>5279000</v>
      </c>
      <c r="T496" s="18">
        <f>ROUND((S496/7)/VLOOKUP(EOMONTH(A496,-1),Employment!A:P,16,FALSE),4)</f>
        <v>3.2103000000000002</v>
      </c>
      <c r="U496" s="18">
        <f t="shared" si="205"/>
        <v>3.1326000000000001</v>
      </c>
      <c r="V496" s="29">
        <f t="shared" si="206"/>
        <v>0.80230000000000001</v>
      </c>
      <c r="W496" s="29">
        <f t="shared" si="207"/>
        <v>-3.49E-2</v>
      </c>
      <c r="X496" s="30">
        <f t="shared" si="208"/>
        <v>0</v>
      </c>
      <c r="Y496" s="31">
        <f t="shared" si="209"/>
        <v>0</v>
      </c>
    </row>
    <row r="497" spans="1:25" ht="15" customHeight="1" x14ac:dyDescent="0.25">
      <c r="A497" s="5">
        <v>39866</v>
      </c>
      <c r="B497">
        <v>1537.0952</v>
      </c>
      <c r="C497" s="29">
        <f t="shared" si="213"/>
        <v>-5.5999999999999999E-3</v>
      </c>
      <c r="D497">
        <v>1.82</v>
      </c>
      <c r="E497">
        <v>2.6680000000000001</v>
      </c>
      <c r="F497" s="18">
        <f t="shared" si="200"/>
        <v>0.36400000000000432</v>
      </c>
      <c r="G497" s="18">
        <f t="shared" si="201"/>
        <v>1.9680000000000035</v>
      </c>
      <c r="H497">
        <v>16.760000000000002</v>
      </c>
      <c r="I497">
        <v>5.25</v>
      </c>
      <c r="J497">
        <f t="shared" si="210"/>
        <v>11.01</v>
      </c>
      <c r="K497" s="6">
        <f t="shared" si="211"/>
        <v>10.78</v>
      </c>
      <c r="L497" s="6">
        <f t="shared" si="212"/>
        <v>6.9999999999998508E-2</v>
      </c>
      <c r="M497">
        <v>-23.561832269362998</v>
      </c>
      <c r="N497">
        <v>621000</v>
      </c>
      <c r="O497" s="18">
        <f>ROUND(N497/VLOOKUP(EOMONTH(A497,-1),Employment!A:P,16,FALSE),4)</f>
        <v>2.6455000000000002</v>
      </c>
      <c r="P497" s="18">
        <f t="shared" si="202"/>
        <v>2.5857999999999999</v>
      </c>
      <c r="Q497" s="29">
        <f t="shared" si="203"/>
        <v>0.74390000000000001</v>
      </c>
      <c r="R497" s="29">
        <f t="shared" si="204"/>
        <v>-7.0800000000000002E-2</v>
      </c>
      <c r="S497">
        <v>5157000</v>
      </c>
      <c r="T497" s="18">
        <f>ROUND((S497/7)/VLOOKUP(EOMONTH(A497,-1),Employment!A:P,16,FALSE),4)</f>
        <v>3.1383999999999999</v>
      </c>
      <c r="U497" s="18">
        <f t="shared" si="205"/>
        <v>3.0727000000000002</v>
      </c>
      <c r="V497" s="29">
        <f t="shared" si="206"/>
        <v>0.76570000000000005</v>
      </c>
      <c r="W497" s="29">
        <f t="shared" si="207"/>
        <v>-3.1600000000000003E-2</v>
      </c>
      <c r="X497" s="30">
        <f t="shared" si="208"/>
        <v>0</v>
      </c>
      <c r="Y497" s="31">
        <f t="shared" si="209"/>
        <v>0</v>
      </c>
    </row>
    <row r="498" spans="1:25" ht="15" customHeight="1" x14ac:dyDescent="0.25">
      <c r="A498" s="5">
        <v>39859</v>
      </c>
      <c r="B498">
        <v>1544.8362</v>
      </c>
      <c r="C498" s="29">
        <f t="shared" si="213"/>
        <v>-1E-4</v>
      </c>
      <c r="D498">
        <v>1.81</v>
      </c>
      <c r="E498">
        <v>2.726</v>
      </c>
      <c r="F498" s="18">
        <f t="shared" si="200"/>
        <v>2.7680000000000007</v>
      </c>
      <c r="G498" s="18">
        <f t="shared" si="201"/>
        <v>0.4719999999999942</v>
      </c>
      <c r="H498">
        <v>16.21</v>
      </c>
      <c r="I498">
        <v>5.24</v>
      </c>
      <c r="J498">
        <f t="shared" si="210"/>
        <v>10.73</v>
      </c>
      <c r="K498" s="6">
        <f t="shared" si="211"/>
        <v>10.71</v>
      </c>
      <c r="L498" s="6">
        <f t="shared" si="212"/>
        <v>-0.14999999999999858</v>
      </c>
      <c r="M498">
        <v>-23.976166462024999</v>
      </c>
      <c r="N498">
        <v>610750</v>
      </c>
      <c r="O498" s="18">
        <f>ROUND(N498/VLOOKUP(EOMONTH(A498,-1),Employment!A:P,16,FALSE),4)</f>
        <v>2.6017999999999999</v>
      </c>
      <c r="P498" s="18">
        <f t="shared" si="202"/>
        <v>2.496</v>
      </c>
      <c r="Q498" s="29">
        <f t="shared" si="203"/>
        <v>0.70140000000000002</v>
      </c>
      <c r="R498" s="29">
        <f t="shared" si="204"/>
        <v>-5.96E-2</v>
      </c>
      <c r="S498">
        <v>5010000</v>
      </c>
      <c r="T498" s="18">
        <f>ROUND((S498/7)/VLOOKUP(EOMONTH(A498,-1),Employment!A:P,16,FALSE),4)</f>
        <v>3.0489999999999999</v>
      </c>
      <c r="U498" s="18">
        <f t="shared" si="205"/>
        <v>3.0133000000000001</v>
      </c>
      <c r="V498" s="29">
        <f t="shared" si="206"/>
        <v>0.74709999999999999</v>
      </c>
      <c r="W498" s="29">
        <f t="shared" si="207"/>
        <v>-3.5799999999999998E-2</v>
      </c>
      <c r="X498" s="30">
        <f t="shared" si="208"/>
        <v>0</v>
      </c>
      <c r="Y498" s="31">
        <f t="shared" si="209"/>
        <v>0</v>
      </c>
    </row>
    <row r="499" spans="1:25" ht="15" customHeight="1" x14ac:dyDescent="0.25">
      <c r="A499" s="5">
        <v>39852</v>
      </c>
      <c r="B499">
        <v>1545.4480000000001</v>
      </c>
      <c r="C499" s="29">
        <f t="shared" si="213"/>
        <v>1.5E-3</v>
      </c>
      <c r="D499">
        <v>1.83</v>
      </c>
      <c r="E499">
        <v>3.0470000000000002</v>
      </c>
      <c r="F499" s="18">
        <f t="shared" si="200"/>
        <v>-1.1640000000000015</v>
      </c>
      <c r="G499" s="18">
        <f t="shared" si="201"/>
        <v>1.6839999999999975</v>
      </c>
      <c r="H499">
        <v>16.05</v>
      </c>
      <c r="I499">
        <v>5.13</v>
      </c>
      <c r="J499">
        <f t="shared" si="210"/>
        <v>10.59</v>
      </c>
      <c r="K499" s="6">
        <f t="shared" si="211"/>
        <v>10.86</v>
      </c>
      <c r="L499" s="6">
        <f t="shared" si="212"/>
        <v>-0.19000000000000128</v>
      </c>
      <c r="M499">
        <v>-23.689213409194</v>
      </c>
      <c r="N499">
        <v>589250</v>
      </c>
      <c r="O499" s="18">
        <f>ROUND(N499/VLOOKUP(EOMONTH(A499,-1),Employment!A:P,16,FALSE),4)</f>
        <v>2.5102000000000002</v>
      </c>
      <c r="P499" s="18">
        <f t="shared" si="202"/>
        <v>2.4009999999999998</v>
      </c>
      <c r="Q499" s="29">
        <f t="shared" si="203"/>
        <v>0.65069999999999995</v>
      </c>
      <c r="R499" s="29">
        <f t="shared" si="204"/>
        <v>-3.0599999999999999E-2</v>
      </c>
      <c r="S499">
        <v>4980000</v>
      </c>
      <c r="T499" s="18">
        <f>ROUND((S499/7)/VLOOKUP(EOMONTH(A499,-1),Employment!A:P,16,FALSE),4)</f>
        <v>3.0306999999999999</v>
      </c>
      <c r="U499" s="18">
        <f t="shared" si="205"/>
        <v>2.9613</v>
      </c>
      <c r="V499" s="29">
        <f t="shared" si="206"/>
        <v>0.73019999999999996</v>
      </c>
      <c r="W499" s="29">
        <f t="shared" si="207"/>
        <v>-3.3000000000000002E-2</v>
      </c>
      <c r="X499" s="30">
        <f t="shared" si="208"/>
        <v>0</v>
      </c>
      <c r="Y499" s="31">
        <f t="shared" si="209"/>
        <v>3.15</v>
      </c>
    </row>
    <row r="500" spans="1:25" ht="15" customHeight="1" x14ac:dyDescent="0.25">
      <c r="A500" s="5">
        <v>39845</v>
      </c>
      <c r="B500">
        <v>1547.4765</v>
      </c>
      <c r="C500" s="29">
        <f t="shared" si="213"/>
        <v>1.6999999999999999E-3</v>
      </c>
      <c r="D500">
        <v>1.86</v>
      </c>
      <c r="E500">
        <v>2.8639999999999999</v>
      </c>
      <c r="F500" s="18">
        <f t="shared" si="200"/>
        <v>-1.132000000000005</v>
      </c>
      <c r="G500" s="18">
        <f t="shared" si="201"/>
        <v>7.9759999999999991</v>
      </c>
      <c r="H500">
        <v>16.22</v>
      </c>
      <c r="I500">
        <v>5.38</v>
      </c>
      <c r="J500">
        <f t="shared" si="210"/>
        <v>10.8</v>
      </c>
      <c r="K500" s="6">
        <f t="shared" si="211"/>
        <v>11.05</v>
      </c>
      <c r="L500" s="6">
        <f t="shared" si="212"/>
        <v>-0.12999999999999901</v>
      </c>
      <c r="M500">
        <v>-23.301579042646001</v>
      </c>
      <c r="N500">
        <v>557750</v>
      </c>
      <c r="O500" s="18">
        <f>ROUND(N500/VLOOKUP(EOMONTH(A500,-1),Employment!A:P,16,FALSE),4)</f>
        <v>2.3759999999999999</v>
      </c>
      <c r="P500" s="18">
        <f t="shared" si="202"/>
        <v>2.335</v>
      </c>
      <c r="Q500" s="29">
        <f t="shared" si="203"/>
        <v>0.59719999999999995</v>
      </c>
      <c r="R500" s="29">
        <f t="shared" si="204"/>
        <v>1.6000000000000001E-3</v>
      </c>
      <c r="S500">
        <v>4864000</v>
      </c>
      <c r="T500" s="18">
        <f>ROUND((S500/7)/VLOOKUP(EOMONTH(A500,-1),Employment!A:P,16,FALSE),4)</f>
        <v>2.9601000000000002</v>
      </c>
      <c r="U500" s="18">
        <f t="shared" si="205"/>
        <v>2.9016999999999999</v>
      </c>
      <c r="V500" s="29">
        <f t="shared" si="206"/>
        <v>0.70020000000000004</v>
      </c>
      <c r="W500" s="29">
        <f t="shared" si="207"/>
        <v>-2.8400000000000002E-2</v>
      </c>
      <c r="X500" s="30">
        <f t="shared" si="208"/>
        <v>0</v>
      </c>
      <c r="Y500" s="31">
        <f t="shared" si="209"/>
        <v>9.4600000000000009</v>
      </c>
    </row>
    <row r="501" spans="1:25" ht="15" customHeight="1" x14ac:dyDescent="0.25">
      <c r="A501" s="5">
        <v>39838</v>
      </c>
      <c r="B501">
        <v>1545.0098</v>
      </c>
      <c r="C501" s="29">
        <f t="shared" si="213"/>
        <v>-3.2000000000000002E-3</v>
      </c>
      <c r="D501">
        <v>1.95</v>
      </c>
      <c r="E501">
        <v>2.61</v>
      </c>
      <c r="F501" s="18">
        <f t="shared" si="200"/>
        <v>3.980000000000004</v>
      </c>
      <c r="G501" s="18">
        <f t="shared" si="201"/>
        <v>11.52000000000001</v>
      </c>
      <c r="H501">
        <v>16.73</v>
      </c>
      <c r="I501">
        <v>5.63</v>
      </c>
      <c r="J501">
        <f t="shared" si="210"/>
        <v>11.18</v>
      </c>
      <c r="K501" s="6">
        <f t="shared" si="211"/>
        <v>11.18</v>
      </c>
      <c r="L501" s="6">
        <f t="shared" si="212"/>
        <v>-0.20000000000000107</v>
      </c>
      <c r="M501">
        <v>-23.729811582181</v>
      </c>
      <c r="N501">
        <v>544500</v>
      </c>
      <c r="O501" s="18">
        <f>ROUND(N501/VLOOKUP(EOMONTH(A501,-1),Employment!A:P,16,FALSE),4)</f>
        <v>2.3167</v>
      </c>
      <c r="P501" s="18">
        <f t="shared" si="202"/>
        <v>2.3191999999999999</v>
      </c>
      <c r="Q501" s="29">
        <f t="shared" si="203"/>
        <v>0.56620000000000004</v>
      </c>
      <c r="R501" s="29">
        <f t="shared" si="204"/>
        <v>1.61E-2</v>
      </c>
      <c r="S501">
        <v>4760000</v>
      </c>
      <c r="T501" s="18">
        <f>ROUND((S501/7)/VLOOKUP(EOMONTH(A501,-1),Employment!A:P,16,FALSE),4)</f>
        <v>2.8932000000000002</v>
      </c>
      <c r="U501" s="18">
        <f t="shared" si="205"/>
        <v>2.863</v>
      </c>
      <c r="V501" s="29">
        <f t="shared" si="206"/>
        <v>0.68089999999999995</v>
      </c>
      <c r="W501" s="29">
        <f t="shared" si="207"/>
        <v>-1.8100000000000002E-2</v>
      </c>
      <c r="X501" s="30">
        <f t="shared" si="208"/>
        <v>18.919999999999987</v>
      </c>
      <c r="Y501" s="31">
        <f t="shared" si="209"/>
        <v>11.82</v>
      </c>
    </row>
    <row r="502" spans="1:25" ht="15" customHeight="1" x14ac:dyDescent="0.25">
      <c r="A502" s="5">
        <v>39831</v>
      </c>
      <c r="B502">
        <v>1542.1796999999999</v>
      </c>
      <c r="C502" s="29">
        <f t="shared" si="213"/>
        <v>-9.7000000000000003E-3</v>
      </c>
      <c r="D502">
        <v>2.08</v>
      </c>
      <c r="E502">
        <v>2.9449999999999998</v>
      </c>
      <c r="F502" s="18">
        <f t="shared" si="200"/>
        <v>5.1280000000000001</v>
      </c>
      <c r="G502" s="18">
        <f t="shared" si="201"/>
        <v>12.800000000000004</v>
      </c>
      <c r="H502">
        <v>16.79</v>
      </c>
      <c r="I502">
        <v>5.55</v>
      </c>
      <c r="J502">
        <f t="shared" si="210"/>
        <v>11.17</v>
      </c>
      <c r="K502" s="6">
        <f t="shared" si="211"/>
        <v>11.38</v>
      </c>
      <c r="L502" s="6">
        <f t="shared" si="212"/>
        <v>-0.51999999999999957</v>
      </c>
      <c r="M502">
        <v>-24.483122226826001</v>
      </c>
      <c r="N502">
        <v>543500</v>
      </c>
      <c r="O502" s="18">
        <f>ROUND(N502/VLOOKUP(EOMONTH(A502,-1),Employment!A:P,16,FALSE),4)</f>
        <v>2.3123999999999998</v>
      </c>
      <c r="P502" s="18">
        <f t="shared" si="202"/>
        <v>2.3468</v>
      </c>
      <c r="Q502" s="29">
        <f t="shared" si="203"/>
        <v>0.56669999999999998</v>
      </c>
      <c r="R502" s="29">
        <f t="shared" si="204"/>
        <v>6.1999999999999998E-3</v>
      </c>
      <c r="S502">
        <v>4692000</v>
      </c>
      <c r="T502" s="18">
        <f>ROUND((S502/7)/VLOOKUP(EOMONTH(A502,-1),Employment!A:P,16,FALSE),4)</f>
        <v>2.8519000000000001</v>
      </c>
      <c r="U502" s="18">
        <f t="shared" si="205"/>
        <v>2.8201000000000001</v>
      </c>
      <c r="V502" s="29">
        <f t="shared" si="206"/>
        <v>0.65569999999999995</v>
      </c>
      <c r="W502" s="29">
        <f t="shared" si="207"/>
        <v>-1.23E-2</v>
      </c>
      <c r="X502" s="30">
        <f t="shared" si="208"/>
        <v>9.4399999999999977</v>
      </c>
      <c r="Y502" s="31">
        <f t="shared" si="209"/>
        <v>3.93</v>
      </c>
    </row>
    <row r="503" spans="1:25" ht="15" customHeight="1" x14ac:dyDescent="0.25">
      <c r="A503" s="5">
        <v>39824</v>
      </c>
      <c r="B503">
        <v>1538.0354</v>
      </c>
      <c r="C503" s="29">
        <f t="shared" si="213"/>
        <v>-1.77E-2</v>
      </c>
      <c r="D503">
        <v>2.2400000000000002</v>
      </c>
      <c r="E503">
        <v>3.3860000000000001</v>
      </c>
      <c r="F503" s="18">
        <f t="shared" si="200"/>
        <v>2.4120000000000061</v>
      </c>
      <c r="G503" s="18">
        <f t="shared" si="201"/>
        <v>13.420000000000002</v>
      </c>
      <c r="H503">
        <v>16.649999999999999</v>
      </c>
      <c r="I503">
        <v>5.72</v>
      </c>
      <c r="J503">
        <f t="shared" si="210"/>
        <v>11.19</v>
      </c>
      <c r="K503" s="6">
        <f t="shared" si="211"/>
        <v>11.9</v>
      </c>
      <c r="L503" s="6">
        <f t="shared" si="212"/>
        <v>-0.66999999999999993</v>
      </c>
      <c r="M503">
        <v>-25.788532559671999</v>
      </c>
      <c r="N503">
        <v>547250</v>
      </c>
      <c r="O503" s="18">
        <f>ROUND(N503/VLOOKUP(EOMONTH(A503,-1),Employment!A:P,16,FALSE),4)</f>
        <v>2.3283999999999998</v>
      </c>
      <c r="P503" s="18">
        <f t="shared" si="202"/>
        <v>2.3752</v>
      </c>
      <c r="Q503" s="29">
        <f t="shared" si="203"/>
        <v>0.58599999999999997</v>
      </c>
      <c r="R503" s="29">
        <f t="shared" si="204"/>
        <v>-1.41E-2</v>
      </c>
      <c r="S503">
        <v>4679000</v>
      </c>
      <c r="T503" s="18">
        <f>ROUND((S503/7)/VLOOKUP(EOMONTH(A503,-1),Employment!A:P,16,FALSE),4)</f>
        <v>2.8439999999999999</v>
      </c>
      <c r="U503" s="18">
        <f t="shared" si="205"/>
        <v>2.7707999999999999</v>
      </c>
      <c r="V503" s="29">
        <f t="shared" si="206"/>
        <v>0.64410000000000001</v>
      </c>
      <c r="W503" s="29">
        <f t="shared" si="207"/>
        <v>-1.47E-2</v>
      </c>
      <c r="X503" s="30">
        <f t="shared" si="208"/>
        <v>0</v>
      </c>
      <c r="Y503" s="31">
        <f t="shared" si="209"/>
        <v>0</v>
      </c>
    </row>
    <row r="504" spans="1:25" ht="15" customHeight="1" x14ac:dyDescent="0.25">
      <c r="A504" s="5">
        <v>39817</v>
      </c>
      <c r="B504">
        <v>1554.453</v>
      </c>
      <c r="C504" s="29">
        <f t="shared" si="213"/>
        <v>-1.06E-2</v>
      </c>
      <c r="D504">
        <v>2.4300000000000002</v>
      </c>
      <c r="E504">
        <v>3.45</v>
      </c>
      <c r="F504" s="18">
        <f t="shared" si="200"/>
        <v>5.259999999999998</v>
      </c>
      <c r="G504" s="18">
        <f t="shared" si="201"/>
        <v>12.699999999999989</v>
      </c>
      <c r="H504">
        <v>17.84</v>
      </c>
      <c r="I504">
        <v>5.72</v>
      </c>
      <c r="J504">
        <f t="shared" si="210"/>
        <v>11.78</v>
      </c>
      <c r="K504" s="6">
        <f t="shared" si="211"/>
        <v>12.57</v>
      </c>
      <c r="L504" s="6">
        <f t="shared" si="212"/>
        <v>-0.62999999999999901</v>
      </c>
      <c r="M504">
        <v>-27.498575104027001</v>
      </c>
      <c r="N504">
        <v>564000</v>
      </c>
      <c r="O504" s="18">
        <f>ROUND(N504/VLOOKUP(EOMONTH(A504,-1),Employment!A:P,16,FALSE),4)</f>
        <v>2.3996</v>
      </c>
      <c r="P504" s="18">
        <f t="shared" si="202"/>
        <v>2.3786999999999998</v>
      </c>
      <c r="Q504" s="29">
        <f t="shared" si="203"/>
        <v>0.60040000000000004</v>
      </c>
      <c r="R504" s="29">
        <f t="shared" si="204"/>
        <v>-2.9499999999999998E-2</v>
      </c>
      <c r="S504">
        <v>4548000</v>
      </c>
      <c r="T504" s="18">
        <f>ROUND((S504/7)/VLOOKUP(EOMONTH(A504,-1),Employment!A:P,16,FALSE),4)</f>
        <v>2.7643</v>
      </c>
      <c r="U504" s="18">
        <f t="shared" si="205"/>
        <v>2.7185000000000001</v>
      </c>
      <c r="V504" s="29">
        <f t="shared" si="206"/>
        <v>0.63</v>
      </c>
      <c r="W504" s="29">
        <f t="shared" si="207"/>
        <v>-3.56E-2</v>
      </c>
      <c r="X504" s="30">
        <f t="shared" si="208"/>
        <v>0</v>
      </c>
      <c r="Y504" s="31">
        <f t="shared" si="209"/>
        <v>0</v>
      </c>
    </row>
    <row r="505" spans="1:25" ht="15" customHeight="1" x14ac:dyDescent="0.25">
      <c r="A505" s="5">
        <v>39810</v>
      </c>
      <c r="B505">
        <v>1565.0061000000001</v>
      </c>
      <c r="C505" s="29">
        <f t="shared" si="213"/>
        <v>-4.4999999999999997E-3</v>
      </c>
      <c r="D505">
        <v>2.64</v>
      </c>
      <c r="E505">
        <v>3.8450000000000002</v>
      </c>
      <c r="F505" s="18">
        <f t="shared" si="200"/>
        <v>5.7479999999999976</v>
      </c>
      <c r="G505" s="18">
        <f t="shared" si="201"/>
        <v>7.4480000000000004</v>
      </c>
      <c r="H505">
        <v>19.55</v>
      </c>
      <c r="I505">
        <v>5.9</v>
      </c>
      <c r="J505">
        <f t="shared" si="210"/>
        <v>12.73</v>
      </c>
      <c r="K505" s="6">
        <f t="shared" si="211"/>
        <v>13.2</v>
      </c>
      <c r="L505" s="6">
        <f t="shared" si="212"/>
        <v>-0.23000000000000043</v>
      </c>
      <c r="M505">
        <v>-27.793141315119001</v>
      </c>
      <c r="N505">
        <v>563000</v>
      </c>
      <c r="O505" s="18">
        <f>ROUND(N505/VLOOKUP(EOMONTH(A505,-1),Employment!A:P,16,FALSE),4)</f>
        <v>2.3975</v>
      </c>
      <c r="P505" s="18">
        <f t="shared" si="202"/>
        <v>2.3477999999999999</v>
      </c>
      <c r="Q505" s="29">
        <f t="shared" si="203"/>
        <v>0.59330000000000005</v>
      </c>
      <c r="R505" s="29">
        <f t="shared" si="204"/>
        <v>-3.15E-2</v>
      </c>
      <c r="S505">
        <v>4445000</v>
      </c>
      <c r="T505" s="18">
        <f>ROUND((S505/7)/VLOOKUP(EOMONTH(A505,-1),Employment!A:P,16,FALSE),4)</f>
        <v>2.7040999999999999</v>
      </c>
      <c r="U505" s="18">
        <f t="shared" si="205"/>
        <v>2.6987999999999999</v>
      </c>
      <c r="V505" s="29">
        <f t="shared" si="206"/>
        <v>0.64039999999999997</v>
      </c>
      <c r="W505" s="29">
        <f t="shared" si="207"/>
        <v>-5.3100000000000001E-2</v>
      </c>
      <c r="X505" s="30">
        <f t="shared" si="208"/>
        <v>0</v>
      </c>
      <c r="Y505" s="31">
        <f t="shared" si="209"/>
        <v>0</v>
      </c>
    </row>
    <row r="506" spans="1:25" ht="15" customHeight="1" x14ac:dyDescent="0.25">
      <c r="A506" s="5">
        <v>39803</v>
      </c>
      <c r="B506">
        <v>1571.6645000000001</v>
      </c>
      <c r="C506" s="29">
        <f t="shared" si="213"/>
        <v>-1.6999999999999999E-3</v>
      </c>
      <c r="D506">
        <v>2.79</v>
      </c>
      <c r="E506">
        <v>4.3760000000000003</v>
      </c>
      <c r="F506" s="18">
        <f t="shared" si="200"/>
        <v>1.6919999999999931</v>
      </c>
      <c r="G506" s="18">
        <f t="shared" si="201"/>
        <v>1.3160000000000025</v>
      </c>
      <c r="H506">
        <v>20.43</v>
      </c>
      <c r="I506">
        <v>5.94</v>
      </c>
      <c r="J506">
        <f t="shared" si="210"/>
        <v>13.19</v>
      </c>
      <c r="K506" s="6">
        <f t="shared" si="211"/>
        <v>13.43</v>
      </c>
      <c r="L506" s="6">
        <f t="shared" si="212"/>
        <v>8.0000000000000071E-2</v>
      </c>
      <c r="M506">
        <v>-28.719460257800002</v>
      </c>
      <c r="N506">
        <v>549250</v>
      </c>
      <c r="O506" s="18">
        <f>ROUND(N506/VLOOKUP(EOMONTH(A506,-1),Employment!A:P,16,FALSE),4)</f>
        <v>2.3389000000000002</v>
      </c>
      <c r="P506" s="18">
        <f t="shared" si="202"/>
        <v>2.2970999999999999</v>
      </c>
      <c r="Q506" s="29">
        <f t="shared" si="203"/>
        <v>0.5665</v>
      </c>
      <c r="R506" s="29">
        <f t="shared" si="204"/>
        <v>-3.3500000000000002E-2</v>
      </c>
      <c r="S506">
        <v>4417000</v>
      </c>
      <c r="T506" s="18">
        <f>ROUND((S506/7)/VLOOKUP(EOMONTH(A506,-1),Employment!A:P,16,FALSE),4)</f>
        <v>2.6871</v>
      </c>
      <c r="U506" s="18">
        <f t="shared" si="205"/>
        <v>2.6278999999999999</v>
      </c>
      <c r="V506" s="29">
        <f t="shared" si="206"/>
        <v>0.61799999999999999</v>
      </c>
      <c r="W506" s="29">
        <f t="shared" si="207"/>
        <v>-5.1799999999999999E-2</v>
      </c>
      <c r="X506" s="30">
        <f t="shared" si="208"/>
        <v>0</v>
      </c>
      <c r="Y506" s="31">
        <f t="shared" si="209"/>
        <v>0</v>
      </c>
    </row>
    <row r="507" spans="1:25" ht="15" customHeight="1" x14ac:dyDescent="0.25">
      <c r="A507" s="5">
        <v>39796</v>
      </c>
      <c r="B507">
        <v>1571.8135</v>
      </c>
      <c r="C507" s="29">
        <f t="shared" si="213"/>
        <v>-2.5999999999999999E-3</v>
      </c>
      <c r="D507">
        <v>2.86</v>
      </c>
      <c r="E507">
        <v>4.5</v>
      </c>
      <c r="F507" s="18">
        <f t="shared" si="200"/>
        <v>8.0000000000097771E-3</v>
      </c>
      <c r="G507" s="18">
        <f t="shared" si="201"/>
        <v>-5.9519999999999982</v>
      </c>
      <c r="H507">
        <v>21.3</v>
      </c>
      <c r="I507">
        <v>6.08</v>
      </c>
      <c r="J507">
        <f t="shared" si="210"/>
        <v>13.69</v>
      </c>
      <c r="K507" s="6">
        <f t="shared" si="211"/>
        <v>13.35</v>
      </c>
      <c r="L507" s="6">
        <f t="shared" si="212"/>
        <v>0.26999999999999957</v>
      </c>
      <c r="M507">
        <v>-29.002283573686999</v>
      </c>
      <c r="N507">
        <v>541750</v>
      </c>
      <c r="O507" s="18">
        <f>ROUND(N507/VLOOKUP(EOMONTH(A507,-1),Employment!A:P,16,FALSE),4)</f>
        <v>2.3069999999999999</v>
      </c>
      <c r="P507" s="18">
        <f t="shared" si="202"/>
        <v>2.2526999999999999</v>
      </c>
      <c r="Q507" s="29">
        <f t="shared" si="203"/>
        <v>0.54910000000000003</v>
      </c>
      <c r="R507" s="29">
        <f t="shared" si="204"/>
        <v>-3.8300000000000001E-2</v>
      </c>
      <c r="S507">
        <v>4447000</v>
      </c>
      <c r="T507" s="18">
        <f>ROUND((S507/7)/VLOOKUP(EOMONTH(A507,-1),Employment!A:P,16,FALSE),4)</f>
        <v>2.7052999999999998</v>
      </c>
      <c r="U507" s="18">
        <f t="shared" si="205"/>
        <v>2.5445000000000002</v>
      </c>
      <c r="V507" s="29">
        <f t="shared" si="206"/>
        <v>0.57920000000000005</v>
      </c>
      <c r="W507" s="29">
        <f t="shared" si="207"/>
        <v>-3.9699999999999999E-2</v>
      </c>
      <c r="X507" s="30">
        <f t="shared" si="208"/>
        <v>0</v>
      </c>
      <c r="Y507" s="31">
        <f t="shared" si="209"/>
        <v>0</v>
      </c>
    </row>
    <row r="508" spans="1:25" ht="15" customHeight="1" x14ac:dyDescent="0.25">
      <c r="A508" s="5">
        <v>39789</v>
      </c>
      <c r="B508">
        <v>1575.8203000000001</v>
      </c>
      <c r="C508" s="29">
        <f t="shared" si="213"/>
        <v>-1.8E-3</v>
      </c>
      <c r="D508">
        <v>2.86</v>
      </c>
      <c r="E508">
        <v>4.5010000000000003</v>
      </c>
      <c r="F508" s="18">
        <f t="shared" si="200"/>
        <v>-0.38400000000000034</v>
      </c>
      <c r="G508" s="18">
        <f t="shared" si="201"/>
        <v>-4.4160000000000039</v>
      </c>
      <c r="H508">
        <v>20.74</v>
      </c>
      <c r="I508">
        <v>6.07</v>
      </c>
      <c r="J508">
        <f t="shared" si="210"/>
        <v>13.41</v>
      </c>
      <c r="K508" s="6">
        <f t="shared" si="211"/>
        <v>13.08</v>
      </c>
      <c r="L508" s="6">
        <f t="shared" si="212"/>
        <v>0.67999999999999972</v>
      </c>
      <c r="M508">
        <v>-28.396254762462998</v>
      </c>
      <c r="N508">
        <v>527250</v>
      </c>
      <c r="O508" s="18">
        <f>ROUND(N508/VLOOKUP(EOMONTH(A508,-1),Employment!A:P,16,FALSE),4)</f>
        <v>2.2452999999999999</v>
      </c>
      <c r="P508" s="18">
        <f t="shared" si="202"/>
        <v>2.2004999999999999</v>
      </c>
      <c r="Q508" s="29">
        <f t="shared" si="203"/>
        <v>0.52769999999999995</v>
      </c>
      <c r="R508" s="29">
        <f t="shared" si="204"/>
        <v>-3.8600000000000002E-2</v>
      </c>
      <c r="S508">
        <v>4095000</v>
      </c>
      <c r="T508" s="18">
        <f>ROUND((S508/7)/VLOOKUP(EOMONTH(A508,-1),Employment!A:P,16,FALSE),4)</f>
        <v>2.4912000000000001</v>
      </c>
      <c r="U508" s="18">
        <f t="shared" si="205"/>
        <v>2.4567999999999999</v>
      </c>
      <c r="V508" s="29">
        <f t="shared" si="206"/>
        <v>0.53039999999999998</v>
      </c>
      <c r="W508" s="29">
        <f t="shared" si="207"/>
        <v>-3.3500000000000002E-2</v>
      </c>
      <c r="X508" s="30">
        <f t="shared" si="208"/>
        <v>0</v>
      </c>
      <c r="Y508" s="31">
        <f t="shared" si="209"/>
        <v>0</v>
      </c>
    </row>
    <row r="509" spans="1:25" ht="15" customHeight="1" x14ac:dyDescent="0.25">
      <c r="A509" s="5">
        <v>39782</v>
      </c>
      <c r="B509">
        <v>1568.9384</v>
      </c>
      <c r="C509" s="29">
        <f t="shared" si="213"/>
        <v>-1.0500000000000001E-2</v>
      </c>
      <c r="D509">
        <v>2.86</v>
      </c>
      <c r="E509">
        <v>4.4530000000000003</v>
      </c>
      <c r="F509" s="18">
        <f t="shared" si="200"/>
        <v>-5.5760000000000076</v>
      </c>
      <c r="G509" s="18">
        <f t="shared" si="201"/>
        <v>2.4440000000000026</v>
      </c>
      <c r="H509">
        <v>19.78</v>
      </c>
      <c r="I509">
        <v>6.1</v>
      </c>
      <c r="J509">
        <f t="shared" si="210"/>
        <v>12.94</v>
      </c>
      <c r="K509" s="6">
        <f t="shared" si="211"/>
        <v>12.4</v>
      </c>
      <c r="L509" s="6">
        <f t="shared" si="212"/>
        <v>0.6899999999999995</v>
      </c>
      <c r="M509">
        <v>-28.813796276571001</v>
      </c>
      <c r="N509">
        <v>517500</v>
      </c>
      <c r="O509" s="18">
        <f>ROUND(N509/VLOOKUP(EOMONTH(A509,-1),Employment!A:P,16,FALSE),4)</f>
        <v>2.2058</v>
      </c>
      <c r="P509" s="18">
        <f t="shared" si="202"/>
        <v>2.1482999999999999</v>
      </c>
      <c r="Q509" s="29">
        <f t="shared" si="203"/>
        <v>0.50560000000000005</v>
      </c>
      <c r="R509" s="29">
        <f t="shared" si="204"/>
        <v>-2.47E-2</v>
      </c>
      <c r="S509">
        <v>4002000</v>
      </c>
      <c r="T509" s="18">
        <f>ROUND((S509/7)/VLOOKUP(EOMONTH(A509,-1),Employment!A:P,16,FALSE),4)</f>
        <v>2.4369000000000001</v>
      </c>
      <c r="U509" s="18">
        <f t="shared" si="205"/>
        <v>2.4237000000000002</v>
      </c>
      <c r="V509" s="29">
        <f t="shared" si="206"/>
        <v>0.51259999999999994</v>
      </c>
      <c r="W509" s="29">
        <f t="shared" si="207"/>
        <v>-3.3599999999999998E-2</v>
      </c>
      <c r="X509" s="30">
        <f t="shared" si="208"/>
        <v>0</v>
      </c>
      <c r="Y509" s="31">
        <f t="shared" si="209"/>
        <v>1.17</v>
      </c>
    </row>
    <row r="510" spans="1:25" ht="15" customHeight="1" x14ac:dyDescent="0.25">
      <c r="A510" s="5">
        <v>39775</v>
      </c>
      <c r="B510">
        <v>1580.6447000000001</v>
      </c>
      <c r="C510" s="29">
        <f t="shared" si="213"/>
        <v>-4.8999999999999998E-3</v>
      </c>
      <c r="D510">
        <v>2.78</v>
      </c>
      <c r="E510">
        <v>3.8559999999999999</v>
      </c>
      <c r="F510" s="18">
        <f t="shared" si="200"/>
        <v>1.544000000000004</v>
      </c>
      <c r="G510" s="18">
        <f t="shared" si="201"/>
        <v>6.632000000000005</v>
      </c>
      <c r="H510">
        <v>19.920000000000002</v>
      </c>
      <c r="I510">
        <v>5.88</v>
      </c>
      <c r="J510">
        <f t="shared" si="210"/>
        <v>12.9</v>
      </c>
      <c r="K510" s="6">
        <f t="shared" si="211"/>
        <v>11.71</v>
      </c>
      <c r="L510" s="6">
        <f t="shared" si="212"/>
        <v>0.68000000000000149</v>
      </c>
      <c r="M510">
        <v>-27.682651135135</v>
      </c>
      <c r="N510">
        <v>504500</v>
      </c>
      <c r="O510" s="18">
        <f>ROUND(N510/VLOOKUP(EOMONTH(A510,-1),Employment!A:P,16,FALSE),4)</f>
        <v>2.1503999999999999</v>
      </c>
      <c r="P510" s="18">
        <f t="shared" si="202"/>
        <v>2.0911</v>
      </c>
      <c r="Q510" s="29">
        <f t="shared" si="203"/>
        <v>0.47239999999999999</v>
      </c>
      <c r="R510" s="29">
        <f t="shared" si="204"/>
        <v>6.9999999999999999E-4</v>
      </c>
      <c r="S510">
        <v>4011000</v>
      </c>
      <c r="T510" s="18">
        <f>ROUND((S510/7)/VLOOKUP(EOMONTH(A510,-1),Employment!A:P,16,FALSE),4)</f>
        <v>2.4422999999999999</v>
      </c>
      <c r="U510" s="18">
        <f t="shared" si="205"/>
        <v>2.3873000000000002</v>
      </c>
      <c r="V510" s="29">
        <f t="shared" si="206"/>
        <v>0.49359999999999998</v>
      </c>
      <c r="W510" s="29">
        <f t="shared" si="207"/>
        <v>-2.1899999999999999E-2</v>
      </c>
      <c r="X510" s="30">
        <f t="shared" si="208"/>
        <v>0</v>
      </c>
      <c r="Y510" s="31">
        <f t="shared" si="209"/>
        <v>2.92</v>
      </c>
    </row>
    <row r="511" spans="1:25" ht="15" customHeight="1" x14ac:dyDescent="0.25">
      <c r="A511" s="5">
        <v>39768</v>
      </c>
      <c r="B511">
        <v>1578.4491</v>
      </c>
      <c r="C511" s="29">
        <f t="shared" si="213"/>
        <v>-5.8999999999999999E-3</v>
      </c>
      <c r="D511">
        <v>2.78</v>
      </c>
      <c r="E511">
        <v>4.0490000000000004</v>
      </c>
      <c r="F511" s="18">
        <f t="shared" si="200"/>
        <v>6.4760000000000062</v>
      </c>
      <c r="G511" s="18">
        <f t="shared" si="201"/>
        <v>11.600000000000001</v>
      </c>
      <c r="H511">
        <v>17.16</v>
      </c>
      <c r="I511">
        <v>5.56</v>
      </c>
      <c r="J511">
        <f t="shared" si="210"/>
        <v>11.36</v>
      </c>
      <c r="K511" s="6">
        <f t="shared" si="211"/>
        <v>11.03</v>
      </c>
      <c r="L511" s="6">
        <f t="shared" si="212"/>
        <v>8.0000000000000071E-2</v>
      </c>
      <c r="M511">
        <v>-26.569292750201001</v>
      </c>
      <c r="N511">
        <v>490000</v>
      </c>
      <c r="O511" s="18">
        <f>ROUND(N511/VLOOKUP(EOMONTH(A511,-1),Employment!A:P,16,FALSE),4)</f>
        <v>2.0886</v>
      </c>
      <c r="P511" s="18">
        <f t="shared" si="202"/>
        <v>2.0495000000000001</v>
      </c>
      <c r="Q511" s="29">
        <f t="shared" si="203"/>
        <v>0.44569999999999999</v>
      </c>
      <c r="R511" s="29">
        <f t="shared" si="204"/>
        <v>2.0799999999999999E-2</v>
      </c>
      <c r="S511">
        <v>3928000</v>
      </c>
      <c r="T511" s="18">
        <f>ROUND((S511/7)/VLOOKUP(EOMONTH(A511,-1),Employment!A:P,16,FALSE),4)</f>
        <v>2.3917999999999999</v>
      </c>
      <c r="U511" s="18">
        <f t="shared" si="205"/>
        <v>2.3300999999999998</v>
      </c>
      <c r="V511" s="29">
        <f t="shared" si="206"/>
        <v>0.45950000000000002</v>
      </c>
      <c r="W511" s="29">
        <f t="shared" si="207"/>
        <v>-1.15E-2</v>
      </c>
      <c r="X511" s="30">
        <f t="shared" si="208"/>
        <v>7</v>
      </c>
      <c r="Y511" s="31">
        <f t="shared" si="209"/>
        <v>2.92</v>
      </c>
    </row>
    <row r="512" spans="1:25" ht="15" customHeight="1" x14ac:dyDescent="0.25">
      <c r="A512" s="5">
        <v>39761</v>
      </c>
      <c r="B512">
        <v>1586.3433</v>
      </c>
      <c r="C512" s="29">
        <f t="shared" si="213"/>
        <v>3.3E-3</v>
      </c>
      <c r="D512">
        <v>2.81</v>
      </c>
      <c r="E512">
        <v>4.8209999999999997</v>
      </c>
      <c r="F512" s="18">
        <f t="shared" si="200"/>
        <v>-1.3880000000000052</v>
      </c>
      <c r="G512" s="18">
        <f t="shared" si="201"/>
        <v>1.304000000000002</v>
      </c>
      <c r="H512">
        <v>16.309999999999999</v>
      </c>
      <c r="I512">
        <v>5.45</v>
      </c>
      <c r="J512">
        <f t="shared" si="210"/>
        <v>10.88</v>
      </c>
      <c r="K512" s="6">
        <f t="shared" si="211"/>
        <v>10.95</v>
      </c>
      <c r="L512" s="6">
        <f t="shared" si="212"/>
        <v>5.9999999999998721E-2</v>
      </c>
      <c r="M512">
        <v>-25.187305154874998</v>
      </c>
      <c r="N512">
        <v>477250</v>
      </c>
      <c r="O512" s="18">
        <f>ROUND(N512/VLOOKUP(EOMONTH(A512,-1),Employment!A:P,16,FALSE),4)</f>
        <v>2.0341999999999998</v>
      </c>
      <c r="P512" s="18">
        <f t="shared" si="202"/>
        <v>2.0303</v>
      </c>
      <c r="Q512" s="29">
        <f t="shared" si="203"/>
        <v>0.43890000000000001</v>
      </c>
      <c r="R512" s="29">
        <f t="shared" si="204"/>
        <v>1.95E-2</v>
      </c>
      <c r="S512">
        <v>3823000</v>
      </c>
      <c r="T512" s="18">
        <f>ROUND((S512/7)/VLOOKUP(EOMONTH(A512,-1),Employment!A:P,16,FALSE),4)</f>
        <v>2.3279000000000001</v>
      </c>
      <c r="U512" s="18">
        <f t="shared" si="205"/>
        <v>2.2837999999999998</v>
      </c>
      <c r="V512" s="29">
        <f t="shared" si="206"/>
        <v>0.44409999999999999</v>
      </c>
      <c r="W512" s="29">
        <f t="shared" si="207"/>
        <v>-1.3299999999999999E-2</v>
      </c>
      <c r="X512" s="30">
        <f t="shared" si="208"/>
        <v>0</v>
      </c>
      <c r="Y512" s="31">
        <f t="shared" si="209"/>
        <v>0</v>
      </c>
    </row>
    <row r="513" spans="1:25" ht="15" customHeight="1" x14ac:dyDescent="0.25">
      <c r="A513" s="5">
        <v>39754</v>
      </c>
      <c r="B513">
        <v>1596.7313999999999</v>
      </c>
      <c r="C513" s="29">
        <f t="shared" si="213"/>
        <v>1.8499999999999999E-2</v>
      </c>
      <c r="D513">
        <v>2.84</v>
      </c>
      <c r="E513">
        <v>4.6100000000000003</v>
      </c>
      <c r="F513" s="18">
        <f t="shared" si="200"/>
        <v>6.5120000000000005</v>
      </c>
      <c r="G513" s="18">
        <f t="shared" si="201"/>
        <v>-10.772000000000006</v>
      </c>
      <c r="H513">
        <v>16.170000000000002</v>
      </c>
      <c r="I513">
        <v>5.53</v>
      </c>
      <c r="J513">
        <f t="shared" si="210"/>
        <v>10.85</v>
      </c>
      <c r="K513" s="6">
        <f t="shared" si="211"/>
        <v>10.89</v>
      </c>
      <c r="L513" s="6">
        <f t="shared" si="212"/>
        <v>0.25</v>
      </c>
      <c r="M513">
        <v>-22.403279029945001</v>
      </c>
      <c r="N513">
        <v>475250</v>
      </c>
      <c r="O513" s="18">
        <f>ROUND(N513/VLOOKUP(EOMONTH(A513,-1),Employment!A:P,16,FALSE),4)</f>
        <v>2.0257000000000001</v>
      </c>
      <c r="P513" s="18">
        <f t="shared" si="202"/>
        <v>2.0310999999999999</v>
      </c>
      <c r="Q513" s="29">
        <f t="shared" si="203"/>
        <v>0.45889999999999997</v>
      </c>
      <c r="R513" s="29">
        <f t="shared" si="204"/>
        <v>-5.4999999999999997E-3</v>
      </c>
      <c r="S513">
        <v>3729000</v>
      </c>
      <c r="T513" s="18">
        <f>ROUND((S513/7)/VLOOKUP(EOMONTH(A513,-1),Employment!A:P,16,FALSE),4)</f>
        <v>2.2706</v>
      </c>
      <c r="U513" s="18">
        <f t="shared" si="205"/>
        <v>2.2547999999999999</v>
      </c>
      <c r="V513" s="29">
        <f t="shared" si="206"/>
        <v>0.4375</v>
      </c>
      <c r="W513" s="29">
        <f t="shared" si="207"/>
        <v>-2.64E-2</v>
      </c>
      <c r="X513" s="30">
        <f t="shared" si="208"/>
        <v>0</v>
      </c>
      <c r="Y513" s="31">
        <f t="shared" si="209"/>
        <v>0</v>
      </c>
    </row>
    <row r="514" spans="1:25" ht="15" customHeight="1" x14ac:dyDescent="0.25">
      <c r="A514" s="5">
        <v>39747</v>
      </c>
      <c r="B514">
        <v>1591.9978000000001</v>
      </c>
      <c r="C514" s="29">
        <f t="shared" si="213"/>
        <v>2.6499999999999999E-2</v>
      </c>
      <c r="D514">
        <v>2.84</v>
      </c>
      <c r="E514">
        <v>5.4240000000000004</v>
      </c>
      <c r="F514" s="18">
        <f t="shared" si="200"/>
        <v>-3.8199999999999932</v>
      </c>
      <c r="G514" s="18">
        <f t="shared" si="201"/>
        <v>-29.963999999999999</v>
      </c>
      <c r="H514">
        <v>16.690000000000001</v>
      </c>
      <c r="I514">
        <v>5.54</v>
      </c>
      <c r="J514">
        <f t="shared" si="210"/>
        <v>11.12</v>
      </c>
      <c r="K514" s="6">
        <f t="shared" si="211"/>
        <v>10.64</v>
      </c>
      <c r="L514" s="6">
        <f t="shared" si="212"/>
        <v>0.94000000000000128</v>
      </c>
      <c r="M514">
        <v>-19.62529182306</v>
      </c>
      <c r="N514">
        <v>476000</v>
      </c>
      <c r="O514" s="18">
        <f>ROUND(N514/VLOOKUP(EOMONTH(A514,-1),Employment!A:P,16,FALSE),4)</f>
        <v>2.0310999999999999</v>
      </c>
      <c r="P514" s="18">
        <f t="shared" si="202"/>
        <v>2.0304000000000002</v>
      </c>
      <c r="Q514" s="29">
        <f t="shared" si="203"/>
        <v>0.48270000000000002</v>
      </c>
      <c r="R514" s="29">
        <f t="shared" si="204"/>
        <v>-3.6900000000000002E-2</v>
      </c>
      <c r="S514">
        <v>3696000</v>
      </c>
      <c r="T514" s="18">
        <f>ROUND((S514/7)/VLOOKUP(EOMONTH(A514,-1),Employment!A:P,16,FALSE),4)</f>
        <v>2.2528999999999999</v>
      </c>
      <c r="U514" s="18">
        <f t="shared" si="205"/>
        <v>2.234</v>
      </c>
      <c r="V514" s="29">
        <f t="shared" si="206"/>
        <v>0.43869999999999998</v>
      </c>
      <c r="W514" s="29">
        <f t="shared" si="207"/>
        <v>-3.6600000000000001E-2</v>
      </c>
      <c r="X514" s="30">
        <f t="shared" si="208"/>
        <v>0</v>
      </c>
      <c r="Y514" s="31">
        <f t="shared" si="209"/>
        <v>0</v>
      </c>
    </row>
    <row r="515" spans="1:25" ht="15" customHeight="1" x14ac:dyDescent="0.25">
      <c r="A515" s="5">
        <v>39740</v>
      </c>
      <c r="B515">
        <v>1576.4132999999999</v>
      </c>
      <c r="C515" s="29">
        <f t="shared" si="213"/>
        <v>2.76E-2</v>
      </c>
      <c r="D515">
        <v>2.69</v>
      </c>
      <c r="E515">
        <v>5.1340000000000003</v>
      </c>
      <c r="F515" s="18">
        <f t="shared" si="200"/>
        <v>-13.464000000000013</v>
      </c>
      <c r="G515" s="18">
        <f t="shared" si="201"/>
        <v>-33.156000000000006</v>
      </c>
      <c r="H515">
        <v>15.95</v>
      </c>
      <c r="I515">
        <v>5.45</v>
      </c>
      <c r="J515">
        <f t="shared" si="210"/>
        <v>10.7</v>
      </c>
      <c r="K515" s="6">
        <f t="shared" si="211"/>
        <v>9.6999999999999993</v>
      </c>
      <c r="L515" s="6">
        <f t="shared" si="212"/>
        <v>1.2099999999999991</v>
      </c>
      <c r="M515">
        <v>-17.207944709062001</v>
      </c>
      <c r="N515">
        <v>477250</v>
      </c>
      <c r="O515" s="18">
        <f>ROUND(N515/VLOOKUP(EOMONTH(A515,-1),Employment!A:P,16,FALSE),4)</f>
        <v>2.0364</v>
      </c>
      <c r="P515" s="18">
        <f t="shared" si="202"/>
        <v>2.0133000000000001</v>
      </c>
      <c r="Q515" s="29">
        <f t="shared" si="203"/>
        <v>0.48930000000000001</v>
      </c>
      <c r="R515" s="29">
        <f t="shared" si="204"/>
        <v>-5.9799999999999999E-2</v>
      </c>
      <c r="S515">
        <v>3676000</v>
      </c>
      <c r="T515" s="18">
        <f>ROUND((S515/7)/VLOOKUP(EOMONTH(A515,-1),Employment!A:P,16,FALSE),4)</f>
        <v>2.2408000000000001</v>
      </c>
      <c r="U515" s="18">
        <f t="shared" si="205"/>
        <v>2.2046000000000001</v>
      </c>
      <c r="V515" s="29">
        <f t="shared" si="206"/>
        <v>0.4219</v>
      </c>
      <c r="W515" s="29">
        <f t="shared" si="207"/>
        <v>-3.6999999999999998E-2</v>
      </c>
      <c r="X515" s="30">
        <f t="shared" si="208"/>
        <v>0</v>
      </c>
      <c r="Y515" s="31">
        <f t="shared" si="209"/>
        <v>0</v>
      </c>
    </row>
    <row r="516" spans="1:25" ht="15" customHeight="1" x14ac:dyDescent="0.25">
      <c r="A516" s="5">
        <v>39733</v>
      </c>
      <c r="B516">
        <v>1559.4364</v>
      </c>
      <c r="C516" s="29">
        <f t="shared" si="213"/>
        <v>2.4400000000000002E-2</v>
      </c>
      <c r="D516">
        <v>2.35</v>
      </c>
      <c r="E516">
        <v>3.8759999999999999</v>
      </c>
      <c r="F516" s="18">
        <f t="shared" si="200"/>
        <v>-12.679999999999993</v>
      </c>
      <c r="G516" s="18">
        <f t="shared" si="201"/>
        <v>-33.135999999999996</v>
      </c>
      <c r="H516">
        <v>15.36</v>
      </c>
      <c r="I516">
        <v>4.8600000000000003</v>
      </c>
      <c r="J516">
        <f t="shared" si="210"/>
        <v>10.11</v>
      </c>
      <c r="K516" s="6">
        <f t="shared" si="211"/>
        <v>8.49</v>
      </c>
      <c r="L516" s="6">
        <f t="shared" si="212"/>
        <v>1.2000000000000002</v>
      </c>
      <c r="M516">
        <v>-14.735470449429</v>
      </c>
      <c r="N516">
        <v>474250</v>
      </c>
      <c r="O516" s="18">
        <f>ROUND(N516/VLOOKUP(EOMONTH(A516,-1),Employment!A:P,16,FALSE),4)</f>
        <v>2.0236000000000001</v>
      </c>
      <c r="P516" s="18">
        <f t="shared" si="202"/>
        <v>1.9805999999999999</v>
      </c>
      <c r="Q516" s="29">
        <f t="shared" si="203"/>
        <v>0.4723</v>
      </c>
      <c r="R516" s="29">
        <f t="shared" si="204"/>
        <v>-5.79E-2</v>
      </c>
      <c r="S516">
        <v>3623000</v>
      </c>
      <c r="T516" s="18">
        <f>ROUND((S516/7)/VLOOKUP(EOMONTH(A516,-1),Employment!A:P,16,FALSE),4)</f>
        <v>2.2084000000000001</v>
      </c>
      <c r="U516" s="18">
        <f t="shared" si="205"/>
        <v>2.1682000000000001</v>
      </c>
      <c r="V516" s="29">
        <f t="shared" si="206"/>
        <v>0.39510000000000001</v>
      </c>
      <c r="W516" s="29">
        <f t="shared" si="207"/>
        <v>-2.8899999999999999E-2</v>
      </c>
      <c r="X516" s="30">
        <f t="shared" si="208"/>
        <v>0</v>
      </c>
      <c r="Y516" s="31">
        <f t="shared" si="209"/>
        <v>0</v>
      </c>
    </row>
    <row r="517" spans="1:25" ht="15" customHeight="1" x14ac:dyDescent="0.25">
      <c r="A517" s="5">
        <v>39726</v>
      </c>
      <c r="B517">
        <v>1543.1523</v>
      </c>
      <c r="C517" s="29">
        <f t="shared" si="213"/>
        <v>1.8599999999999998E-2</v>
      </c>
      <c r="D517">
        <v>1.97</v>
      </c>
      <c r="E517">
        <v>2.766</v>
      </c>
      <c r="F517" s="18">
        <f t="shared" si="200"/>
        <v>-7.0120000000000005</v>
      </c>
      <c r="G517" s="18">
        <f t="shared" si="201"/>
        <v>-24.480000000000004</v>
      </c>
      <c r="H517">
        <v>12.24</v>
      </c>
      <c r="I517">
        <v>4.3499999999999996</v>
      </c>
      <c r="J517">
        <f t="shared" si="210"/>
        <v>8.3000000000000007</v>
      </c>
      <c r="K517" s="6">
        <f t="shared" si="211"/>
        <v>7.29</v>
      </c>
      <c r="L517" s="6">
        <f t="shared" si="212"/>
        <v>0.77000000000000046</v>
      </c>
      <c r="M517">
        <v>-13.101756078956001</v>
      </c>
      <c r="N517">
        <v>464000</v>
      </c>
      <c r="O517" s="18">
        <f>ROUND(N517/VLOOKUP(EOMONTH(A517,-1),Employment!A:P,16,FALSE),4)</f>
        <v>1.9799</v>
      </c>
      <c r="P517" s="18">
        <f t="shared" si="202"/>
        <v>1.93</v>
      </c>
      <c r="Q517" s="29">
        <f t="shared" si="203"/>
        <v>0.42330000000000001</v>
      </c>
      <c r="R517" s="29">
        <f t="shared" si="204"/>
        <v>-3.61E-2</v>
      </c>
      <c r="S517">
        <v>3551000</v>
      </c>
      <c r="T517" s="18">
        <f>ROUND((S517/7)/VLOOKUP(EOMONTH(A517,-1),Employment!A:P,16,FALSE),4)</f>
        <v>2.1646000000000001</v>
      </c>
      <c r="U517" s="18">
        <f t="shared" si="205"/>
        <v>2.1276999999999999</v>
      </c>
      <c r="V517" s="29">
        <f t="shared" si="206"/>
        <v>0.36509999999999998</v>
      </c>
      <c r="W517" s="29">
        <f t="shared" si="207"/>
        <v>-2.3400000000000001E-2</v>
      </c>
      <c r="X517" s="30">
        <f t="shared" si="208"/>
        <v>0</v>
      </c>
      <c r="Y517" s="31">
        <f t="shared" si="209"/>
        <v>5.46</v>
      </c>
    </row>
    <row r="518" spans="1:25" ht="15" customHeight="1" x14ac:dyDescent="0.25">
      <c r="A518" s="5">
        <v>39719</v>
      </c>
      <c r="B518">
        <v>1524.2943</v>
      </c>
      <c r="C518" s="29">
        <f t="shared" si="213"/>
        <v>8.2000000000000007E-3</v>
      </c>
      <c r="D518">
        <v>1.56</v>
      </c>
      <c r="E518">
        <v>2.4020000000000001</v>
      </c>
      <c r="F518" s="18">
        <f t="shared" si="200"/>
        <v>-13.444000000000003</v>
      </c>
      <c r="G518" s="18">
        <f t="shared" si="201"/>
        <v>-19.860000000000003</v>
      </c>
      <c r="H518">
        <v>10.25</v>
      </c>
      <c r="I518">
        <v>3.88</v>
      </c>
      <c r="J518">
        <f t="shared" si="210"/>
        <v>7.07</v>
      </c>
      <c r="K518" s="6">
        <f t="shared" si="211"/>
        <v>6.52</v>
      </c>
      <c r="L518" s="6">
        <f t="shared" si="212"/>
        <v>0.36999999999999922</v>
      </c>
      <c r="M518">
        <v>-11.919611876651</v>
      </c>
      <c r="N518">
        <v>453750</v>
      </c>
      <c r="O518" s="18">
        <f>ROUND(N518/VLOOKUP(EOMONTH(A518,-1),Employment!A:P,16,FALSE),4)</f>
        <v>1.9381999999999999</v>
      </c>
      <c r="P518" s="18">
        <f t="shared" si="202"/>
        <v>1.8852</v>
      </c>
      <c r="Q518" s="29">
        <f t="shared" si="203"/>
        <v>0.37809999999999999</v>
      </c>
      <c r="R518" s="29">
        <f t="shared" si="204"/>
        <v>-8.6E-3</v>
      </c>
      <c r="S518">
        <v>3493000</v>
      </c>
      <c r="T518" s="18">
        <f>ROUND((S518/7)/VLOOKUP(EOMONTH(A518,-1),Employment!A:P,16,FALSE),4)</f>
        <v>2.1315</v>
      </c>
      <c r="U518" s="18">
        <f t="shared" si="205"/>
        <v>2.1107999999999998</v>
      </c>
      <c r="V518" s="29">
        <f t="shared" si="206"/>
        <v>0.34760000000000002</v>
      </c>
      <c r="W518" s="29">
        <f t="shared" si="207"/>
        <v>-1.7000000000000001E-2</v>
      </c>
      <c r="X518" s="30">
        <f t="shared" si="208"/>
        <v>0</v>
      </c>
      <c r="Y518" s="31">
        <f t="shared" si="209"/>
        <v>21.37</v>
      </c>
    </row>
    <row r="519" spans="1:25" ht="15" customHeight="1" x14ac:dyDescent="0.25">
      <c r="A519" s="5">
        <v>39712</v>
      </c>
      <c r="B519">
        <v>1509.3661999999999</v>
      </c>
      <c r="C519" s="29">
        <f t="shared" si="213"/>
        <v>-2.5999999999999999E-3</v>
      </c>
      <c r="D519">
        <v>1.1299999999999999</v>
      </c>
      <c r="E519">
        <v>1.2589999999999999</v>
      </c>
      <c r="F519" s="18">
        <f t="shared" si="200"/>
        <v>-4.0240000000000009</v>
      </c>
      <c r="G519" s="18">
        <f t="shared" si="201"/>
        <v>-7.1999999999999993</v>
      </c>
      <c r="H519">
        <v>9.2100000000000009</v>
      </c>
      <c r="I519">
        <v>3.77</v>
      </c>
      <c r="J519">
        <f t="shared" si="210"/>
        <v>6.49</v>
      </c>
      <c r="K519" s="6">
        <f t="shared" si="211"/>
        <v>6.15</v>
      </c>
      <c r="L519" s="6">
        <f t="shared" si="212"/>
        <v>0.24000000000000021</v>
      </c>
      <c r="M519">
        <v>-10.975725303041999</v>
      </c>
      <c r="N519">
        <v>438250</v>
      </c>
      <c r="O519" s="18">
        <f>ROUND(N519/VLOOKUP(EOMONTH(A519,-1),Employment!A:P,16,FALSE),4)</f>
        <v>1.8720000000000001</v>
      </c>
      <c r="P519" s="18">
        <f t="shared" si="202"/>
        <v>1.8503000000000001</v>
      </c>
      <c r="Q519" s="29">
        <f t="shared" si="203"/>
        <v>0.34200000000000003</v>
      </c>
      <c r="R519" s="29">
        <f t="shared" si="204"/>
        <v>8.9999999999999993E-3</v>
      </c>
      <c r="S519">
        <v>3420000</v>
      </c>
      <c r="T519" s="18">
        <f>ROUND((S519/7)/VLOOKUP(EOMONTH(A519,-1),Employment!A:P,16,FALSE),4)</f>
        <v>2.0870000000000002</v>
      </c>
      <c r="U519" s="18">
        <f t="shared" si="205"/>
        <v>2.0886</v>
      </c>
      <c r="V519" s="29">
        <f t="shared" si="206"/>
        <v>0.32769999999999999</v>
      </c>
      <c r="W519" s="29">
        <f t="shared" si="207"/>
        <v>-1.4800000000000001E-2</v>
      </c>
      <c r="X519" s="30">
        <f t="shared" si="208"/>
        <v>32.72999999999999</v>
      </c>
      <c r="Y519" s="31">
        <f t="shared" si="209"/>
        <v>40.19</v>
      </c>
    </row>
    <row r="520" spans="1:25" ht="15" customHeight="1" x14ac:dyDescent="0.25">
      <c r="A520" s="5">
        <v>39705</v>
      </c>
      <c r="B520">
        <v>1512.5877</v>
      </c>
      <c r="C520" s="29">
        <f t="shared" si="213"/>
        <v>-8.9999999999999998E-4</v>
      </c>
      <c r="D520">
        <v>0.85</v>
      </c>
      <c r="E520">
        <v>1.1060000000000001</v>
      </c>
      <c r="F520" s="18">
        <f t="shared" si="200"/>
        <v>-2.3919999999999995</v>
      </c>
      <c r="G520" s="18">
        <f t="shared" si="201"/>
        <v>-3.8599999999999994</v>
      </c>
      <c r="H520">
        <v>8.5399999999999991</v>
      </c>
      <c r="I520">
        <v>3.43</v>
      </c>
      <c r="J520">
        <f t="shared" si="210"/>
        <v>5.99</v>
      </c>
      <c r="K520" s="6">
        <f t="shared" si="211"/>
        <v>5.91</v>
      </c>
      <c r="L520" s="6">
        <f t="shared" si="212"/>
        <v>7.0000000000000284E-2</v>
      </c>
      <c r="M520">
        <v>-10.935564388854001</v>
      </c>
      <c r="N520">
        <v>432000</v>
      </c>
      <c r="O520" s="18">
        <f>ROUND(N520/VLOOKUP(EOMONTH(A520,-1),Employment!A:P,16,FALSE),4)</f>
        <v>1.8452999999999999</v>
      </c>
      <c r="P520" s="18">
        <f t="shared" si="202"/>
        <v>1.8403</v>
      </c>
      <c r="Q520" s="29">
        <f t="shared" si="203"/>
        <v>0.33360000000000001</v>
      </c>
      <c r="R520" s="29">
        <f t="shared" si="204"/>
        <v>2.3E-3</v>
      </c>
      <c r="S520">
        <v>3464000</v>
      </c>
      <c r="T520" s="18">
        <f>ROUND((S520/7)/VLOOKUP(EOMONTH(A520,-1),Employment!A:P,16,FALSE),4)</f>
        <v>2.1137999999999999</v>
      </c>
      <c r="U520" s="18">
        <f t="shared" si="205"/>
        <v>2.0821999999999998</v>
      </c>
      <c r="V520" s="29">
        <f t="shared" si="206"/>
        <v>0.32040000000000002</v>
      </c>
      <c r="W520" s="29">
        <f t="shared" si="207"/>
        <v>-1.17E-2</v>
      </c>
      <c r="X520" s="30">
        <f t="shared" si="208"/>
        <v>46.379999999999995</v>
      </c>
      <c r="Y520" s="31">
        <f t="shared" si="209"/>
        <v>42.52</v>
      </c>
    </row>
    <row r="521" spans="1:25" ht="15" customHeight="1" x14ac:dyDescent="0.25">
      <c r="A521" s="5">
        <v>39698</v>
      </c>
      <c r="B521">
        <v>1513.5300999999999</v>
      </c>
      <c r="C521" s="29">
        <f t="shared" si="213"/>
        <v>-5.9999999999999995E-4</v>
      </c>
      <c r="D521">
        <v>0.67</v>
      </c>
      <c r="E521">
        <v>1.032</v>
      </c>
      <c r="F521" s="18">
        <f t="shared" si="200"/>
        <v>-0.78399999999999892</v>
      </c>
      <c r="G521" s="18">
        <f t="shared" si="201"/>
        <v>-0.54400000000000048</v>
      </c>
      <c r="H521">
        <v>8.5500000000000007</v>
      </c>
      <c r="I521">
        <v>3.37</v>
      </c>
      <c r="J521">
        <f t="shared" si="210"/>
        <v>5.96</v>
      </c>
      <c r="K521" s="6">
        <f t="shared" si="211"/>
        <v>5.84</v>
      </c>
      <c r="L521" s="6">
        <f t="shared" si="212"/>
        <v>8.9999999999999858E-2</v>
      </c>
      <c r="M521">
        <v>-10.990395341156001</v>
      </c>
      <c r="N521">
        <v>429250</v>
      </c>
      <c r="O521" s="18">
        <f>ROUND(N521/VLOOKUP(EOMONTH(A521,-1),Employment!A:P,16,FALSE),4)</f>
        <v>1.8335999999999999</v>
      </c>
      <c r="P521" s="18">
        <f t="shared" si="202"/>
        <v>1.8438000000000001</v>
      </c>
      <c r="Q521" s="29">
        <f t="shared" si="203"/>
        <v>0.3458</v>
      </c>
      <c r="R521" s="29">
        <f t="shared" si="204"/>
        <v>-2.2800000000000001E-2</v>
      </c>
      <c r="S521">
        <v>3384000</v>
      </c>
      <c r="T521" s="18">
        <f>ROUND((S521/7)/VLOOKUP(EOMONTH(A521,-1),Employment!A:P,16,FALSE),4)</f>
        <v>2.0649999999999999</v>
      </c>
      <c r="U521" s="18">
        <f t="shared" si="205"/>
        <v>2.0550000000000002</v>
      </c>
      <c r="V521" s="29">
        <f t="shared" si="206"/>
        <v>0.30420000000000003</v>
      </c>
      <c r="W521" s="29">
        <f t="shared" si="207"/>
        <v>-1.72E-2</v>
      </c>
      <c r="X521" s="30">
        <f t="shared" si="208"/>
        <v>43.379999999999995</v>
      </c>
      <c r="Y521" s="31">
        <f t="shared" si="209"/>
        <v>36.04</v>
      </c>
    </row>
    <row r="522" spans="1:25" ht="15" customHeight="1" x14ac:dyDescent="0.25">
      <c r="A522" s="5">
        <v>39691</v>
      </c>
      <c r="B522">
        <v>1512.068</v>
      </c>
      <c r="C522" s="29">
        <f t="shared" si="213"/>
        <v>-1.6000000000000001E-3</v>
      </c>
      <c r="D522">
        <v>0.59</v>
      </c>
      <c r="E522">
        <v>1.034</v>
      </c>
      <c r="F522" s="18">
        <f t="shared" si="200"/>
        <v>-0.68400000000000105</v>
      </c>
      <c r="G522" s="18">
        <f t="shared" si="201"/>
        <v>1.0560000000000009</v>
      </c>
      <c r="H522">
        <v>8.2799999999999994</v>
      </c>
      <c r="I522">
        <v>3.29</v>
      </c>
      <c r="J522">
        <f t="shared" si="210"/>
        <v>5.79</v>
      </c>
      <c r="K522" s="6">
        <f t="shared" si="211"/>
        <v>5.75</v>
      </c>
      <c r="L522" s="6">
        <f t="shared" si="212"/>
        <v>3.0000000000000249E-2</v>
      </c>
      <c r="M522">
        <v>-11.090229477463</v>
      </c>
      <c r="N522">
        <v>430750</v>
      </c>
      <c r="O522" s="18">
        <f>ROUND(N522/VLOOKUP(EOMONTH(A522,-1),Employment!A:P,16,FALSE),4)</f>
        <v>1.8419000000000001</v>
      </c>
      <c r="P522" s="18">
        <f t="shared" si="202"/>
        <v>1.8432999999999999</v>
      </c>
      <c r="Q522" s="29">
        <f t="shared" si="203"/>
        <v>0.35749999999999998</v>
      </c>
      <c r="R522" s="29">
        <f t="shared" si="204"/>
        <v>-5.1900000000000002E-2</v>
      </c>
      <c r="S522">
        <v>3385000</v>
      </c>
      <c r="T522" s="18">
        <f>ROUND((S522/7)/VLOOKUP(EOMONTH(A522,-1),Employment!A:P,16,FALSE),4)</f>
        <v>2.0676999999999999</v>
      </c>
      <c r="U522" s="18">
        <f t="shared" si="205"/>
        <v>2.0447000000000002</v>
      </c>
      <c r="V522" s="29">
        <f t="shared" si="206"/>
        <v>0.30359999999999998</v>
      </c>
      <c r="W522" s="29">
        <f t="shared" si="207"/>
        <v>-2.5700000000000001E-2</v>
      </c>
      <c r="X522" s="30">
        <f t="shared" si="208"/>
        <v>30.699999999999989</v>
      </c>
      <c r="Y522" s="31">
        <f t="shared" si="209"/>
        <v>32.67</v>
      </c>
    </row>
    <row r="523" spans="1:25" ht="15" customHeight="1" x14ac:dyDescent="0.25">
      <c r="A523" s="5">
        <v>39684</v>
      </c>
      <c r="B523">
        <v>1515.2799</v>
      </c>
      <c r="C523" s="29">
        <f t="shared" si="213"/>
        <v>1.1000000000000001E-3</v>
      </c>
      <c r="D523">
        <v>0.56000000000000005</v>
      </c>
      <c r="E523">
        <v>0.98599999999999999</v>
      </c>
      <c r="F523" s="18">
        <f t="shared" si="200"/>
        <v>0.92399999999999949</v>
      </c>
      <c r="G523" s="18">
        <f t="shared" si="201"/>
        <v>2.7280000000000015</v>
      </c>
      <c r="H523">
        <v>8.25</v>
      </c>
      <c r="I523">
        <v>3.27</v>
      </c>
      <c r="J523">
        <f t="shared" si="210"/>
        <v>5.76</v>
      </c>
      <c r="K523" s="6">
        <f t="shared" si="211"/>
        <v>5.72</v>
      </c>
      <c r="L523" s="6">
        <f t="shared" si="212"/>
        <v>2.9999999999999361E-2</v>
      </c>
      <c r="M523">
        <v>-10.718022497174999</v>
      </c>
      <c r="N523">
        <v>434000</v>
      </c>
      <c r="O523" s="18">
        <f>ROUND(N523/VLOOKUP(EOMONTH(A523,-1),Employment!A:P,16,FALSE),4)</f>
        <v>1.8557999999999999</v>
      </c>
      <c r="P523" s="18">
        <f t="shared" si="202"/>
        <v>1.8241000000000001</v>
      </c>
      <c r="Q523" s="29">
        <f t="shared" si="203"/>
        <v>0.35510000000000003</v>
      </c>
      <c r="R523" s="29">
        <f t="shared" si="204"/>
        <v>-6.3700000000000007E-2</v>
      </c>
      <c r="S523">
        <v>3327000</v>
      </c>
      <c r="T523" s="18">
        <f>ROUND((S523/7)/VLOOKUP(EOMONTH(A523,-1),Employment!A:P,16,FALSE),4)</f>
        <v>2.0323000000000002</v>
      </c>
      <c r="U523" s="18">
        <f t="shared" si="205"/>
        <v>2.0194999999999999</v>
      </c>
      <c r="V523" s="29">
        <f t="shared" si="206"/>
        <v>0.2903</v>
      </c>
      <c r="W523" s="29">
        <f t="shared" si="207"/>
        <v>-3.4000000000000002E-2</v>
      </c>
      <c r="X523" s="30">
        <f t="shared" si="208"/>
        <v>31.02000000000001</v>
      </c>
      <c r="Y523" s="31">
        <f t="shared" si="209"/>
        <v>39.04</v>
      </c>
    </row>
    <row r="524" spans="1:25" ht="15" customHeight="1" x14ac:dyDescent="0.25">
      <c r="A524" s="5">
        <v>39677</v>
      </c>
      <c r="B524">
        <v>1515.0559000000001</v>
      </c>
      <c r="C524" s="29">
        <f t="shared" si="213"/>
        <v>1.8E-3</v>
      </c>
      <c r="D524">
        <v>0.59</v>
      </c>
      <c r="E524">
        <v>1.0640000000000001</v>
      </c>
      <c r="F524" s="18">
        <f t="shared" si="200"/>
        <v>0.8160000000000025</v>
      </c>
      <c r="G524" s="18">
        <f t="shared" si="201"/>
        <v>3.2560000000000002</v>
      </c>
      <c r="H524">
        <v>8.1199999999999992</v>
      </c>
      <c r="I524">
        <v>3.27</v>
      </c>
      <c r="J524">
        <f t="shared" si="210"/>
        <v>5.7</v>
      </c>
      <c r="K524" s="6">
        <f t="shared" si="211"/>
        <v>5.69</v>
      </c>
      <c r="L524" s="6">
        <f t="shared" si="212"/>
        <v>0.11000000000000032</v>
      </c>
      <c r="M524">
        <v>-10.030838526583</v>
      </c>
      <c r="N524">
        <v>428500</v>
      </c>
      <c r="O524" s="18">
        <f>ROUND(N524/VLOOKUP(EOMONTH(A524,-1),Employment!A:P,16,FALSE),4)</f>
        <v>1.8323</v>
      </c>
      <c r="P524" s="18">
        <f t="shared" si="202"/>
        <v>1.7727999999999999</v>
      </c>
      <c r="Q524" s="29">
        <f t="shared" si="203"/>
        <v>0.318</v>
      </c>
      <c r="R524" s="29">
        <f t="shared" si="204"/>
        <v>-5.1900000000000002E-2</v>
      </c>
      <c r="S524">
        <v>3330000</v>
      </c>
      <c r="T524" s="18">
        <f>ROUND((S524/7)/VLOOKUP(EOMONTH(A524,-1),Employment!A:P,16,FALSE),4)</f>
        <v>2.0341</v>
      </c>
      <c r="U524" s="18">
        <f t="shared" si="205"/>
        <v>1.9991000000000001</v>
      </c>
      <c r="V524" s="29">
        <f t="shared" si="206"/>
        <v>0.28439999999999999</v>
      </c>
      <c r="W524" s="29">
        <f t="shared" si="207"/>
        <v>-2.9700000000000001E-2</v>
      </c>
      <c r="X524" s="30">
        <f t="shared" si="208"/>
        <v>41.72999999999999</v>
      </c>
      <c r="Y524" s="31">
        <f t="shared" si="209"/>
        <v>49.68</v>
      </c>
    </row>
    <row r="525" spans="1:25" ht="15" customHeight="1" x14ac:dyDescent="0.25">
      <c r="A525" s="5">
        <v>39670</v>
      </c>
      <c r="B525">
        <v>1515.2554</v>
      </c>
      <c r="C525" s="29">
        <f t="shared" si="213"/>
        <v>3.5999999999999999E-3</v>
      </c>
      <c r="D525">
        <v>0.63</v>
      </c>
      <c r="E525">
        <v>1.1160000000000001</v>
      </c>
      <c r="F525" s="18">
        <f t="shared" si="200"/>
        <v>0.98799999999999955</v>
      </c>
      <c r="G525" s="18">
        <f t="shared" si="201"/>
        <v>0.55199999999999783</v>
      </c>
      <c r="H525">
        <v>8.14</v>
      </c>
      <c r="I525">
        <v>3.23</v>
      </c>
      <c r="J525">
        <f t="shared" si="210"/>
        <v>5.69</v>
      </c>
      <c r="K525" s="6">
        <f t="shared" si="211"/>
        <v>5.58</v>
      </c>
      <c r="L525" s="6">
        <f t="shared" si="212"/>
        <v>8.9999999999999858E-2</v>
      </c>
      <c r="M525">
        <v>-9.1455708701765008</v>
      </c>
      <c r="N525">
        <v>417250</v>
      </c>
      <c r="O525" s="18">
        <f>ROUND(N525/VLOOKUP(EOMONTH(A525,-1),Employment!A:P,16,FALSE),4)</f>
        <v>1.7842</v>
      </c>
      <c r="P525" s="18">
        <f t="shared" si="202"/>
        <v>1.7149000000000001</v>
      </c>
      <c r="Q525" s="29">
        <f t="shared" si="203"/>
        <v>0.26779999999999998</v>
      </c>
      <c r="R525" s="29">
        <f t="shared" si="204"/>
        <v>-2.9899999999999999E-2</v>
      </c>
      <c r="S525">
        <v>3261000</v>
      </c>
      <c r="T525" s="18">
        <f>ROUND((S525/7)/VLOOKUP(EOMONTH(A525,-1),Employment!A:P,16,FALSE),4)</f>
        <v>1.992</v>
      </c>
      <c r="U525" s="18">
        <f t="shared" si="205"/>
        <v>1.9537</v>
      </c>
      <c r="V525" s="29">
        <f t="shared" si="206"/>
        <v>0.25080000000000002</v>
      </c>
      <c r="W525" s="29">
        <f t="shared" si="207"/>
        <v>-1.3100000000000001E-2</v>
      </c>
      <c r="X525" s="30">
        <f t="shared" si="208"/>
        <v>52.370000000000005</v>
      </c>
      <c r="Y525" s="31">
        <f t="shared" si="209"/>
        <v>58.32</v>
      </c>
    </row>
    <row r="526" spans="1:25" ht="15" customHeight="1" x14ac:dyDescent="0.25">
      <c r="A526" s="5">
        <v>39663</v>
      </c>
      <c r="B526">
        <v>1512.1944000000001</v>
      </c>
      <c r="C526" s="29">
        <f t="shared" si="213"/>
        <v>2.8E-3</v>
      </c>
      <c r="D526">
        <v>0.7</v>
      </c>
      <c r="E526">
        <v>1.1519999999999999</v>
      </c>
      <c r="F526" s="18">
        <f t="shared" si="200"/>
        <v>1.4519999999999982</v>
      </c>
      <c r="G526" s="18">
        <f t="shared" si="201"/>
        <v>-0.77200000000000202</v>
      </c>
      <c r="H526">
        <v>8.1300000000000008</v>
      </c>
      <c r="I526">
        <v>3.21</v>
      </c>
      <c r="J526">
        <f t="shared" si="210"/>
        <v>5.67</v>
      </c>
      <c r="K526" s="6">
        <f t="shared" si="211"/>
        <v>5.49</v>
      </c>
      <c r="L526" s="6">
        <f t="shared" si="212"/>
        <v>4.9999999999999822E-2</v>
      </c>
      <c r="M526">
        <v>-8.0153109835910001</v>
      </c>
      <c r="N526">
        <v>398000</v>
      </c>
      <c r="O526" s="18">
        <f>ROUND(N526/VLOOKUP(EOMONTH(A526,-1),Employment!A:P,16,FALSE),4)</f>
        <v>1.7018</v>
      </c>
      <c r="P526" s="18">
        <f t="shared" si="202"/>
        <v>1.6655</v>
      </c>
      <c r="Q526" s="29">
        <f t="shared" si="203"/>
        <v>0.22359999999999999</v>
      </c>
      <c r="R526" s="29">
        <f t="shared" si="204"/>
        <v>-1.1599999999999999E-2</v>
      </c>
      <c r="S526">
        <v>3227000</v>
      </c>
      <c r="T526" s="18">
        <f>ROUND((S526/7)/VLOOKUP(EOMONTH(A526,-1),Employment!A:P,16,FALSE),4)</f>
        <v>1.9712000000000001</v>
      </c>
      <c r="U526" s="18">
        <f t="shared" si="205"/>
        <v>1.9241999999999999</v>
      </c>
      <c r="V526" s="29">
        <f t="shared" si="206"/>
        <v>0.22720000000000001</v>
      </c>
      <c r="W526" s="29">
        <f t="shared" si="207"/>
        <v>-2.2000000000000001E-3</v>
      </c>
      <c r="X526" s="30">
        <f t="shared" si="208"/>
        <v>62.84</v>
      </c>
      <c r="Y526" s="31">
        <f t="shared" si="209"/>
        <v>62.75</v>
      </c>
    </row>
    <row r="527" spans="1:25" ht="15" customHeight="1" x14ac:dyDescent="0.25">
      <c r="A527" s="5">
        <v>39656</v>
      </c>
      <c r="B527">
        <v>1512.2268999999999</v>
      </c>
      <c r="C527" s="29">
        <f t="shared" si="213"/>
        <v>5.4999999999999997E-3</v>
      </c>
      <c r="D527">
        <v>0.75</v>
      </c>
      <c r="E527">
        <v>1.2709999999999999</v>
      </c>
      <c r="F527" s="18">
        <f t="shared" ref="F527:F590" si="214">(((D527*10)+(E527*8))*-1)-(((D528*10)+(E528*8))*-1)</f>
        <v>-1.8879999999999999</v>
      </c>
      <c r="G527" s="18">
        <f t="shared" ref="G527:G590" si="215">SUM(F527:F529)</f>
        <v>-3.0719999999999992</v>
      </c>
      <c r="H527">
        <v>7.6</v>
      </c>
      <c r="I527">
        <v>3.17</v>
      </c>
      <c r="J527">
        <f t="shared" si="210"/>
        <v>5.39</v>
      </c>
      <c r="K527" s="6">
        <f t="shared" si="211"/>
        <v>5.44</v>
      </c>
      <c r="L527" s="6">
        <f t="shared" si="212"/>
        <v>1.0000000000000675E-2</v>
      </c>
      <c r="M527">
        <v>-7.2565155288958003</v>
      </c>
      <c r="N527">
        <v>387500</v>
      </c>
      <c r="O527" s="18">
        <f>ROUND(N527/VLOOKUP(EOMONTH(A527,-1),Employment!A:P,16,FALSE),4)</f>
        <v>1.6586000000000001</v>
      </c>
      <c r="P527" s="18">
        <f t="shared" ref="P527:P590" si="216">ROUND(AVERAGE(O527:O529),4)</f>
        <v>1.6412</v>
      </c>
      <c r="Q527" s="29">
        <f t="shared" ref="Q527:Q590" si="217">ROUND((P527/P579)-1,4)</f>
        <v>0.1996</v>
      </c>
      <c r="R527" s="29">
        <f t="shared" ref="R527:R590" si="218">ROUND(AVERAGE(Q527:Q528)-AVERAGE(Q527:Q531),4)*-1</f>
        <v>-6.4000000000000003E-3</v>
      </c>
      <c r="S527">
        <v>3104000</v>
      </c>
      <c r="T527" s="18">
        <f>ROUND((S527/7)/VLOOKUP(EOMONTH(A527,-1),Employment!A:P,16,FALSE),4)</f>
        <v>1.8979999999999999</v>
      </c>
      <c r="U527" s="18">
        <f t="shared" ref="U527:U590" si="219">ROUND(AVERAGE(T527:T529),4)</f>
        <v>1.9011</v>
      </c>
      <c r="V527" s="29">
        <f t="shared" ref="V527:V590" si="220">ROUND((U527/U579)-1,4)</f>
        <v>0.21410000000000001</v>
      </c>
      <c r="W527" s="29">
        <f t="shared" ref="W527:W590" si="221">ROUND(AVERAGE(V527:V528)-AVERAGE(V527:V531),4)*-1</f>
        <v>4.3E-3</v>
      </c>
      <c r="X527" s="30">
        <f t="shared" ref="X527:X590" si="222">IF(ROUND((C527*500)-(D527*10)-(E527*8)+(M527*1.2)-(P527*23)-(Q527*10)+(R527*600)-(U527*2)-(V527*5)+(W527*100)-(K527*5)-(L527*5)+(G527*3),2)+170&lt;0,0,ROUND((C527*500)-(D527*10)-(E527*8)+(M527*1.2)-(P527*23)-(Q527*10)+(R527*600)-(U527*2)-(V527*5)+(W527*100)-(K527*5)-(L527*5)+(G527*3),2)+170)</f>
        <v>61.879999999999995</v>
      </c>
      <c r="Y527" s="31">
        <f t="shared" ref="Y527:Y590" si="223">ROUND(AVERAGE(AVERAGE(X527:X528),AVERAGE(X527:X529)),2)</f>
        <v>63.56</v>
      </c>
    </row>
    <row r="528" spans="1:25" ht="15" customHeight="1" x14ac:dyDescent="0.25">
      <c r="A528" s="5">
        <v>39649</v>
      </c>
      <c r="B528">
        <v>1509.4557</v>
      </c>
      <c r="C528" s="29">
        <f t="shared" si="213"/>
        <v>6.1999999999999998E-3</v>
      </c>
      <c r="D528">
        <v>0.75</v>
      </c>
      <c r="E528">
        <v>1.0349999999999999</v>
      </c>
      <c r="F528" s="18">
        <f t="shared" si="214"/>
        <v>-0.3360000000000003</v>
      </c>
      <c r="G528" s="18">
        <f t="shared" si="215"/>
        <v>-2.7799999999999994</v>
      </c>
      <c r="H528">
        <v>7.67</v>
      </c>
      <c r="I528">
        <v>3.17</v>
      </c>
      <c r="J528">
        <f t="shared" ref="J528:J591" si="224">ROUND(AVERAGE(H528:I528),2)</f>
        <v>5.42</v>
      </c>
      <c r="K528" s="6">
        <f t="shared" ref="K528:K591" si="225">ROUND(AVERAGE(J528:J530),2)</f>
        <v>5.43</v>
      </c>
      <c r="L528" s="6">
        <f t="shared" ref="L528:L591" si="226">K528-K529</f>
        <v>5.9999999999999609E-2</v>
      </c>
      <c r="M528">
        <v>-6.8227804810723001</v>
      </c>
      <c r="N528">
        <v>382250</v>
      </c>
      <c r="O528" s="18">
        <f>ROUND(N528/VLOOKUP(EOMONTH(A528,-1),Employment!A:P,16,FALSE),4)</f>
        <v>1.6362000000000001</v>
      </c>
      <c r="P528" s="18">
        <f t="shared" si="216"/>
        <v>1.6351</v>
      </c>
      <c r="Q528" s="29">
        <f t="shared" si="217"/>
        <v>0.1958</v>
      </c>
      <c r="R528" s="29">
        <f t="shared" si="218"/>
        <v>-6.8999999999999999E-3</v>
      </c>
      <c r="S528">
        <v>3113000</v>
      </c>
      <c r="T528" s="18">
        <f>ROUND((S528/7)/VLOOKUP(EOMONTH(A528,-1),Employment!A:P,16,FALSE),4)</f>
        <v>1.9035</v>
      </c>
      <c r="U528" s="18">
        <f t="shared" si="219"/>
        <v>1.8909</v>
      </c>
      <c r="V528" s="29">
        <f t="shared" si="220"/>
        <v>0.2132</v>
      </c>
      <c r="W528" s="29">
        <f t="shared" si="221"/>
        <v>-8.9999999999999998E-4</v>
      </c>
      <c r="X528" s="30">
        <f t="shared" si="222"/>
        <v>64.7</v>
      </c>
      <c r="Y528" s="31">
        <f t="shared" si="223"/>
        <v>65.55</v>
      </c>
    </row>
    <row r="529" spans="1:25" ht="15" customHeight="1" x14ac:dyDescent="0.25">
      <c r="A529" s="5">
        <v>39642</v>
      </c>
      <c r="B529">
        <v>1505.3869999999999</v>
      </c>
      <c r="C529" s="29">
        <f t="shared" si="213"/>
        <v>6.1999999999999998E-3</v>
      </c>
      <c r="D529">
        <v>0.77</v>
      </c>
      <c r="E529">
        <v>0.96799999999999997</v>
      </c>
      <c r="F529" s="18">
        <f t="shared" si="214"/>
        <v>-0.84799999999999898</v>
      </c>
      <c r="G529" s="18">
        <f t="shared" si="215"/>
        <v>-3.2199999999999989</v>
      </c>
      <c r="H529">
        <v>7.88</v>
      </c>
      <c r="I529">
        <v>3.15</v>
      </c>
      <c r="J529">
        <f t="shared" si="224"/>
        <v>5.52</v>
      </c>
      <c r="K529" s="6">
        <f t="shared" si="225"/>
        <v>5.37</v>
      </c>
      <c r="L529" s="6">
        <f t="shared" si="226"/>
        <v>0.23000000000000043</v>
      </c>
      <c r="M529">
        <v>-6.4944898269299003</v>
      </c>
      <c r="N529">
        <v>380500</v>
      </c>
      <c r="O529" s="18">
        <f>ROUND(N529/VLOOKUP(EOMONTH(A529,-1),Employment!A:P,16,FALSE),4)</f>
        <v>1.6287</v>
      </c>
      <c r="P529" s="18">
        <f t="shared" si="216"/>
        <v>1.6263000000000001</v>
      </c>
      <c r="Q529" s="29">
        <f t="shared" si="217"/>
        <v>0.19220000000000001</v>
      </c>
      <c r="R529" s="29">
        <f t="shared" si="218"/>
        <v>-5.4000000000000003E-3</v>
      </c>
      <c r="S529">
        <v>3110000</v>
      </c>
      <c r="T529" s="18">
        <f>ROUND((S529/7)/VLOOKUP(EOMONTH(A529,-1),Employment!A:P,16,FALSE),4)</f>
        <v>1.9016999999999999</v>
      </c>
      <c r="U529" s="18">
        <f t="shared" si="219"/>
        <v>1.8801000000000001</v>
      </c>
      <c r="V529" s="29">
        <f t="shared" si="220"/>
        <v>0.22409999999999999</v>
      </c>
      <c r="W529" s="29">
        <f t="shared" si="221"/>
        <v>1.2999999999999999E-3</v>
      </c>
      <c r="X529" s="30">
        <f t="shared" si="222"/>
        <v>64.89</v>
      </c>
      <c r="Y529" s="31">
        <f t="shared" si="223"/>
        <v>68.650000000000006</v>
      </c>
    </row>
    <row r="530" spans="1:25" ht="15" customHeight="1" x14ac:dyDescent="0.25">
      <c r="A530" s="5">
        <v>39635</v>
      </c>
      <c r="B530">
        <v>1504.9077</v>
      </c>
      <c r="C530" s="29">
        <f t="shared" ref="C530:C593" si="227">ROUND((B530-AVERAGE(B531:B534))/AVERAGE(B531:B534),4)</f>
        <v>8.0000000000000002E-3</v>
      </c>
      <c r="D530">
        <v>0.69</v>
      </c>
      <c r="E530">
        <v>0.96199999999999997</v>
      </c>
      <c r="F530" s="18">
        <f t="shared" si="214"/>
        <v>-1.5960000000000001</v>
      </c>
      <c r="G530" s="18">
        <f t="shared" si="215"/>
        <v>-4.1400000000000006</v>
      </c>
      <c r="H530">
        <v>7.63</v>
      </c>
      <c r="I530">
        <v>3.08</v>
      </c>
      <c r="J530">
        <f t="shared" si="224"/>
        <v>5.36</v>
      </c>
      <c r="K530" s="6">
        <f t="shared" si="225"/>
        <v>5.14</v>
      </c>
      <c r="L530" s="6">
        <f t="shared" si="226"/>
        <v>0.23999999999999932</v>
      </c>
      <c r="M530">
        <v>-6.4307423191063</v>
      </c>
      <c r="N530">
        <v>383250</v>
      </c>
      <c r="O530" s="18">
        <f>ROUND(N530/VLOOKUP(EOMONTH(A530,-1),Employment!A:P,16,FALSE),4)</f>
        <v>1.6404000000000001</v>
      </c>
      <c r="P530" s="18">
        <f t="shared" si="216"/>
        <v>1.6157999999999999</v>
      </c>
      <c r="Q530" s="29">
        <f t="shared" si="217"/>
        <v>0.1888</v>
      </c>
      <c r="R530" s="29">
        <f t="shared" si="218"/>
        <v>1.5E-3</v>
      </c>
      <c r="S530">
        <v>3054000</v>
      </c>
      <c r="T530" s="18">
        <f>ROUND((S530/7)/VLOOKUP(EOMONTH(A530,-1),Employment!A:P,16,FALSE),4)</f>
        <v>1.8673999999999999</v>
      </c>
      <c r="U530" s="18">
        <f t="shared" si="219"/>
        <v>1.8603000000000001</v>
      </c>
      <c r="V530" s="29">
        <f t="shared" si="220"/>
        <v>0.2135</v>
      </c>
      <c r="W530" s="29">
        <f t="shared" si="221"/>
        <v>-8.0000000000000004E-4</v>
      </c>
      <c r="X530" s="30">
        <f t="shared" si="222"/>
        <v>69.349999999999994</v>
      </c>
      <c r="Y530" s="31">
        <f t="shared" si="223"/>
        <v>73.42</v>
      </c>
    </row>
    <row r="531" spans="1:25" ht="15" customHeight="1" x14ac:dyDescent="0.25">
      <c r="A531" s="5">
        <v>39628</v>
      </c>
      <c r="B531">
        <v>1496.1003000000001</v>
      </c>
      <c r="C531" s="29">
        <f t="shared" si="227"/>
        <v>2.5000000000000001E-3</v>
      </c>
      <c r="D531">
        <v>0.62</v>
      </c>
      <c r="E531">
        <v>0.85</v>
      </c>
      <c r="F531" s="18">
        <f t="shared" si="214"/>
        <v>-0.7759999999999998</v>
      </c>
      <c r="G531" s="18">
        <f t="shared" si="215"/>
        <v>-3.6840000000000011</v>
      </c>
      <c r="H531">
        <v>7.41</v>
      </c>
      <c r="I531">
        <v>3.04</v>
      </c>
      <c r="J531">
        <f t="shared" si="224"/>
        <v>5.23</v>
      </c>
      <c r="K531" s="6">
        <f t="shared" si="225"/>
        <v>4.9000000000000004</v>
      </c>
      <c r="L531" s="6">
        <f t="shared" si="226"/>
        <v>0.12000000000000011</v>
      </c>
      <c r="M531">
        <v>-6.2382278076446003</v>
      </c>
      <c r="N531">
        <v>375750</v>
      </c>
      <c r="O531" s="18">
        <f>ROUND(N531/VLOOKUP(EOMONTH(A531,-1),Employment!A:P,16,FALSE),4)</f>
        <v>1.6099000000000001</v>
      </c>
      <c r="P531" s="18">
        <f t="shared" si="216"/>
        <v>1.5973999999999999</v>
      </c>
      <c r="Q531" s="29">
        <f t="shared" si="217"/>
        <v>0.1802</v>
      </c>
      <c r="R531" s="29">
        <f t="shared" si="218"/>
        <v>8.3000000000000001E-3</v>
      </c>
      <c r="S531">
        <v>3057000</v>
      </c>
      <c r="T531" s="18">
        <f>ROUND((S531/7)/VLOOKUP(EOMONTH(A531,-1),Employment!A:P,16,FALSE),4)</f>
        <v>1.8711</v>
      </c>
      <c r="U531" s="18">
        <f t="shared" si="219"/>
        <v>1.8611</v>
      </c>
      <c r="V531" s="29">
        <f t="shared" si="220"/>
        <v>0.2248</v>
      </c>
      <c r="W531" s="29">
        <f t="shared" si="221"/>
        <v>8.9999999999999998E-4</v>
      </c>
      <c r="X531" s="30">
        <f t="shared" si="222"/>
        <v>76.290000000000006</v>
      </c>
      <c r="Y531" s="31">
        <f t="shared" si="223"/>
        <v>76.22</v>
      </c>
    </row>
    <row r="532" spans="1:25" ht="15" customHeight="1" x14ac:dyDescent="0.25">
      <c r="A532" s="5">
        <v>39621</v>
      </c>
      <c r="B532">
        <v>1494.2602999999999</v>
      </c>
      <c r="C532" s="29">
        <f t="shared" si="227"/>
        <v>1.6999999999999999E-3</v>
      </c>
      <c r="D532">
        <v>0.54</v>
      </c>
      <c r="E532">
        <v>0.85299999999999998</v>
      </c>
      <c r="F532" s="18">
        <f t="shared" si="214"/>
        <v>-1.7680000000000007</v>
      </c>
      <c r="G532" s="18">
        <f t="shared" si="215"/>
        <v>-3.7720000000000002</v>
      </c>
      <c r="H532">
        <v>6.7</v>
      </c>
      <c r="I532">
        <v>2.95</v>
      </c>
      <c r="J532">
        <f t="shared" si="224"/>
        <v>4.83</v>
      </c>
      <c r="K532" s="6">
        <f t="shared" si="225"/>
        <v>4.78</v>
      </c>
      <c r="L532" s="6">
        <f t="shared" si="226"/>
        <v>1.0000000000000675E-2</v>
      </c>
      <c r="M532">
        <v>-5.9851551622976</v>
      </c>
      <c r="N532">
        <v>372750</v>
      </c>
      <c r="O532" s="18">
        <f>ROUND(N532/VLOOKUP(EOMONTH(A532,-1),Employment!A:P,16,FALSE),4)</f>
        <v>1.597</v>
      </c>
      <c r="P532" s="18">
        <f t="shared" si="216"/>
        <v>1.5833999999999999</v>
      </c>
      <c r="Q532" s="29">
        <f t="shared" si="217"/>
        <v>0.17860000000000001</v>
      </c>
      <c r="R532" s="29">
        <f t="shared" si="218"/>
        <v>5.7999999999999996E-3</v>
      </c>
      <c r="S532">
        <v>3010000</v>
      </c>
      <c r="T532" s="18">
        <f>ROUND((S532/7)/VLOOKUP(EOMONTH(A532,-1),Employment!A:P,16,FALSE),4)</f>
        <v>1.8423</v>
      </c>
      <c r="U532" s="18">
        <f t="shared" si="219"/>
        <v>1.8509</v>
      </c>
      <c r="V532" s="29">
        <f t="shared" si="220"/>
        <v>0.2132</v>
      </c>
      <c r="W532" s="29">
        <f t="shared" si="221"/>
        <v>-3.0000000000000001E-3</v>
      </c>
      <c r="X532" s="30">
        <f t="shared" si="222"/>
        <v>76.39</v>
      </c>
      <c r="Y532" s="31">
        <f t="shared" si="223"/>
        <v>75.650000000000006</v>
      </c>
    </row>
    <row r="533" spans="1:25" ht="15" customHeight="1" x14ac:dyDescent="0.25">
      <c r="A533" s="5">
        <v>39614</v>
      </c>
      <c r="B533">
        <v>1489.1904</v>
      </c>
      <c r="C533" s="29">
        <f t="shared" si="227"/>
        <v>-1.5E-3</v>
      </c>
      <c r="D533">
        <v>0.48</v>
      </c>
      <c r="E533">
        <v>0.70699999999999996</v>
      </c>
      <c r="F533" s="18">
        <f t="shared" si="214"/>
        <v>-1.1400000000000006</v>
      </c>
      <c r="G533" s="18">
        <f t="shared" si="215"/>
        <v>-1.2119999999999997</v>
      </c>
      <c r="H533">
        <v>6.39</v>
      </c>
      <c r="I533">
        <v>2.9</v>
      </c>
      <c r="J533">
        <f t="shared" si="224"/>
        <v>4.6500000000000004</v>
      </c>
      <c r="K533" s="6">
        <f t="shared" si="225"/>
        <v>4.7699999999999996</v>
      </c>
      <c r="L533" s="6">
        <f t="shared" si="226"/>
        <v>-7.0000000000000284E-2</v>
      </c>
      <c r="M533">
        <v>-5.9898116220421</v>
      </c>
      <c r="N533">
        <v>370000</v>
      </c>
      <c r="O533" s="18">
        <f>ROUND(N533/VLOOKUP(EOMONTH(A533,-1),Employment!A:P,16,FALSE),4)</f>
        <v>1.5851999999999999</v>
      </c>
      <c r="P533" s="18">
        <f t="shared" si="216"/>
        <v>1.5767</v>
      </c>
      <c r="Q533" s="29">
        <f t="shared" si="217"/>
        <v>0.18590000000000001</v>
      </c>
      <c r="R533" s="29">
        <f t="shared" si="218"/>
        <v>-8.8000000000000005E-3</v>
      </c>
      <c r="S533">
        <v>3055000</v>
      </c>
      <c r="T533" s="18">
        <f>ROUND((S533/7)/VLOOKUP(EOMONTH(A533,-1),Employment!A:P,16,FALSE),4)</f>
        <v>1.8697999999999999</v>
      </c>
      <c r="U533" s="18">
        <f t="shared" si="219"/>
        <v>1.8521000000000001</v>
      </c>
      <c r="V533" s="29">
        <f t="shared" si="220"/>
        <v>0.22509999999999999</v>
      </c>
      <c r="W533" s="29">
        <f t="shared" si="221"/>
        <v>-6.1000000000000004E-3</v>
      </c>
      <c r="X533" s="30">
        <f t="shared" si="222"/>
        <v>75.63</v>
      </c>
      <c r="Y533" s="31">
        <f t="shared" si="223"/>
        <v>75.98</v>
      </c>
    </row>
    <row r="534" spans="1:25" ht="15" customHeight="1" x14ac:dyDescent="0.25">
      <c r="A534" s="5">
        <v>39607</v>
      </c>
      <c r="B534">
        <v>1492.4602</v>
      </c>
      <c r="C534" s="29">
        <f t="shared" si="227"/>
        <v>1.2999999999999999E-3</v>
      </c>
      <c r="D534">
        <v>0.43</v>
      </c>
      <c r="E534">
        <v>0.627</v>
      </c>
      <c r="F534" s="18">
        <f t="shared" si="214"/>
        <v>-0.86399999999999899</v>
      </c>
      <c r="G534" s="18">
        <f t="shared" si="215"/>
        <v>1.2080000000000002</v>
      </c>
      <c r="H534">
        <v>6.68</v>
      </c>
      <c r="I534">
        <v>3.04</v>
      </c>
      <c r="J534">
        <f t="shared" si="224"/>
        <v>4.8600000000000003</v>
      </c>
      <c r="K534" s="6">
        <f t="shared" si="225"/>
        <v>4.84</v>
      </c>
      <c r="L534" s="6">
        <f t="shared" si="226"/>
        <v>0</v>
      </c>
      <c r="M534">
        <v>-5.8637468342960002</v>
      </c>
      <c r="N534">
        <v>366000</v>
      </c>
      <c r="O534" s="18">
        <f>ROUND(N534/VLOOKUP(EOMONTH(A534,-1),Employment!A:P,16,FALSE),4)</f>
        <v>1.5681</v>
      </c>
      <c r="P534" s="18">
        <f t="shared" si="216"/>
        <v>1.5746</v>
      </c>
      <c r="Q534" s="29">
        <f t="shared" si="217"/>
        <v>0.1963</v>
      </c>
      <c r="R534" s="29">
        <f t="shared" si="218"/>
        <v>-2.5899999999999999E-2</v>
      </c>
      <c r="S534">
        <v>3007000</v>
      </c>
      <c r="T534" s="18">
        <f>ROUND((S534/7)/VLOOKUP(EOMONTH(A534,-1),Employment!A:P,16,FALSE),4)</f>
        <v>1.8405</v>
      </c>
      <c r="U534" s="18">
        <f t="shared" si="219"/>
        <v>1.8408</v>
      </c>
      <c r="V534" s="29">
        <f t="shared" si="220"/>
        <v>0.215</v>
      </c>
      <c r="W534" s="29">
        <f t="shared" si="221"/>
        <v>-1.4E-2</v>
      </c>
      <c r="X534" s="30">
        <f t="shared" si="222"/>
        <v>73.849999999999994</v>
      </c>
      <c r="Y534" s="31">
        <f t="shared" si="223"/>
        <v>80.58</v>
      </c>
    </row>
    <row r="535" spans="1:25" ht="15" customHeight="1" x14ac:dyDescent="0.25">
      <c r="A535" s="5">
        <v>39600</v>
      </c>
      <c r="B535">
        <v>1493.7347</v>
      </c>
      <c r="C535" s="29">
        <f t="shared" si="227"/>
        <v>2.3999999999999998E-3</v>
      </c>
      <c r="D535">
        <v>0.41</v>
      </c>
      <c r="E535">
        <v>0.54400000000000004</v>
      </c>
      <c r="F535" s="18">
        <f t="shared" si="214"/>
        <v>0.79199999999999982</v>
      </c>
      <c r="G535" s="18">
        <f t="shared" si="215"/>
        <v>4.7320000000000011</v>
      </c>
      <c r="H535">
        <v>6.57</v>
      </c>
      <c r="I535">
        <v>3</v>
      </c>
      <c r="J535">
        <f t="shared" si="224"/>
        <v>4.79</v>
      </c>
      <c r="K535" s="6">
        <f t="shared" si="225"/>
        <v>4.84</v>
      </c>
      <c r="L535" s="6">
        <f t="shared" si="226"/>
        <v>-7.0000000000000284E-2</v>
      </c>
      <c r="M535">
        <v>-5.7209644887603002</v>
      </c>
      <c r="N535">
        <v>368000</v>
      </c>
      <c r="O535" s="18">
        <f>ROUND(N535/VLOOKUP(EOMONTH(A535,-1),Employment!A:P,16,FALSE),4)</f>
        <v>1.5767</v>
      </c>
      <c r="P535" s="18">
        <f t="shared" si="216"/>
        <v>1.5719000000000001</v>
      </c>
      <c r="Q535" s="29">
        <f t="shared" si="217"/>
        <v>0.19750000000000001</v>
      </c>
      <c r="R535" s="29">
        <f t="shared" si="218"/>
        <v>-3.2300000000000002E-2</v>
      </c>
      <c r="S535">
        <v>3016000</v>
      </c>
      <c r="T535" s="18">
        <f>ROUND((S535/7)/VLOOKUP(EOMONTH(A535,-1),Employment!A:P,16,FALSE),4)</f>
        <v>1.8460000000000001</v>
      </c>
      <c r="U535" s="18">
        <f t="shared" si="219"/>
        <v>1.8385</v>
      </c>
      <c r="V535" s="29">
        <f t="shared" si="220"/>
        <v>0.22159999999999999</v>
      </c>
      <c r="W535" s="29">
        <f t="shared" si="221"/>
        <v>-1.7899999999999999E-2</v>
      </c>
      <c r="X535" s="30">
        <f t="shared" si="222"/>
        <v>82.15</v>
      </c>
      <c r="Y535" s="31">
        <f t="shared" si="223"/>
        <v>90.9</v>
      </c>
    </row>
    <row r="536" spans="1:25" ht="15" customHeight="1" x14ac:dyDescent="0.25">
      <c r="A536" s="5">
        <v>39593</v>
      </c>
      <c r="B536">
        <v>1491.6899000000001</v>
      </c>
      <c r="C536" s="29">
        <f t="shared" si="227"/>
        <v>5.0000000000000001E-4</v>
      </c>
      <c r="D536">
        <v>0.43</v>
      </c>
      <c r="E536">
        <v>0.61799999999999999</v>
      </c>
      <c r="F536" s="18">
        <f t="shared" si="214"/>
        <v>1.2799999999999994</v>
      </c>
      <c r="G536" s="18">
        <f t="shared" si="215"/>
        <v>6.6879999999999988</v>
      </c>
      <c r="H536">
        <v>6.7</v>
      </c>
      <c r="I536">
        <v>3.06</v>
      </c>
      <c r="J536">
        <f t="shared" si="224"/>
        <v>4.88</v>
      </c>
      <c r="K536" s="6">
        <f t="shared" si="225"/>
        <v>4.91</v>
      </c>
      <c r="L536" s="6">
        <f t="shared" si="226"/>
        <v>3.0000000000000249E-2</v>
      </c>
      <c r="M536">
        <v>-6.2220033334306004</v>
      </c>
      <c r="N536">
        <v>368250</v>
      </c>
      <c r="O536" s="18">
        <f>ROUND(N536/VLOOKUP(EOMONTH(A536,-1),Employment!A:P,16,FALSE),4)</f>
        <v>1.5790999999999999</v>
      </c>
      <c r="P536" s="18">
        <f t="shared" si="216"/>
        <v>1.5659000000000001</v>
      </c>
      <c r="Q536" s="29">
        <f t="shared" si="217"/>
        <v>0.18210000000000001</v>
      </c>
      <c r="R536" s="29">
        <f t="shared" si="218"/>
        <v>-1.84E-2</v>
      </c>
      <c r="S536">
        <v>2997000</v>
      </c>
      <c r="T536" s="18">
        <f>ROUND((S536/7)/VLOOKUP(EOMONTH(A536,-1),Employment!A:P,16,FALSE),4)</f>
        <v>1.8360000000000001</v>
      </c>
      <c r="U536" s="18">
        <f t="shared" si="219"/>
        <v>1.8329</v>
      </c>
      <c r="V536" s="29">
        <f t="shared" si="220"/>
        <v>0.20610000000000001</v>
      </c>
      <c r="W536" s="29">
        <f t="shared" si="221"/>
        <v>-1.8800000000000001E-2</v>
      </c>
      <c r="X536" s="30">
        <f t="shared" si="222"/>
        <v>93.45</v>
      </c>
      <c r="Y536" s="31">
        <f t="shared" si="223"/>
        <v>100.41</v>
      </c>
    </row>
    <row r="537" spans="1:25" ht="15" customHeight="1" x14ac:dyDescent="0.25">
      <c r="A537" s="5">
        <v>39586</v>
      </c>
      <c r="B537">
        <v>1487.7750000000001</v>
      </c>
      <c r="C537" s="29">
        <f t="shared" si="227"/>
        <v>-1.8E-3</v>
      </c>
      <c r="D537">
        <v>0.47</v>
      </c>
      <c r="E537">
        <v>0.72799999999999998</v>
      </c>
      <c r="F537" s="18">
        <f t="shared" si="214"/>
        <v>2.6600000000000019</v>
      </c>
      <c r="G537" s="18">
        <f t="shared" si="215"/>
        <v>6.5600000000000005</v>
      </c>
      <c r="H537">
        <v>6.63</v>
      </c>
      <c r="I537">
        <v>3.06</v>
      </c>
      <c r="J537">
        <f t="shared" si="224"/>
        <v>4.8499999999999996</v>
      </c>
      <c r="K537" s="6">
        <f t="shared" si="225"/>
        <v>4.88</v>
      </c>
      <c r="L537" s="6">
        <f t="shared" si="226"/>
        <v>-4.9999999999999822E-2</v>
      </c>
      <c r="M537">
        <v>-6.8137983072781001</v>
      </c>
      <c r="N537">
        <v>363750</v>
      </c>
      <c r="O537" s="18">
        <f>ROUND(N537/VLOOKUP(EOMONTH(A537,-1),Employment!A:P,16,FALSE),4)</f>
        <v>1.5598000000000001</v>
      </c>
      <c r="P537" s="18">
        <f t="shared" si="216"/>
        <v>1.5533999999999999</v>
      </c>
      <c r="Q537" s="29">
        <f t="shared" si="217"/>
        <v>0.14979999999999999</v>
      </c>
      <c r="R537" s="29">
        <f t="shared" si="218"/>
        <v>5.7000000000000002E-3</v>
      </c>
      <c r="S537">
        <v>2993000</v>
      </c>
      <c r="T537" s="18">
        <f>ROUND((S537/7)/VLOOKUP(EOMONTH(A537,-1),Employment!A:P,16,FALSE),4)</f>
        <v>1.8334999999999999</v>
      </c>
      <c r="U537" s="18">
        <f t="shared" si="219"/>
        <v>1.8261000000000001</v>
      </c>
      <c r="V537" s="29">
        <f t="shared" si="220"/>
        <v>0.20200000000000001</v>
      </c>
      <c r="W537" s="29">
        <f t="shared" si="221"/>
        <v>-1.04E-2</v>
      </c>
      <c r="X537" s="30">
        <f t="shared" si="222"/>
        <v>106.42</v>
      </c>
      <c r="Y537" s="31">
        <f t="shared" si="223"/>
        <v>102.77</v>
      </c>
    </row>
    <row r="538" spans="1:25" ht="15" customHeight="1" x14ac:dyDescent="0.25">
      <c r="A538" s="5">
        <v>39579</v>
      </c>
      <c r="B538">
        <v>1488.5962</v>
      </c>
      <c r="C538" s="29">
        <f t="shared" si="227"/>
        <v>-4.0000000000000002E-4</v>
      </c>
      <c r="D538">
        <v>0.54</v>
      </c>
      <c r="E538">
        <v>0.97299999999999998</v>
      </c>
      <c r="F538" s="18">
        <f t="shared" si="214"/>
        <v>2.7479999999999976</v>
      </c>
      <c r="G538" s="18">
        <f t="shared" si="215"/>
        <v>3.1639999999999979</v>
      </c>
      <c r="H538">
        <v>6.9</v>
      </c>
      <c r="I538">
        <v>3.07</v>
      </c>
      <c r="J538">
        <f t="shared" si="224"/>
        <v>4.99</v>
      </c>
      <c r="K538" s="6">
        <f t="shared" si="225"/>
        <v>4.93</v>
      </c>
      <c r="L538" s="6">
        <f t="shared" si="226"/>
        <v>-7.0000000000000284E-2</v>
      </c>
      <c r="M538">
        <v>-7.5760395345190004</v>
      </c>
      <c r="N538">
        <v>363500</v>
      </c>
      <c r="O538" s="18">
        <f>ROUND(N538/VLOOKUP(EOMONTH(A538,-1),Employment!A:P,16,FALSE),4)</f>
        <v>1.5588</v>
      </c>
      <c r="P538" s="18">
        <f t="shared" si="216"/>
        <v>1.5539000000000001</v>
      </c>
      <c r="Q538" s="29">
        <f t="shared" si="217"/>
        <v>0.12939999999999999</v>
      </c>
      <c r="R538" s="29">
        <f t="shared" si="218"/>
        <v>0.02</v>
      </c>
      <c r="S538">
        <v>2986000</v>
      </c>
      <c r="T538" s="18">
        <f>ROUND((S538/7)/VLOOKUP(EOMONTH(A538,-1),Employment!A:P,16,FALSE),4)</f>
        <v>1.8291999999999999</v>
      </c>
      <c r="U538" s="18">
        <f t="shared" si="219"/>
        <v>1.8151999999999999</v>
      </c>
      <c r="V538" s="29">
        <f t="shared" si="220"/>
        <v>0.17699999999999999</v>
      </c>
      <c r="W538" s="29">
        <f t="shared" si="221"/>
        <v>-3.5999999999999999E-3</v>
      </c>
      <c r="X538" s="30">
        <f t="shared" si="222"/>
        <v>102.81</v>
      </c>
      <c r="Y538" s="31">
        <f t="shared" si="223"/>
        <v>94.44</v>
      </c>
    </row>
    <row r="539" spans="1:25" ht="15" customHeight="1" x14ac:dyDescent="0.25">
      <c r="A539" s="5">
        <v>39572</v>
      </c>
      <c r="B539">
        <v>1492.6472000000001</v>
      </c>
      <c r="C539" s="29">
        <f t="shared" si="227"/>
        <v>4.7000000000000002E-3</v>
      </c>
      <c r="D539">
        <v>0.63</v>
      </c>
      <c r="E539">
        <v>1.204</v>
      </c>
      <c r="F539" s="18">
        <f t="shared" si="214"/>
        <v>1.152000000000001</v>
      </c>
      <c r="G539" s="18">
        <f t="shared" si="215"/>
        <v>1.3960000000000043</v>
      </c>
      <c r="H539">
        <v>6.64</v>
      </c>
      <c r="I539">
        <v>2.97</v>
      </c>
      <c r="J539">
        <f t="shared" si="224"/>
        <v>4.8099999999999996</v>
      </c>
      <c r="K539" s="6">
        <f t="shared" si="225"/>
        <v>5</v>
      </c>
      <c r="L539" s="6">
        <f t="shared" si="226"/>
        <v>-0.25999999999999979</v>
      </c>
      <c r="M539">
        <v>-8.4666969203116</v>
      </c>
      <c r="N539">
        <v>359500</v>
      </c>
      <c r="O539" s="18">
        <f>ROUND(N539/VLOOKUP(EOMONTH(A539,-1),Employment!A:P,16,FALSE),4)</f>
        <v>1.5416000000000001</v>
      </c>
      <c r="P539" s="18">
        <f t="shared" si="216"/>
        <v>1.5615000000000001</v>
      </c>
      <c r="Q539" s="29">
        <f t="shared" si="217"/>
        <v>0.12859999999999999</v>
      </c>
      <c r="R539" s="29">
        <f t="shared" si="218"/>
        <v>1.4800000000000001E-2</v>
      </c>
      <c r="S539">
        <v>2964000</v>
      </c>
      <c r="T539" s="18">
        <f>ROUND((S539/7)/VLOOKUP(EOMONTH(A539,-1),Employment!A:P,16,FALSE),4)</f>
        <v>1.8157000000000001</v>
      </c>
      <c r="U539" s="18">
        <f t="shared" si="219"/>
        <v>1.8123</v>
      </c>
      <c r="V539" s="29">
        <f t="shared" si="220"/>
        <v>0.1731</v>
      </c>
      <c r="W539" s="29">
        <f t="shared" si="221"/>
        <v>-4.0000000000000001E-3</v>
      </c>
      <c r="X539" s="30">
        <f t="shared" si="222"/>
        <v>93.54</v>
      </c>
      <c r="Y539" s="31">
        <f t="shared" si="223"/>
        <v>81.790000000000006</v>
      </c>
    </row>
    <row r="540" spans="1:25" ht="15" customHeight="1" x14ac:dyDescent="0.25">
      <c r="A540" s="5">
        <v>39565</v>
      </c>
      <c r="B540">
        <v>1494.672</v>
      </c>
      <c r="C540" s="29">
        <f t="shared" si="227"/>
        <v>1.0800000000000001E-2</v>
      </c>
      <c r="D540">
        <v>0.71</v>
      </c>
      <c r="E540">
        <v>1.248</v>
      </c>
      <c r="F540" s="18">
        <f t="shared" si="214"/>
        <v>-0.73600000000000065</v>
      </c>
      <c r="G540" s="18">
        <f t="shared" si="215"/>
        <v>1.1639999999999979</v>
      </c>
      <c r="H540">
        <v>6.84</v>
      </c>
      <c r="I540">
        <v>3.14</v>
      </c>
      <c r="J540">
        <f t="shared" si="224"/>
        <v>4.99</v>
      </c>
      <c r="K540" s="6">
        <f t="shared" si="225"/>
        <v>5.26</v>
      </c>
      <c r="L540" s="6">
        <f t="shared" si="226"/>
        <v>-0.19000000000000039</v>
      </c>
      <c r="M540">
        <v>-9.5571507536618991</v>
      </c>
      <c r="N540">
        <v>363750</v>
      </c>
      <c r="O540" s="18">
        <f>ROUND(N540/VLOOKUP(EOMONTH(A540,-1),Employment!A:P,16,FALSE),4)</f>
        <v>1.5611999999999999</v>
      </c>
      <c r="P540" s="18">
        <f t="shared" si="216"/>
        <v>1.5762</v>
      </c>
      <c r="Q540" s="29">
        <f t="shared" si="217"/>
        <v>0.14779999999999999</v>
      </c>
      <c r="R540" s="29">
        <f t="shared" si="218"/>
        <v>-9.4000000000000004E-3</v>
      </c>
      <c r="S540">
        <v>2937000</v>
      </c>
      <c r="T540" s="18">
        <f>ROUND((S540/7)/VLOOKUP(EOMONTH(A540,-1),Employment!A:P,16,FALSE),4)</f>
        <v>1.8008</v>
      </c>
      <c r="U540" s="18">
        <f t="shared" si="219"/>
        <v>1.8134999999999999</v>
      </c>
      <c r="V540" s="29">
        <f t="shared" si="220"/>
        <v>0.16789999999999999</v>
      </c>
      <c r="W540" s="29">
        <f t="shared" si="221"/>
        <v>-1.41E-2</v>
      </c>
      <c r="X540" s="30">
        <f t="shared" si="222"/>
        <v>75.739999999999995</v>
      </c>
      <c r="Y540" s="31">
        <f t="shared" si="223"/>
        <v>68.290000000000006</v>
      </c>
    </row>
    <row r="541" spans="1:25" ht="15" customHeight="1" x14ac:dyDescent="0.25">
      <c r="A541" s="5">
        <v>39558</v>
      </c>
      <c r="B541">
        <v>1485.8667</v>
      </c>
      <c r="C541" s="29">
        <f t="shared" si="227"/>
        <v>8.2000000000000007E-3</v>
      </c>
      <c r="D541">
        <v>0.79</v>
      </c>
      <c r="E541">
        <v>1.056</v>
      </c>
      <c r="F541" s="18">
        <f t="shared" si="214"/>
        <v>0.98000000000000398</v>
      </c>
      <c r="G541" s="18">
        <f t="shared" si="215"/>
        <v>4.1679999999999993</v>
      </c>
      <c r="H541">
        <v>7.15</v>
      </c>
      <c r="I541">
        <v>3.26</v>
      </c>
      <c r="J541">
        <f t="shared" si="224"/>
        <v>5.21</v>
      </c>
      <c r="K541" s="6">
        <f t="shared" si="225"/>
        <v>5.45</v>
      </c>
      <c r="L541" s="6">
        <f t="shared" si="226"/>
        <v>-0.17999999999999972</v>
      </c>
      <c r="M541">
        <v>-10.075737851957999</v>
      </c>
      <c r="N541">
        <v>368500</v>
      </c>
      <c r="O541" s="18">
        <f>ROUND(N541/VLOOKUP(EOMONTH(A541,-1),Employment!A:P,16,FALSE),4)</f>
        <v>1.5815999999999999</v>
      </c>
      <c r="P541" s="18">
        <f t="shared" si="216"/>
        <v>1.5823</v>
      </c>
      <c r="Q541" s="29">
        <f t="shared" si="217"/>
        <v>0.17080000000000001</v>
      </c>
      <c r="R541" s="29">
        <f t="shared" si="218"/>
        <v>-3.2599999999999997E-2</v>
      </c>
      <c r="S541">
        <v>2969000</v>
      </c>
      <c r="T541" s="18">
        <f>ROUND((S541/7)/VLOOKUP(EOMONTH(A541,-1),Employment!A:P,16,FALSE),4)</f>
        <v>1.8204</v>
      </c>
      <c r="U541" s="18">
        <f t="shared" si="219"/>
        <v>1.8137000000000001</v>
      </c>
      <c r="V541" s="29">
        <f t="shared" si="220"/>
        <v>0.1757</v>
      </c>
      <c r="W541" s="29">
        <f t="shared" si="221"/>
        <v>-2.12E-2</v>
      </c>
      <c r="X541" s="30">
        <f t="shared" si="222"/>
        <v>67.53</v>
      </c>
      <c r="Y541" s="31">
        <f t="shared" si="223"/>
        <v>57.93</v>
      </c>
    </row>
    <row r="542" spans="1:25" ht="15" customHeight="1" x14ac:dyDescent="0.25">
      <c r="A542" s="5">
        <v>39551</v>
      </c>
      <c r="B542">
        <v>1483.4498000000001</v>
      </c>
      <c r="C542" s="29">
        <f t="shared" si="227"/>
        <v>1.06E-2</v>
      </c>
      <c r="D542">
        <v>0.88</v>
      </c>
      <c r="E542">
        <v>1.0660000000000001</v>
      </c>
      <c r="F542" s="18">
        <f t="shared" si="214"/>
        <v>0.9199999999999946</v>
      </c>
      <c r="G542" s="18">
        <f t="shared" si="215"/>
        <v>1.5119999999999969</v>
      </c>
      <c r="H542">
        <v>7.76</v>
      </c>
      <c r="I542">
        <v>3.38</v>
      </c>
      <c r="J542">
        <f t="shared" si="224"/>
        <v>5.57</v>
      </c>
      <c r="K542" s="6">
        <f t="shared" si="225"/>
        <v>5.63</v>
      </c>
      <c r="L542" s="6">
        <f t="shared" si="226"/>
        <v>-0.11000000000000032</v>
      </c>
      <c r="M542">
        <v>-10.833146273605999</v>
      </c>
      <c r="N542">
        <v>369500</v>
      </c>
      <c r="O542" s="18">
        <f>ROUND(N542/VLOOKUP(EOMONTH(A542,-1),Employment!A:P,16,FALSE),4)</f>
        <v>1.5859000000000001</v>
      </c>
      <c r="P542" s="18">
        <f t="shared" si="216"/>
        <v>1.5669999999999999</v>
      </c>
      <c r="Q542" s="29">
        <f t="shared" si="217"/>
        <v>0.16839999999999999</v>
      </c>
      <c r="R542" s="29">
        <f t="shared" si="218"/>
        <v>-4.2799999999999998E-2</v>
      </c>
      <c r="S542">
        <v>2967000</v>
      </c>
      <c r="T542" s="18">
        <f>ROUND((S542/7)/VLOOKUP(EOMONTH(A542,-1),Employment!A:P,16,FALSE),4)</f>
        <v>1.8191999999999999</v>
      </c>
      <c r="U542" s="18">
        <f t="shared" si="219"/>
        <v>1.7994000000000001</v>
      </c>
      <c r="V542" s="29">
        <f t="shared" si="220"/>
        <v>0.1636</v>
      </c>
      <c r="W542" s="29">
        <f t="shared" si="221"/>
        <v>-2.5000000000000001E-2</v>
      </c>
      <c r="X542" s="30">
        <f t="shared" si="222"/>
        <v>51.59</v>
      </c>
      <c r="Y542" s="31">
        <f t="shared" si="223"/>
        <v>48.47</v>
      </c>
    </row>
    <row r="543" spans="1:25" ht="15" customHeight="1" x14ac:dyDescent="0.25">
      <c r="A543" s="5">
        <v>39544</v>
      </c>
      <c r="B543">
        <v>1478.3887999999999</v>
      </c>
      <c r="C543" s="29">
        <f t="shared" si="227"/>
        <v>1.12E-2</v>
      </c>
      <c r="D543">
        <v>0.9</v>
      </c>
      <c r="E543">
        <v>1.1559999999999999</v>
      </c>
      <c r="F543" s="18">
        <f t="shared" si="214"/>
        <v>2.2680000000000007</v>
      </c>
      <c r="G543" s="18">
        <f t="shared" si="215"/>
        <v>-0.58399999999999608</v>
      </c>
      <c r="H543">
        <v>7.76</v>
      </c>
      <c r="I543">
        <v>3.4</v>
      </c>
      <c r="J543">
        <f t="shared" si="224"/>
        <v>5.58</v>
      </c>
      <c r="K543" s="6">
        <f t="shared" si="225"/>
        <v>5.74</v>
      </c>
      <c r="L543" s="6">
        <f t="shared" si="226"/>
        <v>-0.10999999999999943</v>
      </c>
      <c r="M543">
        <v>-10.962382155835</v>
      </c>
      <c r="N543">
        <v>368000</v>
      </c>
      <c r="O543" s="18">
        <f>ROUND(N543/VLOOKUP(EOMONTH(A543,-1),Employment!A:P,16,FALSE),4)</f>
        <v>1.5793999999999999</v>
      </c>
      <c r="P543" s="18">
        <f t="shared" si="216"/>
        <v>1.5451999999999999</v>
      </c>
      <c r="Q543" s="29">
        <f t="shared" si="217"/>
        <v>0.14940000000000001</v>
      </c>
      <c r="R543" s="29">
        <f t="shared" si="218"/>
        <v>-3.5299999999999998E-2</v>
      </c>
      <c r="S543">
        <v>2938000</v>
      </c>
      <c r="T543" s="18">
        <f>ROUND((S543/7)/VLOOKUP(EOMONTH(A543,-1),Employment!A:P,16,FALSE),4)</f>
        <v>1.8013999999999999</v>
      </c>
      <c r="U543" s="18">
        <f t="shared" si="219"/>
        <v>1.7851999999999999</v>
      </c>
      <c r="V543" s="29">
        <f t="shared" si="220"/>
        <v>0.1522</v>
      </c>
      <c r="W543" s="29">
        <f t="shared" si="221"/>
        <v>-1.9800000000000002E-2</v>
      </c>
      <c r="X543" s="30">
        <f t="shared" si="222"/>
        <v>49.769999999999996</v>
      </c>
      <c r="Y543" s="31">
        <f t="shared" si="223"/>
        <v>44.89</v>
      </c>
    </row>
    <row r="544" spans="1:25" ht="15" customHeight="1" x14ac:dyDescent="0.25">
      <c r="A544" s="5">
        <v>39537</v>
      </c>
      <c r="B544">
        <v>1467.2058999999999</v>
      </c>
      <c r="C544" s="29">
        <f t="shared" si="227"/>
        <v>6.4000000000000003E-3</v>
      </c>
      <c r="D544">
        <v>0.93</v>
      </c>
      <c r="E544">
        <v>1.4019999999999999</v>
      </c>
      <c r="F544" s="18">
        <f t="shared" si="214"/>
        <v>-1.6759999999999984</v>
      </c>
      <c r="G544" s="18">
        <f t="shared" si="215"/>
        <v>-7.0079999999999991</v>
      </c>
      <c r="H544">
        <v>7.99</v>
      </c>
      <c r="I544">
        <v>3.47</v>
      </c>
      <c r="J544">
        <f t="shared" si="224"/>
        <v>5.73</v>
      </c>
      <c r="K544" s="6">
        <f t="shared" si="225"/>
        <v>5.85</v>
      </c>
      <c r="L544" s="6">
        <f t="shared" si="226"/>
        <v>2.9999999999999361E-2</v>
      </c>
      <c r="M544">
        <v>-10.250040427528001</v>
      </c>
      <c r="N544">
        <v>357500</v>
      </c>
      <c r="O544" s="18">
        <f>ROUND(N544/VLOOKUP(EOMONTH(A544,-1),Employment!A:P,16,FALSE),4)</f>
        <v>1.5356000000000001</v>
      </c>
      <c r="P544" s="18">
        <f t="shared" si="216"/>
        <v>1.5147999999999999</v>
      </c>
      <c r="Q544" s="29">
        <f t="shared" si="217"/>
        <v>0.1133</v>
      </c>
      <c r="R544" s="29">
        <f t="shared" si="218"/>
        <v>-1.78E-2</v>
      </c>
      <c r="S544">
        <v>2897000</v>
      </c>
      <c r="T544" s="18">
        <f>ROUND((S544/7)/VLOOKUP(EOMONTH(A544,-1),Employment!A:P,16,FALSE),4)</f>
        <v>1.7777000000000001</v>
      </c>
      <c r="U544" s="18">
        <f t="shared" si="219"/>
        <v>1.7710999999999999</v>
      </c>
      <c r="V544" s="29">
        <f t="shared" si="220"/>
        <v>0.129</v>
      </c>
      <c r="W544" s="29">
        <f t="shared" si="221"/>
        <v>-1.72E-2</v>
      </c>
      <c r="X544" s="30">
        <f t="shared" si="222"/>
        <v>37.400000000000006</v>
      </c>
      <c r="Y544" s="31">
        <f t="shared" si="223"/>
        <v>46.07</v>
      </c>
    </row>
    <row r="545" spans="1:25" ht="15" customHeight="1" x14ac:dyDescent="0.25">
      <c r="A545" s="5">
        <v>39530</v>
      </c>
      <c r="B545">
        <v>1466.2714000000001</v>
      </c>
      <c r="C545" s="29">
        <f t="shared" si="227"/>
        <v>9.2999999999999992E-3</v>
      </c>
      <c r="D545">
        <v>0.88</v>
      </c>
      <c r="E545">
        <v>1.2549999999999999</v>
      </c>
      <c r="F545" s="18">
        <f t="shared" si="214"/>
        <v>-1.1759999999999984</v>
      </c>
      <c r="G545" s="18">
        <f t="shared" si="215"/>
        <v>-6.968</v>
      </c>
      <c r="H545">
        <v>8.4</v>
      </c>
      <c r="I545">
        <v>3.42</v>
      </c>
      <c r="J545">
        <f t="shared" si="224"/>
        <v>5.91</v>
      </c>
      <c r="K545" s="6">
        <f t="shared" si="225"/>
        <v>5.82</v>
      </c>
      <c r="L545" s="6">
        <f t="shared" si="226"/>
        <v>0.15000000000000036</v>
      </c>
      <c r="M545">
        <v>-10.346577128611999</v>
      </c>
      <c r="N545">
        <v>354000</v>
      </c>
      <c r="O545" s="18">
        <f>ROUND(N545/VLOOKUP(EOMONTH(A545,-1),Employment!A:P,16,FALSE),4)</f>
        <v>1.5206</v>
      </c>
      <c r="P545" s="18">
        <f t="shared" si="216"/>
        <v>1.4976</v>
      </c>
      <c r="Q545" s="29">
        <f t="shared" si="217"/>
        <v>8.2900000000000001E-2</v>
      </c>
      <c r="R545" s="29">
        <f t="shared" si="218"/>
        <v>-2E-3</v>
      </c>
      <c r="S545">
        <v>2895000</v>
      </c>
      <c r="T545" s="18">
        <f>ROUND((S545/7)/VLOOKUP(EOMONTH(A545,-1),Employment!A:P,16,FALSE),4)</f>
        <v>1.7764</v>
      </c>
      <c r="U545" s="18">
        <f t="shared" si="219"/>
        <v>1.7685</v>
      </c>
      <c r="V545" s="29">
        <f t="shared" si="220"/>
        <v>0.12189999999999999</v>
      </c>
      <c r="W545" s="29">
        <f t="shared" si="221"/>
        <v>-6.3E-3</v>
      </c>
      <c r="X545" s="30">
        <f t="shared" si="222"/>
        <v>51.39</v>
      </c>
      <c r="Y545" s="31">
        <f t="shared" si="223"/>
        <v>55.38</v>
      </c>
    </row>
    <row r="546" spans="1:25" ht="15" customHeight="1" x14ac:dyDescent="0.25">
      <c r="A546" s="5">
        <v>39523</v>
      </c>
      <c r="B546">
        <v>1459.7638999999999</v>
      </c>
      <c r="C546" s="29">
        <f t="shared" si="227"/>
        <v>7.9000000000000008E-3</v>
      </c>
      <c r="D546">
        <v>0.8</v>
      </c>
      <c r="E546">
        <v>1.208</v>
      </c>
      <c r="F546" s="18">
        <f t="shared" si="214"/>
        <v>-4.1560000000000024</v>
      </c>
      <c r="G546" s="18">
        <f t="shared" si="215"/>
        <v>-7.3800000000000008</v>
      </c>
      <c r="H546">
        <v>8.3800000000000008</v>
      </c>
      <c r="I546">
        <v>3.42</v>
      </c>
      <c r="J546">
        <f t="shared" si="224"/>
        <v>5.9</v>
      </c>
      <c r="K546" s="6">
        <f t="shared" si="225"/>
        <v>5.67</v>
      </c>
      <c r="L546" s="6">
        <f t="shared" si="226"/>
        <v>0.21999999999999975</v>
      </c>
      <c r="M546">
        <v>-10.274680661618</v>
      </c>
      <c r="N546">
        <v>346500</v>
      </c>
      <c r="O546" s="18">
        <f>ROUND(N546/VLOOKUP(EOMONTH(A546,-1),Employment!A:P,16,FALSE),4)</f>
        <v>1.4883</v>
      </c>
      <c r="P546" s="18">
        <f t="shared" si="216"/>
        <v>1.4872000000000001</v>
      </c>
      <c r="Q546" s="29">
        <f t="shared" si="217"/>
        <v>6.6400000000000001E-2</v>
      </c>
      <c r="R546" s="29">
        <f t="shared" si="218"/>
        <v>2E-3</v>
      </c>
      <c r="S546">
        <v>2867000</v>
      </c>
      <c r="T546" s="18">
        <f>ROUND((S546/7)/VLOOKUP(EOMONTH(A546,-1),Employment!A:P,16,FALSE),4)</f>
        <v>1.7593000000000001</v>
      </c>
      <c r="U546" s="18">
        <f t="shared" si="219"/>
        <v>1.7565999999999999</v>
      </c>
      <c r="V546" s="29">
        <f t="shared" si="220"/>
        <v>9.7900000000000001E-2</v>
      </c>
      <c r="W546" s="29">
        <f t="shared" si="221"/>
        <v>-2.7000000000000001E-3</v>
      </c>
      <c r="X546" s="30">
        <f t="shared" si="222"/>
        <v>54.42</v>
      </c>
      <c r="Y546" s="31">
        <f t="shared" si="223"/>
        <v>62.27</v>
      </c>
    </row>
    <row r="547" spans="1:25" ht="15" customHeight="1" x14ac:dyDescent="0.25">
      <c r="A547" s="5">
        <v>39516</v>
      </c>
      <c r="B547">
        <v>1454.7052000000001</v>
      </c>
      <c r="C547" s="29">
        <f t="shared" si="227"/>
        <v>5.7999999999999996E-3</v>
      </c>
      <c r="D547">
        <v>0.67</v>
      </c>
      <c r="E547">
        <v>0.85099999999999998</v>
      </c>
      <c r="F547" s="18">
        <f t="shared" si="214"/>
        <v>-1.6359999999999992</v>
      </c>
      <c r="G547" s="18">
        <f t="shared" si="215"/>
        <v>-3.5359999999999996</v>
      </c>
      <c r="H547">
        <v>7.92</v>
      </c>
      <c r="I547">
        <v>3.39</v>
      </c>
      <c r="J547">
        <f t="shared" si="224"/>
        <v>5.66</v>
      </c>
      <c r="K547" s="6">
        <f t="shared" si="225"/>
        <v>5.45</v>
      </c>
      <c r="L547" s="6">
        <f t="shared" si="226"/>
        <v>0.15000000000000036</v>
      </c>
      <c r="M547">
        <v>-10.303079763362</v>
      </c>
      <c r="N547">
        <v>345500</v>
      </c>
      <c r="O547" s="18">
        <f>ROUND(N547/VLOOKUP(EOMONTH(A547,-1),Employment!A:P,16,FALSE),4)</f>
        <v>1.484</v>
      </c>
      <c r="P547" s="18">
        <f t="shared" si="216"/>
        <v>1.4923</v>
      </c>
      <c r="Q547" s="29">
        <f t="shared" si="217"/>
        <v>6.8099999999999994E-2</v>
      </c>
      <c r="R547" s="29">
        <f t="shared" si="218"/>
        <v>-2.8E-3</v>
      </c>
      <c r="S547">
        <v>2884000</v>
      </c>
      <c r="T547" s="18">
        <f>ROUND((S547/7)/VLOOKUP(EOMONTH(A547,-1),Employment!A:P,16,FALSE),4)</f>
        <v>1.7697000000000001</v>
      </c>
      <c r="U547" s="18">
        <f t="shared" si="219"/>
        <v>1.7527999999999999</v>
      </c>
      <c r="V547" s="29">
        <f t="shared" si="220"/>
        <v>0.10290000000000001</v>
      </c>
      <c r="W547" s="29">
        <f t="shared" si="221"/>
        <v>5.0000000000000001E-4</v>
      </c>
      <c r="X547" s="30">
        <f t="shared" si="222"/>
        <v>67.77</v>
      </c>
      <c r="Y547" s="31">
        <f t="shared" si="223"/>
        <v>69.38</v>
      </c>
    </row>
    <row r="548" spans="1:25" ht="15" customHeight="1" x14ac:dyDescent="0.25">
      <c r="A548" s="5">
        <v>39509</v>
      </c>
      <c r="B548">
        <v>1450.7384</v>
      </c>
      <c r="C548" s="29">
        <f t="shared" si="227"/>
        <v>4.7999999999999996E-3</v>
      </c>
      <c r="D548">
        <v>0.57999999999999996</v>
      </c>
      <c r="E548">
        <v>0.75900000000000001</v>
      </c>
      <c r="F548" s="18">
        <f t="shared" si="214"/>
        <v>-1.5879999999999992</v>
      </c>
      <c r="G548" s="18">
        <f t="shared" si="215"/>
        <v>-2.4039999999999999</v>
      </c>
      <c r="H548">
        <v>7.67</v>
      </c>
      <c r="I548">
        <v>3.22</v>
      </c>
      <c r="J548">
        <f t="shared" si="224"/>
        <v>5.45</v>
      </c>
      <c r="K548" s="6">
        <f t="shared" si="225"/>
        <v>5.3</v>
      </c>
      <c r="L548" s="6">
        <f t="shared" si="226"/>
        <v>8.9999999999999858E-2</v>
      </c>
      <c r="M548">
        <v>-10.404248606942</v>
      </c>
      <c r="N548">
        <v>346750</v>
      </c>
      <c r="O548" s="18">
        <f>ROUND(N548/VLOOKUP(EOMONTH(A548,-1),Employment!A:P,16,FALSE),4)</f>
        <v>1.4894000000000001</v>
      </c>
      <c r="P548" s="18">
        <f t="shared" si="216"/>
        <v>1.4923999999999999</v>
      </c>
      <c r="Q548" s="29">
        <f t="shared" si="217"/>
        <v>7.0699999999999999E-2</v>
      </c>
      <c r="R548" s="29">
        <f t="shared" si="218"/>
        <v>-1.0699999999999999E-2</v>
      </c>
      <c r="S548">
        <v>2837000</v>
      </c>
      <c r="T548" s="18">
        <f>ROUND((S548/7)/VLOOKUP(EOMONTH(A548,-1),Employment!A:P,16,FALSE),4)</f>
        <v>1.7408999999999999</v>
      </c>
      <c r="U548" s="18">
        <f t="shared" si="219"/>
        <v>1.7381</v>
      </c>
      <c r="V548" s="29">
        <f t="shared" si="220"/>
        <v>8.9599999999999999E-2</v>
      </c>
      <c r="W548" s="29">
        <f t="shared" si="221"/>
        <v>-3.7000000000000002E-3</v>
      </c>
      <c r="X548" s="30">
        <f t="shared" si="222"/>
        <v>68.13</v>
      </c>
      <c r="Y548" s="31">
        <f t="shared" si="223"/>
        <v>73.12</v>
      </c>
    </row>
    <row r="549" spans="1:25" ht="15" customHeight="1" x14ac:dyDescent="0.25">
      <c r="A549" s="5">
        <v>39502</v>
      </c>
      <c r="B549">
        <v>1446.0192999999999</v>
      </c>
      <c r="C549" s="29">
        <f t="shared" si="227"/>
        <v>2.3E-3</v>
      </c>
      <c r="D549">
        <v>0.49</v>
      </c>
      <c r="E549">
        <v>0.67300000000000004</v>
      </c>
      <c r="F549" s="18">
        <f t="shared" si="214"/>
        <v>-0.31200000000000117</v>
      </c>
      <c r="G549" s="18">
        <f t="shared" si="215"/>
        <v>0.75200000000000067</v>
      </c>
      <c r="H549">
        <v>7.35</v>
      </c>
      <c r="I549">
        <v>3.12</v>
      </c>
      <c r="J549">
        <f t="shared" si="224"/>
        <v>5.24</v>
      </c>
      <c r="K549" s="6">
        <f t="shared" si="225"/>
        <v>5.21</v>
      </c>
      <c r="L549" s="6">
        <f t="shared" si="226"/>
        <v>8.9999999999999858E-2</v>
      </c>
      <c r="M549">
        <v>-10.935462762276</v>
      </c>
      <c r="N549">
        <v>349750</v>
      </c>
      <c r="O549" s="18">
        <f>ROUND(N549/VLOOKUP(EOMONTH(A549,-1),Employment!A:P,16,FALSE),4)</f>
        <v>1.5036</v>
      </c>
      <c r="P549" s="18">
        <f t="shared" si="216"/>
        <v>1.4827999999999999</v>
      </c>
      <c r="Q549" s="29">
        <f t="shared" si="217"/>
        <v>7.5200000000000003E-2</v>
      </c>
      <c r="R549" s="29">
        <f t="shared" si="218"/>
        <v>-1.2999999999999999E-2</v>
      </c>
      <c r="S549">
        <v>2846000</v>
      </c>
      <c r="T549" s="18">
        <f>ROUND((S549/7)/VLOOKUP(EOMONTH(A549,-1),Employment!A:P,16,FALSE),4)</f>
        <v>1.7478</v>
      </c>
      <c r="U549" s="18">
        <f t="shared" si="219"/>
        <v>1.7402</v>
      </c>
      <c r="V549" s="29">
        <f t="shared" si="220"/>
        <v>0.10589999999999999</v>
      </c>
      <c r="W549" s="29">
        <f t="shared" si="221"/>
        <v>-2.8999999999999998E-3</v>
      </c>
      <c r="X549" s="30">
        <f t="shared" si="222"/>
        <v>76.540000000000006</v>
      </c>
      <c r="Y549" s="31">
        <f t="shared" si="223"/>
        <v>80.08</v>
      </c>
    </row>
    <row r="550" spans="1:25" ht="15" customHeight="1" x14ac:dyDescent="0.25">
      <c r="A550" s="5">
        <v>39495</v>
      </c>
      <c r="B550">
        <v>1441.942</v>
      </c>
      <c r="C550" s="29">
        <f t="shared" si="227"/>
        <v>2.0000000000000001E-4</v>
      </c>
      <c r="D550">
        <v>0.43</v>
      </c>
      <c r="E550">
        <v>0.70899999999999996</v>
      </c>
      <c r="F550" s="18">
        <f t="shared" si="214"/>
        <v>-0.50399999999999956</v>
      </c>
      <c r="G550" s="18">
        <f t="shared" si="215"/>
        <v>-1.468</v>
      </c>
      <c r="H550">
        <v>7.3</v>
      </c>
      <c r="I550">
        <v>3.14</v>
      </c>
      <c r="J550">
        <f t="shared" si="224"/>
        <v>5.22</v>
      </c>
      <c r="K550" s="6">
        <f t="shared" si="225"/>
        <v>5.12</v>
      </c>
      <c r="L550" s="6">
        <f t="shared" si="226"/>
        <v>8.0000000000000071E-2</v>
      </c>
      <c r="M550">
        <v>-10.005178276748</v>
      </c>
      <c r="N550">
        <v>345250</v>
      </c>
      <c r="O550" s="18">
        <f>ROUND(N550/VLOOKUP(EOMONTH(A550,-1),Employment!A:P,16,FALSE),4)</f>
        <v>1.4842</v>
      </c>
      <c r="P550" s="18">
        <f t="shared" si="216"/>
        <v>1.4670000000000001</v>
      </c>
      <c r="Q550" s="29">
        <f t="shared" si="217"/>
        <v>6.6000000000000003E-2</v>
      </c>
      <c r="R550" s="29">
        <f t="shared" si="218"/>
        <v>-4.5999999999999999E-3</v>
      </c>
      <c r="S550">
        <v>2810000</v>
      </c>
      <c r="T550" s="18">
        <f>ROUND((S550/7)/VLOOKUP(EOMONTH(A550,-1),Employment!A:P,16,FALSE),4)</f>
        <v>1.7257</v>
      </c>
      <c r="U550" s="18">
        <f t="shared" si="219"/>
        <v>1.7246999999999999</v>
      </c>
      <c r="V550" s="29">
        <f t="shared" si="220"/>
        <v>9.2399999999999996E-2</v>
      </c>
      <c r="W550" s="29">
        <f t="shared" si="221"/>
        <v>4.1000000000000003E-3</v>
      </c>
      <c r="X550" s="30">
        <f t="shared" si="222"/>
        <v>77.06</v>
      </c>
      <c r="Y550" s="31">
        <f t="shared" si="223"/>
        <v>88.34</v>
      </c>
    </row>
    <row r="551" spans="1:25" ht="15" customHeight="1" x14ac:dyDescent="0.25">
      <c r="A551" s="5">
        <v>39488</v>
      </c>
      <c r="B551">
        <v>1446.2850000000001</v>
      </c>
      <c r="C551" s="29">
        <f t="shared" si="227"/>
        <v>5.3E-3</v>
      </c>
      <c r="D551">
        <v>0.39</v>
      </c>
      <c r="E551">
        <v>0.69599999999999995</v>
      </c>
      <c r="F551" s="18">
        <f t="shared" si="214"/>
        <v>1.5680000000000014</v>
      </c>
      <c r="G551" s="18">
        <f t="shared" si="215"/>
        <v>1.2240000000000002</v>
      </c>
      <c r="H551">
        <v>7.25</v>
      </c>
      <c r="I551">
        <v>3.09</v>
      </c>
      <c r="J551">
        <f t="shared" si="224"/>
        <v>5.17</v>
      </c>
      <c r="K551" s="6">
        <f t="shared" si="225"/>
        <v>5.04</v>
      </c>
      <c r="L551" s="6">
        <f t="shared" si="226"/>
        <v>7.0000000000000284E-2</v>
      </c>
      <c r="M551">
        <v>-8.863660064626</v>
      </c>
      <c r="N551">
        <v>339750</v>
      </c>
      <c r="O551" s="18">
        <f>ROUND(N551/VLOOKUP(EOMONTH(A551,-1),Employment!A:P,16,FALSE),4)</f>
        <v>1.4605999999999999</v>
      </c>
      <c r="P551" s="18">
        <f t="shared" si="216"/>
        <v>1.4544999999999999</v>
      </c>
      <c r="Q551" s="29">
        <f t="shared" si="217"/>
        <v>5.2999999999999999E-2</v>
      </c>
      <c r="R551" s="29">
        <f t="shared" si="218"/>
        <v>5.0000000000000001E-3</v>
      </c>
      <c r="S551">
        <v>2845000</v>
      </c>
      <c r="T551" s="18">
        <f>ROUND((S551/7)/VLOOKUP(EOMONTH(A551,-1),Employment!A:P,16,FALSE),4)</f>
        <v>1.7472000000000001</v>
      </c>
      <c r="U551" s="18">
        <f t="shared" si="219"/>
        <v>1.7115</v>
      </c>
      <c r="V551" s="29">
        <f t="shared" si="220"/>
        <v>9.2999999999999999E-2</v>
      </c>
      <c r="W551" s="29">
        <f t="shared" si="221"/>
        <v>6.7000000000000002E-3</v>
      </c>
      <c r="X551" s="30">
        <f t="shared" si="222"/>
        <v>96.47</v>
      </c>
      <c r="Y551" s="31">
        <f t="shared" si="223"/>
        <v>98.44</v>
      </c>
    </row>
    <row r="552" spans="1:25" ht="15" customHeight="1" x14ac:dyDescent="0.25">
      <c r="A552" s="5">
        <v>39481</v>
      </c>
      <c r="B552">
        <v>1440.8486</v>
      </c>
      <c r="C552" s="29">
        <f t="shared" si="227"/>
        <v>4.4999999999999997E-3</v>
      </c>
      <c r="D552">
        <v>0.39</v>
      </c>
      <c r="E552">
        <v>0.89200000000000002</v>
      </c>
      <c r="F552" s="18">
        <f t="shared" si="214"/>
        <v>-2.5320000000000018</v>
      </c>
      <c r="G552" s="18">
        <f t="shared" si="215"/>
        <v>0.94799999999999862</v>
      </c>
      <c r="H552">
        <v>6.96</v>
      </c>
      <c r="I552">
        <v>2.98</v>
      </c>
      <c r="J552">
        <f t="shared" si="224"/>
        <v>4.97</v>
      </c>
      <c r="K552" s="6">
        <f t="shared" si="225"/>
        <v>4.97</v>
      </c>
      <c r="L552" s="6">
        <f t="shared" si="226"/>
        <v>8.0000000000000071E-2</v>
      </c>
      <c r="M552">
        <v>-8.1977241505574003</v>
      </c>
      <c r="N552">
        <v>338750</v>
      </c>
      <c r="O552" s="18">
        <f>ROUND(N552/VLOOKUP(EOMONTH(A552,-1),Employment!A:P,16,FALSE),4)</f>
        <v>1.4562999999999999</v>
      </c>
      <c r="P552" s="18">
        <f t="shared" si="216"/>
        <v>1.4619</v>
      </c>
      <c r="Q552" s="29">
        <f t="shared" si="217"/>
        <v>4.6300000000000001E-2</v>
      </c>
      <c r="R552" s="29">
        <f t="shared" si="218"/>
        <v>8.6999999999999994E-3</v>
      </c>
      <c r="S552">
        <v>2770000</v>
      </c>
      <c r="T552" s="18">
        <f>ROUND((S552/7)/VLOOKUP(EOMONTH(A552,-1),Employment!A:P,16,FALSE),4)</f>
        <v>1.7011000000000001</v>
      </c>
      <c r="U552" s="18">
        <f t="shared" si="219"/>
        <v>1.7067000000000001</v>
      </c>
      <c r="V552" s="29">
        <f t="shared" si="220"/>
        <v>8.9399999999999993E-2</v>
      </c>
      <c r="W552" s="29">
        <f t="shared" si="221"/>
        <v>-2.0000000000000001E-4</v>
      </c>
      <c r="X552" s="30">
        <f t="shared" si="222"/>
        <v>96.22</v>
      </c>
      <c r="Y552" s="31">
        <f t="shared" si="223"/>
        <v>102.14</v>
      </c>
    </row>
    <row r="553" spans="1:25" ht="15" customHeight="1" x14ac:dyDescent="0.25">
      <c r="A553" s="5">
        <v>39474</v>
      </c>
      <c r="B553">
        <v>1441.5654</v>
      </c>
      <c r="C553" s="29">
        <f t="shared" si="227"/>
        <v>1.0200000000000001E-2</v>
      </c>
      <c r="D553">
        <v>0.4</v>
      </c>
      <c r="E553">
        <v>0.56299999999999994</v>
      </c>
      <c r="F553" s="18">
        <f t="shared" si="214"/>
        <v>2.1880000000000006</v>
      </c>
      <c r="G553" s="18">
        <f t="shared" si="215"/>
        <v>5.3920000000000012</v>
      </c>
      <c r="H553">
        <v>6.99</v>
      </c>
      <c r="I553">
        <v>2.95</v>
      </c>
      <c r="J553">
        <f t="shared" si="224"/>
        <v>4.97</v>
      </c>
      <c r="K553" s="6">
        <f t="shared" si="225"/>
        <v>4.8899999999999997</v>
      </c>
      <c r="L553" s="6">
        <f t="shared" si="226"/>
        <v>0.16999999999999993</v>
      </c>
      <c r="M553">
        <v>-7.2278124263708001</v>
      </c>
      <c r="N553">
        <v>337250</v>
      </c>
      <c r="O553" s="18">
        <f>ROUND(N553/VLOOKUP(EOMONTH(A553,-1),Employment!A:P,16,FALSE),4)</f>
        <v>1.4464999999999999</v>
      </c>
      <c r="P553" s="18">
        <f t="shared" si="216"/>
        <v>1.4807999999999999</v>
      </c>
      <c r="Q553" s="29">
        <f t="shared" si="217"/>
        <v>4.7399999999999998E-2</v>
      </c>
      <c r="R553" s="29">
        <f t="shared" si="218"/>
        <v>2.9999999999999997E-4</v>
      </c>
      <c r="S553">
        <v>2752000</v>
      </c>
      <c r="T553" s="18">
        <f>ROUND((S553/7)/VLOOKUP(EOMONTH(A553,-1),Employment!A:P,16,FALSE),4)</f>
        <v>1.6861999999999999</v>
      </c>
      <c r="U553" s="18">
        <f t="shared" si="219"/>
        <v>1.7033</v>
      </c>
      <c r="V553" s="29">
        <f t="shared" si="220"/>
        <v>0.1004</v>
      </c>
      <c r="W553" s="29">
        <f t="shared" si="221"/>
        <v>-1.61E-2</v>
      </c>
      <c r="X553" s="30">
        <f t="shared" si="222"/>
        <v>108.93</v>
      </c>
      <c r="Y553" s="31">
        <f t="shared" si="223"/>
        <v>103.15</v>
      </c>
    </row>
    <row r="554" spans="1:25" ht="15" customHeight="1" x14ac:dyDescent="0.25">
      <c r="A554" s="5">
        <v>39467</v>
      </c>
      <c r="B554">
        <v>1437.8542</v>
      </c>
      <c r="C554" s="29">
        <f t="shared" si="227"/>
        <v>1.2699999999999999E-2</v>
      </c>
      <c r="D554">
        <v>0.45</v>
      </c>
      <c r="E554">
        <v>0.77400000000000002</v>
      </c>
      <c r="F554" s="18">
        <f t="shared" si="214"/>
        <v>1.2919999999999998</v>
      </c>
      <c r="G554" s="18">
        <f t="shared" si="215"/>
        <v>5.6760000000000019</v>
      </c>
      <c r="H554">
        <v>7.04</v>
      </c>
      <c r="I554">
        <v>2.87</v>
      </c>
      <c r="J554">
        <f t="shared" si="224"/>
        <v>4.96</v>
      </c>
      <c r="K554" s="6">
        <f t="shared" si="225"/>
        <v>4.72</v>
      </c>
      <c r="L554" s="6">
        <f t="shared" si="226"/>
        <v>0.27999999999999936</v>
      </c>
      <c r="M554">
        <v>-7.4634310607348002</v>
      </c>
      <c r="N554">
        <v>345750</v>
      </c>
      <c r="O554" s="18">
        <f>ROUND(N554/VLOOKUP(EOMONTH(A554,-1),Employment!A:P,16,FALSE),4)</f>
        <v>1.4829000000000001</v>
      </c>
      <c r="P554" s="18">
        <f t="shared" si="216"/>
        <v>1.4979</v>
      </c>
      <c r="Q554" s="29">
        <f t="shared" si="217"/>
        <v>6.1899999999999997E-2</v>
      </c>
      <c r="R554" s="29">
        <f t="shared" si="218"/>
        <v>-1.1900000000000001E-2</v>
      </c>
      <c r="S554">
        <v>2828000</v>
      </c>
      <c r="T554" s="18">
        <f>ROUND((S554/7)/VLOOKUP(EOMONTH(A554,-1),Employment!A:P,16,FALSE),4)</f>
        <v>1.7326999999999999</v>
      </c>
      <c r="U554" s="18">
        <f t="shared" si="219"/>
        <v>1.7033</v>
      </c>
      <c r="V554" s="29">
        <f t="shared" si="220"/>
        <v>0.109</v>
      </c>
      <c r="W554" s="29">
        <f t="shared" si="221"/>
        <v>-2.5899999999999999E-2</v>
      </c>
      <c r="X554" s="30">
        <f t="shared" si="222"/>
        <v>99.98</v>
      </c>
      <c r="Y554" s="31">
        <f t="shared" si="223"/>
        <v>96.7</v>
      </c>
    </row>
    <row r="555" spans="1:25" ht="15" customHeight="1" x14ac:dyDescent="0.25">
      <c r="A555" s="5">
        <v>39460</v>
      </c>
      <c r="B555">
        <v>1434.4653000000001</v>
      </c>
      <c r="C555" s="29">
        <f t="shared" si="227"/>
        <v>1.43E-2</v>
      </c>
      <c r="D555">
        <v>0.52</v>
      </c>
      <c r="E555">
        <v>0.84799999999999998</v>
      </c>
      <c r="F555" s="18">
        <f t="shared" si="214"/>
        <v>1.9120000000000008</v>
      </c>
      <c r="G555" s="18">
        <f t="shared" si="215"/>
        <v>5.452</v>
      </c>
      <c r="H555">
        <v>6.68</v>
      </c>
      <c r="I555">
        <v>2.77</v>
      </c>
      <c r="J555">
        <f t="shared" si="224"/>
        <v>4.7300000000000004</v>
      </c>
      <c r="K555" s="6">
        <f t="shared" si="225"/>
        <v>4.4400000000000004</v>
      </c>
      <c r="L555" s="6">
        <f t="shared" si="226"/>
        <v>0.20999999999999996</v>
      </c>
      <c r="M555">
        <v>-7.8369103427417004</v>
      </c>
      <c r="N555">
        <v>352750</v>
      </c>
      <c r="O555" s="18">
        <f>ROUND(N555/VLOOKUP(EOMONTH(A555,-1),Employment!A:P,16,FALSE),4)</f>
        <v>1.5128999999999999</v>
      </c>
      <c r="P555" s="18">
        <f t="shared" si="216"/>
        <v>1.4976</v>
      </c>
      <c r="Q555" s="29">
        <f t="shared" si="217"/>
        <v>6.4399999999999999E-2</v>
      </c>
      <c r="R555" s="29">
        <f t="shared" si="218"/>
        <v>-1.8100000000000002E-2</v>
      </c>
      <c r="S555">
        <v>2760000</v>
      </c>
      <c r="T555" s="18">
        <f>ROUND((S555/7)/VLOOKUP(EOMONTH(A555,-1),Employment!A:P,16,FALSE),4)</f>
        <v>1.6911</v>
      </c>
      <c r="U555" s="18">
        <f t="shared" si="219"/>
        <v>1.6853</v>
      </c>
      <c r="V555" s="29">
        <f t="shared" si="220"/>
        <v>9.7699999999999995E-2</v>
      </c>
      <c r="W555" s="29">
        <f t="shared" si="221"/>
        <v>-2.41E-2</v>
      </c>
      <c r="X555" s="30">
        <f t="shared" si="222"/>
        <v>96.65</v>
      </c>
      <c r="Y555" s="31">
        <f t="shared" si="223"/>
        <v>90.42</v>
      </c>
    </row>
    <row r="556" spans="1:25" ht="15" customHeight="1" x14ac:dyDescent="0.25">
      <c r="A556" s="5">
        <v>39453</v>
      </c>
      <c r="B556">
        <v>1423.8353999999999</v>
      </c>
      <c r="C556" s="29">
        <f t="shared" si="227"/>
        <v>1.01E-2</v>
      </c>
      <c r="D556">
        <v>0.6</v>
      </c>
      <c r="E556">
        <v>0.98699999999999999</v>
      </c>
      <c r="F556" s="18">
        <f t="shared" si="214"/>
        <v>2.4720000000000013</v>
      </c>
      <c r="G556" s="18">
        <f t="shared" si="215"/>
        <v>2.7240000000000002</v>
      </c>
      <c r="H556">
        <v>6.36</v>
      </c>
      <c r="I556">
        <v>2.59</v>
      </c>
      <c r="J556">
        <f t="shared" si="224"/>
        <v>4.4800000000000004</v>
      </c>
      <c r="K556" s="6">
        <f t="shared" si="225"/>
        <v>4.2300000000000004</v>
      </c>
      <c r="L556" s="6">
        <f t="shared" si="226"/>
        <v>0.14000000000000057</v>
      </c>
      <c r="M556">
        <v>-7.1689313531472996</v>
      </c>
      <c r="N556">
        <v>349250</v>
      </c>
      <c r="O556" s="18">
        <f>ROUND(N556/VLOOKUP(EOMONTH(A556,-1),Employment!A:P,16,FALSE),4)</f>
        <v>1.4979</v>
      </c>
      <c r="P556" s="18">
        <f t="shared" si="216"/>
        <v>1.4863</v>
      </c>
      <c r="Q556" s="29">
        <f t="shared" si="217"/>
        <v>5.79E-2</v>
      </c>
      <c r="R556" s="29">
        <f t="shared" si="218"/>
        <v>-1.67E-2</v>
      </c>
      <c r="S556">
        <v>2752000</v>
      </c>
      <c r="T556" s="18">
        <f>ROUND((S556/7)/VLOOKUP(EOMONTH(A556,-1),Employment!A:P,16,FALSE),4)</f>
        <v>1.6861999999999999</v>
      </c>
      <c r="U556" s="18">
        <f t="shared" si="219"/>
        <v>1.6677999999999999</v>
      </c>
      <c r="V556" s="29">
        <f t="shared" si="220"/>
        <v>7.6999999999999999E-2</v>
      </c>
      <c r="W556" s="29">
        <f t="shared" si="221"/>
        <v>-1.7299999999999999E-2</v>
      </c>
      <c r="X556" s="30">
        <f t="shared" si="222"/>
        <v>88.64</v>
      </c>
      <c r="Y556" s="31">
        <f t="shared" si="223"/>
        <v>82.14</v>
      </c>
    </row>
    <row r="557" spans="1:25" ht="15" customHeight="1" x14ac:dyDescent="0.25">
      <c r="A557" s="5">
        <v>39446</v>
      </c>
      <c r="B557">
        <v>1411.8798999999999</v>
      </c>
      <c r="C557" s="29">
        <f t="shared" si="227"/>
        <v>3.5000000000000001E-3</v>
      </c>
      <c r="D557">
        <v>0.66</v>
      </c>
      <c r="E557">
        <v>1.2210000000000001</v>
      </c>
      <c r="F557" s="18">
        <f t="shared" si="214"/>
        <v>1.0679999999999978</v>
      </c>
      <c r="G557" s="18">
        <f t="shared" si="215"/>
        <v>-1.256000000000002</v>
      </c>
      <c r="H557">
        <v>5.73</v>
      </c>
      <c r="I557">
        <v>2.5099999999999998</v>
      </c>
      <c r="J557">
        <f t="shared" si="224"/>
        <v>4.12</v>
      </c>
      <c r="K557" s="6">
        <f t="shared" si="225"/>
        <v>4.09</v>
      </c>
      <c r="L557" s="6">
        <f t="shared" si="226"/>
        <v>0</v>
      </c>
      <c r="M557">
        <v>-5.9557568018218996</v>
      </c>
      <c r="N557">
        <v>345250</v>
      </c>
      <c r="O557" s="18">
        <f>ROUND(N557/VLOOKUP(EOMONTH(A557,-1),Employment!A:P,16,FALSE),4)</f>
        <v>1.4821</v>
      </c>
      <c r="P557" s="18">
        <f t="shared" si="216"/>
        <v>1.4735</v>
      </c>
      <c r="Q557" s="29">
        <f t="shared" si="217"/>
        <v>4.3099999999999999E-2</v>
      </c>
      <c r="R557" s="29">
        <f t="shared" si="218"/>
        <v>-1.01E-2</v>
      </c>
      <c r="S557">
        <v>2737000</v>
      </c>
      <c r="T557" s="18">
        <f>ROUND((S557/7)/VLOOKUP(EOMONTH(A557,-1),Employment!A:P,16,FALSE),4)</f>
        <v>1.6786000000000001</v>
      </c>
      <c r="U557" s="18">
        <f t="shared" si="219"/>
        <v>1.6452</v>
      </c>
      <c r="V557" s="29">
        <f t="shared" si="220"/>
        <v>5.8799999999999998E-2</v>
      </c>
      <c r="W557" s="29">
        <f t="shared" si="221"/>
        <v>-7.3000000000000001E-3</v>
      </c>
      <c r="X557" s="30">
        <f t="shared" si="222"/>
        <v>79.319999999999993</v>
      </c>
      <c r="Y557" s="31">
        <f t="shared" si="223"/>
        <v>76.22</v>
      </c>
    </row>
    <row r="558" spans="1:25" ht="15" customHeight="1" x14ac:dyDescent="0.25">
      <c r="A558" s="5">
        <v>39439</v>
      </c>
      <c r="B558">
        <v>1408.9087999999999</v>
      </c>
      <c r="C558" s="29">
        <f t="shared" si="227"/>
        <v>5.7999999999999996E-3</v>
      </c>
      <c r="D558">
        <v>0.67</v>
      </c>
      <c r="E558">
        <v>1.3420000000000001</v>
      </c>
      <c r="F558" s="18">
        <f t="shared" si="214"/>
        <v>-0.81599999999999895</v>
      </c>
      <c r="G558" s="18">
        <f t="shared" si="215"/>
        <v>-5.6000000000000014</v>
      </c>
      <c r="H558">
        <v>5.68</v>
      </c>
      <c r="I558">
        <v>2.5</v>
      </c>
      <c r="J558">
        <f t="shared" si="224"/>
        <v>4.09</v>
      </c>
      <c r="K558" s="6">
        <f t="shared" si="225"/>
        <v>4.09</v>
      </c>
      <c r="L558" s="6">
        <f t="shared" si="226"/>
        <v>0</v>
      </c>
      <c r="M558">
        <v>-5.4009804311257996</v>
      </c>
      <c r="N558">
        <v>344500</v>
      </c>
      <c r="O558" s="18">
        <f>ROUND(N558/VLOOKUP(EOMONTH(A558,-1),Employment!A:P,16,FALSE),4)</f>
        <v>1.4789000000000001</v>
      </c>
      <c r="P558" s="18">
        <f t="shared" si="216"/>
        <v>1.4663999999999999</v>
      </c>
      <c r="Q558" s="29">
        <f t="shared" si="217"/>
        <v>2.9100000000000001E-2</v>
      </c>
      <c r="R558" s="29">
        <f t="shared" si="218"/>
        <v>-2.5000000000000001E-3</v>
      </c>
      <c r="S558">
        <v>2672000</v>
      </c>
      <c r="T558" s="18">
        <f>ROUND((S558/7)/VLOOKUP(EOMONTH(A558,-1),Employment!A:P,16,FALSE),4)</f>
        <v>1.6387</v>
      </c>
      <c r="U558" s="18">
        <f t="shared" si="219"/>
        <v>1.6242000000000001</v>
      </c>
      <c r="V558" s="29">
        <f t="shared" si="220"/>
        <v>4.4699999999999997E-2</v>
      </c>
      <c r="W558" s="29">
        <f t="shared" si="221"/>
        <v>1.6999999999999999E-3</v>
      </c>
      <c r="X558" s="30">
        <f t="shared" si="222"/>
        <v>72.91</v>
      </c>
      <c r="Y558" s="31">
        <f t="shared" si="223"/>
        <v>75.33</v>
      </c>
    </row>
    <row r="559" spans="1:25" ht="15" customHeight="1" x14ac:dyDescent="0.25">
      <c r="A559" s="5">
        <v>39432</v>
      </c>
      <c r="B559">
        <v>1412.2456</v>
      </c>
      <c r="C559" s="29">
        <f t="shared" si="227"/>
        <v>1.4500000000000001E-2</v>
      </c>
      <c r="D559">
        <v>0.63</v>
      </c>
      <c r="E559">
        <v>1.29</v>
      </c>
      <c r="F559" s="18">
        <f t="shared" si="214"/>
        <v>-1.5080000000000009</v>
      </c>
      <c r="G559" s="18">
        <f t="shared" si="215"/>
        <v>-7.9120000000000008</v>
      </c>
      <c r="H559">
        <v>5.54</v>
      </c>
      <c r="I559">
        <v>2.5499999999999998</v>
      </c>
      <c r="J559">
        <f t="shared" si="224"/>
        <v>4.05</v>
      </c>
      <c r="K559" s="6">
        <f t="shared" si="225"/>
        <v>4.09</v>
      </c>
      <c r="L559" s="6">
        <f t="shared" si="226"/>
        <v>-2.0000000000000462E-2</v>
      </c>
      <c r="M559">
        <v>-4.4709210870374996</v>
      </c>
      <c r="N559">
        <v>340000</v>
      </c>
      <c r="O559" s="18">
        <f>ROUND(N559/VLOOKUP(EOMONTH(A559,-1),Employment!A:P,16,FALSE),4)</f>
        <v>1.4596</v>
      </c>
      <c r="P559" s="18">
        <f t="shared" si="216"/>
        <v>1.4541999999999999</v>
      </c>
      <c r="Q559" s="29">
        <f t="shared" si="217"/>
        <v>2.06E-2</v>
      </c>
      <c r="R559" s="29">
        <f t="shared" si="218"/>
        <v>2.8999999999999998E-3</v>
      </c>
      <c r="S559">
        <v>2639000</v>
      </c>
      <c r="T559" s="18">
        <f>ROUND((S559/7)/VLOOKUP(EOMONTH(A559,-1),Employment!A:P,16,FALSE),4)</f>
        <v>1.6184000000000001</v>
      </c>
      <c r="U559" s="18">
        <f t="shared" si="219"/>
        <v>1.6113</v>
      </c>
      <c r="V559" s="29">
        <f t="shared" si="220"/>
        <v>3.7900000000000003E-2</v>
      </c>
      <c r="W559" s="29">
        <f t="shared" si="221"/>
        <v>9.1999999999999998E-3</v>
      </c>
      <c r="X559" s="30">
        <f t="shared" si="222"/>
        <v>76.77</v>
      </c>
      <c r="Y559" s="31">
        <f t="shared" si="223"/>
        <v>77.760000000000005</v>
      </c>
    </row>
    <row r="560" spans="1:25" ht="15" customHeight="1" x14ac:dyDescent="0.25">
      <c r="A560" s="5">
        <v>39425</v>
      </c>
      <c r="B560">
        <v>1405.1108999999999</v>
      </c>
      <c r="C560" s="29">
        <f t="shared" si="227"/>
        <v>1.4500000000000001E-2</v>
      </c>
      <c r="D560">
        <v>0.54</v>
      </c>
      <c r="E560">
        <v>1.214</v>
      </c>
      <c r="F560" s="18">
        <f t="shared" si="214"/>
        <v>-3.2760000000000016</v>
      </c>
      <c r="G560" s="18">
        <f t="shared" si="215"/>
        <v>-8.6999999999999993</v>
      </c>
      <c r="H560">
        <v>5.63</v>
      </c>
      <c r="I560">
        <v>2.61</v>
      </c>
      <c r="J560">
        <f t="shared" si="224"/>
        <v>4.12</v>
      </c>
      <c r="K560" s="6">
        <f t="shared" si="225"/>
        <v>4.1100000000000003</v>
      </c>
      <c r="L560" s="6">
        <f t="shared" si="226"/>
        <v>0.10000000000000053</v>
      </c>
      <c r="M560">
        <v>-3.7670026307294</v>
      </c>
      <c r="N560">
        <v>340250</v>
      </c>
      <c r="O560" s="18">
        <f>ROUND(N560/VLOOKUP(EOMONTH(A560,-1),Employment!A:P,16,FALSE),4)</f>
        <v>1.4607000000000001</v>
      </c>
      <c r="P560" s="18">
        <f t="shared" si="216"/>
        <v>1.4403999999999999</v>
      </c>
      <c r="Q560" s="29">
        <f t="shared" si="217"/>
        <v>1.8100000000000002E-2</v>
      </c>
      <c r="R560" s="29">
        <f t="shared" si="218"/>
        <v>5.7999999999999996E-3</v>
      </c>
      <c r="S560">
        <v>2634000</v>
      </c>
      <c r="T560" s="18">
        <f>ROUND((S560/7)/VLOOKUP(EOMONTH(A560,-1),Employment!A:P,16,FALSE),4)</f>
        <v>1.6153999999999999</v>
      </c>
      <c r="U560" s="18">
        <f t="shared" si="219"/>
        <v>1.6052999999999999</v>
      </c>
      <c r="V560" s="29">
        <f t="shared" si="220"/>
        <v>3.44E-2</v>
      </c>
      <c r="W560" s="29">
        <f t="shared" si="221"/>
        <v>5.1999999999999998E-3</v>
      </c>
      <c r="X560" s="30">
        <f t="shared" si="222"/>
        <v>77.77</v>
      </c>
      <c r="Y560" s="31">
        <f t="shared" si="223"/>
        <v>79.67</v>
      </c>
    </row>
    <row r="561" spans="1:25" ht="15" customHeight="1" x14ac:dyDescent="0.25">
      <c r="A561" s="5">
        <v>39418</v>
      </c>
      <c r="B561">
        <v>1401.4811</v>
      </c>
      <c r="C561" s="29">
        <f t="shared" si="227"/>
        <v>1.72E-2</v>
      </c>
      <c r="D561">
        <v>0.43</v>
      </c>
      <c r="E561">
        <v>0.94199999999999995</v>
      </c>
      <c r="F561" s="18">
        <f t="shared" si="214"/>
        <v>-3.1279999999999983</v>
      </c>
      <c r="G561" s="18">
        <f t="shared" si="215"/>
        <v>-8.9639999999999986</v>
      </c>
      <c r="H561">
        <v>5.75</v>
      </c>
      <c r="I561">
        <v>2.4700000000000002</v>
      </c>
      <c r="J561">
        <f t="shared" si="224"/>
        <v>4.1100000000000003</v>
      </c>
      <c r="K561" s="6">
        <f t="shared" si="225"/>
        <v>4.01</v>
      </c>
      <c r="L561" s="6">
        <f t="shared" si="226"/>
        <v>0.16999999999999993</v>
      </c>
      <c r="M561">
        <v>-3.1086560336055999</v>
      </c>
      <c r="N561">
        <v>336000</v>
      </c>
      <c r="O561" s="18">
        <f>ROUND(N561/VLOOKUP(EOMONTH(A561,-1),Employment!A:P,16,FALSE),4)</f>
        <v>1.4423999999999999</v>
      </c>
      <c r="P561" s="18">
        <f t="shared" si="216"/>
        <v>1.4269000000000001</v>
      </c>
      <c r="Q561" s="29">
        <f t="shared" si="217"/>
        <v>1.9099999999999999E-2</v>
      </c>
      <c r="R561" s="29">
        <f t="shared" si="218"/>
        <v>3.0999999999999999E-3</v>
      </c>
      <c r="S561">
        <v>2609000</v>
      </c>
      <c r="T561" s="18">
        <f>ROUND((S561/7)/VLOOKUP(EOMONTH(A561,-1),Employment!A:P,16,FALSE),4)</f>
        <v>1.6001000000000001</v>
      </c>
      <c r="U561" s="18">
        <f t="shared" si="219"/>
        <v>1.6023000000000001</v>
      </c>
      <c r="V561" s="29">
        <f t="shared" si="220"/>
        <v>4.65E-2</v>
      </c>
      <c r="W561" s="29">
        <f t="shared" si="221"/>
        <v>-4.3E-3</v>
      </c>
      <c r="X561" s="30">
        <f t="shared" si="222"/>
        <v>80.22</v>
      </c>
      <c r="Y561" s="31">
        <f t="shared" si="223"/>
        <v>82.09</v>
      </c>
    </row>
    <row r="562" spans="1:25" ht="15" customHeight="1" x14ac:dyDescent="0.25">
      <c r="A562" s="5">
        <v>39411</v>
      </c>
      <c r="B562">
        <v>1384.3701000000001</v>
      </c>
      <c r="C562" s="29">
        <f t="shared" si="227"/>
        <v>5.8999999999999999E-3</v>
      </c>
      <c r="D562">
        <v>0.28999999999999998</v>
      </c>
      <c r="E562">
        <v>0.72599999999999998</v>
      </c>
      <c r="F562" s="18">
        <f t="shared" si="214"/>
        <v>-2.2960000000000003</v>
      </c>
      <c r="G562" s="18">
        <f t="shared" si="215"/>
        <v>-5.8360000000000003</v>
      </c>
      <c r="H562">
        <v>5.8</v>
      </c>
      <c r="I562">
        <v>2.37</v>
      </c>
      <c r="J562">
        <f t="shared" si="224"/>
        <v>4.09</v>
      </c>
      <c r="K562" s="6">
        <f t="shared" si="225"/>
        <v>3.84</v>
      </c>
      <c r="L562" s="6">
        <f t="shared" si="226"/>
        <v>0.25</v>
      </c>
      <c r="M562">
        <v>-1.9974257114222</v>
      </c>
      <c r="N562">
        <v>330000</v>
      </c>
      <c r="O562" s="18">
        <f>ROUND(N562/VLOOKUP(EOMONTH(A562,-1),Employment!A:P,16,FALSE),4)</f>
        <v>1.4179999999999999</v>
      </c>
      <c r="P562" s="18">
        <f t="shared" si="216"/>
        <v>1.4201999999999999</v>
      </c>
      <c r="Q562" s="29">
        <f t="shared" si="217"/>
        <v>2.47E-2</v>
      </c>
      <c r="R562" s="29">
        <f t="shared" si="218"/>
        <v>-5.0000000000000001E-3</v>
      </c>
      <c r="S562">
        <v>2607000</v>
      </c>
      <c r="T562" s="18">
        <f>ROUND((S562/7)/VLOOKUP(EOMONTH(A562,-1),Employment!A:P,16,FALSE),4)</f>
        <v>1.6004</v>
      </c>
      <c r="U562" s="18">
        <f t="shared" si="219"/>
        <v>1.5983000000000001</v>
      </c>
      <c r="V562" s="29">
        <f t="shared" si="220"/>
        <v>5.1700000000000003E-2</v>
      </c>
      <c r="W562" s="29">
        <f t="shared" si="221"/>
        <v>-1.47E-2</v>
      </c>
      <c r="X562" s="30">
        <f t="shared" si="222"/>
        <v>83.05</v>
      </c>
      <c r="Y562" s="31">
        <f t="shared" si="223"/>
        <v>85.94</v>
      </c>
    </row>
    <row r="563" spans="1:25" ht="15" customHeight="1" x14ac:dyDescent="0.25">
      <c r="A563" s="5">
        <v>39404</v>
      </c>
      <c r="B563">
        <v>1377.4925000000001</v>
      </c>
      <c r="C563" s="29">
        <f t="shared" si="227"/>
        <v>1.1999999999999999E-3</v>
      </c>
      <c r="D563">
        <v>0.17</v>
      </c>
      <c r="E563">
        <v>0.58899999999999997</v>
      </c>
      <c r="F563" s="18">
        <f t="shared" si="214"/>
        <v>-3.54</v>
      </c>
      <c r="G563" s="18">
        <f t="shared" si="215"/>
        <v>-3.7880000000000003</v>
      </c>
      <c r="H563">
        <v>5.37</v>
      </c>
      <c r="I563">
        <v>2.2599999999999998</v>
      </c>
      <c r="J563">
        <f t="shared" si="224"/>
        <v>3.82</v>
      </c>
      <c r="K563" s="6">
        <f t="shared" si="225"/>
        <v>3.59</v>
      </c>
      <c r="L563" s="6">
        <f t="shared" si="226"/>
        <v>0.20999999999999996</v>
      </c>
      <c r="M563">
        <v>-1.4585450940602001</v>
      </c>
      <c r="N563">
        <v>330500</v>
      </c>
      <c r="O563" s="18">
        <f>ROUND(N563/VLOOKUP(EOMONTH(A563,-1),Employment!A:P,16,FALSE),4)</f>
        <v>1.4201999999999999</v>
      </c>
      <c r="P563" s="18">
        <f t="shared" si="216"/>
        <v>1.4177</v>
      </c>
      <c r="Q563" s="29">
        <f t="shared" si="217"/>
        <v>2.8799999999999999E-2</v>
      </c>
      <c r="R563" s="29">
        <f t="shared" si="218"/>
        <v>-1.6400000000000001E-2</v>
      </c>
      <c r="S563">
        <v>2617000</v>
      </c>
      <c r="T563" s="18">
        <f>ROUND((S563/7)/VLOOKUP(EOMONTH(A563,-1),Employment!A:P,16,FALSE),4)</f>
        <v>1.6065</v>
      </c>
      <c r="U563" s="18">
        <f t="shared" si="219"/>
        <v>1.5965</v>
      </c>
      <c r="V563" s="29">
        <f t="shared" si="220"/>
        <v>5.6099999999999997E-2</v>
      </c>
      <c r="W563" s="29">
        <f t="shared" si="221"/>
        <v>-1.49E-2</v>
      </c>
      <c r="X563" s="30">
        <f t="shared" si="222"/>
        <v>84.38</v>
      </c>
      <c r="Y563" s="31">
        <f t="shared" si="223"/>
        <v>93.6</v>
      </c>
    </row>
    <row r="564" spans="1:25" ht="15" customHeight="1" x14ac:dyDescent="0.25">
      <c r="A564" s="5">
        <v>39397</v>
      </c>
      <c r="B564">
        <v>1376.5169000000001</v>
      </c>
      <c r="C564" s="29">
        <f t="shared" si="227"/>
        <v>2.8999999999999998E-3</v>
      </c>
      <c r="D564">
        <v>0.06</v>
      </c>
      <c r="E564">
        <v>0.28399999999999997</v>
      </c>
      <c r="F564" s="18">
        <f t="shared" si="214"/>
        <v>0</v>
      </c>
      <c r="G564" s="18">
        <f t="shared" si="215"/>
        <v>-0.43199999999999994</v>
      </c>
      <c r="H564">
        <v>5.0199999999999996</v>
      </c>
      <c r="I564">
        <v>2.1800000000000002</v>
      </c>
      <c r="J564">
        <f t="shared" si="224"/>
        <v>3.6</v>
      </c>
      <c r="K564" s="6">
        <f t="shared" si="225"/>
        <v>3.38</v>
      </c>
      <c r="L564" s="6">
        <f t="shared" si="226"/>
        <v>0.13999999999999968</v>
      </c>
      <c r="M564">
        <v>-1.1105712686872</v>
      </c>
      <c r="N564">
        <v>331000</v>
      </c>
      <c r="O564" s="18">
        <f>ROUND(N564/VLOOKUP(EOMONTH(A564,-1),Employment!A:P,16,FALSE),4)</f>
        <v>1.4222999999999999</v>
      </c>
      <c r="P564" s="18">
        <f t="shared" si="216"/>
        <v>1.411</v>
      </c>
      <c r="Q564" s="29">
        <f t="shared" si="217"/>
        <v>3.1099999999999999E-2</v>
      </c>
      <c r="R564" s="29">
        <f t="shared" si="218"/>
        <v>-2.3800000000000002E-2</v>
      </c>
      <c r="S564">
        <v>2587000</v>
      </c>
      <c r="T564" s="18">
        <f>ROUND((S564/7)/VLOOKUP(EOMONTH(A564,-1),Employment!A:P,16,FALSE),4)</f>
        <v>1.5881000000000001</v>
      </c>
      <c r="U564" s="18">
        <f t="shared" si="219"/>
        <v>1.5814999999999999</v>
      </c>
      <c r="V564" s="29">
        <f t="shared" si="220"/>
        <v>3.9399999999999998E-2</v>
      </c>
      <c r="W564" s="29">
        <f t="shared" si="221"/>
        <v>-8.6E-3</v>
      </c>
      <c r="X564" s="30">
        <f t="shared" si="222"/>
        <v>97.09</v>
      </c>
      <c r="Y564" s="31">
        <f t="shared" si="223"/>
        <v>106.74</v>
      </c>
    </row>
    <row r="565" spans="1:25" ht="15" customHeight="1" x14ac:dyDescent="0.25">
      <c r="A565" s="5">
        <v>39390</v>
      </c>
      <c r="B565">
        <v>1372.9848</v>
      </c>
      <c r="C565" s="29">
        <f t="shared" si="227"/>
        <v>2.7000000000000001E-3</v>
      </c>
      <c r="D565">
        <v>0</v>
      </c>
      <c r="E565">
        <v>0.35899999999999999</v>
      </c>
      <c r="F565" s="18">
        <f t="shared" si="214"/>
        <v>-0.24800000000000022</v>
      </c>
      <c r="G565" s="18">
        <f t="shared" si="215"/>
        <v>1.62</v>
      </c>
      <c r="H565">
        <v>4.6500000000000004</v>
      </c>
      <c r="I565">
        <v>2.04</v>
      </c>
      <c r="J565">
        <f t="shared" si="224"/>
        <v>3.35</v>
      </c>
      <c r="K565" s="6">
        <f t="shared" si="225"/>
        <v>3.24</v>
      </c>
      <c r="L565" s="6">
        <f t="shared" si="226"/>
        <v>0.17000000000000037</v>
      </c>
      <c r="M565">
        <v>-0.75011293923584998</v>
      </c>
      <c r="N565">
        <v>328250</v>
      </c>
      <c r="O565" s="18">
        <f>ROUND(N565/VLOOKUP(EOMONTH(A565,-1),Employment!A:P,16,FALSE),4)</f>
        <v>1.4105000000000001</v>
      </c>
      <c r="P565" s="18">
        <f t="shared" si="216"/>
        <v>1.3922000000000001</v>
      </c>
      <c r="Q565" s="29">
        <f t="shared" si="217"/>
        <v>2.1299999999999999E-2</v>
      </c>
      <c r="R565" s="29">
        <f t="shared" si="218"/>
        <v>-1.9699999999999999E-2</v>
      </c>
      <c r="S565">
        <v>2598000</v>
      </c>
      <c r="T565" s="18">
        <f>ROUND((S565/7)/VLOOKUP(EOMONTH(A565,-1),Employment!A:P,16,FALSE),4)</f>
        <v>1.5948</v>
      </c>
      <c r="U565" s="18">
        <f t="shared" si="219"/>
        <v>1.5686</v>
      </c>
      <c r="V565" s="29">
        <f t="shared" si="220"/>
        <v>3.0499999999999999E-2</v>
      </c>
      <c r="W565" s="29">
        <f t="shared" si="221"/>
        <v>-1.1000000000000001E-3</v>
      </c>
      <c r="X565" s="30">
        <f t="shared" si="222"/>
        <v>107.93</v>
      </c>
      <c r="Y565" s="31">
        <f t="shared" si="223"/>
        <v>122.6</v>
      </c>
    </row>
    <row r="566" spans="1:25" ht="15" customHeight="1" x14ac:dyDescent="0.25">
      <c r="A566" s="5">
        <v>39383</v>
      </c>
      <c r="B566">
        <v>1377.7647999999999</v>
      </c>
      <c r="C566" s="29">
        <f t="shared" si="227"/>
        <v>1.0999999999999999E-2</v>
      </c>
      <c r="D566">
        <v>-0.02</v>
      </c>
      <c r="E566">
        <v>0.35299999999999998</v>
      </c>
      <c r="F566" s="18">
        <f t="shared" si="214"/>
        <v>-0.18399999999999972</v>
      </c>
      <c r="G566" s="18">
        <f t="shared" si="215"/>
        <v>3.2800000000000002</v>
      </c>
      <c r="H566">
        <v>4.3899999999999997</v>
      </c>
      <c r="I566">
        <v>1.98</v>
      </c>
      <c r="J566">
        <f t="shared" si="224"/>
        <v>3.19</v>
      </c>
      <c r="K566" s="6">
        <f t="shared" si="225"/>
        <v>3.07</v>
      </c>
      <c r="L566" s="6">
        <f t="shared" si="226"/>
        <v>6.999999999999984E-2</v>
      </c>
      <c r="M566">
        <v>-0.46537244873152001</v>
      </c>
      <c r="N566">
        <v>325500</v>
      </c>
      <c r="O566" s="18">
        <f>ROUND(N566/VLOOKUP(EOMONTH(A566,-1),Employment!A:P,16,FALSE),4)</f>
        <v>1.4001999999999999</v>
      </c>
      <c r="P566" s="18">
        <f t="shared" si="216"/>
        <v>1.3694</v>
      </c>
      <c r="Q566" s="29">
        <f t="shared" si="217"/>
        <v>2.7000000000000001E-3</v>
      </c>
      <c r="R566" s="29">
        <f t="shared" si="218"/>
        <v>-7.0000000000000001E-3</v>
      </c>
      <c r="S566">
        <v>2541000</v>
      </c>
      <c r="T566" s="18">
        <f>ROUND((S566/7)/VLOOKUP(EOMONTH(A566,-1),Employment!A:P,16,FALSE),4)</f>
        <v>1.5616000000000001</v>
      </c>
      <c r="U566" s="18">
        <f t="shared" si="219"/>
        <v>1.5528</v>
      </c>
      <c r="V566" s="29">
        <f t="shared" si="220"/>
        <v>1.8499999999999999E-2</v>
      </c>
      <c r="W566" s="29">
        <f t="shared" si="221"/>
        <v>3.2000000000000002E-3</v>
      </c>
      <c r="X566" s="30">
        <f t="shared" si="222"/>
        <v>127.86</v>
      </c>
      <c r="Y566" s="31">
        <f t="shared" si="223"/>
        <v>139.28</v>
      </c>
    </row>
    <row r="567" spans="1:25" ht="15" customHeight="1" x14ac:dyDescent="0.25">
      <c r="A567" s="5">
        <v>39376</v>
      </c>
      <c r="B567">
        <v>1376.3044</v>
      </c>
      <c r="C567" s="29">
        <f t="shared" si="227"/>
        <v>1.5800000000000002E-2</v>
      </c>
      <c r="D567">
        <v>0</v>
      </c>
      <c r="E567">
        <v>0.30499999999999999</v>
      </c>
      <c r="F567" s="18">
        <f t="shared" si="214"/>
        <v>2.052</v>
      </c>
      <c r="G567" s="18">
        <f t="shared" si="215"/>
        <v>5.0920000000000005</v>
      </c>
      <c r="H567">
        <v>4.3600000000000003</v>
      </c>
      <c r="I567">
        <v>1.97</v>
      </c>
      <c r="J567">
        <f t="shared" si="224"/>
        <v>3.17</v>
      </c>
      <c r="K567" s="6">
        <f t="shared" si="225"/>
        <v>3</v>
      </c>
      <c r="L567" s="6">
        <f t="shared" si="226"/>
        <v>2.9999999999999805E-2</v>
      </c>
      <c r="M567">
        <v>-0.29667294280489998</v>
      </c>
      <c r="N567">
        <v>317500</v>
      </c>
      <c r="O567" s="18">
        <f>ROUND(N567/VLOOKUP(EOMONTH(A567,-1),Employment!A:P,16,FALSE),4)</f>
        <v>1.3657999999999999</v>
      </c>
      <c r="P567" s="18">
        <f t="shared" si="216"/>
        <v>1.3517999999999999</v>
      </c>
      <c r="Q567" s="29">
        <f t="shared" si="217"/>
        <v>-1.6199999999999999E-2</v>
      </c>
      <c r="R567" s="29">
        <f t="shared" si="218"/>
        <v>8.0000000000000002E-3</v>
      </c>
      <c r="S567">
        <v>2521000</v>
      </c>
      <c r="T567" s="18">
        <f>ROUND((S567/7)/VLOOKUP(EOMONTH(A567,-1),Employment!A:P,16,FALSE),4)</f>
        <v>1.5492999999999999</v>
      </c>
      <c r="U567" s="18">
        <f t="shared" si="219"/>
        <v>1.5505</v>
      </c>
      <c r="V567" s="29">
        <f t="shared" si="220"/>
        <v>1.9699999999999999E-2</v>
      </c>
      <c r="W567" s="29">
        <f t="shared" si="221"/>
        <v>2.3999999999999998E-3</v>
      </c>
      <c r="X567" s="30">
        <f t="shared" si="222"/>
        <v>146.13999999999999</v>
      </c>
      <c r="Y567" s="31">
        <f t="shared" si="223"/>
        <v>147.11000000000001</v>
      </c>
    </row>
    <row r="568" spans="1:25" ht="15" customHeight="1" x14ac:dyDescent="0.25">
      <c r="A568" s="5">
        <v>39369</v>
      </c>
      <c r="B568">
        <v>1363.1895</v>
      </c>
      <c r="C568" s="29">
        <f t="shared" si="227"/>
        <v>1.21E-2</v>
      </c>
      <c r="D568">
        <v>7.0000000000000007E-2</v>
      </c>
      <c r="E568">
        <v>0.47399999999999998</v>
      </c>
      <c r="F568" s="18">
        <f t="shared" si="214"/>
        <v>1.4119999999999999</v>
      </c>
      <c r="G568" s="18">
        <f t="shared" si="215"/>
        <v>6.444</v>
      </c>
      <c r="H568">
        <v>3.83</v>
      </c>
      <c r="I568">
        <v>1.87</v>
      </c>
      <c r="J568">
        <f t="shared" si="224"/>
        <v>2.85</v>
      </c>
      <c r="K568" s="6">
        <f t="shared" si="225"/>
        <v>2.97</v>
      </c>
      <c r="L568" s="6">
        <f t="shared" si="226"/>
        <v>-7.9999999999999627E-2</v>
      </c>
      <c r="M568">
        <v>-0.40533845436951998</v>
      </c>
      <c r="N568">
        <v>312000</v>
      </c>
      <c r="O568" s="18">
        <f>ROUND(N568/VLOOKUP(EOMONTH(A568,-1),Employment!A:P,16,FALSE),4)</f>
        <v>1.3422000000000001</v>
      </c>
      <c r="P568" s="18">
        <f t="shared" si="216"/>
        <v>1.3452</v>
      </c>
      <c r="Q568" s="29">
        <f t="shared" si="217"/>
        <v>-2.7E-2</v>
      </c>
      <c r="R568" s="29">
        <f t="shared" si="218"/>
        <v>1.41E-2</v>
      </c>
      <c r="S568">
        <v>2518000</v>
      </c>
      <c r="T568" s="18">
        <f>ROUND((S568/7)/VLOOKUP(EOMONTH(A568,-1),Employment!A:P,16,FALSE),4)</f>
        <v>1.5474000000000001</v>
      </c>
      <c r="U568" s="18">
        <f t="shared" si="219"/>
        <v>1.5541</v>
      </c>
      <c r="V568" s="29">
        <f t="shared" si="220"/>
        <v>2.3599999999999999E-2</v>
      </c>
      <c r="W568" s="29">
        <f t="shared" si="221"/>
        <v>1.5E-3</v>
      </c>
      <c r="X568" s="30">
        <f t="shared" si="222"/>
        <v>150.67000000000002</v>
      </c>
      <c r="Y568" s="31">
        <f t="shared" si="223"/>
        <v>142.19</v>
      </c>
    </row>
    <row r="569" spans="1:25" ht="15" customHeight="1" x14ac:dyDescent="0.25">
      <c r="A569" s="5">
        <v>39362</v>
      </c>
      <c r="B569">
        <v>1359.7052000000001</v>
      </c>
      <c r="C569" s="29">
        <f t="shared" si="227"/>
        <v>1.6799999999999999E-2</v>
      </c>
      <c r="D569">
        <v>0.14000000000000001</v>
      </c>
      <c r="E569">
        <v>0.56299999999999994</v>
      </c>
      <c r="F569" s="18">
        <f t="shared" si="214"/>
        <v>1.6280000000000001</v>
      </c>
      <c r="G569" s="18">
        <f t="shared" si="215"/>
        <v>3.7240000000000002</v>
      </c>
      <c r="H569">
        <v>4.0199999999999996</v>
      </c>
      <c r="I569">
        <v>1.94</v>
      </c>
      <c r="J569">
        <f t="shared" si="224"/>
        <v>2.98</v>
      </c>
      <c r="K569" s="6">
        <f t="shared" si="225"/>
        <v>3.05</v>
      </c>
      <c r="L569" s="6">
        <f t="shared" si="226"/>
        <v>-0.13000000000000034</v>
      </c>
      <c r="M569">
        <v>-0.50553156847430003</v>
      </c>
      <c r="N569">
        <v>313250</v>
      </c>
      <c r="O569" s="18">
        <f>ROUND(N569/VLOOKUP(EOMONTH(A569,-1),Employment!A:P,16,FALSE),4)</f>
        <v>1.3474999999999999</v>
      </c>
      <c r="P569" s="18">
        <f t="shared" si="216"/>
        <v>1.3560000000000001</v>
      </c>
      <c r="Q569" s="29">
        <f t="shared" si="217"/>
        <v>-1.9199999999999998E-2</v>
      </c>
      <c r="R569" s="29">
        <f t="shared" si="218"/>
        <v>1.0500000000000001E-2</v>
      </c>
      <c r="S569">
        <v>2530000</v>
      </c>
      <c r="T569" s="18">
        <f>ROUND((S569/7)/VLOOKUP(EOMONTH(A569,-1),Employment!A:P,16,FALSE),4)</f>
        <v>1.5548</v>
      </c>
      <c r="U569" s="18">
        <f t="shared" si="219"/>
        <v>1.5586</v>
      </c>
      <c r="V569" s="29">
        <f t="shared" si="220"/>
        <v>2.4500000000000001E-2</v>
      </c>
      <c r="W569" s="29">
        <f t="shared" si="221"/>
        <v>1E-3</v>
      </c>
      <c r="X569" s="30">
        <f t="shared" si="222"/>
        <v>140.63</v>
      </c>
      <c r="Y569" s="31">
        <f t="shared" si="223"/>
        <v>128.72999999999999</v>
      </c>
    </row>
    <row r="570" spans="1:25" ht="15" customHeight="1" x14ac:dyDescent="0.25">
      <c r="A570" s="5">
        <v>39355</v>
      </c>
      <c r="B570">
        <v>1352.0700999999999</v>
      </c>
      <c r="C570" s="29">
        <f t="shared" si="227"/>
        <v>1.84E-2</v>
      </c>
      <c r="D570">
        <v>0.21</v>
      </c>
      <c r="E570">
        <v>0.67900000000000005</v>
      </c>
      <c r="F570" s="18">
        <f t="shared" si="214"/>
        <v>3.4039999999999999</v>
      </c>
      <c r="G570" s="18">
        <f t="shared" si="215"/>
        <v>0.95199999999999996</v>
      </c>
      <c r="H570">
        <v>4.16</v>
      </c>
      <c r="I570">
        <v>2</v>
      </c>
      <c r="J570">
        <f t="shared" si="224"/>
        <v>3.08</v>
      </c>
      <c r="K570" s="6">
        <f t="shared" si="225"/>
        <v>3.18</v>
      </c>
      <c r="L570" s="6">
        <f t="shared" si="226"/>
        <v>-0.10999999999999988</v>
      </c>
      <c r="M570">
        <v>-0.50022908433538005</v>
      </c>
      <c r="N570">
        <v>312500</v>
      </c>
      <c r="O570" s="18">
        <f>ROUND(N570/VLOOKUP(EOMONTH(A570,-1),Employment!A:P,16,FALSE),4)</f>
        <v>1.3458000000000001</v>
      </c>
      <c r="P570" s="18">
        <f t="shared" si="216"/>
        <v>1.3680000000000001</v>
      </c>
      <c r="Q570" s="29">
        <f t="shared" si="217"/>
        <v>-8.8000000000000005E-3</v>
      </c>
      <c r="R570" s="29">
        <f t="shared" si="218"/>
        <v>1.8E-3</v>
      </c>
      <c r="S570">
        <v>2536000</v>
      </c>
      <c r="T570" s="18">
        <f>ROUND((S570/7)/VLOOKUP(EOMONTH(A570,-1),Employment!A:P,16,FALSE),4)</f>
        <v>1.5602</v>
      </c>
      <c r="U570" s="18">
        <f t="shared" si="219"/>
        <v>1.5663</v>
      </c>
      <c r="V570" s="29">
        <f t="shared" si="220"/>
        <v>2.5399999999999999E-2</v>
      </c>
      <c r="W570" s="29">
        <f t="shared" si="221"/>
        <v>-1.4E-3</v>
      </c>
      <c r="X570" s="30">
        <f t="shared" si="222"/>
        <v>124.88</v>
      </c>
      <c r="Y570" s="31">
        <f t="shared" si="223"/>
        <v>113.94</v>
      </c>
    </row>
    <row r="571" spans="1:25" ht="15" customHeight="1" x14ac:dyDescent="0.25">
      <c r="A571" s="5">
        <v>39348</v>
      </c>
      <c r="B571">
        <v>1344.5383999999999</v>
      </c>
      <c r="C571" s="29">
        <f t="shared" si="227"/>
        <v>2.12E-2</v>
      </c>
      <c r="D571">
        <v>0.28000000000000003</v>
      </c>
      <c r="E571">
        <v>1.0169999999999999</v>
      </c>
      <c r="F571" s="18">
        <f t="shared" si="214"/>
        <v>-1.3079999999999998</v>
      </c>
      <c r="G571" s="18">
        <f t="shared" si="215"/>
        <v>-1.4039999999999999</v>
      </c>
      <c r="H571">
        <v>4.16</v>
      </c>
      <c r="I571">
        <v>2.0299999999999998</v>
      </c>
      <c r="J571">
        <f t="shared" si="224"/>
        <v>3.1</v>
      </c>
      <c r="K571" s="6">
        <f t="shared" si="225"/>
        <v>3.29</v>
      </c>
      <c r="L571" s="6">
        <f t="shared" si="226"/>
        <v>-6.999999999999984E-2</v>
      </c>
      <c r="M571">
        <v>-0.80490014100229001</v>
      </c>
      <c r="N571">
        <v>319250</v>
      </c>
      <c r="O571" s="18">
        <f>ROUND(N571/VLOOKUP(EOMONTH(A571,-1),Employment!A:P,16,FALSE),4)</f>
        <v>1.3748</v>
      </c>
      <c r="P571" s="18">
        <f t="shared" si="216"/>
        <v>1.3788</v>
      </c>
      <c r="Q571" s="29">
        <f t="shared" si="217"/>
        <v>3.3E-3</v>
      </c>
      <c r="R571" s="29">
        <f t="shared" si="218"/>
        <v>-7.1999999999999998E-3</v>
      </c>
      <c r="S571">
        <v>2537000</v>
      </c>
      <c r="T571" s="18">
        <f>ROUND((S571/7)/VLOOKUP(EOMONTH(A571,-1),Employment!A:P,16,FALSE),4)</f>
        <v>1.5608</v>
      </c>
      <c r="U571" s="18">
        <f t="shared" si="219"/>
        <v>1.5730999999999999</v>
      </c>
      <c r="V571" s="29">
        <f t="shared" si="220"/>
        <v>2.6800000000000001E-2</v>
      </c>
      <c r="W571" s="29">
        <f t="shared" si="221"/>
        <v>-4.1000000000000003E-3</v>
      </c>
      <c r="X571" s="30">
        <f t="shared" si="222"/>
        <v>108.63</v>
      </c>
      <c r="Y571" s="31">
        <f t="shared" si="223"/>
        <v>101.7</v>
      </c>
    </row>
    <row r="572" spans="1:25" ht="15" customHeight="1" x14ac:dyDescent="0.25">
      <c r="A572" s="5">
        <v>39341</v>
      </c>
      <c r="B572">
        <v>1331.3016</v>
      </c>
      <c r="C572" s="29">
        <f t="shared" si="227"/>
        <v>1.8700000000000001E-2</v>
      </c>
      <c r="D572">
        <v>0.28999999999999998</v>
      </c>
      <c r="E572">
        <v>0.84099999999999997</v>
      </c>
      <c r="F572" s="18">
        <f t="shared" si="214"/>
        <v>-1.1440000000000001</v>
      </c>
      <c r="G572" s="18">
        <f t="shared" si="215"/>
        <v>-3.24</v>
      </c>
      <c r="H572">
        <v>4.58</v>
      </c>
      <c r="I572">
        <v>2.12</v>
      </c>
      <c r="J572">
        <f t="shared" si="224"/>
        <v>3.35</v>
      </c>
      <c r="K572" s="6">
        <f t="shared" si="225"/>
        <v>3.36</v>
      </c>
      <c r="L572" s="6">
        <f t="shared" si="226"/>
        <v>6.999999999999984E-2</v>
      </c>
      <c r="M572">
        <v>-0.78004666671248002</v>
      </c>
      <c r="N572">
        <v>321250</v>
      </c>
      <c r="O572" s="18">
        <f>ROUND(N572/VLOOKUP(EOMONTH(A572,-1),Employment!A:P,16,FALSE),4)</f>
        <v>1.3834</v>
      </c>
      <c r="P572" s="18">
        <f t="shared" si="216"/>
        <v>1.3798999999999999</v>
      </c>
      <c r="Q572" s="29">
        <f t="shared" si="217"/>
        <v>6.7999999999999996E-3</v>
      </c>
      <c r="R572" s="29">
        <f t="shared" si="218"/>
        <v>-1.06E-2</v>
      </c>
      <c r="S572">
        <v>2565000</v>
      </c>
      <c r="T572" s="18">
        <f>ROUND((S572/7)/VLOOKUP(EOMONTH(A572,-1),Employment!A:P,16,FALSE),4)</f>
        <v>1.5780000000000001</v>
      </c>
      <c r="U572" s="18">
        <f t="shared" si="219"/>
        <v>1.577</v>
      </c>
      <c r="V572" s="29">
        <f t="shared" si="220"/>
        <v>2.7199999999999998E-2</v>
      </c>
      <c r="W572" s="29">
        <f t="shared" si="221"/>
        <v>-5.7000000000000002E-3</v>
      </c>
      <c r="X572" s="30">
        <f t="shared" si="222"/>
        <v>99.89</v>
      </c>
      <c r="Y572" s="31">
        <f t="shared" si="223"/>
        <v>91.85</v>
      </c>
    </row>
    <row r="573" spans="1:25" ht="15" customHeight="1" x14ac:dyDescent="0.25">
      <c r="A573" s="5">
        <v>39334</v>
      </c>
      <c r="B573">
        <v>1321.1175000000001</v>
      </c>
      <c r="C573" s="29">
        <f t="shared" si="227"/>
        <v>1.8499999999999999E-2</v>
      </c>
      <c r="D573">
        <v>0.25</v>
      </c>
      <c r="E573">
        <v>0.748</v>
      </c>
      <c r="F573" s="18">
        <f t="shared" si="214"/>
        <v>1.048</v>
      </c>
      <c r="G573" s="18">
        <f t="shared" si="215"/>
        <v>-7.8879999999999999</v>
      </c>
      <c r="H573">
        <v>4.7300000000000004</v>
      </c>
      <c r="I573">
        <v>2.1</v>
      </c>
      <c r="J573">
        <f t="shared" si="224"/>
        <v>3.42</v>
      </c>
      <c r="K573" s="6">
        <f t="shared" si="225"/>
        <v>3.29</v>
      </c>
      <c r="L573" s="6">
        <f t="shared" si="226"/>
        <v>4.9999999999999822E-2</v>
      </c>
      <c r="M573">
        <v>-6.4006396264704002E-2</v>
      </c>
      <c r="N573">
        <v>320000</v>
      </c>
      <c r="O573" s="18">
        <f>ROUND(N573/VLOOKUP(EOMONTH(A573,-1),Employment!A:P,16,FALSE),4)</f>
        <v>1.3781000000000001</v>
      </c>
      <c r="P573" s="18">
        <f t="shared" si="216"/>
        <v>1.37</v>
      </c>
      <c r="Q573" s="29">
        <f t="shared" si="217"/>
        <v>2.9999999999999997E-4</v>
      </c>
      <c r="R573" s="29">
        <f t="shared" si="218"/>
        <v>-1.06E-2</v>
      </c>
      <c r="S573">
        <v>2569000</v>
      </c>
      <c r="T573" s="18">
        <f>ROUND((S573/7)/VLOOKUP(EOMONTH(A573,-1),Employment!A:P,16,FALSE),4)</f>
        <v>1.5805</v>
      </c>
      <c r="U573" s="18">
        <f t="shared" si="219"/>
        <v>1.5757000000000001</v>
      </c>
      <c r="V573" s="29">
        <f t="shared" si="220"/>
        <v>2.5999999999999999E-2</v>
      </c>
      <c r="W573" s="29">
        <f t="shared" si="221"/>
        <v>-2.5999999999999999E-3</v>
      </c>
      <c r="X573" s="30">
        <f t="shared" si="222"/>
        <v>88.91</v>
      </c>
      <c r="Y573" s="31">
        <f t="shared" si="223"/>
        <v>84.35</v>
      </c>
    </row>
    <row r="574" spans="1:25" ht="15" customHeight="1" x14ac:dyDescent="0.25">
      <c r="A574" s="5">
        <v>39327</v>
      </c>
      <c r="B574">
        <v>1313.664</v>
      </c>
      <c r="C574" s="29">
        <f t="shared" si="227"/>
        <v>1.8499999999999999E-2</v>
      </c>
      <c r="D574">
        <v>0.19</v>
      </c>
      <c r="E574">
        <v>0.95399999999999996</v>
      </c>
      <c r="F574" s="18">
        <f t="shared" si="214"/>
        <v>-3.1440000000000001</v>
      </c>
      <c r="G574" s="18">
        <f t="shared" si="215"/>
        <v>-11.684000000000001</v>
      </c>
      <c r="H574">
        <v>4.55</v>
      </c>
      <c r="I574">
        <v>2.0499999999999998</v>
      </c>
      <c r="J574">
        <f t="shared" si="224"/>
        <v>3.3</v>
      </c>
      <c r="K574" s="6">
        <f t="shared" si="225"/>
        <v>3.24</v>
      </c>
      <c r="L574" s="6">
        <f t="shared" si="226"/>
        <v>0.10000000000000009</v>
      </c>
      <c r="M574">
        <v>0.67441256179539</v>
      </c>
      <c r="N574">
        <v>320000</v>
      </c>
      <c r="O574" s="18">
        <f>ROUND(N574/VLOOKUP(EOMONTH(A574,-1),Employment!A:P,16,FALSE),4)</f>
        <v>1.3781000000000001</v>
      </c>
      <c r="P574" s="18">
        <f t="shared" si="216"/>
        <v>1.3579000000000001</v>
      </c>
      <c r="Q574" s="29">
        <f t="shared" si="217"/>
        <v>-6.4999999999999997E-3</v>
      </c>
      <c r="R574" s="29">
        <f t="shared" si="218"/>
        <v>-8.9999999999999993E-3</v>
      </c>
      <c r="S574">
        <v>2556000</v>
      </c>
      <c r="T574" s="18">
        <f>ROUND((S574/7)/VLOOKUP(EOMONTH(A574,-1),Employment!A:P,16,FALSE),4)</f>
        <v>1.5725</v>
      </c>
      <c r="U574" s="18">
        <f t="shared" si="219"/>
        <v>1.5685</v>
      </c>
      <c r="V574" s="29">
        <f t="shared" si="220"/>
        <v>1.8200000000000001E-2</v>
      </c>
      <c r="W574" s="29">
        <f t="shared" si="221"/>
        <v>1E-3</v>
      </c>
      <c r="X574" s="30">
        <f t="shared" si="222"/>
        <v>79.08</v>
      </c>
      <c r="Y574" s="31">
        <f t="shared" si="223"/>
        <v>86.4</v>
      </c>
    </row>
    <row r="575" spans="1:25" ht="15" customHeight="1" x14ac:dyDescent="0.25">
      <c r="A575" s="5">
        <v>39320</v>
      </c>
      <c r="B575">
        <v>1300.5138999999999</v>
      </c>
      <c r="C575" s="29">
        <f t="shared" si="227"/>
        <v>1.2200000000000001E-2</v>
      </c>
      <c r="D575">
        <v>7.0000000000000007E-2</v>
      </c>
      <c r="E575">
        <v>0.71099999999999997</v>
      </c>
      <c r="F575" s="18">
        <f t="shared" si="214"/>
        <v>-5.7919999999999998</v>
      </c>
      <c r="G575" s="18">
        <f t="shared" si="215"/>
        <v>-11.091999999999999</v>
      </c>
      <c r="H575">
        <v>4.29</v>
      </c>
      <c r="I575">
        <v>2.0099999999999998</v>
      </c>
      <c r="J575">
        <f t="shared" si="224"/>
        <v>3.15</v>
      </c>
      <c r="K575" s="6">
        <f t="shared" si="225"/>
        <v>3.14</v>
      </c>
      <c r="L575" s="6">
        <f t="shared" si="226"/>
        <v>3.0000000000000249E-2</v>
      </c>
      <c r="M575">
        <v>1.8947121943419001</v>
      </c>
      <c r="N575">
        <v>314000</v>
      </c>
      <c r="O575" s="18">
        <f>ROUND(N575/VLOOKUP(EOMONTH(A575,-1),Employment!A:P,16,FALSE),4)</f>
        <v>1.3536999999999999</v>
      </c>
      <c r="P575" s="18">
        <f t="shared" si="216"/>
        <v>1.3461000000000001</v>
      </c>
      <c r="Q575" s="29">
        <f t="shared" si="217"/>
        <v>-1.4500000000000001E-2</v>
      </c>
      <c r="R575" s="29">
        <f t="shared" si="218"/>
        <v>-4.8999999999999998E-3</v>
      </c>
      <c r="S575">
        <v>2556000</v>
      </c>
      <c r="T575" s="18">
        <f>ROUND((S575/7)/VLOOKUP(EOMONTH(A575,-1),Employment!A:P,16,FALSE),4)</f>
        <v>1.5742</v>
      </c>
      <c r="U575" s="18">
        <f t="shared" si="219"/>
        <v>1.5651999999999999</v>
      </c>
      <c r="V575" s="29">
        <f t="shared" si="220"/>
        <v>1.6199999999999999E-2</v>
      </c>
      <c r="W575" s="29">
        <f t="shared" si="221"/>
        <v>2.2000000000000001E-3</v>
      </c>
      <c r="X575" s="30">
        <f t="shared" si="222"/>
        <v>86.11</v>
      </c>
      <c r="Y575" s="31">
        <f t="shared" si="223"/>
        <v>99.44</v>
      </c>
    </row>
    <row r="576" spans="1:25" ht="15" customHeight="1" x14ac:dyDescent="0.25">
      <c r="A576" s="5">
        <v>39313</v>
      </c>
      <c r="B576">
        <v>1292.1188</v>
      </c>
      <c r="C576" s="29">
        <f t="shared" si="227"/>
        <v>7.7999999999999996E-3</v>
      </c>
      <c r="D576">
        <v>-0.09</v>
      </c>
      <c r="E576">
        <v>0.187</v>
      </c>
      <c r="F576" s="18">
        <f t="shared" si="214"/>
        <v>-2.7480000000000002</v>
      </c>
      <c r="G576" s="18">
        <f t="shared" si="215"/>
        <v>-7.7000000000000011</v>
      </c>
      <c r="H576">
        <v>4.4800000000000004</v>
      </c>
      <c r="I576">
        <v>2.0699999999999998</v>
      </c>
      <c r="J576">
        <f t="shared" si="224"/>
        <v>3.28</v>
      </c>
      <c r="K576" s="6">
        <f t="shared" si="225"/>
        <v>3.11</v>
      </c>
      <c r="L576" s="6">
        <f t="shared" si="226"/>
        <v>6.999999999999984E-2</v>
      </c>
      <c r="M576">
        <v>3.2676287177997998</v>
      </c>
      <c r="N576">
        <v>311250</v>
      </c>
      <c r="O576" s="18">
        <f>ROUND(N576/VLOOKUP(EOMONTH(A576,-1),Employment!A:P,16,FALSE),4)</f>
        <v>1.3418000000000001</v>
      </c>
      <c r="P576" s="18">
        <f t="shared" si="216"/>
        <v>1.3451</v>
      </c>
      <c r="Q576" s="29">
        <f t="shared" si="217"/>
        <v>-2.1499999999999998E-2</v>
      </c>
      <c r="R576" s="29">
        <f t="shared" si="218"/>
        <v>1.6000000000000001E-3</v>
      </c>
      <c r="S576">
        <v>2531000</v>
      </c>
      <c r="T576" s="18">
        <f>ROUND((S576/7)/VLOOKUP(EOMONTH(A576,-1),Employment!A:P,16,FALSE),4)</f>
        <v>1.5588</v>
      </c>
      <c r="U576" s="18">
        <f t="shared" si="219"/>
        <v>1.5565</v>
      </c>
      <c r="V576" s="29">
        <f t="shared" si="220"/>
        <v>1.6799999999999999E-2</v>
      </c>
      <c r="W576" s="29">
        <f t="shared" si="221"/>
        <v>1.8E-3</v>
      </c>
      <c r="X576" s="30">
        <f t="shared" si="222"/>
        <v>105.45</v>
      </c>
      <c r="Y576" s="31">
        <f t="shared" si="223"/>
        <v>115.31</v>
      </c>
    </row>
    <row r="577" spans="1:25" ht="15" customHeight="1" x14ac:dyDescent="0.25">
      <c r="A577" s="5">
        <v>39306</v>
      </c>
      <c r="B577">
        <v>1282.3255999999999</v>
      </c>
      <c r="C577" s="29">
        <f t="shared" si="227"/>
        <v>1E-3</v>
      </c>
      <c r="D577">
        <v>-0.22</v>
      </c>
      <c r="E577">
        <v>6.0000000000000001E-3</v>
      </c>
      <c r="F577" s="18">
        <f t="shared" si="214"/>
        <v>-2.5520000000000005</v>
      </c>
      <c r="G577" s="18">
        <f t="shared" si="215"/>
        <v>-5.3440000000000003</v>
      </c>
      <c r="H577">
        <v>4.12</v>
      </c>
      <c r="I577">
        <v>1.88</v>
      </c>
      <c r="J577">
        <f t="shared" si="224"/>
        <v>3</v>
      </c>
      <c r="K577" s="6">
        <f t="shared" si="225"/>
        <v>3.04</v>
      </c>
      <c r="L577" s="6">
        <f t="shared" si="226"/>
        <v>0.16999999999999993</v>
      </c>
      <c r="M577">
        <v>4.0439268010712004</v>
      </c>
      <c r="N577">
        <v>311500</v>
      </c>
      <c r="O577" s="18">
        <f>ROUND(N577/VLOOKUP(EOMONTH(A577,-1),Employment!A:P,16,FALSE),4)</f>
        <v>1.3429</v>
      </c>
      <c r="P577" s="18">
        <f t="shared" si="216"/>
        <v>1.3527</v>
      </c>
      <c r="Q577" s="29">
        <f t="shared" si="217"/>
        <v>-2.6100000000000002E-2</v>
      </c>
      <c r="R577" s="29">
        <f t="shared" si="218"/>
        <v>1.04E-2</v>
      </c>
      <c r="S577">
        <v>2537000</v>
      </c>
      <c r="T577" s="18">
        <f>ROUND((S577/7)/VLOOKUP(EOMONTH(A577,-1),Employment!A:P,16,FALSE),4)</f>
        <v>1.5625</v>
      </c>
      <c r="U577" s="18">
        <f t="shared" si="219"/>
        <v>1.5620000000000001</v>
      </c>
      <c r="V577" s="29">
        <f t="shared" si="220"/>
        <v>2.0199999999999999E-2</v>
      </c>
      <c r="W577" s="29">
        <f t="shared" si="221"/>
        <v>1.6000000000000001E-3</v>
      </c>
      <c r="X577" s="30">
        <f t="shared" si="222"/>
        <v>117.75</v>
      </c>
      <c r="Y577" s="31">
        <f t="shared" si="223"/>
        <v>128.77000000000001</v>
      </c>
    </row>
    <row r="578" spans="1:25" ht="15" customHeight="1" x14ac:dyDescent="0.25">
      <c r="A578" s="5">
        <v>39299</v>
      </c>
      <c r="B578">
        <v>1284.4458</v>
      </c>
      <c r="C578" s="29">
        <f t="shared" si="227"/>
        <v>6.4999999999999997E-3</v>
      </c>
      <c r="D578">
        <v>-0.34</v>
      </c>
      <c r="E578">
        <v>-0.16300000000000001</v>
      </c>
      <c r="F578" s="18">
        <f t="shared" si="214"/>
        <v>-2.4000000000000004</v>
      </c>
      <c r="G578" s="18">
        <f t="shared" si="215"/>
        <v>-3.3000000000000007</v>
      </c>
      <c r="H578">
        <v>4.24</v>
      </c>
      <c r="I578">
        <v>1.86</v>
      </c>
      <c r="J578">
        <f t="shared" si="224"/>
        <v>3.05</v>
      </c>
      <c r="K578" s="6">
        <f t="shared" si="225"/>
        <v>2.87</v>
      </c>
      <c r="L578" s="6">
        <f t="shared" si="226"/>
        <v>0.24000000000000021</v>
      </c>
      <c r="M578">
        <v>4.8684813332415002</v>
      </c>
      <c r="N578">
        <v>313250</v>
      </c>
      <c r="O578" s="18">
        <f>ROUND(N578/VLOOKUP(EOMONTH(A578,-1),Employment!A:P,16,FALSE),4)</f>
        <v>1.3505</v>
      </c>
      <c r="P578" s="18">
        <f t="shared" si="216"/>
        <v>1.3611</v>
      </c>
      <c r="Q578" s="29">
        <f t="shared" si="217"/>
        <v>-2.8799999999999999E-2</v>
      </c>
      <c r="R578" s="29">
        <f t="shared" si="218"/>
        <v>1.61E-2</v>
      </c>
      <c r="S578">
        <v>2514000</v>
      </c>
      <c r="T578" s="18">
        <f>ROUND((S578/7)/VLOOKUP(EOMONTH(A578,-1),Employment!A:P,16,FALSE),4)</f>
        <v>1.5483</v>
      </c>
      <c r="U578" s="18">
        <f t="shared" si="219"/>
        <v>1.5679000000000001</v>
      </c>
      <c r="V578" s="29">
        <f t="shared" si="220"/>
        <v>1.9400000000000001E-2</v>
      </c>
      <c r="W578" s="29">
        <f t="shared" si="221"/>
        <v>8.9999999999999998E-4</v>
      </c>
      <c r="X578" s="30">
        <f t="shared" si="222"/>
        <v>133.85</v>
      </c>
      <c r="Y578" s="31">
        <f t="shared" si="223"/>
        <v>138.91999999999999</v>
      </c>
    </row>
    <row r="579" spans="1:25" ht="15" customHeight="1" x14ac:dyDescent="0.25">
      <c r="A579" s="5">
        <v>39292</v>
      </c>
      <c r="B579">
        <v>1280.2547999999999</v>
      </c>
      <c r="C579" s="29">
        <f t="shared" si="227"/>
        <v>5.4000000000000003E-3</v>
      </c>
      <c r="D579">
        <v>-0.44</v>
      </c>
      <c r="E579">
        <v>-0.33800000000000002</v>
      </c>
      <c r="F579" s="18">
        <f t="shared" si="214"/>
        <v>-0.39199999999999946</v>
      </c>
      <c r="G579" s="18">
        <f t="shared" si="215"/>
        <v>-0.24799999999999933</v>
      </c>
      <c r="H579">
        <v>4.28</v>
      </c>
      <c r="I579">
        <v>1.87</v>
      </c>
      <c r="J579">
        <f t="shared" si="224"/>
        <v>3.08</v>
      </c>
      <c r="K579" s="6">
        <f t="shared" si="225"/>
        <v>2.63</v>
      </c>
      <c r="L579" s="6">
        <f t="shared" si="226"/>
        <v>0.27</v>
      </c>
      <c r="M579">
        <v>5.3115992619263004</v>
      </c>
      <c r="N579">
        <v>316250</v>
      </c>
      <c r="O579" s="18">
        <f>ROUND(N579/VLOOKUP(EOMONTH(A579,-1),Employment!A:P,16,FALSE),4)</f>
        <v>1.3648</v>
      </c>
      <c r="P579" s="18">
        <f t="shared" si="216"/>
        <v>1.3681000000000001</v>
      </c>
      <c r="Q579" s="29">
        <f t="shared" si="217"/>
        <v>-2.3599999999999999E-2</v>
      </c>
      <c r="R579" s="29">
        <f t="shared" si="218"/>
        <v>1.24E-2</v>
      </c>
      <c r="S579">
        <v>2555000</v>
      </c>
      <c r="T579" s="18">
        <f>ROUND((S579/7)/VLOOKUP(EOMONTH(A579,-1),Employment!A:P,16,FALSE),4)</f>
        <v>1.5751999999999999</v>
      </c>
      <c r="U579" s="18">
        <f t="shared" si="219"/>
        <v>1.5658000000000001</v>
      </c>
      <c r="V579" s="29">
        <f t="shared" si="220"/>
        <v>2.0899999999999998E-2</v>
      </c>
      <c r="W579" s="29">
        <f t="shared" si="221"/>
        <v>-3.2000000000000002E-3</v>
      </c>
      <c r="X579" s="30">
        <f t="shared" si="222"/>
        <v>143.59</v>
      </c>
      <c r="Y579" s="31">
        <f t="shared" si="223"/>
        <v>140.13999999999999</v>
      </c>
    </row>
    <row r="580" spans="1:25" ht="15" customHeight="1" x14ac:dyDescent="0.25">
      <c r="A580" s="5">
        <v>39285</v>
      </c>
      <c r="B580">
        <v>1281.2915</v>
      </c>
      <c r="C580" s="29">
        <f t="shared" si="227"/>
        <v>1.0999999999999999E-2</v>
      </c>
      <c r="D580">
        <v>-0.5</v>
      </c>
      <c r="E580">
        <v>-0.312</v>
      </c>
      <c r="F580" s="18">
        <f t="shared" si="214"/>
        <v>-0.5080000000000009</v>
      </c>
      <c r="G580" s="18">
        <f t="shared" si="215"/>
        <v>-0.33999999999999897</v>
      </c>
      <c r="H580">
        <v>3.37</v>
      </c>
      <c r="I580">
        <v>1.61</v>
      </c>
      <c r="J580">
        <f t="shared" si="224"/>
        <v>2.4900000000000002</v>
      </c>
      <c r="K580" s="6">
        <f t="shared" si="225"/>
        <v>2.36</v>
      </c>
      <c r="L580" s="6">
        <f t="shared" si="226"/>
        <v>8.9999999999999858E-2</v>
      </c>
      <c r="M580">
        <v>5.4076221627074004</v>
      </c>
      <c r="N580">
        <v>317000</v>
      </c>
      <c r="O580" s="18">
        <f>ROUND(N580/VLOOKUP(EOMONTH(A580,-1),Employment!A:P,16,FALSE),4)</f>
        <v>1.3681000000000001</v>
      </c>
      <c r="P580" s="18">
        <f t="shared" si="216"/>
        <v>1.3673999999999999</v>
      </c>
      <c r="Q580" s="29">
        <f t="shared" si="217"/>
        <v>-1.0800000000000001E-2</v>
      </c>
      <c r="R580" s="29">
        <f t="shared" si="218"/>
        <v>-2.0999999999999999E-3</v>
      </c>
      <c r="S580">
        <v>2563000</v>
      </c>
      <c r="T580" s="18">
        <f>ROUND((S580/7)/VLOOKUP(EOMONTH(A580,-1),Employment!A:P,16,FALSE),4)</f>
        <v>1.5802</v>
      </c>
      <c r="U580" s="18">
        <f t="shared" si="219"/>
        <v>1.5586</v>
      </c>
      <c r="V580" s="29">
        <f t="shared" si="220"/>
        <v>2.4E-2</v>
      </c>
      <c r="W580" s="29">
        <f t="shared" si="221"/>
        <v>-4.8999999999999998E-3</v>
      </c>
      <c r="X580" s="30">
        <f t="shared" si="222"/>
        <v>139.88999999999999</v>
      </c>
      <c r="Y580" s="31">
        <f t="shared" si="223"/>
        <v>132.27000000000001</v>
      </c>
    </row>
    <row r="581" spans="1:25" ht="15" customHeight="1" x14ac:dyDescent="0.25">
      <c r="A581" s="5">
        <v>39278</v>
      </c>
      <c r="B581">
        <v>1277.9614999999999</v>
      </c>
      <c r="C581" s="29">
        <f t="shared" si="227"/>
        <v>1.24E-2</v>
      </c>
      <c r="D581">
        <v>-0.53</v>
      </c>
      <c r="E581">
        <v>-0.33800000000000002</v>
      </c>
      <c r="F581" s="18">
        <f t="shared" si="214"/>
        <v>0.65200000000000102</v>
      </c>
      <c r="G581" s="18">
        <f t="shared" si="215"/>
        <v>0.38400000000000212</v>
      </c>
      <c r="H581">
        <v>3.06</v>
      </c>
      <c r="I581">
        <v>1.59</v>
      </c>
      <c r="J581">
        <f t="shared" si="224"/>
        <v>2.33</v>
      </c>
      <c r="K581" s="6">
        <f t="shared" si="225"/>
        <v>2.27</v>
      </c>
      <c r="L581" s="6">
        <f t="shared" si="226"/>
        <v>6.0000000000000053E-2</v>
      </c>
      <c r="M581">
        <v>5.4788384494009996</v>
      </c>
      <c r="N581">
        <v>317750</v>
      </c>
      <c r="O581" s="18">
        <f>ROUND(N581/VLOOKUP(EOMONTH(A581,-1),Employment!A:P,16,FALSE),4)</f>
        <v>1.3713</v>
      </c>
      <c r="P581" s="18">
        <f t="shared" si="216"/>
        <v>1.3641000000000001</v>
      </c>
      <c r="Q581" s="29">
        <f t="shared" si="217"/>
        <v>3.8E-3</v>
      </c>
      <c r="R581" s="29">
        <f t="shared" si="218"/>
        <v>-2.1700000000000001E-2</v>
      </c>
      <c r="S581">
        <v>2501000</v>
      </c>
      <c r="T581" s="18">
        <f>ROUND((S581/7)/VLOOKUP(EOMONTH(A581,-1),Employment!A:P,16,FALSE),4)</f>
        <v>1.5419</v>
      </c>
      <c r="U581" s="18">
        <f t="shared" si="219"/>
        <v>1.5359</v>
      </c>
      <c r="V581" s="29">
        <f t="shared" si="220"/>
        <v>2.2599999999999999E-2</v>
      </c>
      <c r="W581" s="29">
        <f t="shared" si="221"/>
        <v>-5.1000000000000004E-3</v>
      </c>
      <c r="X581" s="30">
        <f t="shared" si="222"/>
        <v>132.15</v>
      </c>
      <c r="Y581" s="31">
        <f t="shared" si="223"/>
        <v>121.79</v>
      </c>
    </row>
    <row r="582" spans="1:25" ht="15" customHeight="1" x14ac:dyDescent="0.25">
      <c r="A582" s="5">
        <v>39271</v>
      </c>
      <c r="B582">
        <v>1265.1881000000001</v>
      </c>
      <c r="C582" s="29">
        <f t="shared" si="227"/>
        <v>6.0000000000000001E-3</v>
      </c>
      <c r="D582">
        <v>-0.54</v>
      </c>
      <c r="E582">
        <v>-0.24399999999999999</v>
      </c>
      <c r="F582" s="18">
        <f t="shared" si="214"/>
        <v>-0.4839999999999991</v>
      </c>
      <c r="G582" s="18">
        <f t="shared" si="215"/>
        <v>-1.984</v>
      </c>
      <c r="H582">
        <v>2.9</v>
      </c>
      <c r="I582">
        <v>1.59</v>
      </c>
      <c r="J582">
        <f t="shared" si="224"/>
        <v>2.25</v>
      </c>
      <c r="K582" s="6">
        <f t="shared" si="225"/>
        <v>2.21</v>
      </c>
      <c r="L582" s="6">
        <f t="shared" si="226"/>
        <v>6.0000000000000053E-2</v>
      </c>
      <c r="M582">
        <v>5.8481490025160001</v>
      </c>
      <c r="N582">
        <v>315750</v>
      </c>
      <c r="O582" s="18">
        <f>ROUND(N582/VLOOKUP(EOMONTH(A582,-1),Employment!A:P,16,FALSE),4)</f>
        <v>1.3627</v>
      </c>
      <c r="P582" s="18">
        <f t="shared" si="216"/>
        <v>1.3592</v>
      </c>
      <c r="Q582" s="29">
        <f t="shared" si="217"/>
        <v>8.8000000000000005E-3</v>
      </c>
      <c r="R582" s="29">
        <f t="shared" si="218"/>
        <v>-3.6600000000000001E-2</v>
      </c>
      <c r="S582">
        <v>2520000</v>
      </c>
      <c r="T582" s="18">
        <f>ROUND((S582/7)/VLOOKUP(EOMONTH(A582,-1),Employment!A:P,16,FALSE),4)</f>
        <v>1.5536000000000001</v>
      </c>
      <c r="U582" s="18">
        <f t="shared" si="219"/>
        <v>1.5329999999999999</v>
      </c>
      <c r="V582" s="29">
        <f t="shared" si="220"/>
        <v>1.84E-2</v>
      </c>
      <c r="W582" s="29">
        <f t="shared" si="221"/>
        <v>-8.0000000000000004E-4</v>
      </c>
      <c r="X582" s="30">
        <f t="shared" si="222"/>
        <v>113.52000000000001</v>
      </c>
      <c r="Y582" s="31">
        <f t="shared" si="223"/>
        <v>115.9</v>
      </c>
    </row>
    <row r="583" spans="1:25" ht="15" customHeight="1" x14ac:dyDescent="0.25">
      <c r="A583" s="5">
        <v>39264</v>
      </c>
      <c r="B583">
        <v>1269.0400999999999</v>
      </c>
      <c r="C583" s="29">
        <f t="shared" si="227"/>
        <v>1.47E-2</v>
      </c>
      <c r="D583">
        <v>-0.56999999999999995</v>
      </c>
      <c r="E583">
        <v>-0.26700000000000002</v>
      </c>
      <c r="F583" s="18">
        <f t="shared" si="214"/>
        <v>0.21600000000000019</v>
      </c>
      <c r="G583" s="18">
        <f t="shared" si="215"/>
        <v>-2.4440000000000017</v>
      </c>
      <c r="H583">
        <v>2.89</v>
      </c>
      <c r="I583">
        <v>1.59</v>
      </c>
      <c r="J583">
        <f t="shared" si="224"/>
        <v>2.2400000000000002</v>
      </c>
      <c r="K583" s="6">
        <f t="shared" si="225"/>
        <v>2.15</v>
      </c>
      <c r="L583" s="6">
        <f t="shared" si="226"/>
        <v>6.0000000000000053E-2</v>
      </c>
      <c r="M583">
        <v>6.1407892574606002</v>
      </c>
      <c r="N583">
        <v>314750</v>
      </c>
      <c r="O583" s="18">
        <f>ROUND(N583/VLOOKUP(EOMONTH(A583,-1),Employment!A:P,16,FALSE),4)</f>
        <v>1.3584000000000001</v>
      </c>
      <c r="P583" s="18">
        <f t="shared" si="216"/>
        <v>1.3534999999999999</v>
      </c>
      <c r="Q583" s="29">
        <f t="shared" si="217"/>
        <v>-2.0999999999999999E-3</v>
      </c>
      <c r="R583" s="29">
        <f t="shared" si="218"/>
        <v>-3.8699999999999998E-2</v>
      </c>
      <c r="S583">
        <v>2453000</v>
      </c>
      <c r="T583" s="18">
        <f>ROUND((S583/7)/VLOOKUP(EOMONTH(A583,-1),Employment!A:P,16,FALSE),4)</f>
        <v>1.5123</v>
      </c>
      <c r="U583" s="18">
        <f t="shared" si="219"/>
        <v>1.5195000000000001</v>
      </c>
      <c r="V583" s="29">
        <f t="shared" si="220"/>
        <v>1.06E-2</v>
      </c>
      <c r="W583" s="29">
        <f t="shared" si="221"/>
        <v>-1.6999999999999999E-3</v>
      </c>
      <c r="X583" s="30">
        <f t="shared" si="222"/>
        <v>116.58</v>
      </c>
      <c r="Y583" s="31">
        <f t="shared" si="223"/>
        <v>123.17</v>
      </c>
    </row>
    <row r="584" spans="1:25" ht="15" customHeight="1" x14ac:dyDescent="0.25">
      <c r="A584" s="5">
        <v>39257</v>
      </c>
      <c r="B584">
        <v>1257.0431000000001</v>
      </c>
      <c r="C584" s="29">
        <f t="shared" si="227"/>
        <v>6.7999999999999996E-3</v>
      </c>
      <c r="D584">
        <v>-0.59</v>
      </c>
      <c r="E584">
        <v>-0.215</v>
      </c>
      <c r="F584" s="18">
        <f t="shared" si="214"/>
        <v>-1.7160000000000011</v>
      </c>
      <c r="G584" s="18">
        <f t="shared" si="215"/>
        <v>-3.3240000000000016</v>
      </c>
      <c r="H584">
        <v>2.69</v>
      </c>
      <c r="I584">
        <v>1.6</v>
      </c>
      <c r="J584">
        <f t="shared" si="224"/>
        <v>2.15</v>
      </c>
      <c r="K584" s="6">
        <f t="shared" si="225"/>
        <v>2.09</v>
      </c>
      <c r="L584" s="6">
        <f t="shared" si="226"/>
        <v>4.0000000000000036E-2</v>
      </c>
      <c r="M584">
        <v>6.3213620577664997</v>
      </c>
      <c r="N584">
        <v>314000</v>
      </c>
      <c r="O584" s="18">
        <f>ROUND(N584/VLOOKUP(EOMONTH(A584,-1),Employment!A:P,16,FALSE),4)</f>
        <v>1.3565</v>
      </c>
      <c r="P584" s="18">
        <f t="shared" si="216"/>
        <v>1.3434999999999999</v>
      </c>
      <c r="Q584" s="29">
        <f t="shared" si="217"/>
        <v>-2.7799999999999998E-2</v>
      </c>
      <c r="R584" s="29">
        <f t="shared" si="218"/>
        <v>-2.3800000000000002E-2</v>
      </c>
      <c r="S584">
        <v>2484000</v>
      </c>
      <c r="T584" s="18">
        <f>ROUND((S584/7)/VLOOKUP(EOMONTH(A584,-1),Employment!A:P,16,FALSE),4)</f>
        <v>1.5329999999999999</v>
      </c>
      <c r="U584" s="18">
        <f t="shared" si="219"/>
        <v>1.5256000000000001</v>
      </c>
      <c r="V584" s="29">
        <f t="shared" si="220"/>
        <v>1.6299999999999999E-2</v>
      </c>
      <c r="W584" s="29">
        <f t="shared" si="221"/>
        <v>1.8E-3</v>
      </c>
      <c r="X584" s="30">
        <f t="shared" si="222"/>
        <v>120.13</v>
      </c>
      <c r="Y584" s="31">
        <f t="shared" si="223"/>
        <v>139.15</v>
      </c>
    </row>
    <row r="585" spans="1:25" ht="15" customHeight="1" x14ac:dyDescent="0.25">
      <c r="A585" s="5">
        <v>39250</v>
      </c>
      <c r="B585">
        <v>1257.8476000000001</v>
      </c>
      <c r="C585" s="29">
        <f t="shared" si="227"/>
        <v>1.0500000000000001E-2</v>
      </c>
      <c r="D585">
        <v>-0.62</v>
      </c>
      <c r="E585">
        <v>-0.39200000000000002</v>
      </c>
      <c r="F585" s="18">
        <f t="shared" si="214"/>
        <v>-0.94400000000000084</v>
      </c>
      <c r="G585" s="18">
        <f t="shared" si="215"/>
        <v>-1.604000000000001</v>
      </c>
      <c r="H585">
        <v>2.5099999999999998</v>
      </c>
      <c r="I585">
        <v>1.6</v>
      </c>
      <c r="J585">
        <f t="shared" si="224"/>
        <v>2.06</v>
      </c>
      <c r="K585" s="6">
        <f t="shared" si="225"/>
        <v>2.0499999999999998</v>
      </c>
      <c r="L585" s="6">
        <f t="shared" si="226"/>
        <v>9.9999999999997868E-3</v>
      </c>
      <c r="M585">
        <v>6.4163940005282001</v>
      </c>
      <c r="N585">
        <v>311500</v>
      </c>
      <c r="O585" s="18">
        <f>ROUND(N585/VLOOKUP(EOMONTH(A585,-1),Employment!A:P,16,FALSE),4)</f>
        <v>1.3456999999999999</v>
      </c>
      <c r="P585" s="18">
        <f t="shared" si="216"/>
        <v>1.3294999999999999</v>
      </c>
      <c r="Q585" s="29">
        <f t="shared" si="217"/>
        <v>-5.9799999999999999E-2</v>
      </c>
      <c r="R585" s="29">
        <f t="shared" si="218"/>
        <v>4.7000000000000002E-3</v>
      </c>
      <c r="S585">
        <v>2452000</v>
      </c>
      <c r="T585" s="18">
        <f>ROUND((S585/7)/VLOOKUP(EOMONTH(A585,-1),Employment!A:P,16,FALSE),4)</f>
        <v>1.5132000000000001</v>
      </c>
      <c r="U585" s="18">
        <f t="shared" si="219"/>
        <v>1.5118</v>
      </c>
      <c r="V585" s="29">
        <f t="shared" si="220"/>
        <v>8.8999999999999999E-3</v>
      </c>
      <c r="W585" s="29">
        <f t="shared" si="221"/>
        <v>3.0999999999999999E-3</v>
      </c>
      <c r="X585" s="30">
        <f t="shared" si="222"/>
        <v>147.26</v>
      </c>
      <c r="Y585" s="31">
        <f t="shared" si="223"/>
        <v>160.88999999999999</v>
      </c>
    </row>
    <row r="586" spans="1:25" ht="15" customHeight="1" x14ac:dyDescent="0.25">
      <c r="A586" s="5">
        <v>39243</v>
      </c>
      <c r="B586">
        <v>1246.7125000000001</v>
      </c>
      <c r="C586" s="29">
        <f t="shared" si="227"/>
        <v>4.0000000000000001E-3</v>
      </c>
      <c r="D586">
        <v>-0.64</v>
      </c>
      <c r="E586">
        <v>-0.48499999999999999</v>
      </c>
      <c r="F586" s="18">
        <f t="shared" si="214"/>
        <v>-0.6639999999999997</v>
      </c>
      <c r="G586" s="18">
        <f t="shared" si="215"/>
        <v>-1.1759999999999984</v>
      </c>
      <c r="H586">
        <v>2.5099999999999998</v>
      </c>
      <c r="I586">
        <v>1.62</v>
      </c>
      <c r="J586">
        <f t="shared" si="224"/>
        <v>2.0699999999999998</v>
      </c>
      <c r="K586" s="6">
        <f t="shared" si="225"/>
        <v>2.04</v>
      </c>
      <c r="L586" s="6">
        <f t="shared" si="226"/>
        <v>0</v>
      </c>
      <c r="M586">
        <v>6.2961076880705003</v>
      </c>
      <c r="N586">
        <v>307500</v>
      </c>
      <c r="O586" s="18">
        <f>ROUND(N586/VLOOKUP(EOMONTH(A586,-1),Employment!A:P,16,FALSE),4)</f>
        <v>1.3284</v>
      </c>
      <c r="P586" s="18">
        <f t="shared" si="216"/>
        <v>1.3162</v>
      </c>
      <c r="Q586" s="29">
        <f t="shared" si="217"/>
        <v>-8.5500000000000007E-2</v>
      </c>
      <c r="R586" s="29">
        <f t="shared" si="218"/>
        <v>3.6900000000000002E-2</v>
      </c>
      <c r="S586">
        <v>2480000</v>
      </c>
      <c r="T586" s="18">
        <f>ROUND((S586/7)/VLOOKUP(EOMONTH(A586,-1),Employment!A:P,16,FALSE),4)</f>
        <v>1.5305</v>
      </c>
      <c r="U586" s="18">
        <f t="shared" si="219"/>
        <v>1.5149999999999999</v>
      </c>
      <c r="V586" s="29">
        <f t="shared" si="220"/>
        <v>1.43E-2</v>
      </c>
      <c r="W586" s="29">
        <f t="shared" si="221"/>
        <v>7.1000000000000004E-3</v>
      </c>
      <c r="X586" s="30">
        <f t="shared" si="222"/>
        <v>166.44</v>
      </c>
      <c r="Y586" s="31">
        <f t="shared" si="223"/>
        <v>175.33</v>
      </c>
    </row>
    <row r="587" spans="1:25" ht="15" customHeight="1" x14ac:dyDescent="0.25">
      <c r="A587" s="5">
        <v>39236</v>
      </c>
      <c r="B587">
        <v>1240.9842000000001</v>
      </c>
      <c r="C587" s="29">
        <f t="shared" si="227"/>
        <v>1.9E-3</v>
      </c>
      <c r="D587">
        <v>-0.66</v>
      </c>
      <c r="E587">
        <v>-0.54300000000000004</v>
      </c>
      <c r="F587" s="18">
        <f t="shared" si="214"/>
        <v>3.9999999999995595E-3</v>
      </c>
      <c r="G587" s="18">
        <f t="shared" si="215"/>
        <v>-0.29199999999999982</v>
      </c>
      <c r="H587">
        <v>2.41</v>
      </c>
      <c r="I587">
        <v>1.6</v>
      </c>
      <c r="J587">
        <f t="shared" si="224"/>
        <v>2.0099999999999998</v>
      </c>
      <c r="K587" s="6">
        <f t="shared" si="225"/>
        <v>2.04</v>
      </c>
      <c r="L587" s="6">
        <f t="shared" si="226"/>
        <v>-4.9999999999999822E-2</v>
      </c>
      <c r="M587">
        <v>6.4637362422595999</v>
      </c>
      <c r="N587">
        <v>304250</v>
      </c>
      <c r="O587" s="18">
        <f>ROUND(N587/VLOOKUP(EOMONTH(A587,-1),Employment!A:P,16,FALSE),4)</f>
        <v>1.3144</v>
      </c>
      <c r="P587" s="18">
        <f t="shared" si="216"/>
        <v>1.3127</v>
      </c>
      <c r="Q587" s="29">
        <f t="shared" si="217"/>
        <v>-9.2899999999999996E-2</v>
      </c>
      <c r="R587" s="29">
        <f t="shared" si="218"/>
        <v>5.7000000000000002E-2</v>
      </c>
      <c r="S587">
        <v>2417000</v>
      </c>
      <c r="T587" s="18">
        <f>ROUND((S587/7)/VLOOKUP(EOMONTH(A587,-1),Employment!A:P,16,FALSE),4)</f>
        <v>1.4916</v>
      </c>
      <c r="U587" s="18">
        <f t="shared" si="219"/>
        <v>1.5049999999999999</v>
      </c>
      <c r="V587" s="29">
        <f t="shared" si="220"/>
        <v>8.5000000000000006E-3</v>
      </c>
      <c r="W587" s="29">
        <f t="shared" si="221"/>
        <v>3.7000000000000002E-3</v>
      </c>
      <c r="X587" s="30">
        <f t="shared" si="222"/>
        <v>181.08</v>
      </c>
      <c r="Y587" s="31">
        <f t="shared" si="223"/>
        <v>179.93</v>
      </c>
    </row>
    <row r="588" spans="1:25" ht="15" customHeight="1" x14ac:dyDescent="0.25">
      <c r="A588" s="5">
        <v>39229</v>
      </c>
      <c r="B588">
        <v>1248.7788</v>
      </c>
      <c r="C588" s="29">
        <f t="shared" si="227"/>
        <v>1.3100000000000001E-2</v>
      </c>
      <c r="D588">
        <v>-0.67</v>
      </c>
      <c r="E588">
        <v>-0.53</v>
      </c>
      <c r="F588" s="18">
        <f t="shared" si="214"/>
        <v>-0.51599999999999824</v>
      </c>
      <c r="G588" s="18">
        <f t="shared" si="215"/>
        <v>-0.69599999999999795</v>
      </c>
      <c r="H588">
        <v>2.4500000000000002</v>
      </c>
      <c r="I588">
        <v>1.62</v>
      </c>
      <c r="J588">
        <f t="shared" si="224"/>
        <v>2.04</v>
      </c>
      <c r="K588" s="6">
        <f t="shared" si="225"/>
        <v>2.09</v>
      </c>
      <c r="L588" s="6">
        <f t="shared" si="226"/>
        <v>-4.0000000000000036E-2</v>
      </c>
      <c r="M588">
        <v>6.6162335366615999</v>
      </c>
      <c r="N588">
        <v>302000</v>
      </c>
      <c r="O588" s="18">
        <f>ROUND(N588/VLOOKUP(EOMONTH(A588,-1),Employment!A:P,16,FALSE),4)</f>
        <v>1.3059000000000001</v>
      </c>
      <c r="P588" s="18">
        <f t="shared" si="216"/>
        <v>1.3247</v>
      </c>
      <c r="Q588" s="29">
        <f t="shared" si="217"/>
        <v>-7.1800000000000003E-2</v>
      </c>
      <c r="R588" s="29">
        <f t="shared" si="218"/>
        <v>5.45E-2</v>
      </c>
      <c r="S588">
        <v>2465000</v>
      </c>
      <c r="T588" s="18">
        <f>ROUND((S588/7)/VLOOKUP(EOMONTH(A588,-1),Employment!A:P,16,FALSE),4)</f>
        <v>1.5227999999999999</v>
      </c>
      <c r="U588" s="18">
        <f t="shared" si="219"/>
        <v>1.5197000000000001</v>
      </c>
      <c r="V588" s="29">
        <f t="shared" si="220"/>
        <v>2.4E-2</v>
      </c>
      <c r="W588" s="29">
        <f t="shared" si="221"/>
        <v>3.0999999999999999E-3</v>
      </c>
      <c r="X588" s="30">
        <f t="shared" si="222"/>
        <v>183.19</v>
      </c>
      <c r="Y588" s="31">
        <f t="shared" si="223"/>
        <v>171.17</v>
      </c>
    </row>
    <row r="589" spans="1:25" ht="15" customHeight="1" x14ac:dyDescent="0.25">
      <c r="A589" s="5">
        <v>39222</v>
      </c>
      <c r="B589">
        <v>1242.4567999999999</v>
      </c>
      <c r="C589" s="29">
        <f t="shared" si="227"/>
        <v>1.2200000000000001E-2</v>
      </c>
      <c r="D589">
        <v>-0.68</v>
      </c>
      <c r="E589">
        <v>-0.58199999999999996</v>
      </c>
      <c r="F589" s="18">
        <f t="shared" si="214"/>
        <v>0.21999999999999886</v>
      </c>
      <c r="G589" s="18">
        <f t="shared" si="215"/>
        <v>-0.1720000000000006</v>
      </c>
      <c r="H589">
        <v>2.5099999999999998</v>
      </c>
      <c r="I589">
        <v>1.63</v>
      </c>
      <c r="J589">
        <f t="shared" si="224"/>
        <v>2.0699999999999998</v>
      </c>
      <c r="K589" s="6">
        <f t="shared" si="225"/>
        <v>2.13</v>
      </c>
      <c r="L589" s="6">
        <f t="shared" si="226"/>
        <v>-3.0000000000000249E-2</v>
      </c>
      <c r="M589">
        <v>6.3507145918769998</v>
      </c>
      <c r="N589">
        <v>304750</v>
      </c>
      <c r="O589" s="18">
        <f>ROUND(N589/VLOOKUP(EOMONTH(A589,-1),Employment!A:P,16,FALSE),4)</f>
        <v>1.3178000000000001</v>
      </c>
      <c r="P589" s="18">
        <f t="shared" si="216"/>
        <v>1.351</v>
      </c>
      <c r="Q589" s="29">
        <f t="shared" si="217"/>
        <v>-2.9700000000000001E-2</v>
      </c>
      <c r="R589" s="29">
        <f t="shared" si="218"/>
        <v>3.1099999999999999E-2</v>
      </c>
      <c r="S589">
        <v>2429000</v>
      </c>
      <c r="T589" s="18">
        <f>ROUND((S589/7)/VLOOKUP(EOMONTH(A589,-1),Employment!A:P,16,FALSE),4)</f>
        <v>1.5004999999999999</v>
      </c>
      <c r="U589" s="18">
        <f t="shared" si="219"/>
        <v>1.5192000000000001</v>
      </c>
      <c r="V589" s="29">
        <f t="shared" si="220"/>
        <v>1.78E-2</v>
      </c>
      <c r="W589" s="29">
        <f t="shared" si="221"/>
        <v>1E-4</v>
      </c>
      <c r="X589" s="30">
        <f t="shared" si="222"/>
        <v>168.93</v>
      </c>
      <c r="Y589" s="31">
        <f t="shared" si="223"/>
        <v>153.97999999999999</v>
      </c>
    </row>
    <row r="590" spans="1:25" ht="15" customHeight="1" x14ac:dyDescent="0.25">
      <c r="A590" s="5">
        <v>39215</v>
      </c>
      <c r="B590">
        <v>1234.9443000000001</v>
      </c>
      <c r="C590" s="29">
        <f t="shared" si="227"/>
        <v>8.5000000000000006E-3</v>
      </c>
      <c r="D590">
        <v>-0.67</v>
      </c>
      <c r="E590">
        <v>-0.56699999999999995</v>
      </c>
      <c r="F590" s="18">
        <f t="shared" si="214"/>
        <v>-0.39999999999999858</v>
      </c>
      <c r="G590" s="18">
        <f t="shared" si="215"/>
        <v>-0.15599999999999881</v>
      </c>
      <c r="H590">
        <v>2.63</v>
      </c>
      <c r="I590">
        <v>1.66</v>
      </c>
      <c r="J590">
        <f t="shared" si="224"/>
        <v>2.15</v>
      </c>
      <c r="K590" s="6">
        <f t="shared" si="225"/>
        <v>2.16</v>
      </c>
      <c r="L590" s="6">
        <f t="shared" si="226"/>
        <v>-9.9999999999997868E-3</v>
      </c>
      <c r="M590">
        <v>5.5531850940272998</v>
      </c>
      <c r="N590">
        <v>312250</v>
      </c>
      <c r="O590" s="18">
        <f>ROUND(N590/VLOOKUP(EOMONTH(A590,-1),Employment!A:P,16,FALSE),4)</f>
        <v>1.3503000000000001</v>
      </c>
      <c r="P590" s="18">
        <f t="shared" si="216"/>
        <v>1.3758999999999999</v>
      </c>
      <c r="Q590" s="29">
        <f t="shared" si="217"/>
        <v>1.83E-2</v>
      </c>
      <c r="R590" s="29">
        <f t="shared" si="218"/>
        <v>1.8E-3</v>
      </c>
      <c r="S590">
        <v>2486000</v>
      </c>
      <c r="T590" s="18">
        <f>ROUND((S590/7)/VLOOKUP(EOMONTH(A590,-1),Employment!A:P,16,FALSE),4)</f>
        <v>1.5357000000000001</v>
      </c>
      <c r="U590" s="18">
        <f t="shared" si="219"/>
        <v>1.5422</v>
      </c>
      <c r="V590" s="29">
        <f t="shared" si="220"/>
        <v>2.7699999999999999E-2</v>
      </c>
      <c r="W590" s="29">
        <f t="shared" si="221"/>
        <v>-2.5000000000000001E-3</v>
      </c>
      <c r="X590" s="30">
        <f t="shared" si="222"/>
        <v>146.71</v>
      </c>
      <c r="Y590" s="31">
        <f t="shared" si="223"/>
        <v>139.87</v>
      </c>
    </row>
    <row r="591" spans="1:25" ht="15" customHeight="1" x14ac:dyDescent="0.25">
      <c r="A591" s="5">
        <v>39208</v>
      </c>
      <c r="B591">
        <v>1228.5867000000001</v>
      </c>
      <c r="C591" s="29">
        <f t="shared" si="227"/>
        <v>5.1999999999999998E-3</v>
      </c>
      <c r="D591">
        <v>-0.67</v>
      </c>
      <c r="E591">
        <v>-0.61699999999999999</v>
      </c>
      <c r="F591" s="18">
        <f t="shared" ref="F591:F654" si="228">(((D591*10)+(E591*8))*-1)-(((D592*10)+(E592*8))*-1)</f>
        <v>7.9999999999991189E-3</v>
      </c>
      <c r="G591" s="18">
        <f t="shared" ref="G591:G654" si="229">SUM(F591:F593)</f>
        <v>0.37199999999999989</v>
      </c>
      <c r="H591">
        <v>2.7</v>
      </c>
      <c r="I591">
        <v>1.64</v>
      </c>
      <c r="J591">
        <f t="shared" si="224"/>
        <v>2.17</v>
      </c>
      <c r="K591" s="6">
        <f t="shared" si="225"/>
        <v>2.17</v>
      </c>
      <c r="L591" s="6">
        <f t="shared" si="226"/>
        <v>-1.0000000000000231E-2</v>
      </c>
      <c r="M591">
        <v>4.672478950026</v>
      </c>
      <c r="N591">
        <v>320250</v>
      </c>
      <c r="O591" s="18">
        <f>ROUND(N591/VLOOKUP(EOMONTH(A591,-1),Employment!A:P,16,FALSE),4)</f>
        <v>1.3848</v>
      </c>
      <c r="P591" s="18">
        <f t="shared" ref="P591:P654" si="230">ROUND(AVERAGE(O591:O593),4)</f>
        <v>1.3835999999999999</v>
      </c>
      <c r="Q591" s="29">
        <f t="shared" ref="Q591:Q654" si="231">ROUND((P591/P643)-1,4)</f>
        <v>4.9500000000000002E-2</v>
      </c>
      <c r="R591" s="29">
        <f t="shared" ref="R591:R654" si="232">ROUND(AVERAGE(Q591:Q592)-AVERAGE(Q591:Q595),4)*-1</f>
        <v>-1.52E-2</v>
      </c>
      <c r="S591">
        <v>2463000</v>
      </c>
      <c r="T591" s="18">
        <f>ROUND((S591/7)/VLOOKUP(EOMONTH(A591,-1),Employment!A:P,16,FALSE),4)</f>
        <v>1.5215000000000001</v>
      </c>
      <c r="U591" s="18">
        <f t="shared" ref="U591:U654" si="233">ROUND(AVERAGE(T591:T593),4)</f>
        <v>1.5448999999999999</v>
      </c>
      <c r="V591" s="29">
        <f t="shared" ref="V591:V654" si="234">ROUND((U591/U643)-1,4)</f>
        <v>2.1499999999999998E-2</v>
      </c>
      <c r="W591" s="29">
        <f t="shared" ref="W591:W654" si="235">ROUND(AVERAGE(V591:V592)-AVERAGE(V591:V595),4)*-1</f>
        <v>-7.4999999999999997E-3</v>
      </c>
      <c r="X591" s="30">
        <f t="shared" ref="X591:X654" si="236">IF(ROUND((C591*500)-(D591*10)-(E591*8)+(M591*1.2)-(P591*23)-(Q591*10)+(R591*600)-(U591*2)-(V591*5)+(W591*100)-(K591*5)-(L591*5)+(G591*3),2)+170&lt;0,0,ROUND((C591*500)-(D591*10)-(E591*8)+(M591*1.2)-(P591*23)-(Q591*10)+(R591*600)-(U591*2)-(V591*5)+(W591*100)-(K591*5)-(L591*5)+(G591*3),2)+170)</f>
        <v>134.77000000000001</v>
      </c>
      <c r="Y591" s="31">
        <f t="shared" ref="Y591:Y654" si="237">ROUND(AVERAGE(AVERAGE(X591:X592),AVERAGE(X591:X593)),2)</f>
        <v>136.62</v>
      </c>
    </row>
    <row r="592" spans="1:25" ht="15" customHeight="1" x14ac:dyDescent="0.25">
      <c r="A592" s="5">
        <v>39201</v>
      </c>
      <c r="B592">
        <v>1224.3398999999999</v>
      </c>
      <c r="C592" s="29">
        <f t="shared" si="227"/>
        <v>2.8999999999999998E-3</v>
      </c>
      <c r="D592">
        <v>-0.67</v>
      </c>
      <c r="E592">
        <v>-0.61599999999999999</v>
      </c>
      <c r="F592" s="18">
        <f t="shared" si="228"/>
        <v>0.23600000000000065</v>
      </c>
      <c r="G592" s="18">
        <f t="shared" si="229"/>
        <v>0.53200000000000003</v>
      </c>
      <c r="H592">
        <v>2.63</v>
      </c>
      <c r="I592">
        <v>1.68</v>
      </c>
      <c r="J592">
        <f t="shared" ref="J592:J655" si="238">ROUND(AVERAGE(H592:I592),2)</f>
        <v>2.16</v>
      </c>
      <c r="K592" s="6">
        <f t="shared" ref="K592:K655" si="239">ROUND(AVERAGE(J592:J594),2)</f>
        <v>2.1800000000000002</v>
      </c>
      <c r="L592" s="6">
        <f t="shared" ref="L592:L655" si="240">K592-K593</f>
        <v>-4.0000000000000036E-2</v>
      </c>
      <c r="M592">
        <v>3.8051155791054998</v>
      </c>
      <c r="N592">
        <v>321750</v>
      </c>
      <c r="O592" s="18">
        <f>ROUND(N592/VLOOKUP(EOMONTH(A592,-1),Employment!A:P,16,FALSE),4)</f>
        <v>1.3927</v>
      </c>
      <c r="P592" s="18">
        <f t="shared" si="230"/>
        <v>1.3732</v>
      </c>
      <c r="Q592" s="29">
        <f t="shared" si="231"/>
        <v>5.2600000000000001E-2</v>
      </c>
      <c r="R592" s="29">
        <f t="shared" si="232"/>
        <v>-1.17E-2</v>
      </c>
      <c r="S592">
        <v>2538000</v>
      </c>
      <c r="T592" s="18">
        <f>ROUND((S592/7)/VLOOKUP(EOMONTH(A592,-1),Employment!A:P,16,FALSE),4)</f>
        <v>1.5692999999999999</v>
      </c>
      <c r="U592" s="18">
        <f t="shared" si="233"/>
        <v>1.5528</v>
      </c>
      <c r="V592" s="29">
        <f t="shared" si="234"/>
        <v>2.9100000000000001E-2</v>
      </c>
      <c r="W592" s="29">
        <f t="shared" si="235"/>
        <v>-6.7000000000000002E-3</v>
      </c>
      <c r="X592" s="30">
        <f t="shared" si="236"/>
        <v>135.49</v>
      </c>
      <c r="Y592" s="31">
        <f t="shared" si="237"/>
        <v>142.76</v>
      </c>
    </row>
    <row r="593" spans="1:25" ht="15" customHeight="1" x14ac:dyDescent="0.25">
      <c r="A593" s="5">
        <v>39194</v>
      </c>
      <c r="B593">
        <v>1221.9055000000001</v>
      </c>
      <c r="C593" s="29">
        <f t="shared" si="227"/>
        <v>3.3E-3</v>
      </c>
      <c r="D593">
        <v>-0.66</v>
      </c>
      <c r="E593">
        <v>-0.59899999999999998</v>
      </c>
      <c r="F593" s="18">
        <f t="shared" si="228"/>
        <v>0.12800000000000011</v>
      </c>
      <c r="G593" s="18">
        <f t="shared" si="229"/>
        <v>-0.12800000000000011</v>
      </c>
      <c r="H593">
        <v>2.68</v>
      </c>
      <c r="I593">
        <v>1.68</v>
      </c>
      <c r="J593">
        <f t="shared" si="238"/>
        <v>2.1800000000000002</v>
      </c>
      <c r="K593" s="6">
        <f t="shared" si="239"/>
        <v>2.2200000000000002</v>
      </c>
      <c r="L593" s="6">
        <f t="shared" si="240"/>
        <v>-3.9999999999999591E-2</v>
      </c>
      <c r="M593">
        <v>3.3440373973069999</v>
      </c>
      <c r="N593">
        <v>317250</v>
      </c>
      <c r="O593" s="18">
        <f>ROUND(N593/VLOOKUP(EOMONTH(A593,-1),Employment!A:P,16,FALSE),4)</f>
        <v>1.3732</v>
      </c>
      <c r="P593" s="18">
        <f t="shared" si="230"/>
        <v>1.3514999999999999</v>
      </c>
      <c r="Q593" s="29">
        <f t="shared" si="231"/>
        <v>3.6299999999999999E-2</v>
      </c>
      <c r="R593" s="29">
        <f t="shared" si="232"/>
        <v>5.1999999999999998E-3</v>
      </c>
      <c r="S593">
        <v>2497000</v>
      </c>
      <c r="T593" s="18">
        <f>ROUND((S593/7)/VLOOKUP(EOMONTH(A593,-1),Employment!A:P,16,FALSE),4)</f>
        <v>1.544</v>
      </c>
      <c r="U593" s="18">
        <f t="shared" si="233"/>
        <v>1.5427</v>
      </c>
      <c r="V593" s="29">
        <f t="shared" si="234"/>
        <v>1.7999999999999999E-2</v>
      </c>
      <c r="W593" s="29">
        <f t="shared" si="235"/>
        <v>-2.0999999999999999E-3</v>
      </c>
      <c r="X593" s="30">
        <f t="shared" si="236"/>
        <v>144.06</v>
      </c>
      <c r="Y593" s="31">
        <f t="shared" si="237"/>
        <v>152.1</v>
      </c>
    </row>
    <row r="594" spans="1:25" ht="15" customHeight="1" x14ac:dyDescent="0.25">
      <c r="A594" s="5">
        <v>39187</v>
      </c>
      <c r="B594">
        <v>1223.5410999999999</v>
      </c>
      <c r="C594" s="29">
        <f t="shared" ref="C594:C657" si="241">ROUND((B594-AVERAGE(B595:B598))/AVERAGE(B595:B598),4)</f>
        <v>6.8999999999999999E-3</v>
      </c>
      <c r="D594">
        <v>-0.66</v>
      </c>
      <c r="E594">
        <v>-0.58299999999999996</v>
      </c>
      <c r="F594" s="18">
        <f t="shared" si="228"/>
        <v>0.16799999999999926</v>
      </c>
      <c r="G594" s="18">
        <f t="shared" si="229"/>
        <v>6.799999999999784E-2</v>
      </c>
      <c r="H594">
        <v>2.71</v>
      </c>
      <c r="I594">
        <v>1.7</v>
      </c>
      <c r="J594">
        <f t="shared" si="238"/>
        <v>2.21</v>
      </c>
      <c r="K594" s="6">
        <f t="shared" si="239"/>
        <v>2.2599999999999998</v>
      </c>
      <c r="L594" s="6">
        <f t="shared" si="240"/>
        <v>-2.0000000000000018E-2</v>
      </c>
      <c r="M594">
        <v>3.1616961438182001</v>
      </c>
      <c r="N594">
        <v>312750</v>
      </c>
      <c r="O594" s="18">
        <f>ROUND(N594/VLOOKUP(EOMONTH(A594,-1),Employment!A:P,16,FALSE),4)</f>
        <v>1.3536999999999999</v>
      </c>
      <c r="P594" s="18">
        <f t="shared" si="230"/>
        <v>1.3411</v>
      </c>
      <c r="Q594" s="29">
        <f t="shared" si="231"/>
        <v>2.1700000000000001E-2</v>
      </c>
      <c r="R594" s="29">
        <f t="shared" si="232"/>
        <v>2.3E-2</v>
      </c>
      <c r="S594">
        <v>2499000</v>
      </c>
      <c r="T594" s="18">
        <f>ROUND((S594/7)/VLOOKUP(EOMONTH(A594,-1),Employment!A:P,16,FALSE),4)</f>
        <v>1.5451999999999999</v>
      </c>
      <c r="U594" s="18">
        <f t="shared" si="233"/>
        <v>1.5464</v>
      </c>
      <c r="V594" s="29">
        <f t="shared" si="234"/>
        <v>1.4200000000000001E-2</v>
      </c>
      <c r="W594" s="29">
        <f t="shared" si="235"/>
        <v>5.7000000000000002E-3</v>
      </c>
      <c r="X594" s="30">
        <f t="shared" si="236"/>
        <v>157.66</v>
      </c>
      <c r="Y594" s="31">
        <f t="shared" si="237"/>
        <v>157.71</v>
      </c>
    </row>
    <row r="595" spans="1:25" ht="15" customHeight="1" x14ac:dyDescent="0.25">
      <c r="A595" s="5">
        <v>39180</v>
      </c>
      <c r="B595">
        <v>1219.1478</v>
      </c>
      <c r="C595" s="29">
        <f t="shared" si="241"/>
        <v>4.3E-3</v>
      </c>
      <c r="D595">
        <v>-0.64</v>
      </c>
      <c r="E595">
        <v>-0.58699999999999997</v>
      </c>
      <c r="F595" s="18">
        <f t="shared" si="228"/>
        <v>-0.42399999999999949</v>
      </c>
      <c r="G595" s="18">
        <f t="shared" si="229"/>
        <v>-0.71999999999999886</v>
      </c>
      <c r="H595">
        <v>2.84</v>
      </c>
      <c r="I595">
        <v>1.71</v>
      </c>
      <c r="J595">
        <f t="shared" si="238"/>
        <v>2.2799999999999998</v>
      </c>
      <c r="K595" s="6">
        <f t="shared" si="239"/>
        <v>2.2799999999999998</v>
      </c>
      <c r="L595" s="6">
        <f t="shared" si="240"/>
        <v>0</v>
      </c>
      <c r="M595">
        <v>3.1576161121325002</v>
      </c>
      <c r="N595">
        <v>306750</v>
      </c>
      <c r="O595" s="18">
        <f>ROUND(N595/VLOOKUP(EOMONTH(A595,-1),Employment!A:P,16,FALSE),4)</f>
        <v>1.3277000000000001</v>
      </c>
      <c r="P595" s="18">
        <f t="shared" si="230"/>
        <v>1.3443000000000001</v>
      </c>
      <c r="Q595" s="29">
        <f t="shared" si="231"/>
        <v>1.9E-2</v>
      </c>
      <c r="R595" s="29">
        <f t="shared" si="232"/>
        <v>3.1099999999999999E-2</v>
      </c>
      <c r="S595">
        <v>2489000</v>
      </c>
      <c r="T595" s="18">
        <f>ROUND((S595/7)/VLOOKUP(EOMONTH(A595,-1),Employment!A:P,16,FALSE),4)</f>
        <v>1.5389999999999999</v>
      </c>
      <c r="U595" s="18">
        <f t="shared" si="233"/>
        <v>1.5494000000000001</v>
      </c>
      <c r="V595" s="29">
        <f t="shared" si="234"/>
        <v>6.3E-3</v>
      </c>
      <c r="W595" s="29">
        <f t="shared" si="235"/>
        <v>4.0000000000000001E-3</v>
      </c>
      <c r="X595" s="30">
        <f t="shared" si="236"/>
        <v>158.30000000000001</v>
      </c>
      <c r="Y595" s="31">
        <f t="shared" si="237"/>
        <v>154.26</v>
      </c>
    </row>
    <row r="596" spans="1:25" ht="15" customHeight="1" x14ac:dyDescent="0.25">
      <c r="A596" s="5">
        <v>39173</v>
      </c>
      <c r="B596">
        <v>1218.771</v>
      </c>
      <c r="C596" s="29">
        <f t="shared" si="241"/>
        <v>6.6E-3</v>
      </c>
      <c r="D596">
        <v>-0.66</v>
      </c>
      <c r="E596">
        <v>-0.61499999999999999</v>
      </c>
      <c r="F596" s="18">
        <f t="shared" si="228"/>
        <v>0.32399999999999807</v>
      </c>
      <c r="G596" s="18">
        <f t="shared" si="229"/>
        <v>-0.53200000000000003</v>
      </c>
      <c r="H596">
        <v>2.8</v>
      </c>
      <c r="I596">
        <v>1.75</v>
      </c>
      <c r="J596">
        <f t="shared" si="238"/>
        <v>2.2799999999999998</v>
      </c>
      <c r="K596" s="6">
        <f t="shared" si="239"/>
        <v>2.2799999999999998</v>
      </c>
      <c r="L596" s="6">
        <f t="shared" si="240"/>
        <v>2.9999999999999805E-2</v>
      </c>
      <c r="M596">
        <v>3.1936188863582999</v>
      </c>
      <c r="N596">
        <v>310000</v>
      </c>
      <c r="O596" s="18">
        <f>ROUND(N596/VLOOKUP(EOMONTH(A596,-1),Employment!A:P,16,FALSE),4)</f>
        <v>1.3418000000000001</v>
      </c>
      <c r="P596" s="18">
        <f t="shared" si="230"/>
        <v>1.3606</v>
      </c>
      <c r="Q596" s="29">
        <f t="shared" si="231"/>
        <v>3.4200000000000001E-2</v>
      </c>
      <c r="R596" s="29">
        <f t="shared" si="232"/>
        <v>2.5999999999999999E-2</v>
      </c>
      <c r="S596">
        <v>2515000</v>
      </c>
      <c r="T596" s="18">
        <f>ROUND((S596/7)/VLOOKUP(EOMONTH(A596,-1),Employment!A:P,16,FALSE),4)</f>
        <v>1.5550999999999999</v>
      </c>
      <c r="U596" s="18">
        <f t="shared" si="233"/>
        <v>1.5688</v>
      </c>
      <c r="V596" s="29">
        <f t="shared" si="234"/>
        <v>1.67E-2</v>
      </c>
      <c r="W596" s="29">
        <f t="shared" si="235"/>
        <v>1.2999999999999999E-3</v>
      </c>
      <c r="X596" s="30">
        <f t="shared" si="236"/>
        <v>156.38</v>
      </c>
      <c r="Y596" s="31">
        <f t="shared" si="237"/>
        <v>145.46</v>
      </c>
    </row>
    <row r="597" spans="1:25" ht="15" customHeight="1" x14ac:dyDescent="0.25">
      <c r="A597" s="5">
        <v>39166</v>
      </c>
      <c r="B597">
        <v>1210.2226000000001</v>
      </c>
      <c r="C597" s="29">
        <f t="shared" si="241"/>
        <v>1.4E-3</v>
      </c>
      <c r="D597">
        <v>-0.67</v>
      </c>
      <c r="E597">
        <v>-0.56200000000000006</v>
      </c>
      <c r="F597" s="18">
        <f t="shared" si="228"/>
        <v>-0.61999999999999744</v>
      </c>
      <c r="G597" s="18">
        <f t="shared" si="229"/>
        <v>-2.3839999999999986</v>
      </c>
      <c r="H597">
        <v>2.79</v>
      </c>
      <c r="I597">
        <v>1.75</v>
      </c>
      <c r="J597">
        <f t="shared" si="238"/>
        <v>2.27</v>
      </c>
      <c r="K597" s="6">
        <f t="shared" si="239"/>
        <v>2.25</v>
      </c>
      <c r="L597" s="6">
        <f t="shared" si="240"/>
        <v>-9.9999999999997868E-3</v>
      </c>
      <c r="M597">
        <v>3.3088521320468001</v>
      </c>
      <c r="N597">
        <v>314750</v>
      </c>
      <c r="O597" s="18">
        <f>ROUND(N597/VLOOKUP(EOMONTH(A597,-1),Employment!A:P,16,FALSE),4)</f>
        <v>1.3634999999999999</v>
      </c>
      <c r="P597" s="18">
        <f t="shared" si="230"/>
        <v>1.383</v>
      </c>
      <c r="Q597" s="29">
        <f t="shared" si="231"/>
        <v>0.06</v>
      </c>
      <c r="R597" s="29">
        <f t="shared" si="232"/>
        <v>1.3299999999999999E-2</v>
      </c>
      <c r="S597">
        <v>2511000</v>
      </c>
      <c r="T597" s="18">
        <f>ROUND((S597/7)/VLOOKUP(EOMONTH(A597,-1),Employment!A:P,16,FALSE),4)</f>
        <v>1.554</v>
      </c>
      <c r="U597" s="18">
        <f t="shared" si="233"/>
        <v>1.5763</v>
      </c>
      <c r="V597" s="29">
        <f t="shared" si="234"/>
        <v>1.46E-2</v>
      </c>
      <c r="W597" s="29">
        <f t="shared" si="235"/>
        <v>-9.9000000000000008E-3</v>
      </c>
      <c r="X597" s="30">
        <f t="shared" si="236"/>
        <v>138.87</v>
      </c>
      <c r="Y597" s="31">
        <f t="shared" si="237"/>
        <v>136.03</v>
      </c>
    </row>
    <row r="598" spans="1:25" ht="15" customHeight="1" x14ac:dyDescent="0.25">
      <c r="A598" s="5">
        <v>39159</v>
      </c>
      <c r="B598">
        <v>1212.3608999999999</v>
      </c>
      <c r="C598" s="29">
        <f t="shared" si="241"/>
        <v>5.8999999999999999E-3</v>
      </c>
      <c r="D598">
        <v>-0.7</v>
      </c>
      <c r="E598">
        <v>-0.60199999999999998</v>
      </c>
      <c r="F598" s="18">
        <f t="shared" si="228"/>
        <v>-0.23600000000000065</v>
      </c>
      <c r="G598" s="18">
        <f t="shared" si="229"/>
        <v>-1.604000000000001</v>
      </c>
      <c r="H598">
        <v>2.88</v>
      </c>
      <c r="I598">
        <v>1.7</v>
      </c>
      <c r="J598">
        <f t="shared" si="238"/>
        <v>2.29</v>
      </c>
      <c r="K598" s="6">
        <f t="shared" si="239"/>
        <v>2.2599999999999998</v>
      </c>
      <c r="L598" s="6">
        <f t="shared" si="240"/>
        <v>8.9999999999999858E-2</v>
      </c>
      <c r="M598">
        <v>3.298110749113</v>
      </c>
      <c r="N598">
        <v>317750</v>
      </c>
      <c r="O598" s="18">
        <f>ROUND(N598/VLOOKUP(EOMONTH(A598,-1),Employment!A:P,16,FALSE),4)</f>
        <v>1.3765000000000001</v>
      </c>
      <c r="P598" s="18">
        <f t="shared" si="230"/>
        <v>1.3946000000000001</v>
      </c>
      <c r="Q598" s="29">
        <f t="shared" si="231"/>
        <v>8.1699999999999995E-2</v>
      </c>
      <c r="R598" s="29">
        <f t="shared" si="232"/>
        <v>0</v>
      </c>
      <c r="S598">
        <v>2581000</v>
      </c>
      <c r="T598" s="18">
        <f>ROUND((S598/7)/VLOOKUP(EOMONTH(A598,-1),Employment!A:P,16,FALSE),4)</f>
        <v>1.5972999999999999</v>
      </c>
      <c r="U598" s="18">
        <f t="shared" si="233"/>
        <v>1.6</v>
      </c>
      <c r="V598" s="29">
        <f t="shared" si="234"/>
        <v>2.7900000000000001E-2</v>
      </c>
      <c r="W598" s="29">
        <f t="shared" si="235"/>
        <v>-1.2999999999999999E-2</v>
      </c>
      <c r="X598" s="30">
        <f t="shared" si="236"/>
        <v>134.63</v>
      </c>
      <c r="Y598" s="31">
        <f t="shared" si="237"/>
        <v>133.76</v>
      </c>
    </row>
    <row r="599" spans="1:25" ht="15" customHeight="1" x14ac:dyDescent="0.25">
      <c r="A599" s="5">
        <v>39152</v>
      </c>
      <c r="B599">
        <v>1214.152</v>
      </c>
      <c r="C599" s="29">
        <f t="shared" si="241"/>
        <v>1.17E-2</v>
      </c>
      <c r="D599">
        <v>-0.71</v>
      </c>
      <c r="E599">
        <v>-0.61899999999999999</v>
      </c>
      <c r="F599" s="18">
        <f t="shared" si="228"/>
        <v>-1.5280000000000005</v>
      </c>
      <c r="G599" s="18">
        <f t="shared" si="229"/>
        <v>-1.3880000000000017</v>
      </c>
      <c r="H599">
        <v>2.75</v>
      </c>
      <c r="I599">
        <v>1.65</v>
      </c>
      <c r="J599">
        <f t="shared" si="238"/>
        <v>2.2000000000000002</v>
      </c>
      <c r="K599" s="6">
        <f t="shared" si="239"/>
        <v>2.17</v>
      </c>
      <c r="L599" s="6">
        <f t="shared" si="240"/>
        <v>4.0000000000000036E-2</v>
      </c>
      <c r="M599">
        <v>3.0681850903368</v>
      </c>
      <c r="N599">
        <v>325250</v>
      </c>
      <c r="O599" s="18">
        <f>ROUND(N599/VLOOKUP(EOMONTH(A599,-1),Employment!A:P,16,FALSE),4)</f>
        <v>1.409</v>
      </c>
      <c r="P599" s="18">
        <f t="shared" si="230"/>
        <v>1.3971</v>
      </c>
      <c r="Q599" s="29">
        <f t="shared" si="231"/>
        <v>9.35E-2</v>
      </c>
      <c r="R599" s="29">
        <f t="shared" si="232"/>
        <v>-0.01</v>
      </c>
      <c r="S599">
        <v>2549000</v>
      </c>
      <c r="T599" s="18">
        <f>ROUND((S599/7)/VLOOKUP(EOMONTH(A599,-1),Employment!A:P,16,FALSE),4)</f>
        <v>1.5774999999999999</v>
      </c>
      <c r="U599" s="18">
        <f t="shared" si="233"/>
        <v>1.5892999999999999</v>
      </c>
      <c r="V599" s="29">
        <f t="shared" si="234"/>
        <v>1.2E-2</v>
      </c>
      <c r="W599" s="29">
        <f t="shared" si="235"/>
        <v>-1.61E-2</v>
      </c>
      <c r="X599" s="30">
        <f t="shared" si="236"/>
        <v>132.44999999999999</v>
      </c>
      <c r="Y599" s="31">
        <f t="shared" si="237"/>
        <v>133.65</v>
      </c>
    </row>
    <row r="600" spans="1:25" ht="15" customHeight="1" x14ac:dyDescent="0.25">
      <c r="A600" s="5">
        <v>39145</v>
      </c>
      <c r="B600">
        <v>1206.2013999999999</v>
      </c>
      <c r="C600" s="29">
        <f t="shared" si="241"/>
        <v>7.4999999999999997E-3</v>
      </c>
      <c r="D600">
        <v>-0.75</v>
      </c>
      <c r="E600">
        <v>-0.76</v>
      </c>
      <c r="F600" s="18">
        <f t="shared" si="228"/>
        <v>0.16000000000000014</v>
      </c>
      <c r="G600" s="18">
        <f t="shared" si="229"/>
        <v>0.57599999999999874</v>
      </c>
      <c r="H600">
        <v>2.91</v>
      </c>
      <c r="I600">
        <v>1.64</v>
      </c>
      <c r="J600">
        <f t="shared" si="238"/>
        <v>2.2799999999999998</v>
      </c>
      <c r="K600" s="6">
        <f t="shared" si="239"/>
        <v>2.13</v>
      </c>
      <c r="L600" s="6">
        <f t="shared" si="240"/>
        <v>6.999999999999984E-2</v>
      </c>
      <c r="M600">
        <v>3.1018019305481999</v>
      </c>
      <c r="N600">
        <v>322750</v>
      </c>
      <c r="O600" s="18">
        <f>ROUND(N600/VLOOKUP(EOMONTH(A600,-1),Employment!A:P,16,FALSE),4)</f>
        <v>1.3982000000000001</v>
      </c>
      <c r="P600" s="18">
        <f t="shared" si="230"/>
        <v>1.3938999999999999</v>
      </c>
      <c r="Q600" s="29">
        <f t="shared" si="231"/>
        <v>9.6000000000000002E-2</v>
      </c>
      <c r="R600" s="29">
        <f t="shared" si="232"/>
        <v>-1.5800000000000002E-2</v>
      </c>
      <c r="S600">
        <v>2626000</v>
      </c>
      <c r="T600" s="18">
        <f>ROUND((S600/7)/VLOOKUP(EOMONTH(A600,-1),Employment!A:P,16,FALSE),4)</f>
        <v>1.6252</v>
      </c>
      <c r="U600" s="18">
        <f t="shared" si="233"/>
        <v>1.5951</v>
      </c>
      <c r="V600" s="29">
        <f t="shared" si="234"/>
        <v>1.3299999999999999E-2</v>
      </c>
      <c r="W600" s="29">
        <f t="shared" si="235"/>
        <v>-1.18E-2</v>
      </c>
      <c r="X600" s="30">
        <f t="shared" si="236"/>
        <v>134.84</v>
      </c>
      <c r="Y600" s="31">
        <f t="shared" si="237"/>
        <v>134.03</v>
      </c>
    </row>
    <row r="601" spans="1:25" ht="15" customHeight="1" x14ac:dyDescent="0.25">
      <c r="A601" s="5">
        <v>39138</v>
      </c>
      <c r="B601">
        <v>1201.2066</v>
      </c>
      <c r="C601" s="29">
        <f t="shared" si="241"/>
        <v>4.7999999999999996E-3</v>
      </c>
      <c r="D601">
        <v>-0.77</v>
      </c>
      <c r="E601">
        <v>-0.71499999999999997</v>
      </c>
      <c r="F601" s="18">
        <f t="shared" si="228"/>
        <v>-2.000000000000135E-2</v>
      </c>
      <c r="G601" s="18">
        <f t="shared" si="229"/>
        <v>0.53599999999999959</v>
      </c>
      <c r="H601">
        <v>2.5499999999999998</v>
      </c>
      <c r="I601">
        <v>1.53</v>
      </c>
      <c r="J601">
        <f t="shared" si="238"/>
        <v>2.04</v>
      </c>
      <c r="K601" s="6">
        <f t="shared" si="239"/>
        <v>2.06</v>
      </c>
      <c r="L601" s="6">
        <f t="shared" si="240"/>
        <v>-2.0000000000000018E-2</v>
      </c>
      <c r="M601">
        <v>3.1162456889841001</v>
      </c>
      <c r="N601">
        <v>319250</v>
      </c>
      <c r="O601" s="18">
        <f>ROUND(N601/VLOOKUP(EOMONTH(A601,-1),Employment!A:P,16,FALSE),4)</f>
        <v>1.3841000000000001</v>
      </c>
      <c r="P601" s="18">
        <f t="shared" si="230"/>
        <v>1.3791</v>
      </c>
      <c r="Q601" s="29">
        <f t="shared" si="231"/>
        <v>8.9300000000000004E-2</v>
      </c>
      <c r="R601" s="29">
        <f t="shared" si="232"/>
        <v>-1.6899999999999998E-2</v>
      </c>
      <c r="S601">
        <v>2527000</v>
      </c>
      <c r="T601" s="18">
        <f>ROUND((S601/7)/VLOOKUP(EOMONTH(A601,-1),Employment!A:P,16,FALSE),4)</f>
        <v>1.5650999999999999</v>
      </c>
      <c r="U601" s="18">
        <f t="shared" si="233"/>
        <v>1.5736000000000001</v>
      </c>
      <c r="V601" s="29">
        <f t="shared" si="234"/>
        <v>-1.0800000000000001E-2</v>
      </c>
      <c r="W601" s="29">
        <f t="shared" si="235"/>
        <v>-1.47E-2</v>
      </c>
      <c r="X601" s="30">
        <f t="shared" si="236"/>
        <v>133.65</v>
      </c>
      <c r="Y601" s="31">
        <f t="shared" si="237"/>
        <v>132.82</v>
      </c>
    </row>
    <row r="602" spans="1:25" ht="15" customHeight="1" x14ac:dyDescent="0.25">
      <c r="A602" s="5">
        <v>39131</v>
      </c>
      <c r="B602">
        <v>1199.3753999999999</v>
      </c>
      <c r="C602" s="29">
        <f t="shared" si="241"/>
        <v>5.1999999999999998E-3</v>
      </c>
      <c r="D602">
        <v>-0.78</v>
      </c>
      <c r="E602">
        <v>-0.70499999999999996</v>
      </c>
      <c r="F602" s="18">
        <f t="shared" si="228"/>
        <v>0.43599999999999994</v>
      </c>
      <c r="G602" s="18">
        <f t="shared" si="229"/>
        <v>0.88400000000000034</v>
      </c>
      <c r="H602">
        <v>2.57</v>
      </c>
      <c r="I602">
        <v>1.55</v>
      </c>
      <c r="J602">
        <f t="shared" si="238"/>
        <v>2.06</v>
      </c>
      <c r="K602" s="6">
        <f t="shared" si="239"/>
        <v>2.08</v>
      </c>
      <c r="L602" s="6">
        <f t="shared" si="240"/>
        <v>-9.9999999999997868E-3</v>
      </c>
      <c r="M602">
        <v>2.9332667890259998</v>
      </c>
      <c r="N602">
        <v>322750</v>
      </c>
      <c r="O602" s="18">
        <f>ROUND(N602/VLOOKUP(EOMONTH(A602,-1),Employment!A:P,16,FALSE),4)</f>
        <v>1.3993</v>
      </c>
      <c r="P602" s="18">
        <f t="shared" si="230"/>
        <v>1.3762000000000001</v>
      </c>
      <c r="Q602" s="29">
        <f t="shared" si="231"/>
        <v>7.7399999999999997E-2</v>
      </c>
      <c r="R602" s="29">
        <f t="shared" si="232"/>
        <v>-1.89E-2</v>
      </c>
      <c r="S602">
        <v>2575000</v>
      </c>
      <c r="T602" s="18">
        <f>ROUND((S602/7)/VLOOKUP(EOMONTH(A602,-1),Employment!A:P,16,FALSE),4)</f>
        <v>1.5949</v>
      </c>
      <c r="U602" s="18">
        <f t="shared" si="233"/>
        <v>1.5788</v>
      </c>
      <c r="V602" s="29">
        <f t="shared" si="234"/>
        <v>-7.4000000000000003E-3</v>
      </c>
      <c r="W602" s="29">
        <f t="shared" si="235"/>
        <v>-1.9900000000000001E-2</v>
      </c>
      <c r="X602" s="30">
        <f t="shared" si="236"/>
        <v>132.97999999999999</v>
      </c>
      <c r="Y602" s="31">
        <f t="shared" si="237"/>
        <v>132.03</v>
      </c>
    </row>
    <row r="603" spans="1:25" ht="15" customHeight="1" x14ac:dyDescent="0.25">
      <c r="A603" s="5">
        <v>39124</v>
      </c>
      <c r="B603">
        <v>1193.835</v>
      </c>
      <c r="C603" s="29">
        <f t="shared" si="241"/>
        <v>2E-3</v>
      </c>
      <c r="D603">
        <v>-0.77</v>
      </c>
      <c r="E603">
        <v>-0.66300000000000003</v>
      </c>
      <c r="F603" s="18">
        <f t="shared" si="228"/>
        <v>0.12000000000000099</v>
      </c>
      <c r="G603" s="18">
        <f t="shared" si="229"/>
        <v>1.0280000000000022</v>
      </c>
      <c r="H603">
        <v>2.59</v>
      </c>
      <c r="I603">
        <v>1.54</v>
      </c>
      <c r="J603">
        <f t="shared" si="238"/>
        <v>2.0699999999999998</v>
      </c>
      <c r="K603" s="6">
        <f t="shared" si="239"/>
        <v>2.09</v>
      </c>
      <c r="L603" s="6">
        <f t="shared" si="240"/>
        <v>-2.0000000000000018E-2</v>
      </c>
      <c r="M603">
        <v>3.4202747243974998</v>
      </c>
      <c r="N603">
        <v>312250</v>
      </c>
      <c r="O603" s="18">
        <f>ROUND(N603/VLOOKUP(EOMONTH(A603,-1),Employment!A:P,16,FALSE),4)</f>
        <v>1.3537999999999999</v>
      </c>
      <c r="P603" s="18">
        <f t="shared" si="230"/>
        <v>1.3813</v>
      </c>
      <c r="Q603" s="29">
        <f t="shared" si="231"/>
        <v>6.7699999999999996E-2</v>
      </c>
      <c r="R603" s="29">
        <f t="shared" si="232"/>
        <v>-2.06E-2</v>
      </c>
      <c r="S603">
        <v>2520000</v>
      </c>
      <c r="T603" s="18">
        <f>ROUND((S603/7)/VLOOKUP(EOMONTH(A603,-1),Employment!A:P,16,FALSE),4)</f>
        <v>1.5608</v>
      </c>
      <c r="U603" s="18">
        <f t="shared" si="233"/>
        <v>1.5659000000000001</v>
      </c>
      <c r="V603" s="29">
        <f t="shared" si="234"/>
        <v>-2.4199999999999999E-2</v>
      </c>
      <c r="W603" s="29">
        <f t="shared" si="235"/>
        <v>-2.6800000000000001E-2</v>
      </c>
      <c r="X603" s="30">
        <f t="shared" si="236"/>
        <v>130.34</v>
      </c>
      <c r="Y603" s="31">
        <f t="shared" si="237"/>
        <v>132.99</v>
      </c>
    </row>
    <row r="604" spans="1:25" ht="15" customHeight="1" x14ac:dyDescent="0.25">
      <c r="A604" s="5">
        <v>39117</v>
      </c>
      <c r="B604">
        <v>1194.3715999999999</v>
      </c>
      <c r="C604" s="29">
        <f t="shared" si="241"/>
        <v>5.1000000000000004E-3</v>
      </c>
      <c r="D604">
        <v>-0.75</v>
      </c>
      <c r="E604">
        <v>-0.67300000000000004</v>
      </c>
      <c r="F604" s="18">
        <f t="shared" si="228"/>
        <v>0.3279999999999994</v>
      </c>
      <c r="G604" s="18">
        <f t="shared" si="229"/>
        <v>1.6159999999999997</v>
      </c>
      <c r="H604">
        <v>2.67</v>
      </c>
      <c r="I604">
        <v>1.56</v>
      </c>
      <c r="J604">
        <f t="shared" si="238"/>
        <v>2.12</v>
      </c>
      <c r="K604" s="6">
        <f t="shared" si="239"/>
        <v>2.11</v>
      </c>
      <c r="L604" s="6">
        <f t="shared" si="240"/>
        <v>-3.0000000000000249E-2</v>
      </c>
      <c r="M604">
        <v>3.7245649216468002</v>
      </c>
      <c r="N604">
        <v>317250</v>
      </c>
      <c r="O604" s="18">
        <f>ROUND(N604/VLOOKUP(EOMONTH(A604,-1),Employment!A:P,16,FALSE),4)</f>
        <v>1.3754999999999999</v>
      </c>
      <c r="P604" s="18">
        <f t="shared" si="230"/>
        <v>1.3972</v>
      </c>
      <c r="Q604" s="29">
        <f t="shared" si="231"/>
        <v>5.3900000000000003E-2</v>
      </c>
      <c r="R604" s="29">
        <f t="shared" si="232"/>
        <v>-2.1100000000000001E-2</v>
      </c>
      <c r="S604">
        <v>2552000</v>
      </c>
      <c r="T604" s="18">
        <f>ROUND((S604/7)/VLOOKUP(EOMONTH(A604,-1),Employment!A:P,16,FALSE),4)</f>
        <v>1.5806</v>
      </c>
      <c r="U604" s="18">
        <f t="shared" si="233"/>
        <v>1.5667</v>
      </c>
      <c r="V604" s="29">
        <f t="shared" si="234"/>
        <v>-2.3400000000000001E-2</v>
      </c>
      <c r="W604" s="29">
        <f t="shared" si="235"/>
        <v>-2.1499999999999998E-2</v>
      </c>
      <c r="X604" s="30">
        <f t="shared" si="236"/>
        <v>133.85</v>
      </c>
      <c r="Y604" s="31">
        <f t="shared" si="237"/>
        <v>136.87</v>
      </c>
    </row>
    <row r="605" spans="1:25" ht="15" customHeight="1" x14ac:dyDescent="0.25">
      <c r="A605" s="5">
        <v>39110</v>
      </c>
      <c r="B605">
        <v>1194.08</v>
      </c>
      <c r="C605" s="29">
        <f t="shared" si="241"/>
        <v>5.8999999999999999E-3</v>
      </c>
      <c r="D605">
        <v>-0.73</v>
      </c>
      <c r="E605">
        <v>-0.65700000000000003</v>
      </c>
      <c r="F605" s="18">
        <f t="shared" si="228"/>
        <v>0.58000000000000185</v>
      </c>
      <c r="G605" s="18">
        <f t="shared" si="229"/>
        <v>1.588000000000001</v>
      </c>
      <c r="H605">
        <v>2.59</v>
      </c>
      <c r="I605">
        <v>1.56</v>
      </c>
      <c r="J605">
        <f t="shared" si="238"/>
        <v>2.08</v>
      </c>
      <c r="K605" s="6">
        <f t="shared" si="239"/>
        <v>2.14</v>
      </c>
      <c r="L605" s="6">
        <f t="shared" si="240"/>
        <v>-6.0000000000000053E-2</v>
      </c>
      <c r="M605">
        <v>3.2548866526265998</v>
      </c>
      <c r="N605">
        <v>325500</v>
      </c>
      <c r="O605" s="18">
        <f>ROUND(N605/VLOOKUP(EOMONTH(A605,-1),Employment!A:P,16,FALSE),4)</f>
        <v>1.4146000000000001</v>
      </c>
      <c r="P605" s="18">
        <f t="shared" si="230"/>
        <v>1.4137999999999999</v>
      </c>
      <c r="Q605" s="29">
        <f t="shared" si="231"/>
        <v>4.3900000000000002E-2</v>
      </c>
      <c r="R605" s="29">
        <f t="shared" si="232"/>
        <v>-1.67E-2</v>
      </c>
      <c r="S605">
        <v>2507000</v>
      </c>
      <c r="T605" s="18">
        <f>ROUND((S605/7)/VLOOKUP(EOMONTH(A605,-1),Employment!A:P,16,FALSE),4)</f>
        <v>1.5564</v>
      </c>
      <c r="U605" s="18">
        <f t="shared" si="233"/>
        <v>1.5479000000000001</v>
      </c>
      <c r="V605" s="29">
        <f t="shared" si="234"/>
        <v>-5.3100000000000001E-2</v>
      </c>
      <c r="W605" s="29">
        <f t="shared" si="235"/>
        <v>-4.8999999999999998E-3</v>
      </c>
      <c r="X605" s="30">
        <f t="shared" si="236"/>
        <v>137.47999999999999</v>
      </c>
      <c r="Y605" s="31">
        <f t="shared" si="237"/>
        <v>140.91999999999999</v>
      </c>
    </row>
    <row r="606" spans="1:25" ht="15" customHeight="1" x14ac:dyDescent="0.25">
      <c r="A606" s="5">
        <v>39103</v>
      </c>
      <c r="B606">
        <v>1190.5762999999999</v>
      </c>
      <c r="C606" s="29">
        <f t="shared" si="241"/>
        <v>5.7999999999999996E-3</v>
      </c>
      <c r="D606">
        <v>-0.7</v>
      </c>
      <c r="E606">
        <v>-0.622</v>
      </c>
      <c r="F606" s="18">
        <f t="shared" si="228"/>
        <v>0.70799999999999841</v>
      </c>
      <c r="G606" s="18">
        <f t="shared" si="229"/>
        <v>0.85999999999999943</v>
      </c>
      <c r="H606">
        <v>2.7</v>
      </c>
      <c r="I606">
        <v>1.57</v>
      </c>
      <c r="J606">
        <f t="shared" si="238"/>
        <v>2.14</v>
      </c>
      <c r="K606" s="6">
        <f t="shared" si="239"/>
        <v>2.2000000000000002</v>
      </c>
      <c r="L606" s="6">
        <f t="shared" si="240"/>
        <v>-2.9999999999999805E-2</v>
      </c>
      <c r="M606">
        <v>3.1709948444084999</v>
      </c>
      <c r="N606">
        <v>322500</v>
      </c>
      <c r="O606" s="18">
        <f>ROUND(N606/VLOOKUP(EOMONTH(A606,-1),Employment!A:P,16,FALSE),4)</f>
        <v>1.4015</v>
      </c>
      <c r="P606" s="18">
        <f t="shared" si="230"/>
        <v>1.4106000000000001</v>
      </c>
      <c r="Q606" s="29">
        <f t="shared" si="231"/>
        <v>2.5399999999999999E-2</v>
      </c>
      <c r="R606" s="29">
        <f t="shared" si="232"/>
        <v>-5.1999999999999998E-3</v>
      </c>
      <c r="S606">
        <v>2518000</v>
      </c>
      <c r="T606" s="18">
        <f>ROUND((S606/7)/VLOOKUP(EOMONTH(A606,-1),Employment!A:P,16,FALSE),4)</f>
        <v>1.5631999999999999</v>
      </c>
      <c r="U606" s="18">
        <f t="shared" si="233"/>
        <v>1.5359</v>
      </c>
      <c r="V606" s="29">
        <f t="shared" si="234"/>
        <v>-7.0199999999999999E-2</v>
      </c>
      <c r="W606" s="29">
        <f t="shared" si="235"/>
        <v>1.0500000000000001E-2</v>
      </c>
      <c r="X606" s="30">
        <f t="shared" si="236"/>
        <v>142.92000000000002</v>
      </c>
      <c r="Y606" s="31">
        <f t="shared" si="237"/>
        <v>143.5</v>
      </c>
    </row>
    <row r="607" spans="1:25" ht="15" customHeight="1" x14ac:dyDescent="0.25">
      <c r="A607" s="5">
        <v>39096</v>
      </c>
      <c r="B607">
        <v>1186.9491</v>
      </c>
      <c r="C607" s="29">
        <f t="shared" si="241"/>
        <v>4.4000000000000003E-3</v>
      </c>
      <c r="D607">
        <v>-0.67</v>
      </c>
      <c r="E607">
        <v>-0.57099999999999995</v>
      </c>
      <c r="F607" s="18">
        <f t="shared" si="228"/>
        <v>0.30000000000000071</v>
      </c>
      <c r="G607" s="18">
        <f t="shared" si="229"/>
        <v>0.10800000000000054</v>
      </c>
      <c r="H607">
        <v>2.8</v>
      </c>
      <c r="I607">
        <v>1.59</v>
      </c>
      <c r="J607">
        <f t="shared" si="238"/>
        <v>2.2000000000000002</v>
      </c>
      <c r="K607" s="6">
        <f t="shared" si="239"/>
        <v>2.23</v>
      </c>
      <c r="L607" s="6">
        <f t="shared" si="240"/>
        <v>-4.0000000000000036E-2</v>
      </c>
      <c r="M607">
        <v>3.0237264431533002</v>
      </c>
      <c r="N607">
        <v>328000</v>
      </c>
      <c r="O607" s="18">
        <f>ROUND(N607/VLOOKUP(EOMONTH(A607,-1),Employment!A:P,16,FALSE),4)</f>
        <v>1.4254</v>
      </c>
      <c r="P607" s="18">
        <f t="shared" si="230"/>
        <v>1.407</v>
      </c>
      <c r="Q607" s="29">
        <f t="shared" si="231"/>
        <v>1.0200000000000001E-2</v>
      </c>
      <c r="R607" s="29">
        <f t="shared" si="232"/>
        <v>3.3E-3</v>
      </c>
      <c r="S607">
        <v>2455000</v>
      </c>
      <c r="T607" s="18">
        <f>ROUND((S607/7)/VLOOKUP(EOMONTH(A607,-1),Employment!A:P,16,FALSE),4)</f>
        <v>1.5241</v>
      </c>
      <c r="U607" s="18">
        <f t="shared" si="233"/>
        <v>1.5353000000000001</v>
      </c>
      <c r="V607" s="29">
        <f t="shared" si="234"/>
        <v>-8.2100000000000006E-2</v>
      </c>
      <c r="W607" s="29">
        <f t="shared" si="235"/>
        <v>1.21E-2</v>
      </c>
      <c r="X607" s="30">
        <f t="shared" si="236"/>
        <v>144.54</v>
      </c>
      <c r="Y607" s="31">
        <f t="shared" si="237"/>
        <v>143.09</v>
      </c>
    </row>
    <row r="608" spans="1:25" ht="15" customHeight="1" x14ac:dyDescent="0.25">
      <c r="A608" s="5">
        <v>39089</v>
      </c>
      <c r="B608">
        <v>1181.509</v>
      </c>
      <c r="C608" s="29">
        <f t="shared" si="241"/>
        <v>2.2000000000000001E-3</v>
      </c>
      <c r="D608">
        <v>-0.64</v>
      </c>
      <c r="E608">
        <v>-0.57099999999999995</v>
      </c>
      <c r="F608" s="18">
        <f t="shared" si="228"/>
        <v>-0.14799999999999969</v>
      </c>
      <c r="G608" s="18">
        <f t="shared" si="229"/>
        <v>-0.26800000000000068</v>
      </c>
      <c r="H608">
        <v>2.93</v>
      </c>
      <c r="I608">
        <v>1.6</v>
      </c>
      <c r="J608">
        <f t="shared" si="238"/>
        <v>2.27</v>
      </c>
      <c r="K608" s="6">
        <f t="shared" si="239"/>
        <v>2.27</v>
      </c>
      <c r="L608" s="6">
        <f t="shared" si="240"/>
        <v>-9.9999999999997868E-3</v>
      </c>
      <c r="M608">
        <v>3.1392347202473001</v>
      </c>
      <c r="N608">
        <v>323250</v>
      </c>
      <c r="O608" s="18">
        <f>ROUND(N608/VLOOKUP(EOMONTH(A608,-1),Employment!A:P,16,FALSE),4)</f>
        <v>1.4048</v>
      </c>
      <c r="P608" s="18">
        <f t="shared" si="230"/>
        <v>1.4049</v>
      </c>
      <c r="Q608" s="29">
        <f t="shared" si="231"/>
        <v>5.4000000000000003E-3</v>
      </c>
      <c r="R608" s="29">
        <f t="shared" si="232"/>
        <v>6.1999999999999998E-3</v>
      </c>
      <c r="S608">
        <v>2449000</v>
      </c>
      <c r="T608" s="18">
        <f>ROUND((S608/7)/VLOOKUP(EOMONTH(A608,-1),Employment!A:P,16,FALSE),4)</f>
        <v>1.5204</v>
      </c>
      <c r="U608" s="18">
        <f t="shared" si="233"/>
        <v>1.5486</v>
      </c>
      <c r="V608" s="29">
        <f t="shared" si="234"/>
        <v>-6.9699999999999998E-2</v>
      </c>
      <c r="W608" s="29">
        <f t="shared" si="235"/>
        <v>0</v>
      </c>
      <c r="X608" s="30">
        <f t="shared" si="236"/>
        <v>142.34</v>
      </c>
      <c r="Y608" s="31">
        <f t="shared" si="237"/>
        <v>139.21</v>
      </c>
    </row>
    <row r="609" spans="1:25" ht="15" customHeight="1" x14ac:dyDescent="0.25">
      <c r="A609" s="5">
        <v>39082</v>
      </c>
      <c r="B609">
        <v>1189.4666999999999</v>
      </c>
      <c r="C609" s="29">
        <f t="shared" si="241"/>
        <v>1.32E-2</v>
      </c>
      <c r="D609">
        <v>-0.65</v>
      </c>
      <c r="E609">
        <v>-0.57699999999999996</v>
      </c>
      <c r="F609" s="18">
        <f t="shared" si="228"/>
        <v>-4.4000000000000483E-2</v>
      </c>
      <c r="G609" s="18">
        <f t="shared" si="229"/>
        <v>-0.32400000000000162</v>
      </c>
      <c r="H609">
        <v>2.82</v>
      </c>
      <c r="I609">
        <v>1.64</v>
      </c>
      <c r="J609">
        <f t="shared" si="238"/>
        <v>2.23</v>
      </c>
      <c r="K609" s="6">
        <f t="shared" si="239"/>
        <v>2.2799999999999998</v>
      </c>
      <c r="L609" s="6">
        <f t="shared" si="240"/>
        <v>-3.0000000000000249E-2</v>
      </c>
      <c r="M609">
        <v>3.3639702765430002</v>
      </c>
      <c r="N609">
        <v>319750</v>
      </c>
      <c r="O609" s="18">
        <f>ROUND(N609/VLOOKUP(EOMONTH(A609,-1),Employment!A:P,16,FALSE),4)</f>
        <v>1.3908</v>
      </c>
      <c r="P609" s="18">
        <f t="shared" si="230"/>
        <v>1.4126000000000001</v>
      </c>
      <c r="Q609" s="29">
        <f t="shared" si="231"/>
        <v>4.7999999999999996E-3</v>
      </c>
      <c r="R609" s="29">
        <f t="shared" si="232"/>
        <v>-1.6000000000000001E-3</v>
      </c>
      <c r="S609">
        <v>2513000</v>
      </c>
      <c r="T609" s="18">
        <f>ROUND((S609/7)/VLOOKUP(EOMONTH(A609,-1),Employment!A:P,16,FALSE),4)</f>
        <v>1.5615000000000001</v>
      </c>
      <c r="U609" s="18">
        <f t="shared" si="233"/>
        <v>1.5538000000000001</v>
      </c>
      <c r="V609" s="29">
        <f t="shared" si="234"/>
        <v>-5.7599999999999998E-2</v>
      </c>
      <c r="W609" s="29">
        <f t="shared" si="235"/>
        <v>-1.9E-2</v>
      </c>
      <c r="X609" s="30">
        <f t="shared" si="236"/>
        <v>141.31</v>
      </c>
      <c r="Y609" s="31">
        <f t="shared" si="237"/>
        <v>131.5</v>
      </c>
    </row>
    <row r="610" spans="1:25" ht="15" customHeight="1" x14ac:dyDescent="0.25">
      <c r="A610" s="5">
        <v>39075</v>
      </c>
      <c r="B610">
        <v>1176.7954</v>
      </c>
      <c r="C610" s="29">
        <f t="shared" si="241"/>
        <v>4.4000000000000003E-3</v>
      </c>
      <c r="D610">
        <v>-0.66</v>
      </c>
      <c r="E610">
        <v>-0.56999999999999995</v>
      </c>
      <c r="F610" s="18">
        <f t="shared" si="228"/>
        <v>-7.6000000000000512E-2</v>
      </c>
      <c r="G610" s="18">
        <f t="shared" si="229"/>
        <v>-0.71999999999999886</v>
      </c>
      <c r="H610">
        <v>2.93</v>
      </c>
      <c r="I610">
        <v>1.67</v>
      </c>
      <c r="J610">
        <f t="shared" si="238"/>
        <v>2.2999999999999998</v>
      </c>
      <c r="K610" s="6">
        <f t="shared" si="239"/>
        <v>2.31</v>
      </c>
      <c r="L610" s="6">
        <f t="shared" si="240"/>
        <v>-4.9999999999999822E-2</v>
      </c>
      <c r="M610">
        <v>3.1658582821371</v>
      </c>
      <c r="N610">
        <v>326250</v>
      </c>
      <c r="O610" s="18">
        <f>ROUND(N610/VLOOKUP(EOMONTH(A610,-1),Employment!A:P,16,FALSE),4)</f>
        <v>1.4191</v>
      </c>
      <c r="P610" s="18">
        <f t="shared" si="230"/>
        <v>1.4249000000000001</v>
      </c>
      <c r="Q610" s="29">
        <f t="shared" si="231"/>
        <v>1.7299999999999999E-2</v>
      </c>
      <c r="R610" s="29">
        <f t="shared" si="232"/>
        <v>-1.4500000000000001E-2</v>
      </c>
      <c r="S610">
        <v>2517000</v>
      </c>
      <c r="T610" s="18">
        <f>ROUND((S610/7)/VLOOKUP(EOMONTH(A610,-1),Employment!A:P,16,FALSE),4)</f>
        <v>1.5640000000000001</v>
      </c>
      <c r="U610" s="18">
        <f t="shared" si="233"/>
        <v>1.5547</v>
      </c>
      <c r="V610" s="29">
        <f t="shared" si="234"/>
        <v>-4.8500000000000001E-2</v>
      </c>
      <c r="W610" s="29">
        <f t="shared" si="235"/>
        <v>-3.04E-2</v>
      </c>
      <c r="X610" s="30">
        <f t="shared" si="236"/>
        <v>126.15</v>
      </c>
      <c r="Y610" s="31">
        <f t="shared" si="237"/>
        <v>120.97</v>
      </c>
    </row>
    <row r="611" spans="1:25" ht="15" customHeight="1" x14ac:dyDescent="0.25">
      <c r="A611" s="5">
        <v>39068</v>
      </c>
      <c r="B611">
        <v>1179.2583999999999</v>
      </c>
      <c r="C611" s="29">
        <f t="shared" si="241"/>
        <v>8.5000000000000006E-3</v>
      </c>
      <c r="D611">
        <v>-0.67</v>
      </c>
      <c r="E611">
        <v>-0.56699999999999995</v>
      </c>
      <c r="F611" s="18">
        <f t="shared" si="228"/>
        <v>-0.20400000000000063</v>
      </c>
      <c r="G611" s="18">
        <f t="shared" si="229"/>
        <v>-0.72799999999999798</v>
      </c>
      <c r="H611">
        <v>2.98</v>
      </c>
      <c r="I611">
        <v>1.66</v>
      </c>
      <c r="J611">
        <f t="shared" si="238"/>
        <v>2.3199999999999998</v>
      </c>
      <c r="K611" s="6">
        <f t="shared" si="239"/>
        <v>2.36</v>
      </c>
      <c r="L611" s="6">
        <f t="shared" si="240"/>
        <v>-2.0000000000000018E-2</v>
      </c>
      <c r="M611">
        <v>2.5572025631124999</v>
      </c>
      <c r="N611">
        <v>328250</v>
      </c>
      <c r="O611" s="18">
        <f>ROUND(N611/VLOOKUP(EOMONTH(A611,-1),Employment!A:P,16,FALSE),4)</f>
        <v>1.4278</v>
      </c>
      <c r="P611" s="18">
        <f t="shared" si="230"/>
        <v>1.4249000000000001</v>
      </c>
      <c r="Q611" s="29">
        <f t="shared" si="231"/>
        <v>1.78E-2</v>
      </c>
      <c r="R611" s="29">
        <f t="shared" si="232"/>
        <v>-2.5999999999999999E-2</v>
      </c>
      <c r="S611">
        <v>2472000</v>
      </c>
      <c r="T611" s="18">
        <f>ROUND((S611/7)/VLOOKUP(EOMONTH(A611,-1),Employment!A:P,16,FALSE),4)</f>
        <v>1.536</v>
      </c>
      <c r="U611" s="18">
        <f t="shared" si="233"/>
        <v>1.5524</v>
      </c>
      <c r="V611" s="29">
        <f t="shared" si="234"/>
        <v>-6.0999999999999999E-2</v>
      </c>
      <c r="W611" s="29">
        <f t="shared" si="235"/>
        <v>-2.9899999999999999E-2</v>
      </c>
      <c r="X611" s="30">
        <f t="shared" si="236"/>
        <v>120.33</v>
      </c>
      <c r="Y611" s="31">
        <f t="shared" si="237"/>
        <v>113.76</v>
      </c>
    </row>
    <row r="612" spans="1:25" ht="15" customHeight="1" x14ac:dyDescent="0.25">
      <c r="A612" s="5">
        <v>39061</v>
      </c>
      <c r="B612">
        <v>1170.2456999999999</v>
      </c>
      <c r="C612" s="29">
        <f t="shared" si="241"/>
        <v>2.0000000000000001E-4</v>
      </c>
      <c r="D612">
        <v>-0.68</v>
      </c>
      <c r="E612">
        <v>-0.57999999999999996</v>
      </c>
      <c r="F612" s="18">
        <f t="shared" si="228"/>
        <v>-0.43999999999999773</v>
      </c>
      <c r="G612" s="18">
        <f t="shared" si="229"/>
        <v>-0.6319999999999979</v>
      </c>
      <c r="H612">
        <v>3</v>
      </c>
      <c r="I612">
        <v>1.63</v>
      </c>
      <c r="J612">
        <f t="shared" si="238"/>
        <v>2.3199999999999998</v>
      </c>
      <c r="K612" s="6">
        <f t="shared" si="239"/>
        <v>2.38</v>
      </c>
      <c r="L612" s="6">
        <f t="shared" si="240"/>
        <v>0</v>
      </c>
      <c r="M612">
        <v>1.8858929603075001</v>
      </c>
      <c r="N612">
        <v>328250</v>
      </c>
      <c r="O612" s="18">
        <f>ROUND(N612/VLOOKUP(EOMONTH(A612,-1),Employment!A:P,16,FALSE),4)</f>
        <v>1.4278</v>
      </c>
      <c r="P612" s="18">
        <f t="shared" si="230"/>
        <v>1.4148000000000001</v>
      </c>
      <c r="Q612" s="29">
        <f t="shared" si="231"/>
        <v>1.0999999999999999E-2</v>
      </c>
      <c r="R612" s="29">
        <f t="shared" si="232"/>
        <v>-3.8600000000000002E-2</v>
      </c>
      <c r="S612">
        <v>2517000</v>
      </c>
      <c r="T612" s="18">
        <f>ROUND((S612/7)/VLOOKUP(EOMONTH(A612,-1),Employment!A:P,16,FALSE),4)</f>
        <v>1.5640000000000001</v>
      </c>
      <c r="U612" s="18">
        <f t="shared" si="233"/>
        <v>1.5519000000000001</v>
      </c>
      <c r="V612" s="29">
        <f t="shared" si="234"/>
        <v>-8.1600000000000006E-2</v>
      </c>
      <c r="W612" s="29">
        <f t="shared" si="235"/>
        <v>-1.8599999999999998E-2</v>
      </c>
      <c r="X612" s="30">
        <f t="shared" si="236"/>
        <v>109.64</v>
      </c>
      <c r="Y612" s="31">
        <f t="shared" si="237"/>
        <v>108</v>
      </c>
    </row>
    <row r="613" spans="1:25" ht="15" customHeight="1" x14ac:dyDescent="0.25">
      <c r="A613" s="5">
        <v>39054</v>
      </c>
      <c r="B613">
        <v>1169.7434000000001</v>
      </c>
      <c r="C613" s="29">
        <f t="shared" si="241"/>
        <v>6.9999999999999999E-4</v>
      </c>
      <c r="D613">
        <v>-0.7</v>
      </c>
      <c r="E613">
        <v>-0.61</v>
      </c>
      <c r="F613" s="18">
        <f t="shared" si="228"/>
        <v>-8.3999999999999631E-2</v>
      </c>
      <c r="G613" s="18">
        <f t="shared" si="229"/>
        <v>0.18399999999999928</v>
      </c>
      <c r="H613">
        <v>3.21</v>
      </c>
      <c r="I613">
        <v>1.65</v>
      </c>
      <c r="J613">
        <f t="shared" si="238"/>
        <v>2.4300000000000002</v>
      </c>
      <c r="K613" s="6">
        <f t="shared" si="239"/>
        <v>2.38</v>
      </c>
      <c r="L613" s="6">
        <f t="shared" si="240"/>
        <v>2.0000000000000018E-2</v>
      </c>
      <c r="M613">
        <v>1.5233439305729</v>
      </c>
      <c r="N613">
        <v>326250</v>
      </c>
      <c r="O613" s="18">
        <f>ROUND(N613/VLOOKUP(EOMONTH(A613,-1),Employment!A:P,16,FALSE),4)</f>
        <v>1.4191</v>
      </c>
      <c r="P613" s="18">
        <f t="shared" si="230"/>
        <v>1.4000999999999999</v>
      </c>
      <c r="Q613" s="29">
        <f t="shared" si="231"/>
        <v>-3.8E-3</v>
      </c>
      <c r="R613" s="29">
        <f t="shared" si="232"/>
        <v>-4.8899999999999999E-2</v>
      </c>
      <c r="S613">
        <v>2506000</v>
      </c>
      <c r="T613" s="18">
        <f>ROUND((S613/7)/VLOOKUP(EOMONTH(A613,-1),Employment!A:P,16,FALSE),4)</f>
        <v>1.5571999999999999</v>
      </c>
      <c r="U613" s="18">
        <f t="shared" si="233"/>
        <v>1.5310999999999999</v>
      </c>
      <c r="V613" s="29">
        <f t="shared" si="234"/>
        <v>-0.11169999999999999</v>
      </c>
      <c r="W613" s="29">
        <f t="shared" si="235"/>
        <v>-9.5999999999999992E-3</v>
      </c>
      <c r="X613" s="30">
        <f t="shared" si="236"/>
        <v>107.64</v>
      </c>
      <c r="Y613" s="31">
        <f t="shared" si="237"/>
        <v>107.1</v>
      </c>
    </row>
    <row r="614" spans="1:25" ht="15" customHeight="1" x14ac:dyDescent="0.25">
      <c r="A614" s="5">
        <v>39047</v>
      </c>
      <c r="B614">
        <v>1167.5062</v>
      </c>
      <c r="C614" s="29">
        <f t="shared" si="241"/>
        <v>1.1000000000000001E-3</v>
      </c>
      <c r="D614">
        <v>-0.71</v>
      </c>
      <c r="E614">
        <v>-0.60799999999999998</v>
      </c>
      <c r="F614" s="18">
        <f t="shared" si="228"/>
        <v>-0.10800000000000054</v>
      </c>
      <c r="G614" s="18">
        <f t="shared" si="229"/>
        <v>0.24399999999999977</v>
      </c>
      <c r="H614">
        <v>3.15</v>
      </c>
      <c r="I614">
        <v>1.6</v>
      </c>
      <c r="J614">
        <f t="shared" si="238"/>
        <v>2.38</v>
      </c>
      <c r="K614" s="6">
        <f t="shared" si="239"/>
        <v>2.36</v>
      </c>
      <c r="L614" s="6">
        <f t="shared" si="240"/>
        <v>0</v>
      </c>
      <c r="M614">
        <v>1.2442818173865</v>
      </c>
      <c r="N614">
        <v>321000</v>
      </c>
      <c r="O614" s="18">
        <f>ROUND(N614/VLOOKUP(EOMONTH(A614,-1),Employment!A:P,16,FALSE),4)</f>
        <v>1.3976</v>
      </c>
      <c r="P614" s="18">
        <f t="shared" si="230"/>
        <v>1.3859999999999999</v>
      </c>
      <c r="Q614" s="29">
        <f t="shared" si="231"/>
        <v>-2.6800000000000001E-2</v>
      </c>
      <c r="R614" s="29">
        <f t="shared" si="232"/>
        <v>-5.5500000000000001E-2</v>
      </c>
      <c r="S614">
        <v>2467000</v>
      </c>
      <c r="T614" s="18">
        <f>ROUND((S614/7)/VLOOKUP(EOMONTH(A614,-1),Employment!A:P,16,FALSE),4)</f>
        <v>1.5345</v>
      </c>
      <c r="U614" s="18">
        <f t="shared" si="233"/>
        <v>1.5198</v>
      </c>
      <c r="V614" s="29">
        <f t="shared" si="234"/>
        <v>-0.12280000000000001</v>
      </c>
      <c r="W614" s="29">
        <f t="shared" si="235"/>
        <v>-7.7999999999999996E-3</v>
      </c>
      <c r="X614" s="30">
        <f t="shared" si="236"/>
        <v>104.82</v>
      </c>
      <c r="Y614" s="31">
        <f t="shared" si="237"/>
        <v>110.32</v>
      </c>
    </row>
    <row r="615" spans="1:25" ht="15" customHeight="1" x14ac:dyDescent="0.25">
      <c r="A615" s="5">
        <v>39040</v>
      </c>
      <c r="B615">
        <v>1169.875</v>
      </c>
      <c r="C615" s="29">
        <f t="shared" si="241"/>
        <v>6.4000000000000003E-3</v>
      </c>
      <c r="D615">
        <v>-0.72</v>
      </c>
      <c r="E615">
        <v>-0.60899999999999999</v>
      </c>
      <c r="F615" s="18">
        <f t="shared" si="228"/>
        <v>0.37599999999999945</v>
      </c>
      <c r="G615" s="18">
        <f t="shared" si="229"/>
        <v>0.81599999999999895</v>
      </c>
      <c r="H615">
        <v>3.06</v>
      </c>
      <c r="I615">
        <v>1.6</v>
      </c>
      <c r="J615">
        <f t="shared" si="238"/>
        <v>2.33</v>
      </c>
      <c r="K615" s="6">
        <f t="shared" si="239"/>
        <v>2.36</v>
      </c>
      <c r="L615" s="6">
        <f t="shared" si="240"/>
        <v>-3.0000000000000249E-2</v>
      </c>
      <c r="M615">
        <v>0.83387802222749996</v>
      </c>
      <c r="N615">
        <v>317750</v>
      </c>
      <c r="O615" s="18">
        <f>ROUND(N615/VLOOKUP(EOMONTH(A615,-1),Employment!A:P,16,FALSE),4)</f>
        <v>1.3835</v>
      </c>
      <c r="P615" s="18">
        <f t="shared" si="230"/>
        <v>1.3779999999999999</v>
      </c>
      <c r="Q615" s="29">
        <f t="shared" si="231"/>
        <v>-5.6099999999999997E-2</v>
      </c>
      <c r="R615" s="29">
        <f t="shared" si="232"/>
        <v>-5.1999999999999998E-2</v>
      </c>
      <c r="S615">
        <v>2414000</v>
      </c>
      <c r="T615" s="18">
        <f>ROUND((S615/7)/VLOOKUP(EOMONTH(A615,-1),Employment!A:P,16,FALSE),4)</f>
        <v>1.5015000000000001</v>
      </c>
      <c r="U615" s="18">
        <f t="shared" si="233"/>
        <v>1.5117</v>
      </c>
      <c r="V615" s="29">
        <f t="shared" si="234"/>
        <v>-0.1288</v>
      </c>
      <c r="W615" s="29">
        <f t="shared" si="235"/>
        <v>-9.1000000000000004E-3</v>
      </c>
      <c r="X615" s="30">
        <f t="shared" si="236"/>
        <v>111.45</v>
      </c>
      <c r="Y615" s="31">
        <f t="shared" si="237"/>
        <v>119.11</v>
      </c>
    </row>
    <row r="616" spans="1:25" ht="15" customHeight="1" x14ac:dyDescent="0.25">
      <c r="A616" s="5">
        <v>39033</v>
      </c>
      <c r="B616">
        <v>1172.6978999999999</v>
      </c>
      <c r="C616" s="29">
        <f t="shared" si="241"/>
        <v>1.2500000000000001E-2</v>
      </c>
      <c r="D616">
        <v>-0.7</v>
      </c>
      <c r="E616">
        <v>-0.58699999999999997</v>
      </c>
      <c r="F616" s="18">
        <f t="shared" si="228"/>
        <v>-2.3999999999999133E-2</v>
      </c>
      <c r="G616" s="18">
        <f t="shared" si="229"/>
        <v>0.91599999999999859</v>
      </c>
      <c r="H616">
        <v>3.15</v>
      </c>
      <c r="I616">
        <v>1.61</v>
      </c>
      <c r="J616">
        <f t="shared" si="238"/>
        <v>2.38</v>
      </c>
      <c r="K616" s="6">
        <f t="shared" si="239"/>
        <v>2.39</v>
      </c>
      <c r="L616" s="6">
        <f t="shared" si="240"/>
        <v>-2.0000000000000018E-2</v>
      </c>
      <c r="M616">
        <v>7.3426848699664996E-2</v>
      </c>
      <c r="N616">
        <v>316250</v>
      </c>
      <c r="O616" s="18">
        <f>ROUND(N616/VLOOKUP(EOMONTH(A616,-1),Employment!A:P,16,FALSE),4)</f>
        <v>1.3769</v>
      </c>
      <c r="P616" s="18">
        <f t="shared" si="230"/>
        <v>1.3684000000000001</v>
      </c>
      <c r="Q616" s="29">
        <f t="shared" si="231"/>
        <v>-9.9099999999999994E-2</v>
      </c>
      <c r="R616" s="29">
        <f t="shared" si="232"/>
        <v>-4.0099999999999997E-2</v>
      </c>
      <c r="S616">
        <v>2449000</v>
      </c>
      <c r="T616" s="18">
        <f>ROUND((S616/7)/VLOOKUP(EOMONTH(A616,-1),Employment!A:P,16,FALSE),4)</f>
        <v>1.5233000000000001</v>
      </c>
      <c r="U616" s="18">
        <f t="shared" si="233"/>
        <v>1.5216000000000001</v>
      </c>
      <c r="V616" s="29">
        <f t="shared" si="234"/>
        <v>-0.1313</v>
      </c>
      <c r="W616" s="29">
        <f t="shared" si="235"/>
        <v>-7.4999999999999997E-3</v>
      </c>
      <c r="X616" s="30">
        <f t="shared" si="236"/>
        <v>121.25</v>
      </c>
      <c r="Y616" s="31">
        <f t="shared" si="237"/>
        <v>129.97</v>
      </c>
    </row>
    <row r="617" spans="1:25" ht="15" customHeight="1" x14ac:dyDescent="0.25">
      <c r="A617" s="5">
        <v>39026</v>
      </c>
      <c r="B617">
        <v>1165.4002</v>
      </c>
      <c r="C617" s="29">
        <f t="shared" si="241"/>
        <v>1.03E-2</v>
      </c>
      <c r="D617">
        <v>-0.7</v>
      </c>
      <c r="E617">
        <v>-0.59</v>
      </c>
      <c r="F617" s="18">
        <f t="shared" si="228"/>
        <v>0.46399999999999864</v>
      </c>
      <c r="G617" s="18">
        <f t="shared" si="229"/>
        <v>1.6319999999999979</v>
      </c>
      <c r="H617">
        <v>3.12</v>
      </c>
      <c r="I617">
        <v>1.59</v>
      </c>
      <c r="J617">
        <f t="shared" si="238"/>
        <v>2.36</v>
      </c>
      <c r="K617" s="6">
        <f t="shared" si="239"/>
        <v>2.41</v>
      </c>
      <c r="L617" s="6">
        <f t="shared" si="240"/>
        <v>-2.9999999999999805E-2</v>
      </c>
      <c r="M617">
        <v>-0.74824934802767995</v>
      </c>
      <c r="N617">
        <v>315500</v>
      </c>
      <c r="O617" s="18">
        <f>ROUND(N617/VLOOKUP(EOMONTH(A617,-1),Employment!A:P,16,FALSE),4)</f>
        <v>1.3736999999999999</v>
      </c>
      <c r="P617" s="18">
        <f t="shared" si="230"/>
        <v>1.3631</v>
      </c>
      <c r="Q617" s="29">
        <f t="shared" si="231"/>
        <v>-0.1353</v>
      </c>
      <c r="R617" s="29">
        <f t="shared" si="232"/>
        <v>-2.29E-2</v>
      </c>
      <c r="S617">
        <v>2428000</v>
      </c>
      <c r="T617" s="18">
        <f>ROUND((S617/7)/VLOOKUP(EOMONTH(A617,-1),Employment!A:P,16,FALSE),4)</f>
        <v>1.5102</v>
      </c>
      <c r="U617" s="18">
        <f t="shared" si="233"/>
        <v>1.5221</v>
      </c>
      <c r="V617" s="29">
        <f t="shared" si="234"/>
        <v>-0.13950000000000001</v>
      </c>
      <c r="W617" s="29">
        <f t="shared" si="235"/>
        <v>4.0000000000000002E-4</v>
      </c>
      <c r="X617" s="30">
        <f t="shared" si="236"/>
        <v>132.92000000000002</v>
      </c>
      <c r="Y617" s="31">
        <f t="shared" si="237"/>
        <v>142.07</v>
      </c>
    </row>
    <row r="618" spans="1:25" ht="15" customHeight="1" x14ac:dyDescent="0.25">
      <c r="A618" s="5">
        <v>39019</v>
      </c>
      <c r="B618">
        <v>1156.7671</v>
      </c>
      <c r="C618" s="29">
        <f t="shared" si="241"/>
        <v>3.3E-3</v>
      </c>
      <c r="D618">
        <v>-0.68</v>
      </c>
      <c r="E618">
        <v>-0.55700000000000005</v>
      </c>
      <c r="F618" s="18">
        <f t="shared" si="228"/>
        <v>0.47599999999999909</v>
      </c>
      <c r="G618" s="18">
        <f t="shared" si="229"/>
        <v>1.3439999999999994</v>
      </c>
      <c r="H618">
        <v>3.23</v>
      </c>
      <c r="I618">
        <v>1.65</v>
      </c>
      <c r="J618">
        <f t="shared" si="238"/>
        <v>2.44</v>
      </c>
      <c r="K618" s="6">
        <f t="shared" si="239"/>
        <v>2.44</v>
      </c>
      <c r="L618" s="6">
        <f t="shared" si="240"/>
        <v>-3.0000000000000249E-2</v>
      </c>
      <c r="M618">
        <v>-0.88799583498255996</v>
      </c>
      <c r="N618">
        <v>310750</v>
      </c>
      <c r="O618" s="18">
        <f>ROUND(N618/VLOOKUP(EOMONTH(A618,-1),Employment!A:P,16,FALSE),4)</f>
        <v>1.3545</v>
      </c>
      <c r="P618" s="18">
        <f t="shared" si="230"/>
        <v>1.3656999999999999</v>
      </c>
      <c r="Q618" s="29">
        <f t="shared" si="231"/>
        <v>-0.1676</v>
      </c>
      <c r="R618" s="29">
        <f t="shared" si="232"/>
        <v>1.8E-3</v>
      </c>
      <c r="S618">
        <v>2459000</v>
      </c>
      <c r="T618" s="18">
        <f>ROUND((S618/7)/VLOOKUP(EOMONTH(A618,-1),Employment!A:P,16,FALSE),4)</f>
        <v>1.5311999999999999</v>
      </c>
      <c r="U618" s="18">
        <f t="shared" si="233"/>
        <v>1.5246</v>
      </c>
      <c r="V618" s="29">
        <f t="shared" si="234"/>
        <v>-0.1454</v>
      </c>
      <c r="W618" s="29">
        <f t="shared" si="235"/>
        <v>1.5299999999999999E-2</v>
      </c>
      <c r="X618" s="30">
        <f t="shared" si="236"/>
        <v>144.38</v>
      </c>
      <c r="Y618" s="31">
        <f t="shared" si="237"/>
        <v>155.13</v>
      </c>
    </row>
    <row r="619" spans="1:25" ht="15" customHeight="1" x14ac:dyDescent="0.25">
      <c r="A619" s="5">
        <v>39012</v>
      </c>
      <c r="B619">
        <v>1154.9000000000001</v>
      </c>
      <c r="C619" s="29">
        <f t="shared" si="241"/>
        <v>3.0000000000000001E-3</v>
      </c>
      <c r="D619">
        <v>-0.67</v>
      </c>
      <c r="E619">
        <v>-0.51</v>
      </c>
      <c r="F619" s="18">
        <f t="shared" si="228"/>
        <v>0.69200000000000017</v>
      </c>
      <c r="G619" s="18">
        <f t="shared" si="229"/>
        <v>0.73200000000000109</v>
      </c>
      <c r="H619">
        <v>3.17</v>
      </c>
      <c r="I619">
        <v>1.69</v>
      </c>
      <c r="J619">
        <f t="shared" si="238"/>
        <v>2.4300000000000002</v>
      </c>
      <c r="K619" s="6">
        <f t="shared" si="239"/>
        <v>2.4700000000000002</v>
      </c>
      <c r="L619" s="6">
        <f t="shared" si="240"/>
        <v>-4.9999999999999822E-2</v>
      </c>
      <c r="M619">
        <v>-1.4573377311539</v>
      </c>
      <c r="N619">
        <v>312250</v>
      </c>
      <c r="O619" s="18">
        <f>ROUND(N619/VLOOKUP(EOMONTH(A619,-1),Employment!A:P,16,FALSE),4)</f>
        <v>1.361</v>
      </c>
      <c r="P619" s="18">
        <f t="shared" si="230"/>
        <v>1.3741000000000001</v>
      </c>
      <c r="Q619" s="29">
        <f t="shared" si="231"/>
        <v>-0.18970000000000001</v>
      </c>
      <c r="R619" s="29">
        <f t="shared" si="232"/>
        <v>2.8799999999999999E-2</v>
      </c>
      <c r="S619">
        <v>2449000</v>
      </c>
      <c r="T619" s="18">
        <f>ROUND((S619/7)/VLOOKUP(EOMONTH(A619,-1),Employment!A:P,16,FALSE),4)</f>
        <v>1.5249999999999999</v>
      </c>
      <c r="U619" s="18">
        <f t="shared" si="233"/>
        <v>1.5206</v>
      </c>
      <c r="V619" s="29">
        <f t="shared" si="234"/>
        <v>-0.15079999999999999</v>
      </c>
      <c r="W619" s="29">
        <f t="shared" si="235"/>
        <v>3.2500000000000001E-2</v>
      </c>
      <c r="X619" s="30">
        <f t="shared" si="236"/>
        <v>159.16</v>
      </c>
      <c r="Y619" s="31">
        <f t="shared" si="237"/>
        <v>166.62</v>
      </c>
    </row>
    <row r="620" spans="1:25" ht="15" customHeight="1" x14ac:dyDescent="0.25">
      <c r="A620" s="5">
        <v>39005</v>
      </c>
      <c r="B620">
        <v>1155.9463000000001</v>
      </c>
      <c r="C620" s="29">
        <f t="shared" si="241"/>
        <v>4.4999999999999997E-3</v>
      </c>
      <c r="D620">
        <v>-0.64</v>
      </c>
      <c r="E620">
        <v>-0.46100000000000002</v>
      </c>
      <c r="F620" s="18">
        <f t="shared" si="228"/>
        <v>0.17600000000000016</v>
      </c>
      <c r="G620" s="18">
        <f t="shared" si="229"/>
        <v>-6.7999999999999616E-2</v>
      </c>
      <c r="H620">
        <v>3.19</v>
      </c>
      <c r="I620">
        <v>1.72</v>
      </c>
      <c r="J620">
        <f t="shared" si="238"/>
        <v>2.46</v>
      </c>
      <c r="K620" s="6">
        <f t="shared" si="239"/>
        <v>2.52</v>
      </c>
      <c r="L620" s="6">
        <f t="shared" si="240"/>
        <v>-4.9999999999999822E-2</v>
      </c>
      <c r="M620">
        <v>-1.7334504550095</v>
      </c>
      <c r="N620">
        <v>317000</v>
      </c>
      <c r="O620" s="18">
        <f>ROUND(N620/VLOOKUP(EOMONTH(A620,-1),Employment!A:P,16,FALSE),4)</f>
        <v>1.3816999999999999</v>
      </c>
      <c r="P620" s="18">
        <f t="shared" si="230"/>
        <v>1.3825000000000001</v>
      </c>
      <c r="Q620" s="29">
        <f t="shared" si="231"/>
        <v>-0.19470000000000001</v>
      </c>
      <c r="R620" s="29">
        <f t="shared" si="232"/>
        <v>5.4100000000000002E-2</v>
      </c>
      <c r="S620">
        <v>2437000</v>
      </c>
      <c r="T620" s="18">
        <f>ROUND((S620/7)/VLOOKUP(EOMONTH(A620,-1),Employment!A:P,16,FALSE),4)</f>
        <v>1.5175000000000001</v>
      </c>
      <c r="U620" s="18">
        <f t="shared" si="233"/>
        <v>1.5183</v>
      </c>
      <c r="V620" s="29">
        <f t="shared" si="234"/>
        <v>-0.1477</v>
      </c>
      <c r="W620" s="29">
        <f t="shared" si="235"/>
        <v>3.9199999999999999E-2</v>
      </c>
      <c r="X620" s="30">
        <f t="shared" si="236"/>
        <v>171.94</v>
      </c>
      <c r="Y620" s="31">
        <f t="shared" si="237"/>
        <v>171.15</v>
      </c>
    </row>
    <row r="621" spans="1:25" ht="15" customHeight="1" x14ac:dyDescent="0.25">
      <c r="A621" s="5">
        <v>38998</v>
      </c>
      <c r="B621">
        <v>1146.3127999999999</v>
      </c>
      <c r="C621" s="29">
        <f t="shared" si="241"/>
        <v>-5.1000000000000004E-3</v>
      </c>
      <c r="D621">
        <v>-0.64</v>
      </c>
      <c r="E621">
        <v>-0.439</v>
      </c>
      <c r="F621" s="18">
        <f t="shared" si="228"/>
        <v>-0.13599999999999923</v>
      </c>
      <c r="G621" s="18">
        <f t="shared" si="229"/>
        <v>-0.21999999999999886</v>
      </c>
      <c r="H621">
        <v>3.31</v>
      </c>
      <c r="I621">
        <v>1.73</v>
      </c>
      <c r="J621">
        <f t="shared" si="238"/>
        <v>2.52</v>
      </c>
      <c r="K621" s="6">
        <f t="shared" si="239"/>
        <v>2.57</v>
      </c>
      <c r="L621" s="6">
        <f t="shared" si="240"/>
        <v>0</v>
      </c>
      <c r="M621">
        <v>-1.4129639773909</v>
      </c>
      <c r="N621">
        <v>316500</v>
      </c>
      <c r="O621" s="18">
        <f>ROUND(N621/VLOOKUP(EOMONTH(A621,-1),Employment!A:P,16,FALSE),4)</f>
        <v>1.3795999999999999</v>
      </c>
      <c r="P621" s="18">
        <f t="shared" si="230"/>
        <v>1.3826000000000001</v>
      </c>
      <c r="Q621" s="29">
        <f t="shared" si="231"/>
        <v>-0.1845</v>
      </c>
      <c r="R621" s="29">
        <f t="shared" si="232"/>
        <v>6.5299999999999997E-2</v>
      </c>
      <c r="S621">
        <v>2440000</v>
      </c>
      <c r="T621" s="18">
        <f>ROUND((S621/7)/VLOOKUP(EOMONTH(A621,-1),Employment!A:P,16,FALSE),4)</f>
        <v>1.5194000000000001</v>
      </c>
      <c r="U621" s="18">
        <f t="shared" si="233"/>
        <v>1.5214000000000001</v>
      </c>
      <c r="V621" s="29">
        <f t="shared" si="234"/>
        <v>-0.1268</v>
      </c>
      <c r="W621" s="29">
        <f t="shared" si="235"/>
        <v>3.0200000000000001E-2</v>
      </c>
      <c r="X621" s="30">
        <f t="shared" si="236"/>
        <v>171.99</v>
      </c>
      <c r="Y621" s="31">
        <f t="shared" si="237"/>
        <v>165.95</v>
      </c>
    </row>
    <row r="622" spans="1:25" ht="15" customHeight="1" x14ac:dyDescent="0.25">
      <c r="A622" s="5">
        <v>38991</v>
      </c>
      <c r="B622">
        <v>1154.6775</v>
      </c>
      <c r="C622" s="29">
        <f t="shared" si="241"/>
        <v>2.3999999999999998E-3</v>
      </c>
      <c r="D622">
        <v>-0.64</v>
      </c>
      <c r="E622">
        <v>-0.45600000000000002</v>
      </c>
      <c r="F622" s="18">
        <f t="shared" si="228"/>
        <v>-0.10800000000000054</v>
      </c>
      <c r="G622" s="18">
        <f t="shared" si="229"/>
        <v>-0.48399999999999999</v>
      </c>
      <c r="H622">
        <v>3.42</v>
      </c>
      <c r="I622">
        <v>1.72</v>
      </c>
      <c r="J622">
        <f t="shared" si="238"/>
        <v>2.57</v>
      </c>
      <c r="K622" s="6">
        <f t="shared" si="239"/>
        <v>2.57</v>
      </c>
      <c r="L622" s="6">
        <f t="shared" si="240"/>
        <v>0</v>
      </c>
      <c r="M622">
        <v>-1.5830879884147999</v>
      </c>
      <c r="N622">
        <v>318000</v>
      </c>
      <c r="O622" s="18">
        <f>ROUND(N622/VLOOKUP(EOMONTH(A622,-1),Employment!A:P,16,FALSE),4)</f>
        <v>1.3861000000000001</v>
      </c>
      <c r="P622" s="18">
        <f t="shared" si="230"/>
        <v>1.3802000000000001</v>
      </c>
      <c r="Q622" s="29">
        <f t="shared" si="231"/>
        <v>-0.14779999999999999</v>
      </c>
      <c r="R622" s="29">
        <f t="shared" si="232"/>
        <v>5.5899999999999998E-2</v>
      </c>
      <c r="S622">
        <v>2438000</v>
      </c>
      <c r="T622" s="18">
        <f>ROUND((S622/7)/VLOOKUP(EOMONTH(A622,-1),Employment!A:P,16,FALSE),4)</f>
        <v>1.5181</v>
      </c>
      <c r="U622" s="18">
        <f t="shared" si="233"/>
        <v>1.5275000000000001</v>
      </c>
      <c r="V622" s="29">
        <f t="shared" si="234"/>
        <v>-9.3200000000000005E-2</v>
      </c>
      <c r="W622" s="29">
        <f t="shared" si="235"/>
        <v>1.3599999999999999E-2</v>
      </c>
      <c r="X622" s="30">
        <f t="shared" si="236"/>
        <v>167.09</v>
      </c>
      <c r="Y622" s="31">
        <f t="shared" si="237"/>
        <v>153.94999999999999</v>
      </c>
    </row>
    <row r="623" spans="1:25" ht="15" customHeight="1" x14ac:dyDescent="0.25">
      <c r="A623" s="5">
        <v>38984</v>
      </c>
      <c r="B623">
        <v>1149.0596</v>
      </c>
      <c r="C623" s="29">
        <f t="shared" si="241"/>
        <v>-4.3E-3</v>
      </c>
      <c r="D623">
        <v>-0.65</v>
      </c>
      <c r="E623">
        <v>-0.45700000000000002</v>
      </c>
      <c r="F623" s="18">
        <f t="shared" si="228"/>
        <v>2.4000000000000909E-2</v>
      </c>
      <c r="G623" s="18">
        <f t="shared" si="229"/>
        <v>-0.58000000000000007</v>
      </c>
      <c r="H623">
        <v>3.53</v>
      </c>
      <c r="I623">
        <v>1.72</v>
      </c>
      <c r="J623">
        <f t="shared" si="238"/>
        <v>2.63</v>
      </c>
      <c r="K623" s="6">
        <f t="shared" si="239"/>
        <v>2.57</v>
      </c>
      <c r="L623" s="6">
        <f t="shared" si="240"/>
        <v>9.9999999999997868E-3</v>
      </c>
      <c r="M623">
        <v>-1.4234772006401</v>
      </c>
      <c r="N623">
        <v>316750</v>
      </c>
      <c r="O623" s="18">
        <f>ROUND(N623/VLOOKUP(EOMONTH(A623,-1),Employment!A:P,16,FALSE),4)</f>
        <v>1.3822000000000001</v>
      </c>
      <c r="P623" s="18">
        <f t="shared" si="230"/>
        <v>1.3742000000000001</v>
      </c>
      <c r="Q623" s="29">
        <f t="shared" si="231"/>
        <v>-0.10009999999999999</v>
      </c>
      <c r="R623" s="29">
        <f t="shared" si="232"/>
        <v>3.2199999999999999E-2</v>
      </c>
      <c r="S623">
        <v>2449000</v>
      </c>
      <c r="T623" s="18">
        <f>ROUND((S623/7)/VLOOKUP(EOMONTH(A623,-1),Employment!A:P,16,FALSE),4)</f>
        <v>1.5266</v>
      </c>
      <c r="U623" s="18">
        <f t="shared" si="233"/>
        <v>1.532</v>
      </c>
      <c r="V623" s="29">
        <f t="shared" si="234"/>
        <v>-6.54E-2</v>
      </c>
      <c r="W623" s="29">
        <f t="shared" si="235"/>
        <v>3.5000000000000001E-3</v>
      </c>
      <c r="X623" s="30">
        <f t="shared" si="236"/>
        <v>147.99</v>
      </c>
      <c r="Y623" s="31">
        <f t="shared" si="237"/>
        <v>140.41999999999999</v>
      </c>
    </row>
    <row r="624" spans="1:25" ht="15" customHeight="1" x14ac:dyDescent="0.25">
      <c r="A624" s="5">
        <v>38977</v>
      </c>
      <c r="B624">
        <v>1153.0913</v>
      </c>
      <c r="C624" s="29">
        <f t="shared" si="241"/>
        <v>2.9999999999999997E-4</v>
      </c>
      <c r="D624">
        <v>-0.65</v>
      </c>
      <c r="E624">
        <v>-0.45400000000000001</v>
      </c>
      <c r="F624" s="18">
        <f t="shared" si="228"/>
        <v>-0.40000000000000036</v>
      </c>
      <c r="G624" s="18">
        <f t="shared" si="229"/>
        <v>-0.29600000000000115</v>
      </c>
      <c r="H624">
        <v>3.33</v>
      </c>
      <c r="I624">
        <v>1.69</v>
      </c>
      <c r="J624">
        <f t="shared" si="238"/>
        <v>2.5099999999999998</v>
      </c>
      <c r="K624" s="6">
        <f t="shared" si="239"/>
        <v>2.56</v>
      </c>
      <c r="L624" s="6">
        <f t="shared" si="240"/>
        <v>-2.9999999999999805E-2</v>
      </c>
      <c r="M624">
        <v>-1.4499530957033</v>
      </c>
      <c r="N624">
        <v>314500</v>
      </c>
      <c r="O624" s="18">
        <f>ROUND(N624/VLOOKUP(EOMONTH(A624,-1),Employment!A:P,16,FALSE),4)</f>
        <v>1.3724000000000001</v>
      </c>
      <c r="P624" s="18">
        <f t="shared" si="230"/>
        <v>1.3706</v>
      </c>
      <c r="Q624" s="29">
        <f t="shared" si="231"/>
        <v>-5.0500000000000003E-2</v>
      </c>
      <c r="R624" s="29">
        <f t="shared" si="232"/>
        <v>8.0000000000000002E-3</v>
      </c>
      <c r="S624">
        <v>2467000</v>
      </c>
      <c r="T624" s="18">
        <f>ROUND((S624/7)/VLOOKUP(EOMONTH(A624,-1),Employment!A:P,16,FALSE),4)</f>
        <v>1.5379</v>
      </c>
      <c r="U624" s="18">
        <f t="shared" si="233"/>
        <v>1.5351999999999999</v>
      </c>
      <c r="V624" s="29">
        <f t="shared" si="234"/>
        <v>-5.7000000000000002E-2</v>
      </c>
      <c r="W624" s="29">
        <f t="shared" si="235"/>
        <v>0</v>
      </c>
      <c r="X624" s="30">
        <f t="shared" si="236"/>
        <v>136</v>
      </c>
      <c r="Y624" s="31">
        <f t="shared" si="237"/>
        <v>134.84</v>
      </c>
    </row>
    <row r="625" spans="1:25" ht="15" customHeight="1" x14ac:dyDescent="0.25">
      <c r="A625" s="5">
        <v>38970</v>
      </c>
      <c r="B625">
        <v>1152.1269</v>
      </c>
      <c r="C625" s="29">
        <f t="shared" si="241"/>
        <v>1.1999999999999999E-3</v>
      </c>
      <c r="D625">
        <v>-0.65</v>
      </c>
      <c r="E625">
        <v>-0.504</v>
      </c>
      <c r="F625" s="18">
        <f t="shared" si="228"/>
        <v>-0.20400000000000063</v>
      </c>
      <c r="G625" s="18">
        <f t="shared" si="229"/>
        <v>0.66000000000000014</v>
      </c>
      <c r="H625">
        <v>3.42</v>
      </c>
      <c r="I625">
        <v>1.72</v>
      </c>
      <c r="J625">
        <f t="shared" si="238"/>
        <v>2.57</v>
      </c>
      <c r="K625" s="6">
        <f t="shared" si="239"/>
        <v>2.59</v>
      </c>
      <c r="L625" s="6">
        <f t="shared" si="240"/>
        <v>0</v>
      </c>
      <c r="M625">
        <v>-1.6765147245519001</v>
      </c>
      <c r="N625">
        <v>313500</v>
      </c>
      <c r="O625" s="18">
        <f>ROUND(N625/VLOOKUP(EOMONTH(A625,-1),Employment!A:P,16,FALSE),4)</f>
        <v>1.3680000000000001</v>
      </c>
      <c r="P625" s="18">
        <f t="shared" si="230"/>
        <v>1.3695999999999999</v>
      </c>
      <c r="Q625" s="29">
        <f t="shared" si="231"/>
        <v>-2.1600000000000001E-2</v>
      </c>
      <c r="R625" s="29">
        <f t="shared" si="232"/>
        <v>-2.2000000000000001E-3</v>
      </c>
      <c r="S625">
        <v>2457000</v>
      </c>
      <c r="T625" s="18">
        <f>ROUND((S625/7)/VLOOKUP(EOMONTH(A625,-1),Employment!A:P,16,FALSE),4)</f>
        <v>1.5316000000000001</v>
      </c>
      <c r="U625" s="18">
        <f t="shared" si="233"/>
        <v>1.5357000000000001</v>
      </c>
      <c r="V625" s="29">
        <f t="shared" si="234"/>
        <v>-5.6800000000000003E-2</v>
      </c>
      <c r="W625" s="29">
        <f t="shared" si="235"/>
        <v>-2.2000000000000001E-3</v>
      </c>
      <c r="X625" s="30">
        <f t="shared" si="236"/>
        <v>132.54</v>
      </c>
      <c r="Y625" s="31">
        <f t="shared" si="237"/>
        <v>136.41999999999999</v>
      </c>
    </row>
    <row r="626" spans="1:25" ht="15" customHeight="1" x14ac:dyDescent="0.25">
      <c r="A626" s="5">
        <v>38963</v>
      </c>
      <c r="B626">
        <v>1153.4281000000001</v>
      </c>
      <c r="C626" s="29">
        <f t="shared" si="241"/>
        <v>7.4000000000000003E-3</v>
      </c>
      <c r="D626">
        <v>-0.66</v>
      </c>
      <c r="E626">
        <v>-0.51700000000000002</v>
      </c>
      <c r="F626" s="18">
        <f t="shared" si="228"/>
        <v>0.30799999999999983</v>
      </c>
      <c r="G626" s="18">
        <f t="shared" si="229"/>
        <v>1.4320000000000004</v>
      </c>
      <c r="H626">
        <v>3.49</v>
      </c>
      <c r="I626">
        <v>1.73</v>
      </c>
      <c r="J626">
        <f t="shared" si="238"/>
        <v>2.61</v>
      </c>
      <c r="K626" s="6">
        <f t="shared" si="239"/>
        <v>2.59</v>
      </c>
      <c r="L626" s="6">
        <f t="shared" si="240"/>
        <v>2.0000000000000018E-2</v>
      </c>
      <c r="M626">
        <v>-1.6763914982554999</v>
      </c>
      <c r="N626">
        <v>314250</v>
      </c>
      <c r="O626" s="18">
        <f>ROUND(N626/VLOOKUP(EOMONTH(A626,-1),Employment!A:P,16,FALSE),4)</f>
        <v>1.3713</v>
      </c>
      <c r="P626" s="18">
        <f t="shared" si="230"/>
        <v>1.3668</v>
      </c>
      <c r="Q626" s="29">
        <f t="shared" si="231"/>
        <v>-2.0400000000000001E-2</v>
      </c>
      <c r="R626" s="29">
        <f t="shared" si="232"/>
        <v>-2.3999999999999998E-3</v>
      </c>
      <c r="S626">
        <v>2464000</v>
      </c>
      <c r="T626" s="18">
        <f>ROUND((S626/7)/VLOOKUP(EOMONTH(A626,-1),Employment!A:P,16,FALSE),4)</f>
        <v>1.536</v>
      </c>
      <c r="U626" s="18">
        <f t="shared" si="233"/>
        <v>1.5405</v>
      </c>
      <c r="V626" s="29">
        <f t="shared" si="234"/>
        <v>-5.62E-2</v>
      </c>
      <c r="W626" s="29">
        <f t="shared" si="235"/>
        <v>-5.3E-3</v>
      </c>
      <c r="X626" s="30">
        <f t="shared" si="236"/>
        <v>137.67000000000002</v>
      </c>
      <c r="Y626" s="31">
        <f t="shared" si="237"/>
        <v>140.53</v>
      </c>
    </row>
    <row r="627" spans="1:25" ht="15" customHeight="1" x14ac:dyDescent="0.25">
      <c r="A627" s="5">
        <v>38956</v>
      </c>
      <c r="B627">
        <v>1157.2234000000001</v>
      </c>
      <c r="C627" s="29">
        <f t="shared" si="241"/>
        <v>1.7000000000000001E-2</v>
      </c>
      <c r="D627">
        <v>-0.65</v>
      </c>
      <c r="E627">
        <v>-0.49099999999999999</v>
      </c>
      <c r="F627" s="18">
        <f t="shared" si="228"/>
        <v>0.55600000000000094</v>
      </c>
      <c r="G627" s="18">
        <f t="shared" si="229"/>
        <v>1.4120000000000008</v>
      </c>
      <c r="H627">
        <v>3.44</v>
      </c>
      <c r="I627">
        <v>1.74</v>
      </c>
      <c r="J627">
        <f t="shared" si="238"/>
        <v>2.59</v>
      </c>
      <c r="K627" s="6">
        <f t="shared" si="239"/>
        <v>2.57</v>
      </c>
      <c r="L627" s="6">
        <f t="shared" si="240"/>
        <v>9.9999999999997868E-3</v>
      </c>
      <c r="M627">
        <v>-1.7098814000122999</v>
      </c>
      <c r="N627">
        <v>313500</v>
      </c>
      <c r="O627" s="18">
        <f>ROUND(N627/VLOOKUP(EOMONTH(A627,-1),Employment!A:P,16,FALSE),4)</f>
        <v>1.3694999999999999</v>
      </c>
      <c r="P627" s="18">
        <f t="shared" si="230"/>
        <v>1.3658999999999999</v>
      </c>
      <c r="Q627" s="29">
        <f t="shared" si="231"/>
        <v>-2.2800000000000001E-2</v>
      </c>
      <c r="R627" s="29">
        <f t="shared" si="232"/>
        <v>-1.1999999999999999E-3</v>
      </c>
      <c r="S627">
        <v>2467000</v>
      </c>
      <c r="T627" s="18">
        <f>ROUND((S627/7)/VLOOKUP(EOMONTH(A627,-1),Employment!A:P,16,FALSE),4)</f>
        <v>1.5396000000000001</v>
      </c>
      <c r="U627" s="18">
        <f t="shared" si="233"/>
        <v>1.5402</v>
      </c>
      <c r="V627" s="29">
        <f t="shared" si="234"/>
        <v>-5.33E-2</v>
      </c>
      <c r="W627" s="29">
        <f t="shared" si="235"/>
        <v>-5.1999999999999998E-3</v>
      </c>
      <c r="X627" s="30">
        <f t="shared" si="236"/>
        <v>142.97</v>
      </c>
      <c r="Y627" s="31">
        <f t="shared" si="237"/>
        <v>141.18</v>
      </c>
    </row>
    <row r="628" spans="1:25" ht="15" customHeight="1" x14ac:dyDescent="0.25">
      <c r="A628" s="5">
        <v>38949</v>
      </c>
      <c r="B628">
        <v>1148.3398</v>
      </c>
      <c r="C628" s="29">
        <f t="shared" si="241"/>
        <v>1.4500000000000001E-2</v>
      </c>
      <c r="D628">
        <v>-0.64</v>
      </c>
      <c r="E628">
        <v>-0.434</v>
      </c>
      <c r="F628" s="18">
        <f t="shared" si="228"/>
        <v>0.56799999999999962</v>
      </c>
      <c r="G628" s="18">
        <f t="shared" si="229"/>
        <v>1.6080000000000005</v>
      </c>
      <c r="H628">
        <v>3.41</v>
      </c>
      <c r="I628">
        <v>1.71</v>
      </c>
      <c r="J628">
        <f t="shared" si="238"/>
        <v>2.56</v>
      </c>
      <c r="K628" s="6">
        <f t="shared" si="239"/>
        <v>2.56</v>
      </c>
      <c r="L628" s="6">
        <f t="shared" si="240"/>
        <v>0</v>
      </c>
      <c r="M628">
        <v>-1.5648136875736001</v>
      </c>
      <c r="N628">
        <v>311250</v>
      </c>
      <c r="O628" s="18">
        <f>ROUND(N628/VLOOKUP(EOMONTH(A628,-1),Employment!A:P,16,FALSE),4)</f>
        <v>1.3596999999999999</v>
      </c>
      <c r="P628" s="18">
        <f t="shared" si="230"/>
        <v>1.3746</v>
      </c>
      <c r="Q628" s="29">
        <f t="shared" si="231"/>
        <v>-2.52E-2</v>
      </c>
      <c r="R628" s="29">
        <f t="shared" si="232"/>
        <v>-2.2000000000000001E-3</v>
      </c>
      <c r="S628">
        <v>2477000</v>
      </c>
      <c r="T628" s="18">
        <f>ROUND((S628/7)/VLOOKUP(EOMONTH(A628,-1),Employment!A:P,16,FALSE),4)</f>
        <v>1.5458000000000001</v>
      </c>
      <c r="U628" s="18">
        <f t="shared" si="233"/>
        <v>1.5307999999999999</v>
      </c>
      <c r="V628" s="29">
        <f t="shared" si="234"/>
        <v>-6.1400000000000003E-2</v>
      </c>
      <c r="W628" s="29">
        <f t="shared" si="235"/>
        <v>-2.3E-3</v>
      </c>
      <c r="X628" s="30">
        <f t="shared" si="236"/>
        <v>141.6</v>
      </c>
      <c r="Y628" s="31">
        <f t="shared" si="237"/>
        <v>136.22999999999999</v>
      </c>
    </row>
    <row r="629" spans="1:25" ht="15" customHeight="1" x14ac:dyDescent="0.25">
      <c r="A629" s="5">
        <v>38942</v>
      </c>
      <c r="B629">
        <v>1144.2004999999999</v>
      </c>
      <c r="C629" s="29">
        <f t="shared" si="241"/>
        <v>1.46E-2</v>
      </c>
      <c r="D629">
        <v>-0.62</v>
      </c>
      <c r="E629">
        <v>-0.38800000000000001</v>
      </c>
      <c r="F629" s="18">
        <f t="shared" si="228"/>
        <v>0.28800000000000026</v>
      </c>
      <c r="G629" s="18">
        <f t="shared" si="229"/>
        <v>1.0400000000000009</v>
      </c>
      <c r="H629">
        <v>3.39</v>
      </c>
      <c r="I629">
        <v>1.72</v>
      </c>
      <c r="J629">
        <f t="shared" si="238"/>
        <v>2.56</v>
      </c>
      <c r="K629" s="6">
        <f t="shared" si="239"/>
        <v>2.56</v>
      </c>
      <c r="L629" s="6">
        <f t="shared" si="240"/>
        <v>1.0000000000000231E-2</v>
      </c>
      <c r="M629">
        <v>-1.3446590981505</v>
      </c>
      <c r="N629">
        <v>313250</v>
      </c>
      <c r="O629" s="18">
        <f>ROUND(N629/VLOOKUP(EOMONTH(A629,-1),Employment!A:P,16,FALSE),4)</f>
        <v>1.3684000000000001</v>
      </c>
      <c r="P629" s="18">
        <f t="shared" si="230"/>
        <v>1.3889</v>
      </c>
      <c r="Q629" s="29">
        <f t="shared" si="231"/>
        <v>-2.6200000000000001E-2</v>
      </c>
      <c r="R629" s="29">
        <f t="shared" si="232"/>
        <v>-7.7000000000000002E-3</v>
      </c>
      <c r="S629">
        <v>2460000</v>
      </c>
      <c r="T629" s="18">
        <f>ROUND((S629/7)/VLOOKUP(EOMONTH(A629,-1),Employment!A:P,16,FALSE),4)</f>
        <v>1.5351999999999999</v>
      </c>
      <c r="U629" s="18">
        <f t="shared" si="233"/>
        <v>1.5309999999999999</v>
      </c>
      <c r="V629" s="29">
        <f t="shared" si="234"/>
        <v>-6.59E-2</v>
      </c>
      <c r="W629" s="29">
        <f t="shared" si="235"/>
        <v>-5.7999999999999996E-3</v>
      </c>
      <c r="X629" s="30">
        <f t="shared" si="236"/>
        <v>135.65</v>
      </c>
      <c r="Y629" s="31">
        <f t="shared" si="237"/>
        <v>128.47</v>
      </c>
    </row>
    <row r="630" spans="1:25" ht="15" customHeight="1" x14ac:dyDescent="0.25">
      <c r="A630" s="5">
        <v>38935</v>
      </c>
      <c r="B630">
        <v>1130.0911000000001</v>
      </c>
      <c r="C630" s="29">
        <f t="shared" si="241"/>
        <v>4.4000000000000003E-3</v>
      </c>
      <c r="D630">
        <v>-0.62</v>
      </c>
      <c r="E630">
        <v>-0.35199999999999998</v>
      </c>
      <c r="F630" s="18">
        <f t="shared" si="228"/>
        <v>0.75200000000000067</v>
      </c>
      <c r="G630" s="18">
        <f t="shared" si="229"/>
        <v>0.82000000000000028</v>
      </c>
      <c r="H630">
        <v>3.44</v>
      </c>
      <c r="I630">
        <v>1.69</v>
      </c>
      <c r="J630">
        <f t="shared" si="238"/>
        <v>2.57</v>
      </c>
      <c r="K630" s="6">
        <f t="shared" si="239"/>
        <v>2.5499999999999998</v>
      </c>
      <c r="L630" s="6">
        <f t="shared" si="240"/>
        <v>0</v>
      </c>
      <c r="M630">
        <v>-1.1478090095685001</v>
      </c>
      <c r="N630">
        <v>319500</v>
      </c>
      <c r="O630" s="18">
        <f>ROUND(N630/VLOOKUP(EOMONTH(A630,-1),Employment!A:P,16,FALSE),4)</f>
        <v>1.3956999999999999</v>
      </c>
      <c r="P630" s="18">
        <f t="shared" si="230"/>
        <v>1.4015</v>
      </c>
      <c r="Q630" s="29">
        <f t="shared" si="231"/>
        <v>-2.5499999999999998E-2</v>
      </c>
      <c r="R630" s="29">
        <f t="shared" si="232"/>
        <v>-1.6400000000000001E-2</v>
      </c>
      <c r="S630">
        <v>2422000</v>
      </c>
      <c r="T630" s="18">
        <f>ROUND((S630/7)/VLOOKUP(EOMONTH(A630,-1),Employment!A:P,16,FALSE),4)</f>
        <v>1.5115000000000001</v>
      </c>
      <c r="U630" s="18">
        <f t="shared" si="233"/>
        <v>1.538</v>
      </c>
      <c r="V630" s="29">
        <f t="shared" si="234"/>
        <v>-6.3500000000000001E-2</v>
      </c>
      <c r="W630" s="29">
        <f t="shared" si="235"/>
        <v>-7.4000000000000003E-3</v>
      </c>
      <c r="X630" s="30">
        <f t="shared" si="236"/>
        <v>124.22999999999999</v>
      </c>
      <c r="Y630" s="31">
        <f t="shared" si="237"/>
        <v>123.07</v>
      </c>
    </row>
    <row r="631" spans="1:25" ht="15" customHeight="1" x14ac:dyDescent="0.25">
      <c r="A631" s="5">
        <v>38928</v>
      </c>
      <c r="B631">
        <v>1128.9740999999999</v>
      </c>
      <c r="C631" s="29">
        <f t="shared" si="241"/>
        <v>6.7999999999999996E-3</v>
      </c>
      <c r="D631">
        <v>-0.6</v>
      </c>
      <c r="E631">
        <v>-0.28299999999999997</v>
      </c>
      <c r="F631" s="18">
        <f t="shared" si="228"/>
        <v>0</v>
      </c>
      <c r="G631" s="18">
        <f t="shared" si="229"/>
        <v>0.39599999999999991</v>
      </c>
      <c r="H631">
        <v>3.4</v>
      </c>
      <c r="I631">
        <v>1.67</v>
      </c>
      <c r="J631">
        <f t="shared" si="238"/>
        <v>2.54</v>
      </c>
      <c r="K631" s="6">
        <f t="shared" si="239"/>
        <v>2.5499999999999998</v>
      </c>
      <c r="L631" s="6">
        <f t="shared" si="240"/>
        <v>9.9999999999997868E-3</v>
      </c>
      <c r="M631">
        <v>-0.76286446274798003</v>
      </c>
      <c r="N631">
        <v>320750</v>
      </c>
      <c r="O631" s="18">
        <f>ROUND(N631/VLOOKUP(EOMONTH(A631,-1),Employment!A:P,16,FALSE),4)</f>
        <v>1.4027000000000001</v>
      </c>
      <c r="P631" s="18">
        <f t="shared" si="230"/>
        <v>1.4012</v>
      </c>
      <c r="Q631" s="29">
        <f t="shared" si="231"/>
        <v>-2.6499999999999999E-2</v>
      </c>
      <c r="R631" s="29">
        <f t="shared" si="232"/>
        <v>-2.07E-2</v>
      </c>
      <c r="S631">
        <v>2475000</v>
      </c>
      <c r="T631" s="18">
        <f>ROUND((S631/7)/VLOOKUP(EOMONTH(A631,-1),Employment!A:P,16,FALSE),4)</f>
        <v>1.5462</v>
      </c>
      <c r="U631" s="18">
        <f t="shared" si="233"/>
        <v>1.5337000000000001</v>
      </c>
      <c r="V631" s="29">
        <f t="shared" si="234"/>
        <v>-6.88E-2</v>
      </c>
      <c r="W631" s="29">
        <f t="shared" si="235"/>
        <v>-9.4000000000000004E-3</v>
      </c>
      <c r="X631" s="30">
        <f t="shared" si="236"/>
        <v>121.09</v>
      </c>
      <c r="Y631" s="31">
        <f t="shared" si="237"/>
        <v>125.54</v>
      </c>
    </row>
    <row r="632" spans="1:25" ht="15" customHeight="1" x14ac:dyDescent="0.25">
      <c r="A632" s="5">
        <v>38921</v>
      </c>
      <c r="B632">
        <v>1124.366</v>
      </c>
      <c r="C632" s="29">
        <f t="shared" si="241"/>
        <v>3.5999999999999999E-3</v>
      </c>
      <c r="D632">
        <v>-0.6</v>
      </c>
      <c r="E632">
        <v>-0.28299999999999997</v>
      </c>
      <c r="F632" s="18">
        <f t="shared" si="228"/>
        <v>6.7999999999999616E-2</v>
      </c>
      <c r="G632" s="18">
        <f t="shared" si="229"/>
        <v>0.59600000000000009</v>
      </c>
      <c r="H632">
        <v>3.41</v>
      </c>
      <c r="I632">
        <v>1.69</v>
      </c>
      <c r="J632">
        <f t="shared" si="238"/>
        <v>2.5499999999999998</v>
      </c>
      <c r="K632" s="6">
        <f t="shared" si="239"/>
        <v>2.54</v>
      </c>
      <c r="L632" s="6">
        <f t="shared" si="240"/>
        <v>1.0000000000000231E-2</v>
      </c>
      <c r="M632">
        <v>-0.78591563190298996</v>
      </c>
      <c r="N632">
        <v>321500</v>
      </c>
      <c r="O632" s="18">
        <f>ROUND(N632/VLOOKUP(EOMONTH(A632,-1),Employment!A:P,16,FALSE),4)</f>
        <v>1.4059999999999999</v>
      </c>
      <c r="P632" s="18">
        <f t="shared" si="230"/>
        <v>1.3823000000000001</v>
      </c>
      <c r="Q632" s="29">
        <f t="shared" si="231"/>
        <v>-3.6200000000000003E-2</v>
      </c>
      <c r="R632" s="29">
        <f t="shared" si="232"/>
        <v>-1.3899999999999999E-2</v>
      </c>
      <c r="S632">
        <v>2491000</v>
      </c>
      <c r="T632" s="18">
        <f>ROUND((S632/7)/VLOOKUP(EOMONTH(A632,-1),Employment!A:P,16,FALSE),4)</f>
        <v>1.5562</v>
      </c>
      <c r="U632" s="18">
        <f t="shared" si="233"/>
        <v>1.522</v>
      </c>
      <c r="V632" s="29">
        <f t="shared" si="234"/>
        <v>-7.0000000000000007E-2</v>
      </c>
      <c r="W632" s="29">
        <f t="shared" si="235"/>
        <v>-5.5999999999999999E-3</v>
      </c>
      <c r="X632" s="30">
        <f t="shared" si="236"/>
        <v>125.13</v>
      </c>
      <c r="Y632" s="31">
        <f t="shared" si="237"/>
        <v>133.75</v>
      </c>
    </row>
    <row r="633" spans="1:25" ht="15" customHeight="1" x14ac:dyDescent="0.25">
      <c r="A633" s="5">
        <v>38914</v>
      </c>
      <c r="B633">
        <v>1127.5110999999999</v>
      </c>
      <c r="C633" s="29">
        <f t="shared" si="241"/>
        <v>8.2000000000000007E-3</v>
      </c>
      <c r="D633">
        <v>-0.59</v>
      </c>
      <c r="E633">
        <v>-0.28699999999999998</v>
      </c>
      <c r="F633" s="18">
        <f t="shared" si="228"/>
        <v>0.32800000000000029</v>
      </c>
      <c r="G633" s="18">
        <f t="shared" si="229"/>
        <v>0.11599999999999966</v>
      </c>
      <c r="H633">
        <v>3.44</v>
      </c>
      <c r="I633">
        <v>1.69</v>
      </c>
      <c r="J633">
        <f t="shared" si="238"/>
        <v>2.57</v>
      </c>
      <c r="K633" s="6">
        <f t="shared" si="239"/>
        <v>2.5299999999999998</v>
      </c>
      <c r="L633" s="6">
        <f t="shared" si="240"/>
        <v>2.9999999999999805E-2</v>
      </c>
      <c r="M633">
        <v>-0.59400582466812002</v>
      </c>
      <c r="N633">
        <v>319000</v>
      </c>
      <c r="O633" s="18">
        <f>ROUND(N633/VLOOKUP(EOMONTH(A633,-1),Employment!A:P,16,FALSE),4)</f>
        <v>1.395</v>
      </c>
      <c r="P633" s="18">
        <f t="shared" si="230"/>
        <v>1.3589</v>
      </c>
      <c r="Q633" s="29">
        <f t="shared" si="231"/>
        <v>-5.3499999999999999E-2</v>
      </c>
      <c r="R633" s="29">
        <f t="shared" si="232"/>
        <v>3.8E-3</v>
      </c>
      <c r="S633">
        <v>2399000</v>
      </c>
      <c r="T633" s="18">
        <f>ROUND((S633/7)/VLOOKUP(EOMONTH(A633,-1),Employment!A:P,16,FALSE),4)</f>
        <v>1.4986999999999999</v>
      </c>
      <c r="U633" s="18">
        <f t="shared" si="233"/>
        <v>1.502</v>
      </c>
      <c r="V633" s="29">
        <f t="shared" si="234"/>
        <v>-8.4400000000000003E-2</v>
      </c>
      <c r="W633" s="29">
        <f t="shared" si="235"/>
        <v>-4.0000000000000001E-3</v>
      </c>
      <c r="X633" s="30">
        <f t="shared" si="236"/>
        <v>137.71</v>
      </c>
      <c r="Y633" s="31">
        <f t="shared" si="237"/>
        <v>142.68</v>
      </c>
    </row>
    <row r="634" spans="1:25" ht="15" customHeight="1" x14ac:dyDescent="0.25">
      <c r="A634" s="5">
        <v>38907</v>
      </c>
      <c r="B634">
        <v>1119.8031000000001</v>
      </c>
      <c r="C634" s="29">
        <f t="shared" si="241"/>
        <v>4.4000000000000003E-3</v>
      </c>
      <c r="D634">
        <v>-0.59</v>
      </c>
      <c r="E634">
        <v>-0.246</v>
      </c>
      <c r="F634" s="18">
        <f t="shared" si="228"/>
        <v>0.20000000000000018</v>
      </c>
      <c r="G634" s="18">
        <f t="shared" si="229"/>
        <v>-0.92000000000000082</v>
      </c>
      <c r="H634">
        <v>3.33</v>
      </c>
      <c r="I634">
        <v>1.66</v>
      </c>
      <c r="J634">
        <f t="shared" si="238"/>
        <v>2.5</v>
      </c>
      <c r="K634" s="6">
        <f t="shared" si="239"/>
        <v>2.5</v>
      </c>
      <c r="L634" s="6">
        <f t="shared" si="240"/>
        <v>9.9999999999997868E-3</v>
      </c>
      <c r="M634">
        <v>-2.8749564303232E-2</v>
      </c>
      <c r="N634">
        <v>307750</v>
      </c>
      <c r="O634" s="18">
        <f>ROUND(N634/VLOOKUP(EOMONTH(A634,-1),Employment!A:P,16,FALSE),4)</f>
        <v>1.3458000000000001</v>
      </c>
      <c r="P634" s="18">
        <f t="shared" si="230"/>
        <v>1.3473999999999999</v>
      </c>
      <c r="Q634" s="29">
        <f t="shared" si="231"/>
        <v>-7.0199999999999999E-2</v>
      </c>
      <c r="R634" s="29">
        <f t="shared" si="232"/>
        <v>2.29E-2</v>
      </c>
      <c r="S634">
        <v>2419000</v>
      </c>
      <c r="T634" s="18">
        <f>ROUND((S634/7)/VLOOKUP(EOMONTH(A634,-1),Employment!A:P,16,FALSE),4)</f>
        <v>1.5112000000000001</v>
      </c>
      <c r="U634" s="18">
        <f t="shared" si="233"/>
        <v>1.5053000000000001</v>
      </c>
      <c r="V634" s="29">
        <f t="shared" si="234"/>
        <v>-8.1199999999999994E-2</v>
      </c>
      <c r="W634" s="29">
        <f t="shared" si="235"/>
        <v>-1.6000000000000001E-3</v>
      </c>
      <c r="X634" s="30">
        <f t="shared" si="236"/>
        <v>145.41</v>
      </c>
      <c r="Y634" s="31">
        <f t="shared" si="237"/>
        <v>147.31</v>
      </c>
    </row>
    <row r="635" spans="1:25" ht="15" customHeight="1" x14ac:dyDescent="0.25">
      <c r="A635" s="5">
        <v>38900</v>
      </c>
      <c r="B635">
        <v>1113.665</v>
      </c>
      <c r="C635" s="29">
        <f t="shared" si="241"/>
        <v>1E-3</v>
      </c>
      <c r="D635">
        <v>-0.59</v>
      </c>
      <c r="E635">
        <v>-0.221</v>
      </c>
      <c r="F635" s="18">
        <f t="shared" si="228"/>
        <v>-0.41200000000000081</v>
      </c>
      <c r="G635" s="18">
        <f t="shared" si="229"/>
        <v>-1.4480000000000004</v>
      </c>
      <c r="H635">
        <v>3.35</v>
      </c>
      <c r="I635">
        <v>1.67</v>
      </c>
      <c r="J635">
        <f t="shared" si="238"/>
        <v>2.5099999999999998</v>
      </c>
      <c r="K635" s="6">
        <f t="shared" si="239"/>
        <v>2.4900000000000002</v>
      </c>
      <c r="L635" s="6">
        <f t="shared" si="240"/>
        <v>1.0000000000000231E-2</v>
      </c>
      <c r="M635">
        <v>0.45638988532215002</v>
      </c>
      <c r="N635">
        <v>305500</v>
      </c>
      <c r="O635" s="18">
        <f>ROUND(N635/VLOOKUP(EOMONTH(A635,-1),Employment!A:P,16,FALSE),4)</f>
        <v>1.3360000000000001</v>
      </c>
      <c r="P635" s="18">
        <f t="shared" si="230"/>
        <v>1.3563000000000001</v>
      </c>
      <c r="Q635" s="29">
        <f t="shared" si="231"/>
        <v>-7.3599999999999999E-2</v>
      </c>
      <c r="R635" s="29">
        <f t="shared" si="232"/>
        <v>3.2300000000000002E-2</v>
      </c>
      <c r="S635">
        <v>2395000</v>
      </c>
      <c r="T635" s="18">
        <f>ROUND((S635/7)/VLOOKUP(EOMONTH(A635,-1),Employment!A:P,16,FALSE),4)</f>
        <v>1.4962</v>
      </c>
      <c r="U635" s="18">
        <f t="shared" si="233"/>
        <v>1.5035000000000001</v>
      </c>
      <c r="V635" s="29">
        <f t="shared" si="234"/>
        <v>-8.9800000000000005E-2</v>
      </c>
      <c r="W635" s="29">
        <f t="shared" si="235"/>
        <v>4.0000000000000002E-4</v>
      </c>
      <c r="X635" s="30">
        <f t="shared" si="236"/>
        <v>148.27000000000001</v>
      </c>
      <c r="Y635" s="31">
        <f t="shared" si="237"/>
        <v>147.57</v>
      </c>
    </row>
    <row r="636" spans="1:25" ht="15" customHeight="1" x14ac:dyDescent="0.25">
      <c r="A636" s="5">
        <v>38893</v>
      </c>
      <c r="B636">
        <v>1120.1396999999999</v>
      </c>
      <c r="C636" s="29">
        <f t="shared" si="241"/>
        <v>1.0500000000000001E-2</v>
      </c>
      <c r="D636">
        <v>-0.6</v>
      </c>
      <c r="E636">
        <v>-0.26</v>
      </c>
      <c r="F636" s="18">
        <f t="shared" si="228"/>
        <v>-0.70800000000000018</v>
      </c>
      <c r="G636" s="18">
        <f t="shared" si="229"/>
        <v>-1.2359999999999989</v>
      </c>
      <c r="H636">
        <v>3.31</v>
      </c>
      <c r="I636">
        <v>1.69</v>
      </c>
      <c r="J636">
        <f t="shared" si="238"/>
        <v>2.5</v>
      </c>
      <c r="K636" s="6">
        <f t="shared" si="239"/>
        <v>2.48</v>
      </c>
      <c r="L636" s="6">
        <f t="shared" si="240"/>
        <v>2.0000000000000018E-2</v>
      </c>
      <c r="M636">
        <v>0.98884075702479002</v>
      </c>
      <c r="N636">
        <v>310750</v>
      </c>
      <c r="O636" s="18">
        <f>ROUND(N636/VLOOKUP(EOMONTH(A636,-1),Employment!A:P,16,FALSE),4)</f>
        <v>1.3604000000000001</v>
      </c>
      <c r="P636" s="18">
        <f t="shared" si="230"/>
        <v>1.3818999999999999</v>
      </c>
      <c r="Q636" s="29">
        <f t="shared" si="231"/>
        <v>-6.0199999999999997E-2</v>
      </c>
      <c r="R636" s="29">
        <f t="shared" si="232"/>
        <v>2.53E-2</v>
      </c>
      <c r="S636">
        <v>2412000</v>
      </c>
      <c r="T636" s="18">
        <f>ROUND((S636/7)/VLOOKUP(EOMONTH(A636,-1),Employment!A:P,16,FALSE),4)</f>
        <v>1.5084</v>
      </c>
      <c r="U636" s="18">
        <f t="shared" si="233"/>
        <v>1.5011000000000001</v>
      </c>
      <c r="V636" s="29">
        <f t="shared" si="234"/>
        <v>-8.8700000000000001E-2</v>
      </c>
      <c r="W636" s="29">
        <f t="shared" si="235"/>
        <v>-8.0000000000000004E-4</v>
      </c>
      <c r="X636" s="30">
        <f t="shared" si="236"/>
        <v>149.67000000000002</v>
      </c>
      <c r="Y636" s="31">
        <f t="shared" si="237"/>
        <v>141.16999999999999</v>
      </c>
    </row>
    <row r="637" spans="1:25" ht="15" customHeight="1" x14ac:dyDescent="0.25">
      <c r="A637" s="5">
        <v>38886</v>
      </c>
      <c r="B637">
        <v>1119.6968999999999</v>
      </c>
      <c r="C637" s="29">
        <f t="shared" si="241"/>
        <v>1.4500000000000001E-2</v>
      </c>
      <c r="D637">
        <v>-0.61</v>
      </c>
      <c r="E637">
        <v>-0.33600000000000002</v>
      </c>
      <c r="F637" s="18">
        <f t="shared" si="228"/>
        <v>-0.3279999999999994</v>
      </c>
      <c r="G637" s="18">
        <f t="shared" si="229"/>
        <v>-1.2400000000000002</v>
      </c>
      <c r="H637">
        <v>3.26</v>
      </c>
      <c r="I637">
        <v>1.67</v>
      </c>
      <c r="J637">
        <f t="shared" si="238"/>
        <v>2.4700000000000002</v>
      </c>
      <c r="K637" s="6">
        <f t="shared" si="239"/>
        <v>2.46</v>
      </c>
      <c r="L637" s="6">
        <f t="shared" si="240"/>
        <v>2.0000000000000018E-2</v>
      </c>
      <c r="M637">
        <v>1.588184109852</v>
      </c>
      <c r="N637">
        <v>313500</v>
      </c>
      <c r="O637" s="18">
        <f>ROUND(N637/VLOOKUP(EOMONTH(A637,-1),Employment!A:P,16,FALSE),4)</f>
        <v>1.3724000000000001</v>
      </c>
      <c r="P637" s="18">
        <f t="shared" si="230"/>
        <v>1.4139999999999999</v>
      </c>
      <c r="Q637" s="29">
        <f t="shared" si="231"/>
        <v>-3.2599999999999997E-2</v>
      </c>
      <c r="R637" s="29">
        <f t="shared" si="232"/>
        <v>6.3E-3</v>
      </c>
      <c r="S637">
        <v>2408000</v>
      </c>
      <c r="T637" s="18">
        <f>ROUND((S637/7)/VLOOKUP(EOMONTH(A637,-1),Employment!A:P,16,FALSE),4)</f>
        <v>1.5059</v>
      </c>
      <c r="U637" s="18">
        <f t="shared" si="233"/>
        <v>1.4984</v>
      </c>
      <c r="V637" s="29">
        <f t="shared" si="234"/>
        <v>-8.9800000000000005E-2</v>
      </c>
      <c r="W637" s="29">
        <f t="shared" si="235"/>
        <v>-3.0000000000000001E-3</v>
      </c>
      <c r="X637" s="30">
        <f t="shared" si="236"/>
        <v>140.56</v>
      </c>
      <c r="Y637" s="31">
        <f t="shared" si="237"/>
        <v>128.4</v>
      </c>
    </row>
    <row r="638" spans="1:25" ht="15" customHeight="1" x14ac:dyDescent="0.25">
      <c r="A638" s="5">
        <v>38879</v>
      </c>
      <c r="B638">
        <v>1105.9503999999999</v>
      </c>
      <c r="C638" s="29">
        <f t="shared" si="241"/>
        <v>3.5000000000000001E-3</v>
      </c>
      <c r="D638">
        <v>-0.63</v>
      </c>
      <c r="E638">
        <v>-0.35199999999999998</v>
      </c>
      <c r="F638" s="18">
        <f t="shared" si="228"/>
        <v>-0.19999999999999929</v>
      </c>
      <c r="G638" s="18">
        <f t="shared" si="229"/>
        <v>-1.7919999999999998</v>
      </c>
      <c r="H638">
        <v>3.27</v>
      </c>
      <c r="I638">
        <v>1.66</v>
      </c>
      <c r="J638">
        <f t="shared" si="238"/>
        <v>2.4700000000000002</v>
      </c>
      <c r="K638" s="6">
        <f t="shared" si="239"/>
        <v>2.44</v>
      </c>
      <c r="L638" s="6">
        <f t="shared" si="240"/>
        <v>2.9999999999999805E-2</v>
      </c>
      <c r="M638">
        <v>2.2926115775004998</v>
      </c>
      <c r="N638">
        <v>322750</v>
      </c>
      <c r="O638" s="18">
        <f>ROUND(N638/VLOOKUP(EOMONTH(A638,-1),Employment!A:P,16,FALSE),4)</f>
        <v>1.4129</v>
      </c>
      <c r="P638" s="18">
        <f t="shared" si="230"/>
        <v>1.4393</v>
      </c>
      <c r="Q638" s="29">
        <f t="shared" si="231"/>
        <v>-8.3000000000000001E-3</v>
      </c>
      <c r="R638" s="29">
        <f t="shared" si="232"/>
        <v>-1.4500000000000001E-2</v>
      </c>
      <c r="S638">
        <v>2381000</v>
      </c>
      <c r="T638" s="18">
        <f>ROUND((S638/7)/VLOOKUP(EOMONTH(A638,-1),Employment!A:P,16,FALSE),4)</f>
        <v>1.4891000000000001</v>
      </c>
      <c r="U638" s="18">
        <f t="shared" si="233"/>
        <v>1.4937</v>
      </c>
      <c r="V638" s="29">
        <f t="shared" si="234"/>
        <v>-8.5800000000000001E-2</v>
      </c>
      <c r="W638" s="29">
        <f t="shared" si="235"/>
        <v>-1.4E-3</v>
      </c>
      <c r="X638" s="30">
        <f t="shared" si="236"/>
        <v>121.47</v>
      </c>
      <c r="Y638" s="31">
        <f t="shared" si="237"/>
        <v>118.43</v>
      </c>
    </row>
    <row r="639" spans="1:25" ht="15" customHeight="1" x14ac:dyDescent="0.25">
      <c r="A639" s="5">
        <v>38872</v>
      </c>
      <c r="B639">
        <v>1104.2081000000001</v>
      </c>
      <c r="C639" s="29">
        <f t="shared" si="241"/>
        <v>5.0000000000000001E-3</v>
      </c>
      <c r="D639">
        <v>-0.65</v>
      </c>
      <c r="E639">
        <v>-0.35199999999999998</v>
      </c>
      <c r="F639" s="18">
        <f t="shared" si="228"/>
        <v>-0.71200000000000152</v>
      </c>
      <c r="G639" s="18">
        <f t="shared" si="229"/>
        <v>-1.4559999999999995</v>
      </c>
      <c r="H639">
        <v>3.22</v>
      </c>
      <c r="I639">
        <v>1.67</v>
      </c>
      <c r="J639">
        <f t="shared" si="238"/>
        <v>2.4500000000000002</v>
      </c>
      <c r="K639" s="6">
        <f t="shared" si="239"/>
        <v>2.41</v>
      </c>
      <c r="L639" s="6">
        <f t="shared" si="240"/>
        <v>7.0000000000000284E-2</v>
      </c>
      <c r="M639">
        <v>2.7920448871071</v>
      </c>
      <c r="N639">
        <v>332750</v>
      </c>
      <c r="O639" s="18">
        <f>ROUND(N639/VLOOKUP(EOMONTH(A639,-1),Employment!A:P,16,FALSE),4)</f>
        <v>1.4567000000000001</v>
      </c>
      <c r="P639" s="18">
        <f t="shared" si="230"/>
        <v>1.4471000000000001</v>
      </c>
      <c r="Q639" s="29">
        <f t="shared" si="231"/>
        <v>1.9E-3</v>
      </c>
      <c r="R639" s="29">
        <f t="shared" si="232"/>
        <v>-2.9499999999999998E-2</v>
      </c>
      <c r="S639">
        <v>2399000</v>
      </c>
      <c r="T639" s="18">
        <f>ROUND((S639/7)/VLOOKUP(EOMONTH(A639,-1),Employment!A:P,16,FALSE),4)</f>
        <v>1.5003</v>
      </c>
      <c r="U639" s="18">
        <f t="shared" si="233"/>
        <v>1.4923</v>
      </c>
      <c r="V639" s="29">
        <f t="shared" si="234"/>
        <v>-9.0200000000000002E-2</v>
      </c>
      <c r="W639" s="29">
        <f t="shared" si="235"/>
        <v>4.7999999999999996E-3</v>
      </c>
      <c r="X639" s="30">
        <f t="shared" si="236"/>
        <v>115.34</v>
      </c>
      <c r="Y639" s="31">
        <f t="shared" si="237"/>
        <v>118.3</v>
      </c>
    </row>
    <row r="640" spans="1:25" ht="15" customHeight="1" x14ac:dyDescent="0.25">
      <c r="A640" s="5">
        <v>38865</v>
      </c>
      <c r="B640">
        <v>1104.0211999999999</v>
      </c>
      <c r="C640" s="29">
        <f t="shared" si="241"/>
        <v>9.4999999999999998E-3</v>
      </c>
      <c r="D640">
        <v>-0.67</v>
      </c>
      <c r="E640">
        <v>-0.41599999999999998</v>
      </c>
      <c r="F640" s="18">
        <f t="shared" si="228"/>
        <v>-0.87999999999999901</v>
      </c>
      <c r="G640" s="18">
        <f t="shared" si="229"/>
        <v>-0.86800000000000033</v>
      </c>
      <c r="H640">
        <v>3.12</v>
      </c>
      <c r="I640">
        <v>1.67</v>
      </c>
      <c r="J640">
        <f t="shared" si="238"/>
        <v>2.4</v>
      </c>
      <c r="K640" s="6">
        <f t="shared" si="239"/>
        <v>2.34</v>
      </c>
      <c r="L640" s="6">
        <f t="shared" si="240"/>
        <v>4.0000000000000036E-2</v>
      </c>
      <c r="M640">
        <v>3.8346447244638999</v>
      </c>
      <c r="N640">
        <v>330500</v>
      </c>
      <c r="O640" s="18">
        <f>ROUND(N640/VLOOKUP(EOMONTH(A640,-1),Employment!A:P,16,FALSE),4)</f>
        <v>1.4482999999999999</v>
      </c>
      <c r="P640" s="18">
        <f t="shared" si="230"/>
        <v>1.4271</v>
      </c>
      <c r="Q640" s="29">
        <f t="shared" si="231"/>
        <v>-6.4999999999999997E-3</v>
      </c>
      <c r="R640" s="29">
        <f t="shared" si="232"/>
        <v>-3.6200000000000003E-2</v>
      </c>
      <c r="S640">
        <v>2383000</v>
      </c>
      <c r="T640" s="18">
        <f>ROUND((S640/7)/VLOOKUP(EOMONTH(A640,-1),Employment!A:P,16,FALSE),4)</f>
        <v>1.4918</v>
      </c>
      <c r="U640" s="18">
        <f t="shared" si="233"/>
        <v>1.4841</v>
      </c>
      <c r="V640" s="29">
        <f t="shared" si="234"/>
        <v>-9.5600000000000004E-2</v>
      </c>
      <c r="W640" s="29">
        <f t="shared" si="235"/>
        <v>6.3E-3</v>
      </c>
      <c r="X640" s="30">
        <f t="shared" si="236"/>
        <v>118.53999999999999</v>
      </c>
      <c r="Y640" s="31">
        <f t="shared" si="237"/>
        <v>123.69</v>
      </c>
    </row>
    <row r="641" spans="1:25" ht="15" customHeight="1" x14ac:dyDescent="0.25">
      <c r="A641" s="5">
        <v>38858</v>
      </c>
      <c r="B641">
        <v>1100.7520999999999</v>
      </c>
      <c r="C641" s="29">
        <f t="shared" si="241"/>
        <v>1.2500000000000001E-2</v>
      </c>
      <c r="D641">
        <v>-0.69</v>
      </c>
      <c r="E641">
        <v>-0.501</v>
      </c>
      <c r="F641" s="18">
        <f t="shared" si="228"/>
        <v>0.13600000000000101</v>
      </c>
      <c r="G641" s="18">
        <f t="shared" si="229"/>
        <v>0.11599999999999966</v>
      </c>
      <c r="H641">
        <v>3.08</v>
      </c>
      <c r="I641">
        <v>1.65</v>
      </c>
      <c r="J641">
        <f t="shared" si="238"/>
        <v>2.37</v>
      </c>
      <c r="K641" s="6">
        <f t="shared" si="239"/>
        <v>2.2999999999999998</v>
      </c>
      <c r="L641" s="6">
        <f t="shared" si="240"/>
        <v>9.9999999999997868E-3</v>
      </c>
      <c r="M641">
        <v>3.9363208529512002</v>
      </c>
      <c r="N641">
        <v>327750</v>
      </c>
      <c r="O641" s="18">
        <f>ROUND(N641/VLOOKUP(EOMONTH(A641,-1),Employment!A:P,16,FALSE),4)</f>
        <v>1.4361999999999999</v>
      </c>
      <c r="P641" s="18">
        <f t="shared" si="230"/>
        <v>1.3924000000000001</v>
      </c>
      <c r="Q641" s="29">
        <f t="shared" si="231"/>
        <v>-2.5399999999999999E-2</v>
      </c>
      <c r="R641" s="29">
        <f t="shared" si="232"/>
        <v>-3.5299999999999998E-2</v>
      </c>
      <c r="S641">
        <v>2372000</v>
      </c>
      <c r="T641" s="18">
        <f>ROUND((S641/7)/VLOOKUP(EOMONTH(A641,-1),Employment!A:P,16,FALSE),4)</f>
        <v>1.4849000000000001</v>
      </c>
      <c r="U641" s="18">
        <f t="shared" si="233"/>
        <v>1.4925999999999999</v>
      </c>
      <c r="V641" s="29">
        <f t="shared" si="234"/>
        <v>-9.2799999999999994E-2</v>
      </c>
      <c r="W641" s="29">
        <f t="shared" si="235"/>
        <v>-1E-3</v>
      </c>
      <c r="X641" s="30">
        <f t="shared" si="236"/>
        <v>125.11</v>
      </c>
      <c r="Y641" s="31">
        <f t="shared" si="237"/>
        <v>130.9</v>
      </c>
    </row>
    <row r="642" spans="1:25" ht="15" customHeight="1" x14ac:dyDescent="0.25">
      <c r="A642" s="5">
        <v>38851</v>
      </c>
      <c r="B642">
        <v>1099.4955</v>
      </c>
      <c r="C642" s="29">
        <f t="shared" si="241"/>
        <v>1.5599999999999999E-2</v>
      </c>
      <c r="D642">
        <v>-0.69</v>
      </c>
      <c r="E642">
        <v>-0.48399999999999999</v>
      </c>
      <c r="F642" s="18">
        <f t="shared" si="228"/>
        <v>-0.12400000000000233</v>
      </c>
      <c r="G642" s="18">
        <f t="shared" si="229"/>
        <v>0.25199999999999889</v>
      </c>
      <c r="H642">
        <v>2.88</v>
      </c>
      <c r="I642">
        <v>1.63</v>
      </c>
      <c r="J642">
        <f t="shared" si="238"/>
        <v>2.2599999999999998</v>
      </c>
      <c r="K642" s="6">
        <f t="shared" si="239"/>
        <v>2.29</v>
      </c>
      <c r="L642" s="6">
        <f t="shared" si="240"/>
        <v>-4.0000000000000036E-2</v>
      </c>
      <c r="M642">
        <v>3.5558098093713002</v>
      </c>
      <c r="N642">
        <v>318750</v>
      </c>
      <c r="O642" s="18">
        <f>ROUND(N642/VLOOKUP(EOMONTH(A642,-1),Employment!A:P,16,FALSE),4)</f>
        <v>1.3968</v>
      </c>
      <c r="P642" s="18">
        <f t="shared" si="230"/>
        <v>1.3512</v>
      </c>
      <c r="Q642" s="29">
        <f t="shared" si="231"/>
        <v>-5.0099999999999999E-2</v>
      </c>
      <c r="R642" s="29">
        <f t="shared" si="232"/>
        <v>-2.5600000000000001E-2</v>
      </c>
      <c r="S642">
        <v>2357000</v>
      </c>
      <c r="T642" s="18">
        <f>ROUND((S642/7)/VLOOKUP(EOMONTH(A642,-1),Employment!A:P,16,FALSE),4)</f>
        <v>1.4755</v>
      </c>
      <c r="U642" s="18">
        <f t="shared" si="233"/>
        <v>1.5005999999999999</v>
      </c>
      <c r="V642" s="29">
        <f t="shared" si="234"/>
        <v>-8.2500000000000004E-2</v>
      </c>
      <c r="W642" s="29">
        <f t="shared" si="235"/>
        <v>-7.9000000000000008E-3</v>
      </c>
      <c r="X642" s="30">
        <f t="shared" si="236"/>
        <v>133.03</v>
      </c>
      <c r="Y642" s="31">
        <f t="shared" si="237"/>
        <v>138.28</v>
      </c>
    </row>
    <row r="643" spans="1:25" ht="15" customHeight="1" x14ac:dyDescent="0.25">
      <c r="A643" s="5">
        <v>38844</v>
      </c>
      <c r="B643">
        <v>1090.6185</v>
      </c>
      <c r="C643" s="29">
        <f t="shared" si="241"/>
        <v>1.15E-2</v>
      </c>
      <c r="D643">
        <v>-0.7</v>
      </c>
      <c r="E643">
        <v>-0.48699999999999999</v>
      </c>
      <c r="F643" s="18">
        <f t="shared" si="228"/>
        <v>0.10400000000000098</v>
      </c>
      <c r="G643" s="18">
        <f t="shared" si="229"/>
        <v>-7.9999999999998295E-2</v>
      </c>
      <c r="H643">
        <v>2.96</v>
      </c>
      <c r="I643">
        <v>1.6</v>
      </c>
      <c r="J643">
        <f t="shared" si="238"/>
        <v>2.2799999999999998</v>
      </c>
      <c r="K643" s="6">
        <f t="shared" si="239"/>
        <v>2.33</v>
      </c>
      <c r="L643" s="6">
        <f t="shared" si="240"/>
        <v>-2.9999999999999805E-2</v>
      </c>
      <c r="M643">
        <v>3.4952750990774</v>
      </c>
      <c r="N643">
        <v>306750</v>
      </c>
      <c r="O643" s="18">
        <f>ROUND(N643/VLOOKUP(EOMONTH(A643,-1),Employment!A:P,16,FALSE),4)</f>
        <v>1.3442000000000001</v>
      </c>
      <c r="P643" s="18">
        <f t="shared" si="230"/>
        <v>1.3184</v>
      </c>
      <c r="Q643" s="29">
        <f t="shared" si="231"/>
        <v>-7.8700000000000006E-2</v>
      </c>
      <c r="R643" s="29">
        <f t="shared" si="232"/>
        <v>-1.06E-2</v>
      </c>
      <c r="S643">
        <v>2424000</v>
      </c>
      <c r="T643" s="18">
        <f>ROUND((S643/7)/VLOOKUP(EOMONTH(A643,-1),Employment!A:P,16,FALSE),4)</f>
        <v>1.5175000000000001</v>
      </c>
      <c r="U643" s="18">
        <f t="shared" si="233"/>
        <v>1.5124</v>
      </c>
      <c r="V643" s="29">
        <f t="shared" si="234"/>
        <v>-7.9200000000000007E-2</v>
      </c>
      <c r="W643" s="29">
        <f t="shared" si="235"/>
        <v>-5.4999999999999997E-3</v>
      </c>
      <c r="X643" s="30">
        <f t="shared" si="236"/>
        <v>140.03</v>
      </c>
      <c r="Y643" s="31">
        <f t="shared" si="237"/>
        <v>143.87</v>
      </c>
    </row>
    <row r="644" spans="1:25" ht="15" customHeight="1" x14ac:dyDescent="0.25">
      <c r="A644" s="5">
        <v>38837</v>
      </c>
      <c r="B644">
        <v>1083.8223</v>
      </c>
      <c r="C644" s="29">
        <f t="shared" si="241"/>
        <v>9.1000000000000004E-3</v>
      </c>
      <c r="D644">
        <v>-0.7</v>
      </c>
      <c r="E644">
        <v>-0.47399999999999998</v>
      </c>
      <c r="F644" s="18">
        <f t="shared" si="228"/>
        <v>0.27200000000000024</v>
      </c>
      <c r="G644" s="18">
        <f t="shared" si="229"/>
        <v>-0.34399999999999942</v>
      </c>
      <c r="H644">
        <v>3</v>
      </c>
      <c r="I644">
        <v>1.67</v>
      </c>
      <c r="J644">
        <f t="shared" si="238"/>
        <v>2.34</v>
      </c>
      <c r="K644" s="6">
        <f t="shared" si="239"/>
        <v>2.36</v>
      </c>
      <c r="L644" s="6">
        <f t="shared" si="240"/>
        <v>-1.0000000000000231E-2</v>
      </c>
      <c r="M644">
        <v>3.3032118152721002</v>
      </c>
      <c r="N644">
        <v>299250</v>
      </c>
      <c r="O644" s="18">
        <f>ROUND(N644/VLOOKUP(EOMONTH(A644,-1),Employment!A:P,16,FALSE),4)</f>
        <v>1.3126</v>
      </c>
      <c r="P644" s="18">
        <f t="shared" si="230"/>
        <v>1.3046</v>
      </c>
      <c r="Q644" s="29">
        <f t="shared" si="231"/>
        <v>-9.98E-2</v>
      </c>
      <c r="R644" s="29">
        <f t="shared" si="232"/>
        <v>2.8E-3</v>
      </c>
      <c r="S644">
        <v>2408000</v>
      </c>
      <c r="T644" s="18">
        <f>ROUND((S644/7)/VLOOKUP(EOMONTH(A644,-1),Employment!A:P,16,FALSE),4)</f>
        <v>1.5088999999999999</v>
      </c>
      <c r="U644" s="18">
        <f t="shared" si="233"/>
        <v>1.5088999999999999</v>
      </c>
      <c r="V644" s="29">
        <f t="shared" si="234"/>
        <v>-8.9200000000000002E-2</v>
      </c>
      <c r="W644" s="29">
        <f t="shared" si="235"/>
        <v>4.0000000000000001E-3</v>
      </c>
      <c r="X644" s="30">
        <f t="shared" si="236"/>
        <v>147.02000000000001</v>
      </c>
      <c r="Y644" s="31">
        <f t="shared" si="237"/>
        <v>147.26</v>
      </c>
    </row>
    <row r="645" spans="1:25" ht="15" customHeight="1" x14ac:dyDescent="0.25">
      <c r="A645" s="5">
        <v>38830</v>
      </c>
      <c r="B645">
        <v>1074.5337</v>
      </c>
      <c r="C645" s="29">
        <f t="shared" si="241"/>
        <v>1.5E-3</v>
      </c>
      <c r="D645">
        <v>-0.7</v>
      </c>
      <c r="E645">
        <v>-0.44</v>
      </c>
      <c r="F645" s="18">
        <f t="shared" si="228"/>
        <v>-0.45599999999999952</v>
      </c>
      <c r="G645" s="18">
        <f t="shared" si="229"/>
        <v>-1.0760000000000005</v>
      </c>
      <c r="H645">
        <v>3.04</v>
      </c>
      <c r="I645">
        <v>1.7</v>
      </c>
      <c r="J645">
        <f t="shared" si="238"/>
        <v>2.37</v>
      </c>
      <c r="K645" s="6">
        <f t="shared" si="239"/>
        <v>2.37</v>
      </c>
      <c r="L645" s="6">
        <f t="shared" si="240"/>
        <v>-2.0000000000000018E-2</v>
      </c>
      <c r="M645">
        <v>3.1987755670013001</v>
      </c>
      <c r="N645">
        <v>296000</v>
      </c>
      <c r="O645" s="18">
        <f>ROUND(N645/VLOOKUP(EOMONTH(A645,-1),Employment!A:P,16,FALSE),4)</f>
        <v>1.2984</v>
      </c>
      <c r="P645" s="18">
        <f t="shared" si="230"/>
        <v>1.3042</v>
      </c>
      <c r="Q645" s="29">
        <f t="shared" si="231"/>
        <v>-0.11119999999999999</v>
      </c>
      <c r="R645" s="29">
        <f t="shared" si="232"/>
        <v>1.04E-2</v>
      </c>
      <c r="S645">
        <v>2411000</v>
      </c>
      <c r="T645" s="18">
        <f>ROUND((S645/7)/VLOOKUP(EOMONTH(A645,-1),Employment!A:P,16,FALSE),4)</f>
        <v>1.5107999999999999</v>
      </c>
      <c r="U645" s="18">
        <f t="shared" si="233"/>
        <v>1.5154000000000001</v>
      </c>
      <c r="V645" s="29">
        <f t="shared" si="234"/>
        <v>-9.9699999999999997E-2</v>
      </c>
      <c r="W645" s="29">
        <f t="shared" si="235"/>
        <v>6.3E-3</v>
      </c>
      <c r="X645" s="30">
        <f t="shared" si="236"/>
        <v>145.57999999999998</v>
      </c>
      <c r="Y645" s="31">
        <f t="shared" si="237"/>
        <v>148.49</v>
      </c>
    </row>
    <row r="646" spans="1:25" ht="15" customHeight="1" x14ac:dyDescent="0.25">
      <c r="A646" s="5">
        <v>38823</v>
      </c>
      <c r="B646">
        <v>1081.3847000000001</v>
      </c>
      <c r="C646" s="29">
        <f t="shared" si="241"/>
        <v>1.24E-2</v>
      </c>
      <c r="D646">
        <v>-0.7</v>
      </c>
      <c r="E646">
        <v>-0.497</v>
      </c>
      <c r="F646" s="18">
        <f t="shared" si="228"/>
        <v>-0.16000000000000014</v>
      </c>
      <c r="G646" s="18">
        <f t="shared" si="229"/>
        <v>-0.40000000000000213</v>
      </c>
      <c r="H646">
        <v>3.05</v>
      </c>
      <c r="I646">
        <v>1.69</v>
      </c>
      <c r="J646">
        <f t="shared" si="238"/>
        <v>2.37</v>
      </c>
      <c r="K646" s="6">
        <f t="shared" si="239"/>
        <v>2.39</v>
      </c>
      <c r="L646" s="6">
        <f t="shared" si="240"/>
        <v>-2.9999999999999805E-2</v>
      </c>
      <c r="M646">
        <v>2.8755029565694001</v>
      </c>
      <c r="N646">
        <v>297000</v>
      </c>
      <c r="O646" s="18">
        <f>ROUND(N646/VLOOKUP(EOMONTH(A646,-1),Employment!A:P,16,FALSE),4)</f>
        <v>1.3028</v>
      </c>
      <c r="P646" s="18">
        <f t="shared" si="230"/>
        <v>1.3126</v>
      </c>
      <c r="Q646" s="29">
        <f t="shared" si="231"/>
        <v>-0.11020000000000001</v>
      </c>
      <c r="R646" s="29">
        <f t="shared" si="232"/>
        <v>9.5999999999999992E-3</v>
      </c>
      <c r="S646">
        <v>2405000</v>
      </c>
      <c r="T646" s="18">
        <f>ROUND((S646/7)/VLOOKUP(EOMONTH(A646,-1),Employment!A:P,16,FALSE),4)</f>
        <v>1.5071000000000001</v>
      </c>
      <c r="U646" s="18">
        <f t="shared" si="233"/>
        <v>1.5247999999999999</v>
      </c>
      <c r="V646" s="29">
        <f t="shared" si="234"/>
        <v>-9.2999999999999999E-2</v>
      </c>
      <c r="W646" s="29">
        <f t="shared" si="235"/>
        <v>3.3999999999999998E-3</v>
      </c>
      <c r="X646" s="30">
        <f t="shared" si="236"/>
        <v>152.05000000000001</v>
      </c>
      <c r="Y646" s="31">
        <f t="shared" si="237"/>
        <v>148.11000000000001</v>
      </c>
    </row>
    <row r="647" spans="1:25" ht="15" customHeight="1" x14ac:dyDescent="0.25">
      <c r="A647" s="5">
        <v>38816</v>
      </c>
      <c r="B647">
        <v>1072.9244000000001</v>
      </c>
      <c r="C647" s="29">
        <f t="shared" si="241"/>
        <v>6.6E-3</v>
      </c>
      <c r="D647">
        <v>-0.7</v>
      </c>
      <c r="E647">
        <v>-0.51700000000000002</v>
      </c>
      <c r="F647" s="18">
        <f t="shared" si="228"/>
        <v>-0.46000000000000085</v>
      </c>
      <c r="G647" s="18">
        <f t="shared" si="229"/>
        <v>-1.2000000000000455E-2</v>
      </c>
      <c r="H647">
        <v>3.06</v>
      </c>
      <c r="I647">
        <v>1.7</v>
      </c>
      <c r="J647">
        <f t="shared" si="238"/>
        <v>2.38</v>
      </c>
      <c r="K647" s="6">
        <f t="shared" si="239"/>
        <v>2.42</v>
      </c>
      <c r="L647" s="6">
        <f t="shared" si="240"/>
        <v>-4.0000000000000036E-2</v>
      </c>
      <c r="M647">
        <v>2.5687355330630002</v>
      </c>
      <c r="N647">
        <v>299000</v>
      </c>
      <c r="O647" s="18">
        <f>ROUND(N647/VLOOKUP(EOMONTH(A647,-1),Employment!A:P,16,FALSE),4)</f>
        <v>1.3115000000000001</v>
      </c>
      <c r="P647" s="18">
        <f t="shared" si="230"/>
        <v>1.3191999999999999</v>
      </c>
      <c r="Q647" s="29">
        <f t="shared" si="231"/>
        <v>-9.9400000000000002E-2</v>
      </c>
      <c r="R647" s="29">
        <f t="shared" si="232"/>
        <v>5.1999999999999998E-3</v>
      </c>
      <c r="S647">
        <v>2439000</v>
      </c>
      <c r="T647" s="18">
        <f>ROUND((S647/7)/VLOOKUP(EOMONTH(A647,-1),Employment!A:P,16,FALSE),4)</f>
        <v>1.5284</v>
      </c>
      <c r="U647" s="18">
        <f t="shared" si="233"/>
        <v>1.5397000000000001</v>
      </c>
      <c r="V647" s="29">
        <f t="shared" si="234"/>
        <v>-8.7599999999999997E-2</v>
      </c>
      <c r="W647" s="29">
        <f t="shared" si="235"/>
        <v>1.6999999999999999E-3</v>
      </c>
      <c r="X647" s="30">
        <f t="shared" si="236"/>
        <v>146.88</v>
      </c>
      <c r="Y647" s="31">
        <f t="shared" si="237"/>
        <v>143.22</v>
      </c>
    </row>
    <row r="648" spans="1:25" ht="15" customHeight="1" x14ac:dyDescent="0.25">
      <c r="A648" s="5">
        <v>38809</v>
      </c>
      <c r="B648">
        <v>1067.5368000000001</v>
      </c>
      <c r="C648" s="29">
        <f t="shared" si="241"/>
        <v>3.2000000000000002E-3</v>
      </c>
      <c r="D648">
        <v>-0.69</v>
      </c>
      <c r="E648">
        <v>-0.58699999999999997</v>
      </c>
      <c r="F648" s="18">
        <f t="shared" si="228"/>
        <v>0.21999999999999886</v>
      </c>
      <c r="G648" s="18">
        <f t="shared" si="229"/>
        <v>-0.34800000000000075</v>
      </c>
      <c r="H648">
        <v>3.13</v>
      </c>
      <c r="I648">
        <v>1.69</v>
      </c>
      <c r="J648">
        <f t="shared" si="238"/>
        <v>2.41</v>
      </c>
      <c r="K648" s="6">
        <f t="shared" si="239"/>
        <v>2.46</v>
      </c>
      <c r="L648" s="6">
        <f t="shared" si="240"/>
        <v>-3.0000000000000249E-2</v>
      </c>
      <c r="M648">
        <v>2.1377350930811998</v>
      </c>
      <c r="N648">
        <v>301750</v>
      </c>
      <c r="O648" s="18">
        <f>ROUND(N648/VLOOKUP(EOMONTH(A648,-1),Employment!A:P,16,FALSE),4)</f>
        <v>1.3236000000000001</v>
      </c>
      <c r="P648" s="18">
        <f t="shared" si="230"/>
        <v>1.3156000000000001</v>
      </c>
      <c r="Q648" s="29">
        <f t="shared" si="231"/>
        <v>-9.2799999999999994E-2</v>
      </c>
      <c r="R648" s="29">
        <f t="shared" si="232"/>
        <v>5.9999999999999995E-4</v>
      </c>
      <c r="S648">
        <v>2456000</v>
      </c>
      <c r="T648" s="18">
        <f>ROUND((S648/7)/VLOOKUP(EOMONTH(A648,-1),Employment!A:P,16,FALSE),4)</f>
        <v>1.5389999999999999</v>
      </c>
      <c r="U648" s="18">
        <f t="shared" si="233"/>
        <v>1.5430999999999999</v>
      </c>
      <c r="V648" s="29">
        <f t="shared" si="234"/>
        <v>-8.3000000000000004E-2</v>
      </c>
      <c r="W648" s="29">
        <f t="shared" si="235"/>
        <v>3.8E-3</v>
      </c>
      <c r="X648" s="30">
        <f t="shared" si="236"/>
        <v>141.31</v>
      </c>
      <c r="Y648" s="31">
        <f t="shared" si="237"/>
        <v>138.96</v>
      </c>
    </row>
    <row r="649" spans="1:25" ht="15" customHeight="1" x14ac:dyDescent="0.25">
      <c r="A649" s="5">
        <v>38802</v>
      </c>
      <c r="B649">
        <v>1070.0393999999999</v>
      </c>
      <c r="C649" s="29">
        <f t="shared" si="241"/>
        <v>8.6E-3</v>
      </c>
      <c r="D649">
        <v>-0.68</v>
      </c>
      <c r="E649">
        <v>-0.57199999999999995</v>
      </c>
      <c r="F649" s="18">
        <f t="shared" si="228"/>
        <v>0.22800000000000153</v>
      </c>
      <c r="G649" s="18">
        <f t="shared" si="229"/>
        <v>-0.71199999999999974</v>
      </c>
      <c r="H649">
        <v>3.23</v>
      </c>
      <c r="I649">
        <v>1.7</v>
      </c>
      <c r="J649">
        <f t="shared" si="238"/>
        <v>2.4700000000000002</v>
      </c>
      <c r="K649" s="6">
        <f t="shared" si="239"/>
        <v>2.4900000000000002</v>
      </c>
      <c r="L649" s="6">
        <f t="shared" si="240"/>
        <v>0</v>
      </c>
      <c r="M649">
        <v>2.2862581116816001</v>
      </c>
      <c r="N649">
        <v>301250</v>
      </c>
      <c r="O649" s="18">
        <f>ROUND(N649/VLOOKUP(EOMONTH(A649,-1),Employment!A:P,16,FALSE),4)</f>
        <v>1.3226</v>
      </c>
      <c r="P649" s="18">
        <f t="shared" si="230"/>
        <v>1.3047</v>
      </c>
      <c r="Q649" s="29">
        <f t="shared" si="231"/>
        <v>-8.77E-2</v>
      </c>
      <c r="R649" s="29">
        <f t="shared" si="232"/>
        <v>-6.3E-3</v>
      </c>
      <c r="S649">
        <v>2474000</v>
      </c>
      <c r="T649" s="18">
        <f>ROUND((S649/7)/VLOOKUP(EOMONTH(A649,-1),Employment!A:P,16,FALSE),4)</f>
        <v>1.5517000000000001</v>
      </c>
      <c r="U649" s="18">
        <f t="shared" si="233"/>
        <v>1.5536000000000001</v>
      </c>
      <c r="V649" s="29">
        <f t="shared" si="234"/>
        <v>-8.6999999999999994E-2</v>
      </c>
      <c r="W649" s="29">
        <f t="shared" si="235"/>
        <v>6.0000000000000001E-3</v>
      </c>
      <c r="X649" s="30">
        <f t="shared" si="236"/>
        <v>138.85</v>
      </c>
      <c r="Y649" s="31">
        <f t="shared" si="237"/>
        <v>136.06</v>
      </c>
    </row>
    <row r="650" spans="1:25" ht="15" customHeight="1" x14ac:dyDescent="0.25">
      <c r="A650" s="5">
        <v>38795</v>
      </c>
      <c r="B650">
        <v>1061.8644999999999</v>
      </c>
      <c r="C650" s="29">
        <f t="shared" si="241"/>
        <v>2.8E-3</v>
      </c>
      <c r="D650">
        <v>-0.67</v>
      </c>
      <c r="E650">
        <v>-0.55600000000000005</v>
      </c>
      <c r="F650" s="18">
        <f t="shared" si="228"/>
        <v>-0.79600000000000115</v>
      </c>
      <c r="G650" s="18">
        <f t="shared" si="229"/>
        <v>-0.28800000000000026</v>
      </c>
      <c r="H650">
        <v>3.31</v>
      </c>
      <c r="I650">
        <v>1.7</v>
      </c>
      <c r="J650">
        <f t="shared" si="238"/>
        <v>2.5099999999999998</v>
      </c>
      <c r="K650" s="6">
        <f t="shared" si="239"/>
        <v>2.4900000000000002</v>
      </c>
      <c r="L650" s="6">
        <f t="shared" si="240"/>
        <v>1.0000000000000231E-2</v>
      </c>
      <c r="M650">
        <v>2.7678621072298002</v>
      </c>
      <c r="N650">
        <v>296250</v>
      </c>
      <c r="O650" s="18">
        <f>ROUND(N650/VLOOKUP(EOMONTH(A650,-1),Employment!A:P,16,FALSE),4)</f>
        <v>1.3007</v>
      </c>
      <c r="P650" s="18">
        <f t="shared" si="230"/>
        <v>1.2892999999999999</v>
      </c>
      <c r="Q650" s="29">
        <f t="shared" si="231"/>
        <v>-8.5900000000000004E-2</v>
      </c>
      <c r="R650" s="29">
        <f t="shared" si="232"/>
        <v>-1.32E-2</v>
      </c>
      <c r="S650">
        <v>2453000</v>
      </c>
      <c r="T650" s="18">
        <f>ROUND((S650/7)/VLOOKUP(EOMONTH(A650,-1),Employment!A:P,16,FALSE),4)</f>
        <v>1.5386</v>
      </c>
      <c r="U650" s="18">
        <f t="shared" si="233"/>
        <v>1.5566</v>
      </c>
      <c r="V650" s="29">
        <f t="shared" si="234"/>
        <v>-8.3699999999999997E-2</v>
      </c>
      <c r="W650" s="29">
        <f t="shared" si="235"/>
        <v>2.7000000000000001E-3</v>
      </c>
      <c r="X650" s="30">
        <f t="shared" si="236"/>
        <v>133.37</v>
      </c>
      <c r="Y650" s="31">
        <f t="shared" si="237"/>
        <v>135.09</v>
      </c>
    </row>
    <row r="651" spans="1:25" ht="15" customHeight="1" x14ac:dyDescent="0.25">
      <c r="A651" s="5">
        <v>38788</v>
      </c>
      <c r="B651">
        <v>1064.009</v>
      </c>
      <c r="C651" s="29">
        <f t="shared" si="241"/>
        <v>6.8999999999999999E-3</v>
      </c>
      <c r="D651">
        <v>-0.66</v>
      </c>
      <c r="E651">
        <v>-0.66800000000000004</v>
      </c>
      <c r="F651" s="18">
        <f t="shared" si="228"/>
        <v>-0.14400000000000013</v>
      </c>
      <c r="G651" s="18">
        <f t="shared" si="229"/>
        <v>0.78800000000000203</v>
      </c>
      <c r="H651">
        <v>3.3</v>
      </c>
      <c r="I651">
        <v>1.67</v>
      </c>
      <c r="J651">
        <f t="shared" si="238"/>
        <v>2.4900000000000002</v>
      </c>
      <c r="K651" s="6">
        <f t="shared" si="239"/>
        <v>2.48</v>
      </c>
      <c r="L651" s="6">
        <f t="shared" si="240"/>
        <v>0</v>
      </c>
      <c r="M651">
        <v>3.0500981790013002</v>
      </c>
      <c r="N651">
        <v>294000</v>
      </c>
      <c r="O651" s="18">
        <f>ROUND(N651/VLOOKUP(EOMONTH(A651,-1),Employment!A:P,16,FALSE),4)</f>
        <v>1.2907999999999999</v>
      </c>
      <c r="P651" s="18">
        <f t="shared" si="230"/>
        <v>1.2776000000000001</v>
      </c>
      <c r="Q651" s="29">
        <f t="shared" si="231"/>
        <v>-8.8499999999999995E-2</v>
      </c>
      <c r="R651" s="29">
        <f t="shared" si="232"/>
        <v>-1.9800000000000002E-2</v>
      </c>
      <c r="S651">
        <v>2504000</v>
      </c>
      <c r="T651" s="18">
        <f>ROUND((S651/7)/VLOOKUP(EOMONTH(A651,-1),Employment!A:P,16,FALSE),4)</f>
        <v>1.5706</v>
      </c>
      <c r="U651" s="18">
        <f t="shared" si="233"/>
        <v>1.5704</v>
      </c>
      <c r="V651" s="29">
        <f t="shared" si="234"/>
        <v>-7.6700000000000004E-2</v>
      </c>
      <c r="W651" s="29">
        <f t="shared" si="235"/>
        <v>-5.0000000000000001E-4</v>
      </c>
      <c r="X651" s="30">
        <f t="shared" si="236"/>
        <v>135.82999999999998</v>
      </c>
      <c r="Y651" s="31">
        <f t="shared" si="237"/>
        <v>137.63</v>
      </c>
    </row>
    <row r="652" spans="1:25" ht="15" customHeight="1" x14ac:dyDescent="0.25">
      <c r="A652" s="5">
        <v>38781</v>
      </c>
      <c r="B652">
        <v>1060.5093999999999</v>
      </c>
      <c r="C652" s="29">
        <f t="shared" si="241"/>
        <v>5.3E-3</v>
      </c>
      <c r="D652">
        <v>-0.66</v>
      </c>
      <c r="E652">
        <v>-0.68600000000000005</v>
      </c>
      <c r="F652" s="18">
        <f t="shared" si="228"/>
        <v>0.65200000000000102</v>
      </c>
      <c r="G652" s="18">
        <f t="shared" si="229"/>
        <v>0.97600000000000087</v>
      </c>
      <c r="H652">
        <v>3.29</v>
      </c>
      <c r="I652">
        <v>1.67</v>
      </c>
      <c r="J652">
        <f t="shared" si="238"/>
        <v>2.48</v>
      </c>
      <c r="K652" s="6">
        <f t="shared" si="239"/>
        <v>2.48</v>
      </c>
      <c r="L652" s="6">
        <f t="shared" si="240"/>
        <v>-2.0000000000000018E-2</v>
      </c>
      <c r="M652">
        <v>3.5959062142771998</v>
      </c>
      <c r="N652">
        <v>290750</v>
      </c>
      <c r="O652" s="18">
        <f>ROUND(N652/VLOOKUP(EOMONTH(A652,-1),Employment!A:P,16,FALSE),4)</f>
        <v>1.2765</v>
      </c>
      <c r="P652" s="18">
        <f t="shared" si="230"/>
        <v>1.2718</v>
      </c>
      <c r="Q652" s="29">
        <f t="shared" si="231"/>
        <v>-9.3399999999999997E-2</v>
      </c>
      <c r="R652" s="29">
        <f t="shared" si="232"/>
        <v>-1.7999999999999999E-2</v>
      </c>
      <c r="S652">
        <v>2488000</v>
      </c>
      <c r="T652" s="18">
        <f>ROUND((S652/7)/VLOOKUP(EOMONTH(A652,-1),Employment!A:P,16,FALSE),4)</f>
        <v>1.5605</v>
      </c>
      <c r="U652" s="18">
        <f t="shared" si="233"/>
        <v>1.5742</v>
      </c>
      <c r="V652" s="29">
        <f t="shared" si="234"/>
        <v>-7.5600000000000001E-2</v>
      </c>
      <c r="W652" s="29">
        <f t="shared" si="235"/>
        <v>-2.5000000000000001E-3</v>
      </c>
      <c r="X652" s="30">
        <f t="shared" si="236"/>
        <v>137.54</v>
      </c>
      <c r="Y652" s="31">
        <f t="shared" si="237"/>
        <v>142.09</v>
      </c>
    </row>
    <row r="653" spans="1:25" ht="15" customHeight="1" x14ac:dyDescent="0.25">
      <c r="A653" s="5">
        <v>38774</v>
      </c>
      <c r="B653">
        <v>1057.3503000000001</v>
      </c>
      <c r="C653" s="29">
        <f t="shared" si="241"/>
        <v>4.8999999999999998E-3</v>
      </c>
      <c r="D653">
        <v>-0.65</v>
      </c>
      <c r="E653">
        <v>-0.61699999999999999</v>
      </c>
      <c r="F653" s="18">
        <f t="shared" si="228"/>
        <v>0.28000000000000114</v>
      </c>
      <c r="G653" s="18">
        <f t="shared" si="229"/>
        <v>0.26800000000000068</v>
      </c>
      <c r="H653">
        <v>3.28</v>
      </c>
      <c r="I653">
        <v>1.64</v>
      </c>
      <c r="J653">
        <f t="shared" si="238"/>
        <v>2.46</v>
      </c>
      <c r="K653" s="6">
        <f t="shared" si="239"/>
        <v>2.5</v>
      </c>
      <c r="L653" s="6">
        <f t="shared" si="240"/>
        <v>-2.9999999999999805E-2</v>
      </c>
      <c r="M653">
        <v>4.0452696303420996</v>
      </c>
      <c r="N653">
        <v>288000</v>
      </c>
      <c r="O653" s="18">
        <f>ROUND(N653/VLOOKUP(EOMONTH(A653,-1),Employment!A:P,16,FALSE),4)</f>
        <v>1.2656000000000001</v>
      </c>
      <c r="P653" s="18">
        <f t="shared" si="230"/>
        <v>1.266</v>
      </c>
      <c r="Q653" s="29">
        <f t="shared" si="231"/>
        <v>-0.11</v>
      </c>
      <c r="R653" s="29">
        <f t="shared" si="232"/>
        <v>-7.1000000000000004E-3</v>
      </c>
      <c r="S653">
        <v>2517000</v>
      </c>
      <c r="T653" s="18">
        <f>ROUND((S653/7)/VLOOKUP(EOMONTH(A653,-1),Employment!A:P,16,FALSE),4)</f>
        <v>1.5802</v>
      </c>
      <c r="U653" s="18">
        <f t="shared" si="233"/>
        <v>1.5908</v>
      </c>
      <c r="V653" s="29">
        <f t="shared" si="234"/>
        <v>-7.3499999999999996E-2</v>
      </c>
      <c r="W653" s="29">
        <f t="shared" si="235"/>
        <v>2.3999999999999998E-3</v>
      </c>
      <c r="X653" s="30">
        <f t="shared" si="236"/>
        <v>142.34</v>
      </c>
      <c r="Y653" s="31">
        <f t="shared" si="237"/>
        <v>150.69</v>
      </c>
    </row>
    <row r="654" spans="1:25" ht="15" customHeight="1" x14ac:dyDescent="0.25">
      <c r="A654" s="5">
        <v>38767</v>
      </c>
      <c r="B654">
        <v>1053.8092999999999</v>
      </c>
      <c r="C654" s="29">
        <f t="shared" si="241"/>
        <v>3.8E-3</v>
      </c>
      <c r="D654">
        <v>-0.65</v>
      </c>
      <c r="E654">
        <v>-0.58199999999999996</v>
      </c>
      <c r="F654" s="18">
        <f t="shared" si="228"/>
        <v>4.3999999999998707E-2</v>
      </c>
      <c r="G654" s="18">
        <f t="shared" si="229"/>
        <v>-4.8000000000001819E-2</v>
      </c>
      <c r="H654">
        <v>3.3</v>
      </c>
      <c r="I654">
        <v>1.7</v>
      </c>
      <c r="J654">
        <f t="shared" si="238"/>
        <v>2.5</v>
      </c>
      <c r="K654" s="6">
        <f t="shared" si="239"/>
        <v>2.5299999999999998</v>
      </c>
      <c r="L654" s="6">
        <f t="shared" si="240"/>
        <v>-3.0000000000000249E-2</v>
      </c>
      <c r="M654">
        <v>4.4610450411949003</v>
      </c>
      <c r="N654">
        <v>289750</v>
      </c>
      <c r="O654" s="18">
        <f>ROUND(N654/VLOOKUP(EOMONTH(A654,-1),Employment!A:P,16,FALSE),4)</f>
        <v>1.2733000000000001</v>
      </c>
      <c r="P654" s="18">
        <f t="shared" si="230"/>
        <v>1.2773000000000001</v>
      </c>
      <c r="Q654" s="29">
        <f t="shared" si="231"/>
        <v>-0.1242</v>
      </c>
      <c r="R654" s="29">
        <f t="shared" si="232"/>
        <v>1.15E-2</v>
      </c>
      <c r="S654">
        <v>2520000</v>
      </c>
      <c r="T654" s="18">
        <f>ROUND((S654/7)/VLOOKUP(EOMONTH(A654,-1),Employment!A:P,16,FALSE),4)</f>
        <v>1.5820000000000001</v>
      </c>
      <c r="U654" s="18">
        <f t="shared" si="233"/>
        <v>1.5906</v>
      </c>
      <c r="V654" s="29">
        <f t="shared" si="234"/>
        <v>-7.8200000000000006E-2</v>
      </c>
      <c r="W654" s="29">
        <f t="shared" si="235"/>
        <v>1.0999999999999999E-2</v>
      </c>
      <c r="X654" s="30">
        <f t="shared" si="236"/>
        <v>152.84</v>
      </c>
      <c r="Y654" s="31">
        <f t="shared" si="237"/>
        <v>161.59</v>
      </c>
    </row>
    <row r="655" spans="1:25" ht="15" customHeight="1" x14ac:dyDescent="0.25">
      <c r="A655" s="5">
        <v>38760</v>
      </c>
      <c r="B655">
        <v>1055.0830000000001</v>
      </c>
      <c r="C655" s="29">
        <f t="shared" si="241"/>
        <v>7.6E-3</v>
      </c>
      <c r="D655">
        <v>-0.64</v>
      </c>
      <c r="E655">
        <v>-0.58899999999999997</v>
      </c>
      <c r="F655" s="18">
        <f t="shared" ref="F655:F718" si="242">(((D655*10)+(E655*8))*-1)-(((D656*10)+(E656*8))*-1)</f>
        <v>-5.5999999999999162E-2</v>
      </c>
      <c r="G655" s="18">
        <f t="shared" ref="G655:G718" si="243">SUM(F655:F657)</f>
        <v>-0.10799999999999876</v>
      </c>
      <c r="H655">
        <v>3.35</v>
      </c>
      <c r="I655">
        <v>1.71</v>
      </c>
      <c r="J655">
        <f t="shared" si="238"/>
        <v>2.5299999999999998</v>
      </c>
      <c r="K655" s="6">
        <f t="shared" si="239"/>
        <v>2.56</v>
      </c>
      <c r="L655" s="6">
        <f t="shared" si="240"/>
        <v>-6.0000000000000053E-2</v>
      </c>
      <c r="M655">
        <v>4.6520418499545002</v>
      </c>
      <c r="N655">
        <v>286500</v>
      </c>
      <c r="O655" s="18">
        <f>ROUND(N655/VLOOKUP(EOMONTH(A655,-1),Employment!A:P,16,FALSE),4)</f>
        <v>1.2589999999999999</v>
      </c>
      <c r="P655" s="18">
        <f t="shared" ref="P655:P718" si="244">ROUND(AVERAGE(O655:O657),4)</f>
        <v>1.2937000000000001</v>
      </c>
      <c r="Q655" s="29">
        <f t="shared" ref="Q655:Q718" si="245">ROUND((P655/P707)-1,4)</f>
        <v>-0.1376</v>
      </c>
      <c r="R655" s="29">
        <f t="shared" ref="R655:R718" si="246">ROUND(AVERAGE(Q655:Q656)-AVERAGE(Q655:Q659),4)*-1</f>
        <v>2.9399999999999999E-2</v>
      </c>
      <c r="S655">
        <v>2565000</v>
      </c>
      <c r="T655" s="18">
        <f>ROUND((S655/7)/VLOOKUP(EOMONTH(A655,-1),Employment!A:P,16,FALSE),4)</f>
        <v>1.6103000000000001</v>
      </c>
      <c r="U655" s="18">
        <f t="shared" ref="U655:U718" si="247">ROUND(AVERAGE(T655:T657),4)</f>
        <v>1.6047</v>
      </c>
      <c r="V655" s="29">
        <f t="shared" ref="V655:V718" si="248">ROUND((U655/U707)-1,4)</f>
        <v>-7.9299999999999995E-2</v>
      </c>
      <c r="W655" s="29">
        <f t="shared" ref="W655:W718" si="249">ROUND(AVERAGE(V655:V656)-AVERAGE(V655:V659),4)*-1</f>
        <v>2.0899999999999998E-2</v>
      </c>
      <c r="X655" s="30">
        <f t="shared" ref="X655:X718" si="250">IF(ROUND((C655*500)-(D655*10)-(E655*8)+(M655*1.2)-(P655*23)-(Q655*10)+(R655*600)-(U655*2)-(V655*5)+(W655*100)-(K655*5)-(L655*5)+(G655*3),2)+170&lt;0,0,ROUND((C655*500)-(D655*10)-(E655*8)+(M655*1.2)-(P655*23)-(Q655*10)+(R655*600)-(U655*2)-(V655*5)+(W655*100)-(K655*5)-(L655*5)+(G655*3),2)+170)</f>
        <v>166.21</v>
      </c>
      <c r="Y655" s="31">
        <f t="shared" ref="Y655:Y718" si="251">ROUND(AVERAGE(AVERAGE(X655:X656),AVERAGE(X655:X657)),2)</f>
        <v>168.64</v>
      </c>
    </row>
    <row r="656" spans="1:25" ht="15" customHeight="1" x14ac:dyDescent="0.25">
      <c r="A656" s="5">
        <v>38753</v>
      </c>
      <c r="B656">
        <v>1053.3511000000001</v>
      </c>
      <c r="C656" s="29">
        <f t="shared" si="241"/>
        <v>8.3000000000000001E-3</v>
      </c>
      <c r="D656">
        <v>-0.64</v>
      </c>
      <c r="E656">
        <v>-0.59599999999999997</v>
      </c>
      <c r="F656" s="18">
        <f t="shared" si="242"/>
        <v>-3.6000000000001364E-2</v>
      </c>
      <c r="G656" s="18">
        <f t="shared" si="243"/>
        <v>0.67999999999999972</v>
      </c>
      <c r="H656">
        <v>3.38</v>
      </c>
      <c r="I656">
        <v>1.72</v>
      </c>
      <c r="J656">
        <f t="shared" ref="J656:J719" si="252">ROUND(AVERAGE(H656:I656),2)</f>
        <v>2.5499999999999998</v>
      </c>
      <c r="K656" s="6">
        <f t="shared" ref="K656:K719" si="253">ROUND(AVERAGE(J656:J658),2)</f>
        <v>2.62</v>
      </c>
      <c r="L656" s="6">
        <f t="shared" ref="L656:L719" si="254">K656-K657</f>
        <v>-4.9999999999999822E-2</v>
      </c>
      <c r="M656">
        <v>4.1045301246908004</v>
      </c>
      <c r="N656">
        <v>295750</v>
      </c>
      <c r="O656" s="18">
        <f>ROUND(N656/VLOOKUP(EOMONTH(A656,-1),Employment!A:P,16,FALSE),4)</f>
        <v>1.2997000000000001</v>
      </c>
      <c r="P656" s="18">
        <f t="shared" si="244"/>
        <v>1.3258000000000001</v>
      </c>
      <c r="Q656" s="29">
        <f t="shared" si="245"/>
        <v>-0.1331</v>
      </c>
      <c r="R656" s="29">
        <f t="shared" si="246"/>
        <v>3.7699999999999997E-2</v>
      </c>
      <c r="S656">
        <v>2516000</v>
      </c>
      <c r="T656" s="18">
        <f>ROUND((S656/7)/VLOOKUP(EOMONTH(A656,-1),Employment!A:P,16,FALSE),4)</f>
        <v>1.5794999999999999</v>
      </c>
      <c r="U656" s="18">
        <f t="shared" si="247"/>
        <v>1.6042000000000001</v>
      </c>
      <c r="V656" s="29">
        <f t="shared" si="248"/>
        <v>-7.8600000000000003E-2</v>
      </c>
      <c r="W656" s="29">
        <f t="shared" si="249"/>
        <v>1.8499999999999999E-2</v>
      </c>
      <c r="X656" s="30">
        <f t="shared" si="250"/>
        <v>171.93</v>
      </c>
      <c r="Y656" s="31">
        <f t="shared" si="251"/>
        <v>166.78</v>
      </c>
    </row>
    <row r="657" spans="1:25" ht="15" customHeight="1" x14ac:dyDescent="0.25">
      <c r="A657" s="5">
        <v>38746</v>
      </c>
      <c r="B657">
        <v>1046.4284</v>
      </c>
      <c r="C657" s="29">
        <f t="shared" si="241"/>
        <v>4.1000000000000003E-3</v>
      </c>
      <c r="D657">
        <v>-0.63</v>
      </c>
      <c r="E657">
        <v>-0.61299999999999999</v>
      </c>
      <c r="F657" s="18">
        <f t="shared" si="242"/>
        <v>-1.5999999999998238E-2</v>
      </c>
      <c r="G657" s="18">
        <f t="shared" si="243"/>
        <v>1.3840000000000003</v>
      </c>
      <c r="H657">
        <v>3.4</v>
      </c>
      <c r="I657">
        <v>1.78</v>
      </c>
      <c r="J657">
        <f t="shared" si="252"/>
        <v>2.59</v>
      </c>
      <c r="K657" s="6">
        <f t="shared" si="253"/>
        <v>2.67</v>
      </c>
      <c r="L657" s="6">
        <f t="shared" si="254"/>
        <v>-4.0000000000000036E-2</v>
      </c>
      <c r="M657">
        <v>3.3193118749810999</v>
      </c>
      <c r="N657">
        <v>300750</v>
      </c>
      <c r="O657" s="18">
        <f>ROUND(N657/VLOOKUP(EOMONTH(A657,-1),Employment!A:P,16,FALSE),4)</f>
        <v>1.3224</v>
      </c>
      <c r="P657" s="18">
        <f t="shared" si="244"/>
        <v>1.3543000000000001</v>
      </c>
      <c r="Q657" s="29">
        <f t="shared" si="245"/>
        <v>-0.11600000000000001</v>
      </c>
      <c r="R657" s="29">
        <f t="shared" si="246"/>
        <v>3.3799999999999997E-2</v>
      </c>
      <c r="S657">
        <v>2586000</v>
      </c>
      <c r="T657" s="18">
        <f>ROUND((S657/7)/VLOOKUP(EOMONTH(A657,-1),Employment!A:P,16,FALSE),4)</f>
        <v>1.6244000000000001</v>
      </c>
      <c r="U657" s="18">
        <f t="shared" si="247"/>
        <v>1.6347</v>
      </c>
      <c r="V657" s="29">
        <f t="shared" si="248"/>
        <v>-5.7500000000000002E-2</v>
      </c>
      <c r="W657" s="29">
        <f t="shared" si="249"/>
        <v>9.4000000000000004E-3</v>
      </c>
      <c r="X657" s="30">
        <f t="shared" si="250"/>
        <v>166.49</v>
      </c>
      <c r="Y657" s="31">
        <f t="shared" si="251"/>
        <v>157.94999999999999</v>
      </c>
    </row>
    <row r="658" spans="1:25" ht="15" customHeight="1" x14ac:dyDescent="0.25">
      <c r="A658" s="5">
        <v>38739</v>
      </c>
      <c r="B658">
        <v>1044.4495999999999</v>
      </c>
      <c r="C658" s="29">
        <f t="shared" ref="C658:C721" si="255">ROUND((B658-AVERAGE(B659:B662))/AVERAGE(B659:B662),4)</f>
        <v>5.3E-3</v>
      </c>
      <c r="D658">
        <v>-0.63</v>
      </c>
      <c r="E658">
        <v>-0.61499999999999999</v>
      </c>
      <c r="F658" s="18">
        <f t="shared" si="242"/>
        <v>0.73199999999999932</v>
      </c>
      <c r="G658" s="18">
        <f t="shared" si="243"/>
        <v>1.4999999999999982</v>
      </c>
      <c r="H658">
        <v>3.6</v>
      </c>
      <c r="I658">
        <v>1.81</v>
      </c>
      <c r="J658">
        <f t="shared" si="252"/>
        <v>2.71</v>
      </c>
      <c r="K658" s="6">
        <f t="shared" si="253"/>
        <v>2.71</v>
      </c>
      <c r="L658" s="6">
        <f t="shared" si="254"/>
        <v>-1.0000000000000231E-2</v>
      </c>
      <c r="M658">
        <v>2.4849253196468002</v>
      </c>
      <c r="N658">
        <v>308250</v>
      </c>
      <c r="O658" s="18">
        <f>ROUND(N658/VLOOKUP(EOMONTH(A658,-1),Employment!A:P,16,FALSE),4)</f>
        <v>1.3553999999999999</v>
      </c>
      <c r="P658" s="18">
        <f t="shared" si="244"/>
        <v>1.3755999999999999</v>
      </c>
      <c r="Q658" s="29">
        <f t="shared" si="245"/>
        <v>-8.6199999999999999E-2</v>
      </c>
      <c r="R658" s="29">
        <f t="shared" si="246"/>
        <v>1.8499999999999999E-2</v>
      </c>
      <c r="S658">
        <v>2561000</v>
      </c>
      <c r="T658" s="18">
        <f>ROUND((S658/7)/VLOOKUP(EOMONTH(A658,-1),Employment!A:P,16,FALSE),4)</f>
        <v>1.6087</v>
      </c>
      <c r="U658" s="18">
        <f t="shared" si="247"/>
        <v>1.6517999999999999</v>
      </c>
      <c r="V658" s="29">
        <f t="shared" si="248"/>
        <v>-4.5400000000000003E-2</v>
      </c>
      <c r="W658" s="29">
        <f t="shared" si="249"/>
        <v>-4.7000000000000002E-3</v>
      </c>
      <c r="X658" s="30">
        <f t="shared" si="250"/>
        <v>154.63</v>
      </c>
      <c r="Y658" s="31">
        <f t="shared" si="251"/>
        <v>147.78</v>
      </c>
    </row>
    <row r="659" spans="1:25" ht="15" customHeight="1" x14ac:dyDescent="0.25">
      <c r="A659" s="5">
        <v>38732</v>
      </c>
      <c r="B659">
        <v>1044.3579</v>
      </c>
      <c r="C659" s="29">
        <f t="shared" si="255"/>
        <v>8.8999999999999999E-3</v>
      </c>
      <c r="D659">
        <v>-0.62</v>
      </c>
      <c r="E659">
        <v>-0.53600000000000003</v>
      </c>
      <c r="F659" s="18">
        <f t="shared" si="242"/>
        <v>0.66799999999999926</v>
      </c>
      <c r="G659" s="18">
        <f t="shared" si="243"/>
        <v>1.2159999999999993</v>
      </c>
      <c r="H659">
        <v>3.62</v>
      </c>
      <c r="I659">
        <v>1.82</v>
      </c>
      <c r="J659">
        <f t="shared" si="252"/>
        <v>2.72</v>
      </c>
      <c r="K659" s="6">
        <f t="shared" si="253"/>
        <v>2.72</v>
      </c>
      <c r="L659" s="6">
        <f t="shared" si="254"/>
        <v>-2.0000000000000018E-2</v>
      </c>
      <c r="M659">
        <v>2.2480046014430002</v>
      </c>
      <c r="N659">
        <v>315000</v>
      </c>
      <c r="O659" s="18">
        <f>ROUND(N659/VLOOKUP(EOMONTH(A659,-1),Employment!A:P,16,FALSE),4)</f>
        <v>1.3851</v>
      </c>
      <c r="P659" s="18">
        <f t="shared" si="244"/>
        <v>1.3928</v>
      </c>
      <c r="Q659" s="29">
        <f t="shared" si="245"/>
        <v>-5.7099999999999998E-2</v>
      </c>
      <c r="R659" s="29">
        <f t="shared" si="246"/>
        <v>4.5999999999999999E-3</v>
      </c>
      <c r="S659">
        <v>2660000</v>
      </c>
      <c r="T659" s="18">
        <f>ROUND((S659/7)/VLOOKUP(EOMONTH(A659,-1),Employment!A:P,16,FALSE),4)</f>
        <v>1.6709000000000001</v>
      </c>
      <c r="U659" s="18">
        <f t="shared" si="247"/>
        <v>1.6726000000000001</v>
      </c>
      <c r="V659" s="29">
        <f t="shared" si="248"/>
        <v>-2.9600000000000001E-2</v>
      </c>
      <c r="W659" s="29">
        <f t="shared" si="249"/>
        <v>-9.7000000000000003E-3</v>
      </c>
      <c r="X659" s="30">
        <f t="shared" si="250"/>
        <v>144.91</v>
      </c>
      <c r="Y659" s="31">
        <f t="shared" si="251"/>
        <v>140.69</v>
      </c>
    </row>
    <row r="660" spans="1:25" ht="15" customHeight="1" x14ac:dyDescent="0.25">
      <c r="A660" s="5">
        <v>38725</v>
      </c>
      <c r="B660">
        <v>1043.3036999999999</v>
      </c>
      <c r="C660" s="29">
        <f t="shared" si="255"/>
        <v>1.26E-2</v>
      </c>
      <c r="D660">
        <v>-0.63</v>
      </c>
      <c r="E660">
        <v>-0.44</v>
      </c>
      <c r="F660" s="18">
        <f t="shared" si="242"/>
        <v>9.9999999999999645E-2</v>
      </c>
      <c r="G660" s="18">
        <f t="shared" si="243"/>
        <v>0.14000000000000057</v>
      </c>
      <c r="H660">
        <v>3.56</v>
      </c>
      <c r="I660">
        <v>1.84</v>
      </c>
      <c r="J660">
        <f t="shared" si="252"/>
        <v>2.7</v>
      </c>
      <c r="K660" s="6">
        <f t="shared" si="253"/>
        <v>2.74</v>
      </c>
      <c r="L660" s="6">
        <f t="shared" si="254"/>
        <v>-9.9999999999997868E-3</v>
      </c>
      <c r="M660">
        <v>2.3348239843436001</v>
      </c>
      <c r="N660">
        <v>315250</v>
      </c>
      <c r="O660" s="18">
        <f>ROUND(N660/VLOOKUP(EOMONTH(A660,-1),Employment!A:P,16,FALSE),4)</f>
        <v>1.3862000000000001</v>
      </c>
      <c r="P660" s="18">
        <f t="shared" si="244"/>
        <v>1.3973</v>
      </c>
      <c r="Q660" s="29">
        <f t="shared" si="245"/>
        <v>-4.2099999999999999E-2</v>
      </c>
      <c r="R660" s="29">
        <f t="shared" si="246"/>
        <v>-4.4999999999999997E-3</v>
      </c>
      <c r="S660">
        <v>2668000</v>
      </c>
      <c r="T660" s="18">
        <f>ROUND((S660/7)/VLOOKUP(EOMONTH(A660,-1),Employment!A:P,16,FALSE),4)</f>
        <v>1.6758999999999999</v>
      </c>
      <c r="U660" s="18">
        <f t="shared" si="247"/>
        <v>1.6647000000000001</v>
      </c>
      <c r="V660" s="29">
        <f t="shared" si="248"/>
        <v>-3.6900000000000002E-2</v>
      </c>
      <c r="W660" s="29">
        <f t="shared" si="249"/>
        <v>-3.3E-3</v>
      </c>
      <c r="X660" s="30">
        <f t="shared" si="250"/>
        <v>137.80000000000001</v>
      </c>
      <c r="Y660" s="31">
        <f t="shared" si="251"/>
        <v>137.71</v>
      </c>
    </row>
    <row r="661" spans="1:25" ht="15" customHeight="1" x14ac:dyDescent="0.25">
      <c r="A661" s="5">
        <v>38718</v>
      </c>
      <c r="B661">
        <v>1036.461</v>
      </c>
      <c r="C661" s="29">
        <f t="shared" si="255"/>
        <v>8.6E-3</v>
      </c>
      <c r="D661">
        <v>-0.62</v>
      </c>
      <c r="E661">
        <v>-0.44</v>
      </c>
      <c r="F661" s="18">
        <f t="shared" si="242"/>
        <v>0.4480000000000004</v>
      </c>
      <c r="G661" s="18">
        <f t="shared" si="243"/>
        <v>-1.6000000000000014E-2</v>
      </c>
      <c r="H661">
        <v>3.65</v>
      </c>
      <c r="I661">
        <v>1.82</v>
      </c>
      <c r="J661">
        <f t="shared" si="252"/>
        <v>2.74</v>
      </c>
      <c r="K661" s="6">
        <f t="shared" si="253"/>
        <v>2.75</v>
      </c>
      <c r="L661" s="6">
        <f t="shared" si="254"/>
        <v>0</v>
      </c>
      <c r="M661">
        <v>2.6070409297235999</v>
      </c>
      <c r="N661">
        <v>320000</v>
      </c>
      <c r="O661" s="18">
        <f>ROUND(N661/VLOOKUP(EOMONTH(A661,-1),Employment!A:P,16,FALSE),4)</f>
        <v>1.4071</v>
      </c>
      <c r="P661" s="18">
        <f t="shared" si="244"/>
        <v>1.4057999999999999</v>
      </c>
      <c r="Q661" s="29">
        <f t="shared" si="245"/>
        <v>-3.49E-2</v>
      </c>
      <c r="R661" s="29">
        <f t="shared" si="246"/>
        <v>-3.7000000000000002E-3</v>
      </c>
      <c r="S661">
        <v>2660000</v>
      </c>
      <c r="T661" s="18">
        <f>ROUND((S661/7)/VLOOKUP(EOMONTH(A661,-1),Employment!A:P,16,FALSE),4)</f>
        <v>1.6709000000000001</v>
      </c>
      <c r="U661" s="18">
        <f t="shared" si="247"/>
        <v>1.6487000000000001</v>
      </c>
      <c r="V661" s="29">
        <f t="shared" si="248"/>
        <v>-4.1000000000000002E-2</v>
      </c>
      <c r="W661" s="29">
        <f t="shared" si="249"/>
        <v>1.34E-2</v>
      </c>
      <c r="X661" s="30">
        <f t="shared" si="250"/>
        <v>137.38999999999999</v>
      </c>
      <c r="Y661" s="31">
        <f t="shared" si="251"/>
        <v>138.72999999999999</v>
      </c>
    </row>
    <row r="662" spans="1:25" ht="15" customHeight="1" x14ac:dyDescent="0.25">
      <c r="A662" s="5">
        <v>38711</v>
      </c>
      <c r="B662">
        <v>1031.6853000000001</v>
      </c>
      <c r="C662" s="29">
        <f t="shared" si="255"/>
        <v>6.1000000000000004E-3</v>
      </c>
      <c r="D662">
        <v>-0.62</v>
      </c>
      <c r="E662">
        <v>-0.38400000000000001</v>
      </c>
      <c r="F662" s="18">
        <f t="shared" si="242"/>
        <v>-0.40799999999999947</v>
      </c>
      <c r="G662" s="18">
        <f t="shared" si="243"/>
        <v>-0.6720000000000006</v>
      </c>
      <c r="H662">
        <v>3.71</v>
      </c>
      <c r="I662">
        <v>1.83</v>
      </c>
      <c r="J662">
        <f t="shared" si="252"/>
        <v>2.77</v>
      </c>
      <c r="K662" s="6">
        <f t="shared" si="253"/>
        <v>2.75</v>
      </c>
      <c r="L662" s="6">
        <f t="shared" si="254"/>
        <v>0</v>
      </c>
      <c r="M662">
        <v>2.7921738111556</v>
      </c>
      <c r="N662">
        <v>317750</v>
      </c>
      <c r="O662" s="18">
        <f>ROUND(N662/VLOOKUP(EOMONTH(A662,-1),Employment!A:P,16,FALSE),4)</f>
        <v>1.3985000000000001</v>
      </c>
      <c r="P662" s="18">
        <f t="shared" si="244"/>
        <v>1.4007000000000001</v>
      </c>
      <c r="Q662" s="29">
        <f t="shared" si="245"/>
        <v>-4.53E-2</v>
      </c>
      <c r="R662" s="29">
        <f t="shared" si="246"/>
        <v>1.2999999999999999E-3</v>
      </c>
      <c r="S662">
        <v>2620000</v>
      </c>
      <c r="T662" s="18">
        <f>ROUND((S662/7)/VLOOKUP(EOMONTH(A662,-1),Employment!A:P,16,FALSE),4)</f>
        <v>1.6474</v>
      </c>
      <c r="U662" s="18">
        <f t="shared" si="247"/>
        <v>1.6339999999999999</v>
      </c>
      <c r="V662" s="29">
        <f t="shared" si="248"/>
        <v>-5.8299999999999998E-2</v>
      </c>
      <c r="W662" s="29">
        <f t="shared" si="249"/>
        <v>2.3599999999999999E-2</v>
      </c>
      <c r="X662" s="30">
        <f t="shared" si="250"/>
        <v>138.31</v>
      </c>
      <c r="Y662" s="31">
        <f t="shared" si="251"/>
        <v>141.91</v>
      </c>
    </row>
    <row r="663" spans="1:25" ht="15" customHeight="1" x14ac:dyDescent="0.25">
      <c r="A663" s="5">
        <v>38704</v>
      </c>
      <c r="B663">
        <v>1029.3257000000001</v>
      </c>
      <c r="C663" s="29">
        <f t="shared" si="255"/>
        <v>6.4000000000000003E-3</v>
      </c>
      <c r="D663">
        <v>-0.62</v>
      </c>
      <c r="E663">
        <v>-0.435</v>
      </c>
      <c r="F663" s="18">
        <f t="shared" si="242"/>
        <v>-5.6000000000000938E-2</v>
      </c>
      <c r="G663" s="18">
        <f t="shared" si="243"/>
        <v>-0.2240000000000002</v>
      </c>
      <c r="H663">
        <v>3.65</v>
      </c>
      <c r="I663">
        <v>1.85</v>
      </c>
      <c r="J663">
        <f t="shared" si="252"/>
        <v>2.75</v>
      </c>
      <c r="K663" s="6">
        <f t="shared" si="253"/>
        <v>2.75</v>
      </c>
      <c r="L663" s="6">
        <f t="shared" si="254"/>
        <v>-2.0000000000000018E-2</v>
      </c>
      <c r="M663">
        <v>2.5181623482900002</v>
      </c>
      <c r="N663">
        <v>320750</v>
      </c>
      <c r="O663" s="18">
        <f>ROUND(N663/VLOOKUP(EOMONTH(A663,-1),Employment!A:P,16,FALSE),4)</f>
        <v>1.4117</v>
      </c>
      <c r="P663" s="18">
        <f t="shared" si="244"/>
        <v>1.4</v>
      </c>
      <c r="Q663" s="29">
        <f t="shared" si="245"/>
        <v>-4.5499999999999999E-2</v>
      </c>
      <c r="R663" s="29">
        <f t="shared" si="246"/>
        <v>7.9000000000000008E-3</v>
      </c>
      <c r="S663">
        <v>2589000</v>
      </c>
      <c r="T663" s="18">
        <f>ROUND((S663/7)/VLOOKUP(EOMONTH(A663,-1),Employment!A:P,16,FALSE),4)</f>
        <v>1.6278999999999999</v>
      </c>
      <c r="U663" s="18">
        <f t="shared" si="247"/>
        <v>1.6532</v>
      </c>
      <c r="V663" s="29">
        <f t="shared" si="248"/>
        <v>-4.8800000000000003E-2</v>
      </c>
      <c r="W663" s="29">
        <f t="shared" si="249"/>
        <v>1.5900000000000001E-2</v>
      </c>
      <c r="X663" s="30">
        <f t="shared" si="250"/>
        <v>143.1</v>
      </c>
      <c r="Y663" s="31">
        <f t="shared" si="251"/>
        <v>147.72999999999999</v>
      </c>
    </row>
    <row r="664" spans="1:25" ht="15" customHeight="1" x14ac:dyDescent="0.25">
      <c r="A664" s="5">
        <v>38697</v>
      </c>
      <c r="B664">
        <v>1023.9902</v>
      </c>
      <c r="C664" s="29">
        <f t="shared" si="255"/>
        <v>2.8E-3</v>
      </c>
      <c r="D664">
        <v>-0.62</v>
      </c>
      <c r="E664">
        <v>-0.442</v>
      </c>
      <c r="F664" s="18">
        <f t="shared" si="242"/>
        <v>-0.20800000000000018</v>
      </c>
      <c r="G664" s="18">
        <f t="shared" si="243"/>
        <v>-0.16799999999999926</v>
      </c>
      <c r="H664">
        <v>3.6</v>
      </c>
      <c r="I664">
        <v>1.88</v>
      </c>
      <c r="J664">
        <f t="shared" si="252"/>
        <v>2.74</v>
      </c>
      <c r="K664" s="6">
        <f t="shared" si="253"/>
        <v>2.77</v>
      </c>
      <c r="L664" s="6">
        <f t="shared" si="254"/>
        <v>-9.9999999999997868E-3</v>
      </c>
      <c r="M664">
        <v>2.4377189745217001</v>
      </c>
      <c r="N664">
        <v>316250</v>
      </c>
      <c r="O664" s="18">
        <f>ROUND(N664/VLOOKUP(EOMONTH(A664,-1),Employment!A:P,16,FALSE),4)</f>
        <v>1.3918999999999999</v>
      </c>
      <c r="P664" s="18">
        <f t="shared" si="244"/>
        <v>1.3994</v>
      </c>
      <c r="Q664" s="29">
        <f t="shared" si="245"/>
        <v>-4.7399999999999998E-2</v>
      </c>
      <c r="R664" s="29">
        <f t="shared" si="246"/>
        <v>2.1399999999999999E-2</v>
      </c>
      <c r="S664">
        <v>2587000</v>
      </c>
      <c r="T664" s="18">
        <f>ROUND((S664/7)/VLOOKUP(EOMONTH(A664,-1),Employment!A:P,16,FALSE),4)</f>
        <v>1.6266</v>
      </c>
      <c r="U664" s="18">
        <f t="shared" si="247"/>
        <v>1.6897</v>
      </c>
      <c r="V664" s="29">
        <f t="shared" si="248"/>
        <v>-2.5999999999999999E-2</v>
      </c>
      <c r="W664" s="29">
        <f t="shared" si="249"/>
        <v>3.0999999999999999E-3</v>
      </c>
      <c r="X664" s="30">
        <f t="shared" si="250"/>
        <v>147.94999999999999</v>
      </c>
      <c r="Y664" s="31">
        <f t="shared" si="251"/>
        <v>155.34</v>
      </c>
    </row>
    <row r="665" spans="1:25" ht="15" customHeight="1" x14ac:dyDescent="0.25">
      <c r="A665" s="5">
        <v>38690</v>
      </c>
      <c r="B665">
        <v>1025.5693000000001</v>
      </c>
      <c r="C665" s="29">
        <f t="shared" si="255"/>
        <v>6.7000000000000002E-3</v>
      </c>
      <c r="D665">
        <v>-0.62</v>
      </c>
      <c r="E665">
        <v>-0.46800000000000003</v>
      </c>
      <c r="F665" s="18">
        <f t="shared" si="242"/>
        <v>4.0000000000000924E-2</v>
      </c>
      <c r="G665" s="18">
        <f t="shared" si="243"/>
        <v>0.18800000000000061</v>
      </c>
      <c r="H665">
        <v>3.63</v>
      </c>
      <c r="I665">
        <v>1.87</v>
      </c>
      <c r="J665">
        <f t="shared" si="252"/>
        <v>2.75</v>
      </c>
      <c r="K665" s="6">
        <f t="shared" si="253"/>
        <v>2.78</v>
      </c>
      <c r="L665" s="6">
        <f t="shared" si="254"/>
        <v>9.9999999999997868E-3</v>
      </c>
      <c r="M665">
        <v>2.1724064478364</v>
      </c>
      <c r="N665">
        <v>317250</v>
      </c>
      <c r="O665" s="18">
        <f>ROUND(N665/VLOOKUP(EOMONTH(A665,-1),Employment!A:P,16,FALSE),4)</f>
        <v>1.3963000000000001</v>
      </c>
      <c r="P665" s="18">
        <f t="shared" si="244"/>
        <v>1.4054</v>
      </c>
      <c r="Q665" s="29">
        <f t="shared" si="245"/>
        <v>-4.58E-2</v>
      </c>
      <c r="R665" s="29">
        <f t="shared" si="246"/>
        <v>3.5900000000000001E-2</v>
      </c>
      <c r="S665">
        <v>2712000</v>
      </c>
      <c r="T665" s="18">
        <f>ROUND((S665/7)/VLOOKUP(EOMONTH(A665,-1),Employment!A:P,16,FALSE),4)</f>
        <v>1.7052</v>
      </c>
      <c r="U665" s="18">
        <f t="shared" si="247"/>
        <v>1.7236</v>
      </c>
      <c r="V665" s="29">
        <f t="shared" si="248"/>
        <v>-7.3000000000000001E-3</v>
      </c>
      <c r="W665" s="29">
        <f t="shared" si="249"/>
        <v>-1E-4</v>
      </c>
      <c r="X665" s="30">
        <f t="shared" si="250"/>
        <v>158.77000000000001</v>
      </c>
      <c r="Y665" s="31">
        <f t="shared" si="251"/>
        <v>162.63</v>
      </c>
    </row>
    <row r="666" spans="1:25" ht="15" customHeight="1" x14ac:dyDescent="0.25">
      <c r="A666" s="5">
        <v>38683</v>
      </c>
      <c r="B666">
        <v>1022.6982</v>
      </c>
      <c r="C666" s="29">
        <f t="shared" si="255"/>
        <v>6.0000000000000001E-3</v>
      </c>
      <c r="D666">
        <v>-0.62</v>
      </c>
      <c r="E666">
        <v>-0.46300000000000002</v>
      </c>
      <c r="F666" s="18">
        <f t="shared" si="242"/>
        <v>0</v>
      </c>
      <c r="G666" s="18">
        <f t="shared" si="243"/>
        <v>7.6000000000000512E-2</v>
      </c>
      <c r="H666">
        <v>3.72</v>
      </c>
      <c r="I666">
        <v>1.91</v>
      </c>
      <c r="J666">
        <f t="shared" si="252"/>
        <v>2.82</v>
      </c>
      <c r="K666" s="6">
        <f t="shared" si="253"/>
        <v>2.77</v>
      </c>
      <c r="L666" s="6">
        <f t="shared" si="254"/>
        <v>6.0000000000000053E-2</v>
      </c>
      <c r="M666">
        <v>1.8930824075449</v>
      </c>
      <c r="N666">
        <v>320000</v>
      </c>
      <c r="O666" s="18">
        <f>ROUND(N666/VLOOKUP(EOMONTH(A666,-1),Employment!A:P,16,FALSE),4)</f>
        <v>1.4098999999999999</v>
      </c>
      <c r="P666" s="18">
        <f t="shared" si="244"/>
        <v>1.4241999999999999</v>
      </c>
      <c r="Q666" s="29">
        <f t="shared" si="245"/>
        <v>-3.6299999999999999E-2</v>
      </c>
      <c r="R666" s="29">
        <f t="shared" si="246"/>
        <v>4.8599999999999997E-2</v>
      </c>
      <c r="S666">
        <v>2760000</v>
      </c>
      <c r="T666" s="18">
        <f>ROUND((S666/7)/VLOOKUP(EOMONTH(A666,-1),Employment!A:P,16,FALSE),4)</f>
        <v>1.7373000000000001</v>
      </c>
      <c r="U666" s="18">
        <f t="shared" si="247"/>
        <v>1.7325999999999999</v>
      </c>
      <c r="V666" s="29">
        <f t="shared" si="248"/>
        <v>-9.4000000000000004E-3</v>
      </c>
      <c r="W666" s="29">
        <f t="shared" si="249"/>
        <v>6.6E-3</v>
      </c>
      <c r="X666" s="30">
        <f t="shared" si="250"/>
        <v>165.26</v>
      </c>
      <c r="Y666" s="31">
        <f t="shared" si="251"/>
        <v>164.81</v>
      </c>
    </row>
    <row r="667" spans="1:25" ht="15" customHeight="1" x14ac:dyDescent="0.25">
      <c r="A667" s="5">
        <v>38676</v>
      </c>
      <c r="B667">
        <v>1019.0422</v>
      </c>
      <c r="C667" s="29">
        <f t="shared" si="255"/>
        <v>3.8999999999999998E-3</v>
      </c>
      <c r="D667">
        <v>-0.62</v>
      </c>
      <c r="E667">
        <v>-0.46300000000000002</v>
      </c>
      <c r="F667" s="18">
        <f t="shared" si="242"/>
        <v>0.14799999999999969</v>
      </c>
      <c r="G667" s="18">
        <f t="shared" si="243"/>
        <v>8.8000000000000966E-2</v>
      </c>
      <c r="H667">
        <v>3.69</v>
      </c>
      <c r="I667">
        <v>1.86</v>
      </c>
      <c r="J667">
        <f t="shared" si="252"/>
        <v>2.78</v>
      </c>
      <c r="K667" s="6">
        <f t="shared" si="253"/>
        <v>2.71</v>
      </c>
      <c r="L667" s="6">
        <f t="shared" si="254"/>
        <v>2.0000000000000018E-2</v>
      </c>
      <c r="M667">
        <v>2.2145386108504002</v>
      </c>
      <c r="N667">
        <v>320000</v>
      </c>
      <c r="O667" s="18">
        <f>ROUND(N667/VLOOKUP(EOMONTH(A667,-1),Employment!A:P,16,FALSE),4)</f>
        <v>1.4098999999999999</v>
      </c>
      <c r="P667" s="18">
        <f t="shared" si="244"/>
        <v>1.4599</v>
      </c>
      <c r="Q667" s="29">
        <f t="shared" si="245"/>
        <v>-1.7899999999999999E-2</v>
      </c>
      <c r="R667" s="29">
        <f t="shared" si="246"/>
        <v>5.0900000000000001E-2</v>
      </c>
      <c r="S667">
        <v>2746000</v>
      </c>
      <c r="T667" s="18">
        <f>ROUND((S667/7)/VLOOKUP(EOMONTH(A667,-1),Employment!A:P,16,FALSE),4)</f>
        <v>1.7283999999999999</v>
      </c>
      <c r="U667" s="18">
        <f t="shared" si="247"/>
        <v>1.7351000000000001</v>
      </c>
      <c r="V667" s="29">
        <f t="shared" si="248"/>
        <v>-1.6E-2</v>
      </c>
      <c r="W667" s="29">
        <f t="shared" si="249"/>
        <v>8.3999999999999995E-3</v>
      </c>
      <c r="X667" s="30">
        <f t="shared" si="250"/>
        <v>165.72</v>
      </c>
      <c r="Y667" s="31">
        <f t="shared" si="251"/>
        <v>161.44999999999999</v>
      </c>
    </row>
    <row r="668" spans="1:25" ht="15" customHeight="1" x14ac:dyDescent="0.25">
      <c r="A668" s="5">
        <v>38669</v>
      </c>
      <c r="B668">
        <v>1017.3733999999999</v>
      </c>
      <c r="C668" s="29">
        <f t="shared" si="255"/>
        <v>3.5000000000000001E-3</v>
      </c>
      <c r="D668">
        <v>-0.61</v>
      </c>
      <c r="E668">
        <v>-0.45700000000000002</v>
      </c>
      <c r="F668" s="18">
        <f t="shared" si="242"/>
        <v>-7.1999999999999176E-2</v>
      </c>
      <c r="G668" s="18">
        <f t="shared" si="243"/>
        <v>0.47200000000000131</v>
      </c>
      <c r="H668">
        <v>3.56</v>
      </c>
      <c r="I668">
        <v>1.84</v>
      </c>
      <c r="J668">
        <f t="shared" si="252"/>
        <v>2.7</v>
      </c>
      <c r="K668" s="6">
        <f t="shared" si="253"/>
        <v>2.69</v>
      </c>
      <c r="L668" s="6">
        <f t="shared" si="254"/>
        <v>0</v>
      </c>
      <c r="M668">
        <v>2.5887944140523</v>
      </c>
      <c r="N668">
        <v>329750</v>
      </c>
      <c r="O668" s="18">
        <f>ROUND(N668/VLOOKUP(EOMONTH(A668,-1),Employment!A:P,16,FALSE),4)</f>
        <v>1.4529000000000001</v>
      </c>
      <c r="P668" s="18">
        <f t="shared" si="244"/>
        <v>1.5188999999999999</v>
      </c>
      <c r="Q668" s="29">
        <f t="shared" si="245"/>
        <v>2.12E-2</v>
      </c>
      <c r="R668" s="29">
        <f t="shared" si="246"/>
        <v>4.5499999999999999E-2</v>
      </c>
      <c r="S668">
        <v>2752000</v>
      </c>
      <c r="T668" s="18">
        <f>ROUND((S668/7)/VLOOKUP(EOMONTH(A668,-1),Employment!A:P,16,FALSE),4)</f>
        <v>1.7322</v>
      </c>
      <c r="U668" s="18">
        <f t="shared" si="247"/>
        <v>1.7516</v>
      </c>
      <c r="V668" s="29">
        <f t="shared" si="248"/>
        <v>-8.8999999999999999E-3</v>
      </c>
      <c r="W668" s="29">
        <f t="shared" si="249"/>
        <v>1.1000000000000001E-3</v>
      </c>
      <c r="X668" s="30">
        <f t="shared" si="250"/>
        <v>161.38</v>
      </c>
      <c r="Y668" s="31">
        <f t="shared" si="251"/>
        <v>151.72</v>
      </c>
    </row>
    <row r="669" spans="1:25" ht="15" customHeight="1" x14ac:dyDescent="0.25">
      <c r="A669" s="5">
        <v>38662</v>
      </c>
      <c r="B669">
        <v>1015.7649</v>
      </c>
      <c r="C669" s="29">
        <f t="shared" si="255"/>
        <v>3.8999999999999998E-3</v>
      </c>
      <c r="D669">
        <v>-0.61</v>
      </c>
      <c r="E669">
        <v>-0.46600000000000003</v>
      </c>
      <c r="F669" s="18">
        <f t="shared" si="242"/>
        <v>1.2000000000000455E-2</v>
      </c>
      <c r="G669" s="18">
        <f t="shared" si="243"/>
        <v>0.35200000000000031</v>
      </c>
      <c r="H669">
        <v>3.48</v>
      </c>
      <c r="I669">
        <v>1.82</v>
      </c>
      <c r="J669">
        <f t="shared" si="252"/>
        <v>2.65</v>
      </c>
      <c r="K669" s="6">
        <f t="shared" si="253"/>
        <v>2.69</v>
      </c>
      <c r="L669" s="6">
        <f t="shared" si="254"/>
        <v>-5.0000000000000266E-2</v>
      </c>
      <c r="M669">
        <v>2.7743186983544001</v>
      </c>
      <c r="N669">
        <v>344250</v>
      </c>
      <c r="O669" s="18">
        <f>ROUND(N669/VLOOKUP(EOMONTH(A669,-1),Employment!A:P,16,FALSE),4)</f>
        <v>1.5167999999999999</v>
      </c>
      <c r="P669" s="18">
        <f t="shared" si="244"/>
        <v>1.5764</v>
      </c>
      <c r="Q669" s="29">
        <f t="shared" si="245"/>
        <v>5.3100000000000001E-2</v>
      </c>
      <c r="R669" s="29">
        <f t="shared" si="246"/>
        <v>3.2599999999999997E-2</v>
      </c>
      <c r="S669">
        <v>2772000</v>
      </c>
      <c r="T669" s="18">
        <f>ROUND((S669/7)/VLOOKUP(EOMONTH(A669,-1),Employment!A:P,16,FALSE),4)</f>
        <v>1.7447999999999999</v>
      </c>
      <c r="U669" s="18">
        <f t="shared" si="247"/>
        <v>1.7687999999999999</v>
      </c>
      <c r="V669" s="29">
        <f t="shared" si="248"/>
        <v>-8.0000000000000004E-4</v>
      </c>
      <c r="W669" s="29">
        <f t="shared" si="249"/>
        <v>-1.2800000000000001E-2</v>
      </c>
      <c r="X669" s="30">
        <f t="shared" si="250"/>
        <v>150.92000000000002</v>
      </c>
      <c r="Y669" s="31">
        <f t="shared" si="251"/>
        <v>133.88</v>
      </c>
    </row>
    <row r="670" spans="1:25" ht="15" customHeight="1" x14ac:dyDescent="0.25">
      <c r="A670" s="5">
        <v>38655</v>
      </c>
      <c r="B670">
        <v>1014.3147</v>
      </c>
      <c r="C670" s="29">
        <f t="shared" si="255"/>
        <v>5.7000000000000002E-3</v>
      </c>
      <c r="D670">
        <v>-0.6</v>
      </c>
      <c r="E670">
        <v>-0.47699999999999998</v>
      </c>
      <c r="F670" s="18">
        <f t="shared" si="242"/>
        <v>0.53200000000000003</v>
      </c>
      <c r="G670" s="18">
        <f t="shared" si="243"/>
        <v>-0.12800000000000011</v>
      </c>
      <c r="H670">
        <v>3.58</v>
      </c>
      <c r="I670">
        <v>1.83</v>
      </c>
      <c r="J670">
        <f t="shared" si="252"/>
        <v>2.71</v>
      </c>
      <c r="K670" s="6">
        <f t="shared" si="253"/>
        <v>2.74</v>
      </c>
      <c r="L670" s="6">
        <f t="shared" si="254"/>
        <v>0</v>
      </c>
      <c r="M670">
        <v>3.1973283117504998</v>
      </c>
      <c r="N670">
        <v>359750</v>
      </c>
      <c r="O670" s="18">
        <f>ROUND(N670/VLOOKUP(EOMONTH(A670,-1),Employment!A:P,16,FALSE),4)</f>
        <v>1.5869</v>
      </c>
      <c r="P670" s="18">
        <f t="shared" si="244"/>
        <v>1.6406000000000001</v>
      </c>
      <c r="Q670" s="29">
        <f t="shared" si="245"/>
        <v>8.7499999999999994E-2</v>
      </c>
      <c r="R670" s="29">
        <f t="shared" si="246"/>
        <v>3.8999999999999998E-3</v>
      </c>
      <c r="S670">
        <v>2821000</v>
      </c>
      <c r="T670" s="18">
        <f>ROUND((S670/7)/VLOOKUP(EOMONTH(A670,-1),Employment!A:P,16,FALSE),4)</f>
        <v>1.7777000000000001</v>
      </c>
      <c r="U670" s="18">
        <f t="shared" si="247"/>
        <v>1.784</v>
      </c>
      <c r="V670" s="29">
        <f t="shared" si="248"/>
        <v>4.4000000000000003E-3</v>
      </c>
      <c r="W670" s="29">
        <f t="shared" si="249"/>
        <v>-2.9899999999999999E-2</v>
      </c>
      <c r="X670" s="30">
        <f t="shared" si="250"/>
        <v>129.57</v>
      </c>
      <c r="Y670" s="31">
        <f t="shared" si="251"/>
        <v>110.12</v>
      </c>
    </row>
    <row r="671" spans="1:25" ht="15" customHeight="1" x14ac:dyDescent="0.25">
      <c r="A671" s="5">
        <v>38648</v>
      </c>
      <c r="B671">
        <v>1012.6909000000001</v>
      </c>
      <c r="C671" s="29">
        <f t="shared" si="255"/>
        <v>7.9000000000000008E-3</v>
      </c>
      <c r="D671">
        <v>-0.59</v>
      </c>
      <c r="E671">
        <v>-0.42299999999999999</v>
      </c>
      <c r="F671" s="18">
        <f t="shared" si="242"/>
        <v>-0.19200000000000017</v>
      </c>
      <c r="G671" s="18">
        <f t="shared" si="243"/>
        <v>-0.98800000000000132</v>
      </c>
      <c r="H671">
        <v>3.59</v>
      </c>
      <c r="I671">
        <v>1.85</v>
      </c>
      <c r="J671">
        <f t="shared" si="252"/>
        <v>2.72</v>
      </c>
      <c r="K671" s="6">
        <f t="shared" si="253"/>
        <v>2.74</v>
      </c>
      <c r="L671" s="6">
        <f t="shared" si="254"/>
        <v>1.0000000000000231E-2</v>
      </c>
      <c r="M671">
        <v>3.3452695927741001</v>
      </c>
      <c r="N671">
        <v>368500</v>
      </c>
      <c r="O671" s="18">
        <f>ROUND(N671/VLOOKUP(EOMONTH(A671,-1),Employment!A:P,16,FALSE),4)</f>
        <v>1.6254999999999999</v>
      </c>
      <c r="P671" s="18">
        <f t="shared" si="244"/>
        <v>1.6958</v>
      </c>
      <c r="Q671" s="29">
        <f t="shared" si="245"/>
        <v>0.1186</v>
      </c>
      <c r="R671" s="29">
        <f t="shared" si="246"/>
        <v>-3.4099999999999998E-2</v>
      </c>
      <c r="S671">
        <v>2831000</v>
      </c>
      <c r="T671" s="18">
        <f>ROUND((S671/7)/VLOOKUP(EOMONTH(A671,-1),Employment!A:P,16,FALSE),4)</f>
        <v>1.784</v>
      </c>
      <c r="U671" s="18">
        <f t="shared" si="247"/>
        <v>1.7907</v>
      </c>
      <c r="V671" s="29">
        <f t="shared" si="248"/>
        <v>1.1999999999999999E-3</v>
      </c>
      <c r="W671" s="29">
        <f t="shared" si="249"/>
        <v>-4.2700000000000002E-2</v>
      </c>
      <c r="X671" s="30">
        <f t="shared" si="250"/>
        <v>102.03</v>
      </c>
      <c r="Y671" s="31">
        <f t="shared" si="251"/>
        <v>89.26</v>
      </c>
    </row>
    <row r="672" spans="1:25" ht="15" customHeight="1" x14ac:dyDescent="0.25">
      <c r="A672" s="5">
        <v>38641</v>
      </c>
      <c r="B672">
        <v>1012.5109</v>
      </c>
      <c r="C672" s="29">
        <f t="shared" si="255"/>
        <v>1.24E-2</v>
      </c>
      <c r="D672">
        <v>-0.59</v>
      </c>
      <c r="E672">
        <v>-0.44700000000000001</v>
      </c>
      <c r="F672" s="18">
        <f t="shared" si="242"/>
        <v>-0.46799999999999997</v>
      </c>
      <c r="G672" s="18">
        <f t="shared" si="243"/>
        <v>-1.1799999999999997</v>
      </c>
      <c r="H672">
        <v>3.72</v>
      </c>
      <c r="I672">
        <v>1.87</v>
      </c>
      <c r="J672">
        <f t="shared" si="252"/>
        <v>2.8</v>
      </c>
      <c r="K672" s="6">
        <f t="shared" si="253"/>
        <v>2.73</v>
      </c>
      <c r="L672" s="6">
        <f t="shared" si="254"/>
        <v>9.9999999999997868E-3</v>
      </c>
      <c r="M672">
        <v>2.8478531502722002</v>
      </c>
      <c r="N672">
        <v>387500</v>
      </c>
      <c r="O672" s="18">
        <f>ROUND(N672/VLOOKUP(EOMONTH(A672,-1),Employment!A:P,16,FALSE),4)</f>
        <v>1.7094</v>
      </c>
      <c r="P672" s="18">
        <f t="shared" si="244"/>
        <v>1.7166999999999999</v>
      </c>
      <c r="Q672" s="29">
        <f t="shared" si="245"/>
        <v>0.13289999999999999</v>
      </c>
      <c r="R672" s="29">
        <f t="shared" si="246"/>
        <v>-6.93E-2</v>
      </c>
      <c r="S672">
        <v>2841000</v>
      </c>
      <c r="T672" s="18">
        <f>ROUND((S672/7)/VLOOKUP(EOMONTH(A672,-1),Employment!A:P,16,FALSE),4)</f>
        <v>1.7903</v>
      </c>
      <c r="U672" s="18">
        <f t="shared" si="247"/>
        <v>1.7815000000000001</v>
      </c>
      <c r="V672" s="29">
        <f t="shared" si="248"/>
        <v>-1.47E-2</v>
      </c>
      <c r="W672" s="29">
        <f t="shared" si="249"/>
        <v>-4.24E-2</v>
      </c>
      <c r="X672" s="30">
        <f t="shared" si="250"/>
        <v>81.73</v>
      </c>
      <c r="Y672" s="31">
        <f t="shared" si="251"/>
        <v>80.58</v>
      </c>
    </row>
    <row r="673" spans="1:25" ht="15" customHeight="1" x14ac:dyDescent="0.25">
      <c r="A673" s="5">
        <v>38634</v>
      </c>
      <c r="B673">
        <v>1007.8155</v>
      </c>
      <c r="C673" s="29">
        <f t="shared" si="255"/>
        <v>1.0699999999999999E-2</v>
      </c>
      <c r="D673">
        <v>-0.6</v>
      </c>
      <c r="E673">
        <v>-0.49299999999999999</v>
      </c>
      <c r="F673" s="18">
        <f t="shared" si="242"/>
        <v>-0.32800000000000118</v>
      </c>
      <c r="G673" s="18">
        <f t="shared" si="243"/>
        <v>-1.2280000000000015</v>
      </c>
      <c r="H673">
        <v>3.59</v>
      </c>
      <c r="I673">
        <v>1.82</v>
      </c>
      <c r="J673">
        <f t="shared" si="252"/>
        <v>2.71</v>
      </c>
      <c r="K673" s="6">
        <f t="shared" si="253"/>
        <v>2.72</v>
      </c>
      <c r="L673" s="6">
        <f t="shared" si="254"/>
        <v>0</v>
      </c>
      <c r="M673">
        <v>2.8827043082278001</v>
      </c>
      <c r="N673">
        <v>397250</v>
      </c>
      <c r="O673" s="18">
        <f>ROUND(N673/VLOOKUP(EOMONTH(A673,-1),Employment!A:P,16,FALSE),4)</f>
        <v>1.7524</v>
      </c>
      <c r="P673" s="18">
        <f t="shared" si="244"/>
        <v>1.6953</v>
      </c>
      <c r="Q673" s="29">
        <f t="shared" si="245"/>
        <v>0.1225</v>
      </c>
      <c r="R673" s="29">
        <f t="shared" si="246"/>
        <v>-8.1500000000000003E-2</v>
      </c>
      <c r="S673">
        <v>2853000</v>
      </c>
      <c r="T673" s="18">
        <f>ROUND((S673/7)/VLOOKUP(EOMONTH(A673,-1),Employment!A:P,16,FALSE),4)</f>
        <v>1.7979000000000001</v>
      </c>
      <c r="U673" s="18">
        <f t="shared" si="247"/>
        <v>1.7423</v>
      </c>
      <c r="V673" s="29">
        <f t="shared" si="248"/>
        <v>-4.53E-2</v>
      </c>
      <c r="W673" s="29">
        <f t="shared" si="249"/>
        <v>-2.9600000000000001E-2</v>
      </c>
      <c r="X673" s="30">
        <f t="shared" si="250"/>
        <v>76.13</v>
      </c>
      <c r="Y673" s="31">
        <f t="shared" si="251"/>
        <v>86.74</v>
      </c>
    </row>
    <row r="674" spans="1:25" ht="15" customHeight="1" x14ac:dyDescent="0.25">
      <c r="A674" s="5">
        <v>38627</v>
      </c>
      <c r="B674">
        <v>1001.2218</v>
      </c>
      <c r="C674" s="29">
        <f t="shared" si="255"/>
        <v>5.1999999999999998E-3</v>
      </c>
      <c r="D674">
        <v>-0.6</v>
      </c>
      <c r="E674">
        <v>-0.53400000000000003</v>
      </c>
      <c r="F674" s="18">
        <f t="shared" si="242"/>
        <v>-0.38399999999999856</v>
      </c>
      <c r="G674" s="18">
        <f t="shared" si="243"/>
        <v>-0.76399999999999935</v>
      </c>
      <c r="H674">
        <v>3.54</v>
      </c>
      <c r="I674">
        <v>1.81</v>
      </c>
      <c r="J674">
        <f t="shared" si="252"/>
        <v>2.68</v>
      </c>
      <c r="K674" s="6">
        <f t="shared" si="253"/>
        <v>2.72</v>
      </c>
      <c r="L674" s="6">
        <f t="shared" si="254"/>
        <v>-9.9999999999997868E-3</v>
      </c>
      <c r="M674">
        <v>3.1878740622745001</v>
      </c>
      <c r="N674">
        <v>382750</v>
      </c>
      <c r="O674" s="18">
        <f>ROUND(N674/VLOOKUP(EOMONTH(A674,-1),Employment!A:P,16,FALSE),4)</f>
        <v>1.6883999999999999</v>
      </c>
      <c r="P674" s="18">
        <f t="shared" si="244"/>
        <v>1.6194999999999999</v>
      </c>
      <c r="Q674" s="29">
        <f t="shared" si="245"/>
        <v>7.3400000000000007E-2</v>
      </c>
      <c r="R674" s="29">
        <f t="shared" si="246"/>
        <v>-6.6299999999999998E-2</v>
      </c>
      <c r="S674">
        <v>2787000</v>
      </c>
      <c r="T674" s="18">
        <f>ROUND((S674/7)/VLOOKUP(EOMONTH(A674,-1),Employment!A:P,16,FALSE),4)</f>
        <v>1.7563</v>
      </c>
      <c r="U674" s="18">
        <f t="shared" si="247"/>
        <v>1.6845000000000001</v>
      </c>
      <c r="V674" s="29">
        <f t="shared" si="248"/>
        <v>-8.09E-2</v>
      </c>
      <c r="W674" s="29">
        <f t="shared" si="249"/>
        <v>-1.2999999999999999E-2</v>
      </c>
      <c r="X674" s="30">
        <f t="shared" si="250"/>
        <v>88.83</v>
      </c>
      <c r="Y674" s="31">
        <f t="shared" si="251"/>
        <v>103.17</v>
      </c>
    </row>
    <row r="675" spans="1:25" ht="15" customHeight="1" x14ac:dyDescent="0.25">
      <c r="A675" s="5">
        <v>38620</v>
      </c>
      <c r="B675">
        <v>997.27260000000001</v>
      </c>
      <c r="C675" s="29">
        <f t="shared" si="255"/>
        <v>1.1999999999999999E-3</v>
      </c>
      <c r="D675">
        <v>-0.6</v>
      </c>
      <c r="E675">
        <v>-0.58199999999999996</v>
      </c>
      <c r="F675" s="18">
        <f t="shared" si="242"/>
        <v>-0.51600000000000179</v>
      </c>
      <c r="G675" s="18">
        <f t="shared" si="243"/>
        <v>-0.90000000000000213</v>
      </c>
      <c r="H675">
        <v>3.71</v>
      </c>
      <c r="I675">
        <v>1.83</v>
      </c>
      <c r="J675">
        <f t="shared" si="252"/>
        <v>2.77</v>
      </c>
      <c r="K675" s="6">
        <f t="shared" si="253"/>
        <v>2.73</v>
      </c>
      <c r="L675" s="6">
        <f t="shared" si="254"/>
        <v>0</v>
      </c>
      <c r="M675">
        <v>3.2829887558339998</v>
      </c>
      <c r="N675">
        <v>372500</v>
      </c>
      <c r="O675" s="18">
        <f>ROUND(N675/VLOOKUP(EOMONTH(A675,-1),Employment!A:P,16,FALSE),4)</f>
        <v>1.6452</v>
      </c>
      <c r="P675" s="18">
        <f t="shared" si="244"/>
        <v>1.5269999999999999</v>
      </c>
      <c r="Q675" s="29">
        <f t="shared" si="245"/>
        <v>1.0800000000000001E-2</v>
      </c>
      <c r="R675" s="29">
        <f t="shared" si="246"/>
        <v>-3.7199999999999997E-2</v>
      </c>
      <c r="S675">
        <v>2651000</v>
      </c>
      <c r="T675" s="18">
        <f>ROUND((S675/7)/VLOOKUP(EOMONTH(A675,-1),Employment!A:P,16,FALSE),4)</f>
        <v>1.6726000000000001</v>
      </c>
      <c r="U675" s="18">
        <f t="shared" si="247"/>
        <v>1.6392</v>
      </c>
      <c r="V675" s="29">
        <f t="shared" si="248"/>
        <v>-0.1075</v>
      </c>
      <c r="W675" s="29">
        <f t="shared" si="249"/>
        <v>-5.0000000000000001E-3</v>
      </c>
      <c r="X675" s="30">
        <f t="shared" si="250"/>
        <v>108.06</v>
      </c>
      <c r="Y675" s="31">
        <f t="shared" si="251"/>
        <v>120.44</v>
      </c>
    </row>
    <row r="676" spans="1:25" ht="15" customHeight="1" x14ac:dyDescent="0.25">
      <c r="A676" s="5">
        <v>38613</v>
      </c>
      <c r="B676">
        <v>994.09879999999998</v>
      </c>
      <c r="C676" s="29">
        <f t="shared" si="255"/>
        <v>-1.8E-3</v>
      </c>
      <c r="D676">
        <v>-0.61</v>
      </c>
      <c r="E676">
        <v>-0.63400000000000001</v>
      </c>
      <c r="F676" s="18">
        <f t="shared" si="242"/>
        <v>0.13600000000000101</v>
      </c>
      <c r="G676" s="18">
        <f t="shared" si="243"/>
        <v>-0.30399999999999849</v>
      </c>
      <c r="H676">
        <v>3.54</v>
      </c>
      <c r="I676">
        <v>1.85</v>
      </c>
      <c r="J676">
        <f t="shared" si="252"/>
        <v>2.7</v>
      </c>
      <c r="K676" s="6">
        <f t="shared" si="253"/>
        <v>2.73</v>
      </c>
      <c r="L676" s="6">
        <f t="shared" si="254"/>
        <v>6.0000000000000053E-2</v>
      </c>
      <c r="M676">
        <v>3.8833822858376998</v>
      </c>
      <c r="N676">
        <v>345250</v>
      </c>
      <c r="O676" s="18">
        <f>ROUND(N676/VLOOKUP(EOMONTH(A676,-1),Employment!A:P,16,FALSE),4)</f>
        <v>1.5247999999999999</v>
      </c>
      <c r="P676" s="18">
        <f t="shared" si="244"/>
        <v>1.4435</v>
      </c>
      <c r="Q676" s="29">
        <f t="shared" si="245"/>
        <v>-4.7600000000000003E-2</v>
      </c>
      <c r="R676" s="29">
        <f t="shared" si="246"/>
        <v>-1.24E-2</v>
      </c>
      <c r="S676">
        <v>2575000</v>
      </c>
      <c r="T676" s="18">
        <f>ROUND((S676/7)/VLOOKUP(EOMONTH(A676,-1),Employment!A:P,16,FALSE),4)</f>
        <v>1.6247</v>
      </c>
      <c r="U676" s="18">
        <f t="shared" si="247"/>
        <v>1.6279999999999999</v>
      </c>
      <c r="V676" s="29">
        <f t="shared" si="248"/>
        <v>-0.1138</v>
      </c>
      <c r="W676" s="29">
        <f t="shared" si="249"/>
        <v>-4.4000000000000003E-3</v>
      </c>
      <c r="X676" s="30">
        <f t="shared" si="250"/>
        <v>126.78</v>
      </c>
      <c r="Y676" s="31">
        <f t="shared" si="251"/>
        <v>133</v>
      </c>
    </row>
    <row r="677" spans="1:25" ht="15" customHeight="1" x14ac:dyDescent="0.25">
      <c r="A677" s="5">
        <v>38606</v>
      </c>
      <c r="B677">
        <v>995.82159999999999</v>
      </c>
      <c r="C677" s="29">
        <f t="shared" si="255"/>
        <v>1E-4</v>
      </c>
      <c r="D677">
        <v>-0.61</v>
      </c>
      <c r="E677">
        <v>-0.61699999999999999</v>
      </c>
      <c r="F677" s="18">
        <f t="shared" si="242"/>
        <v>-0.52000000000000135</v>
      </c>
      <c r="G677" s="18">
        <f t="shared" si="243"/>
        <v>-0.54800000000000004</v>
      </c>
      <c r="H677">
        <v>3.59</v>
      </c>
      <c r="I677">
        <v>1.82</v>
      </c>
      <c r="J677">
        <f t="shared" si="252"/>
        <v>2.71</v>
      </c>
      <c r="K677" s="6">
        <f t="shared" si="253"/>
        <v>2.67</v>
      </c>
      <c r="L677" s="6">
        <f t="shared" si="254"/>
        <v>4.9999999999999822E-2</v>
      </c>
      <c r="M677">
        <v>4.3423020656686999</v>
      </c>
      <c r="N677">
        <v>319500</v>
      </c>
      <c r="O677" s="18">
        <f>ROUND(N677/VLOOKUP(EOMONTH(A677,-1),Employment!A:P,16,FALSE),4)</f>
        <v>1.4111</v>
      </c>
      <c r="P677" s="18">
        <f t="shared" si="244"/>
        <v>1.3998999999999999</v>
      </c>
      <c r="Q677" s="29">
        <f t="shared" si="245"/>
        <v>-7.6600000000000001E-2</v>
      </c>
      <c r="R677" s="29">
        <f t="shared" si="246"/>
        <v>-1.6000000000000001E-3</v>
      </c>
      <c r="S677">
        <v>2568000</v>
      </c>
      <c r="T677" s="18">
        <f>ROUND((S677/7)/VLOOKUP(EOMONTH(A677,-1),Employment!A:P,16,FALSE),4)</f>
        <v>1.6202000000000001</v>
      </c>
      <c r="U677" s="18">
        <f t="shared" si="247"/>
        <v>1.6282000000000001</v>
      </c>
      <c r="V677" s="29">
        <f t="shared" si="248"/>
        <v>-0.1158</v>
      </c>
      <c r="W677" s="29">
        <f t="shared" si="249"/>
        <v>-4.4000000000000003E-3</v>
      </c>
      <c r="X677" s="30">
        <f t="shared" si="250"/>
        <v>135.54</v>
      </c>
      <c r="Y677" s="31">
        <f t="shared" si="251"/>
        <v>139.9</v>
      </c>
    </row>
    <row r="678" spans="1:25" ht="15" customHeight="1" x14ac:dyDescent="0.25">
      <c r="A678" s="5">
        <v>38599</v>
      </c>
      <c r="B678">
        <v>997.16909999999996</v>
      </c>
      <c r="C678" s="29">
        <f t="shared" si="255"/>
        <v>2.3999999999999998E-3</v>
      </c>
      <c r="D678">
        <v>-0.63</v>
      </c>
      <c r="E678">
        <v>-0.65700000000000003</v>
      </c>
      <c r="F678" s="18">
        <f t="shared" si="242"/>
        <v>8.0000000000001847E-2</v>
      </c>
      <c r="G678" s="18">
        <f t="shared" si="243"/>
        <v>-0.14000000000000057</v>
      </c>
      <c r="H678">
        <v>3.7</v>
      </c>
      <c r="I678">
        <v>1.84</v>
      </c>
      <c r="J678">
        <f t="shared" si="252"/>
        <v>2.77</v>
      </c>
      <c r="K678" s="6">
        <f t="shared" si="253"/>
        <v>2.62</v>
      </c>
      <c r="L678" s="6">
        <f t="shared" si="254"/>
        <v>7.0000000000000284E-2</v>
      </c>
      <c r="M678">
        <v>4.3792105275375999</v>
      </c>
      <c r="N678">
        <v>315750</v>
      </c>
      <c r="O678" s="18">
        <f>ROUND(N678/VLOOKUP(EOMONTH(A678,-1),Employment!A:P,16,FALSE),4)</f>
        <v>1.3945000000000001</v>
      </c>
      <c r="P678" s="18">
        <f t="shared" si="244"/>
        <v>1.3953</v>
      </c>
      <c r="Q678" s="29">
        <f t="shared" si="245"/>
        <v>-8.1000000000000003E-2</v>
      </c>
      <c r="R678" s="29">
        <f t="shared" si="246"/>
        <v>3.5999999999999999E-3</v>
      </c>
      <c r="S678">
        <v>2598000</v>
      </c>
      <c r="T678" s="18">
        <f>ROUND((S678/7)/VLOOKUP(EOMONTH(A678,-1),Employment!A:P,16,FALSE),4)</f>
        <v>1.6392</v>
      </c>
      <c r="U678" s="18">
        <f t="shared" si="247"/>
        <v>1.6323000000000001</v>
      </c>
      <c r="V678" s="29">
        <f t="shared" si="248"/>
        <v>-0.11799999999999999</v>
      </c>
      <c r="W678" s="29">
        <f t="shared" si="249"/>
        <v>-1.5E-3</v>
      </c>
      <c r="X678" s="30">
        <f t="shared" si="250"/>
        <v>142.19</v>
      </c>
      <c r="Y678" s="31">
        <f t="shared" si="251"/>
        <v>143.83000000000001</v>
      </c>
    </row>
    <row r="679" spans="1:25" ht="15" customHeight="1" x14ac:dyDescent="0.25">
      <c r="A679" s="5">
        <v>38592</v>
      </c>
      <c r="B679">
        <v>997.25649999999996</v>
      </c>
      <c r="C679" s="29">
        <f t="shared" si="255"/>
        <v>4.1000000000000003E-3</v>
      </c>
      <c r="D679">
        <v>-0.63</v>
      </c>
      <c r="E679">
        <v>-0.64700000000000002</v>
      </c>
      <c r="F679" s="18">
        <f t="shared" si="242"/>
        <v>-0.10800000000000054</v>
      </c>
      <c r="G679" s="18">
        <f t="shared" si="243"/>
        <v>-0.61200000000000188</v>
      </c>
      <c r="H679">
        <v>3.34</v>
      </c>
      <c r="I679">
        <v>1.69</v>
      </c>
      <c r="J679">
        <f t="shared" si="252"/>
        <v>2.52</v>
      </c>
      <c r="K679" s="6">
        <f t="shared" si="253"/>
        <v>2.5499999999999998</v>
      </c>
      <c r="L679" s="6">
        <f t="shared" si="254"/>
        <v>9.9999999999997868E-3</v>
      </c>
      <c r="M679">
        <v>4.1897942410119002</v>
      </c>
      <c r="N679">
        <v>315250</v>
      </c>
      <c r="O679" s="18">
        <f>ROUND(N679/VLOOKUP(EOMONTH(A679,-1),Employment!A:P,16,FALSE),4)</f>
        <v>1.3939999999999999</v>
      </c>
      <c r="P679" s="18">
        <f t="shared" si="244"/>
        <v>1.3976999999999999</v>
      </c>
      <c r="Q679" s="29">
        <f t="shared" si="245"/>
        <v>-8.3500000000000005E-2</v>
      </c>
      <c r="R679" s="29">
        <f t="shared" si="246"/>
        <v>8.2000000000000007E-3</v>
      </c>
      <c r="S679">
        <v>2573000</v>
      </c>
      <c r="T679" s="18">
        <f>ROUND((S679/7)/VLOOKUP(EOMONTH(A679,-1),Employment!A:P,16,FALSE),4)</f>
        <v>1.6253</v>
      </c>
      <c r="U679" s="18">
        <f t="shared" si="247"/>
        <v>1.627</v>
      </c>
      <c r="V679" s="29">
        <f t="shared" si="248"/>
        <v>-0.1229</v>
      </c>
      <c r="W679" s="29">
        <f t="shared" si="249"/>
        <v>2.0999999999999999E-3</v>
      </c>
      <c r="X679" s="30">
        <f t="shared" si="250"/>
        <v>145.1</v>
      </c>
      <c r="Y679" s="31">
        <f t="shared" si="251"/>
        <v>144.93</v>
      </c>
    </row>
    <row r="680" spans="1:25" ht="15" customHeight="1" x14ac:dyDescent="0.25">
      <c r="A680" s="5">
        <v>38585</v>
      </c>
      <c r="B680">
        <v>993.16859999999997</v>
      </c>
      <c r="C680" s="29">
        <f t="shared" si="255"/>
        <v>1.8E-3</v>
      </c>
      <c r="D680">
        <v>-0.64</v>
      </c>
      <c r="E680">
        <v>-0.64800000000000002</v>
      </c>
      <c r="F680" s="18">
        <f t="shared" si="242"/>
        <v>-0.11200000000000188</v>
      </c>
      <c r="G680" s="18">
        <f t="shared" si="243"/>
        <v>-0.16800000000000104</v>
      </c>
      <c r="H680">
        <v>3.39</v>
      </c>
      <c r="I680">
        <v>1.72</v>
      </c>
      <c r="J680">
        <f t="shared" si="252"/>
        <v>2.56</v>
      </c>
      <c r="K680" s="6">
        <f t="shared" si="253"/>
        <v>2.54</v>
      </c>
      <c r="L680" s="6">
        <f t="shared" si="254"/>
        <v>4.0000000000000036E-2</v>
      </c>
      <c r="M680">
        <v>3.6886189643642999</v>
      </c>
      <c r="N680">
        <v>316000</v>
      </c>
      <c r="O680" s="18">
        <f>ROUND(N680/VLOOKUP(EOMONTH(A680,-1),Employment!A:P,16,FALSE),4)</f>
        <v>1.3973</v>
      </c>
      <c r="P680" s="18">
        <f t="shared" si="244"/>
        <v>1.4101999999999999</v>
      </c>
      <c r="Q680" s="29">
        <f t="shared" si="245"/>
        <v>-8.3599999999999994E-2</v>
      </c>
      <c r="R680" s="29">
        <f t="shared" si="246"/>
        <v>8.5000000000000006E-3</v>
      </c>
      <c r="S680">
        <v>2584000</v>
      </c>
      <c r="T680" s="18">
        <f>ROUND((S680/7)/VLOOKUP(EOMONTH(A680,-1),Employment!A:P,16,FALSE),4)</f>
        <v>1.6323000000000001</v>
      </c>
      <c r="U680" s="18">
        <f t="shared" si="247"/>
        <v>1.631</v>
      </c>
      <c r="V680" s="29">
        <f t="shared" si="248"/>
        <v>-0.12529999999999999</v>
      </c>
      <c r="W680" s="29">
        <f t="shared" si="249"/>
        <v>3.5999999999999999E-3</v>
      </c>
      <c r="X680" s="30">
        <f t="shared" si="250"/>
        <v>144.72999999999999</v>
      </c>
      <c r="Y680" s="31">
        <f t="shared" si="251"/>
        <v>144.80000000000001</v>
      </c>
    </row>
    <row r="681" spans="1:25" ht="15" customHeight="1" x14ac:dyDescent="0.25">
      <c r="A681" s="5">
        <v>38578</v>
      </c>
      <c r="B681">
        <v>995.35799999999995</v>
      </c>
      <c r="C681" s="29">
        <f t="shared" si="255"/>
        <v>7.0000000000000001E-3</v>
      </c>
      <c r="D681">
        <v>-0.64</v>
      </c>
      <c r="E681">
        <v>-0.66200000000000003</v>
      </c>
      <c r="F681" s="18">
        <f t="shared" si="242"/>
        <v>-0.39199999999999946</v>
      </c>
      <c r="G681" s="18">
        <f t="shared" si="243"/>
        <v>0.40400000000000169</v>
      </c>
      <c r="H681">
        <v>3.42</v>
      </c>
      <c r="I681">
        <v>1.71</v>
      </c>
      <c r="J681">
        <f t="shared" si="252"/>
        <v>2.57</v>
      </c>
      <c r="K681" s="6">
        <f t="shared" si="253"/>
        <v>2.5</v>
      </c>
      <c r="L681" s="6">
        <f t="shared" si="254"/>
        <v>0</v>
      </c>
      <c r="M681">
        <v>3.1055682069179</v>
      </c>
      <c r="N681">
        <v>317000</v>
      </c>
      <c r="O681" s="18">
        <f>ROUND(N681/VLOOKUP(EOMONTH(A681,-1),Employment!A:P,16,FALSE),4)</f>
        <v>1.4016999999999999</v>
      </c>
      <c r="P681" s="18">
        <f t="shared" si="244"/>
        <v>1.4261999999999999</v>
      </c>
      <c r="Q681" s="29">
        <f t="shared" si="245"/>
        <v>-7.7100000000000002E-2</v>
      </c>
      <c r="R681" s="29">
        <f t="shared" si="246"/>
        <v>3.5000000000000001E-3</v>
      </c>
      <c r="S681">
        <v>2570000</v>
      </c>
      <c r="T681" s="18">
        <f>ROUND((S681/7)/VLOOKUP(EOMONTH(A681,-1),Employment!A:P,16,FALSE),4)</f>
        <v>1.6234</v>
      </c>
      <c r="U681" s="18">
        <f t="shared" si="247"/>
        <v>1.639</v>
      </c>
      <c r="V681" s="29">
        <f t="shared" si="248"/>
        <v>-0.12470000000000001</v>
      </c>
      <c r="W681" s="29">
        <f t="shared" si="249"/>
        <v>-5.0000000000000001E-4</v>
      </c>
      <c r="X681" s="30">
        <f t="shared" si="250"/>
        <v>145</v>
      </c>
      <c r="Y681" s="31">
        <f t="shared" si="251"/>
        <v>144.38999999999999</v>
      </c>
    </row>
    <row r="682" spans="1:25" ht="15" customHeight="1" x14ac:dyDescent="0.25">
      <c r="A682" s="5">
        <v>38571</v>
      </c>
      <c r="B682">
        <v>993.40239999999994</v>
      </c>
      <c r="C682" s="29">
        <f t="shared" si="255"/>
        <v>9.4000000000000004E-3</v>
      </c>
      <c r="D682">
        <v>-0.64</v>
      </c>
      <c r="E682">
        <v>-0.71099999999999997</v>
      </c>
      <c r="F682" s="18">
        <f t="shared" si="242"/>
        <v>0.3360000000000003</v>
      </c>
      <c r="G682" s="18">
        <f t="shared" si="243"/>
        <v>1.1400000000000006</v>
      </c>
      <c r="H682">
        <v>3.29</v>
      </c>
      <c r="I682">
        <v>1.67</v>
      </c>
      <c r="J682">
        <f t="shared" si="252"/>
        <v>2.48</v>
      </c>
      <c r="K682" s="6">
        <f t="shared" si="253"/>
        <v>2.5</v>
      </c>
      <c r="L682" s="6">
        <f t="shared" si="254"/>
        <v>-4.0000000000000036E-2</v>
      </c>
      <c r="M682">
        <v>2.1464993977506999</v>
      </c>
      <c r="N682">
        <v>323750</v>
      </c>
      <c r="O682" s="18">
        <f>ROUND(N682/VLOOKUP(EOMONTH(A682,-1),Employment!A:P,16,FALSE),4)</f>
        <v>1.4316</v>
      </c>
      <c r="P682" s="18">
        <f t="shared" si="244"/>
        <v>1.4380999999999999</v>
      </c>
      <c r="Q682" s="29">
        <f t="shared" si="245"/>
        <v>-6.83E-2</v>
      </c>
      <c r="R682" s="29">
        <f t="shared" si="246"/>
        <v>-5.0000000000000001E-4</v>
      </c>
      <c r="S682">
        <v>2592000</v>
      </c>
      <c r="T682" s="18">
        <f>ROUND((S682/7)/VLOOKUP(EOMONTH(A682,-1),Employment!A:P,16,FALSE),4)</f>
        <v>1.6373</v>
      </c>
      <c r="U682" s="18">
        <f t="shared" si="247"/>
        <v>1.6423000000000001</v>
      </c>
      <c r="V682" s="29">
        <f t="shared" si="248"/>
        <v>-0.11899999999999999</v>
      </c>
      <c r="W682" s="29">
        <f t="shared" si="249"/>
        <v>-6.0000000000000001E-3</v>
      </c>
      <c r="X682" s="30">
        <f t="shared" si="250"/>
        <v>144.5</v>
      </c>
      <c r="Y682" s="31">
        <f t="shared" si="251"/>
        <v>143.38999999999999</v>
      </c>
    </row>
    <row r="683" spans="1:25" ht="15" customHeight="1" x14ac:dyDescent="0.25">
      <c r="A683" s="5">
        <v>38564</v>
      </c>
      <c r="B683">
        <v>990.74630000000002</v>
      </c>
      <c r="C683" s="29">
        <f t="shared" si="255"/>
        <v>1.0699999999999999E-2</v>
      </c>
      <c r="D683">
        <v>-0.64</v>
      </c>
      <c r="E683">
        <v>-0.66900000000000004</v>
      </c>
      <c r="F683" s="18">
        <f t="shared" si="242"/>
        <v>0.46000000000000085</v>
      </c>
      <c r="G683" s="18">
        <f t="shared" si="243"/>
        <v>0.33200000000000074</v>
      </c>
      <c r="H683">
        <v>3.25</v>
      </c>
      <c r="I683">
        <v>1.67</v>
      </c>
      <c r="J683">
        <f t="shared" si="252"/>
        <v>2.46</v>
      </c>
      <c r="K683" s="6">
        <f t="shared" si="253"/>
        <v>2.54</v>
      </c>
      <c r="L683" s="6">
        <f t="shared" si="254"/>
        <v>-0.10000000000000009</v>
      </c>
      <c r="M683">
        <v>1.7741287544074</v>
      </c>
      <c r="N683">
        <v>326500</v>
      </c>
      <c r="O683" s="18">
        <f>ROUND(N683/VLOOKUP(EOMONTH(A683,-1),Employment!A:P,16,FALSE),4)</f>
        <v>1.4453</v>
      </c>
      <c r="P683" s="18">
        <f t="shared" si="244"/>
        <v>1.4394</v>
      </c>
      <c r="Q683" s="29">
        <f t="shared" si="245"/>
        <v>-6.4199999999999993E-2</v>
      </c>
      <c r="R683" s="29">
        <f t="shared" si="246"/>
        <v>8.0000000000000004E-4</v>
      </c>
      <c r="S683">
        <v>2619000</v>
      </c>
      <c r="T683" s="18">
        <f>ROUND((S683/7)/VLOOKUP(EOMONTH(A683,-1),Employment!A:P,16,FALSE),4)</f>
        <v>1.6561999999999999</v>
      </c>
      <c r="U683" s="18">
        <f t="shared" si="247"/>
        <v>1.6471</v>
      </c>
      <c r="V683" s="29">
        <f t="shared" si="248"/>
        <v>-0.11799999999999999</v>
      </c>
      <c r="W683" s="29">
        <f t="shared" si="249"/>
        <v>-7.4999999999999997E-3</v>
      </c>
      <c r="X683" s="30">
        <f t="shared" si="250"/>
        <v>142.59</v>
      </c>
      <c r="Y683" s="31">
        <f t="shared" si="251"/>
        <v>142.88999999999999</v>
      </c>
    </row>
    <row r="684" spans="1:25" ht="15" customHeight="1" x14ac:dyDescent="0.25">
      <c r="A684" s="5">
        <v>38557</v>
      </c>
      <c r="B684">
        <v>986.03710000000001</v>
      </c>
      <c r="C684" s="29">
        <f t="shared" si="255"/>
        <v>8.5000000000000006E-3</v>
      </c>
      <c r="D684">
        <v>-0.63</v>
      </c>
      <c r="E684">
        <v>-0.624</v>
      </c>
      <c r="F684" s="18">
        <f t="shared" si="242"/>
        <v>0.34399999999999942</v>
      </c>
      <c r="G684" s="18">
        <f t="shared" si="243"/>
        <v>-0.18399999999999928</v>
      </c>
      <c r="H684">
        <v>3.39</v>
      </c>
      <c r="I684">
        <v>1.75</v>
      </c>
      <c r="J684">
        <f t="shared" si="252"/>
        <v>2.57</v>
      </c>
      <c r="K684" s="6">
        <f t="shared" si="253"/>
        <v>2.64</v>
      </c>
      <c r="L684" s="6">
        <f t="shared" si="254"/>
        <v>-6.999999999999984E-2</v>
      </c>
      <c r="M684">
        <v>1.4904594188647999</v>
      </c>
      <c r="N684">
        <v>324750</v>
      </c>
      <c r="O684" s="18">
        <f>ROUND(N684/VLOOKUP(EOMONTH(A684,-1),Employment!A:P,16,FALSE),4)</f>
        <v>1.4375</v>
      </c>
      <c r="P684" s="18">
        <f t="shared" si="244"/>
        <v>1.4341999999999999</v>
      </c>
      <c r="Q684" s="29">
        <f t="shared" si="245"/>
        <v>-6.6299999999999998E-2</v>
      </c>
      <c r="R684" s="29">
        <f t="shared" si="246"/>
        <v>6.7000000000000002E-3</v>
      </c>
      <c r="S684">
        <v>2583000</v>
      </c>
      <c r="T684" s="18">
        <f>ROUND((S684/7)/VLOOKUP(EOMONTH(A684,-1),Employment!A:P,16,FALSE),4)</f>
        <v>1.6334</v>
      </c>
      <c r="U684" s="18">
        <f t="shared" si="247"/>
        <v>1.6365000000000001</v>
      </c>
      <c r="V684" s="29">
        <f t="shared" si="248"/>
        <v>-0.1201</v>
      </c>
      <c r="W684" s="29">
        <f t="shared" si="249"/>
        <v>-3.2000000000000002E-3</v>
      </c>
      <c r="X684" s="30">
        <f t="shared" si="250"/>
        <v>142.63</v>
      </c>
      <c r="Y684" s="31">
        <f t="shared" si="251"/>
        <v>142.76</v>
      </c>
    </row>
    <row r="685" spans="1:25" ht="15" customHeight="1" x14ac:dyDescent="0.25">
      <c r="A685" s="5">
        <v>38550</v>
      </c>
      <c r="B685">
        <v>983.4203</v>
      </c>
      <c r="C685" s="29">
        <f t="shared" si="255"/>
        <v>8.6999999999999994E-3</v>
      </c>
      <c r="D685">
        <v>-0.63</v>
      </c>
      <c r="E685">
        <v>-0.58099999999999996</v>
      </c>
      <c r="F685" s="18">
        <f t="shared" si="242"/>
        <v>-0.47199999999999953</v>
      </c>
      <c r="G685" s="18">
        <f t="shared" si="243"/>
        <v>-7.1999999999999176E-2</v>
      </c>
      <c r="H685">
        <v>3.43</v>
      </c>
      <c r="I685">
        <v>1.77</v>
      </c>
      <c r="J685">
        <f t="shared" si="252"/>
        <v>2.6</v>
      </c>
      <c r="K685" s="6">
        <f t="shared" si="253"/>
        <v>2.71</v>
      </c>
      <c r="L685" s="6">
        <f t="shared" si="254"/>
        <v>-0.10999999999999988</v>
      </c>
      <c r="M685">
        <v>1.0903641837739</v>
      </c>
      <c r="N685">
        <v>324250</v>
      </c>
      <c r="O685" s="18">
        <f>ROUND(N685/VLOOKUP(EOMONTH(A685,-1),Employment!A:P,16,FALSE),4)</f>
        <v>1.4353</v>
      </c>
      <c r="P685" s="18">
        <f t="shared" si="244"/>
        <v>1.4357</v>
      </c>
      <c r="Q685" s="29">
        <f t="shared" si="245"/>
        <v>-7.0300000000000001E-2</v>
      </c>
      <c r="R685" s="29">
        <f t="shared" si="246"/>
        <v>9.2999999999999992E-3</v>
      </c>
      <c r="S685">
        <v>2612000</v>
      </c>
      <c r="T685" s="18">
        <f>ROUND((S685/7)/VLOOKUP(EOMONTH(A685,-1),Employment!A:P,16,FALSE),4)</f>
        <v>1.6516999999999999</v>
      </c>
      <c r="U685" s="18">
        <f t="shared" si="247"/>
        <v>1.6405000000000001</v>
      </c>
      <c r="V685" s="29">
        <f t="shared" si="248"/>
        <v>-0.13</v>
      </c>
      <c r="W685" s="29">
        <f t="shared" si="249"/>
        <v>2.7000000000000001E-3</v>
      </c>
      <c r="X685" s="30">
        <f t="shared" si="250"/>
        <v>144.29</v>
      </c>
      <c r="Y685" s="31">
        <f t="shared" si="251"/>
        <v>140.63999999999999</v>
      </c>
    </row>
    <row r="686" spans="1:25" ht="15" customHeight="1" x14ac:dyDescent="0.25">
      <c r="A686" s="5">
        <v>38543</v>
      </c>
      <c r="B686">
        <v>976.20839999999998</v>
      </c>
      <c r="C686" s="29">
        <f t="shared" si="255"/>
        <v>1.8E-3</v>
      </c>
      <c r="D686">
        <v>-0.63</v>
      </c>
      <c r="E686">
        <v>-0.64</v>
      </c>
      <c r="F686" s="18">
        <f t="shared" si="242"/>
        <v>-5.5999999999999162E-2</v>
      </c>
      <c r="G686" s="18">
        <f t="shared" si="243"/>
        <v>0.2159999999999993</v>
      </c>
      <c r="H686">
        <v>3.67</v>
      </c>
      <c r="I686">
        <v>1.83</v>
      </c>
      <c r="J686">
        <f t="shared" si="252"/>
        <v>2.75</v>
      </c>
      <c r="K686" s="6">
        <f t="shared" si="253"/>
        <v>2.82</v>
      </c>
      <c r="L686" s="6">
        <f t="shared" si="254"/>
        <v>-2.0000000000000018E-2</v>
      </c>
      <c r="M686">
        <v>1.2711668904468001</v>
      </c>
      <c r="N686">
        <v>323000</v>
      </c>
      <c r="O686" s="18">
        <f>ROUND(N686/VLOOKUP(EOMONTH(A686,-1),Employment!A:P,16,FALSE),4)</f>
        <v>1.4298</v>
      </c>
      <c r="P686" s="18">
        <f t="shared" si="244"/>
        <v>1.4491000000000001</v>
      </c>
      <c r="Q686" s="29">
        <f t="shared" si="245"/>
        <v>-6.4600000000000005E-2</v>
      </c>
      <c r="R686" s="29">
        <f t="shared" si="246"/>
        <v>6.7000000000000002E-3</v>
      </c>
      <c r="S686">
        <v>2569000</v>
      </c>
      <c r="T686" s="18">
        <f>ROUND((S686/7)/VLOOKUP(EOMONTH(A686,-1),Employment!A:P,16,FALSE),4)</f>
        <v>1.6245000000000001</v>
      </c>
      <c r="U686" s="18">
        <f t="shared" si="247"/>
        <v>1.6384000000000001</v>
      </c>
      <c r="V686" s="29">
        <f t="shared" si="248"/>
        <v>-0.13550000000000001</v>
      </c>
      <c r="W686" s="29">
        <f t="shared" si="249"/>
        <v>2.0000000000000001E-4</v>
      </c>
      <c r="X686" s="30">
        <f t="shared" si="250"/>
        <v>139.25</v>
      </c>
      <c r="Y686" s="31">
        <f t="shared" si="251"/>
        <v>136.33000000000001</v>
      </c>
    </row>
    <row r="687" spans="1:25" ht="15" customHeight="1" x14ac:dyDescent="0.25">
      <c r="A687" s="5">
        <v>38536</v>
      </c>
      <c r="B687">
        <v>975.33140000000003</v>
      </c>
      <c r="C687" s="29">
        <f t="shared" si="255"/>
        <v>6.9999999999999999E-4</v>
      </c>
      <c r="D687">
        <v>-0.65</v>
      </c>
      <c r="E687">
        <v>-0.622</v>
      </c>
      <c r="F687" s="18">
        <f t="shared" si="242"/>
        <v>0.45599999999999952</v>
      </c>
      <c r="G687" s="18">
        <f t="shared" si="243"/>
        <v>0.29999999999999893</v>
      </c>
      <c r="H687">
        <v>3.75</v>
      </c>
      <c r="I687">
        <v>1.83</v>
      </c>
      <c r="J687">
        <f t="shared" si="252"/>
        <v>2.79</v>
      </c>
      <c r="K687" s="6">
        <f t="shared" si="253"/>
        <v>2.84</v>
      </c>
      <c r="L687" s="6">
        <f t="shared" si="254"/>
        <v>-3.0000000000000249E-2</v>
      </c>
      <c r="M687">
        <v>0.5893746213437</v>
      </c>
      <c r="N687">
        <v>325750</v>
      </c>
      <c r="O687" s="18">
        <f>ROUND(N687/VLOOKUP(EOMONTH(A687,-1),Employment!A:P,16,FALSE),4)</f>
        <v>1.4419</v>
      </c>
      <c r="P687" s="18">
        <f t="shared" si="244"/>
        <v>1.464</v>
      </c>
      <c r="Q687" s="29">
        <f t="shared" si="245"/>
        <v>-5.67E-2</v>
      </c>
      <c r="R687" s="29">
        <f t="shared" si="246"/>
        <v>3.3E-3</v>
      </c>
      <c r="S687">
        <v>2602000</v>
      </c>
      <c r="T687" s="18">
        <f>ROUND((S687/7)/VLOOKUP(EOMONTH(A687,-1),Employment!A:P,16,FALSE),4)</f>
        <v>1.6454</v>
      </c>
      <c r="U687" s="18">
        <f t="shared" si="247"/>
        <v>1.6518999999999999</v>
      </c>
      <c r="V687" s="29">
        <f t="shared" si="248"/>
        <v>-0.12920000000000001</v>
      </c>
      <c r="W687" s="29">
        <f t="shared" si="249"/>
        <v>-6.0000000000000001E-3</v>
      </c>
      <c r="X687" s="30">
        <f t="shared" si="250"/>
        <v>135</v>
      </c>
      <c r="Y687" s="31">
        <f t="shared" si="251"/>
        <v>133.81</v>
      </c>
    </row>
    <row r="688" spans="1:25" ht="15" customHeight="1" x14ac:dyDescent="0.25">
      <c r="A688" s="5">
        <v>38529</v>
      </c>
      <c r="B688">
        <v>975.9461</v>
      </c>
      <c r="C688" s="29">
        <f t="shared" si="255"/>
        <v>3.5000000000000001E-3</v>
      </c>
      <c r="D688">
        <v>-0.63</v>
      </c>
      <c r="E688">
        <v>-0.59</v>
      </c>
      <c r="F688" s="18">
        <f t="shared" si="242"/>
        <v>-0.18400000000000105</v>
      </c>
      <c r="G688" s="18">
        <f t="shared" si="243"/>
        <v>0.14400000000000013</v>
      </c>
      <c r="H688">
        <v>3.93</v>
      </c>
      <c r="I688">
        <v>1.89</v>
      </c>
      <c r="J688">
        <f t="shared" si="252"/>
        <v>2.91</v>
      </c>
      <c r="K688" s="6">
        <f t="shared" si="253"/>
        <v>2.87</v>
      </c>
      <c r="L688" s="6">
        <f t="shared" si="254"/>
        <v>1.0000000000000231E-2</v>
      </c>
      <c r="M688">
        <v>-0.12382611056854</v>
      </c>
      <c r="N688">
        <v>333000</v>
      </c>
      <c r="O688" s="18">
        <f>ROUND(N688/VLOOKUP(EOMONTH(A688,-1),Employment!A:P,16,FALSE),4)</f>
        <v>1.4756</v>
      </c>
      <c r="P688" s="18">
        <f t="shared" si="244"/>
        <v>1.4703999999999999</v>
      </c>
      <c r="Q688" s="29">
        <f t="shared" si="245"/>
        <v>-4.99E-2</v>
      </c>
      <c r="R688" s="29">
        <f t="shared" si="246"/>
        <v>1E-3</v>
      </c>
      <c r="S688">
        <v>2599000</v>
      </c>
      <c r="T688" s="18">
        <f>ROUND((S688/7)/VLOOKUP(EOMONTH(A688,-1),Employment!A:P,16,FALSE),4)</f>
        <v>1.6453</v>
      </c>
      <c r="U688" s="18">
        <f t="shared" si="247"/>
        <v>1.6472</v>
      </c>
      <c r="V688" s="29">
        <f t="shared" si="248"/>
        <v>-0.12640000000000001</v>
      </c>
      <c r="W688" s="29">
        <f t="shared" si="249"/>
        <v>-8.8999999999999999E-3</v>
      </c>
      <c r="X688" s="30">
        <f t="shared" si="250"/>
        <v>132.38</v>
      </c>
      <c r="Y688" s="31">
        <f t="shared" si="251"/>
        <v>133.16</v>
      </c>
    </row>
    <row r="689" spans="1:25" ht="15" customHeight="1" x14ac:dyDescent="0.25">
      <c r="A689" s="5">
        <v>38522</v>
      </c>
      <c r="B689">
        <v>972.34829999999999</v>
      </c>
      <c r="C689" s="29">
        <f t="shared" si="255"/>
        <v>2E-3</v>
      </c>
      <c r="D689">
        <v>-0.63</v>
      </c>
      <c r="E689">
        <v>-0.61299999999999999</v>
      </c>
      <c r="F689" s="18">
        <f t="shared" si="242"/>
        <v>2.8000000000000469E-2</v>
      </c>
      <c r="G689" s="18">
        <f t="shared" si="243"/>
        <v>1.3640000000000008</v>
      </c>
      <c r="H689">
        <v>3.81</v>
      </c>
      <c r="I689">
        <v>1.85</v>
      </c>
      <c r="J689">
        <f t="shared" si="252"/>
        <v>2.83</v>
      </c>
      <c r="K689" s="6">
        <f t="shared" si="253"/>
        <v>2.86</v>
      </c>
      <c r="L689" s="6">
        <f t="shared" si="254"/>
        <v>-5.0000000000000266E-2</v>
      </c>
      <c r="M689">
        <v>-0.36368065781619002</v>
      </c>
      <c r="N689">
        <v>332750</v>
      </c>
      <c r="O689" s="18">
        <f>ROUND(N689/VLOOKUP(EOMONTH(A689,-1),Employment!A:P,16,FALSE),4)</f>
        <v>1.4744999999999999</v>
      </c>
      <c r="P689" s="18">
        <f t="shared" si="244"/>
        <v>1.4616</v>
      </c>
      <c r="Q689" s="29">
        <f t="shared" si="245"/>
        <v>-4.9200000000000001E-2</v>
      </c>
      <c r="R689" s="29">
        <f t="shared" si="246"/>
        <v>-2E-3</v>
      </c>
      <c r="S689">
        <v>2630000</v>
      </c>
      <c r="T689" s="18">
        <f>ROUND((S689/7)/VLOOKUP(EOMONTH(A689,-1),Employment!A:P,16,FALSE),4)</f>
        <v>1.6649</v>
      </c>
      <c r="U689" s="18">
        <f t="shared" si="247"/>
        <v>1.6463000000000001</v>
      </c>
      <c r="V689" s="29">
        <f t="shared" si="248"/>
        <v>-0.12889999999999999</v>
      </c>
      <c r="W689" s="29">
        <f t="shared" si="249"/>
        <v>-4.1000000000000003E-3</v>
      </c>
      <c r="X689" s="30">
        <f t="shared" si="250"/>
        <v>134.43</v>
      </c>
      <c r="Y689" s="31">
        <f t="shared" si="251"/>
        <v>132.54</v>
      </c>
    </row>
    <row r="690" spans="1:25" ht="15" customHeight="1" x14ac:dyDescent="0.25">
      <c r="A690" s="5">
        <v>38515</v>
      </c>
      <c r="B690">
        <v>974.27610000000004</v>
      </c>
      <c r="C690" s="29">
        <f t="shared" si="255"/>
        <v>7.9000000000000008E-3</v>
      </c>
      <c r="D690">
        <v>-0.62</v>
      </c>
      <c r="E690">
        <v>-0.622</v>
      </c>
      <c r="F690" s="18">
        <f t="shared" si="242"/>
        <v>0.30000000000000071</v>
      </c>
      <c r="G690" s="18">
        <f t="shared" si="243"/>
        <v>1.2080000000000002</v>
      </c>
      <c r="H690">
        <v>3.91</v>
      </c>
      <c r="I690">
        <v>1.84</v>
      </c>
      <c r="J690">
        <f t="shared" si="252"/>
        <v>2.88</v>
      </c>
      <c r="K690" s="6">
        <f t="shared" si="253"/>
        <v>2.91</v>
      </c>
      <c r="L690" s="6">
        <f t="shared" si="254"/>
        <v>-6.999999999999984E-2</v>
      </c>
      <c r="M690">
        <v>-0.72019360012530997</v>
      </c>
      <c r="N690">
        <v>329750</v>
      </c>
      <c r="O690" s="18">
        <f>ROUND(N690/VLOOKUP(EOMONTH(A690,-1),Employment!A:P,16,FALSE),4)</f>
        <v>1.4612000000000001</v>
      </c>
      <c r="P690" s="18">
        <f t="shared" si="244"/>
        <v>1.4513</v>
      </c>
      <c r="Q690" s="29">
        <f t="shared" si="245"/>
        <v>-4.9500000000000002E-2</v>
      </c>
      <c r="R690" s="29">
        <f t="shared" si="246"/>
        <v>-1.04E-2</v>
      </c>
      <c r="S690">
        <v>2577000</v>
      </c>
      <c r="T690" s="18">
        <f>ROUND((S690/7)/VLOOKUP(EOMONTH(A690,-1),Employment!A:P,16,FALSE),4)</f>
        <v>1.6313</v>
      </c>
      <c r="U690" s="18">
        <f t="shared" si="247"/>
        <v>1.6337999999999999</v>
      </c>
      <c r="V690" s="29">
        <f t="shared" si="248"/>
        <v>-0.1409</v>
      </c>
      <c r="W690" s="29">
        <f t="shared" si="249"/>
        <v>-5.9999999999999995E-4</v>
      </c>
      <c r="X690" s="30">
        <f t="shared" si="250"/>
        <v>131.94</v>
      </c>
      <c r="Y690" s="31">
        <f t="shared" si="251"/>
        <v>129.30000000000001</v>
      </c>
    </row>
    <row r="691" spans="1:25" ht="15" customHeight="1" x14ac:dyDescent="0.25">
      <c r="A691" s="5">
        <v>38508</v>
      </c>
      <c r="B691">
        <v>976.18679999999995</v>
      </c>
      <c r="C691" s="29">
        <f t="shared" si="255"/>
        <v>1.3599999999999999E-2</v>
      </c>
      <c r="D691">
        <v>-0.61</v>
      </c>
      <c r="E691">
        <v>-0.59699999999999998</v>
      </c>
      <c r="F691" s="18">
        <f t="shared" si="242"/>
        <v>1.0359999999999996</v>
      </c>
      <c r="G691" s="18">
        <f t="shared" si="243"/>
        <v>0.55599999999999916</v>
      </c>
      <c r="H691">
        <v>3.9</v>
      </c>
      <c r="I691">
        <v>1.84</v>
      </c>
      <c r="J691">
        <f t="shared" si="252"/>
        <v>2.87</v>
      </c>
      <c r="K691" s="6">
        <f t="shared" si="253"/>
        <v>2.98</v>
      </c>
      <c r="L691" s="6">
        <f t="shared" si="254"/>
        <v>-8.9999999999999858E-2</v>
      </c>
      <c r="M691">
        <v>-9.4731041377139006E-3</v>
      </c>
      <c r="N691">
        <v>327000</v>
      </c>
      <c r="O691" s="18">
        <f>ROUND(N691/VLOOKUP(EOMONTH(A691,-1),Employment!A:P,16,FALSE),4)</f>
        <v>1.4490000000000001</v>
      </c>
      <c r="P691" s="18">
        <f t="shared" si="244"/>
        <v>1.4443999999999999</v>
      </c>
      <c r="Q691" s="29">
        <f t="shared" si="245"/>
        <v>-4.4499999999999998E-2</v>
      </c>
      <c r="R691" s="29">
        <f t="shared" si="246"/>
        <v>-1.6899999999999998E-2</v>
      </c>
      <c r="S691">
        <v>2595000</v>
      </c>
      <c r="T691" s="18">
        <f>ROUND((S691/7)/VLOOKUP(EOMONTH(A691,-1),Employment!A:P,16,FALSE),4)</f>
        <v>1.6427</v>
      </c>
      <c r="U691" s="18">
        <f t="shared" si="247"/>
        <v>1.6402000000000001</v>
      </c>
      <c r="V691" s="29">
        <f t="shared" si="248"/>
        <v>-0.14380000000000001</v>
      </c>
      <c r="W691" s="29">
        <f t="shared" si="249"/>
        <v>-1.1999999999999999E-3</v>
      </c>
      <c r="X691" s="30">
        <f t="shared" si="250"/>
        <v>129.29</v>
      </c>
      <c r="Y691" s="31">
        <f t="shared" si="251"/>
        <v>126.97</v>
      </c>
    </row>
    <row r="692" spans="1:25" ht="15" customHeight="1" x14ac:dyDescent="0.25">
      <c r="A692" s="5">
        <v>38501</v>
      </c>
      <c r="B692">
        <v>967.17529999999999</v>
      </c>
      <c r="C692" s="29">
        <f t="shared" si="255"/>
        <v>6.7000000000000002E-3</v>
      </c>
      <c r="D692">
        <v>-0.6</v>
      </c>
      <c r="E692">
        <v>-0.48</v>
      </c>
      <c r="F692" s="18">
        <f t="shared" si="242"/>
        <v>-0.12800000000000011</v>
      </c>
      <c r="G692" s="18">
        <f t="shared" si="243"/>
        <v>-1.016</v>
      </c>
      <c r="H692">
        <v>4.0199999999999996</v>
      </c>
      <c r="I692">
        <v>1.91</v>
      </c>
      <c r="J692">
        <f t="shared" si="252"/>
        <v>2.97</v>
      </c>
      <c r="K692" s="6">
        <f t="shared" si="253"/>
        <v>3.07</v>
      </c>
      <c r="L692" s="6">
        <f t="shared" si="254"/>
        <v>0</v>
      </c>
      <c r="M692">
        <v>0.70573048984524001</v>
      </c>
      <c r="N692">
        <v>325500</v>
      </c>
      <c r="O692" s="18">
        <f>ROUND(N692/VLOOKUP(EOMONTH(A692,-1),Employment!A:P,16,FALSE),4)</f>
        <v>1.4438</v>
      </c>
      <c r="P692" s="18">
        <f t="shared" si="244"/>
        <v>1.4363999999999999</v>
      </c>
      <c r="Q692" s="29">
        <f t="shared" si="245"/>
        <v>-4.9799999999999997E-2</v>
      </c>
      <c r="R692" s="29">
        <f t="shared" si="246"/>
        <v>-1.24E-2</v>
      </c>
      <c r="S692">
        <v>2568000</v>
      </c>
      <c r="T692" s="18">
        <f>ROUND((S692/7)/VLOOKUP(EOMONTH(A692,-1),Employment!A:P,16,FALSE),4)</f>
        <v>1.6273</v>
      </c>
      <c r="U692" s="18">
        <f t="shared" si="247"/>
        <v>1.641</v>
      </c>
      <c r="V692" s="29">
        <f t="shared" si="248"/>
        <v>-0.14249999999999999</v>
      </c>
      <c r="W692" s="29">
        <f t="shared" si="249"/>
        <v>-3.7000000000000002E-3</v>
      </c>
      <c r="X692" s="30">
        <f t="shared" si="250"/>
        <v>122.72</v>
      </c>
      <c r="Y692" s="31">
        <f t="shared" si="251"/>
        <v>129.6</v>
      </c>
    </row>
    <row r="693" spans="1:25" ht="15" customHeight="1" x14ac:dyDescent="0.25">
      <c r="A693" s="5">
        <v>38494</v>
      </c>
      <c r="B693">
        <v>963.93799999999999</v>
      </c>
      <c r="C693" s="29">
        <f t="shared" si="255"/>
        <v>4.5999999999999999E-3</v>
      </c>
      <c r="D693">
        <v>-0.6</v>
      </c>
      <c r="E693">
        <v>-0.496</v>
      </c>
      <c r="F693" s="18">
        <f t="shared" si="242"/>
        <v>-0.35200000000000031</v>
      </c>
      <c r="G693" s="18">
        <f t="shared" si="243"/>
        <v>-1.0599999999999987</v>
      </c>
      <c r="H693">
        <v>4.33</v>
      </c>
      <c r="I693">
        <v>1.89</v>
      </c>
      <c r="J693">
        <f t="shared" si="252"/>
        <v>3.11</v>
      </c>
      <c r="K693" s="6">
        <f t="shared" si="253"/>
        <v>3.07</v>
      </c>
      <c r="L693" s="6">
        <f t="shared" si="254"/>
        <v>4.9999999999999822E-2</v>
      </c>
      <c r="M693">
        <v>1.2910637542145</v>
      </c>
      <c r="N693">
        <v>324750</v>
      </c>
      <c r="O693" s="18">
        <f>ROUND(N693/VLOOKUP(EOMONTH(A693,-1),Employment!A:P,16,FALSE),4)</f>
        <v>1.4404999999999999</v>
      </c>
      <c r="P693" s="18">
        <f t="shared" si="244"/>
        <v>1.4287000000000001</v>
      </c>
      <c r="Q693" s="29">
        <f t="shared" si="245"/>
        <v>-6.3700000000000007E-2</v>
      </c>
      <c r="R693" s="29">
        <f t="shared" si="246"/>
        <v>2.2000000000000001E-3</v>
      </c>
      <c r="S693">
        <v>2605000</v>
      </c>
      <c r="T693" s="18">
        <f>ROUND((S693/7)/VLOOKUP(EOMONTH(A693,-1),Employment!A:P,16,FALSE),4)</f>
        <v>1.6507000000000001</v>
      </c>
      <c r="U693" s="18">
        <f t="shared" si="247"/>
        <v>1.6452</v>
      </c>
      <c r="V693" s="29">
        <f t="shared" si="248"/>
        <v>-0.13880000000000001</v>
      </c>
      <c r="W693" s="29">
        <f t="shared" si="249"/>
        <v>2.5000000000000001E-3</v>
      </c>
      <c r="X693" s="30">
        <f t="shared" si="250"/>
        <v>131.79</v>
      </c>
      <c r="Y693" s="31">
        <f t="shared" si="251"/>
        <v>138.41</v>
      </c>
    </row>
    <row r="694" spans="1:25" ht="15" customHeight="1" x14ac:dyDescent="0.25">
      <c r="A694" s="5">
        <v>38487</v>
      </c>
      <c r="B694">
        <v>959.11469999999997</v>
      </c>
      <c r="C694" s="29">
        <f t="shared" si="255"/>
        <v>8.9999999999999998E-4</v>
      </c>
      <c r="D694">
        <v>-0.6</v>
      </c>
      <c r="E694">
        <v>-0.54</v>
      </c>
      <c r="F694" s="18">
        <f t="shared" si="242"/>
        <v>-0.53599999999999959</v>
      </c>
      <c r="G694" s="18">
        <f t="shared" si="243"/>
        <v>-0.8279999999999994</v>
      </c>
      <c r="H694">
        <v>4.3899999999999997</v>
      </c>
      <c r="I694">
        <v>1.88</v>
      </c>
      <c r="J694">
        <f t="shared" si="252"/>
        <v>3.14</v>
      </c>
      <c r="K694" s="6">
        <f t="shared" si="253"/>
        <v>3.02</v>
      </c>
      <c r="L694" s="6">
        <f t="shared" si="254"/>
        <v>0.12000000000000011</v>
      </c>
      <c r="M694">
        <v>2.0041088130721998</v>
      </c>
      <c r="N694">
        <v>321250</v>
      </c>
      <c r="O694" s="18">
        <f>ROUND(N694/VLOOKUP(EOMONTH(A694,-1),Employment!A:P,16,FALSE),4)</f>
        <v>1.425</v>
      </c>
      <c r="P694" s="18">
        <f t="shared" si="244"/>
        <v>1.4224000000000001</v>
      </c>
      <c r="Q694" s="29">
        <f t="shared" si="245"/>
        <v>-7.9600000000000004E-2</v>
      </c>
      <c r="R694" s="29">
        <f t="shared" si="246"/>
        <v>1.66E-2</v>
      </c>
      <c r="S694">
        <v>2596000</v>
      </c>
      <c r="T694" s="18">
        <f>ROUND((S694/7)/VLOOKUP(EOMONTH(A694,-1),Employment!A:P,16,FALSE),4)</f>
        <v>1.645</v>
      </c>
      <c r="U694" s="18">
        <f t="shared" si="247"/>
        <v>1.6355</v>
      </c>
      <c r="V694" s="29">
        <f t="shared" si="248"/>
        <v>-0.1489</v>
      </c>
      <c r="W694" s="29">
        <f t="shared" si="249"/>
        <v>8.0999999999999996E-3</v>
      </c>
      <c r="X694" s="30">
        <f t="shared" si="250"/>
        <v>141.32</v>
      </c>
      <c r="Y694" s="31">
        <f t="shared" si="251"/>
        <v>143.51</v>
      </c>
    </row>
    <row r="695" spans="1:25" ht="15" customHeight="1" x14ac:dyDescent="0.25">
      <c r="A695" s="5">
        <v>38480</v>
      </c>
      <c r="B695">
        <v>961.94849999999997</v>
      </c>
      <c r="C695" s="29">
        <f t="shared" si="255"/>
        <v>7.1999999999999998E-3</v>
      </c>
      <c r="D695">
        <v>-0.62</v>
      </c>
      <c r="E695">
        <v>-0.58199999999999996</v>
      </c>
      <c r="F695" s="18">
        <f t="shared" si="242"/>
        <v>-0.17199999999999882</v>
      </c>
      <c r="G695" s="18">
        <f t="shared" si="243"/>
        <v>-0.72799999999999976</v>
      </c>
      <c r="H695">
        <v>4.07</v>
      </c>
      <c r="I695">
        <v>1.82</v>
      </c>
      <c r="J695">
        <f t="shared" si="252"/>
        <v>2.95</v>
      </c>
      <c r="K695" s="6">
        <f t="shared" si="253"/>
        <v>2.9</v>
      </c>
      <c r="L695" s="6">
        <f t="shared" si="254"/>
        <v>2.9999999999999805E-2</v>
      </c>
      <c r="M695">
        <v>2.4129535961208002</v>
      </c>
      <c r="N695">
        <v>320250</v>
      </c>
      <c r="O695" s="18">
        <f>ROUND(N695/VLOOKUP(EOMONTH(A695,-1),Employment!A:P,16,FALSE),4)</f>
        <v>1.4205000000000001</v>
      </c>
      <c r="P695" s="18">
        <f t="shared" si="244"/>
        <v>1.431</v>
      </c>
      <c r="Q695" s="29">
        <f t="shared" si="245"/>
        <v>-8.2799999999999999E-2</v>
      </c>
      <c r="R695" s="29">
        <f t="shared" si="246"/>
        <v>1.83E-2</v>
      </c>
      <c r="S695">
        <v>2588000</v>
      </c>
      <c r="T695" s="18">
        <f>ROUND((S695/7)/VLOOKUP(EOMONTH(A695,-1),Employment!A:P,16,FALSE),4)</f>
        <v>1.64</v>
      </c>
      <c r="U695" s="18">
        <f t="shared" si="247"/>
        <v>1.6424000000000001</v>
      </c>
      <c r="V695" s="29">
        <f t="shared" si="248"/>
        <v>-0.14779999999999999</v>
      </c>
      <c r="W695" s="29">
        <f t="shared" si="249"/>
        <v>8.3000000000000001E-3</v>
      </c>
      <c r="X695" s="30">
        <f t="shared" si="250"/>
        <v>147.69999999999999</v>
      </c>
      <c r="Y695" s="31">
        <f t="shared" si="251"/>
        <v>140.66999999999999</v>
      </c>
    </row>
    <row r="696" spans="1:25" ht="15" customHeight="1" x14ac:dyDescent="0.25">
      <c r="A696" s="5">
        <v>38473</v>
      </c>
      <c r="B696">
        <v>958.04200000000003</v>
      </c>
      <c r="C696" s="29">
        <f t="shared" si="255"/>
        <v>5.7999999999999996E-3</v>
      </c>
      <c r="D696">
        <v>-0.63</v>
      </c>
      <c r="E696">
        <v>-0.59099999999999997</v>
      </c>
      <c r="F696" s="18">
        <f t="shared" si="242"/>
        <v>-0.12000000000000099</v>
      </c>
      <c r="G696" s="18">
        <f t="shared" si="243"/>
        <v>-0.64000000000000057</v>
      </c>
      <c r="H696">
        <v>4.1500000000000004</v>
      </c>
      <c r="I696">
        <v>1.76</v>
      </c>
      <c r="J696">
        <f t="shared" si="252"/>
        <v>2.96</v>
      </c>
      <c r="K696" s="6">
        <f t="shared" si="253"/>
        <v>2.87</v>
      </c>
      <c r="L696" s="6">
        <f t="shared" si="254"/>
        <v>0.14999999999999991</v>
      </c>
      <c r="M696">
        <v>2.6032571434045</v>
      </c>
      <c r="N696">
        <v>320500</v>
      </c>
      <c r="O696" s="18">
        <f>ROUND(N696/VLOOKUP(EOMONTH(A696,-1),Employment!A:P,16,FALSE),4)</f>
        <v>1.4217</v>
      </c>
      <c r="P696" s="18">
        <f t="shared" si="244"/>
        <v>1.4492</v>
      </c>
      <c r="Q696" s="29">
        <f t="shared" si="245"/>
        <v>-7.0000000000000007E-2</v>
      </c>
      <c r="R696" s="29">
        <f t="shared" si="246"/>
        <v>6.3E-3</v>
      </c>
      <c r="S696">
        <v>2559000</v>
      </c>
      <c r="T696" s="18">
        <f>ROUND((S696/7)/VLOOKUP(EOMONTH(A696,-1),Employment!A:P,16,FALSE),4)</f>
        <v>1.6215999999999999</v>
      </c>
      <c r="U696" s="18">
        <f t="shared" si="247"/>
        <v>1.6566000000000001</v>
      </c>
      <c r="V696" s="29">
        <f t="shared" si="248"/>
        <v>-0.14360000000000001</v>
      </c>
      <c r="W696" s="29">
        <f t="shared" si="249"/>
        <v>-8.9999999999999998E-4</v>
      </c>
      <c r="X696" s="30">
        <f t="shared" si="250"/>
        <v>138.5</v>
      </c>
      <c r="Y696" s="31">
        <f t="shared" si="251"/>
        <v>131.19999999999999</v>
      </c>
    </row>
    <row r="697" spans="1:25" ht="15" customHeight="1" x14ac:dyDescent="0.25">
      <c r="A697" s="5">
        <v>38466</v>
      </c>
      <c r="B697">
        <v>958.89469999999994</v>
      </c>
      <c r="C697" s="29">
        <f t="shared" si="255"/>
        <v>0.01</v>
      </c>
      <c r="D697">
        <v>-0.65</v>
      </c>
      <c r="E697">
        <v>-0.58099999999999996</v>
      </c>
      <c r="F697" s="18">
        <f t="shared" si="242"/>
        <v>-0.43599999999999994</v>
      </c>
      <c r="G697" s="18">
        <f t="shared" si="243"/>
        <v>-1.2400000000000002</v>
      </c>
      <c r="H697">
        <v>3.86</v>
      </c>
      <c r="I697">
        <v>1.74</v>
      </c>
      <c r="J697">
        <f t="shared" si="252"/>
        <v>2.8</v>
      </c>
      <c r="K697" s="6">
        <f t="shared" si="253"/>
        <v>2.72</v>
      </c>
      <c r="L697" s="6">
        <f t="shared" si="254"/>
        <v>7.0000000000000284E-2</v>
      </c>
      <c r="M697">
        <v>2.9372424952189</v>
      </c>
      <c r="N697">
        <v>326750</v>
      </c>
      <c r="O697" s="18">
        <f>ROUND(N697/VLOOKUP(EOMONTH(A697,-1),Employment!A:P,16,FALSE),4)</f>
        <v>1.4507000000000001</v>
      </c>
      <c r="P697" s="18">
        <f t="shared" si="244"/>
        <v>1.4673</v>
      </c>
      <c r="Q697" s="29">
        <f t="shared" si="245"/>
        <v>-5.0999999999999997E-2</v>
      </c>
      <c r="R697" s="29">
        <f t="shared" si="246"/>
        <v>-1.1900000000000001E-2</v>
      </c>
      <c r="S697">
        <v>2626000</v>
      </c>
      <c r="T697" s="18">
        <f>ROUND((S697/7)/VLOOKUP(EOMONTH(A697,-1),Employment!A:P,16,FALSE),4)</f>
        <v>1.6656</v>
      </c>
      <c r="U697" s="18">
        <f t="shared" si="247"/>
        <v>1.6833</v>
      </c>
      <c r="V697" s="29">
        <f t="shared" si="248"/>
        <v>-0.12770000000000001</v>
      </c>
      <c r="W697" s="29">
        <f t="shared" si="249"/>
        <v>-4.1000000000000003E-3</v>
      </c>
      <c r="X697" s="30">
        <f t="shared" si="250"/>
        <v>128.49</v>
      </c>
      <c r="Y697" s="31">
        <f t="shared" si="251"/>
        <v>122.54</v>
      </c>
    </row>
    <row r="698" spans="1:25" ht="15" customHeight="1" x14ac:dyDescent="0.25">
      <c r="A698" s="5">
        <v>38459</v>
      </c>
      <c r="B698">
        <v>954.23109999999997</v>
      </c>
      <c r="C698" s="29">
        <f t="shared" si="255"/>
        <v>8.3000000000000001E-3</v>
      </c>
      <c r="D698">
        <v>-0.68</v>
      </c>
      <c r="E698">
        <v>-0.59799999999999998</v>
      </c>
      <c r="F698" s="18">
        <f t="shared" si="242"/>
        <v>-8.3999999999999631E-2</v>
      </c>
      <c r="G698" s="18">
        <f t="shared" si="243"/>
        <v>-1.168000000000001</v>
      </c>
      <c r="H698">
        <v>3.89</v>
      </c>
      <c r="I698">
        <v>1.78</v>
      </c>
      <c r="J698">
        <f t="shared" si="252"/>
        <v>2.84</v>
      </c>
      <c r="K698" s="6">
        <f t="shared" si="253"/>
        <v>2.65</v>
      </c>
      <c r="L698" s="6">
        <f t="shared" si="254"/>
        <v>0.14999999999999991</v>
      </c>
      <c r="M698">
        <v>3.1074412635244002</v>
      </c>
      <c r="N698">
        <v>332250</v>
      </c>
      <c r="O698" s="18">
        <f>ROUND(N698/VLOOKUP(EOMONTH(A698,-1),Employment!A:P,16,FALSE),4)</f>
        <v>1.4751000000000001</v>
      </c>
      <c r="P698" s="18">
        <f t="shared" si="244"/>
        <v>1.4751000000000001</v>
      </c>
      <c r="Q698" s="29">
        <f t="shared" si="245"/>
        <v>-3.9800000000000002E-2</v>
      </c>
      <c r="R698" s="29">
        <f t="shared" si="246"/>
        <v>-2.6200000000000001E-2</v>
      </c>
      <c r="S698">
        <v>2653000</v>
      </c>
      <c r="T698" s="18">
        <f>ROUND((S698/7)/VLOOKUP(EOMONTH(A698,-1),Employment!A:P,16,FALSE),4)</f>
        <v>1.6827000000000001</v>
      </c>
      <c r="U698" s="18">
        <f t="shared" si="247"/>
        <v>1.6812</v>
      </c>
      <c r="V698" s="29">
        <f t="shared" si="248"/>
        <v>-0.13300000000000001</v>
      </c>
      <c r="W698" s="29">
        <f t="shared" si="249"/>
        <v>-3.0000000000000001E-3</v>
      </c>
      <c r="X698" s="30">
        <f t="shared" si="250"/>
        <v>119.71000000000001</v>
      </c>
      <c r="Y698" s="31">
        <f t="shared" si="251"/>
        <v>117.5</v>
      </c>
    </row>
    <row r="699" spans="1:25" ht="15" customHeight="1" x14ac:dyDescent="0.25">
      <c r="A699" s="5">
        <v>38452</v>
      </c>
      <c r="B699">
        <v>949.07470000000001</v>
      </c>
      <c r="C699" s="29">
        <f t="shared" si="255"/>
        <v>6.7000000000000002E-3</v>
      </c>
      <c r="D699">
        <v>-0.71</v>
      </c>
      <c r="E699">
        <v>-0.57099999999999995</v>
      </c>
      <c r="F699" s="18">
        <f t="shared" si="242"/>
        <v>-0.72000000000000064</v>
      </c>
      <c r="G699" s="18">
        <f t="shared" si="243"/>
        <v>-1.8320000000000007</v>
      </c>
      <c r="H699">
        <v>3.39</v>
      </c>
      <c r="I699">
        <v>1.64</v>
      </c>
      <c r="J699">
        <f t="shared" si="252"/>
        <v>2.52</v>
      </c>
      <c r="K699" s="6">
        <f t="shared" si="253"/>
        <v>2.5</v>
      </c>
      <c r="L699" s="6">
        <f t="shared" si="254"/>
        <v>8.0000000000000071E-2</v>
      </c>
      <c r="M699">
        <v>3.3370357596184999</v>
      </c>
      <c r="N699">
        <v>332500</v>
      </c>
      <c r="O699" s="18">
        <f>ROUND(N699/VLOOKUP(EOMONTH(A699,-1),Employment!A:P,16,FALSE),4)</f>
        <v>1.4762</v>
      </c>
      <c r="P699" s="18">
        <f t="shared" si="244"/>
        <v>1.4648000000000001</v>
      </c>
      <c r="Q699" s="29">
        <f t="shared" si="245"/>
        <v>-4.6899999999999997E-2</v>
      </c>
      <c r="R699" s="29">
        <f t="shared" si="246"/>
        <v>-3.3300000000000003E-2</v>
      </c>
      <c r="S699">
        <v>2683000</v>
      </c>
      <c r="T699" s="18">
        <f>ROUND((S699/7)/VLOOKUP(EOMONTH(A699,-1),Employment!A:P,16,FALSE),4)</f>
        <v>1.7017</v>
      </c>
      <c r="U699" s="18">
        <f t="shared" si="247"/>
        <v>1.6876</v>
      </c>
      <c r="V699" s="29">
        <f t="shared" si="248"/>
        <v>-0.1348</v>
      </c>
      <c r="W699" s="29">
        <f t="shared" si="249"/>
        <v>0</v>
      </c>
      <c r="X699" s="30">
        <f t="shared" si="250"/>
        <v>114.72</v>
      </c>
      <c r="Y699" s="31">
        <f t="shared" si="251"/>
        <v>118.59</v>
      </c>
    </row>
    <row r="700" spans="1:25" ht="15" customHeight="1" x14ac:dyDescent="0.25">
      <c r="A700" s="5">
        <v>38445</v>
      </c>
      <c r="B700">
        <v>947.75199999999995</v>
      </c>
      <c r="C700" s="29">
        <f t="shared" si="255"/>
        <v>8.9999999999999993E-3</v>
      </c>
      <c r="D700">
        <v>-0.75</v>
      </c>
      <c r="E700">
        <v>-0.61099999999999999</v>
      </c>
      <c r="F700" s="18">
        <f t="shared" si="242"/>
        <v>-0.36400000000000077</v>
      </c>
      <c r="G700" s="18">
        <f t="shared" si="243"/>
        <v>-1.1080000000000005</v>
      </c>
      <c r="H700">
        <v>3.55</v>
      </c>
      <c r="I700">
        <v>1.65</v>
      </c>
      <c r="J700">
        <f t="shared" si="252"/>
        <v>2.6</v>
      </c>
      <c r="K700" s="6">
        <f t="shared" si="253"/>
        <v>2.42</v>
      </c>
      <c r="L700" s="6">
        <f t="shared" si="254"/>
        <v>0.16000000000000014</v>
      </c>
      <c r="M700">
        <v>3.6734379769821</v>
      </c>
      <c r="N700">
        <v>332000</v>
      </c>
      <c r="O700" s="18">
        <f>ROUND(N700/VLOOKUP(EOMONTH(A700,-1),Employment!A:P,16,FALSE),4)</f>
        <v>1.474</v>
      </c>
      <c r="P700" s="18">
        <f t="shared" si="244"/>
        <v>1.4500999999999999</v>
      </c>
      <c r="Q700" s="29">
        <f t="shared" si="245"/>
        <v>-6.3500000000000001E-2</v>
      </c>
      <c r="R700" s="29">
        <f t="shared" si="246"/>
        <v>-3.39E-2</v>
      </c>
      <c r="S700">
        <v>2616000</v>
      </c>
      <c r="T700" s="18">
        <f>ROUND((S700/7)/VLOOKUP(EOMONTH(A700,-1),Employment!A:P,16,FALSE),4)</f>
        <v>1.6592</v>
      </c>
      <c r="U700" s="18">
        <f t="shared" si="247"/>
        <v>1.6828000000000001</v>
      </c>
      <c r="V700" s="29">
        <f t="shared" si="248"/>
        <v>-0.14360000000000001</v>
      </c>
      <c r="W700" s="29">
        <f t="shared" si="249"/>
        <v>-4.7000000000000002E-3</v>
      </c>
      <c r="X700" s="30">
        <f t="shared" si="250"/>
        <v>118.9</v>
      </c>
      <c r="Y700" s="31">
        <f t="shared" si="251"/>
        <v>126.39</v>
      </c>
    </row>
    <row r="701" spans="1:25" ht="15" customHeight="1" x14ac:dyDescent="0.25">
      <c r="A701" s="5">
        <v>38438</v>
      </c>
      <c r="B701">
        <v>946.52539999999999</v>
      </c>
      <c r="C701" s="29">
        <f t="shared" si="255"/>
        <v>1.18E-2</v>
      </c>
      <c r="D701">
        <v>-0.74</v>
      </c>
      <c r="E701">
        <v>-0.66900000000000004</v>
      </c>
      <c r="F701" s="18">
        <f t="shared" si="242"/>
        <v>-0.74799999999999933</v>
      </c>
      <c r="G701" s="18">
        <f t="shared" si="243"/>
        <v>-1.1839999999999993</v>
      </c>
      <c r="H701">
        <v>3.18</v>
      </c>
      <c r="I701">
        <v>1.58</v>
      </c>
      <c r="J701">
        <f t="shared" si="252"/>
        <v>2.38</v>
      </c>
      <c r="K701" s="6">
        <f t="shared" si="253"/>
        <v>2.2599999999999998</v>
      </c>
      <c r="L701" s="6">
        <f t="shared" si="254"/>
        <v>4.9999999999999822E-2</v>
      </c>
      <c r="M701">
        <v>3.5834004320000998</v>
      </c>
      <c r="N701">
        <v>325000</v>
      </c>
      <c r="O701" s="18">
        <f>ROUND(N701/VLOOKUP(EOMONTH(A701,-1),Employment!A:P,16,FALSE),4)</f>
        <v>1.4441999999999999</v>
      </c>
      <c r="P701" s="18">
        <f t="shared" si="244"/>
        <v>1.4300999999999999</v>
      </c>
      <c r="Q701" s="29">
        <f t="shared" si="245"/>
        <v>-8.5400000000000004E-2</v>
      </c>
      <c r="R701" s="29">
        <f t="shared" si="246"/>
        <v>-2.47E-2</v>
      </c>
      <c r="S701">
        <v>2681000</v>
      </c>
      <c r="T701" s="18">
        <f>ROUND((S701/7)/VLOOKUP(EOMONTH(A701,-1),Employment!A:P,16,FALSE),4)</f>
        <v>1.7019</v>
      </c>
      <c r="U701" s="18">
        <f t="shared" si="247"/>
        <v>1.7017</v>
      </c>
      <c r="V701" s="29">
        <f t="shared" si="248"/>
        <v>-0.13339999999999999</v>
      </c>
      <c r="W701" s="29">
        <f t="shared" si="249"/>
        <v>-7.9000000000000008E-3</v>
      </c>
      <c r="X701" s="30">
        <f t="shared" si="250"/>
        <v>127.47</v>
      </c>
      <c r="Y701" s="31">
        <f t="shared" si="251"/>
        <v>138.24</v>
      </c>
    </row>
    <row r="702" spans="1:25" ht="15" customHeight="1" x14ac:dyDescent="0.25">
      <c r="A702" s="5">
        <v>38431</v>
      </c>
      <c r="B702">
        <v>942.26689999999996</v>
      </c>
      <c r="C702" s="29">
        <f t="shared" si="255"/>
        <v>1.06E-2</v>
      </c>
      <c r="D702">
        <v>-0.75</v>
      </c>
      <c r="E702">
        <v>-0.75</v>
      </c>
      <c r="F702" s="18">
        <f t="shared" si="242"/>
        <v>3.9999999999995595E-3</v>
      </c>
      <c r="G702" s="18">
        <f t="shared" si="243"/>
        <v>-0.35999999999999943</v>
      </c>
      <c r="H702">
        <v>2.98</v>
      </c>
      <c r="I702">
        <v>1.59</v>
      </c>
      <c r="J702">
        <f t="shared" si="252"/>
        <v>2.29</v>
      </c>
      <c r="K702" s="6">
        <f t="shared" si="253"/>
        <v>2.21</v>
      </c>
      <c r="L702" s="6">
        <f t="shared" si="254"/>
        <v>2.0000000000000018E-2</v>
      </c>
      <c r="M702">
        <v>3.0729038487875999</v>
      </c>
      <c r="N702">
        <v>322250</v>
      </c>
      <c r="O702" s="18">
        <f>ROUND(N702/VLOOKUP(EOMONTH(A702,-1),Employment!A:P,16,FALSE),4)</f>
        <v>1.4319999999999999</v>
      </c>
      <c r="P702" s="18">
        <f t="shared" si="244"/>
        <v>1.4105000000000001</v>
      </c>
      <c r="Q702" s="29">
        <f t="shared" si="245"/>
        <v>-0.11219999999999999</v>
      </c>
      <c r="R702" s="29">
        <f t="shared" si="246"/>
        <v>-5.4999999999999997E-3</v>
      </c>
      <c r="S702">
        <v>2658000</v>
      </c>
      <c r="T702" s="18">
        <f>ROUND((S702/7)/VLOOKUP(EOMONTH(A702,-1),Employment!A:P,16,FALSE),4)</f>
        <v>1.6873</v>
      </c>
      <c r="U702" s="18">
        <f t="shared" si="247"/>
        <v>1.6987000000000001</v>
      </c>
      <c r="V702" s="29">
        <f t="shared" si="248"/>
        <v>-0.13980000000000001</v>
      </c>
      <c r="W702" s="29">
        <f t="shared" si="249"/>
        <v>-5.1999999999999998E-3</v>
      </c>
      <c r="X702" s="30">
        <f t="shared" si="250"/>
        <v>142.42000000000002</v>
      </c>
      <c r="Y702" s="31">
        <f t="shared" si="251"/>
        <v>152.13999999999999</v>
      </c>
    </row>
    <row r="703" spans="1:25" ht="15" customHeight="1" x14ac:dyDescent="0.25">
      <c r="A703" s="5">
        <v>38424</v>
      </c>
      <c r="B703">
        <v>934.63789999999995</v>
      </c>
      <c r="C703" s="29">
        <f t="shared" si="255"/>
        <v>4.1000000000000003E-3</v>
      </c>
      <c r="D703">
        <v>-0.74</v>
      </c>
      <c r="E703">
        <v>-0.76200000000000001</v>
      </c>
      <c r="F703" s="18">
        <f t="shared" si="242"/>
        <v>-0.4399999999999995</v>
      </c>
      <c r="G703" s="18">
        <f t="shared" si="243"/>
        <v>-0.19999999999999929</v>
      </c>
      <c r="H703">
        <v>2.73</v>
      </c>
      <c r="I703">
        <v>1.48</v>
      </c>
      <c r="J703">
        <f t="shared" si="252"/>
        <v>2.11</v>
      </c>
      <c r="K703" s="6">
        <f t="shared" si="253"/>
        <v>2.19</v>
      </c>
      <c r="L703" s="6">
        <f t="shared" si="254"/>
        <v>-6.0000000000000053E-2</v>
      </c>
      <c r="M703">
        <v>2.3683897444262998</v>
      </c>
      <c r="N703">
        <v>318250</v>
      </c>
      <c r="O703" s="18">
        <f>ROUND(N703/VLOOKUP(EOMONTH(A703,-1),Employment!A:P,16,FALSE),4)</f>
        <v>1.4141999999999999</v>
      </c>
      <c r="P703" s="18">
        <f t="shared" si="244"/>
        <v>1.4016999999999999</v>
      </c>
      <c r="Q703" s="29">
        <f t="shared" si="245"/>
        <v>-0.13469999999999999</v>
      </c>
      <c r="R703" s="29">
        <f t="shared" si="246"/>
        <v>1.7999999999999999E-2</v>
      </c>
      <c r="S703">
        <v>2703000</v>
      </c>
      <c r="T703" s="18">
        <f>ROUND((S703/7)/VLOOKUP(EOMONTH(A703,-1),Employment!A:P,16,FALSE),4)</f>
        <v>1.7159</v>
      </c>
      <c r="U703" s="18">
        <f t="shared" si="247"/>
        <v>1.7009000000000001</v>
      </c>
      <c r="V703" s="29">
        <f t="shared" si="248"/>
        <v>-0.1444</v>
      </c>
      <c r="W703" s="29">
        <f t="shared" si="249"/>
        <v>3.3E-3</v>
      </c>
      <c r="X703" s="30">
        <f t="shared" si="250"/>
        <v>154.69999999999999</v>
      </c>
      <c r="Y703" s="31">
        <f t="shared" si="251"/>
        <v>164.05</v>
      </c>
    </row>
    <row r="704" spans="1:25" ht="15" customHeight="1" x14ac:dyDescent="0.25">
      <c r="A704" s="5">
        <v>38417</v>
      </c>
      <c r="B704">
        <v>933.61170000000004</v>
      </c>
      <c r="C704" s="29">
        <f t="shared" si="255"/>
        <v>5.8999999999999999E-3</v>
      </c>
      <c r="D704">
        <v>-0.74</v>
      </c>
      <c r="E704">
        <v>-0.81699999999999995</v>
      </c>
      <c r="F704" s="18">
        <f t="shared" si="242"/>
        <v>7.6000000000000512E-2</v>
      </c>
      <c r="G704" s="18">
        <f t="shared" si="243"/>
        <v>0.66000000000000014</v>
      </c>
      <c r="H704">
        <v>2.86</v>
      </c>
      <c r="I704">
        <v>1.57</v>
      </c>
      <c r="J704">
        <f t="shared" si="252"/>
        <v>2.2200000000000002</v>
      </c>
      <c r="K704" s="6">
        <f t="shared" si="253"/>
        <v>2.25</v>
      </c>
      <c r="L704" s="6">
        <f t="shared" si="254"/>
        <v>-4.9999999999999822E-2</v>
      </c>
      <c r="M704">
        <v>2.0158171450658999</v>
      </c>
      <c r="N704">
        <v>311750</v>
      </c>
      <c r="O704" s="18">
        <f>ROUND(N704/VLOOKUP(EOMONTH(A704,-1),Employment!A:P,16,FALSE),4)</f>
        <v>1.3853</v>
      </c>
      <c r="P704" s="18">
        <f t="shared" si="244"/>
        <v>1.4028</v>
      </c>
      <c r="Q704" s="29">
        <f t="shared" si="245"/>
        <v>-0.1457</v>
      </c>
      <c r="R704" s="29">
        <f t="shared" si="246"/>
        <v>3.7400000000000003E-2</v>
      </c>
      <c r="S704">
        <v>2667000</v>
      </c>
      <c r="T704" s="18">
        <f>ROUND((S704/7)/VLOOKUP(EOMONTH(A704,-1),Employment!A:P,16,FALSE),4)</f>
        <v>1.6930000000000001</v>
      </c>
      <c r="U704" s="18">
        <f t="shared" si="247"/>
        <v>1.7029000000000001</v>
      </c>
      <c r="V704" s="29">
        <f t="shared" si="248"/>
        <v>-0.15479999999999999</v>
      </c>
      <c r="W704" s="29">
        <f t="shared" si="249"/>
        <v>7.4000000000000003E-3</v>
      </c>
      <c r="X704" s="30">
        <f t="shared" si="250"/>
        <v>170.03</v>
      </c>
      <c r="Y704" s="31">
        <f t="shared" si="251"/>
        <v>169.61</v>
      </c>
    </row>
    <row r="705" spans="1:25" ht="15" customHeight="1" x14ac:dyDescent="0.25">
      <c r="A705" s="5">
        <v>38410</v>
      </c>
      <c r="B705">
        <v>931.35159999999996</v>
      </c>
      <c r="C705" s="29">
        <f t="shared" si="255"/>
        <v>6.1999999999999998E-3</v>
      </c>
      <c r="D705">
        <v>-0.73</v>
      </c>
      <c r="E705">
        <v>-0.82</v>
      </c>
      <c r="F705" s="18">
        <f t="shared" si="242"/>
        <v>0.1639999999999997</v>
      </c>
      <c r="G705" s="18">
        <f t="shared" si="243"/>
        <v>1.0399999999999991</v>
      </c>
      <c r="H705">
        <v>2.85</v>
      </c>
      <c r="I705">
        <v>1.62</v>
      </c>
      <c r="J705">
        <f t="shared" si="252"/>
        <v>2.2400000000000002</v>
      </c>
      <c r="K705" s="6">
        <f t="shared" si="253"/>
        <v>2.2999999999999998</v>
      </c>
      <c r="L705" s="6">
        <f t="shared" si="254"/>
        <v>-7.0000000000000284E-2</v>
      </c>
      <c r="M705">
        <v>1.488895386641</v>
      </c>
      <c r="N705">
        <v>316000</v>
      </c>
      <c r="O705" s="18">
        <f>ROUND(N705/VLOOKUP(EOMONTH(A705,-1),Employment!A:P,16,FALSE),4)</f>
        <v>1.4055</v>
      </c>
      <c r="P705" s="18">
        <f t="shared" si="244"/>
        <v>1.4225000000000001</v>
      </c>
      <c r="Q705" s="29">
        <f t="shared" si="245"/>
        <v>-0.13950000000000001</v>
      </c>
      <c r="R705" s="29">
        <f t="shared" si="246"/>
        <v>4.2000000000000003E-2</v>
      </c>
      <c r="S705">
        <v>2666000</v>
      </c>
      <c r="T705" s="18">
        <f>ROUND((S705/7)/VLOOKUP(EOMONTH(A705,-1),Employment!A:P,16,FALSE),4)</f>
        <v>1.6939</v>
      </c>
      <c r="U705" s="18">
        <f t="shared" si="247"/>
        <v>1.7170000000000001</v>
      </c>
      <c r="V705" s="29">
        <f t="shared" si="248"/>
        <v>-0.15029999999999999</v>
      </c>
      <c r="W705" s="29">
        <f t="shared" si="249"/>
        <v>5.4000000000000003E-3</v>
      </c>
      <c r="X705" s="30">
        <f t="shared" si="250"/>
        <v>172.45</v>
      </c>
      <c r="Y705" s="31">
        <f t="shared" si="251"/>
        <v>162.94</v>
      </c>
    </row>
    <row r="706" spans="1:25" ht="15" customHeight="1" x14ac:dyDescent="0.25">
      <c r="A706" s="5">
        <v>38403</v>
      </c>
      <c r="B706">
        <v>929.76580000000001</v>
      </c>
      <c r="C706" s="29">
        <f t="shared" si="255"/>
        <v>7.4000000000000003E-3</v>
      </c>
      <c r="D706">
        <v>-0.72</v>
      </c>
      <c r="E706">
        <v>-0.81200000000000006</v>
      </c>
      <c r="F706" s="18">
        <f t="shared" si="242"/>
        <v>0.41999999999999993</v>
      </c>
      <c r="G706" s="18">
        <f t="shared" si="243"/>
        <v>0.80400000000000027</v>
      </c>
      <c r="H706">
        <v>2.93</v>
      </c>
      <c r="I706">
        <v>1.62</v>
      </c>
      <c r="J706">
        <f t="shared" si="252"/>
        <v>2.2799999999999998</v>
      </c>
      <c r="K706" s="6">
        <f t="shared" si="253"/>
        <v>2.37</v>
      </c>
      <c r="L706" s="6">
        <f t="shared" si="254"/>
        <v>-8.0000000000000071E-2</v>
      </c>
      <c r="M706">
        <v>1.2944020145506001</v>
      </c>
      <c r="N706">
        <v>318750</v>
      </c>
      <c r="O706" s="18">
        <f>ROUND(N706/VLOOKUP(EOMONTH(A706,-1),Employment!A:P,16,FALSE),4)</f>
        <v>1.4177</v>
      </c>
      <c r="P706" s="18">
        <f t="shared" si="244"/>
        <v>1.4584999999999999</v>
      </c>
      <c r="Q706" s="29">
        <f t="shared" si="245"/>
        <v>-0.1125</v>
      </c>
      <c r="R706" s="29">
        <f t="shared" si="246"/>
        <v>2.8400000000000002E-2</v>
      </c>
      <c r="S706">
        <v>2710000</v>
      </c>
      <c r="T706" s="18">
        <f>ROUND((S706/7)/VLOOKUP(EOMONTH(A706,-1),Employment!A:P,16,FALSE),4)</f>
        <v>1.7219</v>
      </c>
      <c r="U706" s="18">
        <f t="shared" si="247"/>
        <v>1.7255</v>
      </c>
      <c r="V706" s="29">
        <f t="shared" si="248"/>
        <v>-0.14710000000000001</v>
      </c>
      <c r="W706" s="29">
        <f t="shared" si="249"/>
        <v>-3.8E-3</v>
      </c>
      <c r="X706" s="30">
        <f t="shared" si="250"/>
        <v>161.44</v>
      </c>
      <c r="Y706" s="31">
        <f t="shared" si="251"/>
        <v>147.33000000000001</v>
      </c>
    </row>
    <row r="707" spans="1:25" ht="15" customHeight="1" x14ac:dyDescent="0.25">
      <c r="A707" s="5">
        <v>38396</v>
      </c>
      <c r="B707">
        <v>928.52760000000001</v>
      </c>
      <c r="C707" s="29">
        <f t="shared" si="255"/>
        <v>9.1999999999999998E-3</v>
      </c>
      <c r="D707">
        <v>-0.71</v>
      </c>
      <c r="E707">
        <v>-0.77200000000000002</v>
      </c>
      <c r="F707" s="18">
        <f t="shared" si="242"/>
        <v>0.45599999999999952</v>
      </c>
      <c r="G707" s="18">
        <f t="shared" si="243"/>
        <v>0.35200000000000031</v>
      </c>
      <c r="H707">
        <v>3.12</v>
      </c>
      <c r="I707">
        <v>1.65</v>
      </c>
      <c r="J707">
        <f t="shared" si="252"/>
        <v>2.39</v>
      </c>
      <c r="K707" s="6">
        <f t="shared" si="253"/>
        <v>2.4500000000000002</v>
      </c>
      <c r="L707" s="6">
        <f t="shared" si="254"/>
        <v>-5.9999999999999609E-2</v>
      </c>
      <c r="M707">
        <v>0.98989092704680004</v>
      </c>
      <c r="N707">
        <v>324750</v>
      </c>
      <c r="O707" s="18">
        <f>ROUND(N707/VLOOKUP(EOMONTH(A707,-1),Employment!A:P,16,FALSE),4)</f>
        <v>1.4443999999999999</v>
      </c>
      <c r="P707" s="18">
        <f t="shared" si="244"/>
        <v>1.5001</v>
      </c>
      <c r="Q707" s="29">
        <f t="shared" si="245"/>
        <v>-7.8700000000000006E-2</v>
      </c>
      <c r="R707" s="29">
        <f t="shared" si="246"/>
        <v>4.1999999999999997E-3</v>
      </c>
      <c r="S707">
        <v>2731000</v>
      </c>
      <c r="T707" s="18">
        <f>ROUND((S707/7)/VLOOKUP(EOMONTH(A707,-1),Employment!A:P,16,FALSE),4)</f>
        <v>1.7352000000000001</v>
      </c>
      <c r="U707" s="18">
        <f t="shared" si="247"/>
        <v>1.7428999999999999</v>
      </c>
      <c r="V707" s="29">
        <f t="shared" si="248"/>
        <v>-0.13489999999999999</v>
      </c>
      <c r="W707" s="29">
        <f t="shared" si="249"/>
        <v>-1.26E-2</v>
      </c>
      <c r="X707" s="30">
        <f t="shared" si="250"/>
        <v>142.9</v>
      </c>
      <c r="Y707" s="31">
        <f t="shared" si="251"/>
        <v>130.58000000000001</v>
      </c>
    </row>
    <row r="708" spans="1:25" ht="15" customHeight="1" x14ac:dyDescent="0.25">
      <c r="A708" s="5">
        <v>38389</v>
      </c>
      <c r="B708">
        <v>922.9751</v>
      </c>
      <c r="C708" s="29">
        <f t="shared" si="255"/>
        <v>5.5999999999999999E-3</v>
      </c>
      <c r="D708">
        <v>-0.71</v>
      </c>
      <c r="E708">
        <v>-0.71499999999999997</v>
      </c>
      <c r="F708" s="18">
        <f t="shared" si="242"/>
        <v>-7.1999999999999176E-2</v>
      </c>
      <c r="G708" s="18">
        <f t="shared" si="243"/>
        <v>6.0000000000002274E-2</v>
      </c>
      <c r="H708">
        <v>3.19</v>
      </c>
      <c r="I708">
        <v>1.69</v>
      </c>
      <c r="J708">
        <f t="shared" si="252"/>
        <v>2.44</v>
      </c>
      <c r="K708" s="6">
        <f t="shared" si="253"/>
        <v>2.5099999999999998</v>
      </c>
      <c r="L708" s="6">
        <f t="shared" si="254"/>
        <v>-2.0000000000000018E-2</v>
      </c>
      <c r="M708">
        <v>-0.28550001158334998</v>
      </c>
      <c r="N708">
        <v>340250</v>
      </c>
      <c r="O708" s="18">
        <f>ROUND(N708/VLOOKUP(EOMONTH(A708,-1),Employment!A:P,16,FALSE),4)</f>
        <v>1.5133000000000001</v>
      </c>
      <c r="P708" s="18">
        <f t="shared" si="244"/>
        <v>1.5294000000000001</v>
      </c>
      <c r="Q708" s="29">
        <f t="shared" si="245"/>
        <v>-4.9399999999999999E-2</v>
      </c>
      <c r="R708" s="29">
        <f t="shared" si="246"/>
        <v>-1.8200000000000001E-2</v>
      </c>
      <c r="S708">
        <v>2706000</v>
      </c>
      <c r="T708" s="18">
        <f>ROUND((S708/7)/VLOOKUP(EOMONTH(A708,-1),Employment!A:P,16,FALSE),4)</f>
        <v>1.7193000000000001</v>
      </c>
      <c r="U708" s="18">
        <f t="shared" si="247"/>
        <v>1.7411000000000001</v>
      </c>
      <c r="V708" s="29">
        <f t="shared" si="248"/>
        <v>-0.1386</v>
      </c>
      <c r="W708" s="29">
        <f t="shared" si="249"/>
        <v>-1.4800000000000001E-2</v>
      </c>
      <c r="X708" s="30">
        <f t="shared" si="250"/>
        <v>123.14</v>
      </c>
      <c r="Y708" s="31">
        <f t="shared" si="251"/>
        <v>121.46</v>
      </c>
    </row>
    <row r="709" spans="1:25" ht="15" customHeight="1" x14ac:dyDescent="0.25">
      <c r="A709" s="5">
        <v>38382</v>
      </c>
      <c r="B709">
        <v>921.33270000000005</v>
      </c>
      <c r="C709" s="29">
        <f t="shared" si="255"/>
        <v>8.6999999999999994E-3</v>
      </c>
      <c r="D709">
        <v>-0.71</v>
      </c>
      <c r="E709">
        <v>-0.72399999999999998</v>
      </c>
      <c r="F709" s="18">
        <f t="shared" si="242"/>
        <v>-3.2000000000000028E-2</v>
      </c>
      <c r="G709" s="18">
        <f t="shared" si="243"/>
        <v>-0.40399999999999991</v>
      </c>
      <c r="H709">
        <v>3.27</v>
      </c>
      <c r="I709">
        <v>1.75</v>
      </c>
      <c r="J709">
        <f t="shared" si="252"/>
        <v>2.5099999999999998</v>
      </c>
      <c r="K709" s="6">
        <f t="shared" si="253"/>
        <v>2.5299999999999998</v>
      </c>
      <c r="L709" s="6">
        <f t="shared" si="254"/>
        <v>2.0000000000000018E-2</v>
      </c>
      <c r="M709">
        <v>-0.70651003699185999</v>
      </c>
      <c r="N709">
        <v>346500</v>
      </c>
      <c r="O709" s="18">
        <f>ROUND(N709/VLOOKUP(EOMONTH(A709,-1),Employment!A:P,16,FALSE),4)</f>
        <v>1.5425</v>
      </c>
      <c r="P709" s="18">
        <f t="shared" si="244"/>
        <v>1.5321</v>
      </c>
      <c r="Q709" s="29">
        <f t="shared" si="245"/>
        <v>-0.04</v>
      </c>
      <c r="R709" s="29">
        <f t="shared" si="246"/>
        <v>-2.5100000000000001E-2</v>
      </c>
      <c r="S709">
        <v>2790000</v>
      </c>
      <c r="T709" s="18">
        <f>ROUND((S709/7)/VLOOKUP(EOMONTH(A709,-1),Employment!A:P,16,FALSE),4)</f>
        <v>1.7743</v>
      </c>
      <c r="U709" s="18">
        <f t="shared" si="247"/>
        <v>1.7343999999999999</v>
      </c>
      <c r="V709" s="29">
        <f t="shared" si="248"/>
        <v>-0.1457</v>
      </c>
      <c r="W709" s="29">
        <f t="shared" si="249"/>
        <v>-1.41E-2</v>
      </c>
      <c r="X709" s="30">
        <f t="shared" si="250"/>
        <v>118.38</v>
      </c>
      <c r="Y709" s="31">
        <f t="shared" si="251"/>
        <v>123.67</v>
      </c>
    </row>
    <row r="710" spans="1:25" ht="15" customHeight="1" x14ac:dyDescent="0.25">
      <c r="A710" s="5">
        <v>38375</v>
      </c>
      <c r="B710">
        <v>918.95609999999999</v>
      </c>
      <c r="C710" s="29">
        <f t="shared" si="255"/>
        <v>1.0200000000000001E-2</v>
      </c>
      <c r="D710">
        <v>-0.71</v>
      </c>
      <c r="E710">
        <v>-0.72799999999999998</v>
      </c>
      <c r="F710" s="18">
        <f t="shared" si="242"/>
        <v>0.16400000000000148</v>
      </c>
      <c r="G710" s="18">
        <f t="shared" si="243"/>
        <v>-0.46000000000000085</v>
      </c>
      <c r="H710">
        <v>3.37</v>
      </c>
      <c r="I710">
        <v>1.79</v>
      </c>
      <c r="J710">
        <f t="shared" si="252"/>
        <v>2.58</v>
      </c>
      <c r="K710" s="6">
        <f t="shared" si="253"/>
        <v>2.5099999999999998</v>
      </c>
      <c r="L710" s="6">
        <f t="shared" si="254"/>
        <v>2.9999999999999805E-2</v>
      </c>
      <c r="M710">
        <v>-0.22696323544784</v>
      </c>
      <c r="N710">
        <v>344250</v>
      </c>
      <c r="O710" s="18">
        <f>ROUND(N710/VLOOKUP(EOMONTH(A710,-1),Employment!A:P,16,FALSE),4)</f>
        <v>1.5325</v>
      </c>
      <c r="P710" s="18">
        <f t="shared" si="244"/>
        <v>1.5054000000000001</v>
      </c>
      <c r="Q710" s="29">
        <f t="shared" si="245"/>
        <v>-5.5599999999999997E-2</v>
      </c>
      <c r="R710" s="29">
        <f t="shared" si="246"/>
        <v>-1.84E-2</v>
      </c>
      <c r="S710">
        <v>2720000</v>
      </c>
      <c r="T710" s="18">
        <f>ROUND((S710/7)/VLOOKUP(EOMONTH(A710,-1),Employment!A:P,16,FALSE),4)</f>
        <v>1.7298</v>
      </c>
      <c r="U710" s="18">
        <f t="shared" si="247"/>
        <v>1.7303999999999999</v>
      </c>
      <c r="V710" s="29">
        <f t="shared" si="248"/>
        <v>-0.1578</v>
      </c>
      <c r="W710" s="29">
        <f t="shared" si="249"/>
        <v>-9.2999999999999992E-3</v>
      </c>
      <c r="X710" s="30">
        <f t="shared" si="250"/>
        <v>124.96000000000001</v>
      </c>
      <c r="Y710" s="31">
        <f t="shared" si="251"/>
        <v>131.52000000000001</v>
      </c>
    </row>
    <row r="711" spans="1:25" ht="15" customHeight="1" x14ac:dyDescent="0.25">
      <c r="A711" s="5">
        <v>38368</v>
      </c>
      <c r="B711">
        <v>916.81539999999995</v>
      </c>
      <c r="C711" s="29">
        <f t="shared" si="255"/>
        <v>1.21E-2</v>
      </c>
      <c r="D711">
        <v>-0.72</v>
      </c>
      <c r="E711">
        <v>-0.69499999999999995</v>
      </c>
      <c r="F711" s="18">
        <f t="shared" si="242"/>
        <v>-0.53600000000000136</v>
      </c>
      <c r="G711" s="18">
        <f t="shared" si="243"/>
        <v>-0.47600000000000264</v>
      </c>
      <c r="H711">
        <v>3.22</v>
      </c>
      <c r="I711">
        <v>1.79</v>
      </c>
      <c r="J711">
        <f t="shared" si="252"/>
        <v>2.5099999999999998</v>
      </c>
      <c r="K711" s="6">
        <f t="shared" si="253"/>
        <v>2.48</v>
      </c>
      <c r="L711" s="6">
        <f t="shared" si="254"/>
        <v>9.9999999999997868E-3</v>
      </c>
      <c r="M711">
        <v>8.5244742131208001E-2</v>
      </c>
      <c r="N711">
        <v>341750</v>
      </c>
      <c r="O711" s="18">
        <f>ROUND(N711/VLOOKUP(EOMONTH(A711,-1),Employment!A:P,16,FALSE),4)</f>
        <v>1.5213000000000001</v>
      </c>
      <c r="P711" s="18">
        <f t="shared" si="244"/>
        <v>1.4772000000000001</v>
      </c>
      <c r="Q711" s="29">
        <f t="shared" si="245"/>
        <v>-7.5800000000000006E-2</v>
      </c>
      <c r="R711" s="29">
        <f t="shared" si="246"/>
        <v>-8.0000000000000002E-3</v>
      </c>
      <c r="S711">
        <v>2672000</v>
      </c>
      <c r="T711" s="18">
        <f>ROUND((S711/7)/VLOOKUP(EOMONTH(A711,-1),Employment!A:P,16,FALSE),4)</f>
        <v>1.6992</v>
      </c>
      <c r="U711" s="18">
        <f t="shared" si="247"/>
        <v>1.7236</v>
      </c>
      <c r="V711" s="29">
        <f t="shared" si="248"/>
        <v>-0.16969999999999999</v>
      </c>
      <c r="W711" s="29">
        <f t="shared" si="249"/>
        <v>-7.6E-3</v>
      </c>
      <c r="X711" s="30">
        <f t="shared" si="250"/>
        <v>133.66</v>
      </c>
      <c r="Y711" s="31">
        <f t="shared" si="251"/>
        <v>138.38999999999999</v>
      </c>
    </row>
    <row r="712" spans="1:25" ht="15" customHeight="1" x14ac:dyDescent="0.25">
      <c r="A712" s="5">
        <v>38361</v>
      </c>
      <c r="B712">
        <v>914.34839999999997</v>
      </c>
      <c r="C712" s="29">
        <f t="shared" si="255"/>
        <v>1.37E-2</v>
      </c>
      <c r="D712">
        <v>-0.74</v>
      </c>
      <c r="E712">
        <v>-0.73699999999999999</v>
      </c>
      <c r="F712" s="18">
        <f t="shared" si="242"/>
        <v>-8.8000000000000966E-2</v>
      </c>
      <c r="G712" s="18">
        <f t="shared" si="243"/>
        <v>-0.14799999999999969</v>
      </c>
      <c r="H712">
        <v>3.07</v>
      </c>
      <c r="I712">
        <v>1.83</v>
      </c>
      <c r="J712">
        <f t="shared" si="252"/>
        <v>2.4500000000000002</v>
      </c>
      <c r="K712" s="6">
        <f t="shared" si="253"/>
        <v>2.4700000000000002</v>
      </c>
      <c r="L712" s="6">
        <f t="shared" si="254"/>
        <v>-9.9999999999997868E-3</v>
      </c>
      <c r="M712">
        <v>1.373118132541</v>
      </c>
      <c r="N712">
        <v>328500</v>
      </c>
      <c r="O712" s="18">
        <f>ROUND(N712/VLOOKUP(EOMONTH(A712,-1),Employment!A:P,16,FALSE),4)</f>
        <v>1.4622999999999999</v>
      </c>
      <c r="P712" s="18">
        <f t="shared" si="244"/>
        <v>1.4587000000000001</v>
      </c>
      <c r="Q712" s="29">
        <f t="shared" si="245"/>
        <v>-9.3700000000000006E-2</v>
      </c>
      <c r="R712" s="29">
        <f t="shared" si="246"/>
        <v>-1.2999999999999999E-3</v>
      </c>
      <c r="S712">
        <v>2771000</v>
      </c>
      <c r="T712" s="18">
        <f>ROUND((S712/7)/VLOOKUP(EOMONTH(A712,-1),Employment!A:P,16,FALSE),4)</f>
        <v>1.7622</v>
      </c>
      <c r="U712" s="18">
        <f t="shared" si="247"/>
        <v>1.7283999999999999</v>
      </c>
      <c r="V712" s="29">
        <f t="shared" si="248"/>
        <v>-0.1731</v>
      </c>
      <c r="W712" s="29">
        <f t="shared" si="249"/>
        <v>-5.1999999999999998E-3</v>
      </c>
      <c r="X712" s="30">
        <f t="shared" si="250"/>
        <v>142.55000000000001</v>
      </c>
      <c r="Y712" s="31">
        <f t="shared" si="251"/>
        <v>140.21</v>
      </c>
    </row>
    <row r="713" spans="1:25" ht="15" customHeight="1" x14ac:dyDescent="0.25">
      <c r="A713" s="5">
        <v>38354</v>
      </c>
      <c r="B713">
        <v>903.58579999999995</v>
      </c>
      <c r="C713" s="29">
        <f t="shared" si="255"/>
        <v>3.3E-3</v>
      </c>
      <c r="D713">
        <v>-0.74</v>
      </c>
      <c r="E713">
        <v>-0.748</v>
      </c>
      <c r="F713" s="18">
        <f t="shared" si="242"/>
        <v>0.14799999999999969</v>
      </c>
      <c r="G713" s="18">
        <f t="shared" si="243"/>
        <v>0.58000000000000185</v>
      </c>
      <c r="H713">
        <v>3.1</v>
      </c>
      <c r="I713">
        <v>1.86</v>
      </c>
      <c r="J713">
        <f t="shared" si="252"/>
        <v>2.48</v>
      </c>
      <c r="K713" s="6">
        <f t="shared" si="253"/>
        <v>2.48</v>
      </c>
      <c r="L713" s="6">
        <f t="shared" si="254"/>
        <v>-2.9999999999999805E-2</v>
      </c>
      <c r="M713">
        <v>2.0521760585097</v>
      </c>
      <c r="N713">
        <v>325250</v>
      </c>
      <c r="O713" s="18">
        <f>ROUND(N713/VLOOKUP(EOMONTH(A713,-1),Employment!A:P,16,FALSE),4)</f>
        <v>1.4479</v>
      </c>
      <c r="P713" s="18">
        <f t="shared" si="244"/>
        <v>1.4565999999999999</v>
      </c>
      <c r="Q713" s="29">
        <f t="shared" si="245"/>
        <v>-9.9299999999999999E-2</v>
      </c>
      <c r="R713" s="29">
        <f t="shared" si="246"/>
        <v>-2.5999999999999999E-3</v>
      </c>
      <c r="S713">
        <v>2688000</v>
      </c>
      <c r="T713" s="18">
        <f>ROUND((S713/7)/VLOOKUP(EOMONTH(A713,-1),Employment!A:P,16,FALSE),4)</f>
        <v>1.7094</v>
      </c>
      <c r="U713" s="18">
        <f t="shared" si="247"/>
        <v>1.7192000000000001</v>
      </c>
      <c r="V713" s="29">
        <f t="shared" si="248"/>
        <v>-0.18279999999999999</v>
      </c>
      <c r="W713" s="29">
        <f t="shared" si="249"/>
        <v>-6.0000000000000001E-3</v>
      </c>
      <c r="X713" s="30">
        <f t="shared" si="250"/>
        <v>139.79</v>
      </c>
      <c r="Y713" s="31">
        <f t="shared" si="251"/>
        <v>137.27000000000001</v>
      </c>
    </row>
    <row r="714" spans="1:25" ht="15" customHeight="1" x14ac:dyDescent="0.25">
      <c r="A714" s="5">
        <v>38347</v>
      </c>
      <c r="B714">
        <v>903.85580000000004</v>
      </c>
      <c r="C714" s="29">
        <f t="shared" si="255"/>
        <v>5.7999999999999996E-3</v>
      </c>
      <c r="D714">
        <v>-0.73</v>
      </c>
      <c r="E714">
        <v>-0.74199999999999999</v>
      </c>
      <c r="F714" s="18">
        <f t="shared" si="242"/>
        <v>-0.20799999999999841</v>
      </c>
      <c r="G714" s="18">
        <f t="shared" si="243"/>
        <v>-0.23199999999999932</v>
      </c>
      <c r="H714">
        <v>3.05</v>
      </c>
      <c r="I714">
        <v>1.91</v>
      </c>
      <c r="J714">
        <f t="shared" si="252"/>
        <v>2.48</v>
      </c>
      <c r="K714" s="6">
        <f t="shared" si="253"/>
        <v>2.5099999999999998</v>
      </c>
      <c r="L714" s="6">
        <f t="shared" si="254"/>
        <v>-3.0000000000000249E-2</v>
      </c>
      <c r="M714">
        <v>1.5447810755205</v>
      </c>
      <c r="N714">
        <v>329000</v>
      </c>
      <c r="O714" s="18">
        <f>ROUND(N714/VLOOKUP(EOMONTH(A714,-1),Employment!A:P,16,FALSE),4)</f>
        <v>1.466</v>
      </c>
      <c r="P714" s="18">
        <f t="shared" si="244"/>
        <v>1.4671000000000001</v>
      </c>
      <c r="Q714" s="29">
        <f t="shared" si="245"/>
        <v>-9.6199999999999994E-2</v>
      </c>
      <c r="R714" s="29">
        <f t="shared" si="246"/>
        <v>-5.7000000000000002E-3</v>
      </c>
      <c r="S714">
        <v>2692000</v>
      </c>
      <c r="T714" s="18">
        <f>ROUND((S714/7)/VLOOKUP(EOMONTH(A714,-1),Employment!A:P,16,FALSE),4)</f>
        <v>1.7136</v>
      </c>
      <c r="U714" s="18">
        <f t="shared" si="247"/>
        <v>1.7352000000000001</v>
      </c>
      <c r="V714" s="29">
        <f t="shared" si="248"/>
        <v>-0.18190000000000001</v>
      </c>
      <c r="W714" s="29">
        <f t="shared" si="249"/>
        <v>-7.1000000000000004E-3</v>
      </c>
      <c r="X714" s="30">
        <f t="shared" si="250"/>
        <v>135.42000000000002</v>
      </c>
      <c r="Y714" s="31">
        <f t="shared" si="251"/>
        <v>134.78</v>
      </c>
    </row>
    <row r="715" spans="1:25" ht="15" customHeight="1" x14ac:dyDescent="0.25">
      <c r="A715" s="5">
        <v>38340</v>
      </c>
      <c r="B715">
        <v>901.66079999999999</v>
      </c>
      <c r="C715" s="29">
        <f t="shared" si="255"/>
        <v>4.1999999999999997E-3</v>
      </c>
      <c r="D715">
        <v>-0.73</v>
      </c>
      <c r="E715">
        <v>-0.76800000000000002</v>
      </c>
      <c r="F715" s="18">
        <f t="shared" si="242"/>
        <v>0.64000000000000057</v>
      </c>
      <c r="G715" s="18">
        <f t="shared" si="243"/>
        <v>0.44399999999999906</v>
      </c>
      <c r="H715">
        <v>3.06</v>
      </c>
      <c r="I715">
        <v>1.92</v>
      </c>
      <c r="J715">
        <f t="shared" si="252"/>
        <v>2.4900000000000002</v>
      </c>
      <c r="K715" s="6">
        <f t="shared" si="253"/>
        <v>2.54</v>
      </c>
      <c r="L715" s="6">
        <f t="shared" si="254"/>
        <v>-2.9999999999999805E-2</v>
      </c>
      <c r="M715">
        <v>1.4402788447984001</v>
      </c>
      <c r="N715">
        <v>326750</v>
      </c>
      <c r="O715" s="18">
        <f>ROUND(N715/VLOOKUP(EOMONTH(A715,-1),Employment!A:P,16,FALSE),4)</f>
        <v>1.456</v>
      </c>
      <c r="P715" s="18">
        <f t="shared" si="244"/>
        <v>1.4668000000000001</v>
      </c>
      <c r="Q715" s="29">
        <f t="shared" si="245"/>
        <v>-9.8699999999999996E-2</v>
      </c>
      <c r="R715" s="29">
        <f t="shared" si="246"/>
        <v>-7.4999999999999997E-3</v>
      </c>
      <c r="S715">
        <v>2725000</v>
      </c>
      <c r="T715" s="18">
        <f>ROUND((S715/7)/VLOOKUP(EOMONTH(A715,-1),Employment!A:P,16,FALSE),4)</f>
        <v>1.7345999999999999</v>
      </c>
      <c r="U715" s="18">
        <f t="shared" si="247"/>
        <v>1.738</v>
      </c>
      <c r="V715" s="29">
        <f t="shared" si="248"/>
        <v>-0.18759999999999999</v>
      </c>
      <c r="W715" s="29">
        <f t="shared" si="249"/>
        <v>-6.8999999999999999E-3</v>
      </c>
      <c r="X715" s="30">
        <f t="shared" si="250"/>
        <v>135.57999999999998</v>
      </c>
      <c r="Y715" s="31">
        <f t="shared" si="251"/>
        <v>133.80000000000001</v>
      </c>
    </row>
    <row r="716" spans="1:25" ht="15" customHeight="1" x14ac:dyDescent="0.25">
      <c r="A716" s="5">
        <v>38333</v>
      </c>
      <c r="B716">
        <v>898.79340000000002</v>
      </c>
      <c r="C716" s="29">
        <f t="shared" si="255"/>
        <v>2.2000000000000001E-3</v>
      </c>
      <c r="D716">
        <v>-0.73</v>
      </c>
      <c r="E716">
        <v>-0.68799999999999994</v>
      </c>
      <c r="F716" s="18">
        <f t="shared" si="242"/>
        <v>-0.66400000000000148</v>
      </c>
      <c r="G716" s="18">
        <f t="shared" si="243"/>
        <v>-6.0000000000000497E-2</v>
      </c>
      <c r="H716">
        <v>3.17</v>
      </c>
      <c r="I716">
        <v>1.95</v>
      </c>
      <c r="J716">
        <f t="shared" si="252"/>
        <v>2.56</v>
      </c>
      <c r="K716" s="6">
        <f t="shared" si="253"/>
        <v>2.57</v>
      </c>
      <c r="L716" s="6">
        <f t="shared" si="254"/>
        <v>-1.0000000000000231E-2</v>
      </c>
      <c r="M716">
        <v>1.1394325722784</v>
      </c>
      <c r="N716">
        <v>332000</v>
      </c>
      <c r="O716" s="18">
        <f>ROUND(N716/VLOOKUP(EOMONTH(A716,-1),Employment!A:P,16,FALSE),4)</f>
        <v>1.4794</v>
      </c>
      <c r="P716" s="18">
        <f t="shared" si="244"/>
        <v>1.4691000000000001</v>
      </c>
      <c r="Q716" s="29">
        <f t="shared" si="245"/>
        <v>-0.1011</v>
      </c>
      <c r="R716" s="29">
        <f t="shared" si="246"/>
        <v>-8.9999999999999993E-3</v>
      </c>
      <c r="S716">
        <v>2761000</v>
      </c>
      <c r="T716" s="18">
        <f>ROUND((S716/7)/VLOOKUP(EOMONTH(A716,-1),Employment!A:P,16,FALSE),4)</f>
        <v>1.7575000000000001</v>
      </c>
      <c r="U716" s="18">
        <f t="shared" si="247"/>
        <v>1.7347999999999999</v>
      </c>
      <c r="V716" s="29">
        <f t="shared" si="248"/>
        <v>-0.19040000000000001</v>
      </c>
      <c r="W716" s="29">
        <f t="shared" si="249"/>
        <v>-4.3E-3</v>
      </c>
      <c r="X716" s="30">
        <f t="shared" si="250"/>
        <v>131.17000000000002</v>
      </c>
      <c r="Y716" s="31">
        <f t="shared" si="251"/>
        <v>133.81</v>
      </c>
    </row>
    <row r="717" spans="1:25" ht="15" customHeight="1" x14ac:dyDescent="0.25">
      <c r="A717" s="5">
        <v>38326</v>
      </c>
      <c r="B717">
        <v>898.03480000000002</v>
      </c>
      <c r="C717" s="29">
        <f t="shared" si="255"/>
        <v>2.2000000000000001E-3</v>
      </c>
      <c r="D717">
        <v>-0.73</v>
      </c>
      <c r="E717">
        <v>-0.77100000000000002</v>
      </c>
      <c r="F717" s="18">
        <f t="shared" si="242"/>
        <v>0.46799999999999997</v>
      </c>
      <c r="G717" s="18">
        <f t="shared" si="243"/>
        <v>1.1600000000000001</v>
      </c>
      <c r="H717">
        <v>3.2</v>
      </c>
      <c r="I717">
        <v>1.96</v>
      </c>
      <c r="J717">
        <f t="shared" si="252"/>
        <v>2.58</v>
      </c>
      <c r="K717" s="6">
        <f t="shared" si="253"/>
        <v>2.58</v>
      </c>
      <c r="L717" s="6">
        <f t="shared" si="254"/>
        <v>-2.9999999999999805E-2</v>
      </c>
      <c r="M717">
        <v>0.87116336015352003</v>
      </c>
      <c r="N717">
        <v>328750</v>
      </c>
      <c r="O717" s="18">
        <f>ROUND(N717/VLOOKUP(EOMONTH(A717,-1),Employment!A:P,16,FALSE),4)</f>
        <v>1.4649000000000001</v>
      </c>
      <c r="P717" s="18">
        <f t="shared" si="244"/>
        <v>1.4729000000000001</v>
      </c>
      <c r="Q717" s="29">
        <f t="shared" si="245"/>
        <v>-0.10639999999999999</v>
      </c>
      <c r="R717" s="29">
        <f t="shared" si="246"/>
        <v>-8.2000000000000007E-3</v>
      </c>
      <c r="S717">
        <v>2705000</v>
      </c>
      <c r="T717" s="18">
        <f>ROUND((S717/7)/VLOOKUP(EOMONTH(A717,-1),Employment!A:P,16,FALSE),4)</f>
        <v>1.7219</v>
      </c>
      <c r="U717" s="18">
        <f t="shared" si="247"/>
        <v>1.7362</v>
      </c>
      <c r="V717" s="29">
        <f t="shared" si="248"/>
        <v>-0.19889999999999999</v>
      </c>
      <c r="W717" s="29">
        <f t="shared" si="249"/>
        <v>-2.2000000000000001E-3</v>
      </c>
      <c r="X717" s="30">
        <f t="shared" si="250"/>
        <v>135.91</v>
      </c>
      <c r="Y717" s="31">
        <f t="shared" si="251"/>
        <v>136.07</v>
      </c>
    </row>
    <row r="718" spans="1:25" ht="15" customHeight="1" x14ac:dyDescent="0.25">
      <c r="A718" s="5">
        <v>38319</v>
      </c>
      <c r="B718">
        <v>896.23149999999998</v>
      </c>
      <c r="C718" s="29">
        <f t="shared" si="255"/>
        <v>2.2000000000000001E-3</v>
      </c>
      <c r="D718">
        <v>-0.72</v>
      </c>
      <c r="E718">
        <v>-0.72499999999999998</v>
      </c>
      <c r="F718" s="18">
        <f t="shared" si="242"/>
        <v>0.13600000000000101</v>
      </c>
      <c r="G718" s="18">
        <f t="shared" si="243"/>
        <v>0.83999999999999986</v>
      </c>
      <c r="H718">
        <v>3.15</v>
      </c>
      <c r="I718">
        <v>1.96</v>
      </c>
      <c r="J718">
        <f t="shared" si="252"/>
        <v>2.56</v>
      </c>
      <c r="K718" s="6">
        <f t="shared" si="253"/>
        <v>2.61</v>
      </c>
      <c r="L718" s="6">
        <f t="shared" si="254"/>
        <v>-3.0000000000000249E-2</v>
      </c>
      <c r="M718">
        <v>0.78294356673693999</v>
      </c>
      <c r="N718">
        <v>328000</v>
      </c>
      <c r="O718" s="18">
        <f>ROUND(N718/VLOOKUP(EOMONTH(A718,-1),Employment!A:P,16,FALSE),4)</f>
        <v>1.4630000000000001</v>
      </c>
      <c r="P718" s="18">
        <f t="shared" si="244"/>
        <v>1.4779</v>
      </c>
      <c r="Q718" s="29">
        <f t="shared" si="245"/>
        <v>-0.1133</v>
      </c>
      <c r="R718" s="29">
        <f t="shared" si="246"/>
        <v>-6.4000000000000003E-3</v>
      </c>
      <c r="S718">
        <v>2707000</v>
      </c>
      <c r="T718" s="18">
        <f>ROUND((S718/7)/VLOOKUP(EOMONTH(A718,-1),Employment!A:P,16,FALSE),4)</f>
        <v>1.7249000000000001</v>
      </c>
      <c r="U718" s="18">
        <f t="shared" si="247"/>
        <v>1.7491000000000001</v>
      </c>
      <c r="V718" s="29">
        <f t="shared" si="248"/>
        <v>-0.20030000000000001</v>
      </c>
      <c r="W718" s="29">
        <f t="shared" si="249"/>
        <v>-3.0999999999999999E-3</v>
      </c>
      <c r="X718" s="30">
        <f t="shared" si="250"/>
        <v>135.15</v>
      </c>
      <c r="Y718" s="31">
        <f t="shared" si="251"/>
        <v>137.04</v>
      </c>
    </row>
    <row r="719" spans="1:25" ht="15" customHeight="1" x14ac:dyDescent="0.25">
      <c r="A719" s="5">
        <v>38312</v>
      </c>
      <c r="B719">
        <v>898.4923</v>
      </c>
      <c r="C719" s="29">
        <f t="shared" si="255"/>
        <v>8.3000000000000001E-3</v>
      </c>
      <c r="D719">
        <v>-0.72</v>
      </c>
      <c r="E719">
        <v>-0.70799999999999996</v>
      </c>
      <c r="F719" s="18">
        <f t="shared" ref="F719:F782" si="256">(((D719*10)+(E719*8))*-1)-(((D720*10)+(E720*8))*-1)</f>
        <v>0.55599999999999916</v>
      </c>
      <c r="G719" s="18">
        <f t="shared" ref="G719:G782" si="257">SUM(F719:F721)</f>
        <v>0.7159999999999993</v>
      </c>
      <c r="H719">
        <v>3.21</v>
      </c>
      <c r="I719">
        <v>1.99</v>
      </c>
      <c r="J719">
        <f t="shared" si="252"/>
        <v>2.6</v>
      </c>
      <c r="K719" s="6">
        <f t="shared" si="253"/>
        <v>2.64</v>
      </c>
      <c r="L719" s="6">
        <f t="shared" si="254"/>
        <v>-8.0000000000000071E-2</v>
      </c>
      <c r="M719">
        <v>-6.1561178552770997E-2</v>
      </c>
      <c r="N719">
        <v>334250</v>
      </c>
      <c r="O719" s="18">
        <f>ROUND(N719/VLOOKUP(EOMONTH(A719,-1),Employment!A:P,16,FALSE),4)</f>
        <v>1.4908999999999999</v>
      </c>
      <c r="P719" s="18">
        <f t="shared" ref="P719:P782" si="258">ROUND(AVERAGE(O719:O721),4)</f>
        <v>1.4864999999999999</v>
      </c>
      <c r="Q719" s="29">
        <f t="shared" ref="Q719:Q782" si="259">ROUND((P719/P771)-1,4)</f>
        <v>-0.11749999999999999</v>
      </c>
      <c r="R719" s="29">
        <f t="shared" ref="R719:R782" si="260">ROUND(AVERAGE(Q719:Q720)-AVERAGE(Q719:Q723),4)*-1</f>
        <v>-2.5000000000000001E-3</v>
      </c>
      <c r="S719">
        <v>2765000</v>
      </c>
      <c r="T719" s="18">
        <f>ROUND((S719/7)/VLOOKUP(EOMONTH(A719,-1),Employment!A:P,16,FALSE),4)</f>
        <v>1.7619</v>
      </c>
      <c r="U719" s="18">
        <f t="shared" ref="U719:U782" si="261">ROUND(AVERAGE(T719:T721),4)</f>
        <v>1.7634000000000001</v>
      </c>
      <c r="V719" s="29">
        <f t="shared" ref="V719:V782" si="262">ROUND((U719/U771)-1,4)</f>
        <v>-0.2024</v>
      </c>
      <c r="W719" s="29">
        <f t="shared" ref="W719:W782" si="263">ROUND(AVERAGE(V719:V720)-AVERAGE(V719:V723),4)*-1</f>
        <v>-4.7000000000000002E-3</v>
      </c>
      <c r="X719" s="30">
        <f t="shared" ref="X719:X782" si="264">IF(ROUND((C719*500)-(D719*10)-(E719*8)+(M719*1.2)-(P719*23)-(Q719*10)+(R719*600)-(U719*2)-(V719*5)+(W719*100)-(K719*5)-(L719*5)+(G719*3),2)+170&lt;0,0,ROUND((C719*500)-(D719*10)-(E719*8)+(M719*1.2)-(P719*23)-(Q719*10)+(R719*600)-(U719*2)-(V719*5)+(W719*100)-(K719*5)-(L719*5)+(G719*3),2)+170)</f>
        <v>138.79</v>
      </c>
      <c r="Y719" s="31">
        <f t="shared" ref="Y719:Y782" si="265">ROUND(AVERAGE(AVERAGE(X719:X720),AVERAGE(X719:X721)),2)</f>
        <v>137.51</v>
      </c>
    </row>
    <row r="720" spans="1:25" ht="15" customHeight="1" x14ac:dyDescent="0.25">
      <c r="A720" s="5">
        <v>38305</v>
      </c>
      <c r="B720">
        <v>894.3664</v>
      </c>
      <c r="C720" s="29">
        <f t="shared" si="255"/>
        <v>6.7000000000000002E-3</v>
      </c>
      <c r="D720">
        <v>-0.71</v>
      </c>
      <c r="E720">
        <v>-0.65100000000000002</v>
      </c>
      <c r="F720" s="18">
        <f t="shared" si="256"/>
        <v>0.14799999999999969</v>
      </c>
      <c r="G720" s="18">
        <f t="shared" si="257"/>
        <v>0.64000000000000057</v>
      </c>
      <c r="H720">
        <v>3.31</v>
      </c>
      <c r="I720">
        <v>2.02</v>
      </c>
      <c r="J720">
        <f t="shared" ref="J720:J783" si="266">ROUND(AVERAGE(H720:I720),2)</f>
        <v>2.67</v>
      </c>
      <c r="K720" s="6">
        <f t="shared" ref="K720:K783" si="267">ROUND(AVERAGE(J720:J722),2)</f>
        <v>2.72</v>
      </c>
      <c r="L720" s="6">
        <f t="shared" ref="L720:L783" si="268">K720-K721</f>
        <v>-8.9999999999999858E-2</v>
      </c>
      <c r="M720">
        <v>-0.36858884373395001</v>
      </c>
      <c r="N720">
        <v>331750</v>
      </c>
      <c r="O720" s="18">
        <f>ROUND(N720/VLOOKUP(EOMONTH(A720,-1),Employment!A:P,16,FALSE),4)</f>
        <v>1.4798</v>
      </c>
      <c r="P720" s="18">
        <f t="shared" si="258"/>
        <v>1.4874000000000001</v>
      </c>
      <c r="Q720" s="29">
        <f t="shared" si="259"/>
        <v>-0.12570000000000001</v>
      </c>
      <c r="R720" s="29">
        <f t="shared" si="260"/>
        <v>-8.9999999999999998E-4</v>
      </c>
      <c r="S720">
        <v>2763000</v>
      </c>
      <c r="T720" s="18">
        <f>ROUND((S720/7)/VLOOKUP(EOMONTH(A720,-1),Employment!A:P,16,FALSE),4)</f>
        <v>1.7605999999999999</v>
      </c>
      <c r="U720" s="18">
        <f t="shared" si="261"/>
        <v>1.7674000000000001</v>
      </c>
      <c r="V720" s="29">
        <f t="shared" si="262"/>
        <v>-0.20250000000000001</v>
      </c>
      <c r="W720" s="29">
        <f t="shared" si="263"/>
        <v>-5.8999999999999999E-3</v>
      </c>
      <c r="X720" s="30">
        <f t="shared" si="264"/>
        <v>137.38</v>
      </c>
      <c r="Y720" s="31">
        <f t="shared" si="265"/>
        <v>134.03</v>
      </c>
    </row>
    <row r="721" spans="1:25" ht="15" customHeight="1" x14ac:dyDescent="0.25">
      <c r="A721" s="5">
        <v>38298</v>
      </c>
      <c r="B721">
        <v>894.99699999999996</v>
      </c>
      <c r="C721" s="29">
        <f t="shared" si="255"/>
        <v>9.7000000000000003E-3</v>
      </c>
      <c r="D721">
        <v>-0.72</v>
      </c>
      <c r="E721">
        <v>-0.62</v>
      </c>
      <c r="F721" s="18">
        <f t="shared" si="256"/>
        <v>1.2000000000000455E-2</v>
      </c>
      <c r="G721" s="18">
        <f t="shared" si="257"/>
        <v>0.56800000000000139</v>
      </c>
      <c r="H721">
        <v>3.29</v>
      </c>
      <c r="I721">
        <v>2.02</v>
      </c>
      <c r="J721">
        <f t="shared" si="266"/>
        <v>2.66</v>
      </c>
      <c r="K721" s="6">
        <f t="shared" si="267"/>
        <v>2.81</v>
      </c>
      <c r="L721" s="6">
        <f t="shared" si="268"/>
        <v>-8.9999999999999858E-2</v>
      </c>
      <c r="M721">
        <v>-0.79916600533555004</v>
      </c>
      <c r="N721">
        <v>333750</v>
      </c>
      <c r="O721" s="18">
        <f>ROUND(N721/VLOOKUP(EOMONTH(A721,-1),Employment!A:P,16,FALSE),4)</f>
        <v>1.4886999999999999</v>
      </c>
      <c r="P721" s="18">
        <f t="shared" si="258"/>
        <v>1.4968999999999999</v>
      </c>
      <c r="Q721" s="29">
        <f t="shared" si="259"/>
        <v>-0.12740000000000001</v>
      </c>
      <c r="R721" s="29">
        <f t="shared" si="260"/>
        <v>-6.1000000000000004E-3</v>
      </c>
      <c r="S721">
        <v>2774000</v>
      </c>
      <c r="T721" s="18">
        <f>ROUND((S721/7)/VLOOKUP(EOMONTH(A721,-1),Employment!A:P,16,FALSE),4)</f>
        <v>1.7676000000000001</v>
      </c>
      <c r="U721" s="18">
        <f t="shared" si="261"/>
        <v>1.7702</v>
      </c>
      <c r="V721" s="29">
        <f t="shared" si="262"/>
        <v>-0.20469999999999999</v>
      </c>
      <c r="W721" s="29">
        <f t="shared" si="263"/>
        <v>-1.8E-3</v>
      </c>
      <c r="X721" s="30">
        <f t="shared" si="264"/>
        <v>134.63999999999999</v>
      </c>
      <c r="Y721" s="31">
        <f t="shared" si="265"/>
        <v>127.36</v>
      </c>
    </row>
    <row r="722" spans="1:25" ht="15" customHeight="1" x14ac:dyDescent="0.25">
      <c r="A722" s="5">
        <v>38291</v>
      </c>
      <c r="B722">
        <v>889.30849999999998</v>
      </c>
      <c r="C722" s="29">
        <f t="shared" ref="C722:C785" si="269">ROUND((B722-AVERAGE(B723:B726))/AVERAGE(B723:B726),4)</f>
        <v>4.3E-3</v>
      </c>
      <c r="D722">
        <v>-0.71</v>
      </c>
      <c r="E722">
        <v>-0.63100000000000001</v>
      </c>
      <c r="F722" s="18">
        <f t="shared" si="256"/>
        <v>0.48000000000000043</v>
      </c>
      <c r="G722" s="18">
        <f t="shared" si="257"/>
        <v>-7.6000000000000512E-2</v>
      </c>
      <c r="H722">
        <v>3.56</v>
      </c>
      <c r="I722">
        <v>2.09</v>
      </c>
      <c r="J722">
        <f t="shared" si="266"/>
        <v>2.83</v>
      </c>
      <c r="K722" s="6">
        <f t="shared" si="267"/>
        <v>2.9</v>
      </c>
      <c r="L722" s="6">
        <f t="shared" si="268"/>
        <v>-3.0000000000000249E-2</v>
      </c>
      <c r="M722">
        <v>-0.97266162162517</v>
      </c>
      <c r="N722">
        <v>334500</v>
      </c>
      <c r="O722" s="18">
        <f>ROUND(N722/VLOOKUP(EOMONTH(A722,-1),Employment!A:P,16,FALSE),4)</f>
        <v>1.4937</v>
      </c>
      <c r="P722" s="18">
        <f t="shared" si="258"/>
        <v>1.5085999999999999</v>
      </c>
      <c r="Q722" s="29">
        <f t="shared" si="259"/>
        <v>-0.12529999999999999</v>
      </c>
      <c r="R722" s="29">
        <f t="shared" si="260"/>
        <v>-1.46E-2</v>
      </c>
      <c r="S722">
        <v>2781000</v>
      </c>
      <c r="T722" s="18">
        <f>ROUND((S722/7)/VLOOKUP(EOMONTH(A722,-1),Employment!A:P,16,FALSE),4)</f>
        <v>1.7741</v>
      </c>
      <c r="U722" s="18">
        <f t="shared" si="261"/>
        <v>1.7762</v>
      </c>
      <c r="V722" s="29">
        <f t="shared" si="262"/>
        <v>-0.2122</v>
      </c>
      <c r="W722" s="29">
        <f t="shared" si="263"/>
        <v>2.5000000000000001E-3</v>
      </c>
      <c r="X722" s="30">
        <f t="shared" si="264"/>
        <v>124.11</v>
      </c>
      <c r="Y722" s="31">
        <f t="shared" si="265"/>
        <v>120.31</v>
      </c>
    </row>
    <row r="723" spans="1:25" ht="15" customHeight="1" x14ac:dyDescent="0.25">
      <c r="A723" s="5">
        <v>38284</v>
      </c>
      <c r="B723">
        <v>885.65390000000002</v>
      </c>
      <c r="C723" s="29">
        <f t="shared" si="269"/>
        <v>-6.9999999999999999E-4</v>
      </c>
      <c r="D723">
        <v>-0.71</v>
      </c>
      <c r="E723">
        <v>-0.57099999999999995</v>
      </c>
      <c r="F723" s="18">
        <f t="shared" si="256"/>
        <v>7.6000000000000512E-2</v>
      </c>
      <c r="G723" s="18">
        <f t="shared" si="257"/>
        <v>-0.51600000000000001</v>
      </c>
      <c r="H723">
        <v>3.78</v>
      </c>
      <c r="I723">
        <v>2.12</v>
      </c>
      <c r="J723">
        <f t="shared" si="266"/>
        <v>2.95</v>
      </c>
      <c r="K723" s="6">
        <f t="shared" si="267"/>
        <v>2.93</v>
      </c>
      <c r="L723" s="6">
        <f t="shared" si="268"/>
        <v>0</v>
      </c>
      <c r="M723">
        <v>-0.59434625581023004</v>
      </c>
      <c r="N723">
        <v>337750</v>
      </c>
      <c r="O723" s="18">
        <f>ROUND(N723/VLOOKUP(EOMONTH(A723,-1),Employment!A:P,16,FALSE),4)</f>
        <v>1.5082</v>
      </c>
      <c r="P723" s="18">
        <f t="shared" si="258"/>
        <v>1.516</v>
      </c>
      <c r="Q723" s="29">
        <f t="shared" si="259"/>
        <v>-0.12479999999999999</v>
      </c>
      <c r="R723" s="29">
        <f t="shared" si="260"/>
        <v>-1.9099999999999999E-2</v>
      </c>
      <c r="S723">
        <v>2773000</v>
      </c>
      <c r="T723" s="18">
        <f>ROUND((S723/7)/VLOOKUP(EOMONTH(A723,-1),Employment!A:P,16,FALSE),4)</f>
        <v>1.7689999999999999</v>
      </c>
      <c r="U723" s="18">
        <f t="shared" si="261"/>
        <v>1.7885</v>
      </c>
      <c r="V723" s="29">
        <f t="shared" si="262"/>
        <v>-0.21390000000000001</v>
      </c>
      <c r="W723" s="29">
        <f t="shared" si="263"/>
        <v>4.5999999999999999E-3</v>
      </c>
      <c r="X723" s="30">
        <f t="shared" si="264"/>
        <v>117.28</v>
      </c>
      <c r="Y723" s="31">
        <f t="shared" si="265"/>
        <v>119.7</v>
      </c>
    </row>
    <row r="724" spans="1:25" ht="15" customHeight="1" x14ac:dyDescent="0.25">
      <c r="A724" s="5">
        <v>38277</v>
      </c>
      <c r="B724">
        <v>883.69500000000005</v>
      </c>
      <c r="C724" s="29">
        <f t="shared" si="269"/>
        <v>-3.5999999999999999E-3</v>
      </c>
      <c r="D724">
        <v>-0.72</v>
      </c>
      <c r="E724">
        <v>-0.54900000000000004</v>
      </c>
      <c r="F724" s="18">
        <f t="shared" si="256"/>
        <v>-0.63200000000000145</v>
      </c>
      <c r="G724" s="18">
        <f t="shared" si="257"/>
        <v>-0.44400000000000084</v>
      </c>
      <c r="H724">
        <v>3.74</v>
      </c>
      <c r="I724">
        <v>2.12</v>
      </c>
      <c r="J724">
        <f t="shared" si="266"/>
        <v>2.93</v>
      </c>
      <c r="K724" s="6">
        <f t="shared" si="267"/>
        <v>2.93</v>
      </c>
      <c r="L724" s="6">
        <f t="shared" si="268"/>
        <v>-9.9999999999997868E-3</v>
      </c>
      <c r="M724">
        <v>-0.74924387249655999</v>
      </c>
      <c r="N724">
        <v>341250</v>
      </c>
      <c r="O724" s="18">
        <f>ROUND(N724/VLOOKUP(EOMONTH(A724,-1),Employment!A:P,16,FALSE),4)</f>
        <v>1.5238</v>
      </c>
      <c r="P724" s="18">
        <f t="shared" si="258"/>
        <v>1.5153000000000001</v>
      </c>
      <c r="Q724" s="29">
        <f t="shared" si="259"/>
        <v>-0.13389999999999999</v>
      </c>
      <c r="R724" s="29">
        <f t="shared" si="260"/>
        <v>-1.4500000000000001E-2</v>
      </c>
      <c r="S724">
        <v>2799000</v>
      </c>
      <c r="T724" s="18">
        <f>ROUND((S724/7)/VLOOKUP(EOMONTH(A724,-1),Employment!A:P,16,FALSE),4)</f>
        <v>1.7855000000000001</v>
      </c>
      <c r="U724" s="18">
        <f t="shared" si="261"/>
        <v>1.8081</v>
      </c>
      <c r="V724" s="29">
        <f t="shared" si="262"/>
        <v>-0.2142</v>
      </c>
      <c r="W724" s="29">
        <f t="shared" si="263"/>
        <v>2.0999999999999999E-3</v>
      </c>
      <c r="X724" s="30">
        <f t="shared" si="264"/>
        <v>118.41</v>
      </c>
      <c r="Y724" s="31">
        <f t="shared" si="265"/>
        <v>125.47</v>
      </c>
    </row>
    <row r="725" spans="1:25" ht="15" customHeight="1" x14ac:dyDescent="0.25">
      <c r="A725" s="5">
        <v>38270</v>
      </c>
      <c r="B725">
        <v>886.90150000000006</v>
      </c>
      <c r="C725" s="29">
        <f t="shared" si="269"/>
        <v>2.0000000000000001E-4</v>
      </c>
      <c r="D725">
        <v>-0.74</v>
      </c>
      <c r="E725">
        <v>-0.60299999999999998</v>
      </c>
      <c r="F725" s="18">
        <f t="shared" si="256"/>
        <v>4.0000000000000924E-2</v>
      </c>
      <c r="G725" s="18">
        <f t="shared" si="257"/>
        <v>0.40399999999999991</v>
      </c>
      <c r="H725">
        <v>3.73</v>
      </c>
      <c r="I725">
        <v>2.1</v>
      </c>
      <c r="J725">
        <f t="shared" si="266"/>
        <v>2.92</v>
      </c>
      <c r="K725" s="6">
        <f t="shared" si="267"/>
        <v>2.94</v>
      </c>
      <c r="L725" s="6">
        <f t="shared" si="268"/>
        <v>-2.0000000000000018E-2</v>
      </c>
      <c r="M725">
        <v>-0.76547724159081998</v>
      </c>
      <c r="N725">
        <v>339500</v>
      </c>
      <c r="O725" s="18">
        <f>ROUND(N725/VLOOKUP(EOMONTH(A725,-1),Employment!A:P,16,FALSE),4)</f>
        <v>1.516</v>
      </c>
      <c r="P725" s="18">
        <f t="shared" si="258"/>
        <v>1.5103</v>
      </c>
      <c r="Q725" s="29">
        <f t="shared" si="259"/>
        <v>-0.15060000000000001</v>
      </c>
      <c r="R725" s="29">
        <f t="shared" si="260"/>
        <v>-5.3E-3</v>
      </c>
      <c r="S725">
        <v>2839000</v>
      </c>
      <c r="T725" s="18">
        <f>ROUND((S725/7)/VLOOKUP(EOMONTH(A725,-1),Employment!A:P,16,FALSE),4)</f>
        <v>1.8110999999999999</v>
      </c>
      <c r="U725" s="18">
        <f t="shared" si="261"/>
        <v>1.825</v>
      </c>
      <c r="V725" s="29">
        <f t="shared" si="262"/>
        <v>-0.20630000000000001</v>
      </c>
      <c r="W725" s="29">
        <f t="shared" si="263"/>
        <v>-2.0000000000000001E-4</v>
      </c>
      <c r="X725" s="30">
        <f t="shared" si="264"/>
        <v>128.97</v>
      </c>
      <c r="Y725" s="31">
        <f t="shared" si="265"/>
        <v>132.81</v>
      </c>
    </row>
    <row r="726" spans="1:25" ht="15" customHeight="1" x14ac:dyDescent="0.25">
      <c r="A726" s="5">
        <v>38263</v>
      </c>
      <c r="B726">
        <v>885.81870000000004</v>
      </c>
      <c r="C726" s="29">
        <f t="shared" si="269"/>
        <v>-8.9999999999999998E-4</v>
      </c>
      <c r="D726">
        <v>-0.72</v>
      </c>
      <c r="E726">
        <v>-0.623</v>
      </c>
      <c r="F726" s="18">
        <f t="shared" si="256"/>
        <v>0.14799999999999969</v>
      </c>
      <c r="G726" s="18">
        <f t="shared" si="257"/>
        <v>0.79199999999999982</v>
      </c>
      <c r="H726">
        <v>3.78</v>
      </c>
      <c r="I726">
        <v>2.09</v>
      </c>
      <c r="J726">
        <f t="shared" si="266"/>
        <v>2.94</v>
      </c>
      <c r="K726" s="6">
        <f t="shared" si="267"/>
        <v>2.96</v>
      </c>
      <c r="L726" s="6">
        <f t="shared" si="268"/>
        <v>-2.0000000000000018E-2</v>
      </c>
      <c r="M726">
        <v>-0.67991963444182002</v>
      </c>
      <c r="N726">
        <v>337250</v>
      </c>
      <c r="O726" s="18">
        <f>ROUND(N726/VLOOKUP(EOMONTH(A726,-1),Employment!A:P,16,FALSE),4)</f>
        <v>1.506</v>
      </c>
      <c r="P726" s="18">
        <f t="shared" si="258"/>
        <v>1.5086999999999999</v>
      </c>
      <c r="Q726" s="29">
        <f t="shared" si="259"/>
        <v>-0.1638</v>
      </c>
      <c r="R726" s="29">
        <f t="shared" si="260"/>
        <v>2.3E-3</v>
      </c>
      <c r="S726">
        <v>2865000</v>
      </c>
      <c r="T726" s="18">
        <f>ROUND((S726/7)/VLOOKUP(EOMONTH(A726,-1),Employment!A:P,16,FALSE),4)</f>
        <v>1.8275999999999999</v>
      </c>
      <c r="U726" s="18">
        <f t="shared" si="261"/>
        <v>1.8327</v>
      </c>
      <c r="V726" s="29">
        <f t="shared" si="262"/>
        <v>-0.20630000000000001</v>
      </c>
      <c r="W726" s="29">
        <f t="shared" si="263"/>
        <v>8.0000000000000004E-4</v>
      </c>
      <c r="X726" s="30">
        <f t="shared" si="264"/>
        <v>134.36000000000001</v>
      </c>
      <c r="Y726" s="31">
        <f t="shared" si="265"/>
        <v>136.72999999999999</v>
      </c>
    </row>
    <row r="727" spans="1:25" ht="15" customHeight="1" x14ac:dyDescent="0.25">
      <c r="A727" s="5">
        <v>38256</v>
      </c>
      <c r="B727">
        <v>888.71640000000002</v>
      </c>
      <c r="C727" s="29">
        <f t="shared" si="269"/>
        <v>4.5999999999999999E-3</v>
      </c>
      <c r="D727">
        <v>-0.71</v>
      </c>
      <c r="E727">
        <v>-0.61699999999999999</v>
      </c>
      <c r="F727" s="18">
        <f t="shared" si="256"/>
        <v>0.2159999999999993</v>
      </c>
      <c r="G727" s="18">
        <f t="shared" si="257"/>
        <v>0.84800000000000075</v>
      </c>
      <c r="H727">
        <v>3.78</v>
      </c>
      <c r="I727">
        <v>2.12</v>
      </c>
      <c r="J727">
        <f t="shared" si="266"/>
        <v>2.95</v>
      </c>
      <c r="K727" s="6">
        <f t="shared" si="267"/>
        <v>2.98</v>
      </c>
      <c r="L727" s="6">
        <f t="shared" si="268"/>
        <v>-2.9999999999999805E-2</v>
      </c>
      <c r="M727">
        <v>-0.94003561735667995</v>
      </c>
      <c r="N727">
        <v>337500</v>
      </c>
      <c r="O727" s="18">
        <f>ROUND(N727/VLOOKUP(EOMONTH(A727,-1),Employment!A:P,16,FALSE),4)</f>
        <v>1.5088999999999999</v>
      </c>
      <c r="P727" s="18">
        <f t="shared" si="258"/>
        <v>1.5106999999999999</v>
      </c>
      <c r="Q727" s="29">
        <f t="shared" si="259"/>
        <v>-0.16930000000000001</v>
      </c>
      <c r="R727" s="29">
        <f t="shared" si="260"/>
        <v>5.0000000000000001E-3</v>
      </c>
      <c r="S727">
        <v>2875000</v>
      </c>
      <c r="T727" s="18">
        <f>ROUND((S727/7)/VLOOKUP(EOMONTH(A727,-1),Employment!A:P,16,FALSE),4)</f>
        <v>1.8362000000000001</v>
      </c>
      <c r="U727" s="18">
        <f t="shared" si="261"/>
        <v>1.8366</v>
      </c>
      <c r="V727" s="29">
        <f t="shared" si="262"/>
        <v>-0.2064</v>
      </c>
      <c r="W727" s="29">
        <f t="shared" si="263"/>
        <v>2.2000000000000001E-3</v>
      </c>
      <c r="X727" s="30">
        <f t="shared" si="264"/>
        <v>138.53</v>
      </c>
      <c r="Y727" s="31">
        <f t="shared" si="265"/>
        <v>138.01</v>
      </c>
    </row>
    <row r="728" spans="1:25" ht="15" customHeight="1" x14ac:dyDescent="0.25">
      <c r="A728" s="5">
        <v>38249</v>
      </c>
      <c r="B728">
        <v>886.22209999999995</v>
      </c>
      <c r="C728" s="29">
        <f t="shared" si="269"/>
        <v>3.0999999999999999E-3</v>
      </c>
      <c r="D728">
        <v>-0.71</v>
      </c>
      <c r="E728">
        <v>-0.59</v>
      </c>
      <c r="F728" s="18">
        <f t="shared" si="256"/>
        <v>0.42800000000000082</v>
      </c>
      <c r="G728" s="18">
        <f t="shared" si="257"/>
        <v>1.0800000000000018</v>
      </c>
      <c r="H728">
        <v>3.83</v>
      </c>
      <c r="I728">
        <v>2.13</v>
      </c>
      <c r="J728">
        <f t="shared" si="266"/>
        <v>2.98</v>
      </c>
      <c r="K728" s="6">
        <f t="shared" si="267"/>
        <v>3.01</v>
      </c>
      <c r="L728" s="6">
        <f t="shared" si="268"/>
        <v>-3.0000000000000249E-2</v>
      </c>
      <c r="M728">
        <v>-0.92844018556612995</v>
      </c>
      <c r="N728">
        <v>338000</v>
      </c>
      <c r="O728" s="18">
        <f>ROUND(N728/VLOOKUP(EOMONTH(A728,-1),Employment!A:P,16,FALSE),4)</f>
        <v>1.5111000000000001</v>
      </c>
      <c r="P728" s="18">
        <f t="shared" si="258"/>
        <v>1.5156000000000001</v>
      </c>
      <c r="Q728" s="29">
        <f t="shared" si="259"/>
        <v>-0.16619999999999999</v>
      </c>
      <c r="R728" s="29">
        <f t="shared" si="260"/>
        <v>5.1000000000000004E-3</v>
      </c>
      <c r="S728">
        <v>2872000</v>
      </c>
      <c r="T728" s="18">
        <f>ROUND((S728/7)/VLOOKUP(EOMONTH(A728,-1),Employment!A:P,16,FALSE),4)</f>
        <v>1.8343</v>
      </c>
      <c r="U728" s="18">
        <f t="shared" si="261"/>
        <v>1.8371</v>
      </c>
      <c r="V728" s="29">
        <f t="shared" si="262"/>
        <v>-0.20730000000000001</v>
      </c>
      <c r="W728" s="29">
        <f t="shared" si="263"/>
        <v>3.0999999999999999E-3</v>
      </c>
      <c r="X728" s="30">
        <f t="shared" si="264"/>
        <v>138.13</v>
      </c>
      <c r="Y728" s="31">
        <f t="shared" si="265"/>
        <v>136.75</v>
      </c>
    </row>
    <row r="729" spans="1:25" ht="15" customHeight="1" x14ac:dyDescent="0.25">
      <c r="A729" s="5">
        <v>38242</v>
      </c>
      <c r="B729">
        <v>886.23649999999998</v>
      </c>
      <c r="C729" s="29">
        <f t="shared" si="269"/>
        <v>4.7999999999999996E-3</v>
      </c>
      <c r="D729">
        <v>-0.7</v>
      </c>
      <c r="E729">
        <v>-0.54900000000000004</v>
      </c>
      <c r="F729" s="18">
        <f t="shared" si="256"/>
        <v>0.20400000000000063</v>
      </c>
      <c r="G729" s="18">
        <f t="shared" si="257"/>
        <v>0.73199999999999932</v>
      </c>
      <c r="H729">
        <v>3.88</v>
      </c>
      <c r="I729">
        <v>2.16</v>
      </c>
      <c r="J729">
        <f t="shared" si="266"/>
        <v>3.02</v>
      </c>
      <c r="K729" s="6">
        <f t="shared" si="267"/>
        <v>3.04</v>
      </c>
      <c r="L729" s="6">
        <f t="shared" si="268"/>
        <v>-4.0000000000000036E-2</v>
      </c>
      <c r="M729">
        <v>-0.73681981433476995</v>
      </c>
      <c r="N729">
        <v>338250</v>
      </c>
      <c r="O729" s="18">
        <f>ROUND(N729/VLOOKUP(EOMONTH(A729,-1),Employment!A:P,16,FALSE),4)</f>
        <v>1.5122</v>
      </c>
      <c r="P729" s="18">
        <f t="shared" si="258"/>
        <v>1.5161</v>
      </c>
      <c r="Q729" s="29">
        <f t="shared" si="259"/>
        <v>-0.1628</v>
      </c>
      <c r="R729" s="29">
        <f t="shared" si="260"/>
        <v>3.3E-3</v>
      </c>
      <c r="S729">
        <v>2880000</v>
      </c>
      <c r="T729" s="18">
        <f>ROUND((S729/7)/VLOOKUP(EOMONTH(A729,-1),Employment!A:P,16,FALSE),4)</f>
        <v>1.8393999999999999</v>
      </c>
      <c r="U729" s="18">
        <f t="shared" si="261"/>
        <v>1.8413999999999999</v>
      </c>
      <c r="V729" s="29">
        <f t="shared" si="262"/>
        <v>-0.20610000000000001</v>
      </c>
      <c r="W729" s="29">
        <f t="shared" si="263"/>
        <v>2.2000000000000001E-3</v>
      </c>
      <c r="X729" s="30">
        <f t="shared" si="264"/>
        <v>136.41</v>
      </c>
      <c r="Y729" s="31">
        <f t="shared" si="265"/>
        <v>133.34</v>
      </c>
    </row>
    <row r="730" spans="1:25" ht="15" customHeight="1" x14ac:dyDescent="0.25">
      <c r="A730" s="5">
        <v>38235</v>
      </c>
      <c r="B730">
        <v>885.24509999999998</v>
      </c>
      <c r="C730" s="29">
        <f t="shared" si="269"/>
        <v>5.5999999999999999E-3</v>
      </c>
      <c r="D730">
        <v>-0.71</v>
      </c>
      <c r="E730">
        <v>-0.51100000000000001</v>
      </c>
      <c r="F730" s="18">
        <f t="shared" si="256"/>
        <v>0.4480000000000004</v>
      </c>
      <c r="G730" s="18">
        <f t="shared" si="257"/>
        <v>0.98799999999999777</v>
      </c>
      <c r="H730">
        <v>3.89</v>
      </c>
      <c r="I730">
        <v>2.15</v>
      </c>
      <c r="J730">
        <f t="shared" si="266"/>
        <v>3.02</v>
      </c>
      <c r="K730" s="6">
        <f t="shared" si="267"/>
        <v>3.08</v>
      </c>
      <c r="L730" s="6">
        <f t="shared" si="268"/>
        <v>-6.0000000000000053E-2</v>
      </c>
      <c r="M730">
        <v>-0.86625137722712997</v>
      </c>
      <c r="N730">
        <v>340750</v>
      </c>
      <c r="O730" s="18">
        <f>ROUND(N730/VLOOKUP(EOMONTH(A730,-1),Employment!A:P,16,FALSE),4)</f>
        <v>1.5234000000000001</v>
      </c>
      <c r="P730" s="18">
        <f t="shared" si="258"/>
        <v>1.5182</v>
      </c>
      <c r="Q730" s="29">
        <f t="shared" si="259"/>
        <v>-0.159</v>
      </c>
      <c r="R730" s="29">
        <f t="shared" si="260"/>
        <v>-1.2999999999999999E-3</v>
      </c>
      <c r="S730">
        <v>2877000</v>
      </c>
      <c r="T730" s="18">
        <f>ROUND((S730/7)/VLOOKUP(EOMONTH(A730,-1),Employment!A:P,16,FALSE),4)</f>
        <v>1.8374999999999999</v>
      </c>
      <c r="U730" s="18">
        <f t="shared" si="261"/>
        <v>1.8506</v>
      </c>
      <c r="V730" s="29">
        <f t="shared" si="262"/>
        <v>-0.2016</v>
      </c>
      <c r="W730" s="29">
        <f t="shared" si="263"/>
        <v>1.1000000000000001E-3</v>
      </c>
      <c r="X730" s="30">
        <f t="shared" si="264"/>
        <v>134.12</v>
      </c>
      <c r="Y730" s="31">
        <f t="shared" si="265"/>
        <v>127.24</v>
      </c>
    </row>
    <row r="731" spans="1:25" ht="15" customHeight="1" x14ac:dyDescent="0.25">
      <c r="A731" s="5">
        <v>38228</v>
      </c>
      <c r="B731">
        <v>880.74590000000001</v>
      </c>
      <c r="C731" s="29">
        <f t="shared" si="269"/>
        <v>8.9999999999999998E-4</v>
      </c>
      <c r="D731">
        <v>-0.69</v>
      </c>
      <c r="E731">
        <v>-0.48</v>
      </c>
      <c r="F731" s="18">
        <f t="shared" si="256"/>
        <v>7.9999999999998295E-2</v>
      </c>
      <c r="G731" s="18">
        <f t="shared" si="257"/>
        <v>0.12399999999999878</v>
      </c>
      <c r="H731">
        <v>3.97</v>
      </c>
      <c r="I731">
        <v>2.1800000000000002</v>
      </c>
      <c r="J731">
        <f t="shared" si="266"/>
        <v>3.08</v>
      </c>
      <c r="K731" s="6">
        <f t="shared" si="267"/>
        <v>3.14</v>
      </c>
      <c r="L731" s="6">
        <f t="shared" si="268"/>
        <v>-4.0000000000000036E-2</v>
      </c>
      <c r="M731">
        <v>-0.43456166927466999</v>
      </c>
      <c r="N731">
        <v>338000</v>
      </c>
      <c r="O731" s="18">
        <f>ROUND(N731/VLOOKUP(EOMONTH(A731,-1),Employment!A:P,16,FALSE),4)</f>
        <v>1.5127999999999999</v>
      </c>
      <c r="P731" s="18">
        <f t="shared" si="258"/>
        <v>1.5250999999999999</v>
      </c>
      <c r="Q731" s="29">
        <f t="shared" si="259"/>
        <v>-0.15659999999999999</v>
      </c>
      <c r="R731" s="29">
        <f t="shared" si="260"/>
        <v>-9.5999999999999992E-3</v>
      </c>
      <c r="S731">
        <v>2889000</v>
      </c>
      <c r="T731" s="18">
        <f>ROUND((S731/7)/VLOOKUP(EOMONTH(A731,-1),Employment!A:P,16,FALSE),4)</f>
        <v>1.8472</v>
      </c>
      <c r="U731" s="18">
        <f t="shared" si="261"/>
        <v>1.8549</v>
      </c>
      <c r="V731" s="29">
        <f t="shared" si="262"/>
        <v>-0.20200000000000001</v>
      </c>
      <c r="W731" s="29">
        <f t="shared" si="263"/>
        <v>1.5E-3</v>
      </c>
      <c r="X731" s="30">
        <f t="shared" si="264"/>
        <v>123.72</v>
      </c>
      <c r="Y731" s="31">
        <f t="shared" si="265"/>
        <v>120.52</v>
      </c>
    </row>
    <row r="732" spans="1:25" ht="15" customHeight="1" x14ac:dyDescent="0.25">
      <c r="A732" s="5">
        <v>38221</v>
      </c>
      <c r="B732">
        <v>881.75490000000002</v>
      </c>
      <c r="C732" s="29">
        <f t="shared" si="269"/>
        <v>3.5000000000000001E-3</v>
      </c>
      <c r="D732">
        <v>-0.69</v>
      </c>
      <c r="E732">
        <v>-0.47</v>
      </c>
      <c r="F732" s="18">
        <f t="shared" si="256"/>
        <v>0.45999999999999908</v>
      </c>
      <c r="G732" s="18">
        <f t="shared" si="257"/>
        <v>-4.7999999999998266E-2</v>
      </c>
      <c r="H732">
        <v>4.07</v>
      </c>
      <c r="I732">
        <v>2.19</v>
      </c>
      <c r="J732">
        <f t="shared" si="266"/>
        <v>3.13</v>
      </c>
      <c r="K732" s="6">
        <f t="shared" si="267"/>
        <v>3.18</v>
      </c>
      <c r="L732" s="6">
        <f t="shared" si="268"/>
        <v>3.0000000000000249E-2</v>
      </c>
      <c r="M732">
        <v>-0.34949048315052</v>
      </c>
      <c r="N732">
        <v>339250</v>
      </c>
      <c r="O732" s="18">
        <f>ROUND(N732/VLOOKUP(EOMONTH(A732,-1),Employment!A:P,16,FALSE),4)</f>
        <v>1.5184</v>
      </c>
      <c r="P732" s="18">
        <f t="shared" si="258"/>
        <v>1.5388999999999999</v>
      </c>
      <c r="Q732" s="29">
        <f t="shared" si="259"/>
        <v>-0.1525</v>
      </c>
      <c r="R732" s="29">
        <f t="shared" si="260"/>
        <v>-1.6799999999999999E-2</v>
      </c>
      <c r="S732">
        <v>2920000</v>
      </c>
      <c r="T732" s="18">
        <f>ROUND((S732/7)/VLOOKUP(EOMONTH(A732,-1),Employment!A:P,16,FALSE),4)</f>
        <v>1.8671</v>
      </c>
      <c r="U732" s="18">
        <f t="shared" si="261"/>
        <v>1.8647</v>
      </c>
      <c r="V732" s="29">
        <f t="shared" si="262"/>
        <v>-0.20100000000000001</v>
      </c>
      <c r="W732" s="29">
        <f t="shared" si="263"/>
        <v>-2.8999999999999998E-3</v>
      </c>
      <c r="X732" s="30">
        <f t="shared" si="264"/>
        <v>118.83</v>
      </c>
      <c r="Y732" s="31">
        <f t="shared" si="265"/>
        <v>118.9</v>
      </c>
    </row>
    <row r="733" spans="1:25" ht="15" customHeight="1" x14ac:dyDescent="0.25">
      <c r="A733" s="5">
        <v>38214</v>
      </c>
      <c r="B733">
        <v>880.09109999999998</v>
      </c>
      <c r="C733" s="29">
        <f t="shared" si="269"/>
        <v>2.5999999999999999E-3</v>
      </c>
      <c r="D733">
        <v>-0.68</v>
      </c>
      <c r="E733">
        <v>-0.42499999999999999</v>
      </c>
      <c r="F733" s="18">
        <f t="shared" si="256"/>
        <v>-0.41599999999999859</v>
      </c>
      <c r="G733" s="18">
        <f t="shared" si="257"/>
        <v>-0.56799999999999962</v>
      </c>
      <c r="H733">
        <v>4.2</v>
      </c>
      <c r="I733">
        <v>2.2000000000000002</v>
      </c>
      <c r="J733">
        <f t="shared" si="266"/>
        <v>3.2</v>
      </c>
      <c r="K733" s="6">
        <f t="shared" si="267"/>
        <v>3.15</v>
      </c>
      <c r="L733" s="6">
        <f t="shared" si="268"/>
        <v>4.9999999999999822E-2</v>
      </c>
      <c r="M733">
        <v>-0.43042129858731998</v>
      </c>
      <c r="N733">
        <v>345000</v>
      </c>
      <c r="O733" s="18">
        <f>ROUND(N733/VLOOKUP(EOMONTH(A733,-1),Employment!A:P,16,FALSE),4)</f>
        <v>1.5442</v>
      </c>
      <c r="P733" s="18">
        <f t="shared" si="258"/>
        <v>1.5452999999999999</v>
      </c>
      <c r="Q733" s="29">
        <f t="shared" si="259"/>
        <v>-0.15690000000000001</v>
      </c>
      <c r="R733" s="29">
        <f t="shared" si="260"/>
        <v>-1.5599999999999999E-2</v>
      </c>
      <c r="S733">
        <v>2894000</v>
      </c>
      <c r="T733" s="18">
        <f>ROUND((S733/7)/VLOOKUP(EOMONTH(A733,-1),Employment!A:P,16,FALSE),4)</f>
        <v>1.8504</v>
      </c>
      <c r="U733" s="18">
        <f t="shared" si="261"/>
        <v>1.8724000000000001</v>
      </c>
      <c r="V733" s="29">
        <f t="shared" si="262"/>
        <v>-0.19750000000000001</v>
      </c>
      <c r="W733" s="29">
        <f t="shared" si="263"/>
        <v>-4.3E-3</v>
      </c>
      <c r="X733" s="30">
        <f t="shared" si="264"/>
        <v>116.75999999999999</v>
      </c>
      <c r="Y733" s="31">
        <f t="shared" si="265"/>
        <v>122.58</v>
      </c>
    </row>
    <row r="734" spans="1:25" ht="15" customHeight="1" x14ac:dyDescent="0.25">
      <c r="A734" s="5">
        <v>38207</v>
      </c>
      <c r="B734">
        <v>878.80470000000003</v>
      </c>
      <c r="C734" s="29">
        <f t="shared" si="269"/>
        <v>3.0000000000000001E-3</v>
      </c>
      <c r="D734">
        <v>-0.7</v>
      </c>
      <c r="E734">
        <v>-0.45200000000000001</v>
      </c>
      <c r="F734" s="18">
        <f t="shared" si="256"/>
        <v>-9.1999999999998749E-2</v>
      </c>
      <c r="G734" s="18">
        <f t="shared" si="257"/>
        <v>8.799999999999919E-2</v>
      </c>
      <c r="H734">
        <v>4.1900000000000004</v>
      </c>
      <c r="I734">
        <v>2.2200000000000002</v>
      </c>
      <c r="J734">
        <f t="shared" si="266"/>
        <v>3.21</v>
      </c>
      <c r="K734" s="6">
        <f t="shared" si="267"/>
        <v>3.1</v>
      </c>
      <c r="L734" s="6">
        <f t="shared" si="268"/>
        <v>4.0000000000000036E-2</v>
      </c>
      <c r="M734">
        <v>-0.15389208478970001</v>
      </c>
      <c r="N734">
        <v>347250</v>
      </c>
      <c r="O734" s="18">
        <f>ROUND(N734/VLOOKUP(EOMONTH(A734,-1),Employment!A:P,16,FALSE),4)</f>
        <v>1.5542</v>
      </c>
      <c r="P734" s="18">
        <f t="shared" si="258"/>
        <v>1.5435000000000001</v>
      </c>
      <c r="Q734" s="29">
        <f t="shared" si="259"/>
        <v>-0.17030000000000001</v>
      </c>
      <c r="R734" s="29">
        <f t="shared" si="260"/>
        <v>-8.2000000000000007E-3</v>
      </c>
      <c r="S734">
        <v>2935000</v>
      </c>
      <c r="T734" s="18">
        <f>ROUND((S734/7)/VLOOKUP(EOMONTH(A734,-1),Employment!A:P,16,FALSE),4)</f>
        <v>1.8767</v>
      </c>
      <c r="U734" s="18">
        <f t="shared" si="261"/>
        <v>1.8641000000000001</v>
      </c>
      <c r="V734" s="29">
        <f t="shared" si="262"/>
        <v>-0.20119999999999999</v>
      </c>
      <c r="W734" s="29">
        <f t="shared" si="263"/>
        <v>-6.1999999999999998E-3</v>
      </c>
      <c r="X734" s="30">
        <f t="shared" si="264"/>
        <v>124.44</v>
      </c>
      <c r="Y734" s="31">
        <f t="shared" si="265"/>
        <v>129.38</v>
      </c>
    </row>
    <row r="735" spans="1:25" ht="15" customHeight="1" x14ac:dyDescent="0.25">
      <c r="A735" s="5">
        <v>38200</v>
      </c>
      <c r="B735">
        <v>879.08169999999996</v>
      </c>
      <c r="C735" s="29">
        <f t="shared" si="269"/>
        <v>5.7999999999999996E-3</v>
      </c>
      <c r="D735">
        <v>-0.69</v>
      </c>
      <c r="E735">
        <v>-0.47599999999999998</v>
      </c>
      <c r="F735" s="18">
        <f t="shared" si="256"/>
        <v>-6.0000000000002274E-2</v>
      </c>
      <c r="G735" s="18">
        <f t="shared" si="257"/>
        <v>7.1999999999999176E-2</v>
      </c>
      <c r="H735">
        <v>3.99</v>
      </c>
      <c r="I735">
        <v>2.1</v>
      </c>
      <c r="J735">
        <f t="shared" si="266"/>
        <v>3.05</v>
      </c>
      <c r="K735" s="6">
        <f t="shared" si="267"/>
        <v>3.06</v>
      </c>
      <c r="L735" s="6">
        <f t="shared" si="268"/>
        <v>-2.0000000000000018E-2</v>
      </c>
      <c r="M735">
        <v>0.47446457303331002</v>
      </c>
      <c r="N735">
        <v>343500</v>
      </c>
      <c r="O735" s="18">
        <f>ROUND(N735/VLOOKUP(EOMONTH(A735,-1),Employment!A:P,16,FALSE),4)</f>
        <v>1.5374000000000001</v>
      </c>
      <c r="P735" s="18">
        <f t="shared" si="258"/>
        <v>1.5381</v>
      </c>
      <c r="Q735" s="29">
        <f t="shared" si="259"/>
        <v>-0.1847</v>
      </c>
      <c r="R735" s="29">
        <f t="shared" si="260"/>
        <v>-5.0000000000000001E-4</v>
      </c>
      <c r="S735">
        <v>2956000</v>
      </c>
      <c r="T735" s="18">
        <f>ROUND((S735/7)/VLOOKUP(EOMONTH(A735,-1),Employment!A:P,16,FALSE),4)</f>
        <v>1.8900999999999999</v>
      </c>
      <c r="U735" s="18">
        <f t="shared" si="261"/>
        <v>1.8674999999999999</v>
      </c>
      <c r="V735" s="29">
        <f t="shared" si="262"/>
        <v>-0.19850000000000001</v>
      </c>
      <c r="W735" s="29">
        <f t="shared" si="263"/>
        <v>-1.2999999999999999E-3</v>
      </c>
      <c r="X735" s="30">
        <f t="shared" si="264"/>
        <v>132.49</v>
      </c>
      <c r="Y735" s="31">
        <f t="shared" si="265"/>
        <v>133.1</v>
      </c>
    </row>
    <row r="736" spans="1:25" ht="15" customHeight="1" x14ac:dyDescent="0.25">
      <c r="A736" s="5">
        <v>38193</v>
      </c>
      <c r="B736">
        <v>876.8492</v>
      </c>
      <c r="C736" s="29">
        <f t="shared" si="269"/>
        <v>5.4000000000000003E-3</v>
      </c>
      <c r="D736">
        <v>-0.7</v>
      </c>
      <c r="E736">
        <v>-0.47099999999999997</v>
      </c>
      <c r="F736" s="18">
        <f t="shared" si="256"/>
        <v>0.24000000000000021</v>
      </c>
      <c r="G736" s="18">
        <f t="shared" si="257"/>
        <v>0.19200000000000195</v>
      </c>
      <c r="H736">
        <v>3.95</v>
      </c>
      <c r="I736">
        <v>2.13</v>
      </c>
      <c r="J736">
        <f t="shared" si="266"/>
        <v>3.04</v>
      </c>
      <c r="K736" s="6">
        <f t="shared" si="267"/>
        <v>3.08</v>
      </c>
      <c r="L736" s="6">
        <f t="shared" si="268"/>
        <v>-4.0000000000000036E-2</v>
      </c>
      <c r="M736">
        <v>0.74878515902276999</v>
      </c>
      <c r="N736">
        <v>343500</v>
      </c>
      <c r="O736" s="18">
        <f>ROUND(N736/VLOOKUP(EOMONTH(A736,-1),Employment!A:P,16,FALSE),4)</f>
        <v>1.5389999999999999</v>
      </c>
      <c r="P736" s="18">
        <f t="shared" si="258"/>
        <v>1.536</v>
      </c>
      <c r="Q736" s="29">
        <f t="shared" si="259"/>
        <v>-0.1933</v>
      </c>
      <c r="R736" s="29">
        <f t="shared" si="260"/>
        <v>4.0000000000000002E-4</v>
      </c>
      <c r="S736">
        <v>2852000</v>
      </c>
      <c r="T736" s="18">
        <f>ROUND((S736/7)/VLOOKUP(EOMONTH(A736,-1),Employment!A:P,16,FALSE),4)</f>
        <v>1.8253999999999999</v>
      </c>
      <c r="U736" s="18">
        <f t="shared" si="261"/>
        <v>1.8597999999999999</v>
      </c>
      <c r="V736" s="29">
        <f t="shared" si="262"/>
        <v>-0.21260000000000001</v>
      </c>
      <c r="W736" s="29">
        <f t="shared" si="263"/>
        <v>2.0000000000000001E-4</v>
      </c>
      <c r="X736" s="30">
        <f t="shared" si="264"/>
        <v>133.94999999999999</v>
      </c>
      <c r="Y736" s="31">
        <f t="shared" si="265"/>
        <v>132.41</v>
      </c>
    </row>
    <row r="737" spans="1:25" ht="15" customHeight="1" x14ac:dyDescent="0.25">
      <c r="A737" s="5">
        <v>38186</v>
      </c>
      <c r="B737">
        <v>876.40800000000002</v>
      </c>
      <c r="C737" s="29">
        <f t="shared" si="269"/>
        <v>7.7999999999999996E-3</v>
      </c>
      <c r="D737">
        <v>-0.7</v>
      </c>
      <c r="E737">
        <v>-0.441</v>
      </c>
      <c r="F737" s="18">
        <f t="shared" si="256"/>
        <v>-0.10799999999999876</v>
      </c>
      <c r="G737" s="18">
        <f t="shared" si="257"/>
        <v>0.20400000000000063</v>
      </c>
      <c r="H737">
        <v>4.0199999999999996</v>
      </c>
      <c r="I737">
        <v>2.15</v>
      </c>
      <c r="J737">
        <f t="shared" si="266"/>
        <v>3.09</v>
      </c>
      <c r="K737" s="6">
        <f t="shared" si="267"/>
        <v>3.12</v>
      </c>
      <c r="L737" s="6">
        <f t="shared" si="268"/>
        <v>2.0000000000000018E-2</v>
      </c>
      <c r="M737">
        <v>1.2556819722784001</v>
      </c>
      <c r="N737">
        <v>343250</v>
      </c>
      <c r="O737" s="18">
        <f>ROUND(N737/VLOOKUP(EOMONTH(A737,-1),Employment!A:P,16,FALSE),4)</f>
        <v>1.5379</v>
      </c>
      <c r="P737" s="18">
        <f t="shared" si="258"/>
        <v>1.5442</v>
      </c>
      <c r="Q737" s="29">
        <f t="shared" si="259"/>
        <v>-0.19059999999999999</v>
      </c>
      <c r="R737" s="29">
        <f t="shared" si="260"/>
        <v>-3.0999999999999999E-3</v>
      </c>
      <c r="S737">
        <v>2948000</v>
      </c>
      <c r="T737" s="18">
        <f>ROUND((S737/7)/VLOOKUP(EOMONTH(A737,-1),Employment!A:P,16,FALSE),4)</f>
        <v>1.8869</v>
      </c>
      <c r="U737" s="18">
        <f t="shared" si="261"/>
        <v>1.8855999999999999</v>
      </c>
      <c r="V737" s="29">
        <f t="shared" si="262"/>
        <v>-0.2084</v>
      </c>
      <c r="W737" s="29">
        <f t="shared" si="263"/>
        <v>-1.4E-3</v>
      </c>
      <c r="X737" s="30">
        <f t="shared" si="264"/>
        <v>132.51</v>
      </c>
      <c r="Y737" s="31">
        <f t="shared" si="265"/>
        <v>130.19999999999999</v>
      </c>
    </row>
    <row r="738" spans="1:25" ht="15" customHeight="1" x14ac:dyDescent="0.25">
      <c r="A738" s="5">
        <v>38179</v>
      </c>
      <c r="B738">
        <v>872.22670000000005</v>
      </c>
      <c r="C738" s="29">
        <f t="shared" si="269"/>
        <v>5.1000000000000004E-3</v>
      </c>
      <c r="D738">
        <v>-0.73</v>
      </c>
      <c r="E738">
        <v>-0.41699999999999998</v>
      </c>
      <c r="F738" s="18">
        <f t="shared" si="256"/>
        <v>6.0000000000000497E-2</v>
      </c>
      <c r="G738" s="18">
        <f t="shared" si="257"/>
        <v>-0.24000000000000021</v>
      </c>
      <c r="H738">
        <v>4.08</v>
      </c>
      <c r="I738">
        <v>2.14</v>
      </c>
      <c r="J738">
        <f t="shared" si="266"/>
        <v>3.11</v>
      </c>
      <c r="K738" s="6">
        <f t="shared" si="267"/>
        <v>3.1</v>
      </c>
      <c r="L738" s="6">
        <f t="shared" si="268"/>
        <v>3.0000000000000249E-2</v>
      </c>
      <c r="M738">
        <v>1.7499797280980001</v>
      </c>
      <c r="N738">
        <v>341750</v>
      </c>
      <c r="O738" s="18">
        <f>ROUND(N738/VLOOKUP(EOMONTH(A738,-1),Employment!A:P,16,FALSE),4)</f>
        <v>1.5311999999999999</v>
      </c>
      <c r="P738" s="18">
        <f t="shared" si="258"/>
        <v>1.5491999999999999</v>
      </c>
      <c r="Q738" s="29">
        <f t="shared" si="259"/>
        <v>-0.18940000000000001</v>
      </c>
      <c r="R738" s="29">
        <f t="shared" si="260"/>
        <v>-6.3E-3</v>
      </c>
      <c r="S738">
        <v>2917000</v>
      </c>
      <c r="T738" s="18">
        <f>ROUND((S738/7)/VLOOKUP(EOMONTH(A738,-1),Employment!A:P,16,FALSE),4)</f>
        <v>1.867</v>
      </c>
      <c r="U738" s="18">
        <f t="shared" si="261"/>
        <v>1.8952</v>
      </c>
      <c r="V738" s="29">
        <f t="shared" si="262"/>
        <v>-0.20949999999999999</v>
      </c>
      <c r="W738" s="29">
        <f t="shared" si="263"/>
        <v>-3.3999999999999998E-3</v>
      </c>
      <c r="X738" s="30">
        <f t="shared" si="264"/>
        <v>128.32</v>
      </c>
      <c r="Y738" s="31">
        <f t="shared" si="265"/>
        <v>128.77000000000001</v>
      </c>
    </row>
    <row r="739" spans="1:25" ht="15" customHeight="1" x14ac:dyDescent="0.25">
      <c r="A739" s="5">
        <v>38172</v>
      </c>
      <c r="B739">
        <v>870.72940000000006</v>
      </c>
      <c r="C739" s="29">
        <f t="shared" si="269"/>
        <v>4.8999999999999998E-3</v>
      </c>
      <c r="D739">
        <v>-0.72</v>
      </c>
      <c r="E739">
        <v>-0.42199999999999999</v>
      </c>
      <c r="F739" s="18">
        <f t="shared" si="256"/>
        <v>0.25199999999999889</v>
      </c>
      <c r="G739" s="18">
        <f t="shared" si="257"/>
        <v>0.40399999999999814</v>
      </c>
      <c r="H739">
        <v>4.17</v>
      </c>
      <c r="I739">
        <v>2.13</v>
      </c>
      <c r="J739">
        <f t="shared" si="266"/>
        <v>3.15</v>
      </c>
      <c r="K739" s="6">
        <f t="shared" si="267"/>
        <v>3.07</v>
      </c>
      <c r="L739" s="6">
        <f t="shared" si="268"/>
        <v>2.9999999999999805E-2</v>
      </c>
      <c r="M739">
        <v>1.5913795242166</v>
      </c>
      <c r="N739">
        <v>349000</v>
      </c>
      <c r="O739" s="18">
        <f>ROUND(N739/VLOOKUP(EOMONTH(A739,-1),Employment!A:P,16,FALSE),4)</f>
        <v>1.5636000000000001</v>
      </c>
      <c r="P739" s="18">
        <f t="shared" si="258"/>
        <v>1.552</v>
      </c>
      <c r="Q739" s="29">
        <f t="shared" si="259"/>
        <v>-0.18970000000000001</v>
      </c>
      <c r="R739" s="29">
        <f t="shared" si="260"/>
        <v>-8.6E-3</v>
      </c>
      <c r="S739">
        <v>2973000</v>
      </c>
      <c r="T739" s="18">
        <f>ROUND((S739/7)/VLOOKUP(EOMONTH(A739,-1),Employment!A:P,16,FALSE),4)</f>
        <v>1.9029</v>
      </c>
      <c r="U739" s="18">
        <f t="shared" si="261"/>
        <v>1.8971</v>
      </c>
      <c r="V739" s="29">
        <f t="shared" si="262"/>
        <v>-0.2051</v>
      </c>
      <c r="W739" s="29">
        <f t="shared" si="263"/>
        <v>1.9E-3</v>
      </c>
      <c r="X739" s="30">
        <f t="shared" si="264"/>
        <v>129.11000000000001</v>
      </c>
      <c r="Y739" s="31">
        <f t="shared" si="265"/>
        <v>129.78</v>
      </c>
    </row>
    <row r="740" spans="1:25" ht="15" customHeight="1" x14ac:dyDescent="0.25">
      <c r="A740" s="5">
        <v>38165</v>
      </c>
      <c r="B740">
        <v>869.07330000000002</v>
      </c>
      <c r="C740" s="29">
        <f t="shared" si="269"/>
        <v>5.0000000000000001E-3</v>
      </c>
      <c r="D740">
        <v>-0.71</v>
      </c>
      <c r="E740">
        <v>-0.40300000000000002</v>
      </c>
      <c r="F740" s="18">
        <f t="shared" si="256"/>
        <v>-0.5519999999999996</v>
      </c>
      <c r="G740" s="18">
        <f t="shared" si="257"/>
        <v>-9.9999999999999645E-2</v>
      </c>
      <c r="H740">
        <v>4</v>
      </c>
      <c r="I740">
        <v>2.0699999999999998</v>
      </c>
      <c r="J740">
        <f t="shared" si="266"/>
        <v>3.04</v>
      </c>
      <c r="K740" s="6">
        <f t="shared" si="267"/>
        <v>3.04</v>
      </c>
      <c r="L740" s="6">
        <f t="shared" si="268"/>
        <v>-2.0000000000000018E-2</v>
      </c>
      <c r="M740">
        <v>2.5156032562744999</v>
      </c>
      <c r="N740">
        <v>346250</v>
      </c>
      <c r="O740" s="18">
        <f>ROUND(N740/VLOOKUP(EOMONTH(A740,-1),Employment!A:P,16,FALSE),4)</f>
        <v>1.5528999999999999</v>
      </c>
      <c r="P740" s="18">
        <f t="shared" si="258"/>
        <v>1.5477000000000001</v>
      </c>
      <c r="Q740" s="29">
        <f t="shared" si="259"/>
        <v>-0.19489999999999999</v>
      </c>
      <c r="R740" s="29">
        <f t="shared" si="260"/>
        <v>-9.4000000000000004E-3</v>
      </c>
      <c r="S740">
        <v>2990000</v>
      </c>
      <c r="T740" s="18">
        <f>ROUND((S740/7)/VLOOKUP(EOMONTH(A740,-1),Employment!A:P,16,FALSE),4)</f>
        <v>1.9157</v>
      </c>
      <c r="U740" s="18">
        <f t="shared" si="261"/>
        <v>1.8855999999999999</v>
      </c>
      <c r="V740" s="29">
        <f t="shared" si="262"/>
        <v>-0.216</v>
      </c>
      <c r="W740" s="29">
        <f t="shared" si="263"/>
        <v>5.7000000000000002E-3</v>
      </c>
      <c r="X740" s="30">
        <f t="shared" si="264"/>
        <v>129.03</v>
      </c>
      <c r="Y740" s="31">
        <f t="shared" si="265"/>
        <v>131.36000000000001</v>
      </c>
    </row>
    <row r="741" spans="1:25" ht="15" customHeight="1" x14ac:dyDescent="0.25">
      <c r="A741" s="5">
        <v>38158</v>
      </c>
      <c r="B741">
        <v>866.45600000000002</v>
      </c>
      <c r="C741" s="29">
        <f t="shared" si="269"/>
        <v>3.5000000000000001E-3</v>
      </c>
      <c r="D741">
        <v>-0.71</v>
      </c>
      <c r="E741">
        <v>-0.47199999999999998</v>
      </c>
      <c r="F741" s="18">
        <f t="shared" si="256"/>
        <v>0.70399999999999885</v>
      </c>
      <c r="G741" s="18">
        <f t="shared" si="257"/>
        <v>1.3079999999999998</v>
      </c>
      <c r="H741">
        <v>4.0199999999999996</v>
      </c>
      <c r="I741">
        <v>2.0299999999999998</v>
      </c>
      <c r="J741">
        <f t="shared" si="266"/>
        <v>3.03</v>
      </c>
      <c r="K741" s="6">
        <f t="shared" si="267"/>
        <v>3.06</v>
      </c>
      <c r="L741" s="6">
        <f t="shared" si="268"/>
        <v>-4.0000000000000036E-2</v>
      </c>
      <c r="M741">
        <v>3.1018046760243001</v>
      </c>
      <c r="N741">
        <v>343250</v>
      </c>
      <c r="O741" s="18">
        <f>ROUND(N741/VLOOKUP(EOMONTH(A741,-1),Employment!A:P,16,FALSE),4)</f>
        <v>1.5395000000000001</v>
      </c>
      <c r="P741" s="18">
        <f t="shared" si="258"/>
        <v>1.5371999999999999</v>
      </c>
      <c r="Q741" s="29">
        <f t="shared" si="259"/>
        <v>-0.2009</v>
      </c>
      <c r="R741" s="29">
        <f t="shared" si="260"/>
        <v>-1.0500000000000001E-2</v>
      </c>
      <c r="S741">
        <v>2923000</v>
      </c>
      <c r="T741" s="18">
        <f>ROUND((S741/7)/VLOOKUP(EOMONTH(A741,-1),Employment!A:P,16,FALSE),4)</f>
        <v>1.8728</v>
      </c>
      <c r="U741" s="18">
        <f t="shared" si="261"/>
        <v>1.8898999999999999</v>
      </c>
      <c r="V741" s="29">
        <f t="shared" si="262"/>
        <v>-0.21260000000000001</v>
      </c>
      <c r="W741" s="29">
        <f t="shared" si="263"/>
        <v>5.1999999999999998E-3</v>
      </c>
      <c r="X741" s="30">
        <f t="shared" si="264"/>
        <v>133.32999999999998</v>
      </c>
      <c r="Y741" s="31">
        <f t="shared" si="265"/>
        <v>133.80000000000001</v>
      </c>
    </row>
    <row r="742" spans="1:25" ht="15" customHeight="1" x14ac:dyDescent="0.25">
      <c r="A742" s="5">
        <v>38151</v>
      </c>
      <c r="B742">
        <v>864.82979999999998</v>
      </c>
      <c r="C742" s="29">
        <f t="shared" si="269"/>
        <v>2.5999999999999999E-3</v>
      </c>
      <c r="D742">
        <v>-0.71</v>
      </c>
      <c r="E742">
        <v>-0.38400000000000001</v>
      </c>
      <c r="F742" s="18">
        <f t="shared" si="256"/>
        <v>-0.25199999999999889</v>
      </c>
      <c r="G742" s="18">
        <f t="shared" si="257"/>
        <v>0.66400000000000148</v>
      </c>
      <c r="H742">
        <v>4.05</v>
      </c>
      <c r="I742">
        <v>2.0299999999999998</v>
      </c>
      <c r="J742">
        <f t="shared" si="266"/>
        <v>3.04</v>
      </c>
      <c r="K742" s="6">
        <f t="shared" si="267"/>
        <v>3.1</v>
      </c>
      <c r="L742" s="6">
        <f t="shared" si="268"/>
        <v>-4.0000000000000036E-2</v>
      </c>
      <c r="M742">
        <v>3.5890062576266999</v>
      </c>
      <c r="N742">
        <v>345750</v>
      </c>
      <c r="O742" s="18">
        <f>ROUND(N742/VLOOKUP(EOMONTH(A742,-1),Employment!A:P,16,FALSE),4)</f>
        <v>1.5507</v>
      </c>
      <c r="P742" s="18">
        <f t="shared" si="258"/>
        <v>1.5268999999999999</v>
      </c>
      <c r="Q742" s="29">
        <f t="shared" si="259"/>
        <v>-0.20449999999999999</v>
      </c>
      <c r="R742" s="29">
        <f t="shared" si="260"/>
        <v>-7.6E-3</v>
      </c>
      <c r="S742">
        <v>2916000</v>
      </c>
      <c r="T742" s="18">
        <f>ROUND((S742/7)/VLOOKUP(EOMONTH(A742,-1),Employment!A:P,16,FALSE),4)</f>
        <v>1.8683000000000001</v>
      </c>
      <c r="U742" s="18">
        <f t="shared" si="261"/>
        <v>1.9017999999999999</v>
      </c>
      <c r="V742" s="29">
        <f t="shared" si="262"/>
        <v>-0.21010000000000001</v>
      </c>
      <c r="W742" s="29">
        <f t="shared" si="263"/>
        <v>1.8E-3</v>
      </c>
      <c r="X742" s="30">
        <f t="shared" si="264"/>
        <v>132.26</v>
      </c>
      <c r="Y742" s="31">
        <f t="shared" si="265"/>
        <v>135.72999999999999</v>
      </c>
    </row>
    <row r="743" spans="1:25" ht="15" customHeight="1" x14ac:dyDescent="0.25">
      <c r="A743" s="5">
        <v>38144</v>
      </c>
      <c r="B743">
        <v>865.57539999999995</v>
      </c>
      <c r="C743" s="29">
        <f t="shared" si="269"/>
        <v>3.5000000000000001E-3</v>
      </c>
      <c r="D743">
        <v>-0.72</v>
      </c>
      <c r="E743">
        <v>-0.40300000000000002</v>
      </c>
      <c r="F743" s="18">
        <f t="shared" si="256"/>
        <v>0.85599999999999987</v>
      </c>
      <c r="G743" s="18">
        <f t="shared" si="257"/>
        <v>0.46400000000000041</v>
      </c>
      <c r="H743">
        <v>4.16</v>
      </c>
      <c r="I743">
        <v>2.06</v>
      </c>
      <c r="J743">
        <f t="shared" si="266"/>
        <v>3.11</v>
      </c>
      <c r="K743" s="6">
        <f t="shared" si="267"/>
        <v>3.14</v>
      </c>
      <c r="L743" s="6">
        <f t="shared" si="268"/>
        <v>-4.9999999999999822E-2</v>
      </c>
      <c r="M743">
        <v>4.9984601134305002</v>
      </c>
      <c r="N743">
        <v>339250</v>
      </c>
      <c r="O743" s="18">
        <f>ROUND(N743/VLOOKUP(EOMONTH(A743,-1),Employment!A:P,16,FALSE),4)</f>
        <v>1.5215000000000001</v>
      </c>
      <c r="P743" s="18">
        <f t="shared" si="258"/>
        <v>1.5116000000000001</v>
      </c>
      <c r="Q743" s="29">
        <f t="shared" si="259"/>
        <v>-0.21429999999999999</v>
      </c>
      <c r="R743" s="29">
        <f t="shared" si="260"/>
        <v>-5.0000000000000001E-4</v>
      </c>
      <c r="S743">
        <v>3010000</v>
      </c>
      <c r="T743" s="18">
        <f>ROUND((S743/7)/VLOOKUP(EOMONTH(A743,-1),Employment!A:P,16,FALSE),4)</f>
        <v>1.9285000000000001</v>
      </c>
      <c r="U743" s="18">
        <f t="shared" si="261"/>
        <v>1.9156</v>
      </c>
      <c r="V743" s="29">
        <f t="shared" si="262"/>
        <v>-0.1996</v>
      </c>
      <c r="W743" s="29">
        <f t="shared" si="263"/>
        <v>4.4000000000000003E-3</v>
      </c>
      <c r="X743" s="30">
        <f t="shared" si="264"/>
        <v>138.80000000000001</v>
      </c>
      <c r="Y743" s="31">
        <f t="shared" si="265"/>
        <v>137.63999999999999</v>
      </c>
    </row>
    <row r="744" spans="1:25" ht="15" customHeight="1" x14ac:dyDescent="0.25">
      <c r="A744" s="5">
        <v>38137</v>
      </c>
      <c r="B744">
        <v>862.24260000000004</v>
      </c>
      <c r="C744" s="29">
        <f t="shared" si="269"/>
        <v>-2.9999999999999997E-4</v>
      </c>
      <c r="D744">
        <v>-0.7</v>
      </c>
      <c r="E744">
        <v>-0.32100000000000001</v>
      </c>
      <c r="F744" s="18">
        <f t="shared" si="256"/>
        <v>6.0000000000000497E-2</v>
      </c>
      <c r="G744" s="18">
        <f t="shared" si="257"/>
        <v>-1.1800000000000015</v>
      </c>
      <c r="H744">
        <v>4.24</v>
      </c>
      <c r="I744">
        <v>2.0299999999999998</v>
      </c>
      <c r="J744">
        <f t="shared" si="266"/>
        <v>3.14</v>
      </c>
      <c r="K744" s="6">
        <f t="shared" si="267"/>
        <v>3.19</v>
      </c>
      <c r="L744" s="6">
        <f t="shared" si="268"/>
        <v>4.9999999999999822E-2</v>
      </c>
      <c r="M744">
        <v>5.9887232937155002</v>
      </c>
      <c r="N744">
        <v>336000</v>
      </c>
      <c r="O744" s="18">
        <f>ROUND(N744/VLOOKUP(EOMONTH(A744,-1),Employment!A:P,16,FALSE),4)</f>
        <v>1.5084</v>
      </c>
      <c r="P744" s="18">
        <f t="shared" si="258"/>
        <v>1.5117</v>
      </c>
      <c r="Q744" s="29">
        <f t="shared" si="259"/>
        <v>-0.22170000000000001</v>
      </c>
      <c r="R744" s="29">
        <f t="shared" si="260"/>
        <v>6.7999999999999996E-3</v>
      </c>
      <c r="S744">
        <v>2976000</v>
      </c>
      <c r="T744" s="18">
        <f>ROUND((S744/7)/VLOOKUP(EOMONTH(A744,-1),Employment!A:P,16,FALSE),4)</f>
        <v>1.9085000000000001</v>
      </c>
      <c r="U744" s="18">
        <f t="shared" si="261"/>
        <v>1.9137</v>
      </c>
      <c r="V744" s="29">
        <f t="shared" si="262"/>
        <v>-0.20480000000000001</v>
      </c>
      <c r="W744" s="29">
        <f t="shared" si="263"/>
        <v>1.15E-2</v>
      </c>
      <c r="X744" s="30">
        <f t="shared" si="264"/>
        <v>136.74</v>
      </c>
      <c r="Y744" s="31">
        <f t="shared" si="265"/>
        <v>136.82</v>
      </c>
    </row>
    <row r="745" spans="1:25" ht="15" customHeight="1" x14ac:dyDescent="0.25">
      <c r="A745" s="5">
        <v>38130</v>
      </c>
      <c r="B745">
        <v>861.07399999999996</v>
      </c>
      <c r="C745" s="29">
        <f t="shared" si="269"/>
        <v>-2.8999999999999998E-3</v>
      </c>
      <c r="D745">
        <v>-0.71</v>
      </c>
      <c r="E745">
        <v>-0.30099999999999999</v>
      </c>
      <c r="F745" s="18">
        <f t="shared" si="256"/>
        <v>-0.45199999999999996</v>
      </c>
      <c r="G745" s="18">
        <f t="shared" si="257"/>
        <v>-1.6640000000000015</v>
      </c>
      <c r="H745">
        <v>4.32</v>
      </c>
      <c r="I745">
        <v>2.0299999999999998</v>
      </c>
      <c r="J745">
        <f t="shared" si="266"/>
        <v>3.18</v>
      </c>
      <c r="K745" s="6">
        <f t="shared" si="267"/>
        <v>3.14</v>
      </c>
      <c r="L745" s="6">
        <f t="shared" si="268"/>
        <v>7.0000000000000284E-2</v>
      </c>
      <c r="M745">
        <v>7.0557295490612999</v>
      </c>
      <c r="N745">
        <v>335250</v>
      </c>
      <c r="O745" s="18">
        <f>ROUND(N745/VLOOKUP(EOMONTH(A745,-1),Employment!A:P,16,FALSE),4)</f>
        <v>1.5049999999999999</v>
      </c>
      <c r="P745" s="18">
        <f t="shared" si="258"/>
        <v>1.5259</v>
      </c>
      <c r="Q745" s="29">
        <f t="shared" si="259"/>
        <v>-0.2248</v>
      </c>
      <c r="R745" s="29">
        <f t="shared" si="260"/>
        <v>9.4000000000000004E-3</v>
      </c>
      <c r="S745">
        <v>2978000</v>
      </c>
      <c r="T745" s="18">
        <f>ROUND((S745/7)/VLOOKUP(EOMONTH(A745,-1),Employment!A:P,16,FALSE),4)</f>
        <v>1.9097999999999999</v>
      </c>
      <c r="U745" s="18">
        <f t="shared" si="261"/>
        <v>1.9103000000000001</v>
      </c>
      <c r="V745" s="29">
        <f t="shared" si="262"/>
        <v>-0.20369999999999999</v>
      </c>
      <c r="W745" s="29">
        <f t="shared" si="263"/>
        <v>1.5299999999999999E-2</v>
      </c>
      <c r="X745" s="30">
        <f t="shared" si="264"/>
        <v>137</v>
      </c>
      <c r="Y745" s="31">
        <f t="shared" si="265"/>
        <v>137.13999999999999</v>
      </c>
    </row>
    <row r="746" spans="1:25" ht="15" customHeight="1" x14ac:dyDescent="0.25">
      <c r="A746" s="5">
        <v>38123</v>
      </c>
      <c r="B746">
        <v>861.41250000000002</v>
      </c>
      <c r="C746" s="29">
        <f t="shared" si="269"/>
        <v>-3.7000000000000002E-3</v>
      </c>
      <c r="D746">
        <v>-0.72</v>
      </c>
      <c r="E746">
        <v>-0.34499999999999997</v>
      </c>
      <c r="F746" s="18">
        <f t="shared" si="256"/>
        <v>-0.78800000000000203</v>
      </c>
      <c r="G746" s="18">
        <f t="shared" si="257"/>
        <v>-1.548</v>
      </c>
      <c r="H746">
        <v>4.4800000000000004</v>
      </c>
      <c r="I746">
        <v>2.0299999999999998</v>
      </c>
      <c r="J746">
        <f t="shared" si="266"/>
        <v>3.26</v>
      </c>
      <c r="K746" s="6">
        <f t="shared" si="267"/>
        <v>3.07</v>
      </c>
      <c r="L746" s="6">
        <f t="shared" si="268"/>
        <v>9.9999999999999645E-2</v>
      </c>
      <c r="M746">
        <v>7.7503097888083001</v>
      </c>
      <c r="N746">
        <v>339000</v>
      </c>
      <c r="O746" s="18">
        <f>ROUND(N746/VLOOKUP(EOMONTH(A746,-1),Employment!A:P,16,FALSE),4)</f>
        <v>1.5218</v>
      </c>
      <c r="P746" s="18">
        <f t="shared" si="258"/>
        <v>1.5454000000000001</v>
      </c>
      <c r="Q746" s="29">
        <f t="shared" si="259"/>
        <v>-0.2195</v>
      </c>
      <c r="R746" s="29">
        <f t="shared" si="260"/>
        <v>7.4999999999999997E-3</v>
      </c>
      <c r="S746">
        <v>2998000</v>
      </c>
      <c r="T746" s="18">
        <f>ROUND((S746/7)/VLOOKUP(EOMONTH(A746,-1),Employment!A:P,16,FALSE),4)</f>
        <v>1.9227000000000001</v>
      </c>
      <c r="U746" s="18">
        <f t="shared" si="261"/>
        <v>1.9216</v>
      </c>
      <c r="V746" s="29">
        <f t="shared" si="262"/>
        <v>-0.1968</v>
      </c>
      <c r="W746" s="29">
        <f t="shared" si="263"/>
        <v>1.38E-2</v>
      </c>
      <c r="X746" s="30">
        <f t="shared" si="264"/>
        <v>136.59</v>
      </c>
      <c r="Y746" s="31">
        <f t="shared" si="265"/>
        <v>137.1</v>
      </c>
    </row>
    <row r="747" spans="1:25" ht="15" customHeight="1" x14ac:dyDescent="0.25">
      <c r="A747" s="5">
        <v>38116</v>
      </c>
      <c r="B747">
        <v>865.40340000000003</v>
      </c>
      <c r="C747" s="29">
        <f t="shared" si="269"/>
        <v>8.9999999999999998E-4</v>
      </c>
      <c r="D747">
        <v>-0.75</v>
      </c>
      <c r="E747">
        <v>-0.40600000000000003</v>
      </c>
      <c r="F747" s="18">
        <f t="shared" si="256"/>
        <v>-0.42399999999999949</v>
      </c>
      <c r="G747" s="18">
        <f t="shared" si="257"/>
        <v>-1.1400000000000006</v>
      </c>
      <c r="H747">
        <v>3.99</v>
      </c>
      <c r="I747">
        <v>1.97</v>
      </c>
      <c r="J747">
        <f t="shared" si="266"/>
        <v>2.98</v>
      </c>
      <c r="K747" s="6">
        <f t="shared" si="267"/>
        <v>2.97</v>
      </c>
      <c r="L747" s="6">
        <f t="shared" si="268"/>
        <v>-2.0000000000000018E-2</v>
      </c>
      <c r="M747">
        <v>7.9099603301041004</v>
      </c>
      <c r="N747">
        <v>345500</v>
      </c>
      <c r="O747" s="18">
        <f>ROUND(N747/VLOOKUP(EOMONTH(A747,-1),Employment!A:P,16,FALSE),4)</f>
        <v>1.5509999999999999</v>
      </c>
      <c r="P747" s="18">
        <f t="shared" si="258"/>
        <v>1.5601</v>
      </c>
      <c r="Q747" s="29">
        <f t="shared" si="259"/>
        <v>-0.21199999999999999</v>
      </c>
      <c r="R747" s="29">
        <f t="shared" si="260"/>
        <v>3.2000000000000002E-3</v>
      </c>
      <c r="S747">
        <v>2960000</v>
      </c>
      <c r="T747" s="18">
        <f>ROUND((S747/7)/VLOOKUP(EOMONTH(A747,-1),Employment!A:P,16,FALSE),4)</f>
        <v>1.8983000000000001</v>
      </c>
      <c r="U747" s="18">
        <f t="shared" si="261"/>
        <v>1.9273</v>
      </c>
      <c r="V747" s="29">
        <f t="shared" si="262"/>
        <v>-0.18410000000000001</v>
      </c>
      <c r="W747" s="29">
        <f t="shared" si="263"/>
        <v>1.14E-2</v>
      </c>
      <c r="X747" s="30">
        <f t="shared" si="264"/>
        <v>138.88</v>
      </c>
      <c r="Y747" s="31">
        <f t="shared" si="265"/>
        <v>136.84</v>
      </c>
    </row>
    <row r="748" spans="1:25" ht="15" customHeight="1" x14ac:dyDescent="0.25">
      <c r="A748" s="5">
        <v>38109</v>
      </c>
      <c r="B748">
        <v>862.03809999999999</v>
      </c>
      <c r="C748" s="29">
        <f t="shared" si="269"/>
        <v>-5.1999999999999998E-3</v>
      </c>
      <c r="D748">
        <v>-0.75</v>
      </c>
      <c r="E748">
        <v>-0.45900000000000002</v>
      </c>
      <c r="F748" s="18">
        <f t="shared" si="256"/>
        <v>-0.33599999999999852</v>
      </c>
      <c r="G748" s="18">
        <f t="shared" si="257"/>
        <v>-1.6599999999999984</v>
      </c>
      <c r="H748">
        <v>3.91</v>
      </c>
      <c r="I748">
        <v>2.0499999999999998</v>
      </c>
      <c r="J748">
        <f t="shared" si="266"/>
        <v>2.98</v>
      </c>
      <c r="K748" s="6">
        <f t="shared" si="267"/>
        <v>2.99</v>
      </c>
      <c r="L748" s="6">
        <f t="shared" si="268"/>
        <v>-3.9999999999999591E-2</v>
      </c>
      <c r="M748">
        <v>8.5258726381110002</v>
      </c>
      <c r="N748">
        <v>348250</v>
      </c>
      <c r="O748" s="18">
        <f>ROUND(N748/VLOOKUP(EOMONTH(A748,-1),Employment!A:P,16,FALSE),4)</f>
        <v>1.5633999999999999</v>
      </c>
      <c r="P748" s="18">
        <f t="shared" si="258"/>
        <v>1.5583</v>
      </c>
      <c r="Q748" s="29">
        <f t="shared" si="259"/>
        <v>-0.2044</v>
      </c>
      <c r="R748" s="29">
        <f t="shared" si="260"/>
        <v>1.1999999999999999E-3</v>
      </c>
      <c r="S748">
        <v>3031000</v>
      </c>
      <c r="T748" s="18">
        <f>ROUND((S748/7)/VLOOKUP(EOMONTH(A748,-1),Employment!A:P,16,FALSE),4)</f>
        <v>1.9438</v>
      </c>
      <c r="U748" s="18">
        <f t="shared" si="261"/>
        <v>1.9342999999999999</v>
      </c>
      <c r="V748" s="29">
        <f t="shared" si="262"/>
        <v>-0.1744</v>
      </c>
      <c r="W748" s="29">
        <f t="shared" si="263"/>
        <v>9.4999999999999998E-3</v>
      </c>
      <c r="X748" s="30">
        <f t="shared" si="264"/>
        <v>133.94999999999999</v>
      </c>
      <c r="Y748" s="31">
        <f t="shared" si="265"/>
        <v>137.55000000000001</v>
      </c>
    </row>
    <row r="749" spans="1:25" ht="15" customHeight="1" x14ac:dyDescent="0.25">
      <c r="A749" s="5">
        <v>38102</v>
      </c>
      <c r="B749">
        <v>865.62969999999996</v>
      </c>
      <c r="C749" s="29">
        <f t="shared" si="269"/>
        <v>-1.9E-3</v>
      </c>
      <c r="D749">
        <v>-0.77</v>
      </c>
      <c r="E749">
        <v>-0.47599999999999998</v>
      </c>
      <c r="F749" s="18">
        <f t="shared" si="256"/>
        <v>-0.38000000000000256</v>
      </c>
      <c r="G749" s="18">
        <f t="shared" si="257"/>
        <v>-1.1440000000000019</v>
      </c>
      <c r="H749">
        <v>3.81</v>
      </c>
      <c r="I749">
        <v>2.0699999999999998</v>
      </c>
      <c r="J749">
        <f t="shared" si="266"/>
        <v>2.94</v>
      </c>
      <c r="K749" s="6">
        <f t="shared" si="267"/>
        <v>3.03</v>
      </c>
      <c r="L749" s="6">
        <f t="shared" si="268"/>
        <v>-8.0000000000000071E-2</v>
      </c>
      <c r="M749">
        <v>8.8090442839730994</v>
      </c>
      <c r="N749">
        <v>348500</v>
      </c>
      <c r="O749" s="18">
        <f>ROUND(N749/VLOOKUP(EOMONTH(A749,-1),Employment!A:P,16,FALSE),4)</f>
        <v>1.5659000000000001</v>
      </c>
      <c r="P749" s="18">
        <f t="shared" si="258"/>
        <v>1.5461</v>
      </c>
      <c r="Q749" s="29">
        <f t="shared" si="259"/>
        <v>-0.20300000000000001</v>
      </c>
      <c r="R749" s="29">
        <f t="shared" si="260"/>
        <v>2.7000000000000001E-3</v>
      </c>
      <c r="S749">
        <v>3022000</v>
      </c>
      <c r="T749" s="18">
        <f>ROUND((S749/7)/VLOOKUP(EOMONTH(A749,-1),Employment!A:P,16,FALSE),4)</f>
        <v>1.9399</v>
      </c>
      <c r="U749" s="18">
        <f t="shared" si="261"/>
        <v>1.9298</v>
      </c>
      <c r="V749" s="29">
        <f t="shared" si="262"/>
        <v>-0.16600000000000001</v>
      </c>
      <c r="W749" s="29">
        <f t="shared" si="263"/>
        <v>9.5999999999999992E-3</v>
      </c>
      <c r="X749" s="30">
        <f t="shared" si="264"/>
        <v>138.97</v>
      </c>
      <c r="Y749" s="31">
        <f t="shared" si="265"/>
        <v>142.63999999999999</v>
      </c>
    </row>
    <row r="750" spans="1:25" ht="15" customHeight="1" x14ac:dyDescent="0.25">
      <c r="A750" s="5">
        <v>38095</v>
      </c>
      <c r="B750">
        <v>865.41099999999994</v>
      </c>
      <c r="C750" s="29">
        <f t="shared" si="269"/>
        <v>-4.1999999999999997E-3</v>
      </c>
      <c r="D750">
        <v>-0.78</v>
      </c>
      <c r="E750">
        <v>-0.51100000000000001</v>
      </c>
      <c r="F750" s="18">
        <f t="shared" si="256"/>
        <v>-0.94399999999999729</v>
      </c>
      <c r="G750" s="18">
        <f t="shared" si="257"/>
        <v>-0.91600000000000037</v>
      </c>
      <c r="H750">
        <v>3.96</v>
      </c>
      <c r="I750">
        <v>2.11</v>
      </c>
      <c r="J750">
        <f t="shared" si="266"/>
        <v>3.04</v>
      </c>
      <c r="K750" s="6">
        <f t="shared" si="267"/>
        <v>3.11</v>
      </c>
      <c r="L750" s="6">
        <f t="shared" si="268"/>
        <v>-0.11000000000000032</v>
      </c>
      <c r="M750">
        <v>9.472803189175</v>
      </c>
      <c r="N750">
        <v>344000</v>
      </c>
      <c r="O750" s="18">
        <f>ROUND(N750/VLOOKUP(EOMONTH(A750,-1),Employment!A:P,16,FALSE),4)</f>
        <v>1.5457000000000001</v>
      </c>
      <c r="P750" s="18">
        <f t="shared" si="258"/>
        <v>1.5363</v>
      </c>
      <c r="Q750" s="29">
        <f t="shared" si="259"/>
        <v>-0.20250000000000001</v>
      </c>
      <c r="R750" s="29">
        <f t="shared" si="260"/>
        <v>8.3999999999999995E-3</v>
      </c>
      <c r="S750">
        <v>2990000</v>
      </c>
      <c r="T750" s="18">
        <f>ROUND((S750/7)/VLOOKUP(EOMONTH(A750,-1),Employment!A:P,16,FALSE),4)</f>
        <v>1.9193</v>
      </c>
      <c r="U750" s="18">
        <f t="shared" si="261"/>
        <v>1.9392</v>
      </c>
      <c r="V750" s="29">
        <f t="shared" si="262"/>
        <v>-0.1618</v>
      </c>
      <c r="W750" s="29">
        <f t="shared" si="263"/>
        <v>9.1999999999999998E-3</v>
      </c>
      <c r="X750" s="30">
        <f t="shared" si="264"/>
        <v>142.99</v>
      </c>
      <c r="Y750" s="31">
        <f t="shared" si="265"/>
        <v>148.85</v>
      </c>
    </row>
    <row r="751" spans="1:25" ht="15" customHeight="1" x14ac:dyDescent="0.25">
      <c r="A751" s="5">
        <v>38088</v>
      </c>
      <c r="B751">
        <v>865.27589999999998</v>
      </c>
      <c r="C751" s="29">
        <f t="shared" si="269"/>
        <v>-6.4000000000000003E-3</v>
      </c>
      <c r="D751">
        <v>-0.82</v>
      </c>
      <c r="E751">
        <v>-0.57899999999999996</v>
      </c>
      <c r="F751" s="18">
        <f t="shared" si="256"/>
        <v>0.17999999999999794</v>
      </c>
      <c r="G751" s="18">
        <f t="shared" si="257"/>
        <v>-0.25200000000000244</v>
      </c>
      <c r="H751">
        <v>4.0599999999999996</v>
      </c>
      <c r="I751">
        <v>2.15</v>
      </c>
      <c r="J751">
        <f t="shared" si="266"/>
        <v>3.11</v>
      </c>
      <c r="K751" s="6">
        <f t="shared" si="267"/>
        <v>3.22</v>
      </c>
      <c r="L751" s="6">
        <f t="shared" si="268"/>
        <v>-7.9999999999999627E-2</v>
      </c>
      <c r="M751">
        <v>10.068630974055999</v>
      </c>
      <c r="N751">
        <v>339750</v>
      </c>
      <c r="O751" s="18">
        <f>ROUND(N751/VLOOKUP(EOMONTH(A751,-1),Employment!A:P,16,FALSE),4)</f>
        <v>1.5266</v>
      </c>
      <c r="P751" s="18">
        <f t="shared" si="258"/>
        <v>1.5367999999999999</v>
      </c>
      <c r="Q751" s="29">
        <f t="shared" si="259"/>
        <v>-0.2029</v>
      </c>
      <c r="R751" s="29">
        <f t="shared" si="260"/>
        <v>1.83E-2</v>
      </c>
      <c r="S751">
        <v>3007000</v>
      </c>
      <c r="T751" s="18">
        <f>ROUND((S751/7)/VLOOKUP(EOMONTH(A751,-1),Employment!A:P,16,FALSE),4)</f>
        <v>1.9301999999999999</v>
      </c>
      <c r="U751" s="18">
        <f t="shared" si="261"/>
        <v>1.9504999999999999</v>
      </c>
      <c r="V751" s="29">
        <f t="shared" si="262"/>
        <v>-0.15279999999999999</v>
      </c>
      <c r="W751" s="29">
        <f t="shared" si="263"/>
        <v>1.1299999999999999E-2</v>
      </c>
      <c r="X751" s="30">
        <f t="shared" si="264"/>
        <v>150.91</v>
      </c>
      <c r="Y751" s="31">
        <f t="shared" si="265"/>
        <v>155.78</v>
      </c>
    </row>
    <row r="752" spans="1:25" ht="15" customHeight="1" x14ac:dyDescent="0.25">
      <c r="A752" s="5">
        <v>38081</v>
      </c>
      <c r="B752">
        <v>869.68910000000005</v>
      </c>
      <c r="C752" s="29">
        <f t="shared" si="269"/>
        <v>-2.0999999999999999E-3</v>
      </c>
      <c r="D752">
        <v>-0.81</v>
      </c>
      <c r="E752">
        <v>-0.56899999999999995</v>
      </c>
      <c r="F752" s="18">
        <f t="shared" si="256"/>
        <v>-0.15200000000000102</v>
      </c>
      <c r="G752" s="18">
        <f t="shared" si="257"/>
        <v>-0.58399999999999963</v>
      </c>
      <c r="H752">
        <v>4.16</v>
      </c>
      <c r="I752">
        <v>2.17</v>
      </c>
      <c r="J752">
        <f t="shared" si="266"/>
        <v>3.17</v>
      </c>
      <c r="K752" s="6">
        <f t="shared" si="267"/>
        <v>3.3</v>
      </c>
      <c r="L752" s="6">
        <f t="shared" si="268"/>
        <v>-6.0000000000000053E-2</v>
      </c>
      <c r="M752">
        <v>10.387538621624</v>
      </c>
      <c r="N752">
        <v>342000</v>
      </c>
      <c r="O752" s="18">
        <f>ROUND(N752/VLOOKUP(EOMONTH(A752,-1),Employment!A:P,16,FALSE),4)</f>
        <v>1.5367</v>
      </c>
      <c r="P752" s="18">
        <f t="shared" si="258"/>
        <v>1.5485</v>
      </c>
      <c r="Q752" s="29">
        <f t="shared" si="259"/>
        <v>-0.19980000000000001</v>
      </c>
      <c r="R752" s="29">
        <f t="shared" si="260"/>
        <v>2.9100000000000001E-2</v>
      </c>
      <c r="S752">
        <v>3066000</v>
      </c>
      <c r="T752" s="18">
        <f>ROUND((S752/7)/VLOOKUP(EOMONTH(A752,-1),Employment!A:P,16,FALSE),4)</f>
        <v>1.9681</v>
      </c>
      <c r="U752" s="18">
        <f t="shared" si="261"/>
        <v>1.9650000000000001</v>
      </c>
      <c r="V752" s="29">
        <f t="shared" si="262"/>
        <v>-0.14860000000000001</v>
      </c>
      <c r="W752" s="29">
        <f t="shared" si="263"/>
        <v>1.6E-2</v>
      </c>
      <c r="X752" s="30">
        <f t="shared" si="264"/>
        <v>158.37</v>
      </c>
      <c r="Y752" s="31">
        <f t="shared" si="265"/>
        <v>160.24</v>
      </c>
    </row>
    <row r="753" spans="1:25" ht="15" customHeight="1" x14ac:dyDescent="0.25">
      <c r="A753" s="5">
        <v>38074</v>
      </c>
      <c r="B753">
        <v>868.87139999999999</v>
      </c>
      <c r="C753" s="29">
        <f t="shared" si="269"/>
        <v>-5.1000000000000004E-3</v>
      </c>
      <c r="D753">
        <v>-0.81</v>
      </c>
      <c r="E753">
        <v>-0.58799999999999997</v>
      </c>
      <c r="F753" s="18">
        <f t="shared" si="256"/>
        <v>-0.27999999999999936</v>
      </c>
      <c r="G753" s="18">
        <f t="shared" si="257"/>
        <v>-0.25999999999999801</v>
      </c>
      <c r="H753">
        <v>4.42</v>
      </c>
      <c r="I753">
        <v>2.31</v>
      </c>
      <c r="J753">
        <f t="shared" si="266"/>
        <v>3.37</v>
      </c>
      <c r="K753" s="6">
        <f t="shared" si="267"/>
        <v>3.36</v>
      </c>
      <c r="L753" s="6">
        <f t="shared" si="268"/>
        <v>2.0000000000000018E-2</v>
      </c>
      <c r="M753">
        <v>11.010605456727999</v>
      </c>
      <c r="N753">
        <v>344000</v>
      </c>
      <c r="O753" s="18">
        <f>ROUND(N753/VLOOKUP(EOMONTH(A753,-1),Employment!A:P,16,FALSE),4)</f>
        <v>1.5470999999999999</v>
      </c>
      <c r="P753" s="18">
        <f t="shared" si="258"/>
        <v>1.5636000000000001</v>
      </c>
      <c r="Q753" s="29">
        <f t="shared" si="259"/>
        <v>-0.1923</v>
      </c>
      <c r="R753" s="29">
        <f t="shared" si="260"/>
        <v>3.4700000000000002E-2</v>
      </c>
      <c r="S753">
        <v>3040000</v>
      </c>
      <c r="T753" s="18">
        <f>ROUND((S753/7)/VLOOKUP(EOMONTH(A753,-1),Employment!A:P,16,FALSE),4)</f>
        <v>1.9531000000000001</v>
      </c>
      <c r="U753" s="18">
        <f t="shared" si="261"/>
        <v>1.9636</v>
      </c>
      <c r="V753" s="29">
        <f t="shared" si="262"/>
        <v>-0.14230000000000001</v>
      </c>
      <c r="W753" s="29">
        <f t="shared" si="263"/>
        <v>2.12E-2</v>
      </c>
      <c r="X753" s="30">
        <f t="shared" si="264"/>
        <v>161.47</v>
      </c>
      <c r="Y753" s="31">
        <f t="shared" si="265"/>
        <v>160.52000000000001</v>
      </c>
    </row>
    <row r="754" spans="1:25" ht="15" customHeight="1" x14ac:dyDescent="0.25">
      <c r="A754" s="5">
        <v>38067</v>
      </c>
      <c r="B754">
        <v>872.37139999999999</v>
      </c>
      <c r="C754" s="29">
        <f t="shared" si="269"/>
        <v>-2.2000000000000001E-3</v>
      </c>
      <c r="D754">
        <v>-0.81</v>
      </c>
      <c r="E754">
        <v>-0.623</v>
      </c>
      <c r="F754" s="18">
        <f t="shared" si="256"/>
        <v>-0.15199999999999925</v>
      </c>
      <c r="G754" s="18">
        <f t="shared" si="257"/>
        <v>0.46000000000000263</v>
      </c>
      <c r="H754">
        <v>4.43</v>
      </c>
      <c r="I754">
        <v>2.2999999999999998</v>
      </c>
      <c r="J754">
        <f t="shared" si="266"/>
        <v>3.37</v>
      </c>
      <c r="K754" s="6">
        <f t="shared" si="267"/>
        <v>3.34</v>
      </c>
      <c r="L754" s="6">
        <f t="shared" si="268"/>
        <v>2.9999999999999805E-2</v>
      </c>
      <c r="M754">
        <v>11.578680253012999</v>
      </c>
      <c r="N754">
        <v>347250</v>
      </c>
      <c r="O754" s="18">
        <f>ROUND(N754/VLOOKUP(EOMONTH(A754,-1),Employment!A:P,16,FALSE),4)</f>
        <v>1.5617000000000001</v>
      </c>
      <c r="P754" s="18">
        <f t="shared" si="258"/>
        <v>1.5887</v>
      </c>
      <c r="Q754" s="29">
        <f t="shared" si="259"/>
        <v>-0.17380000000000001</v>
      </c>
      <c r="R754" s="29">
        <f t="shared" si="260"/>
        <v>2.93E-2</v>
      </c>
      <c r="S754">
        <v>3072000</v>
      </c>
      <c r="T754" s="18">
        <f>ROUND((S754/7)/VLOOKUP(EOMONTH(A754,-1),Employment!A:P,16,FALSE),4)</f>
        <v>1.9737</v>
      </c>
      <c r="U754" s="18">
        <f t="shared" si="261"/>
        <v>1.9746999999999999</v>
      </c>
      <c r="V754" s="29">
        <f t="shared" si="262"/>
        <v>-0.13519999999999999</v>
      </c>
      <c r="W754" s="29">
        <f t="shared" si="263"/>
        <v>1.9E-2</v>
      </c>
      <c r="X754" s="30">
        <f t="shared" si="264"/>
        <v>161.81</v>
      </c>
      <c r="Y754" s="31">
        <f t="shared" si="265"/>
        <v>156.58000000000001</v>
      </c>
    </row>
    <row r="755" spans="1:25" ht="15" customHeight="1" x14ac:dyDescent="0.25">
      <c r="A755" s="5">
        <v>38060</v>
      </c>
      <c r="B755">
        <v>872.46699999999998</v>
      </c>
      <c r="C755" s="29">
        <f t="shared" si="269"/>
        <v>-2.8E-3</v>
      </c>
      <c r="D755">
        <v>-0.81</v>
      </c>
      <c r="E755">
        <v>-0.64200000000000002</v>
      </c>
      <c r="F755" s="18">
        <f t="shared" si="256"/>
        <v>0.1720000000000006</v>
      </c>
      <c r="G755" s="18">
        <f t="shared" si="257"/>
        <v>1.0519999999999996</v>
      </c>
      <c r="H755">
        <v>4.3899999999999997</v>
      </c>
      <c r="I755">
        <v>2.31</v>
      </c>
      <c r="J755">
        <f t="shared" si="266"/>
        <v>3.35</v>
      </c>
      <c r="K755" s="6">
        <f t="shared" si="267"/>
        <v>3.31</v>
      </c>
      <c r="L755" s="6">
        <f t="shared" si="268"/>
        <v>5.0000000000000266E-2</v>
      </c>
      <c r="M755">
        <v>11.725458650150999</v>
      </c>
      <c r="N755">
        <v>351750</v>
      </c>
      <c r="O755" s="18">
        <f>ROUND(N755/VLOOKUP(EOMONTH(A755,-1),Employment!A:P,16,FALSE),4)</f>
        <v>1.5819000000000001</v>
      </c>
      <c r="P755" s="18">
        <f t="shared" si="258"/>
        <v>1.6198999999999999</v>
      </c>
      <c r="Q755" s="29">
        <f t="shared" si="259"/>
        <v>-0.14630000000000001</v>
      </c>
      <c r="R755" s="29">
        <f t="shared" si="260"/>
        <v>1.77E-2</v>
      </c>
      <c r="S755">
        <v>3057000</v>
      </c>
      <c r="T755" s="18">
        <f>ROUND((S755/7)/VLOOKUP(EOMONTH(A755,-1),Employment!A:P,16,FALSE),4)</f>
        <v>1.964</v>
      </c>
      <c r="U755" s="18">
        <f t="shared" si="261"/>
        <v>1.9879</v>
      </c>
      <c r="V755" s="29">
        <f t="shared" si="262"/>
        <v>-0.1181</v>
      </c>
      <c r="W755" s="29">
        <f t="shared" si="263"/>
        <v>1.24E-2</v>
      </c>
      <c r="X755" s="30">
        <f t="shared" si="264"/>
        <v>154.94</v>
      </c>
      <c r="Y755" s="31">
        <f t="shared" si="265"/>
        <v>149.84</v>
      </c>
    </row>
    <row r="756" spans="1:25" ht="15" customHeight="1" x14ac:dyDescent="0.25">
      <c r="A756" s="5">
        <v>38053</v>
      </c>
      <c r="B756">
        <v>872.42070000000001</v>
      </c>
      <c r="C756" s="29">
        <f t="shared" si="269"/>
        <v>-3.8E-3</v>
      </c>
      <c r="D756">
        <v>-0.82</v>
      </c>
      <c r="E756">
        <v>-0.60799999999999998</v>
      </c>
      <c r="F756" s="18">
        <f t="shared" si="256"/>
        <v>0.44000000000000128</v>
      </c>
      <c r="G756" s="18">
        <f t="shared" si="257"/>
        <v>1.9919999999999991</v>
      </c>
      <c r="H756">
        <v>4.3499999999999996</v>
      </c>
      <c r="I756">
        <v>2.25</v>
      </c>
      <c r="J756">
        <f t="shared" si="266"/>
        <v>3.3</v>
      </c>
      <c r="K756" s="6">
        <f t="shared" si="267"/>
        <v>3.26</v>
      </c>
      <c r="L756" s="6">
        <f t="shared" si="268"/>
        <v>1.9999999999999574E-2</v>
      </c>
      <c r="M756">
        <v>11.174776651998</v>
      </c>
      <c r="N756">
        <v>360750</v>
      </c>
      <c r="O756" s="18">
        <f>ROUND(N756/VLOOKUP(EOMONTH(A756,-1),Employment!A:P,16,FALSE),4)</f>
        <v>1.6224000000000001</v>
      </c>
      <c r="P756" s="18">
        <f t="shared" si="258"/>
        <v>1.6420999999999999</v>
      </c>
      <c r="Q756" s="29">
        <f t="shared" si="259"/>
        <v>-0.12239999999999999</v>
      </c>
      <c r="R756" s="29">
        <f t="shared" si="260"/>
        <v>5.1999999999999998E-3</v>
      </c>
      <c r="S756">
        <v>3092000</v>
      </c>
      <c r="T756" s="18">
        <f>ROUND((S756/7)/VLOOKUP(EOMONTH(A756,-1),Employment!A:P,16,FALSE),4)</f>
        <v>1.9864999999999999</v>
      </c>
      <c r="U756" s="18">
        <f t="shared" si="261"/>
        <v>2.0146999999999999</v>
      </c>
      <c r="V756" s="29">
        <f t="shared" si="262"/>
        <v>-0.1031</v>
      </c>
      <c r="W756" s="29">
        <f t="shared" si="263"/>
        <v>3.8E-3</v>
      </c>
      <c r="X756" s="30">
        <f t="shared" si="264"/>
        <v>147.59</v>
      </c>
      <c r="Y756" s="31">
        <f t="shared" si="265"/>
        <v>143.86000000000001</v>
      </c>
    </row>
    <row r="757" spans="1:25" ht="15" customHeight="1" x14ac:dyDescent="0.25">
      <c r="A757" s="5">
        <v>38046</v>
      </c>
      <c r="B757">
        <v>876.07360000000006</v>
      </c>
      <c r="C757" s="29">
        <f t="shared" si="269"/>
        <v>2.0000000000000001E-4</v>
      </c>
      <c r="D757">
        <v>-0.8</v>
      </c>
      <c r="E757">
        <v>-0.57799999999999996</v>
      </c>
      <c r="F757" s="18">
        <f t="shared" si="256"/>
        <v>0.43999999999999773</v>
      </c>
      <c r="G757" s="18">
        <f t="shared" si="257"/>
        <v>1.4719999999999978</v>
      </c>
      <c r="H757">
        <v>4.34</v>
      </c>
      <c r="I757">
        <v>2.21</v>
      </c>
      <c r="J757">
        <f t="shared" si="266"/>
        <v>3.28</v>
      </c>
      <c r="K757" s="6">
        <f t="shared" si="267"/>
        <v>3.24</v>
      </c>
      <c r="L757" s="6">
        <f t="shared" si="268"/>
        <v>1.0000000000000231E-2</v>
      </c>
      <c r="M757">
        <v>11.152434602546</v>
      </c>
      <c r="N757">
        <v>367750</v>
      </c>
      <c r="O757" s="18">
        <f>ROUND(N757/VLOOKUP(EOMONTH(A757,-1),Employment!A:P,16,FALSE),4)</f>
        <v>1.6553</v>
      </c>
      <c r="P757" s="18">
        <f t="shared" si="258"/>
        <v>1.6531</v>
      </c>
      <c r="Q757" s="29">
        <f t="shared" si="259"/>
        <v>-0.1069</v>
      </c>
      <c r="R757" s="29">
        <f t="shared" si="260"/>
        <v>-2.0999999999999999E-3</v>
      </c>
      <c r="S757">
        <v>3131000</v>
      </c>
      <c r="T757" s="18">
        <f>ROUND((S757/7)/VLOOKUP(EOMONTH(A757,-1),Employment!A:P,16,FALSE),4)</f>
        <v>2.0133000000000001</v>
      </c>
      <c r="U757" s="18">
        <f t="shared" si="261"/>
        <v>2.0207999999999999</v>
      </c>
      <c r="V757" s="29">
        <f t="shared" si="262"/>
        <v>-8.9099999999999999E-2</v>
      </c>
      <c r="W757" s="29">
        <f t="shared" si="263"/>
        <v>2.8E-3</v>
      </c>
      <c r="X757" s="30">
        <f t="shared" si="264"/>
        <v>142.74</v>
      </c>
      <c r="Y757" s="31">
        <f t="shared" si="265"/>
        <v>138.68</v>
      </c>
    </row>
    <row r="758" spans="1:25" ht="15" customHeight="1" x14ac:dyDescent="0.25">
      <c r="A758" s="5">
        <v>38039</v>
      </c>
      <c r="B758">
        <v>876.15390000000002</v>
      </c>
      <c r="C758" s="29">
        <f t="shared" si="269"/>
        <v>4.0000000000000002E-4</v>
      </c>
      <c r="D758">
        <v>-0.8</v>
      </c>
      <c r="E758">
        <v>-0.52300000000000002</v>
      </c>
      <c r="F758" s="18">
        <f t="shared" si="256"/>
        <v>1.1120000000000001</v>
      </c>
      <c r="G758" s="18">
        <f t="shared" si="257"/>
        <v>0.73200000000000109</v>
      </c>
      <c r="H758">
        <v>4.22</v>
      </c>
      <c r="I758">
        <v>2.1800000000000002</v>
      </c>
      <c r="J758">
        <f t="shared" si="266"/>
        <v>3.2</v>
      </c>
      <c r="K758" s="6">
        <f t="shared" si="267"/>
        <v>3.23</v>
      </c>
      <c r="L758" s="6">
        <f t="shared" si="268"/>
        <v>2.9999999999999805E-2</v>
      </c>
      <c r="M758">
        <v>11.226783920440001</v>
      </c>
      <c r="N758">
        <v>366250</v>
      </c>
      <c r="O758" s="18">
        <f>ROUND(N758/VLOOKUP(EOMONTH(A758,-1),Employment!A:P,16,FALSE),4)</f>
        <v>1.6486000000000001</v>
      </c>
      <c r="P758" s="18">
        <f t="shared" si="258"/>
        <v>1.6433</v>
      </c>
      <c r="Q758" s="29">
        <f t="shared" si="259"/>
        <v>-0.10440000000000001</v>
      </c>
      <c r="R758" s="29">
        <f t="shared" si="260"/>
        <v>-7.4000000000000003E-3</v>
      </c>
      <c r="S758">
        <v>3179000</v>
      </c>
      <c r="T758" s="18">
        <f>ROUND((S758/7)/VLOOKUP(EOMONTH(A758,-1),Employment!A:P,16,FALSE),4)</f>
        <v>2.0442</v>
      </c>
      <c r="U758" s="18">
        <f t="shared" si="261"/>
        <v>2.0232000000000001</v>
      </c>
      <c r="V758" s="29">
        <f t="shared" si="262"/>
        <v>-9.2899999999999996E-2</v>
      </c>
      <c r="W758" s="29">
        <f t="shared" si="263"/>
        <v>3.5000000000000001E-3</v>
      </c>
      <c r="X758" s="30">
        <f t="shared" si="264"/>
        <v>137.32999999999998</v>
      </c>
      <c r="Y758" s="31">
        <f t="shared" si="265"/>
        <v>134.72</v>
      </c>
    </row>
    <row r="759" spans="1:25" ht="15" customHeight="1" x14ac:dyDescent="0.25">
      <c r="A759" s="5">
        <v>38032</v>
      </c>
      <c r="B759">
        <v>875.04129999999998</v>
      </c>
      <c r="C759" s="29">
        <f t="shared" si="269"/>
        <v>-1.9E-3</v>
      </c>
      <c r="D759">
        <v>-0.78</v>
      </c>
      <c r="E759">
        <v>-0.40899999999999997</v>
      </c>
      <c r="F759" s="18">
        <f t="shared" si="256"/>
        <v>-8.0000000000000071E-2</v>
      </c>
      <c r="G759" s="18">
        <f t="shared" si="257"/>
        <v>-1.9999999999997797E-2</v>
      </c>
      <c r="H759">
        <v>4.25</v>
      </c>
      <c r="I759">
        <v>2.2000000000000002</v>
      </c>
      <c r="J759">
        <f t="shared" si="266"/>
        <v>3.23</v>
      </c>
      <c r="K759" s="6">
        <f t="shared" si="267"/>
        <v>3.2</v>
      </c>
      <c r="L759" s="6">
        <f t="shared" si="268"/>
        <v>6.0000000000000053E-2</v>
      </c>
      <c r="M759">
        <v>11.886037548465</v>
      </c>
      <c r="N759">
        <v>367750</v>
      </c>
      <c r="O759" s="18">
        <f>ROUND(N759/VLOOKUP(EOMONTH(A759,-1),Employment!A:P,16,FALSE),4)</f>
        <v>1.6553</v>
      </c>
      <c r="P759" s="18">
        <f t="shared" si="258"/>
        <v>1.6283000000000001</v>
      </c>
      <c r="Q759" s="29">
        <f t="shared" si="259"/>
        <v>-0.10340000000000001</v>
      </c>
      <c r="R759" s="29">
        <f t="shared" si="260"/>
        <v>-1.09E-2</v>
      </c>
      <c r="S759">
        <v>3118000</v>
      </c>
      <c r="T759" s="18">
        <f>ROUND((S759/7)/VLOOKUP(EOMONTH(A759,-1),Employment!A:P,16,FALSE),4)</f>
        <v>2.0049999999999999</v>
      </c>
      <c r="U759" s="18">
        <f t="shared" si="261"/>
        <v>2.0146000000000002</v>
      </c>
      <c r="V759" s="29">
        <f t="shared" si="262"/>
        <v>-8.7900000000000006E-2</v>
      </c>
      <c r="W759" s="29">
        <f t="shared" si="263"/>
        <v>4.3E-3</v>
      </c>
      <c r="X759" s="30">
        <f t="shared" si="264"/>
        <v>131.91</v>
      </c>
      <c r="Y759" s="31">
        <f t="shared" si="265"/>
        <v>134.57</v>
      </c>
    </row>
    <row r="760" spans="1:25" ht="15" customHeight="1" x14ac:dyDescent="0.25">
      <c r="A760" s="5">
        <v>38025</v>
      </c>
      <c r="B760">
        <v>875.84190000000001</v>
      </c>
      <c r="C760" s="29">
        <f t="shared" si="269"/>
        <v>-2.3E-3</v>
      </c>
      <c r="D760">
        <v>-0.78</v>
      </c>
      <c r="E760">
        <v>-0.41899999999999998</v>
      </c>
      <c r="F760" s="18">
        <f t="shared" si="256"/>
        <v>-0.29999999999999893</v>
      </c>
      <c r="G760" s="18">
        <f t="shared" si="257"/>
        <v>0.98800000000000132</v>
      </c>
      <c r="H760">
        <v>4.34</v>
      </c>
      <c r="I760">
        <v>2.16</v>
      </c>
      <c r="J760">
        <f t="shared" si="266"/>
        <v>3.25</v>
      </c>
      <c r="K760" s="6">
        <f t="shared" si="267"/>
        <v>3.14</v>
      </c>
      <c r="L760" s="6">
        <f t="shared" si="268"/>
        <v>5.0000000000000266E-2</v>
      </c>
      <c r="M760">
        <v>12.480611267924001</v>
      </c>
      <c r="N760">
        <v>361250</v>
      </c>
      <c r="O760" s="18">
        <f>ROUND(N760/VLOOKUP(EOMONTH(A760,-1),Employment!A:P,16,FALSE),4)</f>
        <v>1.6261000000000001</v>
      </c>
      <c r="P760" s="18">
        <f t="shared" si="258"/>
        <v>1.6088</v>
      </c>
      <c r="Q760" s="29">
        <f t="shared" si="259"/>
        <v>-0.1101</v>
      </c>
      <c r="R760" s="29">
        <f t="shared" si="260"/>
        <v>-1.2800000000000001E-2</v>
      </c>
      <c r="S760">
        <v>3142000</v>
      </c>
      <c r="T760" s="18">
        <f>ROUND((S760/7)/VLOOKUP(EOMONTH(A760,-1),Employment!A:P,16,FALSE),4)</f>
        <v>2.0204</v>
      </c>
      <c r="U760" s="18">
        <f t="shared" si="261"/>
        <v>2.0213000000000001</v>
      </c>
      <c r="V760" s="29">
        <f t="shared" si="262"/>
        <v>-8.8300000000000003E-2</v>
      </c>
      <c r="W760" s="29">
        <f t="shared" si="263"/>
        <v>4.0000000000000001E-3</v>
      </c>
      <c r="X760" s="30">
        <f t="shared" si="264"/>
        <v>135.21</v>
      </c>
      <c r="Y760" s="31">
        <f t="shared" si="265"/>
        <v>138.13</v>
      </c>
    </row>
    <row r="761" spans="1:25" ht="15" customHeight="1" x14ac:dyDescent="0.25">
      <c r="A761" s="5">
        <v>38018</v>
      </c>
      <c r="B761">
        <v>876.46550000000002</v>
      </c>
      <c r="C761" s="29">
        <f t="shared" si="269"/>
        <v>-3.0000000000000001E-3</v>
      </c>
      <c r="D761">
        <v>-0.75</v>
      </c>
      <c r="E761">
        <v>-0.49399999999999999</v>
      </c>
      <c r="F761" s="18">
        <f t="shared" si="256"/>
        <v>0.36000000000000121</v>
      </c>
      <c r="G761" s="18">
        <f t="shared" si="257"/>
        <v>1.92</v>
      </c>
      <c r="H761">
        <v>4.03</v>
      </c>
      <c r="I761">
        <v>2.19</v>
      </c>
      <c r="J761">
        <f t="shared" si="266"/>
        <v>3.11</v>
      </c>
      <c r="K761" s="6">
        <f t="shared" si="267"/>
        <v>3.09</v>
      </c>
      <c r="L761" s="6">
        <f t="shared" si="268"/>
        <v>-2.0000000000000018E-2</v>
      </c>
      <c r="M761">
        <v>11.997299428650001</v>
      </c>
      <c r="N761">
        <v>356250</v>
      </c>
      <c r="O761" s="18">
        <f>ROUND(N761/VLOOKUP(EOMONTH(A761,-1),Employment!A:P,16,FALSE),4)</f>
        <v>1.6035999999999999</v>
      </c>
      <c r="P761" s="18">
        <f t="shared" si="258"/>
        <v>1.5959000000000001</v>
      </c>
      <c r="Q761" s="29">
        <f t="shared" si="259"/>
        <v>-0.1139</v>
      </c>
      <c r="R761" s="29">
        <f t="shared" si="260"/>
        <v>-1.04E-2</v>
      </c>
      <c r="S761">
        <v>3139000</v>
      </c>
      <c r="T761" s="18">
        <f>ROUND((S761/7)/VLOOKUP(EOMONTH(A761,-1),Employment!A:P,16,FALSE),4)</f>
        <v>2.0185</v>
      </c>
      <c r="U761" s="18">
        <f t="shared" si="261"/>
        <v>2.0301</v>
      </c>
      <c r="V761" s="29">
        <f t="shared" si="262"/>
        <v>-8.2600000000000007E-2</v>
      </c>
      <c r="W761" s="29">
        <f t="shared" si="263"/>
        <v>3.3E-3</v>
      </c>
      <c r="X761" s="30">
        <f t="shared" si="264"/>
        <v>139.63</v>
      </c>
      <c r="Y761" s="31">
        <f t="shared" si="265"/>
        <v>141.31</v>
      </c>
    </row>
    <row r="762" spans="1:25" ht="15" customHeight="1" x14ac:dyDescent="0.25">
      <c r="A762" s="5">
        <v>38011</v>
      </c>
      <c r="B762">
        <v>875.82770000000005</v>
      </c>
      <c r="C762" s="29">
        <f t="shared" si="269"/>
        <v>-8.8000000000000005E-3</v>
      </c>
      <c r="D762">
        <v>-0.73</v>
      </c>
      <c r="E762">
        <v>-0.47399999999999998</v>
      </c>
      <c r="F762" s="18">
        <f t="shared" si="256"/>
        <v>0.92799999999999905</v>
      </c>
      <c r="G762" s="18">
        <f t="shared" si="257"/>
        <v>1.831999999999999</v>
      </c>
      <c r="H762">
        <v>3.79</v>
      </c>
      <c r="I762">
        <v>2.2999999999999998</v>
      </c>
      <c r="J762">
        <f t="shared" si="266"/>
        <v>3.05</v>
      </c>
      <c r="K762" s="6">
        <f t="shared" si="267"/>
        <v>3.11</v>
      </c>
      <c r="L762" s="6">
        <f t="shared" si="268"/>
        <v>-5.0000000000000266E-2</v>
      </c>
      <c r="M762">
        <v>11.363880814291999</v>
      </c>
      <c r="N762">
        <v>355250</v>
      </c>
      <c r="O762" s="18">
        <f>ROUND(N762/VLOOKUP(EOMONTH(A762,-1),Employment!A:P,16,FALSE),4)</f>
        <v>1.5966</v>
      </c>
      <c r="P762" s="18">
        <f t="shared" si="258"/>
        <v>1.5940000000000001</v>
      </c>
      <c r="Q762" s="29">
        <f t="shared" si="259"/>
        <v>-0.12479999999999999</v>
      </c>
      <c r="R762" s="29">
        <f t="shared" si="260"/>
        <v>-2.0000000000000001E-4</v>
      </c>
      <c r="S762">
        <v>3154000</v>
      </c>
      <c r="T762" s="18">
        <f>ROUND((S762/7)/VLOOKUP(EOMONTH(A762,-1),Employment!A:P,16,FALSE),4)</f>
        <v>2.0249999999999999</v>
      </c>
      <c r="U762" s="18">
        <f t="shared" si="261"/>
        <v>2.0545</v>
      </c>
      <c r="V762" s="29">
        <f t="shared" si="262"/>
        <v>-8.2699999999999996E-2</v>
      </c>
      <c r="W762" s="29">
        <f t="shared" si="263"/>
        <v>3.7000000000000002E-3</v>
      </c>
      <c r="X762" s="30">
        <f t="shared" si="264"/>
        <v>141.67000000000002</v>
      </c>
      <c r="Y762" s="31">
        <f t="shared" si="265"/>
        <v>144.08000000000001</v>
      </c>
    </row>
    <row r="763" spans="1:25" ht="15" customHeight="1" x14ac:dyDescent="0.25">
      <c r="A763" s="5">
        <v>38004</v>
      </c>
      <c r="B763">
        <v>878.77560000000005</v>
      </c>
      <c r="C763" s="29">
        <f t="shared" si="269"/>
        <v>-6.0000000000000001E-3</v>
      </c>
      <c r="D763">
        <v>-0.71</v>
      </c>
      <c r="E763">
        <v>-0.38300000000000001</v>
      </c>
      <c r="F763" s="18">
        <f t="shared" si="256"/>
        <v>0.63199999999999967</v>
      </c>
      <c r="G763" s="18">
        <f t="shared" si="257"/>
        <v>0.62400000000000055</v>
      </c>
      <c r="H763">
        <v>3.94</v>
      </c>
      <c r="I763">
        <v>2.2999999999999998</v>
      </c>
      <c r="J763">
        <f t="shared" si="266"/>
        <v>3.12</v>
      </c>
      <c r="K763" s="6">
        <f t="shared" si="267"/>
        <v>3.16</v>
      </c>
      <c r="L763" s="6">
        <f t="shared" si="268"/>
        <v>-6.0000000000000053E-2</v>
      </c>
      <c r="M763">
        <v>10.668821097908999</v>
      </c>
      <c r="N763">
        <v>353250</v>
      </c>
      <c r="O763" s="18">
        <f>ROUND(N763/VLOOKUP(EOMONTH(A763,-1),Employment!A:P,16,FALSE),4)</f>
        <v>1.5875999999999999</v>
      </c>
      <c r="P763" s="18">
        <f t="shared" si="258"/>
        <v>1.5984</v>
      </c>
      <c r="Q763" s="29">
        <f t="shared" si="259"/>
        <v>-0.13600000000000001</v>
      </c>
      <c r="R763" s="29">
        <f t="shared" si="260"/>
        <v>1.14E-2</v>
      </c>
      <c r="S763">
        <v>3188000</v>
      </c>
      <c r="T763" s="18">
        <f>ROUND((S763/7)/VLOOKUP(EOMONTH(A763,-1),Employment!A:P,16,FALSE),4)</f>
        <v>2.0468000000000002</v>
      </c>
      <c r="U763" s="18">
        <f t="shared" si="261"/>
        <v>2.0758999999999999</v>
      </c>
      <c r="V763" s="29">
        <f t="shared" si="262"/>
        <v>-7.7299999999999994E-2</v>
      </c>
      <c r="W763" s="29">
        <f t="shared" si="263"/>
        <v>5.7000000000000002E-3</v>
      </c>
      <c r="X763" s="30">
        <f t="shared" si="264"/>
        <v>144.57999999999998</v>
      </c>
      <c r="Y763" s="31">
        <f t="shared" si="265"/>
        <v>146.99</v>
      </c>
    </row>
    <row r="764" spans="1:25" ht="15" customHeight="1" x14ac:dyDescent="0.25">
      <c r="A764" s="5">
        <v>37997</v>
      </c>
      <c r="B764">
        <v>880.26790000000005</v>
      </c>
      <c r="C764" s="29">
        <f t="shared" si="269"/>
        <v>-3.8999999999999998E-3</v>
      </c>
      <c r="D764">
        <v>-0.71</v>
      </c>
      <c r="E764">
        <v>-0.30399999999999999</v>
      </c>
      <c r="F764" s="18">
        <f t="shared" si="256"/>
        <v>0.27200000000000024</v>
      </c>
      <c r="G764" s="18">
        <f t="shared" si="257"/>
        <v>0.24000000000000021</v>
      </c>
      <c r="H764">
        <v>4.01</v>
      </c>
      <c r="I764">
        <v>2.31</v>
      </c>
      <c r="J764">
        <f t="shared" si="266"/>
        <v>3.16</v>
      </c>
      <c r="K764" s="6">
        <f t="shared" si="267"/>
        <v>3.22</v>
      </c>
      <c r="L764" s="6">
        <f t="shared" si="268"/>
        <v>-5.9999999999999609E-2</v>
      </c>
      <c r="M764">
        <v>10.682885819478001</v>
      </c>
      <c r="N764">
        <v>355500</v>
      </c>
      <c r="O764" s="18">
        <f>ROUND(N764/VLOOKUP(EOMONTH(A764,-1),Employment!A:P,16,FALSE),4)</f>
        <v>1.5976999999999999</v>
      </c>
      <c r="P764" s="18">
        <f t="shared" si="258"/>
        <v>1.6094999999999999</v>
      </c>
      <c r="Q764" s="29">
        <f t="shared" si="259"/>
        <v>-0.13930000000000001</v>
      </c>
      <c r="R764" s="29">
        <f t="shared" si="260"/>
        <v>1.9599999999999999E-2</v>
      </c>
      <c r="S764">
        <v>3258000</v>
      </c>
      <c r="T764" s="18">
        <f>ROUND((S764/7)/VLOOKUP(EOMONTH(A764,-1),Employment!A:P,16,FALSE),4)</f>
        <v>2.0916999999999999</v>
      </c>
      <c r="U764" s="18">
        <f t="shared" si="261"/>
        <v>2.0901000000000001</v>
      </c>
      <c r="V764" s="29">
        <f t="shared" si="262"/>
        <v>-7.6600000000000001E-2</v>
      </c>
      <c r="W764" s="29">
        <f t="shared" si="263"/>
        <v>1.2E-2</v>
      </c>
      <c r="X764" s="30">
        <f t="shared" si="264"/>
        <v>148.86000000000001</v>
      </c>
      <c r="Y764" s="31">
        <f t="shared" si="265"/>
        <v>149.07</v>
      </c>
    </row>
    <row r="765" spans="1:25" ht="15" customHeight="1" x14ac:dyDescent="0.25">
      <c r="A765" s="5">
        <v>37990</v>
      </c>
      <c r="B765">
        <v>881.59670000000006</v>
      </c>
      <c r="C765" s="29">
        <f t="shared" si="269"/>
        <v>-2.8E-3</v>
      </c>
      <c r="D765">
        <v>-0.69</v>
      </c>
      <c r="E765">
        <v>-0.29499999999999998</v>
      </c>
      <c r="F765" s="18">
        <f t="shared" si="256"/>
        <v>-0.27999999999999936</v>
      </c>
      <c r="G765" s="18">
        <f t="shared" si="257"/>
        <v>0.15600000000000058</v>
      </c>
      <c r="H765">
        <v>4.08</v>
      </c>
      <c r="I765">
        <v>2.3199999999999998</v>
      </c>
      <c r="J765">
        <f t="shared" si="266"/>
        <v>3.2</v>
      </c>
      <c r="K765" s="6">
        <f t="shared" si="267"/>
        <v>3.28</v>
      </c>
      <c r="L765" s="6">
        <f t="shared" si="268"/>
        <v>-5.0000000000000266E-2</v>
      </c>
      <c r="M765">
        <v>10.888293237751</v>
      </c>
      <c r="N765">
        <v>358250</v>
      </c>
      <c r="O765" s="18">
        <f>ROUND(N765/VLOOKUP(EOMONTH(A765,-1),Employment!A:P,16,FALSE),4)</f>
        <v>1.61</v>
      </c>
      <c r="P765" s="18">
        <f t="shared" si="258"/>
        <v>1.6171</v>
      </c>
      <c r="Q765" s="29">
        <f t="shared" si="259"/>
        <v>-0.1348</v>
      </c>
      <c r="R765" s="29">
        <f t="shared" si="260"/>
        <v>1.9099999999999999E-2</v>
      </c>
      <c r="S765">
        <v>3254000</v>
      </c>
      <c r="T765" s="18">
        <f>ROUND((S765/7)/VLOOKUP(EOMONTH(A765,-1),Employment!A:P,16,FALSE),4)</f>
        <v>2.0891999999999999</v>
      </c>
      <c r="U765" s="18">
        <f t="shared" si="261"/>
        <v>2.1036999999999999</v>
      </c>
      <c r="V765" s="29">
        <f t="shared" si="262"/>
        <v>-7.7499999999999999E-2</v>
      </c>
      <c r="W765" s="29">
        <f t="shared" si="263"/>
        <v>1.2999999999999999E-2</v>
      </c>
      <c r="X765" s="30">
        <f t="shared" si="264"/>
        <v>148.34</v>
      </c>
      <c r="Y765" s="31">
        <f t="shared" si="265"/>
        <v>148.13</v>
      </c>
    </row>
    <row r="766" spans="1:25" ht="15" customHeight="1" x14ac:dyDescent="0.25">
      <c r="A766" s="5">
        <v>37983</v>
      </c>
      <c r="B766">
        <v>893.80650000000003</v>
      </c>
      <c r="C766" s="29">
        <f t="shared" si="269"/>
        <v>1.5100000000000001E-2</v>
      </c>
      <c r="D766">
        <v>-0.69</v>
      </c>
      <c r="E766">
        <v>-0.33</v>
      </c>
      <c r="F766" s="18">
        <f t="shared" si="256"/>
        <v>0.24799999999999933</v>
      </c>
      <c r="G766" s="18">
        <f t="shared" si="257"/>
        <v>-0.12000000000000099</v>
      </c>
      <c r="H766">
        <v>4.28</v>
      </c>
      <c r="I766">
        <v>2.33</v>
      </c>
      <c r="J766">
        <f t="shared" si="266"/>
        <v>3.31</v>
      </c>
      <c r="K766" s="6">
        <f t="shared" si="267"/>
        <v>3.33</v>
      </c>
      <c r="L766" s="6">
        <f t="shared" si="268"/>
        <v>-9.9999999999997868E-3</v>
      </c>
      <c r="M766">
        <v>11.238604148624001</v>
      </c>
      <c r="N766">
        <v>360250</v>
      </c>
      <c r="O766" s="18">
        <f>ROUND(N766/VLOOKUP(EOMONTH(A766,-1),Employment!A:P,16,FALSE),4)</f>
        <v>1.6207</v>
      </c>
      <c r="P766" s="18">
        <f t="shared" si="258"/>
        <v>1.6233</v>
      </c>
      <c r="Q766" s="29">
        <f t="shared" si="259"/>
        <v>-0.1181</v>
      </c>
      <c r="R766" s="29">
        <f t="shared" si="260"/>
        <v>1.1599999999999999E-2</v>
      </c>
      <c r="S766">
        <v>3251000</v>
      </c>
      <c r="T766" s="18">
        <f>ROUND((S766/7)/VLOOKUP(EOMONTH(A766,-1),Employment!A:P,16,FALSE),4)</f>
        <v>2.0893999999999999</v>
      </c>
      <c r="U766" s="18">
        <f t="shared" si="261"/>
        <v>2.1208999999999998</v>
      </c>
      <c r="V766" s="29">
        <f t="shared" si="262"/>
        <v>-6.7400000000000002E-2</v>
      </c>
      <c r="W766" s="29">
        <f t="shared" si="263"/>
        <v>8.8999999999999999E-3</v>
      </c>
      <c r="X766" s="30">
        <f t="shared" si="264"/>
        <v>151.41</v>
      </c>
      <c r="Y766" s="31">
        <f t="shared" si="265"/>
        <v>143.66</v>
      </c>
    </row>
    <row r="767" spans="1:25" ht="15" customHeight="1" x14ac:dyDescent="0.25">
      <c r="A767" s="5">
        <v>37976</v>
      </c>
      <c r="B767">
        <v>880.50630000000001</v>
      </c>
      <c r="C767" s="29">
        <f t="shared" si="269"/>
        <v>-8.9999999999999998E-4</v>
      </c>
      <c r="D767">
        <v>-0.69</v>
      </c>
      <c r="E767">
        <v>-0.29899999999999999</v>
      </c>
      <c r="F767" s="18">
        <f t="shared" si="256"/>
        <v>0.18800000000000061</v>
      </c>
      <c r="G767" s="18">
        <f t="shared" si="257"/>
        <v>0.29600000000000115</v>
      </c>
      <c r="H767">
        <v>4.33</v>
      </c>
      <c r="I767">
        <v>2.33</v>
      </c>
      <c r="J767">
        <f t="shared" si="266"/>
        <v>3.33</v>
      </c>
      <c r="K767" s="6">
        <f t="shared" si="267"/>
        <v>3.34</v>
      </c>
      <c r="L767" s="6">
        <f t="shared" si="268"/>
        <v>-3.0000000000000249E-2</v>
      </c>
      <c r="M767">
        <v>11.731715894109</v>
      </c>
      <c r="N767">
        <v>360250</v>
      </c>
      <c r="O767" s="18">
        <f>ROUND(N767/VLOOKUP(EOMONTH(A767,-1),Employment!A:P,16,FALSE),4)</f>
        <v>1.6207</v>
      </c>
      <c r="P767" s="18">
        <f t="shared" si="258"/>
        <v>1.6274999999999999</v>
      </c>
      <c r="Q767" s="29">
        <f t="shared" si="259"/>
        <v>-0.10290000000000001</v>
      </c>
      <c r="R767" s="29">
        <f t="shared" si="260"/>
        <v>3.8999999999999998E-3</v>
      </c>
      <c r="S767">
        <v>3318000</v>
      </c>
      <c r="T767" s="18">
        <f>ROUND((S767/7)/VLOOKUP(EOMONTH(A767,-1),Employment!A:P,16,FALSE),4)</f>
        <v>2.1324999999999998</v>
      </c>
      <c r="U767" s="18">
        <f t="shared" si="261"/>
        <v>2.1393</v>
      </c>
      <c r="V767" s="29">
        <f t="shared" si="262"/>
        <v>-5.7299999999999997E-2</v>
      </c>
      <c r="W767" s="29">
        <f t="shared" si="263"/>
        <v>2.3E-3</v>
      </c>
      <c r="X767" s="30">
        <f t="shared" si="264"/>
        <v>139.43</v>
      </c>
      <c r="Y767" s="31">
        <f t="shared" si="265"/>
        <v>137.69999999999999</v>
      </c>
    </row>
    <row r="768" spans="1:25" ht="15" customHeight="1" x14ac:dyDescent="0.25">
      <c r="A768" s="5">
        <v>37969</v>
      </c>
      <c r="B768">
        <v>879.0104</v>
      </c>
      <c r="C768" s="29">
        <f t="shared" si="269"/>
        <v>-3.5000000000000001E-3</v>
      </c>
      <c r="D768">
        <v>-0.7</v>
      </c>
      <c r="E768">
        <v>-0.26300000000000001</v>
      </c>
      <c r="F768" s="18">
        <f t="shared" si="256"/>
        <v>-0.55600000000000094</v>
      </c>
      <c r="G768" s="18">
        <f t="shared" si="257"/>
        <v>0.19599999999999973</v>
      </c>
      <c r="H768">
        <v>4.34</v>
      </c>
      <c r="I768">
        <v>2.34</v>
      </c>
      <c r="J768">
        <f t="shared" si="266"/>
        <v>3.34</v>
      </c>
      <c r="K768" s="6">
        <f t="shared" si="267"/>
        <v>3.37</v>
      </c>
      <c r="L768" s="6">
        <f t="shared" si="268"/>
        <v>-6.999999999999984E-2</v>
      </c>
      <c r="M768">
        <v>11.773668927056001</v>
      </c>
      <c r="N768">
        <v>362000</v>
      </c>
      <c r="O768" s="18">
        <f>ROUND(N768/VLOOKUP(EOMONTH(A768,-1),Employment!A:P,16,FALSE),4)</f>
        <v>1.6286</v>
      </c>
      <c r="P768" s="18">
        <f t="shared" si="258"/>
        <v>1.6344000000000001</v>
      </c>
      <c r="Q768" s="29">
        <f t="shared" si="259"/>
        <v>-9.2100000000000001E-2</v>
      </c>
      <c r="R768" s="29">
        <f t="shared" si="260"/>
        <v>-1E-4</v>
      </c>
      <c r="S768">
        <v>3331000</v>
      </c>
      <c r="T768" s="18">
        <f>ROUND((S768/7)/VLOOKUP(EOMONTH(A768,-1),Employment!A:P,16,FALSE),4)</f>
        <v>2.1408</v>
      </c>
      <c r="U768" s="18">
        <f t="shared" si="261"/>
        <v>2.1429</v>
      </c>
      <c r="V768" s="29">
        <f t="shared" si="262"/>
        <v>-4.6600000000000003E-2</v>
      </c>
      <c r="W768" s="29">
        <f t="shared" si="263"/>
        <v>5.0000000000000001E-4</v>
      </c>
      <c r="X768" s="30">
        <f t="shared" si="264"/>
        <v>134.84</v>
      </c>
      <c r="Y768" s="31">
        <f t="shared" si="265"/>
        <v>137.47999999999999</v>
      </c>
    </row>
    <row r="769" spans="1:25" ht="15" customHeight="1" x14ac:dyDescent="0.25">
      <c r="A769" s="5">
        <v>37962</v>
      </c>
      <c r="B769">
        <v>882.91549999999995</v>
      </c>
      <c r="C769" s="29">
        <f t="shared" si="269"/>
        <v>5.9999999999999995E-4</v>
      </c>
      <c r="D769">
        <v>-0.71</v>
      </c>
      <c r="E769">
        <v>-0.32</v>
      </c>
      <c r="F769" s="18">
        <f t="shared" si="256"/>
        <v>0.66400000000000148</v>
      </c>
      <c r="G769" s="18">
        <f t="shared" si="257"/>
        <v>0.9480000000000004</v>
      </c>
      <c r="H769">
        <v>4.3899999999999997</v>
      </c>
      <c r="I769">
        <v>2.33</v>
      </c>
      <c r="J769">
        <f t="shared" si="266"/>
        <v>3.36</v>
      </c>
      <c r="K769" s="6">
        <f t="shared" si="267"/>
        <v>3.44</v>
      </c>
      <c r="L769" s="6">
        <f t="shared" si="268"/>
        <v>-6.999999999999984E-2</v>
      </c>
      <c r="M769">
        <v>11.747681959197999</v>
      </c>
      <c r="N769">
        <v>363000</v>
      </c>
      <c r="O769" s="18">
        <f>ROUND(N769/VLOOKUP(EOMONTH(A769,-1),Employment!A:P,16,FALSE),4)</f>
        <v>1.6331</v>
      </c>
      <c r="P769" s="18">
        <f t="shared" si="258"/>
        <v>1.6482000000000001</v>
      </c>
      <c r="Q769" s="29">
        <f t="shared" si="259"/>
        <v>-8.8900000000000007E-2</v>
      </c>
      <c r="R769" s="29">
        <f t="shared" si="260"/>
        <v>2.2000000000000001E-3</v>
      </c>
      <c r="S769">
        <v>3337000</v>
      </c>
      <c r="T769" s="18">
        <f>ROUND((S769/7)/VLOOKUP(EOMONTH(A769,-1),Employment!A:P,16,FALSE),4)</f>
        <v>2.1446999999999998</v>
      </c>
      <c r="U769" s="18">
        <f t="shared" si="261"/>
        <v>2.1671999999999998</v>
      </c>
      <c r="V769" s="29">
        <f t="shared" si="262"/>
        <v>-4.8599999999999997E-2</v>
      </c>
      <c r="W769" s="29">
        <f t="shared" si="263"/>
        <v>2.8E-3</v>
      </c>
      <c r="X769" s="30">
        <f t="shared" si="264"/>
        <v>140.54</v>
      </c>
      <c r="Y769" s="31">
        <f t="shared" si="265"/>
        <v>138.69999999999999</v>
      </c>
    </row>
    <row r="770" spans="1:25" ht="15" customHeight="1" x14ac:dyDescent="0.25">
      <c r="A770" s="5">
        <v>37955</v>
      </c>
      <c r="B770">
        <v>879.56790000000001</v>
      </c>
      <c r="C770" s="29">
        <f t="shared" si="269"/>
        <v>-4.7000000000000002E-3</v>
      </c>
      <c r="D770">
        <v>-0.69</v>
      </c>
      <c r="E770">
        <v>-0.26200000000000001</v>
      </c>
      <c r="F770" s="18">
        <f t="shared" si="256"/>
        <v>8.799999999999919E-2</v>
      </c>
      <c r="G770" s="18">
        <f t="shared" si="257"/>
        <v>-3.2000000000000028E-2</v>
      </c>
      <c r="H770">
        <v>4.46</v>
      </c>
      <c r="I770">
        <v>2.33</v>
      </c>
      <c r="J770">
        <f t="shared" si="266"/>
        <v>3.4</v>
      </c>
      <c r="K770" s="6">
        <f t="shared" si="267"/>
        <v>3.51</v>
      </c>
      <c r="L770" s="6">
        <f t="shared" si="268"/>
        <v>-1.0000000000000231E-2</v>
      </c>
      <c r="M770">
        <v>11.968184830457</v>
      </c>
      <c r="N770">
        <v>364500</v>
      </c>
      <c r="O770" s="18">
        <f>ROUND(N770/VLOOKUP(EOMONTH(A770,-1),Employment!A:P,16,FALSE),4)</f>
        <v>1.6415999999999999</v>
      </c>
      <c r="P770" s="18">
        <f t="shared" si="258"/>
        <v>1.6668000000000001</v>
      </c>
      <c r="Q770" s="29">
        <f t="shared" si="259"/>
        <v>-9.2399999999999996E-2</v>
      </c>
      <c r="R770" s="29">
        <f t="shared" si="260"/>
        <v>6.6E-3</v>
      </c>
      <c r="S770">
        <v>3331000</v>
      </c>
      <c r="T770" s="18">
        <f>ROUND((S770/7)/VLOOKUP(EOMONTH(A770,-1),Employment!A:P,16,FALSE),4)</f>
        <v>2.1431</v>
      </c>
      <c r="U770" s="18">
        <f t="shared" si="261"/>
        <v>2.1873</v>
      </c>
      <c r="V770" s="29">
        <f t="shared" si="262"/>
        <v>-4.7600000000000003E-2</v>
      </c>
      <c r="W770" s="29">
        <f t="shared" si="263"/>
        <v>6.1000000000000004E-3</v>
      </c>
      <c r="X770" s="30">
        <f t="shared" si="264"/>
        <v>136.43</v>
      </c>
      <c r="Y770" s="31">
        <f t="shared" si="265"/>
        <v>138.09</v>
      </c>
    </row>
    <row r="771" spans="1:25" ht="15" customHeight="1" x14ac:dyDescent="0.25">
      <c r="A771" s="5">
        <v>37948</v>
      </c>
      <c r="B771">
        <v>883.85019999999997</v>
      </c>
      <c r="C771" s="29">
        <f t="shared" si="269"/>
        <v>-1.5E-3</v>
      </c>
      <c r="D771">
        <v>-0.69</v>
      </c>
      <c r="E771">
        <v>-0.251</v>
      </c>
      <c r="F771" s="18">
        <f t="shared" si="256"/>
        <v>0.19599999999999973</v>
      </c>
      <c r="G771" s="18">
        <f t="shared" si="257"/>
        <v>0.56399999999999828</v>
      </c>
      <c r="H771">
        <v>4.75</v>
      </c>
      <c r="I771">
        <v>2.39</v>
      </c>
      <c r="J771">
        <f t="shared" si="266"/>
        <v>3.57</v>
      </c>
      <c r="K771" s="6">
        <f t="shared" si="267"/>
        <v>3.52</v>
      </c>
      <c r="L771" s="6">
        <f t="shared" si="268"/>
        <v>1.0000000000000231E-2</v>
      </c>
      <c r="M771">
        <v>11.193886634290999</v>
      </c>
      <c r="N771">
        <v>370750</v>
      </c>
      <c r="O771" s="18">
        <f>ROUND(N771/VLOOKUP(EOMONTH(A771,-1),Employment!A:P,16,FALSE),4)</f>
        <v>1.6698</v>
      </c>
      <c r="P771" s="18">
        <f t="shared" si="258"/>
        <v>1.6843999999999999</v>
      </c>
      <c r="Q771" s="29">
        <f t="shared" si="259"/>
        <v>-9.1899999999999996E-2</v>
      </c>
      <c r="R771" s="29">
        <f t="shared" si="260"/>
        <v>8.8000000000000005E-3</v>
      </c>
      <c r="S771">
        <v>3441000</v>
      </c>
      <c r="T771" s="18">
        <f>ROUND((S771/7)/VLOOKUP(EOMONTH(A771,-1),Employment!A:P,16,FALSE),4)</f>
        <v>2.2139000000000002</v>
      </c>
      <c r="U771" s="18">
        <f t="shared" si="261"/>
        <v>2.2109000000000001</v>
      </c>
      <c r="V771" s="29">
        <f t="shared" si="262"/>
        <v>-4.8399999999999999E-2</v>
      </c>
      <c r="W771" s="29">
        <f t="shared" si="263"/>
        <v>8.6E-3</v>
      </c>
      <c r="X771" s="30">
        <f t="shared" si="264"/>
        <v>139.77000000000001</v>
      </c>
      <c r="Y771" s="31">
        <f t="shared" si="265"/>
        <v>139.06</v>
      </c>
    </row>
    <row r="772" spans="1:25" ht="15" customHeight="1" x14ac:dyDescent="0.25">
      <c r="A772" s="5">
        <v>37941</v>
      </c>
      <c r="B772">
        <v>882.0077</v>
      </c>
      <c r="C772" s="29">
        <f t="shared" si="269"/>
        <v>-5.7000000000000002E-3</v>
      </c>
      <c r="D772">
        <v>-0.68</v>
      </c>
      <c r="E772">
        <v>-0.23899999999999999</v>
      </c>
      <c r="F772" s="18">
        <f t="shared" si="256"/>
        <v>-0.31599999999999895</v>
      </c>
      <c r="G772" s="18">
        <f t="shared" si="257"/>
        <v>0.81199999999999939</v>
      </c>
      <c r="H772">
        <v>4.74</v>
      </c>
      <c r="I772">
        <v>2.37</v>
      </c>
      <c r="J772">
        <f t="shared" si="266"/>
        <v>3.56</v>
      </c>
      <c r="K772" s="6">
        <f t="shared" si="267"/>
        <v>3.51</v>
      </c>
      <c r="L772" s="6">
        <f t="shared" si="268"/>
        <v>-3.0000000000000249E-2</v>
      </c>
      <c r="M772">
        <v>10.858805925631</v>
      </c>
      <c r="N772">
        <v>375000</v>
      </c>
      <c r="O772" s="18">
        <f>ROUND(N772/VLOOKUP(EOMONTH(A772,-1),Employment!A:P,16,FALSE),4)</f>
        <v>1.6889000000000001</v>
      </c>
      <c r="P772" s="18">
        <f t="shared" si="258"/>
        <v>1.7013</v>
      </c>
      <c r="Q772" s="29">
        <f t="shared" si="259"/>
        <v>-8.7900000000000006E-2</v>
      </c>
      <c r="R772" s="29">
        <f t="shared" si="260"/>
        <v>9.4000000000000004E-3</v>
      </c>
      <c r="S772">
        <v>3427000</v>
      </c>
      <c r="T772" s="18">
        <f>ROUND((S772/7)/VLOOKUP(EOMONTH(A772,-1),Employment!A:P,16,FALSE),4)</f>
        <v>2.2048999999999999</v>
      </c>
      <c r="U772" s="18">
        <f t="shared" si="261"/>
        <v>2.2162999999999999</v>
      </c>
      <c r="V772" s="29">
        <f t="shared" si="262"/>
        <v>-4.4200000000000003E-2</v>
      </c>
      <c r="W772" s="29">
        <f t="shared" si="263"/>
        <v>9.1000000000000004E-3</v>
      </c>
      <c r="X772" s="30">
        <f t="shared" si="264"/>
        <v>138.02000000000001</v>
      </c>
      <c r="Y772" s="31">
        <f t="shared" si="265"/>
        <v>138.72999999999999</v>
      </c>
    </row>
    <row r="773" spans="1:25" ht="15" customHeight="1" x14ac:dyDescent="0.25">
      <c r="A773" s="5">
        <v>37934</v>
      </c>
      <c r="B773">
        <v>884.09259999999995</v>
      </c>
      <c r="C773" s="29">
        <f t="shared" si="269"/>
        <v>-6.1000000000000004E-3</v>
      </c>
      <c r="D773">
        <v>-0.69</v>
      </c>
      <c r="E773">
        <v>-0.26600000000000001</v>
      </c>
      <c r="F773" s="18">
        <f t="shared" si="256"/>
        <v>0.6839999999999975</v>
      </c>
      <c r="G773" s="18">
        <f t="shared" si="257"/>
        <v>1.4599999999999982</v>
      </c>
      <c r="H773">
        <v>4.5199999999999996</v>
      </c>
      <c r="I773">
        <v>2.3199999999999998</v>
      </c>
      <c r="J773">
        <f t="shared" si="266"/>
        <v>3.42</v>
      </c>
      <c r="K773" s="6">
        <f t="shared" si="267"/>
        <v>3.54</v>
      </c>
      <c r="L773" s="6">
        <f t="shared" si="268"/>
        <v>-4.0000000000000036E-2</v>
      </c>
      <c r="M773">
        <v>10.5740359147</v>
      </c>
      <c r="N773">
        <v>376250</v>
      </c>
      <c r="O773" s="18">
        <f>ROUND(N773/VLOOKUP(EOMONTH(A773,-1),Employment!A:P,16,FALSE),4)</f>
        <v>1.6944999999999999</v>
      </c>
      <c r="P773" s="18">
        <f t="shared" si="258"/>
        <v>1.7155</v>
      </c>
      <c r="Q773" s="29">
        <f t="shared" si="259"/>
        <v>-8.1299999999999997E-2</v>
      </c>
      <c r="R773" s="29">
        <f t="shared" si="260"/>
        <v>1.06E-2</v>
      </c>
      <c r="S773">
        <v>3441000</v>
      </c>
      <c r="T773" s="18">
        <f>ROUND((S773/7)/VLOOKUP(EOMONTH(A773,-1),Employment!A:P,16,FALSE),4)</f>
        <v>2.2139000000000002</v>
      </c>
      <c r="U773" s="18">
        <f t="shared" si="261"/>
        <v>2.2259000000000002</v>
      </c>
      <c r="V773" s="29">
        <f t="shared" si="262"/>
        <v>-3.7900000000000003E-2</v>
      </c>
      <c r="W773" s="29">
        <f t="shared" si="263"/>
        <v>8.6E-3</v>
      </c>
      <c r="X773" s="30">
        <f t="shared" si="264"/>
        <v>139.86000000000001</v>
      </c>
      <c r="Y773" s="31">
        <f t="shared" si="265"/>
        <v>138.93</v>
      </c>
    </row>
    <row r="774" spans="1:25" ht="15" customHeight="1" x14ac:dyDescent="0.25">
      <c r="A774" s="5">
        <v>37927</v>
      </c>
      <c r="B774">
        <v>884.94110000000001</v>
      </c>
      <c r="C774" s="29">
        <f t="shared" si="269"/>
        <v>-8.8000000000000005E-3</v>
      </c>
      <c r="D774">
        <v>-0.66</v>
      </c>
      <c r="E774">
        <v>-0.218</v>
      </c>
      <c r="F774" s="18">
        <f t="shared" si="256"/>
        <v>0.44400000000000084</v>
      </c>
      <c r="G774" s="18">
        <f t="shared" si="257"/>
        <v>0.80800000000000072</v>
      </c>
      <c r="H774">
        <v>4.7300000000000004</v>
      </c>
      <c r="I774">
        <v>2.36</v>
      </c>
      <c r="J774">
        <f t="shared" si="266"/>
        <v>3.55</v>
      </c>
      <c r="K774" s="6">
        <f t="shared" si="267"/>
        <v>3.58</v>
      </c>
      <c r="L774" s="6">
        <f t="shared" si="268"/>
        <v>-6.999999999999984E-2</v>
      </c>
      <c r="M774">
        <v>10.428741969408</v>
      </c>
      <c r="N774">
        <v>382000</v>
      </c>
      <c r="O774" s="18">
        <f>ROUND(N774/VLOOKUP(EOMONTH(A774,-1),Employment!A:P,16,FALSE),4)</f>
        <v>1.7203999999999999</v>
      </c>
      <c r="P774" s="18">
        <f t="shared" si="258"/>
        <v>1.7248000000000001</v>
      </c>
      <c r="Q774" s="29">
        <f t="shared" si="259"/>
        <v>-7.4399999999999994E-2</v>
      </c>
      <c r="R774" s="29">
        <f t="shared" si="260"/>
        <v>1.46E-2</v>
      </c>
      <c r="S774">
        <v>3466000</v>
      </c>
      <c r="T774" s="18">
        <f>ROUND((S774/7)/VLOOKUP(EOMONTH(A774,-1),Employment!A:P,16,FALSE),4)</f>
        <v>2.23</v>
      </c>
      <c r="U774" s="18">
        <f t="shared" si="261"/>
        <v>2.2545000000000002</v>
      </c>
      <c r="V774" s="29">
        <f t="shared" si="262"/>
        <v>-3.15E-2</v>
      </c>
      <c r="W774" s="29">
        <f t="shared" si="263"/>
        <v>8.6E-3</v>
      </c>
      <c r="X774" s="30">
        <f t="shared" si="264"/>
        <v>137.67000000000002</v>
      </c>
      <c r="Y774" s="31">
        <f t="shared" si="265"/>
        <v>138.32</v>
      </c>
    </row>
    <row r="775" spans="1:25" ht="15" customHeight="1" x14ac:dyDescent="0.25">
      <c r="A775" s="5">
        <v>37920</v>
      </c>
      <c r="B775">
        <v>889.76769999999999</v>
      </c>
      <c r="C775" s="29">
        <f t="shared" si="269"/>
        <v>-6.4000000000000003E-3</v>
      </c>
      <c r="D775">
        <v>-0.65</v>
      </c>
      <c r="E775">
        <v>-0.17499999999999999</v>
      </c>
      <c r="F775" s="18">
        <f t="shared" si="256"/>
        <v>0.33199999999999985</v>
      </c>
      <c r="G775" s="18">
        <f t="shared" si="257"/>
        <v>0.5</v>
      </c>
      <c r="H775">
        <v>4.8899999999999997</v>
      </c>
      <c r="I775">
        <v>2.42</v>
      </c>
      <c r="J775">
        <f t="shared" si="266"/>
        <v>3.66</v>
      </c>
      <c r="K775" s="6">
        <f t="shared" si="267"/>
        <v>3.65</v>
      </c>
      <c r="L775" s="6">
        <f t="shared" si="268"/>
        <v>-6.0000000000000053E-2</v>
      </c>
      <c r="M775">
        <v>10.463497345043001</v>
      </c>
      <c r="N775">
        <v>384000</v>
      </c>
      <c r="O775" s="18">
        <f>ROUND(N775/VLOOKUP(EOMONTH(A775,-1),Employment!A:P,16,FALSE),4)</f>
        <v>1.7315</v>
      </c>
      <c r="P775" s="18">
        <f t="shared" si="258"/>
        <v>1.7322</v>
      </c>
      <c r="Q775" s="29">
        <f t="shared" si="259"/>
        <v>-7.0000000000000007E-2</v>
      </c>
      <c r="R775" s="29">
        <f t="shared" si="260"/>
        <v>1.95E-2</v>
      </c>
      <c r="S775">
        <v>3468000</v>
      </c>
      <c r="T775" s="18">
        <f>ROUND((S775/7)/VLOOKUP(EOMONTH(A775,-1),Employment!A:P,16,FALSE),4)</f>
        <v>2.2339000000000002</v>
      </c>
      <c r="U775" s="18">
        <f t="shared" si="261"/>
        <v>2.2751000000000001</v>
      </c>
      <c r="V775" s="29">
        <f t="shared" si="262"/>
        <v>-2.64E-2</v>
      </c>
      <c r="W775" s="29">
        <f t="shared" si="263"/>
        <v>8.2000000000000007E-3</v>
      </c>
      <c r="X775" s="30">
        <f t="shared" si="264"/>
        <v>139.77000000000001</v>
      </c>
      <c r="Y775" s="31">
        <f t="shared" si="265"/>
        <v>137.74</v>
      </c>
    </row>
    <row r="776" spans="1:25" ht="15" customHeight="1" x14ac:dyDescent="0.25">
      <c r="A776" s="5">
        <v>37913</v>
      </c>
      <c r="B776">
        <v>889.59299999999996</v>
      </c>
      <c r="C776" s="29">
        <f t="shared" si="269"/>
        <v>-1.03E-2</v>
      </c>
      <c r="D776">
        <v>-0.64</v>
      </c>
      <c r="E776">
        <v>-0.14599999999999999</v>
      </c>
      <c r="F776" s="18">
        <f t="shared" si="256"/>
        <v>3.2000000000000028E-2</v>
      </c>
      <c r="G776" s="18">
        <f t="shared" si="257"/>
        <v>5.600000000000005E-2</v>
      </c>
      <c r="H776">
        <v>4.68</v>
      </c>
      <c r="I776">
        <v>2.38</v>
      </c>
      <c r="J776">
        <f t="shared" si="266"/>
        <v>3.53</v>
      </c>
      <c r="K776" s="6">
        <f t="shared" si="267"/>
        <v>3.71</v>
      </c>
      <c r="L776" s="6">
        <f t="shared" si="268"/>
        <v>-0.16000000000000014</v>
      </c>
      <c r="M776">
        <v>10.550797392002</v>
      </c>
      <c r="N776">
        <v>382000</v>
      </c>
      <c r="O776" s="18">
        <f>ROUND(N776/VLOOKUP(EOMONTH(A776,-1),Employment!A:P,16,FALSE),4)</f>
        <v>1.7223999999999999</v>
      </c>
      <c r="P776" s="18">
        <f t="shared" si="258"/>
        <v>1.7495000000000001</v>
      </c>
      <c r="Q776" s="29">
        <f t="shared" si="259"/>
        <v>-6.2300000000000001E-2</v>
      </c>
      <c r="R776" s="29">
        <f t="shared" si="260"/>
        <v>2.0299999999999999E-2</v>
      </c>
      <c r="S776">
        <v>3570000</v>
      </c>
      <c r="T776" s="18">
        <f>ROUND((S776/7)/VLOOKUP(EOMONTH(A776,-1),Employment!A:P,16,FALSE),4)</f>
        <v>2.2995999999999999</v>
      </c>
      <c r="U776" s="18">
        <f t="shared" si="261"/>
        <v>2.3008999999999999</v>
      </c>
      <c r="V776" s="29">
        <f t="shared" si="262"/>
        <v>-1.9900000000000001E-2</v>
      </c>
      <c r="W776" s="29">
        <f t="shared" si="263"/>
        <v>7.7999999999999996E-3</v>
      </c>
      <c r="X776" s="30">
        <f t="shared" si="264"/>
        <v>136.34</v>
      </c>
      <c r="Y776" s="31">
        <f t="shared" si="265"/>
        <v>135.97</v>
      </c>
    </row>
    <row r="777" spans="1:25" ht="15" customHeight="1" x14ac:dyDescent="0.25">
      <c r="A777" s="5">
        <v>37906</v>
      </c>
      <c r="B777">
        <v>893.89189999999996</v>
      </c>
      <c r="C777" s="29">
        <f t="shared" si="269"/>
        <v>-9.1999999999999998E-3</v>
      </c>
      <c r="D777">
        <v>-0.64</v>
      </c>
      <c r="E777">
        <v>-0.14199999999999999</v>
      </c>
      <c r="F777" s="18">
        <f t="shared" si="256"/>
        <v>0.13600000000000012</v>
      </c>
      <c r="G777" s="18">
        <f t="shared" si="257"/>
        <v>0.88400000000000123</v>
      </c>
      <c r="H777">
        <v>5.0199999999999996</v>
      </c>
      <c r="I777">
        <v>2.48</v>
      </c>
      <c r="J777">
        <f t="shared" si="266"/>
        <v>3.75</v>
      </c>
      <c r="K777" s="6">
        <f t="shared" si="267"/>
        <v>3.87</v>
      </c>
      <c r="L777" s="6">
        <f t="shared" si="268"/>
        <v>-4.0000000000000036E-2</v>
      </c>
      <c r="M777">
        <v>11.463335488872</v>
      </c>
      <c r="N777">
        <v>386500</v>
      </c>
      <c r="O777" s="18">
        <f>ROUND(N777/VLOOKUP(EOMONTH(A777,-1),Employment!A:P,16,FALSE),4)</f>
        <v>1.7426999999999999</v>
      </c>
      <c r="P777" s="18">
        <f t="shared" si="258"/>
        <v>1.778</v>
      </c>
      <c r="Q777" s="29">
        <f t="shared" si="259"/>
        <v>-4.8099999999999997E-2</v>
      </c>
      <c r="R777" s="29">
        <f t="shared" si="260"/>
        <v>1.7100000000000001E-2</v>
      </c>
      <c r="S777">
        <v>3558000</v>
      </c>
      <c r="T777" s="18">
        <f>ROUND((S777/7)/VLOOKUP(EOMONTH(A777,-1),Employment!A:P,16,FALSE),4)</f>
        <v>2.2919</v>
      </c>
      <c r="U777" s="18">
        <f t="shared" si="261"/>
        <v>2.2995000000000001</v>
      </c>
      <c r="V777" s="29">
        <f t="shared" si="262"/>
        <v>-1.4999999999999999E-2</v>
      </c>
      <c r="W777" s="29">
        <f t="shared" si="263"/>
        <v>6.6E-3</v>
      </c>
      <c r="X777" s="30">
        <f t="shared" si="264"/>
        <v>136.18</v>
      </c>
      <c r="Y777" s="31">
        <f t="shared" si="265"/>
        <v>134.9</v>
      </c>
    </row>
    <row r="778" spans="1:25" ht="15" customHeight="1" x14ac:dyDescent="0.25">
      <c r="A778" s="5">
        <v>37899</v>
      </c>
      <c r="B778">
        <v>897.81730000000005</v>
      </c>
      <c r="C778" s="29">
        <f t="shared" si="269"/>
        <v>-7.7999999999999996E-3</v>
      </c>
      <c r="D778">
        <v>-0.62</v>
      </c>
      <c r="E778">
        <v>-0.15</v>
      </c>
      <c r="F778" s="18">
        <f t="shared" si="256"/>
        <v>-0.1120000000000001</v>
      </c>
      <c r="G778" s="18">
        <f t="shared" si="257"/>
        <v>1.4160000000000004</v>
      </c>
      <c r="H778">
        <v>5.18</v>
      </c>
      <c r="I778">
        <v>2.52</v>
      </c>
      <c r="J778">
        <f t="shared" si="266"/>
        <v>3.85</v>
      </c>
      <c r="K778" s="6">
        <f t="shared" si="267"/>
        <v>3.91</v>
      </c>
      <c r="L778" s="6">
        <f t="shared" si="268"/>
        <v>-4.9999999999999822E-2</v>
      </c>
      <c r="M778">
        <v>11.533011857990999</v>
      </c>
      <c r="N778">
        <v>395500</v>
      </c>
      <c r="O778" s="18">
        <f>ROUND(N778/VLOOKUP(EOMONTH(A778,-1),Employment!A:P,16,FALSE),4)</f>
        <v>1.7833000000000001</v>
      </c>
      <c r="P778" s="18">
        <f t="shared" si="258"/>
        <v>1.8043</v>
      </c>
      <c r="Q778" s="29">
        <f t="shared" si="259"/>
        <v>-3.32E-2</v>
      </c>
      <c r="R778" s="29">
        <f t="shared" si="260"/>
        <v>1.24E-2</v>
      </c>
      <c r="S778">
        <v>3588000</v>
      </c>
      <c r="T778" s="18">
        <f>ROUND((S778/7)/VLOOKUP(EOMONTH(A778,-1),Employment!A:P,16,FALSE),4)</f>
        <v>2.3111999999999999</v>
      </c>
      <c r="U778" s="18">
        <f t="shared" si="261"/>
        <v>2.3090000000000002</v>
      </c>
      <c r="V778" s="29">
        <f t="shared" si="262"/>
        <v>-9.1000000000000004E-3</v>
      </c>
      <c r="W778" s="29">
        <f t="shared" si="263"/>
        <v>5.4999999999999997E-3</v>
      </c>
      <c r="X778" s="30">
        <f t="shared" si="264"/>
        <v>134.54</v>
      </c>
      <c r="Y778" s="31">
        <f t="shared" si="265"/>
        <v>133.15</v>
      </c>
    </row>
    <row r="779" spans="1:25" ht="15" customHeight="1" x14ac:dyDescent="0.25">
      <c r="A779" s="5">
        <v>37892</v>
      </c>
      <c r="B779">
        <v>900.76430000000005</v>
      </c>
      <c r="C779" s="29">
        <f t="shared" si="269"/>
        <v>-6.7000000000000002E-3</v>
      </c>
      <c r="D779">
        <v>-0.62</v>
      </c>
      <c r="E779">
        <v>-0.16400000000000001</v>
      </c>
      <c r="F779" s="18">
        <f t="shared" si="256"/>
        <v>0.86000000000000121</v>
      </c>
      <c r="G779" s="18">
        <f t="shared" si="257"/>
        <v>1.3600000000000003</v>
      </c>
      <c r="H779">
        <v>5.45</v>
      </c>
      <c r="I779">
        <v>2.5499999999999998</v>
      </c>
      <c r="J779">
        <f t="shared" si="266"/>
        <v>4</v>
      </c>
      <c r="K779" s="6">
        <f t="shared" si="267"/>
        <v>3.96</v>
      </c>
      <c r="L779" s="6">
        <f t="shared" si="268"/>
        <v>9.9999999999997868E-3</v>
      </c>
      <c r="M779">
        <v>11.782933716935</v>
      </c>
      <c r="N779">
        <v>400500</v>
      </c>
      <c r="O779" s="18">
        <f>ROUND(N779/VLOOKUP(EOMONTH(A779,-1),Employment!A:P,16,FALSE),4)</f>
        <v>1.8081</v>
      </c>
      <c r="P779" s="18">
        <f t="shared" si="258"/>
        <v>1.8186</v>
      </c>
      <c r="Q779" s="29">
        <f t="shared" si="259"/>
        <v>-1.9699999999999999E-2</v>
      </c>
      <c r="R779" s="29">
        <f t="shared" si="260"/>
        <v>9.7000000000000003E-3</v>
      </c>
      <c r="S779">
        <v>3559000</v>
      </c>
      <c r="T779" s="18">
        <f>ROUND((S779/7)/VLOOKUP(EOMONTH(A779,-1),Employment!A:P,16,FALSE),4)</f>
        <v>2.2953000000000001</v>
      </c>
      <c r="U779" s="18">
        <f t="shared" si="261"/>
        <v>2.3142</v>
      </c>
      <c r="V779" s="29">
        <f t="shared" si="262"/>
        <v>-4.4000000000000003E-3</v>
      </c>
      <c r="W779" s="29">
        <f t="shared" si="263"/>
        <v>4.8999999999999998E-3</v>
      </c>
      <c r="X779" s="30">
        <f t="shared" si="264"/>
        <v>132.6</v>
      </c>
      <c r="Y779" s="31">
        <f t="shared" si="265"/>
        <v>132.13</v>
      </c>
    </row>
    <row r="780" spans="1:25" ht="15" customHeight="1" x14ac:dyDescent="0.25">
      <c r="A780" s="5">
        <v>37885</v>
      </c>
      <c r="B780">
        <v>902.86479999999995</v>
      </c>
      <c r="C780" s="29">
        <f t="shared" si="269"/>
        <v>-6.4000000000000003E-3</v>
      </c>
      <c r="D780">
        <v>-0.61</v>
      </c>
      <c r="E780">
        <v>-6.9000000000000006E-2</v>
      </c>
      <c r="F780" s="18">
        <f t="shared" si="256"/>
        <v>0.66799999999999926</v>
      </c>
      <c r="G780" s="18">
        <f t="shared" si="257"/>
        <v>0.85599999999999987</v>
      </c>
      <c r="H780">
        <v>5.26</v>
      </c>
      <c r="I780">
        <v>2.52</v>
      </c>
      <c r="J780">
        <f t="shared" si="266"/>
        <v>3.89</v>
      </c>
      <c r="K780" s="6">
        <f t="shared" si="267"/>
        <v>3.95</v>
      </c>
      <c r="L780" s="6">
        <f t="shared" si="268"/>
        <v>-2.0000000000000018E-2</v>
      </c>
      <c r="M780">
        <v>11.736557709283</v>
      </c>
      <c r="N780">
        <v>403500</v>
      </c>
      <c r="O780" s="18">
        <f>ROUND(N780/VLOOKUP(EOMONTH(A780,-1),Employment!A:P,16,FALSE),4)</f>
        <v>1.8216000000000001</v>
      </c>
      <c r="P780" s="18">
        <f t="shared" si="258"/>
        <v>1.8178000000000001</v>
      </c>
      <c r="Q780" s="29">
        <f t="shared" si="259"/>
        <v>-1.1299999999999999E-2</v>
      </c>
      <c r="R780" s="29">
        <f t="shared" si="260"/>
        <v>1.04E-2</v>
      </c>
      <c r="S780">
        <v>3598000</v>
      </c>
      <c r="T780" s="18">
        <f>ROUND((S780/7)/VLOOKUP(EOMONTH(A780,-1),Employment!A:P,16,FALSE),4)</f>
        <v>2.3205</v>
      </c>
      <c r="U780" s="18">
        <f t="shared" si="261"/>
        <v>2.3174999999999999</v>
      </c>
      <c r="V780" s="29">
        <f t="shared" si="262"/>
        <v>1E-4</v>
      </c>
      <c r="W780" s="29">
        <f t="shared" si="263"/>
        <v>6.6E-3</v>
      </c>
      <c r="X780" s="30">
        <f t="shared" si="264"/>
        <v>131.02000000000001</v>
      </c>
      <c r="Y780" s="31">
        <f t="shared" si="265"/>
        <v>133.09</v>
      </c>
    </row>
    <row r="781" spans="1:25" ht="15" customHeight="1" x14ac:dyDescent="0.25">
      <c r="A781" s="5">
        <v>37878</v>
      </c>
      <c r="B781">
        <v>907.16430000000003</v>
      </c>
      <c r="C781" s="29">
        <f t="shared" si="269"/>
        <v>-3.2000000000000002E-3</v>
      </c>
      <c r="D781">
        <v>-0.6</v>
      </c>
      <c r="E781">
        <v>2E-3</v>
      </c>
      <c r="F781" s="18">
        <f t="shared" si="256"/>
        <v>-0.16800000000000015</v>
      </c>
      <c r="G781" s="18">
        <f t="shared" si="257"/>
        <v>0.91999999999999993</v>
      </c>
      <c r="H781">
        <v>5.42</v>
      </c>
      <c r="I781">
        <v>2.56</v>
      </c>
      <c r="J781">
        <f t="shared" si="266"/>
        <v>3.99</v>
      </c>
      <c r="K781" s="6">
        <f t="shared" si="267"/>
        <v>3.97</v>
      </c>
      <c r="L781" s="6">
        <f t="shared" si="268"/>
        <v>-2.0000000000000018E-2</v>
      </c>
      <c r="M781">
        <v>11.241684312313</v>
      </c>
      <c r="N781">
        <v>404500</v>
      </c>
      <c r="O781" s="18">
        <f>ROUND(N781/VLOOKUP(EOMONTH(A781,-1),Employment!A:P,16,FALSE),4)</f>
        <v>1.8261000000000001</v>
      </c>
      <c r="P781" s="18">
        <f t="shared" si="258"/>
        <v>1.8109999999999999</v>
      </c>
      <c r="Q781" s="29">
        <f t="shared" si="259"/>
        <v>-5.4999999999999997E-3</v>
      </c>
      <c r="R781" s="29">
        <f t="shared" si="260"/>
        <v>1.3899999999999999E-2</v>
      </c>
      <c r="S781">
        <v>3608000</v>
      </c>
      <c r="T781" s="18">
        <f>ROUND((S781/7)/VLOOKUP(EOMONTH(A781,-1),Employment!A:P,16,FALSE),4)</f>
        <v>2.3269000000000002</v>
      </c>
      <c r="U781" s="18">
        <f t="shared" si="261"/>
        <v>2.3193999999999999</v>
      </c>
      <c r="V781" s="29">
        <f t="shared" si="262"/>
        <v>1E-3</v>
      </c>
      <c r="W781" s="29">
        <f t="shared" si="263"/>
        <v>7.4000000000000003E-3</v>
      </c>
      <c r="X781" s="30">
        <f t="shared" si="264"/>
        <v>133.72</v>
      </c>
      <c r="Y781" s="31">
        <f t="shared" si="265"/>
        <v>134.77000000000001</v>
      </c>
    </row>
    <row r="782" spans="1:25" ht="15" customHeight="1" x14ac:dyDescent="0.25">
      <c r="A782" s="5">
        <v>37871</v>
      </c>
      <c r="B782">
        <v>908.79690000000005</v>
      </c>
      <c r="C782" s="29">
        <f t="shared" si="269"/>
        <v>-3.8E-3</v>
      </c>
      <c r="D782">
        <v>-0.62</v>
      </c>
      <c r="E782">
        <v>6.0000000000000001E-3</v>
      </c>
      <c r="F782" s="18">
        <f t="shared" si="256"/>
        <v>0.35600000000000076</v>
      </c>
      <c r="G782" s="18">
        <f t="shared" si="257"/>
        <v>1.0680000000000005</v>
      </c>
      <c r="H782">
        <v>5.42</v>
      </c>
      <c r="I782">
        <v>2.52</v>
      </c>
      <c r="J782">
        <f t="shared" si="266"/>
        <v>3.97</v>
      </c>
      <c r="K782" s="6">
        <f t="shared" si="267"/>
        <v>3.99</v>
      </c>
      <c r="L782" s="6">
        <f t="shared" si="268"/>
        <v>-0.12000000000000011</v>
      </c>
      <c r="M782">
        <v>11.031577019255</v>
      </c>
      <c r="N782">
        <v>400000</v>
      </c>
      <c r="O782" s="18">
        <f>ROUND(N782/VLOOKUP(EOMONTH(A782,-1),Employment!A:P,16,FALSE),4)</f>
        <v>1.8058000000000001</v>
      </c>
      <c r="P782" s="18">
        <f t="shared" si="258"/>
        <v>1.8052999999999999</v>
      </c>
      <c r="Q782" s="29">
        <f t="shared" si="259"/>
        <v>-4.0000000000000002E-4</v>
      </c>
      <c r="R782" s="29">
        <f t="shared" si="260"/>
        <v>1.8200000000000001E-2</v>
      </c>
      <c r="S782">
        <v>3574000</v>
      </c>
      <c r="T782" s="18">
        <f>ROUND((S782/7)/VLOOKUP(EOMONTH(A782,-1),Employment!A:P,16,FALSE),4)</f>
        <v>2.3050000000000002</v>
      </c>
      <c r="U782" s="18">
        <f t="shared" si="261"/>
        <v>2.3178000000000001</v>
      </c>
      <c r="V782" s="29">
        <f t="shared" si="262"/>
        <v>6.0000000000000001E-3</v>
      </c>
      <c r="W782" s="29">
        <f t="shared" si="263"/>
        <v>6.1000000000000004E-3</v>
      </c>
      <c r="X782" s="30">
        <f t="shared" si="264"/>
        <v>136.69</v>
      </c>
      <c r="Y782" s="31">
        <f t="shared" si="265"/>
        <v>132.55000000000001</v>
      </c>
    </row>
    <row r="783" spans="1:25" ht="15" customHeight="1" x14ac:dyDescent="0.25">
      <c r="A783" s="5">
        <v>37864</v>
      </c>
      <c r="B783">
        <v>908.452</v>
      </c>
      <c r="C783" s="29">
        <f t="shared" si="269"/>
        <v>-7.7000000000000002E-3</v>
      </c>
      <c r="D783">
        <v>-0.61</v>
      </c>
      <c r="E783">
        <v>3.7999999999999999E-2</v>
      </c>
      <c r="F783" s="18">
        <f t="shared" ref="F783:F846" si="270">(((D783*10)+(E783*8))*-1)-(((D784*10)+(E784*8))*-1)</f>
        <v>0.73199999999999932</v>
      </c>
      <c r="G783" s="18">
        <f t="shared" ref="G783:G846" si="271">SUM(F783:F785)</f>
        <v>9.9999999999998757E-2</v>
      </c>
      <c r="H783">
        <v>5.43</v>
      </c>
      <c r="I783">
        <v>2.46</v>
      </c>
      <c r="J783">
        <f t="shared" si="266"/>
        <v>3.95</v>
      </c>
      <c r="K783" s="6">
        <f t="shared" si="267"/>
        <v>4.1100000000000003</v>
      </c>
      <c r="L783" s="6">
        <f t="shared" si="268"/>
        <v>-0.14999999999999947</v>
      </c>
      <c r="M783">
        <v>11.457457828480001</v>
      </c>
      <c r="N783">
        <v>398500</v>
      </c>
      <c r="O783" s="18">
        <f>ROUND(N783/VLOOKUP(EOMONTH(A783,-1),Employment!A:P,16,FALSE),4)</f>
        <v>1.8010999999999999</v>
      </c>
      <c r="P783" s="18">
        <f t="shared" ref="P783:P846" si="272">ROUND(AVERAGE(O783:O785),4)</f>
        <v>1.8083</v>
      </c>
      <c r="Q783" s="29">
        <f t="shared" ref="Q783:Q846" si="273">ROUND((P783/P835)-1,4)</f>
        <v>8.0999999999999996E-3</v>
      </c>
      <c r="R783" s="29">
        <f t="shared" ref="R783:R846" si="274">ROUND(AVERAGE(Q783:Q784)-AVERAGE(Q783:Q787),4)*-1</f>
        <v>2.1100000000000001E-2</v>
      </c>
      <c r="S783">
        <v>3603000</v>
      </c>
      <c r="T783" s="18">
        <f>ROUND((S783/7)/VLOOKUP(EOMONTH(A783,-1),Employment!A:P,16,FALSE),4)</f>
        <v>2.3264</v>
      </c>
      <c r="U783" s="18">
        <f t="shared" ref="U783:U846" si="275">ROUND(AVERAGE(T783:T785),4)</f>
        <v>2.3245</v>
      </c>
      <c r="V783" s="29">
        <f t="shared" ref="V783:V846" si="276">ROUND((U783/U835)-1,4)</f>
        <v>1.0800000000000001E-2</v>
      </c>
      <c r="W783" s="29">
        <f t="shared" ref="W783:W846" si="277">ROUND(AVERAGE(V783:V784)-AVERAGE(V783:V787),4)*-1</f>
        <v>1.1999999999999999E-3</v>
      </c>
      <c r="X783" s="30">
        <f t="shared" ref="X783:X846" si="278">IF(ROUND((C783*500)-(D783*10)-(E783*8)+(M783*1.2)-(P783*23)-(Q783*10)+(R783*600)-(U783*2)-(V783*5)+(W783*100)-(K783*5)-(L783*5)+(G783*3),2)+170&lt;0,0,ROUND((C783*500)-(D783*10)-(E783*8)+(M783*1.2)-(P783*23)-(Q783*10)+(R783*600)-(U783*2)-(V783*5)+(W783*100)-(K783*5)-(L783*5)+(G783*3),2)+170)</f>
        <v>132.6</v>
      </c>
      <c r="Y783" s="31">
        <f t="shared" ref="Y783:Y846" si="279">ROUND(AVERAGE(AVERAGE(X783:X784),AVERAGE(X783:X785)),2)</f>
        <v>125.42</v>
      </c>
    </row>
    <row r="784" spans="1:25" ht="15" customHeight="1" x14ac:dyDescent="0.25">
      <c r="A784" s="5">
        <v>37857</v>
      </c>
      <c r="B784">
        <v>910.22289999999998</v>
      </c>
      <c r="C784" s="29">
        <f t="shared" si="269"/>
        <v>-9.1000000000000004E-3</v>
      </c>
      <c r="D784">
        <v>-0.62</v>
      </c>
      <c r="E784">
        <v>0.14199999999999999</v>
      </c>
      <c r="F784" s="18">
        <f t="shared" si="270"/>
        <v>-1.9999999999999574E-2</v>
      </c>
      <c r="G784" s="18">
        <f t="shared" si="271"/>
        <v>-2.2199999999999998</v>
      </c>
      <c r="H784">
        <v>5.62</v>
      </c>
      <c r="I784">
        <v>2.4900000000000002</v>
      </c>
      <c r="J784">
        <f t="shared" ref="J784:J847" si="280">ROUND(AVERAGE(H784:I784),2)</f>
        <v>4.0599999999999996</v>
      </c>
      <c r="K784" s="6">
        <f t="shared" ref="K784:K847" si="281">ROUND(AVERAGE(J784:J786),2)</f>
        <v>4.26</v>
      </c>
      <c r="L784" s="6">
        <f t="shared" ref="L784:L847" si="282">K784-K785</f>
        <v>-4.0000000000000036E-2</v>
      </c>
      <c r="M784">
        <v>11.662376761988</v>
      </c>
      <c r="N784">
        <v>400250</v>
      </c>
      <c r="O784" s="18">
        <f>ROUND(N784/VLOOKUP(EOMONTH(A784,-1),Employment!A:P,16,FALSE),4)</f>
        <v>1.8089999999999999</v>
      </c>
      <c r="P784" s="18">
        <f t="shared" si="272"/>
        <v>1.8158000000000001</v>
      </c>
      <c r="Q784" s="29">
        <f t="shared" si="273"/>
        <v>1.9099999999999999E-2</v>
      </c>
      <c r="R784" s="29">
        <f t="shared" si="274"/>
        <v>2.0400000000000001E-2</v>
      </c>
      <c r="S784">
        <v>3596000</v>
      </c>
      <c r="T784" s="18">
        <f>ROUND((S784/7)/VLOOKUP(EOMONTH(A784,-1),Employment!A:P,16,FALSE),4)</f>
        <v>2.3218999999999999</v>
      </c>
      <c r="U784" s="18">
        <f t="shared" si="275"/>
        <v>2.3338999999999999</v>
      </c>
      <c r="V784" s="29">
        <f t="shared" si="276"/>
        <v>1.7999999999999999E-2</v>
      </c>
      <c r="W784" s="29">
        <f t="shared" si="277"/>
        <v>-2.2000000000000001E-3</v>
      </c>
      <c r="X784" s="30">
        <f t="shared" si="278"/>
        <v>122.06</v>
      </c>
      <c r="Y784" s="31">
        <f t="shared" si="279"/>
        <v>118.21</v>
      </c>
    </row>
    <row r="785" spans="1:25" ht="15" customHeight="1" x14ac:dyDescent="0.25">
      <c r="A785" s="5">
        <v>37850</v>
      </c>
      <c r="B785">
        <v>912.98850000000004</v>
      </c>
      <c r="C785" s="29">
        <f t="shared" si="269"/>
        <v>-9.1000000000000004E-3</v>
      </c>
      <c r="D785">
        <v>-0.63</v>
      </c>
      <c r="E785">
        <v>0.152</v>
      </c>
      <c r="F785" s="18">
        <f t="shared" si="270"/>
        <v>-0.61200000000000099</v>
      </c>
      <c r="G785" s="18">
        <f t="shared" si="271"/>
        <v>-2.7480000000000011</v>
      </c>
      <c r="H785">
        <v>6.07</v>
      </c>
      <c r="I785">
        <v>2.5499999999999998</v>
      </c>
      <c r="J785">
        <f t="shared" si="280"/>
        <v>4.3099999999999996</v>
      </c>
      <c r="K785" s="6">
        <f t="shared" si="281"/>
        <v>4.3</v>
      </c>
      <c r="L785" s="6">
        <f t="shared" si="282"/>
        <v>5.9999999999999609E-2</v>
      </c>
      <c r="M785">
        <v>12.005547333637001</v>
      </c>
      <c r="N785">
        <v>401500</v>
      </c>
      <c r="O785" s="18">
        <f>ROUND(N785/VLOOKUP(EOMONTH(A785,-1),Employment!A:P,16,FALSE),4)</f>
        <v>1.8147</v>
      </c>
      <c r="P785" s="18">
        <f t="shared" si="272"/>
        <v>1.8328</v>
      </c>
      <c r="Q785" s="29">
        <f t="shared" si="273"/>
        <v>3.3599999999999998E-2</v>
      </c>
      <c r="R785" s="29">
        <f t="shared" si="274"/>
        <v>1.44E-2</v>
      </c>
      <c r="S785">
        <v>3601000</v>
      </c>
      <c r="T785" s="18">
        <f>ROUND((S785/7)/VLOOKUP(EOMONTH(A785,-1),Employment!A:P,16,FALSE),4)</f>
        <v>2.3250999999999999</v>
      </c>
      <c r="U785" s="18">
        <f t="shared" si="275"/>
        <v>2.3331</v>
      </c>
      <c r="V785" s="29">
        <f t="shared" si="276"/>
        <v>1.8800000000000001E-2</v>
      </c>
      <c r="W785" s="29">
        <f t="shared" si="277"/>
        <v>-4.4999999999999997E-3</v>
      </c>
      <c r="X785" s="30">
        <f t="shared" si="278"/>
        <v>115.84</v>
      </c>
      <c r="Y785" s="31">
        <f t="shared" si="279"/>
        <v>115.97</v>
      </c>
    </row>
    <row r="786" spans="1:25" ht="15" customHeight="1" x14ac:dyDescent="0.25">
      <c r="A786" s="5">
        <v>37843</v>
      </c>
      <c r="B786">
        <v>917.48479999999995</v>
      </c>
      <c r="C786" s="29">
        <f t="shared" ref="C786:C849" si="283">ROUND((B786-AVERAGE(B787:B790))/AVERAGE(B787:B790),4)</f>
        <v>-6.6E-3</v>
      </c>
      <c r="D786">
        <v>-0.66</v>
      </c>
      <c r="E786">
        <v>0.113</v>
      </c>
      <c r="F786" s="18">
        <f t="shared" si="270"/>
        <v>-1.5879999999999992</v>
      </c>
      <c r="G786" s="18">
        <f t="shared" si="271"/>
        <v>-2.2480000000000002</v>
      </c>
      <c r="H786">
        <v>6.13</v>
      </c>
      <c r="I786">
        <v>2.69</v>
      </c>
      <c r="J786">
        <f t="shared" si="280"/>
        <v>4.41</v>
      </c>
      <c r="K786" s="6">
        <f t="shared" si="281"/>
        <v>4.24</v>
      </c>
      <c r="L786" s="6">
        <f t="shared" si="282"/>
        <v>7.0000000000000284E-2</v>
      </c>
      <c r="M786">
        <v>12.207804844416</v>
      </c>
      <c r="N786">
        <v>403500</v>
      </c>
      <c r="O786" s="18">
        <f>ROUND(N786/VLOOKUP(EOMONTH(A786,-1),Employment!A:P,16,FALSE),4)</f>
        <v>1.8237000000000001</v>
      </c>
      <c r="P786" s="18">
        <f t="shared" si="272"/>
        <v>1.8602000000000001</v>
      </c>
      <c r="Q786" s="29">
        <f t="shared" si="273"/>
        <v>0.05</v>
      </c>
      <c r="R786" s="29">
        <f t="shared" si="274"/>
        <v>6.7000000000000002E-3</v>
      </c>
      <c r="S786">
        <v>3647000</v>
      </c>
      <c r="T786" s="18">
        <f>ROUND((S786/7)/VLOOKUP(EOMONTH(A786,-1),Employment!A:P,16,FALSE),4)</f>
        <v>2.3548</v>
      </c>
      <c r="U786" s="18">
        <f t="shared" si="275"/>
        <v>2.3334999999999999</v>
      </c>
      <c r="V786" s="29">
        <f t="shared" si="276"/>
        <v>1.89E-2</v>
      </c>
      <c r="W786" s="29">
        <f t="shared" si="277"/>
        <v>-2.5000000000000001E-3</v>
      </c>
      <c r="X786" s="30">
        <f t="shared" si="278"/>
        <v>114.47999999999999</v>
      </c>
      <c r="Y786" s="31">
        <f t="shared" si="279"/>
        <v>117.82</v>
      </c>
    </row>
    <row r="787" spans="1:25" ht="15" customHeight="1" x14ac:dyDescent="0.25">
      <c r="A787" s="5">
        <v>37836</v>
      </c>
      <c r="B787">
        <v>921.35860000000002</v>
      </c>
      <c r="C787" s="29">
        <f t="shared" si="283"/>
        <v>-1E-3</v>
      </c>
      <c r="D787">
        <v>-0.67</v>
      </c>
      <c r="E787">
        <v>-7.2999999999999995E-2</v>
      </c>
      <c r="F787" s="18">
        <f t="shared" si="270"/>
        <v>-0.54800000000000093</v>
      </c>
      <c r="G787" s="18">
        <f t="shared" si="271"/>
        <v>-0.38000000000000078</v>
      </c>
      <c r="H787">
        <v>5.77</v>
      </c>
      <c r="I787">
        <v>2.57</v>
      </c>
      <c r="J787">
        <f t="shared" si="280"/>
        <v>4.17</v>
      </c>
      <c r="K787" s="6">
        <f t="shared" si="281"/>
        <v>4.17</v>
      </c>
      <c r="L787" s="6">
        <f t="shared" si="282"/>
        <v>-7.0000000000000284E-2</v>
      </c>
      <c r="M787">
        <v>11.120131436474001</v>
      </c>
      <c r="N787">
        <v>411500</v>
      </c>
      <c r="O787" s="18">
        <f>ROUND(N787/VLOOKUP(EOMONTH(A787,-1),Employment!A:P,16,FALSE),4)</f>
        <v>1.8599000000000001</v>
      </c>
      <c r="P787" s="18">
        <f t="shared" si="272"/>
        <v>1.8865000000000001</v>
      </c>
      <c r="Q787" s="29">
        <f t="shared" si="273"/>
        <v>6.2600000000000003E-2</v>
      </c>
      <c r="R787" s="29">
        <f t="shared" si="274"/>
        <v>1.1999999999999999E-3</v>
      </c>
      <c r="S787">
        <v>3592000</v>
      </c>
      <c r="T787" s="18">
        <f>ROUND((S787/7)/VLOOKUP(EOMONTH(A787,-1),Employment!A:P,16,FALSE),4)</f>
        <v>2.3193000000000001</v>
      </c>
      <c r="U787" s="18">
        <f t="shared" si="275"/>
        <v>2.33</v>
      </c>
      <c r="V787" s="29">
        <f t="shared" si="276"/>
        <v>1.1299999999999999E-2</v>
      </c>
      <c r="W787" s="29">
        <f t="shared" si="277"/>
        <v>-4.4000000000000003E-3</v>
      </c>
      <c r="X787" s="30">
        <f t="shared" si="278"/>
        <v>120.03999999999999</v>
      </c>
      <c r="Y787" s="31">
        <f t="shared" si="279"/>
        <v>120.16</v>
      </c>
    </row>
    <row r="788" spans="1:25" ht="15" customHeight="1" x14ac:dyDescent="0.25">
      <c r="A788" s="5">
        <v>37829</v>
      </c>
      <c r="B788">
        <v>922.47260000000006</v>
      </c>
      <c r="C788" s="29">
        <f t="shared" si="283"/>
        <v>2.3E-3</v>
      </c>
      <c r="D788">
        <v>-0.68</v>
      </c>
      <c r="E788">
        <v>-0.129</v>
      </c>
      <c r="F788" s="18">
        <f t="shared" si="270"/>
        <v>-0.1120000000000001</v>
      </c>
      <c r="G788" s="18">
        <f t="shared" si="271"/>
        <v>-0.17999999999999972</v>
      </c>
      <c r="H788">
        <v>5.73</v>
      </c>
      <c r="I788">
        <v>2.57</v>
      </c>
      <c r="J788">
        <f t="shared" si="280"/>
        <v>4.1500000000000004</v>
      </c>
      <c r="K788" s="6">
        <f t="shared" si="281"/>
        <v>4.24</v>
      </c>
      <c r="L788" s="6">
        <f t="shared" si="282"/>
        <v>-8.9999999999999858E-2</v>
      </c>
      <c r="M788">
        <v>10.427262522832001</v>
      </c>
      <c r="N788">
        <v>419250</v>
      </c>
      <c r="O788" s="18">
        <f>ROUND(N788/VLOOKUP(EOMONTH(A788,-1),Employment!A:P,16,FALSE),4)</f>
        <v>1.8969</v>
      </c>
      <c r="P788" s="18">
        <f t="shared" si="272"/>
        <v>1.9040999999999999</v>
      </c>
      <c r="Q788" s="29">
        <f t="shared" si="273"/>
        <v>6.83E-2</v>
      </c>
      <c r="R788" s="29">
        <f t="shared" si="274"/>
        <v>2.9999999999999997E-4</v>
      </c>
      <c r="S788">
        <v>3599000</v>
      </c>
      <c r="T788" s="18">
        <f>ROUND((S788/7)/VLOOKUP(EOMONTH(A788,-1),Employment!A:P,16,FALSE),4)</f>
        <v>2.3262999999999998</v>
      </c>
      <c r="U788" s="18">
        <f t="shared" si="275"/>
        <v>2.3620999999999999</v>
      </c>
      <c r="V788" s="29">
        <f t="shared" si="276"/>
        <v>1.3899999999999999E-2</v>
      </c>
      <c r="W788" s="29">
        <f t="shared" si="277"/>
        <v>-5.0000000000000001E-3</v>
      </c>
      <c r="X788" s="30">
        <f t="shared" si="278"/>
        <v>120.61</v>
      </c>
      <c r="Y788" s="31">
        <f t="shared" si="279"/>
        <v>119.09</v>
      </c>
    </row>
    <row r="789" spans="1:25" ht="15" customHeight="1" x14ac:dyDescent="0.25">
      <c r="A789" s="5">
        <v>37822</v>
      </c>
      <c r="B789">
        <v>924.33540000000005</v>
      </c>
      <c r="C789" s="29">
        <f t="shared" si="283"/>
        <v>6.6E-3</v>
      </c>
      <c r="D789">
        <v>-0.68</v>
      </c>
      <c r="E789">
        <v>-0.14299999999999999</v>
      </c>
      <c r="F789" s="18">
        <f t="shared" si="270"/>
        <v>0.28000000000000025</v>
      </c>
      <c r="G789" s="18">
        <f t="shared" si="271"/>
        <v>-0.28800000000000026</v>
      </c>
      <c r="H789">
        <v>5.76</v>
      </c>
      <c r="I789">
        <v>2.61</v>
      </c>
      <c r="J789">
        <f t="shared" si="280"/>
        <v>4.1900000000000004</v>
      </c>
      <c r="K789" s="6">
        <f t="shared" si="281"/>
        <v>4.33</v>
      </c>
      <c r="L789" s="6">
        <f t="shared" si="282"/>
        <v>-8.0000000000000071E-2</v>
      </c>
      <c r="M789">
        <v>9.5651354421842996</v>
      </c>
      <c r="N789">
        <v>420500</v>
      </c>
      <c r="O789" s="18">
        <f>ROUND(N789/VLOOKUP(EOMONTH(A789,-1),Employment!A:P,16,FALSE),4)</f>
        <v>1.9026000000000001</v>
      </c>
      <c r="P789" s="18">
        <f t="shared" si="272"/>
        <v>1.9078999999999999</v>
      </c>
      <c r="Q789" s="29">
        <f t="shared" si="273"/>
        <v>6.6299999999999998E-2</v>
      </c>
      <c r="R789" s="29">
        <f t="shared" si="274"/>
        <v>-1.9E-3</v>
      </c>
      <c r="S789">
        <v>3627000</v>
      </c>
      <c r="T789" s="18">
        <f>ROUND((S789/7)/VLOOKUP(EOMONTH(A789,-1),Employment!A:P,16,FALSE),4)</f>
        <v>2.3443999999999998</v>
      </c>
      <c r="U789" s="18">
        <f t="shared" si="275"/>
        <v>2.3820999999999999</v>
      </c>
      <c r="V789" s="29">
        <f t="shared" si="276"/>
        <v>8.8000000000000005E-3</v>
      </c>
      <c r="W789" s="29">
        <f t="shared" si="277"/>
        <v>-8.0000000000000002E-3</v>
      </c>
      <c r="X789" s="30">
        <f t="shared" si="278"/>
        <v>119.32</v>
      </c>
      <c r="Y789" s="31">
        <f t="shared" si="279"/>
        <v>115.12</v>
      </c>
    </row>
    <row r="790" spans="1:25" ht="15" customHeight="1" x14ac:dyDescent="0.25">
      <c r="A790" s="5">
        <v>37815</v>
      </c>
      <c r="B790">
        <v>926.32399999999996</v>
      </c>
      <c r="C790" s="29">
        <f t="shared" si="283"/>
        <v>1.14E-2</v>
      </c>
      <c r="D790">
        <v>-0.68</v>
      </c>
      <c r="E790">
        <v>-0.108</v>
      </c>
      <c r="F790" s="18">
        <f t="shared" si="270"/>
        <v>-0.34799999999999986</v>
      </c>
      <c r="G790" s="18">
        <f t="shared" si="271"/>
        <v>-0.57999999999999918</v>
      </c>
      <c r="H790">
        <v>6.05</v>
      </c>
      <c r="I790">
        <v>2.73</v>
      </c>
      <c r="J790">
        <f t="shared" si="280"/>
        <v>4.3899999999999997</v>
      </c>
      <c r="K790" s="6">
        <f t="shared" si="281"/>
        <v>4.41</v>
      </c>
      <c r="L790" s="6">
        <f t="shared" si="282"/>
        <v>-3.0000000000000249E-2</v>
      </c>
      <c r="M790">
        <v>8.5857415980108005</v>
      </c>
      <c r="N790">
        <v>422750</v>
      </c>
      <c r="O790" s="18">
        <f>ROUND(N790/VLOOKUP(EOMONTH(A790,-1),Employment!A:P,16,FALSE),4)</f>
        <v>1.9128000000000001</v>
      </c>
      <c r="P790" s="18">
        <f t="shared" si="272"/>
        <v>1.9112</v>
      </c>
      <c r="Q790" s="29">
        <f t="shared" si="273"/>
        <v>6.7599999999999993E-2</v>
      </c>
      <c r="R790" s="29">
        <f t="shared" si="274"/>
        <v>-8.8000000000000005E-3</v>
      </c>
      <c r="S790">
        <v>3737000</v>
      </c>
      <c r="T790" s="18">
        <f>ROUND((S790/7)/VLOOKUP(EOMONTH(A790,-1),Employment!A:P,16,FALSE),4)</f>
        <v>2.4155000000000002</v>
      </c>
      <c r="U790" s="18">
        <f t="shared" si="275"/>
        <v>2.3976000000000002</v>
      </c>
      <c r="V790" s="29">
        <f t="shared" si="276"/>
        <v>1.03E-2</v>
      </c>
      <c r="W790" s="29">
        <f t="shared" si="277"/>
        <v>-5.3E-3</v>
      </c>
      <c r="X790" s="30">
        <f t="shared" si="278"/>
        <v>114.74000000000001</v>
      </c>
      <c r="Y790" s="31">
        <f t="shared" si="279"/>
        <v>108.68</v>
      </c>
    </row>
    <row r="791" spans="1:25" ht="15" customHeight="1" x14ac:dyDescent="0.25">
      <c r="A791" s="5">
        <v>37808</v>
      </c>
      <c r="B791">
        <v>916.07669999999996</v>
      </c>
      <c r="C791" s="29">
        <f t="shared" si="283"/>
        <v>-1.1999999999999999E-3</v>
      </c>
      <c r="D791">
        <v>-0.67</v>
      </c>
      <c r="E791">
        <v>-0.16400000000000001</v>
      </c>
      <c r="F791" s="18">
        <f t="shared" si="270"/>
        <v>-0.22000000000000064</v>
      </c>
      <c r="G791" s="18">
        <f t="shared" si="271"/>
        <v>0.14000000000000057</v>
      </c>
      <c r="H791">
        <v>6.11</v>
      </c>
      <c r="I791">
        <v>2.72</v>
      </c>
      <c r="J791">
        <f t="shared" si="280"/>
        <v>4.42</v>
      </c>
      <c r="K791" s="6">
        <f t="shared" si="281"/>
        <v>4.4400000000000004</v>
      </c>
      <c r="L791" s="6">
        <f t="shared" si="282"/>
        <v>-7.9999999999999183E-2</v>
      </c>
      <c r="M791">
        <v>8.2740937336818003</v>
      </c>
      <c r="N791">
        <v>421750</v>
      </c>
      <c r="O791" s="18">
        <f>ROUND(N791/VLOOKUP(EOMONTH(A791,-1),Employment!A:P,16,FALSE),4)</f>
        <v>1.9083000000000001</v>
      </c>
      <c r="P791" s="18">
        <f t="shared" si="272"/>
        <v>1.9153</v>
      </c>
      <c r="Q791" s="29">
        <f t="shared" si="273"/>
        <v>6.8599999999999994E-2</v>
      </c>
      <c r="R791" s="29">
        <f t="shared" si="274"/>
        <v>-1.7000000000000001E-2</v>
      </c>
      <c r="S791">
        <v>3692000</v>
      </c>
      <c r="T791" s="18">
        <f>ROUND((S791/7)/VLOOKUP(EOMONTH(A791,-1),Employment!A:P,16,FALSE),4)</f>
        <v>2.3864000000000001</v>
      </c>
      <c r="U791" s="18">
        <f t="shared" si="275"/>
        <v>2.3866999999999998</v>
      </c>
      <c r="V791" s="29">
        <f t="shared" si="276"/>
        <v>-3.2000000000000002E-3</v>
      </c>
      <c r="W791" s="29">
        <f t="shared" si="277"/>
        <v>-7.1999999999999998E-3</v>
      </c>
      <c r="X791" s="30">
        <f t="shared" si="278"/>
        <v>105.55</v>
      </c>
      <c r="Y791" s="31">
        <f t="shared" si="279"/>
        <v>103.68</v>
      </c>
    </row>
    <row r="792" spans="1:25" ht="15" customHeight="1" x14ac:dyDescent="0.25">
      <c r="A792" s="5">
        <v>37801</v>
      </c>
      <c r="B792">
        <v>914.61919999999998</v>
      </c>
      <c r="C792" s="29">
        <f t="shared" si="283"/>
        <v>-5.1000000000000004E-3</v>
      </c>
      <c r="D792">
        <v>-0.68</v>
      </c>
      <c r="E792">
        <v>-0.17899999999999999</v>
      </c>
      <c r="F792" s="18">
        <f t="shared" si="270"/>
        <v>-1.1999999999998678E-2</v>
      </c>
      <c r="G792" s="18">
        <f t="shared" si="271"/>
        <v>2.8000000000000469E-2</v>
      </c>
      <c r="H792">
        <v>6.03</v>
      </c>
      <c r="I792">
        <v>2.8</v>
      </c>
      <c r="J792">
        <f t="shared" si="280"/>
        <v>4.42</v>
      </c>
      <c r="K792" s="6">
        <f t="shared" si="281"/>
        <v>4.5199999999999996</v>
      </c>
      <c r="L792" s="6">
        <f t="shared" si="282"/>
        <v>-8.0000000000000071E-2</v>
      </c>
      <c r="M792">
        <v>7.9847732855961002</v>
      </c>
      <c r="N792">
        <v>422250</v>
      </c>
      <c r="O792" s="18">
        <f>ROUND(N792/VLOOKUP(EOMONTH(A792,-1),Employment!A:P,16,FALSE),4)</f>
        <v>1.9126000000000001</v>
      </c>
      <c r="P792" s="18">
        <f t="shared" si="272"/>
        <v>1.9224000000000001</v>
      </c>
      <c r="Q792" s="29">
        <f t="shared" si="273"/>
        <v>6.7199999999999996E-2</v>
      </c>
      <c r="R792" s="29">
        <f t="shared" si="274"/>
        <v>-1.9099999999999999E-2</v>
      </c>
      <c r="S792">
        <v>3695000</v>
      </c>
      <c r="T792" s="18">
        <f>ROUND((S792/7)/VLOOKUP(EOMONTH(A792,-1),Employment!A:P,16,FALSE),4)</f>
        <v>2.391</v>
      </c>
      <c r="U792" s="18">
        <f t="shared" si="275"/>
        <v>2.4051999999999998</v>
      </c>
      <c r="V792" s="29">
        <f t="shared" si="276"/>
        <v>2E-3</v>
      </c>
      <c r="W792" s="29">
        <f t="shared" si="277"/>
        <v>-6.1999999999999998E-3</v>
      </c>
      <c r="X792" s="30">
        <f t="shared" si="278"/>
        <v>101.36</v>
      </c>
      <c r="Y792" s="31">
        <f t="shared" si="279"/>
        <v>103.27</v>
      </c>
    </row>
    <row r="793" spans="1:25" ht="15" customHeight="1" x14ac:dyDescent="0.25">
      <c r="A793" s="5">
        <v>37794</v>
      </c>
      <c r="B793">
        <v>916.18439999999998</v>
      </c>
      <c r="C793" s="29">
        <f t="shared" si="283"/>
        <v>-6.3E-3</v>
      </c>
      <c r="D793">
        <v>-0.69</v>
      </c>
      <c r="E793">
        <v>-0.16800000000000001</v>
      </c>
      <c r="F793" s="18">
        <f t="shared" si="270"/>
        <v>0.37199999999999989</v>
      </c>
      <c r="G793" s="18">
        <f t="shared" si="271"/>
        <v>0.30800000000000072</v>
      </c>
      <c r="H793">
        <v>6.07</v>
      </c>
      <c r="I793">
        <v>2.86</v>
      </c>
      <c r="J793">
        <f t="shared" si="280"/>
        <v>4.47</v>
      </c>
      <c r="K793" s="6">
        <f t="shared" si="281"/>
        <v>4.5999999999999996</v>
      </c>
      <c r="L793" s="6">
        <f t="shared" si="282"/>
        <v>-0.12000000000000011</v>
      </c>
      <c r="M793">
        <v>7.0768983725412999</v>
      </c>
      <c r="N793">
        <v>425000</v>
      </c>
      <c r="O793" s="18">
        <f>ROUND(N793/VLOOKUP(EOMONTH(A793,-1),Employment!A:P,16,FALSE),4)</f>
        <v>1.9251</v>
      </c>
      <c r="P793" s="18">
        <f t="shared" si="272"/>
        <v>1.9236</v>
      </c>
      <c r="Q793" s="29">
        <f t="shared" si="273"/>
        <v>5.5500000000000001E-2</v>
      </c>
      <c r="R793" s="29">
        <f t="shared" si="274"/>
        <v>-1.2E-2</v>
      </c>
      <c r="S793">
        <v>3682000</v>
      </c>
      <c r="T793" s="18">
        <f>ROUND((S793/7)/VLOOKUP(EOMONTH(A793,-1),Employment!A:P,16,FALSE),4)</f>
        <v>2.3826000000000001</v>
      </c>
      <c r="U793" s="18">
        <f t="shared" si="275"/>
        <v>2.4003000000000001</v>
      </c>
      <c r="V793" s="29">
        <f t="shared" si="276"/>
        <v>-9.9000000000000008E-3</v>
      </c>
      <c r="W793" s="29">
        <f t="shared" si="277"/>
        <v>-5.3E-3</v>
      </c>
      <c r="X793" s="30">
        <f t="shared" si="278"/>
        <v>104.83</v>
      </c>
      <c r="Y793" s="31">
        <f t="shared" si="279"/>
        <v>104.54</v>
      </c>
    </row>
    <row r="794" spans="1:25" ht="15" customHeight="1" x14ac:dyDescent="0.25">
      <c r="A794" s="5">
        <v>37787</v>
      </c>
      <c r="B794">
        <v>916.49429999999995</v>
      </c>
      <c r="C794" s="29">
        <f t="shared" si="283"/>
        <v>-9.1999999999999998E-3</v>
      </c>
      <c r="D794">
        <v>-0.7</v>
      </c>
      <c r="E794">
        <v>-0.109</v>
      </c>
      <c r="F794" s="18">
        <f t="shared" si="270"/>
        <v>-0.33200000000000074</v>
      </c>
      <c r="G794" s="18">
        <f t="shared" si="271"/>
        <v>-0.57199999999999918</v>
      </c>
      <c r="H794">
        <v>6.46</v>
      </c>
      <c r="I794">
        <v>2.88</v>
      </c>
      <c r="J794">
        <f t="shared" si="280"/>
        <v>4.67</v>
      </c>
      <c r="K794" s="6">
        <f t="shared" si="281"/>
        <v>4.72</v>
      </c>
      <c r="L794" s="6">
        <f t="shared" si="282"/>
        <v>-6.0000000000000497E-2</v>
      </c>
      <c r="M794">
        <v>6.3822522137678996</v>
      </c>
      <c r="N794">
        <v>426000</v>
      </c>
      <c r="O794" s="18">
        <f>ROUND(N794/VLOOKUP(EOMONTH(A794,-1),Employment!A:P,16,FALSE),4)</f>
        <v>1.9296</v>
      </c>
      <c r="P794" s="18">
        <f t="shared" si="272"/>
        <v>1.9194</v>
      </c>
      <c r="Q794" s="29">
        <f t="shared" si="273"/>
        <v>3.7699999999999997E-2</v>
      </c>
      <c r="R794" s="29">
        <f t="shared" si="274"/>
        <v>-3.8999999999999998E-3</v>
      </c>
      <c r="S794">
        <v>3774000</v>
      </c>
      <c r="T794" s="18">
        <f>ROUND((S794/7)/VLOOKUP(EOMONTH(A794,-1),Employment!A:P,16,FALSE),4)</f>
        <v>2.4420999999999999</v>
      </c>
      <c r="U794" s="18">
        <f t="shared" si="275"/>
        <v>2.4076</v>
      </c>
      <c r="V794" s="29">
        <f t="shared" si="276"/>
        <v>-8.0999999999999996E-3</v>
      </c>
      <c r="W794" s="29">
        <f t="shared" si="277"/>
        <v>-1.6000000000000001E-3</v>
      </c>
      <c r="X794" s="30">
        <f t="shared" si="278"/>
        <v>104.12</v>
      </c>
      <c r="Y794" s="31">
        <f t="shared" si="279"/>
        <v>102.86</v>
      </c>
    </row>
    <row r="795" spans="1:25" ht="15" customHeight="1" x14ac:dyDescent="0.25">
      <c r="A795" s="5">
        <v>37780</v>
      </c>
      <c r="B795">
        <v>921.55290000000002</v>
      </c>
      <c r="C795" s="29">
        <f t="shared" si="283"/>
        <v>-6.4000000000000003E-3</v>
      </c>
      <c r="D795">
        <v>-0.73</v>
      </c>
      <c r="E795">
        <v>-0.113</v>
      </c>
      <c r="F795" s="18">
        <f t="shared" si="270"/>
        <v>0.26800000000000157</v>
      </c>
      <c r="G795" s="18">
        <f t="shared" si="271"/>
        <v>-0.18399999999999928</v>
      </c>
      <c r="H795">
        <v>6.48</v>
      </c>
      <c r="I795">
        <v>2.83</v>
      </c>
      <c r="J795">
        <f t="shared" si="280"/>
        <v>4.66</v>
      </c>
      <c r="K795" s="6">
        <f t="shared" si="281"/>
        <v>4.78</v>
      </c>
      <c r="L795" s="6">
        <f t="shared" si="282"/>
        <v>-1.9999999999999574E-2</v>
      </c>
      <c r="M795">
        <v>6.0715502545581996</v>
      </c>
      <c r="N795">
        <v>423000</v>
      </c>
      <c r="O795" s="18">
        <f>ROUND(N795/VLOOKUP(EOMONTH(A795,-1),Employment!A:P,16,FALSE),4)</f>
        <v>1.9159999999999999</v>
      </c>
      <c r="P795" s="18">
        <f t="shared" si="272"/>
        <v>1.9238999999999999</v>
      </c>
      <c r="Q795" s="29">
        <f t="shared" si="273"/>
        <v>2.5499999999999998E-2</v>
      </c>
      <c r="R795" s="29">
        <f t="shared" si="274"/>
        <v>-6.1999999999999998E-3</v>
      </c>
      <c r="S795">
        <v>3672000</v>
      </c>
      <c r="T795" s="18">
        <f>ROUND((S795/7)/VLOOKUP(EOMONTH(A795,-1),Employment!A:P,16,FALSE),4)</f>
        <v>2.3761000000000001</v>
      </c>
      <c r="U795" s="18">
        <f t="shared" si="275"/>
        <v>2.3933</v>
      </c>
      <c r="V795" s="29">
        <f t="shared" si="276"/>
        <v>-0.02</v>
      </c>
      <c r="W795" s="29">
        <f t="shared" si="277"/>
        <v>-1.4E-3</v>
      </c>
      <c r="X795" s="30">
        <f t="shared" si="278"/>
        <v>104.89</v>
      </c>
      <c r="Y795" s="31">
        <f t="shared" si="279"/>
        <v>98.23</v>
      </c>
    </row>
    <row r="796" spans="1:25" ht="15" customHeight="1" x14ac:dyDescent="0.25">
      <c r="A796" s="5">
        <v>37773</v>
      </c>
      <c r="B796">
        <v>922.92849999999999</v>
      </c>
      <c r="C796" s="29">
        <f t="shared" si="283"/>
        <v>-7.6E-3</v>
      </c>
      <c r="D796">
        <v>-0.72</v>
      </c>
      <c r="E796">
        <v>-9.1999999999999998E-2</v>
      </c>
      <c r="F796" s="18">
        <f t="shared" si="270"/>
        <v>-0.50800000000000001</v>
      </c>
      <c r="G796" s="18">
        <f t="shared" si="271"/>
        <v>0.15200000000000014</v>
      </c>
      <c r="H796">
        <v>6.81</v>
      </c>
      <c r="I796">
        <v>2.85</v>
      </c>
      <c r="J796">
        <f t="shared" si="280"/>
        <v>4.83</v>
      </c>
      <c r="K796" s="6">
        <f t="shared" si="281"/>
        <v>4.8</v>
      </c>
      <c r="L796" s="6">
        <f t="shared" si="282"/>
        <v>4.9999999999999822E-2</v>
      </c>
      <c r="M796">
        <v>5.3647369672123002</v>
      </c>
      <c r="N796">
        <v>422250</v>
      </c>
      <c r="O796" s="18">
        <f>ROUND(N796/VLOOKUP(EOMONTH(A796,-1),Employment!A:P,16,FALSE),4)</f>
        <v>1.9126000000000001</v>
      </c>
      <c r="P796" s="18">
        <f t="shared" si="272"/>
        <v>1.9422999999999999</v>
      </c>
      <c r="Q796" s="29">
        <f t="shared" si="273"/>
        <v>2.52E-2</v>
      </c>
      <c r="R796" s="29">
        <f t="shared" si="274"/>
        <v>-0.02</v>
      </c>
      <c r="S796">
        <v>3716000</v>
      </c>
      <c r="T796" s="18">
        <f>ROUND((S796/7)/VLOOKUP(EOMONTH(A796,-1),Employment!A:P,16,FALSE),4)</f>
        <v>2.4045999999999998</v>
      </c>
      <c r="U796" s="18">
        <f t="shared" si="275"/>
        <v>2.4066999999999998</v>
      </c>
      <c r="V796" s="29">
        <f t="shared" si="276"/>
        <v>-1.4800000000000001E-2</v>
      </c>
      <c r="W796" s="29">
        <f t="shared" si="277"/>
        <v>-5.1000000000000004E-3</v>
      </c>
      <c r="X796" s="30">
        <f t="shared" si="278"/>
        <v>94.61</v>
      </c>
      <c r="Y796" s="31">
        <f t="shared" si="279"/>
        <v>93</v>
      </c>
    </row>
    <row r="797" spans="1:25" ht="15" customHeight="1" x14ac:dyDescent="0.25">
      <c r="A797" s="5">
        <v>37766</v>
      </c>
      <c r="B797">
        <v>927.10969999999998</v>
      </c>
      <c r="C797" s="29">
        <f t="shared" si="283"/>
        <v>-6.0000000000000001E-3</v>
      </c>
      <c r="D797">
        <v>-0.73</v>
      </c>
      <c r="E797">
        <v>-0.14299999999999999</v>
      </c>
      <c r="F797" s="18">
        <f t="shared" si="270"/>
        <v>5.5999999999999162E-2</v>
      </c>
      <c r="G797" s="18">
        <f t="shared" si="271"/>
        <v>1.6519999999999984</v>
      </c>
      <c r="H797">
        <v>6.87</v>
      </c>
      <c r="I797">
        <v>2.81</v>
      </c>
      <c r="J797">
        <f t="shared" si="280"/>
        <v>4.84</v>
      </c>
      <c r="K797" s="6">
        <f t="shared" si="281"/>
        <v>4.75</v>
      </c>
      <c r="L797" s="6">
        <f t="shared" si="282"/>
        <v>0.11000000000000032</v>
      </c>
      <c r="M797">
        <v>4.4324250052011998</v>
      </c>
      <c r="N797">
        <v>428500</v>
      </c>
      <c r="O797" s="18">
        <f>ROUND(N797/VLOOKUP(EOMONTH(A797,-1),Employment!A:P,16,FALSE),4)</f>
        <v>1.9430000000000001</v>
      </c>
      <c r="P797" s="18">
        <f t="shared" si="272"/>
        <v>1.9682999999999999</v>
      </c>
      <c r="Q797" s="29">
        <f t="shared" si="273"/>
        <v>2.92E-2</v>
      </c>
      <c r="R797" s="29">
        <f t="shared" si="274"/>
        <v>-3.2300000000000002E-2</v>
      </c>
      <c r="S797">
        <v>3704000</v>
      </c>
      <c r="T797" s="18">
        <f>ROUND((S797/7)/VLOOKUP(EOMONTH(A797,-1),Employment!A:P,16,FALSE),4)</f>
        <v>2.3993000000000002</v>
      </c>
      <c r="U797" s="18">
        <f t="shared" si="275"/>
        <v>2.3988999999999998</v>
      </c>
      <c r="V797" s="29">
        <f t="shared" si="276"/>
        <v>-1.8700000000000001E-2</v>
      </c>
      <c r="W797" s="29">
        <f t="shared" si="277"/>
        <v>-1.15E-2</v>
      </c>
      <c r="X797" s="30">
        <f t="shared" si="278"/>
        <v>90.62</v>
      </c>
      <c r="Y797" s="31">
        <f t="shared" si="279"/>
        <v>95.82</v>
      </c>
    </row>
    <row r="798" spans="1:25" ht="15" customHeight="1" x14ac:dyDescent="0.25">
      <c r="A798" s="5">
        <v>37759</v>
      </c>
      <c r="B798">
        <v>928.60360000000003</v>
      </c>
      <c r="C798" s="29">
        <f t="shared" si="283"/>
        <v>-6.6E-3</v>
      </c>
      <c r="D798">
        <v>-0.73</v>
      </c>
      <c r="E798">
        <v>-0.13600000000000001</v>
      </c>
      <c r="F798" s="18">
        <f t="shared" si="270"/>
        <v>0.60400000000000098</v>
      </c>
      <c r="G798" s="18">
        <f t="shared" si="271"/>
        <v>2.5879999999999992</v>
      </c>
      <c r="H798">
        <v>6.63</v>
      </c>
      <c r="I798">
        <v>2.84</v>
      </c>
      <c r="J798">
        <f t="shared" si="280"/>
        <v>4.74</v>
      </c>
      <c r="K798" s="6">
        <f t="shared" si="281"/>
        <v>4.6399999999999997</v>
      </c>
      <c r="L798" s="6">
        <f t="shared" si="282"/>
        <v>0</v>
      </c>
      <c r="M798">
        <v>3.3518841145579001</v>
      </c>
      <c r="N798">
        <v>434750</v>
      </c>
      <c r="O798" s="18">
        <f>ROUND(N798/VLOOKUP(EOMONTH(A798,-1),Employment!A:P,16,FALSE),4)</f>
        <v>1.9713000000000001</v>
      </c>
      <c r="P798" s="18">
        <f t="shared" si="272"/>
        <v>1.98</v>
      </c>
      <c r="Q798" s="29">
        <f t="shared" si="273"/>
        <v>2.1000000000000001E-2</v>
      </c>
      <c r="R798" s="29">
        <f t="shared" si="274"/>
        <v>-2.81E-2</v>
      </c>
      <c r="S798">
        <v>3730000</v>
      </c>
      <c r="T798" s="18">
        <f>ROUND((S798/7)/VLOOKUP(EOMONTH(A798,-1),Employment!A:P,16,FALSE),4)</f>
        <v>2.4161000000000001</v>
      </c>
      <c r="U798" s="18">
        <f t="shared" si="275"/>
        <v>2.3923999999999999</v>
      </c>
      <c r="V798" s="29">
        <f t="shared" si="276"/>
        <v>-1.66E-2</v>
      </c>
      <c r="W798" s="29">
        <f t="shared" si="277"/>
        <v>-1.4500000000000001E-2</v>
      </c>
      <c r="X798" s="30">
        <f t="shared" si="278"/>
        <v>94.91</v>
      </c>
      <c r="Y798" s="31">
        <f t="shared" si="279"/>
        <v>107.45</v>
      </c>
    </row>
    <row r="799" spans="1:25" ht="15" customHeight="1" x14ac:dyDescent="0.25">
      <c r="A799" s="5">
        <v>37752</v>
      </c>
      <c r="B799">
        <v>931.16390000000001</v>
      </c>
      <c r="C799" s="29">
        <f t="shared" si="283"/>
        <v>-5.5999999999999999E-3</v>
      </c>
      <c r="D799">
        <v>-0.72</v>
      </c>
      <c r="E799">
        <v>-7.2999999999999995E-2</v>
      </c>
      <c r="F799" s="18">
        <f t="shared" si="270"/>
        <v>0.99199999999999822</v>
      </c>
      <c r="G799" s="18">
        <f t="shared" si="271"/>
        <v>3.395999999999999</v>
      </c>
      <c r="H799">
        <v>6.53</v>
      </c>
      <c r="I799">
        <v>2.81</v>
      </c>
      <c r="J799">
        <f t="shared" si="280"/>
        <v>4.67</v>
      </c>
      <c r="K799" s="6">
        <f t="shared" si="281"/>
        <v>4.6399999999999997</v>
      </c>
      <c r="L799" s="6">
        <f t="shared" si="282"/>
        <v>-8.0000000000000071E-2</v>
      </c>
      <c r="M799">
        <v>2.1021928996317998</v>
      </c>
      <c r="N799">
        <v>439000</v>
      </c>
      <c r="O799" s="18">
        <f>ROUND(N799/VLOOKUP(EOMONTH(A799,-1),Employment!A:P,16,FALSE),4)</f>
        <v>1.9905999999999999</v>
      </c>
      <c r="P799" s="18">
        <f t="shared" si="272"/>
        <v>1.9799</v>
      </c>
      <c r="Q799" s="29">
        <f t="shared" si="273"/>
        <v>-5.0000000000000001E-3</v>
      </c>
      <c r="R799" s="29">
        <f t="shared" si="274"/>
        <v>-4.4999999999999997E-3</v>
      </c>
      <c r="S799">
        <v>3676000</v>
      </c>
      <c r="T799" s="18">
        <f>ROUND((S799/7)/VLOOKUP(EOMONTH(A799,-1),Employment!A:P,16,FALSE),4)</f>
        <v>2.3812000000000002</v>
      </c>
      <c r="U799" s="18">
        <f t="shared" si="275"/>
        <v>2.3620999999999999</v>
      </c>
      <c r="V799" s="29">
        <f t="shared" si="276"/>
        <v>-2.3900000000000001E-2</v>
      </c>
      <c r="W799" s="29">
        <f t="shared" si="277"/>
        <v>-0.01</v>
      </c>
      <c r="X799" s="30">
        <f t="shared" si="278"/>
        <v>111.1</v>
      </c>
      <c r="Y799" s="31">
        <f t="shared" si="279"/>
        <v>124</v>
      </c>
    </row>
    <row r="800" spans="1:25" ht="15" customHeight="1" x14ac:dyDescent="0.25">
      <c r="A800" s="5">
        <v>37745</v>
      </c>
      <c r="B800">
        <v>932.9556</v>
      </c>
      <c r="C800" s="29">
        <f t="shared" si="283"/>
        <v>-4.4000000000000003E-3</v>
      </c>
      <c r="D800">
        <v>-0.68</v>
      </c>
      <c r="E800">
        <v>1E-3</v>
      </c>
      <c r="F800" s="18">
        <f t="shared" si="270"/>
        <v>0.99199999999999999</v>
      </c>
      <c r="G800" s="18">
        <f t="shared" si="271"/>
        <v>3.4960000000000004</v>
      </c>
      <c r="H800">
        <v>6.26</v>
      </c>
      <c r="I800">
        <v>2.73</v>
      </c>
      <c r="J800">
        <f t="shared" si="280"/>
        <v>4.5</v>
      </c>
      <c r="K800" s="6">
        <f t="shared" si="281"/>
        <v>4.72</v>
      </c>
      <c r="L800" s="6">
        <f t="shared" si="282"/>
        <v>-0.19000000000000039</v>
      </c>
      <c r="M800">
        <v>1.2923160995130001</v>
      </c>
      <c r="N800">
        <v>436250</v>
      </c>
      <c r="O800" s="18">
        <f>ROUND(N800/VLOOKUP(EOMONTH(A800,-1),Employment!A:P,16,FALSE),4)</f>
        <v>1.9781</v>
      </c>
      <c r="P800" s="18">
        <f t="shared" si="272"/>
        <v>1.9585999999999999</v>
      </c>
      <c r="Q800" s="29">
        <f t="shared" si="273"/>
        <v>-3.4599999999999999E-2</v>
      </c>
      <c r="R800" s="29">
        <f t="shared" si="274"/>
        <v>2.4199999999999999E-2</v>
      </c>
      <c r="S800">
        <v>3674000</v>
      </c>
      <c r="T800" s="18">
        <f>ROUND((S800/7)/VLOOKUP(EOMONTH(A800,-1),Employment!A:P,16,FALSE),4)</f>
        <v>2.3799000000000001</v>
      </c>
      <c r="U800" s="18">
        <f t="shared" si="275"/>
        <v>2.3428</v>
      </c>
      <c r="V800" s="29">
        <f t="shared" si="276"/>
        <v>-3.5000000000000003E-2</v>
      </c>
      <c r="W800" s="29">
        <f t="shared" si="277"/>
        <v>3.5999999999999999E-3</v>
      </c>
      <c r="X800" s="30">
        <f t="shared" si="278"/>
        <v>129.65</v>
      </c>
      <c r="Y800" s="31">
        <f t="shared" si="279"/>
        <v>135.82</v>
      </c>
    </row>
    <row r="801" spans="1:25" ht="15" customHeight="1" x14ac:dyDescent="0.25">
      <c r="A801" s="5">
        <v>37738</v>
      </c>
      <c r="B801">
        <v>938.08280000000002</v>
      </c>
      <c r="C801" s="29">
        <f t="shared" si="283"/>
        <v>1.6000000000000001E-3</v>
      </c>
      <c r="D801">
        <v>-0.64</v>
      </c>
      <c r="E801">
        <v>7.4999999999999997E-2</v>
      </c>
      <c r="F801" s="18">
        <f t="shared" si="270"/>
        <v>1.4120000000000008</v>
      </c>
      <c r="G801" s="18">
        <f t="shared" si="271"/>
        <v>3.3360000000000007</v>
      </c>
      <c r="H801">
        <v>6.68</v>
      </c>
      <c r="I801">
        <v>2.82</v>
      </c>
      <c r="J801">
        <f t="shared" si="280"/>
        <v>4.75</v>
      </c>
      <c r="K801" s="6">
        <f t="shared" si="281"/>
        <v>4.91</v>
      </c>
      <c r="L801" s="6">
        <f t="shared" si="282"/>
        <v>-0.12999999999999989</v>
      </c>
      <c r="M801">
        <v>0.91454159525600998</v>
      </c>
      <c r="N801">
        <v>434250</v>
      </c>
      <c r="O801" s="18">
        <f>ROUND(N801/VLOOKUP(EOMONTH(A801,-1),Employment!A:P,16,FALSE),4)</f>
        <v>1.9710000000000001</v>
      </c>
      <c r="P801" s="18">
        <f t="shared" si="272"/>
        <v>1.94</v>
      </c>
      <c r="Q801" s="29">
        <f t="shared" si="273"/>
        <v>-4.65E-2</v>
      </c>
      <c r="R801" s="29">
        <f t="shared" si="274"/>
        <v>4.2900000000000001E-2</v>
      </c>
      <c r="S801">
        <v>3586000</v>
      </c>
      <c r="T801" s="18">
        <f>ROUND((S801/7)/VLOOKUP(EOMONTH(A801,-1),Employment!A:P,16,FALSE),4)</f>
        <v>2.3252000000000002</v>
      </c>
      <c r="U801" s="18">
        <f t="shared" si="275"/>
        <v>2.3138000000000001</v>
      </c>
      <c r="V801" s="29">
        <f t="shared" si="276"/>
        <v>-5.1299999999999998E-2</v>
      </c>
      <c r="W801" s="29">
        <f t="shared" si="277"/>
        <v>1.0800000000000001E-2</v>
      </c>
      <c r="X801" s="30">
        <f t="shared" si="278"/>
        <v>142.1</v>
      </c>
      <c r="Y801" s="31">
        <f t="shared" si="279"/>
        <v>134.68</v>
      </c>
    </row>
    <row r="802" spans="1:25" ht="15" customHeight="1" x14ac:dyDescent="0.25">
      <c r="A802" s="5">
        <v>37731</v>
      </c>
      <c r="B802">
        <v>936.89530000000002</v>
      </c>
      <c r="C802" s="29">
        <f t="shared" si="283"/>
        <v>-2.9999999999999997E-4</v>
      </c>
      <c r="D802">
        <v>-0.59</v>
      </c>
      <c r="E802">
        <v>0.189</v>
      </c>
      <c r="F802" s="18">
        <f t="shared" si="270"/>
        <v>1.0919999999999996</v>
      </c>
      <c r="G802" s="18">
        <f t="shared" si="271"/>
        <v>2.7240000000000002</v>
      </c>
      <c r="H802">
        <v>6.97</v>
      </c>
      <c r="I802">
        <v>2.86</v>
      </c>
      <c r="J802">
        <f t="shared" si="280"/>
        <v>4.92</v>
      </c>
      <c r="K802" s="6">
        <f t="shared" si="281"/>
        <v>5.04</v>
      </c>
      <c r="L802" s="6">
        <f t="shared" si="282"/>
        <v>-0.15000000000000036</v>
      </c>
      <c r="M802">
        <v>1.1448107444165001</v>
      </c>
      <c r="N802">
        <v>424500</v>
      </c>
      <c r="O802" s="18">
        <f>ROUND(N802/VLOOKUP(EOMONTH(A802,-1),Employment!A:P,16,FALSE),4)</f>
        <v>1.9268000000000001</v>
      </c>
      <c r="P802" s="18">
        <f t="shared" si="272"/>
        <v>1.9263999999999999</v>
      </c>
      <c r="Q802" s="29">
        <f t="shared" si="273"/>
        <v>-3.5499999999999997E-2</v>
      </c>
      <c r="R802" s="29">
        <f t="shared" si="274"/>
        <v>3.9199999999999999E-2</v>
      </c>
      <c r="S802">
        <v>3583000</v>
      </c>
      <c r="T802" s="18">
        <f>ROUND((S802/7)/VLOOKUP(EOMONTH(A802,-1),Employment!A:P,16,FALSE),4)</f>
        <v>2.3233000000000001</v>
      </c>
      <c r="U802" s="18">
        <f t="shared" si="275"/>
        <v>2.3136000000000001</v>
      </c>
      <c r="V802" s="29">
        <f t="shared" si="276"/>
        <v>-4.7E-2</v>
      </c>
      <c r="W802" s="29">
        <f t="shared" si="277"/>
        <v>1.0200000000000001E-2</v>
      </c>
      <c r="X802" s="30">
        <f t="shared" si="278"/>
        <v>135.53</v>
      </c>
      <c r="Y802" s="31">
        <f t="shared" si="279"/>
        <v>119.24</v>
      </c>
    </row>
    <row r="803" spans="1:25" ht="15" customHeight="1" x14ac:dyDescent="0.25">
      <c r="A803" s="5">
        <v>37724</v>
      </c>
      <c r="B803">
        <v>937.65449999999998</v>
      </c>
      <c r="C803" s="29">
        <f t="shared" si="283"/>
        <v>1E-4</v>
      </c>
      <c r="D803">
        <v>-0.54</v>
      </c>
      <c r="E803">
        <v>0.26300000000000001</v>
      </c>
      <c r="F803" s="18">
        <f t="shared" si="270"/>
        <v>0.83200000000000029</v>
      </c>
      <c r="G803" s="18">
        <f t="shared" si="271"/>
        <v>1.172000000000001</v>
      </c>
      <c r="H803">
        <v>7.21</v>
      </c>
      <c r="I803">
        <v>2.93</v>
      </c>
      <c r="J803">
        <f t="shared" si="280"/>
        <v>5.07</v>
      </c>
      <c r="K803" s="6">
        <f t="shared" si="281"/>
        <v>5.19</v>
      </c>
      <c r="L803" s="6">
        <f t="shared" si="282"/>
        <v>-8.9999999999999858E-2</v>
      </c>
      <c r="M803">
        <v>0.38720123394077999</v>
      </c>
      <c r="N803">
        <v>423500</v>
      </c>
      <c r="O803" s="18">
        <f>ROUND(N803/VLOOKUP(EOMONTH(A803,-1),Employment!A:P,16,FALSE),4)</f>
        <v>1.9221999999999999</v>
      </c>
      <c r="P803" s="18">
        <f t="shared" si="272"/>
        <v>1.9280999999999999</v>
      </c>
      <c r="Q803" s="29">
        <f t="shared" si="273"/>
        <v>2.9999999999999997E-4</v>
      </c>
      <c r="R803" s="29">
        <f t="shared" si="274"/>
        <v>1.8200000000000001E-2</v>
      </c>
      <c r="S803">
        <v>3536000</v>
      </c>
      <c r="T803" s="18">
        <f>ROUND((S803/7)/VLOOKUP(EOMONTH(A803,-1),Employment!A:P,16,FALSE),4)</f>
        <v>2.2928000000000002</v>
      </c>
      <c r="U803" s="18">
        <f t="shared" si="275"/>
        <v>2.3024</v>
      </c>
      <c r="V803" s="29">
        <f t="shared" si="276"/>
        <v>-4.02E-2</v>
      </c>
      <c r="W803" s="29">
        <f t="shared" si="277"/>
        <v>1E-4</v>
      </c>
      <c r="X803" s="30">
        <f t="shared" si="278"/>
        <v>114</v>
      </c>
      <c r="Y803" s="31">
        <f t="shared" si="279"/>
        <v>98.42</v>
      </c>
    </row>
    <row r="804" spans="1:25" ht="15" customHeight="1" x14ac:dyDescent="0.25">
      <c r="A804" s="5">
        <v>37717</v>
      </c>
      <c r="B804">
        <v>935.77539999999999</v>
      </c>
      <c r="C804" s="29">
        <f t="shared" si="283"/>
        <v>-3.0999999999999999E-3</v>
      </c>
      <c r="D804">
        <v>-0.5</v>
      </c>
      <c r="E804">
        <v>0.317</v>
      </c>
      <c r="F804" s="18">
        <f t="shared" si="270"/>
        <v>0.80000000000000027</v>
      </c>
      <c r="G804" s="18">
        <f t="shared" si="271"/>
        <v>0.19999999999999929</v>
      </c>
      <c r="H804">
        <v>7.24</v>
      </c>
      <c r="I804">
        <v>2.99</v>
      </c>
      <c r="J804">
        <f t="shared" si="280"/>
        <v>5.12</v>
      </c>
      <c r="K804" s="6">
        <f t="shared" si="281"/>
        <v>5.28</v>
      </c>
      <c r="L804" s="6">
        <f t="shared" si="282"/>
        <v>-0.1899999999999995</v>
      </c>
      <c r="M804">
        <v>-0.34893953465092997</v>
      </c>
      <c r="N804">
        <v>425250</v>
      </c>
      <c r="O804" s="18">
        <f>ROUND(N804/VLOOKUP(EOMONTH(A804,-1),Employment!A:P,16,FALSE),4)</f>
        <v>1.9301999999999999</v>
      </c>
      <c r="P804" s="18">
        <f t="shared" si="272"/>
        <v>1.9352</v>
      </c>
      <c r="Q804" s="29">
        <f t="shared" si="273"/>
        <v>3.4700000000000002E-2</v>
      </c>
      <c r="R804" s="29">
        <f t="shared" si="274"/>
        <v>-6.7999999999999996E-3</v>
      </c>
      <c r="S804">
        <v>3585000</v>
      </c>
      <c r="T804" s="18">
        <f>ROUND((S804/7)/VLOOKUP(EOMONTH(A804,-1),Employment!A:P,16,FALSE),4)</f>
        <v>2.3246000000000002</v>
      </c>
      <c r="U804" s="18">
        <f t="shared" si="275"/>
        <v>2.3079999999999998</v>
      </c>
      <c r="V804" s="29">
        <f t="shared" si="276"/>
        <v>-2.4199999999999999E-2</v>
      </c>
      <c r="W804" s="29">
        <f t="shared" si="277"/>
        <v>-5.8999999999999999E-3</v>
      </c>
      <c r="X804" s="30">
        <f t="shared" si="278"/>
        <v>91.62</v>
      </c>
      <c r="Y804" s="31">
        <f t="shared" si="279"/>
        <v>82.92</v>
      </c>
    </row>
    <row r="805" spans="1:25" ht="15" customHeight="1" x14ac:dyDescent="0.25">
      <c r="A805" s="5">
        <v>37710</v>
      </c>
      <c r="B805">
        <v>935.91039999999998</v>
      </c>
      <c r="C805" s="29">
        <f t="shared" si="283"/>
        <v>-4.4999999999999997E-3</v>
      </c>
      <c r="D805">
        <v>-0.48</v>
      </c>
      <c r="E805">
        <v>0.39200000000000002</v>
      </c>
      <c r="F805" s="18">
        <f t="shared" si="270"/>
        <v>-0.45999999999999952</v>
      </c>
      <c r="G805" s="18">
        <f t="shared" si="271"/>
        <v>-0.41199999999999948</v>
      </c>
      <c r="H805">
        <v>7.75</v>
      </c>
      <c r="I805">
        <v>3.01</v>
      </c>
      <c r="J805">
        <f t="shared" si="280"/>
        <v>5.38</v>
      </c>
      <c r="K805" s="6">
        <f t="shared" si="281"/>
        <v>5.47</v>
      </c>
      <c r="L805" s="6">
        <f t="shared" si="282"/>
        <v>-0.14000000000000057</v>
      </c>
      <c r="M805">
        <v>-0.39527212048992999</v>
      </c>
      <c r="N805">
        <v>425250</v>
      </c>
      <c r="O805" s="18">
        <f>ROUND(N805/VLOOKUP(EOMONTH(A805,-1),Employment!A:P,16,FALSE),4)</f>
        <v>1.9319999999999999</v>
      </c>
      <c r="P805" s="18">
        <f t="shared" si="272"/>
        <v>1.9358</v>
      </c>
      <c r="Q805" s="29">
        <f t="shared" si="273"/>
        <v>5.6300000000000003E-2</v>
      </c>
      <c r="R805" s="29">
        <f t="shared" si="274"/>
        <v>-2.3300000000000001E-2</v>
      </c>
      <c r="S805">
        <v>3528000</v>
      </c>
      <c r="T805" s="18">
        <f>ROUND((S805/7)/VLOOKUP(EOMONTH(A805,-1),Employment!A:P,16,FALSE),4)</f>
        <v>2.2896999999999998</v>
      </c>
      <c r="U805" s="18">
        <f t="shared" si="275"/>
        <v>2.2894999999999999</v>
      </c>
      <c r="V805" s="29">
        <f t="shared" si="276"/>
        <v>-2.93E-2</v>
      </c>
      <c r="W805" s="29">
        <f t="shared" si="277"/>
        <v>-1.0999999999999999E-2</v>
      </c>
      <c r="X805" s="30">
        <f t="shared" si="278"/>
        <v>76.45</v>
      </c>
      <c r="Y805" s="31">
        <f t="shared" si="279"/>
        <v>77.41</v>
      </c>
    </row>
    <row r="806" spans="1:25" ht="15" customHeight="1" x14ac:dyDescent="0.25">
      <c r="A806" s="5">
        <v>37703</v>
      </c>
      <c r="B806">
        <v>939.20360000000005</v>
      </c>
      <c r="C806" s="29">
        <f t="shared" si="283"/>
        <v>-2E-3</v>
      </c>
      <c r="D806">
        <v>-0.47</v>
      </c>
      <c r="E806">
        <v>0.32200000000000001</v>
      </c>
      <c r="F806" s="18">
        <f t="shared" si="270"/>
        <v>-0.14000000000000146</v>
      </c>
      <c r="G806" s="18">
        <f t="shared" si="271"/>
        <v>0.69199999999999884</v>
      </c>
      <c r="H806">
        <v>7.69</v>
      </c>
      <c r="I806">
        <v>2.99</v>
      </c>
      <c r="J806">
        <f t="shared" si="280"/>
        <v>5.34</v>
      </c>
      <c r="K806" s="6">
        <f t="shared" si="281"/>
        <v>5.61</v>
      </c>
      <c r="L806" s="6">
        <f t="shared" si="282"/>
        <v>-0.15999999999999925</v>
      </c>
      <c r="M806">
        <v>-1.2695827646277</v>
      </c>
      <c r="N806">
        <v>427750</v>
      </c>
      <c r="O806" s="18">
        <f>ROUND(N806/VLOOKUP(EOMONTH(A806,-1),Employment!A:P,16,FALSE),4)</f>
        <v>1.9433</v>
      </c>
      <c r="P806" s="18">
        <f t="shared" si="272"/>
        <v>1.9229000000000001</v>
      </c>
      <c r="Q806" s="29">
        <f t="shared" si="273"/>
        <v>5.2299999999999999E-2</v>
      </c>
      <c r="R806" s="29">
        <f t="shared" si="274"/>
        <v>-2.8299999999999999E-2</v>
      </c>
      <c r="S806">
        <v>3559000</v>
      </c>
      <c r="T806" s="18">
        <f>ROUND((S806/7)/VLOOKUP(EOMONTH(A806,-1),Employment!A:P,16,FALSE),4)</f>
        <v>2.3098000000000001</v>
      </c>
      <c r="U806" s="18">
        <f t="shared" si="275"/>
        <v>2.2835000000000001</v>
      </c>
      <c r="V806" s="29">
        <f t="shared" si="276"/>
        <v>-2.64E-2</v>
      </c>
      <c r="W806" s="29">
        <f t="shared" si="277"/>
        <v>-9.4000000000000004E-3</v>
      </c>
      <c r="X806" s="30">
        <f t="shared" si="278"/>
        <v>77.319999999999993</v>
      </c>
      <c r="Y806" s="31">
        <f t="shared" si="279"/>
        <v>79.290000000000006</v>
      </c>
    </row>
    <row r="807" spans="1:25" ht="15" customHeight="1" x14ac:dyDescent="0.25">
      <c r="A807" s="5">
        <v>37696</v>
      </c>
      <c r="B807">
        <v>939.46130000000005</v>
      </c>
      <c r="C807" s="29">
        <f t="shared" si="283"/>
        <v>-2.5000000000000001E-3</v>
      </c>
      <c r="D807">
        <v>-0.46</v>
      </c>
      <c r="E807">
        <v>0.29199999999999998</v>
      </c>
      <c r="F807" s="18">
        <f t="shared" si="270"/>
        <v>0.1880000000000015</v>
      </c>
      <c r="G807" s="18">
        <f t="shared" si="271"/>
        <v>1.44</v>
      </c>
      <c r="H807">
        <v>8.17</v>
      </c>
      <c r="I807">
        <v>3.22</v>
      </c>
      <c r="J807">
        <f t="shared" si="280"/>
        <v>5.7</v>
      </c>
      <c r="K807" s="6">
        <f t="shared" si="281"/>
        <v>5.77</v>
      </c>
      <c r="L807" s="6">
        <f t="shared" si="282"/>
        <v>-3.0000000000000249E-2</v>
      </c>
      <c r="M807">
        <v>-0.99961935081980002</v>
      </c>
      <c r="N807">
        <v>425250</v>
      </c>
      <c r="O807" s="18">
        <f>ROUND(N807/VLOOKUP(EOMONTH(A807,-1),Employment!A:P,16,FALSE),4)</f>
        <v>1.9319999999999999</v>
      </c>
      <c r="P807" s="18">
        <f t="shared" si="272"/>
        <v>1.8975</v>
      </c>
      <c r="Q807" s="29">
        <f t="shared" si="273"/>
        <v>3.5099999999999999E-2</v>
      </c>
      <c r="R807" s="29">
        <f t="shared" si="274"/>
        <v>-2.7300000000000001E-2</v>
      </c>
      <c r="S807">
        <v>3496000</v>
      </c>
      <c r="T807" s="18">
        <f>ROUND((S807/7)/VLOOKUP(EOMONTH(A807,-1),Employment!A:P,16,FALSE),4)</f>
        <v>2.2690000000000001</v>
      </c>
      <c r="U807" s="18">
        <f t="shared" si="275"/>
        <v>2.2541000000000002</v>
      </c>
      <c r="V807" s="29">
        <f t="shared" si="276"/>
        <v>-4.02E-2</v>
      </c>
      <c r="W807" s="29">
        <f t="shared" si="277"/>
        <v>-7.1000000000000004E-3</v>
      </c>
      <c r="X807" s="30">
        <f t="shared" si="278"/>
        <v>80.040000000000006</v>
      </c>
      <c r="Y807" s="31">
        <f t="shared" si="279"/>
        <v>81.48</v>
      </c>
    </row>
    <row r="808" spans="1:25" ht="15" customHeight="1" x14ac:dyDescent="0.25">
      <c r="A808" s="5">
        <v>37689</v>
      </c>
      <c r="B808">
        <v>940.06420000000003</v>
      </c>
      <c r="C808" s="29">
        <f t="shared" si="283"/>
        <v>-3.7000000000000002E-3</v>
      </c>
      <c r="D808">
        <v>-0.47</v>
      </c>
      <c r="E808">
        <v>0.32800000000000001</v>
      </c>
      <c r="F808" s="18">
        <f t="shared" si="270"/>
        <v>0.6439999999999988</v>
      </c>
      <c r="G808" s="18">
        <f t="shared" si="271"/>
        <v>1.2879999999999994</v>
      </c>
      <c r="H808">
        <v>8.34</v>
      </c>
      <c r="I808">
        <v>3.26</v>
      </c>
      <c r="J808">
        <f t="shared" si="280"/>
        <v>5.8</v>
      </c>
      <c r="K808" s="6">
        <f t="shared" si="281"/>
        <v>5.8</v>
      </c>
      <c r="L808" s="6">
        <f t="shared" si="282"/>
        <v>-3.0000000000000249E-2</v>
      </c>
      <c r="M808">
        <v>-0.7967783831277</v>
      </c>
      <c r="N808">
        <v>416750</v>
      </c>
      <c r="O808" s="18">
        <f>ROUND(N808/VLOOKUP(EOMONTH(A808,-1),Employment!A:P,16,FALSE),4)</f>
        <v>1.8933</v>
      </c>
      <c r="P808" s="18">
        <f t="shared" si="272"/>
        <v>1.8712</v>
      </c>
      <c r="Q808" s="29">
        <f t="shared" si="273"/>
        <v>1.4999999999999999E-2</v>
      </c>
      <c r="R808" s="29">
        <f t="shared" si="274"/>
        <v>-2.3900000000000001E-2</v>
      </c>
      <c r="S808">
        <v>3500000</v>
      </c>
      <c r="T808" s="18">
        <f>ROUND((S808/7)/VLOOKUP(EOMONTH(A808,-1),Employment!A:P,16,FALSE),4)</f>
        <v>2.2715999999999998</v>
      </c>
      <c r="U808" s="18">
        <f t="shared" si="275"/>
        <v>2.2464</v>
      </c>
      <c r="V808" s="29">
        <f t="shared" si="276"/>
        <v>-4.3200000000000002E-2</v>
      </c>
      <c r="W808" s="29">
        <f t="shared" si="277"/>
        <v>-1.6999999999999999E-3</v>
      </c>
      <c r="X808" s="30">
        <f t="shared" si="278"/>
        <v>82.31</v>
      </c>
      <c r="Y808" s="31">
        <f t="shared" si="279"/>
        <v>83.29</v>
      </c>
    </row>
    <row r="809" spans="1:25" ht="15" customHeight="1" x14ac:dyDescent="0.25">
      <c r="A809" s="5">
        <v>37682</v>
      </c>
      <c r="B809">
        <v>941.96069999999997</v>
      </c>
      <c r="C809" s="29">
        <f t="shared" si="283"/>
        <v>-3.8999999999999998E-3</v>
      </c>
      <c r="D809">
        <v>-0.46</v>
      </c>
      <c r="E809">
        <v>0.39600000000000002</v>
      </c>
      <c r="F809" s="18">
        <f t="shared" si="270"/>
        <v>0.60799999999999965</v>
      </c>
      <c r="G809" s="18">
        <f t="shared" si="271"/>
        <v>0.496</v>
      </c>
      <c r="H809">
        <v>8.3800000000000008</v>
      </c>
      <c r="I809">
        <v>3.21</v>
      </c>
      <c r="J809">
        <f t="shared" si="280"/>
        <v>5.8</v>
      </c>
      <c r="K809" s="6">
        <f t="shared" si="281"/>
        <v>5.83</v>
      </c>
      <c r="L809" s="6">
        <f t="shared" si="282"/>
        <v>2.0000000000000462E-2</v>
      </c>
      <c r="M809">
        <v>-0.53888764914734999</v>
      </c>
      <c r="N809">
        <v>411000</v>
      </c>
      <c r="O809" s="18">
        <f>ROUND(N809/VLOOKUP(EOMONTH(A809,-1),Employment!A:P,16,FALSE),4)</f>
        <v>1.8672</v>
      </c>
      <c r="P809" s="18">
        <f t="shared" si="272"/>
        <v>1.851</v>
      </c>
      <c r="Q809" s="29">
        <f t="shared" si="273"/>
        <v>-3.7000000000000002E-3</v>
      </c>
      <c r="R809" s="29">
        <f t="shared" si="274"/>
        <v>-1.8700000000000001E-2</v>
      </c>
      <c r="S809">
        <v>3423000</v>
      </c>
      <c r="T809" s="18">
        <f>ROUND((S809/7)/VLOOKUP(EOMONTH(A809,-1),Employment!A:P,16,FALSE),4)</f>
        <v>2.2216</v>
      </c>
      <c r="U809" s="18">
        <f t="shared" si="275"/>
        <v>2.2185000000000001</v>
      </c>
      <c r="V809" s="29">
        <f t="shared" si="276"/>
        <v>-5.5199999999999999E-2</v>
      </c>
      <c r="W809" s="29">
        <f t="shared" si="277"/>
        <v>-1.5E-3</v>
      </c>
      <c r="X809" s="30">
        <f t="shared" si="278"/>
        <v>83.01</v>
      </c>
      <c r="Y809" s="31">
        <f t="shared" si="279"/>
        <v>86.09</v>
      </c>
    </row>
    <row r="810" spans="1:25" ht="15" customHeight="1" x14ac:dyDescent="0.25">
      <c r="A810" s="5">
        <v>37675</v>
      </c>
      <c r="B810">
        <v>943.00419999999997</v>
      </c>
      <c r="C810" s="29">
        <f t="shared" si="283"/>
        <v>-5.1999999999999998E-3</v>
      </c>
      <c r="D810">
        <v>-0.46</v>
      </c>
      <c r="E810">
        <v>0.47199999999999998</v>
      </c>
      <c r="F810" s="18">
        <f t="shared" si="270"/>
        <v>3.600000000000092E-2</v>
      </c>
      <c r="G810" s="18">
        <f t="shared" si="271"/>
        <v>-0.39999999999999947</v>
      </c>
      <c r="H810">
        <v>8.42</v>
      </c>
      <c r="I810">
        <v>3.16</v>
      </c>
      <c r="J810">
        <f t="shared" si="280"/>
        <v>5.79</v>
      </c>
      <c r="K810" s="6">
        <f t="shared" si="281"/>
        <v>5.81</v>
      </c>
      <c r="L810" s="6">
        <f t="shared" si="282"/>
        <v>1.9999999999999574E-2</v>
      </c>
      <c r="M810">
        <v>5.0166149538344001E-2</v>
      </c>
      <c r="N810">
        <v>407500</v>
      </c>
      <c r="O810" s="18">
        <f>ROUND(N810/VLOOKUP(EOMONTH(A810,-1),Employment!A:P,16,FALSE),4)</f>
        <v>1.8531</v>
      </c>
      <c r="P810" s="18">
        <f t="shared" si="272"/>
        <v>1.8349</v>
      </c>
      <c r="Q810" s="29">
        <f t="shared" si="273"/>
        <v>-2.1700000000000001E-2</v>
      </c>
      <c r="R810" s="29">
        <f t="shared" si="274"/>
        <v>-9.4000000000000004E-3</v>
      </c>
      <c r="S810">
        <v>3457000</v>
      </c>
      <c r="T810" s="18">
        <f>ROUND((S810/7)/VLOOKUP(EOMONTH(A810,-1),Employment!A:P,16,FALSE),4)</f>
        <v>2.2458999999999998</v>
      </c>
      <c r="U810" s="18">
        <f t="shared" si="275"/>
        <v>2.2305000000000001</v>
      </c>
      <c r="V810" s="29">
        <f t="shared" si="276"/>
        <v>-4.8399999999999999E-2</v>
      </c>
      <c r="W810" s="29">
        <f t="shared" si="277"/>
        <v>3.2000000000000002E-3</v>
      </c>
      <c r="X810" s="30">
        <f t="shared" si="278"/>
        <v>86.41</v>
      </c>
      <c r="Y810" s="31">
        <f t="shared" si="279"/>
        <v>92.43</v>
      </c>
    </row>
    <row r="811" spans="1:25" ht="15" customHeight="1" x14ac:dyDescent="0.25">
      <c r="A811" s="5">
        <v>37668</v>
      </c>
      <c r="B811">
        <v>942.1739</v>
      </c>
      <c r="C811" s="29">
        <f t="shared" si="283"/>
        <v>-9.2999999999999992E-3</v>
      </c>
      <c r="D811">
        <v>-0.45</v>
      </c>
      <c r="E811">
        <v>0.46400000000000002</v>
      </c>
      <c r="F811" s="18">
        <f t="shared" si="270"/>
        <v>-0.14800000000000058</v>
      </c>
      <c r="G811" s="18">
        <f t="shared" si="271"/>
        <v>-0.40400000000000036</v>
      </c>
      <c r="H811">
        <v>8.6199999999999992</v>
      </c>
      <c r="I811">
        <v>3.16</v>
      </c>
      <c r="J811">
        <f t="shared" si="280"/>
        <v>5.89</v>
      </c>
      <c r="K811" s="6">
        <f t="shared" si="281"/>
        <v>5.79</v>
      </c>
      <c r="L811" s="6">
        <f t="shared" si="282"/>
        <v>4.0000000000000036E-2</v>
      </c>
      <c r="M811">
        <v>0.43746924616768001</v>
      </c>
      <c r="N811">
        <v>403000</v>
      </c>
      <c r="O811" s="18">
        <f>ROUND(N811/VLOOKUP(EOMONTH(A811,-1),Employment!A:P,16,FALSE),4)</f>
        <v>1.8327</v>
      </c>
      <c r="P811" s="18">
        <f t="shared" si="272"/>
        <v>1.8160000000000001</v>
      </c>
      <c r="Q811" s="29">
        <f t="shared" si="273"/>
        <v>-3.61E-2</v>
      </c>
      <c r="R811" s="29">
        <f t="shared" si="274"/>
        <v>2.7000000000000001E-3</v>
      </c>
      <c r="S811">
        <v>3368000</v>
      </c>
      <c r="T811" s="18">
        <f>ROUND((S811/7)/VLOOKUP(EOMONTH(A811,-1),Employment!A:P,16,FALSE),4)</f>
        <v>2.1880000000000002</v>
      </c>
      <c r="U811" s="18">
        <f t="shared" si="275"/>
        <v>2.2088000000000001</v>
      </c>
      <c r="V811" s="29">
        <f t="shared" si="276"/>
        <v>-5.7200000000000001E-2</v>
      </c>
      <c r="W811" s="29">
        <f t="shared" si="277"/>
        <v>5.8999999999999999E-3</v>
      </c>
      <c r="X811" s="30">
        <f t="shared" si="278"/>
        <v>92.97</v>
      </c>
      <c r="Y811" s="31">
        <f t="shared" si="279"/>
        <v>101.15</v>
      </c>
    </row>
    <row r="812" spans="1:25" ht="15" customHeight="1" x14ac:dyDescent="0.25">
      <c r="A812" s="5">
        <v>37661</v>
      </c>
      <c r="B812">
        <v>947.26800000000003</v>
      </c>
      <c r="C812" s="29">
        <f t="shared" si="283"/>
        <v>-5.5999999999999999E-3</v>
      </c>
      <c r="D812">
        <v>-0.46</v>
      </c>
      <c r="E812">
        <v>0.45800000000000002</v>
      </c>
      <c r="F812" s="18">
        <f t="shared" si="270"/>
        <v>-0.28799999999999981</v>
      </c>
      <c r="G812" s="18">
        <f t="shared" si="271"/>
        <v>0.42400000000000038</v>
      </c>
      <c r="H812">
        <v>8.39</v>
      </c>
      <c r="I812">
        <v>3.11</v>
      </c>
      <c r="J812">
        <f t="shared" si="280"/>
        <v>5.75</v>
      </c>
      <c r="K812" s="6">
        <f t="shared" si="281"/>
        <v>5.75</v>
      </c>
      <c r="L812" s="6">
        <f t="shared" si="282"/>
        <v>1.9999999999999574E-2</v>
      </c>
      <c r="M812">
        <v>0.73862663876940005</v>
      </c>
      <c r="N812">
        <v>400000</v>
      </c>
      <c r="O812" s="18">
        <f>ROUND(N812/VLOOKUP(EOMONTH(A812,-1),Employment!A:P,16,FALSE),4)</f>
        <v>1.819</v>
      </c>
      <c r="P812" s="18">
        <f t="shared" si="272"/>
        <v>1.8078000000000001</v>
      </c>
      <c r="Q812" s="29">
        <f t="shared" si="273"/>
        <v>-4.4900000000000002E-2</v>
      </c>
      <c r="R812" s="29">
        <f t="shared" si="274"/>
        <v>1.52E-2</v>
      </c>
      <c r="S812">
        <v>3475000</v>
      </c>
      <c r="T812" s="18">
        <f>ROUND((S812/7)/VLOOKUP(EOMONTH(A812,-1),Employment!A:P,16,FALSE),4)</f>
        <v>2.2576000000000001</v>
      </c>
      <c r="U812" s="18">
        <f t="shared" si="275"/>
        <v>2.2170999999999998</v>
      </c>
      <c r="V812" s="29">
        <f t="shared" si="276"/>
        <v>-5.0700000000000002E-2</v>
      </c>
      <c r="W812" s="29">
        <f t="shared" si="277"/>
        <v>8.5000000000000006E-3</v>
      </c>
      <c r="X812" s="30">
        <f t="shared" si="278"/>
        <v>106.1</v>
      </c>
      <c r="Y812" s="31">
        <f t="shared" si="279"/>
        <v>105.5</v>
      </c>
    </row>
    <row r="813" spans="1:25" ht="15" customHeight="1" x14ac:dyDescent="0.25">
      <c r="A813" s="5">
        <v>37654</v>
      </c>
      <c r="B813">
        <v>950.04570000000001</v>
      </c>
      <c r="C813" s="29">
        <f t="shared" si="283"/>
        <v>-5.1999999999999998E-3</v>
      </c>
      <c r="D813">
        <v>-0.44</v>
      </c>
      <c r="E813">
        <v>0.39700000000000002</v>
      </c>
      <c r="F813" s="18">
        <f t="shared" si="270"/>
        <v>3.2000000000000028E-2</v>
      </c>
      <c r="G813" s="18">
        <f t="shared" si="271"/>
        <v>1.7360000000000007</v>
      </c>
      <c r="H813">
        <v>8.2899999999999991</v>
      </c>
      <c r="I813">
        <v>3.16</v>
      </c>
      <c r="J813">
        <f t="shared" si="280"/>
        <v>5.73</v>
      </c>
      <c r="K813" s="6">
        <f t="shared" si="281"/>
        <v>5.73</v>
      </c>
      <c r="L813" s="6">
        <f t="shared" si="282"/>
        <v>3.0000000000000249E-2</v>
      </c>
      <c r="M813">
        <v>0.52222692041883001</v>
      </c>
      <c r="N813">
        <v>395000</v>
      </c>
      <c r="O813" s="18">
        <f>ROUND(N813/VLOOKUP(EOMONTH(A813,-1),Employment!A:P,16,FALSE),4)</f>
        <v>1.7963</v>
      </c>
      <c r="P813" s="18">
        <f t="shared" si="272"/>
        <v>1.8010999999999999</v>
      </c>
      <c r="Q813" s="29">
        <f t="shared" si="273"/>
        <v>-5.0799999999999998E-2</v>
      </c>
      <c r="R813" s="29">
        <f t="shared" si="274"/>
        <v>1.4E-2</v>
      </c>
      <c r="S813">
        <v>3357000</v>
      </c>
      <c r="T813" s="18">
        <f>ROUND((S813/7)/VLOOKUP(EOMONTH(A813,-1),Employment!A:P,16,FALSE),4)</f>
        <v>2.1808999999999998</v>
      </c>
      <c r="U813" s="18">
        <f t="shared" si="275"/>
        <v>2.2130000000000001</v>
      </c>
      <c r="V813" s="29">
        <f t="shared" si="276"/>
        <v>-5.5199999999999999E-2</v>
      </c>
      <c r="W813" s="29">
        <f t="shared" si="277"/>
        <v>2.3E-3</v>
      </c>
      <c r="X813" s="30">
        <f t="shared" si="278"/>
        <v>109.22</v>
      </c>
      <c r="Y813" s="31">
        <f t="shared" si="279"/>
        <v>97.19</v>
      </c>
    </row>
    <row r="814" spans="1:25" ht="15" customHeight="1" x14ac:dyDescent="0.25">
      <c r="A814" s="5">
        <v>37647</v>
      </c>
      <c r="B814">
        <v>952.32680000000005</v>
      </c>
      <c r="C814" s="29">
        <f t="shared" si="283"/>
        <v>-4.0000000000000001E-3</v>
      </c>
      <c r="D814">
        <v>-0.42</v>
      </c>
      <c r="E814">
        <v>0.376</v>
      </c>
      <c r="F814" s="18">
        <f t="shared" si="270"/>
        <v>0.68000000000000016</v>
      </c>
      <c r="G814" s="18">
        <f t="shared" si="271"/>
        <v>1.5760000000000005</v>
      </c>
      <c r="H814">
        <v>8.2100000000000009</v>
      </c>
      <c r="I814">
        <v>3.33</v>
      </c>
      <c r="J814">
        <f t="shared" si="280"/>
        <v>5.77</v>
      </c>
      <c r="K814" s="6">
        <f t="shared" si="281"/>
        <v>5.7</v>
      </c>
      <c r="L814" s="6">
        <f t="shared" si="282"/>
        <v>-6.9999999999999396E-2</v>
      </c>
      <c r="M814">
        <v>-0.21012807720884999</v>
      </c>
      <c r="N814">
        <v>395500</v>
      </c>
      <c r="O814" s="18">
        <f>ROUND(N814/VLOOKUP(EOMONTH(A814,-1),Employment!A:P,16,FALSE),4)</f>
        <v>1.8081</v>
      </c>
      <c r="P814" s="18">
        <f t="shared" si="272"/>
        <v>1.8213999999999999</v>
      </c>
      <c r="Q814" s="29">
        <f t="shared" si="273"/>
        <v>-3.8199999999999998E-2</v>
      </c>
      <c r="R814" s="29">
        <f t="shared" si="274"/>
        <v>-7.6E-3</v>
      </c>
      <c r="S814">
        <v>3388000</v>
      </c>
      <c r="T814" s="18">
        <f>ROUND((S814/7)/VLOOKUP(EOMONTH(A814,-1),Employment!A:P,16,FALSE),4)</f>
        <v>2.2126999999999999</v>
      </c>
      <c r="U814" s="18">
        <f t="shared" si="275"/>
        <v>2.2397</v>
      </c>
      <c r="V814" s="29">
        <f t="shared" si="276"/>
        <v>-3.6600000000000001E-2</v>
      </c>
      <c r="W814" s="29">
        <f t="shared" si="277"/>
        <v>-4.3E-3</v>
      </c>
      <c r="X814" s="30">
        <f t="shared" si="278"/>
        <v>94.72</v>
      </c>
      <c r="Y814" s="31">
        <f t="shared" si="279"/>
        <v>79.33</v>
      </c>
    </row>
    <row r="815" spans="1:25" ht="15" customHeight="1" x14ac:dyDescent="0.25">
      <c r="A815" s="5">
        <v>37640</v>
      </c>
      <c r="B815">
        <v>954.61500000000001</v>
      </c>
      <c r="C815" s="29">
        <f t="shared" si="283"/>
        <v>-2.7000000000000001E-3</v>
      </c>
      <c r="D815">
        <v>-0.4</v>
      </c>
      <c r="E815">
        <v>0.436</v>
      </c>
      <c r="F815" s="18">
        <f t="shared" si="270"/>
        <v>1.0240000000000005</v>
      </c>
      <c r="G815" s="18">
        <f t="shared" si="271"/>
        <v>0.71200000000000019</v>
      </c>
      <c r="H815">
        <v>8.1</v>
      </c>
      <c r="I815">
        <v>3.29</v>
      </c>
      <c r="J815">
        <f t="shared" si="280"/>
        <v>5.7</v>
      </c>
      <c r="K815" s="6">
        <f t="shared" si="281"/>
        <v>5.77</v>
      </c>
      <c r="L815" s="6">
        <f t="shared" si="282"/>
        <v>-0.20000000000000018</v>
      </c>
      <c r="M815">
        <v>-0.47114726604802998</v>
      </c>
      <c r="N815">
        <v>393500</v>
      </c>
      <c r="O815" s="18">
        <f>ROUND(N815/VLOOKUP(EOMONTH(A815,-1),Employment!A:P,16,FALSE),4)</f>
        <v>1.7988999999999999</v>
      </c>
      <c r="P815" s="18">
        <f t="shared" si="272"/>
        <v>1.85</v>
      </c>
      <c r="Q815" s="29">
        <f t="shared" si="273"/>
        <v>-1.8800000000000001E-2</v>
      </c>
      <c r="R815" s="29">
        <f t="shared" si="274"/>
        <v>-3.73E-2</v>
      </c>
      <c r="S815">
        <v>3438000</v>
      </c>
      <c r="T815" s="18">
        <f>ROUND((S815/7)/VLOOKUP(EOMONTH(A815,-1),Employment!A:P,16,FALSE),4)</f>
        <v>2.2452999999999999</v>
      </c>
      <c r="U815" s="18">
        <f t="shared" si="275"/>
        <v>2.2498999999999998</v>
      </c>
      <c r="V815" s="29">
        <f t="shared" si="276"/>
        <v>-4.0500000000000001E-2</v>
      </c>
      <c r="W815" s="29">
        <f t="shared" si="277"/>
        <v>-5.4999999999999997E-3</v>
      </c>
      <c r="X815" s="30">
        <f t="shared" si="278"/>
        <v>73.290000000000006</v>
      </c>
      <c r="Y815" s="31">
        <f t="shared" si="279"/>
        <v>64.81</v>
      </c>
    </row>
    <row r="816" spans="1:25" ht="15" customHeight="1" x14ac:dyDescent="0.25">
      <c r="A816" s="5">
        <v>37633</v>
      </c>
      <c r="B816">
        <v>953.41849999999999</v>
      </c>
      <c r="C816" s="29">
        <f t="shared" si="283"/>
        <v>-5.8999999999999999E-3</v>
      </c>
      <c r="D816">
        <v>-0.38</v>
      </c>
      <c r="E816">
        <v>0.53900000000000003</v>
      </c>
      <c r="F816" s="18">
        <f t="shared" si="270"/>
        <v>-0.12800000000000011</v>
      </c>
      <c r="G816" s="18">
        <f t="shared" si="271"/>
        <v>-0.26800000000000068</v>
      </c>
      <c r="H816">
        <v>7.92</v>
      </c>
      <c r="I816">
        <v>3.31</v>
      </c>
      <c r="J816">
        <f t="shared" si="280"/>
        <v>5.62</v>
      </c>
      <c r="K816" s="6">
        <f t="shared" si="281"/>
        <v>5.97</v>
      </c>
      <c r="L816" s="6">
        <f t="shared" si="282"/>
        <v>-0.19000000000000039</v>
      </c>
      <c r="M816">
        <v>-1.0136237331089999</v>
      </c>
      <c r="N816">
        <v>406250</v>
      </c>
      <c r="O816" s="18">
        <f>ROUND(N816/VLOOKUP(EOMONTH(A816,-1),Employment!A:P,16,FALSE),4)</f>
        <v>1.8572</v>
      </c>
      <c r="P816" s="18">
        <f t="shared" si="272"/>
        <v>1.87</v>
      </c>
      <c r="Q816" s="29">
        <f t="shared" si="273"/>
        <v>-1.0699999999999999E-2</v>
      </c>
      <c r="R816" s="29">
        <f t="shared" si="274"/>
        <v>-5.2499999999999998E-2</v>
      </c>
      <c r="S816">
        <v>3462000</v>
      </c>
      <c r="T816" s="18">
        <f>ROUND((S816/7)/VLOOKUP(EOMONTH(A816,-1),Employment!A:P,16,FALSE),4)</f>
        <v>2.2610000000000001</v>
      </c>
      <c r="U816" s="18">
        <f t="shared" si="275"/>
        <v>2.2633999999999999</v>
      </c>
      <c r="V816" s="29">
        <f t="shared" si="276"/>
        <v>-3.95E-2</v>
      </c>
      <c r="W816" s="29">
        <f t="shared" si="277"/>
        <v>-9.1000000000000004E-3</v>
      </c>
      <c r="X816" s="30">
        <f t="shared" si="278"/>
        <v>55.980000000000004</v>
      </c>
      <c r="Y816" s="31">
        <f t="shared" si="279"/>
        <v>63.86</v>
      </c>
    </row>
    <row r="817" spans="1:25" ht="15" customHeight="1" x14ac:dyDescent="0.25">
      <c r="A817" s="5">
        <v>37626</v>
      </c>
      <c r="B817">
        <v>959.83659999999998</v>
      </c>
      <c r="C817" s="29">
        <f t="shared" si="283"/>
        <v>1E-4</v>
      </c>
      <c r="D817">
        <v>-0.36</v>
      </c>
      <c r="E817">
        <v>0.498</v>
      </c>
      <c r="F817" s="18">
        <f t="shared" si="270"/>
        <v>-0.18400000000000016</v>
      </c>
      <c r="G817" s="18">
        <f t="shared" si="271"/>
        <v>0.34399999999999942</v>
      </c>
      <c r="H817">
        <v>8.57</v>
      </c>
      <c r="I817">
        <v>3.39</v>
      </c>
      <c r="J817">
        <f t="shared" si="280"/>
        <v>5.98</v>
      </c>
      <c r="K817" s="6">
        <f t="shared" si="281"/>
        <v>6.16</v>
      </c>
      <c r="L817" s="6">
        <f t="shared" si="282"/>
        <v>-8.0000000000000071E-2</v>
      </c>
      <c r="M817">
        <v>-1.3272223552597999</v>
      </c>
      <c r="N817">
        <v>414250</v>
      </c>
      <c r="O817" s="18">
        <f>ROUND(N817/VLOOKUP(EOMONTH(A817,-1),Employment!A:P,16,FALSE),4)</f>
        <v>1.8937999999999999</v>
      </c>
      <c r="P817" s="18">
        <f t="shared" si="272"/>
        <v>1.869</v>
      </c>
      <c r="Q817" s="29">
        <f t="shared" si="273"/>
        <v>-3.4200000000000001E-2</v>
      </c>
      <c r="R817" s="29">
        <f t="shared" si="274"/>
        <v>-4.2200000000000001E-2</v>
      </c>
      <c r="S817">
        <v>3435000</v>
      </c>
      <c r="T817" s="18">
        <f>ROUND((S817/7)/VLOOKUP(EOMONTH(A817,-1),Employment!A:P,16,FALSE),4)</f>
        <v>2.2433999999999998</v>
      </c>
      <c r="U817" s="18">
        <f t="shared" si="275"/>
        <v>2.2804000000000002</v>
      </c>
      <c r="V817" s="29">
        <f t="shared" si="276"/>
        <v>-4.6199999999999998E-2</v>
      </c>
      <c r="W817" s="29">
        <f t="shared" si="277"/>
        <v>-7.4999999999999997E-3</v>
      </c>
      <c r="X817" s="30">
        <f t="shared" si="278"/>
        <v>65.66</v>
      </c>
      <c r="Y817" s="31">
        <f t="shared" si="279"/>
        <v>75.87</v>
      </c>
    </row>
    <row r="818" spans="1:25" ht="15" customHeight="1" x14ac:dyDescent="0.25">
      <c r="A818" s="5">
        <v>37619</v>
      </c>
      <c r="B818">
        <v>956.91869999999994</v>
      </c>
      <c r="C818" s="29">
        <f t="shared" si="283"/>
        <v>-3.5999999999999999E-3</v>
      </c>
      <c r="D818">
        <v>-0.38</v>
      </c>
      <c r="E818">
        <v>0.5</v>
      </c>
      <c r="F818" s="18">
        <f t="shared" si="270"/>
        <v>4.3999999999999595E-2</v>
      </c>
      <c r="G818" s="18">
        <f t="shared" si="271"/>
        <v>1.6000000000000014E-2</v>
      </c>
      <c r="H818">
        <v>9.11</v>
      </c>
      <c r="I818">
        <v>3.49</v>
      </c>
      <c r="J818">
        <f t="shared" si="280"/>
        <v>6.3</v>
      </c>
      <c r="K818" s="6">
        <f t="shared" si="281"/>
        <v>6.24</v>
      </c>
      <c r="L818" s="6">
        <f t="shared" si="282"/>
        <v>3.0000000000000249E-2</v>
      </c>
      <c r="M818">
        <v>-0.49390352651809</v>
      </c>
      <c r="N818">
        <v>406250</v>
      </c>
      <c r="O818" s="18">
        <f>ROUND(N818/VLOOKUP(EOMONTH(A818,-1),Employment!A:P,16,FALSE),4)</f>
        <v>1.8589</v>
      </c>
      <c r="P818" s="18">
        <f t="shared" si="272"/>
        <v>1.8406</v>
      </c>
      <c r="Q818" s="29">
        <f t="shared" si="273"/>
        <v>-7.8700000000000006E-2</v>
      </c>
      <c r="R818" s="29">
        <f t="shared" si="274"/>
        <v>-1.7399999999999999E-2</v>
      </c>
      <c r="S818">
        <v>3497000</v>
      </c>
      <c r="T818" s="18">
        <f>ROUND((S818/7)/VLOOKUP(EOMONTH(A818,-1),Employment!A:P,16,FALSE),4)</f>
        <v>2.2858999999999998</v>
      </c>
      <c r="U818" s="18">
        <f t="shared" si="275"/>
        <v>2.2743000000000002</v>
      </c>
      <c r="V818" s="29">
        <f t="shared" si="276"/>
        <v>-5.1499999999999997E-2</v>
      </c>
      <c r="W818" s="29">
        <f t="shared" si="277"/>
        <v>-7.6E-3</v>
      </c>
      <c r="X818" s="30">
        <f t="shared" si="278"/>
        <v>79.069999999999993</v>
      </c>
      <c r="Y818" s="31">
        <f t="shared" si="279"/>
        <v>87.96</v>
      </c>
    </row>
    <row r="819" spans="1:25" ht="15" customHeight="1" x14ac:dyDescent="0.25">
      <c r="A819" s="5">
        <v>37612</v>
      </c>
      <c r="B819">
        <v>958.56500000000005</v>
      </c>
      <c r="C819" s="29">
        <f t="shared" si="283"/>
        <v>-1.6999999999999999E-3</v>
      </c>
      <c r="D819">
        <v>-0.39</v>
      </c>
      <c r="E819">
        <v>0.51800000000000002</v>
      </c>
      <c r="F819" s="18">
        <f t="shared" si="270"/>
        <v>0.48399999999999999</v>
      </c>
      <c r="G819" s="18">
        <f t="shared" si="271"/>
        <v>0.16000000000000014</v>
      </c>
      <c r="H819">
        <v>8.99</v>
      </c>
      <c r="I819">
        <v>3.42</v>
      </c>
      <c r="J819">
        <f t="shared" si="280"/>
        <v>6.21</v>
      </c>
      <c r="K819" s="6">
        <f t="shared" si="281"/>
        <v>6.21</v>
      </c>
      <c r="L819" s="6">
        <f t="shared" si="282"/>
        <v>0</v>
      </c>
      <c r="M819">
        <v>-0.83431222406234995</v>
      </c>
      <c r="N819">
        <v>405250</v>
      </c>
      <c r="O819" s="18">
        <f>ROUND(N819/VLOOKUP(EOMONTH(A819,-1),Employment!A:P,16,FALSE),4)</f>
        <v>1.8543000000000001</v>
      </c>
      <c r="P819" s="18">
        <f t="shared" si="272"/>
        <v>1.8142</v>
      </c>
      <c r="Q819" s="29">
        <f t="shared" si="273"/>
        <v>-0.1178</v>
      </c>
      <c r="R819" s="29">
        <f t="shared" si="274"/>
        <v>2.0000000000000001E-4</v>
      </c>
      <c r="S819">
        <v>3537000</v>
      </c>
      <c r="T819" s="18">
        <f>ROUND((S819/7)/VLOOKUP(EOMONTH(A819,-1),Employment!A:P,16,FALSE),4)</f>
        <v>2.3119999999999998</v>
      </c>
      <c r="U819" s="18">
        <f t="shared" si="275"/>
        <v>2.2692999999999999</v>
      </c>
      <c r="V819" s="29">
        <f t="shared" si="276"/>
        <v>-4.9700000000000001E-2</v>
      </c>
      <c r="W819" s="29">
        <f t="shared" si="277"/>
        <v>7.6E-3</v>
      </c>
      <c r="X819" s="30">
        <f t="shared" si="278"/>
        <v>93.38</v>
      </c>
      <c r="Y819" s="31">
        <f t="shared" si="279"/>
        <v>94.97</v>
      </c>
    </row>
    <row r="820" spans="1:25" ht="15" customHeight="1" x14ac:dyDescent="0.25">
      <c r="A820" s="5">
        <v>37605</v>
      </c>
      <c r="B820">
        <v>961.1472</v>
      </c>
      <c r="C820" s="29">
        <f t="shared" si="283"/>
        <v>8.0000000000000004E-4</v>
      </c>
      <c r="D820">
        <v>-0.4</v>
      </c>
      <c r="E820">
        <v>0.59099999999999997</v>
      </c>
      <c r="F820" s="18">
        <f t="shared" si="270"/>
        <v>-0.51199999999999957</v>
      </c>
      <c r="G820" s="18">
        <f t="shared" si="271"/>
        <v>0.50400000000000045</v>
      </c>
      <c r="H820">
        <v>8.99</v>
      </c>
      <c r="I820">
        <v>3.42</v>
      </c>
      <c r="J820">
        <f t="shared" si="280"/>
        <v>6.21</v>
      </c>
      <c r="K820" s="6">
        <f t="shared" si="281"/>
        <v>6.21</v>
      </c>
      <c r="L820" s="6">
        <f t="shared" si="282"/>
        <v>-9.9999999999997868E-3</v>
      </c>
      <c r="M820">
        <v>-1.3792354254176999</v>
      </c>
      <c r="N820">
        <v>395250</v>
      </c>
      <c r="O820" s="18">
        <f>ROUND(N820/VLOOKUP(EOMONTH(A820,-1),Employment!A:P,16,FALSE),4)</f>
        <v>1.8085</v>
      </c>
      <c r="P820" s="18">
        <f t="shared" si="272"/>
        <v>1.8001</v>
      </c>
      <c r="Q820" s="29">
        <f t="shared" si="273"/>
        <v>-0.1331</v>
      </c>
      <c r="R820" s="29">
        <f t="shared" si="274"/>
        <v>8.0000000000000004E-4</v>
      </c>
      <c r="S820">
        <v>3404000</v>
      </c>
      <c r="T820" s="18">
        <f>ROUND((S820/7)/VLOOKUP(EOMONTH(A820,-1),Employment!A:P,16,FALSE),4)</f>
        <v>2.2250999999999999</v>
      </c>
      <c r="U820" s="18">
        <f t="shared" si="275"/>
        <v>2.2477</v>
      </c>
      <c r="V820" s="29">
        <f t="shared" si="276"/>
        <v>-7.2800000000000004E-2</v>
      </c>
      <c r="W820" s="29">
        <f t="shared" si="277"/>
        <v>1.8499999999999999E-2</v>
      </c>
      <c r="X820" s="30">
        <f t="shared" si="278"/>
        <v>96.66</v>
      </c>
      <c r="Y820" s="31">
        <f t="shared" si="279"/>
        <v>94.04</v>
      </c>
    </row>
    <row r="821" spans="1:25" ht="15" customHeight="1" x14ac:dyDescent="0.25">
      <c r="A821" s="5">
        <v>37598</v>
      </c>
      <c r="B821">
        <v>962.37170000000003</v>
      </c>
      <c r="C821" s="29">
        <f t="shared" si="283"/>
        <v>2.3E-3</v>
      </c>
      <c r="D821">
        <v>-0.42</v>
      </c>
      <c r="E821">
        <v>0.55200000000000005</v>
      </c>
      <c r="F821" s="18">
        <f t="shared" si="270"/>
        <v>0.18799999999999972</v>
      </c>
      <c r="G821" s="18">
        <f t="shared" si="271"/>
        <v>2.024</v>
      </c>
      <c r="H821">
        <v>9</v>
      </c>
      <c r="I821">
        <v>3.42</v>
      </c>
      <c r="J821">
        <f t="shared" si="280"/>
        <v>6.21</v>
      </c>
      <c r="K821" s="6">
        <f t="shared" si="281"/>
        <v>6.22</v>
      </c>
      <c r="L821" s="6">
        <f t="shared" si="282"/>
        <v>-0.15000000000000036</v>
      </c>
      <c r="M821">
        <v>-2.0653824987894001</v>
      </c>
      <c r="N821">
        <v>389000</v>
      </c>
      <c r="O821" s="18">
        <f>ROUND(N821/VLOOKUP(EOMONTH(A821,-1),Employment!A:P,16,FALSE),4)</f>
        <v>1.7799</v>
      </c>
      <c r="P821" s="18">
        <f t="shared" si="272"/>
        <v>1.8090999999999999</v>
      </c>
      <c r="Q821" s="29">
        <f t="shared" si="273"/>
        <v>-0.12939999999999999</v>
      </c>
      <c r="R821" s="29">
        <f t="shared" si="274"/>
        <v>-1.17E-2</v>
      </c>
      <c r="S821">
        <v>3474000</v>
      </c>
      <c r="T821" s="18">
        <f>ROUND((S821/7)/VLOOKUP(EOMONTH(A821,-1),Employment!A:P,16,FALSE),4)</f>
        <v>2.2707999999999999</v>
      </c>
      <c r="U821" s="18">
        <f t="shared" si="275"/>
        <v>2.2778999999999998</v>
      </c>
      <c r="V821" s="29">
        <f t="shared" si="276"/>
        <v>-6.13E-2</v>
      </c>
      <c r="W821" s="29">
        <f t="shared" si="277"/>
        <v>2.1000000000000001E-2</v>
      </c>
      <c r="X821" s="30">
        <f t="shared" si="278"/>
        <v>94.69</v>
      </c>
      <c r="Y821" s="31">
        <f t="shared" si="279"/>
        <v>89.34</v>
      </c>
    </row>
    <row r="822" spans="1:25" ht="15" customHeight="1" x14ac:dyDescent="0.25">
      <c r="A822" s="5">
        <v>37591</v>
      </c>
      <c r="B822">
        <v>959.39589999999998</v>
      </c>
      <c r="C822" s="29">
        <f t="shared" si="283"/>
        <v>-1.6999999999999999E-3</v>
      </c>
      <c r="D822">
        <v>-0.41</v>
      </c>
      <c r="E822">
        <v>0.56299999999999994</v>
      </c>
      <c r="F822" s="18">
        <f t="shared" si="270"/>
        <v>0.82800000000000029</v>
      </c>
      <c r="G822" s="18">
        <f t="shared" si="271"/>
        <v>2.6280000000000001</v>
      </c>
      <c r="H822">
        <v>9.01</v>
      </c>
      <c r="I822">
        <v>3.38</v>
      </c>
      <c r="J822">
        <f t="shared" si="280"/>
        <v>6.2</v>
      </c>
      <c r="K822" s="6">
        <f t="shared" si="281"/>
        <v>6.37</v>
      </c>
      <c r="L822" s="6">
        <f t="shared" si="282"/>
        <v>-0.22999999999999954</v>
      </c>
      <c r="M822">
        <v>-3.1493370007064998</v>
      </c>
      <c r="N822">
        <v>396000</v>
      </c>
      <c r="O822" s="18">
        <f>ROUND(N822/VLOOKUP(EOMONTH(A822,-1),Employment!A:P,16,FALSE),4)</f>
        <v>1.8120000000000001</v>
      </c>
      <c r="P822" s="18">
        <f t="shared" si="272"/>
        <v>1.8364</v>
      </c>
      <c r="Q822" s="29">
        <f t="shared" si="273"/>
        <v>-0.11940000000000001</v>
      </c>
      <c r="R822" s="29">
        <f t="shared" si="274"/>
        <v>-2.1100000000000001E-2</v>
      </c>
      <c r="S822">
        <v>3438000</v>
      </c>
      <c r="T822" s="18">
        <f>ROUND((S822/7)/VLOOKUP(EOMONTH(A822,-1),Employment!A:P,16,FALSE),4)</f>
        <v>2.2473000000000001</v>
      </c>
      <c r="U822" s="18">
        <f t="shared" si="275"/>
        <v>2.2967</v>
      </c>
      <c r="V822" s="29">
        <f t="shared" si="276"/>
        <v>-5.5899999999999998E-2</v>
      </c>
      <c r="W822" s="29">
        <f t="shared" si="277"/>
        <v>1.7600000000000001E-2</v>
      </c>
      <c r="X822" s="30">
        <f t="shared" si="278"/>
        <v>85.89</v>
      </c>
      <c r="Y822" s="31">
        <f t="shared" si="279"/>
        <v>86.47</v>
      </c>
    </row>
    <row r="823" spans="1:25" ht="15" customHeight="1" x14ac:dyDescent="0.25">
      <c r="A823" s="5">
        <v>37584</v>
      </c>
      <c r="B823">
        <v>958.03369999999995</v>
      </c>
      <c r="C823" s="29">
        <f t="shared" si="283"/>
        <v>-4.8999999999999998E-3</v>
      </c>
      <c r="D823">
        <v>-0.4</v>
      </c>
      <c r="E823">
        <v>0.65400000000000003</v>
      </c>
      <c r="F823" s="18">
        <f t="shared" si="270"/>
        <v>1.008</v>
      </c>
      <c r="G823" s="18">
        <f t="shared" si="271"/>
        <v>2.8319999999999999</v>
      </c>
      <c r="H823">
        <v>9.0399999999999991</v>
      </c>
      <c r="I823">
        <v>3.43</v>
      </c>
      <c r="J823">
        <f t="shared" si="280"/>
        <v>6.24</v>
      </c>
      <c r="K823" s="6">
        <f t="shared" si="281"/>
        <v>6.6</v>
      </c>
      <c r="L823" s="6">
        <f t="shared" si="282"/>
        <v>-0.30000000000000071</v>
      </c>
      <c r="M823">
        <v>-3.8157475052580998</v>
      </c>
      <c r="N823">
        <v>400750</v>
      </c>
      <c r="O823" s="18">
        <f>ROUND(N823/VLOOKUP(EOMONTH(A823,-1),Employment!A:P,16,FALSE),4)</f>
        <v>1.8353999999999999</v>
      </c>
      <c r="P823" s="18">
        <f t="shared" si="272"/>
        <v>1.8549</v>
      </c>
      <c r="Q823" s="29">
        <f t="shared" si="273"/>
        <v>-0.1265</v>
      </c>
      <c r="R823" s="29">
        <f t="shared" si="274"/>
        <v>-1.67E-2</v>
      </c>
      <c r="S823">
        <v>3539000</v>
      </c>
      <c r="T823" s="18">
        <f>ROUND((S823/7)/VLOOKUP(EOMONTH(A823,-1),Employment!A:P,16,FALSE),4)</f>
        <v>2.3155000000000001</v>
      </c>
      <c r="U823" s="18">
        <f t="shared" si="275"/>
        <v>2.3233999999999999</v>
      </c>
      <c r="V823" s="29">
        <f t="shared" si="276"/>
        <v>-2.8500000000000001E-2</v>
      </c>
      <c r="W823" s="29">
        <f t="shared" si="277"/>
        <v>1.7600000000000001E-2</v>
      </c>
      <c r="X823" s="30">
        <f t="shared" si="278"/>
        <v>84.57</v>
      </c>
      <c r="Y823" s="31">
        <f t="shared" si="279"/>
        <v>91.05</v>
      </c>
    </row>
    <row r="824" spans="1:25" ht="15" customHeight="1" x14ac:dyDescent="0.25">
      <c r="A824" s="5">
        <v>37577</v>
      </c>
      <c r="B824">
        <v>961.75720000000001</v>
      </c>
      <c r="C824" s="29">
        <f t="shared" si="283"/>
        <v>-1.1999999999999999E-3</v>
      </c>
      <c r="D824">
        <v>-0.38</v>
      </c>
      <c r="E824">
        <v>0.755</v>
      </c>
      <c r="F824" s="18">
        <f t="shared" si="270"/>
        <v>0.79199999999999982</v>
      </c>
      <c r="G824" s="18">
        <f t="shared" si="271"/>
        <v>2.3119999999999994</v>
      </c>
      <c r="H824">
        <v>9.7799999999999994</v>
      </c>
      <c r="I824">
        <v>3.54</v>
      </c>
      <c r="J824">
        <f t="shared" si="280"/>
        <v>6.66</v>
      </c>
      <c r="K824" s="6">
        <f t="shared" si="281"/>
        <v>6.9</v>
      </c>
      <c r="L824" s="6">
        <f t="shared" si="282"/>
        <v>-0.16999999999999993</v>
      </c>
      <c r="M824">
        <v>-3.9877098564725002</v>
      </c>
      <c r="N824">
        <v>406500</v>
      </c>
      <c r="O824" s="18">
        <f>ROUND(N824/VLOOKUP(EOMONTH(A824,-1),Employment!A:P,16,FALSE),4)</f>
        <v>1.8617999999999999</v>
      </c>
      <c r="P824" s="18">
        <f t="shared" si="272"/>
        <v>1.8652</v>
      </c>
      <c r="Q824" s="29">
        <f t="shared" si="273"/>
        <v>-0.14369999999999999</v>
      </c>
      <c r="R824" s="29">
        <f t="shared" si="274"/>
        <v>2.9999999999999997E-4</v>
      </c>
      <c r="S824">
        <v>3557000</v>
      </c>
      <c r="T824" s="18">
        <f>ROUND((S824/7)/VLOOKUP(EOMONTH(A824,-1),Employment!A:P,16,FALSE),4)</f>
        <v>2.3273000000000001</v>
      </c>
      <c r="U824" s="18">
        <f t="shared" si="275"/>
        <v>2.3188</v>
      </c>
      <c r="V824" s="29">
        <f t="shared" si="276"/>
        <v>-2.41E-2</v>
      </c>
      <c r="W824" s="29">
        <f t="shared" si="277"/>
        <v>2.8199999999999999E-2</v>
      </c>
      <c r="X824" s="30">
        <f t="shared" si="278"/>
        <v>92.68</v>
      </c>
      <c r="Y824" s="31">
        <f t="shared" si="279"/>
        <v>100.07</v>
      </c>
    </row>
    <row r="825" spans="1:25" ht="15" customHeight="1" x14ac:dyDescent="0.25">
      <c r="A825" s="5">
        <v>37570</v>
      </c>
      <c r="B825">
        <v>961.52409999999998</v>
      </c>
      <c r="C825" s="29">
        <f t="shared" si="283"/>
        <v>-1.6999999999999999E-3</v>
      </c>
      <c r="D825">
        <v>-0.36</v>
      </c>
      <c r="E825">
        <v>0.82899999999999996</v>
      </c>
      <c r="F825" s="18">
        <f t="shared" si="270"/>
        <v>1.032</v>
      </c>
      <c r="G825" s="18">
        <f t="shared" si="271"/>
        <v>1.6600000000000001</v>
      </c>
      <c r="H825">
        <v>10.16</v>
      </c>
      <c r="I825">
        <v>3.66</v>
      </c>
      <c r="J825">
        <f t="shared" si="280"/>
        <v>6.91</v>
      </c>
      <c r="K825" s="6">
        <f t="shared" si="281"/>
        <v>7.07</v>
      </c>
      <c r="L825" s="6">
        <f t="shared" si="282"/>
        <v>-9.9999999999999645E-2</v>
      </c>
      <c r="M825">
        <v>-4.6818993933030004</v>
      </c>
      <c r="N825">
        <v>407750</v>
      </c>
      <c r="O825" s="18">
        <f>ROUND(N825/VLOOKUP(EOMONTH(A825,-1),Employment!A:P,16,FALSE),4)</f>
        <v>1.8674999999999999</v>
      </c>
      <c r="P825" s="18">
        <f t="shared" si="272"/>
        <v>1.8673999999999999</v>
      </c>
      <c r="Q825" s="29">
        <f t="shared" si="273"/>
        <v>-0.16139999999999999</v>
      </c>
      <c r="R825" s="29">
        <f t="shared" si="274"/>
        <v>2.52E-2</v>
      </c>
      <c r="S825">
        <v>3557000</v>
      </c>
      <c r="T825" s="18">
        <f>ROUND((S825/7)/VLOOKUP(EOMONTH(A825,-1),Employment!A:P,16,FALSE),4)</f>
        <v>2.3273000000000001</v>
      </c>
      <c r="U825" s="18">
        <f t="shared" si="275"/>
        <v>2.3134999999999999</v>
      </c>
      <c r="V825" s="29">
        <f t="shared" si="276"/>
        <v>-1.7999999999999999E-2</v>
      </c>
      <c r="W825" s="29">
        <f t="shared" si="277"/>
        <v>3.27E-2</v>
      </c>
      <c r="X825" s="30">
        <f t="shared" si="278"/>
        <v>103.15</v>
      </c>
      <c r="Y825" s="31">
        <f t="shared" si="279"/>
        <v>108.12</v>
      </c>
    </row>
    <row r="826" spans="1:25" ht="15" customHeight="1" x14ac:dyDescent="0.25">
      <c r="A826" s="5">
        <v>37563</v>
      </c>
      <c r="B826">
        <v>962.76419999999996</v>
      </c>
      <c r="C826" s="29">
        <f t="shared" si="283"/>
        <v>-1.2999999999999999E-3</v>
      </c>
      <c r="D826">
        <v>-0.32</v>
      </c>
      <c r="E826">
        <v>0.90800000000000003</v>
      </c>
      <c r="F826" s="18">
        <f t="shared" si="270"/>
        <v>0.48799999999999955</v>
      </c>
      <c r="G826" s="18">
        <f t="shared" si="271"/>
        <v>0.27200000000000024</v>
      </c>
      <c r="H826">
        <v>10.47</v>
      </c>
      <c r="I826">
        <v>3.76</v>
      </c>
      <c r="J826">
        <f t="shared" si="280"/>
        <v>7.12</v>
      </c>
      <c r="K826" s="6">
        <f t="shared" si="281"/>
        <v>7.17</v>
      </c>
      <c r="L826" s="6">
        <f t="shared" si="282"/>
        <v>-0.12000000000000011</v>
      </c>
      <c r="M826">
        <v>-5.0518830010258</v>
      </c>
      <c r="N826">
        <v>407500</v>
      </c>
      <c r="O826" s="18">
        <f>ROUND(N826/VLOOKUP(EOMONTH(A826,-1),Employment!A:P,16,FALSE),4)</f>
        <v>1.8664000000000001</v>
      </c>
      <c r="P826" s="18">
        <f t="shared" si="272"/>
        <v>1.8634999999999999</v>
      </c>
      <c r="Q826" s="29">
        <f t="shared" si="273"/>
        <v>-0.16930000000000001</v>
      </c>
      <c r="R826" s="29">
        <f t="shared" si="274"/>
        <v>4.7699999999999999E-2</v>
      </c>
      <c r="S826">
        <v>3518000</v>
      </c>
      <c r="T826" s="18">
        <f>ROUND((S826/7)/VLOOKUP(EOMONTH(A826,-1),Employment!A:P,16,FALSE),4)</f>
        <v>2.3018000000000001</v>
      </c>
      <c r="U826" s="18">
        <f t="shared" si="275"/>
        <v>2.3279000000000001</v>
      </c>
      <c r="V826" s="29">
        <f t="shared" si="276"/>
        <v>3.5000000000000001E-3</v>
      </c>
      <c r="W826" s="29">
        <f t="shared" si="277"/>
        <v>3.2599999999999997E-2</v>
      </c>
      <c r="X826" s="30">
        <f t="shared" si="278"/>
        <v>110.83</v>
      </c>
      <c r="Y826" s="31">
        <f t="shared" si="279"/>
        <v>110.82</v>
      </c>
    </row>
    <row r="827" spans="1:25" ht="15" customHeight="1" x14ac:dyDescent="0.25">
      <c r="A827" s="5">
        <v>37556</v>
      </c>
      <c r="B827">
        <v>965.08569999999997</v>
      </c>
      <c r="C827" s="29">
        <f t="shared" si="283"/>
        <v>1.1000000000000001E-3</v>
      </c>
      <c r="D827">
        <v>-0.3</v>
      </c>
      <c r="E827">
        <v>0.94399999999999995</v>
      </c>
      <c r="F827" s="18">
        <f t="shared" si="270"/>
        <v>0.14000000000000057</v>
      </c>
      <c r="G827" s="18">
        <f t="shared" si="271"/>
        <v>-0.5</v>
      </c>
      <c r="H827">
        <v>10.57</v>
      </c>
      <c r="I827">
        <v>3.78</v>
      </c>
      <c r="J827">
        <f t="shared" si="280"/>
        <v>7.18</v>
      </c>
      <c r="K827" s="6">
        <f t="shared" si="281"/>
        <v>7.29</v>
      </c>
      <c r="L827" s="6">
        <f t="shared" si="282"/>
        <v>0</v>
      </c>
      <c r="M827">
        <v>-4.983810008721</v>
      </c>
      <c r="N827">
        <v>407500</v>
      </c>
      <c r="O827" s="18">
        <f>ROUND(N827/VLOOKUP(EOMONTH(A827,-1),Employment!A:P,16,FALSE),4)</f>
        <v>1.8683000000000001</v>
      </c>
      <c r="P827" s="18">
        <f t="shared" si="272"/>
        <v>1.8626</v>
      </c>
      <c r="Q827" s="29">
        <f t="shared" si="273"/>
        <v>-0.15809999999999999</v>
      </c>
      <c r="R827" s="29">
        <f t="shared" si="274"/>
        <v>5.8400000000000001E-2</v>
      </c>
      <c r="S827">
        <v>3529000</v>
      </c>
      <c r="T827" s="18">
        <f>ROUND((S827/7)/VLOOKUP(EOMONTH(A827,-1),Employment!A:P,16,FALSE),4)</f>
        <v>2.3113999999999999</v>
      </c>
      <c r="U827" s="18">
        <f t="shared" si="275"/>
        <v>2.3368000000000002</v>
      </c>
      <c r="V827" s="29">
        <f t="shared" si="276"/>
        <v>2.3699999999999999E-2</v>
      </c>
      <c r="W827" s="29">
        <f t="shared" si="277"/>
        <v>2.6800000000000001E-2</v>
      </c>
      <c r="X827" s="30">
        <f t="shared" si="278"/>
        <v>113.74000000000001</v>
      </c>
      <c r="Y827" s="31">
        <f t="shared" si="279"/>
        <v>105.34</v>
      </c>
    </row>
    <row r="828" spans="1:25" ht="15" customHeight="1" x14ac:dyDescent="0.25">
      <c r="A828" s="5">
        <v>37549</v>
      </c>
      <c r="B828">
        <v>962.43079999999998</v>
      </c>
      <c r="C828" s="29">
        <f t="shared" si="283"/>
        <v>-2.7000000000000001E-3</v>
      </c>
      <c r="D828">
        <v>-0.27</v>
      </c>
      <c r="E828">
        <v>0.92400000000000004</v>
      </c>
      <c r="F828" s="18">
        <f t="shared" si="270"/>
        <v>-0.35599999999999987</v>
      </c>
      <c r="G828" s="18">
        <f t="shared" si="271"/>
        <v>-1.3160000000000003</v>
      </c>
      <c r="H828">
        <v>10.65</v>
      </c>
      <c r="I828">
        <v>3.76</v>
      </c>
      <c r="J828">
        <f t="shared" si="280"/>
        <v>7.21</v>
      </c>
      <c r="K828" s="6">
        <f t="shared" si="281"/>
        <v>7.29</v>
      </c>
      <c r="L828" s="6">
        <f t="shared" si="282"/>
        <v>7.0000000000000284E-2</v>
      </c>
      <c r="M828">
        <v>-4.5855374978552002</v>
      </c>
      <c r="N828">
        <v>404750</v>
      </c>
      <c r="O828" s="18">
        <f>ROUND(N828/VLOOKUP(EOMONTH(A828,-1),Employment!A:P,16,FALSE),4)</f>
        <v>1.8556999999999999</v>
      </c>
      <c r="P828" s="18">
        <f t="shared" si="272"/>
        <v>1.8656999999999999</v>
      </c>
      <c r="Q828" s="29">
        <f t="shared" si="273"/>
        <v>-0.12870000000000001</v>
      </c>
      <c r="R828" s="29">
        <f t="shared" si="274"/>
        <v>5.0700000000000002E-2</v>
      </c>
      <c r="S828">
        <v>3619000</v>
      </c>
      <c r="T828" s="18">
        <f>ROUND((S828/7)/VLOOKUP(EOMONTH(A828,-1),Employment!A:P,16,FALSE),4)</f>
        <v>2.3704000000000001</v>
      </c>
      <c r="U828" s="18">
        <f t="shared" si="275"/>
        <v>2.3477000000000001</v>
      </c>
      <c r="V828" s="29">
        <f t="shared" si="276"/>
        <v>5.0799999999999998E-2</v>
      </c>
      <c r="W828" s="29">
        <f t="shared" si="277"/>
        <v>1.9199999999999998E-2</v>
      </c>
      <c r="X828" s="30">
        <f t="shared" si="278"/>
        <v>103.47</v>
      </c>
      <c r="Y828" s="31">
        <f t="shared" si="279"/>
        <v>93.67</v>
      </c>
    </row>
    <row r="829" spans="1:25" ht="15" customHeight="1" x14ac:dyDescent="0.25">
      <c r="A829" s="5">
        <v>37542</v>
      </c>
      <c r="B829">
        <v>962.36659999999995</v>
      </c>
      <c r="C829" s="29">
        <f t="shared" si="283"/>
        <v>-5.3E-3</v>
      </c>
      <c r="D829">
        <v>-0.26</v>
      </c>
      <c r="E829">
        <v>0.86699999999999999</v>
      </c>
      <c r="F829" s="18">
        <f t="shared" si="270"/>
        <v>-0.2840000000000007</v>
      </c>
      <c r="G829" s="18">
        <f t="shared" si="271"/>
        <v>-1.3960000000000004</v>
      </c>
      <c r="H829">
        <v>11.07</v>
      </c>
      <c r="I829">
        <v>3.88</v>
      </c>
      <c r="J829">
        <f t="shared" si="280"/>
        <v>7.48</v>
      </c>
      <c r="K829" s="6">
        <f t="shared" si="281"/>
        <v>7.22</v>
      </c>
      <c r="L829" s="6">
        <f t="shared" si="282"/>
        <v>0.23999999999999932</v>
      </c>
      <c r="M829">
        <v>-3.2947799416410999</v>
      </c>
      <c r="N829">
        <v>406500</v>
      </c>
      <c r="O829" s="18">
        <f>ROUND(N829/VLOOKUP(EOMONTH(A829,-1),Employment!A:P,16,FALSE),4)</f>
        <v>1.8637999999999999</v>
      </c>
      <c r="P829" s="18">
        <f t="shared" si="272"/>
        <v>1.8678999999999999</v>
      </c>
      <c r="Q829" s="29">
        <f t="shared" si="273"/>
        <v>-8.3400000000000002E-2</v>
      </c>
      <c r="R829" s="29">
        <f t="shared" si="274"/>
        <v>2.8899999999999999E-2</v>
      </c>
      <c r="S829">
        <v>3555000</v>
      </c>
      <c r="T829" s="18">
        <f>ROUND((S829/7)/VLOOKUP(EOMONTH(A829,-1),Employment!A:P,16,FALSE),4)</f>
        <v>2.3285</v>
      </c>
      <c r="U829" s="18">
        <f t="shared" si="275"/>
        <v>2.3344</v>
      </c>
      <c r="V829" s="29">
        <f t="shared" si="276"/>
        <v>6.7400000000000002E-2</v>
      </c>
      <c r="W829" s="29">
        <f t="shared" si="277"/>
        <v>1.2500000000000001E-2</v>
      </c>
      <c r="X829" s="30">
        <f t="shared" si="278"/>
        <v>89.03</v>
      </c>
      <c r="Y829" s="31">
        <f t="shared" si="279"/>
        <v>83.2</v>
      </c>
    </row>
    <row r="830" spans="1:25" ht="15" customHeight="1" x14ac:dyDescent="0.25">
      <c r="A830" s="5">
        <v>37535</v>
      </c>
      <c r="B830">
        <v>966.32740000000001</v>
      </c>
      <c r="C830" s="29">
        <f t="shared" si="283"/>
        <v>-2.5000000000000001E-3</v>
      </c>
      <c r="D830">
        <v>-0.27</v>
      </c>
      <c r="E830">
        <v>0.84399999999999997</v>
      </c>
      <c r="F830" s="18">
        <f t="shared" si="270"/>
        <v>-0.67599999999999971</v>
      </c>
      <c r="G830" s="18">
        <f t="shared" si="271"/>
        <v>-0.87199999999999944</v>
      </c>
      <c r="H830">
        <v>10.55</v>
      </c>
      <c r="I830">
        <v>3.78</v>
      </c>
      <c r="J830">
        <f t="shared" si="280"/>
        <v>7.17</v>
      </c>
      <c r="K830" s="6">
        <f t="shared" si="281"/>
        <v>6.98</v>
      </c>
      <c r="L830" s="6">
        <f t="shared" si="282"/>
        <v>0.21000000000000085</v>
      </c>
      <c r="M830">
        <v>-2.1829651709974001</v>
      </c>
      <c r="N830">
        <v>409500</v>
      </c>
      <c r="O830" s="18">
        <f>ROUND(N830/VLOOKUP(EOMONTH(A830,-1),Employment!A:P,16,FALSE),4)</f>
        <v>1.8774999999999999</v>
      </c>
      <c r="P830" s="18">
        <f t="shared" si="272"/>
        <v>1.8663000000000001</v>
      </c>
      <c r="Q830" s="29">
        <f t="shared" si="273"/>
        <v>-4.07E-2</v>
      </c>
      <c r="R830" s="29">
        <f t="shared" si="274"/>
        <v>6.7000000000000002E-3</v>
      </c>
      <c r="S830">
        <v>3579000</v>
      </c>
      <c r="T830" s="18">
        <f>ROUND((S830/7)/VLOOKUP(EOMONTH(A830,-1),Employment!A:P,16,FALSE),4)</f>
        <v>2.3441999999999998</v>
      </c>
      <c r="U830" s="18">
        <f t="shared" si="275"/>
        <v>2.3302</v>
      </c>
      <c r="V830" s="29">
        <f t="shared" si="276"/>
        <v>8.5699999999999998E-2</v>
      </c>
      <c r="W830" s="29">
        <f t="shared" si="277"/>
        <v>8.0999999999999996E-3</v>
      </c>
      <c r="X830" s="30">
        <f t="shared" si="278"/>
        <v>80.739999999999995</v>
      </c>
      <c r="Y830" s="31">
        <f t="shared" si="279"/>
        <v>77.91</v>
      </c>
    </row>
    <row r="831" spans="1:25" ht="15" customHeight="1" x14ac:dyDescent="0.25">
      <c r="A831" s="5">
        <v>37528</v>
      </c>
      <c r="B831">
        <v>964.83709999999996</v>
      </c>
      <c r="C831" s="29">
        <f t="shared" si="283"/>
        <v>-5.8999999999999999E-3</v>
      </c>
      <c r="D831">
        <v>-0.28000000000000003</v>
      </c>
      <c r="E831">
        <v>0.77200000000000002</v>
      </c>
      <c r="F831" s="18">
        <f t="shared" si="270"/>
        <v>-0.43599999999999994</v>
      </c>
      <c r="G831" s="18">
        <f t="shared" si="271"/>
        <v>-0.91999999999999948</v>
      </c>
      <c r="H831">
        <v>10.3</v>
      </c>
      <c r="I831">
        <v>3.71</v>
      </c>
      <c r="J831">
        <f t="shared" si="280"/>
        <v>7.01</v>
      </c>
      <c r="K831" s="6">
        <f t="shared" si="281"/>
        <v>6.77</v>
      </c>
      <c r="L831" s="6">
        <f t="shared" si="282"/>
        <v>0.14999999999999947</v>
      </c>
      <c r="M831">
        <v>-1.0922511232084</v>
      </c>
      <c r="N831">
        <v>405750</v>
      </c>
      <c r="O831" s="18">
        <f>ROUND(N831/VLOOKUP(EOMONTH(A831,-1),Employment!A:P,16,FALSE),4)</f>
        <v>1.8624000000000001</v>
      </c>
      <c r="P831" s="18">
        <f t="shared" si="272"/>
        <v>1.8551</v>
      </c>
      <c r="Q831" s="29">
        <f t="shared" si="273"/>
        <v>-1.43E-2</v>
      </c>
      <c r="R831" s="29">
        <f t="shared" si="274"/>
        <v>-5.8999999999999999E-3</v>
      </c>
      <c r="S831">
        <v>3554000</v>
      </c>
      <c r="T831" s="18">
        <f>ROUND((S831/7)/VLOOKUP(EOMONTH(A831,-1),Employment!A:P,16,FALSE),4)</f>
        <v>2.3304</v>
      </c>
      <c r="U831" s="18">
        <f t="shared" si="275"/>
        <v>2.3245</v>
      </c>
      <c r="V831" s="29">
        <f t="shared" si="276"/>
        <v>9.2600000000000002E-2</v>
      </c>
      <c r="W831" s="29">
        <f t="shared" si="277"/>
        <v>9.4000000000000004E-3</v>
      </c>
      <c r="X831" s="30">
        <f t="shared" si="278"/>
        <v>74.77</v>
      </c>
      <c r="Y831" s="31">
        <f t="shared" si="279"/>
        <v>77.760000000000005</v>
      </c>
    </row>
    <row r="832" spans="1:25" ht="15" customHeight="1" x14ac:dyDescent="0.25">
      <c r="A832" s="5">
        <v>37521</v>
      </c>
      <c r="B832">
        <v>966.73689999999999</v>
      </c>
      <c r="C832" s="29">
        <f t="shared" si="283"/>
        <v>-5.3E-3</v>
      </c>
      <c r="D832">
        <v>-0.31</v>
      </c>
      <c r="E832">
        <v>0.755</v>
      </c>
      <c r="F832" s="18">
        <f t="shared" si="270"/>
        <v>0.24000000000000021</v>
      </c>
      <c r="G832" s="18">
        <f t="shared" si="271"/>
        <v>-6.7999999999999172E-2</v>
      </c>
      <c r="H832">
        <v>9.92</v>
      </c>
      <c r="I832">
        <v>3.59</v>
      </c>
      <c r="J832">
        <f t="shared" si="280"/>
        <v>6.76</v>
      </c>
      <c r="K832" s="6">
        <f t="shared" si="281"/>
        <v>6.62</v>
      </c>
      <c r="L832" s="6">
        <f t="shared" si="282"/>
        <v>0.11000000000000032</v>
      </c>
      <c r="M832">
        <v>-0.54332660941594002</v>
      </c>
      <c r="N832">
        <v>405000</v>
      </c>
      <c r="O832" s="18">
        <f>ROUND(N832/VLOOKUP(EOMONTH(A832,-1),Employment!A:P,16,FALSE),4)</f>
        <v>1.8589</v>
      </c>
      <c r="P832" s="18">
        <f t="shared" si="272"/>
        <v>1.8386</v>
      </c>
      <c r="Q832" s="29">
        <f t="shared" si="273"/>
        <v>-9.7999999999999997E-3</v>
      </c>
      <c r="R832" s="29">
        <f t="shared" si="274"/>
        <v>-8.0000000000000002E-3</v>
      </c>
      <c r="S832">
        <v>3532000</v>
      </c>
      <c r="T832" s="18">
        <f>ROUND((S832/7)/VLOOKUP(EOMONTH(A832,-1),Employment!A:P,16,FALSE),4)</f>
        <v>2.3159999999999998</v>
      </c>
      <c r="U832" s="18">
        <f t="shared" si="275"/>
        <v>2.3172999999999999</v>
      </c>
      <c r="V832" s="29">
        <f t="shared" si="276"/>
        <v>9.5100000000000004E-2</v>
      </c>
      <c r="W832" s="29">
        <f t="shared" si="277"/>
        <v>8.6999999999999994E-3</v>
      </c>
      <c r="X832" s="30">
        <f t="shared" si="278"/>
        <v>78.67</v>
      </c>
      <c r="Y832" s="31">
        <f t="shared" si="279"/>
        <v>81.93</v>
      </c>
    </row>
    <row r="833" spans="1:25" ht="15" customHeight="1" x14ac:dyDescent="0.25">
      <c r="A833" s="5">
        <v>37514</v>
      </c>
      <c r="B833">
        <v>972.23770000000002</v>
      </c>
      <c r="C833" s="29">
        <f t="shared" si="283"/>
        <v>-2.0000000000000001E-4</v>
      </c>
      <c r="D833">
        <v>-0.33</v>
      </c>
      <c r="E833">
        <v>0.81</v>
      </c>
      <c r="F833" s="18">
        <f t="shared" si="270"/>
        <v>-0.72399999999999975</v>
      </c>
      <c r="G833" s="18">
        <f t="shared" si="271"/>
        <v>-8.0000000000000515E-2</v>
      </c>
      <c r="H833">
        <v>9.65</v>
      </c>
      <c r="I833">
        <v>3.44</v>
      </c>
      <c r="J833">
        <f t="shared" si="280"/>
        <v>6.55</v>
      </c>
      <c r="K833" s="6">
        <f t="shared" si="281"/>
        <v>6.51</v>
      </c>
      <c r="L833" s="6">
        <f t="shared" si="282"/>
        <v>4.0000000000000036E-2</v>
      </c>
      <c r="M833">
        <v>-0.18309365026176</v>
      </c>
      <c r="N833">
        <v>401750</v>
      </c>
      <c r="O833" s="18">
        <f>ROUND(N833/VLOOKUP(EOMONTH(A833,-1),Employment!A:P,16,FALSE),4)</f>
        <v>1.8440000000000001</v>
      </c>
      <c r="P833" s="18">
        <f t="shared" si="272"/>
        <v>1.8210999999999999</v>
      </c>
      <c r="Q833" s="29">
        <f t="shared" si="273"/>
        <v>-1.7600000000000001E-2</v>
      </c>
      <c r="R833" s="29">
        <f t="shared" si="274"/>
        <v>-7.9000000000000008E-3</v>
      </c>
      <c r="S833">
        <v>3549000</v>
      </c>
      <c r="T833" s="18">
        <f>ROUND((S833/7)/VLOOKUP(EOMONTH(A833,-1),Employment!A:P,16,FALSE),4)</f>
        <v>2.3271000000000002</v>
      </c>
      <c r="U833" s="18">
        <f t="shared" si="275"/>
        <v>2.3170999999999999</v>
      </c>
      <c r="V833" s="29">
        <f t="shared" si="276"/>
        <v>0.1046</v>
      </c>
      <c r="W833" s="29">
        <f t="shared" si="277"/>
        <v>1.03E-2</v>
      </c>
      <c r="X833" s="30">
        <f t="shared" si="278"/>
        <v>82.93</v>
      </c>
      <c r="Y833" s="31">
        <f t="shared" si="279"/>
        <v>85.15</v>
      </c>
    </row>
    <row r="834" spans="1:25" ht="15" customHeight="1" x14ac:dyDescent="0.25">
      <c r="A834" s="5">
        <v>37507</v>
      </c>
      <c r="B834">
        <v>971.0598</v>
      </c>
      <c r="C834" s="29">
        <f t="shared" si="283"/>
        <v>-2.2000000000000001E-3</v>
      </c>
      <c r="D834">
        <v>-0.36</v>
      </c>
      <c r="E834">
        <v>0.75700000000000001</v>
      </c>
      <c r="F834" s="18">
        <f t="shared" si="270"/>
        <v>0.41600000000000037</v>
      </c>
      <c r="G834" s="18">
        <f t="shared" si="271"/>
        <v>1.4439999999999991</v>
      </c>
      <c r="H834">
        <v>9.69</v>
      </c>
      <c r="I834">
        <v>3.42</v>
      </c>
      <c r="J834">
        <f t="shared" si="280"/>
        <v>6.56</v>
      </c>
      <c r="K834" s="6">
        <f t="shared" si="281"/>
        <v>6.47</v>
      </c>
      <c r="L834" s="6">
        <f t="shared" si="282"/>
        <v>-3.0000000000000249E-2</v>
      </c>
      <c r="M834">
        <v>-0.40481312175792999</v>
      </c>
      <c r="N834">
        <v>395000</v>
      </c>
      <c r="O834" s="18">
        <f>ROUND(N834/VLOOKUP(EOMONTH(A834,-1),Employment!A:P,16,FALSE),4)</f>
        <v>1.8129999999999999</v>
      </c>
      <c r="P834" s="18">
        <f t="shared" si="272"/>
        <v>1.806</v>
      </c>
      <c r="Q834" s="29">
        <f t="shared" si="273"/>
        <v>-2.1600000000000001E-2</v>
      </c>
      <c r="R834" s="29">
        <f t="shared" si="274"/>
        <v>-8.8000000000000005E-3</v>
      </c>
      <c r="S834">
        <v>3521000</v>
      </c>
      <c r="T834" s="18">
        <f>ROUND((S834/7)/VLOOKUP(EOMONTH(A834,-1),Employment!A:P,16,FALSE),4)</f>
        <v>2.3088000000000002</v>
      </c>
      <c r="U834" s="18">
        <f t="shared" si="275"/>
        <v>2.3039000000000001</v>
      </c>
      <c r="V834" s="29">
        <f t="shared" si="276"/>
        <v>0.1082</v>
      </c>
      <c r="W834" s="29">
        <f t="shared" si="277"/>
        <v>1.21E-2</v>
      </c>
      <c r="X834" s="30">
        <f t="shared" si="278"/>
        <v>87.55</v>
      </c>
      <c r="Y834" s="31">
        <f t="shared" si="279"/>
        <v>86.43</v>
      </c>
    </row>
    <row r="835" spans="1:25" ht="15" customHeight="1" x14ac:dyDescent="0.25">
      <c r="A835" s="5">
        <v>37500</v>
      </c>
      <c r="B835">
        <v>972.04480000000001</v>
      </c>
      <c r="C835" s="29">
        <f t="shared" si="283"/>
        <v>-2.3E-3</v>
      </c>
      <c r="D835">
        <v>-0.36</v>
      </c>
      <c r="E835">
        <v>0.80900000000000005</v>
      </c>
      <c r="F835" s="18">
        <f t="shared" si="270"/>
        <v>0.22799999999999887</v>
      </c>
      <c r="G835" s="18">
        <f t="shared" si="271"/>
        <v>-2.8000000000001357E-2</v>
      </c>
      <c r="H835">
        <v>9.5</v>
      </c>
      <c r="I835">
        <v>3.32</v>
      </c>
      <c r="J835">
        <f t="shared" si="280"/>
        <v>6.41</v>
      </c>
      <c r="K835" s="6">
        <f t="shared" si="281"/>
        <v>6.5</v>
      </c>
      <c r="L835" s="6">
        <f t="shared" si="282"/>
        <v>-7.0000000000000284E-2</v>
      </c>
      <c r="M835">
        <v>-0.26967184878937001</v>
      </c>
      <c r="N835">
        <v>393500</v>
      </c>
      <c r="O835" s="18">
        <f>ROUND(N835/VLOOKUP(EOMONTH(A835,-1),Employment!A:P,16,FALSE),4)</f>
        <v>1.8062</v>
      </c>
      <c r="P835" s="18">
        <f t="shared" si="272"/>
        <v>1.7937000000000001</v>
      </c>
      <c r="Q835" s="29">
        <f t="shared" si="273"/>
        <v>-2.6200000000000001E-2</v>
      </c>
      <c r="R835" s="29">
        <f t="shared" si="274"/>
        <v>-6.7000000000000002E-3</v>
      </c>
      <c r="S835">
        <v>3531000</v>
      </c>
      <c r="T835" s="18">
        <f>ROUND((S835/7)/VLOOKUP(EOMONTH(A835,-1),Employment!A:P,16,FALSE),4)</f>
        <v>2.3153000000000001</v>
      </c>
      <c r="U835" s="18">
        <f t="shared" si="275"/>
        <v>2.2997000000000001</v>
      </c>
      <c r="V835" s="29">
        <f t="shared" si="276"/>
        <v>0.1158</v>
      </c>
      <c r="W835" s="29">
        <f t="shared" si="277"/>
        <v>1.47E-2</v>
      </c>
      <c r="X835" s="30">
        <f t="shared" si="278"/>
        <v>84.7</v>
      </c>
      <c r="Y835" s="31">
        <f t="shared" si="279"/>
        <v>86.28</v>
      </c>
    </row>
    <row r="836" spans="1:25" ht="15" customHeight="1" x14ac:dyDescent="0.25">
      <c r="A836" s="5">
        <v>37493</v>
      </c>
      <c r="B836">
        <v>972.39750000000004</v>
      </c>
      <c r="C836" s="29">
        <f t="shared" si="283"/>
        <v>-3.2000000000000002E-3</v>
      </c>
      <c r="D836">
        <v>-0.37</v>
      </c>
      <c r="E836">
        <v>0.85</v>
      </c>
      <c r="F836" s="18">
        <f t="shared" si="270"/>
        <v>0.79999999999999982</v>
      </c>
      <c r="G836" s="18">
        <f t="shared" si="271"/>
        <v>0.42000000000000082</v>
      </c>
      <c r="H836">
        <v>9.6199999999999992</v>
      </c>
      <c r="I836">
        <v>3.27</v>
      </c>
      <c r="J836">
        <f t="shared" si="280"/>
        <v>6.45</v>
      </c>
      <c r="K836" s="6">
        <f t="shared" si="281"/>
        <v>6.57</v>
      </c>
      <c r="L836" s="6">
        <f t="shared" si="282"/>
        <v>-4.0000000000000036E-2</v>
      </c>
      <c r="M836">
        <v>-0.52502307211083998</v>
      </c>
      <c r="N836">
        <v>391500</v>
      </c>
      <c r="O836" s="18">
        <f>ROUND(N836/VLOOKUP(EOMONTH(A836,-1),Employment!A:P,16,FALSE),4)</f>
        <v>1.7988999999999999</v>
      </c>
      <c r="P836" s="18">
        <f t="shared" si="272"/>
        <v>1.7817000000000001</v>
      </c>
      <c r="Q836" s="29">
        <f t="shared" si="273"/>
        <v>-3.3099999999999997E-2</v>
      </c>
      <c r="R836" s="29">
        <f t="shared" si="274"/>
        <v>-1.5E-3</v>
      </c>
      <c r="S836">
        <v>3485000</v>
      </c>
      <c r="T836" s="18">
        <f>ROUND((S836/7)/VLOOKUP(EOMONTH(A836,-1),Employment!A:P,16,FALSE),4)</f>
        <v>2.2875999999999999</v>
      </c>
      <c r="U836" s="18">
        <f t="shared" si="275"/>
        <v>2.2927</v>
      </c>
      <c r="V836" s="29">
        <f t="shared" si="276"/>
        <v>0.1188</v>
      </c>
      <c r="W836" s="29">
        <f t="shared" si="277"/>
        <v>1.38E-2</v>
      </c>
      <c r="X836" s="30">
        <f t="shared" si="278"/>
        <v>87.93</v>
      </c>
      <c r="Y836" s="31">
        <f t="shared" si="279"/>
        <v>87.49</v>
      </c>
    </row>
    <row r="837" spans="1:25" ht="15" customHeight="1" x14ac:dyDescent="0.25">
      <c r="A837" s="5">
        <v>37486</v>
      </c>
      <c r="B837">
        <v>974.24739999999997</v>
      </c>
      <c r="C837" s="29">
        <f t="shared" si="283"/>
        <v>-2.0999999999999999E-3</v>
      </c>
      <c r="D837">
        <v>-0.37</v>
      </c>
      <c r="E837">
        <v>0.95</v>
      </c>
      <c r="F837" s="18">
        <f t="shared" si="270"/>
        <v>-1.056</v>
      </c>
      <c r="G837" s="18">
        <f t="shared" si="271"/>
        <v>-1.6599999999999993</v>
      </c>
      <c r="H837">
        <v>9.93</v>
      </c>
      <c r="I837">
        <v>3.32</v>
      </c>
      <c r="J837">
        <f t="shared" si="280"/>
        <v>6.63</v>
      </c>
      <c r="K837" s="6">
        <f t="shared" si="281"/>
        <v>6.61</v>
      </c>
      <c r="L837" s="6">
        <f t="shared" si="282"/>
        <v>-2.9999999999999361E-2</v>
      </c>
      <c r="M837">
        <v>-0.26994468396466997</v>
      </c>
      <c r="N837">
        <v>386500</v>
      </c>
      <c r="O837" s="18">
        <f>ROUND(N837/VLOOKUP(EOMONTH(A837,-1),Employment!A:P,16,FALSE),4)</f>
        <v>1.776</v>
      </c>
      <c r="P837" s="18">
        <f t="shared" si="272"/>
        <v>1.7733000000000001</v>
      </c>
      <c r="Q837" s="29">
        <f t="shared" si="273"/>
        <v>-3.9E-2</v>
      </c>
      <c r="R837" s="29">
        <f t="shared" si="274"/>
        <v>5.5999999999999999E-3</v>
      </c>
      <c r="S837">
        <v>3498000</v>
      </c>
      <c r="T837" s="18">
        <f>ROUND((S837/7)/VLOOKUP(EOMONTH(A837,-1),Employment!A:P,16,FALSE),4)</f>
        <v>2.2961999999999998</v>
      </c>
      <c r="U837" s="18">
        <f t="shared" si="275"/>
        <v>2.2900999999999998</v>
      </c>
      <c r="V837" s="29">
        <f t="shared" si="276"/>
        <v>0.13600000000000001</v>
      </c>
      <c r="W837" s="29">
        <f t="shared" si="277"/>
        <v>1.55E-2</v>
      </c>
      <c r="X837" s="30">
        <f t="shared" si="278"/>
        <v>86.1</v>
      </c>
      <c r="Y837" s="31">
        <f t="shared" si="279"/>
        <v>87.62</v>
      </c>
    </row>
    <row r="838" spans="1:25" ht="15" customHeight="1" x14ac:dyDescent="0.25">
      <c r="A838" s="5">
        <v>37479</v>
      </c>
      <c r="B838">
        <v>974.29020000000003</v>
      </c>
      <c r="C838" s="29">
        <f t="shared" si="283"/>
        <v>-3.5000000000000001E-3</v>
      </c>
      <c r="D838">
        <v>-0.39</v>
      </c>
      <c r="E838">
        <v>0.84299999999999997</v>
      </c>
      <c r="F838" s="18">
        <f t="shared" si="270"/>
        <v>0.67600000000000104</v>
      </c>
      <c r="G838" s="18">
        <f t="shared" si="271"/>
        <v>-1.5799999999999992</v>
      </c>
      <c r="H838">
        <v>9.92</v>
      </c>
      <c r="I838">
        <v>3.36</v>
      </c>
      <c r="J838">
        <f t="shared" si="280"/>
        <v>6.64</v>
      </c>
      <c r="K838" s="6">
        <f t="shared" si="281"/>
        <v>6.64</v>
      </c>
      <c r="L838" s="6">
        <f t="shared" si="282"/>
        <v>0.10999999999999943</v>
      </c>
      <c r="M838">
        <v>0.80973662205223995</v>
      </c>
      <c r="N838">
        <v>385250</v>
      </c>
      <c r="O838" s="18">
        <f>ROUND(N838/VLOOKUP(EOMONTH(A838,-1),Employment!A:P,16,FALSE),4)</f>
        <v>1.7702</v>
      </c>
      <c r="P838" s="18">
        <f t="shared" si="272"/>
        <v>1.7716000000000001</v>
      </c>
      <c r="Q838" s="29">
        <f t="shared" si="273"/>
        <v>-4.3700000000000003E-2</v>
      </c>
      <c r="R838" s="29">
        <f t="shared" si="274"/>
        <v>8.6E-3</v>
      </c>
      <c r="S838">
        <v>3495000</v>
      </c>
      <c r="T838" s="18">
        <f>ROUND((S838/7)/VLOOKUP(EOMONTH(A838,-1),Employment!A:P,16,FALSE),4)</f>
        <v>2.2942</v>
      </c>
      <c r="U838" s="18">
        <f t="shared" si="275"/>
        <v>2.2902</v>
      </c>
      <c r="V838" s="29">
        <f t="shared" si="276"/>
        <v>0.14180000000000001</v>
      </c>
      <c r="W838" s="29">
        <f t="shared" si="277"/>
        <v>2.4199999999999999E-2</v>
      </c>
      <c r="X838" s="30">
        <f t="shared" si="278"/>
        <v>89.87</v>
      </c>
      <c r="Y838" s="31">
        <f t="shared" si="279"/>
        <v>87.76</v>
      </c>
    </row>
    <row r="839" spans="1:25" ht="15" customHeight="1" x14ac:dyDescent="0.25">
      <c r="A839" s="5">
        <v>37472</v>
      </c>
      <c r="B839">
        <v>976.14570000000003</v>
      </c>
      <c r="C839" s="29">
        <f t="shared" si="283"/>
        <v>-2.8E-3</v>
      </c>
      <c r="D839">
        <v>-0.38</v>
      </c>
      <c r="E839">
        <v>0.91500000000000004</v>
      </c>
      <c r="F839" s="18">
        <f t="shared" si="270"/>
        <v>-1.2800000000000002</v>
      </c>
      <c r="G839" s="18">
        <f t="shared" si="271"/>
        <v>-2.8720000000000008</v>
      </c>
      <c r="H839">
        <v>9.76</v>
      </c>
      <c r="I839">
        <v>3.34</v>
      </c>
      <c r="J839">
        <f t="shared" si="280"/>
        <v>6.55</v>
      </c>
      <c r="K839" s="6">
        <f t="shared" si="281"/>
        <v>6.53</v>
      </c>
      <c r="L839" s="6">
        <f t="shared" si="282"/>
        <v>0.10000000000000053</v>
      </c>
      <c r="M839">
        <v>2.1662013388718</v>
      </c>
      <c r="N839">
        <v>386000</v>
      </c>
      <c r="O839" s="18">
        <f>ROUND(N839/VLOOKUP(EOMONTH(A839,-1),Employment!A:P,16,FALSE),4)</f>
        <v>1.7737000000000001</v>
      </c>
      <c r="P839" s="18">
        <f t="shared" si="272"/>
        <v>1.7753000000000001</v>
      </c>
      <c r="Q839" s="29">
        <f t="shared" si="273"/>
        <v>-3.9899999999999998E-2</v>
      </c>
      <c r="R839" s="29">
        <f t="shared" si="274"/>
        <v>4.4999999999999997E-3</v>
      </c>
      <c r="S839">
        <v>3473000</v>
      </c>
      <c r="T839" s="18">
        <f>ROUND((S839/7)/VLOOKUP(EOMONTH(A839,-1),Employment!A:P,16,FALSE),4)</f>
        <v>2.2797999999999998</v>
      </c>
      <c r="U839" s="18">
        <f t="shared" si="275"/>
        <v>2.3039000000000001</v>
      </c>
      <c r="V839" s="29">
        <f t="shared" si="276"/>
        <v>0.1474</v>
      </c>
      <c r="W839" s="29">
        <f t="shared" si="277"/>
        <v>2.9700000000000001E-2</v>
      </c>
      <c r="X839" s="30">
        <f t="shared" si="278"/>
        <v>85.81</v>
      </c>
      <c r="Y839" s="31">
        <f t="shared" si="279"/>
        <v>86.57</v>
      </c>
    </row>
    <row r="840" spans="1:25" ht="15" customHeight="1" x14ac:dyDescent="0.25">
      <c r="A840" s="5">
        <v>37465</v>
      </c>
      <c r="B840">
        <v>977.26969999999994</v>
      </c>
      <c r="C840" s="29">
        <f t="shared" si="283"/>
        <v>-3.0999999999999999E-3</v>
      </c>
      <c r="D840">
        <v>-0.4</v>
      </c>
      <c r="E840">
        <v>0.78</v>
      </c>
      <c r="F840" s="18">
        <f t="shared" si="270"/>
        <v>-0.97599999999999998</v>
      </c>
      <c r="G840" s="18">
        <f t="shared" si="271"/>
        <v>-1.7119999999999997</v>
      </c>
      <c r="H840">
        <v>10.130000000000001</v>
      </c>
      <c r="I840">
        <v>3.34</v>
      </c>
      <c r="J840">
        <f t="shared" si="280"/>
        <v>6.74</v>
      </c>
      <c r="K840" s="6">
        <f t="shared" si="281"/>
        <v>6.43</v>
      </c>
      <c r="L840" s="6">
        <f t="shared" si="282"/>
        <v>0.21999999999999975</v>
      </c>
      <c r="M840">
        <v>4.0254810498958999</v>
      </c>
      <c r="N840">
        <v>385000</v>
      </c>
      <c r="O840" s="18">
        <f>ROUND(N840/VLOOKUP(EOMONTH(A840,-1),Employment!A:P,16,FALSE),4)</f>
        <v>1.7708999999999999</v>
      </c>
      <c r="P840" s="18">
        <f t="shared" si="272"/>
        <v>1.7824</v>
      </c>
      <c r="Q840" s="29">
        <f t="shared" si="273"/>
        <v>-3.1899999999999998E-2</v>
      </c>
      <c r="R840" s="29">
        <f t="shared" si="274"/>
        <v>-3.0999999999999999E-3</v>
      </c>
      <c r="S840">
        <v>3495000</v>
      </c>
      <c r="T840" s="18">
        <f>ROUND((S840/7)/VLOOKUP(EOMONTH(A840,-1),Employment!A:P,16,FALSE),4)</f>
        <v>2.2965</v>
      </c>
      <c r="U840" s="18">
        <f t="shared" si="275"/>
        <v>2.3298000000000001</v>
      </c>
      <c r="V840" s="29">
        <f t="shared" si="276"/>
        <v>0.16189999999999999</v>
      </c>
      <c r="W840" s="29">
        <f t="shared" si="277"/>
        <v>2.7300000000000001E-2</v>
      </c>
      <c r="X840" s="30">
        <f t="shared" si="278"/>
        <v>87.38</v>
      </c>
      <c r="Y840" s="31">
        <f t="shared" si="279"/>
        <v>87.62</v>
      </c>
    </row>
    <row r="841" spans="1:25" ht="15" customHeight="1" x14ac:dyDescent="0.25">
      <c r="A841" s="5">
        <v>37458</v>
      </c>
      <c r="B841">
        <v>977.58630000000005</v>
      </c>
      <c r="C841" s="29">
        <f t="shared" si="283"/>
        <v>-5.3E-3</v>
      </c>
      <c r="D841">
        <v>-0.42</v>
      </c>
      <c r="E841">
        <v>0.68300000000000005</v>
      </c>
      <c r="F841" s="18">
        <f t="shared" si="270"/>
        <v>-0.61600000000000055</v>
      </c>
      <c r="G841" s="18">
        <f t="shared" si="271"/>
        <v>-2.4440000000000008</v>
      </c>
      <c r="H841">
        <v>9.3699999999999992</v>
      </c>
      <c r="I841">
        <v>3.25</v>
      </c>
      <c r="J841">
        <f t="shared" si="280"/>
        <v>6.31</v>
      </c>
      <c r="K841" s="6">
        <f t="shared" si="281"/>
        <v>6.21</v>
      </c>
      <c r="L841" s="6">
        <f t="shared" si="282"/>
        <v>4.9999999999999822E-2</v>
      </c>
      <c r="M841">
        <v>5.7097177839319002</v>
      </c>
      <c r="N841">
        <v>387250</v>
      </c>
      <c r="O841" s="18">
        <f>ROUND(N841/VLOOKUP(EOMONTH(A841,-1),Employment!A:P,16,FALSE),4)</f>
        <v>1.7811999999999999</v>
      </c>
      <c r="P841" s="18">
        <f t="shared" si="272"/>
        <v>1.7892999999999999</v>
      </c>
      <c r="Q841" s="29">
        <f t="shared" si="273"/>
        <v>-2.4400000000000002E-2</v>
      </c>
      <c r="R841" s="29">
        <f t="shared" si="274"/>
        <v>-5.5999999999999999E-3</v>
      </c>
      <c r="S841">
        <v>3554000</v>
      </c>
      <c r="T841" s="18">
        <f>ROUND((S841/7)/VLOOKUP(EOMONTH(A841,-1),Employment!A:P,16,FALSE),4)</f>
        <v>2.3353000000000002</v>
      </c>
      <c r="U841" s="18">
        <f t="shared" si="275"/>
        <v>2.3614000000000002</v>
      </c>
      <c r="V841" s="29">
        <f t="shared" si="276"/>
        <v>0.18509999999999999</v>
      </c>
      <c r="W841" s="29">
        <f t="shared" si="277"/>
        <v>2.06E-2</v>
      </c>
      <c r="X841" s="30">
        <f t="shared" si="278"/>
        <v>86.45</v>
      </c>
      <c r="Y841" s="31">
        <f t="shared" si="279"/>
        <v>90.64</v>
      </c>
    </row>
    <row r="842" spans="1:25" ht="15" customHeight="1" x14ac:dyDescent="0.25">
      <c r="A842" s="5">
        <v>37451</v>
      </c>
      <c r="B842">
        <v>979.91539999999998</v>
      </c>
      <c r="C842" s="29">
        <f t="shared" si="283"/>
        <v>-5.4999999999999997E-3</v>
      </c>
      <c r="D842">
        <v>-0.46</v>
      </c>
      <c r="E842">
        <v>0.65600000000000003</v>
      </c>
      <c r="F842" s="18">
        <f t="shared" si="270"/>
        <v>-0.11999999999999922</v>
      </c>
      <c r="G842" s="18">
        <f t="shared" si="271"/>
        <v>-2.6839999999999988</v>
      </c>
      <c r="H842">
        <v>9.26</v>
      </c>
      <c r="I842">
        <v>3.24</v>
      </c>
      <c r="J842">
        <f t="shared" si="280"/>
        <v>6.25</v>
      </c>
      <c r="K842" s="6">
        <f t="shared" si="281"/>
        <v>6.16</v>
      </c>
      <c r="L842" s="6">
        <f t="shared" si="282"/>
        <v>0.20999999999999996</v>
      </c>
      <c r="M842">
        <v>6.2977053577935003</v>
      </c>
      <c r="N842">
        <v>390250</v>
      </c>
      <c r="O842" s="18">
        <f>ROUND(N842/VLOOKUP(EOMONTH(A842,-1),Employment!A:P,16,FALSE),4)</f>
        <v>1.7949999999999999</v>
      </c>
      <c r="P842" s="18">
        <f t="shared" si="272"/>
        <v>1.7902</v>
      </c>
      <c r="Q842" s="29">
        <f t="shared" si="273"/>
        <v>-2.6200000000000001E-2</v>
      </c>
      <c r="R842" s="29">
        <f t="shared" si="274"/>
        <v>2.8E-3</v>
      </c>
      <c r="S842">
        <v>3588000</v>
      </c>
      <c r="T842" s="18">
        <f>ROUND((S842/7)/VLOOKUP(EOMONTH(A842,-1),Employment!A:P,16,FALSE),4)</f>
        <v>2.3576999999999999</v>
      </c>
      <c r="U842" s="18">
        <f t="shared" si="275"/>
        <v>2.3731</v>
      </c>
      <c r="V842" s="29">
        <f t="shared" si="276"/>
        <v>0.2077</v>
      </c>
      <c r="W842" s="29">
        <f t="shared" si="277"/>
        <v>1.9E-2</v>
      </c>
      <c r="X842" s="30">
        <f t="shared" si="278"/>
        <v>91.14</v>
      </c>
      <c r="Y842" s="31">
        <f t="shared" si="279"/>
        <v>98.18</v>
      </c>
    </row>
    <row r="843" spans="1:25" ht="15" customHeight="1" x14ac:dyDescent="0.25">
      <c r="A843" s="5">
        <v>37444</v>
      </c>
      <c r="B843">
        <v>980.89670000000001</v>
      </c>
      <c r="C843" s="29">
        <f t="shared" si="283"/>
        <v>-7.3000000000000001E-3</v>
      </c>
      <c r="D843">
        <v>-0.48</v>
      </c>
      <c r="E843">
        <v>0.66600000000000004</v>
      </c>
      <c r="F843" s="18">
        <f t="shared" si="270"/>
        <v>-1.7080000000000011</v>
      </c>
      <c r="G843" s="18">
        <f t="shared" si="271"/>
        <v>-2.9</v>
      </c>
      <c r="H843">
        <v>8.9600000000000009</v>
      </c>
      <c r="I843">
        <v>3.15</v>
      </c>
      <c r="J843">
        <f t="shared" si="280"/>
        <v>6.06</v>
      </c>
      <c r="K843" s="6">
        <f t="shared" si="281"/>
        <v>5.95</v>
      </c>
      <c r="L843" s="6">
        <f t="shared" si="282"/>
        <v>0.20000000000000018</v>
      </c>
      <c r="M843">
        <v>6.1017160416678999</v>
      </c>
      <c r="N843">
        <v>389500</v>
      </c>
      <c r="O843" s="18">
        <f>ROUND(N843/VLOOKUP(EOMONTH(A843,-1),Employment!A:P,16,FALSE),4)</f>
        <v>1.7916000000000001</v>
      </c>
      <c r="P843" s="18">
        <f t="shared" si="272"/>
        <v>1.7924</v>
      </c>
      <c r="Q843" s="29">
        <f t="shared" si="273"/>
        <v>-3.4700000000000002E-2</v>
      </c>
      <c r="R843" s="29">
        <f t="shared" si="274"/>
        <v>1.7500000000000002E-2</v>
      </c>
      <c r="S843">
        <v>3639000</v>
      </c>
      <c r="T843" s="18">
        <f>ROUND((S843/7)/VLOOKUP(EOMONTH(A843,-1),Employment!A:P,16,FALSE),4)</f>
        <v>2.3912</v>
      </c>
      <c r="U843" s="18">
        <f t="shared" si="275"/>
        <v>2.3942999999999999</v>
      </c>
      <c r="V843" s="29">
        <f t="shared" si="276"/>
        <v>0.21959999999999999</v>
      </c>
      <c r="W843" s="29">
        <f t="shared" si="277"/>
        <v>2.4199999999999999E-2</v>
      </c>
      <c r="X843" s="30">
        <f t="shared" si="278"/>
        <v>99.85</v>
      </c>
      <c r="Y843" s="31">
        <f t="shared" si="279"/>
        <v>107.85</v>
      </c>
    </row>
    <row r="844" spans="1:25" ht="15" customHeight="1" x14ac:dyDescent="0.25">
      <c r="A844" s="5">
        <v>37437</v>
      </c>
      <c r="B844">
        <v>982.69299999999998</v>
      </c>
      <c r="C844" s="29">
        <f t="shared" si="283"/>
        <v>-7.9000000000000008E-3</v>
      </c>
      <c r="D844">
        <v>-0.53</v>
      </c>
      <c r="E844">
        <v>0.51500000000000001</v>
      </c>
      <c r="F844" s="18">
        <f t="shared" si="270"/>
        <v>-0.85599999999999854</v>
      </c>
      <c r="G844" s="18">
        <f t="shared" si="271"/>
        <v>-2.2079999999999993</v>
      </c>
      <c r="H844">
        <v>9.23</v>
      </c>
      <c r="I844">
        <v>3.13</v>
      </c>
      <c r="J844">
        <f t="shared" si="280"/>
        <v>6.18</v>
      </c>
      <c r="K844" s="6">
        <f t="shared" si="281"/>
        <v>5.75</v>
      </c>
      <c r="L844" s="6">
        <f t="shared" si="282"/>
        <v>0.33000000000000007</v>
      </c>
      <c r="M844">
        <v>6.7632126727411999</v>
      </c>
      <c r="N844">
        <v>387500</v>
      </c>
      <c r="O844" s="18">
        <f>ROUND(N844/VLOOKUP(EOMONTH(A844,-1),Employment!A:P,16,FALSE),4)</f>
        <v>1.7841</v>
      </c>
      <c r="P844" s="18">
        <f t="shared" si="272"/>
        <v>1.8013999999999999</v>
      </c>
      <c r="Q844" s="29">
        <f t="shared" si="273"/>
        <v>-3.9E-2</v>
      </c>
      <c r="R844" s="29">
        <f t="shared" si="274"/>
        <v>2.8400000000000002E-2</v>
      </c>
      <c r="S844">
        <v>3604000</v>
      </c>
      <c r="T844" s="18">
        <f>ROUND((S844/7)/VLOOKUP(EOMONTH(A844,-1),Employment!A:P,16,FALSE),4)</f>
        <v>2.3704999999999998</v>
      </c>
      <c r="U844" s="18">
        <f t="shared" si="275"/>
        <v>2.4005000000000001</v>
      </c>
      <c r="V844" s="29">
        <f t="shared" si="276"/>
        <v>0.2296</v>
      </c>
      <c r="W844" s="29">
        <f t="shared" si="277"/>
        <v>3.2199999999999999E-2</v>
      </c>
      <c r="X844" s="30">
        <f t="shared" si="278"/>
        <v>111.59</v>
      </c>
      <c r="Y844" s="31">
        <f t="shared" si="279"/>
        <v>115.38</v>
      </c>
    </row>
    <row r="845" spans="1:25" ht="15" customHeight="1" x14ac:dyDescent="0.25">
      <c r="A845" s="5">
        <v>37430</v>
      </c>
      <c r="B845">
        <v>987.49329999999998</v>
      </c>
      <c r="C845" s="29">
        <f t="shared" si="283"/>
        <v>-3.7000000000000002E-3</v>
      </c>
      <c r="D845">
        <v>-0.56999999999999995</v>
      </c>
      <c r="E845">
        <v>0.45800000000000002</v>
      </c>
      <c r="F845" s="18">
        <f t="shared" si="270"/>
        <v>-0.3360000000000003</v>
      </c>
      <c r="G845" s="18">
        <f t="shared" si="271"/>
        <v>-1.5240000000000014</v>
      </c>
      <c r="H845">
        <v>8.14</v>
      </c>
      <c r="I845">
        <v>3.05</v>
      </c>
      <c r="J845">
        <f t="shared" si="280"/>
        <v>5.6</v>
      </c>
      <c r="K845" s="6">
        <f t="shared" si="281"/>
        <v>5.42</v>
      </c>
      <c r="L845" s="6">
        <f t="shared" si="282"/>
        <v>0.16000000000000014</v>
      </c>
      <c r="M845">
        <v>6.2213700337731002</v>
      </c>
      <c r="N845">
        <v>391250</v>
      </c>
      <c r="O845" s="18">
        <f>ROUND(N845/VLOOKUP(EOMONTH(A845,-1),Employment!A:P,16,FALSE),4)</f>
        <v>1.8013999999999999</v>
      </c>
      <c r="P845" s="18">
        <f t="shared" si="272"/>
        <v>1.8225</v>
      </c>
      <c r="Q845" s="29">
        <f t="shared" si="273"/>
        <v>-3.0300000000000001E-2</v>
      </c>
      <c r="R845" s="29">
        <f t="shared" si="274"/>
        <v>2.9000000000000001E-2</v>
      </c>
      <c r="S845">
        <v>3681000</v>
      </c>
      <c r="T845" s="18">
        <f>ROUND((S845/7)/VLOOKUP(EOMONTH(A845,-1),Employment!A:P,16,FALSE),4)</f>
        <v>2.4211</v>
      </c>
      <c r="U845" s="18">
        <f t="shared" si="275"/>
        <v>2.4241999999999999</v>
      </c>
      <c r="V845" s="29">
        <f t="shared" si="276"/>
        <v>0.2432</v>
      </c>
      <c r="W845" s="29">
        <f t="shared" si="277"/>
        <v>3.61E-2</v>
      </c>
      <c r="X845" s="30">
        <f t="shared" si="278"/>
        <v>118.50999999999999</v>
      </c>
      <c r="Y845" s="31">
        <f t="shared" si="279"/>
        <v>118.2</v>
      </c>
    </row>
    <row r="846" spans="1:25" ht="15" customHeight="1" x14ac:dyDescent="0.25">
      <c r="A846" s="5">
        <v>37423</v>
      </c>
      <c r="B846">
        <v>990.11900000000003</v>
      </c>
      <c r="C846" s="29">
        <f t="shared" si="283"/>
        <v>-1E-3</v>
      </c>
      <c r="D846">
        <v>-0.61</v>
      </c>
      <c r="E846">
        <v>0.46600000000000003</v>
      </c>
      <c r="F846" s="18">
        <f t="shared" si="270"/>
        <v>-1.0160000000000005</v>
      </c>
      <c r="G846" s="18">
        <f t="shared" si="271"/>
        <v>-1.2520000000000011</v>
      </c>
      <c r="H846">
        <v>7.9</v>
      </c>
      <c r="I846">
        <v>3.02</v>
      </c>
      <c r="J846">
        <f t="shared" si="280"/>
        <v>5.46</v>
      </c>
      <c r="K846" s="6">
        <f t="shared" si="281"/>
        <v>5.26</v>
      </c>
      <c r="L846" s="6">
        <f t="shared" si="282"/>
        <v>0.14999999999999947</v>
      </c>
      <c r="M846">
        <v>6.1924989193176003</v>
      </c>
      <c r="N846">
        <v>395000</v>
      </c>
      <c r="O846" s="18">
        <f>ROUND(N846/VLOOKUP(EOMONTH(A846,-1),Employment!A:P,16,FALSE),4)</f>
        <v>1.8186</v>
      </c>
      <c r="P846" s="18">
        <f t="shared" si="272"/>
        <v>1.8496999999999999</v>
      </c>
      <c r="Q846" s="29">
        <f t="shared" si="273"/>
        <v>-8.0000000000000002E-3</v>
      </c>
      <c r="R846" s="29">
        <f t="shared" si="274"/>
        <v>2.3199999999999998E-2</v>
      </c>
      <c r="S846">
        <v>3664000</v>
      </c>
      <c r="T846" s="18">
        <f>ROUND((S846/7)/VLOOKUP(EOMONTH(A846,-1),Employment!A:P,16,FALSE),4)</f>
        <v>2.4098999999999999</v>
      </c>
      <c r="U846" s="18">
        <f t="shared" si="275"/>
        <v>2.4272</v>
      </c>
      <c r="V846" s="29">
        <f t="shared" si="276"/>
        <v>0.26329999999999998</v>
      </c>
      <c r="W846" s="29">
        <f t="shared" si="277"/>
        <v>3.2300000000000002E-2</v>
      </c>
      <c r="X846" s="30">
        <f t="shared" si="278"/>
        <v>117.00999999999999</v>
      </c>
      <c r="Y846" s="31">
        <f t="shared" si="279"/>
        <v>119.29</v>
      </c>
    </row>
    <row r="847" spans="1:25" ht="15" customHeight="1" x14ac:dyDescent="0.25">
      <c r="A847" s="5">
        <v>37416</v>
      </c>
      <c r="B847">
        <v>992.17610000000002</v>
      </c>
      <c r="C847" s="29">
        <f t="shared" si="283"/>
        <v>1.1000000000000001E-3</v>
      </c>
      <c r="D847">
        <v>-0.65</v>
      </c>
      <c r="E847">
        <v>0.38900000000000001</v>
      </c>
      <c r="F847" s="18">
        <f t="shared" ref="F847:F910" si="284">(((D847*10)+(E847*8))*-1)-(((D848*10)+(E848*8))*-1)</f>
        <v>-0.1720000000000006</v>
      </c>
      <c r="G847" s="18">
        <f t="shared" ref="G847:G910" si="285">SUM(F847:F849)</f>
        <v>-0.16800000000000015</v>
      </c>
      <c r="H847">
        <v>7.41</v>
      </c>
      <c r="I847">
        <v>2.96</v>
      </c>
      <c r="J847">
        <f t="shared" si="280"/>
        <v>5.19</v>
      </c>
      <c r="K847" s="6">
        <f t="shared" si="281"/>
        <v>5.1100000000000003</v>
      </c>
      <c r="L847" s="6">
        <f t="shared" si="282"/>
        <v>7.0000000000000284E-2</v>
      </c>
      <c r="M847">
        <v>6.1700996484779003</v>
      </c>
      <c r="N847">
        <v>401250</v>
      </c>
      <c r="O847" s="18">
        <f>ROUND(N847/VLOOKUP(EOMONTH(A847,-1),Employment!A:P,16,FALSE),4)</f>
        <v>1.8473999999999999</v>
      </c>
      <c r="P847" s="18">
        <f t="shared" ref="P847:P910" si="286">ROUND(AVERAGE(O847:O849),4)</f>
        <v>1.8759999999999999</v>
      </c>
      <c r="Q847" s="29">
        <f t="shared" ref="Q847:Q910" si="287">ROUND((P847/P899)-1,4)</f>
        <v>1.52E-2</v>
      </c>
      <c r="R847" s="29">
        <f t="shared" ref="R847:R910" si="288">ROUND(AVERAGE(Q847:Q848)-AVERAGE(Q847:Q851),4)*-1</f>
        <v>2.2200000000000001E-2</v>
      </c>
      <c r="S847">
        <v>3712000</v>
      </c>
      <c r="T847" s="18">
        <f>ROUND((S847/7)/VLOOKUP(EOMONTH(A847,-1),Employment!A:P,16,FALSE),4)</f>
        <v>2.4415</v>
      </c>
      <c r="U847" s="18">
        <f t="shared" ref="U847:U910" si="289">ROUND(AVERAGE(T847:T849),4)</f>
        <v>2.4422000000000001</v>
      </c>
      <c r="V847" s="29">
        <f t="shared" ref="V847:V910" si="290">ROUND((U847/U899)-1,4)</f>
        <v>0.28839999999999999</v>
      </c>
      <c r="W847" s="29">
        <f t="shared" ref="W847:W910" si="291">ROUND(AVERAGE(V847:V848)-AVERAGE(V847:V851),4)*-1</f>
        <v>1.77E-2</v>
      </c>
      <c r="X847" s="30">
        <f t="shared" ref="X847:X910" si="292">IF(ROUND((C847*500)-(D847*10)-(E847*8)+(M847*1.2)-(P847*23)-(Q847*10)+(R847*600)-(U847*2)-(V847*5)+(W847*100)-(K847*5)-(L847*5)+(G847*3),2)+170&lt;0,0,ROUND((C847*500)-(D847*10)-(E847*8)+(M847*1.2)-(P847*23)-(Q847*10)+(R847*600)-(U847*2)-(V847*5)+(W847*100)-(K847*5)-(L847*5)+(G847*3),2)+170)</f>
        <v>120.4</v>
      </c>
      <c r="Y847" s="31">
        <f t="shared" ref="Y847:Y910" si="293">ROUND(AVERAGE(AVERAGE(X847:X848),AVERAGE(X847:X849)),2)</f>
        <v>122.2</v>
      </c>
    </row>
    <row r="848" spans="1:25" ht="15" customHeight="1" x14ac:dyDescent="0.25">
      <c r="A848" s="5">
        <v>37409</v>
      </c>
      <c r="B848">
        <v>992.10029999999995</v>
      </c>
      <c r="C848" s="29">
        <f t="shared" si="283"/>
        <v>-4.0000000000000002E-4</v>
      </c>
      <c r="D848">
        <v>-0.66</v>
      </c>
      <c r="E848">
        <v>0.38</v>
      </c>
      <c r="F848" s="18">
        <f t="shared" si="284"/>
        <v>-6.4000000000000057E-2</v>
      </c>
      <c r="G848" s="18">
        <f t="shared" si="285"/>
        <v>6.8000000000000504E-2</v>
      </c>
      <c r="H848">
        <v>7.28</v>
      </c>
      <c r="I848">
        <v>2.98</v>
      </c>
      <c r="J848">
        <f t="shared" ref="J848:J911" si="294">ROUND(AVERAGE(H848:I848),2)</f>
        <v>5.13</v>
      </c>
      <c r="K848" s="6">
        <f t="shared" ref="K848:K911" si="295">ROUND(AVERAGE(J848:J850),2)</f>
        <v>5.04</v>
      </c>
      <c r="L848" s="6">
        <f t="shared" ref="L848:L911" si="296">K848-K849</f>
        <v>5.9999999999999609E-2</v>
      </c>
      <c r="M848">
        <v>5.7337219183236003</v>
      </c>
      <c r="N848">
        <v>409000</v>
      </c>
      <c r="O848" s="18">
        <f>ROUND(N848/VLOOKUP(EOMONTH(A848,-1),Employment!A:P,16,FALSE),4)</f>
        <v>1.8831</v>
      </c>
      <c r="P848" s="18">
        <f t="shared" si="286"/>
        <v>1.8946000000000001</v>
      </c>
      <c r="Q848" s="29">
        <f t="shared" si="287"/>
        <v>3.0599999999999999E-2</v>
      </c>
      <c r="R848" s="29">
        <f t="shared" si="288"/>
        <v>2.7900000000000001E-2</v>
      </c>
      <c r="S848">
        <v>3695000</v>
      </c>
      <c r="T848" s="18">
        <f>ROUND((S848/7)/VLOOKUP(EOMONTH(A848,-1),Employment!A:P,16,FALSE),4)</f>
        <v>2.4302999999999999</v>
      </c>
      <c r="U848" s="18">
        <f t="shared" si="289"/>
        <v>2.4428999999999998</v>
      </c>
      <c r="V848" s="29">
        <f t="shared" si="290"/>
        <v>0.31830000000000003</v>
      </c>
      <c r="W848" s="29">
        <f t="shared" si="291"/>
        <v>8.6999999999999994E-3</v>
      </c>
      <c r="X848" s="30">
        <f t="shared" si="292"/>
        <v>122.2</v>
      </c>
      <c r="Y848" s="31">
        <f t="shared" si="293"/>
        <v>124.16</v>
      </c>
    </row>
    <row r="849" spans="1:25" ht="15" customHeight="1" x14ac:dyDescent="0.25">
      <c r="A849" s="5">
        <v>37402</v>
      </c>
      <c r="B849">
        <v>990.30889999999999</v>
      </c>
      <c r="C849" s="29">
        <f t="shared" si="283"/>
        <v>-4.7000000000000002E-3</v>
      </c>
      <c r="D849">
        <v>-0.66</v>
      </c>
      <c r="E849">
        <v>0.372</v>
      </c>
      <c r="F849" s="18">
        <f t="shared" si="284"/>
        <v>6.8000000000000504E-2</v>
      </c>
      <c r="G849" s="18">
        <f t="shared" si="285"/>
        <v>0.88400000000000123</v>
      </c>
      <c r="H849">
        <v>7.08</v>
      </c>
      <c r="I849">
        <v>2.96</v>
      </c>
      <c r="J849">
        <f t="shared" si="294"/>
        <v>5.0199999999999996</v>
      </c>
      <c r="K849" s="6">
        <f t="shared" si="295"/>
        <v>4.9800000000000004</v>
      </c>
      <c r="L849" s="6">
        <f t="shared" si="296"/>
        <v>3.0000000000000249E-2</v>
      </c>
      <c r="M849">
        <v>6.1325856118601001</v>
      </c>
      <c r="N849">
        <v>411750</v>
      </c>
      <c r="O849" s="18">
        <f>ROUND(N849/VLOOKUP(EOMONTH(A849,-1),Employment!A:P,16,FALSE),4)</f>
        <v>1.8974</v>
      </c>
      <c r="P849" s="18">
        <f t="shared" si="286"/>
        <v>1.9124000000000001</v>
      </c>
      <c r="Q849" s="29">
        <f t="shared" si="287"/>
        <v>4.1700000000000001E-2</v>
      </c>
      <c r="R849" s="29">
        <f t="shared" si="288"/>
        <v>3.3700000000000001E-2</v>
      </c>
      <c r="S849">
        <v>3729000</v>
      </c>
      <c r="T849" s="18">
        <f>ROUND((S849/7)/VLOOKUP(EOMONTH(A849,-1),Employment!A:P,16,FALSE),4)</f>
        <v>2.4548000000000001</v>
      </c>
      <c r="U849" s="18">
        <f t="shared" si="289"/>
        <v>2.4447000000000001</v>
      </c>
      <c r="V849" s="29">
        <f t="shared" si="290"/>
        <v>0.33339999999999997</v>
      </c>
      <c r="W849" s="29">
        <f t="shared" si="291"/>
        <v>1.2E-2</v>
      </c>
      <c r="X849" s="30">
        <f t="shared" si="292"/>
        <v>126.7</v>
      </c>
      <c r="Y849" s="31">
        <f t="shared" si="293"/>
        <v>121.83</v>
      </c>
    </row>
    <row r="850" spans="1:25" ht="15" customHeight="1" x14ac:dyDescent="0.25">
      <c r="A850" s="5">
        <v>37395</v>
      </c>
      <c r="B850">
        <v>989.94190000000003</v>
      </c>
      <c r="C850" s="29">
        <f t="shared" ref="C850:C913" si="297">ROUND((B850-AVERAGE(B851:B854))/AVERAGE(B851:B854),4)</f>
        <v>-8.8000000000000005E-3</v>
      </c>
      <c r="D850">
        <v>-0.65</v>
      </c>
      <c r="E850">
        <v>0.36799999999999999</v>
      </c>
      <c r="F850" s="18">
        <f t="shared" si="284"/>
        <v>6.4000000000000057E-2</v>
      </c>
      <c r="G850" s="18">
        <f t="shared" si="285"/>
        <v>1.4439999999999995</v>
      </c>
      <c r="H850">
        <v>7.01</v>
      </c>
      <c r="I850">
        <v>2.94</v>
      </c>
      <c r="J850">
        <f t="shared" si="294"/>
        <v>4.9800000000000004</v>
      </c>
      <c r="K850" s="6">
        <f t="shared" si="295"/>
        <v>4.95</v>
      </c>
      <c r="L850" s="6">
        <f t="shared" si="296"/>
        <v>-1.9999999999999574E-2</v>
      </c>
      <c r="M850">
        <v>6.3775611089895996</v>
      </c>
      <c r="N850">
        <v>413000</v>
      </c>
      <c r="O850" s="18">
        <f>ROUND(N850/VLOOKUP(EOMONTH(A850,-1),Employment!A:P,16,FALSE),4)</f>
        <v>1.9032</v>
      </c>
      <c r="P850" s="18">
        <f t="shared" si="286"/>
        <v>1.9393</v>
      </c>
      <c r="Q850" s="29">
        <f t="shared" si="287"/>
        <v>5.4600000000000003E-2</v>
      </c>
      <c r="R850" s="29">
        <f t="shared" si="288"/>
        <v>2.5100000000000001E-2</v>
      </c>
      <c r="S850">
        <v>3712000</v>
      </c>
      <c r="T850" s="18">
        <f>ROUND((S850/7)/VLOOKUP(EOMONTH(A850,-1),Employment!A:P,16,FALSE),4)</f>
        <v>2.4436</v>
      </c>
      <c r="U850" s="18">
        <f t="shared" si="289"/>
        <v>2.4329000000000001</v>
      </c>
      <c r="V850" s="29">
        <f t="shared" si="290"/>
        <v>0.33710000000000001</v>
      </c>
      <c r="W850" s="29">
        <f t="shared" si="291"/>
        <v>2.8500000000000001E-2</v>
      </c>
      <c r="X850" s="30">
        <f t="shared" si="292"/>
        <v>122.7</v>
      </c>
      <c r="Y850" s="31">
        <f t="shared" si="293"/>
        <v>110.41</v>
      </c>
    </row>
    <row r="851" spans="1:25" ht="15" customHeight="1" x14ac:dyDescent="0.25">
      <c r="A851" s="5">
        <v>37388</v>
      </c>
      <c r="B851">
        <v>991.89239999999995</v>
      </c>
      <c r="C851" s="29">
        <f t="shared" si="297"/>
        <v>-1.1299999999999999E-2</v>
      </c>
      <c r="D851">
        <v>-0.63</v>
      </c>
      <c r="E851">
        <v>0.35099999999999998</v>
      </c>
      <c r="F851" s="18">
        <f t="shared" si="284"/>
        <v>0.75200000000000067</v>
      </c>
      <c r="G851" s="18">
        <f t="shared" si="285"/>
        <v>2.508</v>
      </c>
      <c r="H851">
        <v>6.97</v>
      </c>
      <c r="I851">
        <v>2.93</v>
      </c>
      <c r="J851">
        <f t="shared" si="294"/>
        <v>4.95</v>
      </c>
      <c r="K851" s="6">
        <f t="shared" si="295"/>
        <v>4.97</v>
      </c>
      <c r="L851" s="6">
        <f t="shared" si="296"/>
        <v>-1.0000000000000675E-2</v>
      </c>
      <c r="M851">
        <v>6.2365984626086002</v>
      </c>
      <c r="N851">
        <v>420250</v>
      </c>
      <c r="O851" s="18">
        <f>ROUND(N851/VLOOKUP(EOMONTH(A851,-1),Employment!A:P,16,FALSE),4)</f>
        <v>1.9366000000000001</v>
      </c>
      <c r="P851" s="18">
        <f t="shared" si="286"/>
        <v>1.9898</v>
      </c>
      <c r="Q851" s="29">
        <f t="shared" si="287"/>
        <v>8.3500000000000005E-2</v>
      </c>
      <c r="R851" s="29">
        <f t="shared" si="288"/>
        <v>-5.0000000000000001E-4</v>
      </c>
      <c r="S851">
        <v>3700000</v>
      </c>
      <c r="T851" s="18">
        <f>ROUND((S851/7)/VLOOKUP(EOMONTH(A851,-1),Employment!A:P,16,FALSE),4)</f>
        <v>2.4357000000000002</v>
      </c>
      <c r="U851" s="18">
        <f t="shared" si="289"/>
        <v>2.42</v>
      </c>
      <c r="V851" s="29">
        <f t="shared" si="290"/>
        <v>0.32800000000000001</v>
      </c>
      <c r="W851" s="29">
        <f t="shared" si="291"/>
        <v>2.81E-2</v>
      </c>
      <c r="X851" s="30">
        <f t="shared" si="292"/>
        <v>107.47999999999999</v>
      </c>
      <c r="Y851" s="31">
        <f t="shared" si="293"/>
        <v>93.09</v>
      </c>
    </row>
    <row r="852" spans="1:25" ht="15" customHeight="1" x14ac:dyDescent="0.25">
      <c r="A852" s="5">
        <v>37381</v>
      </c>
      <c r="B852">
        <v>997.8442</v>
      </c>
      <c r="C852" s="29">
        <f t="shared" si="297"/>
        <v>-8.8000000000000005E-3</v>
      </c>
      <c r="D852">
        <v>-0.59</v>
      </c>
      <c r="E852">
        <v>0.39500000000000002</v>
      </c>
      <c r="F852" s="18">
        <f t="shared" si="284"/>
        <v>0.62799999999999878</v>
      </c>
      <c r="G852" s="18">
        <f t="shared" si="285"/>
        <v>2.3519999999999985</v>
      </c>
      <c r="H852">
        <v>6.94</v>
      </c>
      <c r="I852">
        <v>2.89</v>
      </c>
      <c r="J852">
        <f t="shared" si="294"/>
        <v>4.92</v>
      </c>
      <c r="K852" s="6">
        <f t="shared" si="295"/>
        <v>4.9800000000000004</v>
      </c>
      <c r="L852" s="6">
        <f t="shared" si="296"/>
        <v>-3.9999999999999147E-2</v>
      </c>
      <c r="M852">
        <v>5.7952644710275996</v>
      </c>
      <c r="N852">
        <v>429250</v>
      </c>
      <c r="O852" s="18">
        <f>ROUND(N852/VLOOKUP(EOMONTH(A852,-1),Employment!A:P,16,FALSE),4)</f>
        <v>1.9781</v>
      </c>
      <c r="P852" s="18">
        <f t="shared" si="286"/>
        <v>2.0287999999999999</v>
      </c>
      <c r="Q852" s="29">
        <f t="shared" si="287"/>
        <v>0.10979999999999999</v>
      </c>
      <c r="R852" s="29">
        <f t="shared" si="288"/>
        <v>-2.8799999999999999E-2</v>
      </c>
      <c r="S852">
        <v>3675000</v>
      </c>
      <c r="T852" s="18">
        <f>ROUND((S852/7)/VLOOKUP(EOMONTH(A852,-1),Employment!A:P,16,FALSE),4)</f>
        <v>2.4192999999999998</v>
      </c>
      <c r="U852" s="18">
        <f t="shared" si="289"/>
        <v>2.4277000000000002</v>
      </c>
      <c r="V852" s="29">
        <f t="shared" si="290"/>
        <v>0.35589999999999999</v>
      </c>
      <c r="W852" s="29">
        <f t="shared" si="291"/>
        <v>1.03E-2</v>
      </c>
      <c r="X852" s="30">
        <f t="shared" si="292"/>
        <v>87.01</v>
      </c>
      <c r="Y852" s="31">
        <f t="shared" si="293"/>
        <v>78.98</v>
      </c>
    </row>
    <row r="853" spans="1:25" ht="15" customHeight="1" x14ac:dyDescent="0.25">
      <c r="A853" s="5">
        <v>37374</v>
      </c>
      <c r="B853">
        <v>1000.2352</v>
      </c>
      <c r="C853" s="29">
        <f t="shared" si="297"/>
        <v>-9.7999999999999997E-3</v>
      </c>
      <c r="D853">
        <v>-0.56000000000000005</v>
      </c>
      <c r="E853">
        <v>0.436</v>
      </c>
      <c r="F853" s="18">
        <f t="shared" si="284"/>
        <v>1.1280000000000006</v>
      </c>
      <c r="G853" s="18">
        <f t="shared" si="285"/>
        <v>1.9000000000000008</v>
      </c>
      <c r="H853">
        <v>7.24</v>
      </c>
      <c r="I853">
        <v>2.83</v>
      </c>
      <c r="J853">
        <f t="shared" si="294"/>
        <v>5.04</v>
      </c>
      <c r="K853" s="6">
        <f t="shared" si="295"/>
        <v>5.0199999999999996</v>
      </c>
      <c r="L853" s="6">
        <f t="shared" si="296"/>
        <v>0</v>
      </c>
      <c r="M853">
        <v>5.4091986655496997</v>
      </c>
      <c r="N853">
        <v>445500</v>
      </c>
      <c r="O853" s="18">
        <f>ROUND(N853/VLOOKUP(EOMONTH(A853,-1),Employment!A:P,16,FALSE),4)</f>
        <v>2.0547</v>
      </c>
      <c r="P853" s="18">
        <f t="shared" si="286"/>
        <v>2.0347</v>
      </c>
      <c r="Q853" s="29">
        <f t="shared" si="287"/>
        <v>0.1198</v>
      </c>
      <c r="R853" s="29">
        <f t="shared" si="288"/>
        <v>-4.3799999999999999E-2</v>
      </c>
      <c r="S853">
        <v>3650000</v>
      </c>
      <c r="T853" s="18">
        <f>ROUND((S853/7)/VLOOKUP(EOMONTH(A853,-1),Employment!A:P,16,FALSE),4)</f>
        <v>2.4049</v>
      </c>
      <c r="U853" s="18">
        <f t="shared" si="289"/>
        <v>2.4388999999999998</v>
      </c>
      <c r="V853" s="29">
        <f t="shared" si="290"/>
        <v>0.38169999999999998</v>
      </c>
      <c r="W853" s="29">
        <f t="shared" si="291"/>
        <v>-9.4000000000000004E-3</v>
      </c>
      <c r="X853" s="30">
        <f t="shared" si="292"/>
        <v>72.3</v>
      </c>
      <c r="Y853" s="31">
        <f t="shared" si="293"/>
        <v>77.209999999999994</v>
      </c>
    </row>
    <row r="854" spans="1:25" ht="15" customHeight="1" x14ac:dyDescent="0.25">
      <c r="A854" s="5">
        <v>37367</v>
      </c>
      <c r="B854">
        <v>1004.9877</v>
      </c>
      <c r="C854" s="29">
        <f t="shared" si="297"/>
        <v>-6.1999999999999998E-3</v>
      </c>
      <c r="D854">
        <v>-0.52</v>
      </c>
      <c r="E854">
        <v>0.52700000000000002</v>
      </c>
      <c r="F854" s="18">
        <f t="shared" si="284"/>
        <v>0.5959999999999992</v>
      </c>
      <c r="G854" s="18">
        <f t="shared" si="285"/>
        <v>0.59199999999999964</v>
      </c>
      <c r="H854">
        <v>7.14</v>
      </c>
      <c r="I854">
        <v>2.8</v>
      </c>
      <c r="J854">
        <f t="shared" si="294"/>
        <v>4.97</v>
      </c>
      <c r="K854" s="6">
        <f t="shared" si="295"/>
        <v>5.0199999999999996</v>
      </c>
      <c r="L854" s="6">
        <f t="shared" si="296"/>
        <v>0</v>
      </c>
      <c r="M854">
        <v>5.468018595258</v>
      </c>
      <c r="N854">
        <v>445250</v>
      </c>
      <c r="O854" s="18">
        <f>ROUND(N854/VLOOKUP(EOMONTH(A854,-1),Employment!A:P,16,FALSE),4)</f>
        <v>2.0535000000000001</v>
      </c>
      <c r="P854" s="18">
        <f t="shared" si="286"/>
        <v>1.9974000000000001</v>
      </c>
      <c r="Q854" s="29">
        <f t="shared" si="287"/>
        <v>0.1032</v>
      </c>
      <c r="R854" s="29">
        <f t="shared" si="288"/>
        <v>-3.4599999999999999E-2</v>
      </c>
      <c r="S854">
        <v>3732000</v>
      </c>
      <c r="T854" s="18">
        <f>ROUND((S854/7)/VLOOKUP(EOMONTH(A854,-1),Employment!A:P,16,FALSE),4)</f>
        <v>2.4588999999999999</v>
      </c>
      <c r="U854" s="18">
        <f t="shared" si="289"/>
        <v>2.4277000000000002</v>
      </c>
      <c r="V854" s="29">
        <f t="shared" si="290"/>
        <v>0.4027</v>
      </c>
      <c r="W854" s="29">
        <f t="shared" si="291"/>
        <v>-9.1000000000000004E-3</v>
      </c>
      <c r="X854" s="30">
        <f t="shared" si="292"/>
        <v>75.61</v>
      </c>
      <c r="Y854" s="31">
        <f t="shared" si="293"/>
        <v>88.69</v>
      </c>
    </row>
    <row r="855" spans="1:25" ht="15" customHeight="1" x14ac:dyDescent="0.25">
      <c r="A855" s="5">
        <v>37360</v>
      </c>
      <c r="B855">
        <v>1009.8608</v>
      </c>
      <c r="C855" s="29">
        <f t="shared" si="297"/>
        <v>-2.2000000000000001E-3</v>
      </c>
      <c r="D855">
        <v>-0.49</v>
      </c>
      <c r="E855">
        <v>0.56399999999999995</v>
      </c>
      <c r="F855" s="18">
        <f t="shared" si="284"/>
        <v>0.17600000000000104</v>
      </c>
      <c r="G855" s="18">
        <f t="shared" si="285"/>
        <v>0.11600000000000055</v>
      </c>
      <c r="H855">
        <v>7.26</v>
      </c>
      <c r="I855">
        <v>2.86</v>
      </c>
      <c r="J855">
        <f t="shared" si="294"/>
        <v>5.0599999999999996</v>
      </c>
      <c r="K855" s="6">
        <f t="shared" si="295"/>
        <v>5.0199999999999996</v>
      </c>
      <c r="L855" s="6">
        <f t="shared" si="296"/>
        <v>4.9999999999999822E-2</v>
      </c>
      <c r="M855">
        <v>5.7334739865750999</v>
      </c>
      <c r="N855">
        <v>432750</v>
      </c>
      <c r="O855" s="18">
        <f>ROUND(N855/VLOOKUP(EOMONTH(A855,-1),Employment!A:P,16,FALSE),4)</f>
        <v>1.9959</v>
      </c>
      <c r="P855" s="18">
        <f t="shared" si="286"/>
        <v>1.9275</v>
      </c>
      <c r="Q855" s="29">
        <f t="shared" si="287"/>
        <v>6.4399999999999999E-2</v>
      </c>
      <c r="R855" s="29">
        <f t="shared" si="288"/>
        <v>-1.06E-2</v>
      </c>
      <c r="S855">
        <v>3723000</v>
      </c>
      <c r="T855" s="18">
        <f>ROUND((S855/7)/VLOOKUP(EOMONTH(A855,-1),Employment!A:P,16,FALSE),4)</f>
        <v>2.4529999999999998</v>
      </c>
      <c r="U855" s="18">
        <f t="shared" si="289"/>
        <v>2.3988999999999998</v>
      </c>
      <c r="V855" s="29">
        <f t="shared" si="290"/>
        <v>0.38200000000000001</v>
      </c>
      <c r="W855" s="29">
        <f t="shared" si="291"/>
        <v>3.7000000000000002E-3</v>
      </c>
      <c r="X855" s="30">
        <f t="shared" si="292"/>
        <v>93.49</v>
      </c>
      <c r="Y855" s="31">
        <f t="shared" si="293"/>
        <v>104.26</v>
      </c>
    </row>
    <row r="856" spans="1:25" ht="15" customHeight="1" x14ac:dyDescent="0.25">
      <c r="A856" s="5">
        <v>37353</v>
      </c>
      <c r="B856">
        <v>1011.7749</v>
      </c>
      <c r="C856" s="29">
        <f t="shared" si="297"/>
        <v>-1.8E-3</v>
      </c>
      <c r="D856">
        <v>-0.45</v>
      </c>
      <c r="E856">
        <v>0.53600000000000003</v>
      </c>
      <c r="F856" s="18">
        <f t="shared" si="284"/>
        <v>-0.1800000000000006</v>
      </c>
      <c r="G856" s="18">
        <f t="shared" si="285"/>
        <v>-0.30000000000000071</v>
      </c>
      <c r="H856">
        <v>7.21</v>
      </c>
      <c r="I856">
        <v>2.85</v>
      </c>
      <c r="J856">
        <f t="shared" si="294"/>
        <v>5.03</v>
      </c>
      <c r="K856" s="6">
        <f t="shared" si="295"/>
        <v>4.97</v>
      </c>
      <c r="L856" s="6">
        <f t="shared" si="296"/>
        <v>9.9999999999997868E-3</v>
      </c>
      <c r="M856">
        <v>5.5858131068462002</v>
      </c>
      <c r="N856">
        <v>421250</v>
      </c>
      <c r="O856" s="18">
        <f>ROUND(N856/VLOOKUP(EOMONTH(A856,-1),Employment!A:P,16,FALSE),4)</f>
        <v>1.9428000000000001</v>
      </c>
      <c r="P856" s="18">
        <f t="shared" si="286"/>
        <v>1.8703000000000001</v>
      </c>
      <c r="Q856" s="29">
        <f t="shared" si="287"/>
        <v>3.27E-2</v>
      </c>
      <c r="R856" s="29">
        <f t="shared" si="288"/>
        <v>1.2800000000000001E-2</v>
      </c>
      <c r="S856">
        <v>3599000</v>
      </c>
      <c r="T856" s="18">
        <f>ROUND((S856/7)/VLOOKUP(EOMONTH(A856,-1),Employment!A:P,16,FALSE),4)</f>
        <v>2.3713000000000002</v>
      </c>
      <c r="U856" s="18">
        <f t="shared" si="289"/>
        <v>2.3652000000000002</v>
      </c>
      <c r="V856" s="29">
        <f t="shared" si="290"/>
        <v>0.37319999999999998</v>
      </c>
      <c r="W856" s="29">
        <f t="shared" si="291"/>
        <v>1.4200000000000001E-2</v>
      </c>
      <c r="X856" s="30">
        <f t="shared" si="292"/>
        <v>109.37</v>
      </c>
      <c r="Y856" s="31">
        <f t="shared" si="293"/>
        <v>114.66</v>
      </c>
    </row>
    <row r="857" spans="1:25" ht="15" customHeight="1" x14ac:dyDescent="0.25">
      <c r="A857" s="5">
        <v>37346</v>
      </c>
      <c r="B857">
        <v>1013.9601</v>
      </c>
      <c r="C857" s="29">
        <f t="shared" si="297"/>
        <v>-1.1000000000000001E-3</v>
      </c>
      <c r="D857">
        <v>-0.46</v>
      </c>
      <c r="E857">
        <v>0.52600000000000002</v>
      </c>
      <c r="F857" s="18">
        <f t="shared" si="284"/>
        <v>0.12000000000000011</v>
      </c>
      <c r="G857" s="18">
        <f t="shared" si="285"/>
        <v>-0.56799999999999962</v>
      </c>
      <c r="H857">
        <v>7.11</v>
      </c>
      <c r="I857">
        <v>2.81</v>
      </c>
      <c r="J857">
        <f t="shared" si="294"/>
        <v>4.96</v>
      </c>
      <c r="K857" s="6">
        <f t="shared" si="295"/>
        <v>4.96</v>
      </c>
      <c r="L857" s="6">
        <f t="shared" si="296"/>
        <v>-4.0000000000000036E-2</v>
      </c>
      <c r="M857">
        <v>5.2290735516008997</v>
      </c>
      <c r="N857">
        <v>399500</v>
      </c>
      <c r="O857" s="18">
        <f>ROUND(N857/VLOOKUP(EOMONTH(A857,-1),Employment!A:P,16,FALSE),4)</f>
        <v>1.8439000000000001</v>
      </c>
      <c r="P857" s="18">
        <f t="shared" si="286"/>
        <v>1.8327</v>
      </c>
      <c r="Q857" s="29">
        <f t="shared" si="287"/>
        <v>1.84E-2</v>
      </c>
      <c r="R857" s="29">
        <f t="shared" si="288"/>
        <v>2.6200000000000001E-2</v>
      </c>
      <c r="S857">
        <v>3598000</v>
      </c>
      <c r="T857" s="18">
        <f>ROUND((S857/7)/VLOOKUP(EOMONTH(A857,-1),Employment!A:P,16,FALSE),4)</f>
        <v>2.3723000000000001</v>
      </c>
      <c r="U857" s="18">
        <f t="shared" si="289"/>
        <v>2.3586999999999998</v>
      </c>
      <c r="V857" s="29">
        <f t="shared" si="290"/>
        <v>0.37419999999999998</v>
      </c>
      <c r="W857" s="29">
        <f t="shared" si="291"/>
        <v>1.7899999999999999E-2</v>
      </c>
      <c r="X857" s="30">
        <f t="shared" si="292"/>
        <v>118.4</v>
      </c>
      <c r="Y857" s="31">
        <f t="shared" si="293"/>
        <v>118.78</v>
      </c>
    </row>
    <row r="858" spans="1:25" ht="15" customHeight="1" x14ac:dyDescent="0.25">
      <c r="A858" s="5">
        <v>37339</v>
      </c>
      <c r="B858">
        <v>1009.2452</v>
      </c>
      <c r="C858" s="29">
        <f t="shared" si="297"/>
        <v>-7.1000000000000004E-3</v>
      </c>
      <c r="D858">
        <v>-0.46</v>
      </c>
      <c r="E858">
        <v>0.54100000000000004</v>
      </c>
      <c r="F858" s="18">
        <f t="shared" si="284"/>
        <v>-0.24000000000000021</v>
      </c>
      <c r="G858" s="18">
        <f t="shared" si="285"/>
        <v>-0.36399999999999899</v>
      </c>
      <c r="H858">
        <v>7.08</v>
      </c>
      <c r="I858">
        <v>2.78</v>
      </c>
      <c r="J858">
        <f t="shared" si="294"/>
        <v>4.93</v>
      </c>
      <c r="K858" s="6">
        <f t="shared" si="295"/>
        <v>5</v>
      </c>
      <c r="L858" s="6">
        <f t="shared" si="296"/>
        <v>-0.17999999999999972</v>
      </c>
      <c r="M858">
        <v>4.0161145138491001</v>
      </c>
      <c r="N858">
        <v>395250</v>
      </c>
      <c r="O858" s="18">
        <f>ROUND(N858/VLOOKUP(EOMONTH(A858,-1),Employment!A:P,16,FALSE),4)</f>
        <v>1.8243</v>
      </c>
      <c r="P858" s="18">
        <f t="shared" si="286"/>
        <v>1.8272999999999999</v>
      </c>
      <c r="Q858" s="29">
        <f t="shared" si="287"/>
        <v>2.7300000000000001E-2</v>
      </c>
      <c r="R858" s="29">
        <f t="shared" si="288"/>
        <v>3.1899999999999998E-2</v>
      </c>
      <c r="S858">
        <v>3567000</v>
      </c>
      <c r="T858" s="18">
        <f>ROUND((S858/7)/VLOOKUP(EOMONTH(A858,-1),Employment!A:P,16,FALSE),4)</f>
        <v>2.3519000000000001</v>
      </c>
      <c r="U858" s="18">
        <f t="shared" si="289"/>
        <v>2.3454999999999999</v>
      </c>
      <c r="V858" s="29">
        <f t="shared" si="290"/>
        <v>0.38390000000000002</v>
      </c>
      <c r="W858" s="29">
        <f t="shared" si="291"/>
        <v>1.9599999999999999E-2</v>
      </c>
      <c r="X858" s="30">
        <f t="shared" si="292"/>
        <v>118.53999999999999</v>
      </c>
      <c r="Y858" s="31">
        <f t="shared" si="293"/>
        <v>120.95</v>
      </c>
    </row>
    <row r="859" spans="1:25" ht="15" customHeight="1" x14ac:dyDescent="0.25">
      <c r="A859" s="5">
        <v>37332</v>
      </c>
      <c r="B859">
        <v>1013.5548</v>
      </c>
      <c r="C859" s="29">
        <f t="shared" si="297"/>
        <v>-3.3E-3</v>
      </c>
      <c r="D859">
        <v>-0.46</v>
      </c>
      <c r="E859">
        <v>0.51100000000000001</v>
      </c>
      <c r="F859" s="18">
        <f t="shared" si="284"/>
        <v>-0.44799999999999951</v>
      </c>
      <c r="G859" s="18">
        <f t="shared" si="285"/>
        <v>-0.35999999999999943</v>
      </c>
      <c r="H859">
        <v>7.18</v>
      </c>
      <c r="I859">
        <v>2.81</v>
      </c>
      <c r="J859">
        <f t="shared" si="294"/>
        <v>5</v>
      </c>
      <c r="K859" s="6">
        <f t="shared" si="295"/>
        <v>5.18</v>
      </c>
      <c r="L859" s="6">
        <f t="shared" si="296"/>
        <v>-0.20999999999999996</v>
      </c>
      <c r="M859">
        <v>2.7232110603208999</v>
      </c>
      <c r="N859">
        <v>396500</v>
      </c>
      <c r="O859" s="18">
        <f>ROUND(N859/VLOOKUP(EOMONTH(A859,-1),Employment!A:P,16,FALSE),4)</f>
        <v>1.83</v>
      </c>
      <c r="P859" s="18">
        <f t="shared" si="286"/>
        <v>1.8331</v>
      </c>
      <c r="Q859" s="29">
        <f t="shared" si="287"/>
        <v>4.6800000000000001E-2</v>
      </c>
      <c r="R859" s="29">
        <f t="shared" si="288"/>
        <v>3.6799999999999999E-2</v>
      </c>
      <c r="S859">
        <v>3567000</v>
      </c>
      <c r="T859" s="18">
        <f>ROUND((S859/7)/VLOOKUP(EOMONTH(A859,-1),Employment!A:P,16,FALSE),4)</f>
        <v>2.3519000000000001</v>
      </c>
      <c r="U859" s="18">
        <f t="shared" si="289"/>
        <v>2.3483999999999998</v>
      </c>
      <c r="V859" s="29">
        <f t="shared" si="290"/>
        <v>0.39300000000000002</v>
      </c>
      <c r="W859" s="29">
        <f t="shared" si="291"/>
        <v>1.35E-2</v>
      </c>
      <c r="X859" s="30">
        <f t="shared" si="292"/>
        <v>120.34</v>
      </c>
      <c r="Y859" s="31">
        <f t="shared" si="293"/>
        <v>124.74</v>
      </c>
    </row>
    <row r="860" spans="1:25" ht="15" customHeight="1" x14ac:dyDescent="0.25">
      <c r="A860" s="5">
        <v>37325</v>
      </c>
      <c r="B860">
        <v>1017.6417</v>
      </c>
      <c r="C860" s="29">
        <f t="shared" si="297"/>
        <v>3.0999999999999999E-3</v>
      </c>
      <c r="D860">
        <v>-0.48</v>
      </c>
      <c r="E860">
        <v>0.48</v>
      </c>
      <c r="F860" s="18">
        <f t="shared" si="284"/>
        <v>0.32400000000000073</v>
      </c>
      <c r="G860" s="18">
        <f t="shared" si="285"/>
        <v>0.66800000000000104</v>
      </c>
      <c r="H860">
        <v>7.34</v>
      </c>
      <c r="I860">
        <v>2.79</v>
      </c>
      <c r="J860">
        <f t="shared" si="294"/>
        <v>5.07</v>
      </c>
      <c r="K860" s="6">
        <f t="shared" si="295"/>
        <v>5.39</v>
      </c>
      <c r="L860" s="6">
        <f t="shared" si="296"/>
        <v>-0.16000000000000014</v>
      </c>
      <c r="M860">
        <v>1.8550627771957999</v>
      </c>
      <c r="N860">
        <v>396000</v>
      </c>
      <c r="O860" s="18">
        <f>ROUND(N860/VLOOKUP(EOMONTH(A860,-1),Employment!A:P,16,FALSE),4)</f>
        <v>1.8277000000000001</v>
      </c>
      <c r="P860" s="18">
        <f t="shared" si="286"/>
        <v>1.8435999999999999</v>
      </c>
      <c r="Q860" s="29">
        <f t="shared" si="287"/>
        <v>6.6699999999999995E-2</v>
      </c>
      <c r="R860" s="29">
        <f t="shared" si="288"/>
        <v>4.41E-2</v>
      </c>
      <c r="S860">
        <v>3538000</v>
      </c>
      <c r="T860" s="18">
        <f>ROUND((S860/7)/VLOOKUP(EOMONTH(A860,-1),Employment!A:P,16,FALSE),4)</f>
        <v>2.3328000000000002</v>
      </c>
      <c r="U860" s="18">
        <f t="shared" si="289"/>
        <v>2.3479000000000001</v>
      </c>
      <c r="V860" s="29">
        <f t="shared" si="290"/>
        <v>0.4153</v>
      </c>
      <c r="W860" s="29">
        <f t="shared" si="291"/>
        <v>1.26E-2</v>
      </c>
      <c r="X860" s="30">
        <f t="shared" si="292"/>
        <v>128.47</v>
      </c>
      <c r="Y860" s="31">
        <f t="shared" si="293"/>
        <v>125.6</v>
      </c>
    </row>
    <row r="861" spans="1:25" ht="15" customHeight="1" x14ac:dyDescent="0.25">
      <c r="A861" s="5">
        <v>37318</v>
      </c>
      <c r="B861">
        <v>1019.9169000000001</v>
      </c>
      <c r="C861" s="29">
        <f t="shared" si="297"/>
        <v>7.7999999999999996E-3</v>
      </c>
      <c r="D861">
        <v>-0.47</v>
      </c>
      <c r="E861">
        <v>0.50800000000000001</v>
      </c>
      <c r="F861" s="18">
        <f t="shared" si="284"/>
        <v>-0.23600000000000065</v>
      </c>
      <c r="G861" s="18">
        <f t="shared" si="285"/>
        <v>3.5999999999999588E-2</v>
      </c>
      <c r="H861">
        <v>7.99</v>
      </c>
      <c r="I861">
        <v>2.97</v>
      </c>
      <c r="J861">
        <f t="shared" si="294"/>
        <v>5.48</v>
      </c>
      <c r="K861" s="6">
        <f t="shared" si="295"/>
        <v>5.55</v>
      </c>
      <c r="L861" s="6">
        <f t="shared" si="296"/>
        <v>-3.0000000000000249E-2</v>
      </c>
      <c r="M861">
        <v>1.5857463081111001</v>
      </c>
      <c r="N861">
        <v>399000</v>
      </c>
      <c r="O861" s="18">
        <f>ROUND(N861/VLOOKUP(EOMONTH(A861,-1),Employment!A:P,16,FALSE),4)</f>
        <v>1.8415999999999999</v>
      </c>
      <c r="P861" s="18">
        <f t="shared" si="286"/>
        <v>1.8579000000000001</v>
      </c>
      <c r="Q861" s="29">
        <f t="shared" si="287"/>
        <v>8.6099999999999996E-2</v>
      </c>
      <c r="R861" s="29">
        <f t="shared" si="288"/>
        <v>4.36E-2</v>
      </c>
      <c r="S861">
        <v>3580000</v>
      </c>
      <c r="T861" s="18">
        <f>ROUND((S861/7)/VLOOKUP(EOMONTH(A861,-1),Employment!A:P,16,FALSE),4)</f>
        <v>2.3605</v>
      </c>
      <c r="U861" s="18">
        <f t="shared" si="289"/>
        <v>2.3481999999999998</v>
      </c>
      <c r="V861" s="29">
        <f t="shared" si="290"/>
        <v>0.41820000000000002</v>
      </c>
      <c r="W861" s="29">
        <f t="shared" si="291"/>
        <v>1.6799999999999999E-2</v>
      </c>
      <c r="X861" s="30">
        <f t="shared" si="292"/>
        <v>126.41</v>
      </c>
      <c r="Y861" s="31">
        <f t="shared" si="293"/>
        <v>118.2</v>
      </c>
    </row>
    <row r="862" spans="1:25" ht="15" customHeight="1" x14ac:dyDescent="0.25">
      <c r="A862" s="5">
        <v>37311</v>
      </c>
      <c r="B862">
        <v>1014.8197</v>
      </c>
      <c r="C862" s="29">
        <f t="shared" si="297"/>
        <v>3.0999999999999999E-3</v>
      </c>
      <c r="D862">
        <v>-0.48</v>
      </c>
      <c r="E862">
        <v>0.49099999999999999</v>
      </c>
      <c r="F862" s="18">
        <f t="shared" si="284"/>
        <v>0.58000000000000096</v>
      </c>
      <c r="G862" s="18">
        <f t="shared" si="285"/>
        <v>0.59600000000000009</v>
      </c>
      <c r="H862">
        <v>8.2799999999999994</v>
      </c>
      <c r="I862">
        <v>2.98</v>
      </c>
      <c r="J862">
        <f t="shared" si="294"/>
        <v>5.63</v>
      </c>
      <c r="K862" s="6">
        <f t="shared" si="295"/>
        <v>5.58</v>
      </c>
      <c r="L862" s="6">
        <f t="shared" si="296"/>
        <v>9.9999999999999645E-2</v>
      </c>
      <c r="M862">
        <v>1.64254583575</v>
      </c>
      <c r="N862">
        <v>403000</v>
      </c>
      <c r="O862" s="18">
        <f>ROUND(N862/VLOOKUP(EOMONTH(A862,-1),Employment!A:P,16,FALSE),4)</f>
        <v>1.8613999999999999</v>
      </c>
      <c r="P862" s="18">
        <f t="shared" si="286"/>
        <v>1.8755999999999999</v>
      </c>
      <c r="Q862" s="29">
        <f t="shared" si="287"/>
        <v>0.11799999999999999</v>
      </c>
      <c r="R862" s="29">
        <f t="shared" si="288"/>
        <v>2.9600000000000001E-2</v>
      </c>
      <c r="S862">
        <v>3562000</v>
      </c>
      <c r="T862" s="18">
        <f>ROUND((S862/7)/VLOOKUP(EOMONTH(A862,-1),Employment!A:P,16,FALSE),4)</f>
        <v>2.3502999999999998</v>
      </c>
      <c r="U862" s="18">
        <f t="shared" si="289"/>
        <v>2.3439000000000001</v>
      </c>
      <c r="V862" s="29">
        <f t="shared" si="290"/>
        <v>0.42959999999999998</v>
      </c>
      <c r="W862" s="29">
        <f t="shared" si="291"/>
        <v>2.01E-2</v>
      </c>
      <c r="X862" s="30">
        <f t="shared" si="292"/>
        <v>116.4</v>
      </c>
      <c r="Y862" s="31">
        <f t="shared" si="293"/>
        <v>106.07</v>
      </c>
    </row>
    <row r="863" spans="1:25" ht="15" customHeight="1" x14ac:dyDescent="0.25">
      <c r="A863" s="5">
        <v>37304</v>
      </c>
      <c r="B863">
        <v>1015.2222</v>
      </c>
      <c r="C863" s="29">
        <f t="shared" si="297"/>
        <v>3.0999999999999999E-3</v>
      </c>
      <c r="D863">
        <v>-0.47</v>
      </c>
      <c r="E863">
        <v>0.55100000000000005</v>
      </c>
      <c r="F863" s="18">
        <f t="shared" si="284"/>
        <v>-0.30800000000000072</v>
      </c>
      <c r="G863" s="18">
        <f t="shared" si="285"/>
        <v>0.3199999999999994</v>
      </c>
      <c r="H863">
        <v>8.11</v>
      </c>
      <c r="I863">
        <v>2.98</v>
      </c>
      <c r="J863">
        <f t="shared" si="294"/>
        <v>5.55</v>
      </c>
      <c r="K863" s="6">
        <f t="shared" si="295"/>
        <v>5.48</v>
      </c>
      <c r="L863" s="6">
        <f t="shared" si="296"/>
        <v>2.0000000000000462E-2</v>
      </c>
      <c r="M863">
        <v>2.4544952842122001</v>
      </c>
      <c r="N863">
        <v>405000</v>
      </c>
      <c r="O863" s="18">
        <f>ROUND(N863/VLOOKUP(EOMONTH(A863,-1),Employment!A:P,16,FALSE),4)</f>
        <v>1.8706</v>
      </c>
      <c r="P863" s="18">
        <f t="shared" si="286"/>
        <v>1.8841000000000001</v>
      </c>
      <c r="Q863" s="29">
        <f t="shared" si="287"/>
        <v>0.15</v>
      </c>
      <c r="R863" s="29">
        <f t="shared" si="288"/>
        <v>5.8999999999999999E-3</v>
      </c>
      <c r="S863">
        <v>3537000</v>
      </c>
      <c r="T863" s="18">
        <f>ROUND((S863/7)/VLOOKUP(EOMONTH(A863,-1),Employment!A:P,16,FALSE),4)</f>
        <v>2.3338000000000001</v>
      </c>
      <c r="U863" s="18">
        <f t="shared" si="289"/>
        <v>2.3428</v>
      </c>
      <c r="V863" s="29">
        <f t="shared" si="290"/>
        <v>0.43209999999999998</v>
      </c>
      <c r="W863" s="29">
        <f t="shared" si="291"/>
        <v>2.0799999999999999E-2</v>
      </c>
      <c r="X863" s="30">
        <f t="shared" si="292"/>
        <v>102.19</v>
      </c>
      <c r="Y863" s="31">
        <f t="shared" si="293"/>
        <v>96.45</v>
      </c>
    </row>
    <row r="864" spans="1:25" ht="15" customHeight="1" x14ac:dyDescent="0.25">
      <c r="A864" s="5">
        <v>37297</v>
      </c>
      <c r="B864">
        <v>1008.1733</v>
      </c>
      <c r="C864" s="29">
        <f t="shared" si="297"/>
        <v>-5.1999999999999998E-3</v>
      </c>
      <c r="D864">
        <v>-0.48</v>
      </c>
      <c r="E864">
        <v>0.52500000000000002</v>
      </c>
      <c r="F864" s="18">
        <f t="shared" si="284"/>
        <v>0.32399999999999984</v>
      </c>
      <c r="G864" s="18">
        <f t="shared" si="285"/>
        <v>1.484</v>
      </c>
      <c r="H864">
        <v>8.08</v>
      </c>
      <c r="I864">
        <v>3.03</v>
      </c>
      <c r="J864">
        <f t="shared" si="294"/>
        <v>5.56</v>
      </c>
      <c r="K864" s="6">
        <f t="shared" si="295"/>
        <v>5.46</v>
      </c>
      <c r="L864" s="6">
        <f t="shared" si="296"/>
        <v>0</v>
      </c>
      <c r="M864">
        <v>2.9077415574622001</v>
      </c>
      <c r="N864">
        <v>410250</v>
      </c>
      <c r="O864" s="18">
        <f>ROUND(N864/VLOOKUP(EOMONTH(A864,-1),Employment!A:P,16,FALSE),4)</f>
        <v>1.8949</v>
      </c>
      <c r="P864" s="18">
        <f t="shared" si="286"/>
        <v>1.8927</v>
      </c>
      <c r="Q864" s="29">
        <f t="shared" si="287"/>
        <v>0.1817</v>
      </c>
      <c r="R864" s="29">
        <f t="shared" si="288"/>
        <v>-1.32E-2</v>
      </c>
      <c r="S864">
        <v>3558000</v>
      </c>
      <c r="T864" s="18">
        <f>ROUND((S864/7)/VLOOKUP(EOMONTH(A864,-1),Employment!A:P,16,FALSE),4)</f>
        <v>2.3477000000000001</v>
      </c>
      <c r="U864" s="18">
        <f t="shared" si="289"/>
        <v>2.3353999999999999</v>
      </c>
      <c r="V864" s="29">
        <f t="shared" si="290"/>
        <v>0.45129999999999998</v>
      </c>
      <c r="W864" s="29">
        <f t="shared" si="291"/>
        <v>1.4800000000000001E-2</v>
      </c>
      <c r="X864" s="30">
        <f t="shared" si="292"/>
        <v>89.92</v>
      </c>
      <c r="Y864" s="31">
        <f t="shared" si="293"/>
        <v>98.01</v>
      </c>
    </row>
    <row r="865" spans="1:25" ht="15" customHeight="1" x14ac:dyDescent="0.25">
      <c r="A865" s="5">
        <v>37290</v>
      </c>
      <c r="B865">
        <v>1009.9747</v>
      </c>
      <c r="C865" s="29">
        <f t="shared" si="297"/>
        <v>-5.4999999999999997E-3</v>
      </c>
      <c r="D865">
        <v>-0.45</v>
      </c>
      <c r="E865">
        <v>0.52800000000000002</v>
      </c>
      <c r="F865" s="18">
        <f t="shared" si="284"/>
        <v>0.30400000000000027</v>
      </c>
      <c r="G865" s="18">
        <f t="shared" si="285"/>
        <v>2.6840000000000002</v>
      </c>
      <c r="H865">
        <v>7.81</v>
      </c>
      <c r="I865">
        <v>2.86</v>
      </c>
      <c r="J865">
        <f t="shared" si="294"/>
        <v>5.34</v>
      </c>
      <c r="K865" s="6">
        <f t="shared" si="295"/>
        <v>5.46</v>
      </c>
      <c r="L865" s="6">
        <f t="shared" si="296"/>
        <v>-5.9999999999999609E-2</v>
      </c>
      <c r="M865">
        <v>3.3384685187118999</v>
      </c>
      <c r="N865">
        <v>408500</v>
      </c>
      <c r="O865" s="18">
        <f>ROUND(N865/VLOOKUP(EOMONTH(A865,-1),Employment!A:P,16,FALSE),4)</f>
        <v>1.8868</v>
      </c>
      <c r="P865" s="18">
        <f t="shared" si="286"/>
        <v>1.8975</v>
      </c>
      <c r="Q865" s="29">
        <f t="shared" si="287"/>
        <v>0.1923</v>
      </c>
      <c r="R865" s="29">
        <f t="shared" si="288"/>
        <v>-6.7999999999999996E-3</v>
      </c>
      <c r="S865">
        <v>3557000</v>
      </c>
      <c r="T865" s="18">
        <f>ROUND((S865/7)/VLOOKUP(EOMONTH(A865,-1),Employment!A:P,16,FALSE),4)</f>
        <v>2.347</v>
      </c>
      <c r="U865" s="18">
        <f t="shared" si="289"/>
        <v>2.3424</v>
      </c>
      <c r="V865" s="29">
        <f t="shared" si="290"/>
        <v>0.47220000000000001</v>
      </c>
      <c r="W865" s="29">
        <f t="shared" si="291"/>
        <v>2.52E-2</v>
      </c>
      <c r="X865" s="30">
        <f t="shared" si="292"/>
        <v>98.41</v>
      </c>
      <c r="Y865" s="31">
        <f t="shared" si="293"/>
        <v>112.7</v>
      </c>
    </row>
    <row r="866" spans="1:25" ht="15" customHeight="1" x14ac:dyDescent="0.25">
      <c r="A866" s="5">
        <v>37283</v>
      </c>
      <c r="B866">
        <v>1013.5106</v>
      </c>
      <c r="C866" s="29">
        <f t="shared" si="297"/>
        <v>-4.0000000000000001E-3</v>
      </c>
      <c r="D866">
        <v>-0.41</v>
      </c>
      <c r="E866">
        <v>0.51600000000000001</v>
      </c>
      <c r="F866" s="18">
        <f t="shared" si="284"/>
        <v>0.85599999999999987</v>
      </c>
      <c r="G866" s="18">
        <f t="shared" si="285"/>
        <v>3.0879999999999992</v>
      </c>
      <c r="H866">
        <v>8.14</v>
      </c>
      <c r="I866">
        <v>2.81</v>
      </c>
      <c r="J866">
        <f t="shared" si="294"/>
        <v>5.48</v>
      </c>
      <c r="K866" s="6">
        <f t="shared" si="295"/>
        <v>5.52</v>
      </c>
      <c r="L866" s="6">
        <f t="shared" si="296"/>
        <v>2.9999999999999361E-2</v>
      </c>
      <c r="M866">
        <v>2.7531619007430002</v>
      </c>
      <c r="N866">
        <v>410250</v>
      </c>
      <c r="O866" s="18">
        <f>ROUND(N866/VLOOKUP(EOMONTH(A866,-1),Employment!A:P,16,FALSE),4)</f>
        <v>1.8965000000000001</v>
      </c>
      <c r="P866" s="18">
        <f t="shared" si="286"/>
        <v>1.8937999999999999</v>
      </c>
      <c r="Q866" s="29">
        <f t="shared" si="287"/>
        <v>0.17580000000000001</v>
      </c>
      <c r="R866" s="29">
        <f t="shared" si="288"/>
        <v>2.1499999999999998E-2</v>
      </c>
      <c r="S866">
        <v>3500000</v>
      </c>
      <c r="T866" s="18">
        <f>ROUND((S866/7)/VLOOKUP(EOMONTH(A866,-1),Employment!A:P,16,FALSE),4)</f>
        <v>2.3113999999999999</v>
      </c>
      <c r="U866" s="18">
        <f t="shared" si="289"/>
        <v>2.3249</v>
      </c>
      <c r="V866" s="29">
        <f t="shared" si="290"/>
        <v>0.46929999999999999</v>
      </c>
      <c r="W866" s="29">
        <f t="shared" si="291"/>
        <v>3.8699999999999998E-2</v>
      </c>
      <c r="X866" s="30">
        <f t="shared" si="292"/>
        <v>117.25</v>
      </c>
      <c r="Y866" s="31">
        <f t="shared" si="293"/>
        <v>128.07</v>
      </c>
    </row>
    <row r="867" spans="1:25" ht="15" customHeight="1" x14ac:dyDescent="0.25">
      <c r="A867" s="5">
        <v>37276</v>
      </c>
      <c r="B867">
        <v>1016.7776</v>
      </c>
      <c r="C867" s="29">
        <f t="shared" si="297"/>
        <v>-3.3E-3</v>
      </c>
      <c r="D867">
        <v>-0.35</v>
      </c>
      <c r="E867">
        <v>0.54800000000000004</v>
      </c>
      <c r="F867" s="18">
        <f t="shared" si="284"/>
        <v>1.524</v>
      </c>
      <c r="G867" s="18">
        <f t="shared" si="285"/>
        <v>3.1839999999999993</v>
      </c>
      <c r="H867">
        <v>8.2799999999999994</v>
      </c>
      <c r="I867">
        <v>2.86</v>
      </c>
      <c r="J867">
        <f t="shared" si="294"/>
        <v>5.57</v>
      </c>
      <c r="K867" s="6">
        <f t="shared" si="295"/>
        <v>5.49</v>
      </c>
      <c r="L867" s="6">
        <f t="shared" si="296"/>
        <v>-9.9999999999997868E-3</v>
      </c>
      <c r="M867">
        <v>2.4371469218877002</v>
      </c>
      <c r="N867">
        <v>413000</v>
      </c>
      <c r="O867" s="18">
        <f>ROUND(N867/VLOOKUP(EOMONTH(A867,-1),Employment!A:P,16,FALSE),4)</f>
        <v>1.9093</v>
      </c>
      <c r="P867" s="18">
        <f t="shared" si="286"/>
        <v>1.8854</v>
      </c>
      <c r="Q867" s="29">
        <f t="shared" si="287"/>
        <v>0.15909999999999999</v>
      </c>
      <c r="R867" s="29">
        <f t="shared" si="288"/>
        <v>5.3600000000000002E-2</v>
      </c>
      <c r="S867">
        <v>3587000</v>
      </c>
      <c r="T867" s="18">
        <f>ROUND((S867/7)/VLOOKUP(EOMONTH(A867,-1),Employment!A:P,16,FALSE),4)</f>
        <v>2.3689</v>
      </c>
      <c r="U867" s="18">
        <f t="shared" si="289"/>
        <v>2.3449</v>
      </c>
      <c r="V867" s="29">
        <f t="shared" si="290"/>
        <v>0.48759999999999998</v>
      </c>
      <c r="W867" s="29">
        <f t="shared" si="291"/>
        <v>4.3999999999999997E-2</v>
      </c>
      <c r="X867" s="30">
        <f t="shared" si="292"/>
        <v>137.02000000000001</v>
      </c>
      <c r="Y867" s="31">
        <f t="shared" si="293"/>
        <v>132.08000000000001</v>
      </c>
    </row>
    <row r="868" spans="1:25" ht="15" customHeight="1" x14ac:dyDescent="0.25">
      <c r="A868" s="5">
        <v>37269</v>
      </c>
      <c r="B868">
        <v>1013.6932</v>
      </c>
      <c r="C868" s="29">
        <f t="shared" si="297"/>
        <v>-9.7999999999999997E-3</v>
      </c>
      <c r="D868">
        <v>-0.3</v>
      </c>
      <c r="E868">
        <v>0.67600000000000005</v>
      </c>
      <c r="F868" s="18">
        <f t="shared" si="284"/>
        <v>0.7079999999999993</v>
      </c>
      <c r="G868" s="18">
        <f t="shared" si="285"/>
        <v>1.4599999999999991</v>
      </c>
      <c r="H868">
        <v>8.17</v>
      </c>
      <c r="I868">
        <v>2.86</v>
      </c>
      <c r="J868">
        <f t="shared" si="294"/>
        <v>5.52</v>
      </c>
      <c r="K868" s="6">
        <f t="shared" si="295"/>
        <v>5.5</v>
      </c>
      <c r="L868" s="6">
        <f t="shared" si="296"/>
        <v>-3.0000000000000249E-2</v>
      </c>
      <c r="M868">
        <v>1.7110168670978001</v>
      </c>
      <c r="N868">
        <v>405750</v>
      </c>
      <c r="O868" s="18">
        <f>ROUND(N868/VLOOKUP(EOMONTH(A868,-1),Employment!A:P,16,FALSE),4)</f>
        <v>1.8756999999999999</v>
      </c>
      <c r="P868" s="18">
        <f t="shared" si="286"/>
        <v>1.8902000000000001</v>
      </c>
      <c r="Q868" s="29">
        <f t="shared" si="287"/>
        <v>0.1603</v>
      </c>
      <c r="R868" s="29">
        <f t="shared" si="288"/>
        <v>6.6199999999999995E-2</v>
      </c>
      <c r="S868">
        <v>3474000</v>
      </c>
      <c r="T868" s="18">
        <f>ROUND((S868/7)/VLOOKUP(EOMONTH(A868,-1),Employment!A:P,16,FALSE),4)</f>
        <v>2.2942999999999998</v>
      </c>
      <c r="U868" s="18">
        <f t="shared" si="289"/>
        <v>2.3565999999999998</v>
      </c>
      <c r="V868" s="29">
        <f t="shared" si="290"/>
        <v>0.50209999999999999</v>
      </c>
      <c r="W868" s="29">
        <f t="shared" si="291"/>
        <v>3.56E-2</v>
      </c>
      <c r="X868" s="30">
        <f t="shared" si="292"/>
        <v>132.75</v>
      </c>
      <c r="Y868" s="31">
        <f t="shared" si="293"/>
        <v>121.68</v>
      </c>
    </row>
    <row r="869" spans="1:25" ht="15" customHeight="1" x14ac:dyDescent="0.25">
      <c r="A869" s="5">
        <v>37262</v>
      </c>
      <c r="B869">
        <v>1018.3385</v>
      </c>
      <c r="C869" s="29">
        <f t="shared" si="297"/>
        <v>-7.6E-3</v>
      </c>
      <c r="D869">
        <v>-0.25</v>
      </c>
      <c r="E869">
        <v>0.70199999999999996</v>
      </c>
      <c r="F869" s="18">
        <f t="shared" si="284"/>
        <v>0.95199999999999996</v>
      </c>
      <c r="G869" s="18">
        <f t="shared" si="285"/>
        <v>-0.35599999999999987</v>
      </c>
      <c r="H869">
        <v>7.99</v>
      </c>
      <c r="I869">
        <v>2.78</v>
      </c>
      <c r="J869">
        <f t="shared" si="294"/>
        <v>5.39</v>
      </c>
      <c r="K869" s="6">
        <f t="shared" si="295"/>
        <v>5.53</v>
      </c>
      <c r="L869" s="6">
        <f t="shared" si="296"/>
        <v>-8.0000000000000071E-2</v>
      </c>
      <c r="M869">
        <v>0.61690218911947003</v>
      </c>
      <c r="N869">
        <v>404750</v>
      </c>
      <c r="O869" s="18">
        <f>ROUND(N869/VLOOKUP(EOMONTH(A869,-1),Employment!A:P,16,FALSE),4)</f>
        <v>1.8711</v>
      </c>
      <c r="P869" s="18">
        <f t="shared" si="286"/>
        <v>1.9351</v>
      </c>
      <c r="Q869" s="29">
        <f t="shared" si="287"/>
        <v>0.19869999999999999</v>
      </c>
      <c r="R869" s="29">
        <f t="shared" si="288"/>
        <v>5.7599999999999998E-2</v>
      </c>
      <c r="S869">
        <v>3591000</v>
      </c>
      <c r="T869" s="18">
        <f>ROUND((S869/7)/VLOOKUP(EOMONTH(A869,-1),Employment!A:P,16,FALSE),4)</f>
        <v>2.3715000000000002</v>
      </c>
      <c r="U869" s="18">
        <f t="shared" si="289"/>
        <v>2.3908</v>
      </c>
      <c r="V869" s="29">
        <f t="shared" si="290"/>
        <v>0.54859999999999998</v>
      </c>
      <c r="W869" s="29">
        <f t="shared" si="291"/>
        <v>2.0299999999999999E-2</v>
      </c>
      <c r="X869" s="30">
        <f t="shared" si="292"/>
        <v>118.08</v>
      </c>
      <c r="Y869" s="31">
        <f t="shared" si="293"/>
        <v>109.38</v>
      </c>
    </row>
    <row r="870" spans="1:25" ht="15" customHeight="1" x14ac:dyDescent="0.25">
      <c r="A870" s="5">
        <v>37255</v>
      </c>
      <c r="B870">
        <v>1021.3587</v>
      </c>
      <c r="C870" s="29">
        <f t="shared" si="297"/>
        <v>-7.7999999999999996E-3</v>
      </c>
      <c r="D870">
        <v>-0.25</v>
      </c>
      <c r="E870">
        <v>0.82099999999999995</v>
      </c>
      <c r="F870" s="18">
        <f t="shared" si="284"/>
        <v>-0.20000000000000018</v>
      </c>
      <c r="G870" s="18">
        <f t="shared" si="285"/>
        <v>-1.5759999999999996</v>
      </c>
      <c r="H870">
        <v>8.33</v>
      </c>
      <c r="I870">
        <v>2.87</v>
      </c>
      <c r="J870">
        <f t="shared" si="294"/>
        <v>5.6</v>
      </c>
      <c r="K870" s="6">
        <f t="shared" si="295"/>
        <v>5.61</v>
      </c>
      <c r="L870" s="6">
        <f t="shared" si="296"/>
        <v>4.0000000000000036E-2</v>
      </c>
      <c r="M870">
        <v>0.27884182592146001</v>
      </c>
      <c r="N870">
        <v>415750</v>
      </c>
      <c r="O870" s="18">
        <f>ROUND(N870/VLOOKUP(EOMONTH(A870,-1),Employment!A:P,16,FALSE),4)</f>
        <v>1.9237</v>
      </c>
      <c r="P870" s="18">
        <f t="shared" si="286"/>
        <v>1.9978</v>
      </c>
      <c r="Q870" s="29">
        <f t="shared" si="287"/>
        <v>0.25069999999999998</v>
      </c>
      <c r="R870" s="29">
        <f t="shared" si="288"/>
        <v>4.48E-2</v>
      </c>
      <c r="S870">
        <v>3637000</v>
      </c>
      <c r="T870" s="18">
        <f>ROUND((S870/7)/VLOOKUP(EOMONTH(A870,-1),Employment!A:P,16,FALSE),4)</f>
        <v>2.4041000000000001</v>
      </c>
      <c r="U870" s="18">
        <f t="shared" si="289"/>
        <v>2.3976999999999999</v>
      </c>
      <c r="V870" s="29">
        <f t="shared" si="290"/>
        <v>0.57799999999999996</v>
      </c>
      <c r="W870" s="29">
        <f t="shared" si="291"/>
        <v>2.8899999999999999E-2</v>
      </c>
      <c r="X870" s="30">
        <f t="shared" si="292"/>
        <v>103.02</v>
      </c>
      <c r="Y870" s="31">
        <f t="shared" si="293"/>
        <v>105.35</v>
      </c>
    </row>
    <row r="871" spans="1:25" ht="15" customHeight="1" x14ac:dyDescent="0.25">
      <c r="A871" s="5">
        <v>37248</v>
      </c>
      <c r="B871">
        <v>1027.1461999999999</v>
      </c>
      <c r="C871" s="29">
        <f t="shared" si="297"/>
        <v>-4.7000000000000002E-3</v>
      </c>
      <c r="D871">
        <v>-0.27</v>
      </c>
      <c r="E871">
        <v>0.82099999999999995</v>
      </c>
      <c r="F871" s="18">
        <f t="shared" si="284"/>
        <v>-1.1079999999999997</v>
      </c>
      <c r="G871" s="18">
        <f t="shared" si="285"/>
        <v>-2.1319999999999997</v>
      </c>
      <c r="H871">
        <v>8.32</v>
      </c>
      <c r="I871">
        <v>2.87</v>
      </c>
      <c r="J871">
        <f t="shared" si="294"/>
        <v>5.6</v>
      </c>
      <c r="K871" s="6">
        <f t="shared" si="295"/>
        <v>5.57</v>
      </c>
      <c r="L871" s="6">
        <f t="shared" si="296"/>
        <v>-4.9999999999999822E-2</v>
      </c>
      <c r="M871">
        <v>-1.4443464797237999</v>
      </c>
      <c r="N871">
        <v>434500</v>
      </c>
      <c r="O871" s="18">
        <f>ROUND(N871/VLOOKUP(EOMONTH(A871,-1),Employment!A:P,16,FALSE),4)</f>
        <v>2.0105</v>
      </c>
      <c r="P871" s="18">
        <f t="shared" si="286"/>
        <v>2.0564</v>
      </c>
      <c r="Q871" s="29">
        <f t="shared" si="287"/>
        <v>0.2979</v>
      </c>
      <c r="R871" s="29">
        <f t="shared" si="288"/>
        <v>4.9299999999999997E-2</v>
      </c>
      <c r="S871">
        <v>3626000</v>
      </c>
      <c r="T871" s="18">
        <f>ROUND((S871/7)/VLOOKUP(EOMONTH(A871,-1),Employment!A:P,16,FALSE),4)</f>
        <v>2.3967999999999998</v>
      </c>
      <c r="U871" s="18">
        <f t="shared" si="289"/>
        <v>2.3879999999999999</v>
      </c>
      <c r="V871" s="29">
        <f t="shared" si="290"/>
        <v>0.57779999999999998</v>
      </c>
      <c r="W871" s="29">
        <f t="shared" si="291"/>
        <v>3.8399999999999997E-2</v>
      </c>
      <c r="X871" s="30">
        <f t="shared" si="292"/>
        <v>103.53</v>
      </c>
      <c r="Y871" s="31">
        <f t="shared" si="293"/>
        <v>111.84</v>
      </c>
    </row>
    <row r="872" spans="1:25" ht="15" customHeight="1" x14ac:dyDescent="0.25">
      <c r="A872" s="5">
        <v>37241</v>
      </c>
      <c r="B872">
        <v>1028.0382</v>
      </c>
      <c r="C872" s="29">
        <f t="shared" si="297"/>
        <v>-6.1000000000000004E-3</v>
      </c>
      <c r="D872">
        <v>-0.3</v>
      </c>
      <c r="E872">
        <v>0.72</v>
      </c>
      <c r="F872" s="18">
        <f t="shared" si="284"/>
        <v>-0.26799999999999979</v>
      </c>
      <c r="G872" s="18">
        <f t="shared" si="285"/>
        <v>-1.5439999999999996</v>
      </c>
      <c r="H872">
        <v>8.34</v>
      </c>
      <c r="I872">
        <v>2.91</v>
      </c>
      <c r="J872">
        <f t="shared" si="294"/>
        <v>5.63</v>
      </c>
      <c r="K872" s="6">
        <f t="shared" si="295"/>
        <v>5.62</v>
      </c>
      <c r="L872" s="6">
        <f t="shared" si="296"/>
        <v>2.0000000000000462E-2</v>
      </c>
      <c r="M872">
        <v>-2.7598288246531002</v>
      </c>
      <c r="N872">
        <v>445000</v>
      </c>
      <c r="O872" s="18">
        <f>ROUND(N872/VLOOKUP(EOMONTH(A872,-1),Employment!A:P,16,FALSE),4)</f>
        <v>2.0590999999999999</v>
      </c>
      <c r="P872" s="18">
        <f t="shared" si="286"/>
        <v>2.0764</v>
      </c>
      <c r="Q872" s="29">
        <f t="shared" si="287"/>
        <v>0.32090000000000002</v>
      </c>
      <c r="R872" s="29">
        <f t="shared" si="288"/>
        <v>7.0599999999999996E-2</v>
      </c>
      <c r="S872">
        <v>3619000</v>
      </c>
      <c r="T872" s="18">
        <f>ROUND((S872/7)/VLOOKUP(EOMONTH(A872,-1),Employment!A:P,16,FALSE),4)</f>
        <v>2.3921999999999999</v>
      </c>
      <c r="U872" s="18">
        <f t="shared" si="289"/>
        <v>2.4241999999999999</v>
      </c>
      <c r="V872" s="29">
        <f t="shared" si="290"/>
        <v>0.59799999999999998</v>
      </c>
      <c r="W872" s="29">
        <f t="shared" si="291"/>
        <v>4.1099999999999998E-2</v>
      </c>
      <c r="X872" s="30">
        <f t="shared" si="292"/>
        <v>115.71000000000001</v>
      </c>
      <c r="Y872" s="31">
        <f t="shared" si="293"/>
        <v>120.18</v>
      </c>
    </row>
    <row r="873" spans="1:25" ht="15" customHeight="1" x14ac:dyDescent="0.25">
      <c r="A873" s="5">
        <v>37234</v>
      </c>
      <c r="B873">
        <v>1028.0608999999999</v>
      </c>
      <c r="C873" s="29">
        <f t="shared" si="297"/>
        <v>-8.3000000000000001E-3</v>
      </c>
      <c r="D873">
        <v>-0.35</v>
      </c>
      <c r="E873">
        <v>0.749</v>
      </c>
      <c r="F873" s="18">
        <f t="shared" si="284"/>
        <v>-0.75600000000000023</v>
      </c>
      <c r="G873" s="18">
        <f t="shared" si="285"/>
        <v>-1.4279999999999999</v>
      </c>
      <c r="H873">
        <v>8.01</v>
      </c>
      <c r="I873">
        <v>2.96</v>
      </c>
      <c r="J873">
        <f t="shared" si="294"/>
        <v>5.49</v>
      </c>
      <c r="K873" s="6">
        <f t="shared" si="295"/>
        <v>5.6</v>
      </c>
      <c r="L873" s="6">
        <f t="shared" si="296"/>
        <v>-8.0000000000000071E-2</v>
      </c>
      <c r="M873">
        <v>-4.6629281403825997</v>
      </c>
      <c r="N873">
        <v>453750</v>
      </c>
      <c r="O873" s="18">
        <f>ROUND(N873/VLOOKUP(EOMONTH(A873,-1),Employment!A:P,16,FALSE),4)</f>
        <v>2.0996000000000001</v>
      </c>
      <c r="P873" s="18">
        <f t="shared" si="286"/>
        <v>2.0779000000000001</v>
      </c>
      <c r="Q873" s="29">
        <f t="shared" si="287"/>
        <v>0.34329999999999999</v>
      </c>
      <c r="R873" s="29">
        <f t="shared" si="288"/>
        <v>9.01E-2</v>
      </c>
      <c r="S873">
        <v>3593000</v>
      </c>
      <c r="T873" s="18">
        <f>ROUND((S873/7)/VLOOKUP(EOMONTH(A873,-1),Employment!A:P,16,FALSE),4)</f>
        <v>2.375</v>
      </c>
      <c r="U873" s="18">
        <f t="shared" si="289"/>
        <v>2.4266999999999999</v>
      </c>
      <c r="V873" s="29">
        <f t="shared" si="290"/>
        <v>0.61539999999999995</v>
      </c>
      <c r="W873" s="29">
        <f t="shared" si="291"/>
        <v>2.1499999999999998E-2</v>
      </c>
      <c r="X873" s="30">
        <f t="shared" si="292"/>
        <v>122.93</v>
      </c>
      <c r="Y873" s="31">
        <f t="shared" si="293"/>
        <v>120.73</v>
      </c>
    </row>
    <row r="874" spans="1:25" ht="15" customHeight="1" x14ac:dyDescent="0.25">
      <c r="A874" s="5">
        <v>37227</v>
      </c>
      <c r="B874">
        <v>1034.1718000000001</v>
      </c>
      <c r="C874" s="29">
        <f t="shared" si="297"/>
        <v>-4.0000000000000001E-3</v>
      </c>
      <c r="D874">
        <v>-0.38</v>
      </c>
      <c r="E874">
        <v>0.69199999999999995</v>
      </c>
      <c r="F874" s="18">
        <f t="shared" si="284"/>
        <v>-0.51999999999999957</v>
      </c>
      <c r="G874" s="18">
        <f t="shared" si="285"/>
        <v>3.5999999999999588E-2</v>
      </c>
      <c r="H874">
        <v>8.39</v>
      </c>
      <c r="I874">
        <v>3.1</v>
      </c>
      <c r="J874">
        <f t="shared" si="294"/>
        <v>5.75</v>
      </c>
      <c r="K874" s="6">
        <f t="shared" si="295"/>
        <v>5.68</v>
      </c>
      <c r="L874" s="6">
        <f t="shared" si="296"/>
        <v>-0.1800000000000006</v>
      </c>
      <c r="M874">
        <v>-6.0120624751821996</v>
      </c>
      <c r="N874">
        <v>447500</v>
      </c>
      <c r="O874" s="18">
        <f>ROUND(N874/VLOOKUP(EOMONTH(A874,-1),Employment!A:P,16,FALSE),4)</f>
        <v>2.0706000000000002</v>
      </c>
      <c r="P874" s="18">
        <f t="shared" si="286"/>
        <v>2.0855000000000001</v>
      </c>
      <c r="Q874" s="29">
        <f t="shared" si="287"/>
        <v>0.38250000000000001</v>
      </c>
      <c r="R874" s="29">
        <f t="shared" si="288"/>
        <v>8.8599999999999998E-2</v>
      </c>
      <c r="S874">
        <v>3790000</v>
      </c>
      <c r="T874" s="18">
        <f>ROUND((S874/7)/VLOOKUP(EOMONTH(A874,-1),Employment!A:P,16,FALSE),4)</f>
        <v>2.5053000000000001</v>
      </c>
      <c r="U874" s="18">
        <f t="shared" si="289"/>
        <v>2.4325999999999999</v>
      </c>
      <c r="V874" s="29">
        <f t="shared" si="290"/>
        <v>0.66479999999999995</v>
      </c>
      <c r="W874" s="29">
        <f t="shared" si="291"/>
        <v>-3.8999999999999998E-3</v>
      </c>
      <c r="X874" s="30">
        <f t="shared" si="292"/>
        <v>124.45</v>
      </c>
      <c r="Y874" s="31">
        <f t="shared" si="293"/>
        <v>108.42</v>
      </c>
    </row>
    <row r="875" spans="1:25" ht="15" customHeight="1" x14ac:dyDescent="0.25">
      <c r="A875" s="5">
        <v>37220</v>
      </c>
      <c r="B875">
        <v>1037.7791999999999</v>
      </c>
      <c r="C875" s="29">
        <f t="shared" si="297"/>
        <v>-2.5999999999999999E-3</v>
      </c>
      <c r="D875">
        <v>-0.4</v>
      </c>
      <c r="E875">
        <v>0.65200000000000002</v>
      </c>
      <c r="F875" s="18">
        <f t="shared" si="284"/>
        <v>-0.15200000000000014</v>
      </c>
      <c r="G875" s="18">
        <f t="shared" si="285"/>
        <v>1.0719999999999992</v>
      </c>
      <c r="H875">
        <v>8.15</v>
      </c>
      <c r="I875">
        <v>2.97</v>
      </c>
      <c r="J875">
        <f t="shared" si="294"/>
        <v>5.56</v>
      </c>
      <c r="K875" s="6">
        <f t="shared" si="295"/>
        <v>5.86</v>
      </c>
      <c r="L875" s="6">
        <f t="shared" si="296"/>
        <v>-0.27999999999999936</v>
      </c>
      <c r="M875">
        <v>-7.6683336249289002</v>
      </c>
      <c r="N875">
        <v>445500</v>
      </c>
      <c r="O875" s="18">
        <f>ROUND(N875/VLOOKUP(EOMONTH(A875,-1),Employment!A:P,16,FALSE),4)</f>
        <v>2.0634000000000001</v>
      </c>
      <c r="P875" s="18">
        <f t="shared" si="286"/>
        <v>2.1236000000000002</v>
      </c>
      <c r="Q875" s="29">
        <f t="shared" si="287"/>
        <v>0.4491</v>
      </c>
      <c r="R875" s="29">
        <f t="shared" si="288"/>
        <v>6.0499999999999998E-2</v>
      </c>
      <c r="S875">
        <v>3627000</v>
      </c>
      <c r="T875" s="18">
        <f>ROUND((S875/7)/VLOOKUP(EOMONTH(A875,-1),Employment!A:P,16,FALSE),4)</f>
        <v>2.3999000000000001</v>
      </c>
      <c r="U875" s="18">
        <f t="shared" si="289"/>
        <v>2.3915000000000002</v>
      </c>
      <c r="V875" s="29">
        <f t="shared" si="290"/>
        <v>0.6754</v>
      </c>
      <c r="W875" s="29">
        <f t="shared" si="291"/>
        <v>-2.4500000000000001E-2</v>
      </c>
      <c r="X875" s="30">
        <f t="shared" si="292"/>
        <v>105.95</v>
      </c>
      <c r="Y875" s="31">
        <f t="shared" si="293"/>
        <v>80.81</v>
      </c>
    </row>
    <row r="876" spans="1:25" ht="15" customHeight="1" x14ac:dyDescent="0.25">
      <c r="A876" s="5">
        <v>37213</v>
      </c>
      <c r="B876">
        <v>1037.3879999999999</v>
      </c>
      <c r="C876" s="29">
        <f t="shared" si="297"/>
        <v>-6.0000000000000001E-3</v>
      </c>
      <c r="D876">
        <v>-0.4</v>
      </c>
      <c r="E876">
        <v>0.63300000000000001</v>
      </c>
      <c r="F876" s="18">
        <f t="shared" si="284"/>
        <v>0.7079999999999993</v>
      </c>
      <c r="G876" s="18">
        <f t="shared" si="285"/>
        <v>2.5959999999999996</v>
      </c>
      <c r="H876">
        <v>8.3800000000000008</v>
      </c>
      <c r="I876">
        <v>3.07</v>
      </c>
      <c r="J876">
        <f t="shared" si="294"/>
        <v>5.73</v>
      </c>
      <c r="K876" s="6">
        <f t="shared" si="295"/>
        <v>6.14</v>
      </c>
      <c r="L876" s="6">
        <f t="shared" si="296"/>
        <v>-0.25</v>
      </c>
      <c r="M876">
        <v>-9.1983307893666009</v>
      </c>
      <c r="N876">
        <v>458250</v>
      </c>
      <c r="O876" s="18">
        <f>ROUND(N876/VLOOKUP(EOMONTH(A876,-1),Employment!A:P,16,FALSE),4)</f>
        <v>2.1225000000000001</v>
      </c>
      <c r="P876" s="18">
        <f t="shared" si="286"/>
        <v>2.1781000000000001</v>
      </c>
      <c r="Q876" s="29">
        <f t="shared" si="287"/>
        <v>0.51770000000000005</v>
      </c>
      <c r="R876" s="29">
        <f t="shared" si="288"/>
        <v>1.43E-2</v>
      </c>
      <c r="S876">
        <v>3616000</v>
      </c>
      <c r="T876" s="18">
        <f>ROUND((S876/7)/VLOOKUP(EOMONTH(A876,-1),Employment!A:P,16,FALSE),4)</f>
        <v>2.3925999999999998</v>
      </c>
      <c r="U876" s="18">
        <f t="shared" si="289"/>
        <v>2.3761000000000001</v>
      </c>
      <c r="V876" s="29">
        <f t="shared" si="290"/>
        <v>0.68540000000000001</v>
      </c>
      <c r="W876" s="29">
        <f t="shared" si="291"/>
        <v>-3.8199999999999998E-2</v>
      </c>
      <c r="X876" s="30">
        <f t="shared" si="292"/>
        <v>74.540000000000006</v>
      </c>
      <c r="Y876" s="31">
        <f t="shared" si="293"/>
        <v>45.87</v>
      </c>
    </row>
    <row r="877" spans="1:25" ht="15" customHeight="1" x14ac:dyDescent="0.25">
      <c r="A877" s="5">
        <v>37206</v>
      </c>
      <c r="B877">
        <v>1037.5210999999999</v>
      </c>
      <c r="C877" s="29">
        <f t="shared" si="297"/>
        <v>-9.5999999999999992E-3</v>
      </c>
      <c r="D877">
        <v>-0.39</v>
      </c>
      <c r="E877">
        <v>0.70899999999999996</v>
      </c>
      <c r="F877" s="18">
        <f t="shared" si="284"/>
        <v>0.51600000000000001</v>
      </c>
      <c r="G877" s="18">
        <f t="shared" si="285"/>
        <v>2.6239999999999997</v>
      </c>
      <c r="H877">
        <v>9.2899999999999991</v>
      </c>
      <c r="I877">
        <v>3.27</v>
      </c>
      <c r="J877">
        <f t="shared" si="294"/>
        <v>6.28</v>
      </c>
      <c r="K877" s="6">
        <f t="shared" si="295"/>
        <v>6.39</v>
      </c>
      <c r="L877" s="6">
        <f t="shared" si="296"/>
        <v>-6.0000000000000497E-2</v>
      </c>
      <c r="M877">
        <v>-9.9184598833861006</v>
      </c>
      <c r="N877">
        <v>471750</v>
      </c>
      <c r="O877" s="18">
        <f>ROUND(N877/VLOOKUP(EOMONTH(A877,-1),Employment!A:P,16,FALSE),4)</f>
        <v>2.1850000000000001</v>
      </c>
      <c r="P877" s="18">
        <f t="shared" si="286"/>
        <v>2.2267999999999999</v>
      </c>
      <c r="Q877" s="29">
        <f t="shared" si="287"/>
        <v>0.57250000000000001</v>
      </c>
      <c r="R877" s="29">
        <f t="shared" si="288"/>
        <v>-4.1799999999999997E-2</v>
      </c>
      <c r="S877">
        <v>3600000</v>
      </c>
      <c r="T877" s="18">
        <f>ROUND((S877/7)/VLOOKUP(EOMONTH(A877,-1),Employment!A:P,16,FALSE),4)</f>
        <v>2.3820000000000001</v>
      </c>
      <c r="U877" s="18">
        <f t="shared" si="289"/>
        <v>2.3559999999999999</v>
      </c>
      <c r="V877" s="29">
        <f t="shared" si="290"/>
        <v>0.66679999999999995</v>
      </c>
      <c r="W877" s="29">
        <f t="shared" si="291"/>
        <v>-4.0599999999999997E-2</v>
      </c>
      <c r="X877" s="30">
        <f t="shared" si="292"/>
        <v>33.620000000000005</v>
      </c>
      <c r="Y877" s="31">
        <f t="shared" si="293"/>
        <v>16.02</v>
      </c>
    </row>
    <row r="878" spans="1:25" ht="15" customHeight="1" x14ac:dyDescent="0.25">
      <c r="A878" s="5">
        <v>37199</v>
      </c>
      <c r="B878">
        <v>1040.7584999999999</v>
      </c>
      <c r="C878" s="29">
        <f t="shared" si="297"/>
        <v>-9.7999999999999997E-3</v>
      </c>
      <c r="D878">
        <v>-0.34</v>
      </c>
      <c r="E878">
        <v>0.71099999999999997</v>
      </c>
      <c r="F878" s="18">
        <f t="shared" si="284"/>
        <v>1.3720000000000003</v>
      </c>
      <c r="G878" s="18">
        <f t="shared" si="285"/>
        <v>3.0560000000000009</v>
      </c>
      <c r="H878">
        <v>9.4600000000000009</v>
      </c>
      <c r="I878">
        <v>3.37</v>
      </c>
      <c r="J878">
        <f t="shared" si="294"/>
        <v>6.42</v>
      </c>
      <c r="K878" s="6">
        <f t="shared" si="295"/>
        <v>6.45</v>
      </c>
      <c r="L878" s="6">
        <f t="shared" si="296"/>
        <v>-4.0000000000000036E-2</v>
      </c>
      <c r="M878">
        <v>-10.978749918038</v>
      </c>
      <c r="N878">
        <v>480750</v>
      </c>
      <c r="O878" s="18">
        <f>ROUND(N878/VLOOKUP(EOMONTH(A878,-1),Employment!A:P,16,FALSE),4)</f>
        <v>2.2267000000000001</v>
      </c>
      <c r="P878" s="18">
        <f t="shared" si="286"/>
        <v>2.2433999999999998</v>
      </c>
      <c r="Q878" s="29">
        <f t="shared" si="287"/>
        <v>0.60040000000000004</v>
      </c>
      <c r="R878" s="29">
        <f t="shared" si="288"/>
        <v>-8.6699999999999999E-2</v>
      </c>
      <c r="S878">
        <v>3557000</v>
      </c>
      <c r="T878" s="18">
        <f>ROUND((S878/7)/VLOOKUP(EOMONTH(A878,-1),Employment!A:P,16,FALSE),4)</f>
        <v>2.3536000000000001</v>
      </c>
      <c r="U878" s="18">
        <f t="shared" si="289"/>
        <v>2.3197999999999999</v>
      </c>
      <c r="V878" s="29">
        <f t="shared" si="290"/>
        <v>0.63870000000000005</v>
      </c>
      <c r="W878" s="29">
        <f t="shared" si="291"/>
        <v>-4.4699999999999997E-2</v>
      </c>
      <c r="X878" s="30">
        <f t="shared" si="292"/>
        <v>4.8300000000000125</v>
      </c>
      <c r="Y878" s="31">
        <f t="shared" si="293"/>
        <v>2.0099999999999998</v>
      </c>
    </row>
    <row r="879" spans="1:25" ht="15" customHeight="1" x14ac:dyDescent="0.25">
      <c r="A879" s="5">
        <v>37192</v>
      </c>
      <c r="B879">
        <v>1046.4637</v>
      </c>
      <c r="C879" s="29">
        <f t="shared" si="297"/>
        <v>-7.4000000000000003E-3</v>
      </c>
      <c r="D879">
        <v>-0.28999999999999998</v>
      </c>
      <c r="E879">
        <v>0.82</v>
      </c>
      <c r="F879" s="18">
        <f t="shared" si="284"/>
        <v>0.73599999999999932</v>
      </c>
      <c r="G879" s="18">
        <f t="shared" si="285"/>
        <v>2.0399999999999996</v>
      </c>
      <c r="H879">
        <v>9.6199999999999992</v>
      </c>
      <c r="I879">
        <v>3.31</v>
      </c>
      <c r="J879">
        <f t="shared" si="294"/>
        <v>6.47</v>
      </c>
      <c r="K879" s="6">
        <f t="shared" si="295"/>
        <v>6.49</v>
      </c>
      <c r="L879" s="6">
        <f t="shared" si="296"/>
        <v>-8.9999999999999858E-2</v>
      </c>
      <c r="M879">
        <v>-11.047522837594</v>
      </c>
      <c r="N879">
        <v>489250</v>
      </c>
      <c r="O879" s="18">
        <f>ROUND(N879/VLOOKUP(EOMONTH(A879,-1),Employment!A:P,16,FALSE),4)</f>
        <v>2.2686000000000002</v>
      </c>
      <c r="P879" s="18">
        <f t="shared" si="286"/>
        <v>2.2124999999999999</v>
      </c>
      <c r="Q879" s="29">
        <f t="shared" si="287"/>
        <v>0.5796</v>
      </c>
      <c r="R879" s="29">
        <f t="shared" si="288"/>
        <v>-0.1086</v>
      </c>
      <c r="S879">
        <v>3521000</v>
      </c>
      <c r="T879" s="18">
        <f>ROUND((S879/7)/VLOOKUP(EOMONTH(A879,-1),Employment!A:P,16,FALSE),4)</f>
        <v>2.3323</v>
      </c>
      <c r="U879" s="18">
        <f t="shared" si="289"/>
        <v>2.2826</v>
      </c>
      <c r="V879" s="29">
        <f t="shared" si="290"/>
        <v>0.61309999999999998</v>
      </c>
      <c r="W879" s="29">
        <f t="shared" si="291"/>
        <v>-4.9599999999999998E-2</v>
      </c>
      <c r="X879" s="30">
        <f t="shared" si="292"/>
        <v>0</v>
      </c>
      <c r="Y879" s="31">
        <f t="shared" si="293"/>
        <v>1.46</v>
      </c>
    </row>
    <row r="880" spans="1:25" ht="15" customHeight="1" x14ac:dyDescent="0.25">
      <c r="A880" s="5">
        <v>37185</v>
      </c>
      <c r="B880">
        <v>1049.9249</v>
      </c>
      <c r="C880" s="29">
        <f t="shared" si="297"/>
        <v>-8.9999999999999993E-3</v>
      </c>
      <c r="D880">
        <v>-0.23</v>
      </c>
      <c r="E880">
        <v>0.83699999999999997</v>
      </c>
      <c r="F880" s="18">
        <f t="shared" si="284"/>
        <v>0.94800000000000129</v>
      </c>
      <c r="G880" s="18">
        <f t="shared" si="285"/>
        <v>2.7120000000000015</v>
      </c>
      <c r="H880">
        <v>9.6</v>
      </c>
      <c r="I880">
        <v>3.29</v>
      </c>
      <c r="J880">
        <f t="shared" si="294"/>
        <v>6.45</v>
      </c>
      <c r="K880" s="6">
        <f t="shared" si="295"/>
        <v>6.58</v>
      </c>
      <c r="L880" s="6">
        <f t="shared" si="296"/>
        <v>-0.12999999999999989</v>
      </c>
      <c r="M880">
        <v>-10.574125266540999</v>
      </c>
      <c r="N880">
        <v>482000</v>
      </c>
      <c r="O880" s="18">
        <f>ROUND(N880/VLOOKUP(EOMONTH(A880,-1),Employment!A:P,16,FALSE),4)</f>
        <v>2.2349000000000001</v>
      </c>
      <c r="P880" s="18">
        <f t="shared" si="286"/>
        <v>2.1414</v>
      </c>
      <c r="Q880" s="29">
        <f t="shared" si="287"/>
        <v>0.52659999999999996</v>
      </c>
      <c r="R880" s="29">
        <f t="shared" si="288"/>
        <v>-0.1017</v>
      </c>
      <c r="S880">
        <v>3432000</v>
      </c>
      <c r="T880" s="18">
        <f>ROUND((S880/7)/VLOOKUP(EOMONTH(A880,-1),Employment!A:P,16,FALSE),4)</f>
        <v>2.2734000000000001</v>
      </c>
      <c r="U880" s="18">
        <f t="shared" si="289"/>
        <v>2.2343000000000002</v>
      </c>
      <c r="V880" s="29">
        <f t="shared" si="290"/>
        <v>0.58550000000000002</v>
      </c>
      <c r="W880" s="29">
        <f t="shared" si="291"/>
        <v>-4.9500000000000002E-2</v>
      </c>
      <c r="X880" s="30">
        <f t="shared" si="292"/>
        <v>0</v>
      </c>
      <c r="Y880" s="31">
        <f t="shared" si="293"/>
        <v>7.31</v>
      </c>
    </row>
    <row r="881" spans="1:25" ht="15" customHeight="1" x14ac:dyDescent="0.25">
      <c r="A881" s="5">
        <v>37178</v>
      </c>
      <c r="B881">
        <v>1053.357</v>
      </c>
      <c r="C881" s="29">
        <f t="shared" si="297"/>
        <v>-5.7999999999999996E-3</v>
      </c>
      <c r="D881">
        <v>-0.18</v>
      </c>
      <c r="E881">
        <v>0.89300000000000002</v>
      </c>
      <c r="F881" s="18">
        <f t="shared" si="284"/>
        <v>0.35599999999999898</v>
      </c>
      <c r="G881" s="18">
        <f t="shared" si="285"/>
        <v>-0.56000000000000139</v>
      </c>
      <c r="H881">
        <v>9.77</v>
      </c>
      <c r="I881">
        <v>3.33</v>
      </c>
      <c r="J881">
        <f t="shared" si="294"/>
        <v>6.55</v>
      </c>
      <c r="K881" s="6">
        <f t="shared" si="295"/>
        <v>6.71</v>
      </c>
      <c r="L881" s="6">
        <f t="shared" si="296"/>
        <v>-5.9999999999999609E-2</v>
      </c>
      <c r="M881">
        <v>-9.9400991960555007</v>
      </c>
      <c r="N881">
        <v>460250</v>
      </c>
      <c r="O881" s="18">
        <f>ROUND(N881/VLOOKUP(EOMONTH(A881,-1),Employment!A:P,16,FALSE),4)</f>
        <v>2.1341000000000001</v>
      </c>
      <c r="P881" s="18">
        <f t="shared" si="286"/>
        <v>2.0377999999999998</v>
      </c>
      <c r="Q881" s="29">
        <f t="shared" si="287"/>
        <v>0.44429999999999997</v>
      </c>
      <c r="R881" s="29">
        <f t="shared" si="288"/>
        <v>-7.3099999999999998E-2</v>
      </c>
      <c r="S881">
        <v>3385000</v>
      </c>
      <c r="T881" s="18">
        <f>ROUND((S881/7)/VLOOKUP(EOMONTH(A881,-1),Employment!A:P,16,FALSE),4)</f>
        <v>2.2422</v>
      </c>
      <c r="U881" s="18">
        <f t="shared" si="289"/>
        <v>2.1869999999999998</v>
      </c>
      <c r="V881" s="29">
        <f t="shared" si="290"/>
        <v>0.55649999999999999</v>
      </c>
      <c r="W881" s="29">
        <f t="shared" si="291"/>
        <v>-3.8199999999999998E-2</v>
      </c>
      <c r="X881" s="30">
        <f t="shared" si="292"/>
        <v>8.75</v>
      </c>
      <c r="Y881" s="31">
        <f t="shared" si="293"/>
        <v>18.399999999999999</v>
      </c>
    </row>
    <row r="882" spans="1:25" ht="15" customHeight="1" x14ac:dyDescent="0.25">
      <c r="A882" s="5">
        <v>37171</v>
      </c>
      <c r="B882">
        <v>1054.5710999999999</v>
      </c>
      <c r="C882" s="29">
        <f t="shared" si="297"/>
        <v>-4.4999999999999997E-3</v>
      </c>
      <c r="D882">
        <v>-0.19</v>
      </c>
      <c r="E882">
        <v>0.95</v>
      </c>
      <c r="F882" s="18">
        <f t="shared" si="284"/>
        <v>1.4080000000000013</v>
      </c>
      <c r="G882" s="18">
        <f t="shared" si="285"/>
        <v>-4.6359999999999992</v>
      </c>
      <c r="H882">
        <v>10.1</v>
      </c>
      <c r="I882">
        <v>3.4</v>
      </c>
      <c r="J882">
        <f t="shared" si="294"/>
        <v>6.75</v>
      </c>
      <c r="K882" s="6">
        <f t="shared" si="295"/>
        <v>6.77</v>
      </c>
      <c r="L882" s="6">
        <f t="shared" si="296"/>
        <v>0.11999999999999922</v>
      </c>
      <c r="M882">
        <v>-8.4293603933202004</v>
      </c>
      <c r="N882">
        <v>443250</v>
      </c>
      <c r="O882" s="18">
        <f>ROUND(N882/VLOOKUP(EOMONTH(A882,-1),Employment!A:P,16,FALSE),4)</f>
        <v>2.0552999999999999</v>
      </c>
      <c r="P882" s="18">
        <f t="shared" si="286"/>
        <v>1.9454</v>
      </c>
      <c r="Q882" s="29">
        <f t="shared" si="287"/>
        <v>0.36580000000000001</v>
      </c>
      <c r="R882" s="29">
        <f t="shared" si="288"/>
        <v>-4.0500000000000001E-2</v>
      </c>
      <c r="S882">
        <v>3302000</v>
      </c>
      <c r="T882" s="18">
        <f>ROUND((S882/7)/VLOOKUP(EOMONTH(A882,-1),Employment!A:P,16,FALSE),4)</f>
        <v>2.1873</v>
      </c>
      <c r="U882" s="18">
        <f t="shared" si="289"/>
        <v>2.1463000000000001</v>
      </c>
      <c r="V882" s="29">
        <f t="shared" si="290"/>
        <v>0.51200000000000001</v>
      </c>
      <c r="W882" s="29">
        <f t="shared" si="291"/>
        <v>-2.0400000000000001E-2</v>
      </c>
      <c r="X882" s="30">
        <f t="shared" si="292"/>
        <v>21.97999999999999</v>
      </c>
      <c r="Y882" s="31">
        <f t="shared" si="293"/>
        <v>33.6</v>
      </c>
    </row>
    <row r="883" spans="1:25" ht="15" customHeight="1" x14ac:dyDescent="0.25">
      <c r="A883" s="5">
        <v>37164</v>
      </c>
      <c r="B883">
        <v>1059.3184000000001</v>
      </c>
      <c r="C883" s="29">
        <f t="shared" si="297"/>
        <v>1.2999999999999999E-3</v>
      </c>
      <c r="D883">
        <v>-0.21</v>
      </c>
      <c r="E883">
        <v>1.151</v>
      </c>
      <c r="F883" s="18">
        <f t="shared" si="284"/>
        <v>-2.3240000000000016</v>
      </c>
      <c r="G883" s="18">
        <f t="shared" si="285"/>
        <v>-7.7640000000000011</v>
      </c>
      <c r="H883">
        <v>10.25</v>
      </c>
      <c r="I883">
        <v>3.42</v>
      </c>
      <c r="J883">
        <f t="shared" si="294"/>
        <v>6.84</v>
      </c>
      <c r="K883" s="6">
        <f t="shared" si="295"/>
        <v>6.65</v>
      </c>
      <c r="L883" s="6">
        <f t="shared" si="296"/>
        <v>0.41000000000000014</v>
      </c>
      <c r="M883">
        <v>-6.7646814628141998</v>
      </c>
      <c r="N883">
        <v>414500</v>
      </c>
      <c r="O883" s="18">
        <f>ROUND(N883/VLOOKUP(EOMONTH(A883,-1),Employment!A:P,16,FALSE),4)</f>
        <v>1.9240999999999999</v>
      </c>
      <c r="P883" s="18">
        <f t="shared" si="286"/>
        <v>1.8819999999999999</v>
      </c>
      <c r="Q883" s="29">
        <f t="shared" si="287"/>
        <v>0.30640000000000001</v>
      </c>
      <c r="R883" s="29">
        <f t="shared" si="288"/>
        <v>-1.49E-2</v>
      </c>
      <c r="S883">
        <v>3214000</v>
      </c>
      <c r="T883" s="18">
        <f>ROUND((S883/7)/VLOOKUP(EOMONTH(A883,-1),Employment!A:P,16,FALSE),4)</f>
        <v>2.1314000000000002</v>
      </c>
      <c r="U883" s="18">
        <f t="shared" si="289"/>
        <v>2.1274000000000002</v>
      </c>
      <c r="V883" s="29">
        <f t="shared" si="290"/>
        <v>0.48149999999999998</v>
      </c>
      <c r="W883" s="29">
        <f t="shared" si="291"/>
        <v>-1.29E-2</v>
      </c>
      <c r="X883" s="30">
        <f t="shared" si="292"/>
        <v>33.590000000000003</v>
      </c>
      <c r="Y883" s="31">
        <f t="shared" si="293"/>
        <v>53.13</v>
      </c>
    </row>
    <row r="884" spans="1:25" ht="15" customHeight="1" x14ac:dyDescent="0.25">
      <c r="A884" s="5">
        <v>37157</v>
      </c>
      <c r="B884">
        <v>1070.6212</v>
      </c>
      <c r="C884" s="29">
        <f t="shared" si="297"/>
        <v>1.4999999999999999E-2</v>
      </c>
      <c r="D884">
        <v>-0.28000000000000003</v>
      </c>
      <c r="E884">
        <v>0.94799999999999995</v>
      </c>
      <c r="F884" s="18">
        <f t="shared" si="284"/>
        <v>-3.7199999999999989</v>
      </c>
      <c r="G884" s="18">
        <f t="shared" si="285"/>
        <v>-5.7799999999999985</v>
      </c>
      <c r="H884">
        <v>9.89</v>
      </c>
      <c r="I884">
        <v>3.53</v>
      </c>
      <c r="J884">
        <f t="shared" si="294"/>
        <v>6.71</v>
      </c>
      <c r="K884" s="6">
        <f t="shared" si="295"/>
        <v>6.24</v>
      </c>
      <c r="L884" s="6">
        <f t="shared" si="296"/>
        <v>0.41000000000000014</v>
      </c>
      <c r="M884">
        <v>-5.7076079614986002</v>
      </c>
      <c r="N884">
        <v>400000</v>
      </c>
      <c r="O884" s="18">
        <f>ROUND(N884/VLOOKUP(EOMONTH(A884,-1),Employment!A:P,16,FALSE),4)</f>
        <v>1.8568</v>
      </c>
      <c r="P884" s="18">
        <f t="shared" si="286"/>
        <v>1.8568</v>
      </c>
      <c r="Q884" s="29">
        <f t="shared" si="287"/>
        <v>0.27560000000000001</v>
      </c>
      <c r="R884" s="29">
        <f t="shared" si="288"/>
        <v>1E-4</v>
      </c>
      <c r="S884">
        <v>3197000</v>
      </c>
      <c r="T884" s="18">
        <f>ROUND((S884/7)/VLOOKUP(EOMONTH(A884,-1),Employment!A:P,16,FALSE),4)</f>
        <v>2.1200999999999999</v>
      </c>
      <c r="U884" s="18">
        <f t="shared" si="289"/>
        <v>2.1160999999999999</v>
      </c>
      <c r="V884" s="29">
        <f t="shared" si="290"/>
        <v>0.47220000000000001</v>
      </c>
      <c r="W884" s="29">
        <f t="shared" si="291"/>
        <v>-6.3E-3</v>
      </c>
      <c r="X884" s="30">
        <f t="shared" si="292"/>
        <v>62.650000000000006</v>
      </c>
      <c r="Y884" s="31">
        <f t="shared" si="293"/>
        <v>74.02</v>
      </c>
    </row>
    <row r="885" spans="1:25" ht="15" customHeight="1" x14ac:dyDescent="0.25">
      <c r="A885" s="5">
        <v>37150</v>
      </c>
      <c r="B885">
        <v>1053.6292000000001</v>
      </c>
      <c r="C885" s="29">
        <f t="shared" si="297"/>
        <v>-2E-3</v>
      </c>
      <c r="D885">
        <v>-0.38</v>
      </c>
      <c r="E885">
        <v>0.60799999999999998</v>
      </c>
      <c r="F885" s="18">
        <f t="shared" si="284"/>
        <v>-1.7200000000000006</v>
      </c>
      <c r="G885" s="18">
        <f t="shared" si="285"/>
        <v>-2.5600000000000005</v>
      </c>
      <c r="H885">
        <v>9.41</v>
      </c>
      <c r="I885">
        <v>3.36</v>
      </c>
      <c r="J885">
        <f t="shared" si="294"/>
        <v>6.39</v>
      </c>
      <c r="K885" s="6">
        <f t="shared" si="295"/>
        <v>5.83</v>
      </c>
      <c r="L885" s="6">
        <f t="shared" si="296"/>
        <v>0.29000000000000004</v>
      </c>
      <c r="M885">
        <v>-5.1239610021487998</v>
      </c>
      <c r="N885">
        <v>401750</v>
      </c>
      <c r="O885" s="18">
        <f>ROUND(N885/VLOOKUP(EOMONTH(A885,-1),Employment!A:P,16,FALSE),4)</f>
        <v>1.865</v>
      </c>
      <c r="P885" s="18">
        <f t="shared" si="286"/>
        <v>1.8537999999999999</v>
      </c>
      <c r="Q885" s="29">
        <f t="shared" si="287"/>
        <v>0.26750000000000002</v>
      </c>
      <c r="R885" s="29">
        <f t="shared" si="288"/>
        <v>1.17E-2</v>
      </c>
      <c r="S885">
        <v>3213000</v>
      </c>
      <c r="T885" s="18">
        <f>ROUND((S885/7)/VLOOKUP(EOMONTH(A885,-1),Employment!A:P,16,FALSE),4)</f>
        <v>2.1307</v>
      </c>
      <c r="U885" s="18">
        <f t="shared" si="289"/>
        <v>2.0975999999999999</v>
      </c>
      <c r="V885" s="29">
        <f t="shared" si="290"/>
        <v>0.45789999999999997</v>
      </c>
      <c r="W885" s="29">
        <f t="shared" si="291"/>
        <v>-5.5999999999999999E-3</v>
      </c>
      <c r="X885" s="30">
        <f t="shared" si="292"/>
        <v>78.17</v>
      </c>
      <c r="Y885" s="31">
        <f t="shared" si="293"/>
        <v>86.66</v>
      </c>
    </row>
    <row r="886" spans="1:25" ht="15" customHeight="1" x14ac:dyDescent="0.25">
      <c r="A886" s="5">
        <v>37143</v>
      </c>
      <c r="B886">
        <v>1053.5803000000001</v>
      </c>
      <c r="C886" s="29">
        <f t="shared" si="297"/>
        <v>-4.0000000000000001E-3</v>
      </c>
      <c r="D886">
        <v>-0.46</v>
      </c>
      <c r="E886">
        <v>0.49299999999999999</v>
      </c>
      <c r="F886" s="18">
        <f t="shared" si="284"/>
        <v>-0.33999999999999897</v>
      </c>
      <c r="G886" s="18">
        <f t="shared" si="285"/>
        <v>-1.1679999999999993</v>
      </c>
      <c r="H886">
        <v>8.2200000000000006</v>
      </c>
      <c r="I886">
        <v>2.99</v>
      </c>
      <c r="J886">
        <f t="shared" si="294"/>
        <v>5.61</v>
      </c>
      <c r="K886" s="6">
        <f t="shared" si="295"/>
        <v>5.54</v>
      </c>
      <c r="L886" s="6">
        <f t="shared" si="296"/>
        <v>3.0000000000000249E-2</v>
      </c>
      <c r="M886">
        <v>-4.9583036299714998</v>
      </c>
      <c r="N886">
        <v>398250</v>
      </c>
      <c r="O886" s="18">
        <f>ROUND(N886/VLOOKUP(EOMONTH(A886,-1),Employment!A:P,16,FALSE),4)</f>
        <v>1.8487</v>
      </c>
      <c r="P886" s="18">
        <f t="shared" si="286"/>
        <v>1.8459000000000001</v>
      </c>
      <c r="Q886" s="29">
        <f t="shared" si="287"/>
        <v>0.2626</v>
      </c>
      <c r="R886" s="29">
        <f t="shared" si="288"/>
        <v>2.18E-2</v>
      </c>
      <c r="S886">
        <v>3163000</v>
      </c>
      <c r="T886" s="18">
        <f>ROUND((S886/7)/VLOOKUP(EOMONTH(A886,-1),Employment!A:P,16,FALSE),4)</f>
        <v>2.0975999999999999</v>
      </c>
      <c r="U886" s="18">
        <f t="shared" si="289"/>
        <v>2.0789</v>
      </c>
      <c r="V886" s="29">
        <f t="shared" si="290"/>
        <v>0.45800000000000002</v>
      </c>
      <c r="W886" s="29">
        <f t="shared" si="291"/>
        <v>-8.0999999999999996E-3</v>
      </c>
      <c r="X886" s="30">
        <f t="shared" si="292"/>
        <v>92.09</v>
      </c>
      <c r="Y886" s="31">
        <f t="shared" si="293"/>
        <v>94.14</v>
      </c>
    </row>
    <row r="887" spans="1:25" ht="15" customHeight="1" x14ac:dyDescent="0.25">
      <c r="A887" s="5">
        <v>37136</v>
      </c>
      <c r="B887">
        <v>1054.1065000000001</v>
      </c>
      <c r="C887" s="29">
        <f t="shared" si="297"/>
        <v>-6.1000000000000004E-3</v>
      </c>
      <c r="D887">
        <v>-0.51</v>
      </c>
      <c r="E887">
        <v>0.51300000000000001</v>
      </c>
      <c r="F887" s="18">
        <f t="shared" si="284"/>
        <v>-0.50000000000000089</v>
      </c>
      <c r="G887" s="18">
        <f t="shared" si="285"/>
        <v>-0.81200000000000028</v>
      </c>
      <c r="H887">
        <v>8.0500000000000007</v>
      </c>
      <c r="I887">
        <v>2.9</v>
      </c>
      <c r="J887">
        <f t="shared" si="294"/>
        <v>5.48</v>
      </c>
      <c r="K887" s="6">
        <f t="shared" si="295"/>
        <v>5.51</v>
      </c>
      <c r="L887" s="6">
        <f t="shared" si="296"/>
        <v>9.9999999999997868E-3</v>
      </c>
      <c r="M887">
        <v>-4.7705816458201999</v>
      </c>
      <c r="N887">
        <v>398000</v>
      </c>
      <c r="O887" s="18">
        <f>ROUND(N887/VLOOKUP(EOMONTH(A887,-1),Employment!A:P,16,FALSE),4)</f>
        <v>1.8475999999999999</v>
      </c>
      <c r="P887" s="18">
        <f t="shared" si="286"/>
        <v>1.8420000000000001</v>
      </c>
      <c r="Q887" s="29">
        <f t="shared" si="287"/>
        <v>0.26860000000000001</v>
      </c>
      <c r="R887" s="29">
        <f t="shared" si="288"/>
        <v>2.4799999999999999E-2</v>
      </c>
      <c r="S887">
        <v>3113000</v>
      </c>
      <c r="T887" s="18">
        <f>ROUND((S887/7)/VLOOKUP(EOMONTH(A887,-1),Employment!A:P,16,FALSE),4)</f>
        <v>2.0644</v>
      </c>
      <c r="U887" s="18">
        <f t="shared" si="289"/>
        <v>2.0611000000000002</v>
      </c>
      <c r="V887" s="29">
        <f t="shared" si="290"/>
        <v>0.45029999999999998</v>
      </c>
      <c r="W887" s="29">
        <f t="shared" si="291"/>
        <v>-1.3299999999999999E-2</v>
      </c>
      <c r="X887" s="30">
        <f t="shared" si="292"/>
        <v>94.31</v>
      </c>
      <c r="Y887" s="31">
        <f t="shared" si="293"/>
        <v>96.93</v>
      </c>
    </row>
    <row r="888" spans="1:25" ht="15" customHeight="1" x14ac:dyDescent="0.25">
      <c r="A888" s="5">
        <v>37129</v>
      </c>
      <c r="B888">
        <v>1057.9777999999999</v>
      </c>
      <c r="C888" s="29">
        <f t="shared" si="297"/>
        <v>-4.1000000000000003E-3</v>
      </c>
      <c r="D888">
        <v>-0.56000000000000005</v>
      </c>
      <c r="E888">
        <v>0.51300000000000001</v>
      </c>
      <c r="F888" s="18">
        <f t="shared" si="284"/>
        <v>-0.3279999999999994</v>
      </c>
      <c r="G888" s="18">
        <f t="shared" si="285"/>
        <v>0.76799999999999979</v>
      </c>
      <c r="H888">
        <v>8.1300000000000008</v>
      </c>
      <c r="I888">
        <v>2.91</v>
      </c>
      <c r="J888">
        <f t="shared" si="294"/>
        <v>5.52</v>
      </c>
      <c r="K888" s="6">
        <f t="shared" si="295"/>
        <v>5.5</v>
      </c>
      <c r="L888" s="6">
        <f t="shared" si="296"/>
        <v>7.0000000000000284E-2</v>
      </c>
      <c r="M888">
        <v>-4.4943898854863997</v>
      </c>
      <c r="N888">
        <v>396250</v>
      </c>
      <c r="O888" s="18">
        <f>ROUND(N888/VLOOKUP(EOMONTH(A888,-1),Employment!A:P,16,FALSE),4)</f>
        <v>1.8414999999999999</v>
      </c>
      <c r="P888" s="18">
        <f t="shared" si="286"/>
        <v>1.8426</v>
      </c>
      <c r="Q888" s="29">
        <f t="shared" si="287"/>
        <v>0.2838</v>
      </c>
      <c r="R888" s="29">
        <f t="shared" si="288"/>
        <v>2.2100000000000002E-2</v>
      </c>
      <c r="S888">
        <v>3125000</v>
      </c>
      <c r="T888" s="18">
        <f>ROUND((S888/7)/VLOOKUP(EOMONTH(A888,-1),Employment!A:P,16,FALSE),4)</f>
        <v>2.0747</v>
      </c>
      <c r="U888" s="18">
        <f t="shared" si="289"/>
        <v>2.0491999999999999</v>
      </c>
      <c r="V888" s="29">
        <f t="shared" si="290"/>
        <v>0.4551</v>
      </c>
      <c r="W888" s="29">
        <f t="shared" si="291"/>
        <v>-1.32E-2</v>
      </c>
      <c r="X888" s="30">
        <f t="shared" si="292"/>
        <v>98.86</v>
      </c>
      <c r="Y888" s="31">
        <f t="shared" si="293"/>
        <v>98.86</v>
      </c>
    </row>
    <row r="889" spans="1:25" ht="15" customHeight="1" x14ac:dyDescent="0.25">
      <c r="A889" s="5">
        <v>37122</v>
      </c>
      <c r="B889">
        <v>1057.2025000000001</v>
      </c>
      <c r="C889" s="29">
        <f t="shared" si="297"/>
        <v>-6.4000000000000003E-3</v>
      </c>
      <c r="D889">
        <v>-0.57999999999999996</v>
      </c>
      <c r="E889">
        <v>0.497</v>
      </c>
      <c r="F889" s="18">
        <f t="shared" si="284"/>
        <v>1.6000000000000014E-2</v>
      </c>
      <c r="G889" s="18">
        <f t="shared" si="285"/>
        <v>1.7439999999999998</v>
      </c>
      <c r="H889">
        <v>8.11</v>
      </c>
      <c r="I889">
        <v>2.97</v>
      </c>
      <c r="J889">
        <f t="shared" si="294"/>
        <v>5.54</v>
      </c>
      <c r="K889" s="6">
        <f t="shared" si="295"/>
        <v>5.43</v>
      </c>
      <c r="L889" s="6">
        <f t="shared" si="296"/>
        <v>0</v>
      </c>
      <c r="M889">
        <v>-4.0488624175638996</v>
      </c>
      <c r="N889">
        <v>395250</v>
      </c>
      <c r="O889" s="18">
        <f>ROUND(N889/VLOOKUP(EOMONTH(A889,-1),Employment!A:P,16,FALSE),4)</f>
        <v>1.8368</v>
      </c>
      <c r="P889" s="18">
        <f t="shared" si="286"/>
        <v>1.8452999999999999</v>
      </c>
      <c r="Q889" s="29">
        <f t="shared" si="287"/>
        <v>0.30099999999999999</v>
      </c>
      <c r="R889" s="29">
        <f t="shared" si="288"/>
        <v>1.46E-2</v>
      </c>
      <c r="S889">
        <v>3079000</v>
      </c>
      <c r="T889" s="18">
        <f>ROUND((S889/7)/VLOOKUP(EOMONTH(A889,-1),Employment!A:P,16,FALSE),4)</f>
        <v>2.0440999999999998</v>
      </c>
      <c r="U889" s="18">
        <f t="shared" si="289"/>
        <v>2.016</v>
      </c>
      <c r="V889" s="29">
        <f t="shared" si="290"/>
        <v>0.44040000000000001</v>
      </c>
      <c r="W889" s="29">
        <f t="shared" si="291"/>
        <v>-2.3999999999999998E-3</v>
      </c>
      <c r="X889" s="30">
        <f t="shared" si="292"/>
        <v>98.68</v>
      </c>
      <c r="Y889" s="31">
        <f t="shared" si="293"/>
        <v>98.48</v>
      </c>
    </row>
    <row r="890" spans="1:25" ht="15" customHeight="1" x14ac:dyDescent="0.25">
      <c r="A890" s="5">
        <v>37115</v>
      </c>
      <c r="B890">
        <v>1062.1455000000001</v>
      </c>
      <c r="C890" s="29">
        <f t="shared" si="297"/>
        <v>-2E-3</v>
      </c>
      <c r="D890">
        <v>-0.57999999999999996</v>
      </c>
      <c r="E890">
        <v>0.499</v>
      </c>
      <c r="F890" s="18">
        <f t="shared" si="284"/>
        <v>1.0799999999999992</v>
      </c>
      <c r="G890" s="18">
        <f t="shared" si="285"/>
        <v>2.2159999999999993</v>
      </c>
      <c r="H890">
        <v>7.99</v>
      </c>
      <c r="I890">
        <v>2.87</v>
      </c>
      <c r="J890">
        <f t="shared" si="294"/>
        <v>5.43</v>
      </c>
      <c r="K890" s="6">
        <f t="shared" si="295"/>
        <v>5.43</v>
      </c>
      <c r="L890" s="6">
        <f t="shared" si="296"/>
        <v>-5.0000000000000711E-2</v>
      </c>
      <c r="M890">
        <v>-4.0221802732237002</v>
      </c>
      <c r="N890">
        <v>398000</v>
      </c>
      <c r="O890" s="18">
        <f>ROUND(N890/VLOOKUP(EOMONTH(A890,-1),Employment!A:P,16,FALSE),4)</f>
        <v>1.8495999999999999</v>
      </c>
      <c r="P890" s="18">
        <f t="shared" si="286"/>
        <v>1.8526</v>
      </c>
      <c r="Q890" s="29">
        <f t="shared" si="287"/>
        <v>0.32100000000000001</v>
      </c>
      <c r="R890" s="29">
        <f t="shared" si="288"/>
        <v>8.6E-3</v>
      </c>
      <c r="S890">
        <v>3056000</v>
      </c>
      <c r="T890" s="18">
        <f>ROUND((S890/7)/VLOOKUP(EOMONTH(A890,-1),Employment!A:P,16,FALSE),4)</f>
        <v>2.0289000000000001</v>
      </c>
      <c r="U890" s="18">
        <f t="shared" si="289"/>
        <v>2.0057</v>
      </c>
      <c r="V890" s="29">
        <f t="shared" si="290"/>
        <v>0.42659999999999998</v>
      </c>
      <c r="W890" s="29">
        <f t="shared" si="291"/>
        <v>3.5999999999999999E-3</v>
      </c>
      <c r="X890" s="30">
        <f t="shared" si="292"/>
        <v>99.29</v>
      </c>
      <c r="Y890" s="31">
        <f t="shared" si="293"/>
        <v>97.61</v>
      </c>
    </row>
    <row r="891" spans="1:25" ht="15" customHeight="1" x14ac:dyDescent="0.25">
      <c r="A891" s="5">
        <v>37108</v>
      </c>
      <c r="B891">
        <v>1064.951</v>
      </c>
      <c r="C891" s="29">
        <f t="shared" si="297"/>
        <v>-5.9999999999999995E-4</v>
      </c>
      <c r="D891">
        <v>-0.54</v>
      </c>
      <c r="E891">
        <v>0.58399999999999996</v>
      </c>
      <c r="F891" s="18">
        <f t="shared" si="284"/>
        <v>0.64800000000000058</v>
      </c>
      <c r="G891" s="18">
        <f t="shared" si="285"/>
        <v>1.08</v>
      </c>
      <c r="H891">
        <v>7.92</v>
      </c>
      <c r="I891">
        <v>2.72</v>
      </c>
      <c r="J891">
        <f t="shared" si="294"/>
        <v>5.32</v>
      </c>
      <c r="K891" s="6">
        <f t="shared" si="295"/>
        <v>5.48</v>
      </c>
      <c r="L891" s="6">
        <f t="shared" si="296"/>
        <v>-4.9999999999999822E-2</v>
      </c>
      <c r="M891">
        <v>-4.2926818245423002</v>
      </c>
      <c r="N891">
        <v>398000</v>
      </c>
      <c r="O891" s="18">
        <f>ROUND(N891/VLOOKUP(EOMONTH(A891,-1),Employment!A:P,16,FALSE),4)</f>
        <v>1.8495999999999999</v>
      </c>
      <c r="P891" s="18">
        <f t="shared" si="286"/>
        <v>1.849</v>
      </c>
      <c r="Q891" s="29">
        <f t="shared" si="287"/>
        <v>0.33069999999999999</v>
      </c>
      <c r="R891" s="29">
        <f t="shared" si="288"/>
        <v>0.01</v>
      </c>
      <c r="S891">
        <v>2975000</v>
      </c>
      <c r="T891" s="18">
        <f>ROUND((S891/7)/VLOOKUP(EOMONTH(A891,-1),Employment!A:P,16,FALSE),4)</f>
        <v>1.9751000000000001</v>
      </c>
      <c r="U891" s="18">
        <f t="shared" si="289"/>
        <v>2.008</v>
      </c>
      <c r="V891" s="29">
        <f t="shared" si="290"/>
        <v>0.42459999999999998</v>
      </c>
      <c r="W891" s="29">
        <f t="shared" si="291"/>
        <v>5.8999999999999999E-3</v>
      </c>
      <c r="X891" s="30">
        <f t="shared" si="292"/>
        <v>95.98</v>
      </c>
      <c r="Y891" s="31">
        <f t="shared" si="293"/>
        <v>97.21</v>
      </c>
    </row>
    <row r="892" spans="1:25" ht="15" customHeight="1" x14ac:dyDescent="0.25">
      <c r="A892" s="5">
        <v>37101</v>
      </c>
      <c r="B892">
        <v>1065.0255999999999</v>
      </c>
      <c r="C892" s="29">
        <f t="shared" si="297"/>
        <v>-2E-3</v>
      </c>
      <c r="D892">
        <v>-0.5</v>
      </c>
      <c r="E892">
        <v>0.61499999999999999</v>
      </c>
      <c r="F892" s="18">
        <f t="shared" si="284"/>
        <v>0.48799999999999955</v>
      </c>
      <c r="G892" s="18">
        <f t="shared" si="285"/>
        <v>1.0439999999999996</v>
      </c>
      <c r="H892">
        <v>8.2799999999999994</v>
      </c>
      <c r="I892">
        <v>2.77</v>
      </c>
      <c r="J892">
        <f t="shared" si="294"/>
        <v>5.53</v>
      </c>
      <c r="K892" s="6">
        <f t="shared" si="295"/>
        <v>5.53</v>
      </c>
      <c r="L892" s="6">
        <f t="shared" si="296"/>
        <v>4.0000000000000036E-2</v>
      </c>
      <c r="M892">
        <v>-4.3228682597827</v>
      </c>
      <c r="N892">
        <v>399500</v>
      </c>
      <c r="O892" s="18">
        <f>ROUND(N892/VLOOKUP(EOMONTH(A892,-1),Employment!A:P,16,FALSE),4)</f>
        <v>1.8586</v>
      </c>
      <c r="P892" s="18">
        <f t="shared" si="286"/>
        <v>1.8411</v>
      </c>
      <c r="Q892" s="29">
        <f t="shared" si="287"/>
        <v>0.33589999999999998</v>
      </c>
      <c r="R892" s="29">
        <f t="shared" si="288"/>
        <v>1.6799999999999999E-2</v>
      </c>
      <c r="S892">
        <v>3029000</v>
      </c>
      <c r="T892" s="18">
        <f>ROUND((S892/7)/VLOOKUP(EOMONTH(A892,-1),Employment!A:P,16,FALSE),4)</f>
        <v>2.0131000000000001</v>
      </c>
      <c r="U892" s="18">
        <f t="shared" si="289"/>
        <v>2.0051000000000001</v>
      </c>
      <c r="V892" s="29">
        <f t="shared" si="290"/>
        <v>0.42620000000000002</v>
      </c>
      <c r="W892" s="29">
        <f t="shared" si="291"/>
        <v>8.0000000000000004E-4</v>
      </c>
      <c r="X892" s="30">
        <f t="shared" si="292"/>
        <v>97.49</v>
      </c>
      <c r="Y892" s="31">
        <f t="shared" si="293"/>
        <v>98.52</v>
      </c>
    </row>
    <row r="893" spans="1:25" ht="15" customHeight="1" x14ac:dyDescent="0.25">
      <c r="A893" s="5">
        <v>37094</v>
      </c>
      <c r="B893">
        <v>1064.0712000000001</v>
      </c>
      <c r="C893" s="29">
        <f t="shared" si="297"/>
        <v>-5.3E-3</v>
      </c>
      <c r="D893">
        <v>-0.46</v>
      </c>
      <c r="E893">
        <v>0.626</v>
      </c>
      <c r="F893" s="18">
        <f t="shared" si="284"/>
        <v>-5.600000000000005E-2</v>
      </c>
      <c r="G893" s="18">
        <f t="shared" si="285"/>
        <v>0.58000000000000096</v>
      </c>
      <c r="H893">
        <v>8.39</v>
      </c>
      <c r="I893">
        <v>2.77</v>
      </c>
      <c r="J893">
        <f t="shared" si="294"/>
        <v>5.58</v>
      </c>
      <c r="K893" s="6">
        <f t="shared" si="295"/>
        <v>5.49</v>
      </c>
      <c r="L893" s="6">
        <f t="shared" si="296"/>
        <v>4.9999999999999822E-2</v>
      </c>
      <c r="M893">
        <v>-4.3246955194534999</v>
      </c>
      <c r="N893">
        <v>395250</v>
      </c>
      <c r="O893" s="18">
        <f>ROUND(N893/VLOOKUP(EOMONTH(A893,-1),Employment!A:P,16,FALSE),4)</f>
        <v>1.8388</v>
      </c>
      <c r="P893" s="18">
        <f t="shared" si="286"/>
        <v>1.8341000000000001</v>
      </c>
      <c r="Q893" s="29">
        <f t="shared" si="287"/>
        <v>0.3392</v>
      </c>
      <c r="R893" s="29">
        <f t="shared" si="288"/>
        <v>2.5700000000000001E-2</v>
      </c>
      <c r="S893">
        <v>3063000</v>
      </c>
      <c r="T893" s="18">
        <f>ROUND((S893/7)/VLOOKUP(EOMONTH(A893,-1),Employment!A:P,16,FALSE),4)</f>
        <v>2.0356999999999998</v>
      </c>
      <c r="U893" s="18">
        <f t="shared" si="289"/>
        <v>1.9924999999999999</v>
      </c>
      <c r="V893" s="29">
        <f t="shared" si="290"/>
        <v>0.43759999999999999</v>
      </c>
      <c r="W893" s="29">
        <f t="shared" si="291"/>
        <v>1.5E-3</v>
      </c>
      <c r="X893" s="30">
        <f t="shared" si="292"/>
        <v>99.61</v>
      </c>
      <c r="Y893" s="31">
        <f t="shared" si="293"/>
        <v>97.27</v>
      </c>
    </row>
    <row r="894" spans="1:25" ht="15" customHeight="1" x14ac:dyDescent="0.25">
      <c r="A894" s="5">
        <v>37087</v>
      </c>
      <c r="B894">
        <v>1063.1402</v>
      </c>
      <c r="C894" s="29">
        <f t="shared" si="297"/>
        <v>-9.5999999999999992E-3</v>
      </c>
      <c r="D894">
        <v>-0.44</v>
      </c>
      <c r="E894">
        <v>0.59399999999999997</v>
      </c>
      <c r="F894" s="18">
        <f t="shared" si="284"/>
        <v>0.6120000000000001</v>
      </c>
      <c r="G894" s="18">
        <f t="shared" si="285"/>
        <v>0.62000000000000099</v>
      </c>
      <c r="H894">
        <v>8.27</v>
      </c>
      <c r="I894">
        <v>2.71</v>
      </c>
      <c r="J894">
        <f t="shared" si="294"/>
        <v>5.49</v>
      </c>
      <c r="K894" s="6">
        <f t="shared" si="295"/>
        <v>5.44</v>
      </c>
      <c r="L894" s="6">
        <f t="shared" si="296"/>
        <v>-4.0000000000000036E-2</v>
      </c>
      <c r="M894">
        <v>-3.8188561155239</v>
      </c>
      <c r="N894">
        <v>392500</v>
      </c>
      <c r="O894" s="18">
        <f>ROUND(N894/VLOOKUP(EOMONTH(A894,-1),Employment!A:P,16,FALSE),4)</f>
        <v>1.8260000000000001</v>
      </c>
      <c r="P894" s="18">
        <f t="shared" si="286"/>
        <v>1.8384</v>
      </c>
      <c r="Q894" s="29">
        <f t="shared" si="287"/>
        <v>0.34570000000000001</v>
      </c>
      <c r="R894" s="29">
        <f t="shared" si="288"/>
        <v>2.52E-2</v>
      </c>
      <c r="S894">
        <v>2959000</v>
      </c>
      <c r="T894" s="18">
        <f>ROUND((S894/7)/VLOOKUP(EOMONTH(A894,-1),Employment!A:P,16,FALSE),4)</f>
        <v>1.9665999999999999</v>
      </c>
      <c r="U894" s="18">
        <f t="shared" si="289"/>
        <v>1.9650000000000001</v>
      </c>
      <c r="V894" s="29">
        <f t="shared" si="290"/>
        <v>0.43120000000000003</v>
      </c>
      <c r="W894" s="29">
        <f t="shared" si="291"/>
        <v>-4.0000000000000002E-4</v>
      </c>
      <c r="X894" s="30">
        <f t="shared" si="292"/>
        <v>98.38</v>
      </c>
      <c r="Y894" s="31">
        <f t="shared" si="293"/>
        <v>90.77</v>
      </c>
    </row>
    <row r="895" spans="1:25" ht="15" customHeight="1" x14ac:dyDescent="0.25">
      <c r="A895" s="5">
        <v>37080</v>
      </c>
      <c r="B895">
        <v>1070.2021</v>
      </c>
      <c r="C895" s="29">
        <f t="shared" si="297"/>
        <v>-5.4999999999999997E-3</v>
      </c>
      <c r="D895">
        <v>-0.39</v>
      </c>
      <c r="E895">
        <v>0.60799999999999998</v>
      </c>
      <c r="F895" s="18">
        <f t="shared" si="284"/>
        <v>2.4000000000000909E-2</v>
      </c>
      <c r="G895" s="18">
        <f t="shared" si="285"/>
        <v>-0.5</v>
      </c>
      <c r="H895">
        <v>8.1300000000000008</v>
      </c>
      <c r="I895">
        <v>2.69</v>
      </c>
      <c r="J895">
        <f t="shared" si="294"/>
        <v>5.41</v>
      </c>
      <c r="K895" s="6">
        <f t="shared" si="295"/>
        <v>5.48</v>
      </c>
      <c r="L895" s="6">
        <f t="shared" si="296"/>
        <v>1.0000000000000675E-2</v>
      </c>
      <c r="M895">
        <v>-3.1053593202751002</v>
      </c>
      <c r="N895">
        <v>395000</v>
      </c>
      <c r="O895" s="18">
        <f>ROUND(N895/VLOOKUP(EOMONTH(A895,-1),Employment!A:P,16,FALSE),4)</f>
        <v>1.8375999999999999</v>
      </c>
      <c r="P895" s="18">
        <f t="shared" si="286"/>
        <v>1.8569</v>
      </c>
      <c r="Q895" s="29">
        <f t="shared" si="287"/>
        <v>0.36509999999999998</v>
      </c>
      <c r="R895" s="29">
        <f t="shared" si="288"/>
        <v>1.3100000000000001E-2</v>
      </c>
      <c r="S895">
        <v>2972000</v>
      </c>
      <c r="T895" s="18">
        <f>ROUND((S895/7)/VLOOKUP(EOMONTH(A895,-1),Employment!A:P,16,FALSE),4)</f>
        <v>1.9752000000000001</v>
      </c>
      <c r="U895" s="18">
        <f t="shared" si="289"/>
        <v>1.9632000000000001</v>
      </c>
      <c r="V895" s="29">
        <f t="shared" si="290"/>
        <v>0.43690000000000001</v>
      </c>
      <c r="W895" s="29">
        <f t="shared" si="291"/>
        <v>-3.8E-3</v>
      </c>
      <c r="X895" s="30">
        <f t="shared" si="292"/>
        <v>88.62</v>
      </c>
      <c r="Y895" s="31">
        <f t="shared" si="293"/>
        <v>81.010000000000005</v>
      </c>
    </row>
    <row r="896" spans="1:25" ht="15" customHeight="1" x14ac:dyDescent="0.25">
      <c r="A896" s="5">
        <v>37073</v>
      </c>
      <c r="B896">
        <v>1071.2503999999999</v>
      </c>
      <c r="C896" s="29">
        <f t="shared" si="297"/>
        <v>-7.1999999999999998E-3</v>
      </c>
      <c r="D896">
        <v>-0.41</v>
      </c>
      <c r="E896">
        <v>0.63600000000000001</v>
      </c>
      <c r="F896" s="18">
        <f t="shared" si="284"/>
        <v>-1.6000000000000014E-2</v>
      </c>
      <c r="G896" s="18">
        <f t="shared" si="285"/>
        <v>5.9999999999998721E-2</v>
      </c>
      <c r="H896">
        <v>8.16</v>
      </c>
      <c r="I896">
        <v>2.65</v>
      </c>
      <c r="J896">
        <f t="shared" si="294"/>
        <v>5.41</v>
      </c>
      <c r="K896" s="6">
        <f t="shared" si="295"/>
        <v>5.47</v>
      </c>
      <c r="L896" s="6">
        <f t="shared" si="296"/>
        <v>8.9999999999999858E-2</v>
      </c>
      <c r="M896">
        <v>-2.5747812825519998</v>
      </c>
      <c r="N896">
        <v>398000</v>
      </c>
      <c r="O896" s="18">
        <f>ROUND(N896/VLOOKUP(EOMONTH(A896,-1),Employment!A:P,16,FALSE),4)</f>
        <v>1.8515999999999999</v>
      </c>
      <c r="P896" s="18">
        <f t="shared" si="286"/>
        <v>1.8746</v>
      </c>
      <c r="Q896" s="29">
        <f t="shared" si="287"/>
        <v>0.38600000000000001</v>
      </c>
      <c r="R896" s="29">
        <f t="shared" si="288"/>
        <v>-4.7000000000000002E-3</v>
      </c>
      <c r="S896">
        <v>2939000</v>
      </c>
      <c r="T896" s="18">
        <f>ROUND((S896/7)/VLOOKUP(EOMONTH(A896,-1),Employment!A:P,16,FALSE),4)</f>
        <v>1.9533</v>
      </c>
      <c r="U896" s="18">
        <f t="shared" si="289"/>
        <v>1.9521999999999999</v>
      </c>
      <c r="V896" s="29">
        <f t="shared" si="290"/>
        <v>0.43169999999999997</v>
      </c>
      <c r="W896" s="29">
        <f t="shared" si="291"/>
        <v>-1.7399999999999999E-2</v>
      </c>
      <c r="X896" s="30">
        <f t="shared" si="292"/>
        <v>77.099999999999994</v>
      </c>
      <c r="Y896" s="31">
        <f t="shared" si="293"/>
        <v>75.540000000000006</v>
      </c>
    </row>
    <row r="897" spans="1:25" ht="15" customHeight="1" x14ac:dyDescent="0.25">
      <c r="A897" s="5">
        <v>37066</v>
      </c>
      <c r="B897">
        <v>1074.2336</v>
      </c>
      <c r="C897" s="29">
        <f t="shared" si="297"/>
        <v>-6.7999999999999996E-3</v>
      </c>
      <c r="D897">
        <v>-0.43</v>
      </c>
      <c r="E897">
        <v>0.65900000000000003</v>
      </c>
      <c r="F897" s="18">
        <f t="shared" si="284"/>
        <v>-0.5080000000000009</v>
      </c>
      <c r="G897" s="18">
        <f t="shared" si="285"/>
        <v>0.51999999999999957</v>
      </c>
      <c r="H897">
        <v>8.4700000000000006</v>
      </c>
      <c r="I897">
        <v>2.75</v>
      </c>
      <c r="J897">
        <f t="shared" si="294"/>
        <v>5.61</v>
      </c>
      <c r="K897" s="6">
        <f t="shared" si="295"/>
        <v>5.38</v>
      </c>
      <c r="L897" s="6">
        <f t="shared" si="296"/>
        <v>0.14999999999999947</v>
      </c>
      <c r="M897">
        <v>-2.4730748004323</v>
      </c>
      <c r="N897">
        <v>404000</v>
      </c>
      <c r="O897" s="18">
        <f>ROUND(N897/VLOOKUP(EOMONTH(A897,-1),Employment!A:P,16,FALSE),4)</f>
        <v>1.8814</v>
      </c>
      <c r="P897" s="18">
        <f t="shared" si="286"/>
        <v>1.8794999999999999</v>
      </c>
      <c r="Q897" s="29">
        <f t="shared" si="287"/>
        <v>0.40460000000000002</v>
      </c>
      <c r="R897" s="29">
        <f t="shared" si="288"/>
        <v>-1.4200000000000001E-2</v>
      </c>
      <c r="S897">
        <v>2948000</v>
      </c>
      <c r="T897" s="18">
        <f>ROUND((S897/7)/VLOOKUP(EOMONTH(A897,-1),Employment!A:P,16,FALSE),4)</f>
        <v>1.9612000000000001</v>
      </c>
      <c r="U897" s="18">
        <f t="shared" si="289"/>
        <v>1.9499</v>
      </c>
      <c r="V897" s="29">
        <f t="shared" si="290"/>
        <v>0.44219999999999998</v>
      </c>
      <c r="W897" s="29">
        <f t="shared" si="291"/>
        <v>-2.8899999999999999E-2</v>
      </c>
      <c r="X897" s="30">
        <f t="shared" si="292"/>
        <v>71.78</v>
      </c>
      <c r="Y897" s="31">
        <f t="shared" si="293"/>
        <v>78.91</v>
      </c>
    </row>
    <row r="898" spans="1:25" ht="15" customHeight="1" x14ac:dyDescent="0.25">
      <c r="A898" s="5">
        <v>37059</v>
      </c>
      <c r="B898">
        <v>1077.9054000000001</v>
      </c>
      <c r="C898" s="29">
        <f t="shared" si="297"/>
        <v>-5.7999999999999996E-3</v>
      </c>
      <c r="D898">
        <v>-0.44</v>
      </c>
      <c r="E898">
        <v>0.60799999999999998</v>
      </c>
      <c r="F898" s="18">
        <f t="shared" si="284"/>
        <v>0.58399999999999963</v>
      </c>
      <c r="G898" s="18">
        <f t="shared" si="285"/>
        <v>1.5320000000000009</v>
      </c>
      <c r="H898">
        <v>8.0399999999999991</v>
      </c>
      <c r="I898">
        <v>2.71</v>
      </c>
      <c r="J898">
        <f t="shared" si="294"/>
        <v>5.38</v>
      </c>
      <c r="K898" s="6">
        <f t="shared" si="295"/>
        <v>5.23</v>
      </c>
      <c r="L898" s="6">
        <f t="shared" si="296"/>
        <v>0.10000000000000053</v>
      </c>
      <c r="M898">
        <v>-2.9579658910887998</v>
      </c>
      <c r="N898">
        <v>406000</v>
      </c>
      <c r="O898" s="18">
        <f>ROUND(N898/VLOOKUP(EOMONTH(A898,-1),Employment!A:P,16,FALSE),4)</f>
        <v>1.8907</v>
      </c>
      <c r="P898" s="18">
        <f t="shared" si="286"/>
        <v>1.8647</v>
      </c>
      <c r="Q898" s="29">
        <f t="shared" si="287"/>
        <v>0.40139999999999998</v>
      </c>
      <c r="R898" s="29">
        <f t="shared" si="288"/>
        <v>-5.7999999999999996E-3</v>
      </c>
      <c r="S898">
        <v>2919000</v>
      </c>
      <c r="T898" s="18">
        <f>ROUND((S898/7)/VLOOKUP(EOMONTH(A898,-1),Employment!A:P,16,FALSE),4)</f>
        <v>1.9419999999999999</v>
      </c>
      <c r="U898" s="18">
        <f t="shared" si="289"/>
        <v>1.9213</v>
      </c>
      <c r="V898" s="29">
        <f t="shared" si="290"/>
        <v>0.42620000000000002</v>
      </c>
      <c r="W898" s="29">
        <f t="shared" si="291"/>
        <v>-3.6200000000000003E-2</v>
      </c>
      <c r="X898" s="30">
        <f t="shared" si="292"/>
        <v>81.06</v>
      </c>
      <c r="Y898" s="31">
        <f t="shared" si="293"/>
        <v>89.11</v>
      </c>
    </row>
    <row r="899" spans="1:25" ht="15" customHeight="1" x14ac:dyDescent="0.25">
      <c r="A899" s="5">
        <v>37052</v>
      </c>
      <c r="B899">
        <v>1080.904</v>
      </c>
      <c r="C899" s="29">
        <f t="shared" si="297"/>
        <v>-4.7999999999999996E-3</v>
      </c>
      <c r="D899">
        <v>-0.46</v>
      </c>
      <c r="E899">
        <v>0.70599999999999996</v>
      </c>
      <c r="F899" s="18">
        <f t="shared" si="284"/>
        <v>0.44400000000000084</v>
      </c>
      <c r="G899" s="18">
        <f t="shared" si="285"/>
        <v>0.82800000000000118</v>
      </c>
      <c r="H899">
        <v>7.67</v>
      </c>
      <c r="I899">
        <v>2.65</v>
      </c>
      <c r="J899">
        <f t="shared" si="294"/>
        <v>5.16</v>
      </c>
      <c r="K899" s="6">
        <f t="shared" si="295"/>
        <v>5.13</v>
      </c>
      <c r="L899" s="6">
        <f t="shared" si="296"/>
        <v>9.9999999999997868E-3</v>
      </c>
      <c r="M899">
        <v>-3.4216344520298998</v>
      </c>
      <c r="N899">
        <v>400750</v>
      </c>
      <c r="O899" s="18">
        <f>ROUND(N899/VLOOKUP(EOMONTH(A899,-1),Employment!A:P,16,FALSE),4)</f>
        <v>1.8663000000000001</v>
      </c>
      <c r="P899" s="18">
        <f t="shared" si="286"/>
        <v>1.8479000000000001</v>
      </c>
      <c r="Q899" s="29">
        <f t="shared" si="287"/>
        <v>0.38590000000000002</v>
      </c>
      <c r="R899" s="29">
        <f t="shared" si="288"/>
        <v>1.23E-2</v>
      </c>
      <c r="S899">
        <v>2926000</v>
      </c>
      <c r="T899" s="18">
        <f>ROUND((S899/7)/VLOOKUP(EOMONTH(A899,-1),Employment!A:P,16,FALSE),4)</f>
        <v>1.9466000000000001</v>
      </c>
      <c r="U899" s="18">
        <f t="shared" si="289"/>
        <v>1.8955</v>
      </c>
      <c r="V899" s="29">
        <f t="shared" si="290"/>
        <v>0.41539999999999999</v>
      </c>
      <c r="W899" s="29">
        <f t="shared" si="291"/>
        <v>-3.0200000000000001E-2</v>
      </c>
      <c r="X899" s="30">
        <f t="shared" si="292"/>
        <v>91.36</v>
      </c>
      <c r="Y899" s="31">
        <f t="shared" si="293"/>
        <v>99.1</v>
      </c>
    </row>
    <row r="900" spans="1:25" ht="15" customHeight="1" x14ac:dyDescent="0.25">
      <c r="A900" s="5">
        <v>37045</v>
      </c>
      <c r="B900">
        <v>1083.1621</v>
      </c>
      <c r="C900" s="29">
        <f t="shared" si="297"/>
        <v>-3.8E-3</v>
      </c>
      <c r="D900">
        <v>-0.45</v>
      </c>
      <c r="E900">
        <v>0.749</v>
      </c>
      <c r="F900" s="18">
        <f t="shared" si="284"/>
        <v>0.50400000000000045</v>
      </c>
      <c r="G900" s="18">
        <f t="shared" si="285"/>
        <v>1.4639999999999995</v>
      </c>
      <c r="H900">
        <v>7.65</v>
      </c>
      <c r="I900">
        <v>2.63</v>
      </c>
      <c r="J900">
        <f t="shared" si="294"/>
        <v>5.14</v>
      </c>
      <c r="K900" s="6">
        <f t="shared" si="295"/>
        <v>5.12</v>
      </c>
      <c r="L900" s="6">
        <f t="shared" si="296"/>
        <v>0</v>
      </c>
      <c r="M900">
        <v>-3.8530850467542002</v>
      </c>
      <c r="N900">
        <v>394500</v>
      </c>
      <c r="O900" s="18">
        <f>ROUND(N900/VLOOKUP(EOMONTH(A900,-1),Employment!A:P,16,FALSE),4)</f>
        <v>1.8371999999999999</v>
      </c>
      <c r="P900" s="18">
        <f t="shared" si="286"/>
        <v>1.8384</v>
      </c>
      <c r="Q900" s="29">
        <f t="shared" si="287"/>
        <v>0.37490000000000001</v>
      </c>
      <c r="R900" s="29">
        <f t="shared" si="288"/>
        <v>2.7699999999999999E-2</v>
      </c>
      <c r="S900">
        <v>2819000</v>
      </c>
      <c r="T900" s="18">
        <f>ROUND((S900/7)/VLOOKUP(EOMONTH(A900,-1),Employment!A:P,16,FALSE),4)</f>
        <v>1.8754</v>
      </c>
      <c r="U900" s="18">
        <f t="shared" si="289"/>
        <v>1.8531</v>
      </c>
      <c r="V900" s="29">
        <f t="shared" si="290"/>
        <v>0.38229999999999997</v>
      </c>
      <c r="W900" s="29">
        <f t="shared" si="291"/>
        <v>-2.1399999999999999E-2</v>
      </c>
      <c r="X900" s="30">
        <f t="shared" si="292"/>
        <v>103.61</v>
      </c>
      <c r="Y900" s="31">
        <f t="shared" si="293"/>
        <v>104.68</v>
      </c>
    </row>
    <row r="901" spans="1:25" ht="15" customHeight="1" x14ac:dyDescent="0.25">
      <c r="A901" s="5">
        <v>37038</v>
      </c>
      <c r="B901">
        <v>1084.4833000000001</v>
      </c>
      <c r="C901" s="29">
        <f t="shared" si="297"/>
        <v>-3.7000000000000002E-3</v>
      </c>
      <c r="D901">
        <v>-0.43</v>
      </c>
      <c r="E901">
        <v>0.78700000000000003</v>
      </c>
      <c r="F901" s="18">
        <f t="shared" si="284"/>
        <v>-0.12000000000000011</v>
      </c>
      <c r="G901" s="18">
        <f t="shared" si="285"/>
        <v>2.5559999999999992</v>
      </c>
      <c r="H901">
        <v>7.53</v>
      </c>
      <c r="I901">
        <v>2.65</v>
      </c>
      <c r="J901">
        <f t="shared" si="294"/>
        <v>5.09</v>
      </c>
      <c r="K901" s="6">
        <f t="shared" si="295"/>
        <v>5.12</v>
      </c>
      <c r="L901" s="6">
        <f t="shared" si="296"/>
        <v>-7.0000000000000284E-2</v>
      </c>
      <c r="M901">
        <v>-4.4831784838133002</v>
      </c>
      <c r="N901">
        <v>394750</v>
      </c>
      <c r="O901" s="18">
        <f>ROUND(N901/VLOOKUP(EOMONTH(A901,-1),Employment!A:P,16,FALSE),4)</f>
        <v>1.8401000000000001</v>
      </c>
      <c r="P901" s="18">
        <f t="shared" si="286"/>
        <v>1.8358000000000001</v>
      </c>
      <c r="Q901" s="29">
        <f t="shared" si="287"/>
        <v>0.37740000000000001</v>
      </c>
      <c r="R901" s="29">
        <f t="shared" si="288"/>
        <v>2.8199999999999999E-2</v>
      </c>
      <c r="S901">
        <v>2800000</v>
      </c>
      <c r="T901" s="18">
        <f>ROUND((S901/7)/VLOOKUP(EOMONTH(A901,-1),Employment!A:P,16,FALSE),4)</f>
        <v>1.8646</v>
      </c>
      <c r="U901" s="18">
        <f t="shared" si="289"/>
        <v>1.8334999999999999</v>
      </c>
      <c r="V901" s="29">
        <f t="shared" si="290"/>
        <v>0.36059999999999998</v>
      </c>
      <c r="W901" s="29">
        <f t="shared" si="291"/>
        <v>-1.49E-2</v>
      </c>
      <c r="X901" s="30">
        <f t="shared" si="292"/>
        <v>107.15</v>
      </c>
      <c r="Y901" s="31">
        <f t="shared" si="293"/>
        <v>101.28</v>
      </c>
    </row>
    <row r="902" spans="1:25" ht="15" customHeight="1" x14ac:dyDescent="0.25">
      <c r="A902" s="5">
        <v>37031</v>
      </c>
      <c r="B902">
        <v>1088.1974</v>
      </c>
      <c r="C902" s="29">
        <f t="shared" si="297"/>
        <v>-6.9999999999999999E-4</v>
      </c>
      <c r="D902">
        <v>-0.41</v>
      </c>
      <c r="E902">
        <v>0.747</v>
      </c>
      <c r="F902" s="18">
        <f t="shared" si="284"/>
        <v>1.0799999999999992</v>
      </c>
      <c r="G902" s="18">
        <f t="shared" si="285"/>
        <v>3.6479999999999997</v>
      </c>
      <c r="H902">
        <v>7.63</v>
      </c>
      <c r="I902">
        <v>2.62</v>
      </c>
      <c r="J902">
        <f t="shared" si="294"/>
        <v>5.13</v>
      </c>
      <c r="K902" s="6">
        <f t="shared" si="295"/>
        <v>5.19</v>
      </c>
      <c r="L902" s="6">
        <f t="shared" si="296"/>
        <v>-0.10999999999999943</v>
      </c>
      <c r="M902">
        <v>-5.1987469253381997</v>
      </c>
      <c r="N902">
        <v>394250</v>
      </c>
      <c r="O902" s="18">
        <f>ROUND(N902/VLOOKUP(EOMONTH(A902,-1),Employment!A:P,16,FALSE),4)</f>
        <v>1.8378000000000001</v>
      </c>
      <c r="P902" s="18">
        <f t="shared" si="286"/>
        <v>1.8389</v>
      </c>
      <c r="Q902" s="29">
        <f t="shared" si="287"/>
        <v>0.39950000000000002</v>
      </c>
      <c r="R902" s="29">
        <f t="shared" si="288"/>
        <v>1.43E-2</v>
      </c>
      <c r="S902">
        <v>2732000</v>
      </c>
      <c r="T902" s="18">
        <f>ROUND((S902/7)/VLOOKUP(EOMONTH(A902,-1),Employment!A:P,16,FALSE),4)</f>
        <v>1.8192999999999999</v>
      </c>
      <c r="U902" s="18">
        <f t="shared" si="289"/>
        <v>1.8194999999999999</v>
      </c>
      <c r="V902" s="29">
        <f t="shared" si="290"/>
        <v>0.33839999999999998</v>
      </c>
      <c r="W902" s="29">
        <f t="shared" si="291"/>
        <v>-2.8500000000000001E-2</v>
      </c>
      <c r="X902" s="30">
        <f t="shared" si="292"/>
        <v>101.19</v>
      </c>
      <c r="Y902" s="31">
        <f t="shared" si="293"/>
        <v>90.21</v>
      </c>
    </row>
    <row r="903" spans="1:25" ht="15" customHeight="1" x14ac:dyDescent="0.25">
      <c r="A903" s="5">
        <v>37024</v>
      </c>
      <c r="B903">
        <v>1088.4188999999999</v>
      </c>
      <c r="C903" s="29">
        <f t="shared" si="297"/>
        <v>-5.9999999999999995E-4</v>
      </c>
      <c r="D903">
        <v>-0.37</v>
      </c>
      <c r="E903">
        <v>0.83199999999999996</v>
      </c>
      <c r="F903" s="18">
        <f t="shared" si="284"/>
        <v>1.5960000000000001</v>
      </c>
      <c r="G903" s="18">
        <f t="shared" si="285"/>
        <v>3.6680000000000001</v>
      </c>
      <c r="H903">
        <v>7.6</v>
      </c>
      <c r="I903">
        <v>2.67</v>
      </c>
      <c r="J903">
        <f t="shared" si="294"/>
        <v>5.14</v>
      </c>
      <c r="K903" s="6">
        <f t="shared" si="295"/>
        <v>5.3</v>
      </c>
      <c r="L903" s="6">
        <f t="shared" si="296"/>
        <v>-0.20999999999999996</v>
      </c>
      <c r="M903">
        <v>-6.3250483738087997</v>
      </c>
      <c r="N903">
        <v>392500</v>
      </c>
      <c r="O903" s="18">
        <f>ROUND(N903/VLOOKUP(EOMONTH(A903,-1),Employment!A:P,16,FALSE),4)</f>
        <v>1.8295999999999999</v>
      </c>
      <c r="P903" s="18">
        <f t="shared" si="286"/>
        <v>1.8364</v>
      </c>
      <c r="Q903" s="29">
        <f t="shared" si="287"/>
        <v>0.42570000000000002</v>
      </c>
      <c r="R903" s="29">
        <f t="shared" si="288"/>
        <v>-3.8999999999999998E-3</v>
      </c>
      <c r="S903">
        <v>2728000</v>
      </c>
      <c r="T903" s="18">
        <f>ROUND((S903/7)/VLOOKUP(EOMONTH(A903,-1),Employment!A:P,16,FALSE),4)</f>
        <v>1.8166</v>
      </c>
      <c r="U903" s="18">
        <f t="shared" si="289"/>
        <v>1.8223</v>
      </c>
      <c r="V903" s="29">
        <f t="shared" si="290"/>
        <v>0.34639999999999999</v>
      </c>
      <c r="W903" s="29">
        <f t="shared" si="291"/>
        <v>-3.6900000000000002E-2</v>
      </c>
      <c r="X903" s="30">
        <f t="shared" si="292"/>
        <v>86.81</v>
      </c>
      <c r="Y903" s="31">
        <f t="shared" si="293"/>
        <v>75.89</v>
      </c>
    </row>
    <row r="904" spans="1:25" ht="15" customHeight="1" x14ac:dyDescent="0.25">
      <c r="A904" s="5">
        <v>37017</v>
      </c>
      <c r="B904">
        <v>1088.1475</v>
      </c>
      <c r="C904" s="29">
        <f t="shared" si="297"/>
        <v>-1.8E-3</v>
      </c>
      <c r="D904">
        <v>-0.32</v>
      </c>
      <c r="E904">
        <v>0.96899999999999997</v>
      </c>
      <c r="F904" s="18">
        <f t="shared" si="284"/>
        <v>0.97200000000000042</v>
      </c>
      <c r="G904" s="18">
        <f t="shared" si="285"/>
        <v>2.6519999999999992</v>
      </c>
      <c r="H904">
        <v>7.86</v>
      </c>
      <c r="I904">
        <v>2.73</v>
      </c>
      <c r="J904">
        <f t="shared" si="294"/>
        <v>5.3</v>
      </c>
      <c r="K904" s="6">
        <f t="shared" si="295"/>
        <v>5.51</v>
      </c>
      <c r="L904" s="6">
        <f t="shared" si="296"/>
        <v>-0.12999999999999989</v>
      </c>
      <c r="M904">
        <v>-7.8111839088717003</v>
      </c>
      <c r="N904">
        <v>396750</v>
      </c>
      <c r="O904" s="18">
        <f>ROUND(N904/VLOOKUP(EOMONTH(A904,-1),Employment!A:P,16,FALSE),4)</f>
        <v>1.8493999999999999</v>
      </c>
      <c r="P904" s="18">
        <f t="shared" si="286"/>
        <v>1.8281000000000001</v>
      </c>
      <c r="Q904" s="29">
        <f t="shared" si="287"/>
        <v>0.44159999999999999</v>
      </c>
      <c r="R904" s="29">
        <f t="shared" si="288"/>
        <v>-1.5699999999999999E-2</v>
      </c>
      <c r="S904">
        <v>2737000</v>
      </c>
      <c r="T904" s="18">
        <f>ROUND((S904/7)/VLOOKUP(EOMONTH(A904,-1),Employment!A:P,16,FALSE),4)</f>
        <v>1.8226</v>
      </c>
      <c r="U904" s="18">
        <f t="shared" si="289"/>
        <v>1.7905</v>
      </c>
      <c r="V904" s="29">
        <f t="shared" si="290"/>
        <v>0.32240000000000002</v>
      </c>
      <c r="W904" s="29">
        <f t="shared" si="291"/>
        <v>-3.9199999999999999E-2</v>
      </c>
      <c r="X904" s="30">
        <f t="shared" si="292"/>
        <v>71.239999999999995</v>
      </c>
      <c r="Y904" s="31">
        <f t="shared" si="293"/>
        <v>62.83</v>
      </c>
    </row>
    <row r="905" spans="1:25" ht="15" customHeight="1" x14ac:dyDescent="0.25">
      <c r="A905" s="5">
        <v>37010</v>
      </c>
      <c r="B905">
        <v>1089.0781999999999</v>
      </c>
      <c r="C905" s="29">
        <f t="shared" si="297"/>
        <v>-1.4E-3</v>
      </c>
      <c r="D905">
        <v>-0.27</v>
      </c>
      <c r="E905">
        <v>1.028</v>
      </c>
      <c r="F905" s="18">
        <f t="shared" si="284"/>
        <v>1.0999999999999996</v>
      </c>
      <c r="G905" s="18">
        <f t="shared" si="285"/>
        <v>0.66800000000000015</v>
      </c>
      <c r="H905">
        <v>8.17</v>
      </c>
      <c r="I905">
        <v>2.76</v>
      </c>
      <c r="J905">
        <f t="shared" si="294"/>
        <v>5.47</v>
      </c>
      <c r="K905" s="6">
        <f t="shared" si="295"/>
        <v>5.64</v>
      </c>
      <c r="L905" s="6">
        <f t="shared" si="296"/>
        <v>-0.14000000000000057</v>
      </c>
      <c r="M905">
        <v>-8.8663179880838996</v>
      </c>
      <c r="N905">
        <v>392250</v>
      </c>
      <c r="O905" s="18">
        <f>ROUND(N905/VLOOKUP(EOMONTH(A905,-1),Employment!A:P,16,FALSE),4)</f>
        <v>1.8303</v>
      </c>
      <c r="P905" s="18">
        <f t="shared" si="286"/>
        <v>1.8170999999999999</v>
      </c>
      <c r="Q905" s="29">
        <f t="shared" si="287"/>
        <v>0.43909999999999999</v>
      </c>
      <c r="R905" s="29">
        <f t="shared" si="288"/>
        <v>-2.2499999999999999E-2</v>
      </c>
      <c r="S905">
        <v>2742000</v>
      </c>
      <c r="T905" s="18">
        <f>ROUND((S905/7)/VLOOKUP(EOMONTH(A905,-1),Employment!A:P,16,FALSE),4)</f>
        <v>1.8278000000000001</v>
      </c>
      <c r="U905" s="18">
        <f t="shared" si="289"/>
        <v>1.7652000000000001</v>
      </c>
      <c r="V905" s="29">
        <f t="shared" si="290"/>
        <v>0.30509999999999998</v>
      </c>
      <c r="W905" s="29">
        <f t="shared" si="291"/>
        <v>-2.7E-2</v>
      </c>
      <c r="X905" s="30">
        <f t="shared" si="292"/>
        <v>60.2</v>
      </c>
      <c r="Y905" s="31">
        <f t="shared" si="293"/>
        <v>50.81</v>
      </c>
    </row>
    <row r="906" spans="1:25" ht="15" customHeight="1" x14ac:dyDescent="0.25">
      <c r="A906" s="5">
        <v>37003</v>
      </c>
      <c r="B906">
        <v>1090.1587</v>
      </c>
      <c r="C906" s="29">
        <f t="shared" si="297"/>
        <v>-8.9999999999999998E-4</v>
      </c>
      <c r="D906">
        <v>-0.22</v>
      </c>
      <c r="E906">
        <v>1.103</v>
      </c>
      <c r="F906" s="18">
        <f t="shared" si="284"/>
        <v>0.57999999999999918</v>
      </c>
      <c r="G906" s="18">
        <f t="shared" si="285"/>
        <v>-0.83599999999999941</v>
      </c>
      <c r="H906">
        <v>8.64</v>
      </c>
      <c r="I906">
        <v>2.87</v>
      </c>
      <c r="J906">
        <f t="shared" si="294"/>
        <v>5.76</v>
      </c>
      <c r="K906" s="6">
        <f t="shared" si="295"/>
        <v>5.78</v>
      </c>
      <c r="L906" s="6">
        <f t="shared" si="296"/>
        <v>4.0000000000000036E-2</v>
      </c>
      <c r="M906">
        <v>-9.6554743494265001</v>
      </c>
      <c r="N906">
        <v>386750</v>
      </c>
      <c r="O906" s="18">
        <f>ROUND(N906/VLOOKUP(EOMONTH(A906,-1),Employment!A:P,16,FALSE),4)</f>
        <v>1.8047</v>
      </c>
      <c r="P906" s="18">
        <f t="shared" si="286"/>
        <v>1.8105</v>
      </c>
      <c r="Q906" s="29">
        <f t="shared" si="287"/>
        <v>0.4284</v>
      </c>
      <c r="R906" s="29">
        <f t="shared" si="288"/>
        <v>-0.03</v>
      </c>
      <c r="S906">
        <v>2582000</v>
      </c>
      <c r="T906" s="18">
        <f>ROUND((S906/7)/VLOOKUP(EOMONTH(A906,-1),Employment!A:P,16,FALSE),4)</f>
        <v>1.7212000000000001</v>
      </c>
      <c r="U906" s="18">
        <f t="shared" si="289"/>
        <v>1.7306999999999999</v>
      </c>
      <c r="V906" s="29">
        <f t="shared" si="290"/>
        <v>0.25740000000000002</v>
      </c>
      <c r="W906" s="29">
        <f t="shared" si="291"/>
        <v>-2.6599999999999999E-2</v>
      </c>
      <c r="X906" s="30">
        <f t="shared" si="292"/>
        <v>48.400000000000006</v>
      </c>
      <c r="Y906" s="31">
        <f t="shared" si="293"/>
        <v>38.46</v>
      </c>
    </row>
    <row r="907" spans="1:25" ht="15" customHeight="1" x14ac:dyDescent="0.25">
      <c r="A907" s="5">
        <v>36996</v>
      </c>
      <c r="B907">
        <v>1088.9511</v>
      </c>
      <c r="C907" s="29">
        <f t="shared" si="297"/>
        <v>-3.0999999999999999E-3</v>
      </c>
      <c r="D907">
        <v>-0.19</v>
      </c>
      <c r="E907">
        <v>1.1379999999999999</v>
      </c>
      <c r="F907" s="18">
        <f t="shared" si="284"/>
        <v>-1.0119999999999987</v>
      </c>
      <c r="G907" s="18">
        <f t="shared" si="285"/>
        <v>-2.4919999999999991</v>
      </c>
      <c r="H907">
        <v>8.44</v>
      </c>
      <c r="I907">
        <v>2.92</v>
      </c>
      <c r="J907">
        <f t="shared" si="294"/>
        <v>5.68</v>
      </c>
      <c r="K907" s="6">
        <f t="shared" si="295"/>
        <v>5.74</v>
      </c>
      <c r="L907" s="6">
        <f t="shared" si="296"/>
        <v>9.9999999999997868E-3</v>
      </c>
      <c r="M907">
        <v>-9.9579548021382003</v>
      </c>
      <c r="N907">
        <v>389250</v>
      </c>
      <c r="O907" s="18">
        <f>ROUND(N907/VLOOKUP(EOMONTH(A907,-1),Employment!A:P,16,FALSE),4)</f>
        <v>1.8163</v>
      </c>
      <c r="P907" s="18">
        <f t="shared" si="286"/>
        <v>1.8109</v>
      </c>
      <c r="Q907" s="29">
        <f t="shared" si="287"/>
        <v>0.4138</v>
      </c>
      <c r="R907" s="29">
        <f t="shared" si="288"/>
        <v>-4.3499999999999997E-2</v>
      </c>
      <c r="S907">
        <v>2620000</v>
      </c>
      <c r="T907" s="18">
        <f>ROUND((S907/7)/VLOOKUP(EOMONTH(A907,-1),Employment!A:P,16,FALSE),4)</f>
        <v>1.7464999999999999</v>
      </c>
      <c r="U907" s="18">
        <f t="shared" si="289"/>
        <v>1.7358</v>
      </c>
      <c r="V907" s="29">
        <f t="shared" si="290"/>
        <v>0.25619999999999998</v>
      </c>
      <c r="W907" s="29">
        <f t="shared" si="291"/>
        <v>-3.0599999999999999E-2</v>
      </c>
      <c r="X907" s="30">
        <f t="shared" si="292"/>
        <v>33.370000000000005</v>
      </c>
      <c r="Y907" s="31">
        <f t="shared" si="293"/>
        <v>29.53</v>
      </c>
    </row>
    <row r="908" spans="1:25" ht="15" customHeight="1" x14ac:dyDescent="0.25">
      <c r="A908" s="5">
        <v>36989</v>
      </c>
      <c r="B908">
        <v>1092.2360000000001</v>
      </c>
      <c r="C908" s="29">
        <f t="shared" si="297"/>
        <v>-1.1999999999999999E-3</v>
      </c>
      <c r="D908">
        <v>-0.16</v>
      </c>
      <c r="E908">
        <v>0.97399999999999998</v>
      </c>
      <c r="F908" s="18">
        <f t="shared" si="284"/>
        <v>-0.40399999999999991</v>
      </c>
      <c r="G908" s="18">
        <f t="shared" si="285"/>
        <v>-2.8400000000000003</v>
      </c>
      <c r="H908">
        <v>8.75</v>
      </c>
      <c r="I908">
        <v>3.06</v>
      </c>
      <c r="J908">
        <f t="shared" si="294"/>
        <v>5.91</v>
      </c>
      <c r="K908" s="6">
        <f t="shared" si="295"/>
        <v>5.73</v>
      </c>
      <c r="L908" s="6">
        <f t="shared" si="296"/>
        <v>0.13000000000000078</v>
      </c>
      <c r="M908">
        <v>-9.6418842020688995</v>
      </c>
      <c r="N908">
        <v>388000</v>
      </c>
      <c r="O908" s="18">
        <f>ROUND(N908/VLOOKUP(EOMONTH(A908,-1),Employment!A:P,16,FALSE),4)</f>
        <v>1.8105</v>
      </c>
      <c r="P908" s="18">
        <f t="shared" si="286"/>
        <v>1.8109999999999999</v>
      </c>
      <c r="Q908" s="29">
        <f t="shared" si="287"/>
        <v>0.40050000000000002</v>
      </c>
      <c r="R908" s="29">
        <f t="shared" si="288"/>
        <v>-5.62E-2</v>
      </c>
      <c r="S908">
        <v>2587000</v>
      </c>
      <c r="T908" s="18">
        <f>ROUND((S908/7)/VLOOKUP(EOMONTH(A908,-1),Employment!A:P,16,FALSE),4)</f>
        <v>1.7244999999999999</v>
      </c>
      <c r="U908" s="18">
        <f t="shared" si="289"/>
        <v>1.7223999999999999</v>
      </c>
      <c r="V908" s="29">
        <f t="shared" si="290"/>
        <v>0.23150000000000001</v>
      </c>
      <c r="W908" s="29">
        <f t="shared" si="291"/>
        <v>-3.49E-2</v>
      </c>
      <c r="X908" s="30">
        <f t="shared" si="292"/>
        <v>26.349999999999994</v>
      </c>
      <c r="Y908" s="31">
        <f t="shared" si="293"/>
        <v>29.39</v>
      </c>
    </row>
    <row r="909" spans="1:25" ht="15" customHeight="1" x14ac:dyDescent="0.25">
      <c r="A909" s="5">
        <v>36982</v>
      </c>
      <c r="B909">
        <v>1091.0233000000001</v>
      </c>
      <c r="C909" s="29">
        <f t="shared" si="297"/>
        <v>-2.8999999999999998E-3</v>
      </c>
      <c r="D909">
        <v>-0.19</v>
      </c>
      <c r="E909">
        <v>0.96099999999999997</v>
      </c>
      <c r="F909" s="18">
        <f t="shared" si="284"/>
        <v>-1.0760000000000005</v>
      </c>
      <c r="G909" s="18">
        <f t="shared" si="285"/>
        <v>-2.3519999999999999</v>
      </c>
      <c r="H909">
        <v>8.1999999999999993</v>
      </c>
      <c r="I909">
        <v>3.04</v>
      </c>
      <c r="J909">
        <f t="shared" si="294"/>
        <v>5.62</v>
      </c>
      <c r="K909" s="6">
        <f t="shared" si="295"/>
        <v>5.6</v>
      </c>
      <c r="L909" s="6">
        <f t="shared" si="296"/>
        <v>0.13999999999999968</v>
      </c>
      <c r="M909">
        <v>-8.9709774230401997</v>
      </c>
      <c r="N909">
        <v>387000</v>
      </c>
      <c r="O909" s="18">
        <f>ROUND(N909/VLOOKUP(EOMONTH(A909,-1),Employment!A:P,16,FALSE),4)</f>
        <v>1.8058000000000001</v>
      </c>
      <c r="P909" s="18">
        <f t="shared" si="286"/>
        <v>1.7995000000000001</v>
      </c>
      <c r="Q909" s="29">
        <f t="shared" si="287"/>
        <v>0.3745</v>
      </c>
      <c r="R909" s="29">
        <f t="shared" si="288"/>
        <v>-5.96E-2</v>
      </c>
      <c r="S909">
        <v>2605000</v>
      </c>
      <c r="T909" s="18">
        <f>ROUND((S909/7)/VLOOKUP(EOMONTH(A909,-1),Employment!A:P,16,FALSE),4)</f>
        <v>1.7364999999999999</v>
      </c>
      <c r="U909" s="18">
        <f t="shared" si="289"/>
        <v>1.7163999999999999</v>
      </c>
      <c r="V909" s="29">
        <f t="shared" si="290"/>
        <v>0.22090000000000001</v>
      </c>
      <c r="W909" s="29">
        <f t="shared" si="291"/>
        <v>-2.9499999999999998E-2</v>
      </c>
      <c r="X909" s="30">
        <f t="shared" si="292"/>
        <v>27.860000000000014</v>
      </c>
      <c r="Y909" s="31">
        <f t="shared" si="293"/>
        <v>37.82</v>
      </c>
    </row>
    <row r="910" spans="1:25" ht="15" customHeight="1" x14ac:dyDescent="0.25">
      <c r="A910" s="5">
        <v>36975</v>
      </c>
      <c r="B910">
        <v>1092.2796000000001</v>
      </c>
      <c r="C910" s="29">
        <f t="shared" si="297"/>
        <v>-1.6999999999999999E-3</v>
      </c>
      <c r="D910">
        <v>-0.22</v>
      </c>
      <c r="E910">
        <v>0.86399999999999999</v>
      </c>
      <c r="F910" s="18">
        <f t="shared" si="284"/>
        <v>-1.3599999999999999</v>
      </c>
      <c r="G910" s="18">
        <f t="shared" si="285"/>
        <v>-1.1000000000000001</v>
      </c>
      <c r="H910">
        <v>8.3000000000000007</v>
      </c>
      <c r="I910">
        <v>3.04</v>
      </c>
      <c r="J910">
        <f t="shared" si="294"/>
        <v>5.67</v>
      </c>
      <c r="K910" s="6">
        <f t="shared" si="295"/>
        <v>5.46</v>
      </c>
      <c r="L910" s="6">
        <f t="shared" si="296"/>
        <v>0.13999999999999968</v>
      </c>
      <c r="M910">
        <v>-8.4460051725616001</v>
      </c>
      <c r="N910">
        <v>389000</v>
      </c>
      <c r="O910" s="18">
        <f>ROUND(N910/VLOOKUP(EOMONTH(A910,-1),Employment!A:P,16,FALSE),4)</f>
        <v>1.8168</v>
      </c>
      <c r="P910" s="18">
        <f t="shared" si="286"/>
        <v>1.7786999999999999</v>
      </c>
      <c r="Q910" s="29">
        <f t="shared" si="287"/>
        <v>0.33810000000000001</v>
      </c>
      <c r="R910" s="29">
        <f t="shared" si="288"/>
        <v>-5.1900000000000002E-2</v>
      </c>
      <c r="S910">
        <v>2557000</v>
      </c>
      <c r="T910" s="18">
        <f>ROUND((S910/7)/VLOOKUP(EOMONTH(A910,-1),Employment!A:P,16,FALSE),4)</f>
        <v>1.7060999999999999</v>
      </c>
      <c r="U910" s="18">
        <f t="shared" si="289"/>
        <v>1.6949000000000001</v>
      </c>
      <c r="V910" s="29">
        <f t="shared" si="290"/>
        <v>0.1852</v>
      </c>
      <c r="W910" s="29">
        <f t="shared" si="291"/>
        <v>-2.4400000000000002E-2</v>
      </c>
      <c r="X910" s="30">
        <f t="shared" si="292"/>
        <v>40.819999999999993</v>
      </c>
      <c r="Y910" s="31">
        <f t="shared" si="293"/>
        <v>50.49</v>
      </c>
    </row>
    <row r="911" spans="1:25" ht="15" customHeight="1" x14ac:dyDescent="0.25">
      <c r="A911" s="5">
        <v>36968</v>
      </c>
      <c r="B911">
        <v>1093.7293999999999</v>
      </c>
      <c r="C911" s="29">
        <f t="shared" si="297"/>
        <v>-5.9999999999999995E-4</v>
      </c>
      <c r="D911">
        <v>-0.26</v>
      </c>
      <c r="E911">
        <v>0.74399999999999999</v>
      </c>
      <c r="F911" s="18">
        <f t="shared" ref="F911:F974" si="298">(((D911*10)+(E911*8))*-1)-(((D912*10)+(E912*8))*-1)</f>
        <v>8.4000000000000519E-2</v>
      </c>
      <c r="G911" s="18">
        <f t="shared" ref="G911:G974" si="299">SUM(F911:F913)</f>
        <v>-0.70400000000000018</v>
      </c>
      <c r="H911">
        <v>8</v>
      </c>
      <c r="I911">
        <v>3.03</v>
      </c>
      <c r="J911">
        <f t="shared" si="294"/>
        <v>5.52</v>
      </c>
      <c r="K911" s="6">
        <f t="shared" si="295"/>
        <v>5.32</v>
      </c>
      <c r="L911" s="6">
        <f t="shared" si="296"/>
        <v>8.0000000000000071E-2</v>
      </c>
      <c r="M911">
        <v>-7.9485231537708003</v>
      </c>
      <c r="N911">
        <v>380250</v>
      </c>
      <c r="O911" s="18">
        <f>ROUND(N911/VLOOKUP(EOMONTH(A911,-1),Employment!A:P,16,FALSE),4)</f>
        <v>1.776</v>
      </c>
      <c r="P911" s="18">
        <f t="shared" ref="P911:P974" si="300">ROUND(AVERAGE(O911:O913),4)</f>
        <v>1.7511000000000001</v>
      </c>
      <c r="Q911" s="29">
        <f t="shared" ref="Q911:Q974" si="301">ROUND((P911/P963)-1,4)</f>
        <v>0.2913</v>
      </c>
      <c r="R911" s="29">
        <f t="shared" ref="R911:R974" si="302">ROUND(AVERAGE(Q911:Q912)-AVERAGE(Q911:Q915),4)*-1</f>
        <v>-3.9399999999999998E-2</v>
      </c>
      <c r="S911">
        <v>2558000</v>
      </c>
      <c r="T911" s="18">
        <f>ROUND((S911/7)/VLOOKUP(EOMONTH(A911,-1),Employment!A:P,16,FALSE),4)</f>
        <v>1.7067000000000001</v>
      </c>
      <c r="U911" s="18">
        <f t="shared" ref="U911:U974" si="303">ROUND(AVERAGE(T911:T913),4)</f>
        <v>1.6858</v>
      </c>
      <c r="V911" s="29">
        <f t="shared" ref="V911:V974" si="304">ROUND((U911/U963)-1,4)</f>
        <v>0.17269999999999999</v>
      </c>
      <c r="W911" s="29">
        <f t="shared" ref="W911:W974" si="305">ROUND(AVERAGE(V911:V912)-AVERAGE(V911:V915),4)*-1</f>
        <v>-1.44E-2</v>
      </c>
      <c r="X911" s="30">
        <f t="shared" ref="X911:X974" si="306">IF(ROUND((C911*500)-(D911*10)-(E911*8)+(M911*1.2)-(P911*23)-(Q911*10)+(R911*600)-(U911*2)-(V911*5)+(W911*100)-(K911*5)-(L911*5)+(G911*3),2)+170&lt;0,0,ROUND((C911*500)-(D911*10)-(E911*8)+(M911*1.2)-(P911*23)-(Q911*10)+(R911*600)-(U911*2)-(V911*5)+(W911*100)-(K911*5)-(L911*5)+(G911*3),2)+170)</f>
        <v>55.19</v>
      </c>
      <c r="Y911" s="31">
        <f t="shared" ref="Y911:Y974" si="307">ROUND(AVERAGE(AVERAGE(X911:X912),AVERAGE(X911:X913)),2)</f>
        <v>60.58</v>
      </c>
    </row>
    <row r="912" spans="1:25" ht="15" customHeight="1" x14ac:dyDescent="0.25">
      <c r="A912" s="5">
        <v>36961</v>
      </c>
      <c r="B912">
        <v>1096.9703999999999</v>
      </c>
      <c r="C912" s="29">
        <f t="shared" si="297"/>
        <v>2.8E-3</v>
      </c>
      <c r="D912">
        <v>-0.28999999999999998</v>
      </c>
      <c r="E912">
        <v>0.79200000000000004</v>
      </c>
      <c r="F912" s="18">
        <f t="shared" si="298"/>
        <v>0.17599999999999927</v>
      </c>
      <c r="G912" s="18">
        <f t="shared" si="299"/>
        <v>-0.81600000000000072</v>
      </c>
      <c r="H912">
        <v>7.53</v>
      </c>
      <c r="I912">
        <v>2.82</v>
      </c>
      <c r="J912">
        <f t="shared" ref="J912:J975" si="308">ROUND(AVERAGE(H912:I912),2)</f>
        <v>5.18</v>
      </c>
      <c r="K912" s="6">
        <f t="shared" ref="K912:K975" si="309">ROUND(AVERAGE(J912:J914),2)</f>
        <v>5.24</v>
      </c>
      <c r="L912" s="6">
        <f t="shared" ref="L912:L975" si="310">K912-K913</f>
        <v>9.9999999999997868E-3</v>
      </c>
      <c r="M912">
        <v>-7.5030204331746999</v>
      </c>
      <c r="N912">
        <v>373250</v>
      </c>
      <c r="O912" s="18">
        <f>ROUND(N912/VLOOKUP(EOMONTH(A912,-1),Employment!A:P,16,FALSE),4)</f>
        <v>1.7433000000000001</v>
      </c>
      <c r="P912" s="18">
        <f t="shared" si="300"/>
        <v>1.7282999999999999</v>
      </c>
      <c r="Q912" s="29">
        <f t="shared" si="301"/>
        <v>0.25190000000000001</v>
      </c>
      <c r="R912" s="29">
        <f t="shared" si="302"/>
        <v>-3.3399999999999999E-2</v>
      </c>
      <c r="S912">
        <v>2506000</v>
      </c>
      <c r="T912" s="18">
        <f>ROUND((S912/7)/VLOOKUP(EOMONTH(A912,-1),Employment!A:P,16,FALSE),4)</f>
        <v>1.6719999999999999</v>
      </c>
      <c r="U912" s="18">
        <f t="shared" si="303"/>
        <v>1.659</v>
      </c>
      <c r="V912" s="29">
        <f t="shared" si="304"/>
        <v>0.14610000000000001</v>
      </c>
      <c r="W912" s="29">
        <f t="shared" si="305"/>
        <v>-9.5999999999999992E-3</v>
      </c>
      <c r="X912" s="30">
        <f t="shared" si="306"/>
        <v>62.94</v>
      </c>
      <c r="Y912" s="31">
        <f t="shared" si="307"/>
        <v>68.239999999999995</v>
      </c>
    </row>
    <row r="913" spans="1:25" ht="15" customHeight="1" x14ac:dyDescent="0.25">
      <c r="A913" s="5">
        <v>36954</v>
      </c>
      <c r="B913">
        <v>1093.8742999999999</v>
      </c>
      <c r="C913" s="29">
        <f t="shared" si="297"/>
        <v>-8.9999999999999998E-4</v>
      </c>
      <c r="D913">
        <v>-0.31</v>
      </c>
      <c r="E913">
        <v>0.83899999999999997</v>
      </c>
      <c r="F913" s="18">
        <f t="shared" si="298"/>
        <v>-0.96399999999999997</v>
      </c>
      <c r="G913" s="18">
        <f t="shared" si="299"/>
        <v>3.6000000000000476E-2</v>
      </c>
      <c r="H913">
        <v>7.64</v>
      </c>
      <c r="I913">
        <v>2.87</v>
      </c>
      <c r="J913">
        <f t="shared" si="308"/>
        <v>5.26</v>
      </c>
      <c r="K913" s="6">
        <f t="shared" si="309"/>
        <v>5.23</v>
      </c>
      <c r="L913" s="6">
        <f t="shared" si="310"/>
        <v>2.0000000000000462E-2</v>
      </c>
      <c r="M913">
        <v>-6.8628509233103001</v>
      </c>
      <c r="N913">
        <v>371250</v>
      </c>
      <c r="O913" s="18">
        <f>ROUND(N913/VLOOKUP(EOMONTH(A913,-1),Employment!A:P,16,FALSE),4)</f>
        <v>1.7339</v>
      </c>
      <c r="P913" s="18">
        <f t="shared" si="300"/>
        <v>1.7105999999999999</v>
      </c>
      <c r="Q913" s="29">
        <f t="shared" si="301"/>
        <v>0.2276</v>
      </c>
      <c r="R913" s="29">
        <f t="shared" si="302"/>
        <v>-2.86E-2</v>
      </c>
      <c r="S913">
        <v>2516000</v>
      </c>
      <c r="T913" s="18">
        <f>ROUND((S913/7)/VLOOKUP(EOMONTH(A913,-1),Employment!A:P,16,FALSE),4)</f>
        <v>1.6787000000000001</v>
      </c>
      <c r="U913" s="18">
        <f t="shared" si="303"/>
        <v>1.6557999999999999</v>
      </c>
      <c r="V913" s="29">
        <f t="shared" si="304"/>
        <v>0.14299999999999999</v>
      </c>
      <c r="W913" s="29">
        <f t="shared" si="305"/>
        <v>-5.7000000000000002E-3</v>
      </c>
      <c r="X913" s="30">
        <f t="shared" si="306"/>
        <v>68.180000000000007</v>
      </c>
      <c r="Y913" s="31">
        <f t="shared" si="307"/>
        <v>79.239999999999995</v>
      </c>
    </row>
    <row r="914" spans="1:25" ht="15" customHeight="1" x14ac:dyDescent="0.25">
      <c r="A914" s="5">
        <v>36947</v>
      </c>
      <c r="B914">
        <v>1091.9258</v>
      </c>
      <c r="C914" s="29">
        <f t="shared" ref="C914:C977" si="311">ROUND((B914-AVERAGE(B915:B918))/AVERAGE(B915:B918),4)</f>
        <v>-3.0999999999999999E-3</v>
      </c>
      <c r="D914">
        <v>-0.32</v>
      </c>
      <c r="E914">
        <v>0.73099999999999998</v>
      </c>
      <c r="F914" s="18">
        <f t="shared" si="298"/>
        <v>-2.8000000000000025E-2</v>
      </c>
      <c r="G914" s="18">
        <f t="shared" si="299"/>
        <v>1.9120000000000008</v>
      </c>
      <c r="H914">
        <v>7.67</v>
      </c>
      <c r="I914">
        <v>2.86</v>
      </c>
      <c r="J914">
        <f t="shared" si="308"/>
        <v>5.27</v>
      </c>
      <c r="K914" s="6">
        <f t="shared" si="309"/>
        <v>5.21</v>
      </c>
      <c r="L914" s="6">
        <f t="shared" si="310"/>
        <v>3.0000000000000249E-2</v>
      </c>
      <c r="M914">
        <v>-5.9367656607766</v>
      </c>
      <c r="N914">
        <v>365250</v>
      </c>
      <c r="O914" s="18">
        <f>ROUND(N914/VLOOKUP(EOMONTH(A914,-1),Employment!A:P,16,FALSE),4)</f>
        <v>1.7077</v>
      </c>
      <c r="P914" s="18">
        <f t="shared" si="300"/>
        <v>1.6777</v>
      </c>
      <c r="Q914" s="29">
        <f t="shared" si="301"/>
        <v>0.20530000000000001</v>
      </c>
      <c r="R914" s="29">
        <f t="shared" si="302"/>
        <v>-1.7999999999999999E-2</v>
      </c>
      <c r="S914">
        <v>2435000</v>
      </c>
      <c r="T914" s="18">
        <f>ROUND((S914/7)/VLOOKUP(EOMONTH(A914,-1),Employment!A:P,16,FALSE),4)</f>
        <v>1.6264000000000001</v>
      </c>
      <c r="U914" s="18">
        <f t="shared" si="303"/>
        <v>1.6395</v>
      </c>
      <c r="V914" s="29">
        <f t="shared" si="304"/>
        <v>0.12590000000000001</v>
      </c>
      <c r="W914" s="29">
        <f t="shared" si="305"/>
        <v>-1.21E-2</v>
      </c>
      <c r="X914" s="30">
        <f t="shared" si="306"/>
        <v>81.66</v>
      </c>
      <c r="Y914" s="31">
        <f t="shared" si="307"/>
        <v>95.18</v>
      </c>
    </row>
    <row r="915" spans="1:25" ht="15" customHeight="1" x14ac:dyDescent="0.25">
      <c r="A915" s="5">
        <v>36940</v>
      </c>
      <c r="B915">
        <v>1094.7357</v>
      </c>
      <c r="C915" s="29">
        <f t="shared" si="311"/>
        <v>1E-4</v>
      </c>
      <c r="D915">
        <v>-0.31</v>
      </c>
      <c r="E915">
        <v>0.71499999999999997</v>
      </c>
      <c r="F915" s="18">
        <f t="shared" si="298"/>
        <v>1.0280000000000005</v>
      </c>
      <c r="G915" s="18">
        <f t="shared" si="299"/>
        <v>2.7120000000000011</v>
      </c>
      <c r="H915">
        <v>7.49</v>
      </c>
      <c r="I915">
        <v>2.81</v>
      </c>
      <c r="J915">
        <f t="shared" si="308"/>
        <v>5.15</v>
      </c>
      <c r="K915" s="6">
        <f t="shared" si="309"/>
        <v>5.18</v>
      </c>
      <c r="L915" s="6">
        <f t="shared" si="310"/>
        <v>-7.0000000000000284E-2</v>
      </c>
      <c r="M915">
        <v>-4.8974902452854003</v>
      </c>
      <c r="N915">
        <v>361500</v>
      </c>
      <c r="O915" s="18">
        <f>ROUND(N915/VLOOKUP(EOMONTH(A915,-1),Employment!A:P,16,FALSE),4)</f>
        <v>1.6900999999999999</v>
      </c>
      <c r="P915" s="18">
        <f t="shared" si="300"/>
        <v>1.6383000000000001</v>
      </c>
      <c r="Q915" s="29">
        <f t="shared" si="301"/>
        <v>0.18509999999999999</v>
      </c>
      <c r="R915" s="29">
        <f t="shared" si="302"/>
        <v>3.0000000000000001E-3</v>
      </c>
      <c r="S915">
        <v>2489000</v>
      </c>
      <c r="T915" s="18">
        <f>ROUND((S915/7)/VLOOKUP(EOMONTH(A915,-1),Employment!A:P,16,FALSE),4)</f>
        <v>1.6624000000000001</v>
      </c>
      <c r="U915" s="18">
        <f t="shared" si="303"/>
        <v>1.6358999999999999</v>
      </c>
      <c r="V915" s="29">
        <f t="shared" si="304"/>
        <v>0.13750000000000001</v>
      </c>
      <c r="W915" s="29">
        <f t="shared" si="305"/>
        <v>-1.6400000000000001E-2</v>
      </c>
      <c r="X915" s="30">
        <f t="shared" si="306"/>
        <v>100.81</v>
      </c>
      <c r="Y915" s="31">
        <f t="shared" si="307"/>
        <v>109.88</v>
      </c>
    </row>
    <row r="916" spans="1:25" ht="15" customHeight="1" x14ac:dyDescent="0.25">
      <c r="A916" s="5">
        <v>36933</v>
      </c>
      <c r="B916">
        <v>1095.0341000000001</v>
      </c>
      <c r="C916" s="29">
        <f t="shared" si="311"/>
        <v>1.2999999999999999E-3</v>
      </c>
      <c r="D916">
        <v>-0.28000000000000003</v>
      </c>
      <c r="E916">
        <v>0.80600000000000005</v>
      </c>
      <c r="F916" s="18">
        <f t="shared" si="298"/>
        <v>0.91200000000000037</v>
      </c>
      <c r="G916" s="18">
        <f t="shared" si="299"/>
        <v>3.2559999999999989</v>
      </c>
      <c r="H916">
        <v>7.63</v>
      </c>
      <c r="I916">
        <v>2.79</v>
      </c>
      <c r="J916">
        <f t="shared" si="308"/>
        <v>5.21</v>
      </c>
      <c r="K916" s="6">
        <f t="shared" si="309"/>
        <v>5.25</v>
      </c>
      <c r="L916" s="6">
        <f t="shared" si="310"/>
        <v>-8.0000000000000071E-2</v>
      </c>
      <c r="M916">
        <v>-4.1374461047965996</v>
      </c>
      <c r="N916">
        <v>349750</v>
      </c>
      <c r="O916" s="18">
        <f>ROUND(N916/VLOOKUP(EOMONTH(A916,-1),Employment!A:P,16,FALSE),4)</f>
        <v>1.6352</v>
      </c>
      <c r="P916" s="18">
        <f t="shared" si="300"/>
        <v>1.6016999999999999</v>
      </c>
      <c r="Q916" s="29">
        <f t="shared" si="301"/>
        <v>0.1618</v>
      </c>
      <c r="R916" s="29">
        <f t="shared" si="302"/>
        <v>2.1299999999999999E-2</v>
      </c>
      <c r="S916">
        <v>2440000</v>
      </c>
      <c r="T916" s="18">
        <f>ROUND((S916/7)/VLOOKUP(EOMONTH(A916,-1),Employment!A:P,16,FALSE),4)</f>
        <v>1.6296999999999999</v>
      </c>
      <c r="U916" s="18">
        <f t="shared" si="303"/>
        <v>1.6092</v>
      </c>
      <c r="V916" s="29">
        <f t="shared" si="304"/>
        <v>0.12230000000000001</v>
      </c>
      <c r="W916" s="29">
        <f t="shared" si="305"/>
        <v>-1.52E-2</v>
      </c>
      <c r="X916" s="30">
        <f t="shared" si="306"/>
        <v>114.93</v>
      </c>
      <c r="Y916" s="31">
        <f t="shared" si="307"/>
        <v>115.33</v>
      </c>
    </row>
    <row r="917" spans="1:25" ht="15" customHeight="1" x14ac:dyDescent="0.25">
      <c r="A917" s="5">
        <v>36926</v>
      </c>
      <c r="B917">
        <v>1097.8793000000001</v>
      </c>
      <c r="C917" s="29">
        <f t="shared" si="311"/>
        <v>5.7000000000000002E-3</v>
      </c>
      <c r="D917">
        <v>-0.24</v>
      </c>
      <c r="E917">
        <v>0.87</v>
      </c>
      <c r="F917" s="18">
        <f t="shared" si="298"/>
        <v>0.77200000000000024</v>
      </c>
      <c r="G917" s="18">
        <f t="shared" si="299"/>
        <v>4.1240000000000006</v>
      </c>
      <c r="H917">
        <v>7.73</v>
      </c>
      <c r="I917">
        <v>2.63</v>
      </c>
      <c r="J917">
        <f t="shared" si="308"/>
        <v>5.18</v>
      </c>
      <c r="K917" s="6">
        <f t="shared" si="309"/>
        <v>5.33</v>
      </c>
      <c r="L917" s="6">
        <f t="shared" si="310"/>
        <v>-0.13999999999999968</v>
      </c>
      <c r="M917">
        <v>-4.7184565256416002</v>
      </c>
      <c r="N917">
        <v>340000</v>
      </c>
      <c r="O917" s="18">
        <f>ROUND(N917/VLOOKUP(EOMONTH(A917,-1),Employment!A:P,16,FALSE),4)</f>
        <v>1.5895999999999999</v>
      </c>
      <c r="P917" s="18">
        <f t="shared" si="300"/>
        <v>1.5914999999999999</v>
      </c>
      <c r="Q917" s="29">
        <f t="shared" si="301"/>
        <v>0.15939999999999999</v>
      </c>
      <c r="R917" s="29">
        <f t="shared" si="302"/>
        <v>2.3400000000000001E-2</v>
      </c>
      <c r="S917">
        <v>2419000</v>
      </c>
      <c r="T917" s="18">
        <f>ROUND((S917/7)/VLOOKUP(EOMONTH(A917,-1),Employment!A:P,16,FALSE),4)</f>
        <v>1.6156999999999999</v>
      </c>
      <c r="U917" s="18">
        <f t="shared" si="303"/>
        <v>1.5911</v>
      </c>
      <c r="V917" s="29">
        <f t="shared" si="304"/>
        <v>0.11509999999999999</v>
      </c>
      <c r="W917" s="29">
        <f t="shared" si="305"/>
        <v>-1.21E-2</v>
      </c>
      <c r="X917" s="30">
        <f t="shared" si="306"/>
        <v>119.92</v>
      </c>
      <c r="Y917" s="31">
        <f t="shared" si="307"/>
        <v>108.26</v>
      </c>
    </row>
    <row r="918" spans="1:25" ht="15" customHeight="1" x14ac:dyDescent="0.25">
      <c r="A918" s="5">
        <v>36919</v>
      </c>
      <c r="B918">
        <v>1093.6169</v>
      </c>
      <c r="C918" s="29">
        <f t="shared" si="311"/>
        <v>3.0000000000000001E-3</v>
      </c>
      <c r="D918">
        <v>-0.19</v>
      </c>
      <c r="E918">
        <v>0.90400000000000003</v>
      </c>
      <c r="F918" s="18">
        <f t="shared" si="298"/>
        <v>1.5719999999999983</v>
      </c>
      <c r="G918" s="18">
        <f t="shared" si="299"/>
        <v>3.895999999999999</v>
      </c>
      <c r="H918">
        <v>8.0500000000000007</v>
      </c>
      <c r="I918">
        <v>2.65</v>
      </c>
      <c r="J918">
        <f t="shared" si="308"/>
        <v>5.35</v>
      </c>
      <c r="K918" s="6">
        <f t="shared" si="309"/>
        <v>5.47</v>
      </c>
      <c r="L918" s="6">
        <f t="shared" si="310"/>
        <v>-0.23000000000000043</v>
      </c>
      <c r="M918">
        <v>-6.4690714482373002</v>
      </c>
      <c r="N918">
        <v>337750</v>
      </c>
      <c r="O918" s="18">
        <f>ROUND(N918/VLOOKUP(EOMONTH(A918,-1),Employment!A:P,16,FALSE),4)</f>
        <v>1.5802</v>
      </c>
      <c r="P918" s="18">
        <f t="shared" si="300"/>
        <v>1.6106</v>
      </c>
      <c r="Q918" s="29">
        <f t="shared" si="301"/>
        <v>0.17430000000000001</v>
      </c>
      <c r="R918" s="29">
        <f t="shared" si="302"/>
        <v>7.9000000000000008E-3</v>
      </c>
      <c r="S918">
        <v>2367000</v>
      </c>
      <c r="T918" s="18">
        <f>ROUND((S918/7)/VLOOKUP(EOMONTH(A918,-1),Employment!A:P,16,FALSE),4)</f>
        <v>1.5821000000000001</v>
      </c>
      <c r="U918" s="18">
        <f t="shared" si="303"/>
        <v>1.5823</v>
      </c>
      <c r="V918" s="29">
        <f t="shared" si="304"/>
        <v>9.7299999999999998E-2</v>
      </c>
      <c r="W918" s="29">
        <f t="shared" si="305"/>
        <v>-1.34E-2</v>
      </c>
      <c r="X918" s="30">
        <f t="shared" si="306"/>
        <v>104.86</v>
      </c>
      <c r="Y918" s="31">
        <f t="shared" si="307"/>
        <v>91.39</v>
      </c>
    </row>
    <row r="919" spans="1:25" ht="15" customHeight="1" x14ac:dyDescent="0.25">
      <c r="A919" s="5">
        <v>36912</v>
      </c>
      <c r="B919">
        <v>1092.1731</v>
      </c>
      <c r="C919" s="29">
        <f t="shared" si="311"/>
        <v>4.8999999999999998E-3</v>
      </c>
      <c r="D919">
        <v>-0.12</v>
      </c>
      <c r="E919">
        <v>1.0129999999999999</v>
      </c>
      <c r="F919" s="18">
        <f t="shared" si="298"/>
        <v>1.780000000000002</v>
      </c>
      <c r="G919" s="18">
        <f t="shared" si="299"/>
        <v>3.7360000000000015</v>
      </c>
      <c r="H919">
        <v>8.2100000000000009</v>
      </c>
      <c r="I919">
        <v>2.7</v>
      </c>
      <c r="J919">
        <f t="shared" si="308"/>
        <v>5.46</v>
      </c>
      <c r="K919" s="6">
        <f t="shared" si="309"/>
        <v>5.7</v>
      </c>
      <c r="L919" s="6">
        <f t="shared" si="310"/>
        <v>-0.16000000000000014</v>
      </c>
      <c r="M919">
        <v>-7.9321071119791</v>
      </c>
      <c r="N919">
        <v>343000</v>
      </c>
      <c r="O919" s="18">
        <f>ROUND(N919/VLOOKUP(EOMONTH(A919,-1),Employment!A:P,16,FALSE),4)</f>
        <v>1.6048</v>
      </c>
      <c r="P919" s="18">
        <f t="shared" si="300"/>
        <v>1.6266</v>
      </c>
      <c r="Q919" s="29">
        <f t="shared" si="301"/>
        <v>0.2014</v>
      </c>
      <c r="R919" s="29">
        <f t="shared" si="302"/>
        <v>-1.21E-2</v>
      </c>
      <c r="S919">
        <v>2357000</v>
      </c>
      <c r="T919" s="18">
        <f>ROUND((S919/7)/VLOOKUP(EOMONTH(A919,-1),Employment!A:P,16,FALSE),4)</f>
        <v>1.5753999999999999</v>
      </c>
      <c r="U919" s="18">
        <f t="shared" si="303"/>
        <v>1.5763</v>
      </c>
      <c r="V919" s="29">
        <f t="shared" si="304"/>
        <v>9.5399999999999999E-2</v>
      </c>
      <c r="W919" s="29">
        <f t="shared" si="305"/>
        <v>-1.6199999999999999E-2</v>
      </c>
      <c r="X919" s="30">
        <f t="shared" si="306"/>
        <v>87.6</v>
      </c>
      <c r="Y919" s="31">
        <f t="shared" si="307"/>
        <v>75.38</v>
      </c>
    </row>
    <row r="920" spans="1:25" ht="15" customHeight="1" x14ac:dyDescent="0.25">
      <c r="A920" s="5">
        <v>36905</v>
      </c>
      <c r="B920">
        <v>1090.6242</v>
      </c>
      <c r="C920" s="29">
        <f t="shared" si="311"/>
        <v>5.7000000000000002E-3</v>
      </c>
      <c r="D920">
        <v>-7.0000000000000007E-2</v>
      </c>
      <c r="E920">
        <v>1.173</v>
      </c>
      <c r="F920" s="18">
        <f t="shared" si="298"/>
        <v>0.54399999999999871</v>
      </c>
      <c r="G920" s="18">
        <f t="shared" si="299"/>
        <v>-0.25600000000000023</v>
      </c>
      <c r="H920">
        <v>8.3800000000000008</v>
      </c>
      <c r="I920">
        <v>2.8</v>
      </c>
      <c r="J920">
        <f t="shared" si="308"/>
        <v>5.59</v>
      </c>
      <c r="K920" s="6">
        <f t="shared" si="309"/>
        <v>5.86</v>
      </c>
      <c r="L920" s="6">
        <f t="shared" si="310"/>
        <v>-0.12999999999999989</v>
      </c>
      <c r="M920">
        <v>-8.8336937836821008</v>
      </c>
      <c r="N920">
        <v>352000</v>
      </c>
      <c r="O920" s="18">
        <f>ROUND(N920/VLOOKUP(EOMONTH(A920,-1),Employment!A:P,16,FALSE),4)</f>
        <v>1.6469</v>
      </c>
      <c r="P920" s="18">
        <f t="shared" si="300"/>
        <v>1.6291</v>
      </c>
      <c r="Q920" s="29">
        <f t="shared" si="301"/>
        <v>0.21279999999999999</v>
      </c>
      <c r="R920" s="29">
        <f t="shared" si="302"/>
        <v>-2.06E-2</v>
      </c>
      <c r="S920">
        <v>2378000</v>
      </c>
      <c r="T920" s="18">
        <f>ROUND((S920/7)/VLOOKUP(EOMONTH(A920,-1),Employment!A:P,16,FALSE),4)</f>
        <v>1.5893999999999999</v>
      </c>
      <c r="U920" s="18">
        <f t="shared" si="303"/>
        <v>1.5689</v>
      </c>
      <c r="V920" s="29">
        <f t="shared" si="304"/>
        <v>8.7499999999999994E-2</v>
      </c>
      <c r="W920" s="29">
        <f t="shared" si="305"/>
        <v>-1.4200000000000001E-2</v>
      </c>
      <c r="X920" s="30">
        <f t="shared" si="306"/>
        <v>67.19</v>
      </c>
      <c r="Y920" s="31">
        <f t="shared" si="307"/>
        <v>65.09</v>
      </c>
    </row>
    <row r="921" spans="1:25" ht="15" customHeight="1" x14ac:dyDescent="0.25">
      <c r="A921" s="5">
        <v>36898</v>
      </c>
      <c r="B921">
        <v>1090.3474000000001</v>
      </c>
      <c r="C921" s="29">
        <f t="shared" si="311"/>
        <v>7.7999999999999996E-3</v>
      </c>
      <c r="D921">
        <v>-0.01</v>
      </c>
      <c r="E921">
        <v>1.1659999999999999</v>
      </c>
      <c r="F921" s="18">
        <f t="shared" si="298"/>
        <v>1.4120000000000008</v>
      </c>
      <c r="G921" s="18">
        <f t="shared" si="299"/>
        <v>-1.0679999999999996</v>
      </c>
      <c r="H921">
        <v>9.1199999999999992</v>
      </c>
      <c r="I921">
        <v>2.99</v>
      </c>
      <c r="J921">
        <f t="shared" si="308"/>
        <v>6.06</v>
      </c>
      <c r="K921" s="6">
        <f t="shared" si="309"/>
        <v>5.99</v>
      </c>
      <c r="L921" s="6">
        <f t="shared" si="310"/>
        <v>7.0000000000000284E-2</v>
      </c>
      <c r="M921">
        <v>-8.1726545422894006</v>
      </c>
      <c r="N921">
        <v>348000</v>
      </c>
      <c r="O921" s="18">
        <f>ROUND(N921/VLOOKUP(EOMONTH(A921,-1),Employment!A:P,16,FALSE),4)</f>
        <v>1.6282000000000001</v>
      </c>
      <c r="P921" s="18">
        <f t="shared" si="300"/>
        <v>1.6143000000000001</v>
      </c>
      <c r="Q921" s="29">
        <f t="shared" si="301"/>
        <v>0.2034</v>
      </c>
      <c r="R921" s="29">
        <f t="shared" si="302"/>
        <v>-2.12E-2</v>
      </c>
      <c r="S921">
        <v>2340000</v>
      </c>
      <c r="T921" s="18">
        <f>ROUND((S921/7)/VLOOKUP(EOMONTH(A921,-1),Employment!A:P,16,FALSE),4)</f>
        <v>1.5640000000000001</v>
      </c>
      <c r="U921" s="18">
        <f t="shared" si="303"/>
        <v>1.5438000000000001</v>
      </c>
      <c r="V921" s="29">
        <f t="shared" si="304"/>
        <v>7.5200000000000003E-2</v>
      </c>
      <c r="W921" s="29">
        <f t="shared" si="305"/>
        <v>-6.7999999999999996E-3</v>
      </c>
      <c r="X921" s="30">
        <f t="shared" si="306"/>
        <v>65.33</v>
      </c>
      <c r="Y921" s="31">
        <f t="shared" si="307"/>
        <v>60.85</v>
      </c>
    </row>
    <row r="922" spans="1:25" ht="15" customHeight="1" x14ac:dyDescent="0.25">
      <c r="A922" s="5">
        <v>36891</v>
      </c>
      <c r="B922">
        <v>1088.2702999999999</v>
      </c>
      <c r="C922" s="29">
        <f t="shared" si="311"/>
        <v>7.4999999999999997E-3</v>
      </c>
      <c r="D922">
        <v>-0.02</v>
      </c>
      <c r="E922">
        <v>1.355</v>
      </c>
      <c r="F922" s="18">
        <f t="shared" si="298"/>
        <v>-2.2119999999999997</v>
      </c>
      <c r="G922" s="18">
        <f t="shared" si="299"/>
        <v>-3.3800000000000008</v>
      </c>
      <c r="H922">
        <v>9</v>
      </c>
      <c r="I922">
        <v>2.88</v>
      </c>
      <c r="J922">
        <f t="shared" si="308"/>
        <v>5.94</v>
      </c>
      <c r="K922" s="6">
        <f t="shared" si="309"/>
        <v>5.92</v>
      </c>
      <c r="L922" s="6">
        <f t="shared" si="310"/>
        <v>9.9999999999997868E-3</v>
      </c>
      <c r="M922">
        <v>-6.6390543786044001</v>
      </c>
      <c r="N922">
        <v>344250</v>
      </c>
      <c r="O922" s="18">
        <f>ROUND(N922/VLOOKUP(EOMONTH(A922,-1),Employment!A:P,16,FALSE),4)</f>
        <v>1.6121000000000001</v>
      </c>
      <c r="P922" s="18">
        <f t="shared" si="300"/>
        <v>1.5972999999999999</v>
      </c>
      <c r="Q922" s="29">
        <f t="shared" si="301"/>
        <v>0.18679999999999999</v>
      </c>
      <c r="R922" s="29">
        <f t="shared" si="302"/>
        <v>-2.2100000000000002E-2</v>
      </c>
      <c r="S922">
        <v>2322000</v>
      </c>
      <c r="T922" s="18">
        <f>ROUND((S922/7)/VLOOKUP(EOMONTH(A922,-1),Employment!A:P,16,FALSE),4)</f>
        <v>1.5533999999999999</v>
      </c>
      <c r="U922" s="18">
        <f t="shared" si="303"/>
        <v>1.5195000000000001</v>
      </c>
      <c r="V922" s="29">
        <f t="shared" si="304"/>
        <v>5.9299999999999999E-2</v>
      </c>
      <c r="W922" s="29">
        <f t="shared" si="305"/>
        <v>-8.8999999999999999E-3</v>
      </c>
      <c r="X922" s="30">
        <f t="shared" si="306"/>
        <v>59.260000000000005</v>
      </c>
      <c r="Y922" s="31">
        <f t="shared" si="307"/>
        <v>55.09</v>
      </c>
    </row>
    <row r="923" spans="1:25" ht="15" customHeight="1" x14ac:dyDescent="0.25">
      <c r="A923" s="5">
        <v>36884</v>
      </c>
      <c r="B923">
        <v>1078.0763999999999</v>
      </c>
      <c r="C923" s="29">
        <f t="shared" si="311"/>
        <v>-3.2000000000000002E-3</v>
      </c>
      <c r="D923">
        <v>-0.05</v>
      </c>
      <c r="E923">
        <v>1.1160000000000001</v>
      </c>
      <c r="F923" s="18">
        <f t="shared" si="298"/>
        <v>-0.26800000000000068</v>
      </c>
      <c r="G923" s="18">
        <f t="shared" si="299"/>
        <v>-2.3360000000000003</v>
      </c>
      <c r="H923">
        <v>9.06</v>
      </c>
      <c r="I923">
        <v>2.9</v>
      </c>
      <c r="J923">
        <f t="shared" si="308"/>
        <v>5.98</v>
      </c>
      <c r="K923" s="6">
        <f t="shared" si="309"/>
        <v>5.91</v>
      </c>
      <c r="L923" s="6">
        <f t="shared" si="310"/>
        <v>4.9999999999999822E-2</v>
      </c>
      <c r="M923">
        <v>-6.2319099905756996</v>
      </c>
      <c r="N923">
        <v>342250</v>
      </c>
      <c r="O923" s="18">
        <f>ROUND(N923/VLOOKUP(EOMONTH(A923,-1),Employment!A:P,16,FALSE),4)</f>
        <v>1.6027</v>
      </c>
      <c r="P923" s="18">
        <f t="shared" si="300"/>
        <v>1.5844</v>
      </c>
      <c r="Q923" s="29">
        <f t="shared" si="301"/>
        <v>0.17069999999999999</v>
      </c>
      <c r="R923" s="29">
        <f t="shared" si="302"/>
        <v>-3.1399999999999997E-2</v>
      </c>
      <c r="S923">
        <v>2263000</v>
      </c>
      <c r="T923" s="18">
        <f>ROUND((S923/7)/VLOOKUP(EOMONTH(A923,-1),Employment!A:P,16,FALSE),4)</f>
        <v>1.5139</v>
      </c>
      <c r="U923" s="18">
        <f t="shared" si="303"/>
        <v>1.5135000000000001</v>
      </c>
      <c r="V923" s="29">
        <f t="shared" si="304"/>
        <v>5.91E-2</v>
      </c>
      <c r="W923" s="29">
        <f t="shared" si="305"/>
        <v>-1.7299999999999999E-2</v>
      </c>
      <c r="X923" s="30">
        <f t="shared" si="306"/>
        <v>53.650000000000006</v>
      </c>
      <c r="Y923" s="31">
        <f t="shared" si="307"/>
        <v>50.82</v>
      </c>
    </row>
    <row r="924" spans="1:25" ht="15" customHeight="1" x14ac:dyDescent="0.25">
      <c r="A924" s="5">
        <v>36877</v>
      </c>
      <c r="B924">
        <v>1080.9962</v>
      </c>
      <c r="C924" s="29">
        <f t="shared" si="311"/>
        <v>5.9999999999999995E-4</v>
      </c>
      <c r="D924">
        <v>-0.1</v>
      </c>
      <c r="E924">
        <v>1.145</v>
      </c>
      <c r="F924" s="18">
        <f t="shared" si="298"/>
        <v>-0.90000000000000036</v>
      </c>
      <c r="G924" s="18">
        <f t="shared" si="299"/>
        <v>-2.636000000000001</v>
      </c>
      <c r="H924">
        <v>8.8800000000000008</v>
      </c>
      <c r="I924">
        <v>2.77</v>
      </c>
      <c r="J924">
        <f t="shared" si="308"/>
        <v>5.83</v>
      </c>
      <c r="K924" s="6">
        <f t="shared" si="309"/>
        <v>5.86</v>
      </c>
      <c r="L924" s="6">
        <f t="shared" si="310"/>
        <v>0.11000000000000032</v>
      </c>
      <c r="M924">
        <v>-5.8695830240919999</v>
      </c>
      <c r="N924">
        <v>336750</v>
      </c>
      <c r="O924" s="18">
        <f>ROUND(N924/VLOOKUP(EOMONTH(A924,-1),Employment!A:P,16,FALSE),4)</f>
        <v>1.577</v>
      </c>
      <c r="P924" s="18">
        <f t="shared" si="300"/>
        <v>1.5719000000000001</v>
      </c>
      <c r="Q924" s="29">
        <f t="shared" si="301"/>
        <v>0.16389999999999999</v>
      </c>
      <c r="R924" s="29">
        <f t="shared" si="302"/>
        <v>-4.1700000000000001E-2</v>
      </c>
      <c r="S924">
        <v>2229000</v>
      </c>
      <c r="T924" s="18">
        <f>ROUND((S924/7)/VLOOKUP(EOMONTH(A924,-1),Employment!A:P,16,FALSE),4)</f>
        <v>1.4912000000000001</v>
      </c>
      <c r="U924" s="18">
        <f t="shared" si="303"/>
        <v>1.5169999999999999</v>
      </c>
      <c r="V924" s="29">
        <f t="shared" si="304"/>
        <v>5.4600000000000003E-2</v>
      </c>
      <c r="W924" s="29">
        <f t="shared" si="305"/>
        <v>-2.9600000000000001E-2</v>
      </c>
      <c r="X924" s="30">
        <f t="shared" si="306"/>
        <v>48.260000000000005</v>
      </c>
      <c r="Y924" s="31">
        <f t="shared" si="307"/>
        <v>50.95</v>
      </c>
    </row>
    <row r="925" spans="1:25" ht="15" customHeight="1" x14ac:dyDescent="0.25">
      <c r="A925" s="5">
        <v>36870</v>
      </c>
      <c r="B925">
        <v>1080.4915000000001</v>
      </c>
      <c r="C925" s="29">
        <f t="shared" si="311"/>
        <v>1E-4</v>
      </c>
      <c r="D925">
        <v>-0.15</v>
      </c>
      <c r="E925">
        <v>1.095</v>
      </c>
      <c r="F925" s="18">
        <f t="shared" si="298"/>
        <v>-1.1679999999999993</v>
      </c>
      <c r="G925" s="18">
        <f t="shared" si="299"/>
        <v>-1.8200000000000003</v>
      </c>
      <c r="H925">
        <v>9.09</v>
      </c>
      <c r="I925">
        <v>2.74</v>
      </c>
      <c r="J925">
        <f t="shared" si="308"/>
        <v>5.92</v>
      </c>
      <c r="K925" s="6">
        <f t="shared" si="309"/>
        <v>5.75</v>
      </c>
      <c r="L925" s="6">
        <f t="shared" si="310"/>
        <v>0.20999999999999996</v>
      </c>
      <c r="M925">
        <v>-5.7801817857042996</v>
      </c>
      <c r="N925">
        <v>336000</v>
      </c>
      <c r="O925" s="18">
        <f>ROUND(N925/VLOOKUP(EOMONTH(A925,-1),Employment!A:P,16,FALSE),4)</f>
        <v>1.5734999999999999</v>
      </c>
      <c r="P925" s="18">
        <f t="shared" si="300"/>
        <v>1.5468999999999999</v>
      </c>
      <c r="Q925" s="29">
        <f t="shared" si="301"/>
        <v>0.1447</v>
      </c>
      <c r="R925" s="29">
        <f t="shared" si="302"/>
        <v>-4.5499999999999999E-2</v>
      </c>
      <c r="S925">
        <v>2295000</v>
      </c>
      <c r="T925" s="18">
        <f>ROUND((S925/7)/VLOOKUP(EOMONTH(A925,-1),Employment!A:P,16,FALSE),4)</f>
        <v>1.5353000000000001</v>
      </c>
      <c r="U925" s="18">
        <f t="shared" si="303"/>
        <v>1.5022</v>
      </c>
      <c r="V925" s="29">
        <f t="shared" si="304"/>
        <v>5.3999999999999999E-2</v>
      </c>
      <c r="W925" s="29">
        <f t="shared" si="305"/>
        <v>-2.8199999999999999E-2</v>
      </c>
      <c r="X925" s="30">
        <f t="shared" si="306"/>
        <v>50.17</v>
      </c>
      <c r="Y925" s="31">
        <f t="shared" si="307"/>
        <v>57.89</v>
      </c>
    </row>
    <row r="926" spans="1:25" ht="15" customHeight="1" x14ac:dyDescent="0.25">
      <c r="A926" s="5">
        <v>36863</v>
      </c>
      <c r="B926">
        <v>1081.2563</v>
      </c>
      <c r="C926" s="29">
        <f t="shared" si="311"/>
        <v>1.1000000000000001E-3</v>
      </c>
      <c r="D926">
        <v>-0.19</v>
      </c>
      <c r="E926">
        <v>0.999</v>
      </c>
      <c r="F926" s="18">
        <f t="shared" si="298"/>
        <v>-0.56800000000000139</v>
      </c>
      <c r="G926" s="18">
        <f t="shared" si="299"/>
        <v>-0.83200000000000074</v>
      </c>
      <c r="H926">
        <v>8.98</v>
      </c>
      <c r="I926">
        <v>2.66</v>
      </c>
      <c r="J926">
        <f t="shared" si="308"/>
        <v>5.82</v>
      </c>
      <c r="K926" s="6">
        <f t="shared" si="309"/>
        <v>5.54</v>
      </c>
      <c r="L926" s="6">
        <f t="shared" si="310"/>
        <v>0.21999999999999975</v>
      </c>
      <c r="M926">
        <v>-5.6498784887475999</v>
      </c>
      <c r="N926">
        <v>334250</v>
      </c>
      <c r="O926" s="18">
        <f>ROUND(N926/VLOOKUP(EOMONTH(A926,-1),Employment!A:P,16,FALSE),4)</f>
        <v>1.5652999999999999</v>
      </c>
      <c r="P926" s="18">
        <f t="shared" si="300"/>
        <v>1.5085</v>
      </c>
      <c r="Q926" s="29">
        <f t="shared" si="301"/>
        <v>0.1172</v>
      </c>
      <c r="R926" s="29">
        <f t="shared" si="302"/>
        <v>-4.3400000000000001E-2</v>
      </c>
      <c r="S926">
        <v>2279000</v>
      </c>
      <c r="T926" s="18">
        <f>ROUND((S926/7)/VLOOKUP(EOMONTH(A926,-1),Employment!A:P,16,FALSE),4)</f>
        <v>1.5246</v>
      </c>
      <c r="U926" s="18">
        <f t="shared" si="303"/>
        <v>1.4612000000000001</v>
      </c>
      <c r="V926" s="29">
        <f t="shared" si="304"/>
        <v>2.47E-2</v>
      </c>
      <c r="W926" s="29">
        <f t="shared" si="305"/>
        <v>-1.7899999999999999E-2</v>
      </c>
      <c r="X926" s="30">
        <f t="shared" si="306"/>
        <v>59.64</v>
      </c>
      <c r="Y926" s="31">
        <f t="shared" si="307"/>
        <v>68.36</v>
      </c>
    </row>
    <row r="927" spans="1:25" ht="15" customHeight="1" x14ac:dyDescent="0.25">
      <c r="A927" s="5">
        <v>36856</v>
      </c>
      <c r="B927">
        <v>1083.2260000000001</v>
      </c>
      <c r="C927" s="29">
        <f t="shared" si="311"/>
        <v>4.7000000000000002E-3</v>
      </c>
      <c r="D927">
        <v>-0.23</v>
      </c>
      <c r="E927">
        <v>0.97799999999999998</v>
      </c>
      <c r="F927" s="18">
        <f t="shared" si="298"/>
        <v>-8.3999999999999631E-2</v>
      </c>
      <c r="G927" s="18">
        <f t="shared" si="299"/>
        <v>-1.9999999999999574E-2</v>
      </c>
      <c r="H927">
        <v>8.36</v>
      </c>
      <c r="I927">
        <v>2.63</v>
      </c>
      <c r="J927">
        <f t="shared" si="308"/>
        <v>5.5</v>
      </c>
      <c r="K927" s="6">
        <f t="shared" si="309"/>
        <v>5.32</v>
      </c>
      <c r="L927" s="6">
        <f t="shared" si="310"/>
        <v>0.12000000000000011</v>
      </c>
      <c r="M927">
        <v>-4.8093541332797001</v>
      </c>
      <c r="N927">
        <v>320500</v>
      </c>
      <c r="O927" s="18">
        <f>ROUND(N927/VLOOKUP(EOMONTH(A927,-1),Employment!A:P,16,FALSE),4)</f>
        <v>1.5018</v>
      </c>
      <c r="P927" s="18">
        <f t="shared" si="300"/>
        <v>1.4655</v>
      </c>
      <c r="Q927" s="29">
        <f t="shared" si="301"/>
        <v>8.2799999999999999E-2</v>
      </c>
      <c r="R927" s="29">
        <f t="shared" si="302"/>
        <v>-3.7999999999999999E-2</v>
      </c>
      <c r="S927">
        <v>2161000</v>
      </c>
      <c r="T927" s="18">
        <f>ROUND((S927/7)/VLOOKUP(EOMONTH(A927,-1),Employment!A:P,16,FALSE),4)</f>
        <v>1.4466000000000001</v>
      </c>
      <c r="U927" s="18">
        <f t="shared" si="303"/>
        <v>1.4274</v>
      </c>
      <c r="V927" s="29">
        <f t="shared" si="304"/>
        <v>5.4000000000000003E-3</v>
      </c>
      <c r="W927" s="29">
        <f t="shared" si="305"/>
        <v>-7.9000000000000008E-3</v>
      </c>
      <c r="X927" s="30">
        <f t="shared" si="306"/>
        <v>72.790000000000006</v>
      </c>
      <c r="Y927" s="31">
        <f t="shared" si="307"/>
        <v>78.98</v>
      </c>
    </row>
    <row r="928" spans="1:25" ht="15" customHeight="1" x14ac:dyDescent="0.25">
      <c r="A928" s="5">
        <v>36849</v>
      </c>
      <c r="B928">
        <v>1076.4028000000001</v>
      </c>
      <c r="C928" s="29">
        <f t="shared" si="311"/>
        <v>-1.6999999999999999E-3</v>
      </c>
      <c r="D928">
        <v>-0.24</v>
      </c>
      <c r="E928">
        <v>0.98</v>
      </c>
      <c r="F928" s="18">
        <f t="shared" si="298"/>
        <v>-0.17999999999999972</v>
      </c>
      <c r="G928" s="18">
        <f t="shared" si="299"/>
        <v>0.65600000000000058</v>
      </c>
      <c r="H928">
        <v>7.99</v>
      </c>
      <c r="I928">
        <v>2.58</v>
      </c>
      <c r="J928">
        <f t="shared" si="308"/>
        <v>5.29</v>
      </c>
      <c r="K928" s="6">
        <f t="shared" si="309"/>
        <v>5.2</v>
      </c>
      <c r="L928" s="6">
        <f t="shared" si="310"/>
        <v>6.0000000000000497E-2</v>
      </c>
      <c r="M928">
        <v>-4.2679259396490998</v>
      </c>
      <c r="N928">
        <v>311250</v>
      </c>
      <c r="O928" s="18">
        <f>ROUND(N928/VLOOKUP(EOMONTH(A928,-1),Employment!A:P,16,FALSE),4)</f>
        <v>1.4584999999999999</v>
      </c>
      <c r="P928" s="18">
        <f t="shared" si="300"/>
        <v>1.4351</v>
      </c>
      <c r="Q928" s="29">
        <f t="shared" si="301"/>
        <v>5.4399999999999997E-2</v>
      </c>
      <c r="R928" s="29">
        <f t="shared" si="302"/>
        <v>-3.0300000000000001E-2</v>
      </c>
      <c r="S928">
        <v>2110000</v>
      </c>
      <c r="T928" s="18">
        <f>ROUND((S928/7)/VLOOKUP(EOMONTH(A928,-1),Employment!A:P,16,FALSE),4)</f>
        <v>1.4125000000000001</v>
      </c>
      <c r="U928" s="18">
        <f t="shared" si="303"/>
        <v>1.4097999999999999</v>
      </c>
      <c r="V928" s="29">
        <f t="shared" si="304"/>
        <v>-1.5100000000000001E-2</v>
      </c>
      <c r="W928" s="29">
        <f t="shared" si="305"/>
        <v>-7.1000000000000004E-3</v>
      </c>
      <c r="X928" s="30">
        <f t="shared" si="306"/>
        <v>79.069999999999993</v>
      </c>
      <c r="Y928" s="31">
        <f t="shared" si="307"/>
        <v>89.5</v>
      </c>
    </row>
    <row r="929" spans="1:25" ht="15" customHeight="1" x14ac:dyDescent="0.25">
      <c r="A929" s="5">
        <v>36842</v>
      </c>
      <c r="B929">
        <v>1080.7433000000001</v>
      </c>
      <c r="C929" s="29">
        <f t="shared" si="311"/>
        <v>3.3E-3</v>
      </c>
      <c r="D929">
        <v>-0.23</v>
      </c>
      <c r="E929">
        <v>0.94499999999999995</v>
      </c>
      <c r="F929" s="18">
        <f t="shared" si="298"/>
        <v>0.24399999999999977</v>
      </c>
      <c r="G929" s="18">
        <f t="shared" si="299"/>
        <v>1.1960000000000006</v>
      </c>
      <c r="H929">
        <v>7.85</v>
      </c>
      <c r="I929">
        <v>2.5</v>
      </c>
      <c r="J929">
        <f t="shared" si="308"/>
        <v>5.18</v>
      </c>
      <c r="K929" s="6">
        <f t="shared" si="309"/>
        <v>5.14</v>
      </c>
      <c r="L929" s="6">
        <f t="shared" si="310"/>
        <v>1.9999999999999574E-2</v>
      </c>
      <c r="M929">
        <v>-3.8524137767325</v>
      </c>
      <c r="N929">
        <v>306500</v>
      </c>
      <c r="O929" s="18">
        <f>ROUND(N929/VLOOKUP(EOMONTH(A929,-1),Employment!A:P,16,FALSE),4)</f>
        <v>1.4361999999999999</v>
      </c>
      <c r="P929" s="18">
        <f t="shared" si="300"/>
        <v>1.4160999999999999</v>
      </c>
      <c r="Q929" s="29">
        <f t="shared" si="301"/>
        <v>2.8299999999999999E-2</v>
      </c>
      <c r="R929" s="29">
        <f t="shared" si="302"/>
        <v>-1.3899999999999999E-2</v>
      </c>
      <c r="S929">
        <v>2126000</v>
      </c>
      <c r="T929" s="18">
        <f>ROUND((S929/7)/VLOOKUP(EOMONTH(A929,-1),Employment!A:P,16,FALSE),4)</f>
        <v>1.4232</v>
      </c>
      <c r="U929" s="18">
        <f t="shared" si="303"/>
        <v>1.4135</v>
      </c>
      <c r="V929" s="29">
        <f t="shared" si="304"/>
        <v>-1.3299999999999999E-2</v>
      </c>
      <c r="W929" s="29">
        <f t="shared" si="305"/>
        <v>-1.3599999999999999E-2</v>
      </c>
      <c r="X929" s="30">
        <f t="shared" si="306"/>
        <v>94.24</v>
      </c>
      <c r="Y929" s="31">
        <f t="shared" si="307"/>
        <v>100.85</v>
      </c>
    </row>
    <row r="930" spans="1:25" ht="15" customHeight="1" x14ac:dyDescent="0.25">
      <c r="A930" s="5">
        <v>36835</v>
      </c>
      <c r="B930">
        <v>1080.0639000000001</v>
      </c>
      <c r="C930" s="29">
        <f t="shared" si="311"/>
        <v>3.3E-3</v>
      </c>
      <c r="D930">
        <v>-0.22</v>
      </c>
      <c r="E930">
        <v>0.96299999999999997</v>
      </c>
      <c r="F930" s="18">
        <f t="shared" si="298"/>
        <v>0.59200000000000053</v>
      </c>
      <c r="G930" s="18">
        <f t="shared" si="299"/>
        <v>-2.3999999999999133E-2</v>
      </c>
      <c r="H930">
        <v>7.75</v>
      </c>
      <c r="I930">
        <v>2.52</v>
      </c>
      <c r="J930">
        <f t="shared" si="308"/>
        <v>5.14</v>
      </c>
      <c r="K930" s="6">
        <f t="shared" si="309"/>
        <v>5.12</v>
      </c>
      <c r="L930" s="6">
        <f t="shared" si="310"/>
        <v>4.9999999999999822E-2</v>
      </c>
      <c r="M930">
        <v>-2.9916958849626001</v>
      </c>
      <c r="N930">
        <v>301000</v>
      </c>
      <c r="O930" s="18">
        <f>ROUND(N930/VLOOKUP(EOMONTH(A930,-1),Employment!A:P,16,FALSE),4)</f>
        <v>1.4105000000000001</v>
      </c>
      <c r="P930" s="18">
        <f t="shared" si="300"/>
        <v>1.4017999999999999</v>
      </c>
      <c r="Q930" s="29">
        <f t="shared" si="301"/>
        <v>4.0000000000000002E-4</v>
      </c>
      <c r="R930" s="29">
        <f t="shared" si="302"/>
        <v>5.7999999999999996E-3</v>
      </c>
      <c r="S930">
        <v>2082000</v>
      </c>
      <c r="T930" s="18">
        <f>ROUND((S930/7)/VLOOKUP(EOMONTH(A930,-1),Employment!A:P,16,FALSE),4)</f>
        <v>1.3936999999999999</v>
      </c>
      <c r="U930" s="18">
        <f t="shared" si="303"/>
        <v>1.4156</v>
      </c>
      <c r="V930" s="29">
        <f t="shared" si="304"/>
        <v>-1.5900000000000001E-2</v>
      </c>
      <c r="W930" s="29">
        <f t="shared" si="305"/>
        <v>-1.4E-2</v>
      </c>
      <c r="X930" s="30">
        <f t="shared" si="306"/>
        <v>103.72</v>
      </c>
      <c r="Y930" s="31">
        <f t="shared" si="307"/>
        <v>108.6</v>
      </c>
    </row>
    <row r="931" spans="1:25" ht="15" customHeight="1" x14ac:dyDescent="0.25">
      <c r="A931" s="5">
        <v>36828</v>
      </c>
      <c r="B931">
        <v>1075.2538999999999</v>
      </c>
      <c r="C931" s="29">
        <f t="shared" si="311"/>
        <v>-1E-3</v>
      </c>
      <c r="D931">
        <v>-0.2</v>
      </c>
      <c r="E931">
        <v>1.012</v>
      </c>
      <c r="F931" s="18">
        <f t="shared" si="298"/>
        <v>0.36000000000000032</v>
      </c>
      <c r="G931" s="18">
        <f t="shared" si="299"/>
        <v>-0.89200000000000035</v>
      </c>
      <c r="H931">
        <v>7.62</v>
      </c>
      <c r="I931">
        <v>2.58</v>
      </c>
      <c r="J931">
        <f t="shared" si="308"/>
        <v>5.0999999999999996</v>
      </c>
      <c r="K931" s="6">
        <f t="shared" si="309"/>
        <v>5.07</v>
      </c>
      <c r="L931" s="6">
        <f t="shared" si="310"/>
        <v>0.14000000000000057</v>
      </c>
      <c r="M931">
        <v>-1.8015031800554999</v>
      </c>
      <c r="N931">
        <v>298750</v>
      </c>
      <c r="O931" s="18">
        <f>ROUND(N931/VLOOKUP(EOMONTH(A931,-1),Employment!A:P,16,FALSE),4)</f>
        <v>1.4015</v>
      </c>
      <c r="P931" s="18">
        <f t="shared" si="300"/>
        <v>1.4007000000000001</v>
      </c>
      <c r="Q931" s="29">
        <f t="shared" si="301"/>
        <v>-1.3100000000000001E-2</v>
      </c>
      <c r="R931" s="29">
        <f t="shared" si="302"/>
        <v>2.1899999999999999E-2</v>
      </c>
      <c r="S931">
        <v>2124000</v>
      </c>
      <c r="T931" s="18">
        <f>ROUND((S931/7)/VLOOKUP(EOMONTH(A931,-1),Employment!A:P,16,FALSE),4)</f>
        <v>1.4235</v>
      </c>
      <c r="U931" s="18">
        <f t="shared" si="303"/>
        <v>1.415</v>
      </c>
      <c r="V931" s="29">
        <f t="shared" si="304"/>
        <v>-2.4799999999999999E-2</v>
      </c>
      <c r="W931" s="29">
        <f t="shared" si="305"/>
        <v>-6.7000000000000002E-3</v>
      </c>
      <c r="X931" s="30">
        <f t="shared" si="306"/>
        <v>110.2</v>
      </c>
      <c r="Y931" s="31">
        <f t="shared" si="307"/>
        <v>114.28</v>
      </c>
    </row>
    <row r="932" spans="1:25" ht="15" customHeight="1" x14ac:dyDescent="0.25">
      <c r="A932" s="5">
        <v>36821</v>
      </c>
      <c r="B932">
        <v>1076.6704</v>
      </c>
      <c r="C932" s="29">
        <f t="shared" si="311"/>
        <v>2.8999999999999998E-3</v>
      </c>
      <c r="D932">
        <v>-0.18</v>
      </c>
      <c r="E932">
        <v>1.032</v>
      </c>
      <c r="F932" s="18">
        <f t="shared" si="298"/>
        <v>-0.97599999999999998</v>
      </c>
      <c r="G932" s="18">
        <f t="shared" si="299"/>
        <v>-1.4800000000000004</v>
      </c>
      <c r="H932">
        <v>7.59</v>
      </c>
      <c r="I932">
        <v>2.65</v>
      </c>
      <c r="J932">
        <f t="shared" si="308"/>
        <v>5.12</v>
      </c>
      <c r="K932" s="6">
        <f t="shared" si="309"/>
        <v>4.93</v>
      </c>
      <c r="L932" s="6">
        <f t="shared" si="310"/>
        <v>0.16000000000000014</v>
      </c>
      <c r="M932">
        <v>-0.82016760890151996</v>
      </c>
      <c r="N932">
        <v>297000</v>
      </c>
      <c r="O932" s="18">
        <f>ROUND(N932/VLOOKUP(EOMONTH(A932,-1),Employment!A:P,16,FALSE),4)</f>
        <v>1.3933</v>
      </c>
      <c r="P932" s="18">
        <f t="shared" si="300"/>
        <v>1.4027000000000001</v>
      </c>
      <c r="Q932" s="29">
        <f t="shared" si="301"/>
        <v>-1.4500000000000001E-2</v>
      </c>
      <c r="R932" s="29">
        <f t="shared" si="302"/>
        <v>2.8299999999999999E-2</v>
      </c>
      <c r="S932">
        <v>2133000</v>
      </c>
      <c r="T932" s="18">
        <f>ROUND((S932/7)/VLOOKUP(EOMONTH(A932,-1),Employment!A:P,16,FALSE),4)</f>
        <v>1.4295</v>
      </c>
      <c r="U932" s="18">
        <f t="shared" si="303"/>
        <v>1.4092</v>
      </c>
      <c r="V932" s="29">
        <f t="shared" si="304"/>
        <v>-3.73E-2</v>
      </c>
      <c r="W932" s="29">
        <f t="shared" si="305"/>
        <v>4.3E-3</v>
      </c>
      <c r="X932" s="30">
        <f t="shared" si="306"/>
        <v>116.78</v>
      </c>
      <c r="Y932" s="31">
        <f t="shared" si="307"/>
        <v>116.46</v>
      </c>
    </row>
    <row r="933" spans="1:25" ht="15" customHeight="1" x14ac:dyDescent="0.25">
      <c r="A933" s="5">
        <v>36814</v>
      </c>
      <c r="B933">
        <v>1076.9755</v>
      </c>
      <c r="C933" s="29">
        <f t="shared" si="311"/>
        <v>4.4000000000000003E-3</v>
      </c>
      <c r="D933">
        <v>-0.18</v>
      </c>
      <c r="E933">
        <v>0.91</v>
      </c>
      <c r="F933" s="18">
        <f t="shared" si="298"/>
        <v>-0.27600000000000069</v>
      </c>
      <c r="G933" s="18">
        <f t="shared" si="299"/>
        <v>-1.0240000000000009</v>
      </c>
      <c r="H933">
        <v>7.31</v>
      </c>
      <c r="I933">
        <v>2.64</v>
      </c>
      <c r="J933">
        <f t="shared" si="308"/>
        <v>4.9800000000000004</v>
      </c>
      <c r="K933" s="6">
        <f t="shared" si="309"/>
        <v>4.7699999999999996</v>
      </c>
      <c r="L933" s="6">
        <f t="shared" si="310"/>
        <v>0.14999999999999947</v>
      </c>
      <c r="M933">
        <v>-0.2313758910299</v>
      </c>
      <c r="N933">
        <v>300000</v>
      </c>
      <c r="O933" s="18">
        <f>ROUND(N933/VLOOKUP(EOMONTH(A933,-1),Employment!A:P,16,FALSE),4)</f>
        <v>1.4074</v>
      </c>
      <c r="P933" s="18">
        <f t="shared" si="300"/>
        <v>1.4109</v>
      </c>
      <c r="Q933" s="29">
        <f t="shared" si="301"/>
        <v>1.1000000000000001E-3</v>
      </c>
      <c r="R933" s="29">
        <f t="shared" si="302"/>
        <v>2.2800000000000001E-2</v>
      </c>
      <c r="S933">
        <v>2077000</v>
      </c>
      <c r="T933" s="18">
        <f>ROUND((S933/7)/VLOOKUP(EOMONTH(A933,-1),Employment!A:P,16,FALSE),4)</f>
        <v>1.3919999999999999</v>
      </c>
      <c r="U933" s="18">
        <f t="shared" si="303"/>
        <v>1.4051</v>
      </c>
      <c r="V933" s="29">
        <f t="shared" si="304"/>
        <v>-4.9799999999999997E-2</v>
      </c>
      <c r="W933" s="29">
        <f t="shared" si="305"/>
        <v>8.2000000000000007E-3</v>
      </c>
      <c r="X933" s="30">
        <f t="shared" si="306"/>
        <v>118.25</v>
      </c>
      <c r="Y933" s="31">
        <f t="shared" si="307"/>
        <v>112.1</v>
      </c>
    </row>
    <row r="934" spans="1:25" ht="15" customHeight="1" x14ac:dyDescent="0.25">
      <c r="A934" s="5">
        <v>36807</v>
      </c>
      <c r="B934">
        <v>1076.9737</v>
      </c>
      <c r="C934" s="29">
        <f t="shared" si="311"/>
        <v>6.1000000000000004E-3</v>
      </c>
      <c r="D934">
        <v>-0.17</v>
      </c>
      <c r="E934">
        <v>0.86299999999999999</v>
      </c>
      <c r="F934" s="18">
        <f t="shared" si="298"/>
        <v>-0.22799999999999976</v>
      </c>
      <c r="G934" s="18">
        <f t="shared" si="299"/>
        <v>-1.3159999999999994</v>
      </c>
      <c r="H934">
        <v>6.87</v>
      </c>
      <c r="I934">
        <v>2.5299999999999998</v>
      </c>
      <c r="J934">
        <f t="shared" si="308"/>
        <v>4.7</v>
      </c>
      <c r="K934" s="6">
        <f t="shared" si="309"/>
        <v>4.62</v>
      </c>
      <c r="L934" s="6">
        <f t="shared" si="310"/>
        <v>8.0000000000000071E-2</v>
      </c>
      <c r="M934">
        <v>0.25697075102533001</v>
      </c>
      <c r="N934">
        <v>300000</v>
      </c>
      <c r="O934" s="18">
        <f>ROUND(N934/VLOOKUP(EOMONTH(A934,-1),Employment!A:P,16,FALSE),4)</f>
        <v>1.4074</v>
      </c>
      <c r="P934" s="18">
        <f t="shared" si="300"/>
        <v>1.4244000000000001</v>
      </c>
      <c r="Q934" s="29">
        <f t="shared" si="301"/>
        <v>2.3400000000000001E-2</v>
      </c>
      <c r="R934" s="29">
        <f t="shared" si="302"/>
        <v>1.01E-2</v>
      </c>
      <c r="S934">
        <v>2098000</v>
      </c>
      <c r="T934" s="18">
        <f>ROUND((S934/7)/VLOOKUP(EOMONTH(A934,-1),Employment!A:P,16,FALSE),4)</f>
        <v>1.4059999999999999</v>
      </c>
      <c r="U934" s="18">
        <f t="shared" si="303"/>
        <v>1.4195</v>
      </c>
      <c r="V934" s="29">
        <f t="shared" si="304"/>
        <v>-4.3900000000000002E-2</v>
      </c>
      <c r="W934" s="29">
        <f t="shared" si="305"/>
        <v>5.0000000000000001E-4</v>
      </c>
      <c r="X934" s="30">
        <f t="shared" si="306"/>
        <v>111.2</v>
      </c>
      <c r="Y934" s="31">
        <f t="shared" si="307"/>
        <v>102.21</v>
      </c>
    </row>
    <row r="935" spans="1:25" ht="15" customHeight="1" x14ac:dyDescent="0.25">
      <c r="A935" s="5">
        <v>36800</v>
      </c>
      <c r="B935">
        <v>1074.6898000000001</v>
      </c>
      <c r="C935" s="29">
        <f t="shared" si="311"/>
        <v>4.4999999999999997E-3</v>
      </c>
      <c r="D935">
        <v>-0.2</v>
      </c>
      <c r="E935">
        <v>0.872</v>
      </c>
      <c r="F935" s="18">
        <f t="shared" si="298"/>
        <v>-0.52000000000000046</v>
      </c>
      <c r="G935" s="18">
        <f t="shared" si="299"/>
        <v>-1.8200000000000003</v>
      </c>
      <c r="H935">
        <v>6.72</v>
      </c>
      <c r="I935">
        <v>2.54</v>
      </c>
      <c r="J935">
        <f t="shared" si="308"/>
        <v>4.63</v>
      </c>
      <c r="K935" s="6">
        <f t="shared" si="309"/>
        <v>4.54</v>
      </c>
      <c r="L935" s="6">
        <f t="shared" si="310"/>
        <v>7.0000000000000284E-2</v>
      </c>
      <c r="M935">
        <v>4.3638505613353001E-2</v>
      </c>
      <c r="N935">
        <v>302250</v>
      </c>
      <c r="O935" s="18">
        <f>ROUND(N935/VLOOKUP(EOMONTH(A935,-1),Employment!A:P,16,FALSE),4)</f>
        <v>1.4178999999999999</v>
      </c>
      <c r="P935" s="18">
        <f t="shared" si="300"/>
        <v>1.4406000000000001</v>
      </c>
      <c r="Q935" s="29">
        <f t="shared" si="301"/>
        <v>4.3700000000000003E-2</v>
      </c>
      <c r="R935" s="29">
        <f t="shared" si="302"/>
        <v>-4.7000000000000002E-3</v>
      </c>
      <c r="S935">
        <v>2115000</v>
      </c>
      <c r="T935" s="18">
        <f>ROUND((S935/7)/VLOOKUP(EOMONTH(A935,-1),Employment!A:P,16,FALSE),4)</f>
        <v>1.4174</v>
      </c>
      <c r="U935" s="18">
        <f t="shared" si="303"/>
        <v>1.4359999999999999</v>
      </c>
      <c r="V935" s="29">
        <f t="shared" si="304"/>
        <v>-3.3000000000000002E-2</v>
      </c>
      <c r="W935" s="29">
        <f t="shared" si="305"/>
        <v>-7.1999999999999998E-3</v>
      </c>
      <c r="X935" s="30">
        <f t="shared" si="306"/>
        <v>99</v>
      </c>
      <c r="Y935" s="31">
        <f t="shared" si="307"/>
        <v>92.35</v>
      </c>
    </row>
    <row r="936" spans="1:25" ht="15" customHeight="1" x14ac:dyDescent="0.25">
      <c r="A936" s="5">
        <v>36793</v>
      </c>
      <c r="B936">
        <v>1065.5613000000001</v>
      </c>
      <c r="C936" s="29">
        <f t="shared" si="311"/>
        <v>-5.4999999999999997E-3</v>
      </c>
      <c r="D936">
        <v>-0.22</v>
      </c>
      <c r="E936">
        <v>0.83199999999999996</v>
      </c>
      <c r="F936" s="18">
        <f t="shared" si="298"/>
        <v>-0.56799999999999917</v>
      </c>
      <c r="G936" s="18">
        <f t="shared" si="299"/>
        <v>-1.2279999999999998</v>
      </c>
      <c r="H936">
        <v>6.5</v>
      </c>
      <c r="I936">
        <v>2.5499999999999998</v>
      </c>
      <c r="J936">
        <f t="shared" si="308"/>
        <v>4.53</v>
      </c>
      <c r="K936" s="6">
        <f t="shared" si="309"/>
        <v>4.47</v>
      </c>
      <c r="L936" s="6">
        <f t="shared" si="310"/>
        <v>9.9999999999997868E-3</v>
      </c>
      <c r="M936">
        <v>-0.31321357776788</v>
      </c>
      <c r="N936">
        <v>308250</v>
      </c>
      <c r="O936" s="18">
        <f>ROUND(N936/VLOOKUP(EOMONTH(A936,-1),Employment!A:P,16,FALSE),4)</f>
        <v>1.4478</v>
      </c>
      <c r="P936" s="18">
        <f t="shared" si="300"/>
        <v>1.4556</v>
      </c>
      <c r="Q936" s="29">
        <f t="shared" si="301"/>
        <v>5.4199999999999998E-2</v>
      </c>
      <c r="R936" s="29">
        <f t="shared" si="302"/>
        <v>-1.78E-2</v>
      </c>
      <c r="S936">
        <v>2139000</v>
      </c>
      <c r="T936" s="18">
        <f>ROUND((S936/7)/VLOOKUP(EOMONTH(A936,-1),Employment!A:P,16,FALSE),4)</f>
        <v>1.4352</v>
      </c>
      <c r="U936" s="18">
        <f t="shared" si="303"/>
        <v>1.4374</v>
      </c>
      <c r="V936" s="29">
        <f t="shared" si="304"/>
        <v>-3.2099999999999997E-2</v>
      </c>
      <c r="W936" s="29">
        <f t="shared" si="305"/>
        <v>-1.17E-2</v>
      </c>
      <c r="X936" s="30">
        <f t="shared" si="306"/>
        <v>87.75</v>
      </c>
      <c r="Y936" s="31">
        <f t="shared" si="307"/>
        <v>87.56</v>
      </c>
    </row>
    <row r="937" spans="1:25" ht="15" customHeight="1" x14ac:dyDescent="0.25">
      <c r="A937" s="5">
        <v>36786</v>
      </c>
      <c r="B937">
        <v>1071.752</v>
      </c>
      <c r="C937" s="29">
        <f t="shared" si="311"/>
        <v>1E-4</v>
      </c>
      <c r="D937">
        <v>-0.24</v>
      </c>
      <c r="E937">
        <v>0.78600000000000003</v>
      </c>
      <c r="F937" s="18">
        <f t="shared" si="298"/>
        <v>-0.73200000000000065</v>
      </c>
      <c r="G937" s="18">
        <f t="shared" si="299"/>
        <v>-0.35600000000000032</v>
      </c>
      <c r="H937">
        <v>6.3</v>
      </c>
      <c r="I937">
        <v>2.6</v>
      </c>
      <c r="J937">
        <f t="shared" si="308"/>
        <v>4.45</v>
      </c>
      <c r="K937" s="6">
        <f t="shared" si="309"/>
        <v>4.46</v>
      </c>
      <c r="L937" s="6">
        <f t="shared" si="310"/>
        <v>0</v>
      </c>
      <c r="M937">
        <v>-0.86793554388006</v>
      </c>
      <c r="N937">
        <v>310000</v>
      </c>
      <c r="O937" s="18">
        <f>ROUND(N937/VLOOKUP(EOMONTH(A937,-1),Employment!A:P,16,FALSE),4)</f>
        <v>1.456</v>
      </c>
      <c r="P937" s="18">
        <f t="shared" si="300"/>
        <v>1.4625999999999999</v>
      </c>
      <c r="Q937" s="29">
        <f t="shared" si="301"/>
        <v>5.28E-2</v>
      </c>
      <c r="R937" s="29">
        <f t="shared" si="302"/>
        <v>-2.7400000000000001E-2</v>
      </c>
      <c r="S937">
        <v>2169000</v>
      </c>
      <c r="T937" s="18">
        <f>ROUND((S937/7)/VLOOKUP(EOMONTH(A937,-1),Employment!A:P,16,FALSE),4)</f>
        <v>1.4553</v>
      </c>
      <c r="U937" s="18">
        <f t="shared" si="303"/>
        <v>1.4388000000000001</v>
      </c>
      <c r="V937" s="29">
        <f t="shared" si="304"/>
        <v>-3.44E-2</v>
      </c>
      <c r="W937" s="29">
        <f t="shared" si="305"/>
        <v>-1.2E-2</v>
      </c>
      <c r="X937" s="30">
        <f t="shared" si="306"/>
        <v>87.24</v>
      </c>
      <c r="Y937" s="31">
        <f t="shared" si="307"/>
        <v>89.12</v>
      </c>
    </row>
    <row r="938" spans="1:25" ht="15" customHeight="1" x14ac:dyDescent="0.25">
      <c r="A938" s="5">
        <v>36779</v>
      </c>
      <c r="B938">
        <v>1069.6238000000001</v>
      </c>
      <c r="C938" s="29">
        <f t="shared" si="311"/>
        <v>-1.9E-3</v>
      </c>
      <c r="D938">
        <v>-0.25</v>
      </c>
      <c r="E938">
        <v>0.70699999999999996</v>
      </c>
      <c r="F938" s="18">
        <f t="shared" si="298"/>
        <v>7.2000000000000064E-2</v>
      </c>
      <c r="G938" s="18">
        <f t="shared" si="299"/>
        <v>0.59600000000000053</v>
      </c>
      <c r="H938">
        <v>6.32</v>
      </c>
      <c r="I938">
        <v>2.52</v>
      </c>
      <c r="J938">
        <f t="shared" si="308"/>
        <v>4.42</v>
      </c>
      <c r="K938" s="6">
        <f t="shared" si="309"/>
        <v>4.46</v>
      </c>
      <c r="L938" s="6">
        <f t="shared" si="310"/>
        <v>-9.9999999999997868E-3</v>
      </c>
      <c r="M938">
        <v>-1.2817146799051999</v>
      </c>
      <c r="N938">
        <v>311500</v>
      </c>
      <c r="O938" s="18">
        <f>ROUND(N938/VLOOKUP(EOMONTH(A938,-1),Employment!A:P,16,FALSE),4)</f>
        <v>1.4630000000000001</v>
      </c>
      <c r="P938" s="18">
        <f t="shared" si="300"/>
        <v>1.462</v>
      </c>
      <c r="Q938" s="29">
        <f t="shared" si="301"/>
        <v>4.4200000000000003E-2</v>
      </c>
      <c r="R938" s="29">
        <f t="shared" si="302"/>
        <v>-3.0599999999999999E-2</v>
      </c>
      <c r="S938">
        <v>2119000</v>
      </c>
      <c r="T938" s="18">
        <f>ROUND((S938/7)/VLOOKUP(EOMONTH(A938,-1),Employment!A:P,16,FALSE),4)</f>
        <v>1.4218</v>
      </c>
      <c r="U938" s="18">
        <f t="shared" si="303"/>
        <v>1.4258999999999999</v>
      </c>
      <c r="V938" s="29">
        <f t="shared" si="304"/>
        <v>-4.6199999999999998E-2</v>
      </c>
      <c r="W938" s="29">
        <f t="shared" si="305"/>
        <v>-9.5999999999999992E-3</v>
      </c>
      <c r="X938" s="30">
        <f t="shared" si="306"/>
        <v>87.89</v>
      </c>
      <c r="Y938" s="31">
        <f t="shared" si="307"/>
        <v>94.57</v>
      </c>
    </row>
    <row r="939" spans="1:25" ht="15" customHeight="1" x14ac:dyDescent="0.25">
      <c r="A939" s="5">
        <v>36772</v>
      </c>
      <c r="B939">
        <v>1072.5951</v>
      </c>
      <c r="C939" s="29">
        <f t="shared" si="311"/>
        <v>1.5E-3</v>
      </c>
      <c r="D939">
        <v>-0.25</v>
      </c>
      <c r="E939">
        <v>0.71599999999999997</v>
      </c>
      <c r="F939" s="18">
        <f t="shared" si="298"/>
        <v>0.30400000000000027</v>
      </c>
      <c r="G939" s="18">
        <f t="shared" si="299"/>
        <v>1.5920000000000005</v>
      </c>
      <c r="H939">
        <v>6.48</v>
      </c>
      <c r="I939">
        <v>2.54</v>
      </c>
      <c r="J939">
        <f t="shared" si="308"/>
        <v>4.51</v>
      </c>
      <c r="K939" s="6">
        <f t="shared" si="309"/>
        <v>4.47</v>
      </c>
      <c r="L939" s="6">
        <f t="shared" si="310"/>
        <v>4.0000000000000036E-2</v>
      </c>
      <c r="M939">
        <v>-1.3843688287836</v>
      </c>
      <c r="N939">
        <v>312750</v>
      </c>
      <c r="O939" s="18">
        <f>ROUND(N939/VLOOKUP(EOMONTH(A939,-1),Employment!A:P,16,FALSE),4)</f>
        <v>1.4689000000000001</v>
      </c>
      <c r="P939" s="18">
        <f t="shared" si="300"/>
        <v>1.452</v>
      </c>
      <c r="Q939" s="29">
        <f t="shared" si="301"/>
        <v>2.64E-2</v>
      </c>
      <c r="R939" s="29">
        <f t="shared" si="302"/>
        <v>-2.3699999999999999E-2</v>
      </c>
      <c r="S939">
        <v>2145000</v>
      </c>
      <c r="T939" s="18">
        <f>ROUND((S939/7)/VLOOKUP(EOMONTH(A939,-1),Employment!A:P,16,FALSE),4)</f>
        <v>1.4392</v>
      </c>
      <c r="U939" s="18">
        <f t="shared" si="303"/>
        <v>1.4212</v>
      </c>
      <c r="V939" s="29">
        <f t="shared" si="304"/>
        <v>-5.3100000000000001E-2</v>
      </c>
      <c r="W939" s="29">
        <f t="shared" si="305"/>
        <v>-7.6E-3</v>
      </c>
      <c r="X939" s="30">
        <f t="shared" si="306"/>
        <v>96.87</v>
      </c>
      <c r="Y939" s="31">
        <f t="shared" si="307"/>
        <v>103.61</v>
      </c>
    </row>
    <row r="940" spans="1:25" ht="15" customHeight="1" x14ac:dyDescent="0.25">
      <c r="A940" s="5">
        <v>36765</v>
      </c>
      <c r="B940">
        <v>1071.7924</v>
      </c>
      <c r="C940" s="29">
        <f t="shared" si="311"/>
        <v>1.6000000000000001E-3</v>
      </c>
      <c r="D940">
        <v>-0.25</v>
      </c>
      <c r="E940">
        <v>0.754</v>
      </c>
      <c r="F940" s="18">
        <f t="shared" si="298"/>
        <v>0.2200000000000002</v>
      </c>
      <c r="G940" s="18">
        <f t="shared" si="299"/>
        <v>1.6760000000000002</v>
      </c>
      <c r="H940">
        <v>6.42</v>
      </c>
      <c r="I940">
        <v>2.5</v>
      </c>
      <c r="J940">
        <f t="shared" si="308"/>
        <v>4.46</v>
      </c>
      <c r="K940" s="6">
        <f t="shared" si="309"/>
        <v>4.43</v>
      </c>
      <c r="L940" s="6">
        <f t="shared" si="310"/>
        <v>4.0000000000000036E-2</v>
      </c>
      <c r="M940">
        <v>-1.4721887755966001</v>
      </c>
      <c r="N940">
        <v>309250</v>
      </c>
      <c r="O940" s="18">
        <f>ROUND(N940/VLOOKUP(EOMONTH(A940,-1),Employment!A:P,16,FALSE),4)</f>
        <v>1.4540999999999999</v>
      </c>
      <c r="P940" s="18">
        <f t="shared" si="300"/>
        <v>1.4353</v>
      </c>
      <c r="Q940" s="29">
        <f t="shared" si="301"/>
        <v>1E-3</v>
      </c>
      <c r="R940" s="29">
        <f t="shared" si="302"/>
        <v>-1.1299999999999999E-2</v>
      </c>
      <c r="S940">
        <v>2109000</v>
      </c>
      <c r="T940" s="18">
        <f>ROUND((S940/7)/VLOOKUP(EOMONTH(A940,-1),Employment!A:P,16,FALSE),4)</f>
        <v>1.4166000000000001</v>
      </c>
      <c r="U940" s="18">
        <f t="shared" si="303"/>
        <v>1.4083000000000001</v>
      </c>
      <c r="V940" s="29">
        <f t="shared" si="304"/>
        <v>-5.8999999999999997E-2</v>
      </c>
      <c r="W940" s="29">
        <f t="shared" si="305"/>
        <v>-3.3E-3</v>
      </c>
      <c r="X940" s="30">
        <f t="shared" si="306"/>
        <v>105.53</v>
      </c>
      <c r="Y940" s="31">
        <f t="shared" si="307"/>
        <v>111.4</v>
      </c>
    </row>
    <row r="941" spans="1:25" ht="15" customHeight="1" x14ac:dyDescent="0.25">
      <c r="A941" s="5">
        <v>36758</v>
      </c>
      <c r="B941">
        <v>1072.6912</v>
      </c>
      <c r="C941" s="29">
        <f t="shared" si="311"/>
        <v>3.3E-3</v>
      </c>
      <c r="D941">
        <v>-0.24</v>
      </c>
      <c r="E941">
        <v>0.76900000000000002</v>
      </c>
      <c r="F941" s="18">
        <f t="shared" si="298"/>
        <v>1.0680000000000001</v>
      </c>
      <c r="G941" s="18">
        <f t="shared" si="299"/>
        <v>2.3439999999999999</v>
      </c>
      <c r="H941">
        <v>6.4</v>
      </c>
      <c r="I941">
        <v>2.46</v>
      </c>
      <c r="J941">
        <f t="shared" si="308"/>
        <v>4.43</v>
      </c>
      <c r="K941" s="6">
        <f t="shared" si="309"/>
        <v>4.3899999999999997</v>
      </c>
      <c r="L941" s="6">
        <f t="shared" si="310"/>
        <v>6.9999999999999396E-2</v>
      </c>
      <c r="M941">
        <v>-1.1366290992825001</v>
      </c>
      <c r="N941">
        <v>304750</v>
      </c>
      <c r="O941" s="18">
        <f>ROUND(N941/VLOOKUP(EOMONTH(A941,-1),Employment!A:P,16,FALSE),4)</f>
        <v>1.4329000000000001</v>
      </c>
      <c r="P941" s="18">
        <f t="shared" si="300"/>
        <v>1.4184000000000001</v>
      </c>
      <c r="Q941" s="29">
        <f t="shared" si="301"/>
        <v>-1.9E-2</v>
      </c>
      <c r="R941" s="29">
        <f t="shared" si="302"/>
        <v>-8.9999999999999998E-4</v>
      </c>
      <c r="S941">
        <v>2096000</v>
      </c>
      <c r="T941" s="18">
        <f>ROUND((S941/7)/VLOOKUP(EOMONTH(A941,-1),Employment!A:P,16,FALSE),4)</f>
        <v>1.4078999999999999</v>
      </c>
      <c r="U941" s="18">
        <f t="shared" si="303"/>
        <v>1.3996</v>
      </c>
      <c r="V941" s="29">
        <f t="shared" si="304"/>
        <v>-6.8699999999999997E-2</v>
      </c>
      <c r="W941" s="29">
        <f t="shared" si="305"/>
        <v>-1.9E-3</v>
      </c>
      <c r="X941" s="30">
        <f t="shared" si="306"/>
        <v>115.65</v>
      </c>
      <c r="Y941" s="31">
        <f t="shared" si="307"/>
        <v>115.63</v>
      </c>
    </row>
    <row r="942" spans="1:25" ht="15" customHeight="1" x14ac:dyDescent="0.25">
      <c r="A942" s="5">
        <v>36751</v>
      </c>
      <c r="B942">
        <v>1069.6874</v>
      </c>
      <c r="C942" s="29">
        <f t="shared" si="311"/>
        <v>1.4E-3</v>
      </c>
      <c r="D942">
        <v>-0.21</v>
      </c>
      <c r="E942">
        <v>0.86499999999999999</v>
      </c>
      <c r="F942" s="18">
        <f t="shared" si="298"/>
        <v>0.3879999999999999</v>
      </c>
      <c r="G942" s="18">
        <f t="shared" si="299"/>
        <v>1.9639999999999995</v>
      </c>
      <c r="H942">
        <v>6.33</v>
      </c>
      <c r="I942">
        <v>2.4500000000000002</v>
      </c>
      <c r="J942">
        <f t="shared" si="308"/>
        <v>4.3899999999999997</v>
      </c>
      <c r="K942" s="6">
        <f t="shared" si="309"/>
        <v>4.32</v>
      </c>
      <c r="L942" s="6">
        <f t="shared" si="310"/>
        <v>7.0000000000000284E-2</v>
      </c>
      <c r="M942">
        <v>-0.87490724603833003</v>
      </c>
      <c r="N942">
        <v>301750</v>
      </c>
      <c r="O942" s="18">
        <f>ROUND(N942/VLOOKUP(EOMONTH(A942,-1),Employment!A:P,16,FALSE),4)</f>
        <v>1.4188000000000001</v>
      </c>
      <c r="P942" s="18">
        <f t="shared" si="300"/>
        <v>1.4024000000000001</v>
      </c>
      <c r="Q942" s="29">
        <f t="shared" si="301"/>
        <v>-2.93E-2</v>
      </c>
      <c r="R942" s="29">
        <f t="shared" si="302"/>
        <v>2.8E-3</v>
      </c>
      <c r="S942">
        <v>2085000</v>
      </c>
      <c r="T942" s="18">
        <f>ROUND((S942/7)/VLOOKUP(EOMONTH(A942,-1),Employment!A:P,16,FALSE),4)</f>
        <v>1.4005000000000001</v>
      </c>
      <c r="U942" s="18">
        <f t="shared" si="303"/>
        <v>1.4058999999999999</v>
      </c>
      <c r="V942" s="29">
        <f t="shared" si="304"/>
        <v>-6.93E-2</v>
      </c>
      <c r="W942" s="29">
        <f t="shared" si="305"/>
        <v>-5.8999999999999999E-3</v>
      </c>
      <c r="X942" s="30">
        <f t="shared" si="306"/>
        <v>115.43</v>
      </c>
      <c r="Y942" s="31">
        <f t="shared" si="307"/>
        <v>115.18</v>
      </c>
    </row>
    <row r="943" spans="1:25" ht="15" customHeight="1" x14ac:dyDescent="0.25">
      <c r="A943" s="5">
        <v>36744</v>
      </c>
      <c r="B943">
        <v>1069.8624</v>
      </c>
      <c r="C943" s="29">
        <f t="shared" si="311"/>
        <v>3.2000000000000002E-3</v>
      </c>
      <c r="D943">
        <v>-0.18</v>
      </c>
      <c r="E943">
        <v>0.876</v>
      </c>
      <c r="F943" s="18">
        <f t="shared" si="298"/>
        <v>0.8879999999999999</v>
      </c>
      <c r="G943" s="18">
        <f t="shared" si="299"/>
        <v>2.8800000000000008</v>
      </c>
      <c r="H943">
        <v>6.38</v>
      </c>
      <c r="I943">
        <v>2.33</v>
      </c>
      <c r="J943">
        <f t="shared" si="308"/>
        <v>4.3600000000000003</v>
      </c>
      <c r="K943" s="6">
        <f t="shared" si="309"/>
        <v>4.25</v>
      </c>
      <c r="L943" s="6">
        <f t="shared" si="310"/>
        <v>7.0000000000000284E-2</v>
      </c>
      <c r="M943">
        <v>-1.2296791072171001</v>
      </c>
      <c r="N943">
        <v>298500</v>
      </c>
      <c r="O943" s="18">
        <f>ROUND(N943/VLOOKUP(EOMONTH(A943,-1),Employment!A:P,16,FALSE),4)</f>
        <v>1.4035</v>
      </c>
      <c r="P943" s="18">
        <f t="shared" si="300"/>
        <v>1.3895</v>
      </c>
      <c r="Q943" s="29">
        <f t="shared" si="301"/>
        <v>-2.9100000000000001E-2</v>
      </c>
      <c r="R943" s="29">
        <f t="shared" si="302"/>
        <v>-1.1999999999999999E-3</v>
      </c>
      <c r="S943">
        <v>2070000</v>
      </c>
      <c r="T943" s="18">
        <f>ROUND((S943/7)/VLOOKUP(EOMONTH(A943,-1),Employment!A:P,16,FALSE),4)</f>
        <v>1.3904000000000001</v>
      </c>
      <c r="U943" s="18">
        <f t="shared" si="303"/>
        <v>1.4095</v>
      </c>
      <c r="V943" s="29">
        <f t="shared" si="304"/>
        <v>-6.8199999999999997E-2</v>
      </c>
      <c r="W943" s="29">
        <f t="shared" si="305"/>
        <v>-1.0200000000000001E-2</v>
      </c>
      <c r="X943" s="30">
        <f t="shared" si="306"/>
        <v>116.07</v>
      </c>
      <c r="Y943" s="31">
        <f t="shared" si="307"/>
        <v>112.64</v>
      </c>
    </row>
    <row r="944" spans="1:25" ht="15" customHeight="1" x14ac:dyDescent="0.25">
      <c r="A944" s="5">
        <v>36737</v>
      </c>
      <c r="B944">
        <v>1068.1814999999999</v>
      </c>
      <c r="C944" s="29">
        <f t="shared" si="311"/>
        <v>2.0999999999999999E-3</v>
      </c>
      <c r="D944">
        <v>-0.14000000000000001</v>
      </c>
      <c r="E944">
        <v>0.93700000000000006</v>
      </c>
      <c r="F944" s="18">
        <f t="shared" si="298"/>
        <v>0.68799999999999972</v>
      </c>
      <c r="G944" s="18">
        <f t="shared" si="299"/>
        <v>3.3200000000000003</v>
      </c>
      <c r="H944">
        <v>6.15</v>
      </c>
      <c r="I944">
        <v>2.25</v>
      </c>
      <c r="J944">
        <f t="shared" si="308"/>
        <v>4.2</v>
      </c>
      <c r="K944" s="6">
        <f t="shared" si="309"/>
        <v>4.18</v>
      </c>
      <c r="L944" s="6">
        <f t="shared" si="310"/>
        <v>-3.0000000000000249E-2</v>
      </c>
      <c r="M944">
        <v>-1.0373810322259001</v>
      </c>
      <c r="N944">
        <v>294250</v>
      </c>
      <c r="O944" s="18">
        <f>ROUND(N944/VLOOKUP(EOMONTH(A944,-1),Employment!A:P,16,FALSE),4)</f>
        <v>1.3849</v>
      </c>
      <c r="P944" s="18">
        <f t="shared" si="300"/>
        <v>1.3782000000000001</v>
      </c>
      <c r="Q944" s="29">
        <f t="shared" si="301"/>
        <v>-2.5000000000000001E-2</v>
      </c>
      <c r="R944" s="29">
        <f t="shared" si="302"/>
        <v>-9.1999999999999998E-3</v>
      </c>
      <c r="S944">
        <v>2122000</v>
      </c>
      <c r="T944" s="18">
        <f>ROUND((S944/7)/VLOOKUP(EOMONTH(A944,-1),Employment!A:P,16,FALSE),4)</f>
        <v>1.4268000000000001</v>
      </c>
      <c r="U944" s="18">
        <f t="shared" si="303"/>
        <v>1.4058999999999999</v>
      </c>
      <c r="V944" s="29">
        <f t="shared" si="304"/>
        <v>-7.0699999999999999E-2</v>
      </c>
      <c r="W944" s="29">
        <f t="shared" si="305"/>
        <v>-1.17E-2</v>
      </c>
      <c r="X944" s="30">
        <f t="shared" si="306"/>
        <v>112.32</v>
      </c>
      <c r="Y944" s="31">
        <f t="shared" si="307"/>
        <v>106.55</v>
      </c>
    </row>
    <row r="945" spans="1:25" ht="15" customHeight="1" x14ac:dyDescent="0.25">
      <c r="A945" s="5">
        <v>36730</v>
      </c>
      <c r="B945">
        <v>1068.7080000000001</v>
      </c>
      <c r="C945" s="29">
        <f t="shared" si="311"/>
        <v>4.5999999999999999E-3</v>
      </c>
      <c r="D945">
        <v>-0.1</v>
      </c>
      <c r="E945">
        <v>0.97299999999999998</v>
      </c>
      <c r="F945" s="18">
        <f t="shared" si="298"/>
        <v>1.3040000000000012</v>
      </c>
      <c r="G945" s="18">
        <f t="shared" si="299"/>
        <v>2.419999999999999</v>
      </c>
      <c r="H945">
        <v>6.11</v>
      </c>
      <c r="I945">
        <v>2.27</v>
      </c>
      <c r="J945">
        <f t="shared" si="308"/>
        <v>4.1900000000000004</v>
      </c>
      <c r="K945" s="6">
        <f t="shared" si="309"/>
        <v>4.21</v>
      </c>
      <c r="L945" s="6">
        <f t="shared" si="310"/>
        <v>-3.0000000000000249E-2</v>
      </c>
      <c r="M945">
        <v>-1.2124132852375</v>
      </c>
      <c r="N945">
        <v>293250</v>
      </c>
      <c r="O945" s="18">
        <f>ROUND(N945/VLOOKUP(EOMONTH(A945,-1),Employment!A:P,16,FALSE),4)</f>
        <v>1.3802000000000001</v>
      </c>
      <c r="P945" s="18">
        <f t="shared" si="300"/>
        <v>1.3695999999999999</v>
      </c>
      <c r="Q945" s="29">
        <f t="shared" si="301"/>
        <v>-2.3E-2</v>
      </c>
      <c r="R945" s="29">
        <f t="shared" si="302"/>
        <v>-1.8100000000000002E-2</v>
      </c>
      <c r="S945">
        <v>2099000</v>
      </c>
      <c r="T945" s="18">
        <f>ROUND((S945/7)/VLOOKUP(EOMONTH(A945,-1),Employment!A:P,16,FALSE),4)</f>
        <v>1.4113</v>
      </c>
      <c r="U945" s="18">
        <f t="shared" si="303"/>
        <v>1.3859999999999999</v>
      </c>
      <c r="V945" s="29">
        <f t="shared" si="304"/>
        <v>-7.7399999999999997E-2</v>
      </c>
      <c r="W945" s="29">
        <f t="shared" si="305"/>
        <v>-1.06E-2</v>
      </c>
      <c r="X945" s="30">
        <f t="shared" si="306"/>
        <v>104.85</v>
      </c>
      <c r="Y945" s="31">
        <f t="shared" si="307"/>
        <v>99.31</v>
      </c>
    </row>
    <row r="946" spans="1:25" ht="15" customHeight="1" x14ac:dyDescent="0.25">
      <c r="A946" s="5">
        <v>36723</v>
      </c>
      <c r="B946">
        <v>1066.0672</v>
      </c>
      <c r="C946" s="29">
        <f t="shared" si="311"/>
        <v>3.0999999999999999E-3</v>
      </c>
      <c r="D946">
        <v>-0.06</v>
      </c>
      <c r="E946">
        <v>1.0860000000000001</v>
      </c>
      <c r="F946" s="18">
        <f t="shared" si="298"/>
        <v>1.3279999999999994</v>
      </c>
      <c r="G946" s="18">
        <f t="shared" si="299"/>
        <v>1.1999999999999993</v>
      </c>
      <c r="H946">
        <v>6.06</v>
      </c>
      <c r="I946">
        <v>2.2400000000000002</v>
      </c>
      <c r="J946">
        <f t="shared" si="308"/>
        <v>4.1500000000000004</v>
      </c>
      <c r="K946" s="6">
        <f t="shared" si="309"/>
        <v>4.24</v>
      </c>
      <c r="L946" s="6">
        <f t="shared" si="310"/>
        <v>-9.9999999999997868E-3</v>
      </c>
      <c r="M946">
        <v>-1.4571704294218</v>
      </c>
      <c r="N946">
        <v>291000</v>
      </c>
      <c r="O946" s="18">
        <f>ROUND(N946/VLOOKUP(EOMONTH(A946,-1),Employment!A:P,16,FALSE),4)</f>
        <v>1.3695999999999999</v>
      </c>
      <c r="P946" s="18">
        <f t="shared" si="300"/>
        <v>1.3661000000000001</v>
      </c>
      <c r="Q946" s="29">
        <f t="shared" si="301"/>
        <v>-2.58E-2</v>
      </c>
      <c r="R946" s="29">
        <f t="shared" si="302"/>
        <v>-2.23E-2</v>
      </c>
      <c r="S946">
        <v>2052000</v>
      </c>
      <c r="T946" s="18">
        <f>ROUND((S946/7)/VLOOKUP(EOMONTH(A946,-1),Employment!A:P,16,FALSE),4)</f>
        <v>1.3796999999999999</v>
      </c>
      <c r="U946" s="18">
        <f t="shared" si="303"/>
        <v>1.373</v>
      </c>
      <c r="V946" s="29">
        <f t="shared" si="304"/>
        <v>-8.7599999999999997E-2</v>
      </c>
      <c r="W946" s="29">
        <f t="shared" si="305"/>
        <v>-9.1000000000000004E-3</v>
      </c>
      <c r="X946" s="30">
        <f t="shared" si="306"/>
        <v>96.4</v>
      </c>
      <c r="Y946" s="31">
        <f t="shared" si="307"/>
        <v>96.42</v>
      </c>
    </row>
    <row r="947" spans="1:25" ht="15" customHeight="1" x14ac:dyDescent="0.25">
      <c r="A947" s="5">
        <v>36716</v>
      </c>
      <c r="B947">
        <v>1063.0382999999999</v>
      </c>
      <c r="C947" s="29">
        <f t="shared" si="311"/>
        <v>1.9E-3</v>
      </c>
      <c r="D947">
        <v>-0.02</v>
      </c>
      <c r="E947">
        <v>1.202</v>
      </c>
      <c r="F947" s="18">
        <f t="shared" si="298"/>
        <v>-0.21200000000000152</v>
      </c>
      <c r="G947" s="18">
        <f t="shared" si="299"/>
        <v>3.2000000000000028E-2</v>
      </c>
      <c r="H947">
        <v>6.2</v>
      </c>
      <c r="I947">
        <v>2.37</v>
      </c>
      <c r="J947">
        <f t="shared" si="308"/>
        <v>4.29</v>
      </c>
      <c r="K947" s="6">
        <f t="shared" si="309"/>
        <v>4.25</v>
      </c>
      <c r="L947" s="6">
        <f t="shared" si="310"/>
        <v>0</v>
      </c>
      <c r="M947">
        <v>-1.1284239809612</v>
      </c>
      <c r="N947">
        <v>288750</v>
      </c>
      <c r="O947" s="18">
        <f>ROUND(N947/VLOOKUP(EOMONTH(A947,-1),Employment!A:P,16,FALSE),4)</f>
        <v>1.359</v>
      </c>
      <c r="P947" s="18">
        <f t="shared" si="300"/>
        <v>1.3603000000000001</v>
      </c>
      <c r="Q947" s="29">
        <f t="shared" si="301"/>
        <v>-3.85E-2</v>
      </c>
      <c r="R947" s="29">
        <f t="shared" si="302"/>
        <v>-2.01E-2</v>
      </c>
      <c r="S947">
        <v>2033000</v>
      </c>
      <c r="T947" s="18">
        <f>ROUND((S947/7)/VLOOKUP(EOMONTH(A947,-1),Employment!A:P,16,FALSE),4)</f>
        <v>1.3669</v>
      </c>
      <c r="U947" s="18">
        <f t="shared" si="303"/>
        <v>1.3663000000000001</v>
      </c>
      <c r="V947" s="29">
        <f t="shared" si="304"/>
        <v>-9.4200000000000006E-2</v>
      </c>
      <c r="W947" s="29">
        <f t="shared" si="305"/>
        <v>-1.06E-2</v>
      </c>
      <c r="X947" s="30">
        <f t="shared" si="306"/>
        <v>92.74</v>
      </c>
      <c r="Y947" s="31">
        <f t="shared" si="307"/>
        <v>100.93</v>
      </c>
    </row>
    <row r="948" spans="1:25" ht="15" customHeight="1" x14ac:dyDescent="0.25">
      <c r="A948" s="5">
        <v>36709</v>
      </c>
      <c r="B948">
        <v>1065.9049</v>
      </c>
      <c r="C948" s="29">
        <f t="shared" si="311"/>
        <v>7.1999999999999998E-3</v>
      </c>
      <c r="D948">
        <v>-0.03</v>
      </c>
      <c r="E948">
        <v>1.1879999999999999</v>
      </c>
      <c r="F948" s="18">
        <f t="shared" si="298"/>
        <v>8.4000000000001407E-2</v>
      </c>
      <c r="G948" s="18">
        <f t="shared" si="299"/>
        <v>1.5560000000000027</v>
      </c>
      <c r="H948">
        <v>6.17</v>
      </c>
      <c r="I948">
        <v>2.4</v>
      </c>
      <c r="J948">
        <f t="shared" si="308"/>
        <v>4.29</v>
      </c>
      <c r="K948" s="6">
        <f t="shared" si="309"/>
        <v>4.25</v>
      </c>
      <c r="L948" s="6">
        <f t="shared" si="310"/>
        <v>1.9999999999999574E-2</v>
      </c>
      <c r="M948">
        <v>-0.98892009559392002</v>
      </c>
      <c r="N948">
        <v>291000</v>
      </c>
      <c r="O948" s="18">
        <f>ROUND(N948/VLOOKUP(EOMONTH(A948,-1),Employment!A:P,16,FALSE),4)</f>
        <v>1.3695999999999999</v>
      </c>
      <c r="P948" s="18">
        <f t="shared" si="300"/>
        <v>1.3525</v>
      </c>
      <c r="Q948" s="29">
        <f t="shared" si="301"/>
        <v>-5.3499999999999999E-2</v>
      </c>
      <c r="R948" s="29">
        <f t="shared" si="302"/>
        <v>-1.18E-2</v>
      </c>
      <c r="S948">
        <v>2041000</v>
      </c>
      <c r="T948" s="18">
        <f>ROUND((S948/7)/VLOOKUP(EOMONTH(A948,-1),Employment!A:P,16,FALSE),4)</f>
        <v>1.3723000000000001</v>
      </c>
      <c r="U948" s="18">
        <f t="shared" si="303"/>
        <v>1.3635999999999999</v>
      </c>
      <c r="V948" s="29">
        <f t="shared" si="304"/>
        <v>-9.8599999999999993E-2</v>
      </c>
      <c r="W948" s="29">
        <f t="shared" si="305"/>
        <v>-9.5999999999999992E-3</v>
      </c>
      <c r="X948" s="30">
        <f t="shared" si="306"/>
        <v>105.68</v>
      </c>
      <c r="Y948" s="31">
        <f t="shared" si="307"/>
        <v>108.04</v>
      </c>
    </row>
    <row r="949" spans="1:25" ht="15" customHeight="1" x14ac:dyDescent="0.25">
      <c r="A949" s="5">
        <v>36702</v>
      </c>
      <c r="B949">
        <v>1060.23</v>
      </c>
      <c r="C949" s="29">
        <f t="shared" si="311"/>
        <v>3.5999999999999999E-3</v>
      </c>
      <c r="D949">
        <v>-0.02</v>
      </c>
      <c r="E949">
        <v>1.1859999999999999</v>
      </c>
      <c r="F949" s="18">
        <f t="shared" si="298"/>
        <v>0.16000000000000014</v>
      </c>
      <c r="G949" s="18">
        <f t="shared" si="299"/>
        <v>1.2839999999999989</v>
      </c>
      <c r="H949">
        <v>5.99</v>
      </c>
      <c r="I949">
        <v>2.34</v>
      </c>
      <c r="J949">
        <f t="shared" si="308"/>
        <v>4.17</v>
      </c>
      <c r="K949" s="6">
        <f t="shared" si="309"/>
        <v>4.2300000000000004</v>
      </c>
      <c r="L949" s="6">
        <f t="shared" si="310"/>
        <v>-5.9999999999999609E-2</v>
      </c>
      <c r="M949">
        <v>-1.0220715373139</v>
      </c>
      <c r="N949">
        <v>287000</v>
      </c>
      <c r="O949" s="18">
        <f>ROUND(N949/VLOOKUP(EOMONTH(A949,-1),Employment!A:P,16,FALSE),4)</f>
        <v>1.3522000000000001</v>
      </c>
      <c r="P949" s="18">
        <f t="shared" si="300"/>
        <v>1.3381000000000001</v>
      </c>
      <c r="Q949" s="29">
        <f t="shared" si="301"/>
        <v>-7.1499999999999994E-2</v>
      </c>
      <c r="R949" s="29">
        <f t="shared" si="302"/>
        <v>-3.0999999999999999E-3</v>
      </c>
      <c r="S949">
        <v>2020000</v>
      </c>
      <c r="T949" s="18">
        <f>ROUND((S949/7)/VLOOKUP(EOMONTH(A949,-1),Employment!A:P,16,FALSE),4)</f>
        <v>1.3595999999999999</v>
      </c>
      <c r="U949" s="18">
        <f t="shared" si="303"/>
        <v>1.3520000000000001</v>
      </c>
      <c r="V949" s="29">
        <f t="shared" si="304"/>
        <v>-0.1077</v>
      </c>
      <c r="W949" s="29">
        <f t="shared" si="305"/>
        <v>-7.0000000000000001E-3</v>
      </c>
      <c r="X949" s="30">
        <f t="shared" si="306"/>
        <v>109.5</v>
      </c>
      <c r="Y949" s="31">
        <f t="shared" si="307"/>
        <v>107.8</v>
      </c>
    </row>
    <row r="950" spans="1:25" ht="15" customHeight="1" x14ac:dyDescent="0.25">
      <c r="A950" s="5">
        <v>36695</v>
      </c>
      <c r="B950">
        <v>1061.8103000000001</v>
      </c>
      <c r="C950" s="29">
        <f t="shared" si="311"/>
        <v>8.3000000000000001E-3</v>
      </c>
      <c r="D950">
        <v>-0.02</v>
      </c>
      <c r="E950">
        <v>1.206</v>
      </c>
      <c r="F950" s="18">
        <f t="shared" si="298"/>
        <v>1.3120000000000012</v>
      </c>
      <c r="G950" s="18">
        <f t="shared" si="299"/>
        <v>0.35199999999999854</v>
      </c>
      <c r="H950">
        <v>6.19</v>
      </c>
      <c r="I950">
        <v>2.37</v>
      </c>
      <c r="J950">
        <f t="shared" si="308"/>
        <v>4.28</v>
      </c>
      <c r="K950" s="6">
        <f t="shared" si="309"/>
        <v>4.29</v>
      </c>
      <c r="L950" s="6">
        <f t="shared" si="310"/>
        <v>-1.9999999999999574E-2</v>
      </c>
      <c r="M950">
        <v>-0.70995505544530002</v>
      </c>
      <c r="N950">
        <v>283500</v>
      </c>
      <c r="O950" s="18">
        <f>ROUND(N950/VLOOKUP(EOMONTH(A950,-1),Employment!A:P,16,FALSE),4)</f>
        <v>1.3357000000000001</v>
      </c>
      <c r="P950" s="18">
        <f t="shared" si="300"/>
        <v>1.3306</v>
      </c>
      <c r="Q950" s="29">
        <f t="shared" si="301"/>
        <v>-8.2799999999999999E-2</v>
      </c>
      <c r="R950" s="29">
        <f t="shared" si="302"/>
        <v>-2.3999999999999998E-3</v>
      </c>
      <c r="S950">
        <v>2019000</v>
      </c>
      <c r="T950" s="18">
        <f>ROUND((S950/7)/VLOOKUP(EOMONTH(A950,-1),Employment!A:P,16,FALSE),4)</f>
        <v>1.359</v>
      </c>
      <c r="U950" s="18">
        <f t="shared" si="303"/>
        <v>1.3471</v>
      </c>
      <c r="V950" s="29">
        <f t="shared" si="304"/>
        <v>-0.112</v>
      </c>
      <c r="W950" s="29">
        <f t="shared" si="305"/>
        <v>6.9999999999999999E-4</v>
      </c>
      <c r="X950" s="30">
        <f t="shared" si="306"/>
        <v>110.28</v>
      </c>
      <c r="Y950" s="31">
        <f t="shared" si="307"/>
        <v>101.66</v>
      </c>
    </row>
    <row r="951" spans="1:25" ht="15" customHeight="1" x14ac:dyDescent="0.25">
      <c r="A951" s="5">
        <v>36688</v>
      </c>
      <c r="B951">
        <v>1056.0526</v>
      </c>
      <c r="C951" s="29">
        <f t="shared" si="311"/>
        <v>5.7999999999999996E-3</v>
      </c>
      <c r="D951">
        <v>-0.02</v>
      </c>
      <c r="E951">
        <v>1.37</v>
      </c>
      <c r="F951" s="18">
        <f t="shared" si="298"/>
        <v>-0.18800000000000239</v>
      </c>
      <c r="G951" s="18">
        <f t="shared" si="299"/>
        <v>-1.1640000000000015</v>
      </c>
      <c r="H951">
        <v>6.12</v>
      </c>
      <c r="I951">
        <v>2.34</v>
      </c>
      <c r="J951">
        <f t="shared" si="308"/>
        <v>4.2300000000000004</v>
      </c>
      <c r="K951" s="6">
        <f t="shared" si="309"/>
        <v>4.3099999999999996</v>
      </c>
      <c r="L951" s="6">
        <f t="shared" si="310"/>
        <v>0</v>
      </c>
      <c r="M951">
        <v>-0.76782951248943998</v>
      </c>
      <c r="N951">
        <v>281500</v>
      </c>
      <c r="O951" s="18">
        <f>ROUND(N951/VLOOKUP(EOMONTH(A951,-1),Employment!A:P,16,FALSE),4)</f>
        <v>1.3263</v>
      </c>
      <c r="P951" s="18">
        <f t="shared" si="300"/>
        <v>1.3333999999999999</v>
      </c>
      <c r="Q951" s="29">
        <f t="shared" si="301"/>
        <v>-8.4000000000000005E-2</v>
      </c>
      <c r="R951" s="29">
        <f t="shared" si="302"/>
        <v>-1.2500000000000001E-2</v>
      </c>
      <c r="S951">
        <v>1987000</v>
      </c>
      <c r="T951" s="18">
        <f>ROUND((S951/7)/VLOOKUP(EOMONTH(A951,-1),Employment!A:P,16,FALSE),4)</f>
        <v>1.3373999999999999</v>
      </c>
      <c r="U951" s="18">
        <f t="shared" si="303"/>
        <v>1.3391999999999999</v>
      </c>
      <c r="V951" s="29">
        <f t="shared" si="304"/>
        <v>-0.1225</v>
      </c>
      <c r="W951" s="29">
        <f t="shared" si="305"/>
        <v>5.7999999999999996E-3</v>
      </c>
      <c r="X951" s="30">
        <f t="shared" si="306"/>
        <v>97.36</v>
      </c>
      <c r="Y951" s="31">
        <f t="shared" si="307"/>
        <v>93.17</v>
      </c>
    </row>
    <row r="952" spans="1:25" ht="15" customHeight="1" x14ac:dyDescent="0.25">
      <c r="A952" s="5">
        <v>36681</v>
      </c>
      <c r="B952">
        <v>1054.9585</v>
      </c>
      <c r="C952" s="29">
        <f t="shared" si="311"/>
        <v>8.6E-3</v>
      </c>
      <c r="D952">
        <v>-0.03</v>
      </c>
      <c r="E952">
        <v>1.359</v>
      </c>
      <c r="F952" s="18">
        <f t="shared" si="298"/>
        <v>-0.77200000000000024</v>
      </c>
      <c r="G952" s="18">
        <f t="shared" si="299"/>
        <v>-1.1519999999999992</v>
      </c>
      <c r="H952">
        <v>6.21</v>
      </c>
      <c r="I952">
        <v>2.5</v>
      </c>
      <c r="J952">
        <f t="shared" si="308"/>
        <v>4.3600000000000003</v>
      </c>
      <c r="K952" s="6">
        <f t="shared" si="309"/>
        <v>4.3099999999999996</v>
      </c>
      <c r="L952" s="6">
        <f t="shared" si="310"/>
        <v>6.9999999999999396E-2</v>
      </c>
      <c r="M952">
        <v>-0.54794064164233003</v>
      </c>
      <c r="N952">
        <v>282250</v>
      </c>
      <c r="O952" s="18">
        <f>ROUND(N952/VLOOKUP(EOMONTH(A952,-1),Employment!A:P,16,FALSE),4)</f>
        <v>1.3298000000000001</v>
      </c>
      <c r="P952" s="18">
        <f t="shared" si="300"/>
        <v>1.3371</v>
      </c>
      <c r="Q952" s="29">
        <f t="shared" si="301"/>
        <v>-7.9899999999999999E-2</v>
      </c>
      <c r="R952" s="29">
        <f t="shared" si="302"/>
        <v>-2.5600000000000001E-2</v>
      </c>
      <c r="S952">
        <v>1998000</v>
      </c>
      <c r="T952" s="18">
        <f>ROUND((S952/7)/VLOOKUP(EOMONTH(A952,-1),Employment!A:P,16,FALSE),4)</f>
        <v>1.3448</v>
      </c>
      <c r="U952" s="18">
        <f t="shared" si="303"/>
        <v>1.3406</v>
      </c>
      <c r="V952" s="29">
        <f t="shared" si="304"/>
        <v>-0.123</v>
      </c>
      <c r="W952" s="29">
        <f t="shared" si="305"/>
        <v>5.3E-3</v>
      </c>
      <c r="X952" s="30">
        <f t="shared" si="306"/>
        <v>90.86</v>
      </c>
      <c r="Y952" s="31">
        <f t="shared" si="307"/>
        <v>90.42</v>
      </c>
    </row>
    <row r="953" spans="1:25" ht="15" customHeight="1" x14ac:dyDescent="0.25">
      <c r="A953" s="5">
        <v>36674</v>
      </c>
      <c r="B953">
        <v>1052.7203</v>
      </c>
      <c r="C953" s="29">
        <f t="shared" si="311"/>
        <v>1.06E-2</v>
      </c>
      <c r="D953">
        <v>-0.04</v>
      </c>
      <c r="E953">
        <v>1.2749999999999999</v>
      </c>
      <c r="F953" s="18">
        <f t="shared" si="298"/>
        <v>-0.20399999999999885</v>
      </c>
      <c r="G953" s="18">
        <f t="shared" si="299"/>
        <v>-1.5599999999999987</v>
      </c>
      <c r="H953">
        <v>6.18</v>
      </c>
      <c r="I953">
        <v>2.5099999999999998</v>
      </c>
      <c r="J953">
        <f t="shared" si="308"/>
        <v>4.3499999999999996</v>
      </c>
      <c r="K953" s="6">
        <f t="shared" si="309"/>
        <v>4.24</v>
      </c>
      <c r="L953" s="6">
        <f t="shared" si="310"/>
        <v>0.10000000000000053</v>
      </c>
      <c r="M953">
        <v>-5.3004622219355001E-3</v>
      </c>
      <c r="N953">
        <v>285000</v>
      </c>
      <c r="O953" s="18">
        <f>ROUND(N953/VLOOKUP(EOMONTH(A953,-1),Employment!A:P,16,FALSE),4)</f>
        <v>1.3442000000000001</v>
      </c>
      <c r="P953" s="18">
        <f t="shared" si="300"/>
        <v>1.3328</v>
      </c>
      <c r="Q953" s="29">
        <f t="shared" si="301"/>
        <v>-8.2900000000000001E-2</v>
      </c>
      <c r="R953" s="29">
        <f t="shared" si="302"/>
        <v>-3.0499999999999999E-2</v>
      </c>
      <c r="S953">
        <v>1982000</v>
      </c>
      <c r="T953" s="18">
        <f>ROUND((S953/7)/VLOOKUP(EOMONTH(A953,-1),Employment!A:P,16,FALSE),4)</f>
        <v>1.3354999999999999</v>
      </c>
      <c r="U953" s="18">
        <f t="shared" si="303"/>
        <v>1.3475999999999999</v>
      </c>
      <c r="V953" s="29">
        <f t="shared" si="304"/>
        <v>-0.1192</v>
      </c>
      <c r="W953" s="29">
        <f t="shared" si="305"/>
        <v>-4.4999999999999997E-3</v>
      </c>
      <c r="X953" s="30">
        <f t="shared" si="306"/>
        <v>88.44</v>
      </c>
      <c r="Y953" s="31">
        <f t="shared" si="307"/>
        <v>93.93</v>
      </c>
    </row>
    <row r="954" spans="1:25" ht="15" customHeight="1" x14ac:dyDescent="0.25">
      <c r="A954" s="5">
        <v>36667</v>
      </c>
      <c r="B954">
        <v>1048.5228</v>
      </c>
      <c r="C954" s="29">
        <f t="shared" si="311"/>
        <v>1.0800000000000001E-2</v>
      </c>
      <c r="D954">
        <v>-0.05</v>
      </c>
      <c r="E954">
        <v>1.262</v>
      </c>
      <c r="F954" s="18">
        <f t="shared" si="298"/>
        <v>-0.17600000000000016</v>
      </c>
      <c r="G954" s="18">
        <f t="shared" si="299"/>
        <v>-1.9200000000000008</v>
      </c>
      <c r="H954">
        <v>5.89</v>
      </c>
      <c r="I954">
        <v>2.5499999999999998</v>
      </c>
      <c r="J954">
        <f t="shared" si="308"/>
        <v>4.22</v>
      </c>
      <c r="K954" s="6">
        <f t="shared" si="309"/>
        <v>4.1399999999999997</v>
      </c>
      <c r="L954" s="6">
        <f t="shared" si="310"/>
        <v>5.9999999999999609E-2</v>
      </c>
      <c r="M954">
        <v>0.22628542277513999</v>
      </c>
      <c r="N954">
        <v>283500</v>
      </c>
      <c r="O954" s="18">
        <f>ROUND(N954/VLOOKUP(EOMONTH(A954,-1),Employment!A:P,16,FALSE),4)</f>
        <v>1.3371999999999999</v>
      </c>
      <c r="P954" s="18">
        <f t="shared" si="300"/>
        <v>1.3140000000000001</v>
      </c>
      <c r="Q954" s="29">
        <f t="shared" si="301"/>
        <v>-9.9599999999999994E-2</v>
      </c>
      <c r="R954" s="29">
        <f t="shared" si="302"/>
        <v>-2.1899999999999999E-2</v>
      </c>
      <c r="S954">
        <v>1991000</v>
      </c>
      <c r="T954" s="18">
        <f>ROUND((S954/7)/VLOOKUP(EOMONTH(A954,-1),Employment!A:P,16,FALSE),4)</f>
        <v>1.3414999999999999</v>
      </c>
      <c r="U954" s="18">
        <f t="shared" si="303"/>
        <v>1.3594999999999999</v>
      </c>
      <c r="V954" s="29">
        <f t="shared" si="304"/>
        <v>-0.1061</v>
      </c>
      <c r="W954" s="29">
        <f t="shared" si="305"/>
        <v>-5.0000000000000001E-3</v>
      </c>
      <c r="X954" s="30">
        <f t="shared" si="306"/>
        <v>94.26</v>
      </c>
      <c r="Y954" s="31">
        <f t="shared" si="307"/>
        <v>103.9</v>
      </c>
    </row>
    <row r="955" spans="1:25" ht="15" customHeight="1" x14ac:dyDescent="0.25">
      <c r="A955" s="5">
        <v>36660</v>
      </c>
      <c r="B955">
        <v>1043.8559</v>
      </c>
      <c r="C955" s="29">
        <f t="shared" si="311"/>
        <v>1.0200000000000001E-2</v>
      </c>
      <c r="D955">
        <v>-0.05</v>
      </c>
      <c r="E955">
        <v>1.24</v>
      </c>
      <c r="F955" s="18">
        <f t="shared" si="298"/>
        <v>-1.1799999999999997</v>
      </c>
      <c r="G955" s="18">
        <f t="shared" si="299"/>
        <v>-2.0960000000000001</v>
      </c>
      <c r="H955">
        <v>5.78</v>
      </c>
      <c r="I955">
        <v>2.52</v>
      </c>
      <c r="J955">
        <f t="shared" si="308"/>
        <v>4.1500000000000004</v>
      </c>
      <c r="K955" s="6">
        <f t="shared" si="309"/>
        <v>4.08</v>
      </c>
      <c r="L955" s="6">
        <f t="shared" si="310"/>
        <v>9.9999999999997868E-3</v>
      </c>
      <c r="M955">
        <v>0.99223418434263999</v>
      </c>
      <c r="N955">
        <v>279250</v>
      </c>
      <c r="O955" s="18">
        <f>ROUND(N955/VLOOKUP(EOMONTH(A955,-1),Employment!A:P,16,FALSE),4)</f>
        <v>1.3170999999999999</v>
      </c>
      <c r="P955" s="18">
        <f t="shared" si="300"/>
        <v>1.2881</v>
      </c>
      <c r="Q955" s="29">
        <f t="shared" si="301"/>
        <v>-0.126</v>
      </c>
      <c r="R955" s="29">
        <f t="shared" si="302"/>
        <v>-4.7000000000000002E-3</v>
      </c>
      <c r="S955">
        <v>2027000</v>
      </c>
      <c r="T955" s="18">
        <f>ROUND((S955/7)/VLOOKUP(EOMONTH(A955,-1),Employment!A:P,16,FALSE),4)</f>
        <v>1.3657999999999999</v>
      </c>
      <c r="U955" s="18">
        <f t="shared" si="303"/>
        <v>1.3534999999999999</v>
      </c>
      <c r="V955" s="29">
        <f t="shared" si="304"/>
        <v>-0.11409999999999999</v>
      </c>
      <c r="W955" s="29">
        <f t="shared" si="305"/>
        <v>4.0000000000000002E-4</v>
      </c>
      <c r="X955" s="30">
        <f t="shared" si="306"/>
        <v>106.85</v>
      </c>
      <c r="Y955" s="31">
        <f t="shared" si="307"/>
        <v>115.86</v>
      </c>
    </row>
    <row r="956" spans="1:25" ht="15" customHeight="1" x14ac:dyDescent="0.25">
      <c r="A956" s="5">
        <v>36653</v>
      </c>
      <c r="B956">
        <v>1038.894</v>
      </c>
      <c r="C956" s="29">
        <f t="shared" si="311"/>
        <v>8.0999999999999996E-3</v>
      </c>
      <c r="D956">
        <v>-0.06</v>
      </c>
      <c r="E956">
        <v>1.105</v>
      </c>
      <c r="F956" s="18">
        <f t="shared" si="298"/>
        <v>-0.56400000000000095</v>
      </c>
      <c r="G956" s="18">
        <f t="shared" si="299"/>
        <v>-1.6320000000000006</v>
      </c>
      <c r="H956">
        <v>5.73</v>
      </c>
      <c r="I956">
        <v>2.36</v>
      </c>
      <c r="J956">
        <f t="shared" si="308"/>
        <v>4.05</v>
      </c>
      <c r="K956" s="6">
        <f t="shared" si="309"/>
        <v>4.07</v>
      </c>
      <c r="L956" s="6">
        <f t="shared" si="310"/>
        <v>-5.9999999999999609E-2</v>
      </c>
      <c r="M956">
        <v>1.6311662486598</v>
      </c>
      <c r="N956">
        <v>273000</v>
      </c>
      <c r="O956" s="18">
        <f>ROUND(N956/VLOOKUP(EOMONTH(A956,-1),Employment!A:P,16,FALSE),4)</f>
        <v>1.2876000000000001</v>
      </c>
      <c r="P956" s="18">
        <f t="shared" si="300"/>
        <v>1.2681</v>
      </c>
      <c r="Q956" s="29">
        <f t="shared" si="301"/>
        <v>-0.14680000000000001</v>
      </c>
      <c r="R956" s="29">
        <f t="shared" si="302"/>
        <v>1.0500000000000001E-2</v>
      </c>
      <c r="S956">
        <v>2035000</v>
      </c>
      <c r="T956" s="18">
        <f>ROUND((S956/7)/VLOOKUP(EOMONTH(A956,-1),Employment!A:P,16,FALSE),4)</f>
        <v>1.3712</v>
      </c>
      <c r="U956" s="18">
        <f t="shared" si="303"/>
        <v>1.3540000000000001</v>
      </c>
      <c r="V956" s="29">
        <f t="shared" si="304"/>
        <v>-0.1168</v>
      </c>
      <c r="W956" s="29">
        <f t="shared" si="305"/>
        <v>1.32E-2</v>
      </c>
      <c r="X956" s="30">
        <f t="shared" si="306"/>
        <v>120.62</v>
      </c>
      <c r="Y956" s="31">
        <f t="shared" si="307"/>
        <v>123.47</v>
      </c>
    </row>
    <row r="957" spans="1:25" ht="15" customHeight="1" x14ac:dyDescent="0.25">
      <c r="A957" s="5">
        <v>36646</v>
      </c>
      <c r="B957">
        <v>1035.3580999999999</v>
      </c>
      <c r="C957" s="29">
        <f t="shared" si="311"/>
        <v>6.1999999999999998E-3</v>
      </c>
      <c r="D957">
        <v>-7.0000000000000007E-2</v>
      </c>
      <c r="E957">
        <v>1.0469999999999999</v>
      </c>
      <c r="F957" s="18">
        <f t="shared" si="298"/>
        <v>-0.35199999999999942</v>
      </c>
      <c r="G957" s="18">
        <f t="shared" si="299"/>
        <v>-1.5279999999999987</v>
      </c>
      <c r="H957">
        <v>5.71</v>
      </c>
      <c r="I957">
        <v>2.34</v>
      </c>
      <c r="J957">
        <f t="shared" si="308"/>
        <v>4.03</v>
      </c>
      <c r="K957" s="6">
        <f t="shared" si="309"/>
        <v>4.13</v>
      </c>
      <c r="L957" s="6">
        <f t="shared" si="310"/>
        <v>-4.0000000000000036E-2</v>
      </c>
      <c r="M957">
        <v>2.3104079871468</v>
      </c>
      <c r="N957">
        <v>266750</v>
      </c>
      <c r="O957" s="18">
        <f>ROUND(N957/VLOOKUP(EOMONTH(A957,-1),Employment!A:P,16,FALSE),4)</f>
        <v>1.2596000000000001</v>
      </c>
      <c r="P957" s="18">
        <f t="shared" si="300"/>
        <v>1.2626999999999999</v>
      </c>
      <c r="Q957" s="29">
        <f t="shared" si="301"/>
        <v>-0.1535</v>
      </c>
      <c r="R957" s="29">
        <f t="shared" si="302"/>
        <v>1.9E-2</v>
      </c>
      <c r="S957">
        <v>1962000</v>
      </c>
      <c r="T957" s="18">
        <f>ROUND((S957/7)/VLOOKUP(EOMONTH(A957,-1),Employment!A:P,16,FALSE),4)</f>
        <v>1.3234999999999999</v>
      </c>
      <c r="U957" s="18">
        <f t="shared" si="303"/>
        <v>1.3525</v>
      </c>
      <c r="V957" s="29">
        <f t="shared" si="304"/>
        <v>-0.12939999999999999</v>
      </c>
      <c r="W957" s="29">
        <f t="shared" si="305"/>
        <v>1.46E-2</v>
      </c>
      <c r="X957" s="30">
        <f t="shared" si="306"/>
        <v>126.46000000000001</v>
      </c>
      <c r="Y957" s="31">
        <f t="shared" si="307"/>
        <v>124.78</v>
      </c>
    </row>
    <row r="958" spans="1:25" ht="15" customHeight="1" x14ac:dyDescent="0.25">
      <c r="A958" s="5">
        <v>36639</v>
      </c>
      <c r="B958">
        <v>1031.3417999999999</v>
      </c>
      <c r="C958" s="29">
        <f t="shared" si="311"/>
        <v>3.0999999999999999E-3</v>
      </c>
      <c r="D958">
        <v>-0.09</v>
      </c>
      <c r="E958">
        <v>1.028</v>
      </c>
      <c r="F958" s="18">
        <f t="shared" si="298"/>
        <v>-0.71600000000000019</v>
      </c>
      <c r="G958" s="18">
        <f t="shared" si="299"/>
        <v>-2.5</v>
      </c>
      <c r="H958">
        <v>5.85</v>
      </c>
      <c r="I958">
        <v>2.41</v>
      </c>
      <c r="J958">
        <f t="shared" si="308"/>
        <v>4.13</v>
      </c>
      <c r="K958" s="6">
        <f t="shared" si="309"/>
        <v>4.17</v>
      </c>
      <c r="L958" s="6">
        <f t="shared" si="310"/>
        <v>3.0000000000000249E-2</v>
      </c>
      <c r="M958">
        <v>3.1553643695387001</v>
      </c>
      <c r="N958">
        <v>266250</v>
      </c>
      <c r="O958" s="18">
        <f>ROUND(N958/VLOOKUP(EOMONTH(A958,-1),Employment!A:P,16,FALSE),4)</f>
        <v>1.2572000000000001</v>
      </c>
      <c r="P958" s="18">
        <f t="shared" si="300"/>
        <v>1.2675000000000001</v>
      </c>
      <c r="Q958" s="29">
        <f t="shared" si="301"/>
        <v>-0.14760000000000001</v>
      </c>
      <c r="R958" s="29">
        <f t="shared" si="302"/>
        <v>2.01E-2</v>
      </c>
      <c r="S958">
        <v>2027000</v>
      </c>
      <c r="T958" s="18">
        <f>ROUND((S958/7)/VLOOKUP(EOMONTH(A958,-1),Employment!A:P,16,FALSE),4)</f>
        <v>1.3673999999999999</v>
      </c>
      <c r="U958" s="18">
        <f t="shared" si="303"/>
        <v>1.3764000000000001</v>
      </c>
      <c r="V958" s="29">
        <f t="shared" si="304"/>
        <v>-0.10920000000000001</v>
      </c>
      <c r="W958" s="29">
        <f t="shared" si="305"/>
        <v>1.44E-2</v>
      </c>
      <c r="X958" s="30">
        <f t="shared" si="306"/>
        <v>123.13</v>
      </c>
      <c r="Y958" s="31">
        <f t="shared" si="307"/>
        <v>124.67</v>
      </c>
    </row>
    <row r="959" spans="1:25" ht="15" customHeight="1" x14ac:dyDescent="0.25">
      <c r="A959" s="5">
        <v>36632</v>
      </c>
      <c r="B959">
        <v>1027.6726000000001</v>
      </c>
      <c r="C959" s="29">
        <f t="shared" si="311"/>
        <v>1.1000000000000001E-3</v>
      </c>
      <c r="D959">
        <v>-0.1</v>
      </c>
      <c r="E959">
        <v>0.95099999999999996</v>
      </c>
      <c r="F959" s="18">
        <f t="shared" si="298"/>
        <v>-0.45999999999999908</v>
      </c>
      <c r="G959" s="18">
        <f t="shared" si="299"/>
        <v>-1.6639999999999997</v>
      </c>
      <c r="H959">
        <v>5.92</v>
      </c>
      <c r="I959">
        <v>2.5299999999999998</v>
      </c>
      <c r="J959">
        <f t="shared" si="308"/>
        <v>4.2300000000000004</v>
      </c>
      <c r="K959" s="6">
        <f t="shared" si="309"/>
        <v>4.1399999999999997</v>
      </c>
      <c r="L959" s="6">
        <f t="shared" si="310"/>
        <v>0.14999999999999947</v>
      </c>
      <c r="M959">
        <v>3.2833439842279</v>
      </c>
      <c r="N959">
        <v>269250</v>
      </c>
      <c r="O959" s="18">
        <f>ROUND(N959/VLOOKUP(EOMONTH(A959,-1),Employment!A:P,16,FALSE),4)</f>
        <v>1.2714000000000001</v>
      </c>
      <c r="P959" s="18">
        <f t="shared" si="300"/>
        <v>1.2808999999999999</v>
      </c>
      <c r="Q959" s="29">
        <f t="shared" si="301"/>
        <v>-0.13150000000000001</v>
      </c>
      <c r="R959" s="29">
        <f t="shared" si="302"/>
        <v>2.07E-2</v>
      </c>
      <c r="S959">
        <v>2026000</v>
      </c>
      <c r="T959" s="18">
        <f>ROUND((S959/7)/VLOOKUP(EOMONTH(A959,-1),Employment!A:P,16,FALSE),4)</f>
        <v>1.3667</v>
      </c>
      <c r="U959" s="18">
        <f t="shared" si="303"/>
        <v>1.3817999999999999</v>
      </c>
      <c r="V959" s="29">
        <f t="shared" si="304"/>
        <v>-0.1057</v>
      </c>
      <c r="W959" s="29">
        <f t="shared" si="305"/>
        <v>1.2500000000000001E-2</v>
      </c>
      <c r="X959" s="30">
        <f t="shared" si="306"/>
        <v>124.72999999999999</v>
      </c>
      <c r="Y959" s="31">
        <f t="shared" si="307"/>
        <v>128.04</v>
      </c>
    </row>
    <row r="960" spans="1:25" ht="15" customHeight="1" x14ac:dyDescent="0.25">
      <c r="A960" s="5">
        <v>36625</v>
      </c>
      <c r="B960">
        <v>1027.9957999999999</v>
      </c>
      <c r="C960" s="29">
        <f t="shared" si="311"/>
        <v>4.1999999999999997E-3</v>
      </c>
      <c r="D960">
        <v>-0.13</v>
      </c>
      <c r="E960">
        <v>0.93100000000000005</v>
      </c>
      <c r="F960" s="18">
        <f t="shared" si="298"/>
        <v>-1.3240000000000007</v>
      </c>
      <c r="G960" s="18">
        <f t="shared" si="299"/>
        <v>-1.6920000000000002</v>
      </c>
      <c r="H960">
        <v>5.9</v>
      </c>
      <c r="I960">
        <v>2.4</v>
      </c>
      <c r="J960">
        <f t="shared" si="308"/>
        <v>4.1500000000000004</v>
      </c>
      <c r="K960" s="6">
        <f t="shared" si="309"/>
        <v>3.99</v>
      </c>
      <c r="L960" s="6">
        <f t="shared" si="310"/>
        <v>0.12000000000000011</v>
      </c>
      <c r="M960">
        <v>3.1883138322661999</v>
      </c>
      <c r="N960">
        <v>269750</v>
      </c>
      <c r="O960" s="18">
        <f>ROUND(N960/VLOOKUP(EOMONTH(A960,-1),Employment!A:P,16,FALSE),4)</f>
        <v>1.2738</v>
      </c>
      <c r="P960" s="18">
        <f t="shared" si="300"/>
        <v>1.2930999999999999</v>
      </c>
      <c r="Q960" s="29">
        <f t="shared" si="301"/>
        <v>-0.1191</v>
      </c>
      <c r="R960" s="29">
        <f t="shared" si="302"/>
        <v>2.29E-2</v>
      </c>
      <c r="S960">
        <v>2068000</v>
      </c>
      <c r="T960" s="18">
        <f>ROUND((S960/7)/VLOOKUP(EOMONTH(A960,-1),Employment!A:P,16,FALSE),4)</f>
        <v>1.395</v>
      </c>
      <c r="U960" s="18">
        <f t="shared" si="303"/>
        <v>1.3986000000000001</v>
      </c>
      <c r="V960" s="29">
        <f t="shared" si="304"/>
        <v>-8.8599999999999998E-2</v>
      </c>
      <c r="W960" s="29">
        <f t="shared" si="305"/>
        <v>1.35E-2</v>
      </c>
      <c r="X960" s="30">
        <f t="shared" si="306"/>
        <v>128.34</v>
      </c>
      <c r="Y960" s="31">
        <f t="shared" si="307"/>
        <v>131.75</v>
      </c>
    </row>
    <row r="961" spans="1:25" ht="15" customHeight="1" x14ac:dyDescent="0.25">
      <c r="A961" s="5">
        <v>36618</v>
      </c>
      <c r="B961">
        <v>1028.8706</v>
      </c>
      <c r="C961" s="29">
        <f t="shared" si="311"/>
        <v>8.5000000000000006E-3</v>
      </c>
      <c r="D961">
        <v>-0.16</v>
      </c>
      <c r="E961">
        <v>0.80300000000000005</v>
      </c>
      <c r="F961" s="18">
        <f t="shared" si="298"/>
        <v>0.12000000000000011</v>
      </c>
      <c r="G961" s="18">
        <f t="shared" si="299"/>
        <v>-0.4480000000000004</v>
      </c>
      <c r="H961">
        <v>5.75</v>
      </c>
      <c r="I961">
        <v>2.2999999999999998</v>
      </c>
      <c r="J961">
        <f t="shared" si="308"/>
        <v>4.03</v>
      </c>
      <c r="K961" s="6">
        <f t="shared" si="309"/>
        <v>3.87</v>
      </c>
      <c r="L961" s="6">
        <f t="shared" si="310"/>
        <v>0.12999999999999989</v>
      </c>
      <c r="M961">
        <v>2.9352454945858999</v>
      </c>
      <c r="N961">
        <v>274750</v>
      </c>
      <c r="O961" s="18">
        <f>ROUND(N961/VLOOKUP(EOMONTH(A961,-1),Employment!A:P,16,FALSE),4)</f>
        <v>1.2974000000000001</v>
      </c>
      <c r="P961" s="18">
        <f t="shared" si="300"/>
        <v>1.3091999999999999</v>
      </c>
      <c r="Q961" s="29">
        <f t="shared" si="301"/>
        <v>-0.10589999999999999</v>
      </c>
      <c r="R961" s="29">
        <f t="shared" si="302"/>
        <v>2.41E-2</v>
      </c>
      <c r="S961">
        <v>2051000</v>
      </c>
      <c r="T961" s="18">
        <f>ROUND((S961/7)/VLOOKUP(EOMONTH(A961,-1),Employment!A:P,16,FALSE),4)</f>
        <v>1.3835999999999999</v>
      </c>
      <c r="U961" s="18">
        <f t="shared" si="303"/>
        <v>1.4057999999999999</v>
      </c>
      <c r="V961" s="29">
        <f t="shared" si="304"/>
        <v>-9.06E-2</v>
      </c>
      <c r="W961" s="29">
        <f t="shared" si="305"/>
        <v>9.1000000000000004E-3</v>
      </c>
      <c r="X961" s="30">
        <f t="shared" si="306"/>
        <v>135.56</v>
      </c>
      <c r="Y961" s="31">
        <f t="shared" si="307"/>
        <v>130.58000000000001</v>
      </c>
    </row>
    <row r="962" spans="1:25" ht="15" customHeight="1" x14ac:dyDescent="0.25">
      <c r="A962" s="5">
        <v>36611</v>
      </c>
      <c r="B962">
        <v>1028.1546000000001</v>
      </c>
      <c r="C962" s="29">
        <f t="shared" si="311"/>
        <v>0.01</v>
      </c>
      <c r="D962">
        <v>-0.18</v>
      </c>
      <c r="E962">
        <v>0.84299999999999997</v>
      </c>
      <c r="F962" s="18">
        <f t="shared" si="298"/>
        <v>-0.48799999999999955</v>
      </c>
      <c r="G962" s="18">
        <f t="shared" si="299"/>
        <v>-0.35600000000000076</v>
      </c>
      <c r="H962">
        <v>5.47</v>
      </c>
      <c r="I962">
        <v>2.13</v>
      </c>
      <c r="J962">
        <f t="shared" si="308"/>
        <v>3.8</v>
      </c>
      <c r="K962" s="6">
        <f t="shared" si="309"/>
        <v>3.74</v>
      </c>
      <c r="L962" s="6">
        <f t="shared" si="310"/>
        <v>9.0000000000000302E-2</v>
      </c>
      <c r="M962">
        <v>2.2945413105811001</v>
      </c>
      <c r="N962">
        <v>276750</v>
      </c>
      <c r="O962" s="18">
        <f>ROUND(N962/VLOOKUP(EOMONTH(A962,-1),Employment!A:P,16,FALSE),4)</f>
        <v>1.3080000000000001</v>
      </c>
      <c r="P962" s="18">
        <f t="shared" si="300"/>
        <v>1.3292999999999999</v>
      </c>
      <c r="Q962" s="29">
        <f t="shared" si="301"/>
        <v>-9.3399999999999997E-2</v>
      </c>
      <c r="R962" s="29">
        <f t="shared" si="302"/>
        <v>1.6799999999999999E-2</v>
      </c>
      <c r="S962">
        <v>2099000</v>
      </c>
      <c r="T962" s="18">
        <f>ROUND((S962/7)/VLOOKUP(EOMONTH(A962,-1),Employment!A:P,16,FALSE),4)</f>
        <v>1.4173</v>
      </c>
      <c r="U962" s="18">
        <f t="shared" si="303"/>
        <v>1.4300999999999999</v>
      </c>
      <c r="V962" s="29">
        <f t="shared" si="304"/>
        <v>-7.1199999999999999E-2</v>
      </c>
      <c r="W962" s="29">
        <f t="shared" si="305"/>
        <v>2.3999999999999998E-3</v>
      </c>
      <c r="X962" s="30">
        <f t="shared" si="306"/>
        <v>130.77000000000001</v>
      </c>
      <c r="Y962" s="31">
        <f t="shared" si="307"/>
        <v>120.78</v>
      </c>
    </row>
    <row r="963" spans="1:25" ht="15" customHeight="1" x14ac:dyDescent="0.25">
      <c r="A963" s="5">
        <v>36604</v>
      </c>
      <c r="B963">
        <v>1021.0788</v>
      </c>
      <c r="C963" s="29">
        <f t="shared" si="311"/>
        <v>4.3E-3</v>
      </c>
      <c r="D963">
        <v>-0.2</v>
      </c>
      <c r="E963">
        <v>0.80700000000000005</v>
      </c>
      <c r="F963" s="18">
        <f t="shared" si="298"/>
        <v>-8.0000000000000959E-2</v>
      </c>
      <c r="G963" s="18">
        <f t="shared" si="299"/>
        <v>-2.4000000000000021E-2</v>
      </c>
      <c r="H963">
        <v>5.41</v>
      </c>
      <c r="I963">
        <v>2.16</v>
      </c>
      <c r="J963">
        <f t="shared" si="308"/>
        <v>3.79</v>
      </c>
      <c r="K963" s="6">
        <f t="shared" si="309"/>
        <v>3.65</v>
      </c>
      <c r="L963" s="6">
        <f t="shared" si="310"/>
        <v>8.9999999999999858E-2</v>
      </c>
      <c r="M963">
        <v>2.1999774141264998</v>
      </c>
      <c r="N963">
        <v>279750</v>
      </c>
      <c r="O963" s="18">
        <f>ROUND(N963/VLOOKUP(EOMONTH(A963,-1),Employment!A:P,16,FALSE),4)</f>
        <v>1.3222</v>
      </c>
      <c r="P963" s="18">
        <f t="shared" si="300"/>
        <v>1.3561000000000001</v>
      </c>
      <c r="Q963" s="29">
        <f t="shared" si="301"/>
        <v>-7.3099999999999998E-2</v>
      </c>
      <c r="R963" s="29">
        <f t="shared" si="302"/>
        <v>-8.9999999999999998E-4</v>
      </c>
      <c r="S963">
        <v>2098000</v>
      </c>
      <c r="T963" s="18">
        <f>ROUND((S963/7)/VLOOKUP(EOMONTH(A963,-1),Employment!A:P,16,FALSE),4)</f>
        <v>1.4166000000000001</v>
      </c>
      <c r="U963" s="18">
        <f t="shared" si="303"/>
        <v>1.4375</v>
      </c>
      <c r="V963" s="29">
        <f t="shared" si="304"/>
        <v>-6.7100000000000007E-2</v>
      </c>
      <c r="W963" s="29">
        <f t="shared" si="305"/>
        <v>-3.3999999999999998E-3</v>
      </c>
      <c r="X963" s="30">
        <f t="shared" si="306"/>
        <v>117.68</v>
      </c>
      <c r="Y963" s="31">
        <f t="shared" si="307"/>
        <v>107.77</v>
      </c>
    </row>
    <row r="964" spans="1:25" ht="15" customHeight="1" x14ac:dyDescent="0.25">
      <c r="A964" s="5">
        <v>36597</v>
      </c>
      <c r="B964">
        <v>1016.8076</v>
      </c>
      <c r="C964" s="29">
        <f t="shared" si="311"/>
        <v>0</v>
      </c>
      <c r="D964">
        <v>-0.22</v>
      </c>
      <c r="E964">
        <v>0.82199999999999995</v>
      </c>
      <c r="F964" s="18">
        <f t="shared" si="298"/>
        <v>0.21199999999999974</v>
      </c>
      <c r="G964" s="18">
        <f t="shared" si="299"/>
        <v>0.39200000000000124</v>
      </c>
      <c r="H964">
        <v>5.16</v>
      </c>
      <c r="I964">
        <v>2.09</v>
      </c>
      <c r="J964">
        <f t="shared" si="308"/>
        <v>3.63</v>
      </c>
      <c r="K964" s="6">
        <f t="shared" si="309"/>
        <v>3.56</v>
      </c>
      <c r="L964" s="6">
        <f t="shared" si="310"/>
        <v>8.9999999999999858E-2</v>
      </c>
      <c r="M964">
        <v>2.2838959587332002</v>
      </c>
      <c r="N964">
        <v>287250</v>
      </c>
      <c r="O964" s="18">
        <f>ROUND(N964/VLOOKUP(EOMONTH(A964,-1),Employment!A:P,16,FALSE),4)</f>
        <v>1.3576999999999999</v>
      </c>
      <c r="P964" s="18">
        <f t="shared" si="300"/>
        <v>1.3805000000000001</v>
      </c>
      <c r="Q964" s="29">
        <f t="shared" si="301"/>
        <v>-5.6399999999999999E-2</v>
      </c>
      <c r="R964" s="29">
        <f t="shared" si="302"/>
        <v>-2.1899999999999999E-2</v>
      </c>
      <c r="S964">
        <v>2157000</v>
      </c>
      <c r="T964" s="18">
        <f>ROUND((S964/7)/VLOOKUP(EOMONTH(A964,-1),Employment!A:P,16,FALSE),4)</f>
        <v>1.4563999999999999</v>
      </c>
      <c r="U964" s="18">
        <f t="shared" si="303"/>
        <v>1.4475</v>
      </c>
      <c r="V964" s="29">
        <f t="shared" si="304"/>
        <v>-6.2899999999999998E-2</v>
      </c>
      <c r="W964" s="29">
        <f t="shared" si="305"/>
        <v>-8.2000000000000007E-3</v>
      </c>
      <c r="X964" s="30">
        <f t="shared" si="306"/>
        <v>103.56</v>
      </c>
      <c r="Y964" s="31">
        <f t="shared" si="307"/>
        <v>98.78</v>
      </c>
    </row>
    <row r="965" spans="1:25" ht="15" customHeight="1" x14ac:dyDescent="0.25">
      <c r="A965" s="5">
        <v>36590</v>
      </c>
      <c r="B965">
        <v>1014.7849</v>
      </c>
      <c r="C965" s="29">
        <f t="shared" si="311"/>
        <v>2.0000000000000001E-4</v>
      </c>
      <c r="D965">
        <v>-0.23</v>
      </c>
      <c r="E965">
        <v>0.86099999999999999</v>
      </c>
      <c r="F965" s="18">
        <f t="shared" si="298"/>
        <v>-0.15599999999999881</v>
      </c>
      <c r="G965" s="18">
        <f t="shared" si="299"/>
        <v>4.4000000000000483E-2</v>
      </c>
      <c r="H965">
        <v>5.13</v>
      </c>
      <c r="I965">
        <v>1.93</v>
      </c>
      <c r="J965">
        <f t="shared" si="308"/>
        <v>3.53</v>
      </c>
      <c r="K965" s="6">
        <f t="shared" si="309"/>
        <v>3.47</v>
      </c>
      <c r="L965" s="6">
        <f t="shared" si="310"/>
        <v>8.0000000000000071E-2</v>
      </c>
      <c r="M965">
        <v>3.1247264667165</v>
      </c>
      <c r="N965">
        <v>293750</v>
      </c>
      <c r="O965" s="18">
        <f>ROUND(N965/VLOOKUP(EOMONTH(A965,-1),Employment!A:P,16,FALSE),4)</f>
        <v>1.3884000000000001</v>
      </c>
      <c r="P965" s="18">
        <f t="shared" si="300"/>
        <v>1.3935</v>
      </c>
      <c r="Q965" s="29">
        <f t="shared" si="301"/>
        <v>-4.8800000000000003E-2</v>
      </c>
      <c r="R965" s="29">
        <f t="shared" si="302"/>
        <v>-3.7600000000000001E-2</v>
      </c>
      <c r="S965">
        <v>2132000</v>
      </c>
      <c r="T965" s="18">
        <f>ROUND((S965/7)/VLOOKUP(EOMONTH(A965,-1),Employment!A:P,16,FALSE),4)</f>
        <v>1.4395</v>
      </c>
      <c r="U965" s="18">
        <f t="shared" si="303"/>
        <v>1.4486000000000001</v>
      </c>
      <c r="V965" s="29">
        <f t="shared" si="304"/>
        <v>-6.7199999999999996E-2</v>
      </c>
      <c r="W965" s="29">
        <f t="shared" si="305"/>
        <v>-1.43E-2</v>
      </c>
      <c r="X965" s="30">
        <f t="shared" si="306"/>
        <v>93.53</v>
      </c>
      <c r="Y965" s="31">
        <f t="shared" si="307"/>
        <v>98.98</v>
      </c>
    </row>
    <row r="966" spans="1:25" ht="15" customHeight="1" x14ac:dyDescent="0.25">
      <c r="A966" s="5">
        <v>36583</v>
      </c>
      <c r="B966">
        <v>1019.1536</v>
      </c>
      <c r="C966" s="29">
        <f t="shared" si="311"/>
        <v>8.6E-3</v>
      </c>
      <c r="D966">
        <v>-0.24</v>
      </c>
      <c r="E966">
        <v>0.85399999999999998</v>
      </c>
      <c r="F966" s="18">
        <f t="shared" si="298"/>
        <v>0.3360000000000003</v>
      </c>
      <c r="G966" s="18">
        <f t="shared" si="299"/>
        <v>4.8000000000000043E-2</v>
      </c>
      <c r="H966">
        <v>5.07</v>
      </c>
      <c r="I966">
        <v>1.99</v>
      </c>
      <c r="J966">
        <f t="shared" si="308"/>
        <v>3.53</v>
      </c>
      <c r="K966" s="6">
        <f t="shared" si="309"/>
        <v>3.39</v>
      </c>
      <c r="L966" s="6">
        <f t="shared" si="310"/>
        <v>0.10000000000000009</v>
      </c>
      <c r="M966">
        <v>4.3069830174677</v>
      </c>
      <c r="N966">
        <v>295000</v>
      </c>
      <c r="O966" s="18">
        <f>ROUND(N966/VLOOKUP(EOMONTH(A966,-1),Employment!A:P,16,FALSE),4)</f>
        <v>1.3954</v>
      </c>
      <c r="P966" s="18">
        <f t="shared" si="300"/>
        <v>1.3918999999999999</v>
      </c>
      <c r="Q966" s="29">
        <f t="shared" si="301"/>
        <v>-6.0499999999999998E-2</v>
      </c>
      <c r="R966" s="29">
        <f t="shared" si="302"/>
        <v>-3.73E-2</v>
      </c>
      <c r="S966">
        <v>2141000</v>
      </c>
      <c r="T966" s="18">
        <f>ROUND((S966/7)/VLOOKUP(EOMONTH(A966,-1),Employment!A:P,16,FALSE),4)</f>
        <v>1.4467000000000001</v>
      </c>
      <c r="U966" s="18">
        <f t="shared" si="303"/>
        <v>1.4561999999999999</v>
      </c>
      <c r="V966" s="29">
        <f t="shared" si="304"/>
        <v>-6.5600000000000006E-2</v>
      </c>
      <c r="W966" s="29">
        <f t="shared" si="305"/>
        <v>-1.4E-2</v>
      </c>
      <c r="X966" s="30">
        <f t="shared" si="306"/>
        <v>99.96</v>
      </c>
      <c r="Y966" s="31">
        <f t="shared" si="307"/>
        <v>109.19</v>
      </c>
    </row>
    <row r="967" spans="1:25" ht="15" customHeight="1" x14ac:dyDescent="0.25">
      <c r="A967" s="5">
        <v>36576</v>
      </c>
      <c r="B967">
        <v>1016.1093</v>
      </c>
      <c r="C967" s="29">
        <f t="shared" si="311"/>
        <v>9.9000000000000008E-3</v>
      </c>
      <c r="D967">
        <v>-0.24</v>
      </c>
      <c r="E967">
        <v>0.89600000000000002</v>
      </c>
      <c r="F967" s="18">
        <f t="shared" si="298"/>
        <v>-0.13600000000000101</v>
      </c>
      <c r="G967" s="18">
        <f t="shared" si="299"/>
        <v>3.9999999999995595E-3</v>
      </c>
      <c r="H967">
        <v>4.9000000000000004</v>
      </c>
      <c r="I967">
        <v>1.82</v>
      </c>
      <c r="J967">
        <f t="shared" si="308"/>
        <v>3.36</v>
      </c>
      <c r="K967" s="6">
        <f t="shared" si="309"/>
        <v>3.29</v>
      </c>
      <c r="L967" s="6">
        <f t="shared" si="310"/>
        <v>4.9999999999999822E-2</v>
      </c>
      <c r="M967">
        <v>5.2911915997027998</v>
      </c>
      <c r="N967">
        <v>295250</v>
      </c>
      <c r="O967" s="18">
        <f>ROUND(N967/VLOOKUP(EOMONTH(A967,-1),Employment!A:P,16,FALSE),4)</f>
        <v>1.3966000000000001</v>
      </c>
      <c r="P967" s="18">
        <f t="shared" si="300"/>
        <v>1.3824000000000001</v>
      </c>
      <c r="Q967" s="29">
        <f t="shared" si="301"/>
        <v>-8.9200000000000002E-2</v>
      </c>
      <c r="R967" s="29">
        <f t="shared" si="302"/>
        <v>-2.6100000000000002E-2</v>
      </c>
      <c r="S967">
        <v>2160000</v>
      </c>
      <c r="T967" s="18">
        <f>ROUND((S967/7)/VLOOKUP(EOMONTH(A967,-1),Employment!A:P,16,FALSE),4)</f>
        <v>1.4596</v>
      </c>
      <c r="U967" s="18">
        <f t="shared" si="303"/>
        <v>1.4381999999999999</v>
      </c>
      <c r="V967" s="29">
        <f t="shared" si="304"/>
        <v>-7.9299999999999995E-2</v>
      </c>
      <c r="W967" s="29">
        <f t="shared" si="305"/>
        <v>-6.3E-3</v>
      </c>
      <c r="X967" s="30">
        <f t="shared" si="306"/>
        <v>110.17</v>
      </c>
      <c r="Y967" s="31">
        <f t="shared" si="307"/>
        <v>122.8</v>
      </c>
    </row>
    <row r="968" spans="1:25" ht="15" customHeight="1" x14ac:dyDescent="0.25">
      <c r="A968" s="5">
        <v>36569</v>
      </c>
      <c r="B968">
        <v>1017.0489</v>
      </c>
      <c r="C968" s="29">
        <f t="shared" si="311"/>
        <v>1.6299999999999999E-2</v>
      </c>
      <c r="D968">
        <v>-0.24</v>
      </c>
      <c r="E968">
        <v>0.879</v>
      </c>
      <c r="F968" s="18">
        <f t="shared" si="298"/>
        <v>-0.15199999999999925</v>
      </c>
      <c r="G968" s="18">
        <f t="shared" si="299"/>
        <v>0.70800000000000018</v>
      </c>
      <c r="H968">
        <v>4.8099999999999996</v>
      </c>
      <c r="I968">
        <v>1.73</v>
      </c>
      <c r="J968">
        <f t="shared" si="308"/>
        <v>3.27</v>
      </c>
      <c r="K968" s="6">
        <f t="shared" si="309"/>
        <v>3.24</v>
      </c>
      <c r="L968" s="6">
        <f t="shared" si="310"/>
        <v>3.0000000000000249E-2</v>
      </c>
      <c r="M968">
        <v>6.0537787186341001</v>
      </c>
      <c r="N968">
        <v>292500</v>
      </c>
      <c r="O968" s="18">
        <f>ROUND(N968/VLOOKUP(EOMONTH(A968,-1),Employment!A:P,16,FALSE),4)</f>
        <v>1.3835999999999999</v>
      </c>
      <c r="P968" s="18">
        <f t="shared" si="300"/>
        <v>1.3786</v>
      </c>
      <c r="Q968" s="29">
        <f t="shared" si="301"/>
        <v>-0.11749999999999999</v>
      </c>
      <c r="R968" s="29">
        <f t="shared" si="302"/>
        <v>-7.1999999999999998E-3</v>
      </c>
      <c r="S968">
        <v>2164000</v>
      </c>
      <c r="T968" s="18">
        <f>ROUND((S968/7)/VLOOKUP(EOMONTH(A968,-1),Employment!A:P,16,FALSE),4)</f>
        <v>1.4622999999999999</v>
      </c>
      <c r="U968" s="18">
        <f t="shared" si="303"/>
        <v>1.4339</v>
      </c>
      <c r="V968" s="29">
        <f t="shared" si="304"/>
        <v>-9.11E-2</v>
      </c>
      <c r="W968" s="29">
        <f t="shared" si="305"/>
        <v>5.4000000000000003E-3</v>
      </c>
      <c r="X968" s="30">
        <f t="shared" si="306"/>
        <v>129.82999999999998</v>
      </c>
      <c r="Y968" s="31">
        <f t="shared" si="307"/>
        <v>134.01</v>
      </c>
    </row>
    <row r="969" spans="1:25" ht="15" customHeight="1" x14ac:dyDescent="0.25">
      <c r="A969" s="5">
        <v>36562</v>
      </c>
      <c r="B969">
        <v>1006.1064</v>
      </c>
      <c r="C969" s="29">
        <f t="shared" si="311"/>
        <v>6.7999999999999996E-3</v>
      </c>
      <c r="D969">
        <v>-0.24</v>
      </c>
      <c r="E969">
        <v>0.86</v>
      </c>
      <c r="F969" s="18">
        <f t="shared" si="298"/>
        <v>0.29199999999999982</v>
      </c>
      <c r="G969" s="18">
        <f t="shared" si="299"/>
        <v>1.2439999999999998</v>
      </c>
      <c r="H969">
        <v>4.87</v>
      </c>
      <c r="I969">
        <v>1.6</v>
      </c>
      <c r="J969">
        <f t="shared" si="308"/>
        <v>3.24</v>
      </c>
      <c r="K969" s="6">
        <f t="shared" si="309"/>
        <v>3.21</v>
      </c>
      <c r="L969" s="6">
        <f t="shared" si="310"/>
        <v>0</v>
      </c>
      <c r="M969">
        <v>5.5385200919958999</v>
      </c>
      <c r="N969">
        <v>289000</v>
      </c>
      <c r="O969" s="18">
        <f>ROUND(N969/VLOOKUP(EOMONTH(A969,-1),Employment!A:P,16,FALSE),4)</f>
        <v>1.367</v>
      </c>
      <c r="P969" s="18">
        <f t="shared" si="300"/>
        <v>1.3727</v>
      </c>
      <c r="Q969" s="29">
        <f t="shared" si="301"/>
        <v>-0.14510000000000001</v>
      </c>
      <c r="R969" s="29">
        <f t="shared" si="302"/>
        <v>7.7999999999999996E-3</v>
      </c>
      <c r="S969">
        <v>2061000</v>
      </c>
      <c r="T969" s="18">
        <f>ROUND((S969/7)/VLOOKUP(EOMONTH(A969,-1),Employment!A:P,16,FALSE),4)</f>
        <v>1.3927</v>
      </c>
      <c r="U969" s="18">
        <f t="shared" si="303"/>
        <v>1.4269000000000001</v>
      </c>
      <c r="V969" s="29">
        <f t="shared" si="304"/>
        <v>-0.1002</v>
      </c>
      <c r="W969" s="29">
        <f t="shared" si="305"/>
        <v>1.32E-2</v>
      </c>
      <c r="X969" s="30">
        <f t="shared" si="306"/>
        <v>136.77000000000001</v>
      </c>
      <c r="Y969" s="31">
        <f t="shared" si="307"/>
        <v>136.25</v>
      </c>
    </row>
    <row r="970" spans="1:25" ht="15" customHeight="1" x14ac:dyDescent="0.25">
      <c r="A970" s="5">
        <v>36555</v>
      </c>
      <c r="B970">
        <v>1002.5139</v>
      </c>
      <c r="C970" s="29">
        <f t="shared" si="311"/>
        <v>3.8999999999999998E-3</v>
      </c>
      <c r="D970">
        <v>-0.23</v>
      </c>
      <c r="E970">
        <v>0.88400000000000001</v>
      </c>
      <c r="F970" s="18">
        <f t="shared" si="298"/>
        <v>0.56799999999999962</v>
      </c>
      <c r="G970" s="18">
        <f t="shared" si="299"/>
        <v>0.76400000000000023</v>
      </c>
      <c r="H970">
        <v>4.8</v>
      </c>
      <c r="I970">
        <v>1.6</v>
      </c>
      <c r="J970">
        <f t="shared" si="308"/>
        <v>3.2</v>
      </c>
      <c r="K970" s="6">
        <f t="shared" si="309"/>
        <v>3.21</v>
      </c>
      <c r="L970" s="6">
        <f t="shared" si="310"/>
        <v>-3.0000000000000249E-2</v>
      </c>
      <c r="M970">
        <v>4.5958573691811999</v>
      </c>
      <c r="N970">
        <v>289250</v>
      </c>
      <c r="O970" s="18">
        <f>ROUND(N970/VLOOKUP(EOMONTH(A970,-1),Employment!A:P,16,FALSE),4)</f>
        <v>1.3851</v>
      </c>
      <c r="P970" s="18">
        <f t="shared" si="300"/>
        <v>1.3714999999999999</v>
      </c>
      <c r="Q970" s="29">
        <f t="shared" si="301"/>
        <v>-0.14829999999999999</v>
      </c>
      <c r="R970" s="29">
        <f t="shared" si="302"/>
        <v>1.55E-2</v>
      </c>
      <c r="S970">
        <v>2115000</v>
      </c>
      <c r="T970" s="18">
        <f>ROUND((S970/7)/VLOOKUP(EOMONTH(A970,-1),Employment!A:P,16,FALSE),4)</f>
        <v>1.4468000000000001</v>
      </c>
      <c r="U970" s="18">
        <f t="shared" si="303"/>
        <v>1.4419999999999999</v>
      </c>
      <c r="V970" s="29">
        <f t="shared" si="304"/>
        <v>-9.5799999999999996E-2</v>
      </c>
      <c r="W970" s="29">
        <f t="shared" si="305"/>
        <v>1.6500000000000001E-2</v>
      </c>
      <c r="X970" s="30">
        <f t="shared" si="306"/>
        <v>137.57</v>
      </c>
      <c r="Y970" s="31">
        <f t="shared" si="307"/>
        <v>132.38999999999999</v>
      </c>
    </row>
    <row r="971" spans="1:25" ht="15" customHeight="1" x14ac:dyDescent="0.25">
      <c r="A971" s="5">
        <v>36548</v>
      </c>
      <c r="B971">
        <v>999.01</v>
      </c>
      <c r="C971" s="29">
        <f t="shared" si="311"/>
        <v>-2.9999999999999997E-4</v>
      </c>
      <c r="D971">
        <v>-0.21</v>
      </c>
      <c r="E971">
        <v>0.93</v>
      </c>
      <c r="F971" s="18">
        <f t="shared" si="298"/>
        <v>0.38400000000000034</v>
      </c>
      <c r="G971" s="18">
        <f t="shared" si="299"/>
        <v>-8.8000000000000078E-2</v>
      </c>
      <c r="H971">
        <v>4.7300000000000004</v>
      </c>
      <c r="I971">
        <v>1.63</v>
      </c>
      <c r="J971">
        <f t="shared" si="308"/>
        <v>3.18</v>
      </c>
      <c r="K971" s="6">
        <f t="shared" si="309"/>
        <v>3.24</v>
      </c>
      <c r="L971" s="6">
        <f t="shared" si="310"/>
        <v>-1.9999999999999574E-2</v>
      </c>
      <c r="M971">
        <v>4.0324325482452998</v>
      </c>
      <c r="N971">
        <v>285250</v>
      </c>
      <c r="O971" s="18">
        <f>ROUND(N971/VLOOKUP(EOMONTH(A971,-1),Employment!A:P,16,FALSE),4)</f>
        <v>1.3658999999999999</v>
      </c>
      <c r="P971" s="18">
        <f t="shared" si="300"/>
        <v>1.3539000000000001</v>
      </c>
      <c r="Q971" s="29">
        <f t="shared" si="301"/>
        <v>-0.14699999999999999</v>
      </c>
      <c r="R971" s="29">
        <f t="shared" si="302"/>
        <v>1.6400000000000001E-2</v>
      </c>
      <c r="S971">
        <v>2107000</v>
      </c>
      <c r="T971" s="18">
        <f>ROUND((S971/7)/VLOOKUP(EOMONTH(A971,-1),Employment!A:P,16,FALSE),4)</f>
        <v>1.4413</v>
      </c>
      <c r="U971" s="18">
        <f t="shared" si="303"/>
        <v>1.4390000000000001</v>
      </c>
      <c r="V971" s="29">
        <f t="shared" si="304"/>
        <v>-9.11E-2</v>
      </c>
      <c r="W971" s="29">
        <f t="shared" si="305"/>
        <v>9.2999999999999992E-3</v>
      </c>
      <c r="X971" s="30">
        <f t="shared" si="306"/>
        <v>131.66</v>
      </c>
      <c r="Y971" s="31">
        <f t="shared" si="307"/>
        <v>125.07</v>
      </c>
    </row>
    <row r="972" spans="1:25" ht="15" customHeight="1" x14ac:dyDescent="0.25">
      <c r="A972" s="5">
        <v>36541</v>
      </c>
      <c r="B972">
        <v>995.4742</v>
      </c>
      <c r="C972" s="29">
        <f t="shared" si="311"/>
        <v>-5.8999999999999999E-3</v>
      </c>
      <c r="D972">
        <v>-0.19</v>
      </c>
      <c r="E972">
        <v>0.95299999999999996</v>
      </c>
      <c r="F972" s="18">
        <f t="shared" si="298"/>
        <v>-0.18799999999999972</v>
      </c>
      <c r="G972" s="18">
        <f t="shared" si="299"/>
        <v>-0.48399999999999999</v>
      </c>
      <c r="H972">
        <v>4.7699999999999996</v>
      </c>
      <c r="I972">
        <v>1.73</v>
      </c>
      <c r="J972">
        <f t="shared" si="308"/>
        <v>3.25</v>
      </c>
      <c r="K972" s="6">
        <f t="shared" si="309"/>
        <v>3.26</v>
      </c>
      <c r="L972" s="6">
        <f t="shared" si="310"/>
        <v>-1.0000000000000231E-2</v>
      </c>
      <c r="M972">
        <v>3.6686211162308</v>
      </c>
      <c r="N972">
        <v>284750</v>
      </c>
      <c r="O972" s="18">
        <f>ROUND(N972/VLOOKUP(EOMONTH(A972,-1),Employment!A:P,16,FALSE),4)</f>
        <v>1.3634999999999999</v>
      </c>
      <c r="P972" s="18">
        <f t="shared" si="300"/>
        <v>1.3431999999999999</v>
      </c>
      <c r="Q972" s="29">
        <f t="shared" si="301"/>
        <v>-0.1346</v>
      </c>
      <c r="R972" s="29">
        <f t="shared" si="302"/>
        <v>8.8000000000000005E-3</v>
      </c>
      <c r="S972">
        <v>2102000</v>
      </c>
      <c r="T972" s="18">
        <f>ROUND((S972/7)/VLOOKUP(EOMONTH(A972,-1),Employment!A:P,16,FALSE),4)</f>
        <v>1.4379</v>
      </c>
      <c r="U972" s="18">
        <f t="shared" si="303"/>
        <v>1.4427000000000001</v>
      </c>
      <c r="V972" s="29">
        <f t="shared" si="304"/>
        <v>-7.2800000000000004E-2</v>
      </c>
      <c r="W972" s="29">
        <f t="shared" si="305"/>
        <v>2.9999999999999997E-4</v>
      </c>
      <c r="X972" s="30">
        <f t="shared" si="306"/>
        <v>121.27000000000001</v>
      </c>
      <c r="Y972" s="31">
        <f t="shared" si="307"/>
        <v>119.2</v>
      </c>
    </row>
    <row r="973" spans="1:25" ht="15" customHeight="1" x14ac:dyDescent="0.25">
      <c r="A973" s="5">
        <v>36534</v>
      </c>
      <c r="B973">
        <v>1000.2067</v>
      </c>
      <c r="C973" s="29">
        <f t="shared" si="311"/>
        <v>-2.3999999999999998E-3</v>
      </c>
      <c r="D973">
        <v>-0.18</v>
      </c>
      <c r="E973">
        <v>0.91700000000000004</v>
      </c>
      <c r="F973" s="18">
        <f t="shared" si="298"/>
        <v>-0.2840000000000007</v>
      </c>
      <c r="G973" s="18">
        <f t="shared" si="299"/>
        <v>-0.42799999999999994</v>
      </c>
      <c r="H973">
        <v>4.8600000000000003</v>
      </c>
      <c r="I973">
        <v>1.7</v>
      </c>
      <c r="J973">
        <f t="shared" si="308"/>
        <v>3.28</v>
      </c>
      <c r="K973" s="6">
        <f t="shared" si="309"/>
        <v>3.27</v>
      </c>
      <c r="L973" s="6">
        <f t="shared" si="310"/>
        <v>-9.9999999999997868E-3</v>
      </c>
      <c r="M973">
        <v>4.2153334701422001</v>
      </c>
      <c r="N973">
        <v>278250</v>
      </c>
      <c r="O973" s="18">
        <f>ROUND(N973/VLOOKUP(EOMONTH(A973,-1),Employment!A:P,16,FALSE),4)</f>
        <v>1.3324</v>
      </c>
      <c r="P973" s="18">
        <f t="shared" si="300"/>
        <v>1.3414999999999999</v>
      </c>
      <c r="Q973" s="29">
        <f t="shared" si="301"/>
        <v>-0.1197</v>
      </c>
      <c r="R973" s="29">
        <f t="shared" si="302"/>
        <v>0</v>
      </c>
      <c r="S973">
        <v>2102000</v>
      </c>
      <c r="T973" s="18">
        <f>ROUND((S973/7)/VLOOKUP(EOMONTH(A973,-1),Employment!A:P,16,FALSE),4)</f>
        <v>1.4379</v>
      </c>
      <c r="U973" s="18">
        <f t="shared" si="303"/>
        <v>1.4358</v>
      </c>
      <c r="V973" s="29">
        <f t="shared" si="304"/>
        <v>-6.3899999999999998E-2</v>
      </c>
      <c r="W973" s="29">
        <f t="shared" si="305"/>
        <v>-4.5999999999999999E-3</v>
      </c>
      <c r="X973" s="30">
        <f t="shared" si="306"/>
        <v>118.07</v>
      </c>
      <c r="Y973" s="31">
        <f t="shared" si="307"/>
        <v>117.57</v>
      </c>
    </row>
    <row r="974" spans="1:25" ht="15" customHeight="1" x14ac:dyDescent="0.25">
      <c r="A974" s="5">
        <v>36527</v>
      </c>
      <c r="B974">
        <v>999.59429999999998</v>
      </c>
      <c r="C974" s="29">
        <f t="shared" si="311"/>
        <v>-3.3999999999999998E-3</v>
      </c>
      <c r="D974">
        <v>-0.17</v>
      </c>
      <c r="E974">
        <v>0.86899999999999999</v>
      </c>
      <c r="F974" s="18">
        <f t="shared" si="298"/>
        <v>-1.1999999999999567E-2</v>
      </c>
      <c r="G974" s="18">
        <f t="shared" si="299"/>
        <v>-6.7999999999999616E-2</v>
      </c>
      <c r="H974">
        <v>4.76</v>
      </c>
      <c r="I974">
        <v>1.73</v>
      </c>
      <c r="J974">
        <f t="shared" si="308"/>
        <v>3.25</v>
      </c>
      <c r="K974" s="6">
        <f t="shared" si="309"/>
        <v>3.28</v>
      </c>
      <c r="L974" s="6">
        <f t="shared" si="310"/>
        <v>-6.0000000000000053E-2</v>
      </c>
      <c r="M974">
        <v>4.7069993724795998</v>
      </c>
      <c r="N974">
        <v>278500</v>
      </c>
      <c r="O974" s="18">
        <f>ROUND(N974/VLOOKUP(EOMONTH(A974,-1),Employment!A:P,16,FALSE),4)</f>
        <v>1.3335999999999999</v>
      </c>
      <c r="P974" s="18">
        <f t="shared" si="300"/>
        <v>1.3459000000000001</v>
      </c>
      <c r="Q974" s="29">
        <f t="shared" si="301"/>
        <v>-0.1114</v>
      </c>
      <c r="R974" s="29">
        <f t="shared" si="302"/>
        <v>-5.4000000000000003E-3</v>
      </c>
      <c r="S974">
        <v>2123000</v>
      </c>
      <c r="T974" s="18">
        <f>ROUND((S974/7)/VLOOKUP(EOMONTH(A974,-1),Employment!A:P,16,FALSE),4)</f>
        <v>1.4522999999999999</v>
      </c>
      <c r="U974" s="18">
        <f t="shared" si="303"/>
        <v>1.4343999999999999</v>
      </c>
      <c r="V974" s="29">
        <f t="shared" si="304"/>
        <v>-6.13E-2</v>
      </c>
      <c r="W974" s="29">
        <f t="shared" si="305"/>
        <v>8.0000000000000004E-4</v>
      </c>
      <c r="X974" s="30">
        <f t="shared" si="306"/>
        <v>116.83</v>
      </c>
      <c r="Y974" s="31">
        <f t="shared" si="307"/>
        <v>118.74</v>
      </c>
    </row>
    <row r="975" spans="1:25" ht="15" customHeight="1" x14ac:dyDescent="0.25">
      <c r="A975" s="5">
        <v>36520</v>
      </c>
      <c r="B975">
        <v>1001.9104</v>
      </c>
      <c r="C975" s="29">
        <f t="shared" si="311"/>
        <v>-6.9999999999999999E-4</v>
      </c>
      <c r="D975">
        <v>-0.18</v>
      </c>
      <c r="E975">
        <v>0.88</v>
      </c>
      <c r="F975" s="18">
        <f t="shared" ref="F975:F1038" si="312">(((D975*10)+(E975*8))*-1)-(((D976*10)+(E976*8))*-1)</f>
        <v>-0.13199999999999967</v>
      </c>
      <c r="G975" s="18">
        <f t="shared" ref="G975:G1038" si="313">SUM(F975:F977)</f>
        <v>-0.62000000000000099</v>
      </c>
      <c r="H975">
        <v>4.66</v>
      </c>
      <c r="I975">
        <v>1.88</v>
      </c>
      <c r="J975">
        <f t="shared" si="308"/>
        <v>3.27</v>
      </c>
      <c r="K975" s="6">
        <f t="shared" si="309"/>
        <v>3.34</v>
      </c>
      <c r="L975" s="6">
        <f t="shared" si="310"/>
        <v>-6.0000000000000053E-2</v>
      </c>
      <c r="M975">
        <v>5.0875887101694</v>
      </c>
      <c r="N975">
        <v>283500</v>
      </c>
      <c r="O975" s="18">
        <f>ROUND(N975/VLOOKUP(EOMONTH(A975,-1),Employment!A:P,16,FALSE),4)</f>
        <v>1.3586</v>
      </c>
      <c r="P975" s="18">
        <f t="shared" ref="P975:P1038" si="314">ROUND(AVERAGE(O975:O977),4)</f>
        <v>1.3533999999999999</v>
      </c>
      <c r="Q975" s="29">
        <f t="shared" ref="Q975:Q1038" si="315">ROUND((P975/P1027)-1,4)</f>
        <v>-0.1091</v>
      </c>
      <c r="R975" s="29">
        <f t="shared" ref="R975:R1038" si="316">ROUND(AVERAGE(Q975:Q976)-AVERAGE(Q975:Q979),4)*-1</f>
        <v>-3.3999999999999998E-3</v>
      </c>
      <c r="S975">
        <v>2070000</v>
      </c>
      <c r="T975" s="18">
        <f>ROUND((S975/7)/VLOOKUP(EOMONTH(A975,-1),Employment!A:P,16,FALSE),4)</f>
        <v>1.4172</v>
      </c>
      <c r="U975" s="18">
        <f t="shared" ref="U975:U1038" si="317">ROUND(AVERAGE(T975:T977),4)</f>
        <v>1.429</v>
      </c>
      <c r="V975" s="29">
        <f t="shared" ref="V975:V1038" si="318">ROUND((U975/U1027)-1,4)</f>
        <v>-7.4099999999999999E-2</v>
      </c>
      <c r="W975" s="29">
        <f t="shared" ref="W975:W1038" si="319">ROUND(AVERAGE(V975:V976)-AVERAGE(V975:V979),4)*-1</f>
        <v>4.4999999999999997E-3</v>
      </c>
      <c r="X975" s="30">
        <f t="shared" ref="X975:X1038" si="320">IF(ROUND((C975*500)-(D975*10)-(E975*8)+(M975*1.2)-(P975*23)-(Q975*10)+(R975*600)-(U975*2)-(V975*5)+(W975*100)-(K975*5)-(L975*5)+(G975*3),2)+170&lt;0,0,ROUND((C975*500)-(D975*10)-(E975*8)+(M975*1.2)-(P975*23)-(Q975*10)+(R975*600)-(U975*2)-(V975*5)+(W975*100)-(K975*5)-(L975*5)+(G975*3),2)+170)</f>
        <v>118.14</v>
      </c>
      <c r="Y975" s="31">
        <f t="shared" ref="Y975:Y1038" si="321">ROUND(AVERAGE(AVERAGE(X975:X976),AVERAGE(X975:X977)),2)</f>
        <v>123.5</v>
      </c>
    </row>
    <row r="976" spans="1:25" ht="15" customHeight="1" x14ac:dyDescent="0.25">
      <c r="A976" s="5">
        <v>36513</v>
      </c>
      <c r="B976">
        <v>1003.6438000000001</v>
      </c>
      <c r="C976" s="29">
        <f t="shared" si="311"/>
        <v>2.5000000000000001E-3</v>
      </c>
      <c r="D976">
        <v>-0.19</v>
      </c>
      <c r="E976">
        <v>0.876</v>
      </c>
      <c r="F976" s="18">
        <f t="shared" si="312"/>
        <v>7.5999999999999623E-2</v>
      </c>
      <c r="G976" s="18">
        <f t="shared" si="313"/>
        <v>-0.32800000000000118</v>
      </c>
      <c r="H976">
        <v>4.72</v>
      </c>
      <c r="I976">
        <v>1.93</v>
      </c>
      <c r="J976">
        <f t="shared" ref="J976:J1039" si="322">ROUND(AVERAGE(H976:I976),2)</f>
        <v>3.33</v>
      </c>
      <c r="K976" s="6">
        <f t="shared" ref="K976:K1039" si="323">ROUND(AVERAGE(J976:J978),2)</f>
        <v>3.4</v>
      </c>
      <c r="L976" s="6">
        <f t="shared" ref="L976:L1039" si="324">K976-K977</f>
        <v>-5.0000000000000266E-2</v>
      </c>
      <c r="M976">
        <v>5.6508336324255</v>
      </c>
      <c r="N976">
        <v>280750</v>
      </c>
      <c r="O976" s="18">
        <f>ROUND(N976/VLOOKUP(EOMONTH(A976,-1),Employment!A:P,16,FALSE),4)</f>
        <v>1.3454999999999999</v>
      </c>
      <c r="P976" s="18">
        <f t="shared" si="314"/>
        <v>1.3506</v>
      </c>
      <c r="Q976" s="29">
        <f t="shared" si="315"/>
        <v>-0.11700000000000001</v>
      </c>
      <c r="R976" s="29">
        <f t="shared" si="316"/>
        <v>2.7000000000000001E-3</v>
      </c>
      <c r="S976">
        <v>2094000</v>
      </c>
      <c r="T976" s="18">
        <f>ROUND((S976/7)/VLOOKUP(EOMONTH(A976,-1),Employment!A:P,16,FALSE),4)</f>
        <v>1.4336</v>
      </c>
      <c r="U976" s="18">
        <f t="shared" si="317"/>
        <v>1.4383999999999999</v>
      </c>
      <c r="V976" s="29">
        <f t="shared" si="318"/>
        <v>-6.83E-2</v>
      </c>
      <c r="W976" s="29">
        <f t="shared" si="319"/>
        <v>6.1000000000000004E-3</v>
      </c>
      <c r="X976" s="30">
        <f t="shared" si="320"/>
        <v>124.99000000000001</v>
      </c>
      <c r="Y976" s="31">
        <f t="shared" si="321"/>
        <v>131.59</v>
      </c>
    </row>
    <row r="977" spans="1:25" ht="15" customHeight="1" x14ac:dyDescent="0.25">
      <c r="A977" s="5">
        <v>36506</v>
      </c>
      <c r="B977">
        <v>1005.2291</v>
      </c>
      <c r="C977" s="29">
        <f t="shared" si="311"/>
        <v>7.1000000000000004E-3</v>
      </c>
      <c r="D977">
        <v>-0.2</v>
      </c>
      <c r="E977">
        <v>0.89800000000000002</v>
      </c>
      <c r="F977" s="18">
        <f t="shared" si="312"/>
        <v>-0.56400000000000095</v>
      </c>
      <c r="G977" s="18">
        <f t="shared" si="313"/>
        <v>0.45600000000000041</v>
      </c>
      <c r="H977">
        <v>4.88</v>
      </c>
      <c r="I977">
        <v>1.95</v>
      </c>
      <c r="J977">
        <f t="shared" si="322"/>
        <v>3.42</v>
      </c>
      <c r="K977" s="6">
        <f t="shared" si="323"/>
        <v>3.45</v>
      </c>
      <c r="L977" s="6">
        <f t="shared" si="324"/>
        <v>-4.0000000000000036E-2</v>
      </c>
      <c r="M977">
        <v>5.4712584726692004</v>
      </c>
      <c r="N977">
        <v>283000</v>
      </c>
      <c r="O977" s="18">
        <f>ROUND(N977/VLOOKUP(EOMONTH(A977,-1),Employment!A:P,16,FALSE),4)</f>
        <v>1.3562000000000001</v>
      </c>
      <c r="P977" s="18">
        <f t="shared" si="314"/>
        <v>1.3513999999999999</v>
      </c>
      <c r="Q977" s="29">
        <f t="shared" si="315"/>
        <v>-0.1207</v>
      </c>
      <c r="R977" s="29">
        <f t="shared" si="316"/>
        <v>9.2999999999999992E-3</v>
      </c>
      <c r="S977">
        <v>2098000</v>
      </c>
      <c r="T977" s="18">
        <f>ROUND((S977/7)/VLOOKUP(EOMONTH(A977,-1),Employment!A:P,16,FALSE),4)</f>
        <v>1.4362999999999999</v>
      </c>
      <c r="U977" s="18">
        <f t="shared" si="317"/>
        <v>1.4253</v>
      </c>
      <c r="V977" s="29">
        <f t="shared" si="318"/>
        <v>-6.8400000000000002E-2</v>
      </c>
      <c r="W977" s="29">
        <f t="shared" si="319"/>
        <v>7.4999999999999997E-3</v>
      </c>
      <c r="X977" s="30">
        <f t="shared" si="320"/>
        <v>133.19999999999999</v>
      </c>
      <c r="Y977" s="31">
        <f t="shared" si="321"/>
        <v>140.81</v>
      </c>
    </row>
    <row r="978" spans="1:25" ht="15" customHeight="1" x14ac:dyDescent="0.25">
      <c r="A978" s="5">
        <v>36499</v>
      </c>
      <c r="B978">
        <v>1001.2117</v>
      </c>
      <c r="C978" s="29">
        <f t="shared" ref="C978:C1041" si="325">ROUND((B978-AVERAGE(B979:B982))/AVERAGE(B979:B982),4)</f>
        <v>7.9000000000000008E-3</v>
      </c>
      <c r="D978">
        <v>-0.21</v>
      </c>
      <c r="E978">
        <v>0.84</v>
      </c>
      <c r="F978" s="18">
        <f t="shared" si="312"/>
        <v>0.16000000000000014</v>
      </c>
      <c r="G978" s="18">
        <f t="shared" si="313"/>
        <v>2.5160000000000009</v>
      </c>
      <c r="H978">
        <v>4.91</v>
      </c>
      <c r="I978">
        <v>1.96</v>
      </c>
      <c r="J978">
        <f t="shared" si="322"/>
        <v>3.44</v>
      </c>
      <c r="K978" s="6">
        <f t="shared" si="323"/>
        <v>3.49</v>
      </c>
      <c r="L978" s="6">
        <f t="shared" si="324"/>
        <v>-6.999999999999984E-2</v>
      </c>
      <c r="M978">
        <v>4.9445099707272</v>
      </c>
      <c r="N978">
        <v>281750</v>
      </c>
      <c r="O978" s="18">
        <f>ROUND(N978/VLOOKUP(EOMONTH(A978,-1),Employment!A:P,16,FALSE),4)</f>
        <v>1.3502000000000001</v>
      </c>
      <c r="P978" s="18">
        <f t="shared" si="314"/>
        <v>1.3502000000000001</v>
      </c>
      <c r="Q978" s="29">
        <f t="shared" si="315"/>
        <v>-0.1201</v>
      </c>
      <c r="R978" s="29">
        <f t="shared" si="316"/>
        <v>1.6500000000000001E-2</v>
      </c>
      <c r="S978">
        <v>2111000</v>
      </c>
      <c r="T978" s="18">
        <f>ROUND((S978/7)/VLOOKUP(EOMONTH(A978,-1),Employment!A:P,16,FALSE),4)</f>
        <v>1.4452</v>
      </c>
      <c r="U978" s="18">
        <f t="shared" si="317"/>
        <v>1.4259999999999999</v>
      </c>
      <c r="V978" s="29">
        <f t="shared" si="318"/>
        <v>-6.2399999999999997E-2</v>
      </c>
      <c r="W978" s="29">
        <f t="shared" si="319"/>
        <v>8.3999999999999995E-3</v>
      </c>
      <c r="X978" s="30">
        <f t="shared" si="320"/>
        <v>144.06</v>
      </c>
      <c r="Y978" s="31">
        <f t="shared" si="321"/>
        <v>148.63</v>
      </c>
    </row>
    <row r="979" spans="1:25" ht="15" customHeight="1" x14ac:dyDescent="0.25">
      <c r="A979" s="5">
        <v>36492</v>
      </c>
      <c r="B979">
        <v>1000.4106</v>
      </c>
      <c r="C979" s="29">
        <f t="shared" si="325"/>
        <v>1.26E-2</v>
      </c>
      <c r="D979">
        <v>-0.19</v>
      </c>
      <c r="E979">
        <v>0.83499999999999996</v>
      </c>
      <c r="F979" s="18">
        <f t="shared" si="312"/>
        <v>0.86000000000000121</v>
      </c>
      <c r="G979" s="18">
        <f t="shared" si="313"/>
        <v>3.2279999999999998</v>
      </c>
      <c r="H979">
        <v>4.97</v>
      </c>
      <c r="I979">
        <v>2.0099999999999998</v>
      </c>
      <c r="J979">
        <f t="shared" si="322"/>
        <v>3.49</v>
      </c>
      <c r="K979" s="6">
        <f t="shared" si="323"/>
        <v>3.56</v>
      </c>
      <c r="L979" s="6">
        <f t="shared" si="324"/>
        <v>-8.0000000000000071E-2</v>
      </c>
      <c r="M979">
        <v>4.2490499776704</v>
      </c>
      <c r="N979">
        <v>281000</v>
      </c>
      <c r="O979" s="18">
        <f>ROUND(N979/VLOOKUP(EOMONTH(A979,-1),Employment!A:P,16,FALSE),4)</f>
        <v>1.3478000000000001</v>
      </c>
      <c r="P979" s="18">
        <f t="shared" si="314"/>
        <v>1.3533999999999999</v>
      </c>
      <c r="Q979" s="29">
        <f t="shared" si="315"/>
        <v>-0.1153</v>
      </c>
      <c r="R979" s="29">
        <f t="shared" si="316"/>
        <v>2.41E-2</v>
      </c>
      <c r="S979">
        <v>2035000</v>
      </c>
      <c r="T979" s="18">
        <f>ROUND((S979/7)/VLOOKUP(EOMONTH(A979,-1),Employment!A:P,16,FALSE),4)</f>
        <v>1.3944000000000001</v>
      </c>
      <c r="U979" s="18">
        <f t="shared" si="317"/>
        <v>1.4198</v>
      </c>
      <c r="V979" s="29">
        <f t="shared" si="318"/>
        <v>-6.0400000000000002E-2</v>
      </c>
      <c r="W979" s="29">
        <f t="shared" si="319"/>
        <v>8.6E-3</v>
      </c>
      <c r="X979" s="30">
        <f t="shared" si="320"/>
        <v>151.71</v>
      </c>
      <c r="Y979" s="31">
        <f t="shared" si="321"/>
        <v>150.54</v>
      </c>
    </row>
    <row r="980" spans="1:25" ht="15" customHeight="1" x14ac:dyDescent="0.25">
      <c r="A980" s="5">
        <v>36485</v>
      </c>
      <c r="B980">
        <v>997.88829999999996</v>
      </c>
      <c r="C980" s="29">
        <f t="shared" si="325"/>
        <v>1.72E-2</v>
      </c>
      <c r="D980">
        <v>-0.16</v>
      </c>
      <c r="E980">
        <v>0.90500000000000003</v>
      </c>
      <c r="F980" s="18">
        <f t="shared" si="312"/>
        <v>1.4959999999999996</v>
      </c>
      <c r="G980" s="18">
        <f t="shared" si="313"/>
        <v>3.0359999999999996</v>
      </c>
      <c r="H980">
        <v>5.05</v>
      </c>
      <c r="I980">
        <v>2.02</v>
      </c>
      <c r="J980">
        <f t="shared" si="322"/>
        <v>3.54</v>
      </c>
      <c r="K980" s="6">
        <f t="shared" si="323"/>
        <v>3.64</v>
      </c>
      <c r="L980" s="6">
        <f t="shared" si="324"/>
        <v>-6.0000000000000053E-2</v>
      </c>
      <c r="M980">
        <v>2.7592571546263001</v>
      </c>
      <c r="N980">
        <v>282000</v>
      </c>
      <c r="O980" s="18">
        <f>ROUND(N980/VLOOKUP(EOMONTH(A980,-1),Employment!A:P,16,FALSE),4)</f>
        <v>1.3526</v>
      </c>
      <c r="P980" s="18">
        <f t="shared" si="314"/>
        <v>1.361</v>
      </c>
      <c r="Q980" s="29">
        <f t="shared" si="315"/>
        <v>-0.1077</v>
      </c>
      <c r="R980" s="29">
        <f t="shared" si="316"/>
        <v>2.7900000000000001E-2</v>
      </c>
      <c r="S980">
        <v>2099000</v>
      </c>
      <c r="T980" s="18">
        <f>ROUND((S980/7)/VLOOKUP(EOMONTH(A980,-1),Employment!A:P,16,FALSE),4)</f>
        <v>1.4382999999999999</v>
      </c>
      <c r="U980" s="18">
        <f t="shared" si="317"/>
        <v>1.4314</v>
      </c>
      <c r="V980" s="29">
        <f t="shared" si="318"/>
        <v>-5.16E-2</v>
      </c>
      <c r="W980" s="29">
        <f t="shared" si="319"/>
        <v>9.4000000000000004E-3</v>
      </c>
      <c r="X980" s="30">
        <f t="shared" si="320"/>
        <v>152.32999999999998</v>
      </c>
      <c r="Y980" s="31">
        <f t="shared" si="321"/>
        <v>144.16</v>
      </c>
    </row>
    <row r="981" spans="1:25" ht="15" customHeight="1" x14ac:dyDescent="0.25">
      <c r="A981" s="5">
        <v>36478</v>
      </c>
      <c r="B981">
        <v>992.87440000000004</v>
      </c>
      <c r="C981" s="29">
        <f t="shared" si="325"/>
        <v>1.7399999999999999E-2</v>
      </c>
      <c r="D981">
        <v>-0.12</v>
      </c>
      <c r="E981">
        <v>1.042</v>
      </c>
      <c r="F981" s="18">
        <f t="shared" si="312"/>
        <v>0.871999999999999</v>
      </c>
      <c r="G981" s="18">
        <f t="shared" si="313"/>
        <v>2.0480000000000009</v>
      </c>
      <c r="H981">
        <v>5.18</v>
      </c>
      <c r="I981">
        <v>2.13</v>
      </c>
      <c r="J981">
        <f t="shared" si="322"/>
        <v>3.66</v>
      </c>
      <c r="K981" s="6">
        <f t="shared" si="323"/>
        <v>3.7</v>
      </c>
      <c r="L981" s="6">
        <f t="shared" si="324"/>
        <v>2.0000000000000018E-2</v>
      </c>
      <c r="M981">
        <v>2.0753292924973001</v>
      </c>
      <c r="N981">
        <v>283500</v>
      </c>
      <c r="O981" s="18">
        <f>ROUND(N981/VLOOKUP(EOMONTH(A981,-1),Employment!A:P,16,FALSE),4)</f>
        <v>1.3597999999999999</v>
      </c>
      <c r="P981" s="18">
        <f t="shared" si="314"/>
        <v>1.3771</v>
      </c>
      <c r="Q981" s="29">
        <f t="shared" si="315"/>
        <v>-9.1899999999999996E-2</v>
      </c>
      <c r="R981" s="29">
        <f t="shared" si="316"/>
        <v>2.24E-2</v>
      </c>
      <c r="S981">
        <v>2082000</v>
      </c>
      <c r="T981" s="18">
        <f>ROUND((S981/7)/VLOOKUP(EOMONTH(A981,-1),Employment!A:P,16,FALSE),4)</f>
        <v>1.4266000000000001</v>
      </c>
      <c r="U981" s="18">
        <f t="shared" si="317"/>
        <v>1.4326000000000001</v>
      </c>
      <c r="V981" s="29">
        <f t="shared" si="318"/>
        <v>-4.6800000000000001E-2</v>
      </c>
      <c r="W981" s="29">
        <f t="shared" si="319"/>
        <v>1.49E-2</v>
      </c>
      <c r="X981" s="30">
        <f t="shared" si="320"/>
        <v>143.13999999999999</v>
      </c>
      <c r="Y981" s="31">
        <f t="shared" si="321"/>
        <v>129.63</v>
      </c>
    </row>
    <row r="982" spans="1:25" ht="15" customHeight="1" x14ac:dyDescent="0.25">
      <c r="A982" s="5">
        <v>36471</v>
      </c>
      <c r="B982">
        <v>982.43619999999999</v>
      </c>
      <c r="C982" s="29">
        <f t="shared" si="325"/>
        <v>8.3000000000000001E-3</v>
      </c>
      <c r="D982">
        <v>-0.1</v>
      </c>
      <c r="E982">
        <v>1.1259999999999999</v>
      </c>
      <c r="F982" s="18">
        <f t="shared" si="312"/>
        <v>0.66800000000000104</v>
      </c>
      <c r="G982" s="18">
        <f t="shared" si="313"/>
        <v>1.3120000000000012</v>
      </c>
      <c r="H982">
        <v>5.16</v>
      </c>
      <c r="I982">
        <v>2.27</v>
      </c>
      <c r="J982">
        <f t="shared" si="322"/>
        <v>3.72</v>
      </c>
      <c r="K982" s="6">
        <f t="shared" si="323"/>
        <v>3.68</v>
      </c>
      <c r="L982" s="6">
        <f t="shared" si="324"/>
        <v>3.0000000000000249E-2</v>
      </c>
      <c r="M982">
        <v>1.9466845264440999</v>
      </c>
      <c r="N982">
        <v>285750</v>
      </c>
      <c r="O982" s="18">
        <f>ROUND(N982/VLOOKUP(EOMONTH(A982,-1),Employment!A:P,16,FALSE),4)</f>
        <v>1.3706</v>
      </c>
      <c r="P982" s="18">
        <f t="shared" si="314"/>
        <v>1.4012</v>
      </c>
      <c r="Q982" s="29">
        <f t="shared" si="315"/>
        <v>-7.1099999999999997E-2</v>
      </c>
      <c r="R982" s="29">
        <f t="shared" si="316"/>
        <v>8.2000000000000007E-3</v>
      </c>
      <c r="S982">
        <v>2086000</v>
      </c>
      <c r="T982" s="18">
        <f>ROUND((S982/7)/VLOOKUP(EOMONTH(A982,-1),Employment!A:P,16,FALSE),4)</f>
        <v>1.4294</v>
      </c>
      <c r="U982" s="18">
        <f t="shared" si="317"/>
        <v>1.4383999999999999</v>
      </c>
      <c r="V982" s="29">
        <f t="shared" si="318"/>
        <v>-4.3999999999999997E-2</v>
      </c>
      <c r="W982" s="29">
        <f t="shared" si="319"/>
        <v>1.66E-2</v>
      </c>
      <c r="X982" s="30">
        <f t="shared" si="320"/>
        <v>126.27000000000001</v>
      </c>
      <c r="Y982" s="31">
        <f t="shared" si="321"/>
        <v>110.73</v>
      </c>
    </row>
    <row r="983" spans="1:25" ht="15" customHeight="1" x14ac:dyDescent="0.25">
      <c r="A983" s="5">
        <v>36464</v>
      </c>
      <c r="B983">
        <v>978.78020000000004</v>
      </c>
      <c r="C983" s="29">
        <f t="shared" si="325"/>
        <v>5.8999999999999999E-3</v>
      </c>
      <c r="D983">
        <v>-7.0000000000000007E-2</v>
      </c>
      <c r="E983">
        <v>1.1719999999999999</v>
      </c>
      <c r="F983" s="18">
        <f t="shared" si="312"/>
        <v>0.5080000000000009</v>
      </c>
      <c r="G983" s="18">
        <f t="shared" si="313"/>
        <v>-1.7000000000000002</v>
      </c>
      <c r="H983">
        <v>5.17</v>
      </c>
      <c r="I983">
        <v>2.2799999999999998</v>
      </c>
      <c r="J983">
        <f t="shared" si="322"/>
        <v>3.73</v>
      </c>
      <c r="K983" s="6">
        <f t="shared" si="323"/>
        <v>3.65</v>
      </c>
      <c r="L983" s="6">
        <f t="shared" si="324"/>
        <v>2.9999999999999805E-2</v>
      </c>
      <c r="M983">
        <v>1.9588903805233</v>
      </c>
      <c r="N983">
        <v>291750</v>
      </c>
      <c r="O983" s="18">
        <f>ROUND(N983/VLOOKUP(EOMONTH(A983,-1),Employment!A:P,16,FALSE),4)</f>
        <v>1.4009</v>
      </c>
      <c r="P983" s="18">
        <f t="shared" si="314"/>
        <v>1.4193</v>
      </c>
      <c r="Q983" s="29">
        <f t="shared" si="315"/>
        <v>-5.0799999999999998E-2</v>
      </c>
      <c r="R983" s="29">
        <f t="shared" si="316"/>
        <v>-8.8999999999999999E-3</v>
      </c>
      <c r="S983">
        <v>2102000</v>
      </c>
      <c r="T983" s="18">
        <f>ROUND((S983/7)/VLOOKUP(EOMONTH(A983,-1),Employment!A:P,16,FALSE),4)</f>
        <v>1.4418</v>
      </c>
      <c r="U983" s="18">
        <f t="shared" si="317"/>
        <v>1.4510000000000001</v>
      </c>
      <c r="V983" s="29">
        <f t="shared" si="318"/>
        <v>-3.4000000000000002E-2</v>
      </c>
      <c r="W983" s="29">
        <f t="shared" si="319"/>
        <v>1.3100000000000001E-2</v>
      </c>
      <c r="X983" s="30">
        <f t="shared" si="320"/>
        <v>104.23</v>
      </c>
      <c r="Y983" s="31">
        <f t="shared" si="321"/>
        <v>95.33</v>
      </c>
    </row>
    <row r="984" spans="1:25" ht="15" customHeight="1" x14ac:dyDescent="0.25">
      <c r="A984" s="5">
        <v>36457</v>
      </c>
      <c r="B984">
        <v>969.96690000000001</v>
      </c>
      <c r="C984" s="29">
        <f t="shared" si="325"/>
        <v>-4.4000000000000003E-3</v>
      </c>
      <c r="D984">
        <v>-0.06</v>
      </c>
      <c r="E984">
        <v>1.2230000000000001</v>
      </c>
      <c r="F984" s="18">
        <f t="shared" si="312"/>
        <v>0.13599999999999923</v>
      </c>
      <c r="G984" s="18">
        <f t="shared" si="313"/>
        <v>-3.1080000000000005</v>
      </c>
      <c r="H984">
        <v>4.93</v>
      </c>
      <c r="I984">
        <v>2.25</v>
      </c>
      <c r="J984">
        <f t="shared" si="322"/>
        <v>3.59</v>
      </c>
      <c r="K984" s="6">
        <f t="shared" si="323"/>
        <v>3.62</v>
      </c>
      <c r="L984" s="6">
        <f t="shared" si="324"/>
        <v>-2.0000000000000018E-2</v>
      </c>
      <c r="M984">
        <v>2.1710728606897001</v>
      </c>
      <c r="N984">
        <v>298250</v>
      </c>
      <c r="O984" s="18">
        <f>ROUND(N984/VLOOKUP(EOMONTH(A984,-1),Employment!A:P,16,FALSE),4)</f>
        <v>1.4320999999999999</v>
      </c>
      <c r="P984" s="18">
        <f t="shared" si="314"/>
        <v>1.4233</v>
      </c>
      <c r="Q984" s="29">
        <f t="shared" si="315"/>
        <v>-3.7999999999999999E-2</v>
      </c>
      <c r="R984" s="29">
        <f t="shared" si="316"/>
        <v>-1.7899999999999999E-2</v>
      </c>
      <c r="S984">
        <v>2105000</v>
      </c>
      <c r="T984" s="18">
        <f>ROUND((S984/7)/VLOOKUP(EOMONTH(A984,-1),Employment!A:P,16,FALSE),4)</f>
        <v>1.4439</v>
      </c>
      <c r="U984" s="18">
        <f t="shared" si="317"/>
        <v>1.4638</v>
      </c>
      <c r="V984" s="29">
        <f t="shared" si="318"/>
        <v>-2.2800000000000001E-2</v>
      </c>
      <c r="W984" s="29">
        <f t="shared" si="319"/>
        <v>1.5E-3</v>
      </c>
      <c r="X984" s="30">
        <f t="shared" si="320"/>
        <v>88.14</v>
      </c>
      <c r="Y984" s="31">
        <f t="shared" si="321"/>
        <v>92.64</v>
      </c>
    </row>
    <row r="985" spans="1:25" ht="15" customHeight="1" x14ac:dyDescent="0.25">
      <c r="A985" s="5">
        <v>36450</v>
      </c>
      <c r="B985">
        <v>972.5299</v>
      </c>
      <c r="C985" s="29">
        <f t="shared" si="325"/>
        <v>-2.5000000000000001E-3</v>
      </c>
      <c r="D985">
        <v>-0.06</v>
      </c>
      <c r="E985">
        <v>1.24</v>
      </c>
      <c r="F985" s="18">
        <f t="shared" si="312"/>
        <v>-2.3440000000000003</v>
      </c>
      <c r="G985" s="18">
        <f t="shared" si="313"/>
        <v>-3.2560000000000002</v>
      </c>
      <c r="H985">
        <v>4.9400000000000004</v>
      </c>
      <c r="I985">
        <v>2.31</v>
      </c>
      <c r="J985">
        <f t="shared" si="322"/>
        <v>3.63</v>
      </c>
      <c r="K985" s="6">
        <f t="shared" si="323"/>
        <v>3.64</v>
      </c>
      <c r="L985" s="6">
        <f t="shared" si="324"/>
        <v>-6.999999999999984E-2</v>
      </c>
      <c r="M985">
        <v>2.6463747258476</v>
      </c>
      <c r="N985">
        <v>296750</v>
      </c>
      <c r="O985" s="18">
        <f>ROUND(N985/VLOOKUP(EOMONTH(A985,-1),Employment!A:P,16,FALSE),4)</f>
        <v>1.4249000000000001</v>
      </c>
      <c r="P985" s="18">
        <f t="shared" si="314"/>
        <v>1.4093</v>
      </c>
      <c r="Q985" s="29">
        <f t="shared" si="315"/>
        <v>-4.3799999999999999E-2</v>
      </c>
      <c r="R985" s="29">
        <f t="shared" si="316"/>
        <v>-1.41E-2</v>
      </c>
      <c r="S985">
        <v>2139000</v>
      </c>
      <c r="T985" s="18">
        <f>ROUND((S985/7)/VLOOKUP(EOMONTH(A985,-1),Employment!A:P,16,FALSE),4)</f>
        <v>1.4672000000000001</v>
      </c>
      <c r="U985" s="18">
        <f t="shared" si="317"/>
        <v>1.4786999999999999</v>
      </c>
      <c r="V985" s="29">
        <f t="shared" si="318"/>
        <v>-4.7999999999999996E-3</v>
      </c>
      <c r="W985" s="29">
        <f t="shared" si="319"/>
        <v>-5.5999999999999999E-3</v>
      </c>
      <c r="X985" s="30">
        <f t="shared" si="320"/>
        <v>91.06</v>
      </c>
      <c r="Y985" s="31">
        <f t="shared" si="321"/>
        <v>101.71</v>
      </c>
    </row>
    <row r="986" spans="1:25" ht="15" customHeight="1" x14ac:dyDescent="0.25">
      <c r="A986" s="5">
        <v>36443</v>
      </c>
      <c r="B986">
        <v>976.03819999999996</v>
      </c>
      <c r="C986" s="29">
        <f t="shared" si="325"/>
        <v>1.1000000000000001E-3</v>
      </c>
      <c r="D986">
        <v>-0.1</v>
      </c>
      <c r="E986">
        <v>0.997</v>
      </c>
      <c r="F986" s="18">
        <f t="shared" si="312"/>
        <v>-0.89999999999999947</v>
      </c>
      <c r="G986" s="18">
        <f t="shared" si="313"/>
        <v>-1.1479999999999997</v>
      </c>
      <c r="H986">
        <v>5</v>
      </c>
      <c r="I986">
        <v>2.2599999999999998</v>
      </c>
      <c r="J986">
        <f t="shared" si="322"/>
        <v>3.63</v>
      </c>
      <c r="K986" s="6">
        <f t="shared" si="323"/>
        <v>3.71</v>
      </c>
      <c r="L986" s="6">
        <f t="shared" si="324"/>
        <v>-2.0000000000000018E-2</v>
      </c>
      <c r="M986">
        <v>3.4225814583779002</v>
      </c>
      <c r="N986">
        <v>294250</v>
      </c>
      <c r="O986" s="18">
        <f>ROUND(N986/VLOOKUP(EOMONTH(A986,-1),Employment!A:P,16,FALSE),4)</f>
        <v>1.4129</v>
      </c>
      <c r="P986" s="18">
        <f t="shared" si="314"/>
        <v>1.3917999999999999</v>
      </c>
      <c r="Q986" s="29">
        <f t="shared" si="315"/>
        <v>-5.9799999999999999E-2</v>
      </c>
      <c r="R986" s="29">
        <f t="shared" si="316"/>
        <v>-4.7999999999999996E-3</v>
      </c>
      <c r="S986">
        <v>2158000</v>
      </c>
      <c r="T986" s="18">
        <f>ROUND((S986/7)/VLOOKUP(EOMONTH(A986,-1),Employment!A:P,16,FALSE),4)</f>
        <v>1.4802999999999999</v>
      </c>
      <c r="U986" s="18">
        <f t="shared" si="317"/>
        <v>1.4846999999999999</v>
      </c>
      <c r="V986" s="29">
        <f t="shared" si="318"/>
        <v>-6.4000000000000003E-3</v>
      </c>
      <c r="W986" s="29">
        <f t="shared" si="319"/>
        <v>-7.3000000000000001E-3</v>
      </c>
      <c r="X986" s="30">
        <f t="shared" si="320"/>
        <v>107.83</v>
      </c>
      <c r="Y986" s="31">
        <f t="shared" si="321"/>
        <v>110.67</v>
      </c>
    </row>
    <row r="987" spans="1:25" ht="15" customHeight="1" x14ac:dyDescent="0.25">
      <c r="A987" s="5">
        <v>36436</v>
      </c>
      <c r="B987">
        <v>973.44090000000006</v>
      </c>
      <c r="C987" s="29">
        <f t="shared" si="325"/>
        <v>-1.1000000000000001E-3</v>
      </c>
      <c r="D987">
        <v>-0.11</v>
      </c>
      <c r="E987">
        <v>0.89700000000000002</v>
      </c>
      <c r="F987" s="18">
        <f t="shared" si="312"/>
        <v>-1.2000000000000455E-2</v>
      </c>
      <c r="G987" s="18">
        <f t="shared" si="313"/>
        <v>-0.70400000000000063</v>
      </c>
      <c r="H987">
        <v>5.0599999999999996</v>
      </c>
      <c r="I987">
        <v>2.2599999999999998</v>
      </c>
      <c r="J987">
        <f t="shared" si="322"/>
        <v>3.66</v>
      </c>
      <c r="K987" s="6">
        <f t="shared" si="323"/>
        <v>3.73</v>
      </c>
      <c r="L987" s="6">
        <f t="shared" si="324"/>
        <v>9.9999999999997868E-3</v>
      </c>
      <c r="M987">
        <v>3.5801818281751001</v>
      </c>
      <c r="N987">
        <v>289500</v>
      </c>
      <c r="O987" s="18">
        <f>ROUND(N987/VLOOKUP(EOMONTH(A987,-1),Employment!A:P,16,FALSE),4)</f>
        <v>1.3900999999999999</v>
      </c>
      <c r="P987" s="18">
        <f t="shared" si="314"/>
        <v>1.3803000000000001</v>
      </c>
      <c r="Q987" s="29">
        <f t="shared" si="315"/>
        <v>-7.4099999999999999E-2</v>
      </c>
      <c r="R987" s="29">
        <f t="shared" si="316"/>
        <v>1.1000000000000001E-3</v>
      </c>
      <c r="S987">
        <v>2170000</v>
      </c>
      <c r="T987" s="18">
        <f>ROUND((S987/7)/VLOOKUP(EOMONTH(A987,-1),Employment!A:P,16,FALSE),4)</f>
        <v>1.4884999999999999</v>
      </c>
      <c r="U987" s="18">
        <f t="shared" si="317"/>
        <v>1.4850000000000001</v>
      </c>
      <c r="V987" s="29">
        <f t="shared" si="318"/>
        <v>-8.3000000000000001E-3</v>
      </c>
      <c r="W987" s="29">
        <f t="shared" si="319"/>
        <v>-5.5999999999999999E-3</v>
      </c>
      <c r="X987" s="30">
        <f t="shared" si="320"/>
        <v>113.02000000000001</v>
      </c>
      <c r="Y987" s="31">
        <f t="shared" si="321"/>
        <v>113.03</v>
      </c>
    </row>
    <row r="988" spans="1:25" ht="15" customHeight="1" x14ac:dyDescent="0.25">
      <c r="A988" s="5">
        <v>36429</v>
      </c>
      <c r="B988">
        <v>975.00350000000003</v>
      </c>
      <c r="C988" s="29">
        <f t="shared" si="325"/>
        <v>2.8E-3</v>
      </c>
      <c r="D988">
        <v>-0.12</v>
      </c>
      <c r="E988">
        <v>0.90800000000000003</v>
      </c>
      <c r="F988" s="18">
        <f t="shared" si="312"/>
        <v>-0.23599999999999977</v>
      </c>
      <c r="G988" s="18">
        <f t="shared" si="313"/>
        <v>-1.8040000000000003</v>
      </c>
      <c r="H988">
        <v>5.26</v>
      </c>
      <c r="I988">
        <v>2.41</v>
      </c>
      <c r="J988">
        <f t="shared" si="322"/>
        <v>3.84</v>
      </c>
      <c r="K988" s="6">
        <f t="shared" si="323"/>
        <v>3.72</v>
      </c>
      <c r="L988" s="6">
        <f t="shared" si="324"/>
        <v>7.0000000000000284E-2</v>
      </c>
      <c r="M988">
        <v>4.7320307868975</v>
      </c>
      <c r="N988">
        <v>285500</v>
      </c>
      <c r="O988" s="18">
        <f>ROUND(N988/VLOOKUP(EOMONTH(A988,-1),Employment!A:P,16,FALSE),4)</f>
        <v>1.3723000000000001</v>
      </c>
      <c r="P988" s="18">
        <f t="shared" si="314"/>
        <v>1.3808</v>
      </c>
      <c r="Q988" s="29">
        <f t="shared" si="315"/>
        <v>-7.8299999999999995E-2</v>
      </c>
      <c r="R988" s="29">
        <f t="shared" si="316"/>
        <v>1E-4</v>
      </c>
      <c r="S988">
        <v>2163000</v>
      </c>
      <c r="T988" s="18">
        <f>ROUND((S988/7)/VLOOKUP(EOMONTH(A988,-1),Employment!A:P,16,FALSE),4)</f>
        <v>1.4853000000000001</v>
      </c>
      <c r="U988" s="18">
        <f t="shared" si="317"/>
        <v>1.4851000000000001</v>
      </c>
      <c r="V988" s="29">
        <f t="shared" si="318"/>
        <v>-1.9E-2</v>
      </c>
      <c r="W988" s="29">
        <f t="shared" si="319"/>
        <v>-9.7999999999999997E-3</v>
      </c>
      <c r="X988" s="30">
        <f t="shared" si="320"/>
        <v>111.88</v>
      </c>
      <c r="Y988" s="31">
        <f t="shared" si="321"/>
        <v>114.68</v>
      </c>
    </row>
    <row r="989" spans="1:25" ht="15" customHeight="1" x14ac:dyDescent="0.25">
      <c r="A989" s="5">
        <v>36422</v>
      </c>
      <c r="B989">
        <v>975.43939999999998</v>
      </c>
      <c r="C989" s="29">
        <f t="shared" si="325"/>
        <v>5.7999999999999996E-3</v>
      </c>
      <c r="D989">
        <v>-0.13</v>
      </c>
      <c r="E989">
        <v>0.89100000000000001</v>
      </c>
      <c r="F989" s="18">
        <f t="shared" si="312"/>
        <v>-0.45600000000000041</v>
      </c>
      <c r="G989" s="18">
        <f t="shared" si="313"/>
        <v>-0.36800000000000033</v>
      </c>
      <c r="H989">
        <v>5.07</v>
      </c>
      <c r="I989">
        <v>2.2799999999999998</v>
      </c>
      <c r="J989">
        <f t="shared" si="322"/>
        <v>3.68</v>
      </c>
      <c r="K989" s="6">
        <f t="shared" si="323"/>
        <v>3.65</v>
      </c>
      <c r="L989" s="6">
        <f t="shared" si="324"/>
        <v>2.9999999999999805E-2</v>
      </c>
      <c r="M989">
        <v>5.2392279358665999</v>
      </c>
      <c r="N989">
        <v>286750</v>
      </c>
      <c r="O989" s="18">
        <f>ROUND(N989/VLOOKUP(EOMONTH(A989,-1),Employment!A:P,16,FALSE),4)</f>
        <v>1.3784000000000001</v>
      </c>
      <c r="P989" s="18">
        <f t="shared" si="314"/>
        <v>1.3892</v>
      </c>
      <c r="Q989" s="29">
        <f t="shared" si="315"/>
        <v>-7.3700000000000002E-2</v>
      </c>
      <c r="R989" s="29">
        <f t="shared" si="316"/>
        <v>-3.2000000000000002E-3</v>
      </c>
      <c r="S989">
        <v>2157000</v>
      </c>
      <c r="T989" s="18">
        <f>ROUND((S989/7)/VLOOKUP(EOMONTH(A989,-1),Employment!A:P,16,FALSE),4)</f>
        <v>1.4812000000000001</v>
      </c>
      <c r="U989" s="18">
        <f t="shared" si="317"/>
        <v>1.4901</v>
      </c>
      <c r="V989" s="29">
        <f t="shared" si="318"/>
        <v>-1.7399999999999999E-2</v>
      </c>
      <c r="W989" s="29">
        <f t="shared" si="319"/>
        <v>-1.8800000000000001E-2</v>
      </c>
      <c r="X989" s="30">
        <f t="shared" si="320"/>
        <v>115.95</v>
      </c>
      <c r="Y989" s="31">
        <f t="shared" si="321"/>
        <v>117.35</v>
      </c>
    </row>
    <row r="990" spans="1:25" ht="15" customHeight="1" x14ac:dyDescent="0.25">
      <c r="A990" s="5">
        <v>36415</v>
      </c>
      <c r="B990">
        <v>975.80970000000002</v>
      </c>
      <c r="C990" s="29">
        <f t="shared" si="325"/>
        <v>9.1999999999999998E-3</v>
      </c>
      <c r="D990">
        <v>-0.13</v>
      </c>
      <c r="E990">
        <v>0.83399999999999996</v>
      </c>
      <c r="F990" s="18">
        <f t="shared" si="312"/>
        <v>-1.1120000000000001</v>
      </c>
      <c r="G990" s="18">
        <f t="shared" si="313"/>
        <v>0.36399999999999988</v>
      </c>
      <c r="H990">
        <v>5.01</v>
      </c>
      <c r="I990">
        <v>2.27</v>
      </c>
      <c r="J990">
        <f t="shared" si="322"/>
        <v>3.64</v>
      </c>
      <c r="K990" s="6">
        <f t="shared" si="323"/>
        <v>3.62</v>
      </c>
      <c r="L990" s="6">
        <f t="shared" si="324"/>
        <v>2.0000000000000018E-2</v>
      </c>
      <c r="M990">
        <v>5.4505120435394003</v>
      </c>
      <c r="N990">
        <v>289500</v>
      </c>
      <c r="O990" s="18">
        <f>ROUND(N990/VLOOKUP(EOMONTH(A990,-1),Employment!A:P,16,FALSE),4)</f>
        <v>1.3915999999999999</v>
      </c>
      <c r="P990" s="18">
        <f t="shared" si="314"/>
        <v>1.4000999999999999</v>
      </c>
      <c r="Q990" s="29">
        <f t="shared" si="315"/>
        <v>-7.2800000000000004E-2</v>
      </c>
      <c r="R990" s="29">
        <f t="shared" si="316"/>
        <v>-5.5999999999999999E-3</v>
      </c>
      <c r="S990">
        <v>2168000</v>
      </c>
      <c r="T990" s="18">
        <f>ROUND((S990/7)/VLOOKUP(EOMONTH(A990,-1),Employment!A:P,16,FALSE),4)</f>
        <v>1.4886999999999999</v>
      </c>
      <c r="U990" s="18">
        <f t="shared" si="317"/>
        <v>1.4948999999999999</v>
      </c>
      <c r="V990" s="29">
        <f t="shared" si="318"/>
        <v>-2.1999999999999999E-2</v>
      </c>
      <c r="W990" s="29">
        <f t="shared" si="319"/>
        <v>-2.46E-2</v>
      </c>
      <c r="X990" s="30">
        <f t="shared" si="320"/>
        <v>118.49000000000001</v>
      </c>
      <c r="Y990" s="31">
        <f t="shared" si="321"/>
        <v>115.6</v>
      </c>
    </row>
    <row r="991" spans="1:25" ht="15" customHeight="1" x14ac:dyDescent="0.25">
      <c r="A991" s="5">
        <v>36408</v>
      </c>
      <c r="B991">
        <v>971.69889999999998</v>
      </c>
      <c r="C991" s="29">
        <f t="shared" si="325"/>
        <v>7.3000000000000001E-3</v>
      </c>
      <c r="D991">
        <v>-0.15</v>
      </c>
      <c r="E991">
        <v>0.72</v>
      </c>
      <c r="F991" s="18">
        <f t="shared" si="312"/>
        <v>1.2000000000000002</v>
      </c>
      <c r="G991" s="18">
        <f t="shared" si="313"/>
        <v>1.1040000000000001</v>
      </c>
      <c r="H991">
        <v>4.99</v>
      </c>
      <c r="I991">
        <v>2.2799999999999998</v>
      </c>
      <c r="J991">
        <f t="shared" si="322"/>
        <v>3.64</v>
      </c>
      <c r="K991" s="6">
        <f t="shared" si="323"/>
        <v>3.6</v>
      </c>
      <c r="L991" s="6">
        <f t="shared" si="324"/>
        <v>4.0000000000000036E-2</v>
      </c>
      <c r="M991">
        <v>6.2212304896630002</v>
      </c>
      <c r="N991">
        <v>290750</v>
      </c>
      <c r="O991" s="18">
        <f>ROUND(N991/VLOOKUP(EOMONTH(A991,-1),Employment!A:P,16,FALSE),4)</f>
        <v>1.3976</v>
      </c>
      <c r="P991" s="18">
        <f t="shared" si="314"/>
        <v>1.4146000000000001</v>
      </c>
      <c r="Q991" s="29">
        <f t="shared" si="315"/>
        <v>-7.6600000000000001E-2</v>
      </c>
      <c r="R991" s="29">
        <f t="shared" si="316"/>
        <v>-1.2200000000000001E-2</v>
      </c>
      <c r="S991">
        <v>2185000</v>
      </c>
      <c r="T991" s="18">
        <f>ROUND((S991/7)/VLOOKUP(EOMONTH(A991,-1),Employment!A:P,16,FALSE),4)</f>
        <v>1.5004</v>
      </c>
      <c r="U991" s="18">
        <f t="shared" si="317"/>
        <v>1.5008999999999999</v>
      </c>
      <c r="V991" s="29">
        <f t="shared" si="318"/>
        <v>-2.9700000000000001E-2</v>
      </c>
      <c r="W991" s="29">
        <f t="shared" si="319"/>
        <v>-2.0299999999999999E-2</v>
      </c>
      <c r="X991" s="30">
        <f t="shared" si="320"/>
        <v>117.99000000000001</v>
      </c>
      <c r="Y991" s="31">
        <f t="shared" si="321"/>
        <v>107.33</v>
      </c>
    </row>
    <row r="992" spans="1:25" ht="15" customHeight="1" x14ac:dyDescent="0.25">
      <c r="A992" s="5">
        <v>36401</v>
      </c>
      <c r="B992">
        <v>966.23879999999997</v>
      </c>
      <c r="C992" s="29">
        <f t="shared" si="325"/>
        <v>3.5000000000000001E-3</v>
      </c>
      <c r="D992">
        <v>-0.13</v>
      </c>
      <c r="E992">
        <v>0.84499999999999997</v>
      </c>
      <c r="F992" s="18">
        <f t="shared" si="312"/>
        <v>0.2759999999999998</v>
      </c>
      <c r="G992" s="18">
        <f t="shared" si="313"/>
        <v>-0.99999999999999911</v>
      </c>
      <c r="H992">
        <v>4.93</v>
      </c>
      <c r="I992">
        <v>2.2400000000000002</v>
      </c>
      <c r="J992">
        <f t="shared" si="322"/>
        <v>3.59</v>
      </c>
      <c r="K992" s="6">
        <f t="shared" si="323"/>
        <v>3.56</v>
      </c>
      <c r="L992" s="6">
        <f t="shared" si="324"/>
        <v>4.0000000000000036E-2</v>
      </c>
      <c r="M992">
        <v>6.5241609577900999</v>
      </c>
      <c r="N992">
        <v>293250</v>
      </c>
      <c r="O992" s="18">
        <f>ROUND(N992/VLOOKUP(EOMONTH(A992,-1),Employment!A:P,16,FALSE),4)</f>
        <v>1.411</v>
      </c>
      <c r="P992" s="18">
        <f t="shared" si="314"/>
        <v>1.4339</v>
      </c>
      <c r="Q992" s="29">
        <f t="shared" si="315"/>
        <v>-7.8299999999999995E-2</v>
      </c>
      <c r="R992" s="29">
        <f t="shared" si="316"/>
        <v>-2.53E-2</v>
      </c>
      <c r="S992">
        <v>2176000</v>
      </c>
      <c r="T992" s="18">
        <f>ROUND((S992/7)/VLOOKUP(EOMONTH(A992,-1),Employment!A:P,16,FALSE),4)</f>
        <v>1.4957</v>
      </c>
      <c r="U992" s="18">
        <f t="shared" si="317"/>
        <v>1.4965999999999999</v>
      </c>
      <c r="V992" s="29">
        <f t="shared" si="318"/>
        <v>-5.1799999999999999E-2</v>
      </c>
      <c r="W992" s="29">
        <f t="shared" si="319"/>
        <v>-5.8999999999999999E-3</v>
      </c>
      <c r="X992" s="30">
        <f t="shared" si="320"/>
        <v>102.42</v>
      </c>
      <c r="Y992" s="31">
        <f t="shared" si="321"/>
        <v>97.18</v>
      </c>
    </row>
    <row r="993" spans="1:25" ht="15" customHeight="1" x14ac:dyDescent="0.25">
      <c r="A993" s="5">
        <v>36394</v>
      </c>
      <c r="B993">
        <v>965.63</v>
      </c>
      <c r="C993" s="29">
        <f t="shared" si="325"/>
        <v>5.1000000000000004E-3</v>
      </c>
      <c r="D993">
        <v>-0.14000000000000001</v>
      </c>
      <c r="E993">
        <v>0.89200000000000002</v>
      </c>
      <c r="F993" s="18">
        <f t="shared" si="312"/>
        <v>-0.37199999999999989</v>
      </c>
      <c r="G993" s="18">
        <f t="shared" si="313"/>
        <v>-2.1440000000000001</v>
      </c>
      <c r="H993">
        <v>4.8899999999999997</v>
      </c>
      <c r="I993">
        <v>2.23</v>
      </c>
      <c r="J993">
        <f t="shared" si="322"/>
        <v>3.56</v>
      </c>
      <c r="K993" s="6">
        <f t="shared" si="323"/>
        <v>3.52</v>
      </c>
      <c r="L993" s="6">
        <f t="shared" si="324"/>
        <v>2.0000000000000018E-2</v>
      </c>
      <c r="M993">
        <v>6.5369733779408996</v>
      </c>
      <c r="N993">
        <v>298250</v>
      </c>
      <c r="O993" s="18">
        <f>ROUND(N993/VLOOKUP(EOMONTH(A993,-1),Employment!A:P,16,FALSE),4)</f>
        <v>1.4351</v>
      </c>
      <c r="P993" s="18">
        <f t="shared" si="314"/>
        <v>1.4459</v>
      </c>
      <c r="Q993" s="29">
        <f t="shared" si="315"/>
        <v>-8.1100000000000005E-2</v>
      </c>
      <c r="R993" s="29">
        <f t="shared" si="316"/>
        <v>-3.78E-2</v>
      </c>
      <c r="S993">
        <v>2192000</v>
      </c>
      <c r="T993" s="18">
        <f>ROUND((S993/7)/VLOOKUP(EOMONTH(A993,-1),Employment!A:P,16,FALSE),4)</f>
        <v>1.5066999999999999</v>
      </c>
      <c r="U993" s="18">
        <f t="shared" si="317"/>
        <v>1.5027999999999999</v>
      </c>
      <c r="V993" s="29">
        <f t="shared" si="318"/>
        <v>-7.1499999999999994E-2</v>
      </c>
      <c r="W993" s="29">
        <f t="shared" si="319"/>
        <v>2.0999999999999999E-3</v>
      </c>
      <c r="X993" s="30">
        <f t="shared" si="320"/>
        <v>92.96</v>
      </c>
      <c r="Y993" s="31">
        <f t="shared" si="321"/>
        <v>96.89</v>
      </c>
    </row>
    <row r="994" spans="1:25" ht="15" customHeight="1" x14ac:dyDescent="0.25">
      <c r="A994" s="5">
        <v>36387</v>
      </c>
      <c r="B994">
        <v>964.25519999999995</v>
      </c>
      <c r="C994" s="29">
        <f t="shared" si="325"/>
        <v>6.7000000000000002E-3</v>
      </c>
      <c r="D994">
        <v>-0.15</v>
      </c>
      <c r="E994">
        <v>0.85799999999999998</v>
      </c>
      <c r="F994" s="18">
        <f t="shared" si="312"/>
        <v>-0.90399999999999903</v>
      </c>
      <c r="G994" s="18">
        <f t="shared" si="313"/>
        <v>-2.5519999999999996</v>
      </c>
      <c r="H994">
        <v>4.78</v>
      </c>
      <c r="I994">
        <v>2.2599999999999998</v>
      </c>
      <c r="J994">
        <f t="shared" si="322"/>
        <v>3.52</v>
      </c>
      <c r="K994" s="6">
        <f t="shared" si="323"/>
        <v>3.5</v>
      </c>
      <c r="L994" s="6">
        <f t="shared" si="324"/>
        <v>2.0000000000000018E-2</v>
      </c>
      <c r="M994">
        <v>6.8424575149904001</v>
      </c>
      <c r="N994">
        <v>302500</v>
      </c>
      <c r="O994" s="18">
        <f>ROUND(N994/VLOOKUP(EOMONTH(A994,-1),Employment!A:P,16,FALSE),4)</f>
        <v>1.4555</v>
      </c>
      <c r="P994" s="18">
        <f t="shared" si="314"/>
        <v>1.4447000000000001</v>
      </c>
      <c r="Q994" s="29">
        <f t="shared" si="315"/>
        <v>-9.2600000000000002E-2</v>
      </c>
      <c r="R994" s="29">
        <f t="shared" si="316"/>
        <v>-3.6799999999999999E-2</v>
      </c>
      <c r="S994">
        <v>2164000</v>
      </c>
      <c r="T994" s="18">
        <f>ROUND((S994/7)/VLOOKUP(EOMONTH(A994,-1),Employment!A:P,16,FALSE),4)</f>
        <v>1.4875</v>
      </c>
      <c r="U994" s="18">
        <f t="shared" si="317"/>
        <v>1.5105999999999999</v>
      </c>
      <c r="V994" s="29">
        <f t="shared" si="318"/>
        <v>-7.7399999999999997E-2</v>
      </c>
      <c r="W994" s="29">
        <f t="shared" si="319"/>
        <v>6.7999999999999996E-3</v>
      </c>
      <c r="X994" s="30">
        <f t="shared" si="320"/>
        <v>94.6</v>
      </c>
      <c r="Y994" s="31">
        <f t="shared" si="321"/>
        <v>108.93</v>
      </c>
    </row>
    <row r="995" spans="1:25" ht="15" customHeight="1" x14ac:dyDescent="0.25">
      <c r="A995" s="5">
        <v>36380</v>
      </c>
      <c r="B995">
        <v>962.45529999999997</v>
      </c>
      <c r="C995" s="29">
        <f t="shared" si="325"/>
        <v>7.6E-3</v>
      </c>
      <c r="D995">
        <v>-0.19</v>
      </c>
      <c r="E995">
        <v>0.79500000000000004</v>
      </c>
      <c r="F995" s="18">
        <f t="shared" si="312"/>
        <v>-0.86800000000000122</v>
      </c>
      <c r="G995" s="18">
        <f t="shared" si="313"/>
        <v>-1.6520000000000015</v>
      </c>
      <c r="H995">
        <v>4.74</v>
      </c>
      <c r="I995">
        <v>2.19</v>
      </c>
      <c r="J995">
        <f t="shared" si="322"/>
        <v>3.47</v>
      </c>
      <c r="K995" s="6">
        <f t="shared" si="323"/>
        <v>3.48</v>
      </c>
      <c r="L995" s="6">
        <f t="shared" si="324"/>
        <v>-1.0000000000000231E-2</v>
      </c>
      <c r="M995">
        <v>7.2251665771597997</v>
      </c>
      <c r="N995">
        <v>300750</v>
      </c>
      <c r="O995" s="18">
        <f>ROUND(N995/VLOOKUP(EOMONTH(A995,-1),Employment!A:P,16,FALSE),4)</f>
        <v>1.4471000000000001</v>
      </c>
      <c r="P995" s="18">
        <f t="shared" si="314"/>
        <v>1.4311</v>
      </c>
      <c r="Q995" s="29">
        <f t="shared" si="315"/>
        <v>-0.11940000000000001</v>
      </c>
      <c r="R995" s="29">
        <f t="shared" si="316"/>
        <v>-1.61E-2</v>
      </c>
      <c r="S995">
        <v>2203000</v>
      </c>
      <c r="T995" s="18">
        <f>ROUND((S995/7)/VLOOKUP(EOMONTH(A995,-1),Employment!A:P,16,FALSE),4)</f>
        <v>1.5143</v>
      </c>
      <c r="U995" s="18">
        <f t="shared" si="317"/>
        <v>1.5126999999999999</v>
      </c>
      <c r="V995" s="29">
        <f t="shared" si="318"/>
        <v>-7.4700000000000003E-2</v>
      </c>
      <c r="W995" s="29">
        <f t="shared" si="319"/>
        <v>7.6E-3</v>
      </c>
      <c r="X995" s="30">
        <f t="shared" si="320"/>
        <v>112.43</v>
      </c>
      <c r="Y995" s="31">
        <f t="shared" si="321"/>
        <v>129.59</v>
      </c>
    </row>
    <row r="996" spans="1:25" ht="15" customHeight="1" x14ac:dyDescent="0.25">
      <c r="A996" s="5">
        <v>36373</v>
      </c>
      <c r="B996">
        <v>958.9905</v>
      </c>
      <c r="C996" s="29">
        <f t="shared" si="325"/>
        <v>6.1999999999999998E-3</v>
      </c>
      <c r="D996">
        <v>-0.22</v>
      </c>
      <c r="E996">
        <v>0.72399999999999998</v>
      </c>
      <c r="F996" s="18">
        <f t="shared" si="312"/>
        <v>-0.77999999999999936</v>
      </c>
      <c r="G996" s="18">
        <f t="shared" si="313"/>
        <v>-1.2160000000000002</v>
      </c>
      <c r="H996">
        <v>4.8099999999999996</v>
      </c>
      <c r="I996">
        <v>2.19</v>
      </c>
      <c r="J996">
        <f t="shared" si="322"/>
        <v>3.5</v>
      </c>
      <c r="K996" s="6">
        <f t="shared" si="323"/>
        <v>3.49</v>
      </c>
      <c r="L996" s="6">
        <f t="shared" si="324"/>
        <v>2.0000000000000018E-2</v>
      </c>
      <c r="M996">
        <v>7.7338524855228998</v>
      </c>
      <c r="N996">
        <v>297500</v>
      </c>
      <c r="O996" s="18">
        <f>ROUND(N996/VLOOKUP(EOMONTH(A996,-1),Employment!A:P,16,FALSE),4)</f>
        <v>1.4315</v>
      </c>
      <c r="P996" s="18">
        <f t="shared" si="314"/>
        <v>1.4135</v>
      </c>
      <c r="Q996" s="29">
        <f t="shared" si="315"/>
        <v>-0.15379999999999999</v>
      </c>
      <c r="R996" s="29">
        <f t="shared" si="316"/>
        <v>1.61E-2</v>
      </c>
      <c r="S996">
        <v>2226000</v>
      </c>
      <c r="T996" s="18">
        <f>ROUND((S996/7)/VLOOKUP(EOMONTH(A996,-1),Employment!A:P,16,FALSE),4)</f>
        <v>1.5301</v>
      </c>
      <c r="U996" s="18">
        <f t="shared" si="317"/>
        <v>1.5128999999999999</v>
      </c>
      <c r="V996" s="29">
        <f t="shared" si="318"/>
        <v>-6.25E-2</v>
      </c>
      <c r="W996" s="29">
        <f t="shared" si="319"/>
        <v>2.4500000000000001E-2</v>
      </c>
      <c r="X996" s="30">
        <f t="shared" si="320"/>
        <v>136.01</v>
      </c>
      <c r="Y996" s="31">
        <f t="shared" si="321"/>
        <v>148.46</v>
      </c>
    </row>
    <row r="997" spans="1:25" ht="15" customHeight="1" x14ac:dyDescent="0.25">
      <c r="A997" s="5">
        <v>36366</v>
      </c>
      <c r="B997">
        <v>957.15179999999998</v>
      </c>
      <c r="C997" s="29">
        <f t="shared" si="325"/>
        <v>5.7999999999999996E-3</v>
      </c>
      <c r="D997">
        <v>-0.25</v>
      </c>
      <c r="E997">
        <v>0.66400000000000003</v>
      </c>
      <c r="F997" s="18">
        <f t="shared" si="312"/>
        <v>-4.0000000000008917E-3</v>
      </c>
      <c r="G997" s="18">
        <f t="shared" si="313"/>
        <v>-0.64000000000000012</v>
      </c>
      <c r="H997">
        <v>4.7699999999999996</v>
      </c>
      <c r="I997">
        <v>2.1800000000000002</v>
      </c>
      <c r="J997">
        <f t="shared" si="322"/>
        <v>3.48</v>
      </c>
      <c r="K997" s="6">
        <f t="shared" si="323"/>
        <v>3.47</v>
      </c>
      <c r="L997" s="6">
        <f t="shared" si="324"/>
        <v>0</v>
      </c>
      <c r="M997">
        <v>8.2843969656876002</v>
      </c>
      <c r="N997">
        <v>293750</v>
      </c>
      <c r="O997" s="18">
        <f>ROUND(N997/VLOOKUP(EOMONTH(A997,-1),Employment!A:P,16,FALSE),4)</f>
        <v>1.4148000000000001</v>
      </c>
      <c r="P997" s="18">
        <f t="shared" si="314"/>
        <v>1.4018999999999999</v>
      </c>
      <c r="Q997" s="29">
        <f t="shared" si="315"/>
        <v>-0.1762</v>
      </c>
      <c r="R997" s="29">
        <f t="shared" si="316"/>
        <v>4.19E-2</v>
      </c>
      <c r="S997">
        <v>2171000</v>
      </c>
      <c r="T997" s="18">
        <f>ROUND((S997/7)/VLOOKUP(EOMONTH(A997,-1),Employment!A:P,16,FALSE),4)</f>
        <v>1.4937</v>
      </c>
      <c r="U997" s="18">
        <f t="shared" si="317"/>
        <v>1.5022</v>
      </c>
      <c r="V997" s="29">
        <f t="shared" si="318"/>
        <v>-7.5899999999999995E-2</v>
      </c>
      <c r="W997" s="29">
        <f t="shared" si="319"/>
        <v>3.6600000000000001E-2</v>
      </c>
      <c r="X997" s="30">
        <f t="shared" si="320"/>
        <v>156.44999999999999</v>
      </c>
      <c r="Y997" s="31">
        <f t="shared" si="321"/>
        <v>157.46</v>
      </c>
    </row>
    <row r="998" spans="1:25" ht="15" customHeight="1" x14ac:dyDescent="0.25">
      <c r="A998" s="5">
        <v>36359</v>
      </c>
      <c r="B998">
        <v>952.79719999999998</v>
      </c>
      <c r="C998" s="29">
        <f t="shared" si="325"/>
        <v>2.7000000000000001E-3</v>
      </c>
      <c r="D998">
        <v>-0.28000000000000003</v>
      </c>
      <c r="E998">
        <v>0.70099999999999996</v>
      </c>
      <c r="F998" s="18">
        <f t="shared" si="312"/>
        <v>-0.43199999999999994</v>
      </c>
      <c r="G998" s="18">
        <f t="shared" si="313"/>
        <v>-0.60000000000000009</v>
      </c>
      <c r="H998">
        <v>4.79</v>
      </c>
      <c r="I998">
        <v>2.17</v>
      </c>
      <c r="J998">
        <f t="shared" si="322"/>
        <v>3.48</v>
      </c>
      <c r="K998" s="6">
        <f t="shared" si="323"/>
        <v>3.47</v>
      </c>
      <c r="L998" s="6">
        <f t="shared" si="324"/>
        <v>4.0000000000000036E-2</v>
      </c>
      <c r="M998">
        <v>8.5480582329513002</v>
      </c>
      <c r="N998">
        <v>289500</v>
      </c>
      <c r="O998" s="18">
        <f>ROUND(N998/VLOOKUP(EOMONTH(A998,-1),Employment!A:P,16,FALSE),4)</f>
        <v>1.3943000000000001</v>
      </c>
      <c r="P998" s="18">
        <f t="shared" si="314"/>
        <v>1.4023000000000001</v>
      </c>
      <c r="Q998" s="29">
        <f t="shared" si="315"/>
        <v>-0.17180000000000001</v>
      </c>
      <c r="R998" s="29">
        <f t="shared" si="316"/>
        <v>4.9799999999999997E-2</v>
      </c>
      <c r="S998">
        <v>2202000</v>
      </c>
      <c r="T998" s="18">
        <f>ROUND((S998/7)/VLOOKUP(EOMONTH(A998,-1),Employment!A:P,16,FALSE),4)</f>
        <v>1.5149999999999999</v>
      </c>
      <c r="U998" s="18">
        <f t="shared" si="317"/>
        <v>1.5048999999999999</v>
      </c>
      <c r="V998" s="29">
        <f t="shared" si="318"/>
        <v>-5.6000000000000001E-2</v>
      </c>
      <c r="W998" s="29">
        <f t="shared" si="319"/>
        <v>3.56E-2</v>
      </c>
      <c r="X998" s="30">
        <f t="shared" si="320"/>
        <v>159.62</v>
      </c>
      <c r="Y998" s="31">
        <f t="shared" si="321"/>
        <v>154.62</v>
      </c>
    </row>
    <row r="999" spans="1:25" ht="15" customHeight="1" x14ac:dyDescent="0.25">
      <c r="A999" s="5">
        <v>36352</v>
      </c>
      <c r="B999">
        <v>951.85810000000004</v>
      </c>
      <c r="C999" s="29">
        <f t="shared" si="325"/>
        <v>3.3999999999999998E-3</v>
      </c>
      <c r="D999">
        <v>-0.32</v>
      </c>
      <c r="E999">
        <v>0.69699999999999995</v>
      </c>
      <c r="F999" s="18">
        <f t="shared" si="312"/>
        <v>-0.20399999999999929</v>
      </c>
      <c r="G999" s="18">
        <f t="shared" si="313"/>
        <v>-0.17599999999999927</v>
      </c>
      <c r="H999">
        <v>4.78</v>
      </c>
      <c r="I999">
        <v>2.11</v>
      </c>
      <c r="J999">
        <f t="shared" si="322"/>
        <v>3.45</v>
      </c>
      <c r="K999" s="6">
        <f t="shared" si="323"/>
        <v>3.43</v>
      </c>
      <c r="L999" s="6">
        <f t="shared" si="324"/>
        <v>1.0000000000000231E-2</v>
      </c>
      <c r="M999">
        <v>9.0437123082525996</v>
      </c>
      <c r="N999">
        <v>290000</v>
      </c>
      <c r="O999" s="18">
        <f>ROUND(N999/VLOOKUP(EOMONTH(A999,-1),Employment!A:P,16,FALSE),4)</f>
        <v>1.3967000000000001</v>
      </c>
      <c r="P999" s="18">
        <f t="shared" si="314"/>
        <v>1.4148000000000001</v>
      </c>
      <c r="Q999" s="29">
        <f t="shared" si="315"/>
        <v>-0.14219999999999999</v>
      </c>
      <c r="R999" s="29">
        <f t="shared" si="316"/>
        <v>0.04</v>
      </c>
      <c r="S999">
        <v>2177000</v>
      </c>
      <c r="T999" s="18">
        <f>ROUND((S999/7)/VLOOKUP(EOMONTH(A999,-1),Employment!A:P,16,FALSE),4)</f>
        <v>1.4978</v>
      </c>
      <c r="U999" s="18">
        <f t="shared" si="317"/>
        <v>1.5084</v>
      </c>
      <c r="V999" s="29">
        <f t="shared" si="318"/>
        <v>-3.5700000000000003E-2</v>
      </c>
      <c r="W999" s="29">
        <f t="shared" si="319"/>
        <v>2.0799999999999999E-2</v>
      </c>
      <c r="X999" s="30">
        <f t="shared" si="320"/>
        <v>154.57</v>
      </c>
      <c r="Y999" s="31">
        <f t="shared" si="321"/>
        <v>145.85</v>
      </c>
    </row>
    <row r="1000" spans="1:25" ht="15" customHeight="1" x14ac:dyDescent="0.25">
      <c r="A1000" s="5">
        <v>36345</v>
      </c>
      <c r="B1000">
        <v>950.4624</v>
      </c>
      <c r="C1000" s="29">
        <f t="shared" si="325"/>
        <v>4.3E-3</v>
      </c>
      <c r="D1000">
        <v>-0.33</v>
      </c>
      <c r="E1000">
        <v>0.68400000000000005</v>
      </c>
      <c r="F1000" s="18">
        <f t="shared" si="312"/>
        <v>3.5999999999999144E-2</v>
      </c>
      <c r="G1000" s="18">
        <f t="shared" si="313"/>
        <v>-0.35200000000000076</v>
      </c>
      <c r="H1000">
        <v>4.79</v>
      </c>
      <c r="I1000">
        <v>2.14</v>
      </c>
      <c r="J1000">
        <f t="shared" si="322"/>
        <v>3.47</v>
      </c>
      <c r="K1000" s="6">
        <f t="shared" si="323"/>
        <v>3.42</v>
      </c>
      <c r="L1000" s="6">
        <f t="shared" si="324"/>
        <v>4.0000000000000036E-2</v>
      </c>
      <c r="M1000">
        <v>8.5480718647298009</v>
      </c>
      <c r="N1000">
        <v>294000</v>
      </c>
      <c r="O1000" s="18">
        <f>ROUND(N1000/VLOOKUP(EOMONTH(A1000,-1),Employment!A:P,16,FALSE),4)</f>
        <v>1.4159999999999999</v>
      </c>
      <c r="P1000" s="18">
        <f t="shared" si="314"/>
        <v>1.429</v>
      </c>
      <c r="Q1000" s="29">
        <f t="shared" si="315"/>
        <v>-0.10059999999999999</v>
      </c>
      <c r="R1000" s="29">
        <f t="shared" si="316"/>
        <v>2.4E-2</v>
      </c>
      <c r="S1000">
        <v>2183000</v>
      </c>
      <c r="T1000" s="18">
        <f>ROUND((S1000/7)/VLOOKUP(EOMONTH(A1000,-1),Employment!A:P,16,FALSE),4)</f>
        <v>1.502</v>
      </c>
      <c r="U1000" s="18">
        <f t="shared" si="317"/>
        <v>1.5127999999999999</v>
      </c>
      <c r="V1000" s="29">
        <f t="shared" si="318"/>
        <v>6.4999999999999997E-3</v>
      </c>
      <c r="W1000" s="29">
        <f t="shared" si="319"/>
        <v>8.6E-3</v>
      </c>
      <c r="X1000" s="30">
        <f t="shared" si="320"/>
        <v>142.22</v>
      </c>
      <c r="Y1000" s="31">
        <f t="shared" si="321"/>
        <v>135.51</v>
      </c>
    </row>
    <row r="1001" spans="1:25" ht="15" customHeight="1" x14ac:dyDescent="0.25">
      <c r="A1001" s="5">
        <v>36338</v>
      </c>
      <c r="B1001">
        <v>951.2518</v>
      </c>
      <c r="C1001" s="29">
        <f t="shared" si="325"/>
        <v>8.0999999999999996E-3</v>
      </c>
      <c r="D1001">
        <v>-0.34</v>
      </c>
      <c r="E1001">
        <v>0.70099999999999996</v>
      </c>
      <c r="F1001" s="18">
        <f t="shared" si="312"/>
        <v>-7.9999999999991189E-3</v>
      </c>
      <c r="G1001" s="18">
        <f t="shared" si="313"/>
        <v>-1.3759999999999994</v>
      </c>
      <c r="H1001">
        <v>4.5999999999999996</v>
      </c>
      <c r="I1001">
        <v>2.13</v>
      </c>
      <c r="J1001">
        <f t="shared" si="322"/>
        <v>3.37</v>
      </c>
      <c r="K1001" s="6">
        <f t="shared" si="323"/>
        <v>3.38</v>
      </c>
      <c r="L1001" s="6">
        <f t="shared" si="324"/>
        <v>-1.0000000000000231E-2</v>
      </c>
      <c r="M1001">
        <v>8.1292147804589998</v>
      </c>
      <c r="N1001">
        <v>297000</v>
      </c>
      <c r="O1001" s="18">
        <f>ROUND(N1001/VLOOKUP(EOMONTH(A1001,-1),Employment!A:P,16,FALSE),4)</f>
        <v>1.4318</v>
      </c>
      <c r="P1001" s="18">
        <f t="shared" si="314"/>
        <v>1.4411</v>
      </c>
      <c r="Q1001" s="29">
        <f t="shared" si="315"/>
        <v>-6.9500000000000006E-2</v>
      </c>
      <c r="R1001" s="29">
        <f t="shared" si="316"/>
        <v>1.23E-2</v>
      </c>
      <c r="S1001">
        <v>2215000</v>
      </c>
      <c r="T1001" s="18">
        <f>ROUND((S1001/7)/VLOOKUP(EOMONTH(A1001,-1),Employment!A:P,16,FALSE),4)</f>
        <v>1.5255000000000001</v>
      </c>
      <c r="U1001" s="18">
        <f t="shared" si="317"/>
        <v>1.5152000000000001</v>
      </c>
      <c r="V1001" s="29">
        <f t="shared" si="318"/>
        <v>1.44E-2</v>
      </c>
      <c r="W1001" s="29">
        <f t="shared" si="319"/>
        <v>6.4999999999999997E-3</v>
      </c>
      <c r="X1001" s="30">
        <f t="shared" si="320"/>
        <v>133.1</v>
      </c>
      <c r="Y1001" s="31">
        <f t="shared" si="321"/>
        <v>127.74</v>
      </c>
    </row>
    <row r="1002" spans="1:25" ht="15" customHeight="1" x14ac:dyDescent="0.25">
      <c r="A1002" s="5">
        <v>36331</v>
      </c>
      <c r="B1002">
        <v>947.46900000000005</v>
      </c>
      <c r="C1002" s="29">
        <f t="shared" si="325"/>
        <v>5.1000000000000004E-3</v>
      </c>
      <c r="D1002">
        <v>-0.36</v>
      </c>
      <c r="E1002">
        <v>0.72499999999999998</v>
      </c>
      <c r="F1002" s="18">
        <f t="shared" si="312"/>
        <v>-0.38000000000000078</v>
      </c>
      <c r="G1002" s="18">
        <f t="shared" si="313"/>
        <v>-2.0119999999999996</v>
      </c>
      <c r="H1002">
        <v>4.7300000000000004</v>
      </c>
      <c r="I1002">
        <v>2.13</v>
      </c>
      <c r="J1002">
        <f t="shared" si="322"/>
        <v>3.43</v>
      </c>
      <c r="K1002" s="6">
        <f t="shared" si="323"/>
        <v>3.39</v>
      </c>
      <c r="L1002" s="6">
        <f t="shared" si="324"/>
        <v>-9.9999999999997868E-3</v>
      </c>
      <c r="M1002">
        <v>7.9577379506402997</v>
      </c>
      <c r="N1002">
        <v>298500</v>
      </c>
      <c r="O1002" s="18">
        <f>ROUND(N1002/VLOOKUP(EOMONTH(A1002,-1),Employment!A:P,16,FALSE),4)</f>
        <v>1.4391</v>
      </c>
      <c r="P1002" s="18">
        <f t="shared" si="314"/>
        <v>1.4507000000000001</v>
      </c>
      <c r="Q1002" s="29">
        <f t="shared" si="315"/>
        <v>-5.1799999999999999E-2</v>
      </c>
      <c r="R1002" s="29">
        <f t="shared" si="316"/>
        <v>6.1000000000000004E-3</v>
      </c>
      <c r="S1002">
        <v>2194000</v>
      </c>
      <c r="T1002" s="18">
        <f>ROUND((S1002/7)/VLOOKUP(EOMONTH(A1002,-1),Employment!A:P,16,FALSE),4)</f>
        <v>1.5109999999999999</v>
      </c>
      <c r="U1002" s="18">
        <f t="shared" si="317"/>
        <v>1.5169999999999999</v>
      </c>
      <c r="V1002" s="29">
        <f t="shared" si="318"/>
        <v>1.9599999999999999E-2</v>
      </c>
      <c r="W1002" s="29">
        <f t="shared" si="319"/>
        <v>1.1999999999999999E-3</v>
      </c>
      <c r="X1002" s="30">
        <f t="shared" si="320"/>
        <v>124.75999999999999</v>
      </c>
      <c r="Y1002" s="31">
        <f t="shared" si="321"/>
        <v>123.04</v>
      </c>
    </row>
    <row r="1003" spans="1:25" ht="15" customHeight="1" x14ac:dyDescent="0.25">
      <c r="A1003" s="5">
        <v>36324</v>
      </c>
      <c r="B1003">
        <v>945.21079999999995</v>
      </c>
      <c r="C1003" s="29">
        <f t="shared" si="325"/>
        <v>3.3E-3</v>
      </c>
      <c r="D1003">
        <v>-0.37</v>
      </c>
      <c r="E1003">
        <v>0.69</v>
      </c>
      <c r="F1003" s="18">
        <f t="shared" si="312"/>
        <v>-0.98799999999999955</v>
      </c>
      <c r="G1003" s="18">
        <f t="shared" si="313"/>
        <v>-2.1919999999999993</v>
      </c>
      <c r="H1003">
        <v>4.5999999999999996</v>
      </c>
      <c r="I1003">
        <v>2.0699999999999998</v>
      </c>
      <c r="J1003">
        <f t="shared" si="322"/>
        <v>3.34</v>
      </c>
      <c r="K1003" s="6">
        <f t="shared" si="323"/>
        <v>3.4</v>
      </c>
      <c r="L1003" s="6">
        <f t="shared" si="324"/>
        <v>-6.0000000000000053E-2</v>
      </c>
      <c r="M1003">
        <v>7.1882761194083002</v>
      </c>
      <c r="N1003">
        <v>301250</v>
      </c>
      <c r="O1003" s="18">
        <f>ROUND(N1003/VLOOKUP(EOMONTH(A1003,-1),Employment!A:P,16,FALSE),4)</f>
        <v>1.4522999999999999</v>
      </c>
      <c r="P1003" s="18">
        <f t="shared" si="314"/>
        <v>1.4556</v>
      </c>
      <c r="Q1003" s="29">
        <f t="shared" si="315"/>
        <v>-4.2799999999999998E-2</v>
      </c>
      <c r="R1003" s="29">
        <f t="shared" si="316"/>
        <v>5.5999999999999999E-3</v>
      </c>
      <c r="S1003">
        <v>2191000</v>
      </c>
      <c r="T1003" s="18">
        <f>ROUND((S1003/7)/VLOOKUP(EOMONTH(A1003,-1),Employment!A:P,16,FALSE),4)</f>
        <v>1.5089999999999999</v>
      </c>
      <c r="U1003" s="18">
        <f t="shared" si="317"/>
        <v>1.5262</v>
      </c>
      <c r="V1003" s="29">
        <f t="shared" si="318"/>
        <v>2.6200000000000001E-2</v>
      </c>
      <c r="W1003" s="29">
        <f t="shared" si="319"/>
        <v>-5.0000000000000001E-3</v>
      </c>
      <c r="X1003" s="30">
        <f t="shared" si="320"/>
        <v>121.81</v>
      </c>
      <c r="Y1003" s="31">
        <f t="shared" si="321"/>
        <v>121.86</v>
      </c>
    </row>
    <row r="1004" spans="1:25" ht="15" customHeight="1" x14ac:dyDescent="0.25">
      <c r="A1004" s="5">
        <v>36317</v>
      </c>
      <c r="B1004">
        <v>941.79499999999996</v>
      </c>
      <c r="C1004" s="29">
        <f t="shared" si="325"/>
        <v>-1.1000000000000001E-3</v>
      </c>
      <c r="D1004">
        <v>-0.4</v>
      </c>
      <c r="E1004">
        <v>0.60399999999999998</v>
      </c>
      <c r="F1004" s="18">
        <f t="shared" si="312"/>
        <v>-0.64399999999999924</v>
      </c>
      <c r="G1004" s="18">
        <f t="shared" si="313"/>
        <v>-1.6320000000000001</v>
      </c>
      <c r="H1004">
        <v>4.7</v>
      </c>
      <c r="I1004">
        <v>2.12</v>
      </c>
      <c r="J1004">
        <f t="shared" si="322"/>
        <v>3.41</v>
      </c>
      <c r="K1004" s="6">
        <f t="shared" si="323"/>
        <v>3.46</v>
      </c>
      <c r="L1004" s="6">
        <f t="shared" si="324"/>
        <v>9.9999999999997868E-3</v>
      </c>
      <c r="M1004">
        <v>6.9728822183223</v>
      </c>
      <c r="N1004">
        <v>303000</v>
      </c>
      <c r="O1004" s="18">
        <f>ROUND(N1004/VLOOKUP(EOMONTH(A1004,-1),Employment!A:P,16,FALSE),4)</f>
        <v>1.4608000000000001</v>
      </c>
      <c r="P1004" s="18">
        <f t="shared" si="314"/>
        <v>1.4532</v>
      </c>
      <c r="Q1004" s="29">
        <f t="shared" si="315"/>
        <v>-4.0500000000000001E-2</v>
      </c>
      <c r="R1004" s="29">
        <f t="shared" si="316"/>
        <v>7.3000000000000001E-3</v>
      </c>
      <c r="S1004">
        <v>2223000</v>
      </c>
      <c r="T1004" s="18">
        <f>ROUND((S1004/7)/VLOOKUP(EOMONTH(A1004,-1),Employment!A:P,16,FALSE),4)</f>
        <v>1.5309999999999999</v>
      </c>
      <c r="U1004" s="18">
        <f t="shared" si="317"/>
        <v>1.5286999999999999</v>
      </c>
      <c r="V1004" s="29">
        <f t="shared" si="318"/>
        <v>2.8500000000000001E-2</v>
      </c>
      <c r="W1004" s="29">
        <f t="shared" si="319"/>
        <v>-1.0800000000000001E-2</v>
      </c>
      <c r="X1004" s="30">
        <f t="shared" si="320"/>
        <v>121.82</v>
      </c>
      <c r="Y1004" s="31">
        <f t="shared" si="321"/>
        <v>122.49</v>
      </c>
    </row>
    <row r="1005" spans="1:25" ht="15" customHeight="1" x14ac:dyDescent="0.25">
      <c r="A1005" s="5">
        <v>36310</v>
      </c>
      <c r="B1005">
        <v>939.90980000000002</v>
      </c>
      <c r="C1005" s="29">
        <f t="shared" si="325"/>
        <v>-5.7000000000000002E-3</v>
      </c>
      <c r="D1005">
        <v>-0.41</v>
      </c>
      <c r="E1005">
        <v>0.53600000000000003</v>
      </c>
      <c r="F1005" s="18">
        <f t="shared" si="312"/>
        <v>-0.5600000000000005</v>
      </c>
      <c r="G1005" s="18">
        <f t="shared" si="313"/>
        <v>-1.2640000000000007</v>
      </c>
      <c r="H1005">
        <v>4.74</v>
      </c>
      <c r="I1005">
        <v>2.1800000000000002</v>
      </c>
      <c r="J1005">
        <f t="shared" si="322"/>
        <v>3.46</v>
      </c>
      <c r="K1005" s="6">
        <f t="shared" si="323"/>
        <v>3.45</v>
      </c>
      <c r="L1005" s="6">
        <f t="shared" si="324"/>
        <v>2.0000000000000018E-2</v>
      </c>
      <c r="M1005">
        <v>7.1650339722474001</v>
      </c>
      <c r="N1005">
        <v>301250</v>
      </c>
      <c r="O1005" s="18">
        <f>ROUND(N1005/VLOOKUP(EOMONTH(A1005,-1),Employment!A:P,16,FALSE),4)</f>
        <v>1.4537</v>
      </c>
      <c r="P1005" s="18">
        <f t="shared" si="314"/>
        <v>1.4533</v>
      </c>
      <c r="Q1005" s="29">
        <f t="shared" si="315"/>
        <v>-3.7100000000000001E-2</v>
      </c>
      <c r="R1005" s="29">
        <f t="shared" si="316"/>
        <v>7.9000000000000008E-3</v>
      </c>
      <c r="S1005">
        <v>2232000</v>
      </c>
      <c r="T1005" s="18">
        <f>ROUND((S1005/7)/VLOOKUP(EOMONTH(A1005,-1),Employment!A:P,16,FALSE),4)</f>
        <v>1.5386</v>
      </c>
      <c r="U1005" s="18">
        <f t="shared" si="317"/>
        <v>1.5299</v>
      </c>
      <c r="V1005" s="29">
        <f t="shared" si="318"/>
        <v>2.8899999999999999E-2</v>
      </c>
      <c r="W1005" s="29">
        <f t="shared" si="319"/>
        <v>-8.0000000000000002E-3</v>
      </c>
      <c r="X1005" s="30">
        <f t="shared" si="320"/>
        <v>122.1</v>
      </c>
      <c r="Y1005" s="31">
        <f t="shared" si="321"/>
        <v>123.28</v>
      </c>
    </row>
    <row r="1006" spans="1:25" ht="15" customHeight="1" x14ac:dyDescent="0.25">
      <c r="A1006" s="5">
        <v>36303</v>
      </c>
      <c r="B1006">
        <v>943.55920000000003</v>
      </c>
      <c r="C1006" s="29">
        <f t="shared" si="325"/>
        <v>-3.0000000000000001E-3</v>
      </c>
      <c r="D1006">
        <v>-0.43</v>
      </c>
      <c r="E1006">
        <v>0.49099999999999999</v>
      </c>
      <c r="F1006" s="18">
        <f t="shared" si="312"/>
        <v>-0.42800000000000038</v>
      </c>
      <c r="G1006" s="18">
        <f t="shared" si="313"/>
        <v>-0.12800000000000011</v>
      </c>
      <c r="H1006">
        <v>4.7699999999999996</v>
      </c>
      <c r="I1006">
        <v>2.23</v>
      </c>
      <c r="J1006">
        <f t="shared" si="322"/>
        <v>3.5</v>
      </c>
      <c r="K1006" s="6">
        <f t="shared" si="323"/>
        <v>3.43</v>
      </c>
      <c r="L1006" s="6">
        <f t="shared" si="324"/>
        <v>0</v>
      </c>
      <c r="M1006">
        <v>6.6569494837293002</v>
      </c>
      <c r="N1006">
        <v>299500</v>
      </c>
      <c r="O1006" s="18">
        <f>ROUND(N1006/VLOOKUP(EOMONTH(A1006,-1),Employment!A:P,16,FALSE),4)</f>
        <v>1.4452</v>
      </c>
      <c r="P1006" s="18">
        <f t="shared" si="314"/>
        <v>1.4593</v>
      </c>
      <c r="Q1006" s="29">
        <f t="shared" si="315"/>
        <v>-3.3599999999999998E-2</v>
      </c>
      <c r="R1006" s="29">
        <f t="shared" si="316"/>
        <v>4.1000000000000003E-3</v>
      </c>
      <c r="S1006">
        <v>2200000</v>
      </c>
      <c r="T1006" s="18">
        <f>ROUND((S1006/7)/VLOOKUP(EOMONTH(A1006,-1),Employment!A:P,16,FALSE),4)</f>
        <v>1.5165999999999999</v>
      </c>
      <c r="U1006" s="18">
        <f t="shared" si="317"/>
        <v>1.5208999999999999</v>
      </c>
      <c r="V1006" s="29">
        <f t="shared" si="318"/>
        <v>1.7399999999999999E-2</v>
      </c>
      <c r="W1006" s="29">
        <f t="shared" si="319"/>
        <v>-3.0999999999999999E-3</v>
      </c>
      <c r="X1006" s="30">
        <f t="shared" si="320"/>
        <v>125.12</v>
      </c>
      <c r="Y1006" s="31">
        <f t="shared" si="321"/>
        <v>121.94</v>
      </c>
    </row>
    <row r="1007" spans="1:25" ht="15" customHeight="1" x14ac:dyDescent="0.25">
      <c r="A1007" s="5">
        <v>36296</v>
      </c>
      <c r="B1007">
        <v>943.27620000000002</v>
      </c>
      <c r="C1007" s="29">
        <f t="shared" si="325"/>
        <v>-4.4999999999999997E-3</v>
      </c>
      <c r="D1007">
        <v>-0.44</v>
      </c>
      <c r="E1007">
        <v>0.45</v>
      </c>
      <c r="F1007" s="18">
        <f t="shared" si="312"/>
        <v>-0.2759999999999998</v>
      </c>
      <c r="G1007" s="18">
        <f t="shared" si="313"/>
        <v>0.52800000000000002</v>
      </c>
      <c r="H1007">
        <v>4.66</v>
      </c>
      <c r="I1007">
        <v>2.12</v>
      </c>
      <c r="J1007">
        <f t="shared" si="322"/>
        <v>3.39</v>
      </c>
      <c r="K1007" s="6">
        <f t="shared" si="323"/>
        <v>3.43</v>
      </c>
      <c r="L1007" s="6">
        <f t="shared" si="324"/>
        <v>-6.999999999999984E-2</v>
      </c>
      <c r="M1007">
        <v>6.1078873351001004</v>
      </c>
      <c r="N1007">
        <v>302750</v>
      </c>
      <c r="O1007" s="18">
        <f>ROUND(N1007/VLOOKUP(EOMONTH(A1007,-1),Employment!A:P,16,FALSE),4)</f>
        <v>1.4609000000000001</v>
      </c>
      <c r="P1007" s="18">
        <f t="shared" si="314"/>
        <v>1.4738</v>
      </c>
      <c r="Q1007" s="29">
        <f t="shared" si="315"/>
        <v>-2.6200000000000001E-2</v>
      </c>
      <c r="R1007" s="29">
        <f t="shared" si="316"/>
        <v>-4.0000000000000001E-3</v>
      </c>
      <c r="S1007">
        <v>2226000</v>
      </c>
      <c r="T1007" s="18">
        <f>ROUND((S1007/7)/VLOOKUP(EOMONTH(A1007,-1),Employment!A:P,16,FALSE),4)</f>
        <v>1.5345</v>
      </c>
      <c r="U1007" s="18">
        <f t="shared" si="317"/>
        <v>1.5278</v>
      </c>
      <c r="V1007" s="29">
        <f t="shared" si="318"/>
        <v>1.0999999999999999E-2</v>
      </c>
      <c r="W1007" s="29">
        <f t="shared" si="319"/>
        <v>1E-3</v>
      </c>
      <c r="X1007" s="30">
        <f t="shared" si="320"/>
        <v>121.62</v>
      </c>
      <c r="Y1007" s="31">
        <f t="shared" si="321"/>
        <v>117.25</v>
      </c>
    </row>
    <row r="1008" spans="1:25" ht="15" customHeight="1" x14ac:dyDescent="0.25">
      <c r="A1008" s="5">
        <v>36289</v>
      </c>
      <c r="B1008">
        <v>944.69110000000001</v>
      </c>
      <c r="C1008" s="29">
        <f t="shared" si="325"/>
        <v>-4.1000000000000003E-3</v>
      </c>
      <c r="D1008">
        <v>-0.45</v>
      </c>
      <c r="E1008">
        <v>0.42799999999999999</v>
      </c>
      <c r="F1008" s="18">
        <f t="shared" si="312"/>
        <v>0.57600000000000007</v>
      </c>
      <c r="G1008" s="18">
        <f t="shared" si="313"/>
        <v>0.65600000000000058</v>
      </c>
      <c r="H1008">
        <v>4.62</v>
      </c>
      <c r="I1008">
        <v>2.17</v>
      </c>
      <c r="J1008">
        <f t="shared" si="322"/>
        <v>3.4</v>
      </c>
      <c r="K1008" s="6">
        <f t="shared" si="323"/>
        <v>3.5</v>
      </c>
      <c r="L1008" s="6">
        <f t="shared" si="324"/>
        <v>-6.999999999999984E-2</v>
      </c>
      <c r="M1008">
        <v>4.6703960837593002</v>
      </c>
      <c r="N1008">
        <v>305000</v>
      </c>
      <c r="O1008" s="18">
        <f>ROUND(N1008/VLOOKUP(EOMONTH(A1008,-1),Employment!A:P,16,FALSE),4)</f>
        <v>1.4718</v>
      </c>
      <c r="P1008" s="18">
        <f t="shared" si="314"/>
        <v>1.4863</v>
      </c>
      <c r="Q1008" s="29">
        <f t="shared" si="315"/>
        <v>-0.02</v>
      </c>
      <c r="R1008" s="29">
        <f t="shared" si="316"/>
        <v>-1.17E-2</v>
      </c>
      <c r="S1008">
        <v>2193000</v>
      </c>
      <c r="T1008" s="18">
        <f>ROUND((S1008/7)/VLOOKUP(EOMONTH(A1008,-1),Employment!A:P,16,FALSE),4)</f>
        <v>1.5117</v>
      </c>
      <c r="U1008" s="18">
        <f t="shared" si="317"/>
        <v>1.5330999999999999</v>
      </c>
      <c r="V1008" s="29">
        <f t="shared" si="318"/>
        <v>3.8999999999999998E-3</v>
      </c>
      <c r="W1008" s="29">
        <f t="shared" si="319"/>
        <v>-5.7999999999999996E-3</v>
      </c>
      <c r="X1008" s="30">
        <f t="shared" si="320"/>
        <v>114.78</v>
      </c>
      <c r="Y1008" s="31">
        <f t="shared" si="321"/>
        <v>113.32</v>
      </c>
    </row>
    <row r="1009" spans="1:25" ht="15" customHeight="1" x14ac:dyDescent="0.25">
      <c r="A1009" s="5">
        <v>36282</v>
      </c>
      <c r="B1009">
        <v>949.74570000000006</v>
      </c>
      <c r="C1009" s="29">
        <f t="shared" si="325"/>
        <v>1.4E-3</v>
      </c>
      <c r="D1009">
        <v>-0.43</v>
      </c>
      <c r="E1009">
        <v>0.47499999999999998</v>
      </c>
      <c r="F1009" s="18">
        <f t="shared" si="312"/>
        <v>0.22799999999999976</v>
      </c>
      <c r="G1009" s="18">
        <f t="shared" si="313"/>
        <v>0.48800000000000043</v>
      </c>
      <c r="H1009">
        <v>4.76</v>
      </c>
      <c r="I1009">
        <v>2.2200000000000002</v>
      </c>
      <c r="J1009">
        <f t="shared" si="322"/>
        <v>3.49</v>
      </c>
      <c r="K1009" s="6">
        <f t="shared" si="323"/>
        <v>3.57</v>
      </c>
      <c r="L1009" s="6">
        <f t="shared" si="324"/>
        <v>-9.0000000000000302E-2</v>
      </c>
      <c r="M1009">
        <v>3.2410094189924998</v>
      </c>
      <c r="N1009">
        <v>308500</v>
      </c>
      <c r="O1009" s="18">
        <f>ROUND(N1009/VLOOKUP(EOMONTH(A1009,-1),Employment!A:P,16,FALSE),4)</f>
        <v>1.4885999999999999</v>
      </c>
      <c r="P1009" s="18">
        <f t="shared" si="314"/>
        <v>1.4916</v>
      </c>
      <c r="Q1009" s="29">
        <f t="shared" si="315"/>
        <v>-2.0199999999999999E-2</v>
      </c>
      <c r="R1009" s="29">
        <f t="shared" si="316"/>
        <v>-1.4E-2</v>
      </c>
      <c r="S1009">
        <v>2230000</v>
      </c>
      <c r="T1009" s="18">
        <f>ROUND((S1009/7)/VLOOKUP(EOMONTH(A1009,-1),Employment!A:P,16,FALSE),4)</f>
        <v>1.5371999999999999</v>
      </c>
      <c r="U1009" s="18">
        <f t="shared" si="317"/>
        <v>1.5536000000000001</v>
      </c>
      <c r="V1009" s="29">
        <f t="shared" si="318"/>
        <v>1.4800000000000001E-2</v>
      </c>
      <c r="W1009" s="29">
        <f t="shared" si="319"/>
        <v>-9.7999999999999997E-3</v>
      </c>
      <c r="X1009" s="30">
        <f t="shared" si="320"/>
        <v>112.49000000000001</v>
      </c>
      <c r="Y1009" s="31">
        <f t="shared" si="321"/>
        <v>112.63</v>
      </c>
    </row>
    <row r="1010" spans="1:25" ht="15" customHeight="1" x14ac:dyDescent="0.25">
      <c r="A1010" s="5">
        <v>36275</v>
      </c>
      <c r="B1010">
        <v>947.97619999999995</v>
      </c>
      <c r="C1010" s="29">
        <f t="shared" si="325"/>
        <v>5.9999999999999995E-4</v>
      </c>
      <c r="D1010">
        <v>-0.42</v>
      </c>
      <c r="E1010">
        <v>0.49099999999999999</v>
      </c>
      <c r="F1010" s="18">
        <f t="shared" si="312"/>
        <v>-0.14799999999999924</v>
      </c>
      <c r="G1010" s="18">
        <f t="shared" si="313"/>
        <v>0.36800000000000033</v>
      </c>
      <c r="H1010">
        <v>4.93</v>
      </c>
      <c r="I1010">
        <v>2.2599999999999998</v>
      </c>
      <c r="J1010">
        <f t="shared" si="322"/>
        <v>3.6</v>
      </c>
      <c r="K1010" s="6">
        <f t="shared" si="323"/>
        <v>3.66</v>
      </c>
      <c r="L1010" s="6">
        <f t="shared" si="324"/>
        <v>-4.9999999999999822E-2</v>
      </c>
      <c r="M1010">
        <v>2.2063999340363001</v>
      </c>
      <c r="N1010">
        <v>310250</v>
      </c>
      <c r="O1010" s="18">
        <f>ROUND(N1010/VLOOKUP(EOMONTH(A1010,-1),Employment!A:P,16,FALSE),4)</f>
        <v>1.4984999999999999</v>
      </c>
      <c r="P1010" s="18">
        <f t="shared" si="314"/>
        <v>1.4869000000000001</v>
      </c>
      <c r="Q1010" s="29">
        <f t="shared" si="315"/>
        <v>-2.8799999999999999E-2</v>
      </c>
      <c r="R1010" s="29">
        <f t="shared" si="316"/>
        <v>-1.0999999999999999E-2</v>
      </c>
      <c r="S1010">
        <v>2247000</v>
      </c>
      <c r="T1010" s="18">
        <f>ROUND((S1010/7)/VLOOKUP(EOMONTH(A1010,-1),Employment!A:P,16,FALSE),4)</f>
        <v>1.5505</v>
      </c>
      <c r="U1010" s="18">
        <f t="shared" si="317"/>
        <v>1.5451999999999999</v>
      </c>
      <c r="V1010" s="29">
        <f t="shared" si="318"/>
        <v>8.2000000000000007E-3</v>
      </c>
      <c r="W1010" s="29">
        <f t="shared" si="319"/>
        <v>-8.8999999999999999E-3</v>
      </c>
      <c r="X1010" s="30">
        <f t="shared" si="320"/>
        <v>111.74000000000001</v>
      </c>
      <c r="Y1010" s="31">
        <f t="shared" si="321"/>
        <v>114.18</v>
      </c>
    </row>
    <row r="1011" spans="1:25" ht="15" customHeight="1" x14ac:dyDescent="0.25">
      <c r="A1011" s="5">
        <v>36268</v>
      </c>
      <c r="B1011">
        <v>947.77790000000005</v>
      </c>
      <c r="C1011" s="29">
        <f t="shared" si="325"/>
        <v>2.8999999999999998E-3</v>
      </c>
      <c r="D1011">
        <v>-0.41</v>
      </c>
      <c r="E1011">
        <v>0.46</v>
      </c>
      <c r="F1011" s="18">
        <f t="shared" si="312"/>
        <v>0.40799999999999992</v>
      </c>
      <c r="G1011" s="18">
        <f t="shared" si="313"/>
        <v>0.27199999999999891</v>
      </c>
      <c r="H1011">
        <v>4.96</v>
      </c>
      <c r="I1011">
        <v>2.27</v>
      </c>
      <c r="J1011">
        <f t="shared" si="322"/>
        <v>3.62</v>
      </c>
      <c r="K1011" s="6">
        <f t="shared" si="323"/>
        <v>3.71</v>
      </c>
      <c r="L1011" s="6">
        <f t="shared" si="324"/>
        <v>-4.9999999999999822E-2</v>
      </c>
      <c r="M1011">
        <v>1.3848740563119999</v>
      </c>
      <c r="N1011">
        <v>308000</v>
      </c>
      <c r="O1011" s="18">
        <f>ROUND(N1011/VLOOKUP(EOMONTH(A1011,-1),Employment!A:P,16,FALSE),4)</f>
        <v>1.4877</v>
      </c>
      <c r="P1011" s="18">
        <f t="shared" si="314"/>
        <v>1.4748000000000001</v>
      </c>
      <c r="Q1011" s="29">
        <f t="shared" si="315"/>
        <v>-4.0500000000000001E-2</v>
      </c>
      <c r="R1011" s="29">
        <f t="shared" si="316"/>
        <v>-7.0000000000000001E-3</v>
      </c>
      <c r="S1011">
        <v>2280000</v>
      </c>
      <c r="T1011" s="18">
        <f>ROUND((S1011/7)/VLOOKUP(EOMONTH(A1011,-1),Employment!A:P,16,FALSE),4)</f>
        <v>1.5731999999999999</v>
      </c>
      <c r="U1011" s="18">
        <f t="shared" si="317"/>
        <v>1.5451999999999999</v>
      </c>
      <c r="V1011" s="29">
        <f t="shared" si="318"/>
        <v>4.4000000000000003E-3</v>
      </c>
      <c r="W1011" s="29">
        <f t="shared" si="319"/>
        <v>0</v>
      </c>
      <c r="X1011" s="30">
        <f t="shared" si="320"/>
        <v>115.22</v>
      </c>
      <c r="Y1011" s="31">
        <f t="shared" si="321"/>
        <v>117.66</v>
      </c>
    </row>
    <row r="1012" spans="1:25" ht="15" customHeight="1" x14ac:dyDescent="0.25">
      <c r="A1012" s="5">
        <v>36261</v>
      </c>
      <c r="B1012">
        <v>948.85580000000004</v>
      </c>
      <c r="C1012" s="29">
        <f t="shared" si="325"/>
        <v>6.6E-3</v>
      </c>
      <c r="D1012">
        <v>-0.41</v>
      </c>
      <c r="E1012">
        <v>0.51100000000000001</v>
      </c>
      <c r="F1012" s="18">
        <f t="shared" si="312"/>
        <v>0.10799999999999965</v>
      </c>
      <c r="G1012" s="18">
        <f t="shared" si="313"/>
        <v>0.17999999999999972</v>
      </c>
      <c r="H1012">
        <v>5.16</v>
      </c>
      <c r="I1012">
        <v>2.35</v>
      </c>
      <c r="J1012">
        <f t="shared" si="322"/>
        <v>3.76</v>
      </c>
      <c r="K1012" s="6">
        <f t="shared" si="323"/>
        <v>3.76</v>
      </c>
      <c r="L1012" s="6">
        <f t="shared" si="324"/>
        <v>0</v>
      </c>
      <c r="M1012">
        <v>1.1537524361517</v>
      </c>
      <c r="N1012">
        <v>305250</v>
      </c>
      <c r="O1012" s="18">
        <f>ROUND(N1012/VLOOKUP(EOMONTH(A1012,-1),Employment!A:P,16,FALSE),4)</f>
        <v>1.4743999999999999</v>
      </c>
      <c r="P1012" s="18">
        <f t="shared" si="314"/>
        <v>1.4679</v>
      </c>
      <c r="Q1012" s="29">
        <f t="shared" si="315"/>
        <v>-4.9299999999999997E-2</v>
      </c>
      <c r="R1012" s="29">
        <f t="shared" si="316"/>
        <v>-4.7000000000000002E-3</v>
      </c>
      <c r="S1012">
        <v>2191000</v>
      </c>
      <c r="T1012" s="18">
        <f>ROUND((S1012/7)/VLOOKUP(EOMONTH(A1012,-1),Employment!A:P,16,FALSE),4)</f>
        <v>1.5118</v>
      </c>
      <c r="U1012" s="18">
        <f t="shared" si="317"/>
        <v>1.5345</v>
      </c>
      <c r="V1012" s="29">
        <f t="shared" si="318"/>
        <v>-1.34E-2</v>
      </c>
      <c r="W1012" s="29">
        <f t="shared" si="319"/>
        <v>3.5000000000000001E-3</v>
      </c>
      <c r="X1012" s="30">
        <f t="shared" si="320"/>
        <v>117.7</v>
      </c>
      <c r="Y1012" s="31">
        <f t="shared" si="321"/>
        <v>121.17</v>
      </c>
    </row>
    <row r="1013" spans="1:25" ht="15" customHeight="1" x14ac:dyDescent="0.25">
      <c r="A1013" s="5">
        <v>36254</v>
      </c>
      <c r="B1013">
        <v>949.22519999999997</v>
      </c>
      <c r="C1013" s="29">
        <f t="shared" si="325"/>
        <v>1.06E-2</v>
      </c>
      <c r="D1013">
        <v>-0.4</v>
      </c>
      <c r="E1013">
        <v>0.51200000000000001</v>
      </c>
      <c r="F1013" s="18">
        <f t="shared" si="312"/>
        <v>-0.24400000000000066</v>
      </c>
      <c r="G1013" s="18">
        <f t="shared" si="313"/>
        <v>1.1719999999999997</v>
      </c>
      <c r="H1013">
        <v>5.17</v>
      </c>
      <c r="I1013">
        <v>2.33</v>
      </c>
      <c r="J1013">
        <f t="shared" si="322"/>
        <v>3.75</v>
      </c>
      <c r="K1013" s="6">
        <f t="shared" si="323"/>
        <v>3.76</v>
      </c>
      <c r="L1013" s="6">
        <f t="shared" si="324"/>
        <v>-2.0000000000000018E-2</v>
      </c>
      <c r="M1013">
        <v>1.0133483242196</v>
      </c>
      <c r="N1013">
        <v>302750</v>
      </c>
      <c r="O1013" s="18">
        <f>ROUND(N1013/VLOOKUP(EOMONTH(A1013,-1),Employment!A:P,16,FALSE),4)</f>
        <v>1.4622999999999999</v>
      </c>
      <c r="P1013" s="18">
        <f t="shared" si="314"/>
        <v>1.4642999999999999</v>
      </c>
      <c r="Q1013" s="29">
        <f t="shared" si="315"/>
        <v>-5.3600000000000002E-2</v>
      </c>
      <c r="R1013" s="29">
        <f t="shared" si="316"/>
        <v>-2.7000000000000001E-3</v>
      </c>
      <c r="S1013">
        <v>2247000</v>
      </c>
      <c r="T1013" s="18">
        <f>ROUND((S1013/7)/VLOOKUP(EOMONTH(A1013,-1),Employment!A:P,16,FALSE),4)</f>
        <v>1.5505</v>
      </c>
      <c r="U1013" s="18">
        <f t="shared" si="317"/>
        <v>1.5458000000000001</v>
      </c>
      <c r="V1013" s="29">
        <f t="shared" si="318"/>
        <v>-5.3E-3</v>
      </c>
      <c r="W1013" s="29">
        <f t="shared" si="319"/>
        <v>2.2000000000000001E-3</v>
      </c>
      <c r="X1013" s="30">
        <f t="shared" si="320"/>
        <v>123.63</v>
      </c>
      <c r="Y1013" s="31">
        <f t="shared" si="321"/>
        <v>124.11</v>
      </c>
    </row>
    <row r="1014" spans="1:25" ht="15" customHeight="1" x14ac:dyDescent="0.25">
      <c r="A1014" s="5">
        <v>36247</v>
      </c>
      <c r="B1014">
        <v>943.76480000000004</v>
      </c>
      <c r="C1014" s="29">
        <f t="shared" si="325"/>
        <v>7.0000000000000001E-3</v>
      </c>
      <c r="D1014">
        <v>-0.39</v>
      </c>
      <c r="E1014">
        <v>0.46899999999999997</v>
      </c>
      <c r="F1014" s="18">
        <f t="shared" si="312"/>
        <v>0.31600000000000072</v>
      </c>
      <c r="G1014" s="18">
        <f t="shared" si="313"/>
        <v>0.68400000000000105</v>
      </c>
      <c r="H1014">
        <v>5.18</v>
      </c>
      <c r="I1014">
        <v>2.33</v>
      </c>
      <c r="J1014">
        <f t="shared" si="322"/>
        <v>3.76</v>
      </c>
      <c r="K1014" s="6">
        <f t="shared" si="323"/>
        <v>3.78</v>
      </c>
      <c r="L1014" s="6">
        <f t="shared" si="324"/>
        <v>0</v>
      </c>
      <c r="M1014">
        <v>1.1455980306725999</v>
      </c>
      <c r="N1014">
        <v>303500</v>
      </c>
      <c r="O1014" s="18">
        <f>ROUND(N1014/VLOOKUP(EOMONTH(A1014,-1),Employment!A:P,16,FALSE),4)</f>
        <v>1.4671000000000001</v>
      </c>
      <c r="P1014" s="18">
        <f t="shared" si="314"/>
        <v>1.4662999999999999</v>
      </c>
      <c r="Q1014" s="29">
        <f t="shared" si="315"/>
        <v>-5.5800000000000002E-2</v>
      </c>
      <c r="R1014" s="29">
        <f t="shared" si="316"/>
        <v>2.5999999999999999E-3</v>
      </c>
      <c r="S1014">
        <v>2232000</v>
      </c>
      <c r="T1014" s="18">
        <f>ROUND((S1014/7)/VLOOKUP(EOMONTH(A1014,-1),Employment!A:P,16,FALSE),4)</f>
        <v>1.5412999999999999</v>
      </c>
      <c r="U1014" s="18">
        <f t="shared" si="317"/>
        <v>1.5397000000000001</v>
      </c>
      <c r="V1014" s="29">
        <f t="shared" si="318"/>
        <v>-6.7999999999999996E-3</v>
      </c>
      <c r="W1014" s="29">
        <f t="shared" si="319"/>
        <v>1.5E-3</v>
      </c>
      <c r="X1014" s="30">
        <f t="shared" si="320"/>
        <v>123.67</v>
      </c>
      <c r="Y1014" s="31">
        <f t="shared" si="321"/>
        <v>125.58</v>
      </c>
    </row>
    <row r="1015" spans="1:25" ht="15" customHeight="1" x14ac:dyDescent="0.25">
      <c r="A1015" s="5">
        <v>36240</v>
      </c>
      <c r="B1015">
        <v>938.47820000000002</v>
      </c>
      <c r="C1015" s="29">
        <f t="shared" si="325"/>
        <v>2.0999999999999999E-3</v>
      </c>
      <c r="D1015">
        <v>-0.38</v>
      </c>
      <c r="E1015">
        <v>0.496</v>
      </c>
      <c r="F1015" s="18">
        <f t="shared" si="312"/>
        <v>1.0999999999999996</v>
      </c>
      <c r="G1015" s="18">
        <f t="shared" si="313"/>
        <v>1.0439999999999992</v>
      </c>
      <c r="H1015">
        <v>5.21</v>
      </c>
      <c r="I1015">
        <v>2.33</v>
      </c>
      <c r="J1015">
        <f t="shared" si="322"/>
        <v>3.77</v>
      </c>
      <c r="K1015" s="6">
        <f t="shared" si="323"/>
        <v>3.78</v>
      </c>
      <c r="L1015" s="6">
        <f t="shared" si="324"/>
        <v>9.9999999999997868E-3</v>
      </c>
      <c r="M1015">
        <v>0.66764882258095004</v>
      </c>
      <c r="N1015">
        <v>302750</v>
      </c>
      <c r="O1015" s="18">
        <f>ROUND(N1015/VLOOKUP(EOMONTH(A1015,-1),Employment!A:P,16,FALSE),4)</f>
        <v>1.4635</v>
      </c>
      <c r="P1015" s="18">
        <f t="shared" si="314"/>
        <v>1.4631000000000001</v>
      </c>
      <c r="Q1015" s="29">
        <f t="shared" si="315"/>
        <v>-6.0499999999999998E-2</v>
      </c>
      <c r="R1015" s="29">
        <f t="shared" si="316"/>
        <v>1.11E-2</v>
      </c>
      <c r="S1015">
        <v>2238000</v>
      </c>
      <c r="T1015" s="18">
        <f>ROUND((S1015/7)/VLOOKUP(EOMONTH(A1015,-1),Employment!A:P,16,FALSE),4)</f>
        <v>1.5455000000000001</v>
      </c>
      <c r="U1015" s="18">
        <f t="shared" si="317"/>
        <v>1.5408999999999999</v>
      </c>
      <c r="V1015" s="29">
        <f t="shared" si="318"/>
        <v>-1.6000000000000001E-3</v>
      </c>
      <c r="W1015" s="29">
        <f t="shared" si="319"/>
        <v>-2.9999999999999997E-4</v>
      </c>
      <c r="X1015" s="30">
        <f t="shared" si="320"/>
        <v>126.38</v>
      </c>
      <c r="Y1015" s="31">
        <f t="shared" si="321"/>
        <v>128.44</v>
      </c>
    </row>
    <row r="1016" spans="1:25" ht="15" customHeight="1" x14ac:dyDescent="0.25">
      <c r="A1016" s="5">
        <v>36233</v>
      </c>
      <c r="B1016">
        <v>939.2011</v>
      </c>
      <c r="C1016" s="29">
        <f t="shared" si="325"/>
        <v>4.0000000000000001E-3</v>
      </c>
      <c r="D1016">
        <v>-0.37</v>
      </c>
      <c r="E1016">
        <v>0.621</v>
      </c>
      <c r="F1016" s="18">
        <f t="shared" si="312"/>
        <v>-0.73199999999999932</v>
      </c>
      <c r="G1016" s="18">
        <f t="shared" si="313"/>
        <v>0.15600000000000058</v>
      </c>
      <c r="H1016">
        <v>5.29</v>
      </c>
      <c r="I1016">
        <v>2.33</v>
      </c>
      <c r="J1016">
        <f t="shared" si="322"/>
        <v>3.81</v>
      </c>
      <c r="K1016" s="6">
        <f t="shared" si="323"/>
        <v>3.77</v>
      </c>
      <c r="L1016" s="6">
        <f t="shared" si="324"/>
        <v>1.0000000000000231E-2</v>
      </c>
      <c r="M1016">
        <v>0.30966233879152999</v>
      </c>
      <c r="N1016">
        <v>303750</v>
      </c>
      <c r="O1016" s="18">
        <f>ROUND(N1016/VLOOKUP(EOMONTH(A1016,-1),Employment!A:P,16,FALSE),4)</f>
        <v>1.4682999999999999</v>
      </c>
      <c r="P1016" s="18">
        <f t="shared" si="314"/>
        <v>1.4630000000000001</v>
      </c>
      <c r="Q1016" s="29">
        <f t="shared" si="315"/>
        <v>-6.13E-2</v>
      </c>
      <c r="R1016" s="29">
        <f t="shared" si="316"/>
        <v>1.9199999999999998E-2</v>
      </c>
      <c r="S1016">
        <v>2219000</v>
      </c>
      <c r="T1016" s="18">
        <f>ROUND((S1016/7)/VLOOKUP(EOMONTH(A1016,-1),Employment!A:P,16,FALSE),4)</f>
        <v>1.5323</v>
      </c>
      <c r="U1016" s="18">
        <f t="shared" si="317"/>
        <v>1.5447</v>
      </c>
      <c r="V1016" s="29">
        <f t="shared" si="318"/>
        <v>-2.0999999999999999E-3</v>
      </c>
      <c r="W1016" s="29">
        <f t="shared" si="319"/>
        <v>2.5000000000000001E-3</v>
      </c>
      <c r="X1016" s="30">
        <f t="shared" si="320"/>
        <v>128.32999999999998</v>
      </c>
      <c r="Y1016" s="31">
        <f t="shared" si="321"/>
        <v>131.21</v>
      </c>
    </row>
    <row r="1017" spans="1:25" ht="15" customHeight="1" x14ac:dyDescent="0.25">
      <c r="A1017" s="5">
        <v>36226</v>
      </c>
      <c r="B1017">
        <v>935.6259</v>
      </c>
      <c r="C1017" s="29">
        <f t="shared" si="325"/>
        <v>0</v>
      </c>
      <c r="D1017">
        <v>-0.36</v>
      </c>
      <c r="E1017">
        <v>0.51700000000000002</v>
      </c>
      <c r="F1017" s="18">
        <f t="shared" si="312"/>
        <v>0.67599999999999882</v>
      </c>
      <c r="G1017" s="18">
        <f t="shared" si="313"/>
        <v>1.0439999999999996</v>
      </c>
      <c r="H1017">
        <v>5.28</v>
      </c>
      <c r="I1017">
        <v>2.2400000000000002</v>
      </c>
      <c r="J1017">
        <f t="shared" si="322"/>
        <v>3.76</v>
      </c>
      <c r="K1017" s="6">
        <f t="shared" si="323"/>
        <v>3.76</v>
      </c>
      <c r="L1017" s="6">
        <f t="shared" si="324"/>
        <v>-1.0000000000000231E-2</v>
      </c>
      <c r="M1017">
        <v>0.23805905343295</v>
      </c>
      <c r="N1017">
        <v>301500</v>
      </c>
      <c r="O1017" s="18">
        <f>ROUND(N1017/VLOOKUP(EOMONTH(A1017,-1),Employment!A:P,16,FALSE),4)</f>
        <v>1.4574</v>
      </c>
      <c r="P1017" s="18">
        <f t="shared" si="314"/>
        <v>1.4650000000000001</v>
      </c>
      <c r="Q1017" s="29">
        <f t="shared" si="315"/>
        <v>-5.5599999999999997E-2</v>
      </c>
      <c r="R1017" s="29">
        <f t="shared" si="316"/>
        <v>2.64E-2</v>
      </c>
      <c r="S1017">
        <v>2237000</v>
      </c>
      <c r="T1017" s="18">
        <f>ROUND((S1017/7)/VLOOKUP(EOMONTH(A1017,-1),Employment!A:P,16,FALSE),4)</f>
        <v>1.5448</v>
      </c>
      <c r="U1017" s="18">
        <f t="shared" si="317"/>
        <v>1.5528999999999999</v>
      </c>
      <c r="V1017" s="29">
        <f t="shared" si="318"/>
        <v>-3.5999999999999999E-3</v>
      </c>
      <c r="W1017" s="29">
        <f t="shared" si="319"/>
        <v>1.2999999999999999E-3</v>
      </c>
      <c r="X1017" s="30">
        <f t="shared" si="320"/>
        <v>133.87</v>
      </c>
      <c r="Y1017" s="31">
        <f t="shared" si="321"/>
        <v>132.38</v>
      </c>
    </row>
    <row r="1018" spans="1:25" ht="15" customHeight="1" x14ac:dyDescent="0.25">
      <c r="A1018" s="5">
        <v>36219</v>
      </c>
      <c r="B1018">
        <v>935.5951</v>
      </c>
      <c r="C1018" s="29">
        <f t="shared" si="325"/>
        <v>-1E-3</v>
      </c>
      <c r="D1018">
        <v>-0.33</v>
      </c>
      <c r="E1018">
        <v>0.56399999999999995</v>
      </c>
      <c r="F1018" s="18">
        <f t="shared" si="312"/>
        <v>0.21200000000000108</v>
      </c>
      <c r="G1018" s="18">
        <f t="shared" si="313"/>
        <v>0.50000000000000089</v>
      </c>
      <c r="H1018">
        <v>5.21</v>
      </c>
      <c r="I1018">
        <v>2.2400000000000002</v>
      </c>
      <c r="J1018">
        <f t="shared" si="322"/>
        <v>3.73</v>
      </c>
      <c r="K1018" s="6">
        <f t="shared" si="323"/>
        <v>3.77</v>
      </c>
      <c r="L1018" s="6">
        <f t="shared" si="324"/>
        <v>-6.0000000000000053E-2</v>
      </c>
      <c r="M1018">
        <v>-5.8463149793031001E-2</v>
      </c>
      <c r="N1018">
        <v>302500</v>
      </c>
      <c r="O1018" s="18">
        <f>ROUND(N1018/VLOOKUP(EOMONTH(A1018,-1),Employment!A:P,16,FALSE),4)</f>
        <v>1.4633</v>
      </c>
      <c r="P1018" s="18">
        <f t="shared" si="314"/>
        <v>1.4815</v>
      </c>
      <c r="Q1018" s="29">
        <f t="shared" si="315"/>
        <v>-4.4699999999999997E-2</v>
      </c>
      <c r="R1018" s="29">
        <f t="shared" si="316"/>
        <v>2.8799999999999999E-2</v>
      </c>
      <c r="S1018">
        <v>2253000</v>
      </c>
      <c r="T1018" s="18">
        <f>ROUND((S1018/7)/VLOOKUP(EOMONTH(A1018,-1),Employment!A:P,16,FALSE),4)</f>
        <v>1.5569999999999999</v>
      </c>
      <c r="U1018" s="18">
        <f t="shared" si="317"/>
        <v>1.5584</v>
      </c>
      <c r="V1018" s="29">
        <f t="shared" si="318"/>
        <v>8.0000000000000004E-4</v>
      </c>
      <c r="W1018" s="29">
        <f t="shared" si="319"/>
        <v>5.0000000000000001E-4</v>
      </c>
      <c r="X1018" s="30">
        <f t="shared" si="320"/>
        <v>131.75</v>
      </c>
      <c r="Y1018" s="31">
        <f t="shared" si="321"/>
        <v>129.06</v>
      </c>
    </row>
    <row r="1019" spans="1:25" ht="15" customHeight="1" x14ac:dyDescent="0.25">
      <c r="A1019" s="5">
        <v>36212</v>
      </c>
      <c r="B1019">
        <v>935.76139999999998</v>
      </c>
      <c r="C1019" s="29">
        <f t="shared" si="325"/>
        <v>-1.6000000000000001E-3</v>
      </c>
      <c r="D1019">
        <v>-0.3</v>
      </c>
      <c r="E1019">
        <v>0.55300000000000005</v>
      </c>
      <c r="F1019" s="18">
        <f t="shared" si="312"/>
        <v>0.15599999999999969</v>
      </c>
      <c r="G1019" s="18">
        <f t="shared" si="313"/>
        <v>1.5359999999999996</v>
      </c>
      <c r="H1019">
        <v>5.23</v>
      </c>
      <c r="I1019">
        <v>2.34</v>
      </c>
      <c r="J1019">
        <f t="shared" si="322"/>
        <v>3.79</v>
      </c>
      <c r="K1019" s="6">
        <f t="shared" si="323"/>
        <v>3.83</v>
      </c>
      <c r="L1019" s="6">
        <f t="shared" si="324"/>
        <v>-8.0000000000000071E-2</v>
      </c>
      <c r="M1019">
        <v>0.35730548870759998</v>
      </c>
      <c r="N1019">
        <v>304750</v>
      </c>
      <c r="O1019" s="18">
        <f>ROUND(N1019/VLOOKUP(EOMONTH(A1019,-1),Employment!A:P,16,FALSE),4)</f>
        <v>1.4742</v>
      </c>
      <c r="P1019" s="18">
        <f t="shared" si="314"/>
        <v>1.5178</v>
      </c>
      <c r="Q1019" s="29">
        <f t="shared" si="315"/>
        <v>-2.6700000000000002E-2</v>
      </c>
      <c r="R1019" s="29">
        <f t="shared" si="316"/>
        <v>2.4500000000000001E-2</v>
      </c>
      <c r="S1019">
        <v>2253000</v>
      </c>
      <c r="T1019" s="18">
        <f>ROUND((S1019/7)/VLOOKUP(EOMONTH(A1019,-1),Employment!A:P,16,FALSE),4)</f>
        <v>1.5569999999999999</v>
      </c>
      <c r="U1019" s="18">
        <f t="shared" si="317"/>
        <v>1.5620000000000001</v>
      </c>
      <c r="V1019" s="29">
        <f t="shared" si="318"/>
        <v>-4.3E-3</v>
      </c>
      <c r="W1019" s="29">
        <f t="shared" si="319"/>
        <v>-7.7999999999999996E-3</v>
      </c>
      <c r="X1019" s="30">
        <f t="shared" si="320"/>
        <v>130.24</v>
      </c>
      <c r="Y1019" s="31">
        <f t="shared" si="321"/>
        <v>121.57</v>
      </c>
    </row>
    <row r="1020" spans="1:25" ht="15" customHeight="1" x14ac:dyDescent="0.25">
      <c r="A1020" s="5">
        <v>36205</v>
      </c>
      <c r="B1020">
        <v>934.69309999999996</v>
      </c>
      <c r="C1020" s="29">
        <f t="shared" si="325"/>
        <v>-3.8999999999999998E-3</v>
      </c>
      <c r="D1020">
        <v>-0.27</v>
      </c>
      <c r="E1020">
        <v>0.53500000000000003</v>
      </c>
      <c r="F1020" s="18">
        <f t="shared" si="312"/>
        <v>0.13200000000000012</v>
      </c>
      <c r="G1020" s="18">
        <f t="shared" si="313"/>
        <v>1.7080000000000002</v>
      </c>
      <c r="H1020">
        <v>5.24</v>
      </c>
      <c r="I1020">
        <v>2.31</v>
      </c>
      <c r="J1020">
        <f t="shared" si="322"/>
        <v>3.78</v>
      </c>
      <c r="K1020" s="6">
        <f t="shared" si="323"/>
        <v>3.91</v>
      </c>
      <c r="L1020" s="6">
        <f t="shared" si="324"/>
        <v>-9.9999999999999645E-2</v>
      </c>
      <c r="M1020">
        <v>0.64397720383078005</v>
      </c>
      <c r="N1020">
        <v>311500</v>
      </c>
      <c r="O1020" s="18">
        <f>ROUND(N1020/VLOOKUP(EOMONTH(A1020,-1),Employment!A:P,16,FALSE),4)</f>
        <v>1.5068999999999999</v>
      </c>
      <c r="P1020" s="18">
        <f t="shared" si="314"/>
        <v>1.5621</v>
      </c>
      <c r="Q1020" s="29">
        <f t="shared" si="315"/>
        <v>-7.9000000000000008E-3</v>
      </c>
      <c r="R1020" s="29">
        <f t="shared" si="316"/>
        <v>1.0800000000000001E-2</v>
      </c>
      <c r="S1020">
        <v>2259000</v>
      </c>
      <c r="T1020" s="18">
        <f>ROUND((S1020/7)/VLOOKUP(EOMONTH(A1020,-1),Employment!A:P,16,FALSE),4)</f>
        <v>1.5610999999999999</v>
      </c>
      <c r="U1020" s="18">
        <f t="shared" si="317"/>
        <v>1.5777000000000001</v>
      </c>
      <c r="V1020" s="29">
        <f t="shared" si="318"/>
        <v>7.4999999999999997E-3</v>
      </c>
      <c r="W1020" s="29">
        <f t="shared" si="319"/>
        <v>-1.38E-2</v>
      </c>
      <c r="X1020" s="30">
        <f t="shared" si="320"/>
        <v>119.37</v>
      </c>
      <c r="Y1020" s="31">
        <f t="shared" si="321"/>
        <v>109.45</v>
      </c>
    </row>
    <row r="1021" spans="1:25" ht="15" customHeight="1" x14ac:dyDescent="0.25">
      <c r="A1021" s="5">
        <v>36198</v>
      </c>
      <c r="B1021">
        <v>936.6114</v>
      </c>
      <c r="C1021" s="29">
        <f t="shared" si="325"/>
        <v>-1.9E-3</v>
      </c>
      <c r="D1021">
        <v>-0.26</v>
      </c>
      <c r="E1021">
        <v>0.53900000000000003</v>
      </c>
      <c r="F1021" s="18">
        <f t="shared" si="312"/>
        <v>1.2479999999999998</v>
      </c>
      <c r="G1021" s="18">
        <f t="shared" si="313"/>
        <v>1.3199999999999998</v>
      </c>
      <c r="H1021">
        <v>5.36</v>
      </c>
      <c r="I1021">
        <v>2.4500000000000002</v>
      </c>
      <c r="J1021">
        <f t="shared" si="322"/>
        <v>3.91</v>
      </c>
      <c r="K1021" s="6">
        <f t="shared" si="323"/>
        <v>4.01</v>
      </c>
      <c r="L1021" s="6">
        <f t="shared" si="324"/>
        <v>-7.0000000000000284E-2</v>
      </c>
      <c r="M1021">
        <v>-1.7029487553744001E-2</v>
      </c>
      <c r="N1021">
        <v>325000</v>
      </c>
      <c r="O1021" s="18">
        <f>ROUND(N1021/VLOOKUP(EOMONTH(A1021,-1),Employment!A:P,16,FALSE),4)</f>
        <v>1.5722</v>
      </c>
      <c r="P1021" s="18">
        <f t="shared" si="314"/>
        <v>1.6055999999999999</v>
      </c>
      <c r="Q1021" s="29">
        <f t="shared" si="315"/>
        <v>1.61E-2</v>
      </c>
      <c r="R1021" s="29">
        <f t="shared" si="316"/>
        <v>-8.0000000000000002E-3</v>
      </c>
      <c r="S1021">
        <v>2269000</v>
      </c>
      <c r="T1021" s="18">
        <f>ROUND((S1021/7)/VLOOKUP(EOMONTH(A1021,-1),Employment!A:P,16,FALSE),4)</f>
        <v>1.5680000000000001</v>
      </c>
      <c r="U1021" s="18">
        <f t="shared" si="317"/>
        <v>1.5858000000000001</v>
      </c>
      <c r="V1021" s="29">
        <f t="shared" si="318"/>
        <v>-1.1000000000000001E-3</v>
      </c>
      <c r="W1021" s="29">
        <f t="shared" si="319"/>
        <v>-1.0999999999999999E-2</v>
      </c>
      <c r="X1021" s="30">
        <f t="shared" si="320"/>
        <v>105.42</v>
      </c>
      <c r="Y1021" s="31">
        <f t="shared" si="321"/>
        <v>98.93</v>
      </c>
    </row>
    <row r="1022" spans="1:25" ht="15" customHeight="1" x14ac:dyDescent="0.25">
      <c r="A1022" s="5">
        <v>36191</v>
      </c>
      <c r="B1022">
        <v>939.21860000000004</v>
      </c>
      <c r="C1022" s="29">
        <f t="shared" si="325"/>
        <v>1.6000000000000001E-3</v>
      </c>
      <c r="D1022">
        <v>-0.22</v>
      </c>
      <c r="E1022">
        <v>0.64500000000000002</v>
      </c>
      <c r="F1022" s="18">
        <f t="shared" si="312"/>
        <v>0.32800000000000029</v>
      </c>
      <c r="G1022" s="18">
        <f t="shared" si="313"/>
        <v>0.3879999999999999</v>
      </c>
      <c r="H1022">
        <v>5.53</v>
      </c>
      <c r="I1022">
        <v>2.5499999999999998</v>
      </c>
      <c r="J1022">
        <f t="shared" si="322"/>
        <v>4.04</v>
      </c>
      <c r="K1022" s="6">
        <f t="shared" si="323"/>
        <v>4.08</v>
      </c>
      <c r="L1022" s="6">
        <f t="shared" si="324"/>
        <v>2.0000000000000462E-2</v>
      </c>
      <c r="M1022">
        <v>-0.79714727128186003</v>
      </c>
      <c r="N1022">
        <v>331500</v>
      </c>
      <c r="O1022" s="18">
        <f>ROUND(N1022/VLOOKUP(EOMONTH(A1022,-1),Employment!A:P,16,FALSE),4)</f>
        <v>1.6071</v>
      </c>
      <c r="P1022" s="18">
        <f t="shared" si="314"/>
        <v>1.6103000000000001</v>
      </c>
      <c r="Q1022" s="29">
        <f t="shared" si="315"/>
        <v>2.8899999999999999E-2</v>
      </c>
      <c r="R1022" s="29">
        <f t="shared" si="316"/>
        <v>-2.0199999999999999E-2</v>
      </c>
      <c r="S1022">
        <v>2316000</v>
      </c>
      <c r="T1022" s="18">
        <f>ROUND((S1022/7)/VLOOKUP(EOMONTH(A1022,-1),Employment!A:P,16,FALSE),4)</f>
        <v>1.6040000000000001</v>
      </c>
      <c r="U1022" s="18">
        <f t="shared" si="317"/>
        <v>1.5948</v>
      </c>
      <c r="V1022" s="29">
        <f t="shared" si="318"/>
        <v>-9.2999999999999992E-3</v>
      </c>
      <c r="W1022" s="29">
        <f t="shared" si="319"/>
        <v>-2.5999999999999999E-3</v>
      </c>
      <c r="X1022" s="30">
        <f t="shared" si="320"/>
        <v>94.7</v>
      </c>
      <c r="Y1022" s="31">
        <f t="shared" si="321"/>
        <v>95.58</v>
      </c>
    </row>
    <row r="1023" spans="1:25" ht="15" customHeight="1" x14ac:dyDescent="0.25">
      <c r="A1023" s="5">
        <v>36184</v>
      </c>
      <c r="B1023">
        <v>938.5711</v>
      </c>
      <c r="C1023" s="29">
        <f t="shared" si="325"/>
        <v>2.0000000000000001E-4</v>
      </c>
      <c r="D1023">
        <v>-0.2</v>
      </c>
      <c r="E1023">
        <v>0.66100000000000003</v>
      </c>
      <c r="F1023" s="18">
        <f t="shared" si="312"/>
        <v>-0.25600000000000023</v>
      </c>
      <c r="G1023" s="18">
        <f t="shared" si="313"/>
        <v>0.25199999999999978</v>
      </c>
      <c r="H1023">
        <v>5.59</v>
      </c>
      <c r="I1023">
        <v>2.59</v>
      </c>
      <c r="J1023">
        <f t="shared" si="322"/>
        <v>4.09</v>
      </c>
      <c r="K1023" s="6">
        <f t="shared" si="323"/>
        <v>4.0599999999999996</v>
      </c>
      <c r="L1023" s="6">
        <f t="shared" si="324"/>
        <v>-1.0000000000000675E-2</v>
      </c>
      <c r="M1023">
        <v>-1.2632585127960001</v>
      </c>
      <c r="N1023">
        <v>337750</v>
      </c>
      <c r="O1023" s="18">
        <f>ROUND(N1023/VLOOKUP(EOMONTH(A1023,-1),Employment!A:P,16,FALSE),4)</f>
        <v>1.6374</v>
      </c>
      <c r="P1023" s="18">
        <f t="shared" si="314"/>
        <v>1.5872999999999999</v>
      </c>
      <c r="Q1023" s="29">
        <f t="shared" si="315"/>
        <v>2.5499999999999998E-2</v>
      </c>
      <c r="R1023" s="29">
        <f t="shared" si="316"/>
        <v>-2.1999999999999999E-2</v>
      </c>
      <c r="S1023">
        <v>2289000</v>
      </c>
      <c r="T1023" s="18">
        <f>ROUND((S1023/7)/VLOOKUP(EOMONTH(A1023,-1),Employment!A:P,16,FALSE),4)</f>
        <v>1.5852999999999999</v>
      </c>
      <c r="U1023" s="18">
        <f t="shared" si="317"/>
        <v>1.5831999999999999</v>
      </c>
      <c r="V1023" s="29">
        <f t="shared" si="318"/>
        <v>-2.3800000000000002E-2</v>
      </c>
      <c r="W1023" s="29">
        <f t="shared" si="319"/>
        <v>5.0000000000000001E-3</v>
      </c>
      <c r="X1023" s="30">
        <f t="shared" si="320"/>
        <v>93.29</v>
      </c>
      <c r="Y1023" s="31">
        <f t="shared" si="321"/>
        <v>100.1</v>
      </c>
    </row>
    <row r="1024" spans="1:25" ht="15" customHeight="1" x14ac:dyDescent="0.25">
      <c r="A1024" s="5">
        <v>36177</v>
      </c>
      <c r="B1024">
        <v>939.09619999999995</v>
      </c>
      <c r="C1024" s="29">
        <f t="shared" si="325"/>
        <v>-1E-4</v>
      </c>
      <c r="D1024">
        <v>-0.18</v>
      </c>
      <c r="E1024">
        <v>0.60399999999999998</v>
      </c>
      <c r="F1024" s="18">
        <f t="shared" si="312"/>
        <v>0.31599999999999984</v>
      </c>
      <c r="G1024" s="18">
        <f t="shared" si="313"/>
        <v>1.516</v>
      </c>
      <c r="H1024">
        <v>5.62</v>
      </c>
      <c r="I1024">
        <v>2.61</v>
      </c>
      <c r="J1024">
        <f t="shared" si="322"/>
        <v>4.12</v>
      </c>
      <c r="K1024" s="6">
        <f t="shared" si="323"/>
        <v>4.07</v>
      </c>
      <c r="L1024" s="6">
        <f t="shared" si="324"/>
        <v>6.0000000000000497E-2</v>
      </c>
      <c r="M1024">
        <v>-1.5379579858325001</v>
      </c>
      <c r="N1024">
        <v>327250</v>
      </c>
      <c r="O1024" s="18">
        <f>ROUND(N1024/VLOOKUP(EOMONTH(A1024,-1),Employment!A:P,16,FALSE),4)</f>
        <v>1.5865</v>
      </c>
      <c r="P1024" s="18">
        <f t="shared" si="314"/>
        <v>1.5522</v>
      </c>
      <c r="Q1024" s="29">
        <f t="shared" si="315"/>
        <v>1.1900000000000001E-2</v>
      </c>
      <c r="R1024" s="29">
        <f t="shared" si="316"/>
        <v>-1.21E-2</v>
      </c>
      <c r="S1024">
        <v>2303000</v>
      </c>
      <c r="T1024" s="18">
        <f>ROUND((S1024/7)/VLOOKUP(EOMONTH(A1024,-1),Employment!A:P,16,FALSE),4)</f>
        <v>1.595</v>
      </c>
      <c r="U1024" s="18">
        <f t="shared" si="317"/>
        <v>1.556</v>
      </c>
      <c r="V1024" s="29">
        <f t="shared" si="318"/>
        <v>-2.63E-2</v>
      </c>
      <c r="W1024" s="29">
        <f t="shared" si="319"/>
        <v>5.8999999999999999E-3</v>
      </c>
      <c r="X1024" s="30">
        <f t="shared" si="320"/>
        <v>103.5</v>
      </c>
      <c r="Y1024" s="31">
        <f t="shared" si="321"/>
        <v>106.72</v>
      </c>
    </row>
    <row r="1025" spans="1:25" ht="15" customHeight="1" x14ac:dyDescent="0.25">
      <c r="A1025" s="5">
        <v>36170</v>
      </c>
      <c r="B1025">
        <v>936.75919999999996</v>
      </c>
      <c r="C1025" s="29">
        <f t="shared" si="325"/>
        <v>-3.2000000000000002E-3</v>
      </c>
      <c r="D1025">
        <v>-0.17</v>
      </c>
      <c r="E1025">
        <v>0.63100000000000001</v>
      </c>
      <c r="F1025" s="18">
        <f t="shared" si="312"/>
        <v>0.19200000000000017</v>
      </c>
      <c r="G1025" s="18">
        <f t="shared" si="313"/>
        <v>0.70800000000000018</v>
      </c>
      <c r="H1025">
        <v>5.41</v>
      </c>
      <c r="I1025">
        <v>2.5099999999999998</v>
      </c>
      <c r="J1025">
        <f t="shared" si="322"/>
        <v>3.96</v>
      </c>
      <c r="K1025" s="6">
        <f t="shared" si="323"/>
        <v>4.01</v>
      </c>
      <c r="L1025" s="6">
        <f t="shared" si="324"/>
        <v>-6.0000000000000497E-2</v>
      </c>
      <c r="M1025">
        <v>-1.3565051173375</v>
      </c>
      <c r="N1025">
        <v>317250</v>
      </c>
      <c r="O1025" s="18">
        <f>ROUND(N1025/VLOOKUP(EOMONTH(A1025,-1),Employment!A:P,16,FALSE),4)</f>
        <v>1.538</v>
      </c>
      <c r="P1025" s="18">
        <f t="shared" si="314"/>
        <v>1.5239</v>
      </c>
      <c r="Q1025" s="29">
        <f t="shared" si="315"/>
        <v>-0.01</v>
      </c>
      <c r="R1025" s="29">
        <f t="shared" si="316"/>
        <v>8.0000000000000004E-4</v>
      </c>
      <c r="S1025">
        <v>2266000</v>
      </c>
      <c r="T1025" s="18">
        <f>ROUND((S1025/7)/VLOOKUP(EOMONTH(A1025,-1),Employment!A:P,16,FALSE),4)</f>
        <v>1.5693999999999999</v>
      </c>
      <c r="U1025" s="18">
        <f t="shared" si="317"/>
        <v>1.5338000000000001</v>
      </c>
      <c r="V1025" s="29">
        <f t="shared" si="318"/>
        <v>-2.07E-2</v>
      </c>
      <c r="W1025" s="29">
        <f t="shared" si="319"/>
        <v>2.3999999999999998E-3</v>
      </c>
      <c r="X1025" s="30">
        <f t="shared" si="320"/>
        <v>108.6</v>
      </c>
      <c r="Y1025" s="31">
        <f t="shared" si="321"/>
        <v>108.79</v>
      </c>
    </row>
    <row r="1026" spans="1:25" ht="15" customHeight="1" x14ac:dyDescent="0.25">
      <c r="A1026" s="5">
        <v>36163</v>
      </c>
      <c r="B1026">
        <v>936.29010000000005</v>
      </c>
      <c r="C1026" s="29">
        <f t="shared" si="325"/>
        <v>-5.3E-3</v>
      </c>
      <c r="D1026">
        <v>-0.15</v>
      </c>
      <c r="E1026">
        <v>0.63</v>
      </c>
      <c r="F1026" s="18">
        <f t="shared" si="312"/>
        <v>1.008</v>
      </c>
      <c r="G1026" s="18">
        <f t="shared" si="313"/>
        <v>0.15599999999999969</v>
      </c>
      <c r="H1026">
        <v>5.66</v>
      </c>
      <c r="I1026">
        <v>2.58</v>
      </c>
      <c r="J1026">
        <f t="shared" si="322"/>
        <v>4.12</v>
      </c>
      <c r="K1026" s="6">
        <f t="shared" si="323"/>
        <v>4.07</v>
      </c>
      <c r="L1026" s="6">
        <f t="shared" si="324"/>
        <v>1.0000000000000675E-2</v>
      </c>
      <c r="M1026">
        <v>-1.0129335217344</v>
      </c>
      <c r="N1026">
        <v>316000</v>
      </c>
      <c r="O1026" s="18">
        <f>ROUND(N1026/VLOOKUP(EOMONTH(A1026,-1),Employment!A:P,16,FALSE),4)</f>
        <v>1.532</v>
      </c>
      <c r="P1026" s="18">
        <f t="shared" si="314"/>
        <v>1.5145999999999999</v>
      </c>
      <c r="Q1026" s="29">
        <f t="shared" si="315"/>
        <v>-2.12E-2</v>
      </c>
      <c r="R1026" s="29">
        <f t="shared" si="316"/>
        <v>8.3999999999999995E-3</v>
      </c>
      <c r="S1026">
        <v>2171000</v>
      </c>
      <c r="T1026" s="18">
        <f>ROUND((S1026/7)/VLOOKUP(EOMONTH(A1026,-1),Employment!A:P,16,FALSE),4)</f>
        <v>1.5036</v>
      </c>
      <c r="U1026" s="18">
        <f t="shared" si="317"/>
        <v>1.528</v>
      </c>
      <c r="V1026" s="29">
        <f t="shared" si="318"/>
        <v>-1.5699999999999999E-2</v>
      </c>
      <c r="W1026" s="29">
        <f t="shared" si="319"/>
        <v>-5.9999999999999995E-4</v>
      </c>
      <c r="X1026" s="30">
        <f t="shared" si="320"/>
        <v>110.03999999999999</v>
      </c>
      <c r="Y1026" s="31">
        <f t="shared" si="321"/>
        <v>108.84</v>
      </c>
    </row>
    <row r="1027" spans="1:25" ht="15" customHeight="1" x14ac:dyDescent="0.25">
      <c r="A1027" s="5">
        <v>36156</v>
      </c>
      <c r="B1027">
        <v>941.25400000000002</v>
      </c>
      <c r="C1027" s="29">
        <f t="shared" si="325"/>
        <v>-8.9999999999999998E-4</v>
      </c>
      <c r="D1027">
        <v>-0.13</v>
      </c>
      <c r="E1027">
        <v>0.73099999999999998</v>
      </c>
      <c r="F1027" s="18">
        <f t="shared" si="312"/>
        <v>-0.49199999999999999</v>
      </c>
      <c r="G1027" s="18">
        <f t="shared" si="313"/>
        <v>-1.6159999999999997</v>
      </c>
      <c r="H1027">
        <v>5.39</v>
      </c>
      <c r="I1027">
        <v>2.5</v>
      </c>
      <c r="J1027">
        <f t="shared" si="322"/>
        <v>3.95</v>
      </c>
      <c r="K1027" s="6">
        <f t="shared" si="323"/>
        <v>4.0599999999999996</v>
      </c>
      <c r="L1027" s="6">
        <f t="shared" si="324"/>
        <v>-4.0000000000000036E-2</v>
      </c>
      <c r="M1027">
        <v>-0.67789393344050997</v>
      </c>
      <c r="N1027">
        <v>309500</v>
      </c>
      <c r="O1027" s="18">
        <f>ROUND(N1027/VLOOKUP(EOMONTH(A1027,-1),Employment!A:P,16,FALSE),4)</f>
        <v>1.5017</v>
      </c>
      <c r="P1027" s="18">
        <f t="shared" si="314"/>
        <v>1.5190999999999999</v>
      </c>
      <c r="Q1027" s="29">
        <f t="shared" si="315"/>
        <v>-2.2700000000000001E-2</v>
      </c>
      <c r="R1027" s="29">
        <f t="shared" si="316"/>
        <v>8.3999999999999995E-3</v>
      </c>
      <c r="S1027">
        <v>2205000</v>
      </c>
      <c r="T1027" s="18">
        <f>ROUND((S1027/7)/VLOOKUP(EOMONTH(A1027,-1),Employment!A:P,16,FALSE),4)</f>
        <v>1.5284</v>
      </c>
      <c r="U1027" s="18">
        <f t="shared" si="317"/>
        <v>1.5434000000000001</v>
      </c>
      <c r="V1027" s="29">
        <f t="shared" si="318"/>
        <v>-1.3899999999999999E-2</v>
      </c>
      <c r="W1027" s="29">
        <f t="shared" si="319"/>
        <v>-4.1999999999999997E-3</v>
      </c>
      <c r="X1027" s="30">
        <f t="shared" si="320"/>
        <v>106.13</v>
      </c>
      <c r="Y1027" s="31">
        <f t="shared" si="321"/>
        <v>110.54</v>
      </c>
    </row>
    <row r="1028" spans="1:25" ht="15" customHeight="1" x14ac:dyDescent="0.25">
      <c r="A1028" s="5">
        <v>36149</v>
      </c>
      <c r="B1028">
        <v>942.55</v>
      </c>
      <c r="C1028" s="29">
        <f t="shared" si="325"/>
        <v>4.0000000000000002E-4</v>
      </c>
      <c r="D1028">
        <v>-0.12</v>
      </c>
      <c r="E1028">
        <v>0.65700000000000003</v>
      </c>
      <c r="F1028" s="18">
        <f t="shared" si="312"/>
        <v>-0.36000000000000032</v>
      </c>
      <c r="G1028" s="18">
        <f t="shared" si="313"/>
        <v>1.5120000000000005</v>
      </c>
      <c r="H1028">
        <v>5.63</v>
      </c>
      <c r="I1028">
        <v>2.65</v>
      </c>
      <c r="J1028">
        <f t="shared" si="322"/>
        <v>4.1399999999999997</v>
      </c>
      <c r="K1028" s="6">
        <f t="shared" si="323"/>
        <v>4.0999999999999996</v>
      </c>
      <c r="L1028" s="6">
        <f t="shared" si="324"/>
        <v>8.9999999999999858E-2</v>
      </c>
      <c r="M1028">
        <v>-0.86906482200109003</v>
      </c>
      <c r="N1028">
        <v>311250</v>
      </c>
      <c r="O1028" s="18">
        <f>ROUND(N1028/VLOOKUP(EOMONTH(A1028,-1),Employment!A:P,16,FALSE),4)</f>
        <v>1.5102</v>
      </c>
      <c r="P1028" s="18">
        <f t="shared" si="314"/>
        <v>1.5296000000000001</v>
      </c>
      <c r="Q1028" s="29">
        <f t="shared" si="315"/>
        <v>-1.3899999999999999E-2</v>
      </c>
      <c r="R1028" s="29">
        <f t="shared" si="316"/>
        <v>4.1999999999999997E-3</v>
      </c>
      <c r="S1028">
        <v>2239000</v>
      </c>
      <c r="T1028" s="18">
        <f>ROUND((S1028/7)/VLOOKUP(EOMONTH(A1028,-1),Employment!A:P,16,FALSE),4)</f>
        <v>1.5519000000000001</v>
      </c>
      <c r="U1028" s="18">
        <f t="shared" si="317"/>
        <v>1.5438000000000001</v>
      </c>
      <c r="V1028" s="29">
        <f t="shared" si="318"/>
        <v>-1.14E-2</v>
      </c>
      <c r="W1028" s="29">
        <f t="shared" si="319"/>
        <v>-5.0000000000000001E-3</v>
      </c>
      <c r="X1028" s="30">
        <f t="shared" si="320"/>
        <v>112.63</v>
      </c>
      <c r="Y1028" s="31">
        <f t="shared" si="321"/>
        <v>115.33</v>
      </c>
    </row>
    <row r="1029" spans="1:25" ht="15" customHeight="1" x14ac:dyDescent="0.25">
      <c r="A1029" s="5">
        <v>36142</v>
      </c>
      <c r="B1029">
        <v>938.87739999999997</v>
      </c>
      <c r="C1029" s="29">
        <f t="shared" si="325"/>
        <v>-3.8999999999999998E-3</v>
      </c>
      <c r="D1029">
        <v>-0.12</v>
      </c>
      <c r="E1029">
        <v>0.61199999999999999</v>
      </c>
      <c r="F1029" s="18">
        <f t="shared" si="312"/>
        <v>-0.76399999999999935</v>
      </c>
      <c r="G1029" s="18">
        <f t="shared" si="313"/>
        <v>3.9039999999999999</v>
      </c>
      <c r="H1029">
        <v>5.56</v>
      </c>
      <c r="I1029">
        <v>2.6</v>
      </c>
      <c r="J1029">
        <f t="shared" si="322"/>
        <v>4.08</v>
      </c>
      <c r="K1029" s="6">
        <f t="shared" si="323"/>
        <v>4.01</v>
      </c>
      <c r="L1029" s="6">
        <f t="shared" si="324"/>
        <v>3.9999999999999591E-2</v>
      </c>
      <c r="M1029">
        <v>-1.0354095600952</v>
      </c>
      <c r="N1029">
        <v>318500</v>
      </c>
      <c r="O1029" s="18">
        <f>ROUND(N1029/VLOOKUP(EOMONTH(A1029,-1),Employment!A:P,16,FALSE),4)</f>
        <v>1.5452999999999999</v>
      </c>
      <c r="P1029" s="18">
        <f t="shared" si="314"/>
        <v>1.5368999999999999</v>
      </c>
      <c r="Q1029" s="29">
        <f t="shared" si="315"/>
        <v>-6.3E-3</v>
      </c>
      <c r="R1029" s="29">
        <f t="shared" si="316"/>
        <v>8.0000000000000004E-4</v>
      </c>
      <c r="S1029">
        <v>2236000</v>
      </c>
      <c r="T1029" s="18">
        <f>ROUND((S1029/7)/VLOOKUP(EOMONTH(A1029,-1),Employment!A:P,16,FALSE),4)</f>
        <v>1.5498000000000001</v>
      </c>
      <c r="U1029" s="18">
        <f t="shared" si="317"/>
        <v>1.5299</v>
      </c>
      <c r="V1029" s="29">
        <f t="shared" si="318"/>
        <v>-1.7500000000000002E-2</v>
      </c>
      <c r="W1029" s="29">
        <f t="shared" si="319"/>
        <v>-4.5999999999999999E-3</v>
      </c>
      <c r="X1029" s="30">
        <f t="shared" si="320"/>
        <v>116.34</v>
      </c>
      <c r="Y1029" s="31">
        <f t="shared" si="321"/>
        <v>116.98</v>
      </c>
    </row>
    <row r="1030" spans="1:25" ht="15" customHeight="1" x14ac:dyDescent="0.25">
      <c r="A1030" s="5">
        <v>36135</v>
      </c>
      <c r="B1030">
        <v>942.54160000000002</v>
      </c>
      <c r="C1030" s="29">
        <f t="shared" si="325"/>
        <v>8.9999999999999998E-4</v>
      </c>
      <c r="D1030">
        <v>-0.13</v>
      </c>
      <c r="E1030">
        <v>0.52900000000000003</v>
      </c>
      <c r="F1030" s="18">
        <f t="shared" si="312"/>
        <v>2.6360000000000001</v>
      </c>
      <c r="G1030" s="18">
        <f t="shared" si="313"/>
        <v>4.3879999999999999</v>
      </c>
      <c r="H1030">
        <v>5.53</v>
      </c>
      <c r="I1030">
        <v>2.6</v>
      </c>
      <c r="J1030">
        <f t="shared" si="322"/>
        <v>4.07</v>
      </c>
      <c r="K1030" s="6">
        <f t="shared" si="323"/>
        <v>3.97</v>
      </c>
      <c r="L1030" s="6">
        <f t="shared" si="324"/>
        <v>-2.0000000000000018E-2</v>
      </c>
      <c r="M1030">
        <v>-1.2922974411843</v>
      </c>
      <c r="N1030">
        <v>316000</v>
      </c>
      <c r="O1030" s="18">
        <f>ROUND(N1030/VLOOKUP(EOMONTH(A1030,-1),Employment!A:P,16,FALSE),4)</f>
        <v>1.5331999999999999</v>
      </c>
      <c r="P1030" s="18">
        <f t="shared" si="314"/>
        <v>1.5345</v>
      </c>
      <c r="Q1030" s="29">
        <f t="shared" si="315"/>
        <v>-3.5999999999999999E-3</v>
      </c>
      <c r="R1030" s="29">
        <f t="shared" si="316"/>
        <v>-2E-3</v>
      </c>
      <c r="S1030">
        <v>2207000</v>
      </c>
      <c r="T1030" s="18">
        <f>ROUND((S1030/7)/VLOOKUP(EOMONTH(A1030,-1),Employment!A:P,16,FALSE),4)</f>
        <v>1.5297000000000001</v>
      </c>
      <c r="U1030" s="18">
        <f t="shared" si="317"/>
        <v>1.5208999999999999</v>
      </c>
      <c r="V1030" s="29">
        <f t="shared" si="318"/>
        <v>-1.84E-2</v>
      </c>
      <c r="W1030" s="29">
        <f t="shared" si="319"/>
        <v>-4.1000000000000003E-3</v>
      </c>
      <c r="X1030" s="30">
        <f t="shared" si="320"/>
        <v>119.56</v>
      </c>
      <c r="Y1030" s="31">
        <f t="shared" si="321"/>
        <v>114.38</v>
      </c>
    </row>
    <row r="1031" spans="1:25" ht="15" customHeight="1" x14ac:dyDescent="0.25">
      <c r="A1031" s="5">
        <v>36128</v>
      </c>
      <c r="B1031">
        <v>944.40189999999996</v>
      </c>
      <c r="C1031" s="29">
        <f t="shared" si="325"/>
        <v>5.5999999999999999E-3</v>
      </c>
      <c r="D1031">
        <v>-0.08</v>
      </c>
      <c r="E1031">
        <v>0.79600000000000004</v>
      </c>
      <c r="F1031" s="18">
        <f t="shared" si="312"/>
        <v>2.0319999999999991</v>
      </c>
      <c r="G1031" s="18">
        <f t="shared" si="313"/>
        <v>3.2399999999999993</v>
      </c>
      <c r="H1031">
        <v>5.34</v>
      </c>
      <c r="I1031">
        <v>2.44</v>
      </c>
      <c r="J1031">
        <f t="shared" si="322"/>
        <v>3.89</v>
      </c>
      <c r="K1031" s="6">
        <f t="shared" si="323"/>
        <v>3.99</v>
      </c>
      <c r="L1031" s="6">
        <f t="shared" si="324"/>
        <v>-0.12000000000000011</v>
      </c>
      <c r="M1031">
        <v>-2.7796805924640999</v>
      </c>
      <c r="N1031">
        <v>315500</v>
      </c>
      <c r="O1031" s="18">
        <f>ROUND(N1031/VLOOKUP(EOMONTH(A1031,-1),Employment!A:P,16,FALSE),4)</f>
        <v>1.5322</v>
      </c>
      <c r="P1031" s="18">
        <f t="shared" si="314"/>
        <v>1.5297000000000001</v>
      </c>
      <c r="Q1031" s="29">
        <f t="shared" si="315"/>
        <v>-3.0999999999999999E-3</v>
      </c>
      <c r="R1031" s="29">
        <f t="shared" si="316"/>
        <v>-6.4000000000000003E-3</v>
      </c>
      <c r="S1031">
        <v>2177000</v>
      </c>
      <c r="T1031" s="18">
        <f>ROUND((S1031/7)/VLOOKUP(EOMONTH(A1031,-1),Employment!A:P,16,FALSE),4)</f>
        <v>1.5103</v>
      </c>
      <c r="U1031" s="18">
        <f t="shared" si="317"/>
        <v>1.5109999999999999</v>
      </c>
      <c r="V1031" s="29">
        <f t="shared" si="318"/>
        <v>-2.29E-2</v>
      </c>
      <c r="W1031" s="29">
        <f t="shared" si="319"/>
        <v>-2.5000000000000001E-3</v>
      </c>
      <c r="X1031" s="30">
        <f t="shared" si="320"/>
        <v>112.12</v>
      </c>
      <c r="Y1031" s="31">
        <f t="shared" si="321"/>
        <v>109.98</v>
      </c>
    </row>
    <row r="1032" spans="1:25" ht="15" customHeight="1" x14ac:dyDescent="0.25">
      <c r="A1032" s="5">
        <v>36121</v>
      </c>
      <c r="B1032">
        <v>942.73889999999994</v>
      </c>
      <c r="C1032" s="29">
        <f t="shared" si="325"/>
        <v>7.9000000000000008E-3</v>
      </c>
      <c r="D1032">
        <v>-0.04</v>
      </c>
      <c r="E1032">
        <v>1</v>
      </c>
      <c r="F1032" s="18">
        <f t="shared" si="312"/>
        <v>-0.27999999999999936</v>
      </c>
      <c r="G1032" s="18">
        <f t="shared" si="313"/>
        <v>3.3600000000000012</v>
      </c>
      <c r="H1032">
        <v>5.45</v>
      </c>
      <c r="I1032">
        <v>2.46</v>
      </c>
      <c r="J1032">
        <f t="shared" si="322"/>
        <v>3.96</v>
      </c>
      <c r="K1032" s="6">
        <f t="shared" si="323"/>
        <v>4.1100000000000003</v>
      </c>
      <c r="L1032" s="6">
        <f t="shared" si="324"/>
        <v>-0.1899999999999995</v>
      </c>
      <c r="M1032">
        <v>-3.2006126258560998</v>
      </c>
      <c r="N1032">
        <v>316750</v>
      </c>
      <c r="O1032" s="18">
        <f>ROUND(N1032/VLOOKUP(EOMONTH(A1032,-1),Employment!A:P,16,FALSE),4)</f>
        <v>1.5382</v>
      </c>
      <c r="P1032" s="18">
        <f t="shared" si="314"/>
        <v>1.5253000000000001</v>
      </c>
      <c r="Q1032" s="29">
        <f t="shared" si="315"/>
        <v>-2.5000000000000001E-3</v>
      </c>
      <c r="R1032" s="29">
        <f t="shared" si="316"/>
        <v>-1.26E-2</v>
      </c>
      <c r="S1032">
        <v>2195000</v>
      </c>
      <c r="T1032" s="18">
        <f>ROUND((S1032/7)/VLOOKUP(EOMONTH(A1032,-1),Employment!A:P,16,FALSE),4)</f>
        <v>1.5227999999999999</v>
      </c>
      <c r="U1032" s="18">
        <f t="shared" si="317"/>
        <v>1.5092000000000001</v>
      </c>
      <c r="V1032" s="29">
        <f t="shared" si="318"/>
        <v>-2.6800000000000001E-2</v>
      </c>
      <c r="W1032" s="29">
        <f t="shared" si="319"/>
        <v>-4.1999999999999997E-3</v>
      </c>
      <c r="X1032" s="30">
        <f t="shared" si="320"/>
        <v>107.07</v>
      </c>
      <c r="Y1032" s="31">
        <f t="shared" si="321"/>
        <v>108.94</v>
      </c>
    </row>
    <row r="1033" spans="1:25" ht="15" customHeight="1" x14ac:dyDescent="0.25">
      <c r="A1033" s="5">
        <v>36114</v>
      </c>
      <c r="B1033">
        <v>940.67589999999996</v>
      </c>
      <c r="C1033" s="29">
        <f t="shared" si="325"/>
        <v>1.12E-2</v>
      </c>
      <c r="D1033">
        <v>0</v>
      </c>
      <c r="E1033">
        <v>0.91500000000000004</v>
      </c>
      <c r="F1033" s="18">
        <f t="shared" si="312"/>
        <v>1.4879999999999995</v>
      </c>
      <c r="G1033" s="18">
        <f t="shared" si="313"/>
        <v>5.9080000000000013</v>
      </c>
      <c r="H1033">
        <v>5.73</v>
      </c>
      <c r="I1033">
        <v>2.52</v>
      </c>
      <c r="J1033">
        <f t="shared" si="322"/>
        <v>4.13</v>
      </c>
      <c r="K1033" s="6">
        <f t="shared" si="323"/>
        <v>4.3</v>
      </c>
      <c r="L1033" s="6">
        <f t="shared" si="324"/>
        <v>-0.12000000000000011</v>
      </c>
      <c r="M1033">
        <v>-4.0853254387417</v>
      </c>
      <c r="N1033">
        <v>312750</v>
      </c>
      <c r="O1033" s="18">
        <f>ROUND(N1033/VLOOKUP(EOMONTH(A1033,-1),Employment!A:P,16,FALSE),4)</f>
        <v>1.5187999999999999</v>
      </c>
      <c r="P1033" s="18">
        <f t="shared" si="314"/>
        <v>1.5164</v>
      </c>
      <c r="Q1033" s="29">
        <f t="shared" si="315"/>
        <v>-5.1000000000000004E-3</v>
      </c>
      <c r="R1033" s="29">
        <f t="shared" si="316"/>
        <v>-1.6199999999999999E-2</v>
      </c>
      <c r="S1033">
        <v>2162000</v>
      </c>
      <c r="T1033" s="18">
        <f>ROUND((S1033/7)/VLOOKUP(EOMONTH(A1033,-1),Employment!A:P,16,FALSE),4)</f>
        <v>1.4999</v>
      </c>
      <c r="U1033" s="18">
        <f t="shared" si="317"/>
        <v>1.5028999999999999</v>
      </c>
      <c r="V1033" s="29">
        <f t="shared" si="318"/>
        <v>-2.7199999999999998E-2</v>
      </c>
      <c r="W1033" s="29">
        <f t="shared" si="319"/>
        <v>-8.8999999999999999E-3</v>
      </c>
      <c r="X1033" s="30">
        <f t="shared" si="320"/>
        <v>111.9</v>
      </c>
      <c r="Y1033" s="31">
        <f t="shared" si="321"/>
        <v>105.82</v>
      </c>
    </row>
    <row r="1034" spans="1:25" ht="15" customHeight="1" x14ac:dyDescent="0.25">
      <c r="A1034" s="5">
        <v>36107</v>
      </c>
      <c r="B1034">
        <v>938.85640000000001</v>
      </c>
      <c r="C1034" s="29">
        <f t="shared" si="325"/>
        <v>1.6199999999999999E-2</v>
      </c>
      <c r="D1034">
        <v>0.04</v>
      </c>
      <c r="E1034">
        <v>1.0509999999999999</v>
      </c>
      <c r="F1034" s="18">
        <f t="shared" si="312"/>
        <v>2.152000000000001</v>
      </c>
      <c r="G1034" s="18">
        <f t="shared" si="313"/>
        <v>3.7959999999999994</v>
      </c>
      <c r="H1034">
        <v>5.95</v>
      </c>
      <c r="I1034">
        <v>2.54</v>
      </c>
      <c r="J1034">
        <f t="shared" si="322"/>
        <v>4.25</v>
      </c>
      <c r="K1034" s="6">
        <f t="shared" si="323"/>
        <v>4.42</v>
      </c>
      <c r="L1034" s="6">
        <f t="shared" si="324"/>
        <v>-0.17999999999999972</v>
      </c>
      <c r="M1034">
        <v>-4.5029101567889001</v>
      </c>
      <c r="N1034">
        <v>312750</v>
      </c>
      <c r="O1034" s="18">
        <f>ROUND(N1034/VLOOKUP(EOMONTH(A1034,-1),Employment!A:P,16,FALSE),4)</f>
        <v>1.5187999999999999</v>
      </c>
      <c r="P1034" s="18">
        <f t="shared" si="314"/>
        <v>1.5084</v>
      </c>
      <c r="Q1034" s="29">
        <f t="shared" si="315"/>
        <v>-1.2200000000000001E-2</v>
      </c>
      <c r="R1034" s="29">
        <f t="shared" si="316"/>
        <v>-1.5699999999999999E-2</v>
      </c>
      <c r="S1034">
        <v>2169000</v>
      </c>
      <c r="T1034" s="18">
        <f>ROUND((S1034/7)/VLOOKUP(EOMONTH(A1034,-1),Employment!A:P,16,FALSE),4)</f>
        <v>1.5047999999999999</v>
      </c>
      <c r="U1034" s="18">
        <f t="shared" si="317"/>
        <v>1.5045999999999999</v>
      </c>
      <c r="V1034" s="29">
        <f t="shared" si="318"/>
        <v>-2.8199999999999999E-2</v>
      </c>
      <c r="W1034" s="29">
        <f t="shared" si="319"/>
        <v>-9.7999999999999997E-3</v>
      </c>
      <c r="X1034" s="30">
        <f t="shared" si="320"/>
        <v>106.24000000000001</v>
      </c>
      <c r="Y1034" s="31">
        <f t="shared" si="321"/>
        <v>94.52</v>
      </c>
    </row>
    <row r="1035" spans="1:25" ht="15" customHeight="1" x14ac:dyDescent="0.25">
      <c r="A1035" s="5">
        <v>36100</v>
      </c>
      <c r="B1035">
        <v>934.27300000000002</v>
      </c>
      <c r="C1035" s="29">
        <f t="shared" si="325"/>
        <v>1.6400000000000001E-2</v>
      </c>
      <c r="D1035">
        <v>0.1</v>
      </c>
      <c r="E1035">
        <v>1.2450000000000001</v>
      </c>
      <c r="F1035" s="18">
        <f t="shared" si="312"/>
        <v>2.2680000000000007</v>
      </c>
      <c r="G1035" s="18">
        <f t="shared" si="313"/>
        <v>-2.104000000000001</v>
      </c>
      <c r="H1035">
        <v>6.36</v>
      </c>
      <c r="I1035">
        <v>2.65</v>
      </c>
      <c r="J1035">
        <f t="shared" si="322"/>
        <v>4.51</v>
      </c>
      <c r="K1035" s="6">
        <f t="shared" si="323"/>
        <v>4.5999999999999996</v>
      </c>
      <c r="L1035" s="6">
        <f t="shared" si="324"/>
        <v>1.9999999999999574E-2</v>
      </c>
      <c r="M1035">
        <v>-4.1062651920509996</v>
      </c>
      <c r="N1035">
        <v>311250</v>
      </c>
      <c r="O1035" s="18">
        <f>ROUND(N1035/VLOOKUP(EOMONTH(A1035,-1),Employment!A:P,16,FALSE),4)</f>
        <v>1.5115000000000001</v>
      </c>
      <c r="P1035" s="18">
        <f t="shared" si="314"/>
        <v>1.4952000000000001</v>
      </c>
      <c r="Q1035" s="29">
        <f t="shared" si="315"/>
        <v>-2.3300000000000001E-2</v>
      </c>
      <c r="R1035" s="29">
        <f t="shared" si="316"/>
        <v>-9.4999999999999998E-3</v>
      </c>
      <c r="S1035">
        <v>2168000</v>
      </c>
      <c r="T1035" s="18">
        <f>ROUND((S1035/7)/VLOOKUP(EOMONTH(A1035,-1),Employment!A:P,16,FALSE),4)</f>
        <v>1.5041</v>
      </c>
      <c r="U1035" s="18">
        <f t="shared" si="317"/>
        <v>1.5021</v>
      </c>
      <c r="V1035" s="29">
        <f t="shared" si="318"/>
        <v>-3.1699999999999999E-2</v>
      </c>
      <c r="W1035" s="29">
        <f t="shared" si="319"/>
        <v>-6.4999999999999997E-3</v>
      </c>
      <c r="X1035" s="30">
        <f t="shared" si="320"/>
        <v>89.55</v>
      </c>
      <c r="Y1035" s="31">
        <f t="shared" si="321"/>
        <v>82.28</v>
      </c>
    </row>
    <row r="1036" spans="1:25" ht="15" customHeight="1" x14ac:dyDescent="0.25">
      <c r="A1036" s="5">
        <v>36093</v>
      </c>
      <c r="B1036">
        <v>927.73130000000003</v>
      </c>
      <c r="C1036" s="29">
        <f t="shared" si="325"/>
        <v>1.32E-2</v>
      </c>
      <c r="D1036">
        <v>0.13</v>
      </c>
      <c r="E1036">
        <v>1.4910000000000001</v>
      </c>
      <c r="F1036" s="18">
        <f t="shared" si="312"/>
        <v>-0.62400000000000233</v>
      </c>
      <c r="G1036" s="18">
        <f t="shared" si="313"/>
        <v>-6.088000000000001</v>
      </c>
      <c r="H1036">
        <v>6.37</v>
      </c>
      <c r="I1036">
        <v>2.64</v>
      </c>
      <c r="J1036">
        <f t="shared" si="322"/>
        <v>4.51</v>
      </c>
      <c r="K1036" s="6">
        <f t="shared" si="323"/>
        <v>4.58</v>
      </c>
      <c r="L1036" s="6">
        <f t="shared" si="324"/>
        <v>4.9999999999999822E-2</v>
      </c>
      <c r="M1036">
        <v>-4.0587025808490997</v>
      </c>
      <c r="N1036">
        <v>307500</v>
      </c>
      <c r="O1036" s="18">
        <f>ROUND(N1036/VLOOKUP(EOMONTH(A1036,-1),Employment!A:P,16,FALSE),4)</f>
        <v>1.4948999999999999</v>
      </c>
      <c r="P1036" s="18">
        <f t="shared" si="314"/>
        <v>1.4795</v>
      </c>
      <c r="Q1036" s="29">
        <f t="shared" si="315"/>
        <v>-3.8800000000000001E-2</v>
      </c>
      <c r="R1036" s="29">
        <f t="shared" si="316"/>
        <v>-5.4000000000000003E-3</v>
      </c>
      <c r="S1036">
        <v>2167000</v>
      </c>
      <c r="T1036" s="18">
        <f>ROUND((S1036/7)/VLOOKUP(EOMONTH(A1036,-1),Employment!A:P,16,FALSE),4)</f>
        <v>1.5049999999999999</v>
      </c>
      <c r="U1036" s="18">
        <f t="shared" si="317"/>
        <v>1.498</v>
      </c>
      <c r="V1036" s="29">
        <f t="shared" si="318"/>
        <v>-4.2000000000000003E-2</v>
      </c>
      <c r="W1036" s="29">
        <f t="shared" si="319"/>
        <v>2.5000000000000001E-3</v>
      </c>
      <c r="X1036" s="30">
        <f t="shared" si="320"/>
        <v>77.67</v>
      </c>
      <c r="Y1036" s="31">
        <f t="shared" si="321"/>
        <v>77.84</v>
      </c>
    </row>
    <row r="1037" spans="1:25" ht="15" customHeight="1" x14ac:dyDescent="0.25">
      <c r="A1037" s="5">
        <v>36086</v>
      </c>
      <c r="B1037">
        <v>920.31110000000001</v>
      </c>
      <c r="C1037" s="29">
        <f t="shared" si="325"/>
        <v>8.5000000000000006E-3</v>
      </c>
      <c r="D1037">
        <v>0.11</v>
      </c>
      <c r="E1037">
        <v>1.4379999999999999</v>
      </c>
      <c r="F1037" s="18">
        <f t="shared" si="312"/>
        <v>-3.7479999999999993</v>
      </c>
      <c r="G1037" s="18">
        <f t="shared" si="313"/>
        <v>-5.9079999999999986</v>
      </c>
      <c r="H1037">
        <v>6.78</v>
      </c>
      <c r="I1037">
        <v>2.77</v>
      </c>
      <c r="J1037">
        <f t="shared" si="322"/>
        <v>4.78</v>
      </c>
      <c r="K1037" s="6">
        <f t="shared" si="323"/>
        <v>4.53</v>
      </c>
      <c r="L1037" s="6">
        <f t="shared" si="324"/>
        <v>0.22000000000000064</v>
      </c>
      <c r="M1037">
        <v>-3.5876157174760999</v>
      </c>
      <c r="N1037">
        <v>304250</v>
      </c>
      <c r="O1037" s="18">
        <f>ROUND(N1037/VLOOKUP(EOMONTH(A1037,-1),Employment!A:P,16,FALSE),4)</f>
        <v>1.4791000000000001</v>
      </c>
      <c r="P1037" s="18">
        <f t="shared" si="314"/>
        <v>1.4738</v>
      </c>
      <c r="Q1037" s="29">
        <f t="shared" si="315"/>
        <v>-4.4999999999999998E-2</v>
      </c>
      <c r="R1037" s="29">
        <f t="shared" si="316"/>
        <v>-7.0000000000000001E-3</v>
      </c>
      <c r="S1037">
        <v>2156000</v>
      </c>
      <c r="T1037" s="18">
        <f>ROUND((S1037/7)/VLOOKUP(EOMONTH(A1037,-1),Employment!A:P,16,FALSE),4)</f>
        <v>1.4973000000000001</v>
      </c>
      <c r="U1037" s="18">
        <f t="shared" si="317"/>
        <v>1.4858</v>
      </c>
      <c r="V1037" s="29">
        <f t="shared" si="318"/>
        <v>-5.3800000000000001E-2</v>
      </c>
      <c r="W1037" s="29">
        <f t="shared" si="319"/>
        <v>1.1000000000000001E-3</v>
      </c>
      <c r="X1037" s="30">
        <f t="shared" si="320"/>
        <v>75.63</v>
      </c>
      <c r="Y1037" s="31">
        <f t="shared" si="321"/>
        <v>82.08</v>
      </c>
    </row>
    <row r="1038" spans="1:25" ht="15" customHeight="1" x14ac:dyDescent="0.25">
      <c r="A1038" s="5">
        <v>36079</v>
      </c>
      <c r="B1038">
        <v>913.32539999999995</v>
      </c>
      <c r="C1038" s="29">
        <f t="shared" si="325"/>
        <v>2.8E-3</v>
      </c>
      <c r="D1038">
        <v>0.06</v>
      </c>
      <c r="E1038">
        <v>1.032</v>
      </c>
      <c r="F1038" s="18">
        <f t="shared" si="312"/>
        <v>-1.7159999999999993</v>
      </c>
      <c r="G1038" s="18">
        <f t="shared" si="313"/>
        <v>-3.2959999999999994</v>
      </c>
      <c r="H1038">
        <v>6.32</v>
      </c>
      <c r="I1038">
        <v>2.56</v>
      </c>
      <c r="J1038">
        <f t="shared" si="322"/>
        <v>4.4400000000000004</v>
      </c>
      <c r="K1038" s="6">
        <f t="shared" si="323"/>
        <v>4.3099999999999996</v>
      </c>
      <c r="L1038" s="6">
        <f t="shared" si="324"/>
        <v>0.11999999999999922</v>
      </c>
      <c r="M1038">
        <v>-3.1305423863741999</v>
      </c>
      <c r="N1038">
        <v>301250</v>
      </c>
      <c r="O1038" s="18">
        <f>ROUND(N1038/VLOOKUP(EOMONTH(A1038,-1),Employment!A:P,16,FALSE),4)</f>
        <v>1.4644999999999999</v>
      </c>
      <c r="P1038" s="18">
        <f t="shared" si="314"/>
        <v>1.4803999999999999</v>
      </c>
      <c r="Q1038" s="29">
        <f t="shared" si="315"/>
        <v>-4.7699999999999999E-2</v>
      </c>
      <c r="R1038" s="29">
        <f t="shared" si="316"/>
        <v>-1.0699999999999999E-2</v>
      </c>
      <c r="S1038">
        <v>2148000</v>
      </c>
      <c r="T1038" s="18">
        <f>ROUND((S1038/7)/VLOOKUP(EOMONTH(A1038,-1),Employment!A:P,16,FALSE),4)</f>
        <v>1.4918</v>
      </c>
      <c r="U1038" s="18">
        <f t="shared" si="317"/>
        <v>1.4942</v>
      </c>
      <c r="V1038" s="29">
        <f t="shared" si="318"/>
        <v>-4.3200000000000002E-2</v>
      </c>
      <c r="W1038" s="29">
        <f t="shared" si="319"/>
        <v>-1.6999999999999999E-3</v>
      </c>
      <c r="X1038" s="30">
        <f t="shared" si="320"/>
        <v>83.81</v>
      </c>
      <c r="Y1038" s="31">
        <f t="shared" si="321"/>
        <v>90.6</v>
      </c>
    </row>
    <row r="1039" spans="1:25" ht="15" customHeight="1" x14ac:dyDescent="0.25">
      <c r="A1039" s="5">
        <v>36072</v>
      </c>
      <c r="B1039">
        <v>915.31320000000005</v>
      </c>
      <c r="C1039" s="29">
        <f t="shared" si="325"/>
        <v>7.7999999999999996E-3</v>
      </c>
      <c r="D1039">
        <v>-0.01</v>
      </c>
      <c r="E1039">
        <v>0.90500000000000003</v>
      </c>
      <c r="F1039" s="18">
        <f t="shared" ref="F1039:F1102" si="326">(((D1039*10)+(E1039*8))*-1)-(((D1040*10)+(E1040*8))*-1)</f>
        <v>-0.44399999999999995</v>
      </c>
      <c r="G1039" s="18">
        <f t="shared" ref="G1039:G1102" si="327">SUM(F1039:F1041)</f>
        <v>-2.3719999999999999</v>
      </c>
      <c r="H1039">
        <v>6.11</v>
      </c>
      <c r="I1039">
        <v>2.6</v>
      </c>
      <c r="J1039">
        <f t="shared" si="322"/>
        <v>4.3600000000000003</v>
      </c>
      <c r="K1039" s="6">
        <f t="shared" si="323"/>
        <v>4.1900000000000004</v>
      </c>
      <c r="L1039" s="6">
        <f t="shared" si="324"/>
        <v>0.13000000000000078</v>
      </c>
      <c r="M1039">
        <v>-2.6574926704754001</v>
      </c>
      <c r="N1039">
        <v>304000</v>
      </c>
      <c r="O1039" s="18">
        <f>ROUND(N1039/VLOOKUP(EOMONTH(A1039,-1),Employment!A:P,16,FALSE),4)</f>
        <v>1.4779</v>
      </c>
      <c r="P1039" s="18">
        <f t="shared" ref="P1039:P1102" si="328">ROUND(AVERAGE(O1039:O1041),4)</f>
        <v>1.4906999999999999</v>
      </c>
      <c r="Q1039" s="29">
        <f t="shared" ref="Q1039:Q1102" si="329">ROUND((P1039/P1091)-1,4)</f>
        <v>-4.8099999999999997E-2</v>
      </c>
      <c r="R1039" s="29">
        <f t="shared" ref="R1039:R1102" si="330">ROUND(AVERAGE(Q1039:Q1040)-AVERAGE(Q1039:Q1043),4)*-1</f>
        <v>-7.1999999999999998E-3</v>
      </c>
      <c r="S1039">
        <v>2114000</v>
      </c>
      <c r="T1039" s="18">
        <f>ROUND((S1039/7)/VLOOKUP(EOMONTH(A1039,-1),Employment!A:P,16,FALSE),4)</f>
        <v>1.4681999999999999</v>
      </c>
      <c r="U1039" s="18">
        <f t="shared" ref="U1039:U1102" si="331">ROUND(AVERAGE(T1039:T1041),4)</f>
        <v>1.4975000000000001</v>
      </c>
      <c r="V1039" s="29">
        <f t="shared" ref="V1039:V1102" si="332">ROUND((U1039/U1091)-1,4)</f>
        <v>-4.5999999999999999E-2</v>
      </c>
      <c r="W1039" s="29">
        <f t="shared" ref="W1039:W1102" si="333">ROUND(AVERAGE(V1039:V1040)-AVERAGE(V1039:V1043),4)*-1</f>
        <v>-6.9999999999999999E-4</v>
      </c>
      <c r="X1039" s="30">
        <f t="shared" ref="X1039:X1102" si="334">IF(ROUND((C1039*500)-(D1039*10)-(E1039*8)+(M1039*1.2)-(P1039*23)-(Q1039*10)+(R1039*600)-(U1039*2)-(V1039*5)+(W1039*100)-(K1039*5)-(L1039*5)+(G1039*3),2)+170&lt;0,0,ROUND((C1039*500)-(D1039*10)-(E1039*8)+(M1039*1.2)-(P1039*23)-(Q1039*10)+(R1039*600)-(U1039*2)-(V1039*5)+(W1039*100)-(K1039*5)-(L1039*5)+(G1039*3),2)+170)</f>
        <v>93.89</v>
      </c>
      <c r="Y1039" s="31">
        <f t="shared" ref="Y1039:Y1102" si="335">ROUND(AVERAGE(AVERAGE(X1039:X1040),AVERAGE(X1039:X1041)),2)</f>
        <v>98.74</v>
      </c>
    </row>
    <row r="1040" spans="1:25" ht="15" customHeight="1" x14ac:dyDescent="0.25">
      <c r="A1040" s="5">
        <v>36065</v>
      </c>
      <c r="B1040">
        <v>913.68020000000001</v>
      </c>
      <c r="C1040" s="29">
        <f t="shared" si="325"/>
        <v>8.5000000000000006E-3</v>
      </c>
      <c r="D1040">
        <v>-0.08</v>
      </c>
      <c r="E1040">
        <v>0.93700000000000006</v>
      </c>
      <c r="F1040" s="18">
        <f t="shared" si="326"/>
        <v>-1.1360000000000001</v>
      </c>
      <c r="G1040" s="18">
        <f t="shared" si="327"/>
        <v>-4.7320000000000011</v>
      </c>
      <c r="H1040">
        <v>5.76</v>
      </c>
      <c r="I1040">
        <v>2.48</v>
      </c>
      <c r="J1040">
        <f t="shared" ref="J1040:J1103" si="336">ROUND(AVERAGE(H1040:I1040),2)</f>
        <v>4.12</v>
      </c>
      <c r="K1040" s="6">
        <f t="shared" ref="K1040:K1103" si="337">ROUND(AVERAGE(J1040:J1042),2)</f>
        <v>4.0599999999999996</v>
      </c>
      <c r="L1040" s="6">
        <f t="shared" ref="L1040:L1103" si="338">K1040-K1041</f>
        <v>0.13999999999999968</v>
      </c>
      <c r="M1040">
        <v>-2.1531518792723001</v>
      </c>
      <c r="N1040">
        <v>308000</v>
      </c>
      <c r="O1040" s="18">
        <f>ROUND(N1040/VLOOKUP(EOMONTH(A1040,-1),Employment!A:P,16,FALSE),4)</f>
        <v>1.4988999999999999</v>
      </c>
      <c r="P1040" s="18">
        <f t="shared" si="328"/>
        <v>1.4981</v>
      </c>
      <c r="Q1040" s="29">
        <f t="shared" si="329"/>
        <v>-5.7000000000000002E-2</v>
      </c>
      <c r="R1040" s="29">
        <f t="shared" si="330"/>
        <v>8.8000000000000005E-3</v>
      </c>
      <c r="S1040">
        <v>2190000</v>
      </c>
      <c r="T1040" s="18">
        <f>ROUND((S1040/7)/VLOOKUP(EOMONTH(A1040,-1),Employment!A:P,16,FALSE),4)</f>
        <v>1.5226</v>
      </c>
      <c r="U1040" s="18">
        <f t="shared" si="331"/>
        <v>1.5138</v>
      </c>
      <c r="V1040" s="29">
        <f t="shared" si="332"/>
        <v>-4.2099999999999999E-2</v>
      </c>
      <c r="W1040" s="29">
        <f t="shared" si="333"/>
        <v>9.7000000000000003E-3</v>
      </c>
      <c r="X1040" s="30">
        <f t="shared" si="334"/>
        <v>99.32</v>
      </c>
      <c r="Y1040" s="31">
        <f t="shared" si="335"/>
        <v>106.6</v>
      </c>
    </row>
    <row r="1041" spans="1:25" ht="15" customHeight="1" x14ac:dyDescent="0.25">
      <c r="A1041" s="5">
        <v>36058</v>
      </c>
      <c r="B1041">
        <v>907.86980000000005</v>
      </c>
      <c r="C1041" s="29">
        <f t="shared" si="325"/>
        <v>3.5000000000000001E-3</v>
      </c>
      <c r="D1041">
        <v>-0.16</v>
      </c>
      <c r="E1041">
        <v>0.89500000000000002</v>
      </c>
      <c r="F1041" s="18">
        <f t="shared" si="326"/>
        <v>-0.79199999999999982</v>
      </c>
      <c r="G1041" s="18">
        <f t="shared" si="327"/>
        <v>-5.8440000000000012</v>
      </c>
      <c r="H1041">
        <v>5.79</v>
      </c>
      <c r="I1041">
        <v>2.37</v>
      </c>
      <c r="J1041">
        <f t="shared" si="336"/>
        <v>4.08</v>
      </c>
      <c r="K1041" s="6">
        <f t="shared" si="337"/>
        <v>3.92</v>
      </c>
      <c r="L1041" s="6">
        <f t="shared" si="338"/>
        <v>0.19999999999999973</v>
      </c>
      <c r="M1041">
        <v>-1.4716223439955001</v>
      </c>
      <c r="N1041">
        <v>307250</v>
      </c>
      <c r="O1041" s="18">
        <f>ROUND(N1041/VLOOKUP(EOMONTH(A1041,-1),Employment!A:P,16,FALSE),4)</f>
        <v>1.4953000000000001</v>
      </c>
      <c r="P1041" s="18">
        <f t="shared" si="328"/>
        <v>1.4998</v>
      </c>
      <c r="Q1041" s="29">
        <f t="shared" si="329"/>
        <v>-6.9099999999999995E-2</v>
      </c>
      <c r="R1041" s="29">
        <f t="shared" si="330"/>
        <v>2.86E-2</v>
      </c>
      <c r="S1041">
        <v>2160000</v>
      </c>
      <c r="T1041" s="18">
        <f>ROUND((S1041/7)/VLOOKUP(EOMONTH(A1041,-1),Employment!A:P,16,FALSE),4)</f>
        <v>1.5017</v>
      </c>
      <c r="U1041" s="18">
        <f t="shared" si="331"/>
        <v>1.5165</v>
      </c>
      <c r="V1041" s="29">
        <f t="shared" si="332"/>
        <v>-5.1999999999999998E-2</v>
      </c>
      <c r="W1041" s="29">
        <f t="shared" si="333"/>
        <v>2.5399999999999999E-2</v>
      </c>
      <c r="X1041" s="30">
        <f t="shared" si="334"/>
        <v>109.41</v>
      </c>
      <c r="Y1041" s="31">
        <f t="shared" si="335"/>
        <v>115.38</v>
      </c>
    </row>
    <row r="1042" spans="1:25" ht="15" customHeight="1" x14ac:dyDescent="0.25">
      <c r="A1042" s="5">
        <v>36051</v>
      </c>
      <c r="B1042">
        <v>906.33690000000001</v>
      </c>
      <c r="C1042" s="29">
        <f t="shared" ref="C1042:C1105" si="339">ROUND((B1042-AVERAGE(B1043:B1046))/AVERAGE(B1043:B1046),4)</f>
        <v>3.7000000000000002E-3</v>
      </c>
      <c r="D1042">
        <v>-0.24</v>
      </c>
      <c r="E1042">
        <v>0.89600000000000002</v>
      </c>
      <c r="F1042" s="18">
        <f t="shared" si="326"/>
        <v>-2.8040000000000007</v>
      </c>
      <c r="G1042" s="18">
        <f t="shared" si="327"/>
        <v>-6.0080000000000018</v>
      </c>
      <c r="H1042">
        <v>5.7</v>
      </c>
      <c r="I1042">
        <v>2.23</v>
      </c>
      <c r="J1042">
        <f t="shared" si="336"/>
        <v>3.97</v>
      </c>
      <c r="K1042" s="6">
        <f t="shared" si="337"/>
        <v>3.72</v>
      </c>
      <c r="L1042" s="6">
        <f t="shared" si="338"/>
        <v>0.3400000000000003</v>
      </c>
      <c r="M1042">
        <v>-0.98437678123310002</v>
      </c>
      <c r="N1042">
        <v>308250</v>
      </c>
      <c r="O1042" s="18">
        <f>ROUND(N1042/VLOOKUP(EOMONTH(A1042,-1),Employment!A:P,16,FALSE),4)</f>
        <v>1.5002</v>
      </c>
      <c r="P1042" s="18">
        <f t="shared" si="328"/>
        <v>1.51</v>
      </c>
      <c r="Q1042" s="29">
        <f t="shared" si="329"/>
        <v>-7.0900000000000005E-2</v>
      </c>
      <c r="R1042" s="29">
        <f t="shared" si="330"/>
        <v>3.9399999999999998E-2</v>
      </c>
      <c r="S1042">
        <v>2182000</v>
      </c>
      <c r="T1042" s="18">
        <f>ROUND((S1042/7)/VLOOKUP(EOMONTH(A1042,-1),Employment!A:P,16,FALSE),4)</f>
        <v>1.5169999999999999</v>
      </c>
      <c r="U1042" s="18">
        <f t="shared" si="331"/>
        <v>1.5286</v>
      </c>
      <c r="V1042" s="29">
        <f t="shared" si="332"/>
        <v>-4.8300000000000003E-2</v>
      </c>
      <c r="W1042" s="29">
        <f t="shared" si="333"/>
        <v>3.4099999999999998E-2</v>
      </c>
      <c r="X1042" s="30">
        <f t="shared" si="334"/>
        <v>117.78999999999999</v>
      </c>
      <c r="Y1042" s="31">
        <f t="shared" si="335"/>
        <v>121.63</v>
      </c>
    </row>
    <row r="1043" spans="1:25" ht="15" customHeight="1" x14ac:dyDescent="0.25">
      <c r="A1043" s="5">
        <v>36044</v>
      </c>
      <c r="B1043">
        <v>905.0548</v>
      </c>
      <c r="C1043" s="29">
        <f t="shared" si="339"/>
        <v>3.5000000000000001E-3</v>
      </c>
      <c r="D1043">
        <v>-0.33</v>
      </c>
      <c r="E1043">
        <v>0.65800000000000003</v>
      </c>
      <c r="F1043" s="18">
        <f t="shared" si="326"/>
        <v>-2.2480000000000002</v>
      </c>
      <c r="G1043" s="18">
        <f t="shared" si="327"/>
        <v>-4.3679999999999994</v>
      </c>
      <c r="H1043">
        <v>5.36</v>
      </c>
      <c r="I1043">
        <v>2.0699999999999998</v>
      </c>
      <c r="J1043">
        <f t="shared" si="336"/>
        <v>3.72</v>
      </c>
      <c r="K1043" s="6">
        <f t="shared" si="337"/>
        <v>3.38</v>
      </c>
      <c r="L1043" s="6">
        <f t="shared" si="338"/>
        <v>0.31999999999999984</v>
      </c>
      <c r="M1043">
        <v>-0.31893997265217</v>
      </c>
      <c r="N1043">
        <v>309000</v>
      </c>
      <c r="O1043" s="18">
        <f>ROUND(N1043/VLOOKUP(EOMONTH(A1043,-1),Employment!A:P,16,FALSE),4)</f>
        <v>1.5038</v>
      </c>
      <c r="P1043" s="18">
        <f t="shared" si="328"/>
        <v>1.532</v>
      </c>
      <c r="Q1043" s="29">
        <f t="shared" si="329"/>
        <v>-5.3600000000000002E-2</v>
      </c>
      <c r="R1043" s="29">
        <f t="shared" si="330"/>
        <v>3.5200000000000002E-2</v>
      </c>
      <c r="S1043">
        <v>2202000</v>
      </c>
      <c r="T1043" s="18">
        <f>ROUND((S1043/7)/VLOOKUP(EOMONTH(A1043,-1),Employment!A:P,16,FALSE),4)</f>
        <v>1.5308999999999999</v>
      </c>
      <c r="U1043" s="18">
        <f t="shared" si="331"/>
        <v>1.5468</v>
      </c>
      <c r="V1043" s="29">
        <f t="shared" si="332"/>
        <v>-3.5299999999999998E-2</v>
      </c>
      <c r="W1043" s="29">
        <f t="shared" si="333"/>
        <v>2.9499999999999998E-2</v>
      </c>
      <c r="X1043" s="30">
        <f t="shared" si="334"/>
        <v>124.25</v>
      </c>
      <c r="Y1043" s="31">
        <f t="shared" si="335"/>
        <v>124.21</v>
      </c>
    </row>
    <row r="1044" spans="1:25" ht="15" customHeight="1" x14ac:dyDescent="0.25">
      <c r="A1044" s="5">
        <v>36037</v>
      </c>
      <c r="B1044">
        <v>904.64390000000003</v>
      </c>
      <c r="C1044" s="29">
        <f t="shared" si="339"/>
        <v>5.4000000000000003E-3</v>
      </c>
      <c r="D1044">
        <v>-0.39</v>
      </c>
      <c r="E1044">
        <v>0.45200000000000001</v>
      </c>
      <c r="F1044" s="18">
        <f t="shared" si="326"/>
        <v>-0.95600000000000041</v>
      </c>
      <c r="G1044" s="18">
        <f t="shared" si="327"/>
        <v>-3.1160000000000001</v>
      </c>
      <c r="H1044">
        <v>4.87</v>
      </c>
      <c r="I1044">
        <v>2.0699999999999998</v>
      </c>
      <c r="J1044">
        <f t="shared" si="336"/>
        <v>3.47</v>
      </c>
      <c r="K1044" s="6">
        <f t="shared" si="337"/>
        <v>3.06</v>
      </c>
      <c r="L1044" s="6">
        <f t="shared" si="338"/>
        <v>0.28000000000000025</v>
      </c>
      <c r="M1044">
        <v>0.50179589987259998</v>
      </c>
      <c r="N1044">
        <v>313250</v>
      </c>
      <c r="O1044" s="18">
        <f>ROUND(N1044/VLOOKUP(EOMONTH(A1044,-1),Employment!A:P,16,FALSE),4)</f>
        <v>1.526</v>
      </c>
      <c r="P1044" s="18">
        <f t="shared" si="328"/>
        <v>1.5557000000000001</v>
      </c>
      <c r="Q1044" s="29">
        <f t="shared" si="329"/>
        <v>-2.07E-2</v>
      </c>
      <c r="R1044" s="29">
        <f t="shared" si="330"/>
        <v>2.47E-2</v>
      </c>
      <c r="S1044">
        <v>2210000</v>
      </c>
      <c r="T1044" s="18">
        <f>ROUND((S1044/7)/VLOOKUP(EOMONTH(A1044,-1),Employment!A:P,16,FALSE),4)</f>
        <v>1.538</v>
      </c>
      <c r="U1044" s="18">
        <f t="shared" si="331"/>
        <v>1.5784</v>
      </c>
      <c r="V1044" s="29">
        <f t="shared" si="332"/>
        <v>-8.9999999999999993E-3</v>
      </c>
      <c r="W1044" s="29">
        <f t="shared" si="333"/>
        <v>1.03E-2</v>
      </c>
      <c r="X1044" s="30">
        <f t="shared" si="334"/>
        <v>124.7</v>
      </c>
      <c r="Y1044" s="31">
        <f t="shared" si="335"/>
        <v>123.42</v>
      </c>
    </row>
    <row r="1045" spans="1:25" ht="15" customHeight="1" x14ac:dyDescent="0.25">
      <c r="A1045" s="5">
        <v>36030</v>
      </c>
      <c r="B1045">
        <v>902.75819999999999</v>
      </c>
      <c r="C1045" s="29">
        <f t="shared" si="339"/>
        <v>4.5999999999999999E-3</v>
      </c>
      <c r="D1045">
        <v>-0.46</v>
      </c>
      <c r="E1045">
        <v>0.42</v>
      </c>
      <c r="F1045" s="18">
        <f t="shared" si="326"/>
        <v>-1.1639999999999988</v>
      </c>
      <c r="G1045" s="18">
        <f t="shared" si="327"/>
        <v>-2.5879999999999987</v>
      </c>
      <c r="H1045">
        <v>4.09</v>
      </c>
      <c r="I1045">
        <v>1.8</v>
      </c>
      <c r="J1045">
        <f t="shared" si="336"/>
        <v>2.95</v>
      </c>
      <c r="K1045" s="6">
        <f t="shared" si="337"/>
        <v>2.78</v>
      </c>
      <c r="L1045" s="6">
        <f t="shared" si="338"/>
        <v>0.12999999999999989</v>
      </c>
      <c r="M1045">
        <v>1.1631900692548001</v>
      </c>
      <c r="N1045">
        <v>321500</v>
      </c>
      <c r="O1045" s="18">
        <f>ROUND(N1045/VLOOKUP(EOMONTH(A1045,-1),Employment!A:P,16,FALSE),4)</f>
        <v>1.5662</v>
      </c>
      <c r="P1045" s="18">
        <f t="shared" si="328"/>
        <v>1.5734999999999999</v>
      </c>
      <c r="Q1045" s="29">
        <f t="shared" si="329"/>
        <v>7.1999999999999998E-3</v>
      </c>
      <c r="R1045" s="29">
        <f t="shared" si="330"/>
        <v>1.77E-2</v>
      </c>
      <c r="S1045">
        <v>2258000</v>
      </c>
      <c r="T1045" s="18">
        <f>ROUND((S1045/7)/VLOOKUP(EOMONTH(A1045,-1),Employment!A:P,16,FALSE),4)</f>
        <v>1.5713999999999999</v>
      </c>
      <c r="U1045" s="18">
        <f t="shared" si="331"/>
        <v>1.6185</v>
      </c>
      <c r="V1045" s="29">
        <f t="shared" si="332"/>
        <v>2.0899999999999998E-2</v>
      </c>
      <c r="W1045" s="29">
        <f t="shared" si="333"/>
        <v>-7.7999999999999996E-3</v>
      </c>
      <c r="X1045" s="30">
        <f t="shared" si="334"/>
        <v>122.86</v>
      </c>
      <c r="Y1045" s="31">
        <f t="shared" si="335"/>
        <v>122.1</v>
      </c>
    </row>
    <row r="1046" spans="1:25" ht="15" customHeight="1" x14ac:dyDescent="0.25">
      <c r="A1046" s="5">
        <v>36023</v>
      </c>
      <c r="B1046">
        <v>899.58870000000002</v>
      </c>
      <c r="C1046" s="29">
        <f t="shared" si="339"/>
        <v>2.3E-3</v>
      </c>
      <c r="D1046">
        <v>-0.51</v>
      </c>
      <c r="E1046">
        <v>0.33700000000000002</v>
      </c>
      <c r="F1046" s="18">
        <f t="shared" si="326"/>
        <v>-0.99600000000000088</v>
      </c>
      <c r="G1046" s="18">
        <f t="shared" si="327"/>
        <v>-2.0399999999999996</v>
      </c>
      <c r="H1046">
        <v>3.78</v>
      </c>
      <c r="I1046">
        <v>1.74</v>
      </c>
      <c r="J1046">
        <f t="shared" si="336"/>
        <v>2.76</v>
      </c>
      <c r="K1046" s="6">
        <f t="shared" si="337"/>
        <v>2.65</v>
      </c>
      <c r="L1046" s="6">
        <f t="shared" si="338"/>
        <v>8.9999999999999858E-2</v>
      </c>
      <c r="M1046">
        <v>1.9473869455685</v>
      </c>
      <c r="N1046">
        <v>323250</v>
      </c>
      <c r="O1046" s="18">
        <f>ROUND(N1046/VLOOKUP(EOMONTH(A1046,-1),Employment!A:P,16,FALSE),4)</f>
        <v>1.5748</v>
      </c>
      <c r="P1046" s="18">
        <f t="shared" si="328"/>
        <v>1.5922000000000001</v>
      </c>
      <c r="Q1046" s="29">
        <f t="shared" si="329"/>
        <v>2.3699999999999999E-2</v>
      </c>
      <c r="R1046" s="29">
        <f t="shared" si="330"/>
        <v>1.29E-2</v>
      </c>
      <c r="S1046">
        <v>2336000</v>
      </c>
      <c r="T1046" s="18">
        <f>ROUND((S1046/7)/VLOOKUP(EOMONTH(A1046,-1),Employment!A:P,16,FALSE),4)</f>
        <v>1.6256999999999999</v>
      </c>
      <c r="U1046" s="18">
        <f t="shared" si="331"/>
        <v>1.6373</v>
      </c>
      <c r="V1046" s="29">
        <f t="shared" si="332"/>
        <v>3.3099999999999997E-2</v>
      </c>
      <c r="W1046" s="29">
        <f t="shared" si="333"/>
        <v>-1.89E-2</v>
      </c>
      <c r="X1046" s="30">
        <f t="shared" si="334"/>
        <v>121.62</v>
      </c>
      <c r="Y1046" s="31">
        <f t="shared" si="335"/>
        <v>119.54</v>
      </c>
    </row>
    <row r="1047" spans="1:25" ht="15" customHeight="1" x14ac:dyDescent="0.25">
      <c r="A1047" s="5">
        <v>36016</v>
      </c>
      <c r="B1047">
        <v>900.54300000000001</v>
      </c>
      <c r="C1047" s="29">
        <f t="shared" si="339"/>
        <v>4.8999999999999998E-3</v>
      </c>
      <c r="D1047">
        <v>-0.56000000000000005</v>
      </c>
      <c r="E1047">
        <v>0.27500000000000002</v>
      </c>
      <c r="F1047" s="18">
        <f t="shared" si="326"/>
        <v>-0.42799999999999905</v>
      </c>
      <c r="G1047" s="18">
        <f t="shared" si="327"/>
        <v>-0.83599999999999941</v>
      </c>
      <c r="H1047">
        <v>3.55</v>
      </c>
      <c r="I1047">
        <v>1.73</v>
      </c>
      <c r="J1047">
        <f t="shared" si="336"/>
        <v>2.64</v>
      </c>
      <c r="K1047" s="6">
        <f t="shared" si="337"/>
        <v>2.56</v>
      </c>
      <c r="L1047" s="6">
        <f t="shared" si="338"/>
        <v>5.0000000000000266E-2</v>
      </c>
      <c r="M1047">
        <v>2.7343344749075</v>
      </c>
      <c r="N1047">
        <v>324250</v>
      </c>
      <c r="O1047" s="18">
        <f>ROUND(N1047/VLOOKUP(EOMONTH(A1047,-1),Employment!A:P,16,FALSE),4)</f>
        <v>1.5795999999999999</v>
      </c>
      <c r="P1047" s="18">
        <f t="shared" si="328"/>
        <v>1.6252</v>
      </c>
      <c r="Q1047" s="29">
        <f t="shared" si="329"/>
        <v>3.3399999999999999E-2</v>
      </c>
      <c r="R1047" s="29">
        <f t="shared" si="330"/>
        <v>1.6999999999999999E-3</v>
      </c>
      <c r="S1047">
        <v>2383000</v>
      </c>
      <c r="T1047" s="18">
        <f>ROUND((S1047/7)/VLOOKUP(EOMONTH(A1047,-1),Employment!A:P,16,FALSE),4)</f>
        <v>1.6584000000000001</v>
      </c>
      <c r="U1047" s="18">
        <f t="shared" si="331"/>
        <v>1.6348</v>
      </c>
      <c r="V1047" s="29">
        <f t="shared" si="332"/>
        <v>2.7099999999999999E-2</v>
      </c>
      <c r="W1047" s="29">
        <f t="shared" si="333"/>
        <v>-2.0500000000000001E-2</v>
      </c>
      <c r="X1047" s="30">
        <f t="shared" si="334"/>
        <v>121.42</v>
      </c>
      <c r="Y1047" s="31">
        <f t="shared" si="335"/>
        <v>113.5</v>
      </c>
    </row>
    <row r="1048" spans="1:25" ht="15" customHeight="1" x14ac:dyDescent="0.25">
      <c r="A1048" s="5">
        <v>36009</v>
      </c>
      <c r="B1048">
        <v>896.34590000000003</v>
      </c>
      <c r="C1048" s="29">
        <f t="shared" si="339"/>
        <v>1.4E-3</v>
      </c>
      <c r="D1048">
        <v>-0.56999999999999995</v>
      </c>
      <c r="E1048">
        <v>0.23400000000000001</v>
      </c>
      <c r="F1048" s="18">
        <f t="shared" si="326"/>
        <v>-0.61599999999999966</v>
      </c>
      <c r="G1048" s="18">
        <f t="shared" si="327"/>
        <v>-0.16800000000000015</v>
      </c>
      <c r="H1048">
        <v>3.38</v>
      </c>
      <c r="I1048">
        <v>1.71</v>
      </c>
      <c r="J1048">
        <f t="shared" si="336"/>
        <v>2.5499999999999998</v>
      </c>
      <c r="K1048" s="6">
        <f t="shared" si="337"/>
        <v>2.5099999999999998</v>
      </c>
      <c r="L1048" s="6">
        <f t="shared" si="338"/>
        <v>0</v>
      </c>
      <c r="M1048">
        <v>3.1152886133065998</v>
      </c>
      <c r="N1048">
        <v>333000</v>
      </c>
      <c r="O1048" s="18">
        <f>ROUND(N1048/VLOOKUP(EOMONTH(A1048,-1),Employment!A:P,16,FALSE),4)</f>
        <v>1.6223000000000001</v>
      </c>
      <c r="P1048" s="18">
        <f t="shared" si="328"/>
        <v>1.6704000000000001</v>
      </c>
      <c r="Q1048" s="29">
        <f t="shared" si="329"/>
        <v>4.6300000000000001E-2</v>
      </c>
      <c r="R1048" s="29">
        <f t="shared" si="330"/>
        <v>-1.77E-2</v>
      </c>
      <c r="S1048">
        <v>2339000</v>
      </c>
      <c r="T1048" s="18">
        <f>ROUND((S1048/7)/VLOOKUP(EOMONTH(A1048,-1),Employment!A:P,16,FALSE),4)</f>
        <v>1.6277999999999999</v>
      </c>
      <c r="U1048" s="18">
        <f t="shared" si="331"/>
        <v>1.6136999999999999</v>
      </c>
      <c r="V1048" s="29">
        <f t="shared" si="332"/>
        <v>9.1000000000000004E-3</v>
      </c>
      <c r="W1048" s="29">
        <f t="shared" si="333"/>
        <v>-2.81E-2</v>
      </c>
      <c r="X1048" s="30">
        <f t="shared" si="334"/>
        <v>109.63</v>
      </c>
      <c r="Y1048" s="31">
        <f t="shared" si="335"/>
        <v>105.57</v>
      </c>
    </row>
    <row r="1049" spans="1:25" ht="15" customHeight="1" x14ac:dyDescent="0.25">
      <c r="A1049" s="5">
        <v>36002</v>
      </c>
      <c r="B1049">
        <v>897.96159999999998</v>
      </c>
      <c r="C1049" s="29">
        <f t="shared" si="339"/>
        <v>4.7000000000000002E-3</v>
      </c>
      <c r="D1049">
        <v>-0.59</v>
      </c>
      <c r="E1049">
        <v>0.182</v>
      </c>
      <c r="F1049" s="18">
        <f t="shared" si="326"/>
        <v>0.2079999999999993</v>
      </c>
      <c r="G1049" s="18">
        <f t="shared" si="327"/>
        <v>0.81599999999999939</v>
      </c>
      <c r="H1049">
        <v>3.3</v>
      </c>
      <c r="I1049">
        <v>1.7</v>
      </c>
      <c r="J1049">
        <f t="shared" si="336"/>
        <v>2.5</v>
      </c>
      <c r="K1049" s="6">
        <f t="shared" si="337"/>
        <v>2.5099999999999998</v>
      </c>
      <c r="L1049" s="6">
        <f t="shared" si="338"/>
        <v>-1.0000000000000231E-2</v>
      </c>
      <c r="M1049">
        <v>2.7033478719331998</v>
      </c>
      <c r="N1049">
        <v>343250</v>
      </c>
      <c r="O1049" s="18">
        <f>ROUND(N1049/VLOOKUP(EOMONTH(A1049,-1),Employment!A:P,16,FALSE),4)</f>
        <v>1.6737</v>
      </c>
      <c r="P1049" s="18">
        <f t="shared" si="328"/>
        <v>1.7017</v>
      </c>
      <c r="Q1049" s="29">
        <f t="shared" si="329"/>
        <v>5.5300000000000002E-2</v>
      </c>
      <c r="R1049" s="29">
        <f t="shared" si="330"/>
        <v>-3.44E-2</v>
      </c>
      <c r="S1049">
        <v>2323000</v>
      </c>
      <c r="T1049" s="18">
        <f>ROUND((S1049/7)/VLOOKUP(EOMONTH(A1049,-1),Employment!A:P,16,FALSE),4)</f>
        <v>1.6181000000000001</v>
      </c>
      <c r="U1049" s="18">
        <f t="shared" si="331"/>
        <v>1.6255999999999999</v>
      </c>
      <c r="V1049" s="29">
        <f t="shared" si="332"/>
        <v>5.8999999999999999E-3</v>
      </c>
      <c r="W1049" s="29">
        <f t="shared" si="333"/>
        <v>-2.9899999999999999E-2</v>
      </c>
      <c r="X1049" s="30">
        <f t="shared" si="334"/>
        <v>103.38</v>
      </c>
      <c r="Y1049" s="31">
        <f t="shared" si="335"/>
        <v>103.42</v>
      </c>
    </row>
    <row r="1050" spans="1:25" ht="15" customHeight="1" x14ac:dyDescent="0.25">
      <c r="A1050" s="5">
        <v>35995</v>
      </c>
      <c r="B1050">
        <v>895.17340000000002</v>
      </c>
      <c r="C1050" s="29">
        <f t="shared" si="339"/>
        <v>3.3999999999999998E-3</v>
      </c>
      <c r="D1050">
        <v>-0.59</v>
      </c>
      <c r="E1050">
        <v>0.20799999999999999</v>
      </c>
      <c r="F1050" s="18">
        <f t="shared" si="326"/>
        <v>0.24000000000000021</v>
      </c>
      <c r="G1050" s="18">
        <f t="shared" si="327"/>
        <v>0.59600000000000009</v>
      </c>
      <c r="H1050">
        <v>3.29</v>
      </c>
      <c r="I1050">
        <v>1.68</v>
      </c>
      <c r="J1050">
        <f t="shared" si="336"/>
        <v>2.4900000000000002</v>
      </c>
      <c r="K1050" s="6">
        <f t="shared" si="337"/>
        <v>2.52</v>
      </c>
      <c r="L1050" s="6">
        <f t="shared" si="338"/>
        <v>0</v>
      </c>
      <c r="M1050">
        <v>2.7028400896504001</v>
      </c>
      <c r="N1050">
        <v>351750</v>
      </c>
      <c r="O1050" s="18">
        <f>ROUND(N1050/VLOOKUP(EOMONTH(A1050,-1),Employment!A:P,16,FALSE),4)</f>
        <v>1.7151000000000001</v>
      </c>
      <c r="P1050" s="18">
        <f t="shared" si="328"/>
        <v>1.6932</v>
      </c>
      <c r="Q1050" s="29">
        <f t="shared" si="329"/>
        <v>4.87E-2</v>
      </c>
      <c r="R1050" s="29">
        <f t="shared" si="330"/>
        <v>-3.7199999999999997E-2</v>
      </c>
      <c r="S1050">
        <v>2290000</v>
      </c>
      <c r="T1050" s="18">
        <f>ROUND((S1050/7)/VLOOKUP(EOMONTH(A1050,-1),Employment!A:P,16,FALSE),4)</f>
        <v>1.5952</v>
      </c>
      <c r="U1050" s="18">
        <f t="shared" si="331"/>
        <v>1.5942000000000001</v>
      </c>
      <c r="V1050" s="29">
        <f t="shared" si="332"/>
        <v>-1.9300000000000001E-2</v>
      </c>
      <c r="W1050" s="29">
        <f t="shared" si="333"/>
        <v>-2.5999999999999999E-2</v>
      </c>
      <c r="X1050" s="30">
        <f t="shared" si="334"/>
        <v>100.92</v>
      </c>
      <c r="Y1050" s="31">
        <f t="shared" si="335"/>
        <v>107.85</v>
      </c>
    </row>
    <row r="1051" spans="1:25" ht="15" customHeight="1" x14ac:dyDescent="0.25">
      <c r="A1051" s="5">
        <v>35988</v>
      </c>
      <c r="B1051">
        <v>895.14250000000004</v>
      </c>
      <c r="C1051" s="29">
        <f t="shared" si="339"/>
        <v>6.3E-3</v>
      </c>
      <c r="D1051">
        <v>-0.59</v>
      </c>
      <c r="E1051">
        <v>0.23799999999999999</v>
      </c>
      <c r="F1051" s="18">
        <f t="shared" si="326"/>
        <v>0.36799999999999988</v>
      </c>
      <c r="G1051" s="18">
        <f t="shared" si="327"/>
        <v>0.10799999999999965</v>
      </c>
      <c r="H1051">
        <v>3.38</v>
      </c>
      <c r="I1051">
        <v>1.68</v>
      </c>
      <c r="J1051">
        <f t="shared" si="336"/>
        <v>2.5299999999999998</v>
      </c>
      <c r="K1051" s="6">
        <f t="shared" si="337"/>
        <v>2.52</v>
      </c>
      <c r="L1051" s="6">
        <f t="shared" si="338"/>
        <v>2.0000000000000018E-2</v>
      </c>
      <c r="M1051">
        <v>2.8649348017768999</v>
      </c>
      <c r="N1051">
        <v>352000</v>
      </c>
      <c r="O1051" s="18">
        <f>ROUND(N1051/VLOOKUP(EOMONTH(A1051,-1),Employment!A:P,16,FALSE),4)</f>
        <v>1.7163999999999999</v>
      </c>
      <c r="P1051" s="18">
        <f t="shared" si="328"/>
        <v>1.6494</v>
      </c>
      <c r="Q1051" s="29">
        <f t="shared" si="329"/>
        <v>2.4199999999999999E-2</v>
      </c>
      <c r="R1051" s="29">
        <f t="shared" si="330"/>
        <v>-2.64E-2</v>
      </c>
      <c r="S1051">
        <v>2388000</v>
      </c>
      <c r="T1051" s="18">
        <f>ROUND((S1051/7)/VLOOKUP(EOMONTH(A1051,-1),Employment!A:P,16,FALSE),4)</f>
        <v>1.6634</v>
      </c>
      <c r="U1051" s="18">
        <f t="shared" si="331"/>
        <v>1.5643</v>
      </c>
      <c r="V1051" s="29">
        <f t="shared" si="332"/>
        <v>-3.4599999999999999E-2</v>
      </c>
      <c r="W1051" s="29">
        <f t="shared" si="333"/>
        <v>-1.49E-2</v>
      </c>
      <c r="X1051" s="30">
        <f t="shared" si="334"/>
        <v>109.74000000000001</v>
      </c>
      <c r="Y1051" s="31">
        <f t="shared" si="335"/>
        <v>116.97</v>
      </c>
    </row>
    <row r="1052" spans="1:25" ht="15" customHeight="1" x14ac:dyDescent="0.25">
      <c r="A1052" s="5">
        <v>35981</v>
      </c>
      <c r="B1052">
        <v>892.12929999999994</v>
      </c>
      <c r="C1052" s="29">
        <f t="shared" si="339"/>
        <v>6.1999999999999998E-3</v>
      </c>
      <c r="D1052">
        <v>-0.59</v>
      </c>
      <c r="E1052">
        <v>0.28399999999999997</v>
      </c>
      <c r="F1052" s="18">
        <f t="shared" si="326"/>
        <v>-1.2000000000000011E-2</v>
      </c>
      <c r="G1052" s="18">
        <f t="shared" si="327"/>
        <v>0.17199999999999971</v>
      </c>
      <c r="H1052">
        <v>3.41</v>
      </c>
      <c r="I1052">
        <v>1.67</v>
      </c>
      <c r="J1052">
        <f t="shared" si="336"/>
        <v>2.54</v>
      </c>
      <c r="K1052" s="6">
        <f t="shared" si="337"/>
        <v>2.5</v>
      </c>
      <c r="L1052" s="6">
        <f t="shared" si="338"/>
        <v>2.9999999999999805E-2</v>
      </c>
      <c r="M1052">
        <v>3.4871674168261002</v>
      </c>
      <c r="N1052">
        <v>338000</v>
      </c>
      <c r="O1052" s="18">
        <f>ROUND(N1052/VLOOKUP(EOMONTH(A1052,-1),Employment!A:P,16,FALSE),4)</f>
        <v>1.6480999999999999</v>
      </c>
      <c r="P1052" s="18">
        <f t="shared" si="328"/>
        <v>1.5889</v>
      </c>
      <c r="Q1052" s="29">
        <f t="shared" si="329"/>
        <v>-9.1000000000000004E-3</v>
      </c>
      <c r="R1052" s="29">
        <f t="shared" si="330"/>
        <v>-1.44E-2</v>
      </c>
      <c r="S1052">
        <v>2188000</v>
      </c>
      <c r="T1052" s="18">
        <f>ROUND((S1052/7)/VLOOKUP(EOMONTH(A1052,-1),Employment!A:P,16,FALSE),4)</f>
        <v>1.5241</v>
      </c>
      <c r="U1052" s="18">
        <f t="shared" si="331"/>
        <v>1.5029999999999999</v>
      </c>
      <c r="V1052" s="29">
        <f t="shared" si="332"/>
        <v>-6.4299999999999996E-2</v>
      </c>
      <c r="W1052" s="29">
        <f t="shared" si="333"/>
        <v>-5.4999999999999997E-3</v>
      </c>
      <c r="X1052" s="30">
        <f t="shared" si="334"/>
        <v>120.45</v>
      </c>
      <c r="Y1052" s="31">
        <f t="shared" si="335"/>
        <v>123.69</v>
      </c>
    </row>
    <row r="1053" spans="1:25" ht="15" customHeight="1" x14ac:dyDescent="0.25">
      <c r="A1053" s="5">
        <v>35974</v>
      </c>
      <c r="B1053">
        <v>892.6354</v>
      </c>
      <c r="C1053" s="29">
        <f t="shared" si="339"/>
        <v>1.0999999999999999E-2</v>
      </c>
      <c r="D1053">
        <v>-0.57999999999999996</v>
      </c>
      <c r="E1053">
        <v>0.27</v>
      </c>
      <c r="F1053" s="18">
        <f t="shared" si="326"/>
        <v>-0.24800000000000022</v>
      </c>
      <c r="G1053" s="18">
        <f t="shared" si="327"/>
        <v>-5.1999999999999602E-2</v>
      </c>
      <c r="H1053">
        <v>3.28</v>
      </c>
      <c r="I1053">
        <v>1.67</v>
      </c>
      <c r="J1053">
        <f t="shared" si="336"/>
        <v>2.48</v>
      </c>
      <c r="K1053" s="6">
        <f t="shared" si="337"/>
        <v>2.4700000000000002</v>
      </c>
      <c r="L1053" s="6">
        <f t="shared" si="338"/>
        <v>3.0000000000000249E-2</v>
      </c>
      <c r="M1053">
        <v>4.4682466135862002</v>
      </c>
      <c r="N1053">
        <v>324500</v>
      </c>
      <c r="O1053" s="18">
        <f>ROUND(N1053/VLOOKUP(EOMONTH(A1053,-1),Employment!A:P,16,FALSE),4)</f>
        <v>1.5837000000000001</v>
      </c>
      <c r="P1053" s="18">
        <f t="shared" si="328"/>
        <v>1.5487</v>
      </c>
      <c r="Q1053" s="29">
        <f t="shared" si="329"/>
        <v>-3.1E-2</v>
      </c>
      <c r="R1053" s="29">
        <f t="shared" si="330"/>
        <v>-1.1900000000000001E-2</v>
      </c>
      <c r="S1053">
        <v>2159000</v>
      </c>
      <c r="T1053" s="18">
        <f>ROUND((S1053/7)/VLOOKUP(EOMONTH(A1053,-1),Employment!A:P,16,FALSE),4)</f>
        <v>1.5053000000000001</v>
      </c>
      <c r="U1053" s="18">
        <f t="shared" si="331"/>
        <v>1.4937</v>
      </c>
      <c r="V1053" s="29">
        <f t="shared" si="332"/>
        <v>-7.0900000000000005E-2</v>
      </c>
      <c r="W1053" s="29">
        <f t="shared" si="333"/>
        <v>-4.3E-3</v>
      </c>
      <c r="X1053" s="30">
        <f t="shared" si="334"/>
        <v>126.33</v>
      </c>
      <c r="Y1053" s="31">
        <f t="shared" si="335"/>
        <v>126.02</v>
      </c>
    </row>
    <row r="1054" spans="1:25" ht="15" customHeight="1" x14ac:dyDescent="0.25">
      <c r="A1054" s="5">
        <v>35967</v>
      </c>
      <c r="B1054">
        <v>888.61339999999996</v>
      </c>
      <c r="C1054" s="29">
        <f t="shared" si="339"/>
        <v>1.15E-2</v>
      </c>
      <c r="D1054">
        <v>-0.57999999999999996</v>
      </c>
      <c r="E1054">
        <v>0.23899999999999999</v>
      </c>
      <c r="F1054" s="18">
        <f t="shared" si="326"/>
        <v>0.43199999999999994</v>
      </c>
      <c r="G1054" s="18">
        <f t="shared" si="327"/>
        <v>-0.3360000000000003</v>
      </c>
      <c r="H1054">
        <v>3.28</v>
      </c>
      <c r="I1054">
        <v>1.65</v>
      </c>
      <c r="J1054">
        <f t="shared" si="336"/>
        <v>2.4700000000000002</v>
      </c>
      <c r="K1054" s="6">
        <f t="shared" si="337"/>
        <v>2.44</v>
      </c>
      <c r="L1054" s="6">
        <f t="shared" si="338"/>
        <v>4.9999999999999822E-2</v>
      </c>
      <c r="M1054">
        <v>4.7976865428403999</v>
      </c>
      <c r="N1054">
        <v>314500</v>
      </c>
      <c r="O1054" s="18">
        <f>ROUND(N1054/VLOOKUP(EOMONTH(A1054,-1),Employment!A:P,16,FALSE),4)</f>
        <v>1.5348999999999999</v>
      </c>
      <c r="P1054" s="18">
        <f t="shared" si="328"/>
        <v>1.53</v>
      </c>
      <c r="Q1054" s="29">
        <f t="shared" si="329"/>
        <v>-3.6700000000000003E-2</v>
      </c>
      <c r="R1054" s="29">
        <f t="shared" si="330"/>
        <v>-1.47E-2</v>
      </c>
      <c r="S1054">
        <v>2122000</v>
      </c>
      <c r="T1054" s="18">
        <f>ROUND((S1054/7)/VLOOKUP(EOMONTH(A1054,-1),Employment!A:P,16,FALSE),4)</f>
        <v>1.4795</v>
      </c>
      <c r="U1054" s="18">
        <f t="shared" si="331"/>
        <v>1.4878</v>
      </c>
      <c r="V1054" s="29">
        <f t="shared" si="332"/>
        <v>-7.5800000000000006E-2</v>
      </c>
      <c r="W1054" s="29">
        <f t="shared" si="333"/>
        <v>-5.3E-3</v>
      </c>
      <c r="X1054" s="30">
        <f t="shared" si="334"/>
        <v>125.17</v>
      </c>
      <c r="Y1054" s="31">
        <f t="shared" si="335"/>
        <v>127.8</v>
      </c>
    </row>
    <row r="1055" spans="1:25" ht="15" customHeight="1" x14ac:dyDescent="0.25">
      <c r="A1055" s="5">
        <v>35960</v>
      </c>
      <c r="B1055">
        <v>884.77809999999999</v>
      </c>
      <c r="C1055" s="29">
        <f t="shared" si="339"/>
        <v>1.14E-2</v>
      </c>
      <c r="D1055">
        <v>-0.57999999999999996</v>
      </c>
      <c r="E1055">
        <v>0.29299999999999998</v>
      </c>
      <c r="F1055" s="18">
        <f t="shared" si="326"/>
        <v>-0.23599999999999932</v>
      </c>
      <c r="G1055" s="18">
        <f t="shared" si="327"/>
        <v>-0.23199999999999976</v>
      </c>
      <c r="H1055">
        <v>3.26</v>
      </c>
      <c r="I1055">
        <v>1.65</v>
      </c>
      <c r="J1055">
        <f t="shared" si="336"/>
        <v>2.46</v>
      </c>
      <c r="K1055" s="6">
        <f t="shared" si="337"/>
        <v>2.39</v>
      </c>
      <c r="L1055" s="6">
        <f t="shared" si="338"/>
        <v>4.0000000000000036E-2</v>
      </c>
      <c r="M1055">
        <v>4.9979404032287</v>
      </c>
      <c r="N1055">
        <v>313000</v>
      </c>
      <c r="O1055" s="18">
        <f>ROUND(N1055/VLOOKUP(EOMONTH(A1055,-1),Employment!A:P,16,FALSE),4)</f>
        <v>1.5276000000000001</v>
      </c>
      <c r="P1055" s="18">
        <f t="shared" si="328"/>
        <v>1.5206999999999999</v>
      </c>
      <c r="Q1055" s="29">
        <f t="shared" si="329"/>
        <v>-4.1799999999999997E-2</v>
      </c>
      <c r="R1055" s="29">
        <f t="shared" si="330"/>
        <v>-1.23E-2</v>
      </c>
      <c r="S1055">
        <v>2146000</v>
      </c>
      <c r="T1055" s="18">
        <f>ROUND((S1055/7)/VLOOKUP(EOMONTH(A1055,-1),Employment!A:P,16,FALSE),4)</f>
        <v>1.4962</v>
      </c>
      <c r="U1055" s="18">
        <f t="shared" si="331"/>
        <v>1.4873000000000001</v>
      </c>
      <c r="V1055" s="29">
        <f t="shared" si="332"/>
        <v>-7.6100000000000001E-2</v>
      </c>
      <c r="W1055" s="29">
        <f t="shared" si="333"/>
        <v>-4.3E-3</v>
      </c>
      <c r="X1055" s="30">
        <f t="shared" si="334"/>
        <v>127.35</v>
      </c>
      <c r="Y1055" s="31">
        <f t="shared" si="335"/>
        <v>134.16</v>
      </c>
    </row>
    <row r="1056" spans="1:25" ht="15" customHeight="1" x14ac:dyDescent="0.25">
      <c r="A1056" s="5">
        <v>35953</v>
      </c>
      <c r="B1056">
        <v>880.57249999999999</v>
      </c>
      <c r="C1056" s="29">
        <f t="shared" si="339"/>
        <v>1.0999999999999999E-2</v>
      </c>
      <c r="D1056">
        <v>-0.59</v>
      </c>
      <c r="E1056">
        <v>0.27600000000000002</v>
      </c>
      <c r="F1056" s="18">
        <f t="shared" si="326"/>
        <v>-0.53200000000000092</v>
      </c>
      <c r="G1056" s="18">
        <f t="shared" si="327"/>
        <v>0.27599999999999936</v>
      </c>
      <c r="H1056">
        <v>3.16</v>
      </c>
      <c r="I1056">
        <v>1.6</v>
      </c>
      <c r="J1056">
        <f t="shared" si="336"/>
        <v>2.38</v>
      </c>
      <c r="K1056" s="6">
        <f t="shared" si="337"/>
        <v>2.35</v>
      </c>
      <c r="L1056" s="6">
        <f t="shared" si="338"/>
        <v>3.0000000000000249E-2</v>
      </c>
      <c r="M1056">
        <v>5.3736145177234</v>
      </c>
      <c r="N1056">
        <v>313000</v>
      </c>
      <c r="O1056" s="18">
        <f>ROUND(N1056/VLOOKUP(EOMONTH(A1056,-1),Employment!A:P,16,FALSE),4)</f>
        <v>1.5276000000000001</v>
      </c>
      <c r="P1056" s="18">
        <f t="shared" si="328"/>
        <v>1.5145999999999999</v>
      </c>
      <c r="Q1056" s="29">
        <f t="shared" si="329"/>
        <v>-5.3600000000000002E-2</v>
      </c>
      <c r="R1056" s="29">
        <f t="shared" si="330"/>
        <v>-4.3E-3</v>
      </c>
      <c r="S1056">
        <v>2134000</v>
      </c>
      <c r="T1056" s="18">
        <f>ROUND((S1056/7)/VLOOKUP(EOMONTH(A1056,-1),Employment!A:P,16,FALSE),4)</f>
        <v>1.4878</v>
      </c>
      <c r="U1056" s="18">
        <f t="shared" si="331"/>
        <v>1.4863</v>
      </c>
      <c r="V1056" s="29">
        <f t="shared" si="332"/>
        <v>-7.8399999999999997E-2</v>
      </c>
      <c r="W1056" s="29">
        <f t="shared" si="333"/>
        <v>3.7000000000000002E-3</v>
      </c>
      <c r="X1056" s="30">
        <f t="shared" si="334"/>
        <v>135.47999999999999</v>
      </c>
      <c r="Y1056" s="31">
        <f t="shared" si="335"/>
        <v>142.06</v>
      </c>
    </row>
    <row r="1057" spans="1:25" ht="15" customHeight="1" x14ac:dyDescent="0.25">
      <c r="A1057" s="5">
        <v>35946</v>
      </c>
      <c r="B1057">
        <v>877.74130000000002</v>
      </c>
      <c r="C1057" s="29">
        <f t="shared" si="339"/>
        <v>1.17E-2</v>
      </c>
      <c r="D1057">
        <v>-0.57999999999999996</v>
      </c>
      <c r="E1057">
        <v>0.19700000000000001</v>
      </c>
      <c r="F1057" s="18">
        <f t="shared" si="326"/>
        <v>0.53600000000000048</v>
      </c>
      <c r="G1057" s="18">
        <f t="shared" si="327"/>
        <v>1.3880000000000008</v>
      </c>
      <c r="H1057">
        <v>3.05</v>
      </c>
      <c r="I1057">
        <v>1.63</v>
      </c>
      <c r="J1057">
        <f t="shared" si="336"/>
        <v>2.34</v>
      </c>
      <c r="K1057" s="6">
        <f t="shared" si="337"/>
        <v>2.3199999999999998</v>
      </c>
      <c r="L1057" s="6">
        <f t="shared" si="338"/>
        <v>2.0000000000000018E-2</v>
      </c>
      <c r="M1057">
        <v>6.2724551986119996</v>
      </c>
      <c r="N1057">
        <v>308500</v>
      </c>
      <c r="O1057" s="18">
        <f>ROUND(N1057/VLOOKUP(EOMONTH(A1057,-1),Employment!A:P,16,FALSE),4)</f>
        <v>1.5068999999999999</v>
      </c>
      <c r="P1057" s="18">
        <f t="shared" si="328"/>
        <v>1.5093000000000001</v>
      </c>
      <c r="Q1057" s="29">
        <f t="shared" si="329"/>
        <v>-6.5699999999999995E-2</v>
      </c>
      <c r="R1057" s="29">
        <f t="shared" si="330"/>
        <v>5.4000000000000003E-3</v>
      </c>
      <c r="S1057">
        <v>2118000</v>
      </c>
      <c r="T1057" s="18">
        <f>ROUND((S1057/7)/VLOOKUP(EOMONTH(A1057,-1),Employment!A:P,16,FALSE),4)</f>
        <v>1.4779</v>
      </c>
      <c r="U1057" s="18">
        <f t="shared" si="331"/>
        <v>1.4870000000000001</v>
      </c>
      <c r="V1057" s="29">
        <f t="shared" si="332"/>
        <v>-8.6900000000000005E-2</v>
      </c>
      <c r="W1057" s="29">
        <f t="shared" si="333"/>
        <v>1.15E-2</v>
      </c>
      <c r="X1057" s="30">
        <f t="shared" si="334"/>
        <v>147.86000000000001</v>
      </c>
      <c r="Y1057" s="31">
        <f t="shared" si="335"/>
        <v>145.46</v>
      </c>
    </row>
    <row r="1058" spans="1:25" ht="15" customHeight="1" x14ac:dyDescent="0.25">
      <c r="A1058" s="5">
        <v>35939</v>
      </c>
      <c r="B1058">
        <v>870.96259999999995</v>
      </c>
      <c r="C1058" s="29">
        <f t="shared" si="339"/>
        <v>5.5999999999999999E-3</v>
      </c>
      <c r="D1058">
        <v>-0.57999999999999996</v>
      </c>
      <c r="E1058">
        <v>0.26400000000000001</v>
      </c>
      <c r="F1058" s="18">
        <f t="shared" si="326"/>
        <v>0.2719999999999998</v>
      </c>
      <c r="G1058" s="18">
        <f t="shared" si="327"/>
        <v>-4.8000000000000487E-2</v>
      </c>
      <c r="H1058">
        <v>3.01</v>
      </c>
      <c r="I1058">
        <v>1.62</v>
      </c>
      <c r="J1058">
        <f t="shared" si="336"/>
        <v>2.3199999999999998</v>
      </c>
      <c r="K1058" s="6">
        <f t="shared" si="337"/>
        <v>2.2999999999999998</v>
      </c>
      <c r="L1058" s="6">
        <f t="shared" si="338"/>
        <v>0</v>
      </c>
      <c r="M1058">
        <v>6.6045665980098001</v>
      </c>
      <c r="N1058">
        <v>309000</v>
      </c>
      <c r="O1058" s="18">
        <f>ROUND(N1058/VLOOKUP(EOMONTH(A1058,-1),Employment!A:P,16,FALSE),4)</f>
        <v>1.5093000000000001</v>
      </c>
      <c r="P1058" s="18">
        <f t="shared" si="328"/>
        <v>1.5101</v>
      </c>
      <c r="Q1058" s="29">
        <f t="shared" si="329"/>
        <v>-7.1900000000000006E-2</v>
      </c>
      <c r="R1058" s="29">
        <f t="shared" si="330"/>
        <v>1.1299999999999999E-2</v>
      </c>
      <c r="S1058">
        <v>2140000</v>
      </c>
      <c r="T1058" s="18">
        <f>ROUND((S1058/7)/VLOOKUP(EOMONTH(A1058,-1),Employment!A:P,16,FALSE),4)</f>
        <v>1.4932000000000001</v>
      </c>
      <c r="U1058" s="18">
        <f t="shared" si="331"/>
        <v>1.4948999999999999</v>
      </c>
      <c r="V1058" s="29">
        <f t="shared" si="332"/>
        <v>-8.8999999999999996E-2</v>
      </c>
      <c r="W1058" s="29">
        <f t="shared" si="333"/>
        <v>1.03E-2</v>
      </c>
      <c r="X1058" s="30">
        <f t="shared" si="334"/>
        <v>144.02000000000001</v>
      </c>
      <c r="Y1058" s="31">
        <f t="shared" si="335"/>
        <v>142.79</v>
      </c>
    </row>
    <row r="1059" spans="1:25" ht="15" customHeight="1" x14ac:dyDescent="0.25">
      <c r="A1059" s="5">
        <v>35932</v>
      </c>
      <c r="B1059">
        <v>869.91039999999998</v>
      </c>
      <c r="C1059" s="29">
        <f t="shared" si="339"/>
        <v>6.4000000000000003E-3</v>
      </c>
      <c r="D1059">
        <v>-0.57999999999999996</v>
      </c>
      <c r="E1059">
        <v>0.29799999999999999</v>
      </c>
      <c r="F1059" s="18">
        <f t="shared" si="326"/>
        <v>0.58000000000000052</v>
      </c>
      <c r="G1059" s="18">
        <f t="shared" si="327"/>
        <v>-0.56399999999999961</v>
      </c>
      <c r="H1059">
        <v>2.97</v>
      </c>
      <c r="I1059">
        <v>1.63</v>
      </c>
      <c r="J1059">
        <f t="shared" si="336"/>
        <v>2.2999999999999998</v>
      </c>
      <c r="K1059" s="6">
        <f t="shared" si="337"/>
        <v>2.2999999999999998</v>
      </c>
      <c r="L1059" s="6">
        <f t="shared" si="338"/>
        <v>9.9999999999997868E-3</v>
      </c>
      <c r="M1059">
        <v>6.4554572489722002</v>
      </c>
      <c r="N1059">
        <v>309500</v>
      </c>
      <c r="O1059" s="18">
        <f>ROUND(N1059/VLOOKUP(EOMONTH(A1059,-1),Employment!A:P,16,FALSE),4)</f>
        <v>1.5117</v>
      </c>
      <c r="P1059" s="18">
        <f t="shared" si="328"/>
        <v>1.5134000000000001</v>
      </c>
      <c r="Q1059" s="29">
        <f t="shared" si="329"/>
        <v>-6.7199999999999996E-2</v>
      </c>
      <c r="R1059" s="29">
        <f t="shared" si="330"/>
        <v>1.4200000000000001E-2</v>
      </c>
      <c r="S1059">
        <v>2135000</v>
      </c>
      <c r="T1059" s="18">
        <f>ROUND((S1059/7)/VLOOKUP(EOMONTH(A1059,-1),Employment!A:P,16,FALSE),4)</f>
        <v>1.4898</v>
      </c>
      <c r="U1059" s="18">
        <f t="shared" si="331"/>
        <v>1.5112000000000001</v>
      </c>
      <c r="V1059" s="29">
        <f t="shared" si="332"/>
        <v>-7.7200000000000005E-2</v>
      </c>
      <c r="W1059" s="29">
        <f t="shared" si="333"/>
        <v>1.9E-3</v>
      </c>
      <c r="X1059" s="30">
        <f t="shared" si="334"/>
        <v>143.06</v>
      </c>
      <c r="Y1059" s="31">
        <f t="shared" si="335"/>
        <v>141.06</v>
      </c>
    </row>
    <row r="1060" spans="1:25" ht="15" customHeight="1" x14ac:dyDescent="0.25">
      <c r="A1060" s="5">
        <v>35925</v>
      </c>
      <c r="B1060">
        <v>865.38199999999995</v>
      </c>
      <c r="C1060" s="29">
        <f t="shared" si="339"/>
        <v>2E-3</v>
      </c>
      <c r="D1060">
        <v>-0.59</v>
      </c>
      <c r="E1060">
        <v>0.38300000000000001</v>
      </c>
      <c r="F1060" s="18">
        <f t="shared" si="326"/>
        <v>-0.9000000000000008</v>
      </c>
      <c r="G1060" s="18">
        <f t="shared" si="327"/>
        <v>-1.2440000000000007</v>
      </c>
      <c r="H1060">
        <v>2.95</v>
      </c>
      <c r="I1060">
        <v>1.63</v>
      </c>
      <c r="J1060">
        <f t="shared" si="336"/>
        <v>2.29</v>
      </c>
      <c r="K1060" s="6">
        <f t="shared" si="337"/>
        <v>2.29</v>
      </c>
      <c r="L1060" s="6">
        <f t="shared" si="338"/>
        <v>1.0000000000000231E-2</v>
      </c>
      <c r="M1060">
        <v>6.8547334081668003</v>
      </c>
      <c r="N1060">
        <v>309000</v>
      </c>
      <c r="O1060" s="18">
        <f>ROUND(N1060/VLOOKUP(EOMONTH(A1060,-1),Employment!A:P,16,FALSE),4)</f>
        <v>1.5093000000000001</v>
      </c>
      <c r="P1060" s="18">
        <f t="shared" si="328"/>
        <v>1.5166999999999999</v>
      </c>
      <c r="Q1060" s="29">
        <f t="shared" si="329"/>
        <v>-6.1400000000000003E-2</v>
      </c>
      <c r="R1060" s="29">
        <f t="shared" si="330"/>
        <v>1.5299999999999999E-2</v>
      </c>
      <c r="S1060">
        <v>2152000</v>
      </c>
      <c r="T1060" s="18">
        <f>ROUND((S1060/7)/VLOOKUP(EOMONTH(A1060,-1),Employment!A:P,16,FALSE),4)</f>
        <v>1.5016</v>
      </c>
      <c r="U1060" s="18">
        <f t="shared" si="331"/>
        <v>1.5271999999999999</v>
      </c>
      <c r="V1060" s="29">
        <f t="shared" si="332"/>
        <v>-6.3399999999999998E-2</v>
      </c>
      <c r="W1060" s="29">
        <f t="shared" si="333"/>
        <v>5.9999999999999995E-4</v>
      </c>
      <c r="X1060" s="30">
        <f t="shared" si="334"/>
        <v>139.06</v>
      </c>
      <c r="Y1060" s="31">
        <f t="shared" si="335"/>
        <v>139.75</v>
      </c>
    </row>
    <row r="1061" spans="1:25" ht="15" customHeight="1" x14ac:dyDescent="0.25">
      <c r="A1061" s="5">
        <v>35918</v>
      </c>
      <c r="B1061">
        <v>864.26969999999994</v>
      </c>
      <c r="C1061" s="29">
        <f t="shared" si="339"/>
        <v>5.9999999999999995E-4</v>
      </c>
      <c r="D1061">
        <v>-0.6</v>
      </c>
      <c r="E1061">
        <v>0.28299999999999997</v>
      </c>
      <c r="F1061" s="18">
        <f t="shared" si="326"/>
        <v>-0.24399999999999933</v>
      </c>
      <c r="G1061" s="18">
        <f t="shared" si="327"/>
        <v>-0.13199999999999967</v>
      </c>
      <c r="H1061">
        <v>2.98</v>
      </c>
      <c r="I1061">
        <v>1.66</v>
      </c>
      <c r="J1061">
        <f t="shared" si="336"/>
        <v>2.3199999999999998</v>
      </c>
      <c r="K1061" s="6">
        <f t="shared" si="337"/>
        <v>2.2799999999999998</v>
      </c>
      <c r="L1061" s="6">
        <f t="shared" si="338"/>
        <v>9.9999999999997868E-3</v>
      </c>
      <c r="M1061">
        <v>6.4685712270654996</v>
      </c>
      <c r="N1061">
        <v>311000</v>
      </c>
      <c r="O1061" s="18">
        <f>ROUND(N1061/VLOOKUP(EOMONTH(A1061,-1),Employment!A:P,16,FALSE),4)</f>
        <v>1.5190999999999999</v>
      </c>
      <c r="P1061" s="18">
        <f t="shared" si="328"/>
        <v>1.5224</v>
      </c>
      <c r="Q1061" s="29">
        <f t="shared" si="329"/>
        <v>-5.0900000000000001E-2</v>
      </c>
      <c r="R1061" s="29">
        <f t="shared" si="330"/>
        <v>1.3299999999999999E-2</v>
      </c>
      <c r="S1061">
        <v>2210000</v>
      </c>
      <c r="T1061" s="18">
        <f>ROUND((S1061/7)/VLOOKUP(EOMONTH(A1061,-1),Employment!A:P,16,FALSE),4)</f>
        <v>1.5421</v>
      </c>
      <c r="U1061" s="18">
        <f t="shared" si="331"/>
        <v>1.5308999999999999</v>
      </c>
      <c r="V1061" s="29">
        <f t="shared" si="332"/>
        <v>-6.5699999999999995E-2</v>
      </c>
      <c r="W1061" s="29">
        <f t="shared" si="333"/>
        <v>3.5999999999999999E-3</v>
      </c>
      <c r="X1061" s="30">
        <f t="shared" si="334"/>
        <v>141.05000000000001</v>
      </c>
      <c r="Y1061" s="31">
        <f t="shared" si="335"/>
        <v>138.29</v>
      </c>
    </row>
    <row r="1062" spans="1:25" ht="15" customHeight="1" x14ac:dyDescent="0.25">
      <c r="A1062" s="5">
        <v>35911</v>
      </c>
      <c r="B1062">
        <v>864.80560000000003</v>
      </c>
      <c r="C1062" s="29">
        <f t="shared" si="339"/>
        <v>1.1999999999999999E-3</v>
      </c>
      <c r="D1062">
        <v>-0.61</v>
      </c>
      <c r="E1062">
        <v>0.26500000000000001</v>
      </c>
      <c r="F1062" s="18">
        <f t="shared" si="326"/>
        <v>-0.10000000000000053</v>
      </c>
      <c r="G1062" s="18">
        <f t="shared" si="327"/>
        <v>-0.60800000000000054</v>
      </c>
      <c r="H1062">
        <v>2.81</v>
      </c>
      <c r="I1062">
        <v>1.68</v>
      </c>
      <c r="J1062">
        <f t="shared" si="336"/>
        <v>2.25</v>
      </c>
      <c r="K1062" s="6">
        <f t="shared" si="337"/>
        <v>2.27</v>
      </c>
      <c r="L1062" s="6">
        <f t="shared" si="338"/>
        <v>-2.9999999999999805E-2</v>
      </c>
      <c r="M1062">
        <v>6.1744013115467</v>
      </c>
      <c r="N1062">
        <v>311250</v>
      </c>
      <c r="O1062" s="18">
        <f>ROUND(N1062/VLOOKUP(EOMONTH(A1062,-1),Employment!A:P,16,FALSE),4)</f>
        <v>1.5217000000000001</v>
      </c>
      <c r="P1062" s="18">
        <f t="shared" si="328"/>
        <v>1.5309999999999999</v>
      </c>
      <c r="Q1062" s="29">
        <f t="shared" si="329"/>
        <v>-3.9899999999999998E-2</v>
      </c>
      <c r="R1062" s="29">
        <f t="shared" si="330"/>
        <v>1.0800000000000001E-2</v>
      </c>
      <c r="S1062">
        <v>2202000</v>
      </c>
      <c r="T1062" s="18">
        <f>ROUND((S1062/7)/VLOOKUP(EOMONTH(A1062,-1),Employment!A:P,16,FALSE),4)</f>
        <v>1.5379</v>
      </c>
      <c r="U1062" s="18">
        <f t="shared" si="331"/>
        <v>1.5326</v>
      </c>
      <c r="V1062" s="29">
        <f t="shared" si="332"/>
        <v>-6.8500000000000005E-2</v>
      </c>
      <c r="W1062" s="29">
        <f t="shared" si="333"/>
        <v>3.3999999999999998E-3</v>
      </c>
      <c r="X1062" s="30">
        <f t="shared" si="334"/>
        <v>138.25</v>
      </c>
      <c r="Y1062" s="31">
        <f t="shared" si="335"/>
        <v>133.58000000000001</v>
      </c>
    </row>
    <row r="1063" spans="1:25" ht="15" customHeight="1" x14ac:dyDescent="0.25">
      <c r="A1063" s="5">
        <v>35904</v>
      </c>
      <c r="B1063">
        <v>862.93719999999996</v>
      </c>
      <c r="C1063" s="29">
        <f t="shared" si="339"/>
        <v>-3.0000000000000001E-3</v>
      </c>
      <c r="D1063">
        <v>-0.62</v>
      </c>
      <c r="E1063">
        <v>0.26500000000000001</v>
      </c>
      <c r="F1063" s="18">
        <f t="shared" si="326"/>
        <v>0.21200000000000019</v>
      </c>
      <c r="G1063" s="18">
        <f t="shared" si="327"/>
        <v>-0.9399999999999995</v>
      </c>
      <c r="H1063">
        <v>2.85</v>
      </c>
      <c r="I1063">
        <v>1.7</v>
      </c>
      <c r="J1063">
        <f t="shared" si="336"/>
        <v>2.2799999999999998</v>
      </c>
      <c r="K1063" s="6">
        <f t="shared" si="337"/>
        <v>2.2999999999999998</v>
      </c>
      <c r="L1063" s="6">
        <f t="shared" si="338"/>
        <v>2.0000000000000018E-2</v>
      </c>
      <c r="M1063">
        <v>6.1639899865791001</v>
      </c>
      <c r="N1063">
        <v>312250</v>
      </c>
      <c r="O1063" s="18">
        <f>ROUND(N1063/VLOOKUP(EOMONTH(A1063,-1),Employment!A:P,16,FALSE),4)</f>
        <v>1.5265</v>
      </c>
      <c r="P1063" s="18">
        <f t="shared" si="328"/>
        <v>1.5370999999999999</v>
      </c>
      <c r="Q1063" s="29">
        <f t="shared" si="329"/>
        <v>-3.1E-2</v>
      </c>
      <c r="R1063" s="29">
        <f t="shared" si="330"/>
        <v>7.1999999999999998E-3</v>
      </c>
      <c r="S1063">
        <v>2166000</v>
      </c>
      <c r="T1063" s="18">
        <f>ROUND((S1063/7)/VLOOKUP(EOMONTH(A1063,-1),Employment!A:P,16,FALSE),4)</f>
        <v>1.5127999999999999</v>
      </c>
      <c r="U1063" s="18">
        <f t="shared" si="331"/>
        <v>1.5384</v>
      </c>
      <c r="V1063" s="29">
        <f t="shared" si="332"/>
        <v>-6.7000000000000004E-2</v>
      </c>
      <c r="W1063" s="29">
        <f t="shared" si="333"/>
        <v>-6.3E-3</v>
      </c>
      <c r="X1063" s="30">
        <f t="shared" si="334"/>
        <v>131.46</v>
      </c>
      <c r="Y1063" s="31">
        <f t="shared" si="335"/>
        <v>129.19999999999999</v>
      </c>
    </row>
    <row r="1064" spans="1:25" ht="15" customHeight="1" x14ac:dyDescent="0.25">
      <c r="A1064" s="5">
        <v>35897</v>
      </c>
      <c r="B1064">
        <v>862.64269999999999</v>
      </c>
      <c r="C1064" s="29">
        <f t="shared" si="339"/>
        <v>-5.4999999999999997E-3</v>
      </c>
      <c r="D1064">
        <v>-0.63</v>
      </c>
      <c r="E1064">
        <v>0.30399999999999999</v>
      </c>
      <c r="F1064" s="18">
        <f t="shared" si="326"/>
        <v>-0.7200000000000002</v>
      </c>
      <c r="G1064" s="18">
        <f t="shared" si="327"/>
        <v>-0.47199999999999998</v>
      </c>
      <c r="H1064">
        <v>2.86</v>
      </c>
      <c r="I1064">
        <v>1.71</v>
      </c>
      <c r="J1064">
        <f t="shared" si="336"/>
        <v>2.29</v>
      </c>
      <c r="K1064" s="6">
        <f t="shared" si="337"/>
        <v>2.2799999999999998</v>
      </c>
      <c r="L1064" s="6">
        <f t="shared" si="338"/>
        <v>9.9999999999997868E-3</v>
      </c>
      <c r="M1064">
        <v>4.6825514564969</v>
      </c>
      <c r="N1064">
        <v>316000</v>
      </c>
      <c r="O1064" s="18">
        <f>ROUND(N1064/VLOOKUP(EOMONTH(A1064,-1),Employment!A:P,16,FALSE),4)</f>
        <v>1.5448999999999999</v>
      </c>
      <c r="P1064" s="18">
        <f t="shared" si="328"/>
        <v>1.544</v>
      </c>
      <c r="Q1064" s="29">
        <f t="shared" si="329"/>
        <v>-2.1000000000000001E-2</v>
      </c>
      <c r="R1064" s="29">
        <f t="shared" si="330"/>
        <v>4.5999999999999999E-3</v>
      </c>
      <c r="S1064">
        <v>2215000</v>
      </c>
      <c r="T1064" s="18">
        <f>ROUND((S1064/7)/VLOOKUP(EOMONTH(A1064,-1),Employment!A:P,16,FALSE),4)</f>
        <v>1.5469999999999999</v>
      </c>
      <c r="U1064" s="18">
        <f t="shared" si="331"/>
        <v>1.5552999999999999</v>
      </c>
      <c r="V1064" s="29">
        <f t="shared" si="332"/>
        <v>-5.4899999999999997E-2</v>
      </c>
      <c r="W1064" s="29">
        <f t="shared" si="333"/>
        <v>-1.2800000000000001E-2</v>
      </c>
      <c r="X1064" s="30">
        <f t="shared" si="334"/>
        <v>127.21000000000001</v>
      </c>
      <c r="Y1064" s="31">
        <f t="shared" si="335"/>
        <v>127.09</v>
      </c>
    </row>
    <row r="1065" spans="1:25" ht="15" customHeight="1" x14ac:dyDescent="0.25">
      <c r="A1065" s="5">
        <v>35890</v>
      </c>
      <c r="B1065">
        <v>864.51250000000005</v>
      </c>
      <c r="C1065" s="29">
        <f t="shared" si="339"/>
        <v>-3.7000000000000002E-3</v>
      </c>
      <c r="D1065">
        <v>-0.65</v>
      </c>
      <c r="E1065">
        <v>0.23899999999999999</v>
      </c>
      <c r="F1065" s="18">
        <f t="shared" si="326"/>
        <v>-0.4319999999999995</v>
      </c>
      <c r="G1065" s="18">
        <f t="shared" si="327"/>
        <v>0.44799999999999951</v>
      </c>
      <c r="H1065">
        <v>2.94</v>
      </c>
      <c r="I1065">
        <v>1.74</v>
      </c>
      <c r="J1065">
        <f t="shared" si="336"/>
        <v>2.34</v>
      </c>
      <c r="K1065" s="6">
        <f t="shared" si="337"/>
        <v>2.27</v>
      </c>
      <c r="L1065" s="6">
        <f t="shared" si="338"/>
        <v>1.0000000000000231E-2</v>
      </c>
      <c r="M1065">
        <v>4.0298455622793998</v>
      </c>
      <c r="N1065">
        <v>315000</v>
      </c>
      <c r="O1065" s="18">
        <f>ROUND(N1065/VLOOKUP(EOMONTH(A1065,-1),Employment!A:P,16,FALSE),4)</f>
        <v>1.54</v>
      </c>
      <c r="P1065" s="18">
        <f t="shared" si="328"/>
        <v>1.5471999999999999</v>
      </c>
      <c r="Q1065" s="29">
        <f t="shared" si="329"/>
        <v>-1.7899999999999999E-2</v>
      </c>
      <c r="R1065" s="29">
        <f t="shared" si="330"/>
        <v>5.9999999999999995E-4</v>
      </c>
      <c r="S1065">
        <v>2227000</v>
      </c>
      <c r="T1065" s="18">
        <f>ROUND((S1065/7)/VLOOKUP(EOMONTH(A1065,-1),Employment!A:P,16,FALSE),4)</f>
        <v>1.5553999999999999</v>
      </c>
      <c r="U1065" s="18">
        <f t="shared" si="331"/>
        <v>1.554</v>
      </c>
      <c r="V1065" s="29">
        <f t="shared" si="332"/>
        <v>-6.13E-2</v>
      </c>
      <c r="W1065" s="29">
        <f t="shared" si="333"/>
        <v>-1.17E-2</v>
      </c>
      <c r="X1065" s="30">
        <f t="shared" si="334"/>
        <v>128.5</v>
      </c>
      <c r="Y1065" s="31">
        <f t="shared" si="335"/>
        <v>125.13</v>
      </c>
    </row>
    <row r="1066" spans="1:25" ht="15" customHeight="1" x14ac:dyDescent="0.25">
      <c r="A1066" s="5">
        <v>35883</v>
      </c>
      <c r="B1066">
        <v>864.90549999999996</v>
      </c>
      <c r="C1066" s="29">
        <f t="shared" si="339"/>
        <v>-2.3999999999999998E-3</v>
      </c>
      <c r="D1066">
        <v>-0.65</v>
      </c>
      <c r="E1066">
        <v>0.185</v>
      </c>
      <c r="F1066" s="18">
        <f t="shared" si="326"/>
        <v>0.67999999999999972</v>
      </c>
      <c r="G1066" s="18">
        <f t="shared" si="327"/>
        <v>-6.4000000000000057E-2</v>
      </c>
      <c r="H1066">
        <v>2.73</v>
      </c>
      <c r="I1066">
        <v>1.66</v>
      </c>
      <c r="J1066">
        <f t="shared" si="336"/>
        <v>2.2000000000000002</v>
      </c>
      <c r="K1066" s="6">
        <f t="shared" si="337"/>
        <v>2.2599999999999998</v>
      </c>
      <c r="L1066" s="6">
        <f t="shared" si="338"/>
        <v>-1.0000000000000231E-2</v>
      </c>
      <c r="M1066">
        <v>3.4317954271623998</v>
      </c>
      <c r="N1066">
        <v>316250</v>
      </c>
      <c r="O1066" s="18">
        <f>ROUND(N1066/VLOOKUP(EOMONTH(A1066,-1),Employment!A:P,16,FALSE),4)</f>
        <v>1.5471999999999999</v>
      </c>
      <c r="P1066" s="18">
        <f t="shared" si="328"/>
        <v>1.5528999999999999</v>
      </c>
      <c r="Q1066" s="29">
        <f t="shared" si="329"/>
        <v>-1.37E-2</v>
      </c>
      <c r="R1066" s="29">
        <f t="shared" si="330"/>
        <v>-7.1999999999999998E-3</v>
      </c>
      <c r="S1066">
        <v>2237000</v>
      </c>
      <c r="T1066" s="18">
        <f>ROUND((S1066/7)/VLOOKUP(EOMONTH(A1066,-1),Employment!A:P,16,FALSE),4)</f>
        <v>1.5634999999999999</v>
      </c>
      <c r="U1066" s="18">
        <f t="shared" si="331"/>
        <v>1.5502</v>
      </c>
      <c r="V1066" s="29">
        <f t="shared" si="332"/>
        <v>-7.0099999999999996E-2</v>
      </c>
      <c r="W1066" s="29">
        <f t="shared" si="333"/>
        <v>-5.8999999999999999E-3</v>
      </c>
      <c r="X1066" s="30">
        <f t="shared" si="334"/>
        <v>123.25999999999999</v>
      </c>
      <c r="Y1066" s="31">
        <f t="shared" si="335"/>
        <v>122.26</v>
      </c>
    </row>
    <row r="1067" spans="1:25" ht="15" customHeight="1" x14ac:dyDescent="0.25">
      <c r="A1067" s="5">
        <v>35876</v>
      </c>
      <c r="B1067">
        <v>869.91219999999998</v>
      </c>
      <c r="C1067" s="29">
        <f t="shared" si="339"/>
        <v>6.6E-3</v>
      </c>
      <c r="D1067">
        <v>-0.65</v>
      </c>
      <c r="E1067">
        <v>0.27</v>
      </c>
      <c r="F1067" s="18">
        <f t="shared" si="326"/>
        <v>0.19999999999999929</v>
      </c>
      <c r="G1067" s="18">
        <f t="shared" si="327"/>
        <v>-0.29600000000000026</v>
      </c>
      <c r="H1067">
        <v>2.84</v>
      </c>
      <c r="I1067">
        <v>1.7</v>
      </c>
      <c r="J1067">
        <f t="shared" si="336"/>
        <v>2.27</v>
      </c>
      <c r="K1067" s="6">
        <f t="shared" si="337"/>
        <v>2.27</v>
      </c>
      <c r="L1067" s="6">
        <f t="shared" si="338"/>
        <v>-9.9999999999997868E-3</v>
      </c>
      <c r="M1067">
        <v>3.2080992439937002</v>
      </c>
      <c r="N1067">
        <v>317750</v>
      </c>
      <c r="O1067" s="18">
        <f>ROUND(N1067/VLOOKUP(EOMONTH(A1067,-1),Employment!A:P,16,FALSE),4)</f>
        <v>1.5545</v>
      </c>
      <c r="P1067" s="18">
        <f t="shared" si="328"/>
        <v>1.5573999999999999</v>
      </c>
      <c r="Q1067" s="29">
        <f t="shared" si="329"/>
        <v>-1.06E-2</v>
      </c>
      <c r="R1067" s="29">
        <f t="shared" si="330"/>
        <v>-1.55E-2</v>
      </c>
      <c r="S1067">
        <v>2208000</v>
      </c>
      <c r="T1067" s="18">
        <f>ROUND((S1067/7)/VLOOKUP(EOMONTH(A1067,-1),Employment!A:P,16,FALSE),4)</f>
        <v>1.5431999999999999</v>
      </c>
      <c r="U1067" s="18">
        <f t="shared" si="331"/>
        <v>1.5434000000000001</v>
      </c>
      <c r="V1067" s="29">
        <f t="shared" si="332"/>
        <v>-8.3199999999999996E-2</v>
      </c>
      <c r="W1067" s="29">
        <f t="shared" si="333"/>
        <v>-2.5999999999999999E-3</v>
      </c>
      <c r="X1067" s="30">
        <f t="shared" si="334"/>
        <v>121.36</v>
      </c>
      <c r="Y1067" s="31">
        <f t="shared" si="335"/>
        <v>122.99</v>
      </c>
    </row>
    <row r="1068" spans="1:25" ht="15" customHeight="1" x14ac:dyDescent="0.25">
      <c r="A1068" s="5">
        <v>35869</v>
      </c>
      <c r="B1068">
        <v>870.48479999999995</v>
      </c>
      <c r="C1068" s="29">
        <f t="shared" si="339"/>
        <v>1.0800000000000001E-2</v>
      </c>
      <c r="D1068">
        <v>-0.65</v>
      </c>
      <c r="E1068">
        <v>0.29499999999999998</v>
      </c>
      <c r="F1068" s="18">
        <f t="shared" si="326"/>
        <v>-0.94399999999999906</v>
      </c>
      <c r="G1068" s="18">
        <f t="shared" si="327"/>
        <v>-0.15199999999999925</v>
      </c>
      <c r="H1068">
        <v>2.91</v>
      </c>
      <c r="I1068">
        <v>1.69</v>
      </c>
      <c r="J1068">
        <f t="shared" si="336"/>
        <v>2.2999999999999998</v>
      </c>
      <c r="K1068" s="6">
        <f t="shared" si="337"/>
        <v>2.2799999999999998</v>
      </c>
      <c r="L1068" s="6">
        <f t="shared" si="338"/>
        <v>0</v>
      </c>
      <c r="M1068">
        <v>2.8733179131728002</v>
      </c>
      <c r="N1068">
        <v>318250</v>
      </c>
      <c r="O1068" s="18">
        <f>ROUND(N1068/VLOOKUP(EOMONTH(A1068,-1),Employment!A:P,16,FALSE),4)</f>
        <v>1.5569999999999999</v>
      </c>
      <c r="P1068" s="18">
        <f t="shared" si="328"/>
        <v>1.5586</v>
      </c>
      <c r="Q1068" s="29">
        <f t="shared" si="329"/>
        <v>-1.09E-2</v>
      </c>
      <c r="R1068" s="29">
        <f t="shared" si="330"/>
        <v>-1.7500000000000002E-2</v>
      </c>
      <c r="S1068">
        <v>2209000</v>
      </c>
      <c r="T1068" s="18">
        <f>ROUND((S1068/7)/VLOOKUP(EOMONTH(A1068,-1),Employment!A:P,16,FALSE),4)</f>
        <v>1.5439000000000001</v>
      </c>
      <c r="U1068" s="18">
        <f t="shared" si="331"/>
        <v>1.5479000000000001</v>
      </c>
      <c r="V1068" s="29">
        <f t="shared" si="332"/>
        <v>-8.5099999999999995E-2</v>
      </c>
      <c r="W1068" s="29">
        <f t="shared" si="333"/>
        <v>-2.3E-3</v>
      </c>
      <c r="X1068" s="30">
        <f t="shared" si="334"/>
        <v>121.99000000000001</v>
      </c>
      <c r="Y1068" s="31">
        <f t="shared" si="335"/>
        <v>126.33</v>
      </c>
    </row>
    <row r="1069" spans="1:25" ht="15" customHeight="1" x14ac:dyDescent="0.25">
      <c r="A1069" s="5">
        <v>35862</v>
      </c>
      <c r="B1069">
        <v>865.75469999999996</v>
      </c>
      <c r="C1069" s="29">
        <f t="shared" si="339"/>
        <v>8.0999999999999996E-3</v>
      </c>
      <c r="D1069">
        <v>-0.65</v>
      </c>
      <c r="E1069">
        <v>0.17699999999999999</v>
      </c>
      <c r="F1069" s="18">
        <f t="shared" si="326"/>
        <v>0.44799999999999951</v>
      </c>
      <c r="G1069" s="18">
        <f t="shared" si="327"/>
        <v>1.524</v>
      </c>
      <c r="H1069">
        <v>2.85</v>
      </c>
      <c r="I1069">
        <v>1.64</v>
      </c>
      <c r="J1069">
        <f t="shared" si="336"/>
        <v>2.25</v>
      </c>
      <c r="K1069" s="6">
        <f t="shared" si="337"/>
        <v>2.2799999999999998</v>
      </c>
      <c r="L1069" s="6">
        <f t="shared" si="338"/>
        <v>-3.0000000000000249E-2</v>
      </c>
      <c r="M1069">
        <v>2.8345120637334</v>
      </c>
      <c r="N1069">
        <v>319000</v>
      </c>
      <c r="O1069" s="18">
        <f>ROUND(N1069/VLOOKUP(EOMONTH(A1069,-1),Employment!A:P,16,FALSE),4)</f>
        <v>1.5607</v>
      </c>
      <c r="P1069" s="18">
        <f t="shared" si="328"/>
        <v>1.5512999999999999</v>
      </c>
      <c r="Q1069" s="29">
        <f t="shared" si="329"/>
        <v>-2.29E-2</v>
      </c>
      <c r="R1069" s="29">
        <f t="shared" si="330"/>
        <v>-1.32E-2</v>
      </c>
      <c r="S1069">
        <v>2208000</v>
      </c>
      <c r="T1069" s="18">
        <f>ROUND((S1069/7)/VLOOKUP(EOMONTH(A1069,-1),Employment!A:P,16,FALSE),4)</f>
        <v>1.5431999999999999</v>
      </c>
      <c r="U1069" s="18">
        <f t="shared" si="331"/>
        <v>1.5585</v>
      </c>
      <c r="V1069" s="29">
        <f t="shared" si="332"/>
        <v>-8.7400000000000005E-2</v>
      </c>
      <c r="W1069" s="29">
        <f t="shared" si="333"/>
        <v>-2.3E-3</v>
      </c>
      <c r="X1069" s="30">
        <f t="shared" si="334"/>
        <v>129.57999999999998</v>
      </c>
      <c r="Y1069" s="31">
        <f t="shared" si="335"/>
        <v>128.77000000000001</v>
      </c>
    </row>
    <row r="1070" spans="1:25" ht="15" customHeight="1" x14ac:dyDescent="0.25">
      <c r="A1070" s="5">
        <v>35855</v>
      </c>
      <c r="B1070">
        <v>861.87440000000004</v>
      </c>
      <c r="C1070" s="29">
        <f t="shared" si="339"/>
        <v>4.7999999999999996E-3</v>
      </c>
      <c r="D1070">
        <v>-0.63</v>
      </c>
      <c r="E1070">
        <v>0.20799999999999999</v>
      </c>
      <c r="F1070" s="18">
        <f t="shared" si="326"/>
        <v>0.34400000000000031</v>
      </c>
      <c r="G1070" s="18">
        <f t="shared" si="327"/>
        <v>1.576000000000001</v>
      </c>
      <c r="H1070">
        <v>2.88</v>
      </c>
      <c r="I1070">
        <v>1.67</v>
      </c>
      <c r="J1070">
        <f t="shared" si="336"/>
        <v>2.2799999999999998</v>
      </c>
      <c r="K1070" s="6">
        <f t="shared" si="337"/>
        <v>2.31</v>
      </c>
      <c r="L1070" s="6">
        <f t="shared" si="338"/>
        <v>-9.9999999999997868E-3</v>
      </c>
      <c r="M1070">
        <v>3.0532783263924999</v>
      </c>
      <c r="N1070">
        <v>318500</v>
      </c>
      <c r="O1070" s="18">
        <f>ROUND(N1070/VLOOKUP(EOMONTH(A1070,-1),Employment!A:P,16,FALSE),4)</f>
        <v>1.5582</v>
      </c>
      <c r="P1070" s="18">
        <f t="shared" si="328"/>
        <v>1.5508999999999999</v>
      </c>
      <c r="Q1070" s="29">
        <f t="shared" si="329"/>
        <v>-3.8699999999999998E-2</v>
      </c>
      <c r="R1070" s="29">
        <f t="shared" si="330"/>
        <v>-1.15E-2</v>
      </c>
      <c r="S1070">
        <v>2227000</v>
      </c>
      <c r="T1070" s="18">
        <f>ROUND((S1070/7)/VLOOKUP(EOMONTH(A1070,-1),Employment!A:P,16,FALSE),4)</f>
        <v>1.5565</v>
      </c>
      <c r="U1070" s="18">
        <f t="shared" si="331"/>
        <v>1.5570999999999999</v>
      </c>
      <c r="V1070" s="29">
        <f t="shared" si="332"/>
        <v>-8.6999999999999994E-2</v>
      </c>
      <c r="W1070" s="29">
        <f t="shared" si="333"/>
        <v>0</v>
      </c>
      <c r="X1070" s="30">
        <f t="shared" si="334"/>
        <v>129.07</v>
      </c>
      <c r="Y1070" s="31">
        <f t="shared" si="335"/>
        <v>125.99</v>
      </c>
    </row>
    <row r="1071" spans="1:25" ht="15" customHeight="1" x14ac:dyDescent="0.25">
      <c r="A1071" s="5">
        <v>35848</v>
      </c>
      <c r="B1071">
        <v>858.65790000000004</v>
      </c>
      <c r="C1071" s="29">
        <f t="shared" si="339"/>
        <v>2.7000000000000001E-3</v>
      </c>
      <c r="D1071">
        <v>-0.61</v>
      </c>
      <c r="E1071">
        <v>0.22600000000000001</v>
      </c>
      <c r="F1071" s="18">
        <f t="shared" si="326"/>
        <v>0.73200000000000021</v>
      </c>
      <c r="G1071" s="18">
        <f t="shared" si="327"/>
        <v>1.7959999999999994</v>
      </c>
      <c r="H1071">
        <v>2.91</v>
      </c>
      <c r="I1071">
        <v>1.68</v>
      </c>
      <c r="J1071">
        <f t="shared" si="336"/>
        <v>2.2999999999999998</v>
      </c>
      <c r="K1071" s="6">
        <f t="shared" si="337"/>
        <v>2.3199999999999998</v>
      </c>
      <c r="L1071" s="6">
        <f t="shared" si="338"/>
        <v>-1.0000000000000231E-2</v>
      </c>
      <c r="M1071">
        <v>3.8176913272155</v>
      </c>
      <c r="N1071">
        <v>313500</v>
      </c>
      <c r="O1071" s="18">
        <f>ROUND(N1071/VLOOKUP(EOMONTH(A1071,-1),Employment!A:P,16,FALSE),4)</f>
        <v>1.5349999999999999</v>
      </c>
      <c r="P1071" s="18">
        <f t="shared" si="328"/>
        <v>1.5595000000000001</v>
      </c>
      <c r="Q1071" s="29">
        <f t="shared" si="329"/>
        <v>-4.7899999999999998E-2</v>
      </c>
      <c r="R1071" s="29">
        <f t="shared" si="330"/>
        <v>-1.7100000000000001E-2</v>
      </c>
      <c r="S1071">
        <v>2253000</v>
      </c>
      <c r="T1071" s="18">
        <f>ROUND((S1071/7)/VLOOKUP(EOMONTH(A1071,-1),Employment!A:P,16,FALSE),4)</f>
        <v>1.5759000000000001</v>
      </c>
      <c r="U1071" s="18">
        <f t="shared" si="331"/>
        <v>1.5687</v>
      </c>
      <c r="V1071" s="29">
        <f t="shared" si="332"/>
        <v>-9.0999999999999998E-2</v>
      </c>
      <c r="W1071" s="29">
        <f t="shared" si="333"/>
        <v>2.7000000000000001E-3</v>
      </c>
      <c r="X1071" s="30">
        <f t="shared" si="334"/>
        <v>126</v>
      </c>
      <c r="Y1071" s="31">
        <f t="shared" si="335"/>
        <v>121.33</v>
      </c>
    </row>
    <row r="1072" spans="1:25" ht="15" customHeight="1" x14ac:dyDescent="0.25">
      <c r="A1072" s="5">
        <v>35841</v>
      </c>
      <c r="B1072">
        <v>858.29369999999994</v>
      </c>
      <c r="C1072" s="29">
        <f t="shared" si="339"/>
        <v>3.5000000000000001E-3</v>
      </c>
      <c r="D1072">
        <v>-0.57999999999999996</v>
      </c>
      <c r="E1072">
        <v>0.28000000000000003</v>
      </c>
      <c r="F1072" s="18">
        <f t="shared" si="326"/>
        <v>0.50000000000000044</v>
      </c>
      <c r="G1072" s="18">
        <f t="shared" si="327"/>
        <v>1.0719999999999996</v>
      </c>
      <c r="H1072">
        <v>2.97</v>
      </c>
      <c r="I1072">
        <v>1.72</v>
      </c>
      <c r="J1072">
        <f t="shared" si="336"/>
        <v>2.35</v>
      </c>
      <c r="K1072" s="6">
        <f t="shared" si="337"/>
        <v>2.33</v>
      </c>
      <c r="L1072" s="6">
        <f t="shared" si="338"/>
        <v>3.0000000000000249E-2</v>
      </c>
      <c r="M1072">
        <v>4.2492908395758997</v>
      </c>
      <c r="N1072">
        <v>318500</v>
      </c>
      <c r="O1072" s="18">
        <f>ROUND(N1072/VLOOKUP(EOMONTH(A1072,-1),Employment!A:P,16,FALSE),4)</f>
        <v>1.5595000000000001</v>
      </c>
      <c r="P1072" s="18">
        <f t="shared" si="328"/>
        <v>1.5746</v>
      </c>
      <c r="Q1072" s="29">
        <f t="shared" si="329"/>
        <v>-5.1799999999999999E-2</v>
      </c>
      <c r="R1072" s="29">
        <f t="shared" si="330"/>
        <v>-2.52E-2</v>
      </c>
      <c r="S1072">
        <v>2200000</v>
      </c>
      <c r="T1072" s="18">
        <f>ROUND((S1072/7)/VLOOKUP(EOMONTH(A1072,-1),Employment!A:P,16,FALSE),4)</f>
        <v>1.5387999999999999</v>
      </c>
      <c r="U1072" s="18">
        <f t="shared" si="331"/>
        <v>1.5659000000000001</v>
      </c>
      <c r="V1072" s="29">
        <f t="shared" si="332"/>
        <v>-9.2399999999999996E-2</v>
      </c>
      <c r="W1072" s="29">
        <f t="shared" si="333"/>
        <v>-6.9999999999999999E-4</v>
      </c>
      <c r="X1072" s="30">
        <f t="shared" si="334"/>
        <v>118.27000000000001</v>
      </c>
      <c r="Y1072" s="31">
        <f t="shared" si="335"/>
        <v>118.51</v>
      </c>
    </row>
    <row r="1073" spans="1:25" ht="15" customHeight="1" x14ac:dyDescent="0.25">
      <c r="A1073" s="5">
        <v>35834</v>
      </c>
      <c r="B1073">
        <v>856.51089999999999</v>
      </c>
      <c r="C1073" s="29">
        <f t="shared" si="339"/>
        <v>3.0000000000000001E-3</v>
      </c>
      <c r="D1073">
        <v>-0.56999999999999995</v>
      </c>
      <c r="E1073">
        <v>0.33</v>
      </c>
      <c r="F1073" s="18">
        <f t="shared" si="326"/>
        <v>0.56399999999999872</v>
      </c>
      <c r="G1073" s="18">
        <f t="shared" si="327"/>
        <v>1.1399999999999992</v>
      </c>
      <c r="H1073">
        <v>2.93</v>
      </c>
      <c r="I1073">
        <v>1.68</v>
      </c>
      <c r="J1073">
        <f t="shared" si="336"/>
        <v>2.31</v>
      </c>
      <c r="K1073" s="6">
        <f t="shared" si="337"/>
        <v>2.2999999999999998</v>
      </c>
      <c r="L1073" s="6">
        <f t="shared" si="338"/>
        <v>-1.0000000000000231E-2</v>
      </c>
      <c r="M1073">
        <v>4.3810805590579003</v>
      </c>
      <c r="N1073">
        <v>323500</v>
      </c>
      <c r="O1073" s="18">
        <f>ROUND(N1073/VLOOKUP(EOMONTH(A1073,-1),Employment!A:P,16,FALSE),4)</f>
        <v>1.5839000000000001</v>
      </c>
      <c r="P1073" s="18">
        <f t="shared" si="328"/>
        <v>1.5802</v>
      </c>
      <c r="Q1073" s="29">
        <f t="shared" si="329"/>
        <v>-5.8799999999999998E-2</v>
      </c>
      <c r="R1073" s="29">
        <f t="shared" si="330"/>
        <v>-2.53E-2</v>
      </c>
      <c r="S1073">
        <v>2275000</v>
      </c>
      <c r="T1073" s="18">
        <f>ROUND((S1073/7)/VLOOKUP(EOMONTH(A1073,-1),Employment!A:P,16,FALSE),4)</f>
        <v>1.5912999999999999</v>
      </c>
      <c r="U1073" s="18">
        <f t="shared" si="331"/>
        <v>1.5874999999999999</v>
      </c>
      <c r="V1073" s="29">
        <f t="shared" si="332"/>
        <v>-8.9499999999999996E-2</v>
      </c>
      <c r="W1073" s="29">
        <f t="shared" si="333"/>
        <v>-8.3000000000000001E-3</v>
      </c>
      <c r="X1073" s="30">
        <f t="shared" si="334"/>
        <v>117.28999999999999</v>
      </c>
      <c r="Y1073" s="31">
        <f t="shared" si="335"/>
        <v>121.86</v>
      </c>
    </row>
    <row r="1074" spans="1:25" ht="15" customHeight="1" x14ac:dyDescent="0.25">
      <c r="A1074" s="5">
        <v>35827</v>
      </c>
      <c r="B1074">
        <v>857.54939999999999</v>
      </c>
      <c r="C1074" s="29">
        <f t="shared" si="339"/>
        <v>7.1000000000000004E-3</v>
      </c>
      <c r="D1074">
        <v>-0.54</v>
      </c>
      <c r="E1074">
        <v>0.36299999999999999</v>
      </c>
      <c r="F1074" s="18">
        <f t="shared" si="326"/>
        <v>8.0000000000004512E-3</v>
      </c>
      <c r="G1074" s="18">
        <f t="shared" si="327"/>
        <v>0.16800000000000059</v>
      </c>
      <c r="H1074">
        <v>2.98</v>
      </c>
      <c r="I1074">
        <v>1.68</v>
      </c>
      <c r="J1074">
        <f t="shared" si="336"/>
        <v>2.33</v>
      </c>
      <c r="K1074" s="6">
        <f t="shared" si="337"/>
        <v>2.31</v>
      </c>
      <c r="L1074" s="6">
        <f t="shared" si="338"/>
        <v>-4.0000000000000036E-2</v>
      </c>
      <c r="M1074">
        <v>4.5079268406504003</v>
      </c>
      <c r="N1074">
        <v>322750</v>
      </c>
      <c r="O1074" s="18">
        <f>ROUND(N1074/VLOOKUP(EOMONTH(A1074,-1),Employment!A:P,16,FALSE),4)</f>
        <v>1.5803</v>
      </c>
      <c r="P1074" s="18">
        <f t="shared" si="328"/>
        <v>1.5650999999999999</v>
      </c>
      <c r="Q1074" s="29">
        <f t="shared" si="329"/>
        <v>-7.6999999999999999E-2</v>
      </c>
      <c r="R1074" s="29">
        <f t="shared" si="330"/>
        <v>-1.4800000000000001E-2</v>
      </c>
      <c r="S1074">
        <v>2241000</v>
      </c>
      <c r="T1074" s="18">
        <f>ROUND((S1074/7)/VLOOKUP(EOMONTH(A1074,-1),Employment!A:P,16,FALSE),4)</f>
        <v>1.5674999999999999</v>
      </c>
      <c r="U1074" s="18">
        <f t="shared" si="331"/>
        <v>1.6097999999999999</v>
      </c>
      <c r="V1074" s="29">
        <f t="shared" si="332"/>
        <v>-8.5199999999999998E-2</v>
      </c>
      <c r="W1074" s="29">
        <f t="shared" si="333"/>
        <v>-1.54E-2</v>
      </c>
      <c r="X1074" s="30">
        <f t="shared" si="334"/>
        <v>122.17</v>
      </c>
      <c r="Y1074" s="31">
        <f t="shared" si="335"/>
        <v>129.88999999999999</v>
      </c>
    </row>
    <row r="1075" spans="1:25" ht="15" customHeight="1" x14ac:dyDescent="0.25">
      <c r="A1075" s="5">
        <v>35820</v>
      </c>
      <c r="B1075">
        <v>852.93330000000003</v>
      </c>
      <c r="C1075" s="29">
        <f t="shared" si="339"/>
        <v>4.7000000000000002E-3</v>
      </c>
      <c r="D1075">
        <v>-0.52</v>
      </c>
      <c r="E1075">
        <v>0.33900000000000002</v>
      </c>
      <c r="F1075" s="18">
        <f t="shared" si="326"/>
        <v>0.56800000000000006</v>
      </c>
      <c r="G1075" s="18">
        <f t="shared" si="327"/>
        <v>0.95199999999999996</v>
      </c>
      <c r="H1075">
        <v>2.9</v>
      </c>
      <c r="I1075">
        <v>1.63</v>
      </c>
      <c r="J1075">
        <f t="shared" si="336"/>
        <v>2.27</v>
      </c>
      <c r="K1075" s="6">
        <f t="shared" si="337"/>
        <v>2.35</v>
      </c>
      <c r="L1075" s="6">
        <f t="shared" si="338"/>
        <v>0</v>
      </c>
      <c r="M1075">
        <v>3.5843878373904001</v>
      </c>
      <c r="N1075">
        <v>321750</v>
      </c>
      <c r="O1075" s="18">
        <f>ROUND(N1075/VLOOKUP(EOMONTH(A1075,-1),Employment!A:P,16,FALSE),4)</f>
        <v>1.5764</v>
      </c>
      <c r="P1075" s="18">
        <f t="shared" si="328"/>
        <v>1.5479000000000001</v>
      </c>
      <c r="Q1075" s="29">
        <f t="shared" si="329"/>
        <v>-9.9000000000000005E-2</v>
      </c>
      <c r="R1075" s="29">
        <f t="shared" si="330"/>
        <v>1.1000000000000001E-3</v>
      </c>
      <c r="S1075">
        <v>2291000</v>
      </c>
      <c r="T1075" s="18">
        <f>ROUND((S1075/7)/VLOOKUP(EOMONTH(A1075,-1),Employment!A:P,16,FALSE),4)</f>
        <v>1.6035999999999999</v>
      </c>
      <c r="U1075" s="18">
        <f t="shared" si="331"/>
        <v>1.6217999999999999</v>
      </c>
      <c r="V1075" s="29">
        <f t="shared" si="332"/>
        <v>-8.6999999999999994E-2</v>
      </c>
      <c r="W1075" s="29">
        <f t="shared" si="333"/>
        <v>-0.01</v>
      </c>
      <c r="X1075" s="30">
        <f t="shared" si="334"/>
        <v>132.47999999999999</v>
      </c>
      <c r="Y1075" s="31">
        <f t="shared" si="335"/>
        <v>139.04</v>
      </c>
    </row>
    <row r="1076" spans="1:25" ht="15" customHeight="1" x14ac:dyDescent="0.25">
      <c r="A1076" s="5">
        <v>35813</v>
      </c>
      <c r="B1076">
        <v>854.23860000000002</v>
      </c>
      <c r="C1076" s="29">
        <f t="shared" si="339"/>
        <v>1.06E-2</v>
      </c>
      <c r="D1076">
        <v>-0.5</v>
      </c>
      <c r="E1076">
        <v>0.38500000000000001</v>
      </c>
      <c r="F1076" s="18">
        <f t="shared" si="326"/>
        <v>-0.40799999999999992</v>
      </c>
      <c r="G1076" s="18">
        <f t="shared" si="327"/>
        <v>1.0239999999999996</v>
      </c>
      <c r="H1076">
        <v>3.01</v>
      </c>
      <c r="I1076">
        <v>1.67</v>
      </c>
      <c r="J1076">
        <f t="shared" si="336"/>
        <v>2.34</v>
      </c>
      <c r="K1076" s="6">
        <f t="shared" si="337"/>
        <v>2.35</v>
      </c>
      <c r="L1076" s="6">
        <f t="shared" si="338"/>
        <v>4.0000000000000036E-2</v>
      </c>
      <c r="M1076">
        <v>3.4056137090704</v>
      </c>
      <c r="N1076">
        <v>314000</v>
      </c>
      <c r="O1076" s="18">
        <f>ROUND(N1076/VLOOKUP(EOMONTH(A1076,-1),Employment!A:P,16,FALSE),4)</f>
        <v>1.5385</v>
      </c>
      <c r="P1076" s="18">
        <f t="shared" si="328"/>
        <v>1.534</v>
      </c>
      <c r="Q1076" s="29">
        <f t="shared" si="329"/>
        <v>-0.1159</v>
      </c>
      <c r="R1076" s="29">
        <f t="shared" si="330"/>
        <v>1.1599999999999999E-2</v>
      </c>
      <c r="S1076">
        <v>2369000</v>
      </c>
      <c r="T1076" s="18">
        <f>ROUND((S1076/7)/VLOOKUP(EOMONTH(A1076,-1),Employment!A:P,16,FALSE),4)</f>
        <v>1.6581999999999999</v>
      </c>
      <c r="U1076" s="18">
        <f t="shared" si="331"/>
        <v>1.5980000000000001</v>
      </c>
      <c r="V1076" s="29">
        <f t="shared" si="332"/>
        <v>-0.10440000000000001</v>
      </c>
      <c r="W1076" s="29">
        <f t="shared" si="333"/>
        <v>1.1000000000000001E-3</v>
      </c>
      <c r="X1076" s="30">
        <f t="shared" si="334"/>
        <v>142.69999999999999</v>
      </c>
      <c r="Y1076" s="31">
        <f t="shared" si="335"/>
        <v>143.66999999999999</v>
      </c>
    </row>
    <row r="1077" spans="1:25" ht="15" customHeight="1" x14ac:dyDescent="0.25">
      <c r="A1077" s="5">
        <v>35806</v>
      </c>
      <c r="B1077">
        <v>851.21849999999995</v>
      </c>
      <c r="C1077" s="29">
        <f t="shared" si="339"/>
        <v>9.4999999999999998E-3</v>
      </c>
      <c r="D1077">
        <v>-0.5</v>
      </c>
      <c r="E1077">
        <v>0.33400000000000002</v>
      </c>
      <c r="F1077" s="18">
        <f t="shared" si="326"/>
        <v>0.79199999999999982</v>
      </c>
      <c r="G1077" s="18">
        <f t="shared" si="327"/>
        <v>1.46</v>
      </c>
      <c r="H1077">
        <v>3.16</v>
      </c>
      <c r="I1077">
        <v>1.71</v>
      </c>
      <c r="J1077">
        <f t="shared" si="336"/>
        <v>2.44</v>
      </c>
      <c r="K1077" s="6">
        <f t="shared" si="337"/>
        <v>2.31</v>
      </c>
      <c r="L1077" s="6">
        <f t="shared" si="338"/>
        <v>6.0000000000000053E-2</v>
      </c>
      <c r="M1077">
        <v>3.4491436664086002</v>
      </c>
      <c r="N1077">
        <v>312000</v>
      </c>
      <c r="O1077" s="18">
        <f>ROUND(N1077/VLOOKUP(EOMONTH(A1077,-1),Employment!A:P,16,FALSE),4)</f>
        <v>1.5286999999999999</v>
      </c>
      <c r="P1077" s="18">
        <f t="shared" si="328"/>
        <v>1.5392999999999999</v>
      </c>
      <c r="Q1077" s="29">
        <f t="shared" si="329"/>
        <v>-0.1153</v>
      </c>
      <c r="R1077" s="29">
        <f t="shared" si="330"/>
        <v>1.37E-2</v>
      </c>
      <c r="S1077">
        <v>2291000</v>
      </c>
      <c r="T1077" s="18">
        <f>ROUND((S1077/7)/VLOOKUP(EOMONTH(A1077,-1),Employment!A:P,16,FALSE),4)</f>
        <v>1.6035999999999999</v>
      </c>
      <c r="U1077" s="18">
        <f t="shared" si="331"/>
        <v>1.5662</v>
      </c>
      <c r="V1077" s="29">
        <f t="shared" si="332"/>
        <v>-0.11210000000000001</v>
      </c>
      <c r="W1077" s="29">
        <f t="shared" si="333"/>
        <v>1.17E-2</v>
      </c>
      <c r="X1077" s="30">
        <f t="shared" si="334"/>
        <v>146.31</v>
      </c>
      <c r="Y1077" s="31">
        <f t="shared" si="335"/>
        <v>141.16999999999999</v>
      </c>
    </row>
    <row r="1078" spans="1:25" ht="15" customHeight="1" x14ac:dyDescent="0.25">
      <c r="A1078" s="5">
        <v>35799</v>
      </c>
      <c r="B1078">
        <v>847.73829999999998</v>
      </c>
      <c r="C1078" s="29">
        <f t="shared" si="339"/>
        <v>6.4000000000000003E-3</v>
      </c>
      <c r="D1078">
        <v>-0.48</v>
      </c>
      <c r="E1078">
        <v>0.40799999999999997</v>
      </c>
      <c r="F1078" s="18">
        <f t="shared" si="326"/>
        <v>0.63999999999999968</v>
      </c>
      <c r="G1078" s="18">
        <f t="shared" si="327"/>
        <v>0.37599999999999989</v>
      </c>
      <c r="H1078">
        <v>3.02</v>
      </c>
      <c r="I1078">
        <v>1.54</v>
      </c>
      <c r="J1078">
        <f t="shared" si="336"/>
        <v>2.2799999999999998</v>
      </c>
      <c r="K1078" s="6">
        <f t="shared" si="337"/>
        <v>2.25</v>
      </c>
      <c r="L1078" s="6">
        <f t="shared" si="338"/>
        <v>9.9999999999997868E-3</v>
      </c>
      <c r="M1078">
        <v>3.8639519489617999</v>
      </c>
      <c r="N1078">
        <v>313250</v>
      </c>
      <c r="O1078" s="18">
        <f>ROUND(N1078/VLOOKUP(EOMONTH(A1078,-1),Employment!A:P,16,FALSE),4)</f>
        <v>1.5347999999999999</v>
      </c>
      <c r="P1078" s="18">
        <f t="shared" si="328"/>
        <v>1.5474000000000001</v>
      </c>
      <c r="Q1078" s="29">
        <f t="shared" si="329"/>
        <v>-0.1067</v>
      </c>
      <c r="R1078" s="29">
        <f t="shared" si="330"/>
        <v>1.01E-2</v>
      </c>
      <c r="S1078">
        <v>2189000</v>
      </c>
      <c r="T1078" s="18">
        <f>ROUND((S1078/7)/VLOOKUP(EOMONTH(A1078,-1),Employment!A:P,16,FALSE),4)</f>
        <v>1.5322</v>
      </c>
      <c r="U1078" s="18">
        <f t="shared" si="331"/>
        <v>1.5524</v>
      </c>
      <c r="V1078" s="29">
        <f t="shared" si="332"/>
        <v>-0.1187</v>
      </c>
      <c r="W1078" s="29">
        <f t="shared" si="333"/>
        <v>1.2500000000000001E-2</v>
      </c>
      <c r="X1078" s="30">
        <f t="shared" si="334"/>
        <v>139.47999999999999</v>
      </c>
      <c r="Y1078" s="31">
        <f t="shared" si="335"/>
        <v>134.79</v>
      </c>
    </row>
    <row r="1079" spans="1:25" ht="15" customHeight="1" x14ac:dyDescent="0.25">
      <c r="A1079" s="5">
        <v>35792</v>
      </c>
      <c r="B1079">
        <v>842.50609999999995</v>
      </c>
      <c r="C1079" s="29">
        <f t="shared" si="339"/>
        <v>1.1999999999999999E-3</v>
      </c>
      <c r="D1079">
        <v>-0.46</v>
      </c>
      <c r="E1079">
        <v>0.46300000000000002</v>
      </c>
      <c r="F1079" s="18">
        <f t="shared" si="326"/>
        <v>2.8000000000000469E-2</v>
      </c>
      <c r="G1079" s="18">
        <f t="shared" si="327"/>
        <v>0.40000000000000036</v>
      </c>
      <c r="H1079">
        <v>2.93</v>
      </c>
      <c r="I1079">
        <v>1.51</v>
      </c>
      <c r="J1079">
        <f t="shared" si="336"/>
        <v>2.2200000000000002</v>
      </c>
      <c r="K1079" s="6">
        <f t="shared" si="337"/>
        <v>2.2400000000000002</v>
      </c>
      <c r="L1079" s="6">
        <f t="shared" si="338"/>
        <v>3.0000000000000249E-2</v>
      </c>
      <c r="M1079">
        <v>4.504424277809</v>
      </c>
      <c r="N1079">
        <v>317000</v>
      </c>
      <c r="O1079" s="18">
        <f>ROUND(N1079/VLOOKUP(EOMONTH(A1079,-1),Employment!A:P,16,FALSE),4)</f>
        <v>1.5544</v>
      </c>
      <c r="P1079" s="18">
        <f t="shared" si="328"/>
        <v>1.5544</v>
      </c>
      <c r="Q1079" s="29">
        <f t="shared" si="329"/>
        <v>-9.4700000000000006E-2</v>
      </c>
      <c r="R1079" s="29">
        <f t="shared" si="330"/>
        <v>4.8999999999999998E-3</v>
      </c>
      <c r="S1079">
        <v>2231000</v>
      </c>
      <c r="T1079" s="18">
        <f>ROUND((S1079/7)/VLOOKUP(EOMONTH(A1079,-1),Employment!A:P,16,FALSE),4)</f>
        <v>1.5628</v>
      </c>
      <c r="U1079" s="18">
        <f t="shared" si="331"/>
        <v>1.5650999999999999</v>
      </c>
      <c r="V1079" s="29">
        <f t="shared" si="332"/>
        <v>-0.1062</v>
      </c>
      <c r="W1079" s="29">
        <f t="shared" si="333"/>
        <v>2.3E-3</v>
      </c>
      <c r="X1079" s="30">
        <f t="shared" si="334"/>
        <v>132.52000000000001</v>
      </c>
      <c r="Y1079" s="31">
        <f t="shared" si="335"/>
        <v>131.11000000000001</v>
      </c>
    </row>
    <row r="1080" spans="1:25" ht="15" customHeight="1" x14ac:dyDescent="0.25">
      <c r="A1080" s="5">
        <v>35785</v>
      </c>
      <c r="B1080">
        <v>839.77790000000005</v>
      </c>
      <c r="C1080" s="29">
        <f t="shared" si="339"/>
        <v>-1.5E-3</v>
      </c>
      <c r="D1080">
        <v>-0.45</v>
      </c>
      <c r="E1080">
        <v>0.45400000000000001</v>
      </c>
      <c r="F1080" s="18">
        <f t="shared" si="326"/>
        <v>-0.29200000000000026</v>
      </c>
      <c r="G1080" s="18">
        <f t="shared" si="327"/>
        <v>0.74400000000000022</v>
      </c>
      <c r="H1080">
        <v>2.93</v>
      </c>
      <c r="I1080">
        <v>1.54</v>
      </c>
      <c r="J1080">
        <f t="shared" si="336"/>
        <v>2.2400000000000002</v>
      </c>
      <c r="K1080" s="6">
        <f t="shared" si="337"/>
        <v>2.21</v>
      </c>
      <c r="L1080" s="6">
        <f t="shared" si="338"/>
        <v>2.0000000000000018E-2</v>
      </c>
      <c r="M1080">
        <v>5.0737081547632004</v>
      </c>
      <c r="N1080">
        <v>316750</v>
      </c>
      <c r="O1080" s="18">
        <f>ROUND(N1080/VLOOKUP(EOMONTH(A1080,-1),Employment!A:P,16,FALSE),4)</f>
        <v>1.5530999999999999</v>
      </c>
      <c r="P1080" s="18">
        <f t="shared" si="328"/>
        <v>1.5510999999999999</v>
      </c>
      <c r="Q1080" s="29">
        <f t="shared" si="329"/>
        <v>-8.7599999999999997E-2</v>
      </c>
      <c r="R1080" s="29">
        <f t="shared" si="330"/>
        <v>-4.0000000000000002E-4</v>
      </c>
      <c r="S1080">
        <v>2230000</v>
      </c>
      <c r="T1080" s="18">
        <f>ROUND((S1080/7)/VLOOKUP(EOMONTH(A1080,-1),Employment!A:P,16,FALSE),4)</f>
        <v>1.5621</v>
      </c>
      <c r="U1080" s="18">
        <f t="shared" si="331"/>
        <v>1.5616000000000001</v>
      </c>
      <c r="V1080" s="29">
        <f t="shared" si="332"/>
        <v>-9.4299999999999995E-2</v>
      </c>
      <c r="W1080" s="29">
        <f t="shared" si="333"/>
        <v>-8.8999999999999999E-3</v>
      </c>
      <c r="X1080" s="30">
        <f t="shared" si="334"/>
        <v>128.71</v>
      </c>
      <c r="Y1080" s="31">
        <f t="shared" si="335"/>
        <v>131.32</v>
      </c>
    </row>
    <row r="1081" spans="1:25" ht="15" customHeight="1" x14ac:dyDescent="0.25">
      <c r="A1081" s="5">
        <v>35778</v>
      </c>
      <c r="B1081">
        <v>842.77260000000001</v>
      </c>
      <c r="C1081" s="29">
        <f t="shared" si="339"/>
        <v>4.4999999999999997E-3</v>
      </c>
      <c r="D1081">
        <v>-0.44</v>
      </c>
      <c r="E1081">
        <v>0.40500000000000003</v>
      </c>
      <c r="F1081" s="18">
        <f t="shared" si="326"/>
        <v>0.66400000000000015</v>
      </c>
      <c r="G1081" s="18">
        <f t="shared" si="327"/>
        <v>2.1320000000000006</v>
      </c>
      <c r="H1081">
        <v>2.94</v>
      </c>
      <c r="I1081">
        <v>1.56</v>
      </c>
      <c r="J1081">
        <f t="shared" si="336"/>
        <v>2.25</v>
      </c>
      <c r="K1081" s="6">
        <f t="shared" si="337"/>
        <v>2.19</v>
      </c>
      <c r="L1081" s="6">
        <f t="shared" si="338"/>
        <v>0</v>
      </c>
      <c r="M1081">
        <v>5.1469639801787999</v>
      </c>
      <c r="N1081">
        <v>317250</v>
      </c>
      <c r="O1081" s="18">
        <f>ROUND(N1081/VLOOKUP(EOMONTH(A1081,-1),Employment!A:P,16,FALSE),4)</f>
        <v>1.5556000000000001</v>
      </c>
      <c r="P1081" s="18">
        <f t="shared" si="328"/>
        <v>1.5466</v>
      </c>
      <c r="Q1081" s="29">
        <f t="shared" si="329"/>
        <v>-8.2199999999999995E-2</v>
      </c>
      <c r="R1081" s="29">
        <f t="shared" si="330"/>
        <v>-4.4999999999999997E-3</v>
      </c>
      <c r="S1081">
        <v>2242000</v>
      </c>
      <c r="T1081" s="18">
        <f>ROUND((S1081/7)/VLOOKUP(EOMONTH(A1081,-1),Employment!A:P,16,FALSE),4)</f>
        <v>1.5705</v>
      </c>
      <c r="U1081" s="18">
        <f t="shared" si="331"/>
        <v>1.5571999999999999</v>
      </c>
      <c r="V1081" s="29">
        <f t="shared" si="332"/>
        <v>-8.6999999999999994E-2</v>
      </c>
      <c r="W1081" s="29">
        <f t="shared" si="333"/>
        <v>-1.32E-2</v>
      </c>
      <c r="X1081" s="30">
        <f t="shared" si="334"/>
        <v>133.57999999999998</v>
      </c>
      <c r="Y1081" s="31">
        <f t="shared" si="335"/>
        <v>132.63</v>
      </c>
    </row>
    <row r="1082" spans="1:25" ht="15" customHeight="1" x14ac:dyDescent="0.25">
      <c r="A1082" s="5">
        <v>35771</v>
      </c>
      <c r="B1082">
        <v>844.4248</v>
      </c>
      <c r="C1082" s="29">
        <f t="shared" si="339"/>
        <v>1.0500000000000001E-2</v>
      </c>
      <c r="D1082">
        <v>-0.42</v>
      </c>
      <c r="E1082">
        <v>0.46300000000000002</v>
      </c>
      <c r="F1082" s="18">
        <f t="shared" si="326"/>
        <v>0.37200000000000033</v>
      </c>
      <c r="G1082" s="18">
        <f t="shared" si="327"/>
        <v>0.81199999999999983</v>
      </c>
      <c r="H1082">
        <v>2.81</v>
      </c>
      <c r="I1082">
        <v>1.48</v>
      </c>
      <c r="J1082">
        <f t="shared" si="336"/>
        <v>2.15</v>
      </c>
      <c r="K1082" s="6">
        <f t="shared" si="337"/>
        <v>2.19</v>
      </c>
      <c r="L1082" s="6">
        <f t="shared" si="338"/>
        <v>-2.0000000000000018E-2</v>
      </c>
      <c r="M1082">
        <v>4.8171805738183</v>
      </c>
      <c r="N1082">
        <v>315000</v>
      </c>
      <c r="O1082" s="18">
        <f>ROUND(N1082/VLOOKUP(EOMONTH(A1082,-1),Employment!A:P,16,FALSE),4)</f>
        <v>1.5446</v>
      </c>
      <c r="P1082" s="18">
        <f t="shared" si="328"/>
        <v>1.5401</v>
      </c>
      <c r="Q1082" s="29">
        <f t="shared" si="329"/>
        <v>-8.1600000000000006E-2</v>
      </c>
      <c r="R1082" s="29">
        <f t="shared" si="330"/>
        <v>-5.0000000000000001E-3</v>
      </c>
      <c r="S1082">
        <v>2216000</v>
      </c>
      <c r="T1082" s="18">
        <f>ROUND((S1082/7)/VLOOKUP(EOMONTH(A1082,-1),Employment!A:P,16,FALSE),4)</f>
        <v>1.5523</v>
      </c>
      <c r="U1082" s="18">
        <f t="shared" si="331"/>
        <v>1.5494000000000001</v>
      </c>
      <c r="V1082" s="29">
        <f t="shared" si="332"/>
        <v>-9.3799999999999994E-2</v>
      </c>
      <c r="W1082" s="29">
        <f t="shared" si="333"/>
        <v>-7.0000000000000001E-3</v>
      </c>
      <c r="X1082" s="30">
        <f t="shared" si="334"/>
        <v>132.18</v>
      </c>
      <c r="Y1082" s="31">
        <f t="shared" si="335"/>
        <v>130.5</v>
      </c>
    </row>
    <row r="1083" spans="1:25" ht="15" customHeight="1" x14ac:dyDescent="0.25">
      <c r="A1083" s="5">
        <v>35764</v>
      </c>
      <c r="B1083">
        <v>838.84529999999995</v>
      </c>
      <c r="C1083" s="29">
        <f t="shared" si="339"/>
        <v>5.7999999999999996E-3</v>
      </c>
      <c r="D1083">
        <v>-0.41</v>
      </c>
      <c r="E1083">
        <v>0.497</v>
      </c>
      <c r="F1083" s="18">
        <f t="shared" si="326"/>
        <v>1.0960000000000001</v>
      </c>
      <c r="G1083" s="18">
        <f t="shared" si="327"/>
        <v>0.85199999999999942</v>
      </c>
      <c r="H1083">
        <v>2.84</v>
      </c>
      <c r="I1083">
        <v>1.52</v>
      </c>
      <c r="J1083">
        <f t="shared" si="336"/>
        <v>2.1800000000000002</v>
      </c>
      <c r="K1083" s="6">
        <f t="shared" si="337"/>
        <v>2.21</v>
      </c>
      <c r="L1083" s="6">
        <f t="shared" si="338"/>
        <v>-1.0000000000000231E-2</v>
      </c>
      <c r="M1083">
        <v>4.8177317687918997</v>
      </c>
      <c r="N1083">
        <v>313750</v>
      </c>
      <c r="O1083" s="18">
        <f>ROUND(N1083/VLOOKUP(EOMONTH(A1083,-1),Employment!A:P,16,FALSE),4)</f>
        <v>1.5397000000000001</v>
      </c>
      <c r="P1083" s="18">
        <f t="shared" si="328"/>
        <v>1.5344</v>
      </c>
      <c r="Q1083" s="29">
        <f t="shared" si="329"/>
        <v>-8.5300000000000001E-2</v>
      </c>
      <c r="R1083" s="29">
        <f t="shared" si="330"/>
        <v>-3.3E-3</v>
      </c>
      <c r="S1083">
        <v>2209000</v>
      </c>
      <c r="T1083" s="18">
        <f>ROUND((S1083/7)/VLOOKUP(EOMONTH(A1083,-1),Employment!A:P,16,FALSE),4)</f>
        <v>1.5487</v>
      </c>
      <c r="U1083" s="18">
        <f t="shared" si="331"/>
        <v>1.5464</v>
      </c>
      <c r="V1083" s="29">
        <f t="shared" si="332"/>
        <v>-0.1084</v>
      </c>
      <c r="W1083" s="29">
        <f t="shared" si="333"/>
        <v>-1E-4</v>
      </c>
      <c r="X1083" s="30">
        <f t="shared" si="334"/>
        <v>131.38</v>
      </c>
      <c r="Y1083" s="31">
        <f t="shared" si="335"/>
        <v>126.78</v>
      </c>
    </row>
    <row r="1084" spans="1:25" ht="15" customHeight="1" x14ac:dyDescent="0.25">
      <c r="A1084" s="5">
        <v>35757</v>
      </c>
      <c r="B1084">
        <v>838.28160000000003</v>
      </c>
      <c r="C1084" s="29">
        <f t="shared" si="339"/>
        <v>5.8999999999999999E-3</v>
      </c>
      <c r="D1084">
        <v>-0.41</v>
      </c>
      <c r="E1084">
        <v>0.63400000000000001</v>
      </c>
      <c r="F1084" s="18">
        <f t="shared" si="326"/>
        <v>-0.65600000000000058</v>
      </c>
      <c r="G1084" s="18">
        <f t="shared" si="327"/>
        <v>-1.9200000000000008</v>
      </c>
      <c r="H1084">
        <v>2.9</v>
      </c>
      <c r="I1084">
        <v>1.55</v>
      </c>
      <c r="J1084">
        <f t="shared" si="336"/>
        <v>2.23</v>
      </c>
      <c r="K1084" s="6">
        <f t="shared" si="337"/>
        <v>2.2200000000000002</v>
      </c>
      <c r="L1084" s="6">
        <f t="shared" si="338"/>
        <v>-2.0000000000000018E-2</v>
      </c>
      <c r="M1084">
        <v>4.9181671472291004</v>
      </c>
      <c r="N1084">
        <v>313000</v>
      </c>
      <c r="O1084" s="18">
        <f>ROUND(N1084/VLOOKUP(EOMONTH(A1084,-1),Employment!A:P,16,FALSE),4)</f>
        <v>1.5361</v>
      </c>
      <c r="P1084" s="18">
        <f t="shared" si="328"/>
        <v>1.5290999999999999</v>
      </c>
      <c r="Q1084" s="29">
        <f t="shared" si="329"/>
        <v>-8.9899999999999994E-2</v>
      </c>
      <c r="R1084" s="29">
        <f t="shared" si="330"/>
        <v>-8.9999999999999998E-4</v>
      </c>
      <c r="S1084">
        <v>2207000</v>
      </c>
      <c r="T1084" s="18">
        <f>ROUND((S1084/7)/VLOOKUP(EOMONTH(A1084,-1),Employment!A:P,16,FALSE),4)</f>
        <v>1.5472999999999999</v>
      </c>
      <c r="U1084" s="18">
        <f t="shared" si="331"/>
        <v>1.5508</v>
      </c>
      <c r="V1084" s="29">
        <f t="shared" si="332"/>
        <v>-0.1143</v>
      </c>
      <c r="W1084" s="29">
        <f t="shared" si="333"/>
        <v>3.2000000000000002E-3</v>
      </c>
      <c r="X1084" s="30">
        <f t="shared" si="334"/>
        <v>124.1</v>
      </c>
      <c r="Y1084" s="31">
        <f t="shared" si="335"/>
        <v>122.26</v>
      </c>
    </row>
    <row r="1085" spans="1:25" ht="15" customHeight="1" x14ac:dyDescent="0.25">
      <c r="A1085" s="5">
        <v>35750</v>
      </c>
      <c r="B1085">
        <v>834.49040000000002</v>
      </c>
      <c r="C1085" s="29">
        <f t="shared" si="339"/>
        <v>8.0000000000000004E-4</v>
      </c>
      <c r="D1085">
        <v>-0.43</v>
      </c>
      <c r="E1085">
        <v>0.57699999999999996</v>
      </c>
      <c r="F1085" s="18">
        <f t="shared" si="326"/>
        <v>0.41199999999999992</v>
      </c>
      <c r="G1085" s="18">
        <f t="shared" si="327"/>
        <v>-1.9360000000000004</v>
      </c>
      <c r="H1085">
        <v>2.88</v>
      </c>
      <c r="I1085">
        <v>1.56</v>
      </c>
      <c r="J1085">
        <f t="shared" si="336"/>
        <v>2.2200000000000002</v>
      </c>
      <c r="K1085" s="6">
        <f t="shared" si="337"/>
        <v>2.2400000000000002</v>
      </c>
      <c r="L1085" s="6">
        <f t="shared" si="338"/>
        <v>6.0000000000000053E-2</v>
      </c>
      <c r="M1085">
        <v>5.0526431495313</v>
      </c>
      <c r="N1085">
        <v>311250</v>
      </c>
      <c r="O1085" s="18">
        <f>ROUND(N1085/VLOOKUP(EOMONTH(A1085,-1),Employment!A:P,16,FALSE),4)</f>
        <v>1.5275000000000001</v>
      </c>
      <c r="P1085" s="18">
        <f t="shared" si="328"/>
        <v>1.5242</v>
      </c>
      <c r="Q1085" s="29">
        <f t="shared" si="329"/>
        <v>-9.2999999999999999E-2</v>
      </c>
      <c r="R1085" s="29">
        <f t="shared" si="330"/>
        <v>-5.9999999999999995E-4</v>
      </c>
      <c r="S1085">
        <v>2201000</v>
      </c>
      <c r="T1085" s="18">
        <f>ROUND((S1085/7)/VLOOKUP(EOMONTH(A1085,-1),Employment!A:P,16,FALSE),4)</f>
        <v>1.5430999999999999</v>
      </c>
      <c r="U1085" s="18">
        <f t="shared" si="331"/>
        <v>1.5449999999999999</v>
      </c>
      <c r="V1085" s="29">
        <f t="shared" si="332"/>
        <v>-0.11459999999999999</v>
      </c>
      <c r="W1085" s="29">
        <f t="shared" si="333"/>
        <v>1.4E-3</v>
      </c>
      <c r="X1085" s="30">
        <f t="shared" si="334"/>
        <v>121.97999999999999</v>
      </c>
      <c r="Y1085" s="31">
        <f t="shared" si="335"/>
        <v>121.76</v>
      </c>
    </row>
    <row r="1086" spans="1:25" ht="15" customHeight="1" x14ac:dyDescent="0.25">
      <c r="A1086" s="5">
        <v>35743</v>
      </c>
      <c r="B1086">
        <v>831.09299999999996</v>
      </c>
      <c r="C1086" s="29">
        <f t="shared" si="339"/>
        <v>-3.8E-3</v>
      </c>
      <c r="D1086">
        <v>-0.46</v>
      </c>
      <c r="E1086">
        <v>0.66600000000000004</v>
      </c>
      <c r="F1086" s="18">
        <f t="shared" si="326"/>
        <v>-1.6760000000000002</v>
      </c>
      <c r="G1086" s="18">
        <f t="shared" si="327"/>
        <v>-3.0160000000000005</v>
      </c>
      <c r="H1086">
        <v>2.83</v>
      </c>
      <c r="I1086">
        <v>1.56</v>
      </c>
      <c r="J1086">
        <f t="shared" si="336"/>
        <v>2.2000000000000002</v>
      </c>
      <c r="K1086" s="6">
        <f t="shared" si="337"/>
        <v>2.1800000000000002</v>
      </c>
      <c r="L1086" s="6">
        <f t="shared" si="338"/>
        <v>8.0000000000000071E-2</v>
      </c>
      <c r="M1086">
        <v>6.0992453273993998</v>
      </c>
      <c r="N1086">
        <v>310500</v>
      </c>
      <c r="O1086" s="18">
        <f>ROUND(N1086/VLOOKUP(EOMONTH(A1086,-1),Employment!A:P,16,FALSE),4)</f>
        <v>1.5238</v>
      </c>
      <c r="P1086" s="18">
        <f t="shared" si="328"/>
        <v>1.5270999999999999</v>
      </c>
      <c r="Q1086" s="29">
        <f t="shared" si="329"/>
        <v>-9.2499999999999999E-2</v>
      </c>
      <c r="R1086" s="29">
        <f t="shared" si="330"/>
        <v>1.4E-3</v>
      </c>
      <c r="S1086">
        <v>2228000</v>
      </c>
      <c r="T1086" s="18">
        <f>ROUND((S1086/7)/VLOOKUP(EOMONTH(A1086,-1),Employment!A:P,16,FALSE),4)</f>
        <v>1.5620000000000001</v>
      </c>
      <c r="U1086" s="18">
        <f t="shared" si="331"/>
        <v>1.5483</v>
      </c>
      <c r="V1086" s="29">
        <f t="shared" si="332"/>
        <v>-0.1094</v>
      </c>
      <c r="W1086" s="29">
        <f t="shared" si="333"/>
        <v>-6.9999999999999999E-4</v>
      </c>
      <c r="X1086" s="30">
        <f t="shared" si="334"/>
        <v>118.37</v>
      </c>
      <c r="Y1086" s="31">
        <f t="shared" si="335"/>
        <v>127.16</v>
      </c>
    </row>
    <row r="1087" spans="1:25" ht="15" customHeight="1" x14ac:dyDescent="0.25">
      <c r="A1087" s="5">
        <v>35736</v>
      </c>
      <c r="B1087">
        <v>832.16520000000003</v>
      </c>
      <c r="C1087" s="29">
        <f t="shared" si="339"/>
        <v>-1.4E-3</v>
      </c>
      <c r="D1087">
        <v>-0.49</v>
      </c>
      <c r="E1087">
        <v>0.49399999999999999</v>
      </c>
      <c r="F1087" s="18">
        <f t="shared" si="326"/>
        <v>-0.67200000000000015</v>
      </c>
      <c r="G1087" s="18">
        <f t="shared" si="327"/>
        <v>-1.3159999999999994</v>
      </c>
      <c r="H1087">
        <v>2.99</v>
      </c>
      <c r="I1087">
        <v>1.6</v>
      </c>
      <c r="J1087">
        <f t="shared" si="336"/>
        <v>2.2999999999999998</v>
      </c>
      <c r="K1087" s="6">
        <f t="shared" si="337"/>
        <v>2.1</v>
      </c>
      <c r="L1087" s="6">
        <f t="shared" si="338"/>
        <v>0.10000000000000009</v>
      </c>
      <c r="M1087">
        <v>6.3871695088241998</v>
      </c>
      <c r="N1087">
        <v>310000</v>
      </c>
      <c r="O1087" s="18">
        <f>ROUND(N1087/VLOOKUP(EOMONTH(A1087,-1),Employment!A:P,16,FALSE),4)</f>
        <v>1.5213000000000001</v>
      </c>
      <c r="P1087" s="18">
        <f t="shared" si="328"/>
        <v>1.5308999999999999</v>
      </c>
      <c r="Q1087" s="29">
        <f t="shared" si="329"/>
        <v>-9.3700000000000006E-2</v>
      </c>
      <c r="R1087" s="29">
        <f t="shared" si="330"/>
        <v>6.1000000000000004E-3</v>
      </c>
      <c r="S1087">
        <v>2182000</v>
      </c>
      <c r="T1087" s="18">
        <f>ROUND((S1087/7)/VLOOKUP(EOMONTH(A1087,-1),Employment!A:P,16,FALSE),4)</f>
        <v>1.5298</v>
      </c>
      <c r="U1087" s="18">
        <f t="shared" si="331"/>
        <v>1.5512999999999999</v>
      </c>
      <c r="V1087" s="29">
        <f t="shared" si="332"/>
        <v>-0.1106</v>
      </c>
      <c r="W1087" s="29">
        <f t="shared" si="333"/>
        <v>-1.1999999999999999E-3</v>
      </c>
      <c r="X1087" s="30">
        <f t="shared" si="334"/>
        <v>129.68</v>
      </c>
      <c r="Y1087" s="31">
        <f t="shared" si="335"/>
        <v>139.01</v>
      </c>
    </row>
    <row r="1088" spans="1:25" ht="15" customHeight="1" x14ac:dyDescent="0.25">
      <c r="A1088" s="5">
        <v>35729</v>
      </c>
      <c r="B1088">
        <v>835.73320000000001</v>
      </c>
      <c r="C1088" s="29">
        <f t="shared" si="339"/>
        <v>4.7000000000000002E-3</v>
      </c>
      <c r="D1088">
        <v>-0.53</v>
      </c>
      <c r="E1088">
        <v>0.46</v>
      </c>
      <c r="F1088" s="18">
        <f t="shared" si="326"/>
        <v>-0.66800000000000015</v>
      </c>
      <c r="G1088" s="18">
        <f t="shared" si="327"/>
        <v>-0.51599999999999913</v>
      </c>
      <c r="H1088">
        <v>2.58</v>
      </c>
      <c r="I1088">
        <v>1.48</v>
      </c>
      <c r="J1088">
        <f t="shared" si="336"/>
        <v>2.0299999999999998</v>
      </c>
      <c r="K1088" s="6">
        <f t="shared" si="337"/>
        <v>2</v>
      </c>
      <c r="L1088" s="6">
        <f t="shared" si="338"/>
        <v>-2.0000000000000018E-2</v>
      </c>
      <c r="M1088">
        <v>6.6326649085857001</v>
      </c>
      <c r="N1088">
        <v>312750</v>
      </c>
      <c r="O1088" s="18">
        <f>ROUND(N1088/VLOOKUP(EOMONTH(A1088,-1),Employment!A:P,16,FALSE),4)</f>
        <v>1.5363</v>
      </c>
      <c r="P1088" s="18">
        <f t="shared" si="328"/>
        <v>1.5391999999999999</v>
      </c>
      <c r="Q1088" s="29">
        <f t="shared" si="329"/>
        <v>-9.2899999999999996E-2</v>
      </c>
      <c r="R1088" s="29">
        <f t="shared" si="330"/>
        <v>1.5599999999999999E-2</v>
      </c>
      <c r="S1088">
        <v>2213000</v>
      </c>
      <c r="T1088" s="18">
        <f>ROUND((S1088/7)/VLOOKUP(EOMONTH(A1088,-1),Employment!A:P,16,FALSE),4)</f>
        <v>1.5529999999999999</v>
      </c>
      <c r="U1088" s="18">
        <f t="shared" si="331"/>
        <v>1.5637000000000001</v>
      </c>
      <c r="V1088" s="29">
        <f t="shared" si="332"/>
        <v>-0.1074</v>
      </c>
      <c r="W1088" s="29">
        <f t="shared" si="333"/>
        <v>2.9999999999999997E-4</v>
      </c>
      <c r="X1088" s="30">
        <f t="shared" si="334"/>
        <v>142.81</v>
      </c>
      <c r="Y1088" s="31">
        <f t="shared" si="335"/>
        <v>148.72999999999999</v>
      </c>
    </row>
    <row r="1089" spans="1:25" ht="15" customHeight="1" x14ac:dyDescent="0.25">
      <c r="A1089" s="5">
        <v>35722</v>
      </c>
      <c r="B1089">
        <v>836.3845</v>
      </c>
      <c r="C1089" s="29">
        <f t="shared" si="339"/>
        <v>7.6E-3</v>
      </c>
      <c r="D1089">
        <v>-0.56000000000000005</v>
      </c>
      <c r="E1089">
        <v>0.41399999999999998</v>
      </c>
      <c r="F1089" s="18">
        <f t="shared" si="326"/>
        <v>2.4000000000000909E-2</v>
      </c>
      <c r="G1089" s="18">
        <f t="shared" si="327"/>
        <v>4.0000000000000924E-2</v>
      </c>
      <c r="H1089">
        <v>2.44</v>
      </c>
      <c r="I1089">
        <v>1.47</v>
      </c>
      <c r="J1089">
        <f t="shared" si="336"/>
        <v>1.96</v>
      </c>
      <c r="K1089" s="6">
        <f t="shared" si="337"/>
        <v>2.02</v>
      </c>
      <c r="L1089" s="6">
        <f t="shared" si="338"/>
        <v>-2.9999999999999805E-2</v>
      </c>
      <c r="M1089">
        <v>7.2236402346385997</v>
      </c>
      <c r="N1089">
        <v>312500</v>
      </c>
      <c r="O1089" s="18">
        <f>ROUND(N1089/VLOOKUP(EOMONTH(A1089,-1),Employment!A:P,16,FALSE),4)</f>
        <v>1.5350999999999999</v>
      </c>
      <c r="P1089" s="18">
        <f t="shared" si="328"/>
        <v>1.5432999999999999</v>
      </c>
      <c r="Q1089" s="29">
        <f t="shared" si="329"/>
        <v>-9.4700000000000006E-2</v>
      </c>
      <c r="R1089" s="29">
        <f t="shared" si="330"/>
        <v>2.4E-2</v>
      </c>
      <c r="S1089">
        <v>2239000</v>
      </c>
      <c r="T1089" s="18">
        <f>ROUND((S1089/7)/VLOOKUP(EOMONTH(A1089,-1),Employment!A:P,16,FALSE),4)</f>
        <v>1.5711999999999999</v>
      </c>
      <c r="U1089" s="18">
        <f t="shared" si="331"/>
        <v>1.5703</v>
      </c>
      <c r="V1089" s="29">
        <f t="shared" si="332"/>
        <v>-0.1111</v>
      </c>
      <c r="W1089" s="29">
        <f t="shared" si="333"/>
        <v>6.7000000000000002E-3</v>
      </c>
      <c r="X1089" s="30">
        <f t="shared" si="334"/>
        <v>152.86000000000001</v>
      </c>
      <c r="Y1089" s="31">
        <f t="shared" si="335"/>
        <v>152.07</v>
      </c>
    </row>
    <row r="1090" spans="1:25" ht="15" customHeight="1" x14ac:dyDescent="0.25">
      <c r="A1090" s="5">
        <v>35715</v>
      </c>
      <c r="B1090">
        <v>832.70860000000005</v>
      </c>
      <c r="C1090" s="29">
        <f t="shared" si="339"/>
        <v>4.7000000000000002E-3</v>
      </c>
      <c r="D1090">
        <v>-0.57999999999999996</v>
      </c>
      <c r="E1090">
        <v>0.442</v>
      </c>
      <c r="F1090" s="18">
        <f t="shared" si="326"/>
        <v>0.12800000000000011</v>
      </c>
      <c r="G1090" s="18">
        <f t="shared" si="327"/>
        <v>0.41599999999999993</v>
      </c>
      <c r="H1090">
        <v>2.5099999999999998</v>
      </c>
      <c r="I1090">
        <v>1.51</v>
      </c>
      <c r="J1090">
        <f t="shared" si="336"/>
        <v>2.0099999999999998</v>
      </c>
      <c r="K1090" s="6">
        <f t="shared" si="337"/>
        <v>2.0499999999999998</v>
      </c>
      <c r="L1090" s="6">
        <f t="shared" si="338"/>
        <v>-2.0000000000000018E-2</v>
      </c>
      <c r="M1090">
        <v>6.8984809896456998</v>
      </c>
      <c r="N1090">
        <v>314750</v>
      </c>
      <c r="O1090" s="18">
        <f>ROUND(N1090/VLOOKUP(EOMONTH(A1090,-1),Employment!A:P,16,FALSE),4)</f>
        <v>1.5462</v>
      </c>
      <c r="P1090" s="18">
        <f t="shared" si="328"/>
        <v>1.5545</v>
      </c>
      <c r="Q1090" s="29">
        <f t="shared" si="329"/>
        <v>-8.4699999999999998E-2</v>
      </c>
      <c r="R1090" s="29">
        <f t="shared" si="330"/>
        <v>2.6599999999999999E-2</v>
      </c>
      <c r="S1090">
        <v>2233000</v>
      </c>
      <c r="T1090" s="18">
        <f>ROUND((S1090/7)/VLOOKUP(EOMONTH(A1090,-1),Employment!A:P,16,FALSE),4)</f>
        <v>1.5669999999999999</v>
      </c>
      <c r="U1090" s="18">
        <f t="shared" si="331"/>
        <v>1.5617000000000001</v>
      </c>
      <c r="V1090" s="29">
        <f t="shared" si="332"/>
        <v>-0.11509999999999999</v>
      </c>
      <c r="W1090" s="29">
        <f t="shared" si="333"/>
        <v>7.1999999999999998E-3</v>
      </c>
      <c r="X1090" s="30">
        <f t="shared" si="334"/>
        <v>153.22</v>
      </c>
      <c r="Y1090" s="31">
        <f t="shared" si="335"/>
        <v>148.24</v>
      </c>
    </row>
    <row r="1091" spans="1:25" ht="15" customHeight="1" x14ac:dyDescent="0.25">
      <c r="A1091" s="5">
        <v>35708</v>
      </c>
      <c r="B1091">
        <v>828.61509999999998</v>
      </c>
      <c r="C1091" s="29">
        <f t="shared" si="339"/>
        <v>8.9999999999999998E-4</v>
      </c>
      <c r="D1091">
        <v>-0.57999999999999996</v>
      </c>
      <c r="E1091">
        <v>0.45800000000000002</v>
      </c>
      <c r="F1091" s="18">
        <f t="shared" si="326"/>
        <v>-0.1120000000000001</v>
      </c>
      <c r="G1091" s="18">
        <f t="shared" si="327"/>
        <v>0.36799999999999988</v>
      </c>
      <c r="H1091">
        <v>2.61</v>
      </c>
      <c r="I1091">
        <v>1.57</v>
      </c>
      <c r="J1091">
        <f t="shared" si="336"/>
        <v>2.09</v>
      </c>
      <c r="K1091" s="6">
        <f t="shared" si="337"/>
        <v>2.0699999999999998</v>
      </c>
      <c r="L1091" s="6">
        <f t="shared" si="338"/>
        <v>9.9999999999997868E-3</v>
      </c>
      <c r="M1091">
        <v>7.0716598309394003</v>
      </c>
      <c r="N1091">
        <v>315250</v>
      </c>
      <c r="O1091" s="18">
        <f>ROUND(N1091/VLOOKUP(EOMONTH(A1091,-1),Employment!A:P,16,FALSE),4)</f>
        <v>1.5486</v>
      </c>
      <c r="P1091" s="18">
        <f t="shared" si="328"/>
        <v>1.5660000000000001</v>
      </c>
      <c r="Q1091" s="29">
        <f t="shared" si="329"/>
        <v>-7.0000000000000007E-2</v>
      </c>
      <c r="R1091" s="29">
        <f t="shared" si="330"/>
        <v>2.1299999999999999E-2</v>
      </c>
      <c r="S1091">
        <v>2241000</v>
      </c>
      <c r="T1091" s="18">
        <f>ROUND((S1091/7)/VLOOKUP(EOMONTH(A1091,-1),Employment!A:P,16,FALSE),4)</f>
        <v>1.5726</v>
      </c>
      <c r="U1091" s="18">
        <f t="shared" si="331"/>
        <v>1.5697000000000001</v>
      </c>
      <c r="V1091" s="29">
        <f t="shared" si="332"/>
        <v>-0.1066</v>
      </c>
      <c r="W1091" s="29">
        <f t="shared" si="333"/>
        <v>5.7999999999999996E-3</v>
      </c>
      <c r="X1091" s="30">
        <f t="shared" si="334"/>
        <v>147.21</v>
      </c>
      <c r="Y1091" s="31">
        <f t="shared" si="335"/>
        <v>140.12</v>
      </c>
    </row>
    <row r="1092" spans="1:25" ht="15" customHeight="1" x14ac:dyDescent="0.25">
      <c r="A1092" s="5">
        <v>35701</v>
      </c>
      <c r="B1092">
        <v>829.6481</v>
      </c>
      <c r="C1092" s="29">
        <f t="shared" si="339"/>
        <v>4.3E-3</v>
      </c>
      <c r="D1092">
        <v>-0.57999999999999996</v>
      </c>
      <c r="E1092">
        <v>0.44400000000000001</v>
      </c>
      <c r="F1092" s="18">
        <f t="shared" si="326"/>
        <v>0.39999999999999991</v>
      </c>
      <c r="G1092" s="18">
        <f t="shared" si="327"/>
        <v>-0.14799999999999969</v>
      </c>
      <c r="H1092">
        <v>2.57</v>
      </c>
      <c r="I1092">
        <v>1.55</v>
      </c>
      <c r="J1092">
        <f t="shared" si="336"/>
        <v>2.06</v>
      </c>
      <c r="K1092" s="6">
        <f t="shared" si="337"/>
        <v>2.06</v>
      </c>
      <c r="L1092" s="6">
        <f t="shared" si="338"/>
        <v>1.0000000000000231E-2</v>
      </c>
      <c r="M1092">
        <v>6.9025022000569001</v>
      </c>
      <c r="N1092">
        <v>319000</v>
      </c>
      <c r="O1092" s="18">
        <f>ROUND(N1092/VLOOKUP(EOMONTH(A1092,-1),Employment!A:P,16,FALSE),4)</f>
        <v>1.5686</v>
      </c>
      <c r="P1092" s="18">
        <f t="shared" si="328"/>
        <v>1.5887</v>
      </c>
      <c r="Q1092" s="29">
        <f t="shared" si="329"/>
        <v>-4.8500000000000001E-2</v>
      </c>
      <c r="R1092" s="29">
        <f t="shared" si="330"/>
        <v>8.5000000000000006E-3</v>
      </c>
      <c r="S1092">
        <v>2200000</v>
      </c>
      <c r="T1092" s="18">
        <f>ROUND((S1092/7)/VLOOKUP(EOMONTH(A1092,-1),Employment!A:P,16,FALSE),4)</f>
        <v>1.5454000000000001</v>
      </c>
      <c r="U1092" s="18">
        <f t="shared" si="331"/>
        <v>1.5803</v>
      </c>
      <c r="V1092" s="29">
        <f t="shared" si="332"/>
        <v>-0.1047</v>
      </c>
      <c r="W1092" s="29">
        <f t="shared" si="333"/>
        <v>1E-3</v>
      </c>
      <c r="X1092" s="30">
        <f t="shared" si="334"/>
        <v>138.38999999999999</v>
      </c>
      <c r="Y1092" s="31">
        <f t="shared" si="335"/>
        <v>130.31</v>
      </c>
    </row>
    <row r="1093" spans="1:25" ht="15" customHeight="1" x14ac:dyDescent="0.25">
      <c r="A1093" s="5">
        <v>35694</v>
      </c>
      <c r="B1093">
        <v>829.19489999999996</v>
      </c>
      <c r="C1093" s="29">
        <f t="shared" si="339"/>
        <v>6.6E-3</v>
      </c>
      <c r="D1093">
        <v>-0.57999999999999996</v>
      </c>
      <c r="E1093">
        <v>0.49399999999999999</v>
      </c>
      <c r="F1093" s="18">
        <f t="shared" si="326"/>
        <v>8.0000000000000071E-2</v>
      </c>
      <c r="G1093" s="18">
        <f t="shared" si="327"/>
        <v>-0.86400000000000032</v>
      </c>
      <c r="H1093">
        <v>2.59</v>
      </c>
      <c r="I1093">
        <v>1.55</v>
      </c>
      <c r="J1093">
        <f t="shared" si="336"/>
        <v>2.0699999999999998</v>
      </c>
      <c r="K1093" s="6">
        <f t="shared" si="337"/>
        <v>2.0499999999999998</v>
      </c>
      <c r="L1093" s="6">
        <f t="shared" si="338"/>
        <v>2.9999999999999805E-2</v>
      </c>
      <c r="M1093">
        <v>6.7562325945217001</v>
      </c>
      <c r="N1093">
        <v>321500</v>
      </c>
      <c r="O1093" s="18">
        <f>ROUND(N1093/VLOOKUP(EOMONTH(A1093,-1),Employment!A:P,16,FALSE),4)</f>
        <v>1.5809</v>
      </c>
      <c r="P1093" s="18">
        <f t="shared" si="328"/>
        <v>1.6112</v>
      </c>
      <c r="Q1093" s="29">
        <f t="shared" si="329"/>
        <v>-3.04E-2</v>
      </c>
      <c r="R1093" s="29">
        <f t="shared" si="330"/>
        <v>-6.4000000000000003E-3</v>
      </c>
      <c r="S1093">
        <v>2265000</v>
      </c>
      <c r="T1093" s="18">
        <f>ROUND((S1093/7)/VLOOKUP(EOMONTH(A1093,-1),Employment!A:P,16,FALSE),4)</f>
        <v>1.5911</v>
      </c>
      <c r="U1093" s="18">
        <f t="shared" si="331"/>
        <v>1.5996999999999999</v>
      </c>
      <c r="V1093" s="29">
        <f t="shared" si="332"/>
        <v>-9.4600000000000004E-2</v>
      </c>
      <c r="W1093" s="29">
        <f t="shared" si="333"/>
        <v>-2.2000000000000001E-3</v>
      </c>
      <c r="X1093" s="30">
        <f t="shared" si="334"/>
        <v>126.72</v>
      </c>
      <c r="Y1093" s="31">
        <f t="shared" si="335"/>
        <v>122.26</v>
      </c>
    </row>
    <row r="1094" spans="1:25" ht="15" customHeight="1" x14ac:dyDescent="0.25">
      <c r="A1094" s="5">
        <v>35687</v>
      </c>
      <c r="B1094">
        <v>827.85050000000001</v>
      </c>
      <c r="C1094" s="29">
        <f t="shared" si="339"/>
        <v>7.7999999999999996E-3</v>
      </c>
      <c r="D1094">
        <v>-0.57999999999999996</v>
      </c>
      <c r="E1094">
        <v>0.504</v>
      </c>
      <c r="F1094" s="18">
        <f t="shared" si="326"/>
        <v>-0.62799999999999967</v>
      </c>
      <c r="G1094" s="18">
        <f t="shared" si="327"/>
        <v>-1.1600000000000006</v>
      </c>
      <c r="H1094">
        <v>2.62</v>
      </c>
      <c r="I1094">
        <v>1.48</v>
      </c>
      <c r="J1094">
        <f t="shared" si="336"/>
        <v>2.0499999999999998</v>
      </c>
      <c r="K1094" s="6">
        <f t="shared" si="337"/>
        <v>2.02</v>
      </c>
      <c r="L1094" s="6">
        <f t="shared" si="338"/>
        <v>1.0000000000000231E-2</v>
      </c>
      <c r="M1094">
        <v>6.5633193449283</v>
      </c>
      <c r="N1094">
        <v>328750</v>
      </c>
      <c r="O1094" s="18">
        <f>ROUND(N1094/VLOOKUP(EOMONTH(A1094,-1),Employment!A:P,16,FALSE),4)</f>
        <v>1.6166</v>
      </c>
      <c r="P1094" s="18">
        <f t="shared" si="328"/>
        <v>1.6253</v>
      </c>
      <c r="Q1094" s="29">
        <f t="shared" si="329"/>
        <v>-2.0199999999999999E-2</v>
      </c>
      <c r="R1094" s="29">
        <f t="shared" si="330"/>
        <v>-1.77E-2</v>
      </c>
      <c r="S1094">
        <v>2284000</v>
      </c>
      <c r="T1094" s="18">
        <f>ROUND((S1094/7)/VLOOKUP(EOMONTH(A1094,-1),Employment!A:P,16,FALSE),4)</f>
        <v>1.6044</v>
      </c>
      <c r="U1094" s="18">
        <f t="shared" si="331"/>
        <v>1.6061000000000001</v>
      </c>
      <c r="V1094" s="29">
        <f t="shared" si="332"/>
        <v>-9.7199999999999995E-2</v>
      </c>
      <c r="W1094" s="29">
        <f t="shared" si="333"/>
        <v>-3.0000000000000001E-3</v>
      </c>
      <c r="X1094" s="30">
        <f t="shared" si="334"/>
        <v>119.09</v>
      </c>
      <c r="Y1094" s="31">
        <f t="shared" si="335"/>
        <v>120.23</v>
      </c>
    </row>
    <row r="1095" spans="1:25" ht="15" customHeight="1" x14ac:dyDescent="0.25">
      <c r="A1095" s="5">
        <v>35680</v>
      </c>
      <c r="B1095">
        <v>824.87559999999996</v>
      </c>
      <c r="C1095" s="29">
        <f t="shared" si="339"/>
        <v>6.7999999999999996E-3</v>
      </c>
      <c r="D1095">
        <v>-0.59</v>
      </c>
      <c r="E1095">
        <v>0.438</v>
      </c>
      <c r="F1095" s="18">
        <f t="shared" si="326"/>
        <v>-0.31600000000000072</v>
      </c>
      <c r="G1095" s="18">
        <f t="shared" si="327"/>
        <v>-1.2160000000000002</v>
      </c>
      <c r="H1095">
        <v>2.6</v>
      </c>
      <c r="I1095">
        <v>1.44</v>
      </c>
      <c r="J1095">
        <f t="shared" si="336"/>
        <v>2.02</v>
      </c>
      <c r="K1095" s="6">
        <f t="shared" si="337"/>
        <v>2.0099999999999998</v>
      </c>
      <c r="L1095" s="6">
        <f t="shared" si="338"/>
        <v>-1.0000000000000231E-2</v>
      </c>
      <c r="M1095">
        <v>6.7019533329694001</v>
      </c>
      <c r="N1095">
        <v>332750</v>
      </c>
      <c r="O1095" s="18">
        <f>ROUND(N1095/VLOOKUP(EOMONTH(A1095,-1),Employment!A:P,16,FALSE),4)</f>
        <v>1.6362000000000001</v>
      </c>
      <c r="P1095" s="18">
        <f t="shared" si="328"/>
        <v>1.6188</v>
      </c>
      <c r="Q1095" s="29">
        <f t="shared" si="329"/>
        <v>-2.07E-2</v>
      </c>
      <c r="R1095" s="29">
        <f t="shared" si="330"/>
        <v>-1.8700000000000001E-2</v>
      </c>
      <c r="S1095">
        <v>2283000</v>
      </c>
      <c r="T1095" s="18">
        <f>ROUND((S1095/7)/VLOOKUP(EOMONTH(A1095,-1),Employment!A:P,16,FALSE),4)</f>
        <v>1.6036999999999999</v>
      </c>
      <c r="U1095" s="18">
        <f t="shared" si="331"/>
        <v>1.6033999999999999</v>
      </c>
      <c r="V1095" s="29">
        <f t="shared" si="332"/>
        <v>-9.6199999999999994E-2</v>
      </c>
      <c r="W1095" s="29">
        <f t="shared" si="333"/>
        <v>-2.0999999999999999E-3</v>
      </c>
      <c r="X1095" s="30">
        <f t="shared" si="334"/>
        <v>119.00999999999999</v>
      </c>
      <c r="Y1095" s="31">
        <f t="shared" si="335"/>
        <v>124.47</v>
      </c>
    </row>
    <row r="1096" spans="1:25" ht="15" customHeight="1" x14ac:dyDescent="0.25">
      <c r="A1096" s="5">
        <v>35673</v>
      </c>
      <c r="B1096">
        <v>822.60540000000003</v>
      </c>
      <c r="C1096" s="29">
        <f t="shared" si="339"/>
        <v>6.1000000000000004E-3</v>
      </c>
      <c r="D1096">
        <v>-0.6</v>
      </c>
      <c r="E1096">
        <v>0.41099999999999998</v>
      </c>
      <c r="F1096" s="18">
        <f t="shared" si="326"/>
        <v>-0.21600000000000019</v>
      </c>
      <c r="G1096" s="18">
        <f t="shared" si="327"/>
        <v>-1.032</v>
      </c>
      <c r="H1096">
        <v>2.54</v>
      </c>
      <c r="I1096">
        <v>1.44</v>
      </c>
      <c r="J1096">
        <f t="shared" si="336"/>
        <v>1.99</v>
      </c>
      <c r="K1096" s="6">
        <f t="shared" si="337"/>
        <v>2.02</v>
      </c>
      <c r="L1096" s="6">
        <f t="shared" si="338"/>
        <v>-9.9999999999997868E-3</v>
      </c>
      <c r="M1096">
        <v>7.1419258926191</v>
      </c>
      <c r="N1096">
        <v>329750</v>
      </c>
      <c r="O1096" s="18">
        <f>ROUND(N1096/VLOOKUP(EOMONTH(A1096,-1),Employment!A:P,16,FALSE),4)</f>
        <v>1.6231</v>
      </c>
      <c r="P1096" s="18">
        <f t="shared" si="328"/>
        <v>1.5886</v>
      </c>
      <c r="Q1096" s="29">
        <f t="shared" si="329"/>
        <v>-3.5200000000000002E-2</v>
      </c>
      <c r="R1096" s="29">
        <f t="shared" si="330"/>
        <v>-1.03E-2</v>
      </c>
      <c r="S1096">
        <v>2290000</v>
      </c>
      <c r="T1096" s="18">
        <f>ROUND((S1096/7)/VLOOKUP(EOMONTH(A1096,-1),Employment!A:P,16,FALSE),4)</f>
        <v>1.6102000000000001</v>
      </c>
      <c r="U1096" s="18">
        <f t="shared" si="331"/>
        <v>1.5927</v>
      </c>
      <c r="V1096" s="29">
        <f t="shared" si="332"/>
        <v>-0.10050000000000001</v>
      </c>
      <c r="W1096" s="29">
        <f t="shared" si="333"/>
        <v>0</v>
      </c>
      <c r="X1096" s="30">
        <f t="shared" si="334"/>
        <v>126.14</v>
      </c>
      <c r="Y1096" s="31">
        <f t="shared" si="335"/>
        <v>131.76</v>
      </c>
    </row>
    <row r="1097" spans="1:25" ht="15" customHeight="1" x14ac:dyDescent="0.25">
      <c r="A1097" s="5">
        <v>35666</v>
      </c>
      <c r="B1097">
        <v>819.68370000000004</v>
      </c>
      <c r="C1097" s="29">
        <f t="shared" si="339"/>
        <v>3.3999999999999998E-3</v>
      </c>
      <c r="D1097">
        <v>-0.62</v>
      </c>
      <c r="E1097">
        <v>0.40899999999999997</v>
      </c>
      <c r="F1097" s="18">
        <f t="shared" si="326"/>
        <v>-0.68399999999999928</v>
      </c>
      <c r="G1097" s="18">
        <f t="shared" si="327"/>
        <v>-0.48799999999999999</v>
      </c>
      <c r="H1097">
        <v>2.52</v>
      </c>
      <c r="I1097">
        <v>1.5</v>
      </c>
      <c r="J1097">
        <f t="shared" si="336"/>
        <v>2.0099999999999998</v>
      </c>
      <c r="K1097" s="6">
        <f t="shared" si="337"/>
        <v>2.0299999999999998</v>
      </c>
      <c r="L1097" s="6">
        <f t="shared" si="338"/>
        <v>0</v>
      </c>
      <c r="M1097">
        <v>7.1944858139713999</v>
      </c>
      <c r="N1097">
        <v>324500</v>
      </c>
      <c r="O1097" s="18">
        <f>ROUND(N1097/VLOOKUP(EOMONTH(A1097,-1),Employment!A:P,16,FALSE),4)</f>
        <v>1.5972</v>
      </c>
      <c r="P1097" s="18">
        <f t="shared" si="328"/>
        <v>1.5623</v>
      </c>
      <c r="Q1097" s="29">
        <f t="shared" si="329"/>
        <v>-5.1999999999999998E-2</v>
      </c>
      <c r="R1097" s="29">
        <f t="shared" si="330"/>
        <v>4.0000000000000002E-4</v>
      </c>
      <c r="S1097">
        <v>2270000</v>
      </c>
      <c r="T1097" s="18">
        <f>ROUND((S1097/7)/VLOOKUP(EOMONTH(A1097,-1),Employment!A:P,16,FALSE),4)</f>
        <v>1.5962000000000001</v>
      </c>
      <c r="U1097" s="18">
        <f t="shared" si="331"/>
        <v>1.5853999999999999</v>
      </c>
      <c r="V1097" s="29">
        <f t="shared" si="332"/>
        <v>-0.1022</v>
      </c>
      <c r="W1097" s="29">
        <f t="shared" si="333"/>
        <v>1.1999999999999999E-3</v>
      </c>
      <c r="X1097" s="30">
        <f t="shared" si="334"/>
        <v>133.93</v>
      </c>
      <c r="Y1097" s="31">
        <f t="shared" si="335"/>
        <v>137.36000000000001</v>
      </c>
    </row>
    <row r="1098" spans="1:25" ht="15" customHeight="1" x14ac:dyDescent="0.25">
      <c r="A1098" s="5">
        <v>35659</v>
      </c>
      <c r="B1098">
        <v>818.48019999999997</v>
      </c>
      <c r="C1098" s="29">
        <f t="shared" si="339"/>
        <v>2.8E-3</v>
      </c>
      <c r="D1098">
        <v>-0.63</v>
      </c>
      <c r="E1098">
        <v>0.33600000000000002</v>
      </c>
      <c r="F1098" s="18">
        <f t="shared" si="326"/>
        <v>-0.13200000000000056</v>
      </c>
      <c r="G1098" s="18">
        <f t="shared" si="327"/>
        <v>0.30799999999999939</v>
      </c>
      <c r="H1098">
        <v>2.56</v>
      </c>
      <c r="I1098">
        <v>1.58</v>
      </c>
      <c r="J1098">
        <f t="shared" si="336"/>
        <v>2.0699999999999998</v>
      </c>
      <c r="K1098" s="6">
        <f t="shared" si="337"/>
        <v>2.0299999999999998</v>
      </c>
      <c r="L1098" s="6">
        <f t="shared" si="338"/>
        <v>-1.0000000000000231E-2</v>
      </c>
      <c r="M1098">
        <v>7.4389740844684002</v>
      </c>
      <c r="N1098">
        <v>314000</v>
      </c>
      <c r="O1098" s="18">
        <f>ROUND(N1098/VLOOKUP(EOMONTH(A1098,-1),Employment!A:P,16,FALSE),4)</f>
        <v>1.5455000000000001</v>
      </c>
      <c r="P1098" s="18">
        <f t="shared" si="328"/>
        <v>1.5553999999999999</v>
      </c>
      <c r="Q1098" s="29">
        <f t="shared" si="329"/>
        <v>-6.2799999999999995E-2</v>
      </c>
      <c r="R1098" s="29">
        <f t="shared" si="330"/>
        <v>5.4999999999999997E-3</v>
      </c>
      <c r="S1098">
        <v>2235000</v>
      </c>
      <c r="T1098" s="18">
        <f>ROUND((S1098/7)/VLOOKUP(EOMONTH(A1098,-1),Employment!A:P,16,FALSE),4)</f>
        <v>1.5716000000000001</v>
      </c>
      <c r="U1098" s="18">
        <f t="shared" si="331"/>
        <v>1.5849</v>
      </c>
      <c r="V1098" s="29">
        <f t="shared" si="332"/>
        <v>-0.1024</v>
      </c>
      <c r="W1098" s="29">
        <f t="shared" si="333"/>
        <v>1E-3</v>
      </c>
      <c r="X1098" s="30">
        <f t="shared" si="334"/>
        <v>140.36000000000001</v>
      </c>
      <c r="Y1098" s="31">
        <f t="shared" si="335"/>
        <v>138.33000000000001</v>
      </c>
    </row>
    <row r="1099" spans="1:25" ht="15" customHeight="1" x14ac:dyDescent="0.25">
      <c r="A1099" s="5">
        <v>35652</v>
      </c>
      <c r="B1099">
        <v>816.3673</v>
      </c>
      <c r="C1099" s="29">
        <f t="shared" si="339"/>
        <v>-2.9999999999999997E-4</v>
      </c>
      <c r="D1099">
        <v>-0.64</v>
      </c>
      <c r="E1099">
        <v>0.33200000000000002</v>
      </c>
      <c r="F1099" s="18">
        <f t="shared" si="326"/>
        <v>0.32799999999999985</v>
      </c>
      <c r="G1099" s="18">
        <f t="shared" si="327"/>
        <v>0.89200000000000035</v>
      </c>
      <c r="H1099">
        <v>2.4900000000000002</v>
      </c>
      <c r="I1099">
        <v>1.51</v>
      </c>
      <c r="J1099">
        <f t="shared" si="336"/>
        <v>2</v>
      </c>
      <c r="K1099" s="6">
        <f t="shared" si="337"/>
        <v>2.04</v>
      </c>
      <c r="L1099" s="6">
        <f t="shared" si="338"/>
        <v>-2.9999999999999805E-2</v>
      </c>
      <c r="M1099">
        <v>6.9920642365569003</v>
      </c>
      <c r="N1099">
        <v>313750</v>
      </c>
      <c r="O1099" s="18">
        <f>ROUND(N1099/VLOOKUP(EOMONTH(A1099,-1),Employment!A:P,16,FALSE),4)</f>
        <v>1.5443</v>
      </c>
      <c r="P1099" s="18">
        <f t="shared" si="328"/>
        <v>1.5726</v>
      </c>
      <c r="Q1099" s="29">
        <f t="shared" si="329"/>
        <v>-6.2600000000000003E-2</v>
      </c>
      <c r="R1099" s="29">
        <f t="shared" si="330"/>
        <v>3.7000000000000002E-3</v>
      </c>
      <c r="S1099">
        <v>2259000</v>
      </c>
      <c r="T1099" s="18">
        <f>ROUND((S1099/7)/VLOOKUP(EOMONTH(A1099,-1),Employment!A:P,16,FALSE),4)</f>
        <v>1.5884</v>
      </c>
      <c r="U1099" s="18">
        <f t="shared" si="331"/>
        <v>1.5916999999999999</v>
      </c>
      <c r="V1099" s="29">
        <f t="shared" si="332"/>
        <v>-0.1011</v>
      </c>
      <c r="W1099" s="29">
        <f t="shared" si="333"/>
        <v>-1.5E-3</v>
      </c>
      <c r="X1099" s="30">
        <f t="shared" si="334"/>
        <v>138.46</v>
      </c>
      <c r="Y1099" s="31">
        <f t="shared" si="335"/>
        <v>134.87</v>
      </c>
    </row>
    <row r="1100" spans="1:25" ht="15" customHeight="1" x14ac:dyDescent="0.25">
      <c r="A1100" s="5">
        <v>35645</v>
      </c>
      <c r="B1100">
        <v>815.82920000000001</v>
      </c>
      <c r="C1100" s="29">
        <f t="shared" si="339"/>
        <v>-8.0000000000000004E-4</v>
      </c>
      <c r="D1100">
        <v>-0.64</v>
      </c>
      <c r="E1100">
        <v>0.373</v>
      </c>
      <c r="F1100" s="18">
        <f t="shared" si="326"/>
        <v>0.1120000000000001</v>
      </c>
      <c r="G1100" s="18">
        <f t="shared" si="327"/>
        <v>1.0280000000000005</v>
      </c>
      <c r="H1100">
        <v>2.57</v>
      </c>
      <c r="I1100">
        <v>1.49</v>
      </c>
      <c r="J1100">
        <f t="shared" si="336"/>
        <v>2.0299999999999998</v>
      </c>
      <c r="K1100" s="6">
        <f t="shared" si="337"/>
        <v>2.0699999999999998</v>
      </c>
      <c r="L1100" s="6">
        <f t="shared" si="338"/>
        <v>-4.0000000000000036E-2</v>
      </c>
      <c r="M1100">
        <v>6.5012796306167999</v>
      </c>
      <c r="N1100">
        <v>320250</v>
      </c>
      <c r="O1100" s="18">
        <f>ROUND(N1100/VLOOKUP(EOMONTH(A1100,-1),Employment!A:P,16,FALSE),4)</f>
        <v>1.5763</v>
      </c>
      <c r="P1100" s="18">
        <f t="shared" si="328"/>
        <v>1.5965</v>
      </c>
      <c r="Q1100" s="29">
        <f t="shared" si="329"/>
        <v>-5.6800000000000003E-2</v>
      </c>
      <c r="R1100" s="29">
        <f t="shared" si="330"/>
        <v>-2.5000000000000001E-3</v>
      </c>
      <c r="S1100">
        <v>2268000</v>
      </c>
      <c r="T1100" s="18">
        <f>ROUND((S1100/7)/VLOOKUP(EOMONTH(A1100,-1),Employment!A:P,16,FALSE),4)</f>
        <v>1.5948</v>
      </c>
      <c r="U1100" s="18">
        <f t="shared" si="331"/>
        <v>1.5991</v>
      </c>
      <c r="V1100" s="29">
        <f t="shared" si="332"/>
        <v>-0.1007</v>
      </c>
      <c r="W1100" s="29">
        <f t="shared" si="333"/>
        <v>-5.1000000000000004E-3</v>
      </c>
      <c r="X1100" s="30">
        <f t="shared" si="334"/>
        <v>132.9</v>
      </c>
      <c r="Y1100" s="31">
        <f t="shared" si="335"/>
        <v>131.13</v>
      </c>
    </row>
    <row r="1101" spans="1:25" ht="15" customHeight="1" x14ac:dyDescent="0.25">
      <c r="A1101" s="5">
        <v>35638</v>
      </c>
      <c r="B1101">
        <v>816.78629999999998</v>
      </c>
      <c r="C1101" s="29">
        <f t="shared" si="339"/>
        <v>1.6999999999999999E-3</v>
      </c>
      <c r="D1101">
        <v>-0.64</v>
      </c>
      <c r="E1101">
        <v>0.38700000000000001</v>
      </c>
      <c r="F1101" s="18">
        <f t="shared" si="326"/>
        <v>0.4520000000000004</v>
      </c>
      <c r="G1101" s="18">
        <f t="shared" si="327"/>
        <v>1.4240000000000004</v>
      </c>
      <c r="H1101">
        <v>2.66</v>
      </c>
      <c r="I1101">
        <v>1.51</v>
      </c>
      <c r="J1101">
        <f t="shared" si="336"/>
        <v>2.09</v>
      </c>
      <c r="K1101" s="6">
        <f t="shared" si="337"/>
        <v>2.11</v>
      </c>
      <c r="L1101" s="6">
        <f t="shared" si="338"/>
        <v>-3.0000000000000249E-2</v>
      </c>
      <c r="M1101">
        <v>6.0213257708374996</v>
      </c>
      <c r="N1101">
        <v>324250</v>
      </c>
      <c r="O1101" s="18">
        <f>ROUND(N1101/VLOOKUP(EOMONTH(A1101,-1),Employment!A:P,16,FALSE),4)</f>
        <v>1.5972999999999999</v>
      </c>
      <c r="P1101" s="18">
        <f t="shared" si="328"/>
        <v>1.6125</v>
      </c>
      <c r="Q1101" s="29">
        <f t="shared" si="329"/>
        <v>-5.0900000000000001E-2</v>
      </c>
      <c r="R1101" s="29">
        <f t="shared" si="330"/>
        <v>-7.1999999999999998E-3</v>
      </c>
      <c r="S1101">
        <v>2262000</v>
      </c>
      <c r="T1101" s="18">
        <f>ROUND((S1101/7)/VLOOKUP(EOMONTH(A1101,-1),Employment!A:P,16,FALSE),4)</f>
        <v>1.5918000000000001</v>
      </c>
      <c r="U1101" s="18">
        <f t="shared" si="331"/>
        <v>1.6160000000000001</v>
      </c>
      <c r="V1101" s="29">
        <f t="shared" si="332"/>
        <v>-9.9199999999999997E-2</v>
      </c>
      <c r="W1101" s="29">
        <f t="shared" si="333"/>
        <v>-8.0000000000000002E-3</v>
      </c>
      <c r="X1101" s="30">
        <f t="shared" si="334"/>
        <v>130.82</v>
      </c>
      <c r="Y1101" s="31">
        <f t="shared" si="335"/>
        <v>129.34</v>
      </c>
    </row>
    <row r="1102" spans="1:25" ht="15" customHeight="1" x14ac:dyDescent="0.25">
      <c r="A1102" s="5">
        <v>35631</v>
      </c>
      <c r="B1102">
        <v>815.84450000000004</v>
      </c>
      <c r="C1102" s="29">
        <f t="shared" si="339"/>
        <v>1.9E-3</v>
      </c>
      <c r="D1102">
        <v>-0.63</v>
      </c>
      <c r="E1102">
        <v>0.43099999999999999</v>
      </c>
      <c r="F1102" s="18">
        <f t="shared" si="326"/>
        <v>0.46399999999999997</v>
      </c>
      <c r="G1102" s="18">
        <f t="shared" si="327"/>
        <v>1.0560000000000005</v>
      </c>
      <c r="H1102">
        <v>2.67</v>
      </c>
      <c r="I1102">
        <v>1.52</v>
      </c>
      <c r="J1102">
        <f t="shared" si="336"/>
        <v>2.1</v>
      </c>
      <c r="K1102" s="6">
        <f t="shared" si="337"/>
        <v>2.14</v>
      </c>
      <c r="L1102" s="6">
        <f t="shared" si="338"/>
        <v>1.0000000000000231E-2</v>
      </c>
      <c r="M1102">
        <v>5.6271242712860001</v>
      </c>
      <c r="N1102">
        <v>328000</v>
      </c>
      <c r="O1102" s="18">
        <f>ROUND(N1102/VLOOKUP(EOMONTH(A1102,-1),Employment!A:P,16,FALSE),4)</f>
        <v>1.6157999999999999</v>
      </c>
      <c r="P1102" s="18">
        <f t="shared" si="328"/>
        <v>1.6145</v>
      </c>
      <c r="Q1102" s="29">
        <f t="shared" si="329"/>
        <v>-5.2699999999999997E-2</v>
      </c>
      <c r="R1102" s="29">
        <f t="shared" si="330"/>
        <v>-9.2999999999999992E-3</v>
      </c>
      <c r="S1102">
        <v>2289000</v>
      </c>
      <c r="T1102" s="18">
        <f>ROUND((S1102/7)/VLOOKUP(EOMONTH(A1102,-1),Employment!A:P,16,FALSE),4)</f>
        <v>1.6108</v>
      </c>
      <c r="U1102" s="18">
        <f t="shared" si="331"/>
        <v>1.6255999999999999</v>
      </c>
      <c r="V1102" s="29">
        <f t="shared" si="332"/>
        <v>-0.1004</v>
      </c>
      <c r="W1102" s="29">
        <f t="shared" si="333"/>
        <v>-5.7999999999999996E-3</v>
      </c>
      <c r="X1102" s="30">
        <f t="shared" si="334"/>
        <v>127.46000000000001</v>
      </c>
      <c r="Y1102" s="31">
        <f t="shared" si="335"/>
        <v>129.19999999999999</v>
      </c>
    </row>
    <row r="1103" spans="1:25" ht="15" customHeight="1" x14ac:dyDescent="0.25">
      <c r="A1103" s="5">
        <v>35624</v>
      </c>
      <c r="B1103">
        <v>818.10320000000002</v>
      </c>
      <c r="C1103" s="29">
        <f t="shared" si="339"/>
        <v>7.0000000000000001E-3</v>
      </c>
      <c r="D1103">
        <v>-0.63</v>
      </c>
      <c r="E1103">
        <v>0.48899999999999999</v>
      </c>
      <c r="F1103" s="18">
        <f t="shared" ref="F1103:F1166" si="340">(((D1103*10)+(E1103*8))*-1)-(((D1104*10)+(E1104*8))*-1)</f>
        <v>0.50800000000000001</v>
      </c>
      <c r="G1103" s="18">
        <f t="shared" ref="G1103:G1166" si="341">SUM(F1103:F1105)</f>
        <v>1.1319999999999997</v>
      </c>
      <c r="H1103">
        <v>2.76</v>
      </c>
      <c r="I1103">
        <v>1.54</v>
      </c>
      <c r="J1103">
        <f t="shared" si="336"/>
        <v>2.15</v>
      </c>
      <c r="K1103" s="6">
        <f t="shared" si="337"/>
        <v>2.13</v>
      </c>
      <c r="L1103" s="6">
        <f t="shared" si="338"/>
        <v>2.0000000000000018E-2</v>
      </c>
      <c r="M1103">
        <v>5.2809757229842003</v>
      </c>
      <c r="N1103">
        <v>329750</v>
      </c>
      <c r="O1103" s="18">
        <f>ROUND(N1103/VLOOKUP(EOMONTH(A1103,-1),Employment!A:P,16,FALSE),4)</f>
        <v>1.6244000000000001</v>
      </c>
      <c r="P1103" s="18">
        <f t="shared" ref="P1103:P1166" si="342">ROUND(AVERAGE(O1103:O1105),4)</f>
        <v>1.6104000000000001</v>
      </c>
      <c r="Q1103" s="29">
        <f t="shared" ref="Q1103:Q1166" si="343">ROUND((P1103/P1155)-1,4)</f>
        <v>-5.7000000000000002E-2</v>
      </c>
      <c r="R1103" s="29">
        <f t="shared" ref="R1103:R1166" si="344">ROUND(AVERAGE(Q1103:Q1104)-AVERAGE(Q1103:Q1107),4)*-1</f>
        <v>-8.3999999999999995E-3</v>
      </c>
      <c r="S1103">
        <v>2338000</v>
      </c>
      <c r="T1103" s="18">
        <f>ROUND((S1103/7)/VLOOKUP(EOMONTH(A1103,-1),Employment!A:P,16,FALSE),4)</f>
        <v>1.6453</v>
      </c>
      <c r="U1103" s="18">
        <f t="shared" ref="U1103:U1166" si="345">ROUND(AVERAGE(T1103:T1105),4)</f>
        <v>1.6204000000000001</v>
      </c>
      <c r="V1103" s="29">
        <f t="shared" ref="V1103:V1166" si="346">ROUND((U1103/U1155)-1,4)</f>
        <v>-0.1105</v>
      </c>
      <c r="W1103" s="29">
        <f t="shared" ref="W1103:W1166" si="347">ROUND(AVERAGE(V1103:V1104)-AVERAGE(V1103:V1107),4)*-1</f>
        <v>-3.5000000000000001E-3</v>
      </c>
      <c r="X1103" s="30">
        <f t="shared" ref="X1103:X1166" si="348">IF(ROUND((C1103*500)-(D1103*10)-(E1103*8)+(M1103*1.2)-(P1103*23)-(Q1103*10)+(R1103*600)-(U1103*2)-(V1103*5)+(W1103*100)-(K1103*5)-(L1103*5)+(G1103*3),2)+170&lt;0,0,ROUND((C1103*500)-(D1103*10)-(E1103*8)+(M1103*1.2)-(P1103*23)-(Q1103*10)+(R1103*600)-(U1103*2)-(V1103*5)+(W1103*100)-(K1103*5)-(L1103*5)+(G1103*3),2)+170)</f>
        <v>130.32</v>
      </c>
      <c r="Y1103" s="31">
        <f t="shared" ref="Y1103:Y1166" si="349">ROUND(AVERAGE(AVERAGE(X1103:X1104),AVERAGE(X1103:X1105)),2)</f>
        <v>130.75</v>
      </c>
    </row>
    <row r="1104" spans="1:25" ht="15" customHeight="1" x14ac:dyDescent="0.25">
      <c r="A1104" s="5">
        <v>35617</v>
      </c>
      <c r="B1104">
        <v>815.27390000000003</v>
      </c>
      <c r="C1104" s="29">
        <f t="shared" si="339"/>
        <v>4.8999999999999998E-3</v>
      </c>
      <c r="D1104">
        <v>-0.62</v>
      </c>
      <c r="E1104">
        <v>0.54</v>
      </c>
      <c r="F1104" s="18">
        <f t="shared" si="340"/>
        <v>8.4000000000000519E-2</v>
      </c>
      <c r="G1104" s="18">
        <f t="shared" si="341"/>
        <v>1.1200000000000001</v>
      </c>
      <c r="H1104">
        <v>2.79</v>
      </c>
      <c r="I1104">
        <v>1.55</v>
      </c>
      <c r="J1104">
        <f t="shared" ref="J1104:J1167" si="350">ROUND(AVERAGE(H1104:I1104),2)</f>
        <v>2.17</v>
      </c>
      <c r="K1104" s="6">
        <f t="shared" ref="K1104:K1167" si="351">ROUND(AVERAGE(J1104:J1106),2)</f>
        <v>2.11</v>
      </c>
      <c r="L1104" s="6">
        <f t="shared" ref="L1104:L1167" si="352">K1104-K1105</f>
        <v>2.9999999999999805E-2</v>
      </c>
      <c r="M1104">
        <v>4.9115574713215002</v>
      </c>
      <c r="N1104">
        <v>325500</v>
      </c>
      <c r="O1104" s="18">
        <f>ROUND(N1104/VLOOKUP(EOMONTH(A1104,-1),Employment!A:P,16,FALSE),4)</f>
        <v>1.6033999999999999</v>
      </c>
      <c r="P1104" s="18">
        <f t="shared" si="342"/>
        <v>1.6034999999999999</v>
      </c>
      <c r="Q1104" s="29">
        <f t="shared" si="343"/>
        <v>-6.4600000000000005E-2</v>
      </c>
      <c r="R1104" s="29">
        <f t="shared" si="344"/>
        <v>-4.7000000000000002E-3</v>
      </c>
      <c r="S1104">
        <v>2303000</v>
      </c>
      <c r="T1104" s="18">
        <f>ROUND((S1104/7)/VLOOKUP(EOMONTH(A1104,-1),Employment!A:P,16,FALSE),4)</f>
        <v>1.6207</v>
      </c>
      <c r="U1104" s="18">
        <f t="shared" si="345"/>
        <v>1.6063000000000001</v>
      </c>
      <c r="V1104" s="29">
        <f t="shared" si="346"/>
        <v>-0.1144</v>
      </c>
      <c r="W1104" s="29">
        <f t="shared" si="347"/>
        <v>-4.7000000000000002E-3</v>
      </c>
      <c r="X1104" s="30">
        <f t="shared" si="348"/>
        <v>130.72</v>
      </c>
      <c r="Y1104" s="31">
        <f t="shared" si="349"/>
        <v>131.22999999999999</v>
      </c>
    </row>
    <row r="1105" spans="1:25" ht="15" customHeight="1" x14ac:dyDescent="0.25">
      <c r="A1105" s="5">
        <v>35610</v>
      </c>
      <c r="B1105">
        <v>812.2758</v>
      </c>
      <c r="C1105" s="29">
        <f t="shared" si="339"/>
        <v>1.6999999999999999E-3</v>
      </c>
      <c r="D1105">
        <v>-0.61</v>
      </c>
      <c r="E1105">
        <v>0.53800000000000003</v>
      </c>
      <c r="F1105" s="18">
        <f t="shared" si="340"/>
        <v>0.53999999999999915</v>
      </c>
      <c r="G1105" s="18">
        <f t="shared" si="341"/>
        <v>0.96</v>
      </c>
      <c r="H1105">
        <v>2.63</v>
      </c>
      <c r="I1105">
        <v>1.51</v>
      </c>
      <c r="J1105">
        <f t="shared" si="350"/>
        <v>2.0699999999999998</v>
      </c>
      <c r="K1105" s="6">
        <f t="shared" si="351"/>
        <v>2.08</v>
      </c>
      <c r="L1105" s="6">
        <f t="shared" si="352"/>
        <v>-2.0000000000000018E-2</v>
      </c>
      <c r="M1105">
        <v>4.3394965619194998</v>
      </c>
      <c r="N1105">
        <v>325250</v>
      </c>
      <c r="O1105" s="18">
        <f>ROUND(N1105/VLOOKUP(EOMONTH(A1105,-1),Employment!A:P,16,FALSE),4)</f>
        <v>1.6034999999999999</v>
      </c>
      <c r="P1105" s="18">
        <f t="shared" si="342"/>
        <v>1.5982000000000001</v>
      </c>
      <c r="Q1105" s="29">
        <f t="shared" si="343"/>
        <v>-6.9699999999999998E-2</v>
      </c>
      <c r="R1105" s="29">
        <f t="shared" si="344"/>
        <v>1E-3</v>
      </c>
      <c r="S1105">
        <v>2265000</v>
      </c>
      <c r="T1105" s="18">
        <f>ROUND((S1105/7)/VLOOKUP(EOMONTH(A1105,-1),Employment!A:P,16,FALSE),4)</f>
        <v>1.5952999999999999</v>
      </c>
      <c r="U1105" s="18">
        <f t="shared" si="345"/>
        <v>1.6076999999999999</v>
      </c>
      <c r="V1105" s="29">
        <f t="shared" si="346"/>
        <v>-0.1143</v>
      </c>
      <c r="W1105" s="29">
        <f t="shared" si="347"/>
        <v>-4.5999999999999999E-3</v>
      </c>
      <c r="X1105" s="30">
        <f t="shared" si="348"/>
        <v>131.87</v>
      </c>
      <c r="Y1105" s="31">
        <f t="shared" si="349"/>
        <v>130.69999999999999</v>
      </c>
    </row>
    <row r="1106" spans="1:25" ht="15" customHeight="1" x14ac:dyDescent="0.25">
      <c r="A1106" s="5">
        <v>35603</v>
      </c>
      <c r="B1106">
        <v>811.55240000000003</v>
      </c>
      <c r="C1106" s="29">
        <f t="shared" ref="C1106:C1169" si="353">ROUND((B1106-AVERAGE(B1107:B1110))/AVERAGE(B1107:B1110),4)</f>
        <v>1.4E-3</v>
      </c>
      <c r="D1106">
        <v>-0.6</v>
      </c>
      <c r="E1106">
        <v>0.59299999999999997</v>
      </c>
      <c r="F1106" s="18">
        <f t="shared" si="340"/>
        <v>0.49600000000000044</v>
      </c>
      <c r="G1106" s="18">
        <f t="shared" si="341"/>
        <v>-5.1999999999999602E-2</v>
      </c>
      <c r="H1106">
        <v>2.64</v>
      </c>
      <c r="I1106">
        <v>1.52</v>
      </c>
      <c r="J1106">
        <f t="shared" si="350"/>
        <v>2.08</v>
      </c>
      <c r="K1106" s="6">
        <f t="shared" si="351"/>
        <v>2.1</v>
      </c>
      <c r="L1106" s="6">
        <f t="shared" si="352"/>
        <v>0</v>
      </c>
      <c r="M1106">
        <v>3.7559229807598</v>
      </c>
      <c r="N1106">
        <v>325250</v>
      </c>
      <c r="O1106" s="18">
        <f>ROUND(N1106/VLOOKUP(EOMONTH(A1106,-1),Employment!A:P,16,FALSE),4)</f>
        <v>1.6034999999999999</v>
      </c>
      <c r="P1106" s="18">
        <f t="shared" si="342"/>
        <v>1.5883</v>
      </c>
      <c r="Q1106" s="29">
        <f t="shared" si="343"/>
        <v>-7.6799999999999993E-2</v>
      </c>
      <c r="R1106" s="29">
        <f t="shared" si="344"/>
        <v>5.7999999999999996E-3</v>
      </c>
      <c r="S1106">
        <v>2276000</v>
      </c>
      <c r="T1106" s="18">
        <f>ROUND((S1106/7)/VLOOKUP(EOMONTH(A1106,-1),Employment!A:P,16,FALSE),4)</f>
        <v>1.603</v>
      </c>
      <c r="U1106" s="18">
        <f t="shared" si="345"/>
        <v>1.6097999999999999</v>
      </c>
      <c r="V1106" s="29">
        <f t="shared" si="346"/>
        <v>-0.1166</v>
      </c>
      <c r="W1106" s="29">
        <f t="shared" si="347"/>
        <v>-1E-4</v>
      </c>
      <c r="X1106" s="30">
        <f t="shared" si="348"/>
        <v>130.88</v>
      </c>
      <c r="Y1106" s="31">
        <f t="shared" si="349"/>
        <v>127.78</v>
      </c>
    </row>
    <row r="1107" spans="1:25" ht="15" customHeight="1" x14ac:dyDescent="0.25">
      <c r="A1107" s="5">
        <v>35596</v>
      </c>
      <c r="B1107">
        <v>810.6037</v>
      </c>
      <c r="C1107" s="29">
        <f t="shared" si="353"/>
        <v>1.4E-3</v>
      </c>
      <c r="D1107">
        <v>-0.6</v>
      </c>
      <c r="E1107">
        <v>0.65500000000000003</v>
      </c>
      <c r="F1107" s="18">
        <f t="shared" si="340"/>
        <v>-7.5999999999999623E-2</v>
      </c>
      <c r="G1107" s="18">
        <f t="shared" si="341"/>
        <v>-0.18799999999999972</v>
      </c>
      <c r="H1107">
        <v>2.62</v>
      </c>
      <c r="I1107">
        <v>1.54</v>
      </c>
      <c r="J1107">
        <f t="shared" si="350"/>
        <v>2.08</v>
      </c>
      <c r="K1107" s="6">
        <f t="shared" si="351"/>
        <v>2.1</v>
      </c>
      <c r="L1107" s="6">
        <f t="shared" si="352"/>
        <v>0</v>
      </c>
      <c r="M1107">
        <v>3.3115581194480002</v>
      </c>
      <c r="N1107">
        <v>322000</v>
      </c>
      <c r="O1107" s="18">
        <f>ROUND(N1107/VLOOKUP(EOMONTH(A1107,-1),Employment!A:P,16,FALSE),4)</f>
        <v>1.5874999999999999</v>
      </c>
      <c r="P1107" s="18">
        <f t="shared" si="342"/>
        <v>1.5871</v>
      </c>
      <c r="Q1107" s="29">
        <f t="shared" si="343"/>
        <v>-7.8E-2</v>
      </c>
      <c r="R1107" s="29">
        <f t="shared" si="344"/>
        <v>1.5E-3</v>
      </c>
      <c r="S1107">
        <v>2307000</v>
      </c>
      <c r="T1107" s="18">
        <f>ROUND((S1107/7)/VLOOKUP(EOMONTH(A1107,-1),Employment!A:P,16,FALSE),4)</f>
        <v>1.6248</v>
      </c>
      <c r="U1107" s="18">
        <f t="shared" si="345"/>
        <v>1.6097999999999999</v>
      </c>
      <c r="V1107" s="29">
        <f t="shared" si="346"/>
        <v>-0.12379999999999999</v>
      </c>
      <c r="W1107" s="29">
        <f t="shared" si="347"/>
        <v>3.7000000000000002E-3</v>
      </c>
      <c r="X1107" s="30">
        <f t="shared" si="348"/>
        <v>127.32</v>
      </c>
      <c r="Y1107" s="31">
        <f t="shared" si="349"/>
        <v>122.33</v>
      </c>
    </row>
    <row r="1108" spans="1:25" ht="15" customHeight="1" x14ac:dyDescent="0.25">
      <c r="A1108" s="5">
        <v>35589</v>
      </c>
      <c r="B1108">
        <v>810.87639999999999</v>
      </c>
      <c r="C1108" s="29">
        <f t="shared" si="353"/>
        <v>2.3E-3</v>
      </c>
      <c r="D1108">
        <v>-0.59</v>
      </c>
      <c r="E1108">
        <v>0.63300000000000001</v>
      </c>
      <c r="F1108" s="18">
        <f t="shared" si="340"/>
        <v>-0.47200000000000042</v>
      </c>
      <c r="G1108" s="18">
        <f t="shared" si="341"/>
        <v>0.10400000000000009</v>
      </c>
      <c r="H1108">
        <v>2.7</v>
      </c>
      <c r="I1108">
        <v>1.55</v>
      </c>
      <c r="J1108">
        <f t="shared" si="350"/>
        <v>2.13</v>
      </c>
      <c r="K1108" s="6">
        <f t="shared" si="351"/>
        <v>2.1</v>
      </c>
      <c r="L1108" s="6">
        <f t="shared" si="352"/>
        <v>2.0000000000000018E-2</v>
      </c>
      <c r="M1108">
        <v>3.2157061035516001</v>
      </c>
      <c r="N1108">
        <v>319250</v>
      </c>
      <c r="O1108" s="18">
        <f>ROUND(N1108/VLOOKUP(EOMONTH(A1108,-1),Employment!A:P,16,FALSE),4)</f>
        <v>1.5740000000000001</v>
      </c>
      <c r="P1108" s="18">
        <f t="shared" si="342"/>
        <v>1.6003000000000001</v>
      </c>
      <c r="Q1108" s="29">
        <f t="shared" si="343"/>
        <v>-7.0300000000000001E-2</v>
      </c>
      <c r="R1108" s="29">
        <f t="shared" si="344"/>
        <v>-9.4999999999999998E-3</v>
      </c>
      <c r="S1108">
        <v>2274000</v>
      </c>
      <c r="T1108" s="18">
        <f>ROUND((S1108/7)/VLOOKUP(EOMONTH(A1108,-1),Employment!A:P,16,FALSE),4)</f>
        <v>1.6015999999999999</v>
      </c>
      <c r="U1108" s="18">
        <f t="shared" si="345"/>
        <v>1.6128</v>
      </c>
      <c r="V1108" s="29">
        <f t="shared" si="346"/>
        <v>-0.12609999999999999</v>
      </c>
      <c r="W1108" s="29">
        <f t="shared" si="347"/>
        <v>-1E-4</v>
      </c>
      <c r="X1108" s="30">
        <f t="shared" si="348"/>
        <v>121.15</v>
      </c>
      <c r="Y1108" s="31">
        <f t="shared" si="349"/>
        <v>114.74</v>
      </c>
    </row>
    <row r="1109" spans="1:25" ht="15" customHeight="1" x14ac:dyDescent="0.25">
      <c r="A1109" s="5">
        <v>35582</v>
      </c>
      <c r="B1109">
        <v>810.44349999999997</v>
      </c>
      <c r="C1109" s="29">
        <f t="shared" si="353"/>
        <v>3.7000000000000002E-3</v>
      </c>
      <c r="D1109">
        <v>-0.59</v>
      </c>
      <c r="E1109">
        <v>0.57399999999999995</v>
      </c>
      <c r="F1109" s="18">
        <f t="shared" si="340"/>
        <v>0.36000000000000032</v>
      </c>
      <c r="G1109" s="18">
        <f t="shared" si="341"/>
        <v>0.51200000000000045</v>
      </c>
      <c r="H1109">
        <v>2.65</v>
      </c>
      <c r="I1109">
        <v>1.51</v>
      </c>
      <c r="J1109">
        <f t="shared" si="350"/>
        <v>2.08</v>
      </c>
      <c r="K1109" s="6">
        <f t="shared" si="351"/>
        <v>2.08</v>
      </c>
      <c r="L1109" s="6">
        <f t="shared" si="352"/>
        <v>-2.9999999999999805E-2</v>
      </c>
      <c r="M1109">
        <v>2.6606220863908998</v>
      </c>
      <c r="N1109">
        <v>324500</v>
      </c>
      <c r="O1109" s="18">
        <f>ROUND(N1109/VLOOKUP(EOMONTH(A1109,-1),Employment!A:P,16,FALSE),4)</f>
        <v>1.5998000000000001</v>
      </c>
      <c r="P1109" s="18">
        <f t="shared" si="342"/>
        <v>1.6154999999999999</v>
      </c>
      <c r="Q1109" s="29">
        <f t="shared" si="343"/>
        <v>-6.6600000000000006E-2</v>
      </c>
      <c r="R1109" s="29">
        <f t="shared" si="344"/>
        <v>-2.5100000000000001E-2</v>
      </c>
      <c r="S1109">
        <v>2276000</v>
      </c>
      <c r="T1109" s="18">
        <f>ROUND((S1109/7)/VLOOKUP(EOMONTH(A1109,-1),Employment!A:P,16,FALSE),4)</f>
        <v>1.603</v>
      </c>
      <c r="U1109" s="18">
        <f t="shared" si="345"/>
        <v>1.6285000000000001</v>
      </c>
      <c r="V1109" s="29">
        <f t="shared" si="346"/>
        <v>-0.1193</v>
      </c>
      <c r="W1109" s="29">
        <f t="shared" si="347"/>
        <v>-6.4000000000000003E-3</v>
      </c>
      <c r="X1109" s="30">
        <f t="shared" si="348"/>
        <v>112.78999999999999</v>
      </c>
      <c r="Y1109" s="31">
        <f t="shared" si="349"/>
        <v>106.28</v>
      </c>
    </row>
    <row r="1110" spans="1:25" ht="15" customHeight="1" x14ac:dyDescent="0.25">
      <c r="A1110" s="5">
        <v>35575</v>
      </c>
      <c r="B1110">
        <v>809.90340000000003</v>
      </c>
      <c r="C1110" s="29">
        <f t="shared" si="353"/>
        <v>4.7000000000000002E-3</v>
      </c>
      <c r="D1110">
        <v>-0.59</v>
      </c>
      <c r="E1110">
        <v>0.61899999999999999</v>
      </c>
      <c r="F1110" s="18">
        <f t="shared" si="340"/>
        <v>0.21600000000000019</v>
      </c>
      <c r="G1110" s="18">
        <f t="shared" si="341"/>
        <v>0.42799999999999994</v>
      </c>
      <c r="H1110">
        <v>2.64</v>
      </c>
      <c r="I1110">
        <v>1.51</v>
      </c>
      <c r="J1110">
        <f t="shared" si="350"/>
        <v>2.08</v>
      </c>
      <c r="K1110" s="6">
        <f t="shared" si="351"/>
        <v>2.11</v>
      </c>
      <c r="L1110" s="6">
        <f t="shared" si="352"/>
        <v>-4.0000000000000036E-2</v>
      </c>
      <c r="M1110">
        <v>1.9765937057377001</v>
      </c>
      <c r="N1110">
        <v>329750</v>
      </c>
      <c r="O1110" s="18">
        <f>ROUND(N1110/VLOOKUP(EOMONTH(A1110,-1),Employment!A:P,16,FALSE),4)</f>
        <v>1.627</v>
      </c>
      <c r="P1110" s="18">
        <f t="shared" si="342"/>
        <v>1.627</v>
      </c>
      <c r="Q1110" s="29">
        <f t="shared" si="343"/>
        <v>-6.6500000000000004E-2</v>
      </c>
      <c r="R1110" s="29">
        <f t="shared" si="344"/>
        <v>-3.7900000000000003E-2</v>
      </c>
      <c r="S1110">
        <v>2318000</v>
      </c>
      <c r="T1110" s="18">
        <f>ROUND((S1110/7)/VLOOKUP(EOMONTH(A1110,-1),Employment!A:P,16,FALSE),4)</f>
        <v>1.6338999999999999</v>
      </c>
      <c r="U1110" s="18">
        <f t="shared" si="345"/>
        <v>1.6409</v>
      </c>
      <c r="V1110" s="29">
        <f t="shared" si="346"/>
        <v>-0.1157</v>
      </c>
      <c r="W1110" s="29">
        <f t="shared" si="347"/>
        <v>-8.3999999999999995E-3</v>
      </c>
      <c r="X1110" s="30">
        <f t="shared" si="348"/>
        <v>103.56</v>
      </c>
      <c r="Y1110" s="31">
        <f t="shared" si="349"/>
        <v>100.66</v>
      </c>
    </row>
    <row r="1111" spans="1:25" ht="15" customHeight="1" x14ac:dyDescent="0.25">
      <c r="A1111" s="5">
        <v>35568</v>
      </c>
      <c r="B1111">
        <v>806.74109999999996</v>
      </c>
      <c r="C1111" s="29">
        <f t="shared" si="353"/>
        <v>2.7000000000000001E-3</v>
      </c>
      <c r="D1111">
        <v>-0.59</v>
      </c>
      <c r="E1111">
        <v>0.64600000000000002</v>
      </c>
      <c r="F1111" s="18">
        <f t="shared" si="340"/>
        <v>-6.4000000000000057E-2</v>
      </c>
      <c r="G1111" s="18">
        <f t="shared" si="341"/>
        <v>-0.21600000000000019</v>
      </c>
      <c r="H1111">
        <v>2.68</v>
      </c>
      <c r="I1111">
        <v>1.47</v>
      </c>
      <c r="J1111">
        <f t="shared" si="350"/>
        <v>2.08</v>
      </c>
      <c r="K1111" s="6">
        <f t="shared" si="351"/>
        <v>2.15</v>
      </c>
      <c r="L1111" s="6">
        <f t="shared" si="352"/>
        <v>-2.0000000000000018E-2</v>
      </c>
      <c r="M1111">
        <v>1.3612560815917001</v>
      </c>
      <c r="N1111">
        <v>328250</v>
      </c>
      <c r="O1111" s="18">
        <f>ROUND(N1111/VLOOKUP(EOMONTH(A1111,-1),Employment!A:P,16,FALSE),4)</f>
        <v>1.6195999999999999</v>
      </c>
      <c r="P1111" s="18">
        <f t="shared" si="342"/>
        <v>1.6225000000000001</v>
      </c>
      <c r="Q1111" s="29">
        <f t="shared" si="343"/>
        <v>-8.2000000000000003E-2</v>
      </c>
      <c r="R1111" s="29">
        <f t="shared" si="344"/>
        <v>-4.3099999999999999E-2</v>
      </c>
      <c r="S1111">
        <v>2339000</v>
      </c>
      <c r="T1111" s="18">
        <f>ROUND((S1111/7)/VLOOKUP(EOMONTH(A1111,-1),Employment!A:P,16,FALSE),4)</f>
        <v>1.6487000000000001</v>
      </c>
      <c r="U1111" s="18">
        <f t="shared" si="345"/>
        <v>1.6375999999999999</v>
      </c>
      <c r="V1111" s="29">
        <f t="shared" si="346"/>
        <v>-0.12130000000000001</v>
      </c>
      <c r="W1111" s="29">
        <f t="shared" si="347"/>
        <v>-5.7000000000000002E-3</v>
      </c>
      <c r="X1111" s="30">
        <f t="shared" si="348"/>
        <v>96.82</v>
      </c>
      <c r="Y1111" s="31">
        <f t="shared" si="349"/>
        <v>101.94</v>
      </c>
    </row>
    <row r="1112" spans="1:25" ht="15" customHeight="1" x14ac:dyDescent="0.25">
      <c r="A1112" s="5">
        <v>35561</v>
      </c>
      <c r="B1112">
        <v>808.98440000000005</v>
      </c>
      <c r="C1112" s="29">
        <f t="shared" si="353"/>
        <v>9.1999999999999998E-3</v>
      </c>
      <c r="D1112">
        <v>-0.59</v>
      </c>
      <c r="E1112">
        <v>0.63800000000000001</v>
      </c>
      <c r="F1112" s="18">
        <f t="shared" si="340"/>
        <v>0.2759999999999998</v>
      </c>
      <c r="G1112" s="18">
        <f t="shared" si="341"/>
        <v>-0.31200000000000028</v>
      </c>
      <c r="H1112">
        <v>2.81</v>
      </c>
      <c r="I1112">
        <v>1.5</v>
      </c>
      <c r="J1112">
        <f t="shared" si="350"/>
        <v>2.16</v>
      </c>
      <c r="K1112" s="6">
        <f t="shared" si="351"/>
        <v>2.17</v>
      </c>
      <c r="L1112" s="6">
        <f t="shared" si="352"/>
        <v>-1.0000000000000231E-2</v>
      </c>
      <c r="M1112">
        <v>0.44991343154920999</v>
      </c>
      <c r="N1112">
        <v>331250</v>
      </c>
      <c r="O1112" s="18">
        <f>ROUND(N1112/VLOOKUP(EOMONTH(A1112,-1),Employment!A:P,16,FALSE),4)</f>
        <v>1.6344000000000001</v>
      </c>
      <c r="P1112" s="18">
        <f t="shared" si="342"/>
        <v>1.6158999999999999</v>
      </c>
      <c r="Q1112" s="29">
        <f t="shared" si="343"/>
        <v>-0.1042</v>
      </c>
      <c r="R1112" s="29">
        <f t="shared" si="344"/>
        <v>-3.6499999999999998E-2</v>
      </c>
      <c r="S1112">
        <v>2327000</v>
      </c>
      <c r="T1112" s="18">
        <f>ROUND((S1112/7)/VLOOKUP(EOMONTH(A1112,-1),Employment!A:P,16,FALSE),4)</f>
        <v>1.6402000000000001</v>
      </c>
      <c r="U1112" s="18">
        <f t="shared" si="345"/>
        <v>1.6305000000000001</v>
      </c>
      <c r="V1112" s="29">
        <f t="shared" si="346"/>
        <v>-0.13139999999999999</v>
      </c>
      <c r="W1112" s="29">
        <f t="shared" si="347"/>
        <v>-5.4000000000000003E-3</v>
      </c>
      <c r="X1112" s="30">
        <f t="shared" si="348"/>
        <v>103.03</v>
      </c>
      <c r="Y1112" s="31">
        <f t="shared" si="349"/>
        <v>110.68</v>
      </c>
    </row>
    <row r="1113" spans="1:25" ht="15" customHeight="1" x14ac:dyDescent="0.25">
      <c r="A1113" s="5">
        <v>35554</v>
      </c>
      <c r="B1113">
        <v>804.27380000000005</v>
      </c>
      <c r="C1113" s="29">
        <f t="shared" si="353"/>
        <v>5.1000000000000004E-3</v>
      </c>
      <c r="D1113">
        <v>-0.6</v>
      </c>
      <c r="E1113">
        <v>0.68500000000000005</v>
      </c>
      <c r="F1113" s="18">
        <f t="shared" si="340"/>
        <v>-0.42799999999999994</v>
      </c>
      <c r="G1113" s="18">
        <f t="shared" si="341"/>
        <v>-0.28000000000000114</v>
      </c>
      <c r="H1113">
        <v>2.9</v>
      </c>
      <c r="I1113">
        <v>1.53</v>
      </c>
      <c r="J1113">
        <f t="shared" si="350"/>
        <v>2.2200000000000002</v>
      </c>
      <c r="K1113" s="6">
        <f t="shared" si="351"/>
        <v>2.1800000000000002</v>
      </c>
      <c r="L1113" s="6">
        <f t="shared" si="352"/>
        <v>2.0000000000000018E-2</v>
      </c>
      <c r="M1113">
        <v>0.34687830662703001</v>
      </c>
      <c r="N1113">
        <v>327000</v>
      </c>
      <c r="O1113" s="18">
        <f>ROUND(N1113/VLOOKUP(EOMONTH(A1113,-1),Employment!A:P,16,FALSE),4)</f>
        <v>1.6133999999999999</v>
      </c>
      <c r="P1113" s="18">
        <f t="shared" si="342"/>
        <v>1.6040000000000001</v>
      </c>
      <c r="Q1113" s="29">
        <f t="shared" si="343"/>
        <v>-0.13869999999999999</v>
      </c>
      <c r="R1113" s="29">
        <f t="shared" si="344"/>
        <v>-1.83E-2</v>
      </c>
      <c r="S1113">
        <v>2304000</v>
      </c>
      <c r="T1113" s="18">
        <f>ROUND((S1113/7)/VLOOKUP(EOMONTH(A1113,-1),Employment!A:P,16,FALSE),4)</f>
        <v>1.6240000000000001</v>
      </c>
      <c r="U1113" s="18">
        <f t="shared" si="345"/>
        <v>1.6385000000000001</v>
      </c>
      <c r="V1113" s="29">
        <f t="shared" si="346"/>
        <v>-0.13170000000000001</v>
      </c>
      <c r="W1113" s="29">
        <f t="shared" si="347"/>
        <v>-5.3E-3</v>
      </c>
      <c r="X1113" s="30">
        <f t="shared" si="348"/>
        <v>112.00999999999999</v>
      </c>
      <c r="Y1113" s="31">
        <f t="shared" si="349"/>
        <v>121.96</v>
      </c>
    </row>
    <row r="1114" spans="1:25" ht="15" customHeight="1" x14ac:dyDescent="0.25">
      <c r="A1114" s="5">
        <v>35547</v>
      </c>
      <c r="B1114">
        <v>804.30880000000002</v>
      </c>
      <c r="C1114" s="29">
        <f t="shared" si="353"/>
        <v>8.2000000000000007E-3</v>
      </c>
      <c r="D1114">
        <v>-0.61</v>
      </c>
      <c r="E1114">
        <v>0.64400000000000002</v>
      </c>
      <c r="F1114" s="18">
        <f t="shared" si="340"/>
        <v>-0.16000000000000014</v>
      </c>
      <c r="G1114" s="18">
        <f t="shared" si="341"/>
        <v>-1.2560000000000002</v>
      </c>
      <c r="H1114">
        <v>2.78</v>
      </c>
      <c r="I1114">
        <v>1.45</v>
      </c>
      <c r="J1114">
        <f t="shared" si="350"/>
        <v>2.12</v>
      </c>
      <c r="K1114" s="6">
        <f t="shared" si="351"/>
        <v>2.16</v>
      </c>
      <c r="L1114" s="6">
        <f t="shared" si="352"/>
        <v>-2.0000000000000018E-2</v>
      </c>
      <c r="M1114">
        <v>2.0937853662416002</v>
      </c>
      <c r="N1114">
        <v>324000</v>
      </c>
      <c r="O1114" s="18">
        <f>ROUND(N1114/VLOOKUP(EOMONTH(A1114,-1),Employment!A:P,16,FALSE),4)</f>
        <v>1.5999000000000001</v>
      </c>
      <c r="P1114" s="18">
        <f t="shared" si="342"/>
        <v>1.5946</v>
      </c>
      <c r="Q1114" s="29">
        <f t="shared" si="343"/>
        <v>-0.1691</v>
      </c>
      <c r="R1114" s="29">
        <f t="shared" si="344"/>
        <v>1.6000000000000001E-3</v>
      </c>
      <c r="S1114">
        <v>2307000</v>
      </c>
      <c r="T1114" s="18">
        <f>ROUND((S1114/7)/VLOOKUP(EOMONTH(A1114,-1),Employment!A:P,16,FALSE),4)</f>
        <v>1.6274</v>
      </c>
      <c r="U1114" s="18">
        <f t="shared" si="345"/>
        <v>1.6453</v>
      </c>
      <c r="V1114" s="29">
        <f t="shared" si="346"/>
        <v>-0.13439999999999999</v>
      </c>
      <c r="W1114" s="29">
        <f t="shared" si="347"/>
        <v>4.0000000000000002E-4</v>
      </c>
      <c r="X1114" s="30">
        <f t="shared" si="348"/>
        <v>126.49000000000001</v>
      </c>
      <c r="Y1114" s="31">
        <f t="shared" si="349"/>
        <v>131.44</v>
      </c>
    </row>
    <row r="1115" spans="1:25" ht="15" customHeight="1" x14ac:dyDescent="0.25">
      <c r="A1115" s="5">
        <v>35540</v>
      </c>
      <c r="B1115">
        <v>800.57090000000005</v>
      </c>
      <c r="C1115" s="29">
        <f t="shared" si="353"/>
        <v>5.4000000000000003E-3</v>
      </c>
      <c r="D1115">
        <v>-0.63</v>
      </c>
      <c r="E1115">
        <v>0.64900000000000002</v>
      </c>
      <c r="F1115" s="18">
        <f t="shared" si="340"/>
        <v>0.30799999999999894</v>
      </c>
      <c r="G1115" s="18">
        <f t="shared" si="341"/>
        <v>-1.2760000000000007</v>
      </c>
      <c r="H1115">
        <v>2.91</v>
      </c>
      <c r="I1115">
        <v>1.48</v>
      </c>
      <c r="J1115">
        <f t="shared" si="350"/>
        <v>2.2000000000000002</v>
      </c>
      <c r="K1115" s="6">
        <f t="shared" si="351"/>
        <v>2.1800000000000002</v>
      </c>
      <c r="L1115" s="6">
        <f t="shared" si="352"/>
        <v>5.0000000000000266E-2</v>
      </c>
      <c r="M1115">
        <v>2.9757399713204</v>
      </c>
      <c r="N1115">
        <v>323750</v>
      </c>
      <c r="O1115" s="18">
        <f>ROUND(N1115/VLOOKUP(EOMONTH(A1115,-1),Employment!A:P,16,FALSE),4)</f>
        <v>1.5987</v>
      </c>
      <c r="P1115" s="18">
        <f t="shared" si="342"/>
        <v>1.5863</v>
      </c>
      <c r="Q1115" s="29">
        <f t="shared" si="343"/>
        <v>-0.187</v>
      </c>
      <c r="R1115" s="29">
        <f t="shared" si="344"/>
        <v>1.55E-2</v>
      </c>
      <c r="S1115">
        <v>2359000</v>
      </c>
      <c r="T1115" s="18">
        <f>ROUND((S1115/7)/VLOOKUP(EOMONTH(A1115,-1),Employment!A:P,16,FALSE),4)</f>
        <v>1.6640999999999999</v>
      </c>
      <c r="U1115" s="18">
        <f t="shared" si="345"/>
        <v>1.6488</v>
      </c>
      <c r="V1115" s="29">
        <f t="shared" si="346"/>
        <v>-0.14130000000000001</v>
      </c>
      <c r="W1115" s="29">
        <f t="shared" si="347"/>
        <v>9.9000000000000008E-3</v>
      </c>
      <c r="X1115" s="30">
        <f t="shared" si="348"/>
        <v>135.47999999999999</v>
      </c>
      <c r="Y1115" s="31">
        <f t="shared" si="349"/>
        <v>134.87</v>
      </c>
    </row>
    <row r="1116" spans="1:25" ht="15" customHeight="1" x14ac:dyDescent="0.25">
      <c r="A1116" s="5">
        <v>35533</v>
      </c>
      <c r="B1116">
        <v>797.28790000000004</v>
      </c>
      <c r="C1116" s="29">
        <f t="shared" si="353"/>
        <v>2.5000000000000001E-3</v>
      </c>
      <c r="D1116">
        <v>-0.64</v>
      </c>
      <c r="E1116">
        <v>0.7</v>
      </c>
      <c r="F1116" s="18">
        <f t="shared" si="340"/>
        <v>-1.403999999999999</v>
      </c>
      <c r="G1116" s="18">
        <f t="shared" si="341"/>
        <v>-2.0199999999999996</v>
      </c>
      <c r="H1116">
        <v>2.87</v>
      </c>
      <c r="I1116">
        <v>1.42</v>
      </c>
      <c r="J1116">
        <f t="shared" si="350"/>
        <v>2.15</v>
      </c>
      <c r="K1116" s="6">
        <f t="shared" si="351"/>
        <v>2.13</v>
      </c>
      <c r="L1116" s="6">
        <f t="shared" si="352"/>
        <v>2.0000000000000018E-2</v>
      </c>
      <c r="M1116">
        <v>4.0219037221078002</v>
      </c>
      <c r="N1116">
        <v>321000</v>
      </c>
      <c r="O1116" s="18">
        <f>ROUND(N1116/VLOOKUP(EOMONTH(A1116,-1),Employment!A:P,16,FALSE),4)</f>
        <v>1.5851</v>
      </c>
      <c r="P1116" s="18">
        <f t="shared" si="342"/>
        <v>1.5771999999999999</v>
      </c>
      <c r="Q1116" s="29">
        <f t="shared" si="343"/>
        <v>-0.1908</v>
      </c>
      <c r="R1116" s="29">
        <f t="shared" si="344"/>
        <v>1.54E-2</v>
      </c>
      <c r="S1116">
        <v>2331000</v>
      </c>
      <c r="T1116" s="18">
        <f>ROUND((S1116/7)/VLOOKUP(EOMONTH(A1116,-1),Employment!A:P,16,FALSE),4)</f>
        <v>1.6443000000000001</v>
      </c>
      <c r="U1116" s="18">
        <f t="shared" si="345"/>
        <v>1.6456</v>
      </c>
      <c r="V1116" s="29">
        <f t="shared" si="346"/>
        <v>-0.1462</v>
      </c>
      <c r="W1116" s="29">
        <f t="shared" si="347"/>
        <v>1.34E-2</v>
      </c>
      <c r="X1116" s="30">
        <f t="shared" si="348"/>
        <v>133.72</v>
      </c>
      <c r="Y1116" s="31">
        <f t="shared" si="349"/>
        <v>133.76</v>
      </c>
    </row>
    <row r="1117" spans="1:25" ht="15" customHeight="1" x14ac:dyDescent="0.25">
      <c r="A1117" s="5">
        <v>35526</v>
      </c>
      <c r="B1117">
        <v>798.63660000000004</v>
      </c>
      <c r="C1117" s="29">
        <f t="shared" si="353"/>
        <v>6.4999999999999997E-3</v>
      </c>
      <c r="D1117">
        <v>-0.65</v>
      </c>
      <c r="E1117">
        <v>0.53700000000000003</v>
      </c>
      <c r="F1117" s="18">
        <f t="shared" si="340"/>
        <v>-0.1800000000000006</v>
      </c>
      <c r="G1117" s="18">
        <f t="shared" si="341"/>
        <v>-0.57600000000000051</v>
      </c>
      <c r="H1117">
        <v>2.92</v>
      </c>
      <c r="I1117">
        <v>1.46</v>
      </c>
      <c r="J1117">
        <f t="shared" si="350"/>
        <v>2.19</v>
      </c>
      <c r="K1117" s="6">
        <f t="shared" si="351"/>
        <v>2.11</v>
      </c>
      <c r="L1117" s="6">
        <f t="shared" si="352"/>
        <v>4.0000000000000036E-2</v>
      </c>
      <c r="M1117">
        <v>4.7359409054148003</v>
      </c>
      <c r="N1117">
        <v>319000</v>
      </c>
      <c r="O1117" s="18">
        <f>ROUND(N1117/VLOOKUP(EOMONTH(A1117,-1),Employment!A:P,16,FALSE),4)</f>
        <v>1.5751999999999999</v>
      </c>
      <c r="P1117" s="18">
        <f t="shared" si="342"/>
        <v>1.5753999999999999</v>
      </c>
      <c r="Q1117" s="29">
        <f t="shared" si="343"/>
        <v>-0.1754</v>
      </c>
      <c r="R1117" s="29">
        <f t="shared" si="344"/>
        <v>5.7999999999999996E-3</v>
      </c>
      <c r="S1117">
        <v>2322000</v>
      </c>
      <c r="T1117" s="18">
        <f>ROUND((S1117/7)/VLOOKUP(EOMONTH(A1117,-1),Employment!A:P,16,FALSE),4)</f>
        <v>1.6379999999999999</v>
      </c>
      <c r="U1117" s="18">
        <f t="shared" si="345"/>
        <v>1.6554</v>
      </c>
      <c r="V1117" s="29">
        <f t="shared" si="346"/>
        <v>-0.1384</v>
      </c>
      <c r="W1117" s="29">
        <f t="shared" si="347"/>
        <v>1.17E-2</v>
      </c>
      <c r="X1117" s="30">
        <f t="shared" si="348"/>
        <v>136.21</v>
      </c>
      <c r="Y1117" s="31">
        <f t="shared" si="349"/>
        <v>131.88999999999999</v>
      </c>
    </row>
    <row r="1118" spans="1:25" ht="15" customHeight="1" x14ac:dyDescent="0.25">
      <c r="A1118" s="5">
        <v>35519</v>
      </c>
      <c r="B1118">
        <v>794.71579999999994</v>
      </c>
      <c r="C1118" s="29">
        <f t="shared" si="353"/>
        <v>2.7000000000000001E-3</v>
      </c>
      <c r="D1118">
        <v>-0.66</v>
      </c>
      <c r="E1118">
        <v>0.52700000000000002</v>
      </c>
      <c r="F1118" s="18">
        <f t="shared" si="340"/>
        <v>-0.43599999999999994</v>
      </c>
      <c r="G1118" s="18">
        <f t="shared" si="341"/>
        <v>-0.80399999999999983</v>
      </c>
      <c r="H1118">
        <v>2.67</v>
      </c>
      <c r="I1118">
        <v>1.42</v>
      </c>
      <c r="J1118">
        <f t="shared" si="350"/>
        <v>2.0499999999999998</v>
      </c>
      <c r="K1118" s="6">
        <f t="shared" si="351"/>
        <v>2.0699999999999998</v>
      </c>
      <c r="L1118" s="6">
        <f t="shared" si="352"/>
        <v>-3.0000000000000249E-2</v>
      </c>
      <c r="M1118">
        <v>3.9336080907877999</v>
      </c>
      <c r="N1118">
        <v>318000</v>
      </c>
      <c r="O1118" s="18">
        <f>ROUND(N1118/VLOOKUP(EOMONTH(A1118,-1),Employment!A:P,16,FALSE),4)</f>
        <v>1.5711999999999999</v>
      </c>
      <c r="P1118" s="18">
        <f t="shared" si="342"/>
        <v>1.5745</v>
      </c>
      <c r="Q1118" s="29">
        <f t="shared" si="343"/>
        <v>-0.16009999999999999</v>
      </c>
      <c r="R1118" s="29">
        <f t="shared" si="344"/>
        <v>-2.0999999999999999E-3</v>
      </c>
      <c r="S1118">
        <v>2344000</v>
      </c>
      <c r="T1118" s="18">
        <f>ROUND((S1118/7)/VLOOKUP(EOMONTH(A1118,-1),Employment!A:P,16,FALSE),4)</f>
        <v>1.6545000000000001</v>
      </c>
      <c r="U1118" s="18">
        <f t="shared" si="345"/>
        <v>1.667</v>
      </c>
      <c r="V1118" s="29">
        <f t="shared" si="346"/>
        <v>-0.12709999999999999</v>
      </c>
      <c r="W1118" s="29">
        <f t="shared" si="347"/>
        <v>4.4000000000000003E-3</v>
      </c>
      <c r="X1118" s="30">
        <f t="shared" si="348"/>
        <v>127.71000000000001</v>
      </c>
      <c r="Y1118" s="31">
        <f t="shared" si="349"/>
        <v>130.91999999999999</v>
      </c>
    </row>
    <row r="1119" spans="1:25" ht="15" customHeight="1" x14ac:dyDescent="0.25">
      <c r="A1119" s="5">
        <v>35512</v>
      </c>
      <c r="B1119">
        <v>794.58230000000003</v>
      </c>
      <c r="C1119" s="29">
        <f t="shared" si="353"/>
        <v>5.0000000000000001E-3</v>
      </c>
      <c r="D1119">
        <v>-0.67</v>
      </c>
      <c r="E1119">
        <v>0.48499999999999999</v>
      </c>
      <c r="F1119" s="18">
        <f t="shared" si="340"/>
        <v>4.0000000000000036E-2</v>
      </c>
      <c r="G1119" s="18">
        <f t="shared" si="341"/>
        <v>-0.48400000000000043</v>
      </c>
      <c r="H1119">
        <v>2.69</v>
      </c>
      <c r="I1119">
        <v>1.49</v>
      </c>
      <c r="J1119">
        <f t="shared" si="350"/>
        <v>2.09</v>
      </c>
      <c r="K1119" s="6">
        <f t="shared" si="351"/>
        <v>2.1</v>
      </c>
      <c r="L1119" s="6">
        <f t="shared" si="352"/>
        <v>-9.9999999999997868E-3</v>
      </c>
      <c r="M1119">
        <v>4.4754339006658004</v>
      </c>
      <c r="N1119">
        <v>319750</v>
      </c>
      <c r="O1119" s="18">
        <f>ROUND(N1119/VLOOKUP(EOMONTH(A1119,-1),Employment!A:P,16,FALSE),4)</f>
        <v>1.5799000000000001</v>
      </c>
      <c r="P1119" s="18">
        <f t="shared" si="342"/>
        <v>1.5741000000000001</v>
      </c>
      <c r="Q1119" s="29">
        <f t="shared" si="343"/>
        <v>-0.1535</v>
      </c>
      <c r="R1119" s="29">
        <f t="shared" si="344"/>
        <v>-4.0000000000000002E-4</v>
      </c>
      <c r="S1119">
        <v>2371000</v>
      </c>
      <c r="T1119" s="18">
        <f>ROUND((S1119/7)/VLOOKUP(EOMONTH(A1119,-1),Employment!A:P,16,FALSE),4)</f>
        <v>1.6736</v>
      </c>
      <c r="U1119" s="18">
        <f t="shared" si="345"/>
        <v>1.6835</v>
      </c>
      <c r="V1119" s="29">
        <f t="shared" si="346"/>
        <v>-0.11609999999999999</v>
      </c>
      <c r="W1119" s="29">
        <f t="shared" si="347"/>
        <v>4.3E-3</v>
      </c>
      <c r="X1119" s="30">
        <f t="shared" si="348"/>
        <v>131.52000000000001</v>
      </c>
      <c r="Y1119" s="31">
        <f t="shared" si="349"/>
        <v>137.09</v>
      </c>
    </row>
    <row r="1120" spans="1:25" ht="15" customHeight="1" x14ac:dyDescent="0.25">
      <c r="A1120" s="5">
        <v>35505</v>
      </c>
      <c r="B1120">
        <v>793.18939999999998</v>
      </c>
      <c r="C1120" s="29">
        <f t="shared" si="353"/>
        <v>5.7999999999999996E-3</v>
      </c>
      <c r="D1120">
        <v>-0.67</v>
      </c>
      <c r="E1120">
        <v>0.49</v>
      </c>
      <c r="F1120" s="18">
        <f t="shared" si="340"/>
        <v>-0.40799999999999992</v>
      </c>
      <c r="G1120" s="18">
        <f t="shared" si="341"/>
        <v>-0.39999999999999991</v>
      </c>
      <c r="H1120">
        <v>2.66</v>
      </c>
      <c r="I1120">
        <v>1.48</v>
      </c>
      <c r="J1120">
        <f t="shared" si="350"/>
        <v>2.0699999999999998</v>
      </c>
      <c r="K1120" s="6">
        <f t="shared" si="351"/>
        <v>2.11</v>
      </c>
      <c r="L1120" s="6">
        <f t="shared" si="352"/>
        <v>-5.0000000000000266E-2</v>
      </c>
      <c r="M1120">
        <v>4.3436266261874001</v>
      </c>
      <c r="N1120">
        <v>318250</v>
      </c>
      <c r="O1120" s="18">
        <f>ROUND(N1120/VLOOKUP(EOMONTH(A1120,-1),Employment!A:P,16,FALSE),4)</f>
        <v>1.5725</v>
      </c>
      <c r="P1120" s="18">
        <f t="shared" si="342"/>
        <v>1.5758000000000001</v>
      </c>
      <c r="Q1120" s="29">
        <f t="shared" si="343"/>
        <v>-0.1585</v>
      </c>
      <c r="R1120" s="29">
        <f t="shared" si="344"/>
        <v>8.8999999999999999E-3</v>
      </c>
      <c r="S1120">
        <v>2370000</v>
      </c>
      <c r="T1120" s="18">
        <f>ROUND((S1120/7)/VLOOKUP(EOMONTH(A1120,-1),Employment!A:P,16,FALSE),4)</f>
        <v>1.6729000000000001</v>
      </c>
      <c r="U1120" s="18">
        <f t="shared" si="345"/>
        <v>1.6919</v>
      </c>
      <c r="V1120" s="29">
        <f t="shared" si="346"/>
        <v>-0.1169</v>
      </c>
      <c r="W1120" s="29">
        <f t="shared" si="347"/>
        <v>1.6999999999999999E-3</v>
      </c>
      <c r="X1120" s="30">
        <f t="shared" si="348"/>
        <v>137.44</v>
      </c>
      <c r="Y1120" s="31">
        <f t="shared" si="349"/>
        <v>146.26</v>
      </c>
    </row>
    <row r="1121" spans="1:25" ht="15" customHeight="1" x14ac:dyDescent="0.25">
      <c r="A1121" s="5">
        <v>35498</v>
      </c>
      <c r="B1121">
        <v>791.51009999999997</v>
      </c>
      <c r="C1121" s="29">
        <f t="shared" si="353"/>
        <v>6.4999999999999997E-3</v>
      </c>
      <c r="D1121">
        <v>-0.67</v>
      </c>
      <c r="E1121">
        <v>0.439</v>
      </c>
      <c r="F1121" s="18">
        <f t="shared" si="340"/>
        <v>-0.11600000000000055</v>
      </c>
      <c r="G1121" s="18">
        <f t="shared" si="341"/>
        <v>0.94799999999999995</v>
      </c>
      <c r="H1121">
        <v>2.74</v>
      </c>
      <c r="I1121">
        <v>1.53</v>
      </c>
      <c r="J1121">
        <f t="shared" si="350"/>
        <v>2.14</v>
      </c>
      <c r="K1121" s="6">
        <f t="shared" si="351"/>
        <v>2.16</v>
      </c>
      <c r="L1121" s="6">
        <f t="shared" si="352"/>
        <v>-4.9999999999999822E-2</v>
      </c>
      <c r="M1121">
        <v>4.7163801014448996</v>
      </c>
      <c r="N1121">
        <v>317750</v>
      </c>
      <c r="O1121" s="18">
        <f>ROUND(N1121/VLOOKUP(EOMONTH(A1121,-1),Employment!A:P,16,FALSE),4)</f>
        <v>1.57</v>
      </c>
      <c r="P1121" s="18">
        <f t="shared" si="342"/>
        <v>1.5875999999999999</v>
      </c>
      <c r="Q1121" s="29">
        <f t="shared" si="343"/>
        <v>-0.16239999999999999</v>
      </c>
      <c r="R1121" s="29">
        <f t="shared" si="344"/>
        <v>2.12E-2</v>
      </c>
      <c r="S1121">
        <v>2414000</v>
      </c>
      <c r="T1121" s="18">
        <f>ROUND((S1121/7)/VLOOKUP(EOMONTH(A1121,-1),Employment!A:P,16,FALSE),4)</f>
        <v>1.7039</v>
      </c>
      <c r="U1121" s="18">
        <f t="shared" si="345"/>
        <v>1.7077</v>
      </c>
      <c r="V1121" s="29">
        <f t="shared" si="346"/>
        <v>-0.107</v>
      </c>
      <c r="W1121" s="29">
        <f t="shared" si="347"/>
        <v>7.7000000000000002E-3</v>
      </c>
      <c r="X1121" s="30">
        <f t="shared" si="348"/>
        <v>150.11000000000001</v>
      </c>
      <c r="Y1121" s="31">
        <f t="shared" si="349"/>
        <v>154.96</v>
      </c>
    </row>
    <row r="1122" spans="1:25" ht="15" customHeight="1" x14ac:dyDescent="0.25">
      <c r="A1122" s="5">
        <v>35491</v>
      </c>
      <c r="B1122">
        <v>791.08050000000003</v>
      </c>
      <c r="C1122" s="29">
        <f t="shared" si="353"/>
        <v>8.5000000000000006E-3</v>
      </c>
      <c r="D1122">
        <v>-0.66</v>
      </c>
      <c r="E1122">
        <v>0.41199999999999998</v>
      </c>
      <c r="F1122" s="18">
        <f t="shared" si="340"/>
        <v>0.12400000000000055</v>
      </c>
      <c r="G1122" s="18">
        <f t="shared" si="341"/>
        <v>1.6160000000000001</v>
      </c>
      <c r="H1122">
        <v>2.73</v>
      </c>
      <c r="I1122">
        <v>1.49</v>
      </c>
      <c r="J1122">
        <f t="shared" si="350"/>
        <v>2.11</v>
      </c>
      <c r="K1122" s="6">
        <f t="shared" si="351"/>
        <v>2.21</v>
      </c>
      <c r="L1122" s="6">
        <f t="shared" si="352"/>
        <v>-6.0000000000000053E-2</v>
      </c>
      <c r="M1122">
        <v>4.5402261005242002</v>
      </c>
      <c r="N1122">
        <v>320750</v>
      </c>
      <c r="O1122" s="18">
        <f>ROUND(N1122/VLOOKUP(EOMONTH(A1122,-1),Employment!A:P,16,FALSE),4)</f>
        <v>1.5848</v>
      </c>
      <c r="P1122" s="18">
        <f t="shared" si="342"/>
        <v>1.6133999999999999</v>
      </c>
      <c r="Q1122" s="29">
        <f t="shared" si="343"/>
        <v>-0.16009999999999999</v>
      </c>
      <c r="R1122" s="29">
        <f t="shared" si="344"/>
        <v>3.1199999999999999E-2</v>
      </c>
      <c r="S1122">
        <v>2407000</v>
      </c>
      <c r="T1122" s="18">
        <f>ROUND((S1122/7)/VLOOKUP(EOMONTH(A1122,-1),Employment!A:P,16,FALSE),4)</f>
        <v>1.6990000000000001</v>
      </c>
      <c r="U1122" s="18">
        <f t="shared" si="345"/>
        <v>1.7054</v>
      </c>
      <c r="V1122" s="29">
        <f t="shared" si="346"/>
        <v>-0.11890000000000001</v>
      </c>
      <c r="W1122" s="29">
        <f t="shared" si="347"/>
        <v>1.21E-2</v>
      </c>
      <c r="X1122" s="30">
        <f t="shared" si="348"/>
        <v>158.71</v>
      </c>
      <c r="Y1122" s="31">
        <f t="shared" si="349"/>
        <v>157.35</v>
      </c>
    </row>
    <row r="1123" spans="1:25" ht="15" customHeight="1" x14ac:dyDescent="0.25">
      <c r="A1123" s="5">
        <v>35484</v>
      </c>
      <c r="B1123">
        <v>786.87070000000006</v>
      </c>
      <c r="C1123" s="29">
        <f t="shared" si="353"/>
        <v>4.5999999999999999E-3</v>
      </c>
      <c r="D1123">
        <v>-0.65</v>
      </c>
      <c r="E1123">
        <v>0.41499999999999998</v>
      </c>
      <c r="F1123" s="18">
        <f t="shared" si="340"/>
        <v>0.94</v>
      </c>
      <c r="G1123" s="18">
        <f t="shared" si="341"/>
        <v>1.3280000000000007</v>
      </c>
      <c r="H1123">
        <v>2.89</v>
      </c>
      <c r="I1123">
        <v>1.55</v>
      </c>
      <c r="J1123">
        <f t="shared" si="350"/>
        <v>2.2200000000000002</v>
      </c>
      <c r="K1123" s="6">
        <f t="shared" si="351"/>
        <v>2.27</v>
      </c>
      <c r="L1123" s="6">
        <f t="shared" si="352"/>
        <v>-2.0000000000000018E-2</v>
      </c>
      <c r="M1123">
        <v>4.0014462676275997</v>
      </c>
      <c r="N1123">
        <v>325250</v>
      </c>
      <c r="O1123" s="18">
        <f>ROUND(N1123/VLOOKUP(EOMONTH(A1123,-1),Employment!A:P,16,FALSE),4)</f>
        <v>1.6079000000000001</v>
      </c>
      <c r="P1123" s="18">
        <f t="shared" si="342"/>
        <v>1.6379999999999999</v>
      </c>
      <c r="Q1123" s="29">
        <f t="shared" si="343"/>
        <v>-0.14749999999999999</v>
      </c>
      <c r="R1123" s="29">
        <f t="shared" si="344"/>
        <v>3.6299999999999999E-2</v>
      </c>
      <c r="S1123">
        <v>2436000</v>
      </c>
      <c r="T1123" s="18">
        <f>ROUND((S1123/7)/VLOOKUP(EOMONTH(A1123,-1),Employment!A:P,16,FALSE),4)</f>
        <v>1.7202999999999999</v>
      </c>
      <c r="U1123" s="18">
        <f t="shared" si="345"/>
        <v>1.7257</v>
      </c>
      <c r="V1123" s="29">
        <f t="shared" si="346"/>
        <v>-0.1023</v>
      </c>
      <c r="W1123" s="29">
        <f t="shared" si="347"/>
        <v>2.0199999999999999E-2</v>
      </c>
      <c r="X1123" s="30">
        <f t="shared" si="348"/>
        <v>157.68</v>
      </c>
      <c r="Y1123" s="31">
        <f t="shared" si="349"/>
        <v>153.37</v>
      </c>
    </row>
    <row r="1124" spans="1:25" ht="15" customHeight="1" x14ac:dyDescent="0.25">
      <c r="A1124" s="5">
        <v>35477</v>
      </c>
      <c r="B1124">
        <v>785.15710000000001</v>
      </c>
      <c r="C1124" s="29">
        <f t="shared" si="353"/>
        <v>3.7000000000000002E-3</v>
      </c>
      <c r="D1124">
        <v>-0.64</v>
      </c>
      <c r="E1124">
        <v>0.52</v>
      </c>
      <c r="F1124" s="18">
        <f t="shared" si="340"/>
        <v>0.5519999999999996</v>
      </c>
      <c r="G1124" s="18">
        <f t="shared" si="341"/>
        <v>0.72400000000000109</v>
      </c>
      <c r="H1124">
        <v>3.05</v>
      </c>
      <c r="I1124">
        <v>1.53</v>
      </c>
      <c r="J1124">
        <f t="shared" si="350"/>
        <v>2.29</v>
      </c>
      <c r="K1124" s="6">
        <f t="shared" si="351"/>
        <v>2.29</v>
      </c>
      <c r="L1124" s="6">
        <f t="shared" si="352"/>
        <v>2.0000000000000018E-2</v>
      </c>
      <c r="M1124">
        <v>4.2550479662122997</v>
      </c>
      <c r="N1124">
        <v>333250</v>
      </c>
      <c r="O1124" s="18">
        <f>ROUND(N1124/VLOOKUP(EOMONTH(A1124,-1),Employment!A:P,16,FALSE),4)</f>
        <v>1.6474</v>
      </c>
      <c r="P1124" s="18">
        <f t="shared" si="342"/>
        <v>1.6606000000000001</v>
      </c>
      <c r="Q1124" s="29">
        <f t="shared" si="343"/>
        <v>-0.12909999999999999</v>
      </c>
      <c r="R1124" s="29">
        <f t="shared" si="344"/>
        <v>3.3700000000000001E-2</v>
      </c>
      <c r="S1124">
        <v>2403000</v>
      </c>
      <c r="T1124" s="18">
        <f>ROUND((S1124/7)/VLOOKUP(EOMONTH(A1124,-1),Employment!A:P,16,FALSE),4)</f>
        <v>1.6970000000000001</v>
      </c>
      <c r="U1124" s="18">
        <f t="shared" si="345"/>
        <v>1.7253000000000001</v>
      </c>
      <c r="V1124" s="29">
        <f t="shared" si="346"/>
        <v>-0.10639999999999999</v>
      </c>
      <c r="W1124" s="29">
        <f t="shared" si="347"/>
        <v>2.8799999999999999E-2</v>
      </c>
      <c r="X1124" s="30">
        <f t="shared" si="348"/>
        <v>153.1</v>
      </c>
      <c r="Y1124" s="31">
        <f t="shared" si="349"/>
        <v>146.01</v>
      </c>
    </row>
    <row r="1125" spans="1:25" ht="15" customHeight="1" x14ac:dyDescent="0.25">
      <c r="A1125" s="5">
        <v>35470</v>
      </c>
      <c r="B1125">
        <v>782.50139999999999</v>
      </c>
      <c r="C1125" s="29">
        <f t="shared" si="353"/>
        <v>1.5E-3</v>
      </c>
      <c r="D1125">
        <v>-0.62</v>
      </c>
      <c r="E1125">
        <v>0.56399999999999995</v>
      </c>
      <c r="F1125" s="18">
        <f t="shared" si="340"/>
        <v>-0.16399999999999881</v>
      </c>
      <c r="G1125" s="18">
        <f t="shared" si="341"/>
        <v>0.63200000000000056</v>
      </c>
      <c r="H1125">
        <v>3.06</v>
      </c>
      <c r="I1125">
        <v>1.54</v>
      </c>
      <c r="J1125">
        <f t="shared" si="350"/>
        <v>2.2999999999999998</v>
      </c>
      <c r="K1125" s="6">
        <f t="shared" si="351"/>
        <v>2.27</v>
      </c>
      <c r="L1125" s="6">
        <f t="shared" si="352"/>
        <v>1.0000000000000231E-2</v>
      </c>
      <c r="M1125">
        <v>4.2463692788926997</v>
      </c>
      <c r="N1125">
        <v>335500</v>
      </c>
      <c r="O1125" s="18">
        <f>ROUND(N1125/VLOOKUP(EOMONTH(A1125,-1),Employment!A:P,16,FALSE),4)</f>
        <v>1.6586000000000001</v>
      </c>
      <c r="P1125" s="18">
        <f t="shared" si="342"/>
        <v>1.6789000000000001</v>
      </c>
      <c r="Q1125" s="29">
        <f t="shared" si="343"/>
        <v>-0.10100000000000001</v>
      </c>
      <c r="R1125" s="29">
        <f t="shared" si="344"/>
        <v>2.2599999999999999E-2</v>
      </c>
      <c r="S1125">
        <v>2492000</v>
      </c>
      <c r="T1125" s="18">
        <f>ROUND((S1125/7)/VLOOKUP(EOMONTH(A1125,-1),Employment!A:P,16,FALSE),4)</f>
        <v>1.7599</v>
      </c>
      <c r="U1125" s="18">
        <f t="shared" si="345"/>
        <v>1.7436</v>
      </c>
      <c r="V1125" s="29">
        <f t="shared" si="346"/>
        <v>-9.1700000000000004E-2</v>
      </c>
      <c r="W1125" s="29">
        <f t="shared" si="347"/>
        <v>2.2800000000000001E-2</v>
      </c>
      <c r="X1125" s="30">
        <f t="shared" si="348"/>
        <v>143.24</v>
      </c>
      <c r="Y1125" s="31">
        <f t="shared" si="349"/>
        <v>136.09</v>
      </c>
    </row>
    <row r="1126" spans="1:25" ht="15" customHeight="1" x14ac:dyDescent="0.25">
      <c r="A1126" s="5">
        <v>35463</v>
      </c>
      <c r="B1126">
        <v>783.26149999999996</v>
      </c>
      <c r="C1126" s="29">
        <f t="shared" si="353"/>
        <v>3.3999999999999998E-3</v>
      </c>
      <c r="D1126">
        <v>-0.61</v>
      </c>
      <c r="E1126">
        <v>0.53100000000000003</v>
      </c>
      <c r="F1126" s="18">
        <f t="shared" si="340"/>
        <v>0.3360000000000003</v>
      </c>
      <c r="G1126" s="18">
        <f t="shared" si="341"/>
        <v>0.74799999999999933</v>
      </c>
      <c r="H1126">
        <v>3.04</v>
      </c>
      <c r="I1126">
        <v>1.5</v>
      </c>
      <c r="J1126">
        <f t="shared" si="350"/>
        <v>2.27</v>
      </c>
      <c r="K1126" s="6">
        <f t="shared" si="351"/>
        <v>2.2599999999999998</v>
      </c>
      <c r="L1126" s="6">
        <f t="shared" si="352"/>
        <v>-2.0000000000000018E-2</v>
      </c>
      <c r="M1126">
        <v>4.6695528011845999</v>
      </c>
      <c r="N1126">
        <v>339000</v>
      </c>
      <c r="O1126" s="18">
        <f>ROUND(N1126/VLOOKUP(EOMONTH(A1126,-1),Employment!A:P,16,FALSE),4)</f>
        <v>1.6758999999999999</v>
      </c>
      <c r="P1126" s="18">
        <f t="shared" si="342"/>
        <v>1.6956</v>
      </c>
      <c r="Q1126" s="29">
        <f t="shared" si="343"/>
        <v>-7.5300000000000006E-2</v>
      </c>
      <c r="R1126" s="29">
        <f t="shared" si="344"/>
        <v>9.7000000000000003E-3</v>
      </c>
      <c r="S1126">
        <v>2434000</v>
      </c>
      <c r="T1126" s="18">
        <f>ROUND((S1126/7)/VLOOKUP(EOMONTH(A1126,-1),Employment!A:P,16,FALSE),4)</f>
        <v>1.7189000000000001</v>
      </c>
      <c r="U1126" s="18">
        <f t="shared" si="345"/>
        <v>1.7597</v>
      </c>
      <c r="V1126" s="29">
        <f t="shared" si="346"/>
        <v>-7.3400000000000007E-2</v>
      </c>
      <c r="W1126" s="29">
        <f t="shared" si="347"/>
        <v>5.8999999999999999E-3</v>
      </c>
      <c r="X1126" s="30">
        <f t="shared" si="348"/>
        <v>135.21</v>
      </c>
      <c r="Y1126" s="31">
        <f t="shared" si="349"/>
        <v>125.27</v>
      </c>
    </row>
    <row r="1127" spans="1:25" ht="15" customHeight="1" x14ac:dyDescent="0.25">
      <c r="A1127" s="5">
        <v>35456</v>
      </c>
      <c r="B1127">
        <v>782.27790000000005</v>
      </c>
      <c r="C1127" s="29">
        <f t="shared" si="353"/>
        <v>3.3E-3</v>
      </c>
      <c r="D1127">
        <v>-0.59</v>
      </c>
      <c r="E1127">
        <v>0.54800000000000004</v>
      </c>
      <c r="F1127" s="18">
        <f t="shared" si="340"/>
        <v>0.45999999999999908</v>
      </c>
      <c r="G1127" s="18">
        <f t="shared" si="341"/>
        <v>5.600000000000005E-2</v>
      </c>
      <c r="H1127">
        <v>2.94</v>
      </c>
      <c r="I1127">
        <v>1.51</v>
      </c>
      <c r="J1127">
        <f t="shared" si="350"/>
        <v>2.23</v>
      </c>
      <c r="K1127" s="6">
        <f t="shared" si="351"/>
        <v>2.2799999999999998</v>
      </c>
      <c r="L1127" s="6">
        <f t="shared" si="352"/>
        <v>-4.0000000000000036E-2</v>
      </c>
      <c r="M1127">
        <v>3.9487991020208</v>
      </c>
      <c r="N1127">
        <v>343250</v>
      </c>
      <c r="O1127" s="18">
        <f>ROUND(N1127/VLOOKUP(EOMONTH(A1127,-1),Employment!A:P,16,FALSE),4)</f>
        <v>1.7022999999999999</v>
      </c>
      <c r="P1127" s="18">
        <f t="shared" si="342"/>
        <v>1.718</v>
      </c>
      <c r="Q1127" s="29">
        <f t="shared" si="343"/>
        <v>-5.7099999999999998E-2</v>
      </c>
      <c r="R1127" s="29">
        <f t="shared" si="344"/>
        <v>-4.7000000000000002E-3</v>
      </c>
      <c r="S1127">
        <v>2473000</v>
      </c>
      <c r="T1127" s="18">
        <f>ROUND((S1127/7)/VLOOKUP(EOMONTH(A1127,-1),Employment!A:P,16,FALSE),4)</f>
        <v>1.7521</v>
      </c>
      <c r="U1127" s="18">
        <f t="shared" si="345"/>
        <v>1.7764</v>
      </c>
      <c r="V1127" s="29">
        <f t="shared" si="346"/>
        <v>-4.6899999999999997E-2</v>
      </c>
      <c r="W1127" s="29">
        <f t="shared" si="347"/>
        <v>-1.38E-2</v>
      </c>
      <c r="X1127" s="30">
        <f t="shared" si="348"/>
        <v>120.41</v>
      </c>
      <c r="Y1127" s="31">
        <f t="shared" si="349"/>
        <v>114.9</v>
      </c>
    </row>
    <row r="1128" spans="1:25" ht="15" customHeight="1" x14ac:dyDescent="0.25">
      <c r="A1128" s="5">
        <v>35449</v>
      </c>
      <c r="B1128">
        <v>781.01499999999999</v>
      </c>
      <c r="C1128" s="29">
        <f t="shared" si="353"/>
        <v>2.3999999999999998E-3</v>
      </c>
      <c r="D1128">
        <v>-0.57999999999999996</v>
      </c>
      <c r="E1128">
        <v>0.59299999999999997</v>
      </c>
      <c r="F1128" s="18">
        <f t="shared" si="340"/>
        <v>-4.8000000000000043E-2</v>
      </c>
      <c r="G1128" s="18">
        <f t="shared" si="341"/>
        <v>0.17600000000000016</v>
      </c>
      <c r="H1128">
        <v>3.04</v>
      </c>
      <c r="I1128">
        <v>1.52</v>
      </c>
      <c r="J1128">
        <f t="shared" si="350"/>
        <v>2.2799999999999998</v>
      </c>
      <c r="K1128" s="6">
        <f t="shared" si="351"/>
        <v>2.3199999999999998</v>
      </c>
      <c r="L1128" s="6">
        <f t="shared" si="352"/>
        <v>-3.0000000000000249E-2</v>
      </c>
      <c r="M1128">
        <v>3.5966167582385999</v>
      </c>
      <c r="N1128">
        <v>344500</v>
      </c>
      <c r="O1128" s="18">
        <f>ROUND(N1128/VLOOKUP(EOMONTH(A1128,-1),Employment!A:P,16,FALSE),4)</f>
        <v>1.7084999999999999</v>
      </c>
      <c r="P1128" s="18">
        <f t="shared" si="342"/>
        <v>1.7350000000000001</v>
      </c>
      <c r="Q1128" s="29">
        <f t="shared" si="343"/>
        <v>-4.4200000000000003E-2</v>
      </c>
      <c r="R1128" s="29">
        <f t="shared" si="344"/>
        <v>-1.38E-2</v>
      </c>
      <c r="S1128">
        <v>2552000</v>
      </c>
      <c r="T1128" s="18">
        <f>ROUND((S1128/7)/VLOOKUP(EOMONTH(A1128,-1),Employment!A:P,16,FALSE),4)</f>
        <v>1.8081</v>
      </c>
      <c r="U1128" s="18">
        <f t="shared" si="345"/>
        <v>1.7842</v>
      </c>
      <c r="V1128" s="29">
        <f t="shared" si="346"/>
        <v>-3.2800000000000003E-2</v>
      </c>
      <c r="W1128" s="29">
        <f t="shared" si="347"/>
        <v>-1.95E-2</v>
      </c>
      <c r="X1128" s="30">
        <f t="shared" si="348"/>
        <v>112.55</v>
      </c>
      <c r="Y1128" s="31">
        <f t="shared" si="349"/>
        <v>109.04</v>
      </c>
    </row>
    <row r="1129" spans="1:25" ht="15" customHeight="1" x14ac:dyDescent="0.25">
      <c r="A1129" s="5">
        <v>35442</v>
      </c>
      <c r="B1129">
        <v>778.80870000000004</v>
      </c>
      <c r="C1129" s="29">
        <f t="shared" si="353"/>
        <v>8.9999999999999998E-4</v>
      </c>
      <c r="D1129">
        <v>-0.57999999999999996</v>
      </c>
      <c r="E1129">
        <v>0.58699999999999997</v>
      </c>
      <c r="F1129" s="18">
        <f t="shared" si="340"/>
        <v>-0.35599999999999898</v>
      </c>
      <c r="G1129" s="18">
        <f t="shared" si="341"/>
        <v>-0.35599999999999987</v>
      </c>
      <c r="H1129">
        <v>3.16</v>
      </c>
      <c r="I1129">
        <v>1.52</v>
      </c>
      <c r="J1129">
        <f t="shared" si="350"/>
        <v>2.34</v>
      </c>
      <c r="K1129" s="6">
        <f t="shared" si="351"/>
        <v>2.35</v>
      </c>
      <c r="L1129" s="6">
        <f t="shared" si="352"/>
        <v>-9.9999999999997868E-3</v>
      </c>
      <c r="M1129">
        <v>3.7601451393634999</v>
      </c>
      <c r="N1129">
        <v>351500</v>
      </c>
      <c r="O1129" s="18">
        <f>ROUND(N1129/VLOOKUP(EOMONTH(A1129,-1),Employment!A:P,16,FALSE),4)</f>
        <v>1.7432000000000001</v>
      </c>
      <c r="P1129" s="18">
        <f t="shared" si="342"/>
        <v>1.74</v>
      </c>
      <c r="Q1129" s="29">
        <f t="shared" si="343"/>
        <v>-5.0299999999999997E-2</v>
      </c>
      <c r="R1129" s="29">
        <f t="shared" si="344"/>
        <v>-1.95E-2</v>
      </c>
      <c r="S1129">
        <v>2497000</v>
      </c>
      <c r="T1129" s="18">
        <f>ROUND((S1129/7)/VLOOKUP(EOMONTH(A1129,-1),Employment!A:P,16,FALSE),4)</f>
        <v>1.7690999999999999</v>
      </c>
      <c r="U1129" s="18">
        <f t="shared" si="345"/>
        <v>1.7639</v>
      </c>
      <c r="V1129" s="29">
        <f t="shared" si="346"/>
        <v>-5.4100000000000002E-2</v>
      </c>
      <c r="W1129" s="29">
        <f t="shared" si="347"/>
        <v>-1.8499999999999999E-2</v>
      </c>
      <c r="X1129" s="30">
        <f t="shared" si="348"/>
        <v>106.97</v>
      </c>
      <c r="Y1129" s="31">
        <f t="shared" si="349"/>
        <v>106.2</v>
      </c>
    </row>
    <row r="1130" spans="1:25" ht="15" customHeight="1" x14ac:dyDescent="0.25">
      <c r="A1130" s="5">
        <v>35435</v>
      </c>
      <c r="B1130">
        <v>780.43690000000004</v>
      </c>
      <c r="C1130" s="29">
        <f t="shared" si="353"/>
        <v>4.3E-3</v>
      </c>
      <c r="D1130">
        <v>-0.59</v>
      </c>
      <c r="E1130">
        <v>0.55500000000000005</v>
      </c>
      <c r="F1130" s="18">
        <f t="shared" si="340"/>
        <v>0.57999999999999918</v>
      </c>
      <c r="G1130" s="18">
        <f t="shared" si="341"/>
        <v>-1.0600000000000014</v>
      </c>
      <c r="H1130">
        <v>3.16</v>
      </c>
      <c r="I1130">
        <v>1.53</v>
      </c>
      <c r="J1130">
        <f t="shared" si="350"/>
        <v>2.35</v>
      </c>
      <c r="K1130" s="6">
        <f t="shared" si="351"/>
        <v>2.36</v>
      </c>
      <c r="L1130" s="6">
        <f t="shared" si="352"/>
        <v>-1.0000000000000231E-2</v>
      </c>
      <c r="M1130">
        <v>4.0030192222242</v>
      </c>
      <c r="N1130">
        <v>353500</v>
      </c>
      <c r="O1130" s="18">
        <f>ROUND(N1130/VLOOKUP(EOMONTH(A1130,-1),Employment!A:P,16,FALSE),4)</f>
        <v>1.7532000000000001</v>
      </c>
      <c r="P1130" s="18">
        <f t="shared" si="342"/>
        <v>1.7322</v>
      </c>
      <c r="Q1130" s="29">
        <f t="shared" si="343"/>
        <v>-5.5599999999999997E-2</v>
      </c>
      <c r="R1130" s="29">
        <f t="shared" si="344"/>
        <v>-2.23E-2</v>
      </c>
      <c r="S1130">
        <v>2506000</v>
      </c>
      <c r="T1130" s="18">
        <f>ROUND((S1130/7)/VLOOKUP(EOMONTH(A1130,-1),Employment!A:P,16,FALSE),4)</f>
        <v>1.7755000000000001</v>
      </c>
      <c r="U1130" s="18">
        <f t="shared" si="345"/>
        <v>1.7614000000000001</v>
      </c>
      <c r="V1130" s="29">
        <f t="shared" si="346"/>
        <v>-6.4199999999999993E-2</v>
      </c>
      <c r="W1130" s="29">
        <f t="shared" si="347"/>
        <v>-2.1700000000000001E-2</v>
      </c>
      <c r="X1130" s="30">
        <f t="shared" si="348"/>
        <v>105.45</v>
      </c>
      <c r="Y1130" s="31">
        <f t="shared" si="349"/>
        <v>107.57</v>
      </c>
    </row>
    <row r="1131" spans="1:25" ht="15" customHeight="1" x14ac:dyDescent="0.25">
      <c r="A1131" s="5">
        <v>35428</v>
      </c>
      <c r="B1131">
        <v>778.41499999999996</v>
      </c>
      <c r="C1131" s="29">
        <f t="shared" si="353"/>
        <v>4.3E-3</v>
      </c>
      <c r="D1131">
        <v>-0.6</v>
      </c>
      <c r="E1131">
        <v>0.64</v>
      </c>
      <c r="F1131" s="18">
        <f t="shared" si="340"/>
        <v>-0.58000000000000007</v>
      </c>
      <c r="G1131" s="18">
        <f t="shared" si="341"/>
        <v>-2.5879999999999996</v>
      </c>
      <c r="H1131">
        <v>3.16</v>
      </c>
      <c r="I1131">
        <v>1.57</v>
      </c>
      <c r="J1131">
        <f t="shared" si="350"/>
        <v>2.37</v>
      </c>
      <c r="K1131" s="6">
        <f t="shared" si="351"/>
        <v>2.37</v>
      </c>
      <c r="L1131" s="6">
        <f t="shared" si="352"/>
        <v>-9.9999999999997868E-3</v>
      </c>
      <c r="M1131">
        <v>5.5795970122270004</v>
      </c>
      <c r="N1131">
        <v>347250</v>
      </c>
      <c r="O1131" s="18">
        <f>ROUND(N1131/VLOOKUP(EOMONTH(A1131,-1),Employment!A:P,16,FALSE),4)</f>
        <v>1.7236</v>
      </c>
      <c r="P1131" s="18">
        <f t="shared" si="342"/>
        <v>1.7170000000000001</v>
      </c>
      <c r="Q1131" s="29">
        <f t="shared" si="343"/>
        <v>-6.9400000000000003E-2</v>
      </c>
      <c r="R1131" s="29">
        <f t="shared" si="344"/>
        <v>-1.8100000000000002E-2</v>
      </c>
      <c r="S1131">
        <v>2464000</v>
      </c>
      <c r="T1131" s="18">
        <f>ROUND((S1131/7)/VLOOKUP(EOMONTH(A1131,-1),Employment!A:P,16,FALSE),4)</f>
        <v>1.7472000000000001</v>
      </c>
      <c r="U1131" s="18">
        <f t="shared" si="345"/>
        <v>1.7509999999999999</v>
      </c>
      <c r="V1131" s="29">
        <f t="shared" si="346"/>
        <v>-7.0099999999999996E-2</v>
      </c>
      <c r="W1131" s="29">
        <f t="shared" si="347"/>
        <v>-1.21E-2</v>
      </c>
      <c r="X1131" s="30">
        <f t="shared" si="348"/>
        <v>106.14</v>
      </c>
      <c r="Y1131" s="31">
        <f t="shared" si="349"/>
        <v>113.86</v>
      </c>
    </row>
    <row r="1132" spans="1:25" ht="15" customHeight="1" x14ac:dyDescent="0.25">
      <c r="A1132" s="5">
        <v>35421</v>
      </c>
      <c r="B1132">
        <v>778.79920000000004</v>
      </c>
      <c r="C1132" s="29">
        <f t="shared" si="353"/>
        <v>7.3000000000000001E-3</v>
      </c>
      <c r="D1132">
        <v>-0.63</v>
      </c>
      <c r="E1132">
        <v>0.60499999999999998</v>
      </c>
      <c r="F1132" s="18">
        <f t="shared" si="340"/>
        <v>-1.0600000000000005</v>
      </c>
      <c r="G1132" s="18">
        <f t="shared" si="341"/>
        <v>-2.4959999999999996</v>
      </c>
      <c r="H1132">
        <v>3.16</v>
      </c>
      <c r="I1132">
        <v>1.57</v>
      </c>
      <c r="J1132">
        <f t="shared" si="350"/>
        <v>2.37</v>
      </c>
      <c r="K1132" s="6">
        <f t="shared" si="351"/>
        <v>2.38</v>
      </c>
      <c r="L1132" s="6">
        <f t="shared" si="352"/>
        <v>-1.0000000000000231E-2</v>
      </c>
      <c r="M1132">
        <v>6.0199593913811</v>
      </c>
      <c r="N1132">
        <v>346500</v>
      </c>
      <c r="O1132" s="18">
        <f>ROUND(N1132/VLOOKUP(EOMONTH(A1132,-1),Employment!A:P,16,FALSE),4)</f>
        <v>1.7199</v>
      </c>
      <c r="P1132" s="18">
        <f t="shared" si="342"/>
        <v>1.7000999999999999</v>
      </c>
      <c r="Q1132" s="29">
        <f t="shared" si="343"/>
        <v>-8.5800000000000001E-2</v>
      </c>
      <c r="R1132" s="29">
        <f t="shared" si="344"/>
        <v>-9.4000000000000004E-3</v>
      </c>
      <c r="S1132">
        <v>2484000</v>
      </c>
      <c r="T1132" s="18">
        <f>ROUND((S1132/7)/VLOOKUP(EOMONTH(A1132,-1),Employment!A:P,16,FALSE),4)</f>
        <v>1.7614000000000001</v>
      </c>
      <c r="U1132" s="18">
        <f t="shared" si="345"/>
        <v>1.7241</v>
      </c>
      <c r="V1132" s="29">
        <f t="shared" si="346"/>
        <v>-9.3700000000000006E-2</v>
      </c>
      <c r="W1132" s="29">
        <f t="shared" si="347"/>
        <v>3.0999999999999999E-3</v>
      </c>
      <c r="X1132" s="30">
        <f t="shared" si="348"/>
        <v>116.44</v>
      </c>
      <c r="Y1132" s="31">
        <f t="shared" si="349"/>
        <v>124.03</v>
      </c>
    </row>
    <row r="1133" spans="1:25" ht="15" customHeight="1" x14ac:dyDescent="0.25">
      <c r="A1133" s="5">
        <v>35414</v>
      </c>
      <c r="B1133">
        <v>774.7731</v>
      </c>
      <c r="C1133" s="29">
        <f t="shared" si="353"/>
        <v>4.1999999999999997E-3</v>
      </c>
      <c r="D1133">
        <v>-0.66</v>
      </c>
      <c r="E1133">
        <v>0.51</v>
      </c>
      <c r="F1133" s="18">
        <f t="shared" si="340"/>
        <v>-0.94799999999999907</v>
      </c>
      <c r="G1133" s="18">
        <f t="shared" si="341"/>
        <v>-1.335999999999999</v>
      </c>
      <c r="H1133">
        <v>3.16</v>
      </c>
      <c r="I1133">
        <v>1.58</v>
      </c>
      <c r="J1133">
        <f t="shared" si="350"/>
        <v>2.37</v>
      </c>
      <c r="K1133" s="6">
        <f t="shared" si="351"/>
        <v>2.39</v>
      </c>
      <c r="L1133" s="6">
        <f t="shared" si="352"/>
        <v>-9.9999999999997868E-3</v>
      </c>
      <c r="M1133">
        <v>5.8602368338651001</v>
      </c>
      <c r="N1133">
        <v>344000</v>
      </c>
      <c r="O1133" s="18">
        <f>ROUND(N1133/VLOOKUP(EOMONTH(A1133,-1),Employment!A:P,16,FALSE),4)</f>
        <v>1.7075</v>
      </c>
      <c r="P1133" s="18">
        <f t="shared" si="342"/>
        <v>1.6852</v>
      </c>
      <c r="Q1133" s="29">
        <f t="shared" si="343"/>
        <v>-0.1013</v>
      </c>
      <c r="R1133" s="29">
        <f t="shared" si="344"/>
        <v>4.0000000000000002E-4</v>
      </c>
      <c r="S1133">
        <v>2460000</v>
      </c>
      <c r="T1133" s="18">
        <f>ROUND((S1133/7)/VLOOKUP(EOMONTH(A1133,-1),Employment!A:P,16,FALSE),4)</f>
        <v>1.7444</v>
      </c>
      <c r="U1133" s="18">
        <f t="shared" si="345"/>
        <v>1.7056</v>
      </c>
      <c r="V1133" s="29">
        <f t="shared" si="346"/>
        <v>-0.1061</v>
      </c>
      <c r="W1133" s="29">
        <f t="shared" si="347"/>
        <v>1.3299999999999999E-2</v>
      </c>
      <c r="X1133" s="30">
        <f t="shared" si="348"/>
        <v>126.69</v>
      </c>
      <c r="Y1133" s="31">
        <f t="shared" si="349"/>
        <v>132.47</v>
      </c>
    </row>
    <row r="1134" spans="1:25" ht="15" customHeight="1" x14ac:dyDescent="0.25">
      <c r="A1134" s="5">
        <v>35407</v>
      </c>
      <c r="B1134">
        <v>776.53729999999996</v>
      </c>
      <c r="C1134" s="29">
        <f t="shared" si="353"/>
        <v>9.9000000000000008E-3</v>
      </c>
      <c r="D1134">
        <v>-0.69</v>
      </c>
      <c r="E1134">
        <v>0.42899999999999999</v>
      </c>
      <c r="F1134" s="18">
        <f t="shared" si="340"/>
        <v>-0.48799999999999999</v>
      </c>
      <c r="G1134" s="18">
        <f t="shared" si="341"/>
        <v>-0.19200000000000017</v>
      </c>
      <c r="H1134">
        <v>3.16</v>
      </c>
      <c r="I1134">
        <v>1.62</v>
      </c>
      <c r="J1134">
        <f t="shared" si="350"/>
        <v>2.39</v>
      </c>
      <c r="K1134" s="6">
        <f t="shared" si="351"/>
        <v>2.4</v>
      </c>
      <c r="L1134" s="6">
        <f t="shared" si="352"/>
        <v>9.9999999999997868E-3</v>
      </c>
      <c r="M1134">
        <v>5.3632780119743</v>
      </c>
      <c r="N1134">
        <v>337000</v>
      </c>
      <c r="O1134" s="18">
        <f>ROUND(N1134/VLOOKUP(EOMONTH(A1134,-1),Employment!A:P,16,FALSE),4)</f>
        <v>1.6728000000000001</v>
      </c>
      <c r="P1134" s="18">
        <f t="shared" si="342"/>
        <v>1.677</v>
      </c>
      <c r="Q1134" s="29">
        <f t="shared" si="343"/>
        <v>-0.11169999999999999</v>
      </c>
      <c r="R1134" s="29">
        <f t="shared" si="344"/>
        <v>6.1000000000000004E-3</v>
      </c>
      <c r="S1134">
        <v>2350000</v>
      </c>
      <c r="T1134" s="18">
        <f>ROUND((S1134/7)/VLOOKUP(EOMONTH(A1134,-1),Employment!A:P,16,FALSE),4)</f>
        <v>1.6664000000000001</v>
      </c>
      <c r="U1134" s="18">
        <f t="shared" si="345"/>
        <v>1.7097</v>
      </c>
      <c r="V1134" s="29">
        <f t="shared" si="346"/>
        <v>-0.1099</v>
      </c>
      <c r="W1134" s="29">
        <f t="shared" si="347"/>
        <v>8.2000000000000007E-3</v>
      </c>
      <c r="X1134" s="30">
        <f t="shared" si="348"/>
        <v>136.38</v>
      </c>
      <c r="Y1134" s="31">
        <f t="shared" si="349"/>
        <v>137.36000000000001</v>
      </c>
    </row>
    <row r="1135" spans="1:25" ht="15" customHeight="1" x14ac:dyDescent="0.25">
      <c r="A1135" s="5">
        <v>35400</v>
      </c>
      <c r="B1135">
        <v>770.17880000000002</v>
      </c>
      <c r="C1135" s="29">
        <f t="shared" si="353"/>
        <v>2.8E-3</v>
      </c>
      <c r="D1135">
        <v>-0.71</v>
      </c>
      <c r="E1135">
        <v>0.39300000000000002</v>
      </c>
      <c r="F1135" s="18">
        <f t="shared" si="340"/>
        <v>0.10000000000000009</v>
      </c>
      <c r="G1135" s="18">
        <f t="shared" si="341"/>
        <v>1.2440000000000007</v>
      </c>
      <c r="H1135">
        <v>3.16</v>
      </c>
      <c r="I1135">
        <v>1.65</v>
      </c>
      <c r="J1135">
        <f t="shared" si="350"/>
        <v>2.41</v>
      </c>
      <c r="K1135" s="6">
        <f t="shared" si="351"/>
        <v>2.39</v>
      </c>
      <c r="L1135" s="6">
        <f t="shared" si="352"/>
        <v>2.0000000000000018E-2</v>
      </c>
      <c r="M1135">
        <v>4.3756629476246003</v>
      </c>
      <c r="N1135">
        <v>337500</v>
      </c>
      <c r="O1135" s="18">
        <f>ROUND(N1135/VLOOKUP(EOMONTH(A1135,-1),Employment!A:P,16,FALSE),4)</f>
        <v>1.6752</v>
      </c>
      <c r="P1135" s="18">
        <f t="shared" si="342"/>
        <v>1.6775</v>
      </c>
      <c r="Q1135" s="29">
        <f t="shared" si="343"/>
        <v>-0.1101</v>
      </c>
      <c r="R1135" s="29">
        <f t="shared" si="344"/>
        <v>8.8999999999999999E-3</v>
      </c>
      <c r="S1135">
        <v>2406000</v>
      </c>
      <c r="T1135" s="18">
        <f>ROUND((S1135/7)/VLOOKUP(EOMONTH(A1135,-1),Employment!A:P,16,FALSE),4)</f>
        <v>1.7060999999999999</v>
      </c>
      <c r="U1135" s="18">
        <f t="shared" si="345"/>
        <v>1.7343999999999999</v>
      </c>
      <c r="V1135" s="29">
        <f t="shared" si="346"/>
        <v>-9.01E-2</v>
      </c>
      <c r="W1135" s="29">
        <f t="shared" si="347"/>
        <v>0</v>
      </c>
      <c r="X1135" s="30">
        <f t="shared" si="348"/>
        <v>137.13</v>
      </c>
      <c r="Y1135" s="31">
        <f t="shared" si="349"/>
        <v>139.02000000000001</v>
      </c>
    </row>
    <row r="1136" spans="1:25" ht="15" customHeight="1" x14ac:dyDescent="0.25">
      <c r="A1136" s="5">
        <v>35393</v>
      </c>
      <c r="B1136">
        <v>771.08920000000001</v>
      </c>
      <c r="C1136" s="29">
        <f t="shared" si="353"/>
        <v>5.5999999999999999E-3</v>
      </c>
      <c r="D1136">
        <v>-0.72</v>
      </c>
      <c r="E1136">
        <v>0.41799999999999998</v>
      </c>
      <c r="F1136" s="18">
        <f t="shared" si="340"/>
        <v>0.19599999999999973</v>
      </c>
      <c r="G1136" s="18">
        <f t="shared" si="341"/>
        <v>1.5839999999999992</v>
      </c>
      <c r="H1136">
        <v>3.16</v>
      </c>
      <c r="I1136">
        <v>1.62</v>
      </c>
      <c r="J1136">
        <f t="shared" si="350"/>
        <v>2.39</v>
      </c>
      <c r="K1136" s="6">
        <f t="shared" si="351"/>
        <v>2.37</v>
      </c>
      <c r="L1136" s="6">
        <f t="shared" si="352"/>
        <v>1.0000000000000231E-2</v>
      </c>
      <c r="M1136">
        <v>3.7106146595227001</v>
      </c>
      <c r="N1136">
        <v>338750</v>
      </c>
      <c r="O1136" s="18">
        <f>ROUND(N1136/VLOOKUP(EOMONTH(A1136,-1),Employment!A:P,16,FALSE),4)</f>
        <v>1.6830000000000001</v>
      </c>
      <c r="P1136" s="18">
        <f t="shared" si="342"/>
        <v>1.6800999999999999</v>
      </c>
      <c r="Q1136" s="29">
        <f t="shared" si="343"/>
        <v>-0.10580000000000001</v>
      </c>
      <c r="R1136" s="29">
        <f t="shared" si="344"/>
        <v>1.2E-2</v>
      </c>
      <c r="S1136">
        <v>2475000</v>
      </c>
      <c r="T1136" s="18">
        <f>ROUND((S1136/7)/VLOOKUP(EOMONTH(A1136,-1),Employment!A:P,16,FALSE),4)</f>
        <v>1.7566999999999999</v>
      </c>
      <c r="U1136" s="18">
        <f t="shared" si="345"/>
        <v>1.7509999999999999</v>
      </c>
      <c r="V1136" s="29">
        <f t="shared" si="346"/>
        <v>-8.4099999999999994E-2</v>
      </c>
      <c r="W1136" s="29">
        <f t="shared" si="347"/>
        <v>-1.1000000000000001E-3</v>
      </c>
      <c r="X1136" s="30">
        <f t="shared" si="348"/>
        <v>140.38</v>
      </c>
      <c r="Y1136" s="31">
        <f t="shared" si="349"/>
        <v>139.56</v>
      </c>
    </row>
    <row r="1137" spans="1:25" ht="15" customHeight="1" x14ac:dyDescent="0.25">
      <c r="A1137" s="5">
        <v>35386</v>
      </c>
      <c r="B1137">
        <v>768.38689999999997</v>
      </c>
      <c r="C1137" s="29">
        <f t="shared" si="353"/>
        <v>3.3E-3</v>
      </c>
      <c r="D1137">
        <v>-0.73</v>
      </c>
      <c r="E1137">
        <v>0.45500000000000002</v>
      </c>
      <c r="F1137" s="18">
        <f t="shared" si="340"/>
        <v>0.94800000000000084</v>
      </c>
      <c r="G1137" s="18">
        <f t="shared" si="341"/>
        <v>1.4759999999999986</v>
      </c>
      <c r="H1137">
        <v>3.16</v>
      </c>
      <c r="I1137">
        <v>1.57</v>
      </c>
      <c r="J1137">
        <f t="shared" si="350"/>
        <v>2.37</v>
      </c>
      <c r="K1137" s="6">
        <f t="shared" si="351"/>
        <v>2.36</v>
      </c>
      <c r="L1137" s="6">
        <f t="shared" si="352"/>
        <v>9.9999999999997868E-3</v>
      </c>
      <c r="M1137">
        <v>3.3124038855626998</v>
      </c>
      <c r="N1137">
        <v>337000</v>
      </c>
      <c r="O1137" s="18">
        <f>ROUND(N1137/VLOOKUP(EOMONTH(A1137,-1),Employment!A:P,16,FALSE),4)</f>
        <v>1.6742999999999999</v>
      </c>
      <c r="P1137" s="18">
        <f t="shared" si="342"/>
        <v>1.6805000000000001</v>
      </c>
      <c r="Q1137" s="29">
        <f t="shared" si="343"/>
        <v>-0.1016</v>
      </c>
      <c r="R1137" s="29">
        <f t="shared" si="344"/>
        <v>1.4200000000000001E-2</v>
      </c>
      <c r="S1137">
        <v>2452000</v>
      </c>
      <c r="T1137" s="18">
        <f>ROUND((S1137/7)/VLOOKUP(EOMONTH(A1137,-1),Employment!A:P,16,FALSE),4)</f>
        <v>1.7403999999999999</v>
      </c>
      <c r="U1137" s="18">
        <f t="shared" si="345"/>
        <v>1.7448999999999999</v>
      </c>
      <c r="V1137" s="29">
        <f t="shared" si="346"/>
        <v>-8.3400000000000002E-2</v>
      </c>
      <c r="W1137" s="29">
        <f t="shared" si="347"/>
        <v>6.7000000000000002E-3</v>
      </c>
      <c r="X1137" s="30">
        <f t="shared" si="348"/>
        <v>140.34</v>
      </c>
      <c r="Y1137" s="31">
        <f t="shared" si="349"/>
        <v>136.86000000000001</v>
      </c>
    </row>
    <row r="1138" spans="1:25" ht="15" customHeight="1" x14ac:dyDescent="0.25">
      <c r="A1138" s="5">
        <v>35379</v>
      </c>
      <c r="B1138">
        <v>766.17899999999997</v>
      </c>
      <c r="C1138" s="29">
        <f t="shared" si="353"/>
        <v>8.0000000000000004E-4</v>
      </c>
      <c r="D1138">
        <v>-0.72</v>
      </c>
      <c r="E1138">
        <v>0.56100000000000005</v>
      </c>
      <c r="F1138" s="18">
        <f t="shared" si="340"/>
        <v>0.43999999999999861</v>
      </c>
      <c r="G1138" s="18">
        <f t="shared" si="341"/>
        <v>1.1399999999999988</v>
      </c>
      <c r="H1138">
        <v>3.16</v>
      </c>
      <c r="I1138">
        <v>1.53</v>
      </c>
      <c r="J1138">
        <f t="shared" si="350"/>
        <v>2.35</v>
      </c>
      <c r="K1138" s="6">
        <f t="shared" si="351"/>
        <v>2.35</v>
      </c>
      <c r="L1138" s="6">
        <f t="shared" si="352"/>
        <v>0</v>
      </c>
      <c r="M1138">
        <v>3.1974788738552999</v>
      </c>
      <c r="N1138">
        <v>338750</v>
      </c>
      <c r="O1138" s="18">
        <f>ROUND(N1138/VLOOKUP(EOMONTH(A1138,-1),Employment!A:P,16,FALSE),4)</f>
        <v>1.6830000000000001</v>
      </c>
      <c r="P1138" s="18">
        <f t="shared" si="342"/>
        <v>1.6828000000000001</v>
      </c>
      <c r="Q1138" s="29">
        <f t="shared" si="343"/>
        <v>-9.4700000000000006E-2</v>
      </c>
      <c r="R1138" s="29">
        <f t="shared" si="344"/>
        <v>1.09E-2</v>
      </c>
      <c r="S1138">
        <v>2474000</v>
      </c>
      <c r="T1138" s="18">
        <f>ROUND((S1138/7)/VLOOKUP(EOMONTH(A1138,-1),Employment!A:P,16,FALSE),4)</f>
        <v>1.756</v>
      </c>
      <c r="U1138" s="18">
        <f t="shared" si="345"/>
        <v>1.7383999999999999</v>
      </c>
      <c r="V1138" s="29">
        <f t="shared" si="346"/>
        <v>-9.1600000000000001E-2</v>
      </c>
      <c r="W1138" s="29">
        <f t="shared" si="347"/>
        <v>1.1900000000000001E-2</v>
      </c>
      <c r="X1138" s="30">
        <f t="shared" si="348"/>
        <v>135.57</v>
      </c>
      <c r="Y1138" s="31">
        <f t="shared" si="349"/>
        <v>132.19999999999999</v>
      </c>
    </row>
    <row r="1139" spans="1:25" ht="15" customHeight="1" x14ac:dyDescent="0.25">
      <c r="A1139" s="5">
        <v>35372</v>
      </c>
      <c r="B1139">
        <v>766.59280000000001</v>
      </c>
      <c r="C1139" s="29">
        <f t="shared" si="353"/>
        <v>2.8E-3</v>
      </c>
      <c r="D1139">
        <v>-0.7</v>
      </c>
      <c r="E1139">
        <v>0.59099999999999997</v>
      </c>
      <c r="F1139" s="18">
        <f t="shared" si="340"/>
        <v>8.799999999999919E-2</v>
      </c>
      <c r="G1139" s="18">
        <f t="shared" si="341"/>
        <v>1.3559999999999999</v>
      </c>
      <c r="H1139">
        <v>3.16</v>
      </c>
      <c r="I1139">
        <v>1.56</v>
      </c>
      <c r="J1139">
        <f t="shared" si="350"/>
        <v>2.36</v>
      </c>
      <c r="K1139" s="6">
        <f t="shared" si="351"/>
        <v>2.35</v>
      </c>
      <c r="L1139" s="6">
        <f t="shared" si="352"/>
        <v>0</v>
      </c>
      <c r="M1139">
        <v>2.9974076386587001</v>
      </c>
      <c r="N1139">
        <v>339000</v>
      </c>
      <c r="O1139" s="18">
        <f>ROUND(N1139/VLOOKUP(EOMONTH(A1139,-1),Employment!A:P,16,FALSE),4)</f>
        <v>1.6842999999999999</v>
      </c>
      <c r="P1139" s="18">
        <f t="shared" si="342"/>
        <v>1.6892</v>
      </c>
      <c r="Q1139" s="29">
        <f t="shared" si="343"/>
        <v>-8.3099999999999993E-2</v>
      </c>
      <c r="R1139" s="29">
        <f t="shared" si="344"/>
        <v>3.2000000000000002E-3</v>
      </c>
      <c r="S1139">
        <v>2449000</v>
      </c>
      <c r="T1139" s="18">
        <f>ROUND((S1139/7)/VLOOKUP(EOMONTH(A1139,-1),Employment!A:P,16,FALSE),4)</f>
        <v>1.7382</v>
      </c>
      <c r="U1139" s="18">
        <f t="shared" si="345"/>
        <v>1.7442</v>
      </c>
      <c r="V1139" s="29">
        <f t="shared" si="346"/>
        <v>-8.6199999999999999E-2</v>
      </c>
      <c r="W1139" s="29">
        <f t="shared" si="347"/>
        <v>9.2999999999999992E-3</v>
      </c>
      <c r="X1139" s="30">
        <f t="shared" si="348"/>
        <v>131.36000000000001</v>
      </c>
      <c r="Y1139" s="31">
        <f t="shared" si="349"/>
        <v>127.18</v>
      </c>
    </row>
    <row r="1140" spans="1:25" ht="15" customHeight="1" x14ac:dyDescent="0.25">
      <c r="A1140" s="5">
        <v>35365</v>
      </c>
      <c r="B1140">
        <v>766.10670000000005</v>
      </c>
      <c r="C1140" s="29">
        <f t="shared" si="353"/>
        <v>5.3E-3</v>
      </c>
      <c r="D1140">
        <v>-0.68</v>
      </c>
      <c r="E1140">
        <v>0.57699999999999996</v>
      </c>
      <c r="F1140" s="18">
        <f t="shared" si="340"/>
        <v>0.61200000000000099</v>
      </c>
      <c r="G1140" s="18">
        <f t="shared" si="341"/>
        <v>1.2360000000000007</v>
      </c>
      <c r="H1140">
        <v>3.16</v>
      </c>
      <c r="I1140">
        <v>1.52</v>
      </c>
      <c r="J1140">
        <f t="shared" si="350"/>
        <v>2.34</v>
      </c>
      <c r="K1140" s="6">
        <f t="shared" si="351"/>
        <v>2.35</v>
      </c>
      <c r="L1140" s="6">
        <f t="shared" si="352"/>
        <v>0</v>
      </c>
      <c r="M1140">
        <v>3.0126851339679002</v>
      </c>
      <c r="N1140">
        <v>338000</v>
      </c>
      <c r="O1140" s="18">
        <f>ROUND(N1140/VLOOKUP(EOMONTH(A1140,-1),Employment!A:P,16,FALSE),4)</f>
        <v>1.6811</v>
      </c>
      <c r="P1140" s="18">
        <f t="shared" si="342"/>
        <v>1.6968000000000001</v>
      </c>
      <c r="Q1140" s="29">
        <f t="shared" si="343"/>
        <v>-7.3400000000000007E-2</v>
      </c>
      <c r="R1140" s="29">
        <f t="shared" si="344"/>
        <v>-5.5999999999999999E-3</v>
      </c>
      <c r="S1140">
        <v>2422000</v>
      </c>
      <c r="T1140" s="18">
        <f>ROUND((S1140/7)/VLOOKUP(EOMONTH(A1140,-1),Employment!A:P,16,FALSE),4)</f>
        <v>1.7209000000000001</v>
      </c>
      <c r="U1140" s="18">
        <f t="shared" si="345"/>
        <v>1.7519</v>
      </c>
      <c r="V1140" s="29">
        <f t="shared" si="346"/>
        <v>-7.8799999999999995E-2</v>
      </c>
      <c r="W1140" s="29">
        <f t="shared" si="347"/>
        <v>2E-3</v>
      </c>
      <c r="X1140" s="30">
        <f t="shared" si="348"/>
        <v>125.85</v>
      </c>
      <c r="Y1140" s="31">
        <f t="shared" si="349"/>
        <v>122.85</v>
      </c>
    </row>
    <row r="1141" spans="1:25" ht="15" customHeight="1" x14ac:dyDescent="0.25">
      <c r="A1141" s="5">
        <v>35358</v>
      </c>
      <c r="B1141">
        <v>764.67880000000002</v>
      </c>
      <c r="C1141" s="29">
        <f t="shared" si="353"/>
        <v>6.7000000000000002E-3</v>
      </c>
      <c r="D1141">
        <v>-0.67</v>
      </c>
      <c r="E1141">
        <v>0.64100000000000001</v>
      </c>
      <c r="F1141" s="18">
        <f t="shared" si="340"/>
        <v>0.65599999999999969</v>
      </c>
      <c r="G1141" s="18">
        <f t="shared" si="341"/>
        <v>0.15200000000000014</v>
      </c>
      <c r="H1141">
        <v>3.16</v>
      </c>
      <c r="I1141">
        <v>1.52</v>
      </c>
      <c r="J1141">
        <f t="shared" si="350"/>
        <v>2.34</v>
      </c>
      <c r="K1141" s="6">
        <f t="shared" si="351"/>
        <v>2.35</v>
      </c>
      <c r="L1141" s="6">
        <f t="shared" si="352"/>
        <v>-9.9999999999997868E-3</v>
      </c>
      <c r="M1141">
        <v>3.0789834736142998</v>
      </c>
      <c r="N1141">
        <v>342250</v>
      </c>
      <c r="O1141" s="18">
        <f>ROUND(N1141/VLOOKUP(EOMONTH(A1141,-1),Employment!A:P,16,FALSE),4)</f>
        <v>1.7021999999999999</v>
      </c>
      <c r="P1141" s="18">
        <f t="shared" si="342"/>
        <v>1.7047000000000001</v>
      </c>
      <c r="Q1141" s="29">
        <f t="shared" si="343"/>
        <v>-6.7100000000000007E-2</v>
      </c>
      <c r="R1141" s="29">
        <f t="shared" si="344"/>
        <v>-8.9999999999999993E-3</v>
      </c>
      <c r="S1141">
        <v>2496000</v>
      </c>
      <c r="T1141" s="18">
        <f>ROUND((S1141/7)/VLOOKUP(EOMONTH(A1141,-1),Employment!A:P,16,FALSE),4)</f>
        <v>1.7734000000000001</v>
      </c>
      <c r="U1141" s="18">
        <f t="shared" si="345"/>
        <v>1.7665999999999999</v>
      </c>
      <c r="V1141" s="29">
        <f t="shared" si="346"/>
        <v>-6.3799999999999996E-2</v>
      </c>
      <c r="W1141" s="29">
        <f t="shared" si="347"/>
        <v>-1.6000000000000001E-3</v>
      </c>
      <c r="X1141" s="30">
        <f t="shared" si="348"/>
        <v>120.06</v>
      </c>
      <c r="Y1141" s="31">
        <f t="shared" si="349"/>
        <v>122.65</v>
      </c>
    </row>
    <row r="1142" spans="1:25" ht="15" customHeight="1" x14ac:dyDescent="0.25">
      <c r="A1142" s="5">
        <v>35351</v>
      </c>
      <c r="B1142">
        <v>764.92430000000002</v>
      </c>
      <c r="C1142" s="29">
        <f t="shared" si="353"/>
        <v>1.09E-2</v>
      </c>
      <c r="D1142">
        <v>-0.65</v>
      </c>
      <c r="E1142">
        <v>0.69799999999999995</v>
      </c>
      <c r="F1142" s="18">
        <f t="shared" si="340"/>
        <v>-3.2000000000000028E-2</v>
      </c>
      <c r="G1142" s="18">
        <f t="shared" si="341"/>
        <v>-0.47599999999999998</v>
      </c>
      <c r="H1142">
        <v>3.16</v>
      </c>
      <c r="I1142">
        <v>1.55</v>
      </c>
      <c r="J1142">
        <f t="shared" si="350"/>
        <v>2.36</v>
      </c>
      <c r="K1142" s="6">
        <f t="shared" si="351"/>
        <v>2.36</v>
      </c>
      <c r="L1142" s="6">
        <f t="shared" si="352"/>
        <v>9.9999999999997868E-3</v>
      </c>
      <c r="M1142">
        <v>2.7626089818686999</v>
      </c>
      <c r="N1142">
        <v>343250</v>
      </c>
      <c r="O1142" s="18">
        <f>ROUND(N1142/VLOOKUP(EOMONTH(A1142,-1),Employment!A:P,16,FALSE),4)</f>
        <v>1.7072000000000001</v>
      </c>
      <c r="P1142" s="18">
        <f t="shared" si="342"/>
        <v>1.6982999999999999</v>
      </c>
      <c r="Q1142" s="29">
        <f t="shared" si="343"/>
        <v>-7.1499999999999994E-2</v>
      </c>
      <c r="R1142" s="29">
        <f t="shared" si="344"/>
        <v>-5.0000000000000001E-3</v>
      </c>
      <c r="S1142">
        <v>2479000</v>
      </c>
      <c r="T1142" s="18">
        <f>ROUND((S1142/7)/VLOOKUP(EOMONTH(A1142,-1),Employment!A:P,16,FALSE),4)</f>
        <v>1.7614000000000001</v>
      </c>
      <c r="U1142" s="18">
        <f t="shared" si="345"/>
        <v>1.7647999999999999</v>
      </c>
      <c r="V1142" s="29">
        <f t="shared" si="346"/>
        <v>-6.4699999999999994E-2</v>
      </c>
      <c r="W1142" s="29">
        <f t="shared" si="347"/>
        <v>5.0000000000000001E-3</v>
      </c>
      <c r="X1142" s="30">
        <f t="shared" si="348"/>
        <v>122.35</v>
      </c>
      <c r="Y1142" s="31">
        <f t="shared" si="349"/>
        <v>126.5</v>
      </c>
    </row>
    <row r="1143" spans="1:25" ht="15" customHeight="1" x14ac:dyDescent="0.25">
      <c r="A1143" s="5">
        <v>35344</v>
      </c>
      <c r="B1143">
        <v>761.96079999999995</v>
      </c>
      <c r="C1143" s="29">
        <f t="shared" si="353"/>
        <v>1.1299999999999999E-2</v>
      </c>
      <c r="D1143">
        <v>-0.65</v>
      </c>
      <c r="E1143">
        <v>0.69399999999999995</v>
      </c>
      <c r="F1143" s="18">
        <f t="shared" si="340"/>
        <v>-0.47199999999999953</v>
      </c>
      <c r="G1143" s="18">
        <f t="shared" si="341"/>
        <v>0.3360000000000003</v>
      </c>
      <c r="H1143">
        <v>3.16</v>
      </c>
      <c r="I1143">
        <v>1.55</v>
      </c>
      <c r="J1143">
        <f t="shared" si="350"/>
        <v>2.36</v>
      </c>
      <c r="K1143" s="6">
        <f t="shared" si="351"/>
        <v>2.35</v>
      </c>
      <c r="L1143" s="6">
        <f t="shared" si="352"/>
        <v>1.0000000000000231E-2</v>
      </c>
      <c r="M1143">
        <v>2.8357824178301998</v>
      </c>
      <c r="N1143">
        <v>342750</v>
      </c>
      <c r="O1143" s="18">
        <f>ROUND(N1143/VLOOKUP(EOMONTH(A1143,-1),Employment!A:P,16,FALSE),4)</f>
        <v>1.7047000000000001</v>
      </c>
      <c r="P1143" s="18">
        <f t="shared" si="342"/>
        <v>1.6839</v>
      </c>
      <c r="Q1143" s="29">
        <f t="shared" si="343"/>
        <v>-8.0299999999999996E-2</v>
      </c>
      <c r="R1143" s="29">
        <f t="shared" si="344"/>
        <v>1.6000000000000001E-3</v>
      </c>
      <c r="S1143">
        <v>2484000</v>
      </c>
      <c r="T1143" s="18">
        <f>ROUND((S1143/7)/VLOOKUP(EOMONTH(A1143,-1),Employment!A:P,16,FALSE),4)</f>
        <v>1.7648999999999999</v>
      </c>
      <c r="U1143" s="18">
        <f t="shared" si="345"/>
        <v>1.7568999999999999</v>
      </c>
      <c r="V1143" s="29">
        <f t="shared" si="346"/>
        <v>-7.2300000000000003E-2</v>
      </c>
      <c r="W1143" s="29">
        <f t="shared" si="347"/>
        <v>7.9000000000000008E-3</v>
      </c>
      <c r="X1143" s="30">
        <f t="shared" si="348"/>
        <v>129.88</v>
      </c>
      <c r="Y1143" s="31">
        <f t="shared" si="349"/>
        <v>128.09</v>
      </c>
    </row>
    <row r="1144" spans="1:25" ht="15" customHeight="1" x14ac:dyDescent="0.25">
      <c r="A1144" s="5">
        <v>35337</v>
      </c>
      <c r="B1144">
        <v>756.60789999999997</v>
      </c>
      <c r="C1144" s="29">
        <f t="shared" si="353"/>
        <v>6.8999999999999999E-3</v>
      </c>
      <c r="D1144">
        <v>-0.65</v>
      </c>
      <c r="E1144">
        <v>0.63500000000000001</v>
      </c>
      <c r="F1144" s="18">
        <f t="shared" si="340"/>
        <v>2.7999999999999581E-2</v>
      </c>
      <c r="G1144" s="18">
        <f t="shared" si="341"/>
        <v>-0.1800000000000006</v>
      </c>
      <c r="H1144">
        <v>3.16</v>
      </c>
      <c r="I1144">
        <v>1.53</v>
      </c>
      <c r="J1144">
        <f t="shared" si="350"/>
        <v>2.35</v>
      </c>
      <c r="K1144" s="6">
        <f t="shared" si="351"/>
        <v>2.34</v>
      </c>
      <c r="L1144" s="6">
        <f t="shared" si="352"/>
        <v>9.9999999999997868E-3</v>
      </c>
      <c r="M1144">
        <v>3.2116638098672001</v>
      </c>
      <c r="N1144">
        <v>338000</v>
      </c>
      <c r="O1144" s="18">
        <f>ROUND(N1144/VLOOKUP(EOMONTH(A1144,-1),Employment!A:P,16,FALSE),4)</f>
        <v>1.6829000000000001</v>
      </c>
      <c r="P1144" s="18">
        <f t="shared" si="342"/>
        <v>1.6696</v>
      </c>
      <c r="Q1144" s="29">
        <f t="shared" si="343"/>
        <v>-8.6800000000000002E-2</v>
      </c>
      <c r="R1144" s="29">
        <f t="shared" si="344"/>
        <v>3.5999999999999999E-3</v>
      </c>
      <c r="S1144">
        <v>2486000</v>
      </c>
      <c r="T1144" s="18">
        <f>ROUND((S1144/7)/VLOOKUP(EOMONTH(A1144,-1),Employment!A:P,16,FALSE),4)</f>
        <v>1.7682</v>
      </c>
      <c r="U1144" s="18">
        <f t="shared" si="345"/>
        <v>1.7650999999999999</v>
      </c>
      <c r="V1144" s="29">
        <f t="shared" si="346"/>
        <v>-6.6799999999999998E-2</v>
      </c>
      <c r="W1144" s="29">
        <f t="shared" si="347"/>
        <v>5.8999999999999999E-3</v>
      </c>
      <c r="X1144" s="30">
        <f t="shared" si="348"/>
        <v>128.44999999999999</v>
      </c>
      <c r="Y1144" s="31">
        <f t="shared" si="349"/>
        <v>123.67</v>
      </c>
    </row>
    <row r="1145" spans="1:25" ht="15" customHeight="1" x14ac:dyDescent="0.25">
      <c r="A1145" s="5">
        <v>35330</v>
      </c>
      <c r="B1145">
        <v>754.97820000000002</v>
      </c>
      <c r="C1145" s="29">
        <f t="shared" si="353"/>
        <v>8.0999999999999996E-3</v>
      </c>
      <c r="D1145">
        <v>-0.66</v>
      </c>
      <c r="E1145">
        <v>0.65100000000000002</v>
      </c>
      <c r="F1145" s="18">
        <f t="shared" si="340"/>
        <v>0.78000000000000025</v>
      </c>
      <c r="G1145" s="18">
        <f t="shared" si="341"/>
        <v>-1.048</v>
      </c>
      <c r="H1145">
        <v>3.16</v>
      </c>
      <c r="I1145">
        <v>1.49</v>
      </c>
      <c r="J1145">
        <f t="shared" si="350"/>
        <v>2.33</v>
      </c>
      <c r="K1145" s="6">
        <f t="shared" si="351"/>
        <v>2.33</v>
      </c>
      <c r="L1145" s="6">
        <f t="shared" si="352"/>
        <v>0</v>
      </c>
      <c r="M1145">
        <v>2.9311897024593998</v>
      </c>
      <c r="N1145">
        <v>334250</v>
      </c>
      <c r="O1145" s="18">
        <f>ROUND(N1145/VLOOKUP(EOMONTH(A1145,-1),Employment!A:P,16,FALSE),4)</f>
        <v>1.6641999999999999</v>
      </c>
      <c r="P1145" s="18">
        <f t="shared" si="342"/>
        <v>1.6617</v>
      </c>
      <c r="Q1145" s="29">
        <f t="shared" si="343"/>
        <v>-8.5999999999999993E-2</v>
      </c>
      <c r="R1145" s="29">
        <f t="shared" si="344"/>
        <v>-1.6000000000000001E-3</v>
      </c>
      <c r="S1145">
        <v>2443000</v>
      </c>
      <c r="T1145" s="18">
        <f>ROUND((S1145/7)/VLOOKUP(EOMONTH(A1145,-1),Employment!A:P,16,FALSE),4)</f>
        <v>1.7376</v>
      </c>
      <c r="U1145" s="18">
        <f t="shared" si="345"/>
        <v>1.7667999999999999</v>
      </c>
      <c r="V1145" s="29">
        <f t="shared" si="346"/>
        <v>-6.1499999999999999E-2</v>
      </c>
      <c r="W1145" s="29">
        <f t="shared" si="347"/>
        <v>1.1999999999999999E-3</v>
      </c>
      <c r="X1145" s="30">
        <f t="shared" si="348"/>
        <v>122.74000000000001</v>
      </c>
      <c r="Y1145" s="31">
        <f t="shared" si="349"/>
        <v>117.82</v>
      </c>
    </row>
    <row r="1146" spans="1:25" ht="15" customHeight="1" x14ac:dyDescent="0.25">
      <c r="A1146" s="5">
        <v>35323</v>
      </c>
      <c r="B1146">
        <v>753.10720000000003</v>
      </c>
      <c r="C1146" s="29">
        <f t="shared" si="353"/>
        <v>8.0000000000000002E-3</v>
      </c>
      <c r="D1146">
        <v>-0.67</v>
      </c>
      <c r="E1146">
        <v>0.76100000000000001</v>
      </c>
      <c r="F1146" s="18">
        <f t="shared" si="340"/>
        <v>-0.98800000000000043</v>
      </c>
      <c r="G1146" s="18">
        <f t="shared" si="341"/>
        <v>-1.8200000000000003</v>
      </c>
      <c r="H1146">
        <v>3.16</v>
      </c>
      <c r="I1146">
        <v>1.54</v>
      </c>
      <c r="J1146">
        <f t="shared" si="350"/>
        <v>2.35</v>
      </c>
      <c r="K1146" s="6">
        <f t="shared" si="351"/>
        <v>2.33</v>
      </c>
      <c r="L1146" s="6">
        <f t="shared" si="352"/>
        <v>0</v>
      </c>
      <c r="M1146">
        <v>2.8531579554775002</v>
      </c>
      <c r="N1146">
        <v>333750</v>
      </c>
      <c r="O1146" s="18">
        <f>ROUND(N1146/VLOOKUP(EOMONTH(A1146,-1),Employment!A:P,16,FALSE),4)</f>
        <v>1.6617</v>
      </c>
      <c r="P1146" s="18">
        <f t="shared" si="342"/>
        <v>1.6588000000000001</v>
      </c>
      <c r="Q1146" s="29">
        <f t="shared" si="343"/>
        <v>-7.9899999999999999E-2</v>
      </c>
      <c r="R1146" s="29">
        <f t="shared" si="344"/>
        <v>-1.03E-2</v>
      </c>
      <c r="S1146">
        <v>2516000</v>
      </c>
      <c r="T1146" s="18">
        <f>ROUND((S1146/7)/VLOOKUP(EOMONTH(A1146,-1),Employment!A:P,16,FALSE),4)</f>
        <v>1.7896000000000001</v>
      </c>
      <c r="U1146" s="18">
        <f t="shared" si="345"/>
        <v>1.7790999999999999</v>
      </c>
      <c r="V1146" s="29">
        <f t="shared" si="346"/>
        <v>-5.2400000000000002E-2</v>
      </c>
      <c r="W1146" s="29">
        <f t="shared" si="347"/>
        <v>-2.9999999999999997E-4</v>
      </c>
      <c r="X1146" s="30">
        <f t="shared" si="348"/>
        <v>114.07</v>
      </c>
      <c r="Y1146" s="31">
        <f t="shared" si="349"/>
        <v>116.3</v>
      </c>
    </row>
    <row r="1147" spans="1:25" ht="15" customHeight="1" x14ac:dyDescent="0.25">
      <c r="A1147" s="5">
        <v>35316</v>
      </c>
      <c r="B1147">
        <v>749.09580000000005</v>
      </c>
      <c r="C1147" s="29">
        <f t="shared" si="353"/>
        <v>4.1000000000000003E-3</v>
      </c>
      <c r="D1147">
        <v>-0.68</v>
      </c>
      <c r="E1147">
        <v>0.65</v>
      </c>
      <c r="F1147" s="18">
        <f t="shared" si="340"/>
        <v>-0.83999999999999986</v>
      </c>
      <c r="G1147" s="18">
        <f t="shared" si="341"/>
        <v>-0.45600000000000041</v>
      </c>
      <c r="H1147">
        <v>3.16</v>
      </c>
      <c r="I1147">
        <v>1.48</v>
      </c>
      <c r="J1147">
        <f t="shared" si="350"/>
        <v>2.3199999999999998</v>
      </c>
      <c r="K1147" s="6">
        <f t="shared" si="351"/>
        <v>2.33</v>
      </c>
      <c r="L1147" s="6">
        <f t="shared" si="352"/>
        <v>-9.9999999999997868E-3</v>
      </c>
      <c r="M1147">
        <v>2.6742557449843001</v>
      </c>
      <c r="N1147">
        <v>333250</v>
      </c>
      <c r="O1147" s="18">
        <f>ROUND(N1147/VLOOKUP(EOMONTH(A1147,-1),Employment!A:P,16,FALSE),4)</f>
        <v>1.6592</v>
      </c>
      <c r="P1147" s="18">
        <f t="shared" si="342"/>
        <v>1.6531</v>
      </c>
      <c r="Q1147" s="29">
        <f t="shared" si="343"/>
        <v>-7.6899999999999996E-2</v>
      </c>
      <c r="R1147" s="29">
        <f t="shared" si="344"/>
        <v>-1.4E-2</v>
      </c>
      <c r="S1147">
        <v>2493000</v>
      </c>
      <c r="T1147" s="18">
        <f>ROUND((S1147/7)/VLOOKUP(EOMONTH(A1147,-1),Employment!A:P,16,FALSE),4)</f>
        <v>1.7732000000000001</v>
      </c>
      <c r="U1147" s="18">
        <f t="shared" si="345"/>
        <v>1.774</v>
      </c>
      <c r="V1147" s="29">
        <f t="shared" si="346"/>
        <v>-5.5300000000000002E-2</v>
      </c>
      <c r="W1147" s="29">
        <f t="shared" si="347"/>
        <v>-6.9999999999999999E-4</v>
      </c>
      <c r="X1147" s="30">
        <f t="shared" si="348"/>
        <v>114.9</v>
      </c>
      <c r="Y1147" s="31">
        <f t="shared" si="349"/>
        <v>121.71</v>
      </c>
    </row>
    <row r="1148" spans="1:25" ht="15" customHeight="1" x14ac:dyDescent="0.25">
      <c r="A1148" s="5">
        <v>35309</v>
      </c>
      <c r="B1148">
        <v>748.39649999999995</v>
      </c>
      <c r="C1148" s="29">
        <f t="shared" si="353"/>
        <v>3.8999999999999998E-3</v>
      </c>
      <c r="D1148">
        <v>-0.68</v>
      </c>
      <c r="E1148">
        <v>0.54500000000000004</v>
      </c>
      <c r="F1148" s="18">
        <f t="shared" si="340"/>
        <v>8.0000000000000071E-3</v>
      </c>
      <c r="G1148" s="18">
        <f t="shared" si="341"/>
        <v>1.944</v>
      </c>
      <c r="H1148">
        <v>3.16</v>
      </c>
      <c r="I1148">
        <v>1.48</v>
      </c>
      <c r="J1148">
        <f t="shared" si="350"/>
        <v>2.3199999999999998</v>
      </c>
      <c r="K1148" s="6">
        <f t="shared" si="351"/>
        <v>2.34</v>
      </c>
      <c r="L1148" s="6">
        <f t="shared" si="352"/>
        <v>-1.0000000000000231E-2</v>
      </c>
      <c r="M1148">
        <v>2.5514543007714998</v>
      </c>
      <c r="N1148">
        <v>332500</v>
      </c>
      <c r="O1148" s="18">
        <f>ROUND(N1148/VLOOKUP(EOMONTH(A1148,-1),Employment!A:P,16,FALSE),4)</f>
        <v>1.6555</v>
      </c>
      <c r="P1148" s="18">
        <f t="shared" si="342"/>
        <v>1.6466000000000001</v>
      </c>
      <c r="Q1148" s="29">
        <f t="shared" si="343"/>
        <v>-8.43E-2</v>
      </c>
      <c r="R1148" s="29">
        <f t="shared" si="344"/>
        <v>-9.4000000000000004E-3</v>
      </c>
      <c r="S1148">
        <v>2495000</v>
      </c>
      <c r="T1148" s="18">
        <f>ROUND((S1148/7)/VLOOKUP(EOMONTH(A1148,-1),Employment!A:P,16,FALSE),4)</f>
        <v>1.7746</v>
      </c>
      <c r="U1148" s="18">
        <f t="shared" si="345"/>
        <v>1.7706</v>
      </c>
      <c r="V1148" s="29">
        <f t="shared" si="346"/>
        <v>-5.5199999999999999E-2</v>
      </c>
      <c r="W1148" s="29">
        <f t="shared" si="347"/>
        <v>-3.2000000000000002E-3</v>
      </c>
      <c r="X1148" s="30">
        <f t="shared" si="348"/>
        <v>125.38</v>
      </c>
      <c r="Y1148" s="31">
        <f t="shared" si="349"/>
        <v>128.85</v>
      </c>
    </row>
    <row r="1149" spans="1:25" ht="15" customHeight="1" x14ac:dyDescent="0.25">
      <c r="A1149" s="5">
        <v>35302</v>
      </c>
      <c r="B1149">
        <v>745.1146</v>
      </c>
      <c r="C1149" s="29">
        <f t="shared" si="353"/>
        <v>-4.0000000000000002E-4</v>
      </c>
      <c r="D1149">
        <v>-0.68</v>
      </c>
      <c r="E1149">
        <v>0.54600000000000004</v>
      </c>
      <c r="F1149" s="18">
        <f t="shared" si="340"/>
        <v>0.37599999999999945</v>
      </c>
      <c r="G1149" s="18">
        <f t="shared" si="341"/>
        <v>2.0280000000000005</v>
      </c>
      <c r="H1149">
        <v>3.16</v>
      </c>
      <c r="I1149">
        <v>1.54</v>
      </c>
      <c r="J1149">
        <f t="shared" si="350"/>
        <v>2.35</v>
      </c>
      <c r="K1149" s="6">
        <f t="shared" si="351"/>
        <v>2.35</v>
      </c>
      <c r="L1149" s="6">
        <f t="shared" si="352"/>
        <v>-9.9999999999997868E-3</v>
      </c>
      <c r="M1149">
        <v>2.5984580153676999</v>
      </c>
      <c r="N1149">
        <v>330000</v>
      </c>
      <c r="O1149" s="18">
        <f>ROUND(N1149/VLOOKUP(EOMONTH(A1149,-1),Employment!A:P,16,FALSE),4)</f>
        <v>1.6447000000000001</v>
      </c>
      <c r="P1149" s="18">
        <f t="shared" si="342"/>
        <v>1.6479999999999999</v>
      </c>
      <c r="Q1149" s="29">
        <f t="shared" si="343"/>
        <v>-9.5600000000000004E-2</v>
      </c>
      <c r="R1149" s="29">
        <f t="shared" si="344"/>
        <v>8.0000000000000004E-4</v>
      </c>
      <c r="S1149">
        <v>2492000</v>
      </c>
      <c r="T1149" s="18">
        <f>ROUND((S1149/7)/VLOOKUP(EOMONTH(A1149,-1),Employment!A:P,16,FALSE),4)</f>
        <v>1.7743</v>
      </c>
      <c r="U1149" s="18">
        <f t="shared" si="345"/>
        <v>1.7658</v>
      </c>
      <c r="V1149" s="29">
        <f t="shared" si="346"/>
        <v>-5.4399999999999997E-2</v>
      </c>
      <c r="W1149" s="29">
        <f t="shared" si="347"/>
        <v>-4.3E-3</v>
      </c>
      <c r="X1149" s="30">
        <f t="shared" si="348"/>
        <v>129.57999999999998</v>
      </c>
      <c r="Y1149" s="31">
        <f t="shared" si="349"/>
        <v>132.35</v>
      </c>
    </row>
    <row r="1150" spans="1:25" ht="15" customHeight="1" x14ac:dyDescent="0.25">
      <c r="A1150" s="5">
        <v>35295</v>
      </c>
      <c r="B1150">
        <v>745.84370000000001</v>
      </c>
      <c r="C1150" s="29">
        <f t="shared" si="353"/>
        <v>1.1999999999999999E-3</v>
      </c>
      <c r="D1150">
        <v>-0.66</v>
      </c>
      <c r="E1150">
        <v>0.56799999999999995</v>
      </c>
      <c r="F1150" s="18">
        <f t="shared" si="340"/>
        <v>1.5600000000000005</v>
      </c>
      <c r="G1150" s="18">
        <f t="shared" si="341"/>
        <v>1.5680000000000005</v>
      </c>
      <c r="H1150">
        <v>3.16</v>
      </c>
      <c r="I1150">
        <v>1.55</v>
      </c>
      <c r="J1150">
        <f t="shared" si="350"/>
        <v>2.36</v>
      </c>
      <c r="K1150" s="6">
        <f t="shared" si="351"/>
        <v>2.36</v>
      </c>
      <c r="L1150" s="6">
        <f t="shared" si="352"/>
        <v>9.9999999999997868E-3</v>
      </c>
      <c r="M1150">
        <v>2.7779358306998998</v>
      </c>
      <c r="N1150">
        <v>329000</v>
      </c>
      <c r="O1150" s="18">
        <f>ROUND(N1150/VLOOKUP(EOMONTH(A1150,-1),Employment!A:P,16,FALSE),4)</f>
        <v>1.6396999999999999</v>
      </c>
      <c r="P1150" s="18">
        <f t="shared" si="342"/>
        <v>1.6597</v>
      </c>
      <c r="Q1150" s="29">
        <f t="shared" si="343"/>
        <v>-0.1067</v>
      </c>
      <c r="R1150" s="29">
        <f t="shared" si="344"/>
        <v>1.17E-2</v>
      </c>
      <c r="S1150">
        <v>2476000</v>
      </c>
      <c r="T1150" s="18">
        <f>ROUND((S1150/7)/VLOOKUP(EOMONTH(A1150,-1),Employment!A:P,16,FALSE),4)</f>
        <v>1.7628999999999999</v>
      </c>
      <c r="U1150" s="18">
        <f t="shared" si="345"/>
        <v>1.7658</v>
      </c>
      <c r="V1150" s="29">
        <f t="shared" si="346"/>
        <v>-5.3600000000000002E-2</v>
      </c>
      <c r="W1150" s="29">
        <f t="shared" si="347"/>
        <v>2E-3</v>
      </c>
      <c r="X1150" s="30">
        <f t="shared" si="348"/>
        <v>135.69</v>
      </c>
      <c r="Y1150" s="31">
        <f t="shared" si="349"/>
        <v>132.61000000000001</v>
      </c>
    </row>
    <row r="1151" spans="1:25" ht="15" customHeight="1" x14ac:dyDescent="0.25">
      <c r="A1151" s="5">
        <v>35288</v>
      </c>
      <c r="B1151">
        <v>744.73850000000004</v>
      </c>
      <c r="C1151" s="29">
        <f t="shared" si="353"/>
        <v>-2.9999999999999997E-4</v>
      </c>
      <c r="D1151">
        <v>-0.64</v>
      </c>
      <c r="E1151">
        <v>0.73799999999999999</v>
      </c>
      <c r="F1151" s="18">
        <f t="shared" si="340"/>
        <v>9.2000000000000526E-2</v>
      </c>
      <c r="G1151" s="18">
        <f t="shared" si="341"/>
        <v>-0.17600000000000016</v>
      </c>
      <c r="H1151">
        <v>3.16</v>
      </c>
      <c r="I1151">
        <v>1.54</v>
      </c>
      <c r="J1151">
        <f t="shared" si="350"/>
        <v>2.35</v>
      </c>
      <c r="K1151" s="6">
        <f t="shared" si="351"/>
        <v>2.35</v>
      </c>
      <c r="L1151" s="6">
        <f t="shared" si="352"/>
        <v>0</v>
      </c>
      <c r="M1151">
        <v>2.5548286405073002</v>
      </c>
      <c r="N1151">
        <v>333000</v>
      </c>
      <c r="O1151" s="18">
        <f>ROUND(N1151/VLOOKUP(EOMONTH(A1151,-1),Employment!A:P,16,FALSE),4)</f>
        <v>1.6597</v>
      </c>
      <c r="P1151" s="18">
        <f t="shared" si="342"/>
        <v>1.6776</v>
      </c>
      <c r="Q1151" s="29">
        <f t="shared" si="343"/>
        <v>-0.1096</v>
      </c>
      <c r="R1151" s="29">
        <f t="shared" si="344"/>
        <v>1.5299999999999999E-2</v>
      </c>
      <c r="S1151">
        <v>2472000</v>
      </c>
      <c r="T1151" s="18">
        <f>ROUND((S1151/7)/VLOOKUP(EOMONTH(A1151,-1),Employment!A:P,16,FALSE),4)</f>
        <v>1.7601</v>
      </c>
      <c r="U1151" s="18">
        <f t="shared" si="345"/>
        <v>1.7707999999999999</v>
      </c>
      <c r="V1151" s="29">
        <f t="shared" si="346"/>
        <v>-6.1400000000000003E-2</v>
      </c>
      <c r="W1151" s="29">
        <f t="shared" si="347"/>
        <v>1.3299999999999999E-2</v>
      </c>
      <c r="X1151" s="30">
        <f t="shared" si="348"/>
        <v>130.92000000000002</v>
      </c>
      <c r="Y1151" s="31">
        <f t="shared" si="349"/>
        <v>129.18</v>
      </c>
    </row>
    <row r="1152" spans="1:25" ht="15" customHeight="1" x14ac:dyDescent="0.25">
      <c r="A1152" s="5">
        <v>35281</v>
      </c>
      <c r="B1152">
        <v>746.27729999999997</v>
      </c>
      <c r="C1152" s="29">
        <f t="shared" si="353"/>
        <v>2.5999999999999999E-3</v>
      </c>
      <c r="D1152">
        <v>-0.63</v>
      </c>
      <c r="E1152">
        <v>0.73699999999999999</v>
      </c>
      <c r="F1152" s="18">
        <f t="shared" si="340"/>
        <v>-8.4000000000000519E-2</v>
      </c>
      <c r="G1152" s="18">
        <f t="shared" si="341"/>
        <v>-0.75999999999999979</v>
      </c>
      <c r="H1152">
        <v>3.16</v>
      </c>
      <c r="I1152">
        <v>1.57</v>
      </c>
      <c r="J1152">
        <f t="shared" si="350"/>
        <v>2.37</v>
      </c>
      <c r="K1152" s="6">
        <f t="shared" si="351"/>
        <v>2.35</v>
      </c>
      <c r="L1152" s="6">
        <f t="shared" si="352"/>
        <v>2.0000000000000018E-2</v>
      </c>
      <c r="M1152">
        <v>3.0427982813933001</v>
      </c>
      <c r="N1152">
        <v>337000</v>
      </c>
      <c r="O1152" s="18">
        <f>ROUND(N1152/VLOOKUP(EOMONTH(A1152,-1),Employment!A:P,16,FALSE),4)</f>
        <v>1.6796</v>
      </c>
      <c r="P1152" s="18">
        <f t="shared" si="342"/>
        <v>1.6927000000000001</v>
      </c>
      <c r="Q1152" s="29">
        <f t="shared" si="343"/>
        <v>-0.1004</v>
      </c>
      <c r="R1152" s="29">
        <f t="shared" si="344"/>
        <v>1.24E-2</v>
      </c>
      <c r="S1152">
        <v>2492000</v>
      </c>
      <c r="T1152" s="18">
        <f>ROUND((S1152/7)/VLOOKUP(EOMONTH(A1152,-1),Employment!A:P,16,FALSE),4)</f>
        <v>1.7743</v>
      </c>
      <c r="U1152" s="18">
        <f t="shared" si="345"/>
        <v>1.7782</v>
      </c>
      <c r="V1152" s="29">
        <f t="shared" si="346"/>
        <v>-6.5600000000000006E-2</v>
      </c>
      <c r="W1152" s="29">
        <f t="shared" si="347"/>
        <v>1.6400000000000001E-2</v>
      </c>
      <c r="X1152" s="30">
        <f t="shared" si="348"/>
        <v>129.15</v>
      </c>
      <c r="Y1152" s="31">
        <f t="shared" si="349"/>
        <v>126.07</v>
      </c>
    </row>
    <row r="1153" spans="1:25" ht="15" customHeight="1" x14ac:dyDescent="0.25">
      <c r="A1153" s="5">
        <v>35274</v>
      </c>
      <c r="B1153">
        <v>744.82129999999995</v>
      </c>
      <c r="C1153" s="29">
        <f t="shared" si="353"/>
        <v>1.9E-3</v>
      </c>
      <c r="D1153">
        <v>-0.62</v>
      </c>
      <c r="E1153">
        <v>0.71399999999999997</v>
      </c>
      <c r="F1153" s="18">
        <f t="shared" si="340"/>
        <v>-0.18400000000000016</v>
      </c>
      <c r="G1153" s="18">
        <f t="shared" si="341"/>
        <v>-0.67199999999999971</v>
      </c>
      <c r="H1153">
        <v>3.16</v>
      </c>
      <c r="I1153">
        <v>1.49</v>
      </c>
      <c r="J1153">
        <f t="shared" si="350"/>
        <v>2.33</v>
      </c>
      <c r="K1153" s="6">
        <f t="shared" si="351"/>
        <v>2.33</v>
      </c>
      <c r="L1153" s="6">
        <f t="shared" si="352"/>
        <v>1.0000000000000231E-2</v>
      </c>
      <c r="M1153">
        <v>3.7406715523899998</v>
      </c>
      <c r="N1153">
        <v>339500</v>
      </c>
      <c r="O1153" s="18">
        <f>ROUND(N1153/VLOOKUP(EOMONTH(A1153,-1),Employment!A:P,16,FALSE),4)</f>
        <v>1.6936</v>
      </c>
      <c r="P1153" s="18">
        <f t="shared" si="342"/>
        <v>1.6990000000000001</v>
      </c>
      <c r="Q1153" s="29">
        <f t="shared" si="343"/>
        <v>-8.9300000000000004E-2</v>
      </c>
      <c r="R1153" s="29">
        <f t="shared" si="344"/>
        <v>5.3E-3</v>
      </c>
      <c r="S1153">
        <v>2495000</v>
      </c>
      <c r="T1153" s="18">
        <f>ROUND((S1153/7)/VLOOKUP(EOMONTH(A1153,-1),Employment!A:P,16,FALSE),4)</f>
        <v>1.7781</v>
      </c>
      <c r="U1153" s="18">
        <f t="shared" si="345"/>
        <v>1.794</v>
      </c>
      <c r="V1153" s="29">
        <f t="shared" si="346"/>
        <v>-5.6399999999999999E-2</v>
      </c>
      <c r="W1153" s="29">
        <f t="shared" si="347"/>
        <v>1.0200000000000001E-2</v>
      </c>
      <c r="X1153" s="30">
        <f t="shared" si="348"/>
        <v>124.92</v>
      </c>
      <c r="Y1153" s="31">
        <f t="shared" si="349"/>
        <v>123.34</v>
      </c>
    </row>
    <row r="1154" spans="1:25" ht="15" customHeight="1" x14ac:dyDescent="0.25">
      <c r="A1154" s="5">
        <v>35267</v>
      </c>
      <c r="B1154">
        <v>743.98400000000004</v>
      </c>
      <c r="C1154" s="29">
        <f t="shared" si="353"/>
        <v>2.0999999999999999E-3</v>
      </c>
      <c r="D1154">
        <v>-0.62</v>
      </c>
      <c r="E1154">
        <v>0.69099999999999995</v>
      </c>
      <c r="F1154" s="18">
        <f t="shared" si="340"/>
        <v>-0.4919999999999991</v>
      </c>
      <c r="G1154" s="18">
        <f t="shared" si="341"/>
        <v>-0.46799999999999908</v>
      </c>
      <c r="H1154">
        <v>3.16</v>
      </c>
      <c r="I1154">
        <v>1.51</v>
      </c>
      <c r="J1154">
        <f t="shared" si="350"/>
        <v>2.34</v>
      </c>
      <c r="K1154" s="6">
        <f t="shared" si="351"/>
        <v>2.3199999999999998</v>
      </c>
      <c r="L1154" s="6">
        <f t="shared" si="352"/>
        <v>0</v>
      </c>
      <c r="M1154">
        <v>3.9004186767554998</v>
      </c>
      <c r="N1154">
        <v>341750</v>
      </c>
      <c r="O1154" s="18">
        <f>ROUND(N1154/VLOOKUP(EOMONTH(A1154,-1),Employment!A:P,16,FALSE),4)</f>
        <v>1.7048000000000001</v>
      </c>
      <c r="P1154" s="18">
        <f t="shared" si="342"/>
        <v>1.7043999999999999</v>
      </c>
      <c r="Q1154" s="29">
        <f t="shared" si="343"/>
        <v>-7.6499999999999999E-2</v>
      </c>
      <c r="R1154" s="29">
        <f t="shared" si="344"/>
        <v>-6.9999999999999999E-4</v>
      </c>
      <c r="S1154">
        <v>2501000</v>
      </c>
      <c r="T1154" s="18">
        <f>ROUND((S1154/7)/VLOOKUP(EOMONTH(A1154,-1),Employment!A:P,16,FALSE),4)</f>
        <v>1.7823</v>
      </c>
      <c r="U1154" s="18">
        <f t="shared" si="345"/>
        <v>1.8069999999999999</v>
      </c>
      <c r="V1154" s="29">
        <f t="shared" si="346"/>
        <v>-4.0599999999999997E-2</v>
      </c>
      <c r="W1154" s="29">
        <f t="shared" si="347"/>
        <v>1.4E-3</v>
      </c>
      <c r="X1154" s="30">
        <f t="shared" si="348"/>
        <v>121.27000000000001</v>
      </c>
      <c r="Y1154" s="31">
        <f t="shared" si="349"/>
        <v>123.4</v>
      </c>
    </row>
    <row r="1155" spans="1:25" ht="15" customHeight="1" x14ac:dyDescent="0.25">
      <c r="A1155" s="5">
        <v>35260</v>
      </c>
      <c r="B1155">
        <v>744.63080000000002</v>
      </c>
      <c r="C1155" s="29">
        <f t="shared" si="353"/>
        <v>5.0000000000000001E-3</v>
      </c>
      <c r="D1155">
        <v>-0.63</v>
      </c>
      <c r="E1155">
        <v>0.64200000000000002</v>
      </c>
      <c r="F1155" s="18">
        <f t="shared" si="340"/>
        <v>3.9999999999995595E-3</v>
      </c>
      <c r="G1155" s="18">
        <f t="shared" si="341"/>
        <v>6.7999999999998728E-2</v>
      </c>
      <c r="H1155">
        <v>3.16</v>
      </c>
      <c r="I1155">
        <v>1.49</v>
      </c>
      <c r="J1155">
        <f t="shared" si="350"/>
        <v>2.33</v>
      </c>
      <c r="K1155" s="6">
        <f t="shared" si="351"/>
        <v>2.3199999999999998</v>
      </c>
      <c r="L1155" s="6">
        <f t="shared" si="352"/>
        <v>0</v>
      </c>
      <c r="M1155">
        <v>4.6875730180832003</v>
      </c>
      <c r="N1155">
        <v>340500</v>
      </c>
      <c r="O1155" s="18">
        <f>ROUND(N1155/VLOOKUP(EOMONTH(A1155,-1),Employment!A:P,16,FALSE),4)</f>
        <v>1.6986000000000001</v>
      </c>
      <c r="P1155" s="18">
        <f t="shared" si="342"/>
        <v>1.7078</v>
      </c>
      <c r="Q1155" s="29">
        <f t="shared" si="343"/>
        <v>-7.2700000000000001E-2</v>
      </c>
      <c r="R1155" s="29">
        <f t="shared" si="344"/>
        <v>-2.5000000000000001E-3</v>
      </c>
      <c r="S1155">
        <v>2556000</v>
      </c>
      <c r="T1155" s="18">
        <f>ROUND((S1155/7)/VLOOKUP(EOMONTH(A1155,-1),Employment!A:P,16,FALSE),4)</f>
        <v>1.8214999999999999</v>
      </c>
      <c r="U1155" s="18">
        <f t="shared" si="345"/>
        <v>1.8216000000000001</v>
      </c>
      <c r="V1155" s="29">
        <f t="shared" si="346"/>
        <v>-2.69E-2</v>
      </c>
      <c r="W1155" s="29">
        <f t="shared" si="347"/>
        <v>2.2000000000000001E-3</v>
      </c>
      <c r="X1155" s="30">
        <f t="shared" si="348"/>
        <v>124.55</v>
      </c>
      <c r="Y1155" s="31">
        <f t="shared" si="349"/>
        <v>125.37</v>
      </c>
    </row>
    <row r="1156" spans="1:25" ht="15" customHeight="1" x14ac:dyDescent="0.25">
      <c r="A1156" s="5">
        <v>35253</v>
      </c>
      <c r="B1156">
        <v>744.05290000000002</v>
      </c>
      <c r="C1156" s="29">
        <f t="shared" si="353"/>
        <v>7.0000000000000001E-3</v>
      </c>
      <c r="D1156">
        <v>-0.64</v>
      </c>
      <c r="E1156">
        <v>0.65500000000000003</v>
      </c>
      <c r="F1156" s="18">
        <f t="shared" si="340"/>
        <v>2.0000000000000462E-2</v>
      </c>
      <c r="G1156" s="18">
        <f t="shared" si="341"/>
        <v>-0.20399999999999974</v>
      </c>
      <c r="H1156">
        <v>3.16</v>
      </c>
      <c r="I1156">
        <v>1.43</v>
      </c>
      <c r="J1156">
        <f t="shared" si="350"/>
        <v>2.2999999999999998</v>
      </c>
      <c r="K1156" s="6">
        <f t="shared" si="351"/>
        <v>2.3199999999999998</v>
      </c>
      <c r="L1156" s="6">
        <f t="shared" si="352"/>
        <v>-1.0000000000000231E-2</v>
      </c>
      <c r="M1156">
        <v>4.5878700609032999</v>
      </c>
      <c r="N1156">
        <v>342750</v>
      </c>
      <c r="O1156" s="18">
        <f>ROUND(N1156/VLOOKUP(EOMONTH(A1156,-1),Employment!A:P,16,FALSE),4)</f>
        <v>1.7098</v>
      </c>
      <c r="P1156" s="18">
        <f t="shared" si="342"/>
        <v>1.7141999999999999</v>
      </c>
      <c r="Q1156" s="29">
        <f t="shared" si="343"/>
        <v>-7.3300000000000004E-2</v>
      </c>
      <c r="R1156" s="29">
        <f t="shared" si="344"/>
        <v>-1.5E-3</v>
      </c>
      <c r="S1156">
        <v>2550000</v>
      </c>
      <c r="T1156" s="18">
        <f>ROUND((S1156/7)/VLOOKUP(EOMONTH(A1156,-1),Employment!A:P,16,FALSE),4)</f>
        <v>1.8172999999999999</v>
      </c>
      <c r="U1156" s="18">
        <f t="shared" si="345"/>
        <v>1.8138000000000001</v>
      </c>
      <c r="V1156" s="29">
        <f t="shared" si="346"/>
        <v>-3.3500000000000002E-2</v>
      </c>
      <c r="W1156" s="29">
        <f t="shared" si="347"/>
        <v>9.1999999999999998E-3</v>
      </c>
      <c r="X1156" s="30">
        <f t="shared" si="348"/>
        <v>125.87</v>
      </c>
      <c r="Y1156" s="31">
        <f t="shared" si="349"/>
        <v>126.57</v>
      </c>
    </row>
    <row r="1157" spans="1:25" ht="15" customHeight="1" x14ac:dyDescent="0.25">
      <c r="A1157" s="5">
        <v>35246</v>
      </c>
      <c r="B1157">
        <v>741.04169999999999</v>
      </c>
      <c r="C1157" s="29">
        <f t="shared" si="353"/>
        <v>3.8E-3</v>
      </c>
      <c r="D1157">
        <v>-0.65</v>
      </c>
      <c r="E1157">
        <v>0.67</v>
      </c>
      <c r="F1157" s="18">
        <f t="shared" si="340"/>
        <v>4.3999999999998707E-2</v>
      </c>
      <c r="G1157" s="18">
        <f t="shared" si="341"/>
        <v>-0.73600000000000065</v>
      </c>
      <c r="H1157">
        <v>3.16</v>
      </c>
      <c r="I1157">
        <v>1.51</v>
      </c>
      <c r="J1157">
        <f t="shared" si="350"/>
        <v>2.34</v>
      </c>
      <c r="K1157" s="6">
        <f t="shared" si="351"/>
        <v>2.33</v>
      </c>
      <c r="L1157" s="6">
        <f t="shared" si="352"/>
        <v>0</v>
      </c>
      <c r="M1157">
        <v>5.3316274529417003</v>
      </c>
      <c r="N1157">
        <v>343500</v>
      </c>
      <c r="O1157" s="18">
        <f>ROUND(N1157/VLOOKUP(EOMONTH(A1157,-1),Employment!A:P,16,FALSE),4)</f>
        <v>1.7151000000000001</v>
      </c>
      <c r="P1157" s="18">
        <f t="shared" si="342"/>
        <v>1.718</v>
      </c>
      <c r="Q1157" s="29">
        <f t="shared" si="343"/>
        <v>-7.6100000000000001E-2</v>
      </c>
      <c r="R1157" s="29">
        <f t="shared" si="344"/>
        <v>2.7000000000000001E-3</v>
      </c>
      <c r="S1157">
        <v>2560000</v>
      </c>
      <c r="T1157" s="18">
        <f>ROUND((S1157/7)/VLOOKUP(EOMONTH(A1157,-1),Employment!A:P,16,FALSE),4)</f>
        <v>1.8260000000000001</v>
      </c>
      <c r="U1157" s="18">
        <f t="shared" si="345"/>
        <v>1.8150999999999999</v>
      </c>
      <c r="V1157" s="29">
        <f t="shared" si="346"/>
        <v>-3.39E-2</v>
      </c>
      <c r="W1157" s="29">
        <f t="shared" si="347"/>
        <v>1.1900000000000001E-2</v>
      </c>
      <c r="X1157" s="30">
        <f t="shared" si="348"/>
        <v>126.18</v>
      </c>
      <c r="Y1157" s="31">
        <f t="shared" si="349"/>
        <v>129.49</v>
      </c>
    </row>
    <row r="1158" spans="1:25" ht="15" customHeight="1" x14ac:dyDescent="0.25">
      <c r="A1158" s="5">
        <v>35239</v>
      </c>
      <c r="B1158">
        <v>740.05010000000004</v>
      </c>
      <c r="C1158" s="29">
        <f t="shared" si="353"/>
        <v>3.3999999999999998E-3</v>
      </c>
      <c r="D1158">
        <v>-0.66</v>
      </c>
      <c r="E1158">
        <v>0.68799999999999994</v>
      </c>
      <c r="F1158" s="18">
        <f t="shared" si="340"/>
        <v>-0.26799999999999891</v>
      </c>
      <c r="G1158" s="18">
        <f t="shared" si="341"/>
        <v>-1.1199999999999992</v>
      </c>
      <c r="H1158">
        <v>3.16</v>
      </c>
      <c r="I1158">
        <v>1.5</v>
      </c>
      <c r="J1158">
        <f t="shared" si="350"/>
        <v>2.33</v>
      </c>
      <c r="K1158" s="6">
        <f t="shared" si="351"/>
        <v>2.33</v>
      </c>
      <c r="L1158" s="6">
        <f t="shared" si="352"/>
        <v>1.0000000000000231E-2</v>
      </c>
      <c r="M1158">
        <v>5.8574799335958003</v>
      </c>
      <c r="N1158">
        <v>344000</v>
      </c>
      <c r="O1158" s="18">
        <f>ROUND(N1158/VLOOKUP(EOMONTH(A1158,-1),Employment!A:P,16,FALSE),4)</f>
        <v>1.7176</v>
      </c>
      <c r="P1158" s="18">
        <f t="shared" si="342"/>
        <v>1.7204999999999999</v>
      </c>
      <c r="Q1158" s="29">
        <f t="shared" si="343"/>
        <v>-7.8E-2</v>
      </c>
      <c r="R1158" s="29">
        <f t="shared" si="344"/>
        <v>9.1999999999999998E-3</v>
      </c>
      <c r="S1158">
        <v>2521000</v>
      </c>
      <c r="T1158" s="18">
        <f>ROUND((S1158/7)/VLOOKUP(EOMONTH(A1158,-1),Employment!A:P,16,FALSE),4)</f>
        <v>1.7982</v>
      </c>
      <c r="U1158" s="18">
        <f t="shared" si="345"/>
        <v>1.8222</v>
      </c>
      <c r="V1158" s="29">
        <f t="shared" si="346"/>
        <v>-2.6800000000000001E-2</v>
      </c>
      <c r="W1158" s="29">
        <f t="shared" si="347"/>
        <v>1.34E-2</v>
      </c>
      <c r="X1158" s="30">
        <f t="shared" si="348"/>
        <v>129.32</v>
      </c>
      <c r="Y1158" s="31">
        <f t="shared" si="349"/>
        <v>136.19</v>
      </c>
    </row>
    <row r="1159" spans="1:25" ht="15" customHeight="1" x14ac:dyDescent="0.25">
      <c r="A1159" s="5">
        <v>35232</v>
      </c>
      <c r="B1159">
        <v>738.49019999999996</v>
      </c>
      <c r="C1159" s="29">
        <f t="shared" si="353"/>
        <v>2.5000000000000001E-3</v>
      </c>
      <c r="D1159">
        <v>-0.67</v>
      </c>
      <c r="E1159">
        <v>0.66700000000000004</v>
      </c>
      <c r="F1159" s="18">
        <f t="shared" si="340"/>
        <v>-0.51200000000000045</v>
      </c>
      <c r="G1159" s="18">
        <f t="shared" si="341"/>
        <v>-0.26800000000000068</v>
      </c>
      <c r="H1159">
        <v>3.16</v>
      </c>
      <c r="I1159">
        <v>1.49</v>
      </c>
      <c r="J1159">
        <f t="shared" si="350"/>
        <v>2.33</v>
      </c>
      <c r="K1159" s="6">
        <f t="shared" si="351"/>
        <v>2.3199999999999998</v>
      </c>
      <c r="L1159" s="6">
        <f t="shared" si="352"/>
        <v>-1.0000000000000231E-2</v>
      </c>
      <c r="M1159">
        <v>6.0245000088662</v>
      </c>
      <c r="N1159">
        <v>344750</v>
      </c>
      <c r="O1159" s="18">
        <f>ROUND(N1159/VLOOKUP(EOMONTH(A1159,-1),Employment!A:P,16,FALSE),4)</f>
        <v>1.7214</v>
      </c>
      <c r="P1159" s="18">
        <f t="shared" si="342"/>
        <v>1.7214</v>
      </c>
      <c r="Q1159" s="29">
        <f t="shared" si="343"/>
        <v>-7.7499999999999999E-2</v>
      </c>
      <c r="R1159" s="29">
        <f t="shared" si="344"/>
        <v>1.9699999999999999E-2</v>
      </c>
      <c r="S1159">
        <v>2553000</v>
      </c>
      <c r="T1159" s="18">
        <f>ROUND((S1159/7)/VLOOKUP(EOMONTH(A1159,-1),Employment!A:P,16,FALSE),4)</f>
        <v>1.821</v>
      </c>
      <c r="U1159" s="18">
        <f t="shared" si="345"/>
        <v>1.8371999999999999</v>
      </c>
      <c r="V1159" s="29">
        <f t="shared" si="346"/>
        <v>-1.9E-2</v>
      </c>
      <c r="W1159" s="29">
        <f t="shared" si="347"/>
        <v>1.2999999999999999E-2</v>
      </c>
      <c r="X1159" s="30">
        <f t="shared" si="348"/>
        <v>138.21</v>
      </c>
      <c r="Y1159" s="31">
        <f t="shared" si="349"/>
        <v>146.01</v>
      </c>
    </row>
    <row r="1160" spans="1:25" ht="15" customHeight="1" x14ac:dyDescent="0.25">
      <c r="A1160" s="5">
        <v>35225</v>
      </c>
      <c r="B1160">
        <v>735.90129999999999</v>
      </c>
      <c r="C1160" s="29">
        <f t="shared" si="353"/>
        <v>-8.9999999999999998E-4</v>
      </c>
      <c r="D1160">
        <v>-0.67</v>
      </c>
      <c r="E1160">
        <v>0.60299999999999998</v>
      </c>
      <c r="F1160" s="18">
        <f t="shared" si="340"/>
        <v>-0.33999999999999986</v>
      </c>
      <c r="G1160" s="18">
        <f t="shared" si="341"/>
        <v>1.3319999999999999</v>
      </c>
      <c r="H1160">
        <v>3.16</v>
      </c>
      <c r="I1160">
        <v>1.48</v>
      </c>
      <c r="J1160">
        <f t="shared" si="350"/>
        <v>2.3199999999999998</v>
      </c>
      <c r="K1160" s="6">
        <f t="shared" si="351"/>
        <v>2.33</v>
      </c>
      <c r="L1160" s="6">
        <f t="shared" si="352"/>
        <v>-2.0000000000000018E-2</v>
      </c>
      <c r="M1160">
        <v>5.8171939341743002</v>
      </c>
      <c r="N1160">
        <v>345000</v>
      </c>
      <c r="O1160" s="18">
        <f>ROUND(N1160/VLOOKUP(EOMONTH(A1160,-1),Employment!A:P,16,FALSE),4)</f>
        <v>1.7225999999999999</v>
      </c>
      <c r="P1160" s="18">
        <f t="shared" si="342"/>
        <v>1.7214</v>
      </c>
      <c r="Q1160" s="29">
        <f t="shared" si="343"/>
        <v>-7.6100000000000001E-2</v>
      </c>
      <c r="R1160" s="29">
        <f t="shared" si="344"/>
        <v>3.09E-2</v>
      </c>
      <c r="S1160">
        <v>2590000</v>
      </c>
      <c r="T1160" s="18">
        <f>ROUND((S1160/7)/VLOOKUP(EOMONTH(A1160,-1),Employment!A:P,16,FALSE),4)</f>
        <v>1.8473999999999999</v>
      </c>
      <c r="U1160" s="18">
        <f t="shared" si="345"/>
        <v>1.8455999999999999</v>
      </c>
      <c r="V1160" s="29">
        <f t="shared" si="346"/>
        <v>-9.4999999999999998E-3</v>
      </c>
      <c r="W1160" s="29">
        <f t="shared" si="347"/>
        <v>1.3899999999999999E-2</v>
      </c>
      <c r="X1160" s="30">
        <f t="shared" si="348"/>
        <v>148.31</v>
      </c>
      <c r="Y1160" s="31">
        <f t="shared" si="349"/>
        <v>155.68</v>
      </c>
    </row>
    <row r="1161" spans="1:25" ht="15" customHeight="1" x14ac:dyDescent="0.25">
      <c r="A1161" s="5">
        <v>35218</v>
      </c>
      <c r="B1161">
        <v>738.43190000000004</v>
      </c>
      <c r="C1161" s="29">
        <f t="shared" si="353"/>
        <v>4.7999999999999996E-3</v>
      </c>
      <c r="D1161">
        <v>-0.66</v>
      </c>
      <c r="E1161">
        <v>0.54800000000000004</v>
      </c>
      <c r="F1161" s="18">
        <f t="shared" si="340"/>
        <v>0.58399999999999963</v>
      </c>
      <c r="G1161" s="18">
        <f t="shared" si="341"/>
        <v>1.7080000000000002</v>
      </c>
      <c r="H1161">
        <v>3.16</v>
      </c>
      <c r="I1161">
        <v>1.48</v>
      </c>
      <c r="J1161">
        <f t="shared" si="350"/>
        <v>2.3199999999999998</v>
      </c>
      <c r="K1161" s="6">
        <f t="shared" si="351"/>
        <v>2.35</v>
      </c>
      <c r="L1161" s="6">
        <f t="shared" si="352"/>
        <v>-2.0000000000000018E-2</v>
      </c>
      <c r="M1161">
        <v>5.7614503831458999</v>
      </c>
      <c r="N1161">
        <v>344500</v>
      </c>
      <c r="O1161" s="18">
        <f>ROUND(N1161/VLOOKUP(EOMONTH(A1161,-1),Employment!A:P,16,FALSE),4)</f>
        <v>1.7201</v>
      </c>
      <c r="P1161" s="18">
        <f t="shared" si="342"/>
        <v>1.7306999999999999</v>
      </c>
      <c r="Q1161" s="29">
        <f t="shared" si="343"/>
        <v>-6.3899999999999998E-2</v>
      </c>
      <c r="R1161" s="29">
        <f t="shared" si="344"/>
        <v>4.3799999999999999E-2</v>
      </c>
      <c r="S1161">
        <v>2584000</v>
      </c>
      <c r="T1161" s="18">
        <f>ROUND((S1161/7)/VLOOKUP(EOMONTH(A1161,-1),Employment!A:P,16,FALSE),4)</f>
        <v>1.8431999999999999</v>
      </c>
      <c r="U1161" s="18">
        <f t="shared" si="345"/>
        <v>1.849</v>
      </c>
      <c r="V1161" s="29">
        <f t="shared" si="346"/>
        <v>-2.8999999999999998E-3</v>
      </c>
      <c r="W1161" s="29">
        <f t="shared" si="347"/>
        <v>1.2999999999999999E-2</v>
      </c>
      <c r="X1161" s="30">
        <f t="shared" si="348"/>
        <v>159.72999999999999</v>
      </c>
      <c r="Y1161" s="31">
        <f t="shared" si="349"/>
        <v>162.19999999999999</v>
      </c>
    </row>
    <row r="1162" spans="1:25" ht="15" customHeight="1" x14ac:dyDescent="0.25">
      <c r="A1162" s="5">
        <v>35211</v>
      </c>
      <c r="B1162">
        <v>737.4307</v>
      </c>
      <c r="C1162" s="29">
        <f t="shared" si="353"/>
        <v>5.5999999999999999E-3</v>
      </c>
      <c r="D1162">
        <v>-0.64</v>
      </c>
      <c r="E1162">
        <v>0.59599999999999997</v>
      </c>
      <c r="F1162" s="18">
        <f t="shared" si="340"/>
        <v>1.0880000000000001</v>
      </c>
      <c r="G1162" s="18">
        <f t="shared" si="341"/>
        <v>0.76000000000000068</v>
      </c>
      <c r="H1162">
        <v>3.16</v>
      </c>
      <c r="I1162">
        <v>1.56</v>
      </c>
      <c r="J1162">
        <f t="shared" si="350"/>
        <v>2.36</v>
      </c>
      <c r="K1162" s="6">
        <f t="shared" si="351"/>
        <v>2.37</v>
      </c>
      <c r="L1162" s="6">
        <f t="shared" si="352"/>
        <v>0</v>
      </c>
      <c r="M1162">
        <v>5.5959760118165001</v>
      </c>
      <c r="N1162">
        <v>344500</v>
      </c>
      <c r="O1162" s="18">
        <f>ROUND(N1162/VLOOKUP(EOMONTH(A1162,-1),Employment!A:P,16,FALSE),4)</f>
        <v>1.7216</v>
      </c>
      <c r="P1162" s="18">
        <f t="shared" si="342"/>
        <v>1.7428999999999999</v>
      </c>
      <c r="Q1162" s="29">
        <f t="shared" si="343"/>
        <v>-4.7100000000000003E-2</v>
      </c>
      <c r="R1162" s="29">
        <f t="shared" si="344"/>
        <v>5.7000000000000002E-2</v>
      </c>
      <c r="S1162">
        <v>2586000</v>
      </c>
      <c r="T1162" s="18">
        <f>ROUND((S1162/7)/VLOOKUP(EOMONTH(A1162,-1),Employment!A:P,16,FALSE),4)</f>
        <v>1.8462000000000001</v>
      </c>
      <c r="U1162" s="18">
        <f t="shared" si="345"/>
        <v>1.8554999999999999</v>
      </c>
      <c r="V1162" s="29">
        <f t="shared" si="346"/>
        <v>1.0500000000000001E-2</v>
      </c>
      <c r="W1162" s="29">
        <f t="shared" si="347"/>
        <v>1.6E-2</v>
      </c>
      <c r="X1162" s="30">
        <f t="shared" si="348"/>
        <v>164</v>
      </c>
      <c r="Y1162" s="31">
        <f t="shared" si="349"/>
        <v>162.97999999999999</v>
      </c>
    </row>
    <row r="1163" spans="1:25" ht="15" customHeight="1" x14ac:dyDescent="0.25">
      <c r="A1163" s="5">
        <v>35204</v>
      </c>
      <c r="B1163">
        <v>734.70079999999996</v>
      </c>
      <c r="C1163" s="29">
        <f t="shared" si="353"/>
        <v>3.0000000000000001E-3</v>
      </c>
      <c r="D1163">
        <v>-0.62</v>
      </c>
      <c r="E1163">
        <v>0.70699999999999996</v>
      </c>
      <c r="F1163" s="18">
        <f t="shared" si="340"/>
        <v>3.6000000000000476E-2</v>
      </c>
      <c r="G1163" s="18">
        <f t="shared" si="341"/>
        <v>0.50000000000000089</v>
      </c>
      <c r="H1163">
        <v>3.16</v>
      </c>
      <c r="I1163">
        <v>1.57</v>
      </c>
      <c r="J1163">
        <f t="shared" si="350"/>
        <v>2.37</v>
      </c>
      <c r="K1163" s="6">
        <f t="shared" si="351"/>
        <v>2.37</v>
      </c>
      <c r="L1163" s="6">
        <f t="shared" si="352"/>
        <v>-9.9999999999997868E-3</v>
      </c>
      <c r="M1163">
        <v>5.2139933958012996</v>
      </c>
      <c r="N1163">
        <v>350250</v>
      </c>
      <c r="O1163" s="18">
        <f>ROUND(N1163/VLOOKUP(EOMONTH(A1163,-1),Employment!A:P,16,FALSE),4)</f>
        <v>1.7504</v>
      </c>
      <c r="P1163" s="18">
        <f t="shared" si="342"/>
        <v>1.7674000000000001</v>
      </c>
      <c r="Q1163" s="29">
        <f t="shared" si="343"/>
        <v>-2.1100000000000001E-2</v>
      </c>
      <c r="R1163" s="29">
        <f t="shared" si="344"/>
        <v>6.3700000000000007E-2</v>
      </c>
      <c r="S1163">
        <v>2602000</v>
      </c>
      <c r="T1163" s="18">
        <f>ROUND((S1163/7)/VLOOKUP(EOMONTH(A1163,-1),Employment!A:P,16,FALSE),4)</f>
        <v>1.8575999999999999</v>
      </c>
      <c r="U1163" s="18">
        <f t="shared" si="345"/>
        <v>1.8635999999999999</v>
      </c>
      <c r="V1163" s="29">
        <f t="shared" si="346"/>
        <v>1.46E-2</v>
      </c>
      <c r="W1163" s="29">
        <f t="shared" si="347"/>
        <v>1.8700000000000001E-2</v>
      </c>
      <c r="X1163" s="30">
        <f t="shared" si="348"/>
        <v>163.85</v>
      </c>
      <c r="Y1163" s="31">
        <f t="shared" si="349"/>
        <v>156.56</v>
      </c>
    </row>
    <row r="1164" spans="1:25" ht="15" customHeight="1" x14ac:dyDescent="0.25">
      <c r="A1164" s="5">
        <v>35197</v>
      </c>
      <c r="B1164">
        <v>735.55939999999998</v>
      </c>
      <c r="C1164" s="29">
        <f t="shared" si="353"/>
        <v>5.7999999999999996E-3</v>
      </c>
      <c r="D1164">
        <v>-0.61</v>
      </c>
      <c r="E1164">
        <v>0.69899999999999995</v>
      </c>
      <c r="F1164" s="18">
        <f t="shared" si="340"/>
        <v>-0.36399999999999988</v>
      </c>
      <c r="G1164" s="18">
        <f t="shared" si="341"/>
        <v>0.68800000000000061</v>
      </c>
      <c r="H1164">
        <v>3.16</v>
      </c>
      <c r="I1164">
        <v>1.57</v>
      </c>
      <c r="J1164">
        <f t="shared" si="350"/>
        <v>2.37</v>
      </c>
      <c r="K1164" s="6">
        <f t="shared" si="351"/>
        <v>2.38</v>
      </c>
      <c r="L1164" s="6">
        <f t="shared" si="352"/>
        <v>-1.0000000000000231E-2</v>
      </c>
      <c r="M1164">
        <v>4.9174375741005001</v>
      </c>
      <c r="N1164">
        <v>351500</v>
      </c>
      <c r="O1164" s="18">
        <f>ROUND(N1164/VLOOKUP(EOMONTH(A1164,-1),Employment!A:P,16,FALSE),4)</f>
        <v>1.7565999999999999</v>
      </c>
      <c r="P1164" s="18">
        <f t="shared" si="342"/>
        <v>1.8038000000000001</v>
      </c>
      <c r="Q1164" s="29">
        <f t="shared" si="343"/>
        <v>1.2500000000000001E-2</v>
      </c>
      <c r="R1164" s="29">
        <f t="shared" si="344"/>
        <v>5.4100000000000002E-2</v>
      </c>
      <c r="S1164">
        <v>2609000</v>
      </c>
      <c r="T1164" s="18">
        <f>ROUND((S1164/7)/VLOOKUP(EOMONTH(A1164,-1),Employment!A:P,16,FALSE),4)</f>
        <v>1.8626</v>
      </c>
      <c r="U1164" s="18">
        <f t="shared" si="345"/>
        <v>1.8772</v>
      </c>
      <c r="V1164" s="29">
        <f t="shared" si="346"/>
        <v>2.58E-2</v>
      </c>
      <c r="W1164" s="29">
        <f t="shared" si="347"/>
        <v>1.7899999999999999E-2</v>
      </c>
      <c r="X1164" s="30">
        <f t="shared" si="348"/>
        <v>158.28</v>
      </c>
      <c r="Y1164" s="31">
        <f t="shared" si="349"/>
        <v>139.69999999999999</v>
      </c>
    </row>
    <row r="1165" spans="1:25" ht="15" customHeight="1" x14ac:dyDescent="0.25">
      <c r="A1165" s="5">
        <v>35190</v>
      </c>
      <c r="B1165">
        <v>731.86559999999997</v>
      </c>
      <c r="C1165" s="29">
        <f t="shared" si="353"/>
        <v>1.6000000000000001E-3</v>
      </c>
      <c r="D1165">
        <v>-0.6</v>
      </c>
      <c r="E1165">
        <v>0.64100000000000001</v>
      </c>
      <c r="F1165" s="18">
        <f t="shared" si="340"/>
        <v>0.82800000000000029</v>
      </c>
      <c r="G1165" s="18">
        <f t="shared" si="341"/>
        <v>6.4000000000000057E-2</v>
      </c>
      <c r="H1165">
        <v>3.16</v>
      </c>
      <c r="I1165">
        <v>1.58</v>
      </c>
      <c r="J1165">
        <f t="shared" si="350"/>
        <v>2.37</v>
      </c>
      <c r="K1165" s="6">
        <f t="shared" si="351"/>
        <v>2.39</v>
      </c>
      <c r="L1165" s="6">
        <f t="shared" si="352"/>
        <v>-2.0000000000000018E-2</v>
      </c>
      <c r="M1165">
        <v>4.3104770809059003</v>
      </c>
      <c r="N1165">
        <v>359250</v>
      </c>
      <c r="O1165" s="18">
        <f>ROUND(N1165/VLOOKUP(EOMONTH(A1165,-1),Employment!A:P,16,FALSE),4)</f>
        <v>1.7952999999999999</v>
      </c>
      <c r="P1165" s="18">
        <f t="shared" si="342"/>
        <v>1.8623000000000001</v>
      </c>
      <c r="Q1165" s="29">
        <f t="shared" si="343"/>
        <v>6.1100000000000002E-2</v>
      </c>
      <c r="R1165" s="29">
        <f t="shared" si="344"/>
        <v>2.5700000000000001E-2</v>
      </c>
      <c r="S1165">
        <v>2620000</v>
      </c>
      <c r="T1165" s="18">
        <f>ROUND((S1165/7)/VLOOKUP(EOMONTH(A1165,-1),Employment!A:P,16,FALSE),4)</f>
        <v>1.8705000000000001</v>
      </c>
      <c r="U1165" s="18">
        <f t="shared" si="345"/>
        <v>1.8871</v>
      </c>
      <c r="V1165" s="29">
        <f t="shared" si="346"/>
        <v>3.6200000000000003E-2</v>
      </c>
      <c r="W1165" s="29">
        <f t="shared" si="347"/>
        <v>8.0000000000000002E-3</v>
      </c>
      <c r="X1165" s="30">
        <f t="shared" si="348"/>
        <v>134.01</v>
      </c>
      <c r="Y1165" s="31">
        <f t="shared" si="349"/>
        <v>116.01</v>
      </c>
    </row>
    <row r="1166" spans="1:25" ht="15" customHeight="1" x14ac:dyDescent="0.25">
      <c r="A1166" s="5">
        <v>35183</v>
      </c>
      <c r="B1166">
        <v>731.24540000000002</v>
      </c>
      <c r="C1166" s="29">
        <f t="shared" si="353"/>
        <v>1.9E-3</v>
      </c>
      <c r="D1166">
        <v>-0.59</v>
      </c>
      <c r="E1166">
        <v>0.73199999999999998</v>
      </c>
      <c r="F1166" s="18">
        <f t="shared" si="340"/>
        <v>0.2240000000000002</v>
      </c>
      <c r="G1166" s="18">
        <f t="shared" si="341"/>
        <v>-1.1480000000000006</v>
      </c>
      <c r="H1166">
        <v>3.16</v>
      </c>
      <c r="I1166">
        <v>1.63</v>
      </c>
      <c r="J1166">
        <f t="shared" si="350"/>
        <v>2.4</v>
      </c>
      <c r="K1166" s="6">
        <f t="shared" si="351"/>
        <v>2.41</v>
      </c>
      <c r="L1166" s="6">
        <f t="shared" si="352"/>
        <v>-9.9999999999997868E-3</v>
      </c>
      <c r="M1166">
        <v>4.3174418552795002</v>
      </c>
      <c r="N1166">
        <v>371750</v>
      </c>
      <c r="O1166" s="18">
        <f>ROUND(N1166/VLOOKUP(EOMONTH(A1166,-1),Employment!A:P,16,FALSE),4)</f>
        <v>1.8594999999999999</v>
      </c>
      <c r="P1166" s="18">
        <f t="shared" si="342"/>
        <v>1.9191</v>
      </c>
      <c r="Q1166" s="29">
        <f t="shared" si="343"/>
        <v>0.1089</v>
      </c>
      <c r="R1166" s="29">
        <f t="shared" si="344"/>
        <v>-6.0000000000000001E-3</v>
      </c>
      <c r="S1166">
        <v>2657000</v>
      </c>
      <c r="T1166" s="18">
        <f>ROUND((S1166/7)/VLOOKUP(EOMONTH(A1166,-1),Employment!A:P,16,FALSE),4)</f>
        <v>1.8986000000000001</v>
      </c>
      <c r="U1166" s="18">
        <f t="shared" si="345"/>
        <v>1.9008</v>
      </c>
      <c r="V1166" s="29">
        <f t="shared" si="346"/>
        <v>5.5399999999999998E-2</v>
      </c>
      <c r="W1166" s="29">
        <f t="shared" si="347"/>
        <v>-3.3999999999999998E-3</v>
      </c>
      <c r="X1166" s="30">
        <f t="shared" si="348"/>
        <v>107.47999999999999</v>
      </c>
      <c r="Y1166" s="31">
        <f t="shared" si="349"/>
        <v>99.75</v>
      </c>
    </row>
    <row r="1167" spans="1:25" ht="15" customHeight="1" x14ac:dyDescent="0.25">
      <c r="A1167" s="5">
        <v>35176</v>
      </c>
      <c r="B1167">
        <v>731.38559999999995</v>
      </c>
      <c r="C1167" s="29">
        <f t="shared" si="353"/>
        <v>4.0000000000000001E-3</v>
      </c>
      <c r="D1167">
        <v>-0.59</v>
      </c>
      <c r="E1167">
        <v>0.76</v>
      </c>
      <c r="F1167" s="18">
        <f t="shared" ref="F1167:F1230" si="354">(((D1167*10)+(E1167*8))*-1)-(((D1168*10)+(E1168*8))*-1)</f>
        <v>-0.98800000000000043</v>
      </c>
      <c r="G1167" s="18">
        <f t="shared" ref="G1167:G1230" si="355">SUM(F1167:F1169)</f>
        <v>-1.588000000000001</v>
      </c>
      <c r="H1167">
        <v>3.16</v>
      </c>
      <c r="I1167">
        <v>1.65</v>
      </c>
      <c r="J1167">
        <f t="shared" si="350"/>
        <v>2.41</v>
      </c>
      <c r="K1167" s="6">
        <f t="shared" si="351"/>
        <v>2.42</v>
      </c>
      <c r="L1167" s="6">
        <f t="shared" si="352"/>
        <v>-2.0000000000000018E-2</v>
      </c>
      <c r="M1167">
        <v>3.6916571659072002</v>
      </c>
      <c r="N1167">
        <v>386250</v>
      </c>
      <c r="O1167" s="18">
        <f>ROUND(N1167/VLOOKUP(EOMONTH(A1167,-1),Employment!A:P,16,FALSE),4)</f>
        <v>1.9319999999999999</v>
      </c>
      <c r="P1167" s="18">
        <f t="shared" ref="P1167:P1230" si="356">ROUND(AVERAGE(O1167:O1169),4)</f>
        <v>1.9512</v>
      </c>
      <c r="Q1167" s="29">
        <f t="shared" ref="Q1167:Q1230" si="357">ROUND((P1167/P1219)-1,4)</f>
        <v>0.13550000000000001</v>
      </c>
      <c r="R1167" s="29">
        <f t="shared" ref="R1167:R1230" si="358">ROUND(AVERAGE(Q1167:Q1168)-AVERAGE(Q1167:Q1171),4)*-1</f>
        <v>-2.6100000000000002E-2</v>
      </c>
      <c r="S1167">
        <v>2648000</v>
      </c>
      <c r="T1167" s="18">
        <f>ROUND((S1167/7)/VLOOKUP(EOMONTH(A1167,-1),Employment!A:P,16,FALSE),4)</f>
        <v>1.8922000000000001</v>
      </c>
      <c r="U1167" s="18">
        <f t="shared" ref="U1167:U1230" si="359">ROUND(AVERAGE(T1167:T1169),4)</f>
        <v>1.9200999999999999</v>
      </c>
      <c r="V1167" s="29">
        <f t="shared" ref="V1167:V1230" si="360">ROUND((U1167/U1219)-1,4)</f>
        <v>6.2600000000000003E-2</v>
      </c>
      <c r="W1167" s="29">
        <f t="shared" ref="W1167:W1230" si="361">ROUND(AVERAGE(V1167:V1168)-AVERAGE(V1167:V1171),4)*-1</f>
        <v>-1.1299999999999999E-2</v>
      </c>
      <c r="X1167" s="30">
        <f t="shared" ref="X1167:X1230" si="362">IF(ROUND((C1167*500)-(D1167*10)-(E1167*8)+(M1167*1.2)-(P1167*23)-(Q1167*10)+(R1167*600)-(U1167*2)-(V1167*5)+(W1167*100)-(K1167*5)-(L1167*5)+(G1167*3),2)+170&lt;0,0,ROUND((C1167*500)-(D1167*10)-(E1167*8)+(M1167*1.2)-(P1167*23)-(Q1167*10)+(R1167*600)-(U1167*2)-(V1167*5)+(W1167*100)-(K1167*5)-(L1167*5)+(G1167*3),2)+170)</f>
        <v>92.31</v>
      </c>
      <c r="Y1167" s="31">
        <f t="shared" ref="Y1167:Y1230" si="363">ROUND(AVERAGE(AVERAGE(X1167:X1168),AVERAGE(X1167:X1169)),2)</f>
        <v>97.87</v>
      </c>
    </row>
    <row r="1168" spans="1:25" ht="15" customHeight="1" x14ac:dyDescent="0.25">
      <c r="A1168" s="5">
        <v>35169</v>
      </c>
      <c r="B1168">
        <v>730.84320000000002</v>
      </c>
      <c r="C1168" s="29">
        <f t="shared" si="353"/>
        <v>5.4999999999999997E-3</v>
      </c>
      <c r="D1168">
        <v>-0.6</v>
      </c>
      <c r="E1168">
        <v>0.64900000000000002</v>
      </c>
      <c r="F1168" s="18">
        <f t="shared" si="354"/>
        <v>-0.38400000000000034</v>
      </c>
      <c r="G1168" s="18">
        <f t="shared" si="355"/>
        <v>-0.5600000000000005</v>
      </c>
      <c r="H1168">
        <v>3.16</v>
      </c>
      <c r="I1168">
        <v>1.7</v>
      </c>
      <c r="J1168">
        <f t="shared" ref="J1168:J1231" si="364">ROUND(AVERAGE(H1168:I1168),2)</f>
        <v>2.4300000000000002</v>
      </c>
      <c r="K1168" s="6">
        <f t="shared" ref="K1168:K1231" si="365">ROUND(AVERAGE(J1168:J1170),2)</f>
        <v>2.44</v>
      </c>
      <c r="L1168" s="6">
        <f t="shared" ref="L1168:L1231" si="366">K1168-K1169</f>
        <v>-1.0000000000000231E-2</v>
      </c>
      <c r="M1168">
        <v>3.7029110097447</v>
      </c>
      <c r="N1168">
        <v>393000</v>
      </c>
      <c r="O1168" s="18">
        <f>ROUND(N1168/VLOOKUP(EOMONTH(A1168,-1),Employment!A:P,16,FALSE),4)</f>
        <v>1.9658</v>
      </c>
      <c r="P1168" s="18">
        <f t="shared" si="356"/>
        <v>1.9492</v>
      </c>
      <c r="Q1168" s="29">
        <f t="shared" si="357"/>
        <v>0.1366</v>
      </c>
      <c r="R1168" s="29">
        <f t="shared" si="358"/>
        <v>-2.3300000000000001E-2</v>
      </c>
      <c r="S1168">
        <v>2675000</v>
      </c>
      <c r="T1168" s="18">
        <f>ROUND((S1168/7)/VLOOKUP(EOMONTH(A1168,-1),Employment!A:P,16,FALSE),4)</f>
        <v>1.9115</v>
      </c>
      <c r="U1168" s="18">
        <f t="shared" si="359"/>
        <v>1.9274</v>
      </c>
      <c r="V1168" s="29">
        <f t="shared" si="360"/>
        <v>6.4699999999999994E-2</v>
      </c>
      <c r="W1168" s="29">
        <f t="shared" si="361"/>
        <v>-7.7999999999999996E-3</v>
      </c>
      <c r="X1168" s="30">
        <f t="shared" si="362"/>
        <v>99.04</v>
      </c>
      <c r="Y1168" s="31">
        <f t="shared" si="363"/>
        <v>106.99</v>
      </c>
    </row>
    <row r="1169" spans="1:25" ht="15" customHeight="1" x14ac:dyDescent="0.25">
      <c r="A1169" s="5">
        <v>35162</v>
      </c>
      <c r="B1169">
        <v>729.34370000000001</v>
      </c>
      <c r="C1169" s="29">
        <f t="shared" si="353"/>
        <v>5.1000000000000004E-3</v>
      </c>
      <c r="D1169">
        <v>-0.62</v>
      </c>
      <c r="E1169">
        <v>0.626</v>
      </c>
      <c r="F1169" s="18">
        <f t="shared" si="354"/>
        <v>-0.21600000000000019</v>
      </c>
      <c r="G1169" s="18">
        <f t="shared" si="355"/>
        <v>-1.5479999999999992</v>
      </c>
      <c r="H1169">
        <v>3.16</v>
      </c>
      <c r="I1169">
        <v>1.68</v>
      </c>
      <c r="J1169">
        <f t="shared" si="364"/>
        <v>2.42</v>
      </c>
      <c r="K1169" s="6">
        <f t="shared" si="365"/>
        <v>2.4500000000000002</v>
      </c>
      <c r="L1169" s="6">
        <f t="shared" si="366"/>
        <v>-9.9999999999997868E-3</v>
      </c>
      <c r="M1169">
        <v>3.3199408763855001</v>
      </c>
      <c r="N1169">
        <v>391000</v>
      </c>
      <c r="O1169" s="18">
        <f>ROUND(N1169/VLOOKUP(EOMONTH(A1169,-1),Employment!A:P,16,FALSE),4)</f>
        <v>1.9558</v>
      </c>
      <c r="P1169" s="18">
        <f t="shared" si="356"/>
        <v>1.9104000000000001</v>
      </c>
      <c r="Q1169" s="29">
        <f t="shared" si="357"/>
        <v>0.1115</v>
      </c>
      <c r="R1169" s="29">
        <f t="shared" si="358"/>
        <v>-4.5999999999999999E-3</v>
      </c>
      <c r="S1169">
        <v>2738000</v>
      </c>
      <c r="T1169" s="18">
        <f>ROUND((S1169/7)/VLOOKUP(EOMONTH(A1169,-1),Employment!A:P,16,FALSE),4)</f>
        <v>1.9564999999999999</v>
      </c>
      <c r="U1169" s="18">
        <f t="shared" si="359"/>
        <v>1.9212</v>
      </c>
      <c r="V1169" s="29">
        <f t="shared" si="360"/>
        <v>0.05</v>
      </c>
      <c r="W1169" s="29">
        <f t="shared" si="361"/>
        <v>-1.5E-3</v>
      </c>
      <c r="X1169" s="30">
        <f t="shared" si="362"/>
        <v>108.83</v>
      </c>
      <c r="Y1169" s="31">
        <f t="shared" si="363"/>
        <v>117.47</v>
      </c>
    </row>
    <row r="1170" spans="1:25" ht="15" customHeight="1" x14ac:dyDescent="0.25">
      <c r="A1170" s="5">
        <v>35155</v>
      </c>
      <c r="B1170">
        <v>727.95709999999997</v>
      </c>
      <c r="C1170" s="29">
        <f t="shared" ref="C1170:C1233" si="367">ROUND((B1170-AVERAGE(B1171:B1174))/AVERAGE(B1171:B1174),4)</f>
        <v>4.4000000000000003E-3</v>
      </c>
      <c r="D1170">
        <v>-0.64</v>
      </c>
      <c r="E1170">
        <v>0.624</v>
      </c>
      <c r="F1170" s="18">
        <f t="shared" si="354"/>
        <v>4.0000000000000036E-2</v>
      </c>
      <c r="G1170" s="18">
        <f t="shared" si="355"/>
        <v>-1.887999999999999</v>
      </c>
      <c r="H1170">
        <v>3.16</v>
      </c>
      <c r="I1170">
        <v>1.78</v>
      </c>
      <c r="J1170">
        <f t="shared" si="364"/>
        <v>2.4700000000000002</v>
      </c>
      <c r="K1170" s="6">
        <f t="shared" si="365"/>
        <v>2.46</v>
      </c>
      <c r="L1170" s="6">
        <f t="shared" si="366"/>
        <v>9.9999999999997868E-3</v>
      </c>
      <c r="M1170">
        <v>3.1243528469387001</v>
      </c>
      <c r="N1170">
        <v>384750</v>
      </c>
      <c r="O1170" s="18">
        <f>ROUND(N1170/VLOOKUP(EOMONTH(A1170,-1),Employment!A:P,16,FALSE),4)</f>
        <v>1.9258999999999999</v>
      </c>
      <c r="P1170" s="18">
        <f t="shared" si="356"/>
        <v>1.8746</v>
      </c>
      <c r="Q1170" s="29">
        <f t="shared" si="357"/>
        <v>8.8300000000000003E-2</v>
      </c>
      <c r="R1170" s="29">
        <f t="shared" si="358"/>
        <v>1.72E-2</v>
      </c>
      <c r="S1170">
        <v>2677000</v>
      </c>
      <c r="T1170" s="18">
        <f>ROUND((S1170/7)/VLOOKUP(EOMONTH(A1170,-1),Employment!A:P,16,FALSE),4)</f>
        <v>1.9142999999999999</v>
      </c>
      <c r="U1170" s="18">
        <f t="shared" si="359"/>
        <v>1.9097999999999999</v>
      </c>
      <c r="V1170" s="29">
        <f t="shared" si="360"/>
        <v>4.5100000000000001E-2</v>
      </c>
      <c r="W1170" s="29">
        <f t="shared" si="361"/>
        <v>6.6E-3</v>
      </c>
      <c r="X1170" s="30">
        <f t="shared" si="362"/>
        <v>122.28</v>
      </c>
      <c r="Y1170" s="31">
        <f t="shared" si="363"/>
        <v>125.09</v>
      </c>
    </row>
    <row r="1171" spans="1:25" ht="15" customHeight="1" x14ac:dyDescent="0.25">
      <c r="A1171" s="5">
        <v>35148</v>
      </c>
      <c r="B1171">
        <v>725.70190000000002</v>
      </c>
      <c r="C1171" s="29">
        <f t="shared" si="367"/>
        <v>1.8E-3</v>
      </c>
      <c r="D1171">
        <v>-0.66</v>
      </c>
      <c r="E1171">
        <v>0.65400000000000003</v>
      </c>
      <c r="F1171" s="18">
        <f t="shared" si="354"/>
        <v>-1.371999999999999</v>
      </c>
      <c r="G1171" s="18">
        <f t="shared" si="355"/>
        <v>-2.7680000000000007</v>
      </c>
      <c r="H1171">
        <v>3.16</v>
      </c>
      <c r="I1171">
        <v>1.77</v>
      </c>
      <c r="J1171">
        <f t="shared" si="364"/>
        <v>2.4700000000000002</v>
      </c>
      <c r="K1171" s="6">
        <f t="shared" si="365"/>
        <v>2.4500000000000002</v>
      </c>
      <c r="L1171" s="6">
        <f t="shared" si="366"/>
        <v>0</v>
      </c>
      <c r="M1171">
        <v>4.3494308986455001</v>
      </c>
      <c r="N1171">
        <v>369500</v>
      </c>
      <c r="O1171" s="18">
        <f>ROUND(N1171/VLOOKUP(EOMONTH(A1171,-1),Employment!A:P,16,FALSE),4)</f>
        <v>1.8495999999999999</v>
      </c>
      <c r="P1171" s="18">
        <f t="shared" si="356"/>
        <v>1.8595999999999999</v>
      </c>
      <c r="Q1171" s="29">
        <f t="shared" si="357"/>
        <v>7.8100000000000003E-2</v>
      </c>
      <c r="R1171" s="29">
        <f t="shared" si="358"/>
        <v>2.8199999999999999E-2</v>
      </c>
      <c r="S1171">
        <v>2647000</v>
      </c>
      <c r="T1171" s="18">
        <f>ROUND((S1171/7)/VLOOKUP(EOMONTH(A1171,-1),Employment!A:P,16,FALSE),4)</f>
        <v>1.8929</v>
      </c>
      <c r="U1171" s="18">
        <f t="shared" si="359"/>
        <v>1.9046000000000001</v>
      </c>
      <c r="V1171" s="29">
        <f t="shared" si="360"/>
        <v>3.9300000000000002E-2</v>
      </c>
      <c r="W1171" s="29">
        <f t="shared" si="361"/>
        <v>7.3000000000000001E-3</v>
      </c>
      <c r="X1171" s="30">
        <f t="shared" si="362"/>
        <v>127.03</v>
      </c>
      <c r="Y1171" s="31">
        <f t="shared" si="363"/>
        <v>125.29</v>
      </c>
    </row>
    <row r="1172" spans="1:25" ht="15" customHeight="1" x14ac:dyDescent="0.25">
      <c r="A1172" s="5">
        <v>35141</v>
      </c>
      <c r="B1172">
        <v>724.26300000000003</v>
      </c>
      <c r="C1172" s="29">
        <f t="shared" si="367"/>
        <v>2.0000000000000001E-4</v>
      </c>
      <c r="D1172">
        <v>-0.69</v>
      </c>
      <c r="E1172">
        <v>0.52</v>
      </c>
      <c r="F1172" s="18">
        <f t="shared" si="354"/>
        <v>-0.55600000000000005</v>
      </c>
      <c r="G1172" s="18">
        <f t="shared" si="355"/>
        <v>-2.1920000000000011</v>
      </c>
      <c r="H1172">
        <v>3.16</v>
      </c>
      <c r="I1172">
        <v>1.7</v>
      </c>
      <c r="J1172">
        <f t="shared" si="364"/>
        <v>2.4300000000000002</v>
      </c>
      <c r="K1172" s="6">
        <f t="shared" si="365"/>
        <v>2.4500000000000002</v>
      </c>
      <c r="L1172" s="6">
        <f t="shared" si="366"/>
        <v>-2.9999999999999805E-2</v>
      </c>
      <c r="M1172">
        <v>4.5732305929859001</v>
      </c>
      <c r="N1172">
        <v>369250</v>
      </c>
      <c r="O1172" s="18">
        <f>ROUND(N1172/VLOOKUP(EOMONTH(A1172,-1),Employment!A:P,16,FALSE),4)</f>
        <v>1.8483000000000001</v>
      </c>
      <c r="P1172" s="18">
        <f t="shared" si="356"/>
        <v>1.8725000000000001</v>
      </c>
      <c r="Q1172" s="29">
        <f t="shared" si="357"/>
        <v>8.9300000000000004E-2</v>
      </c>
      <c r="R1172" s="29">
        <f t="shared" si="358"/>
        <v>2.4500000000000001E-2</v>
      </c>
      <c r="S1172">
        <v>2688000</v>
      </c>
      <c r="T1172" s="18">
        <f>ROUND((S1172/7)/VLOOKUP(EOMONTH(A1172,-1),Employment!A:P,16,FALSE),4)</f>
        <v>1.9221999999999999</v>
      </c>
      <c r="U1172" s="18">
        <f t="shared" si="359"/>
        <v>1.9157999999999999</v>
      </c>
      <c r="V1172" s="29">
        <f t="shared" si="360"/>
        <v>4.87E-2</v>
      </c>
      <c r="W1172" s="29">
        <f t="shared" si="361"/>
        <v>9.2999999999999992E-3</v>
      </c>
      <c r="X1172" s="30">
        <f t="shared" si="362"/>
        <v>127.25</v>
      </c>
      <c r="Y1172" s="31">
        <f t="shared" si="363"/>
        <v>118.78</v>
      </c>
    </row>
    <row r="1173" spans="1:25" ht="15" customHeight="1" x14ac:dyDescent="0.25">
      <c r="A1173" s="5">
        <v>35134</v>
      </c>
      <c r="B1173">
        <v>724.54089999999997</v>
      </c>
      <c r="C1173" s="29">
        <f t="shared" si="367"/>
        <v>8.0000000000000004E-4</v>
      </c>
      <c r="D1173">
        <v>-0.72</v>
      </c>
      <c r="E1173">
        <v>0.48799999999999999</v>
      </c>
      <c r="F1173" s="18">
        <f t="shared" si="354"/>
        <v>-0.84000000000000163</v>
      </c>
      <c r="G1173" s="18">
        <f t="shared" si="355"/>
        <v>-1.7000000000000011</v>
      </c>
      <c r="H1173">
        <v>3.16</v>
      </c>
      <c r="I1173">
        <v>1.71</v>
      </c>
      <c r="J1173">
        <f t="shared" si="364"/>
        <v>2.44</v>
      </c>
      <c r="K1173" s="6">
        <f t="shared" si="365"/>
        <v>2.48</v>
      </c>
      <c r="L1173" s="6">
        <f t="shared" si="366"/>
        <v>-2.0000000000000018E-2</v>
      </c>
      <c r="M1173">
        <v>4.1433686981897999</v>
      </c>
      <c r="N1173">
        <v>375750</v>
      </c>
      <c r="O1173" s="18">
        <f>ROUND(N1173/VLOOKUP(EOMONTH(A1173,-1),Employment!A:P,16,FALSE),4)</f>
        <v>1.8809</v>
      </c>
      <c r="P1173" s="18">
        <f t="shared" si="356"/>
        <v>1.8955</v>
      </c>
      <c r="Q1173" s="29">
        <f t="shared" si="357"/>
        <v>0.1095</v>
      </c>
      <c r="R1173" s="29">
        <f t="shared" si="358"/>
        <v>5.4000000000000003E-3</v>
      </c>
      <c r="S1173">
        <v>2655000</v>
      </c>
      <c r="T1173" s="18">
        <f>ROUND((S1173/7)/VLOOKUP(EOMONTH(A1173,-1),Employment!A:P,16,FALSE),4)</f>
        <v>1.8986000000000001</v>
      </c>
      <c r="U1173" s="18">
        <f t="shared" si="359"/>
        <v>1.9124000000000001</v>
      </c>
      <c r="V1173" s="29">
        <f t="shared" si="360"/>
        <v>4.7E-2</v>
      </c>
      <c r="W1173" s="29">
        <f t="shared" si="361"/>
        <v>2.7000000000000001E-3</v>
      </c>
      <c r="X1173" s="30">
        <f t="shared" si="362"/>
        <v>116.03</v>
      </c>
      <c r="Y1173" s="31">
        <f t="shared" si="363"/>
        <v>108.93</v>
      </c>
    </row>
    <row r="1174" spans="1:25" ht="15" customHeight="1" x14ac:dyDescent="0.25">
      <c r="A1174" s="5">
        <v>35127</v>
      </c>
      <c r="B1174">
        <v>724.63679999999999</v>
      </c>
      <c r="C1174" s="29">
        <f t="shared" si="367"/>
        <v>1.6000000000000001E-3</v>
      </c>
      <c r="D1174">
        <v>-0.74</v>
      </c>
      <c r="E1174">
        <v>0.40799999999999997</v>
      </c>
      <c r="F1174" s="18">
        <f t="shared" si="354"/>
        <v>-0.79599999999999937</v>
      </c>
      <c r="G1174" s="18">
        <f t="shared" si="355"/>
        <v>-0.96799999999999997</v>
      </c>
      <c r="H1174">
        <v>3.16</v>
      </c>
      <c r="I1174">
        <v>1.82</v>
      </c>
      <c r="J1174">
        <f t="shared" si="364"/>
        <v>2.4900000000000002</v>
      </c>
      <c r="K1174" s="6">
        <f t="shared" si="365"/>
        <v>2.5</v>
      </c>
      <c r="L1174" s="6">
        <f t="shared" si="366"/>
        <v>-9.9999999999997868E-3</v>
      </c>
      <c r="M1174">
        <v>3.6543265585428002</v>
      </c>
      <c r="N1174">
        <v>377250</v>
      </c>
      <c r="O1174" s="18">
        <f>ROUND(N1174/VLOOKUP(EOMONTH(A1174,-1),Employment!A:P,16,FALSE),4)</f>
        <v>1.8884000000000001</v>
      </c>
      <c r="P1174" s="18">
        <f t="shared" si="356"/>
        <v>1.921</v>
      </c>
      <c r="Q1174" s="29">
        <f t="shared" si="357"/>
        <v>0.1368</v>
      </c>
      <c r="R1174" s="29">
        <f t="shared" si="358"/>
        <v>-1.5900000000000001E-2</v>
      </c>
      <c r="S1174">
        <v>2694000</v>
      </c>
      <c r="T1174" s="18">
        <f>ROUND((S1174/7)/VLOOKUP(EOMONTH(A1174,-1),Employment!A:P,16,FALSE),4)</f>
        <v>1.9265000000000001</v>
      </c>
      <c r="U1174" s="18">
        <f t="shared" si="359"/>
        <v>1.9355</v>
      </c>
      <c r="V1174" s="29">
        <f t="shared" si="360"/>
        <v>6.3899999999999998E-2</v>
      </c>
      <c r="W1174" s="29">
        <f t="shared" si="361"/>
        <v>-2.3E-3</v>
      </c>
      <c r="X1174" s="30">
        <f t="shared" si="362"/>
        <v>104.46</v>
      </c>
      <c r="Y1174" s="31">
        <f t="shared" si="363"/>
        <v>104.16</v>
      </c>
    </row>
    <row r="1175" spans="1:25" ht="15" customHeight="1" x14ac:dyDescent="0.25">
      <c r="A1175" s="5">
        <v>35120</v>
      </c>
      <c r="B1175">
        <v>724.07039999999995</v>
      </c>
      <c r="C1175" s="29">
        <f t="shared" si="367"/>
        <v>1.8E-3</v>
      </c>
      <c r="D1175">
        <v>-0.75</v>
      </c>
      <c r="E1175">
        <v>0.32100000000000001</v>
      </c>
      <c r="F1175" s="18">
        <f t="shared" si="354"/>
        <v>-6.4000000000000057E-2</v>
      </c>
      <c r="G1175" s="18">
        <f t="shared" si="355"/>
        <v>0.44400000000000084</v>
      </c>
      <c r="H1175">
        <v>3.16</v>
      </c>
      <c r="I1175">
        <v>1.84</v>
      </c>
      <c r="J1175">
        <f t="shared" si="364"/>
        <v>2.5</v>
      </c>
      <c r="K1175" s="6">
        <f t="shared" si="365"/>
        <v>2.5099999999999998</v>
      </c>
      <c r="L1175" s="6">
        <f t="shared" si="366"/>
        <v>0</v>
      </c>
      <c r="M1175">
        <v>3.0824702071280998</v>
      </c>
      <c r="N1175">
        <v>382750</v>
      </c>
      <c r="O1175" s="18">
        <f>ROUND(N1175/VLOOKUP(EOMONTH(A1175,-1),Employment!A:P,16,FALSE),4)</f>
        <v>1.9173</v>
      </c>
      <c r="P1175" s="18">
        <f t="shared" si="356"/>
        <v>1.9214</v>
      </c>
      <c r="Q1175" s="29">
        <f t="shared" si="357"/>
        <v>0.14560000000000001</v>
      </c>
      <c r="R1175" s="29">
        <f t="shared" si="358"/>
        <v>-2.5000000000000001E-2</v>
      </c>
      <c r="S1175">
        <v>2672000</v>
      </c>
      <c r="T1175" s="18">
        <f>ROUND((S1175/7)/VLOOKUP(EOMONTH(A1175,-1),Employment!A:P,16,FALSE),4)</f>
        <v>1.9120999999999999</v>
      </c>
      <c r="U1175" s="18">
        <f t="shared" si="359"/>
        <v>1.9222999999999999</v>
      </c>
      <c r="V1175" s="29">
        <f t="shared" si="360"/>
        <v>5.7700000000000001E-2</v>
      </c>
      <c r="W1175" s="29">
        <f t="shared" si="361"/>
        <v>-1.2E-2</v>
      </c>
      <c r="X1175" s="30">
        <f t="shared" si="362"/>
        <v>102.33</v>
      </c>
      <c r="Y1175" s="31">
        <f t="shared" si="363"/>
        <v>108.26</v>
      </c>
    </row>
    <row r="1176" spans="1:25" ht="15" customHeight="1" x14ac:dyDescent="0.25">
      <c r="A1176" s="5">
        <v>35113</v>
      </c>
      <c r="B1176">
        <v>723.32619999999997</v>
      </c>
      <c r="C1176" s="29">
        <f t="shared" si="367"/>
        <v>1.9E-3</v>
      </c>
      <c r="D1176">
        <v>-0.75</v>
      </c>
      <c r="E1176">
        <v>0.313</v>
      </c>
      <c r="F1176" s="18">
        <f t="shared" si="354"/>
        <v>-0.10800000000000054</v>
      </c>
      <c r="G1176" s="18">
        <f t="shared" si="355"/>
        <v>1.088000000000001</v>
      </c>
      <c r="H1176">
        <v>3.16</v>
      </c>
      <c r="I1176">
        <v>1.87</v>
      </c>
      <c r="J1176">
        <f t="shared" si="364"/>
        <v>2.52</v>
      </c>
      <c r="K1176" s="6">
        <f t="shared" si="365"/>
        <v>2.5099999999999998</v>
      </c>
      <c r="L1176" s="6">
        <f t="shared" si="366"/>
        <v>9.9999999999997868E-3</v>
      </c>
      <c r="M1176">
        <v>2.6248007324184002</v>
      </c>
      <c r="N1176">
        <v>390750</v>
      </c>
      <c r="O1176" s="18">
        <f>ROUND(N1176/VLOOKUP(EOMONTH(A1176,-1),Employment!A:P,16,FALSE),4)</f>
        <v>1.9573</v>
      </c>
      <c r="P1176" s="18">
        <f t="shared" si="356"/>
        <v>1.9068000000000001</v>
      </c>
      <c r="Q1176" s="29">
        <f t="shared" si="357"/>
        <v>0.1384</v>
      </c>
      <c r="R1176" s="29">
        <f t="shared" si="358"/>
        <v>-1.7399999999999999E-2</v>
      </c>
      <c r="S1176">
        <v>2750000</v>
      </c>
      <c r="T1176" s="18">
        <f>ROUND((S1176/7)/VLOOKUP(EOMONTH(A1176,-1),Employment!A:P,16,FALSE),4)</f>
        <v>1.9679</v>
      </c>
      <c r="U1176" s="18">
        <f t="shared" si="359"/>
        <v>1.9307000000000001</v>
      </c>
      <c r="V1176" s="29">
        <f t="shared" si="360"/>
        <v>6.8199999999999997E-2</v>
      </c>
      <c r="W1176" s="29">
        <f t="shared" si="361"/>
        <v>-1.8700000000000001E-2</v>
      </c>
      <c r="X1176" s="30">
        <f t="shared" si="362"/>
        <v>108.00999999999999</v>
      </c>
      <c r="Y1176" s="31">
        <f t="shared" si="363"/>
        <v>118.05</v>
      </c>
    </row>
    <row r="1177" spans="1:25" ht="15" customHeight="1" x14ac:dyDescent="0.25">
      <c r="A1177" s="5">
        <v>35106</v>
      </c>
      <c r="B1177">
        <v>723.88980000000004</v>
      </c>
      <c r="C1177" s="29">
        <f t="shared" si="367"/>
        <v>4.0000000000000001E-3</v>
      </c>
      <c r="D1177">
        <v>-0.74</v>
      </c>
      <c r="E1177">
        <v>0.28699999999999998</v>
      </c>
      <c r="F1177" s="18">
        <f t="shared" si="354"/>
        <v>0.61600000000000144</v>
      </c>
      <c r="G1177" s="18">
        <f t="shared" si="355"/>
        <v>1.596000000000001</v>
      </c>
      <c r="H1177">
        <v>3.16</v>
      </c>
      <c r="I1177">
        <v>1.84</v>
      </c>
      <c r="J1177">
        <f t="shared" si="364"/>
        <v>2.5</v>
      </c>
      <c r="K1177" s="6">
        <f t="shared" si="365"/>
        <v>2.5</v>
      </c>
      <c r="L1177" s="6">
        <f t="shared" si="366"/>
        <v>0</v>
      </c>
      <c r="M1177">
        <v>3.1569114723063998</v>
      </c>
      <c r="N1177">
        <v>377250</v>
      </c>
      <c r="O1177" s="18">
        <f>ROUND(N1177/VLOOKUP(EOMONTH(A1177,-1),Employment!A:P,16,FALSE),4)</f>
        <v>1.8896999999999999</v>
      </c>
      <c r="P1177" s="18">
        <f t="shared" si="356"/>
        <v>1.8674999999999999</v>
      </c>
      <c r="Q1177" s="29">
        <f t="shared" si="357"/>
        <v>0.11269999999999999</v>
      </c>
      <c r="R1177" s="29">
        <f t="shared" si="358"/>
        <v>1.1000000000000001E-3</v>
      </c>
      <c r="S1177">
        <v>2637000</v>
      </c>
      <c r="T1177" s="18">
        <f>ROUND((S1177/7)/VLOOKUP(EOMONTH(A1177,-1),Employment!A:P,16,FALSE),4)</f>
        <v>1.887</v>
      </c>
      <c r="U1177" s="18">
        <f t="shared" si="359"/>
        <v>1.9196</v>
      </c>
      <c r="V1177" s="29">
        <f t="shared" si="360"/>
        <v>5.3900000000000003E-2</v>
      </c>
      <c r="W1177" s="29">
        <f t="shared" si="361"/>
        <v>-1.9599999999999999E-2</v>
      </c>
      <c r="X1177" s="30">
        <f t="shared" si="362"/>
        <v>123.69</v>
      </c>
      <c r="Y1177" s="31">
        <f t="shared" si="363"/>
        <v>127.27</v>
      </c>
    </row>
    <row r="1178" spans="1:25" ht="15" customHeight="1" x14ac:dyDescent="0.25">
      <c r="A1178" s="5">
        <v>35099</v>
      </c>
      <c r="B1178">
        <v>722.66120000000001</v>
      </c>
      <c r="C1178" s="29">
        <f t="shared" si="367"/>
        <v>4.8999999999999998E-3</v>
      </c>
      <c r="D1178">
        <v>-0.72</v>
      </c>
      <c r="E1178">
        <v>0.33900000000000002</v>
      </c>
      <c r="F1178" s="18">
        <f t="shared" si="354"/>
        <v>0.58000000000000007</v>
      </c>
      <c r="G1178" s="18">
        <f t="shared" si="355"/>
        <v>0.78799999999999937</v>
      </c>
      <c r="H1178">
        <v>3.16</v>
      </c>
      <c r="I1178">
        <v>1.84</v>
      </c>
      <c r="J1178">
        <f t="shared" si="364"/>
        <v>2.5</v>
      </c>
      <c r="K1178" s="6">
        <f t="shared" si="365"/>
        <v>2.5</v>
      </c>
      <c r="L1178" s="6">
        <f t="shared" si="366"/>
        <v>9.9999999999997868E-3</v>
      </c>
      <c r="M1178">
        <v>3.6006081429217001</v>
      </c>
      <c r="N1178">
        <v>374000</v>
      </c>
      <c r="O1178" s="18">
        <f>ROUND(N1178/VLOOKUP(EOMONTH(A1178,-1),Employment!A:P,16,FALSE),4)</f>
        <v>1.8734</v>
      </c>
      <c r="P1178" s="18">
        <f t="shared" si="356"/>
        <v>1.8337000000000001</v>
      </c>
      <c r="Q1178" s="29">
        <f t="shared" si="357"/>
        <v>9.3100000000000002E-2</v>
      </c>
      <c r="R1178" s="29">
        <f t="shared" si="358"/>
        <v>1.0500000000000001E-2</v>
      </c>
      <c r="S1178">
        <v>2707000</v>
      </c>
      <c r="T1178" s="18">
        <f>ROUND((S1178/7)/VLOOKUP(EOMONTH(A1178,-1),Employment!A:P,16,FALSE),4)</f>
        <v>1.9371</v>
      </c>
      <c r="U1178" s="18">
        <f t="shared" si="359"/>
        <v>1.899</v>
      </c>
      <c r="V1178" s="29">
        <f t="shared" si="360"/>
        <v>4.9000000000000002E-2</v>
      </c>
      <c r="W1178" s="29">
        <f t="shared" si="361"/>
        <v>-1.1599999999999999E-2</v>
      </c>
      <c r="X1178" s="30">
        <f t="shared" si="362"/>
        <v>129.06</v>
      </c>
      <c r="Y1178" s="31">
        <f t="shared" si="363"/>
        <v>130.34</v>
      </c>
    </row>
    <row r="1179" spans="1:25" ht="15" customHeight="1" x14ac:dyDescent="0.25">
      <c r="A1179" s="5">
        <v>35092</v>
      </c>
      <c r="B1179">
        <v>721.06039999999996</v>
      </c>
      <c r="C1179" s="29">
        <f t="shared" si="367"/>
        <v>5.4000000000000003E-3</v>
      </c>
      <c r="D1179">
        <v>-0.69</v>
      </c>
      <c r="E1179">
        <v>0.374</v>
      </c>
      <c r="F1179" s="18">
        <f t="shared" si="354"/>
        <v>0.39999999999999947</v>
      </c>
      <c r="G1179" s="18">
        <f t="shared" si="355"/>
        <v>0.72399999999999931</v>
      </c>
      <c r="H1179">
        <v>3.16</v>
      </c>
      <c r="I1179">
        <v>1.82</v>
      </c>
      <c r="J1179">
        <f t="shared" si="364"/>
        <v>2.4900000000000002</v>
      </c>
      <c r="K1179" s="6">
        <f t="shared" si="365"/>
        <v>2.4900000000000002</v>
      </c>
      <c r="L1179" s="6">
        <f t="shared" si="366"/>
        <v>0</v>
      </c>
      <c r="M1179">
        <v>4.3798674870626</v>
      </c>
      <c r="N1179">
        <v>367000</v>
      </c>
      <c r="O1179" s="18">
        <f>ROUND(N1179/VLOOKUP(EOMONTH(A1179,-1),Employment!A:P,16,FALSE),4)</f>
        <v>1.8394999999999999</v>
      </c>
      <c r="P1179" s="18">
        <f t="shared" si="356"/>
        <v>1.8220000000000001</v>
      </c>
      <c r="Q1179" s="29">
        <f t="shared" si="357"/>
        <v>9.5200000000000007E-2</v>
      </c>
      <c r="R1179" s="29">
        <f t="shared" si="358"/>
        <v>1.11E-2</v>
      </c>
      <c r="S1179">
        <v>2702000</v>
      </c>
      <c r="T1179" s="18">
        <f>ROUND((S1179/7)/VLOOKUP(EOMONTH(A1179,-1),Employment!A:P,16,FALSE),4)</f>
        <v>1.9348000000000001</v>
      </c>
      <c r="U1179" s="18">
        <f t="shared" si="359"/>
        <v>1.8638999999999999</v>
      </c>
      <c r="V1179" s="29">
        <f t="shared" si="360"/>
        <v>2.6100000000000002E-2</v>
      </c>
      <c r="W1179" s="29">
        <f t="shared" si="361"/>
        <v>2.0999999999999999E-3</v>
      </c>
      <c r="X1179" s="30">
        <f t="shared" si="362"/>
        <v>131.74</v>
      </c>
      <c r="Y1179" s="31">
        <f t="shared" si="363"/>
        <v>130.28</v>
      </c>
    </row>
    <row r="1180" spans="1:25" ht="15" customHeight="1" x14ac:dyDescent="0.25">
      <c r="A1180" s="5">
        <v>35085</v>
      </c>
      <c r="B1180">
        <v>720.2595</v>
      </c>
      <c r="C1180" s="29">
        <f t="shared" si="367"/>
        <v>6.4999999999999997E-3</v>
      </c>
      <c r="D1180">
        <v>-0.67</v>
      </c>
      <c r="E1180">
        <v>0.39900000000000002</v>
      </c>
      <c r="F1180" s="18">
        <f t="shared" si="354"/>
        <v>-0.19200000000000017</v>
      </c>
      <c r="G1180" s="18">
        <f t="shared" si="355"/>
        <v>0.37199999999999944</v>
      </c>
      <c r="H1180">
        <v>3.16</v>
      </c>
      <c r="I1180">
        <v>1.84</v>
      </c>
      <c r="J1180">
        <f t="shared" si="364"/>
        <v>2.5</v>
      </c>
      <c r="K1180" s="6">
        <f t="shared" si="365"/>
        <v>2.4900000000000002</v>
      </c>
      <c r="L1180" s="6">
        <f t="shared" si="366"/>
        <v>1.0000000000000231E-2</v>
      </c>
      <c r="M1180">
        <v>5.7576822636736997</v>
      </c>
      <c r="N1180">
        <v>356750</v>
      </c>
      <c r="O1180" s="18">
        <f>ROUND(N1180/VLOOKUP(EOMONTH(A1180,-1),Employment!A:P,16,FALSE),4)</f>
        <v>1.7881</v>
      </c>
      <c r="P1180" s="18">
        <f t="shared" si="356"/>
        <v>1.8152999999999999</v>
      </c>
      <c r="Q1180" s="29">
        <f t="shared" si="357"/>
        <v>0.10150000000000001</v>
      </c>
      <c r="R1180" s="29">
        <f t="shared" si="358"/>
        <v>5.3E-3</v>
      </c>
      <c r="S1180">
        <v>2549000</v>
      </c>
      <c r="T1180" s="18">
        <f>ROUND((S1180/7)/VLOOKUP(EOMONTH(A1180,-1),Employment!A:P,16,FALSE),4)</f>
        <v>1.8251999999999999</v>
      </c>
      <c r="U1180" s="18">
        <f t="shared" si="359"/>
        <v>1.8448</v>
      </c>
      <c r="V1180" s="29">
        <f t="shared" si="360"/>
        <v>1.4500000000000001E-2</v>
      </c>
      <c r="W1180" s="29">
        <f t="shared" si="361"/>
        <v>1.0999999999999999E-2</v>
      </c>
      <c r="X1180" s="30">
        <f t="shared" si="362"/>
        <v>130.03</v>
      </c>
      <c r="Y1180" s="31">
        <f t="shared" si="363"/>
        <v>128.07</v>
      </c>
    </row>
    <row r="1181" spans="1:25" ht="15" customHeight="1" x14ac:dyDescent="0.25">
      <c r="A1181" s="5">
        <v>35078</v>
      </c>
      <c r="B1181">
        <v>719.90840000000003</v>
      </c>
      <c r="C1181" s="29">
        <f t="shared" si="367"/>
        <v>7.7999999999999996E-3</v>
      </c>
      <c r="D1181">
        <v>-0.65</v>
      </c>
      <c r="E1181">
        <v>0.35</v>
      </c>
      <c r="F1181" s="18">
        <f t="shared" si="354"/>
        <v>0.51600000000000001</v>
      </c>
      <c r="G1181" s="18">
        <f t="shared" si="355"/>
        <v>-0.70399999999999974</v>
      </c>
      <c r="H1181">
        <v>3.16</v>
      </c>
      <c r="I1181">
        <v>1.79</v>
      </c>
      <c r="J1181">
        <f t="shared" si="364"/>
        <v>2.48</v>
      </c>
      <c r="K1181" s="6">
        <f t="shared" si="365"/>
        <v>2.48</v>
      </c>
      <c r="L1181" s="6">
        <f t="shared" si="366"/>
        <v>0</v>
      </c>
      <c r="M1181">
        <v>6.1560283075443998</v>
      </c>
      <c r="N1181">
        <v>366750</v>
      </c>
      <c r="O1181" s="18">
        <f>ROUND(N1181/VLOOKUP(EOMONTH(A1181,-1),Employment!A:P,16,FALSE),4)</f>
        <v>1.8383</v>
      </c>
      <c r="P1181" s="18">
        <f t="shared" si="356"/>
        <v>1.8321000000000001</v>
      </c>
      <c r="Q1181" s="29">
        <f t="shared" si="357"/>
        <v>0.1177</v>
      </c>
      <c r="R1181" s="29">
        <f t="shared" si="358"/>
        <v>4.4000000000000003E-3</v>
      </c>
      <c r="S1181">
        <v>2558000</v>
      </c>
      <c r="T1181" s="18">
        <f>ROUND((S1181/7)/VLOOKUP(EOMONTH(A1181,-1),Employment!A:P,16,FALSE),4)</f>
        <v>1.8315999999999999</v>
      </c>
      <c r="U1181" s="18">
        <f t="shared" si="359"/>
        <v>1.8648</v>
      </c>
      <c r="V1181" s="29">
        <f t="shared" si="360"/>
        <v>1.6E-2</v>
      </c>
      <c r="W1181" s="29">
        <f t="shared" si="361"/>
        <v>1.24E-2</v>
      </c>
      <c r="X1181" s="30">
        <f t="shared" si="362"/>
        <v>127.22999999999999</v>
      </c>
      <c r="Y1181" s="31">
        <f t="shared" si="363"/>
        <v>125.55</v>
      </c>
    </row>
    <row r="1182" spans="1:25" ht="15" customHeight="1" x14ac:dyDescent="0.25">
      <c r="A1182" s="5">
        <v>35071</v>
      </c>
      <c r="B1182">
        <v>715.43380000000002</v>
      </c>
      <c r="C1182" s="29">
        <f t="shared" si="367"/>
        <v>2.2000000000000001E-3</v>
      </c>
      <c r="D1182">
        <v>-0.64</v>
      </c>
      <c r="E1182">
        <v>0.40200000000000002</v>
      </c>
      <c r="F1182" s="18">
        <f t="shared" si="354"/>
        <v>4.7999999999999599E-2</v>
      </c>
      <c r="G1182" s="18">
        <f t="shared" si="355"/>
        <v>-1.4279999999999999</v>
      </c>
      <c r="H1182">
        <v>3.16</v>
      </c>
      <c r="I1182">
        <v>1.81</v>
      </c>
      <c r="J1182">
        <f t="shared" si="364"/>
        <v>2.4900000000000002</v>
      </c>
      <c r="K1182" s="6">
        <f t="shared" si="365"/>
        <v>2.48</v>
      </c>
      <c r="L1182" s="6">
        <f t="shared" si="366"/>
        <v>9.9999999999997868E-3</v>
      </c>
      <c r="M1182">
        <v>7.1986975352469997</v>
      </c>
      <c r="N1182">
        <v>363000</v>
      </c>
      <c r="O1182" s="18">
        <f>ROUND(N1182/VLOOKUP(EOMONTH(A1182,-1),Employment!A:P,16,FALSE),4)</f>
        <v>1.8194999999999999</v>
      </c>
      <c r="P1182" s="18">
        <f t="shared" si="356"/>
        <v>1.8342000000000001</v>
      </c>
      <c r="Q1182" s="29">
        <f t="shared" si="357"/>
        <v>0.11550000000000001</v>
      </c>
      <c r="R1182" s="29">
        <f t="shared" si="358"/>
        <v>8.6E-3</v>
      </c>
      <c r="S1182">
        <v>2622000</v>
      </c>
      <c r="T1182" s="18">
        <f>ROUND((S1182/7)/VLOOKUP(EOMONTH(A1182,-1),Employment!A:P,16,FALSE),4)</f>
        <v>1.8774999999999999</v>
      </c>
      <c r="U1182" s="18">
        <f t="shared" si="359"/>
        <v>1.8823000000000001</v>
      </c>
      <c r="V1182" s="29">
        <f t="shared" si="360"/>
        <v>2.4E-2</v>
      </c>
      <c r="W1182" s="29">
        <f t="shared" si="361"/>
        <v>1.14E-2</v>
      </c>
      <c r="X1182" s="30">
        <f t="shared" si="362"/>
        <v>125.25999999999999</v>
      </c>
      <c r="Y1182" s="31">
        <f t="shared" si="363"/>
        <v>123.57</v>
      </c>
    </row>
    <row r="1183" spans="1:25" ht="15" customHeight="1" x14ac:dyDescent="0.25">
      <c r="A1183" s="5">
        <v>35064</v>
      </c>
      <c r="B1183">
        <v>713.14779999999996</v>
      </c>
      <c r="C1183" s="29">
        <f t="shared" si="367"/>
        <v>-1E-3</v>
      </c>
      <c r="D1183">
        <v>-0.66</v>
      </c>
      <c r="E1183">
        <v>0.433</v>
      </c>
      <c r="F1183" s="18">
        <f t="shared" si="354"/>
        <v>-1.2679999999999993</v>
      </c>
      <c r="G1183" s="18">
        <f t="shared" si="355"/>
        <v>-1.4919999999999995</v>
      </c>
      <c r="H1183">
        <v>3.16</v>
      </c>
      <c r="I1183">
        <v>1.8</v>
      </c>
      <c r="J1183">
        <f t="shared" si="364"/>
        <v>2.48</v>
      </c>
      <c r="K1183" s="6">
        <f t="shared" si="365"/>
        <v>2.4700000000000002</v>
      </c>
      <c r="L1183" s="6">
        <f t="shared" si="366"/>
        <v>0</v>
      </c>
      <c r="M1183">
        <v>6.9188249005616997</v>
      </c>
      <c r="N1183">
        <v>366500</v>
      </c>
      <c r="O1183" s="18">
        <f>ROUND(N1183/VLOOKUP(EOMONTH(A1183,-1),Employment!A:P,16,FALSE),4)</f>
        <v>1.8384</v>
      </c>
      <c r="P1183" s="18">
        <f t="shared" si="356"/>
        <v>1.8451</v>
      </c>
      <c r="Q1183" s="29">
        <f t="shared" si="357"/>
        <v>0.1173</v>
      </c>
      <c r="R1183" s="29">
        <f t="shared" si="358"/>
        <v>8.5000000000000006E-3</v>
      </c>
      <c r="S1183">
        <v>2631000</v>
      </c>
      <c r="T1183" s="18">
        <f>ROUND((S1183/7)/VLOOKUP(EOMONTH(A1183,-1),Employment!A:P,16,FALSE),4)</f>
        <v>1.8854</v>
      </c>
      <c r="U1183" s="18">
        <f t="shared" si="359"/>
        <v>1.883</v>
      </c>
      <c r="V1183" s="29">
        <f t="shared" si="360"/>
        <v>3.1399999999999997E-2</v>
      </c>
      <c r="W1183" s="29">
        <f t="shared" si="361"/>
        <v>4.0000000000000001E-3</v>
      </c>
      <c r="X1183" s="30">
        <f t="shared" si="362"/>
        <v>122.08</v>
      </c>
      <c r="Y1183" s="31">
        <f t="shared" si="363"/>
        <v>122.07</v>
      </c>
    </row>
    <row r="1184" spans="1:25" ht="15" customHeight="1" x14ac:dyDescent="0.25">
      <c r="A1184" s="5">
        <v>35057</v>
      </c>
      <c r="B1184">
        <v>713.89269999999999</v>
      </c>
      <c r="C1184" s="29">
        <f t="shared" si="367"/>
        <v>6.9999999999999999E-4</v>
      </c>
      <c r="D1184">
        <v>-0.69</v>
      </c>
      <c r="E1184">
        <v>0.312</v>
      </c>
      <c r="F1184" s="18">
        <f t="shared" si="354"/>
        <v>-0.20800000000000018</v>
      </c>
      <c r="G1184" s="18">
        <f t="shared" si="355"/>
        <v>-1.2000000000000455E-2</v>
      </c>
      <c r="H1184">
        <v>3.16</v>
      </c>
      <c r="I1184">
        <v>1.78</v>
      </c>
      <c r="J1184">
        <f t="shared" si="364"/>
        <v>2.4700000000000002</v>
      </c>
      <c r="K1184" s="6">
        <f t="shared" si="365"/>
        <v>2.4700000000000002</v>
      </c>
      <c r="L1184" s="6">
        <f t="shared" si="366"/>
        <v>-9.9999999999997868E-3</v>
      </c>
      <c r="M1184">
        <v>5.9124279628028003</v>
      </c>
      <c r="N1184">
        <v>367750</v>
      </c>
      <c r="O1184" s="18">
        <f>ROUND(N1184/VLOOKUP(EOMONTH(A1184,-1),Employment!A:P,16,FALSE),4)</f>
        <v>1.8447</v>
      </c>
      <c r="P1184" s="18">
        <f t="shared" si="356"/>
        <v>1.8596999999999999</v>
      </c>
      <c r="Q1184" s="29">
        <f t="shared" si="357"/>
        <v>0.1227</v>
      </c>
      <c r="R1184" s="29">
        <f t="shared" si="358"/>
        <v>2.7000000000000001E-3</v>
      </c>
      <c r="S1184">
        <v>2629000</v>
      </c>
      <c r="T1184" s="18">
        <f>ROUND((S1184/7)/VLOOKUP(EOMONTH(A1184,-1),Employment!A:P,16,FALSE),4)</f>
        <v>1.8838999999999999</v>
      </c>
      <c r="U1184" s="18">
        <f t="shared" si="359"/>
        <v>1.9023000000000001</v>
      </c>
      <c r="V1184" s="29">
        <f t="shared" si="360"/>
        <v>4.5400000000000003E-2</v>
      </c>
      <c r="W1184" s="29">
        <f t="shared" si="361"/>
        <v>-5.9999999999999995E-4</v>
      </c>
      <c r="X1184" s="30">
        <f t="shared" si="362"/>
        <v>123.03999999999999</v>
      </c>
      <c r="Y1184" s="31">
        <f t="shared" si="363"/>
        <v>120.18</v>
      </c>
    </row>
    <row r="1185" spans="1:25" ht="15" customHeight="1" x14ac:dyDescent="0.25">
      <c r="A1185" s="5">
        <v>35050</v>
      </c>
      <c r="B1185">
        <v>714.83389999999997</v>
      </c>
      <c r="C1185" s="29">
        <f t="shared" si="367"/>
        <v>3.3E-3</v>
      </c>
      <c r="D1185">
        <v>-0.71</v>
      </c>
      <c r="E1185">
        <v>0.311</v>
      </c>
      <c r="F1185" s="18">
        <f t="shared" si="354"/>
        <v>-1.6000000000000014E-2</v>
      </c>
      <c r="G1185" s="18">
        <f t="shared" si="355"/>
        <v>0.54400000000000048</v>
      </c>
      <c r="H1185">
        <v>3.16</v>
      </c>
      <c r="I1185">
        <v>1.77</v>
      </c>
      <c r="J1185">
        <f t="shared" si="364"/>
        <v>2.4700000000000002</v>
      </c>
      <c r="K1185" s="6">
        <f t="shared" si="365"/>
        <v>2.48</v>
      </c>
      <c r="L1185" s="6">
        <f t="shared" si="366"/>
        <v>0</v>
      </c>
      <c r="M1185">
        <v>5.8855100579080997</v>
      </c>
      <c r="N1185">
        <v>369250</v>
      </c>
      <c r="O1185" s="18">
        <f>ROUND(N1185/VLOOKUP(EOMONTH(A1185,-1),Employment!A:P,16,FALSE),4)</f>
        <v>1.8522000000000001</v>
      </c>
      <c r="P1185" s="18">
        <f t="shared" si="356"/>
        <v>1.8752</v>
      </c>
      <c r="Q1185" s="29">
        <f t="shared" si="357"/>
        <v>0.13200000000000001</v>
      </c>
      <c r="R1185" s="29">
        <f t="shared" si="358"/>
        <v>-6.6E-3</v>
      </c>
      <c r="S1185">
        <v>2623000</v>
      </c>
      <c r="T1185" s="18">
        <f>ROUND((S1185/7)/VLOOKUP(EOMONTH(A1185,-1),Employment!A:P,16,FALSE),4)</f>
        <v>1.8795999999999999</v>
      </c>
      <c r="U1185" s="18">
        <f t="shared" si="359"/>
        <v>1.9079999999999999</v>
      </c>
      <c r="V1185" s="29">
        <f t="shared" si="360"/>
        <v>4.5100000000000001E-2</v>
      </c>
      <c r="W1185" s="29">
        <f t="shared" si="361"/>
        <v>-5.0000000000000001E-3</v>
      </c>
      <c r="X1185" s="30">
        <f t="shared" si="362"/>
        <v>119.61</v>
      </c>
      <c r="Y1185" s="31">
        <f t="shared" si="363"/>
        <v>116.5</v>
      </c>
    </row>
    <row r="1186" spans="1:25" ht="15" customHeight="1" x14ac:dyDescent="0.25">
      <c r="A1186" s="5">
        <v>35043</v>
      </c>
      <c r="B1186">
        <v>713.50729999999999</v>
      </c>
      <c r="C1186" s="29">
        <f t="shared" si="367"/>
        <v>2E-3</v>
      </c>
      <c r="D1186">
        <v>-0.73</v>
      </c>
      <c r="E1186">
        <v>0.33400000000000002</v>
      </c>
      <c r="F1186" s="18">
        <f t="shared" si="354"/>
        <v>0.21199999999999974</v>
      </c>
      <c r="G1186" s="18">
        <f t="shared" si="355"/>
        <v>0.69600000000000062</v>
      </c>
      <c r="H1186">
        <v>3.16</v>
      </c>
      <c r="I1186">
        <v>1.76</v>
      </c>
      <c r="J1186">
        <f t="shared" si="364"/>
        <v>2.46</v>
      </c>
      <c r="K1186" s="6">
        <f t="shared" si="365"/>
        <v>2.48</v>
      </c>
      <c r="L1186" s="6">
        <f t="shared" si="366"/>
        <v>0</v>
      </c>
      <c r="M1186">
        <v>5.3382071762281003</v>
      </c>
      <c r="N1186">
        <v>375250</v>
      </c>
      <c r="O1186" s="18">
        <f>ROUND(N1186/VLOOKUP(EOMONTH(A1186,-1),Employment!A:P,16,FALSE),4)</f>
        <v>1.8823000000000001</v>
      </c>
      <c r="P1186" s="18">
        <f t="shared" si="356"/>
        <v>1.8877999999999999</v>
      </c>
      <c r="Q1186" s="29">
        <f t="shared" si="357"/>
        <v>0.1376</v>
      </c>
      <c r="R1186" s="29">
        <f t="shared" si="358"/>
        <v>-1.2999999999999999E-2</v>
      </c>
      <c r="S1186">
        <v>2712000</v>
      </c>
      <c r="T1186" s="18">
        <f>ROUND((S1186/7)/VLOOKUP(EOMONTH(A1186,-1),Employment!A:P,16,FALSE),4)</f>
        <v>1.9434</v>
      </c>
      <c r="U1186" s="18">
        <f t="shared" si="359"/>
        <v>1.9207000000000001</v>
      </c>
      <c r="V1186" s="29">
        <f t="shared" si="360"/>
        <v>4.9700000000000001E-2</v>
      </c>
      <c r="W1186" s="29">
        <f t="shared" si="361"/>
        <v>-5.8999999999999999E-3</v>
      </c>
      <c r="X1186" s="30">
        <f t="shared" si="362"/>
        <v>114.45</v>
      </c>
      <c r="Y1186" s="31">
        <f t="shared" si="363"/>
        <v>114.59</v>
      </c>
    </row>
    <row r="1187" spans="1:25" ht="15" customHeight="1" x14ac:dyDescent="0.25">
      <c r="A1187" s="5">
        <v>35036</v>
      </c>
      <c r="B1187">
        <v>713.27480000000003</v>
      </c>
      <c r="C1187" s="29">
        <f t="shared" si="367"/>
        <v>3.8E-3</v>
      </c>
      <c r="D1187">
        <v>-0.74</v>
      </c>
      <c r="E1187">
        <v>0.373</v>
      </c>
      <c r="F1187" s="18">
        <f t="shared" si="354"/>
        <v>0.34800000000000075</v>
      </c>
      <c r="G1187" s="18">
        <f t="shared" si="355"/>
        <v>1.180000000000001</v>
      </c>
      <c r="H1187">
        <v>3.16</v>
      </c>
      <c r="I1187">
        <v>1.83</v>
      </c>
      <c r="J1187">
        <f t="shared" si="364"/>
        <v>2.5</v>
      </c>
      <c r="K1187" s="6">
        <f t="shared" si="365"/>
        <v>2.48</v>
      </c>
      <c r="L1187" s="6">
        <f t="shared" si="366"/>
        <v>2.0000000000000018E-2</v>
      </c>
      <c r="M1187">
        <v>4.895896611495</v>
      </c>
      <c r="N1187">
        <v>377000</v>
      </c>
      <c r="O1187" s="18">
        <f>ROUND(N1187/VLOOKUP(EOMONTH(A1187,-1),Employment!A:P,16,FALSE),4)</f>
        <v>1.8911</v>
      </c>
      <c r="P1187" s="18">
        <f t="shared" si="356"/>
        <v>1.885</v>
      </c>
      <c r="Q1187" s="29">
        <f t="shared" si="357"/>
        <v>0.13270000000000001</v>
      </c>
      <c r="R1187" s="29">
        <f t="shared" si="358"/>
        <v>-1.6500000000000001E-2</v>
      </c>
      <c r="S1187">
        <v>2653000</v>
      </c>
      <c r="T1187" s="18">
        <f>ROUND((S1187/7)/VLOOKUP(EOMONTH(A1187,-1),Employment!A:P,16,FALSE),4)</f>
        <v>1.9011</v>
      </c>
      <c r="U1187" s="18">
        <f t="shared" si="359"/>
        <v>1.9061999999999999</v>
      </c>
      <c r="V1187" s="29">
        <f t="shared" si="360"/>
        <v>4.0300000000000002E-2</v>
      </c>
      <c r="W1187" s="29">
        <f t="shared" si="361"/>
        <v>-7.9000000000000008E-3</v>
      </c>
      <c r="X1187" s="30">
        <f t="shared" si="362"/>
        <v>113.85</v>
      </c>
      <c r="Y1187" s="31">
        <f t="shared" si="363"/>
        <v>116.1</v>
      </c>
    </row>
    <row r="1188" spans="1:25" ht="15" customHeight="1" x14ac:dyDescent="0.25">
      <c r="A1188" s="5">
        <v>35029</v>
      </c>
      <c r="B1188">
        <v>712.02859999999998</v>
      </c>
      <c r="C1188" s="29">
        <f t="shared" si="367"/>
        <v>5.0000000000000001E-3</v>
      </c>
      <c r="D1188">
        <v>-0.73</v>
      </c>
      <c r="E1188">
        <v>0.40400000000000003</v>
      </c>
      <c r="F1188" s="18">
        <f t="shared" si="354"/>
        <v>0.13600000000000012</v>
      </c>
      <c r="G1188" s="18">
        <f t="shared" si="355"/>
        <v>1.8519999999999994</v>
      </c>
      <c r="H1188">
        <v>3.16</v>
      </c>
      <c r="I1188">
        <v>1.78</v>
      </c>
      <c r="J1188">
        <f t="shared" si="364"/>
        <v>2.4700000000000002</v>
      </c>
      <c r="K1188" s="6">
        <f t="shared" si="365"/>
        <v>2.46</v>
      </c>
      <c r="L1188" s="6">
        <f t="shared" si="366"/>
        <v>9.9999999999997868E-3</v>
      </c>
      <c r="M1188">
        <v>5.2470674248406004</v>
      </c>
      <c r="N1188">
        <v>376500</v>
      </c>
      <c r="O1188" s="18">
        <f>ROUND(N1188/VLOOKUP(EOMONTH(A1188,-1),Employment!A:P,16,FALSE),4)</f>
        <v>1.8900999999999999</v>
      </c>
      <c r="P1188" s="18">
        <f t="shared" si="356"/>
        <v>1.8788</v>
      </c>
      <c r="Q1188" s="29">
        <f t="shared" si="357"/>
        <v>0.12520000000000001</v>
      </c>
      <c r="R1188" s="29">
        <f t="shared" si="358"/>
        <v>-1.6199999999999999E-2</v>
      </c>
      <c r="S1188">
        <v>2674000</v>
      </c>
      <c r="T1188" s="18">
        <f>ROUND((S1188/7)/VLOOKUP(EOMONTH(A1188,-1),Employment!A:P,16,FALSE),4)</f>
        <v>1.9177</v>
      </c>
      <c r="U1188" s="18">
        <f t="shared" si="359"/>
        <v>1.9117</v>
      </c>
      <c r="V1188" s="29">
        <f t="shared" si="360"/>
        <v>4.2599999999999999E-2</v>
      </c>
      <c r="W1188" s="29">
        <f t="shared" si="361"/>
        <v>-1.04E-2</v>
      </c>
      <c r="X1188" s="30">
        <f t="shared" si="362"/>
        <v>116.81</v>
      </c>
      <c r="Y1188" s="31">
        <f t="shared" si="363"/>
        <v>119.52</v>
      </c>
    </row>
    <row r="1189" spans="1:25" ht="15" customHeight="1" x14ac:dyDescent="0.25">
      <c r="A1189" s="5">
        <v>35022</v>
      </c>
      <c r="B1189">
        <v>711.13170000000002</v>
      </c>
      <c r="C1189" s="29">
        <f t="shared" si="367"/>
        <v>6.1000000000000004E-3</v>
      </c>
      <c r="D1189">
        <v>-0.71</v>
      </c>
      <c r="E1189">
        <v>0.39600000000000002</v>
      </c>
      <c r="F1189" s="18">
        <f t="shared" si="354"/>
        <v>0.69600000000000017</v>
      </c>
      <c r="G1189" s="18">
        <f t="shared" si="355"/>
        <v>1.6039999999999992</v>
      </c>
      <c r="H1189">
        <v>3.16</v>
      </c>
      <c r="I1189">
        <v>1.75</v>
      </c>
      <c r="J1189">
        <f t="shared" si="364"/>
        <v>2.46</v>
      </c>
      <c r="K1189" s="6">
        <f t="shared" si="365"/>
        <v>2.4500000000000002</v>
      </c>
      <c r="L1189" s="6">
        <f t="shared" si="366"/>
        <v>1.0000000000000231E-2</v>
      </c>
      <c r="M1189">
        <v>5.2859412550449996</v>
      </c>
      <c r="N1189">
        <v>373250</v>
      </c>
      <c r="O1189" s="18">
        <f>ROUND(N1189/VLOOKUP(EOMONTH(A1189,-1),Employment!A:P,16,FALSE),4)</f>
        <v>1.8737999999999999</v>
      </c>
      <c r="P1189" s="18">
        <f t="shared" si="356"/>
        <v>1.8705000000000001</v>
      </c>
      <c r="Q1189" s="29">
        <f t="shared" si="357"/>
        <v>0.1137</v>
      </c>
      <c r="R1189" s="29">
        <f t="shared" si="358"/>
        <v>-1.12E-2</v>
      </c>
      <c r="S1189">
        <v>2649000</v>
      </c>
      <c r="T1189" s="18">
        <f>ROUND((S1189/7)/VLOOKUP(EOMONTH(A1189,-1),Employment!A:P,16,FALSE),4)</f>
        <v>1.8997999999999999</v>
      </c>
      <c r="U1189" s="18">
        <f t="shared" si="359"/>
        <v>1.9036</v>
      </c>
      <c r="V1189" s="29">
        <f t="shared" si="360"/>
        <v>3.44E-2</v>
      </c>
      <c r="W1189" s="29">
        <f t="shared" si="361"/>
        <v>-1.04E-2</v>
      </c>
      <c r="X1189" s="30">
        <f t="shared" si="362"/>
        <v>119.94</v>
      </c>
      <c r="Y1189" s="31">
        <f t="shared" si="363"/>
        <v>122.55</v>
      </c>
    </row>
    <row r="1190" spans="1:25" ht="15" customHeight="1" x14ac:dyDescent="0.25">
      <c r="A1190" s="5">
        <v>35015</v>
      </c>
      <c r="B1190">
        <v>712.0027</v>
      </c>
      <c r="C1190" s="29">
        <f t="shared" si="367"/>
        <v>1.03E-2</v>
      </c>
      <c r="D1190">
        <v>-0.69</v>
      </c>
      <c r="E1190">
        <v>0.45800000000000002</v>
      </c>
      <c r="F1190" s="18">
        <f t="shared" si="354"/>
        <v>1.0199999999999991</v>
      </c>
      <c r="G1190" s="18">
        <f t="shared" si="355"/>
        <v>1.1879999999999993</v>
      </c>
      <c r="H1190">
        <v>3.16</v>
      </c>
      <c r="I1190">
        <v>1.74</v>
      </c>
      <c r="J1190">
        <f t="shared" si="364"/>
        <v>2.4500000000000002</v>
      </c>
      <c r="K1190" s="6">
        <f t="shared" si="365"/>
        <v>2.44</v>
      </c>
      <c r="L1190" s="6">
        <f t="shared" si="366"/>
        <v>0</v>
      </c>
      <c r="M1190">
        <v>5.0473209832055996</v>
      </c>
      <c r="N1190">
        <v>373000</v>
      </c>
      <c r="O1190" s="18">
        <f>ROUND(N1190/VLOOKUP(EOMONTH(A1190,-1),Employment!A:P,16,FALSE),4)</f>
        <v>1.8726</v>
      </c>
      <c r="P1190" s="18">
        <f t="shared" si="356"/>
        <v>1.8589</v>
      </c>
      <c r="Q1190" s="29">
        <f t="shared" si="357"/>
        <v>0.10150000000000001</v>
      </c>
      <c r="R1190" s="29">
        <f t="shared" si="358"/>
        <v>-2.8E-3</v>
      </c>
      <c r="S1190">
        <v>2674000</v>
      </c>
      <c r="T1190" s="18">
        <f>ROUND((S1190/7)/VLOOKUP(EOMONTH(A1190,-1),Employment!A:P,16,FALSE),4)</f>
        <v>1.9177</v>
      </c>
      <c r="U1190" s="18">
        <f t="shared" si="359"/>
        <v>1.9136</v>
      </c>
      <c r="V1190" s="29">
        <f t="shared" si="360"/>
        <v>2.8400000000000002E-2</v>
      </c>
      <c r="W1190" s="29">
        <f t="shared" si="361"/>
        <v>-1.17E-2</v>
      </c>
      <c r="X1190" s="30">
        <f t="shared" si="362"/>
        <v>125.22</v>
      </c>
      <c r="Y1190" s="31">
        <f t="shared" si="363"/>
        <v>123.16</v>
      </c>
    </row>
    <row r="1191" spans="1:25" ht="15" customHeight="1" x14ac:dyDescent="0.25">
      <c r="A1191" s="5">
        <v>35008</v>
      </c>
      <c r="B1191">
        <v>707.04269999999997</v>
      </c>
      <c r="C1191" s="29">
        <f t="shared" si="367"/>
        <v>3.7000000000000002E-3</v>
      </c>
      <c r="D1191">
        <v>-0.66</v>
      </c>
      <c r="E1191">
        <v>0.54800000000000004</v>
      </c>
      <c r="F1191" s="18">
        <f t="shared" si="354"/>
        <v>-0.1120000000000001</v>
      </c>
      <c r="G1191" s="18">
        <f t="shared" si="355"/>
        <v>0.31200000000000028</v>
      </c>
      <c r="H1191">
        <v>3.16</v>
      </c>
      <c r="I1191">
        <v>1.73</v>
      </c>
      <c r="J1191">
        <f t="shared" si="364"/>
        <v>2.4500000000000002</v>
      </c>
      <c r="K1191" s="6">
        <f t="shared" si="365"/>
        <v>2.44</v>
      </c>
      <c r="L1191" s="6">
        <f t="shared" si="366"/>
        <v>9.9999999999997868E-3</v>
      </c>
      <c r="M1191">
        <v>5.2422263892631999</v>
      </c>
      <c r="N1191">
        <v>371500</v>
      </c>
      <c r="O1191" s="18">
        <f>ROUND(N1191/VLOOKUP(EOMONTH(A1191,-1),Employment!A:P,16,FALSE),4)</f>
        <v>1.865</v>
      </c>
      <c r="P1191" s="18">
        <f t="shared" si="356"/>
        <v>1.8423</v>
      </c>
      <c r="Q1191" s="29">
        <f t="shared" si="357"/>
        <v>8.9399999999999993E-2</v>
      </c>
      <c r="R1191" s="29">
        <f t="shared" si="358"/>
        <v>2.5999999999999999E-3</v>
      </c>
      <c r="S1191">
        <v>2640000</v>
      </c>
      <c r="T1191" s="18">
        <f>ROUND((S1191/7)/VLOOKUP(EOMONTH(A1191,-1),Employment!A:P,16,FALSE),4)</f>
        <v>1.8934</v>
      </c>
      <c r="U1191" s="18">
        <f t="shared" si="359"/>
        <v>1.9087000000000001</v>
      </c>
      <c r="V1191" s="29">
        <f t="shared" si="360"/>
        <v>2.2200000000000001E-2</v>
      </c>
      <c r="W1191" s="29">
        <f t="shared" si="361"/>
        <v>-1.03E-2</v>
      </c>
      <c r="X1191" s="30">
        <f t="shared" si="362"/>
        <v>122.38</v>
      </c>
      <c r="Y1191" s="31">
        <f t="shared" si="363"/>
        <v>120</v>
      </c>
    </row>
    <row r="1192" spans="1:25" ht="15" customHeight="1" x14ac:dyDescent="0.25">
      <c r="A1192" s="5">
        <v>35001</v>
      </c>
      <c r="B1192">
        <v>703.79250000000002</v>
      </c>
      <c r="C1192" s="29">
        <f t="shared" si="367"/>
        <v>-2.3999999999999998E-3</v>
      </c>
      <c r="D1192">
        <v>-0.64</v>
      </c>
      <c r="E1192">
        <v>0.50900000000000001</v>
      </c>
      <c r="F1192" s="18">
        <f t="shared" si="354"/>
        <v>0.28000000000000025</v>
      </c>
      <c r="G1192" s="18">
        <f t="shared" si="355"/>
        <v>0.70399999999999974</v>
      </c>
      <c r="H1192">
        <v>3.16</v>
      </c>
      <c r="I1192">
        <v>1.7</v>
      </c>
      <c r="J1192">
        <f t="shared" si="364"/>
        <v>2.4300000000000002</v>
      </c>
      <c r="K1192" s="6">
        <f t="shared" si="365"/>
        <v>2.4300000000000002</v>
      </c>
      <c r="L1192" s="6">
        <f t="shared" si="366"/>
        <v>0</v>
      </c>
      <c r="M1192">
        <v>5.4759883917431997</v>
      </c>
      <c r="N1192">
        <v>366000</v>
      </c>
      <c r="O1192" s="18">
        <f>ROUND(N1192/VLOOKUP(EOMONTH(A1192,-1),Employment!A:P,16,FALSE),4)</f>
        <v>1.8391</v>
      </c>
      <c r="P1192" s="18">
        <f t="shared" si="356"/>
        <v>1.8311999999999999</v>
      </c>
      <c r="Q1192" s="29">
        <f t="shared" si="357"/>
        <v>8.6599999999999996E-2</v>
      </c>
      <c r="R1192" s="29">
        <f t="shared" si="358"/>
        <v>2.0000000000000001E-4</v>
      </c>
      <c r="S1192">
        <v>2688000</v>
      </c>
      <c r="T1192" s="18">
        <f>ROUND((S1192/7)/VLOOKUP(EOMONTH(A1192,-1),Employment!A:P,16,FALSE),4)</f>
        <v>1.9296</v>
      </c>
      <c r="U1192" s="18">
        <f t="shared" si="359"/>
        <v>1.9017999999999999</v>
      </c>
      <c r="V1192" s="29">
        <f t="shared" si="360"/>
        <v>1.2800000000000001E-2</v>
      </c>
      <c r="W1192" s="29">
        <f t="shared" si="361"/>
        <v>-9.4999999999999998E-3</v>
      </c>
      <c r="X1192" s="30">
        <f t="shared" si="362"/>
        <v>119.97999999999999</v>
      </c>
      <c r="Y1192" s="31">
        <f t="shared" si="363"/>
        <v>115.35</v>
      </c>
    </row>
    <row r="1193" spans="1:25" ht="15" customHeight="1" x14ac:dyDescent="0.25">
      <c r="A1193" s="5">
        <v>34994</v>
      </c>
      <c r="B1193">
        <v>704.53219999999999</v>
      </c>
      <c r="C1193" s="29">
        <f t="shared" si="367"/>
        <v>-1.5E-3</v>
      </c>
      <c r="D1193">
        <v>-0.62</v>
      </c>
      <c r="E1193">
        <v>0.51900000000000002</v>
      </c>
      <c r="F1193" s="18">
        <f t="shared" si="354"/>
        <v>0.14400000000000013</v>
      </c>
      <c r="G1193" s="18">
        <f t="shared" si="355"/>
        <v>-4.3999999999999595E-2</v>
      </c>
      <c r="H1193">
        <v>3.16</v>
      </c>
      <c r="I1193">
        <v>1.69</v>
      </c>
      <c r="J1193">
        <f t="shared" si="364"/>
        <v>2.4300000000000002</v>
      </c>
      <c r="K1193" s="6">
        <f t="shared" si="365"/>
        <v>2.4300000000000002</v>
      </c>
      <c r="L1193" s="6">
        <f t="shared" si="366"/>
        <v>-9.9999999999997868E-3</v>
      </c>
      <c r="M1193">
        <v>5.9229010686467003</v>
      </c>
      <c r="N1193">
        <v>362750</v>
      </c>
      <c r="O1193" s="18">
        <f>ROUND(N1193/VLOOKUP(EOMONTH(A1193,-1),Employment!A:P,16,FALSE),4)</f>
        <v>1.8228</v>
      </c>
      <c r="P1193" s="18">
        <f t="shared" si="356"/>
        <v>1.8273999999999999</v>
      </c>
      <c r="Q1193" s="29">
        <f t="shared" si="357"/>
        <v>9.0899999999999995E-2</v>
      </c>
      <c r="R1193" s="29">
        <f t="shared" si="358"/>
        <v>-7.6E-3</v>
      </c>
      <c r="S1193">
        <v>2651000</v>
      </c>
      <c r="T1193" s="18">
        <f>ROUND((S1193/7)/VLOOKUP(EOMONTH(A1193,-1),Employment!A:P,16,FALSE),4)</f>
        <v>1.903</v>
      </c>
      <c r="U1193" s="18">
        <f t="shared" si="359"/>
        <v>1.887</v>
      </c>
      <c r="V1193" s="29">
        <f t="shared" si="360"/>
        <v>7.4000000000000003E-3</v>
      </c>
      <c r="W1193" s="29">
        <f t="shared" si="361"/>
        <v>-7.7999999999999996E-3</v>
      </c>
      <c r="X1193" s="30">
        <f t="shared" si="362"/>
        <v>114.08</v>
      </c>
      <c r="Y1193" s="31">
        <f t="shared" si="363"/>
        <v>110.06</v>
      </c>
    </row>
    <row r="1194" spans="1:25" ht="15" customHeight="1" x14ac:dyDescent="0.25">
      <c r="A1194" s="5">
        <v>34987</v>
      </c>
      <c r="B1194">
        <v>703.60320000000002</v>
      </c>
      <c r="C1194" s="29">
        <f t="shared" si="367"/>
        <v>-3.7000000000000002E-3</v>
      </c>
      <c r="D1194">
        <v>-0.62</v>
      </c>
      <c r="E1194">
        <v>0.53700000000000003</v>
      </c>
      <c r="F1194" s="18">
        <f t="shared" si="354"/>
        <v>0.27999999999999936</v>
      </c>
      <c r="G1194" s="18">
        <f t="shared" si="355"/>
        <v>-0.58800000000000008</v>
      </c>
      <c r="H1194">
        <v>3.16</v>
      </c>
      <c r="I1194">
        <v>1.7</v>
      </c>
      <c r="J1194">
        <f t="shared" si="364"/>
        <v>2.4300000000000002</v>
      </c>
      <c r="K1194" s="6">
        <f t="shared" si="365"/>
        <v>2.44</v>
      </c>
      <c r="L1194" s="6">
        <f t="shared" si="366"/>
        <v>0</v>
      </c>
      <c r="M1194">
        <v>6.0048919393173996</v>
      </c>
      <c r="N1194">
        <v>364500</v>
      </c>
      <c r="O1194" s="18">
        <f>ROUND(N1194/VLOOKUP(EOMONTH(A1194,-1),Employment!A:P,16,FALSE),4)</f>
        <v>1.8315999999999999</v>
      </c>
      <c r="P1194" s="18">
        <f t="shared" si="356"/>
        <v>1.8290999999999999</v>
      </c>
      <c r="Q1194" s="29">
        <f t="shared" si="357"/>
        <v>9.4700000000000006E-2</v>
      </c>
      <c r="R1194" s="29">
        <f t="shared" si="358"/>
        <v>-1.46E-2</v>
      </c>
      <c r="S1194">
        <v>2609000</v>
      </c>
      <c r="T1194" s="18">
        <f>ROUND((S1194/7)/VLOOKUP(EOMONTH(A1194,-1),Employment!A:P,16,FALSE),4)</f>
        <v>1.8729</v>
      </c>
      <c r="U1194" s="18">
        <f t="shared" si="359"/>
        <v>1.8868</v>
      </c>
      <c r="V1194" s="29">
        <f t="shared" si="360"/>
        <v>-2.5999999999999999E-3</v>
      </c>
      <c r="W1194" s="29">
        <f t="shared" si="361"/>
        <v>-8.3000000000000001E-3</v>
      </c>
      <c r="X1194" s="30">
        <f t="shared" si="362"/>
        <v>106.93</v>
      </c>
      <c r="Y1194" s="31">
        <f t="shared" si="363"/>
        <v>108.96</v>
      </c>
    </row>
    <row r="1195" spans="1:25" ht="15" customHeight="1" x14ac:dyDescent="0.25">
      <c r="A1195" s="5">
        <v>34980</v>
      </c>
      <c r="B1195">
        <v>705.77430000000004</v>
      </c>
      <c r="C1195" s="29">
        <f t="shared" si="367"/>
        <v>8.9999999999999998E-4</v>
      </c>
      <c r="D1195">
        <v>-0.62</v>
      </c>
      <c r="E1195">
        <v>0.57199999999999995</v>
      </c>
      <c r="F1195" s="18">
        <f t="shared" si="354"/>
        <v>-0.46799999999999908</v>
      </c>
      <c r="G1195" s="18">
        <f t="shared" si="355"/>
        <v>-0.71199999999999974</v>
      </c>
      <c r="H1195">
        <v>3.16</v>
      </c>
      <c r="I1195">
        <v>1.72</v>
      </c>
      <c r="J1195">
        <f t="shared" si="364"/>
        <v>2.44</v>
      </c>
      <c r="K1195" s="6">
        <f t="shared" si="365"/>
        <v>2.44</v>
      </c>
      <c r="L1195" s="6">
        <f t="shared" si="366"/>
        <v>-1.0000000000000231E-2</v>
      </c>
      <c r="M1195">
        <v>6.2907325650962003</v>
      </c>
      <c r="N1195">
        <v>363750</v>
      </c>
      <c r="O1195" s="18">
        <f>ROUND(N1195/VLOOKUP(EOMONTH(A1195,-1),Employment!A:P,16,FALSE),4)</f>
        <v>1.8278000000000001</v>
      </c>
      <c r="P1195" s="18">
        <f t="shared" si="356"/>
        <v>1.831</v>
      </c>
      <c r="Q1195" s="29">
        <f t="shared" si="357"/>
        <v>9.1300000000000006E-2</v>
      </c>
      <c r="R1195" s="29">
        <f t="shared" si="358"/>
        <v>-1.6500000000000001E-2</v>
      </c>
      <c r="S1195">
        <v>2626000</v>
      </c>
      <c r="T1195" s="18">
        <f>ROUND((S1195/7)/VLOOKUP(EOMONTH(A1195,-1),Employment!A:P,16,FALSE),4)</f>
        <v>1.8851</v>
      </c>
      <c r="U1195" s="18">
        <f t="shared" si="359"/>
        <v>1.8938999999999999</v>
      </c>
      <c r="V1195" s="29">
        <f t="shared" si="360"/>
        <v>-3.8E-3</v>
      </c>
      <c r="W1195" s="29">
        <f t="shared" si="361"/>
        <v>-8.0999999999999996E-3</v>
      </c>
      <c r="X1195" s="30">
        <f t="shared" si="362"/>
        <v>107.83</v>
      </c>
      <c r="Y1195" s="31">
        <f t="shared" si="363"/>
        <v>113.64</v>
      </c>
    </row>
    <row r="1196" spans="1:25" ht="15" customHeight="1" x14ac:dyDescent="0.25">
      <c r="A1196" s="5">
        <v>34973</v>
      </c>
      <c r="B1196">
        <v>708.06399999999996</v>
      </c>
      <c r="C1196" s="29">
        <f t="shared" si="367"/>
        <v>6.1999999999999998E-3</v>
      </c>
      <c r="D1196">
        <v>-0.63</v>
      </c>
      <c r="E1196">
        <v>0.52600000000000002</v>
      </c>
      <c r="F1196" s="18">
        <f t="shared" si="354"/>
        <v>-0.40000000000000036</v>
      </c>
      <c r="G1196" s="18">
        <f t="shared" si="355"/>
        <v>0.24399999999999888</v>
      </c>
      <c r="H1196">
        <v>3.16</v>
      </c>
      <c r="I1196">
        <v>1.71</v>
      </c>
      <c r="J1196">
        <f t="shared" si="364"/>
        <v>2.44</v>
      </c>
      <c r="K1196" s="6">
        <f t="shared" si="365"/>
        <v>2.4500000000000002</v>
      </c>
      <c r="L1196" s="6">
        <f t="shared" si="366"/>
        <v>0</v>
      </c>
      <c r="M1196">
        <v>6.4136188712341999</v>
      </c>
      <c r="N1196">
        <v>363750</v>
      </c>
      <c r="O1196" s="18">
        <f>ROUND(N1196/VLOOKUP(EOMONTH(A1196,-1),Employment!A:P,16,FALSE),4)</f>
        <v>1.8278000000000001</v>
      </c>
      <c r="P1196" s="18">
        <f t="shared" si="356"/>
        <v>1.8283</v>
      </c>
      <c r="Q1196" s="29">
        <f t="shared" si="357"/>
        <v>8.1100000000000005E-2</v>
      </c>
      <c r="R1196" s="29">
        <f t="shared" si="358"/>
        <v>-1.23E-2</v>
      </c>
      <c r="S1196">
        <v>2650000</v>
      </c>
      <c r="T1196" s="18">
        <f>ROUND((S1196/7)/VLOOKUP(EOMONTH(A1196,-1),Employment!A:P,16,FALSE),4)</f>
        <v>1.9023000000000001</v>
      </c>
      <c r="U1196" s="18">
        <f t="shared" si="359"/>
        <v>1.8914</v>
      </c>
      <c r="V1196" s="29">
        <f t="shared" si="360"/>
        <v>-1.0999999999999999E-2</v>
      </c>
      <c r="W1196" s="29">
        <f t="shared" si="361"/>
        <v>-5.4999999999999997E-3</v>
      </c>
      <c r="X1196" s="30">
        <f t="shared" si="362"/>
        <v>116.85</v>
      </c>
      <c r="Y1196" s="31">
        <f t="shared" si="363"/>
        <v>119.85</v>
      </c>
    </row>
    <row r="1197" spans="1:25" ht="15" customHeight="1" x14ac:dyDescent="0.25">
      <c r="A1197" s="5">
        <v>34966</v>
      </c>
      <c r="B1197">
        <v>704.91359999999997</v>
      </c>
      <c r="C1197" s="29">
        <f t="shared" si="367"/>
        <v>2.3999999999999998E-3</v>
      </c>
      <c r="D1197">
        <v>-0.65</v>
      </c>
      <c r="E1197">
        <v>0.501</v>
      </c>
      <c r="F1197" s="18">
        <f t="shared" si="354"/>
        <v>0.15599999999999969</v>
      </c>
      <c r="G1197" s="18">
        <f t="shared" si="355"/>
        <v>0.39599999999999902</v>
      </c>
      <c r="H1197">
        <v>3.16</v>
      </c>
      <c r="I1197">
        <v>1.72</v>
      </c>
      <c r="J1197">
        <f t="shared" si="364"/>
        <v>2.44</v>
      </c>
      <c r="K1197" s="6">
        <f t="shared" si="365"/>
        <v>2.4500000000000002</v>
      </c>
      <c r="L1197" s="6">
        <f t="shared" si="366"/>
        <v>-9.9999999999997868E-3</v>
      </c>
      <c r="M1197">
        <v>5.3821262657410998</v>
      </c>
      <c r="N1197">
        <v>365250</v>
      </c>
      <c r="O1197" s="18">
        <f>ROUND(N1197/VLOOKUP(EOMONTH(A1197,-1),Employment!A:P,16,FALSE),4)</f>
        <v>1.8372999999999999</v>
      </c>
      <c r="P1197" s="18">
        <f t="shared" si="356"/>
        <v>1.8180000000000001</v>
      </c>
      <c r="Q1197" s="29">
        <f t="shared" si="357"/>
        <v>6.8000000000000005E-2</v>
      </c>
      <c r="R1197" s="29">
        <f t="shared" si="358"/>
        <v>-4.4000000000000003E-3</v>
      </c>
      <c r="S1197">
        <v>2636000</v>
      </c>
      <c r="T1197" s="18">
        <f>ROUND((S1197/7)/VLOOKUP(EOMONTH(A1197,-1),Employment!A:P,16,FALSE),4)</f>
        <v>1.8942000000000001</v>
      </c>
      <c r="U1197" s="18">
        <f t="shared" si="359"/>
        <v>1.8825000000000001</v>
      </c>
      <c r="V1197" s="29">
        <f t="shared" si="360"/>
        <v>-1.72E-2</v>
      </c>
      <c r="W1197" s="29">
        <f t="shared" si="361"/>
        <v>-2E-3</v>
      </c>
      <c r="X1197" s="30">
        <f t="shared" si="362"/>
        <v>120.13</v>
      </c>
      <c r="Y1197" s="31">
        <f t="shared" si="363"/>
        <v>123.52</v>
      </c>
    </row>
    <row r="1198" spans="1:25" ht="15" customHeight="1" x14ac:dyDescent="0.25">
      <c r="A1198" s="5">
        <v>34959</v>
      </c>
      <c r="B1198">
        <v>706.05759999999998</v>
      </c>
      <c r="C1198" s="29">
        <f t="shared" si="367"/>
        <v>4.8999999999999998E-3</v>
      </c>
      <c r="D1198">
        <v>-0.66</v>
      </c>
      <c r="E1198">
        <v>0.53300000000000003</v>
      </c>
      <c r="F1198" s="18">
        <f t="shared" si="354"/>
        <v>0.48799999999999955</v>
      </c>
      <c r="G1198" s="18">
        <f t="shared" si="355"/>
        <v>0.5519999999999996</v>
      </c>
      <c r="H1198">
        <v>3.16</v>
      </c>
      <c r="I1198">
        <v>1.77</v>
      </c>
      <c r="J1198">
        <f t="shared" si="364"/>
        <v>2.4700000000000002</v>
      </c>
      <c r="K1198" s="6">
        <f t="shared" si="365"/>
        <v>2.46</v>
      </c>
      <c r="L1198" s="6">
        <f t="shared" si="366"/>
        <v>0</v>
      </c>
      <c r="M1198">
        <v>4.6813292520917003</v>
      </c>
      <c r="N1198">
        <v>361750</v>
      </c>
      <c r="O1198" s="18">
        <f>ROUND(N1198/VLOOKUP(EOMONTH(A1198,-1),Employment!A:P,16,FALSE),4)</f>
        <v>1.8197000000000001</v>
      </c>
      <c r="P1198" s="18">
        <f t="shared" si="356"/>
        <v>1.8028999999999999</v>
      </c>
      <c r="Q1198" s="29">
        <f t="shared" si="357"/>
        <v>5.7000000000000002E-2</v>
      </c>
      <c r="R1198" s="29">
        <f t="shared" si="358"/>
        <v>4.4999999999999997E-3</v>
      </c>
      <c r="S1198">
        <v>2613000</v>
      </c>
      <c r="T1198" s="18">
        <f>ROUND((S1198/7)/VLOOKUP(EOMONTH(A1198,-1),Employment!A:P,16,FALSE),4)</f>
        <v>1.8776999999999999</v>
      </c>
      <c r="U1198" s="18">
        <f t="shared" si="359"/>
        <v>1.8774</v>
      </c>
      <c r="V1198" s="29">
        <f t="shared" si="360"/>
        <v>-2.3099999999999999E-2</v>
      </c>
      <c r="W1198" s="29">
        <f t="shared" si="361"/>
        <v>-1.1999999999999999E-3</v>
      </c>
      <c r="X1198" s="30">
        <f t="shared" si="362"/>
        <v>126.66</v>
      </c>
      <c r="Y1198" s="31">
        <f t="shared" si="363"/>
        <v>125.69</v>
      </c>
    </row>
    <row r="1199" spans="1:25" ht="15" customHeight="1" x14ac:dyDescent="0.25">
      <c r="A1199" s="5">
        <v>34952</v>
      </c>
      <c r="B1199">
        <v>701.54870000000005</v>
      </c>
      <c r="C1199" s="29">
        <f t="shared" si="367"/>
        <v>-2E-3</v>
      </c>
      <c r="D1199">
        <v>-0.66</v>
      </c>
      <c r="E1199">
        <v>0.59399999999999997</v>
      </c>
      <c r="F1199" s="18">
        <f t="shared" si="354"/>
        <v>-0.24800000000000022</v>
      </c>
      <c r="G1199" s="18">
        <f t="shared" si="355"/>
        <v>8.4000000000000519E-2</v>
      </c>
      <c r="H1199">
        <v>3.16</v>
      </c>
      <c r="I1199">
        <v>1.74</v>
      </c>
      <c r="J1199">
        <f t="shared" si="364"/>
        <v>2.4500000000000002</v>
      </c>
      <c r="K1199" s="6">
        <f t="shared" si="365"/>
        <v>2.46</v>
      </c>
      <c r="L1199" s="6">
        <f t="shared" si="366"/>
        <v>9.9999999999997868E-3</v>
      </c>
      <c r="M1199">
        <v>3.9681833108756002</v>
      </c>
      <c r="N1199">
        <v>357250</v>
      </c>
      <c r="O1199" s="18">
        <f>ROUND(N1199/VLOOKUP(EOMONTH(A1199,-1),Employment!A:P,16,FALSE),4)</f>
        <v>1.7969999999999999</v>
      </c>
      <c r="P1199" s="18">
        <f t="shared" si="356"/>
        <v>1.7908999999999999</v>
      </c>
      <c r="Q1199" s="29">
        <f t="shared" si="357"/>
        <v>5.1200000000000002E-2</v>
      </c>
      <c r="R1199" s="29">
        <f t="shared" si="358"/>
        <v>0.01</v>
      </c>
      <c r="S1199">
        <v>2610000</v>
      </c>
      <c r="T1199" s="18">
        <f>ROUND((S1199/7)/VLOOKUP(EOMONTH(A1199,-1),Employment!A:P,16,FALSE),4)</f>
        <v>1.8754999999999999</v>
      </c>
      <c r="U1199" s="18">
        <f t="shared" si="359"/>
        <v>1.8777999999999999</v>
      </c>
      <c r="V1199" s="29">
        <f t="shared" si="360"/>
        <v>-2.24E-2</v>
      </c>
      <c r="W1199" s="29">
        <f t="shared" si="361"/>
        <v>0</v>
      </c>
      <c r="X1199" s="30">
        <f t="shared" si="362"/>
        <v>124.17</v>
      </c>
      <c r="Y1199" s="31">
        <f t="shared" si="363"/>
        <v>125.46</v>
      </c>
    </row>
    <row r="1200" spans="1:25" ht="15" customHeight="1" x14ac:dyDescent="0.25">
      <c r="A1200" s="5">
        <v>34945</v>
      </c>
      <c r="B1200">
        <v>702.23580000000004</v>
      </c>
      <c r="C1200" s="29">
        <f t="shared" si="367"/>
        <v>2.9999999999999997E-4</v>
      </c>
      <c r="D1200">
        <v>-0.66</v>
      </c>
      <c r="E1200">
        <v>0.56299999999999994</v>
      </c>
      <c r="F1200" s="18">
        <f t="shared" si="354"/>
        <v>0.31200000000000028</v>
      </c>
      <c r="G1200" s="18">
        <f t="shared" si="355"/>
        <v>0.80800000000000072</v>
      </c>
      <c r="H1200">
        <v>3.16</v>
      </c>
      <c r="I1200">
        <v>1.76</v>
      </c>
      <c r="J1200">
        <f t="shared" si="364"/>
        <v>2.46</v>
      </c>
      <c r="K1200" s="6">
        <f t="shared" si="365"/>
        <v>2.4500000000000002</v>
      </c>
      <c r="L1200" s="6">
        <f t="shared" si="366"/>
        <v>1.0000000000000231E-2</v>
      </c>
      <c r="M1200">
        <v>3.2093973849441002</v>
      </c>
      <c r="N1200">
        <v>356250</v>
      </c>
      <c r="O1200" s="18">
        <f>ROUND(N1200/VLOOKUP(EOMONTH(A1200,-1),Employment!A:P,16,FALSE),4)</f>
        <v>1.792</v>
      </c>
      <c r="P1200" s="18">
        <f t="shared" si="356"/>
        <v>1.7981</v>
      </c>
      <c r="Q1200" s="29">
        <f t="shared" si="357"/>
        <v>5.4100000000000002E-2</v>
      </c>
      <c r="R1200" s="29">
        <f t="shared" si="358"/>
        <v>1.03E-2</v>
      </c>
      <c r="S1200">
        <v>2615000</v>
      </c>
      <c r="T1200" s="18">
        <f>ROUND((S1200/7)/VLOOKUP(EOMONTH(A1200,-1),Employment!A:P,16,FALSE),4)</f>
        <v>1.8791</v>
      </c>
      <c r="U1200" s="18">
        <f t="shared" si="359"/>
        <v>1.8740000000000001</v>
      </c>
      <c r="V1200" s="29">
        <f t="shared" si="360"/>
        <v>-2.4199999999999999E-2</v>
      </c>
      <c r="W1200" s="29">
        <f t="shared" si="361"/>
        <v>1.8E-3</v>
      </c>
      <c r="X1200" s="30">
        <f t="shared" si="362"/>
        <v>127.06</v>
      </c>
      <c r="Y1200" s="31">
        <f t="shared" si="363"/>
        <v>124.74</v>
      </c>
    </row>
    <row r="1201" spans="1:25" ht="15" customHeight="1" x14ac:dyDescent="0.25">
      <c r="A1201" s="5">
        <v>34938</v>
      </c>
      <c r="B1201">
        <v>703.12710000000004</v>
      </c>
      <c r="C1201" s="29">
        <f t="shared" si="367"/>
        <v>3.5999999999999999E-3</v>
      </c>
      <c r="D1201">
        <v>-0.66</v>
      </c>
      <c r="E1201">
        <v>0.60199999999999998</v>
      </c>
      <c r="F1201" s="18">
        <f t="shared" si="354"/>
        <v>2.0000000000000462E-2</v>
      </c>
      <c r="G1201" s="18">
        <f t="shared" si="355"/>
        <v>0.68400000000000105</v>
      </c>
      <c r="H1201">
        <v>3.16</v>
      </c>
      <c r="I1201">
        <v>1.75</v>
      </c>
      <c r="J1201">
        <f t="shared" si="364"/>
        <v>2.46</v>
      </c>
      <c r="K1201" s="6">
        <f t="shared" si="365"/>
        <v>2.44</v>
      </c>
      <c r="L1201" s="6">
        <f t="shared" si="366"/>
        <v>9.9999999999997868E-3</v>
      </c>
      <c r="M1201">
        <v>2.9786288005073001</v>
      </c>
      <c r="N1201">
        <v>354250</v>
      </c>
      <c r="O1201" s="18">
        <f>ROUND(N1201/VLOOKUP(EOMONTH(A1201,-1),Employment!A:P,16,FALSE),4)</f>
        <v>1.7836000000000001</v>
      </c>
      <c r="P1201" s="18">
        <f t="shared" si="356"/>
        <v>1.8222</v>
      </c>
      <c r="Q1201" s="29">
        <f t="shared" si="357"/>
        <v>6.0299999999999999E-2</v>
      </c>
      <c r="R1201" s="29">
        <f t="shared" si="358"/>
        <v>5.8999999999999999E-3</v>
      </c>
      <c r="S1201">
        <v>2612000</v>
      </c>
      <c r="T1201" s="18">
        <f>ROUND((S1201/7)/VLOOKUP(EOMONTH(A1201,-1),Employment!A:P,16,FALSE),4)</f>
        <v>1.8787</v>
      </c>
      <c r="U1201" s="18">
        <f t="shared" si="359"/>
        <v>1.8673999999999999</v>
      </c>
      <c r="V1201" s="29">
        <f t="shared" si="360"/>
        <v>-2.3900000000000001E-2</v>
      </c>
      <c r="W1201" s="29">
        <f t="shared" si="361"/>
        <v>3.3999999999999998E-3</v>
      </c>
      <c r="X1201" s="30">
        <f t="shared" si="362"/>
        <v>124.71000000000001</v>
      </c>
      <c r="Y1201" s="31">
        <f t="shared" si="363"/>
        <v>120.6</v>
      </c>
    </row>
    <row r="1202" spans="1:25" ht="15" customHeight="1" x14ac:dyDescent="0.25">
      <c r="A1202" s="5">
        <v>34931</v>
      </c>
      <c r="B1202">
        <v>703.52940000000001</v>
      </c>
      <c r="C1202" s="29">
        <f t="shared" si="367"/>
        <v>6.4999999999999997E-3</v>
      </c>
      <c r="D1202">
        <v>-0.65</v>
      </c>
      <c r="E1202">
        <v>0.59199999999999997</v>
      </c>
      <c r="F1202" s="18">
        <f t="shared" si="354"/>
        <v>0.47599999999999998</v>
      </c>
      <c r="G1202" s="18">
        <f t="shared" si="355"/>
        <v>3.6000000000000476E-2</v>
      </c>
      <c r="H1202">
        <v>3.16</v>
      </c>
      <c r="I1202">
        <v>1.68</v>
      </c>
      <c r="J1202">
        <f t="shared" si="364"/>
        <v>2.42</v>
      </c>
      <c r="K1202" s="6">
        <f t="shared" si="365"/>
        <v>2.4300000000000002</v>
      </c>
      <c r="L1202" s="6">
        <f t="shared" si="366"/>
        <v>-9.9999999999997868E-3</v>
      </c>
      <c r="M1202">
        <v>2.9970919839726</v>
      </c>
      <c r="N1202">
        <v>361250</v>
      </c>
      <c r="O1202" s="18">
        <f>ROUND(N1202/VLOOKUP(EOMONTH(A1202,-1),Employment!A:P,16,FALSE),4)</f>
        <v>1.8188</v>
      </c>
      <c r="P1202" s="18">
        <f t="shared" si="356"/>
        <v>1.8579000000000001</v>
      </c>
      <c r="Q1202" s="29">
        <f t="shared" si="357"/>
        <v>7.0199999999999999E-2</v>
      </c>
      <c r="R1202" s="29">
        <f t="shared" si="358"/>
        <v>-8.9999999999999998E-4</v>
      </c>
      <c r="S1202">
        <v>2592000</v>
      </c>
      <c r="T1202" s="18">
        <f>ROUND((S1202/7)/VLOOKUP(EOMONTH(A1202,-1),Employment!A:P,16,FALSE),4)</f>
        <v>1.8643000000000001</v>
      </c>
      <c r="U1202" s="18">
        <f t="shared" si="359"/>
        <v>1.8657999999999999</v>
      </c>
      <c r="V1202" s="29">
        <f t="shared" si="360"/>
        <v>-2.6100000000000002E-2</v>
      </c>
      <c r="W1202" s="29">
        <f t="shared" si="361"/>
        <v>-1E-4</v>
      </c>
      <c r="X1202" s="30">
        <f t="shared" si="362"/>
        <v>119.03</v>
      </c>
      <c r="Y1202" s="31">
        <f t="shared" si="363"/>
        <v>116.23</v>
      </c>
    </row>
    <row r="1203" spans="1:25" ht="15" customHeight="1" x14ac:dyDescent="0.25">
      <c r="A1203" s="5">
        <v>34924</v>
      </c>
      <c r="B1203">
        <v>702.90899999999999</v>
      </c>
      <c r="C1203" s="29">
        <f t="shared" si="367"/>
        <v>7.6E-3</v>
      </c>
      <c r="D1203">
        <v>-0.64</v>
      </c>
      <c r="E1203">
        <v>0.63900000000000001</v>
      </c>
      <c r="F1203" s="18">
        <f t="shared" si="354"/>
        <v>0.18800000000000061</v>
      </c>
      <c r="G1203" s="18">
        <f t="shared" si="355"/>
        <v>-0.6039999999999992</v>
      </c>
      <c r="H1203">
        <v>3.16</v>
      </c>
      <c r="I1203">
        <v>1.71</v>
      </c>
      <c r="J1203">
        <f t="shared" si="364"/>
        <v>2.44</v>
      </c>
      <c r="K1203" s="6">
        <f t="shared" si="365"/>
        <v>2.44</v>
      </c>
      <c r="L1203" s="6">
        <f t="shared" si="366"/>
        <v>0</v>
      </c>
      <c r="M1203">
        <v>3.1634885434386</v>
      </c>
      <c r="N1203">
        <v>370250</v>
      </c>
      <c r="O1203" s="18">
        <f>ROUND(N1203/VLOOKUP(EOMONTH(A1203,-1),Employment!A:P,16,FALSE),4)</f>
        <v>1.8642000000000001</v>
      </c>
      <c r="P1203" s="18">
        <f t="shared" si="356"/>
        <v>1.8839999999999999</v>
      </c>
      <c r="Q1203" s="29">
        <f t="shared" si="357"/>
        <v>7.7299999999999994E-2</v>
      </c>
      <c r="R1203" s="29">
        <f t="shared" si="358"/>
        <v>-3.5000000000000001E-3</v>
      </c>
      <c r="S1203">
        <v>2585000</v>
      </c>
      <c r="T1203" s="18">
        <f>ROUND((S1203/7)/VLOOKUP(EOMONTH(A1203,-1),Employment!A:P,16,FALSE),4)</f>
        <v>1.8593</v>
      </c>
      <c r="U1203" s="18">
        <f t="shared" si="359"/>
        <v>1.8867</v>
      </c>
      <c r="V1203" s="29">
        <f t="shared" si="360"/>
        <v>-1.9900000000000001E-2</v>
      </c>
      <c r="W1203" s="29">
        <f t="shared" si="361"/>
        <v>-7.4000000000000003E-3</v>
      </c>
      <c r="X1203" s="30">
        <f t="shared" si="362"/>
        <v>114.25</v>
      </c>
      <c r="Y1203" s="31">
        <f t="shared" si="363"/>
        <v>115.04</v>
      </c>
    </row>
    <row r="1204" spans="1:25" ht="15" customHeight="1" x14ac:dyDescent="0.25">
      <c r="A1204" s="5">
        <v>34917</v>
      </c>
      <c r="B1204">
        <v>698.54719999999998</v>
      </c>
      <c r="C1204" s="29">
        <f t="shared" si="367"/>
        <v>3.7000000000000002E-3</v>
      </c>
      <c r="D1204">
        <v>-0.63</v>
      </c>
      <c r="E1204">
        <v>0.65</v>
      </c>
      <c r="F1204" s="18">
        <f t="shared" si="354"/>
        <v>-0.62800000000000011</v>
      </c>
      <c r="G1204" s="18">
        <f t="shared" si="355"/>
        <v>0.13999999999999968</v>
      </c>
      <c r="H1204">
        <v>3.16</v>
      </c>
      <c r="I1204">
        <v>1.7</v>
      </c>
      <c r="J1204">
        <f t="shared" si="364"/>
        <v>2.4300000000000002</v>
      </c>
      <c r="K1204" s="6">
        <f t="shared" si="365"/>
        <v>2.44</v>
      </c>
      <c r="L1204" s="6">
        <f t="shared" si="366"/>
        <v>-1.0000000000000231E-2</v>
      </c>
      <c r="M1204">
        <v>2.7990942238444001</v>
      </c>
      <c r="N1204">
        <v>375500</v>
      </c>
      <c r="O1204" s="18">
        <f>ROUND(N1204/VLOOKUP(EOMONTH(A1204,-1),Employment!A:P,16,FALSE),4)</f>
        <v>1.8906000000000001</v>
      </c>
      <c r="P1204" s="18">
        <f t="shared" si="356"/>
        <v>1.8815999999999999</v>
      </c>
      <c r="Q1204" s="29">
        <f t="shared" si="357"/>
        <v>7.5399999999999995E-2</v>
      </c>
      <c r="R1204" s="29">
        <f t="shared" si="358"/>
        <v>-2.3999999999999998E-3</v>
      </c>
      <c r="S1204">
        <v>2605000</v>
      </c>
      <c r="T1204" s="18">
        <f>ROUND((S1204/7)/VLOOKUP(EOMONTH(A1204,-1),Employment!A:P,16,FALSE),4)</f>
        <v>1.8736999999999999</v>
      </c>
      <c r="U1204" s="18">
        <f t="shared" si="359"/>
        <v>1.903</v>
      </c>
      <c r="V1204" s="29">
        <f t="shared" si="360"/>
        <v>-1.72E-2</v>
      </c>
      <c r="W1204" s="29">
        <f t="shared" si="361"/>
        <v>-1.24E-2</v>
      </c>
      <c r="X1204" s="30">
        <f t="shared" si="362"/>
        <v>114.15</v>
      </c>
      <c r="Y1204" s="31">
        <f t="shared" si="363"/>
        <v>117.05</v>
      </c>
    </row>
    <row r="1205" spans="1:25" ht="15" customHeight="1" x14ac:dyDescent="0.25">
      <c r="A1205" s="5">
        <v>34910</v>
      </c>
      <c r="B1205">
        <v>697.41819999999996</v>
      </c>
      <c r="C1205" s="29">
        <f t="shared" si="367"/>
        <v>4.3E-3</v>
      </c>
      <c r="D1205">
        <v>-0.62</v>
      </c>
      <c r="E1205">
        <v>0.55900000000000005</v>
      </c>
      <c r="F1205" s="18">
        <f t="shared" si="354"/>
        <v>-0.1639999999999997</v>
      </c>
      <c r="G1205" s="18">
        <f t="shared" si="355"/>
        <v>0.96799999999999997</v>
      </c>
      <c r="H1205">
        <v>3.16</v>
      </c>
      <c r="I1205">
        <v>1.71</v>
      </c>
      <c r="J1205">
        <f t="shared" si="364"/>
        <v>2.44</v>
      </c>
      <c r="K1205" s="6">
        <f t="shared" si="365"/>
        <v>2.4500000000000002</v>
      </c>
      <c r="L1205" s="6">
        <f t="shared" si="366"/>
        <v>-2.0000000000000018E-2</v>
      </c>
      <c r="M1205">
        <v>3.1121812224603</v>
      </c>
      <c r="N1205">
        <v>376500</v>
      </c>
      <c r="O1205" s="18">
        <f>ROUND(N1205/VLOOKUP(EOMONTH(A1205,-1),Employment!A:P,16,FALSE),4)</f>
        <v>1.8972</v>
      </c>
      <c r="P1205" s="18">
        <f t="shared" si="356"/>
        <v>1.8656999999999999</v>
      </c>
      <c r="Q1205" s="29">
        <f t="shared" si="357"/>
        <v>7.2499999999999995E-2</v>
      </c>
      <c r="R1205" s="29">
        <f t="shared" si="358"/>
        <v>-8.9999999999999998E-4</v>
      </c>
      <c r="S1205">
        <v>2677000</v>
      </c>
      <c r="T1205" s="18">
        <f>ROUND((S1205/7)/VLOOKUP(EOMONTH(A1205,-1),Employment!A:P,16,FALSE),4)</f>
        <v>1.927</v>
      </c>
      <c r="U1205" s="18">
        <f t="shared" si="359"/>
        <v>1.9013</v>
      </c>
      <c r="V1205" s="29">
        <f t="shared" si="360"/>
        <v>-2.1000000000000001E-2</v>
      </c>
      <c r="W1205" s="29">
        <f t="shared" si="361"/>
        <v>-1.2699999999999999E-2</v>
      </c>
      <c r="X1205" s="30">
        <f t="shared" si="362"/>
        <v>119.22</v>
      </c>
      <c r="Y1205" s="31">
        <f t="shared" si="363"/>
        <v>118.04</v>
      </c>
    </row>
    <row r="1206" spans="1:25" ht="15" customHeight="1" x14ac:dyDescent="0.25">
      <c r="A1206" s="5">
        <v>34903</v>
      </c>
      <c r="B1206">
        <v>697.05970000000002</v>
      </c>
      <c r="C1206" s="29">
        <f t="shared" si="367"/>
        <v>6.6E-3</v>
      </c>
      <c r="D1206">
        <v>-0.61</v>
      </c>
      <c r="E1206">
        <v>0.52600000000000002</v>
      </c>
      <c r="F1206" s="18">
        <f t="shared" si="354"/>
        <v>0.9319999999999995</v>
      </c>
      <c r="G1206" s="18">
        <f t="shared" si="355"/>
        <v>0.64799999999999969</v>
      </c>
      <c r="H1206">
        <v>3.16</v>
      </c>
      <c r="I1206">
        <v>1.74</v>
      </c>
      <c r="J1206">
        <f t="shared" si="364"/>
        <v>2.4500000000000002</v>
      </c>
      <c r="K1206" s="6">
        <f t="shared" si="365"/>
        <v>2.4700000000000002</v>
      </c>
      <c r="L1206" s="6">
        <f t="shared" si="366"/>
        <v>0</v>
      </c>
      <c r="M1206">
        <v>3.1530737871175001</v>
      </c>
      <c r="N1206">
        <v>368500</v>
      </c>
      <c r="O1206" s="18">
        <f>ROUND(N1206/VLOOKUP(EOMONTH(A1206,-1),Employment!A:P,16,FALSE),4)</f>
        <v>1.8569</v>
      </c>
      <c r="P1206" s="18">
        <f t="shared" si="356"/>
        <v>1.8454999999999999</v>
      </c>
      <c r="Q1206" s="29">
        <f t="shared" si="357"/>
        <v>6.8699999999999997E-2</v>
      </c>
      <c r="R1206" s="29">
        <f t="shared" si="358"/>
        <v>-3.0999999999999999E-3</v>
      </c>
      <c r="S1206">
        <v>2651000</v>
      </c>
      <c r="T1206" s="18">
        <f>ROUND((S1206/7)/VLOOKUP(EOMONTH(A1206,-1),Employment!A:P,16,FALSE),4)</f>
        <v>1.9083000000000001</v>
      </c>
      <c r="U1206" s="18">
        <f t="shared" si="359"/>
        <v>1.8834</v>
      </c>
      <c r="V1206" s="29">
        <f t="shared" si="360"/>
        <v>-3.1099999999999999E-2</v>
      </c>
      <c r="W1206" s="29">
        <f t="shared" si="361"/>
        <v>-1.09E-2</v>
      </c>
      <c r="X1206" s="30">
        <f t="shared" si="362"/>
        <v>118.87</v>
      </c>
      <c r="Y1206" s="31">
        <f t="shared" si="363"/>
        <v>113.88</v>
      </c>
    </row>
    <row r="1207" spans="1:25" ht="15" customHeight="1" x14ac:dyDescent="0.25">
      <c r="A1207" s="5">
        <v>34896</v>
      </c>
      <c r="B1207">
        <v>697.32079999999996</v>
      </c>
      <c r="C1207" s="29">
        <f t="shared" si="367"/>
        <v>1.0200000000000001E-2</v>
      </c>
      <c r="D1207">
        <v>-0.6</v>
      </c>
      <c r="E1207">
        <v>0.63</v>
      </c>
      <c r="F1207" s="18">
        <f t="shared" si="354"/>
        <v>0.20000000000000018</v>
      </c>
      <c r="G1207" s="18">
        <f t="shared" si="355"/>
        <v>-0.29199999999999982</v>
      </c>
      <c r="H1207">
        <v>3.16</v>
      </c>
      <c r="I1207">
        <v>1.77</v>
      </c>
      <c r="J1207">
        <f t="shared" si="364"/>
        <v>2.4700000000000002</v>
      </c>
      <c r="K1207" s="6">
        <f t="shared" si="365"/>
        <v>2.4700000000000002</v>
      </c>
      <c r="L1207" s="6">
        <f t="shared" si="366"/>
        <v>0</v>
      </c>
      <c r="M1207">
        <v>3.0123762399011</v>
      </c>
      <c r="N1207">
        <v>365750</v>
      </c>
      <c r="O1207" s="18">
        <f>ROUND(N1207/VLOOKUP(EOMONTH(A1207,-1),Employment!A:P,16,FALSE),4)</f>
        <v>1.843</v>
      </c>
      <c r="P1207" s="18">
        <f t="shared" si="356"/>
        <v>1.8416999999999999</v>
      </c>
      <c r="Q1207" s="29">
        <f t="shared" si="357"/>
        <v>7.0400000000000004E-2</v>
      </c>
      <c r="R1207" s="29">
        <f t="shared" si="358"/>
        <v>-0.01</v>
      </c>
      <c r="S1207">
        <v>2596000</v>
      </c>
      <c r="T1207" s="18">
        <f>ROUND((S1207/7)/VLOOKUP(EOMONTH(A1207,-1),Employment!A:P,16,FALSE),4)</f>
        <v>1.8687</v>
      </c>
      <c r="U1207" s="18">
        <f t="shared" si="359"/>
        <v>1.8718999999999999</v>
      </c>
      <c r="V1207" s="29">
        <f t="shared" si="360"/>
        <v>-4.0300000000000002E-2</v>
      </c>
      <c r="W1207" s="29">
        <f t="shared" si="361"/>
        <v>-8.5000000000000006E-3</v>
      </c>
      <c r="X1207" s="30">
        <f t="shared" si="362"/>
        <v>112.99000000000001</v>
      </c>
      <c r="Y1207" s="31">
        <f t="shared" si="363"/>
        <v>107.51</v>
      </c>
    </row>
    <row r="1208" spans="1:25" ht="15" customHeight="1" x14ac:dyDescent="0.25">
      <c r="A1208" s="5">
        <v>34889</v>
      </c>
      <c r="B1208">
        <v>691.96960000000001</v>
      </c>
      <c r="C1208" s="29">
        <f t="shared" si="367"/>
        <v>4.0000000000000001E-3</v>
      </c>
      <c r="D1208">
        <v>-0.6</v>
      </c>
      <c r="E1208">
        <v>0.65500000000000003</v>
      </c>
      <c r="F1208" s="18">
        <f t="shared" si="354"/>
        <v>-0.48399999999999999</v>
      </c>
      <c r="G1208" s="18">
        <f t="shared" si="355"/>
        <v>-1.2759999999999998</v>
      </c>
      <c r="H1208">
        <v>3.16</v>
      </c>
      <c r="I1208">
        <v>1.8</v>
      </c>
      <c r="J1208">
        <f t="shared" si="364"/>
        <v>2.48</v>
      </c>
      <c r="K1208" s="6">
        <f t="shared" si="365"/>
        <v>2.4700000000000002</v>
      </c>
      <c r="L1208" s="6">
        <f t="shared" si="366"/>
        <v>1.0000000000000231E-2</v>
      </c>
      <c r="M1208">
        <v>3.9044023283524001</v>
      </c>
      <c r="N1208">
        <v>364500</v>
      </c>
      <c r="O1208" s="18">
        <f>ROUND(N1208/VLOOKUP(EOMONTH(A1208,-1),Employment!A:P,16,FALSE),4)</f>
        <v>1.8367</v>
      </c>
      <c r="P1208" s="18">
        <f t="shared" si="356"/>
        <v>1.8498000000000001</v>
      </c>
      <c r="Q1208" s="29">
        <f t="shared" si="357"/>
        <v>7.0900000000000005E-2</v>
      </c>
      <c r="R1208" s="29">
        <f t="shared" si="358"/>
        <v>-1.66E-2</v>
      </c>
      <c r="S1208">
        <v>2602000</v>
      </c>
      <c r="T1208" s="18">
        <f>ROUND((S1208/7)/VLOOKUP(EOMONTH(A1208,-1),Employment!A:P,16,FALSE),4)</f>
        <v>1.8731</v>
      </c>
      <c r="U1208" s="18">
        <f t="shared" si="359"/>
        <v>1.8767</v>
      </c>
      <c r="V1208" s="29">
        <f t="shared" si="360"/>
        <v>-4.8000000000000001E-2</v>
      </c>
      <c r="W1208" s="29">
        <f t="shared" si="361"/>
        <v>-8.3999999999999995E-3</v>
      </c>
      <c r="X1208" s="30">
        <f t="shared" si="362"/>
        <v>103.65</v>
      </c>
      <c r="Y1208" s="31">
        <f t="shared" si="363"/>
        <v>103.47</v>
      </c>
    </row>
    <row r="1209" spans="1:25" ht="15" customHeight="1" x14ac:dyDescent="0.25">
      <c r="A1209" s="5">
        <v>34882</v>
      </c>
      <c r="B1209">
        <v>691.29010000000005</v>
      </c>
      <c r="C1209" s="29">
        <f t="shared" si="367"/>
        <v>4.5999999999999999E-3</v>
      </c>
      <c r="D1209">
        <v>-0.61</v>
      </c>
      <c r="E1209">
        <v>0.60699999999999998</v>
      </c>
      <c r="F1209" s="18">
        <f t="shared" si="354"/>
        <v>-8.0000000000000071E-3</v>
      </c>
      <c r="G1209" s="18">
        <f t="shared" si="355"/>
        <v>-1.1000000000000005</v>
      </c>
      <c r="H1209">
        <v>3.16</v>
      </c>
      <c r="I1209">
        <v>1.74</v>
      </c>
      <c r="J1209">
        <f t="shared" si="364"/>
        <v>2.4500000000000002</v>
      </c>
      <c r="K1209" s="6">
        <f t="shared" si="365"/>
        <v>2.46</v>
      </c>
      <c r="L1209" s="6">
        <f t="shared" si="366"/>
        <v>2.0000000000000018E-2</v>
      </c>
      <c r="M1209">
        <v>4.2912327146485003</v>
      </c>
      <c r="N1209">
        <v>366250</v>
      </c>
      <c r="O1209" s="18">
        <f>ROUND(N1209/VLOOKUP(EOMONTH(A1209,-1),Employment!A:P,16,FALSE),4)</f>
        <v>1.8454999999999999</v>
      </c>
      <c r="P1209" s="18">
        <f t="shared" si="356"/>
        <v>1.8595999999999999</v>
      </c>
      <c r="Q1209" s="29">
        <f t="shared" si="357"/>
        <v>6.6000000000000003E-2</v>
      </c>
      <c r="R1209" s="29">
        <f t="shared" si="358"/>
        <v>-1.9699999999999999E-2</v>
      </c>
      <c r="S1209">
        <v>2603000</v>
      </c>
      <c r="T1209" s="18">
        <f>ROUND((S1209/7)/VLOOKUP(EOMONTH(A1209,-1),Employment!A:P,16,FALSE),4)</f>
        <v>1.8737999999999999</v>
      </c>
      <c r="U1209" s="18">
        <f t="shared" si="359"/>
        <v>1.8787</v>
      </c>
      <c r="V1209" s="29">
        <f t="shared" si="360"/>
        <v>-5.3400000000000003E-2</v>
      </c>
      <c r="W1209" s="29">
        <f t="shared" si="361"/>
        <v>-8.0000000000000002E-3</v>
      </c>
      <c r="X1209" s="30">
        <f t="shared" si="362"/>
        <v>103.45</v>
      </c>
      <c r="Y1209" s="31">
        <f t="shared" si="363"/>
        <v>104.7</v>
      </c>
    </row>
    <row r="1210" spans="1:25" ht="15" customHeight="1" x14ac:dyDescent="0.25">
      <c r="A1210" s="5">
        <v>34875</v>
      </c>
      <c r="B1210">
        <v>689.30150000000003</v>
      </c>
      <c r="C1210" s="29">
        <f t="shared" si="367"/>
        <v>3.0000000000000001E-3</v>
      </c>
      <c r="D1210">
        <v>-0.63</v>
      </c>
      <c r="E1210">
        <v>0.63100000000000001</v>
      </c>
      <c r="F1210" s="18">
        <f t="shared" si="354"/>
        <v>-0.78399999999999981</v>
      </c>
      <c r="G1210" s="18">
        <f t="shared" si="355"/>
        <v>-1.588000000000001</v>
      </c>
      <c r="H1210">
        <v>3.16</v>
      </c>
      <c r="I1210">
        <v>1.78</v>
      </c>
      <c r="J1210">
        <f t="shared" si="364"/>
        <v>2.4700000000000002</v>
      </c>
      <c r="K1210" s="6">
        <f t="shared" si="365"/>
        <v>2.44</v>
      </c>
      <c r="L1210" s="6">
        <f t="shared" si="366"/>
        <v>9.9999999999997868E-3</v>
      </c>
      <c r="M1210">
        <v>4.1248200031359001</v>
      </c>
      <c r="N1210">
        <v>370250</v>
      </c>
      <c r="O1210" s="18">
        <f>ROUND(N1210/VLOOKUP(EOMONTH(A1210,-1),Employment!A:P,16,FALSE),4)</f>
        <v>1.8673</v>
      </c>
      <c r="P1210" s="18">
        <f t="shared" si="356"/>
        <v>1.8660000000000001</v>
      </c>
      <c r="Q1210" s="29">
        <f t="shared" si="357"/>
        <v>5.6500000000000002E-2</v>
      </c>
      <c r="R1210" s="29">
        <f t="shared" si="358"/>
        <v>-1.61E-2</v>
      </c>
      <c r="S1210">
        <v>2614000</v>
      </c>
      <c r="T1210" s="18">
        <f>ROUND((S1210/7)/VLOOKUP(EOMONTH(A1210,-1),Employment!A:P,16,FALSE),4)</f>
        <v>1.8833</v>
      </c>
      <c r="U1210" s="18">
        <f t="shared" si="359"/>
        <v>1.8723000000000001</v>
      </c>
      <c r="V1210" s="29">
        <f t="shared" si="360"/>
        <v>-6.0299999999999999E-2</v>
      </c>
      <c r="W1210" s="29">
        <f t="shared" si="361"/>
        <v>-1.0500000000000001E-2</v>
      </c>
      <c r="X1210" s="30">
        <f t="shared" si="362"/>
        <v>103.05</v>
      </c>
      <c r="Y1210" s="31">
        <f t="shared" si="363"/>
        <v>109.18</v>
      </c>
    </row>
    <row r="1211" spans="1:25" ht="15" customHeight="1" x14ac:dyDescent="0.25">
      <c r="A1211" s="5">
        <v>34868</v>
      </c>
      <c r="B1211">
        <v>688.47209999999995</v>
      </c>
      <c r="C1211" s="29">
        <f t="shared" si="367"/>
        <v>2.5000000000000001E-3</v>
      </c>
      <c r="D1211">
        <v>-0.65</v>
      </c>
      <c r="E1211">
        <v>0.55800000000000005</v>
      </c>
      <c r="F1211" s="18">
        <f t="shared" si="354"/>
        <v>-0.30800000000000072</v>
      </c>
      <c r="G1211" s="18">
        <f t="shared" si="355"/>
        <v>-0.1880000000000015</v>
      </c>
      <c r="H1211">
        <v>3.16</v>
      </c>
      <c r="I1211">
        <v>1.76</v>
      </c>
      <c r="J1211">
        <f t="shared" si="364"/>
        <v>2.46</v>
      </c>
      <c r="K1211" s="6">
        <f t="shared" si="365"/>
        <v>2.4300000000000002</v>
      </c>
      <c r="L1211" s="6">
        <f t="shared" si="366"/>
        <v>2.0000000000000018E-2</v>
      </c>
      <c r="M1211">
        <v>3.7646756871681002</v>
      </c>
      <c r="N1211">
        <v>370000</v>
      </c>
      <c r="O1211" s="18">
        <f>ROUND(N1211/VLOOKUP(EOMONTH(A1211,-1),Employment!A:P,16,FALSE),4)</f>
        <v>1.8660000000000001</v>
      </c>
      <c r="P1211" s="18">
        <f t="shared" si="356"/>
        <v>1.8660000000000001</v>
      </c>
      <c r="Q1211" s="29">
        <f t="shared" si="357"/>
        <v>3.9300000000000002E-2</v>
      </c>
      <c r="R1211" s="29">
        <f t="shared" si="358"/>
        <v>-9.1999999999999998E-3</v>
      </c>
      <c r="S1211">
        <v>2608000</v>
      </c>
      <c r="T1211" s="18">
        <f>ROUND((S1211/7)/VLOOKUP(EOMONTH(A1211,-1),Employment!A:P,16,FALSE),4)</f>
        <v>1.879</v>
      </c>
      <c r="U1211" s="18">
        <f t="shared" si="359"/>
        <v>1.8727</v>
      </c>
      <c r="V1211" s="29">
        <f t="shared" si="360"/>
        <v>-6.1400000000000003E-2</v>
      </c>
      <c r="W1211" s="29">
        <f t="shared" si="361"/>
        <v>-7.4999999999999997E-3</v>
      </c>
      <c r="X1211" s="30">
        <f t="shared" si="362"/>
        <v>111.97</v>
      </c>
      <c r="Y1211" s="31">
        <f t="shared" si="363"/>
        <v>115.69</v>
      </c>
    </row>
    <row r="1212" spans="1:25" ht="15" customHeight="1" x14ac:dyDescent="0.25">
      <c r="A1212" s="5">
        <v>34861</v>
      </c>
      <c r="B1212">
        <v>687.88779999999997</v>
      </c>
      <c r="C1212" s="29">
        <f t="shared" si="367"/>
        <v>3.5000000000000001E-3</v>
      </c>
      <c r="D1212">
        <v>-0.66</v>
      </c>
      <c r="E1212">
        <v>0.53200000000000003</v>
      </c>
      <c r="F1212" s="18">
        <f t="shared" si="354"/>
        <v>-0.49600000000000044</v>
      </c>
      <c r="G1212" s="18">
        <f t="shared" si="355"/>
        <v>0.3879999999999999</v>
      </c>
      <c r="H1212">
        <v>3.16</v>
      </c>
      <c r="I1212">
        <v>1.62</v>
      </c>
      <c r="J1212">
        <f t="shared" si="364"/>
        <v>2.39</v>
      </c>
      <c r="K1212" s="6">
        <f t="shared" si="365"/>
        <v>2.41</v>
      </c>
      <c r="L1212" s="6">
        <f t="shared" si="366"/>
        <v>1.0000000000000231E-2</v>
      </c>
      <c r="M1212">
        <v>3.4520959894168999</v>
      </c>
      <c r="N1212">
        <v>369750</v>
      </c>
      <c r="O1212" s="18">
        <f>ROUND(N1212/VLOOKUP(EOMONTH(A1212,-1),Employment!A:P,16,FALSE),4)</f>
        <v>1.8647</v>
      </c>
      <c r="P1212" s="18">
        <f t="shared" si="356"/>
        <v>1.8631</v>
      </c>
      <c r="Q1212" s="29">
        <f t="shared" si="357"/>
        <v>2.6700000000000002E-2</v>
      </c>
      <c r="R1212" s="29">
        <f t="shared" si="358"/>
        <v>-5.0000000000000001E-3</v>
      </c>
      <c r="S1212">
        <v>2574000</v>
      </c>
      <c r="T1212" s="18">
        <f>ROUND((S1212/7)/VLOOKUP(EOMONTH(A1212,-1),Employment!A:P,16,FALSE),4)</f>
        <v>1.8545</v>
      </c>
      <c r="U1212" s="18">
        <f t="shared" si="359"/>
        <v>1.8633</v>
      </c>
      <c r="V1212" s="29">
        <f t="shared" si="360"/>
        <v>-7.22E-2</v>
      </c>
      <c r="W1212" s="29">
        <f t="shared" si="361"/>
        <v>-3.0999999999999999E-3</v>
      </c>
      <c r="X1212" s="30">
        <f t="shared" si="362"/>
        <v>117.50999999999999</v>
      </c>
      <c r="Y1212" s="31">
        <f t="shared" si="363"/>
        <v>118.79</v>
      </c>
    </row>
    <row r="1213" spans="1:25" ht="15" customHeight="1" x14ac:dyDescent="0.25">
      <c r="A1213" s="5">
        <v>34854</v>
      </c>
      <c r="B1213">
        <v>686.86649999999997</v>
      </c>
      <c r="C1213" s="29">
        <f t="shared" si="367"/>
        <v>4.4000000000000003E-3</v>
      </c>
      <c r="D1213">
        <v>-0.68</v>
      </c>
      <c r="E1213">
        <v>0.495</v>
      </c>
      <c r="F1213" s="18">
        <f t="shared" si="354"/>
        <v>0.61599999999999966</v>
      </c>
      <c r="G1213" s="18">
        <f t="shared" si="355"/>
        <v>1.1120000000000001</v>
      </c>
      <c r="H1213">
        <v>3.16</v>
      </c>
      <c r="I1213">
        <v>1.71</v>
      </c>
      <c r="J1213">
        <f t="shared" si="364"/>
        <v>2.44</v>
      </c>
      <c r="K1213" s="6">
        <f t="shared" si="365"/>
        <v>2.4</v>
      </c>
      <c r="L1213" s="6">
        <f t="shared" si="366"/>
        <v>2.9999999999999805E-2</v>
      </c>
      <c r="M1213">
        <v>2.4735043168646</v>
      </c>
      <c r="N1213">
        <v>370250</v>
      </c>
      <c r="O1213" s="18">
        <f>ROUND(N1213/VLOOKUP(EOMONTH(A1213,-1),Employment!A:P,16,FALSE),4)</f>
        <v>1.8673</v>
      </c>
      <c r="P1213" s="18">
        <f t="shared" si="356"/>
        <v>1.8488</v>
      </c>
      <c r="Q1213" s="29">
        <f t="shared" si="357"/>
        <v>1.95E-2</v>
      </c>
      <c r="R1213" s="29">
        <f t="shared" si="358"/>
        <v>-4.7999999999999996E-3</v>
      </c>
      <c r="S1213">
        <v>2616000</v>
      </c>
      <c r="T1213" s="18">
        <f>ROUND((S1213/7)/VLOOKUP(EOMONTH(A1213,-1),Employment!A:P,16,FALSE),4)</f>
        <v>1.8847</v>
      </c>
      <c r="U1213" s="18">
        <f t="shared" si="359"/>
        <v>1.8543000000000001</v>
      </c>
      <c r="V1213" s="29">
        <f t="shared" si="360"/>
        <v>-7.6700000000000004E-2</v>
      </c>
      <c r="W1213" s="29">
        <f t="shared" si="361"/>
        <v>1.8E-3</v>
      </c>
      <c r="X1213" s="30">
        <f t="shared" si="362"/>
        <v>120.45</v>
      </c>
      <c r="Y1213" s="31">
        <f t="shared" si="363"/>
        <v>119.35</v>
      </c>
    </row>
    <row r="1214" spans="1:25" ht="15" customHeight="1" x14ac:dyDescent="0.25">
      <c r="A1214" s="5">
        <v>34847</v>
      </c>
      <c r="B1214">
        <v>685.60659999999996</v>
      </c>
      <c r="C1214" s="29">
        <f t="shared" si="367"/>
        <v>6.0000000000000001E-3</v>
      </c>
      <c r="D1214">
        <v>-0.68</v>
      </c>
      <c r="E1214">
        <v>0.57199999999999995</v>
      </c>
      <c r="F1214" s="18">
        <f t="shared" si="354"/>
        <v>0.26800000000000068</v>
      </c>
      <c r="G1214" s="18">
        <f t="shared" si="355"/>
        <v>0.79600000000000115</v>
      </c>
      <c r="H1214">
        <v>3.16</v>
      </c>
      <c r="I1214">
        <v>1.63</v>
      </c>
      <c r="J1214">
        <f t="shared" si="364"/>
        <v>2.4</v>
      </c>
      <c r="K1214" s="6">
        <f t="shared" si="365"/>
        <v>2.37</v>
      </c>
      <c r="L1214" s="6">
        <f t="shared" si="366"/>
        <v>1.0000000000000231E-2</v>
      </c>
      <c r="M1214">
        <v>2.2197613893191002</v>
      </c>
      <c r="N1214">
        <v>368000</v>
      </c>
      <c r="O1214" s="18">
        <f>ROUND(N1214/VLOOKUP(EOMONTH(A1214,-1),Employment!A:P,16,FALSE),4)</f>
        <v>1.8572</v>
      </c>
      <c r="P1214" s="18">
        <f t="shared" si="356"/>
        <v>1.829</v>
      </c>
      <c r="Q1214" s="29">
        <f t="shared" si="357"/>
        <v>1.6899999999999998E-2</v>
      </c>
      <c r="R1214" s="29">
        <f t="shared" si="358"/>
        <v>-7.9000000000000008E-3</v>
      </c>
      <c r="S1214">
        <v>2567000</v>
      </c>
      <c r="T1214" s="18">
        <f>ROUND((S1214/7)/VLOOKUP(EOMONTH(A1214,-1),Employment!A:P,16,FALSE),4)</f>
        <v>1.8507</v>
      </c>
      <c r="U1214" s="18">
        <f t="shared" si="359"/>
        <v>1.8363</v>
      </c>
      <c r="V1214" s="29">
        <f t="shared" si="360"/>
        <v>-8.6199999999999999E-2</v>
      </c>
      <c r="W1214" s="29">
        <f t="shared" si="361"/>
        <v>-3.0000000000000001E-3</v>
      </c>
      <c r="X1214" s="30">
        <f t="shared" si="362"/>
        <v>117.86</v>
      </c>
      <c r="Y1214" s="31">
        <f t="shared" si="363"/>
        <v>119.57</v>
      </c>
    </row>
    <row r="1215" spans="1:25" ht="15" customHeight="1" x14ac:dyDescent="0.25">
      <c r="A1215" s="5">
        <v>34840</v>
      </c>
      <c r="B1215">
        <v>686.63350000000003</v>
      </c>
      <c r="C1215" s="29">
        <f t="shared" si="367"/>
        <v>1.1299999999999999E-2</v>
      </c>
      <c r="D1215">
        <v>-0.67</v>
      </c>
      <c r="E1215">
        <v>0.59299999999999997</v>
      </c>
      <c r="F1215" s="18">
        <f t="shared" si="354"/>
        <v>0.22799999999999976</v>
      </c>
      <c r="G1215" s="18">
        <f t="shared" si="355"/>
        <v>1.0679999999999996</v>
      </c>
      <c r="H1215">
        <v>3.16</v>
      </c>
      <c r="I1215">
        <v>1.54</v>
      </c>
      <c r="J1215">
        <f t="shared" si="364"/>
        <v>2.35</v>
      </c>
      <c r="K1215" s="6">
        <f t="shared" si="365"/>
        <v>2.36</v>
      </c>
      <c r="L1215" s="6">
        <f t="shared" si="366"/>
        <v>0</v>
      </c>
      <c r="M1215">
        <v>1.8145946951422001</v>
      </c>
      <c r="N1215">
        <v>361000</v>
      </c>
      <c r="O1215" s="18">
        <f>ROUND(N1215/VLOOKUP(EOMONTH(A1215,-1),Employment!A:P,16,FALSE),4)</f>
        <v>1.8219000000000001</v>
      </c>
      <c r="P1215" s="18">
        <f t="shared" si="356"/>
        <v>1.8055000000000001</v>
      </c>
      <c r="Q1215" s="29">
        <f t="shared" si="357"/>
        <v>1.6799999999999999E-2</v>
      </c>
      <c r="R1215" s="29">
        <f t="shared" si="358"/>
        <v>-8.3000000000000001E-3</v>
      </c>
      <c r="S1215">
        <v>2535000</v>
      </c>
      <c r="T1215" s="18">
        <f>ROUND((S1215/7)/VLOOKUP(EOMONTH(A1215,-1),Employment!A:P,16,FALSE),4)</f>
        <v>1.8275999999999999</v>
      </c>
      <c r="U1215" s="18">
        <f t="shared" si="359"/>
        <v>1.8368</v>
      </c>
      <c r="V1215" s="29">
        <f t="shared" si="360"/>
        <v>-7.5200000000000003E-2</v>
      </c>
      <c r="W1215" s="29">
        <f t="shared" si="361"/>
        <v>-8.8000000000000005E-3</v>
      </c>
      <c r="X1215" s="30">
        <f t="shared" si="362"/>
        <v>120.34</v>
      </c>
      <c r="Y1215" s="31">
        <f t="shared" si="363"/>
        <v>121.77</v>
      </c>
    </row>
    <row r="1216" spans="1:25" ht="15" customHeight="1" x14ac:dyDescent="0.25">
      <c r="A1216" s="5">
        <v>34833</v>
      </c>
      <c r="B1216">
        <v>682.80399999999997</v>
      </c>
      <c r="C1216" s="29">
        <f t="shared" si="367"/>
        <v>9.1000000000000004E-3</v>
      </c>
      <c r="D1216">
        <v>-0.66</v>
      </c>
      <c r="E1216">
        <v>0.60899999999999999</v>
      </c>
      <c r="F1216" s="18">
        <f t="shared" si="354"/>
        <v>0.30000000000000071</v>
      </c>
      <c r="G1216" s="18">
        <f t="shared" si="355"/>
        <v>1.0040000000000004</v>
      </c>
      <c r="H1216">
        <v>3.16</v>
      </c>
      <c r="I1216">
        <v>1.58</v>
      </c>
      <c r="J1216">
        <f t="shared" si="364"/>
        <v>2.37</v>
      </c>
      <c r="K1216" s="6">
        <f t="shared" si="365"/>
        <v>2.36</v>
      </c>
      <c r="L1216" s="6">
        <f t="shared" si="366"/>
        <v>0</v>
      </c>
      <c r="M1216">
        <v>1.7864044244407999</v>
      </c>
      <c r="N1216">
        <v>358250</v>
      </c>
      <c r="O1216" s="18">
        <f>ROUND(N1216/VLOOKUP(EOMONTH(A1216,-1),Employment!A:P,16,FALSE),4)</f>
        <v>1.8080000000000001</v>
      </c>
      <c r="P1216" s="18">
        <f t="shared" si="356"/>
        <v>1.7815000000000001</v>
      </c>
      <c r="Q1216" s="29">
        <f t="shared" si="357"/>
        <v>1.06E-2</v>
      </c>
      <c r="R1216" s="29">
        <f t="shared" si="358"/>
        <v>-4.3E-3</v>
      </c>
      <c r="S1216">
        <v>2539000</v>
      </c>
      <c r="T1216" s="18">
        <f>ROUND((S1216/7)/VLOOKUP(EOMONTH(A1216,-1),Employment!A:P,16,FALSE),4)</f>
        <v>1.8305</v>
      </c>
      <c r="U1216" s="18">
        <f t="shared" si="359"/>
        <v>1.83</v>
      </c>
      <c r="V1216" s="29">
        <f t="shared" si="360"/>
        <v>-7.7499999999999999E-2</v>
      </c>
      <c r="W1216" s="29">
        <f t="shared" si="361"/>
        <v>-7.7000000000000002E-3</v>
      </c>
      <c r="X1216" s="30">
        <f t="shared" si="362"/>
        <v>121.93</v>
      </c>
      <c r="Y1216" s="31">
        <f t="shared" si="363"/>
        <v>123.11</v>
      </c>
    </row>
    <row r="1217" spans="1:25" ht="15" customHeight="1" x14ac:dyDescent="0.25">
      <c r="A1217" s="5">
        <v>34826</v>
      </c>
      <c r="B1217">
        <v>680.46299999999997</v>
      </c>
      <c r="C1217" s="29">
        <f t="shared" si="367"/>
        <v>7.6E-3</v>
      </c>
      <c r="D1217">
        <v>-0.65</v>
      </c>
      <c r="E1217">
        <v>0.63400000000000001</v>
      </c>
      <c r="F1217" s="18">
        <f t="shared" si="354"/>
        <v>0.53999999999999915</v>
      </c>
      <c r="G1217" s="18">
        <f t="shared" si="355"/>
        <v>0.88399999999999945</v>
      </c>
      <c r="H1217">
        <v>3.16</v>
      </c>
      <c r="I1217">
        <v>1.58</v>
      </c>
      <c r="J1217">
        <f t="shared" si="364"/>
        <v>2.37</v>
      </c>
      <c r="K1217" s="6">
        <f t="shared" si="365"/>
        <v>2.36</v>
      </c>
      <c r="L1217" s="6">
        <f t="shared" si="366"/>
        <v>0</v>
      </c>
      <c r="M1217">
        <v>1.3931465973985999</v>
      </c>
      <c r="N1217">
        <v>354000</v>
      </c>
      <c r="O1217" s="18">
        <f>ROUND(N1217/VLOOKUP(EOMONTH(A1217,-1),Employment!A:P,16,FALSE),4)</f>
        <v>1.7865</v>
      </c>
      <c r="P1217" s="18">
        <f t="shared" si="356"/>
        <v>1.7549999999999999</v>
      </c>
      <c r="Q1217" s="29">
        <f t="shared" si="357"/>
        <v>3.3E-3</v>
      </c>
      <c r="R1217" s="29">
        <f t="shared" si="358"/>
        <v>1.2999999999999999E-3</v>
      </c>
      <c r="S1217">
        <v>2569000</v>
      </c>
      <c r="T1217" s="18">
        <f>ROUND((S1217/7)/VLOOKUP(EOMONTH(A1217,-1),Employment!A:P,16,FALSE),4)</f>
        <v>1.8522000000000001</v>
      </c>
      <c r="U1217" s="18">
        <f t="shared" si="359"/>
        <v>1.8210999999999999</v>
      </c>
      <c r="V1217" s="29">
        <f t="shared" si="360"/>
        <v>-8.2699999999999996E-2</v>
      </c>
      <c r="W1217" s="29">
        <f t="shared" si="361"/>
        <v>4.0000000000000002E-4</v>
      </c>
      <c r="X1217" s="30">
        <f t="shared" si="362"/>
        <v>124.95</v>
      </c>
      <c r="Y1217" s="31">
        <f t="shared" si="363"/>
        <v>122.39</v>
      </c>
    </row>
    <row r="1218" spans="1:25" ht="15" customHeight="1" x14ac:dyDescent="0.25">
      <c r="A1218" s="5">
        <v>34819</v>
      </c>
      <c r="B1218">
        <v>676.09760000000006</v>
      </c>
      <c r="C1218" s="29">
        <f t="shared" si="367"/>
        <v>1.9E-3</v>
      </c>
      <c r="D1218">
        <v>-0.64</v>
      </c>
      <c r="E1218">
        <v>0.68899999999999995</v>
      </c>
      <c r="F1218" s="18">
        <f t="shared" si="354"/>
        <v>0.16400000000000059</v>
      </c>
      <c r="G1218" s="18">
        <f t="shared" si="355"/>
        <v>0.27200000000000024</v>
      </c>
      <c r="H1218">
        <v>3.16</v>
      </c>
      <c r="I1218">
        <v>1.51</v>
      </c>
      <c r="J1218">
        <f t="shared" si="364"/>
        <v>2.34</v>
      </c>
      <c r="K1218" s="6">
        <f t="shared" si="365"/>
        <v>2.36</v>
      </c>
      <c r="L1218" s="6">
        <f t="shared" si="366"/>
        <v>0</v>
      </c>
      <c r="M1218">
        <v>1.4033717108932</v>
      </c>
      <c r="N1218">
        <v>346500</v>
      </c>
      <c r="O1218" s="18">
        <f>ROUND(N1218/VLOOKUP(EOMONTH(A1218,-1),Employment!A:P,16,FALSE),4)</f>
        <v>1.7499</v>
      </c>
      <c r="P1218" s="18">
        <f t="shared" si="356"/>
        <v>1.7305999999999999</v>
      </c>
      <c r="Q1218" s="29">
        <f t="shared" si="357"/>
        <v>-3.0000000000000001E-3</v>
      </c>
      <c r="R1218" s="29">
        <f t="shared" si="358"/>
        <v>2.3999999999999998E-3</v>
      </c>
      <c r="S1218">
        <v>2505000</v>
      </c>
      <c r="T1218" s="18">
        <f>ROUND((S1218/7)/VLOOKUP(EOMONTH(A1218,-1),Employment!A:P,16,FALSE),4)</f>
        <v>1.8072999999999999</v>
      </c>
      <c r="U1218" s="18">
        <f t="shared" si="359"/>
        <v>1.8009999999999999</v>
      </c>
      <c r="V1218" s="29">
        <f t="shared" si="360"/>
        <v>-9.6799999999999997E-2</v>
      </c>
      <c r="W1218" s="29">
        <f t="shared" si="361"/>
        <v>3.5000000000000001E-3</v>
      </c>
      <c r="X1218" s="30">
        <f t="shared" si="362"/>
        <v>121.44</v>
      </c>
      <c r="Y1218" s="31">
        <f t="shared" si="363"/>
        <v>118.42</v>
      </c>
    </row>
    <row r="1219" spans="1:25" ht="15" customHeight="1" x14ac:dyDescent="0.25">
      <c r="A1219" s="5">
        <v>34812</v>
      </c>
      <c r="B1219">
        <v>676.55349999999999</v>
      </c>
      <c r="C1219" s="29">
        <f t="shared" si="367"/>
        <v>3.3999999999999998E-3</v>
      </c>
      <c r="D1219">
        <v>-0.63</v>
      </c>
      <c r="E1219">
        <v>0.69699999999999995</v>
      </c>
      <c r="F1219" s="18">
        <f t="shared" si="354"/>
        <v>0.17999999999999972</v>
      </c>
      <c r="G1219" s="18">
        <f t="shared" si="355"/>
        <v>4.8000000000000931E-2</v>
      </c>
      <c r="H1219">
        <v>3.16</v>
      </c>
      <c r="I1219">
        <v>1.58</v>
      </c>
      <c r="J1219">
        <f t="shared" si="364"/>
        <v>2.37</v>
      </c>
      <c r="K1219" s="6">
        <f t="shared" si="365"/>
        <v>2.36</v>
      </c>
      <c r="L1219" s="6">
        <f t="shared" si="366"/>
        <v>2.0000000000000018E-2</v>
      </c>
      <c r="M1219">
        <v>1.3634259784662</v>
      </c>
      <c r="N1219">
        <v>342250</v>
      </c>
      <c r="O1219" s="18">
        <f>ROUND(N1219/VLOOKUP(EOMONTH(A1219,-1),Employment!A:P,16,FALSE),4)</f>
        <v>1.7284999999999999</v>
      </c>
      <c r="P1219" s="18">
        <f t="shared" si="356"/>
        <v>1.7183999999999999</v>
      </c>
      <c r="Q1219" s="29">
        <f t="shared" si="357"/>
        <v>-6.9999999999999999E-4</v>
      </c>
      <c r="R1219" s="29">
        <f t="shared" si="358"/>
        <v>-2E-3</v>
      </c>
      <c r="S1219">
        <v>2500000</v>
      </c>
      <c r="T1219" s="18">
        <f>ROUND((S1219/7)/VLOOKUP(EOMONTH(A1219,-1),Employment!A:P,16,FALSE),4)</f>
        <v>1.8037000000000001</v>
      </c>
      <c r="U1219" s="18">
        <f t="shared" si="359"/>
        <v>1.8069999999999999</v>
      </c>
      <c r="V1219" s="29">
        <f t="shared" si="360"/>
        <v>-9.3399999999999997E-2</v>
      </c>
      <c r="W1219" s="29">
        <f t="shared" si="361"/>
        <v>-5.9999999999999995E-4</v>
      </c>
      <c r="X1219" s="30">
        <f t="shared" si="362"/>
        <v>118.38</v>
      </c>
      <c r="Y1219" s="31">
        <f t="shared" si="363"/>
        <v>113.83</v>
      </c>
    </row>
    <row r="1220" spans="1:25" ht="15" customHeight="1" x14ac:dyDescent="0.25">
      <c r="A1220" s="5">
        <v>34805</v>
      </c>
      <c r="B1220">
        <v>673.48739999999998</v>
      </c>
      <c r="C1220" s="29">
        <f t="shared" si="367"/>
        <v>-2.0000000000000001E-4</v>
      </c>
      <c r="D1220">
        <v>-0.62</v>
      </c>
      <c r="E1220">
        <v>0.70699999999999996</v>
      </c>
      <c r="F1220" s="18">
        <f t="shared" si="354"/>
        <v>-7.2000000000000064E-2</v>
      </c>
      <c r="G1220" s="18">
        <f t="shared" si="355"/>
        <v>0.12800000000000011</v>
      </c>
      <c r="H1220">
        <v>3.16</v>
      </c>
      <c r="I1220">
        <v>1.55</v>
      </c>
      <c r="J1220">
        <f t="shared" si="364"/>
        <v>2.36</v>
      </c>
      <c r="K1220" s="6">
        <f t="shared" si="365"/>
        <v>2.34</v>
      </c>
      <c r="L1220" s="6">
        <f t="shared" si="366"/>
        <v>0</v>
      </c>
      <c r="M1220">
        <v>0.40310878048768001</v>
      </c>
      <c r="N1220">
        <v>339250</v>
      </c>
      <c r="O1220" s="18">
        <f>ROUND(N1220/VLOOKUP(EOMONTH(A1220,-1),Employment!A:P,16,FALSE),4)</f>
        <v>1.7133</v>
      </c>
      <c r="P1220" s="18">
        <f t="shared" si="356"/>
        <v>1.7150000000000001</v>
      </c>
      <c r="Q1220" s="29">
        <f t="shared" si="357"/>
        <v>3.2000000000000002E-3</v>
      </c>
      <c r="R1220" s="29">
        <f t="shared" si="358"/>
        <v>-9.1000000000000004E-3</v>
      </c>
      <c r="S1220">
        <v>2484000</v>
      </c>
      <c r="T1220" s="18">
        <f>ROUND((S1220/7)/VLOOKUP(EOMONTH(A1220,-1),Employment!A:P,16,FALSE),4)</f>
        <v>1.7921</v>
      </c>
      <c r="U1220" s="18">
        <f t="shared" si="359"/>
        <v>1.8102</v>
      </c>
      <c r="V1220" s="29">
        <f t="shared" si="360"/>
        <v>-8.8800000000000004E-2</v>
      </c>
      <c r="W1220" s="29">
        <f t="shared" si="361"/>
        <v>-5.3E-3</v>
      </c>
      <c r="X1220" s="30">
        <f t="shared" si="362"/>
        <v>110.97</v>
      </c>
      <c r="Y1220" s="31">
        <f t="shared" si="363"/>
        <v>108.79</v>
      </c>
    </row>
    <row r="1221" spans="1:25" ht="15" customHeight="1" x14ac:dyDescent="0.25">
      <c r="A1221" s="5">
        <v>34798</v>
      </c>
      <c r="B1221">
        <v>675.06089999999995</v>
      </c>
      <c r="C1221" s="29">
        <f t="shared" si="367"/>
        <v>3.2000000000000002E-3</v>
      </c>
      <c r="D1221">
        <v>-0.62</v>
      </c>
      <c r="E1221">
        <v>0.69799999999999995</v>
      </c>
      <c r="F1221" s="18">
        <f t="shared" si="354"/>
        <v>-5.9999999999998721E-2</v>
      </c>
      <c r="G1221" s="18">
        <f t="shared" si="355"/>
        <v>1.1400000000000015</v>
      </c>
      <c r="H1221">
        <v>3.16</v>
      </c>
      <c r="I1221">
        <v>1.52</v>
      </c>
      <c r="J1221">
        <f t="shared" si="364"/>
        <v>2.34</v>
      </c>
      <c r="K1221" s="6">
        <f t="shared" si="365"/>
        <v>2.34</v>
      </c>
      <c r="L1221" s="6">
        <f t="shared" si="366"/>
        <v>0</v>
      </c>
      <c r="M1221">
        <v>4.6059738351056E-2</v>
      </c>
      <c r="N1221">
        <v>339250</v>
      </c>
      <c r="O1221" s="18">
        <f>ROUND(N1221/VLOOKUP(EOMONTH(A1221,-1),Employment!A:P,16,FALSE),4)</f>
        <v>1.7133</v>
      </c>
      <c r="P1221" s="18">
        <f t="shared" si="356"/>
        <v>1.7186999999999999</v>
      </c>
      <c r="Q1221" s="29">
        <f t="shared" si="357"/>
        <v>4.4000000000000003E-3</v>
      </c>
      <c r="R1221" s="29">
        <f t="shared" si="358"/>
        <v>-1.83E-2</v>
      </c>
      <c r="S1221">
        <v>2530000</v>
      </c>
      <c r="T1221" s="18">
        <f>ROUND((S1221/7)/VLOOKUP(EOMONTH(A1221,-1),Employment!A:P,16,FALSE),4)</f>
        <v>1.8252999999999999</v>
      </c>
      <c r="U1221" s="18">
        <f t="shared" si="359"/>
        <v>1.8298000000000001</v>
      </c>
      <c r="V1221" s="29">
        <f t="shared" si="360"/>
        <v>-8.5099999999999995E-2</v>
      </c>
      <c r="W1221" s="29">
        <f t="shared" si="361"/>
        <v>-6.0000000000000001E-3</v>
      </c>
      <c r="X1221" s="30">
        <f t="shared" si="362"/>
        <v>109.6</v>
      </c>
      <c r="Y1221" s="31">
        <f t="shared" si="363"/>
        <v>103.9</v>
      </c>
    </row>
    <row r="1222" spans="1:25" ht="15" customHeight="1" x14ac:dyDescent="0.25">
      <c r="A1222" s="5">
        <v>34791</v>
      </c>
      <c r="B1222">
        <v>674.26909999999998</v>
      </c>
      <c r="C1222" s="29">
        <f t="shared" si="367"/>
        <v>5.1000000000000004E-3</v>
      </c>
      <c r="D1222">
        <v>-0.61</v>
      </c>
      <c r="E1222">
        <v>0.67800000000000005</v>
      </c>
      <c r="F1222" s="18">
        <f t="shared" si="354"/>
        <v>0.2599999999999989</v>
      </c>
      <c r="G1222" s="18">
        <f t="shared" si="355"/>
        <v>0.42799999999999905</v>
      </c>
      <c r="H1222">
        <v>3.16</v>
      </c>
      <c r="I1222">
        <v>1.49</v>
      </c>
      <c r="J1222">
        <f t="shared" si="364"/>
        <v>2.33</v>
      </c>
      <c r="K1222" s="6">
        <f t="shared" si="365"/>
        <v>2.34</v>
      </c>
      <c r="L1222" s="6">
        <f t="shared" si="366"/>
        <v>0</v>
      </c>
      <c r="M1222">
        <v>-0.62154278589651002</v>
      </c>
      <c r="N1222">
        <v>340250</v>
      </c>
      <c r="O1222" s="18">
        <f>ROUND(N1222/VLOOKUP(EOMONTH(A1222,-1),Employment!A:P,16,FALSE),4)</f>
        <v>1.7183999999999999</v>
      </c>
      <c r="P1222" s="18">
        <f t="shared" si="356"/>
        <v>1.7224999999999999</v>
      </c>
      <c r="Q1222" s="29">
        <f t="shared" si="357"/>
        <v>-1.1999999999999999E-3</v>
      </c>
      <c r="R1222" s="29">
        <f t="shared" si="358"/>
        <v>-2.92E-2</v>
      </c>
      <c r="S1222">
        <v>2513000</v>
      </c>
      <c r="T1222" s="18">
        <f>ROUND((S1222/7)/VLOOKUP(EOMONTH(A1222,-1),Employment!A:P,16,FALSE),4)</f>
        <v>1.8130999999999999</v>
      </c>
      <c r="U1222" s="18">
        <f t="shared" si="359"/>
        <v>1.8272999999999999</v>
      </c>
      <c r="V1222" s="29">
        <f t="shared" si="360"/>
        <v>-9.4100000000000003E-2</v>
      </c>
      <c r="W1222" s="29">
        <f t="shared" si="361"/>
        <v>-4.1000000000000003E-3</v>
      </c>
      <c r="X1222" s="30">
        <f t="shared" si="362"/>
        <v>101.34</v>
      </c>
      <c r="Y1222" s="31">
        <f t="shared" si="363"/>
        <v>97.79</v>
      </c>
    </row>
    <row r="1223" spans="1:25" ht="15" customHeight="1" x14ac:dyDescent="0.25">
      <c r="A1223" s="5">
        <v>34784</v>
      </c>
      <c r="B1223">
        <v>674.3537</v>
      </c>
      <c r="C1223" s="29">
        <f t="shared" si="367"/>
        <v>8.5000000000000006E-3</v>
      </c>
      <c r="D1223">
        <v>-0.6</v>
      </c>
      <c r="E1223">
        <v>0.69799999999999995</v>
      </c>
      <c r="F1223" s="18">
        <f t="shared" si="354"/>
        <v>0.94000000000000128</v>
      </c>
      <c r="G1223" s="18">
        <f t="shared" si="355"/>
        <v>0.11200000000000099</v>
      </c>
      <c r="H1223">
        <v>3.16</v>
      </c>
      <c r="I1223">
        <v>1.55</v>
      </c>
      <c r="J1223">
        <f t="shared" si="364"/>
        <v>2.36</v>
      </c>
      <c r="K1223" s="6">
        <f t="shared" si="365"/>
        <v>2.34</v>
      </c>
      <c r="L1223" s="6">
        <f t="shared" si="366"/>
        <v>2.0000000000000018E-2</v>
      </c>
      <c r="M1223">
        <v>-0.22881297415984</v>
      </c>
      <c r="N1223">
        <v>341250</v>
      </c>
      <c r="O1223" s="18">
        <f>ROUND(N1223/VLOOKUP(EOMONTH(A1223,-1),Employment!A:P,16,FALSE),4)</f>
        <v>1.7244999999999999</v>
      </c>
      <c r="P1223" s="18">
        <f t="shared" si="356"/>
        <v>1.7249000000000001</v>
      </c>
      <c r="Q1223" s="29">
        <f t="shared" si="357"/>
        <v>-9.2999999999999992E-3</v>
      </c>
      <c r="R1223" s="29">
        <f t="shared" si="358"/>
        <v>-3.9199999999999999E-2</v>
      </c>
      <c r="S1223">
        <v>2564000</v>
      </c>
      <c r="T1223" s="18">
        <f>ROUND((S1223/7)/VLOOKUP(EOMONTH(A1223,-1),Employment!A:P,16,FALSE),4)</f>
        <v>1.851</v>
      </c>
      <c r="U1223" s="18">
        <f t="shared" si="359"/>
        <v>1.8325</v>
      </c>
      <c r="V1223" s="29">
        <f t="shared" si="360"/>
        <v>-9.7199999999999995E-2</v>
      </c>
      <c r="W1223" s="29">
        <f t="shared" si="361"/>
        <v>-5.8999999999999999E-3</v>
      </c>
      <c r="X1223" s="30">
        <f t="shared" si="362"/>
        <v>96.06</v>
      </c>
      <c r="Y1223" s="31">
        <f t="shared" si="363"/>
        <v>97.32</v>
      </c>
    </row>
    <row r="1224" spans="1:25" ht="15" customHeight="1" x14ac:dyDescent="0.25">
      <c r="A1224" s="5">
        <v>34777</v>
      </c>
      <c r="B1224">
        <v>670.89850000000001</v>
      </c>
      <c r="C1224" s="29">
        <f t="shared" si="367"/>
        <v>6.0000000000000001E-3</v>
      </c>
      <c r="D1224">
        <v>-0.59</v>
      </c>
      <c r="E1224">
        <v>0.80300000000000005</v>
      </c>
      <c r="F1224" s="18">
        <f t="shared" si="354"/>
        <v>-0.77200000000000113</v>
      </c>
      <c r="G1224" s="18">
        <f t="shared" si="355"/>
        <v>-0.58400000000000052</v>
      </c>
      <c r="H1224">
        <v>3.16</v>
      </c>
      <c r="I1224">
        <v>1.52</v>
      </c>
      <c r="J1224">
        <f t="shared" si="364"/>
        <v>2.34</v>
      </c>
      <c r="K1224" s="6">
        <f t="shared" si="365"/>
        <v>2.3199999999999998</v>
      </c>
      <c r="L1224" s="6">
        <f t="shared" si="366"/>
        <v>0</v>
      </c>
      <c r="M1224">
        <v>-1.1944410754284001</v>
      </c>
      <c r="N1224">
        <v>341250</v>
      </c>
      <c r="O1224" s="18">
        <f>ROUND(N1224/VLOOKUP(EOMONTH(A1224,-1),Employment!A:P,16,FALSE),4)</f>
        <v>1.7244999999999999</v>
      </c>
      <c r="P1224" s="18">
        <f t="shared" si="356"/>
        <v>1.7190000000000001</v>
      </c>
      <c r="Q1224" s="29">
        <f t="shared" si="357"/>
        <v>-2.3699999999999999E-2</v>
      </c>
      <c r="R1224" s="29">
        <f t="shared" si="358"/>
        <v>-3.5999999999999997E-2</v>
      </c>
      <c r="S1224">
        <v>2518000</v>
      </c>
      <c r="T1224" s="18">
        <f>ROUND((S1224/7)/VLOOKUP(EOMONTH(A1224,-1),Employment!A:P,16,FALSE),4)</f>
        <v>1.8178000000000001</v>
      </c>
      <c r="U1224" s="18">
        <f t="shared" si="359"/>
        <v>1.8269</v>
      </c>
      <c r="V1224" s="29">
        <f t="shared" si="360"/>
        <v>-9.6199999999999994E-2</v>
      </c>
      <c r="W1224" s="29">
        <f t="shared" si="361"/>
        <v>-4.0000000000000001E-3</v>
      </c>
      <c r="X1224" s="30">
        <f t="shared" si="362"/>
        <v>93.22</v>
      </c>
      <c r="Y1224" s="31">
        <f t="shared" si="363"/>
        <v>106.27</v>
      </c>
    </row>
    <row r="1225" spans="1:25" ht="15" customHeight="1" x14ac:dyDescent="0.25">
      <c r="A1225" s="5">
        <v>34770</v>
      </c>
      <c r="B1225">
        <v>672.08339999999998</v>
      </c>
      <c r="C1225" s="29">
        <f t="shared" si="367"/>
        <v>1.14E-2</v>
      </c>
      <c r="D1225">
        <v>-0.57999999999999996</v>
      </c>
      <c r="E1225">
        <v>0.69399999999999995</v>
      </c>
      <c r="F1225" s="18">
        <f t="shared" si="354"/>
        <v>-5.5999999999999162E-2</v>
      </c>
      <c r="G1225" s="18">
        <f t="shared" si="355"/>
        <v>0.2079999999999993</v>
      </c>
      <c r="H1225">
        <v>3.16</v>
      </c>
      <c r="I1225">
        <v>1.47</v>
      </c>
      <c r="J1225">
        <f t="shared" si="364"/>
        <v>2.3199999999999998</v>
      </c>
      <c r="K1225" s="6">
        <f t="shared" si="365"/>
        <v>2.3199999999999998</v>
      </c>
      <c r="L1225" s="6">
        <f t="shared" si="366"/>
        <v>9.9999999999997868E-3</v>
      </c>
      <c r="M1225">
        <v>-1.3279801826713999</v>
      </c>
      <c r="N1225">
        <v>341500</v>
      </c>
      <c r="O1225" s="18">
        <f>ROUND(N1225/VLOOKUP(EOMONTH(A1225,-1),Employment!A:P,16,FALSE),4)</f>
        <v>1.7257</v>
      </c>
      <c r="P1225" s="18">
        <f t="shared" si="356"/>
        <v>1.7083999999999999</v>
      </c>
      <c r="Q1225" s="29">
        <f t="shared" si="357"/>
        <v>-5.3900000000000003E-2</v>
      </c>
      <c r="R1225" s="29">
        <f t="shared" si="358"/>
        <v>-1.83E-2</v>
      </c>
      <c r="S1225">
        <v>2533000</v>
      </c>
      <c r="T1225" s="18">
        <f>ROUND((S1225/7)/VLOOKUP(EOMONTH(A1225,-1),Employment!A:P,16,FALSE),4)</f>
        <v>1.8286</v>
      </c>
      <c r="U1225" s="18">
        <f t="shared" si="359"/>
        <v>1.8266</v>
      </c>
      <c r="V1225" s="29">
        <f t="shared" si="360"/>
        <v>-0.10539999999999999</v>
      </c>
      <c r="W1225" s="29">
        <f t="shared" si="361"/>
        <v>2.5999999999999999E-3</v>
      </c>
      <c r="X1225" s="30">
        <f t="shared" si="362"/>
        <v>110.72999999999999</v>
      </c>
      <c r="Y1225" s="31">
        <f t="shared" si="363"/>
        <v>123.65</v>
      </c>
    </row>
    <row r="1226" spans="1:25" ht="15" customHeight="1" x14ac:dyDescent="0.25">
      <c r="A1226" s="5">
        <v>34763</v>
      </c>
      <c r="B1226">
        <v>665.99829999999997</v>
      </c>
      <c r="C1226" s="29">
        <f t="shared" si="367"/>
        <v>5.7999999999999996E-3</v>
      </c>
      <c r="D1226">
        <v>-0.57999999999999996</v>
      </c>
      <c r="E1226">
        <v>0.68700000000000006</v>
      </c>
      <c r="F1226" s="18">
        <f t="shared" si="354"/>
        <v>0.24399999999999977</v>
      </c>
      <c r="G1226" s="18">
        <f t="shared" si="355"/>
        <v>0.74799999999999844</v>
      </c>
      <c r="H1226">
        <v>3.16</v>
      </c>
      <c r="I1226">
        <v>1.46</v>
      </c>
      <c r="J1226">
        <f t="shared" si="364"/>
        <v>2.31</v>
      </c>
      <c r="K1226" s="6">
        <f t="shared" si="365"/>
        <v>2.31</v>
      </c>
      <c r="L1226" s="6">
        <f t="shared" si="366"/>
        <v>3.0000000000000249E-2</v>
      </c>
      <c r="M1226">
        <v>-0.41750075284908</v>
      </c>
      <c r="N1226">
        <v>337750</v>
      </c>
      <c r="O1226" s="18">
        <f>ROUND(N1226/VLOOKUP(EOMONTH(A1226,-1),Employment!A:P,16,FALSE),4)</f>
        <v>1.7068000000000001</v>
      </c>
      <c r="P1226" s="18">
        <f t="shared" si="356"/>
        <v>1.6899</v>
      </c>
      <c r="Q1226" s="29">
        <f t="shared" si="357"/>
        <v>-8.4000000000000005E-2</v>
      </c>
      <c r="R1226" s="29">
        <f t="shared" si="358"/>
        <v>8.0999999999999996E-3</v>
      </c>
      <c r="S1226">
        <v>2541000</v>
      </c>
      <c r="T1226" s="18">
        <f>ROUND((S1226/7)/VLOOKUP(EOMONTH(A1226,-1),Employment!A:P,16,FALSE),4)</f>
        <v>1.8344</v>
      </c>
      <c r="U1226" s="18">
        <f t="shared" si="359"/>
        <v>1.8192999999999999</v>
      </c>
      <c r="V1226" s="29">
        <f t="shared" si="360"/>
        <v>-0.1057</v>
      </c>
      <c r="W1226" s="29">
        <f t="shared" si="361"/>
        <v>7.7000000000000002E-3</v>
      </c>
      <c r="X1226" s="30">
        <f t="shared" si="362"/>
        <v>127.74000000000001</v>
      </c>
      <c r="Y1226" s="31">
        <f t="shared" si="363"/>
        <v>139.47999999999999</v>
      </c>
    </row>
    <row r="1227" spans="1:25" ht="15" customHeight="1" x14ac:dyDescent="0.25">
      <c r="A1227" s="5">
        <v>34756</v>
      </c>
      <c r="B1227">
        <v>665.80769999999995</v>
      </c>
      <c r="C1227" s="29">
        <f t="shared" si="367"/>
        <v>1.0500000000000001E-2</v>
      </c>
      <c r="D1227">
        <v>-0.56999999999999995</v>
      </c>
      <c r="E1227">
        <v>0.70499999999999996</v>
      </c>
      <c r="F1227" s="18">
        <f t="shared" si="354"/>
        <v>1.9999999999998685E-2</v>
      </c>
      <c r="G1227" s="18">
        <f t="shared" si="355"/>
        <v>1.2560000000000002</v>
      </c>
      <c r="H1227">
        <v>3.16</v>
      </c>
      <c r="I1227">
        <v>1.49</v>
      </c>
      <c r="J1227">
        <f t="shared" si="364"/>
        <v>2.33</v>
      </c>
      <c r="K1227" s="6">
        <f t="shared" si="365"/>
        <v>2.2799999999999998</v>
      </c>
      <c r="L1227" s="6">
        <f t="shared" si="366"/>
        <v>2.9999999999999805E-2</v>
      </c>
      <c r="M1227">
        <v>-0.62232444083129002</v>
      </c>
      <c r="N1227">
        <v>334750</v>
      </c>
      <c r="O1227" s="18">
        <f>ROUND(N1227/VLOOKUP(EOMONTH(A1227,-1),Employment!A:P,16,FALSE),4)</f>
        <v>1.6928000000000001</v>
      </c>
      <c r="P1227" s="18">
        <f t="shared" si="356"/>
        <v>1.6772</v>
      </c>
      <c r="Q1227" s="29">
        <f t="shared" si="357"/>
        <v>-0.1074</v>
      </c>
      <c r="R1227" s="29">
        <f t="shared" si="358"/>
        <v>2.9600000000000001E-2</v>
      </c>
      <c r="S1227">
        <v>2515000</v>
      </c>
      <c r="T1227" s="18">
        <f>ROUND((S1227/7)/VLOOKUP(EOMONTH(A1227,-1),Employment!A:P,16,FALSE),4)</f>
        <v>1.8168</v>
      </c>
      <c r="U1227" s="18">
        <f t="shared" si="359"/>
        <v>1.8174999999999999</v>
      </c>
      <c r="V1227" s="29">
        <f t="shared" si="360"/>
        <v>-0.10829999999999999</v>
      </c>
      <c r="W1227" s="29">
        <f t="shared" si="361"/>
        <v>1.7500000000000002E-2</v>
      </c>
      <c r="X1227" s="30">
        <f t="shared" si="362"/>
        <v>145.69999999999999</v>
      </c>
      <c r="Y1227" s="31">
        <f t="shared" si="363"/>
        <v>149.88</v>
      </c>
    </row>
    <row r="1228" spans="1:25" ht="15" customHeight="1" x14ac:dyDescent="0.25">
      <c r="A1228" s="5">
        <v>34749</v>
      </c>
      <c r="B1228">
        <v>663.59249999999997</v>
      </c>
      <c r="C1228" s="29">
        <f t="shared" si="367"/>
        <v>1.2E-2</v>
      </c>
      <c r="D1228">
        <v>-0.56000000000000005</v>
      </c>
      <c r="E1228">
        <v>0.69499999999999995</v>
      </c>
      <c r="F1228" s="18">
        <f t="shared" si="354"/>
        <v>0.48399999999999999</v>
      </c>
      <c r="G1228" s="18">
        <f t="shared" si="355"/>
        <v>1.6040000000000019</v>
      </c>
      <c r="H1228">
        <v>3.16</v>
      </c>
      <c r="I1228">
        <v>1.4</v>
      </c>
      <c r="J1228">
        <f t="shared" si="364"/>
        <v>2.2799999999999998</v>
      </c>
      <c r="K1228" s="6">
        <f t="shared" si="365"/>
        <v>2.25</v>
      </c>
      <c r="L1228" s="6">
        <f t="shared" si="366"/>
        <v>9.9999999999997868E-3</v>
      </c>
      <c r="M1228">
        <v>0.27086257768562999</v>
      </c>
      <c r="N1228">
        <v>330250</v>
      </c>
      <c r="O1228" s="18">
        <f>ROUND(N1228/VLOOKUP(EOMONTH(A1228,-1),Employment!A:P,16,FALSE),4)</f>
        <v>1.67</v>
      </c>
      <c r="P1228" s="18">
        <f t="shared" si="356"/>
        <v>1.675</v>
      </c>
      <c r="Q1228" s="29">
        <f t="shared" si="357"/>
        <v>-0.10489999999999999</v>
      </c>
      <c r="R1228" s="29">
        <f t="shared" si="358"/>
        <v>3.7499999999999999E-2</v>
      </c>
      <c r="S1228">
        <v>2501000</v>
      </c>
      <c r="T1228" s="18">
        <f>ROUND((S1228/7)/VLOOKUP(EOMONTH(A1228,-1),Employment!A:P,16,FALSE),4)</f>
        <v>1.8067</v>
      </c>
      <c r="U1228" s="18">
        <f t="shared" si="359"/>
        <v>1.8073999999999999</v>
      </c>
      <c r="V1228" s="29">
        <f t="shared" si="360"/>
        <v>-0.1082</v>
      </c>
      <c r="W1228" s="29">
        <f t="shared" si="361"/>
        <v>1.4200000000000001E-2</v>
      </c>
      <c r="X1228" s="30">
        <f t="shared" si="362"/>
        <v>153.25</v>
      </c>
      <c r="Y1228" s="31">
        <f t="shared" si="363"/>
        <v>150.22999999999999</v>
      </c>
    </row>
    <row r="1229" spans="1:25" ht="15" customHeight="1" x14ac:dyDescent="0.25">
      <c r="A1229" s="5">
        <v>34742</v>
      </c>
      <c r="B1229">
        <v>662.65279999999996</v>
      </c>
      <c r="C1229" s="29">
        <f t="shared" si="367"/>
        <v>1.6799999999999999E-2</v>
      </c>
      <c r="D1229">
        <v>-0.53</v>
      </c>
      <c r="E1229">
        <v>0.71799999999999997</v>
      </c>
      <c r="F1229" s="18">
        <f t="shared" si="354"/>
        <v>0.75200000000000156</v>
      </c>
      <c r="G1229" s="18">
        <f t="shared" si="355"/>
        <v>1.8680000000000003</v>
      </c>
      <c r="H1229">
        <v>3.16</v>
      </c>
      <c r="I1229">
        <v>1.32</v>
      </c>
      <c r="J1229">
        <f t="shared" si="364"/>
        <v>2.2400000000000002</v>
      </c>
      <c r="K1229" s="6">
        <f t="shared" si="365"/>
        <v>2.2400000000000002</v>
      </c>
      <c r="L1229" s="6">
        <f t="shared" si="366"/>
        <v>0</v>
      </c>
      <c r="M1229">
        <v>0.33305112115696001</v>
      </c>
      <c r="N1229">
        <v>330000</v>
      </c>
      <c r="O1229" s="18">
        <f>ROUND(N1229/VLOOKUP(EOMONTH(A1229,-1),Employment!A:P,16,FALSE),4)</f>
        <v>1.6687000000000001</v>
      </c>
      <c r="P1229" s="18">
        <f t="shared" si="356"/>
        <v>1.6783999999999999</v>
      </c>
      <c r="Q1229" s="29">
        <f t="shared" si="357"/>
        <v>-8.6199999999999999E-2</v>
      </c>
      <c r="R1229" s="29">
        <f t="shared" si="358"/>
        <v>3.1699999999999999E-2</v>
      </c>
      <c r="S1229">
        <v>2532000</v>
      </c>
      <c r="T1229" s="18">
        <f>ROUND((S1229/7)/VLOOKUP(EOMONTH(A1229,-1),Employment!A:P,16,FALSE),4)</f>
        <v>1.8290999999999999</v>
      </c>
      <c r="U1229" s="18">
        <f t="shared" si="359"/>
        <v>1.8213999999999999</v>
      </c>
      <c r="V1229" s="29">
        <f t="shared" si="360"/>
        <v>-8.7300000000000003E-2</v>
      </c>
      <c r="W1229" s="29">
        <f t="shared" si="361"/>
        <v>1.0800000000000001E-2</v>
      </c>
      <c r="X1229" s="30">
        <f t="shared" si="362"/>
        <v>151.91</v>
      </c>
      <c r="Y1229" s="31">
        <f t="shared" si="363"/>
        <v>141.58000000000001</v>
      </c>
    </row>
    <row r="1230" spans="1:25" ht="15" customHeight="1" x14ac:dyDescent="0.25">
      <c r="A1230" s="5">
        <v>34735</v>
      </c>
      <c r="B1230">
        <v>656.46479999999997</v>
      </c>
      <c r="C1230" s="29">
        <f t="shared" si="367"/>
        <v>1.18E-2</v>
      </c>
      <c r="D1230">
        <v>-0.51</v>
      </c>
      <c r="E1230">
        <v>0.78700000000000003</v>
      </c>
      <c r="F1230" s="18">
        <f t="shared" si="354"/>
        <v>0.36800000000000033</v>
      </c>
      <c r="G1230" s="18">
        <f t="shared" si="355"/>
        <v>2.2559999999999993</v>
      </c>
      <c r="H1230">
        <v>3.16</v>
      </c>
      <c r="I1230">
        <v>1.32</v>
      </c>
      <c r="J1230">
        <f t="shared" si="364"/>
        <v>2.2400000000000002</v>
      </c>
      <c r="K1230" s="6">
        <f t="shared" si="365"/>
        <v>2.2400000000000002</v>
      </c>
      <c r="L1230" s="6">
        <f t="shared" si="366"/>
        <v>-9.9999999999997868E-3</v>
      </c>
      <c r="M1230">
        <v>-0.58184126810835002</v>
      </c>
      <c r="N1230">
        <v>333500</v>
      </c>
      <c r="O1230" s="18">
        <f>ROUND(N1230/VLOOKUP(EOMONTH(A1230,-1),Employment!A:P,16,FALSE),4)</f>
        <v>1.6863999999999999</v>
      </c>
      <c r="P1230" s="18">
        <f t="shared" si="356"/>
        <v>1.6775</v>
      </c>
      <c r="Q1230" s="29">
        <f t="shared" si="357"/>
        <v>-5.5500000000000001E-2</v>
      </c>
      <c r="R1230" s="29">
        <f t="shared" si="358"/>
        <v>1.6899999999999998E-2</v>
      </c>
      <c r="S1230">
        <v>2473000</v>
      </c>
      <c r="T1230" s="18">
        <f>ROUND((S1230/7)/VLOOKUP(EOMONTH(A1230,-1),Employment!A:P,16,FALSE),4)</f>
        <v>1.7865</v>
      </c>
      <c r="U1230" s="18">
        <f t="shared" si="359"/>
        <v>1.8103</v>
      </c>
      <c r="V1230" s="29">
        <f t="shared" si="360"/>
        <v>-8.6800000000000002E-2</v>
      </c>
      <c r="W1230" s="29">
        <f t="shared" si="361"/>
        <v>-5.9999999999999995E-4</v>
      </c>
      <c r="X1230" s="30">
        <f t="shared" si="362"/>
        <v>138.49</v>
      </c>
      <c r="Y1230" s="31">
        <f t="shared" si="363"/>
        <v>128.1</v>
      </c>
    </row>
    <row r="1231" spans="1:25" ht="15" customHeight="1" x14ac:dyDescent="0.25">
      <c r="A1231" s="5">
        <v>34728</v>
      </c>
      <c r="B1231">
        <v>652.95119999999997</v>
      </c>
      <c r="C1231" s="29">
        <f t="shared" si="367"/>
        <v>8.9999999999999993E-3</v>
      </c>
      <c r="D1231">
        <v>-0.47</v>
      </c>
      <c r="E1231">
        <v>0.78300000000000003</v>
      </c>
      <c r="F1231" s="18">
        <f t="shared" ref="F1231:F1294" si="368">(((D1231*10)+(E1231*8))*-1)-(((D1232*10)+(E1232*8))*-1)</f>
        <v>0.74799999999999844</v>
      </c>
      <c r="G1231" s="18">
        <f t="shared" ref="G1231:G1294" si="369">SUM(F1231:F1233)</f>
        <v>1.6279999999999992</v>
      </c>
      <c r="H1231">
        <v>3.16</v>
      </c>
      <c r="I1231">
        <v>1.31</v>
      </c>
      <c r="J1231">
        <f t="shared" si="364"/>
        <v>2.2400000000000002</v>
      </c>
      <c r="K1231" s="6">
        <f t="shared" si="365"/>
        <v>2.25</v>
      </c>
      <c r="L1231" s="6">
        <f t="shared" si="366"/>
        <v>2.0000000000000018E-2</v>
      </c>
      <c r="M1231">
        <v>-1.9211897499737001</v>
      </c>
      <c r="N1231">
        <v>332250</v>
      </c>
      <c r="O1231" s="18">
        <f>ROUND(N1231/VLOOKUP(EOMONTH(A1231,-1),Employment!A:P,16,FALSE),4)</f>
        <v>1.68</v>
      </c>
      <c r="P1231" s="18">
        <f t="shared" ref="P1231:P1294" si="370">ROUND(AVERAGE(O1231:O1233),4)</f>
        <v>1.6636</v>
      </c>
      <c r="Q1231" s="29">
        <f t="shared" ref="Q1231:Q1294" si="371">ROUND((P1231/P1283)-1,4)</f>
        <v>-2.87E-2</v>
      </c>
      <c r="R1231" s="29">
        <f t="shared" ref="R1231:R1294" si="372">ROUND(AVERAGE(Q1231:Q1232)-AVERAGE(Q1231:Q1235),4)*-1</f>
        <v>2.7000000000000001E-3</v>
      </c>
      <c r="S1231">
        <v>2559000</v>
      </c>
      <c r="T1231" s="18">
        <f>ROUND((S1231/7)/VLOOKUP(EOMONTH(A1231,-1),Employment!A:P,16,FALSE),4)</f>
        <v>1.8485</v>
      </c>
      <c r="U1231" s="18">
        <f t="shared" ref="U1231:U1294" si="373">ROUND(AVERAGE(T1231:T1233),4)</f>
        <v>1.8165</v>
      </c>
      <c r="V1231" s="29">
        <f t="shared" ref="V1231:V1294" si="374">ROUND((U1231/U1283)-1,4)</f>
        <v>-6.3100000000000003E-2</v>
      </c>
      <c r="W1231" s="29">
        <f t="shared" ref="W1231:W1294" si="375">ROUND(AVERAGE(V1231:V1232)-AVERAGE(V1231:V1235),4)*-1</f>
        <v>-1.04E-2</v>
      </c>
      <c r="X1231" s="30">
        <f t="shared" ref="X1231:X1294" si="376">IF(ROUND((C1231*500)-(D1231*10)-(E1231*8)+(M1231*1.2)-(P1231*23)-(Q1231*10)+(R1231*600)-(U1231*2)-(V1231*5)+(W1231*100)-(K1231*5)-(L1231*5)+(G1231*3),2)+170&lt;0,0,ROUND((C1231*500)-(D1231*10)-(E1231*8)+(M1231*1.2)-(P1231*23)-(Q1231*10)+(R1231*600)-(U1231*2)-(V1231*5)+(W1231*100)-(K1231*5)-(L1231*5)+(G1231*3),2)+170)</f>
        <v>123.45</v>
      </c>
      <c r="Y1231" s="31">
        <f t="shared" ref="Y1231:Y1294" si="377">ROUND(AVERAGE(AVERAGE(X1231:X1232),AVERAGE(X1231:X1233)),2)</f>
        <v>116.16</v>
      </c>
    </row>
    <row r="1232" spans="1:25" ht="15" customHeight="1" x14ac:dyDescent="0.25">
      <c r="A1232" s="5">
        <v>34721</v>
      </c>
      <c r="B1232">
        <v>650.88099999999997</v>
      </c>
      <c r="C1232" s="29">
        <f t="shared" si="367"/>
        <v>9.4000000000000004E-3</v>
      </c>
      <c r="D1232">
        <v>-0.44</v>
      </c>
      <c r="E1232">
        <v>0.83899999999999997</v>
      </c>
      <c r="F1232" s="18">
        <f t="shared" si="368"/>
        <v>1.1400000000000006</v>
      </c>
      <c r="G1232" s="18">
        <f t="shared" si="369"/>
        <v>0.84400000000000031</v>
      </c>
      <c r="H1232">
        <v>3.16</v>
      </c>
      <c r="I1232">
        <v>1.31</v>
      </c>
      <c r="J1232">
        <f t="shared" ref="J1232:J1295" si="378">ROUND(AVERAGE(H1232:I1232),2)</f>
        <v>2.2400000000000002</v>
      </c>
      <c r="K1232" s="6">
        <f t="shared" ref="K1232:K1295" si="379">ROUND(AVERAGE(J1232:J1234),2)</f>
        <v>2.23</v>
      </c>
      <c r="L1232" s="6">
        <f t="shared" ref="L1232:L1295" si="380">K1232-K1233</f>
        <v>0</v>
      </c>
      <c r="M1232">
        <v>-2.4274693724382002</v>
      </c>
      <c r="N1232">
        <v>329500</v>
      </c>
      <c r="O1232" s="18">
        <f>ROUND(N1232/VLOOKUP(EOMONTH(A1232,-1),Employment!A:P,16,FALSE),4)</f>
        <v>1.6660999999999999</v>
      </c>
      <c r="P1232" s="18">
        <f t="shared" si="370"/>
        <v>1.6479999999999999</v>
      </c>
      <c r="Q1232" s="29">
        <f t="shared" si="371"/>
        <v>-1.4800000000000001E-2</v>
      </c>
      <c r="R1232" s="29">
        <f t="shared" si="372"/>
        <v>-7.7999999999999996E-3</v>
      </c>
      <c r="S1232">
        <v>2486000</v>
      </c>
      <c r="T1232" s="18">
        <f>ROUND((S1232/7)/VLOOKUP(EOMONTH(A1232,-1),Employment!A:P,16,FALSE),4)</f>
        <v>1.7958000000000001</v>
      </c>
      <c r="U1232" s="18">
        <f t="shared" si="373"/>
        <v>1.8184</v>
      </c>
      <c r="V1232" s="29">
        <f t="shared" si="374"/>
        <v>-7.22E-2</v>
      </c>
      <c r="W1232" s="29">
        <f t="shared" si="375"/>
        <v>-1.3899999999999999E-2</v>
      </c>
      <c r="X1232" s="30">
        <f t="shared" si="376"/>
        <v>113.75999999999999</v>
      </c>
      <c r="Y1232" s="31">
        <f t="shared" si="377"/>
        <v>108.14</v>
      </c>
    </row>
    <row r="1233" spans="1:25" ht="15" customHeight="1" x14ac:dyDescent="0.25">
      <c r="A1233" s="5">
        <v>34714</v>
      </c>
      <c r="B1233">
        <v>646.48199999999997</v>
      </c>
      <c r="C1233" s="29">
        <f t="shared" si="367"/>
        <v>4.7000000000000002E-3</v>
      </c>
      <c r="D1233">
        <v>-0.41</v>
      </c>
      <c r="E1233">
        <v>0.94399999999999995</v>
      </c>
      <c r="F1233" s="18">
        <f t="shared" si="368"/>
        <v>-0.25999999999999979</v>
      </c>
      <c r="G1233" s="18">
        <f t="shared" si="369"/>
        <v>-0.54</v>
      </c>
      <c r="H1233">
        <v>3.16</v>
      </c>
      <c r="I1233">
        <v>1.35</v>
      </c>
      <c r="J1233">
        <f t="shared" si="378"/>
        <v>2.2599999999999998</v>
      </c>
      <c r="K1233" s="6">
        <f t="shared" si="379"/>
        <v>2.23</v>
      </c>
      <c r="L1233" s="6">
        <f t="shared" si="380"/>
        <v>2.0000000000000018E-2</v>
      </c>
      <c r="M1233">
        <v>-1.9468415792252001</v>
      </c>
      <c r="N1233">
        <v>325250</v>
      </c>
      <c r="O1233" s="18">
        <f>ROUND(N1233/VLOOKUP(EOMONTH(A1233,-1),Employment!A:P,16,FALSE),4)</f>
        <v>1.6446000000000001</v>
      </c>
      <c r="P1233" s="18">
        <f t="shared" si="370"/>
        <v>1.6392</v>
      </c>
      <c r="Q1233" s="29">
        <f t="shared" si="371"/>
        <v>-1.0699999999999999E-2</v>
      </c>
      <c r="R1233" s="29">
        <f t="shared" si="372"/>
        <v>-1.23E-2</v>
      </c>
      <c r="S1233">
        <v>2499000</v>
      </c>
      <c r="T1233" s="18">
        <f>ROUND((S1233/7)/VLOOKUP(EOMONTH(A1233,-1),Employment!A:P,16,FALSE),4)</f>
        <v>1.8051999999999999</v>
      </c>
      <c r="U1233" s="18">
        <f t="shared" si="373"/>
        <v>1.8354999999999999</v>
      </c>
      <c r="V1233" s="29">
        <f t="shared" si="374"/>
        <v>-7.1999999999999995E-2</v>
      </c>
      <c r="W1233" s="29">
        <f t="shared" si="375"/>
        <v>-1.49E-2</v>
      </c>
      <c r="X1233" s="30">
        <f t="shared" si="376"/>
        <v>103.92</v>
      </c>
      <c r="Y1233" s="31">
        <f t="shared" si="377"/>
        <v>105.17</v>
      </c>
    </row>
    <row r="1234" spans="1:25" ht="15" customHeight="1" x14ac:dyDescent="0.25">
      <c r="A1234" s="5">
        <v>34707</v>
      </c>
      <c r="B1234">
        <v>644.95259999999996</v>
      </c>
      <c r="C1234" s="29">
        <f t="shared" ref="C1234:C1297" si="381">ROUND((B1234-AVERAGE(B1235:B1238))/AVERAGE(B1235:B1238),4)</f>
        <v>3.8999999999999998E-3</v>
      </c>
      <c r="D1234">
        <v>-0.4</v>
      </c>
      <c r="E1234">
        <v>0.89900000000000002</v>
      </c>
      <c r="F1234" s="18">
        <f t="shared" si="368"/>
        <v>-3.6000000000000476E-2</v>
      </c>
      <c r="G1234" s="18">
        <f t="shared" si="369"/>
        <v>-0.70400000000000063</v>
      </c>
      <c r="H1234">
        <v>3.16</v>
      </c>
      <c r="I1234">
        <v>1.22</v>
      </c>
      <c r="J1234">
        <f t="shared" si="378"/>
        <v>2.19</v>
      </c>
      <c r="K1234" s="6">
        <f t="shared" si="379"/>
        <v>2.21</v>
      </c>
      <c r="L1234" s="6">
        <f t="shared" si="380"/>
        <v>-1.0000000000000231E-2</v>
      </c>
      <c r="M1234">
        <v>-1.3503637344601001</v>
      </c>
      <c r="N1234">
        <v>323000</v>
      </c>
      <c r="O1234" s="18">
        <f>ROUND(N1234/VLOOKUP(EOMONTH(A1234,-1),Employment!A:P,16,FALSE),4)</f>
        <v>1.6333</v>
      </c>
      <c r="P1234" s="18">
        <f t="shared" si="370"/>
        <v>1.6443000000000001</v>
      </c>
      <c r="Q1234" s="29">
        <f t="shared" si="371"/>
        <v>-1.6500000000000001E-2</v>
      </c>
      <c r="R1234" s="29">
        <f t="shared" si="372"/>
        <v>-1.29E-2</v>
      </c>
      <c r="S1234">
        <v>2567000</v>
      </c>
      <c r="T1234" s="18">
        <f>ROUND((S1234/7)/VLOOKUP(EOMONTH(A1234,-1),Employment!A:P,16,FALSE),4)</f>
        <v>1.8543000000000001</v>
      </c>
      <c r="U1234" s="18">
        <f t="shared" si="373"/>
        <v>1.8382000000000001</v>
      </c>
      <c r="V1234" s="29">
        <f t="shared" si="374"/>
        <v>-8.3799999999999999E-2</v>
      </c>
      <c r="W1234" s="29">
        <f t="shared" si="375"/>
        <v>-7.3000000000000001E-3</v>
      </c>
      <c r="X1234" s="30">
        <f t="shared" si="376"/>
        <v>104.64</v>
      </c>
      <c r="Y1234" s="31">
        <f t="shared" si="377"/>
        <v>107.23</v>
      </c>
    </row>
    <row r="1235" spans="1:25" ht="15" customHeight="1" x14ac:dyDescent="0.25">
      <c r="A1235" s="5">
        <v>34700</v>
      </c>
      <c r="B1235">
        <v>646.14940000000001</v>
      </c>
      <c r="C1235" s="29">
        <f t="shared" si="381"/>
        <v>8.3000000000000001E-3</v>
      </c>
      <c r="D1235">
        <v>-0.39</v>
      </c>
      <c r="E1235">
        <v>0.88200000000000001</v>
      </c>
      <c r="F1235" s="18">
        <f t="shared" si="368"/>
        <v>-0.24399999999999977</v>
      </c>
      <c r="G1235" s="18">
        <f t="shared" si="369"/>
        <v>-0.91999999999999993</v>
      </c>
      <c r="H1235">
        <v>3.16</v>
      </c>
      <c r="I1235">
        <v>1.3</v>
      </c>
      <c r="J1235">
        <f t="shared" si="378"/>
        <v>2.23</v>
      </c>
      <c r="K1235" s="6">
        <f t="shared" si="379"/>
        <v>2.2200000000000002</v>
      </c>
      <c r="L1235" s="6">
        <f t="shared" si="380"/>
        <v>0</v>
      </c>
      <c r="M1235">
        <v>7.6944526861310994E-2</v>
      </c>
      <c r="N1235">
        <v>324250</v>
      </c>
      <c r="O1235" s="18">
        <f>ROUND(N1235/VLOOKUP(EOMONTH(A1235,-1),Employment!A:P,16,FALSE),4)</f>
        <v>1.6395999999999999</v>
      </c>
      <c r="P1235" s="18">
        <f t="shared" si="370"/>
        <v>1.6514</v>
      </c>
      <c r="Q1235" s="29">
        <f t="shared" si="371"/>
        <v>-2.4500000000000001E-2</v>
      </c>
      <c r="R1235" s="29">
        <f t="shared" si="372"/>
        <v>-1.0800000000000001E-2</v>
      </c>
      <c r="S1235">
        <v>2557000</v>
      </c>
      <c r="T1235" s="18">
        <f>ROUND((S1235/7)/VLOOKUP(EOMONTH(A1235,-1),Employment!A:P,16,FALSE),4)</f>
        <v>1.8471</v>
      </c>
      <c r="U1235" s="18">
        <f t="shared" si="373"/>
        <v>1.8255999999999999</v>
      </c>
      <c r="V1235" s="29">
        <f t="shared" si="374"/>
        <v>-9.9299999999999999E-2</v>
      </c>
      <c r="W1235" s="29">
        <f t="shared" si="375"/>
        <v>-2.2000000000000001E-3</v>
      </c>
      <c r="X1235" s="30">
        <f t="shared" si="376"/>
        <v>109.63</v>
      </c>
      <c r="Y1235" s="31">
        <f t="shared" si="377"/>
        <v>108.74</v>
      </c>
    </row>
    <row r="1236" spans="1:25" ht="15" customHeight="1" x14ac:dyDescent="0.25">
      <c r="A1236" s="5">
        <v>34693</v>
      </c>
      <c r="B1236">
        <v>641.56849999999997</v>
      </c>
      <c r="C1236" s="29">
        <f t="shared" si="381"/>
        <v>2.2000000000000001E-3</v>
      </c>
      <c r="D1236">
        <v>-0.4</v>
      </c>
      <c r="E1236">
        <v>0.86399999999999999</v>
      </c>
      <c r="F1236" s="18">
        <f t="shared" si="368"/>
        <v>-0.42400000000000038</v>
      </c>
      <c r="G1236" s="18">
        <f t="shared" si="369"/>
        <v>-0.79199999999999982</v>
      </c>
      <c r="H1236">
        <v>3.16</v>
      </c>
      <c r="I1236">
        <v>1.23</v>
      </c>
      <c r="J1236">
        <f t="shared" si="378"/>
        <v>2.2000000000000002</v>
      </c>
      <c r="K1236" s="6">
        <f t="shared" si="379"/>
        <v>2.2200000000000002</v>
      </c>
      <c r="L1236" s="6">
        <f t="shared" si="380"/>
        <v>-9.9999999999997868E-3</v>
      </c>
      <c r="M1236">
        <v>-0.26064157081618999</v>
      </c>
      <c r="N1236">
        <v>328000</v>
      </c>
      <c r="O1236" s="18">
        <f>ROUND(N1236/VLOOKUP(EOMONTH(A1236,-1),Employment!A:P,16,FALSE),4)</f>
        <v>1.6598999999999999</v>
      </c>
      <c r="P1236" s="18">
        <f t="shared" si="370"/>
        <v>1.6565000000000001</v>
      </c>
      <c r="Q1236" s="29">
        <f t="shared" si="371"/>
        <v>-3.5999999999999997E-2</v>
      </c>
      <c r="R1236" s="29">
        <f t="shared" si="372"/>
        <v>-9.7999999999999997E-3</v>
      </c>
      <c r="S1236">
        <v>2508000</v>
      </c>
      <c r="T1236" s="18">
        <f>ROUND((S1236/7)/VLOOKUP(EOMONTH(A1236,-1),Employment!A:P,16,FALSE),4)</f>
        <v>1.8130999999999999</v>
      </c>
      <c r="U1236" s="18">
        <f t="shared" si="373"/>
        <v>1.8196000000000001</v>
      </c>
      <c r="V1236" s="29">
        <f t="shared" si="374"/>
        <v>-0.10290000000000001</v>
      </c>
      <c r="W1236" s="29">
        <f t="shared" si="375"/>
        <v>-2.9999999999999997E-4</v>
      </c>
      <c r="X1236" s="30">
        <f t="shared" si="376"/>
        <v>107.68</v>
      </c>
      <c r="Y1236" s="31">
        <f t="shared" si="377"/>
        <v>109.05</v>
      </c>
    </row>
    <row r="1237" spans="1:25" ht="15" customHeight="1" x14ac:dyDescent="0.25">
      <c r="A1237" s="5">
        <v>34686</v>
      </c>
      <c r="B1237">
        <v>641.18029999999999</v>
      </c>
      <c r="C1237" s="29">
        <f t="shared" si="381"/>
        <v>3.8999999999999998E-3</v>
      </c>
      <c r="D1237">
        <v>-0.42</v>
      </c>
      <c r="E1237">
        <v>0.83599999999999997</v>
      </c>
      <c r="F1237" s="18">
        <f t="shared" si="368"/>
        <v>-0.25199999999999978</v>
      </c>
      <c r="G1237" s="18">
        <f t="shared" si="369"/>
        <v>-0.97599999999999998</v>
      </c>
      <c r="H1237">
        <v>3.16</v>
      </c>
      <c r="I1237">
        <v>1.28</v>
      </c>
      <c r="J1237">
        <f t="shared" si="378"/>
        <v>2.2200000000000002</v>
      </c>
      <c r="K1237" s="6">
        <f t="shared" si="379"/>
        <v>2.23</v>
      </c>
      <c r="L1237" s="6">
        <f t="shared" si="380"/>
        <v>-2.0000000000000018E-2</v>
      </c>
      <c r="M1237">
        <v>0.64964066635571005</v>
      </c>
      <c r="N1237">
        <v>327000</v>
      </c>
      <c r="O1237" s="18">
        <f>ROUND(N1237/VLOOKUP(EOMONTH(A1237,-1),Employment!A:P,16,FALSE),4)</f>
        <v>1.6548</v>
      </c>
      <c r="P1237" s="18">
        <f t="shared" si="370"/>
        <v>1.6565000000000001</v>
      </c>
      <c r="Q1237" s="29">
        <f t="shared" si="371"/>
        <v>-4.2000000000000003E-2</v>
      </c>
      <c r="R1237" s="29">
        <f t="shared" si="372"/>
        <v>-0.01</v>
      </c>
      <c r="S1237">
        <v>2513000</v>
      </c>
      <c r="T1237" s="18">
        <f>ROUND((S1237/7)/VLOOKUP(EOMONTH(A1237,-1),Employment!A:P,16,FALSE),4)</f>
        <v>1.8167</v>
      </c>
      <c r="U1237" s="18">
        <f t="shared" si="373"/>
        <v>1.8255999999999999</v>
      </c>
      <c r="V1237" s="29">
        <f t="shared" si="374"/>
        <v>-0.10580000000000001</v>
      </c>
      <c r="W1237" s="29">
        <f t="shared" si="375"/>
        <v>-2.7000000000000001E-3</v>
      </c>
      <c r="X1237" s="30">
        <f t="shared" si="376"/>
        <v>109.19</v>
      </c>
      <c r="Y1237" s="31">
        <f t="shared" si="377"/>
        <v>111.42</v>
      </c>
    </row>
    <row r="1238" spans="1:25" ht="15" customHeight="1" x14ac:dyDescent="0.25">
      <c r="A1238" s="5">
        <v>34679</v>
      </c>
      <c r="B1238">
        <v>640.94200000000001</v>
      </c>
      <c r="C1238" s="29">
        <f t="shared" si="381"/>
        <v>6.3E-3</v>
      </c>
      <c r="D1238">
        <v>-0.45</v>
      </c>
      <c r="E1238">
        <v>0.84199999999999997</v>
      </c>
      <c r="F1238" s="18">
        <f t="shared" si="368"/>
        <v>-0.11599999999999966</v>
      </c>
      <c r="G1238" s="18">
        <f t="shared" si="369"/>
        <v>-0.77200000000000024</v>
      </c>
      <c r="H1238">
        <v>3.16</v>
      </c>
      <c r="I1238">
        <v>1.29</v>
      </c>
      <c r="J1238">
        <f t="shared" si="378"/>
        <v>2.23</v>
      </c>
      <c r="K1238" s="6">
        <f t="shared" si="379"/>
        <v>2.25</v>
      </c>
      <c r="L1238" s="6">
        <f t="shared" si="380"/>
        <v>-9.9999999999997868E-3</v>
      </c>
      <c r="M1238">
        <v>0.39781508817720002</v>
      </c>
      <c r="N1238">
        <v>327000</v>
      </c>
      <c r="O1238" s="18">
        <f>ROUND(N1238/VLOOKUP(EOMONTH(A1238,-1),Employment!A:P,16,FALSE),4)</f>
        <v>1.6548</v>
      </c>
      <c r="P1238" s="18">
        <f t="shared" si="370"/>
        <v>1.6595</v>
      </c>
      <c r="Q1238" s="29">
        <f t="shared" si="371"/>
        <v>-4.7800000000000002E-2</v>
      </c>
      <c r="R1238" s="29">
        <f t="shared" si="372"/>
        <v>-7.9000000000000008E-3</v>
      </c>
      <c r="S1238">
        <v>2530000</v>
      </c>
      <c r="T1238" s="18">
        <f>ROUND((S1238/7)/VLOOKUP(EOMONTH(A1238,-1),Employment!A:P,16,FALSE),4)</f>
        <v>1.829</v>
      </c>
      <c r="U1238" s="18">
        <f t="shared" si="373"/>
        <v>1.8298000000000001</v>
      </c>
      <c r="V1238" s="29">
        <f t="shared" si="374"/>
        <v>-0.1022</v>
      </c>
      <c r="W1238" s="29">
        <f t="shared" si="375"/>
        <v>-1.9E-3</v>
      </c>
      <c r="X1238" s="30">
        <f t="shared" si="376"/>
        <v>112.11</v>
      </c>
      <c r="Y1238" s="31">
        <f t="shared" si="377"/>
        <v>115.33</v>
      </c>
    </row>
    <row r="1239" spans="1:25" ht="15" customHeight="1" x14ac:dyDescent="0.25">
      <c r="A1239" s="5">
        <v>34672</v>
      </c>
      <c r="B1239">
        <v>639.68960000000004</v>
      </c>
      <c r="C1239" s="29">
        <f t="shared" si="381"/>
        <v>7.0000000000000001E-3</v>
      </c>
      <c r="D1239">
        <v>-0.48</v>
      </c>
      <c r="E1239">
        <v>0.86499999999999999</v>
      </c>
      <c r="F1239" s="18">
        <f t="shared" si="368"/>
        <v>-0.60800000000000054</v>
      </c>
      <c r="G1239" s="18">
        <f t="shared" si="369"/>
        <v>-1.0080000000000009</v>
      </c>
      <c r="H1239">
        <v>3.16</v>
      </c>
      <c r="I1239">
        <v>1.33</v>
      </c>
      <c r="J1239">
        <f t="shared" si="378"/>
        <v>2.25</v>
      </c>
      <c r="K1239" s="6">
        <f t="shared" si="379"/>
        <v>2.2599999999999998</v>
      </c>
      <c r="L1239" s="6">
        <f t="shared" si="380"/>
        <v>-1.0000000000000231E-2</v>
      </c>
      <c r="M1239">
        <v>0.28542193680345002</v>
      </c>
      <c r="N1239">
        <v>328000</v>
      </c>
      <c r="O1239" s="18">
        <f>ROUND(N1239/VLOOKUP(EOMONTH(A1239,-1),Employment!A:P,16,FALSE),4)</f>
        <v>1.6598999999999999</v>
      </c>
      <c r="P1239" s="18">
        <f t="shared" si="370"/>
        <v>1.6641999999999999</v>
      </c>
      <c r="Q1239" s="29">
        <f t="shared" si="371"/>
        <v>-5.5100000000000003E-2</v>
      </c>
      <c r="R1239" s="29">
        <f t="shared" si="372"/>
        <v>-2.3E-3</v>
      </c>
      <c r="S1239">
        <v>2533000</v>
      </c>
      <c r="T1239" s="18">
        <f>ROUND((S1239/7)/VLOOKUP(EOMONTH(A1239,-1),Employment!A:P,16,FALSE),4)</f>
        <v>1.8311999999999999</v>
      </c>
      <c r="U1239" s="18">
        <f t="shared" si="373"/>
        <v>1.8323</v>
      </c>
      <c r="V1239" s="29">
        <f t="shared" si="374"/>
        <v>-0.1065</v>
      </c>
      <c r="W1239" s="29">
        <f t="shared" si="375"/>
        <v>4.0000000000000002E-4</v>
      </c>
      <c r="X1239" s="30">
        <f t="shared" si="376"/>
        <v>115.25</v>
      </c>
      <c r="Y1239" s="31">
        <f t="shared" si="377"/>
        <v>119.79</v>
      </c>
    </row>
    <row r="1240" spans="1:25" ht="15" customHeight="1" x14ac:dyDescent="0.25">
      <c r="A1240" s="5">
        <v>34665</v>
      </c>
      <c r="B1240">
        <v>638.85119999999995</v>
      </c>
      <c r="C1240" s="29">
        <f t="shared" si="381"/>
        <v>8.3000000000000001E-3</v>
      </c>
      <c r="D1240">
        <v>-0.5</v>
      </c>
      <c r="E1240">
        <v>0.81399999999999995</v>
      </c>
      <c r="F1240" s="18">
        <f t="shared" si="368"/>
        <v>-4.8000000000000043E-2</v>
      </c>
      <c r="G1240" s="18">
        <f t="shared" si="369"/>
        <v>-0.40000000000000036</v>
      </c>
      <c r="H1240">
        <v>3.16</v>
      </c>
      <c r="I1240">
        <v>1.38</v>
      </c>
      <c r="J1240">
        <f t="shared" si="378"/>
        <v>2.27</v>
      </c>
      <c r="K1240" s="6">
        <f t="shared" si="379"/>
        <v>2.27</v>
      </c>
      <c r="L1240" s="6">
        <f t="shared" si="380"/>
        <v>0</v>
      </c>
      <c r="M1240">
        <v>1.0780573881071001</v>
      </c>
      <c r="N1240">
        <v>328500</v>
      </c>
      <c r="O1240" s="18">
        <f>ROUND(N1240/VLOOKUP(EOMONTH(A1240,-1),Employment!A:P,16,FALSE),4)</f>
        <v>1.6638999999999999</v>
      </c>
      <c r="P1240" s="18">
        <f t="shared" si="370"/>
        <v>1.6698</v>
      </c>
      <c r="Q1240" s="29">
        <f t="shared" si="371"/>
        <v>-6.2899999999999998E-2</v>
      </c>
      <c r="R1240" s="29">
        <f t="shared" si="372"/>
        <v>3.8999999999999998E-3</v>
      </c>
      <c r="S1240">
        <v>2528000</v>
      </c>
      <c r="T1240" s="18">
        <f>ROUND((S1240/7)/VLOOKUP(EOMONTH(A1240,-1),Employment!A:P,16,FALSE),4)</f>
        <v>1.8291999999999999</v>
      </c>
      <c r="U1240" s="18">
        <f t="shared" si="373"/>
        <v>1.8335999999999999</v>
      </c>
      <c r="V1240" s="29">
        <f t="shared" si="374"/>
        <v>-0.1061</v>
      </c>
      <c r="W1240" s="29">
        <f t="shared" si="375"/>
        <v>7.4000000000000003E-3</v>
      </c>
      <c r="X1240" s="30">
        <f t="shared" si="376"/>
        <v>123.55</v>
      </c>
      <c r="Y1240" s="31">
        <f t="shared" si="377"/>
        <v>122.67</v>
      </c>
    </row>
    <row r="1241" spans="1:25" ht="15" customHeight="1" x14ac:dyDescent="0.25">
      <c r="A1241" s="5">
        <v>34658</v>
      </c>
      <c r="B1241">
        <v>635.1866</v>
      </c>
      <c r="C1241" s="29">
        <f t="shared" si="381"/>
        <v>4.8999999999999998E-3</v>
      </c>
      <c r="D1241">
        <v>-0.52</v>
      </c>
      <c r="E1241">
        <v>0.83299999999999996</v>
      </c>
      <c r="F1241" s="18">
        <f t="shared" si="368"/>
        <v>-0.35200000000000031</v>
      </c>
      <c r="G1241" s="18">
        <f t="shared" si="369"/>
        <v>-0.80799999999999894</v>
      </c>
      <c r="H1241">
        <v>3.16</v>
      </c>
      <c r="I1241">
        <v>1.35</v>
      </c>
      <c r="J1241">
        <f t="shared" si="378"/>
        <v>2.2599999999999998</v>
      </c>
      <c r="K1241" s="6">
        <f t="shared" si="379"/>
        <v>2.27</v>
      </c>
      <c r="L1241" s="6">
        <f t="shared" si="380"/>
        <v>0</v>
      </c>
      <c r="M1241">
        <v>9.3012278700221995E-2</v>
      </c>
      <c r="N1241">
        <v>329500</v>
      </c>
      <c r="O1241" s="18">
        <f>ROUND(N1241/VLOOKUP(EOMONTH(A1241,-1),Employment!A:P,16,FALSE),4)</f>
        <v>1.6689000000000001</v>
      </c>
      <c r="P1241" s="18">
        <f t="shared" si="370"/>
        <v>1.6795</v>
      </c>
      <c r="Q1241" s="29">
        <f t="shared" si="371"/>
        <v>-6.6600000000000006E-2</v>
      </c>
      <c r="R1241" s="29">
        <f t="shared" si="372"/>
        <v>7.6E-3</v>
      </c>
      <c r="S1241">
        <v>2538000</v>
      </c>
      <c r="T1241" s="18">
        <f>ROUND((S1241/7)/VLOOKUP(EOMONTH(A1241,-1),Employment!A:P,16,FALSE),4)</f>
        <v>1.8365</v>
      </c>
      <c r="U1241" s="18">
        <f t="shared" si="373"/>
        <v>1.8403</v>
      </c>
      <c r="V1241" s="29">
        <f t="shared" si="374"/>
        <v>-0.11310000000000001</v>
      </c>
      <c r="W1241" s="29">
        <f t="shared" si="375"/>
        <v>9.1999999999999998E-3</v>
      </c>
      <c r="X1241" s="30">
        <f t="shared" si="376"/>
        <v>121.72999999999999</v>
      </c>
      <c r="Y1241" s="31">
        <f t="shared" si="377"/>
        <v>122.2</v>
      </c>
    </row>
    <row r="1242" spans="1:25" ht="15" customHeight="1" x14ac:dyDescent="0.25">
      <c r="A1242" s="5">
        <v>34651</v>
      </c>
      <c r="B1242">
        <v>633.90940000000001</v>
      </c>
      <c r="C1242" s="29">
        <f t="shared" si="381"/>
        <v>4.5999999999999999E-3</v>
      </c>
      <c r="D1242">
        <v>-0.54</v>
      </c>
      <c r="E1242">
        <v>0.81399999999999995</v>
      </c>
      <c r="F1242" s="18">
        <f t="shared" si="368"/>
        <v>0</v>
      </c>
      <c r="G1242" s="18">
        <f t="shared" si="369"/>
        <v>-0.45599999999999952</v>
      </c>
      <c r="H1242">
        <v>3.16</v>
      </c>
      <c r="I1242">
        <v>1.39</v>
      </c>
      <c r="J1242">
        <f t="shared" si="378"/>
        <v>2.2799999999999998</v>
      </c>
      <c r="K1242" s="6">
        <f t="shared" si="379"/>
        <v>2.27</v>
      </c>
      <c r="L1242" s="6">
        <f t="shared" si="380"/>
        <v>-9.9999999999997868E-3</v>
      </c>
      <c r="M1242">
        <v>-7.1719920804457996E-3</v>
      </c>
      <c r="N1242">
        <v>331000</v>
      </c>
      <c r="O1242" s="18">
        <f>ROUND(N1242/VLOOKUP(EOMONTH(A1242,-1),Employment!A:P,16,FALSE),4)</f>
        <v>1.6765000000000001</v>
      </c>
      <c r="P1242" s="18">
        <f t="shared" si="370"/>
        <v>1.6876</v>
      </c>
      <c r="Q1242" s="29">
        <f t="shared" si="371"/>
        <v>-6.4199999999999993E-2</v>
      </c>
      <c r="R1242" s="29">
        <f t="shared" si="372"/>
        <v>8.0999999999999996E-3</v>
      </c>
      <c r="S1242">
        <v>2536000</v>
      </c>
      <c r="T1242" s="18">
        <f>ROUND((S1242/7)/VLOOKUP(EOMONTH(A1242,-1),Employment!A:P,16,FALSE),4)</f>
        <v>1.835</v>
      </c>
      <c r="U1242" s="18">
        <f t="shared" si="373"/>
        <v>1.8607</v>
      </c>
      <c r="V1242" s="29">
        <f t="shared" si="374"/>
        <v>-0.10349999999999999</v>
      </c>
      <c r="W1242" s="29">
        <f t="shared" si="375"/>
        <v>8.0000000000000002E-3</v>
      </c>
      <c r="X1242" s="30">
        <f t="shared" si="376"/>
        <v>122.78999999999999</v>
      </c>
      <c r="Y1242" s="31">
        <f t="shared" si="377"/>
        <v>122.64</v>
      </c>
    </row>
    <row r="1243" spans="1:25" ht="15" customHeight="1" x14ac:dyDescent="0.25">
      <c r="A1243" s="5">
        <v>34644</v>
      </c>
      <c r="B1243">
        <v>632.97640000000001</v>
      </c>
      <c r="C1243" s="29">
        <f t="shared" si="381"/>
        <v>6.0000000000000001E-3</v>
      </c>
      <c r="D1243">
        <v>-0.56000000000000005</v>
      </c>
      <c r="E1243">
        <v>0.83899999999999997</v>
      </c>
      <c r="F1243" s="18">
        <f t="shared" si="368"/>
        <v>-0.45599999999999863</v>
      </c>
      <c r="G1243" s="18">
        <f t="shared" si="369"/>
        <v>-0.85999999999999943</v>
      </c>
      <c r="H1243">
        <v>3.16</v>
      </c>
      <c r="I1243">
        <v>1.35</v>
      </c>
      <c r="J1243">
        <f t="shared" si="378"/>
        <v>2.2599999999999998</v>
      </c>
      <c r="K1243" s="6">
        <f t="shared" si="379"/>
        <v>2.2799999999999998</v>
      </c>
      <c r="L1243" s="6">
        <f t="shared" si="380"/>
        <v>-2.0000000000000018E-2</v>
      </c>
      <c r="M1243">
        <v>-0.12412066114654</v>
      </c>
      <c r="N1243">
        <v>334250</v>
      </c>
      <c r="O1243" s="18">
        <f>ROUND(N1243/VLOOKUP(EOMONTH(A1243,-1),Employment!A:P,16,FALSE),4)</f>
        <v>1.6930000000000001</v>
      </c>
      <c r="P1243" s="18">
        <f t="shared" si="370"/>
        <v>1.6911</v>
      </c>
      <c r="Q1243" s="29">
        <f t="shared" si="371"/>
        <v>-5.7799999999999997E-2</v>
      </c>
      <c r="R1243" s="29">
        <f t="shared" si="372"/>
        <v>8.6999999999999994E-3</v>
      </c>
      <c r="S1243">
        <v>2556000</v>
      </c>
      <c r="T1243" s="18">
        <f>ROUND((S1243/7)/VLOOKUP(EOMONTH(A1243,-1),Employment!A:P,16,FALSE),4)</f>
        <v>1.8494999999999999</v>
      </c>
      <c r="U1243" s="18">
        <f t="shared" si="373"/>
        <v>1.8673</v>
      </c>
      <c r="V1243" s="29">
        <f t="shared" si="374"/>
        <v>-0.1004</v>
      </c>
      <c r="W1243" s="29">
        <f t="shared" si="375"/>
        <v>3.5000000000000001E-3</v>
      </c>
      <c r="X1243" s="30">
        <f t="shared" si="376"/>
        <v>121.88</v>
      </c>
      <c r="Y1243" s="31">
        <f t="shared" si="377"/>
        <v>122.77</v>
      </c>
    </row>
    <row r="1244" spans="1:25" ht="15" customHeight="1" x14ac:dyDescent="0.25">
      <c r="A1244" s="5">
        <v>34637</v>
      </c>
      <c r="B1244">
        <v>632.19060000000002</v>
      </c>
      <c r="C1244" s="29">
        <f t="shared" si="381"/>
        <v>7.1000000000000004E-3</v>
      </c>
      <c r="D1244">
        <v>-0.57999999999999996</v>
      </c>
      <c r="E1244">
        <v>0.80700000000000005</v>
      </c>
      <c r="F1244" s="18">
        <f t="shared" si="368"/>
        <v>-8.8817841970012523E-16</v>
      </c>
      <c r="G1244" s="18">
        <f t="shared" si="369"/>
        <v>-0.94400000000000084</v>
      </c>
      <c r="H1244">
        <v>3.16</v>
      </c>
      <c r="I1244">
        <v>1.4</v>
      </c>
      <c r="J1244">
        <f t="shared" si="378"/>
        <v>2.2799999999999998</v>
      </c>
      <c r="K1244" s="6">
        <f t="shared" si="379"/>
        <v>2.2999999999999998</v>
      </c>
      <c r="L1244" s="6">
        <f t="shared" si="380"/>
        <v>-2.0000000000000018E-2</v>
      </c>
      <c r="M1244">
        <v>0.27298277135961002</v>
      </c>
      <c r="N1244">
        <v>334000</v>
      </c>
      <c r="O1244" s="18">
        <f>ROUND(N1244/VLOOKUP(EOMONTH(A1244,-1),Employment!A:P,16,FALSE),4)</f>
        <v>1.6933</v>
      </c>
      <c r="P1244" s="18">
        <f t="shared" si="370"/>
        <v>1.6853</v>
      </c>
      <c r="Q1244" s="29">
        <f t="shared" si="371"/>
        <v>-5.2600000000000001E-2</v>
      </c>
      <c r="R1244" s="29">
        <f t="shared" si="372"/>
        <v>1.06E-2</v>
      </c>
      <c r="S1244">
        <v>2620000</v>
      </c>
      <c r="T1244" s="18">
        <f>ROUND((S1244/7)/VLOOKUP(EOMONTH(A1244,-1),Employment!A:P,16,FALSE),4)</f>
        <v>1.8975</v>
      </c>
      <c r="U1244" s="18">
        <f t="shared" si="373"/>
        <v>1.8776999999999999</v>
      </c>
      <c r="V1244" s="29">
        <f t="shared" si="374"/>
        <v>-8.7999999999999995E-2</v>
      </c>
      <c r="W1244" s="29">
        <f t="shared" si="375"/>
        <v>3.7000000000000002E-3</v>
      </c>
      <c r="X1244" s="30">
        <f t="shared" si="376"/>
        <v>124.17</v>
      </c>
      <c r="Y1244" s="31">
        <f t="shared" si="377"/>
        <v>122.92</v>
      </c>
    </row>
    <row r="1245" spans="1:25" ht="15" customHeight="1" x14ac:dyDescent="0.25">
      <c r="A1245" s="5">
        <v>34630</v>
      </c>
      <c r="B1245">
        <v>629.32669999999996</v>
      </c>
      <c r="C1245" s="29">
        <f t="shared" si="381"/>
        <v>5.0000000000000001E-3</v>
      </c>
      <c r="D1245">
        <v>-0.6</v>
      </c>
      <c r="E1245">
        <v>0.83199999999999996</v>
      </c>
      <c r="F1245" s="18">
        <f t="shared" si="368"/>
        <v>-0.40399999999999991</v>
      </c>
      <c r="G1245" s="18">
        <f t="shared" si="369"/>
        <v>-2.2279999999999989</v>
      </c>
      <c r="H1245">
        <v>3.16</v>
      </c>
      <c r="I1245">
        <v>1.44</v>
      </c>
      <c r="J1245">
        <f t="shared" si="378"/>
        <v>2.2999999999999998</v>
      </c>
      <c r="K1245" s="6">
        <f t="shared" si="379"/>
        <v>2.3199999999999998</v>
      </c>
      <c r="L1245" s="6">
        <f t="shared" si="380"/>
        <v>-1.0000000000000231E-2</v>
      </c>
      <c r="M1245">
        <v>0.61646230059272999</v>
      </c>
      <c r="N1245">
        <v>332750</v>
      </c>
      <c r="O1245" s="18">
        <f>ROUND(N1245/VLOOKUP(EOMONTH(A1245,-1),Employment!A:P,16,FALSE),4)</f>
        <v>1.6870000000000001</v>
      </c>
      <c r="P1245" s="18">
        <f t="shared" si="370"/>
        <v>1.6752</v>
      </c>
      <c r="Q1245" s="29">
        <f t="shared" si="371"/>
        <v>-4.7699999999999999E-2</v>
      </c>
      <c r="R1245" s="29">
        <f t="shared" si="372"/>
        <v>1.2800000000000001E-2</v>
      </c>
      <c r="S1245">
        <v>2561000</v>
      </c>
      <c r="T1245" s="18">
        <f>ROUND((S1245/7)/VLOOKUP(EOMONTH(A1245,-1),Employment!A:P,16,FALSE),4)</f>
        <v>1.8548</v>
      </c>
      <c r="U1245" s="18">
        <f t="shared" si="373"/>
        <v>1.8732</v>
      </c>
      <c r="V1245" s="29">
        <f t="shared" si="374"/>
        <v>-9.0499999999999997E-2</v>
      </c>
      <c r="W1245" s="29">
        <f t="shared" si="375"/>
        <v>7.9000000000000008E-3</v>
      </c>
      <c r="X1245" s="30">
        <f t="shared" si="376"/>
        <v>121.47</v>
      </c>
      <c r="Y1245" s="31">
        <f t="shared" si="377"/>
        <v>121.59</v>
      </c>
    </row>
    <row r="1246" spans="1:25" ht="15" customHeight="1" x14ac:dyDescent="0.25">
      <c r="A1246" s="5">
        <v>34623</v>
      </c>
      <c r="B1246">
        <v>629.55999999999995</v>
      </c>
      <c r="C1246" s="29">
        <f t="shared" si="381"/>
        <v>8.0000000000000002E-3</v>
      </c>
      <c r="D1246">
        <v>-0.63</v>
      </c>
      <c r="E1246">
        <v>0.81899999999999995</v>
      </c>
      <c r="F1246" s="18">
        <f t="shared" si="368"/>
        <v>-0.54</v>
      </c>
      <c r="G1246" s="18">
        <f t="shared" si="369"/>
        <v>-2.1719999999999988</v>
      </c>
      <c r="H1246">
        <v>3.16</v>
      </c>
      <c r="I1246">
        <v>1.49</v>
      </c>
      <c r="J1246">
        <f t="shared" si="378"/>
        <v>2.33</v>
      </c>
      <c r="K1246" s="6">
        <f t="shared" si="379"/>
        <v>2.33</v>
      </c>
      <c r="L1246" s="6">
        <f t="shared" si="380"/>
        <v>0</v>
      </c>
      <c r="M1246">
        <v>1.0151553795293999</v>
      </c>
      <c r="N1246">
        <v>330500</v>
      </c>
      <c r="O1246" s="18">
        <f>ROUND(N1246/VLOOKUP(EOMONTH(A1246,-1),Employment!A:P,16,FALSE),4)</f>
        <v>1.6756</v>
      </c>
      <c r="P1246" s="18">
        <f t="shared" si="370"/>
        <v>1.6709000000000001</v>
      </c>
      <c r="Q1246" s="29">
        <f t="shared" si="371"/>
        <v>-4.2299999999999997E-2</v>
      </c>
      <c r="R1246" s="29">
        <f t="shared" si="372"/>
        <v>1.12E-2</v>
      </c>
      <c r="S1246">
        <v>2597000</v>
      </c>
      <c r="T1246" s="18">
        <f>ROUND((S1246/7)/VLOOKUP(EOMONTH(A1246,-1),Employment!A:P,16,FALSE),4)</f>
        <v>1.8809</v>
      </c>
      <c r="U1246" s="18">
        <f t="shared" si="373"/>
        <v>1.8917999999999999</v>
      </c>
      <c r="V1246" s="29">
        <f t="shared" si="374"/>
        <v>-8.7599999999999997E-2</v>
      </c>
      <c r="W1246" s="29">
        <f t="shared" si="375"/>
        <v>1.23E-2</v>
      </c>
      <c r="X1246" s="30">
        <f t="shared" si="376"/>
        <v>123.4</v>
      </c>
      <c r="Y1246" s="31">
        <f t="shared" si="377"/>
        <v>119.27</v>
      </c>
    </row>
    <row r="1247" spans="1:25" ht="15" customHeight="1" x14ac:dyDescent="0.25">
      <c r="A1247" s="5">
        <v>34616</v>
      </c>
      <c r="B1247">
        <v>625.64909999999998</v>
      </c>
      <c r="C1247" s="29">
        <f t="shared" si="381"/>
        <v>2.5999999999999999E-3</v>
      </c>
      <c r="D1247">
        <v>-0.66</v>
      </c>
      <c r="E1247">
        <v>0.78900000000000003</v>
      </c>
      <c r="F1247" s="18">
        <f t="shared" si="368"/>
        <v>-1.2839999999999989</v>
      </c>
      <c r="G1247" s="18">
        <f t="shared" si="369"/>
        <v>-2.1040000000000001</v>
      </c>
      <c r="H1247">
        <v>3.16</v>
      </c>
      <c r="I1247">
        <v>1.51</v>
      </c>
      <c r="J1247">
        <f t="shared" si="378"/>
        <v>2.34</v>
      </c>
      <c r="K1247" s="6">
        <f t="shared" si="379"/>
        <v>2.33</v>
      </c>
      <c r="L1247" s="6">
        <f t="shared" si="380"/>
        <v>0</v>
      </c>
      <c r="M1247">
        <v>1.3378925094575</v>
      </c>
      <c r="N1247">
        <v>328000</v>
      </c>
      <c r="O1247" s="18">
        <f>ROUND(N1247/VLOOKUP(EOMONTH(A1247,-1),Employment!A:P,16,FALSE),4)</f>
        <v>1.6629</v>
      </c>
      <c r="P1247" s="18">
        <f t="shared" si="370"/>
        <v>1.6778</v>
      </c>
      <c r="Q1247" s="29">
        <f t="shared" si="371"/>
        <v>-3.2300000000000002E-2</v>
      </c>
      <c r="R1247" s="29">
        <f t="shared" si="372"/>
        <v>4.4999999999999997E-3</v>
      </c>
      <c r="S1247">
        <v>2601000</v>
      </c>
      <c r="T1247" s="18">
        <f>ROUND((S1247/7)/VLOOKUP(EOMONTH(A1247,-1),Employment!A:P,16,FALSE),4)</f>
        <v>1.8837999999999999</v>
      </c>
      <c r="U1247" s="18">
        <f t="shared" si="373"/>
        <v>1.9011</v>
      </c>
      <c r="V1247" s="29">
        <f t="shared" si="374"/>
        <v>-8.7099999999999997E-2</v>
      </c>
      <c r="W1247" s="29">
        <f t="shared" si="375"/>
        <v>1.06E-2</v>
      </c>
      <c r="X1247" s="30">
        <f t="shared" si="376"/>
        <v>117.36</v>
      </c>
      <c r="Y1247" s="31">
        <f t="shared" si="377"/>
        <v>113.75</v>
      </c>
    </row>
    <row r="1248" spans="1:25" ht="15" customHeight="1" x14ac:dyDescent="0.25">
      <c r="A1248" s="5">
        <v>34609</v>
      </c>
      <c r="B1248">
        <v>626.33730000000003</v>
      </c>
      <c r="C1248" s="29">
        <f t="shared" si="381"/>
        <v>4.8999999999999998E-3</v>
      </c>
      <c r="D1248">
        <v>-0.69</v>
      </c>
      <c r="E1248">
        <v>0.66600000000000004</v>
      </c>
      <c r="F1248" s="18">
        <f t="shared" si="368"/>
        <v>-0.34799999999999986</v>
      </c>
      <c r="G1248" s="18">
        <f t="shared" si="369"/>
        <v>-1.3360000000000012</v>
      </c>
      <c r="H1248">
        <v>3.16</v>
      </c>
      <c r="I1248">
        <v>1.5</v>
      </c>
      <c r="J1248">
        <f t="shared" si="378"/>
        <v>2.33</v>
      </c>
      <c r="K1248" s="6">
        <f t="shared" si="379"/>
        <v>2.33</v>
      </c>
      <c r="L1248" s="6">
        <f t="shared" si="380"/>
        <v>-9.9999999999997868E-3</v>
      </c>
      <c r="M1248">
        <v>1.2910518127234001</v>
      </c>
      <c r="N1248">
        <v>330250</v>
      </c>
      <c r="O1248" s="18">
        <f>ROUND(N1248/VLOOKUP(EOMONTH(A1248,-1),Employment!A:P,16,FALSE),4)</f>
        <v>1.6742999999999999</v>
      </c>
      <c r="P1248" s="18">
        <f t="shared" si="370"/>
        <v>1.6911</v>
      </c>
      <c r="Q1248" s="29">
        <f t="shared" si="371"/>
        <v>-2.2800000000000001E-2</v>
      </c>
      <c r="R1248" s="29">
        <f t="shared" si="372"/>
        <v>-7.4999999999999997E-3</v>
      </c>
      <c r="S1248">
        <v>2638000</v>
      </c>
      <c r="T1248" s="18">
        <f>ROUND((S1248/7)/VLOOKUP(EOMONTH(A1248,-1),Employment!A:P,16,FALSE),4)</f>
        <v>1.9106000000000001</v>
      </c>
      <c r="U1248" s="18">
        <f t="shared" si="373"/>
        <v>1.9124000000000001</v>
      </c>
      <c r="V1248" s="29">
        <f t="shared" si="374"/>
        <v>-7.46E-2</v>
      </c>
      <c r="W1248" s="29">
        <f t="shared" si="375"/>
        <v>4.0000000000000001E-3</v>
      </c>
      <c r="X1248" s="30">
        <f t="shared" si="376"/>
        <v>113.74000000000001</v>
      </c>
      <c r="Y1248" s="31">
        <f t="shared" si="377"/>
        <v>108.52</v>
      </c>
    </row>
    <row r="1249" spans="1:25" ht="15" customHeight="1" x14ac:dyDescent="0.25">
      <c r="A1249" s="5">
        <v>34602</v>
      </c>
      <c r="B1249">
        <v>623.19230000000005</v>
      </c>
      <c r="C1249" s="29">
        <f t="shared" si="381"/>
        <v>2.0000000000000001E-4</v>
      </c>
      <c r="D1249">
        <v>-0.72</v>
      </c>
      <c r="E1249">
        <v>0.66</v>
      </c>
      <c r="F1249" s="18">
        <f t="shared" si="368"/>
        <v>-0.47200000000000131</v>
      </c>
      <c r="G1249" s="18">
        <f t="shared" si="369"/>
        <v>-0.99200000000000088</v>
      </c>
      <c r="H1249">
        <v>3.16</v>
      </c>
      <c r="I1249">
        <v>1.48</v>
      </c>
      <c r="J1249">
        <f t="shared" si="378"/>
        <v>2.3199999999999998</v>
      </c>
      <c r="K1249" s="6">
        <f t="shared" si="379"/>
        <v>2.34</v>
      </c>
      <c r="L1249" s="6">
        <f t="shared" si="380"/>
        <v>-1.0000000000000231E-2</v>
      </c>
      <c r="M1249">
        <v>0.99396620318308004</v>
      </c>
      <c r="N1249">
        <v>334250</v>
      </c>
      <c r="O1249" s="18">
        <f>ROUND(N1249/VLOOKUP(EOMONTH(A1249,-1),Employment!A:P,16,FALSE),4)</f>
        <v>1.6962999999999999</v>
      </c>
      <c r="P1249" s="18">
        <f t="shared" si="370"/>
        <v>1.7021999999999999</v>
      </c>
      <c r="Q1249" s="29">
        <f t="shared" si="371"/>
        <v>-1.5699999999999999E-2</v>
      </c>
      <c r="R1249" s="29">
        <f t="shared" si="372"/>
        <v>-1.84E-2</v>
      </c>
      <c r="S1249">
        <v>2633000</v>
      </c>
      <c r="T1249" s="18">
        <f>ROUND((S1249/7)/VLOOKUP(EOMONTH(A1249,-1),Employment!A:P,16,FALSE),4)</f>
        <v>1.9089</v>
      </c>
      <c r="U1249" s="18">
        <f t="shared" si="373"/>
        <v>1.9154</v>
      </c>
      <c r="V1249" s="29">
        <f t="shared" si="374"/>
        <v>-6.59E-2</v>
      </c>
      <c r="W1249" s="29">
        <f t="shared" si="375"/>
        <v>-2.8E-3</v>
      </c>
      <c r="X1249" s="30">
        <f t="shared" si="376"/>
        <v>104.77</v>
      </c>
      <c r="Y1249" s="31">
        <f t="shared" si="377"/>
        <v>107.03</v>
      </c>
    </row>
    <row r="1250" spans="1:25" ht="15" customHeight="1" x14ac:dyDescent="0.25">
      <c r="A1250" s="5">
        <v>34595</v>
      </c>
      <c r="B1250">
        <v>623.1422</v>
      </c>
      <c r="C1250" s="29">
        <f t="shared" si="381"/>
        <v>1E-3</v>
      </c>
      <c r="D1250">
        <v>-0.74</v>
      </c>
      <c r="E1250">
        <v>0.626</v>
      </c>
      <c r="F1250" s="18">
        <f t="shared" si="368"/>
        <v>-0.51600000000000001</v>
      </c>
      <c r="G1250" s="18">
        <f t="shared" si="369"/>
        <v>-0.56799999999999962</v>
      </c>
      <c r="H1250">
        <v>3.16</v>
      </c>
      <c r="I1250">
        <v>1.52</v>
      </c>
      <c r="J1250">
        <f t="shared" si="378"/>
        <v>2.34</v>
      </c>
      <c r="K1250" s="6">
        <f t="shared" si="379"/>
        <v>2.35</v>
      </c>
      <c r="L1250" s="6">
        <f t="shared" si="380"/>
        <v>0</v>
      </c>
      <c r="M1250">
        <v>1.3594452868011</v>
      </c>
      <c r="N1250">
        <v>335500</v>
      </c>
      <c r="O1250" s="18">
        <f>ROUND(N1250/VLOOKUP(EOMONTH(A1250,-1),Employment!A:P,16,FALSE),4)</f>
        <v>1.7027000000000001</v>
      </c>
      <c r="P1250" s="18">
        <f t="shared" si="370"/>
        <v>1.7056</v>
      </c>
      <c r="Q1250" s="29">
        <f t="shared" si="371"/>
        <v>-1.72E-2</v>
      </c>
      <c r="R1250" s="29">
        <f t="shared" si="372"/>
        <v>-2.18E-2</v>
      </c>
      <c r="S1250">
        <v>2645000</v>
      </c>
      <c r="T1250" s="18">
        <f>ROUND((S1250/7)/VLOOKUP(EOMONTH(A1250,-1),Employment!A:P,16,FALSE),4)</f>
        <v>1.9176</v>
      </c>
      <c r="U1250" s="18">
        <f t="shared" si="373"/>
        <v>1.9217</v>
      </c>
      <c r="V1250" s="29">
        <f t="shared" si="374"/>
        <v>-6.0299999999999999E-2</v>
      </c>
      <c r="W1250" s="29">
        <f t="shared" si="375"/>
        <v>-5.4999999999999997E-3</v>
      </c>
      <c r="X1250" s="30">
        <f t="shared" si="376"/>
        <v>104.84</v>
      </c>
      <c r="Y1250" s="31">
        <f t="shared" si="377"/>
        <v>114.81</v>
      </c>
    </row>
    <row r="1251" spans="1:25" ht="15" customHeight="1" x14ac:dyDescent="0.25">
      <c r="A1251" s="5">
        <v>34588</v>
      </c>
      <c r="B1251">
        <v>623.34400000000005</v>
      </c>
      <c r="C1251" s="29">
        <f t="shared" si="381"/>
        <v>3.5000000000000001E-3</v>
      </c>
      <c r="D1251">
        <v>-0.75</v>
      </c>
      <c r="E1251">
        <v>0.57399999999999995</v>
      </c>
      <c r="F1251" s="18">
        <f t="shared" si="368"/>
        <v>-3.9999999999995595E-3</v>
      </c>
      <c r="G1251" s="18">
        <f t="shared" si="369"/>
        <v>0.88400000000000034</v>
      </c>
      <c r="H1251">
        <v>3.16</v>
      </c>
      <c r="I1251">
        <v>1.54</v>
      </c>
      <c r="J1251">
        <f t="shared" si="378"/>
        <v>2.35</v>
      </c>
      <c r="K1251" s="6">
        <f t="shared" si="379"/>
        <v>2.35</v>
      </c>
      <c r="L1251" s="6">
        <f t="shared" si="380"/>
        <v>0</v>
      </c>
      <c r="M1251">
        <v>1.1490906598737001</v>
      </c>
      <c r="N1251">
        <v>336500</v>
      </c>
      <c r="O1251" s="18">
        <f>ROUND(N1251/VLOOKUP(EOMONTH(A1251,-1),Employment!A:P,16,FALSE),4)</f>
        <v>1.7077</v>
      </c>
      <c r="P1251" s="18">
        <f t="shared" si="370"/>
        <v>1.7036</v>
      </c>
      <c r="Q1251" s="29">
        <f t="shared" si="371"/>
        <v>-2.75E-2</v>
      </c>
      <c r="R1251" s="29">
        <f t="shared" si="372"/>
        <v>-1.01E-2</v>
      </c>
      <c r="S1251">
        <v>2648000</v>
      </c>
      <c r="T1251" s="18">
        <f>ROUND((S1251/7)/VLOOKUP(EOMONTH(A1251,-1),Employment!A:P,16,FALSE),4)</f>
        <v>1.9198</v>
      </c>
      <c r="U1251" s="18">
        <f t="shared" si="373"/>
        <v>1.9209000000000001</v>
      </c>
      <c r="V1251" s="29">
        <f t="shared" si="374"/>
        <v>-6.3500000000000001E-2</v>
      </c>
      <c r="W1251" s="29">
        <f t="shared" si="375"/>
        <v>-2.8E-3</v>
      </c>
      <c r="X1251" s="30">
        <f t="shared" si="376"/>
        <v>118.17</v>
      </c>
      <c r="Y1251" s="31">
        <f t="shared" si="377"/>
        <v>127.82</v>
      </c>
    </row>
    <row r="1252" spans="1:25" ht="15" customHeight="1" x14ac:dyDescent="0.25">
      <c r="A1252" s="5">
        <v>34581</v>
      </c>
      <c r="B1252">
        <v>623.4932</v>
      </c>
      <c r="C1252" s="29">
        <f t="shared" si="381"/>
        <v>5.4000000000000003E-3</v>
      </c>
      <c r="D1252">
        <v>-0.76</v>
      </c>
      <c r="E1252">
        <v>0.58599999999999997</v>
      </c>
      <c r="F1252" s="18">
        <f t="shared" si="368"/>
        <v>-4.8000000000000043E-2</v>
      </c>
      <c r="G1252" s="18">
        <f t="shared" si="369"/>
        <v>0.41199999999999992</v>
      </c>
      <c r="H1252">
        <v>3.16</v>
      </c>
      <c r="I1252">
        <v>1.56</v>
      </c>
      <c r="J1252">
        <f t="shared" si="378"/>
        <v>2.36</v>
      </c>
      <c r="K1252" s="6">
        <f t="shared" si="379"/>
        <v>2.35</v>
      </c>
      <c r="L1252" s="6">
        <f t="shared" si="380"/>
        <v>1.0000000000000231E-2</v>
      </c>
      <c r="M1252">
        <v>1.2690193236209999</v>
      </c>
      <c r="N1252">
        <v>336250</v>
      </c>
      <c r="O1252" s="18">
        <f>ROUND(N1252/VLOOKUP(EOMONTH(A1252,-1),Employment!A:P,16,FALSE),4)</f>
        <v>1.7064999999999999</v>
      </c>
      <c r="P1252" s="18">
        <f t="shared" si="370"/>
        <v>1.7058</v>
      </c>
      <c r="Q1252" s="29">
        <f t="shared" si="371"/>
        <v>-5.0599999999999999E-2</v>
      </c>
      <c r="R1252" s="29">
        <f t="shared" si="372"/>
        <v>1.09E-2</v>
      </c>
      <c r="S1252">
        <v>2659000</v>
      </c>
      <c r="T1252" s="18">
        <f>ROUND((S1252/7)/VLOOKUP(EOMONTH(A1252,-1),Employment!A:P,16,FALSE),4)</f>
        <v>1.9278</v>
      </c>
      <c r="U1252" s="18">
        <f t="shared" si="373"/>
        <v>1.9205000000000001</v>
      </c>
      <c r="V1252" s="29">
        <f t="shared" si="374"/>
        <v>-6.6799999999999998E-2</v>
      </c>
      <c r="W1252" s="29">
        <f t="shared" si="375"/>
        <v>4.4999999999999997E-3</v>
      </c>
      <c r="X1252" s="30">
        <f t="shared" si="376"/>
        <v>131.32999999999998</v>
      </c>
      <c r="Y1252" s="31">
        <f t="shared" si="377"/>
        <v>138.02000000000001</v>
      </c>
    </row>
    <row r="1253" spans="1:25" ht="15" customHeight="1" x14ac:dyDescent="0.25">
      <c r="A1253" s="5">
        <v>34574</v>
      </c>
      <c r="B1253">
        <v>622.26070000000004</v>
      </c>
      <c r="C1253" s="29">
        <f t="shared" si="381"/>
        <v>5.3E-3</v>
      </c>
      <c r="D1253">
        <v>-0.76</v>
      </c>
      <c r="E1253">
        <v>0.57999999999999996</v>
      </c>
      <c r="F1253" s="18">
        <f t="shared" si="368"/>
        <v>0.93599999999999994</v>
      </c>
      <c r="G1253" s="18">
        <f t="shared" si="369"/>
        <v>0.72800000000000065</v>
      </c>
      <c r="H1253">
        <v>3.16</v>
      </c>
      <c r="I1253">
        <v>1.53</v>
      </c>
      <c r="J1253">
        <f t="shared" si="378"/>
        <v>2.35</v>
      </c>
      <c r="K1253" s="6">
        <f t="shared" si="379"/>
        <v>2.34</v>
      </c>
      <c r="L1253" s="6">
        <f t="shared" si="380"/>
        <v>9.9999999999997868E-3</v>
      </c>
      <c r="M1253">
        <v>1.4864996523050999</v>
      </c>
      <c r="N1253">
        <v>334000</v>
      </c>
      <c r="O1253" s="18">
        <f>ROUND(N1253/VLOOKUP(EOMONTH(A1253,-1),Employment!A:P,16,FALSE),4)</f>
        <v>1.6966000000000001</v>
      </c>
      <c r="P1253" s="18">
        <f t="shared" si="370"/>
        <v>1.7185999999999999</v>
      </c>
      <c r="Q1253" s="29">
        <f t="shared" si="371"/>
        <v>-6.3399999999999998E-2</v>
      </c>
      <c r="R1253" s="29">
        <f t="shared" si="372"/>
        <v>2.7300000000000001E-2</v>
      </c>
      <c r="S1253">
        <v>2639000</v>
      </c>
      <c r="T1253" s="18">
        <f>ROUND((S1253/7)/VLOOKUP(EOMONTH(A1253,-1),Employment!A:P,16,FALSE),4)</f>
        <v>1.9151</v>
      </c>
      <c r="U1253" s="18">
        <f t="shared" si="373"/>
        <v>1.9131</v>
      </c>
      <c r="V1253" s="29">
        <f t="shared" si="374"/>
        <v>-7.3099999999999998E-2</v>
      </c>
      <c r="W1253" s="29">
        <f t="shared" si="375"/>
        <v>1.32E-2</v>
      </c>
      <c r="X1253" s="30">
        <f t="shared" si="376"/>
        <v>143.17000000000002</v>
      </c>
      <c r="Y1253" s="31">
        <f t="shared" si="377"/>
        <v>141.31</v>
      </c>
    </row>
    <row r="1254" spans="1:25" ht="15" customHeight="1" x14ac:dyDescent="0.25">
      <c r="A1254" s="5">
        <v>34567</v>
      </c>
      <c r="B1254">
        <v>620.87760000000003</v>
      </c>
      <c r="C1254" s="29">
        <f t="shared" si="381"/>
        <v>5.1999999999999998E-3</v>
      </c>
      <c r="D1254">
        <v>-0.74</v>
      </c>
      <c r="E1254">
        <v>0.67200000000000004</v>
      </c>
      <c r="F1254" s="18">
        <f t="shared" si="368"/>
        <v>-0.47599999999999998</v>
      </c>
      <c r="G1254" s="18">
        <f t="shared" si="369"/>
        <v>0.16800000000000015</v>
      </c>
      <c r="H1254">
        <v>3.16</v>
      </c>
      <c r="I1254">
        <v>1.51</v>
      </c>
      <c r="J1254">
        <f t="shared" si="378"/>
        <v>2.34</v>
      </c>
      <c r="K1254" s="6">
        <f t="shared" si="379"/>
        <v>2.33</v>
      </c>
      <c r="L1254" s="6">
        <f t="shared" si="380"/>
        <v>0</v>
      </c>
      <c r="M1254">
        <v>1.1616532012577001</v>
      </c>
      <c r="N1254">
        <v>337500</v>
      </c>
      <c r="O1254" s="18">
        <f>ROUND(N1254/VLOOKUP(EOMONTH(A1254,-1),Employment!A:P,16,FALSE),4)</f>
        <v>1.7143999999999999</v>
      </c>
      <c r="P1254" s="18">
        <f t="shared" si="370"/>
        <v>1.736</v>
      </c>
      <c r="Q1254" s="29">
        <f t="shared" si="371"/>
        <v>-6.2E-2</v>
      </c>
      <c r="R1254" s="29">
        <f t="shared" si="372"/>
        <v>3.0300000000000001E-2</v>
      </c>
      <c r="S1254">
        <v>2644000</v>
      </c>
      <c r="T1254" s="18">
        <f>ROUND((S1254/7)/VLOOKUP(EOMONTH(A1254,-1),Employment!A:P,16,FALSE),4)</f>
        <v>1.9187000000000001</v>
      </c>
      <c r="U1254" s="18">
        <f t="shared" si="373"/>
        <v>1.9157999999999999</v>
      </c>
      <c r="V1254" s="29">
        <f t="shared" si="374"/>
        <v>-7.3099999999999998E-2</v>
      </c>
      <c r="W1254" s="29">
        <f t="shared" si="375"/>
        <v>1.5699999999999999E-2</v>
      </c>
      <c r="X1254" s="30">
        <f t="shared" si="376"/>
        <v>141.85</v>
      </c>
      <c r="Y1254" s="31">
        <f t="shared" si="377"/>
        <v>136.72999999999999</v>
      </c>
    </row>
    <row r="1255" spans="1:25" ht="15" customHeight="1" x14ac:dyDescent="0.25">
      <c r="A1255" s="5">
        <v>34560</v>
      </c>
      <c r="B1255">
        <v>617.98770000000002</v>
      </c>
      <c r="C1255" s="29">
        <f t="shared" si="381"/>
        <v>3.0999999999999999E-3</v>
      </c>
      <c r="D1255">
        <v>-0.73</v>
      </c>
      <c r="E1255">
        <v>0.6</v>
      </c>
      <c r="F1255" s="18">
        <f t="shared" si="368"/>
        <v>0.26800000000000068</v>
      </c>
      <c r="G1255" s="18">
        <f t="shared" si="369"/>
        <v>1.6439999999999992</v>
      </c>
      <c r="H1255">
        <v>3.16</v>
      </c>
      <c r="I1255">
        <v>1.51</v>
      </c>
      <c r="J1255">
        <f t="shared" si="378"/>
        <v>2.34</v>
      </c>
      <c r="K1255" s="6">
        <f t="shared" si="379"/>
        <v>2.33</v>
      </c>
      <c r="L1255" s="6">
        <f t="shared" si="380"/>
        <v>0</v>
      </c>
      <c r="M1255">
        <v>0.79668174454995999</v>
      </c>
      <c r="N1255">
        <v>343500</v>
      </c>
      <c r="O1255" s="18">
        <f>ROUND(N1255/VLOOKUP(EOMONTH(A1255,-1),Employment!A:P,16,FALSE),4)</f>
        <v>1.7448999999999999</v>
      </c>
      <c r="P1255" s="18">
        <f t="shared" si="370"/>
        <v>1.7487999999999999</v>
      </c>
      <c r="Q1255" s="29">
        <f t="shared" si="371"/>
        <v>-4.2200000000000001E-2</v>
      </c>
      <c r="R1255" s="29">
        <f t="shared" si="372"/>
        <v>1.55E-2</v>
      </c>
      <c r="S1255">
        <v>2626000</v>
      </c>
      <c r="T1255" s="18">
        <f>ROUND((S1255/7)/VLOOKUP(EOMONTH(A1255,-1),Employment!A:P,16,FALSE),4)</f>
        <v>1.9056</v>
      </c>
      <c r="U1255" s="18">
        <f t="shared" si="373"/>
        <v>1.9251</v>
      </c>
      <c r="V1255" s="29">
        <f t="shared" si="374"/>
        <v>-6.3399999999999998E-2</v>
      </c>
      <c r="W1255" s="29">
        <f t="shared" si="375"/>
        <v>1.0699999999999999E-2</v>
      </c>
      <c r="X1255" s="30">
        <f t="shared" si="376"/>
        <v>135.32</v>
      </c>
      <c r="Y1255" s="31">
        <f t="shared" si="377"/>
        <v>129.56</v>
      </c>
    </row>
    <row r="1256" spans="1:25" ht="15" customHeight="1" x14ac:dyDescent="0.25">
      <c r="A1256" s="5">
        <v>34553</v>
      </c>
      <c r="B1256">
        <v>619.33280000000002</v>
      </c>
      <c r="C1256" s="29">
        <f t="shared" si="381"/>
        <v>9.4000000000000004E-3</v>
      </c>
      <c r="D1256">
        <v>-0.72</v>
      </c>
      <c r="E1256">
        <v>0.621</v>
      </c>
      <c r="F1256" s="18">
        <f t="shared" si="368"/>
        <v>0.37599999999999945</v>
      </c>
      <c r="G1256" s="18">
        <f t="shared" si="369"/>
        <v>2.1479999999999988</v>
      </c>
      <c r="H1256">
        <v>3.16</v>
      </c>
      <c r="I1256">
        <v>1.47</v>
      </c>
      <c r="J1256">
        <f t="shared" si="378"/>
        <v>2.3199999999999998</v>
      </c>
      <c r="K1256" s="6">
        <f t="shared" si="379"/>
        <v>2.33</v>
      </c>
      <c r="L1256" s="6">
        <f t="shared" si="380"/>
        <v>0</v>
      </c>
      <c r="M1256">
        <v>0.55325647588732996</v>
      </c>
      <c r="N1256">
        <v>344250</v>
      </c>
      <c r="O1256" s="18">
        <f>ROUND(N1256/VLOOKUP(EOMONTH(A1256,-1),Employment!A:P,16,FALSE),4)</f>
        <v>1.7486999999999999</v>
      </c>
      <c r="P1256" s="18">
        <f t="shared" si="370"/>
        <v>1.7497</v>
      </c>
      <c r="Q1256" s="29">
        <f t="shared" si="371"/>
        <v>-1.21E-2</v>
      </c>
      <c r="R1256" s="29">
        <f t="shared" si="372"/>
        <v>-2.3999999999999998E-3</v>
      </c>
      <c r="S1256">
        <v>2650000</v>
      </c>
      <c r="T1256" s="18">
        <f>ROUND((S1256/7)/VLOOKUP(EOMONTH(A1256,-1),Employment!A:P,16,FALSE),4)</f>
        <v>1.9231</v>
      </c>
      <c r="U1256" s="18">
        <f t="shared" si="373"/>
        <v>1.9362999999999999</v>
      </c>
      <c r="V1256" s="29">
        <f t="shared" si="374"/>
        <v>-5.0900000000000001E-2</v>
      </c>
      <c r="W1256" s="29">
        <f t="shared" si="375"/>
        <v>2.3E-3</v>
      </c>
      <c r="X1256" s="30">
        <f t="shared" si="376"/>
        <v>127.44</v>
      </c>
      <c r="Y1256" s="31">
        <f t="shared" si="377"/>
        <v>122.66</v>
      </c>
    </row>
    <row r="1257" spans="1:25" ht="15" customHeight="1" x14ac:dyDescent="0.25">
      <c r="A1257" s="5">
        <v>34546</v>
      </c>
      <c r="B1257">
        <v>617.75030000000004</v>
      </c>
      <c r="C1257" s="29">
        <f t="shared" si="381"/>
        <v>9.7000000000000003E-3</v>
      </c>
      <c r="D1257">
        <v>-0.7</v>
      </c>
      <c r="E1257">
        <v>0.64300000000000002</v>
      </c>
      <c r="F1257" s="18">
        <f t="shared" si="368"/>
        <v>0.99999999999999911</v>
      </c>
      <c r="G1257" s="18">
        <f t="shared" si="369"/>
        <v>1.8119999999999994</v>
      </c>
      <c r="H1257">
        <v>3.16</v>
      </c>
      <c r="I1257">
        <v>1.49</v>
      </c>
      <c r="J1257">
        <f t="shared" si="378"/>
        <v>2.33</v>
      </c>
      <c r="K1257" s="6">
        <f t="shared" si="379"/>
        <v>2.33</v>
      </c>
      <c r="L1257" s="6">
        <f t="shared" si="380"/>
        <v>-9.9999999999997868E-3</v>
      </c>
      <c r="M1257">
        <v>0.43934515745526997</v>
      </c>
      <c r="N1257">
        <v>344750</v>
      </c>
      <c r="O1257" s="18">
        <f>ROUND(N1257/VLOOKUP(EOMONTH(A1257,-1),Employment!A:P,16,FALSE),4)</f>
        <v>1.7526999999999999</v>
      </c>
      <c r="P1257" s="18">
        <f t="shared" si="370"/>
        <v>1.7396</v>
      </c>
      <c r="Q1257" s="29">
        <f t="shared" si="371"/>
        <v>2.8999999999999998E-3</v>
      </c>
      <c r="R1257" s="29">
        <f t="shared" si="372"/>
        <v>-1.0800000000000001E-2</v>
      </c>
      <c r="S1257">
        <v>2680000</v>
      </c>
      <c r="T1257" s="18">
        <f>ROUND((S1257/7)/VLOOKUP(EOMONTH(A1257,-1),Employment!A:P,16,FALSE),4)</f>
        <v>1.9464999999999999</v>
      </c>
      <c r="U1257" s="18">
        <f t="shared" si="373"/>
        <v>1.9420999999999999</v>
      </c>
      <c r="V1257" s="29">
        <f t="shared" si="374"/>
        <v>-3.9199999999999999E-2</v>
      </c>
      <c r="W1257" s="29">
        <f t="shared" si="375"/>
        <v>-4.0000000000000001E-3</v>
      </c>
      <c r="X1257" s="30">
        <f t="shared" si="376"/>
        <v>120.46000000000001</v>
      </c>
      <c r="Y1257" s="31">
        <f t="shared" si="377"/>
        <v>118.45</v>
      </c>
    </row>
    <row r="1258" spans="1:25" ht="15" customHeight="1" x14ac:dyDescent="0.25">
      <c r="A1258" s="5">
        <v>34539</v>
      </c>
      <c r="B1258">
        <v>615.54589999999996</v>
      </c>
      <c r="C1258" s="29">
        <f t="shared" si="381"/>
        <v>8.6999999999999994E-3</v>
      </c>
      <c r="D1258">
        <v>-0.68</v>
      </c>
      <c r="E1258">
        <v>0.74299999999999999</v>
      </c>
      <c r="F1258" s="18">
        <f t="shared" si="368"/>
        <v>0.77200000000000024</v>
      </c>
      <c r="G1258" s="18">
        <f t="shared" si="369"/>
        <v>-0.32800000000000029</v>
      </c>
      <c r="H1258">
        <v>3.16</v>
      </c>
      <c r="I1258">
        <v>1.49</v>
      </c>
      <c r="J1258">
        <f t="shared" si="378"/>
        <v>2.33</v>
      </c>
      <c r="K1258" s="6">
        <f t="shared" si="379"/>
        <v>2.34</v>
      </c>
      <c r="L1258" s="6">
        <f t="shared" si="380"/>
        <v>0</v>
      </c>
      <c r="M1258">
        <v>9.3393479815384997E-2</v>
      </c>
      <c r="N1258">
        <v>343750</v>
      </c>
      <c r="O1258" s="18">
        <f>ROUND(N1258/VLOOKUP(EOMONTH(A1258,-1),Employment!A:P,16,FALSE),4)</f>
        <v>1.7476</v>
      </c>
      <c r="P1258" s="18">
        <f t="shared" si="370"/>
        <v>1.7269000000000001</v>
      </c>
      <c r="Q1258" s="29">
        <f t="shared" si="371"/>
        <v>4.1999999999999997E-3</v>
      </c>
      <c r="R1258" s="29">
        <f t="shared" si="372"/>
        <v>-4.8999999999999998E-3</v>
      </c>
      <c r="S1258">
        <v>2670000</v>
      </c>
      <c r="T1258" s="18">
        <f>ROUND((S1258/7)/VLOOKUP(EOMONTH(A1258,-1),Employment!A:P,16,FALSE),4)</f>
        <v>1.9392</v>
      </c>
      <c r="U1258" s="18">
        <f t="shared" si="373"/>
        <v>1.9438</v>
      </c>
      <c r="V1258" s="29">
        <f t="shared" si="374"/>
        <v>-3.6400000000000002E-2</v>
      </c>
      <c r="W1258" s="29">
        <f t="shared" si="375"/>
        <v>-4.0000000000000002E-4</v>
      </c>
      <c r="X1258" s="30">
        <f t="shared" si="376"/>
        <v>116.19</v>
      </c>
      <c r="Y1258" s="31">
        <f t="shared" si="377"/>
        <v>118.54</v>
      </c>
    </row>
    <row r="1259" spans="1:25" ht="15" customHeight="1" x14ac:dyDescent="0.25">
      <c r="A1259" s="5">
        <v>34532</v>
      </c>
      <c r="B1259">
        <v>611.63890000000004</v>
      </c>
      <c r="C1259" s="29">
        <f t="shared" si="381"/>
        <v>4.3E-3</v>
      </c>
      <c r="D1259">
        <v>-0.67</v>
      </c>
      <c r="E1259">
        <v>0.82699999999999996</v>
      </c>
      <c r="F1259" s="18">
        <f t="shared" si="368"/>
        <v>4.0000000000000036E-2</v>
      </c>
      <c r="G1259" s="18">
        <f t="shared" si="369"/>
        <v>-1.6440000000000001</v>
      </c>
      <c r="H1259">
        <v>3.16</v>
      </c>
      <c r="I1259">
        <v>1.51</v>
      </c>
      <c r="J1259">
        <f t="shared" si="378"/>
        <v>2.34</v>
      </c>
      <c r="K1259" s="6">
        <f t="shared" si="379"/>
        <v>2.34</v>
      </c>
      <c r="L1259" s="6">
        <f t="shared" si="380"/>
        <v>-1.0000000000000231E-2</v>
      </c>
      <c r="M1259">
        <v>0.56640945282565003</v>
      </c>
      <c r="N1259">
        <v>338000</v>
      </c>
      <c r="O1259" s="18">
        <f>ROUND(N1259/VLOOKUP(EOMONTH(A1259,-1),Employment!A:P,16,FALSE),4)</f>
        <v>1.7183999999999999</v>
      </c>
      <c r="P1259" s="18">
        <f t="shared" si="370"/>
        <v>1.7204999999999999</v>
      </c>
      <c r="Q1259" s="29">
        <f t="shared" si="371"/>
        <v>-1.1299999999999999E-2</v>
      </c>
      <c r="R1259" s="29">
        <f t="shared" si="372"/>
        <v>8.8000000000000005E-3</v>
      </c>
      <c r="S1259">
        <v>2672000</v>
      </c>
      <c r="T1259" s="18">
        <f>ROUND((S1259/7)/VLOOKUP(EOMONTH(A1259,-1),Employment!A:P,16,FALSE),4)</f>
        <v>1.9407000000000001</v>
      </c>
      <c r="U1259" s="18">
        <f t="shared" si="373"/>
        <v>1.9505999999999999</v>
      </c>
      <c r="V1259" s="29">
        <f t="shared" si="374"/>
        <v>-4.2299999999999997E-2</v>
      </c>
      <c r="W1259" s="29">
        <f t="shared" si="375"/>
        <v>6.3E-3</v>
      </c>
      <c r="X1259" s="30">
        <f t="shared" si="376"/>
        <v>119.09</v>
      </c>
      <c r="Y1259" s="31">
        <f t="shared" si="377"/>
        <v>122.81</v>
      </c>
    </row>
    <row r="1260" spans="1:25" ht="15" customHeight="1" x14ac:dyDescent="0.25">
      <c r="A1260" s="5">
        <v>34525</v>
      </c>
      <c r="B1260">
        <v>609.28890000000001</v>
      </c>
      <c r="C1260" s="29">
        <f t="shared" si="381"/>
        <v>1.1000000000000001E-3</v>
      </c>
      <c r="D1260">
        <v>-0.67</v>
      </c>
      <c r="E1260">
        <v>0.83199999999999996</v>
      </c>
      <c r="F1260" s="18">
        <f t="shared" si="368"/>
        <v>-1.1400000000000006</v>
      </c>
      <c r="G1260" s="18">
        <f t="shared" si="369"/>
        <v>-1.7720000000000002</v>
      </c>
      <c r="H1260">
        <v>3.16</v>
      </c>
      <c r="I1260">
        <v>1.51</v>
      </c>
      <c r="J1260">
        <f t="shared" si="378"/>
        <v>2.34</v>
      </c>
      <c r="K1260" s="6">
        <f t="shared" si="379"/>
        <v>2.35</v>
      </c>
      <c r="L1260" s="6">
        <f t="shared" si="380"/>
        <v>-9.9999999999997868E-3</v>
      </c>
      <c r="M1260">
        <v>0.78439606916091997</v>
      </c>
      <c r="N1260">
        <v>337250</v>
      </c>
      <c r="O1260" s="18">
        <f>ROUND(N1260/VLOOKUP(EOMONTH(A1260,-1),Employment!A:P,16,FALSE),4)</f>
        <v>1.7145999999999999</v>
      </c>
      <c r="P1260" s="18">
        <f t="shared" si="370"/>
        <v>1.7274</v>
      </c>
      <c r="Q1260" s="29">
        <f t="shared" si="371"/>
        <v>-1.89E-2</v>
      </c>
      <c r="R1260" s="29">
        <f t="shared" si="372"/>
        <v>1.7399999999999999E-2</v>
      </c>
      <c r="S1260">
        <v>2687000</v>
      </c>
      <c r="T1260" s="18">
        <f>ROUND((S1260/7)/VLOOKUP(EOMONTH(A1260,-1),Employment!A:P,16,FALSE),4)</f>
        <v>1.9516</v>
      </c>
      <c r="U1260" s="18">
        <f t="shared" si="373"/>
        <v>1.9713000000000001</v>
      </c>
      <c r="V1260" s="29">
        <f t="shared" si="374"/>
        <v>-4.5199999999999997E-2</v>
      </c>
      <c r="W1260" s="29">
        <f t="shared" si="375"/>
        <v>1.3599999999999999E-2</v>
      </c>
      <c r="X1260" s="30">
        <f t="shared" si="376"/>
        <v>123.06</v>
      </c>
      <c r="Y1260" s="31">
        <f t="shared" si="377"/>
        <v>127.24</v>
      </c>
    </row>
    <row r="1261" spans="1:25" ht="15" customHeight="1" x14ac:dyDescent="0.25">
      <c r="A1261" s="5">
        <v>34518</v>
      </c>
      <c r="B1261">
        <v>610.67380000000003</v>
      </c>
      <c r="C1261" s="29">
        <f t="shared" si="381"/>
        <v>5.1999999999999998E-3</v>
      </c>
      <c r="D1261">
        <v>-0.68</v>
      </c>
      <c r="E1261">
        <v>0.70199999999999996</v>
      </c>
      <c r="F1261" s="18">
        <f t="shared" si="368"/>
        <v>-0.54399999999999959</v>
      </c>
      <c r="G1261" s="18">
        <f t="shared" si="369"/>
        <v>8.0000000000000071E-3</v>
      </c>
      <c r="H1261">
        <v>3.16</v>
      </c>
      <c r="I1261">
        <v>1.51</v>
      </c>
      <c r="J1261">
        <f t="shared" si="378"/>
        <v>2.34</v>
      </c>
      <c r="K1261" s="6">
        <f t="shared" si="379"/>
        <v>2.36</v>
      </c>
      <c r="L1261" s="6">
        <f t="shared" si="380"/>
        <v>0</v>
      </c>
      <c r="M1261">
        <v>0.94044116050596005</v>
      </c>
      <c r="N1261">
        <v>340000</v>
      </c>
      <c r="O1261" s="18">
        <f>ROUND(N1261/VLOOKUP(EOMONTH(A1261,-1),Employment!A:P,16,FALSE),4)</f>
        <v>1.7285999999999999</v>
      </c>
      <c r="P1261" s="18">
        <f t="shared" si="370"/>
        <v>1.7444999999999999</v>
      </c>
      <c r="Q1261" s="29">
        <f t="shared" si="371"/>
        <v>-1.3100000000000001E-2</v>
      </c>
      <c r="R1261" s="29">
        <f t="shared" si="372"/>
        <v>1.8599999999999998E-2</v>
      </c>
      <c r="S1261">
        <v>2698000</v>
      </c>
      <c r="T1261" s="18">
        <f>ROUND((S1261/7)/VLOOKUP(EOMONTH(A1261,-1),Employment!A:P,16,FALSE),4)</f>
        <v>1.9595</v>
      </c>
      <c r="U1261" s="18">
        <f t="shared" si="373"/>
        <v>1.9846999999999999</v>
      </c>
      <c r="V1261" s="29">
        <f t="shared" si="374"/>
        <v>-4.5900000000000003E-2</v>
      </c>
      <c r="W1261" s="29">
        <f t="shared" si="375"/>
        <v>9.4999999999999998E-3</v>
      </c>
      <c r="X1261" s="30">
        <f t="shared" si="376"/>
        <v>131.51</v>
      </c>
      <c r="Y1261" s="31">
        <f t="shared" si="377"/>
        <v>126.96</v>
      </c>
    </row>
    <row r="1262" spans="1:25" ht="15" customHeight="1" x14ac:dyDescent="0.25">
      <c r="A1262" s="5">
        <v>34511</v>
      </c>
      <c r="B1262">
        <v>609.42309999999998</v>
      </c>
      <c r="C1262" s="29">
        <f t="shared" si="381"/>
        <v>5.3E-3</v>
      </c>
      <c r="D1262">
        <v>-0.68</v>
      </c>
      <c r="E1262">
        <v>0.63400000000000001</v>
      </c>
      <c r="F1262" s="18">
        <f t="shared" si="368"/>
        <v>-8.8000000000000078E-2</v>
      </c>
      <c r="G1262" s="18">
        <f t="shared" si="369"/>
        <v>0.25600000000000023</v>
      </c>
      <c r="H1262">
        <v>3.16</v>
      </c>
      <c r="I1262">
        <v>1.55</v>
      </c>
      <c r="J1262">
        <f t="shared" si="378"/>
        <v>2.36</v>
      </c>
      <c r="K1262" s="6">
        <f t="shared" si="379"/>
        <v>2.36</v>
      </c>
      <c r="L1262" s="6">
        <f t="shared" si="380"/>
        <v>9.9999999999997868E-3</v>
      </c>
      <c r="M1262">
        <v>1.1256681076941</v>
      </c>
      <c r="N1262">
        <v>341750</v>
      </c>
      <c r="O1262" s="18">
        <f>ROUND(N1262/VLOOKUP(EOMONTH(A1262,-1),Employment!A:P,16,FALSE),4)</f>
        <v>1.7391000000000001</v>
      </c>
      <c r="P1262" s="18">
        <f t="shared" si="370"/>
        <v>1.7662</v>
      </c>
      <c r="Q1262" s="29">
        <f t="shared" si="371"/>
        <v>-3.0000000000000001E-3</v>
      </c>
      <c r="R1262" s="29">
        <f t="shared" si="372"/>
        <v>1.0500000000000001E-2</v>
      </c>
      <c r="S1262">
        <v>2755000</v>
      </c>
      <c r="T1262" s="18">
        <f>ROUND((S1262/7)/VLOOKUP(EOMONTH(A1262,-1),Employment!A:P,16,FALSE),4)</f>
        <v>2.0028000000000001</v>
      </c>
      <c r="U1262" s="18">
        <f t="shared" si="373"/>
        <v>1.9923999999999999</v>
      </c>
      <c r="V1262" s="29">
        <f t="shared" si="374"/>
        <v>-2.8799999999999999E-2</v>
      </c>
      <c r="W1262" s="29">
        <f t="shared" si="375"/>
        <v>5.1000000000000004E-3</v>
      </c>
      <c r="X1262" s="30">
        <f t="shared" si="376"/>
        <v>127.02000000000001</v>
      </c>
      <c r="Y1262" s="31">
        <f t="shared" si="377"/>
        <v>119.39</v>
      </c>
    </row>
    <row r="1263" spans="1:25" ht="15" customHeight="1" x14ac:dyDescent="0.25">
      <c r="A1263" s="5">
        <v>34504</v>
      </c>
      <c r="B1263">
        <v>606.77880000000005</v>
      </c>
      <c r="C1263" s="29">
        <f t="shared" si="381"/>
        <v>2.3999999999999998E-3</v>
      </c>
      <c r="D1263">
        <v>-0.68</v>
      </c>
      <c r="E1263">
        <v>0.623</v>
      </c>
      <c r="F1263" s="18">
        <f t="shared" si="368"/>
        <v>0.63999999999999968</v>
      </c>
      <c r="G1263" s="18">
        <f t="shared" si="369"/>
        <v>0.2920000000000007</v>
      </c>
      <c r="H1263">
        <v>3.16</v>
      </c>
      <c r="I1263">
        <v>1.58</v>
      </c>
      <c r="J1263">
        <f t="shared" si="378"/>
        <v>2.37</v>
      </c>
      <c r="K1263" s="6">
        <f t="shared" si="379"/>
        <v>2.35</v>
      </c>
      <c r="L1263" s="6">
        <f t="shared" si="380"/>
        <v>1.0000000000000231E-2</v>
      </c>
      <c r="M1263">
        <v>1.3894400753170999</v>
      </c>
      <c r="N1263">
        <v>347000</v>
      </c>
      <c r="O1263" s="18">
        <f>ROUND(N1263/VLOOKUP(EOMONTH(A1263,-1),Employment!A:P,16,FALSE),4)</f>
        <v>1.7658</v>
      </c>
      <c r="P1263" s="18">
        <f t="shared" si="370"/>
        <v>1.7955000000000001</v>
      </c>
      <c r="Q1263" s="29">
        <f t="shared" si="371"/>
        <v>1.47E-2</v>
      </c>
      <c r="R1263" s="29">
        <f t="shared" si="372"/>
        <v>-4.7000000000000002E-3</v>
      </c>
      <c r="S1263">
        <v>2740000</v>
      </c>
      <c r="T1263" s="18">
        <f>ROUND((S1263/7)/VLOOKUP(EOMONTH(A1263,-1),Employment!A:P,16,FALSE),4)</f>
        <v>1.9919</v>
      </c>
      <c r="U1263" s="18">
        <f t="shared" si="373"/>
        <v>1.9951000000000001</v>
      </c>
      <c r="V1263" s="29">
        <f t="shared" si="374"/>
        <v>-2.5100000000000001E-2</v>
      </c>
      <c r="W1263" s="29">
        <f t="shared" si="375"/>
        <v>-2.2000000000000001E-3</v>
      </c>
      <c r="X1263" s="30">
        <f t="shared" si="376"/>
        <v>115.41</v>
      </c>
      <c r="Y1263" s="31">
        <f t="shared" si="377"/>
        <v>111.06</v>
      </c>
    </row>
    <row r="1264" spans="1:25" ht="15" customHeight="1" x14ac:dyDescent="0.25">
      <c r="A1264" s="5">
        <v>34497</v>
      </c>
      <c r="B1264">
        <v>607.5498</v>
      </c>
      <c r="C1264" s="29">
        <f t="shared" si="381"/>
        <v>5.7999999999999996E-3</v>
      </c>
      <c r="D1264">
        <v>-0.68</v>
      </c>
      <c r="E1264">
        <v>0.70299999999999996</v>
      </c>
      <c r="F1264" s="18">
        <f t="shared" si="368"/>
        <v>-0.29599999999999937</v>
      </c>
      <c r="G1264" s="18">
        <f t="shared" si="369"/>
        <v>1.1040000000000001</v>
      </c>
      <c r="H1264">
        <v>3.16</v>
      </c>
      <c r="I1264">
        <v>1.53</v>
      </c>
      <c r="J1264">
        <f t="shared" si="378"/>
        <v>2.35</v>
      </c>
      <c r="K1264" s="6">
        <f t="shared" si="379"/>
        <v>2.34</v>
      </c>
      <c r="L1264" s="6">
        <f t="shared" si="380"/>
        <v>0</v>
      </c>
      <c r="M1264">
        <v>1.2688108007568</v>
      </c>
      <c r="N1264">
        <v>352500</v>
      </c>
      <c r="O1264" s="18">
        <f>ROUND(N1264/VLOOKUP(EOMONTH(A1264,-1),Employment!A:P,16,FALSE),4)</f>
        <v>1.7938000000000001</v>
      </c>
      <c r="P1264" s="18">
        <f t="shared" si="370"/>
        <v>1.8146</v>
      </c>
      <c r="Q1264" s="29">
        <f t="shared" si="371"/>
        <v>2.7199999999999998E-2</v>
      </c>
      <c r="R1264" s="29">
        <f t="shared" si="372"/>
        <v>-1.78E-2</v>
      </c>
      <c r="S1264">
        <v>2727000</v>
      </c>
      <c r="T1264" s="18">
        <f>ROUND((S1264/7)/VLOOKUP(EOMONTH(A1264,-1),Employment!A:P,16,FALSE),4)</f>
        <v>1.9824999999999999</v>
      </c>
      <c r="U1264" s="18">
        <f t="shared" si="373"/>
        <v>2.0082</v>
      </c>
      <c r="V1264" s="29">
        <f t="shared" si="374"/>
        <v>-1.47E-2</v>
      </c>
      <c r="W1264" s="29">
        <f t="shared" si="375"/>
        <v>-3.2000000000000002E-3</v>
      </c>
      <c r="X1264" s="30">
        <f t="shared" si="376"/>
        <v>110.25999999999999</v>
      </c>
      <c r="Y1264" s="31">
        <f t="shared" si="377"/>
        <v>105.07</v>
      </c>
    </row>
    <row r="1265" spans="1:25" ht="15" customHeight="1" x14ac:dyDescent="0.25">
      <c r="A1265" s="5">
        <v>34490</v>
      </c>
      <c r="B1265">
        <v>606.39300000000003</v>
      </c>
      <c r="C1265" s="29">
        <f t="shared" si="381"/>
        <v>6.1999999999999998E-3</v>
      </c>
      <c r="D1265">
        <v>-0.68</v>
      </c>
      <c r="E1265">
        <v>0.66600000000000004</v>
      </c>
      <c r="F1265" s="18">
        <f t="shared" si="368"/>
        <v>-5.1999999999999602E-2</v>
      </c>
      <c r="G1265" s="18">
        <f t="shared" si="369"/>
        <v>-1.6000000000000014E-2</v>
      </c>
      <c r="H1265">
        <v>3.16</v>
      </c>
      <c r="I1265">
        <v>1.52</v>
      </c>
      <c r="J1265">
        <f t="shared" si="378"/>
        <v>2.34</v>
      </c>
      <c r="K1265" s="6">
        <f t="shared" si="379"/>
        <v>2.34</v>
      </c>
      <c r="L1265" s="6">
        <f t="shared" si="380"/>
        <v>2.0000000000000018E-2</v>
      </c>
      <c r="M1265">
        <v>1.1805382930879</v>
      </c>
      <c r="N1265">
        <v>359000</v>
      </c>
      <c r="O1265" s="18">
        <f>ROUND(N1265/VLOOKUP(EOMONTH(A1265,-1),Employment!A:P,16,FALSE),4)</f>
        <v>1.8269</v>
      </c>
      <c r="P1265" s="18">
        <f t="shared" si="370"/>
        <v>1.8133999999999999</v>
      </c>
      <c r="Q1265" s="29">
        <f t="shared" si="371"/>
        <v>2.6800000000000001E-2</v>
      </c>
      <c r="R1265" s="29">
        <f t="shared" si="372"/>
        <v>-2.58E-2</v>
      </c>
      <c r="S1265">
        <v>2766000</v>
      </c>
      <c r="T1265" s="18">
        <f>ROUND((S1265/7)/VLOOKUP(EOMONTH(A1265,-1),Employment!A:P,16,FALSE),4)</f>
        <v>2.0108000000000001</v>
      </c>
      <c r="U1265" s="18">
        <f t="shared" si="373"/>
        <v>2.0084</v>
      </c>
      <c r="V1265" s="29">
        <f t="shared" si="374"/>
        <v>-2.46E-2</v>
      </c>
      <c r="W1265" s="29">
        <f t="shared" si="375"/>
        <v>-6.0000000000000001E-3</v>
      </c>
      <c r="X1265" s="30">
        <f t="shared" si="376"/>
        <v>102.19</v>
      </c>
      <c r="Y1265" s="31">
        <f t="shared" si="377"/>
        <v>100.61</v>
      </c>
    </row>
    <row r="1266" spans="1:25" ht="15" customHeight="1" x14ac:dyDescent="0.25">
      <c r="A1266" s="5">
        <v>34483</v>
      </c>
      <c r="B1266">
        <v>604.06790000000001</v>
      </c>
      <c r="C1266" s="29">
        <f t="shared" si="381"/>
        <v>3.0000000000000001E-3</v>
      </c>
      <c r="D1266">
        <v>-0.67</v>
      </c>
      <c r="E1266">
        <v>0.64700000000000002</v>
      </c>
      <c r="F1266" s="18">
        <f t="shared" si="368"/>
        <v>1.4519999999999991</v>
      </c>
      <c r="G1266" s="18">
        <f t="shared" si="369"/>
        <v>-0.6720000000000006</v>
      </c>
      <c r="H1266">
        <v>3.16</v>
      </c>
      <c r="I1266">
        <v>1.51</v>
      </c>
      <c r="J1266">
        <f t="shared" si="378"/>
        <v>2.34</v>
      </c>
      <c r="K1266" s="6">
        <f t="shared" si="379"/>
        <v>2.3199999999999998</v>
      </c>
      <c r="L1266" s="6">
        <f t="shared" si="380"/>
        <v>2.0000000000000018E-2</v>
      </c>
      <c r="M1266">
        <v>1.4393001323635</v>
      </c>
      <c r="N1266">
        <v>358000</v>
      </c>
      <c r="O1266" s="18">
        <f>ROUND(N1266/VLOOKUP(EOMONTH(A1266,-1),Employment!A:P,16,FALSE),4)</f>
        <v>1.8231999999999999</v>
      </c>
      <c r="P1266" s="18">
        <f t="shared" si="370"/>
        <v>1.7986</v>
      </c>
      <c r="Q1266" s="29">
        <f t="shared" si="371"/>
        <v>1.6199999999999999E-2</v>
      </c>
      <c r="R1266" s="29">
        <f t="shared" si="372"/>
        <v>-2.6700000000000002E-2</v>
      </c>
      <c r="S1266">
        <v>2792000</v>
      </c>
      <c r="T1266" s="18">
        <f>ROUND((S1266/7)/VLOOKUP(EOMONTH(A1266,-1),Employment!A:P,16,FALSE),4)</f>
        <v>2.0312000000000001</v>
      </c>
      <c r="U1266" s="18">
        <f t="shared" si="373"/>
        <v>2.0095999999999998</v>
      </c>
      <c r="V1266" s="29">
        <f t="shared" si="374"/>
        <v>-1.6199999999999999E-2</v>
      </c>
      <c r="W1266" s="29">
        <f t="shared" si="375"/>
        <v>-2.5999999999999999E-3</v>
      </c>
      <c r="X1266" s="30">
        <f t="shared" si="376"/>
        <v>99.29</v>
      </c>
      <c r="Y1266" s="31">
        <f t="shared" si="377"/>
        <v>101.2</v>
      </c>
    </row>
    <row r="1267" spans="1:25" ht="15" customHeight="1" x14ac:dyDescent="0.25">
      <c r="A1267" s="5">
        <v>34476</v>
      </c>
      <c r="B1267">
        <v>603.36950000000002</v>
      </c>
      <c r="C1267" s="29">
        <f t="shared" si="381"/>
        <v>4.3E-3</v>
      </c>
      <c r="D1267">
        <v>-0.66</v>
      </c>
      <c r="E1267">
        <v>0.81599999999999995</v>
      </c>
      <c r="F1267" s="18">
        <f t="shared" si="368"/>
        <v>-1.4159999999999995</v>
      </c>
      <c r="G1267" s="18">
        <f t="shared" si="369"/>
        <v>-1.3759999999999994</v>
      </c>
      <c r="H1267">
        <v>3.16</v>
      </c>
      <c r="I1267">
        <v>1.52</v>
      </c>
      <c r="J1267">
        <f t="shared" si="378"/>
        <v>2.34</v>
      </c>
      <c r="K1267" s="6">
        <f t="shared" si="379"/>
        <v>2.2999999999999998</v>
      </c>
      <c r="L1267" s="6">
        <f t="shared" si="380"/>
        <v>9.9999999999997868E-3</v>
      </c>
      <c r="M1267">
        <v>1.5356675012843</v>
      </c>
      <c r="N1267">
        <v>351500</v>
      </c>
      <c r="O1267" s="18">
        <f>ROUND(N1267/VLOOKUP(EOMONTH(A1267,-1),Employment!A:P,16,FALSE),4)</f>
        <v>1.7901</v>
      </c>
      <c r="P1267" s="18">
        <f t="shared" si="370"/>
        <v>1.7756000000000001</v>
      </c>
      <c r="Q1267" s="29">
        <f t="shared" si="371"/>
        <v>-3.5999999999999999E-3</v>
      </c>
      <c r="R1267" s="29">
        <f t="shared" si="372"/>
        <v>-2.3800000000000002E-2</v>
      </c>
      <c r="S1267">
        <v>2726000</v>
      </c>
      <c r="T1267" s="18">
        <f>ROUND((S1267/7)/VLOOKUP(EOMONTH(A1267,-1),Employment!A:P,16,FALSE),4)</f>
        <v>1.9832000000000001</v>
      </c>
      <c r="U1267" s="18">
        <f t="shared" si="373"/>
        <v>1.9861</v>
      </c>
      <c r="V1267" s="29">
        <f t="shared" si="374"/>
        <v>-0.03</v>
      </c>
      <c r="W1267" s="29">
        <f t="shared" si="375"/>
        <v>4.4999999999999997E-3</v>
      </c>
      <c r="X1267" s="30">
        <f t="shared" si="376"/>
        <v>99.93</v>
      </c>
      <c r="Y1267" s="31">
        <f t="shared" si="377"/>
        <v>107</v>
      </c>
    </row>
    <row r="1268" spans="1:25" ht="15" customHeight="1" x14ac:dyDescent="0.25">
      <c r="A1268" s="5">
        <v>34469</v>
      </c>
      <c r="B1268">
        <v>602.24680000000001</v>
      </c>
      <c r="C1268" s="29">
        <f t="shared" si="381"/>
        <v>3.0999999999999999E-3</v>
      </c>
      <c r="D1268">
        <v>-0.66</v>
      </c>
      <c r="E1268">
        <v>0.63900000000000001</v>
      </c>
      <c r="F1268" s="18">
        <f t="shared" si="368"/>
        <v>-0.70800000000000018</v>
      </c>
      <c r="G1268" s="18">
        <f t="shared" si="369"/>
        <v>-0.31599999999999984</v>
      </c>
      <c r="H1268">
        <v>3.16</v>
      </c>
      <c r="I1268">
        <v>1.41</v>
      </c>
      <c r="J1268">
        <f t="shared" si="378"/>
        <v>2.29</v>
      </c>
      <c r="K1268" s="6">
        <f t="shared" si="379"/>
        <v>2.29</v>
      </c>
      <c r="L1268" s="6">
        <f t="shared" si="380"/>
        <v>-2.0000000000000018E-2</v>
      </c>
      <c r="M1268">
        <v>1.4155257486402</v>
      </c>
      <c r="N1268">
        <v>350000</v>
      </c>
      <c r="O1268" s="18">
        <f>ROUND(N1268/VLOOKUP(EOMONTH(A1268,-1),Employment!A:P,16,FALSE),4)</f>
        <v>1.7824</v>
      </c>
      <c r="P1268" s="18">
        <f t="shared" si="370"/>
        <v>1.7628999999999999</v>
      </c>
      <c r="Q1268" s="29">
        <f t="shared" si="371"/>
        <v>-2.06E-2</v>
      </c>
      <c r="R1268" s="29">
        <f t="shared" si="372"/>
        <v>-1.6899999999999998E-2</v>
      </c>
      <c r="S1268">
        <v>2769000</v>
      </c>
      <c r="T1268" s="18">
        <f>ROUND((S1268/7)/VLOOKUP(EOMONTH(A1268,-1),Employment!A:P,16,FALSE),4)</f>
        <v>2.0145</v>
      </c>
      <c r="U1268" s="18">
        <f t="shared" si="373"/>
        <v>1.9837</v>
      </c>
      <c r="V1268" s="29">
        <f t="shared" si="374"/>
        <v>-2.8899999999999999E-2</v>
      </c>
      <c r="W1268" s="29">
        <f t="shared" si="375"/>
        <v>9.7999999999999997E-3</v>
      </c>
      <c r="X1268" s="30">
        <f t="shared" si="376"/>
        <v>109.12</v>
      </c>
      <c r="Y1268" s="31">
        <f t="shared" si="377"/>
        <v>115.6</v>
      </c>
    </row>
    <row r="1269" spans="1:25" ht="15" customHeight="1" x14ac:dyDescent="0.25">
      <c r="A1269" s="5">
        <v>34462</v>
      </c>
      <c r="B1269">
        <v>601.04039999999998</v>
      </c>
      <c r="C1269" s="29">
        <f t="shared" si="381"/>
        <v>2.0999999999999999E-3</v>
      </c>
      <c r="D1269">
        <v>-0.67</v>
      </c>
      <c r="E1269">
        <v>0.56299999999999994</v>
      </c>
      <c r="F1269" s="18">
        <f t="shared" si="368"/>
        <v>0.74800000000000022</v>
      </c>
      <c r="G1269" s="18">
        <f t="shared" si="369"/>
        <v>0.80400000000000027</v>
      </c>
      <c r="H1269">
        <v>3.16</v>
      </c>
      <c r="I1269">
        <v>1.36</v>
      </c>
      <c r="J1269">
        <f t="shared" si="378"/>
        <v>2.2599999999999998</v>
      </c>
      <c r="K1269" s="6">
        <f t="shared" si="379"/>
        <v>2.31</v>
      </c>
      <c r="L1269" s="6">
        <f t="shared" si="380"/>
        <v>-4.0000000000000036E-2</v>
      </c>
      <c r="M1269">
        <v>1.3699511120729999</v>
      </c>
      <c r="N1269">
        <v>344500</v>
      </c>
      <c r="O1269" s="18">
        <f>ROUND(N1269/VLOOKUP(EOMONTH(A1269,-1),Employment!A:P,16,FALSE),4)</f>
        <v>1.7544</v>
      </c>
      <c r="P1269" s="18">
        <f t="shared" si="370"/>
        <v>1.7493000000000001</v>
      </c>
      <c r="Q1269" s="29">
        <f t="shared" si="371"/>
        <v>-4.0300000000000002E-2</v>
      </c>
      <c r="R1269" s="29">
        <f t="shared" si="372"/>
        <v>-7.1999999999999998E-3</v>
      </c>
      <c r="S1269">
        <v>2695000</v>
      </c>
      <c r="T1269" s="18">
        <f>ROUND((S1269/7)/VLOOKUP(EOMONTH(A1269,-1),Employment!A:P,16,FALSE),4)</f>
        <v>1.9607000000000001</v>
      </c>
      <c r="U1269" s="18">
        <f t="shared" si="373"/>
        <v>1.9852000000000001</v>
      </c>
      <c r="V1269" s="29">
        <f t="shared" si="374"/>
        <v>-3.2300000000000002E-2</v>
      </c>
      <c r="W1269" s="29">
        <f t="shared" si="375"/>
        <v>1.38E-2</v>
      </c>
      <c r="X1269" s="30">
        <f t="shared" si="376"/>
        <v>119.37</v>
      </c>
      <c r="Y1269" s="31">
        <f t="shared" si="377"/>
        <v>121.09</v>
      </c>
    </row>
    <row r="1270" spans="1:25" ht="15" customHeight="1" x14ac:dyDescent="0.25">
      <c r="A1270" s="5">
        <v>34455</v>
      </c>
      <c r="B1270">
        <v>602.28250000000003</v>
      </c>
      <c r="C1270" s="29">
        <f t="shared" si="381"/>
        <v>7.1000000000000004E-3</v>
      </c>
      <c r="D1270">
        <v>-0.66</v>
      </c>
      <c r="E1270">
        <v>0.64400000000000002</v>
      </c>
      <c r="F1270" s="18">
        <f t="shared" si="368"/>
        <v>-0.35599999999999987</v>
      </c>
      <c r="G1270" s="18">
        <f t="shared" si="369"/>
        <v>-1.2239999999999993</v>
      </c>
      <c r="H1270">
        <v>3.16</v>
      </c>
      <c r="I1270">
        <v>1.48</v>
      </c>
      <c r="J1270">
        <f t="shared" si="378"/>
        <v>2.3199999999999998</v>
      </c>
      <c r="K1270" s="6">
        <f t="shared" si="379"/>
        <v>2.35</v>
      </c>
      <c r="L1270" s="6">
        <f t="shared" si="380"/>
        <v>-2.0000000000000018E-2</v>
      </c>
      <c r="M1270">
        <v>2.6390462565121</v>
      </c>
      <c r="N1270">
        <v>344000</v>
      </c>
      <c r="O1270" s="18">
        <f>ROUND(N1270/VLOOKUP(EOMONTH(A1270,-1),Employment!A:P,16,FALSE),4)</f>
        <v>1.7519</v>
      </c>
      <c r="P1270" s="18">
        <f t="shared" si="370"/>
        <v>1.7358</v>
      </c>
      <c r="Q1270" s="29">
        <f t="shared" si="371"/>
        <v>-5.3499999999999999E-2</v>
      </c>
      <c r="R1270" s="29">
        <f t="shared" si="372"/>
        <v>2.0999999999999999E-3</v>
      </c>
      <c r="S1270">
        <v>2716000</v>
      </c>
      <c r="T1270" s="18">
        <f>ROUND((S1270/7)/VLOOKUP(EOMONTH(A1270,-1),Employment!A:P,16,FALSE),4)</f>
        <v>1.9759</v>
      </c>
      <c r="U1270" s="18">
        <f t="shared" si="373"/>
        <v>1.9941</v>
      </c>
      <c r="V1270" s="29">
        <f t="shared" si="374"/>
        <v>-2.0899999999999998E-2</v>
      </c>
      <c r="W1270" s="29">
        <f t="shared" si="375"/>
        <v>1.55E-2</v>
      </c>
      <c r="X1270" s="30">
        <f t="shared" si="376"/>
        <v>122.38</v>
      </c>
      <c r="Y1270" s="31">
        <f t="shared" si="377"/>
        <v>123.2</v>
      </c>
    </row>
    <row r="1271" spans="1:25" ht="15" customHeight="1" x14ac:dyDescent="0.25">
      <c r="A1271" s="5">
        <v>34448</v>
      </c>
      <c r="B1271">
        <v>597.64589999999998</v>
      </c>
      <c r="C1271" s="29">
        <f t="shared" si="381"/>
        <v>0</v>
      </c>
      <c r="D1271">
        <v>-0.67</v>
      </c>
      <c r="E1271">
        <v>0.61199999999999999</v>
      </c>
      <c r="F1271" s="18">
        <f t="shared" si="368"/>
        <v>0.41199999999999992</v>
      </c>
      <c r="G1271" s="18">
        <f t="shared" si="369"/>
        <v>-2.1640000000000001</v>
      </c>
      <c r="H1271">
        <v>3.16</v>
      </c>
      <c r="I1271">
        <v>1.53</v>
      </c>
      <c r="J1271">
        <f t="shared" si="378"/>
        <v>2.35</v>
      </c>
      <c r="K1271" s="6">
        <f t="shared" si="379"/>
        <v>2.37</v>
      </c>
      <c r="L1271" s="6">
        <f t="shared" si="380"/>
        <v>-9.9999999999997868E-3</v>
      </c>
      <c r="M1271">
        <v>3.0929840444813999</v>
      </c>
      <c r="N1271">
        <v>341750</v>
      </c>
      <c r="O1271" s="18">
        <f>ROUND(N1271/VLOOKUP(EOMONTH(A1271,-1),Employment!A:P,16,FALSE),4)</f>
        <v>1.7417</v>
      </c>
      <c r="P1271" s="18">
        <f t="shared" si="370"/>
        <v>1.7196</v>
      </c>
      <c r="Q1271" s="29">
        <f t="shared" si="371"/>
        <v>-6.1699999999999998E-2</v>
      </c>
      <c r="R1271" s="29">
        <f t="shared" si="372"/>
        <v>9.2999999999999992E-3</v>
      </c>
      <c r="S1271">
        <v>2773000</v>
      </c>
      <c r="T1271" s="18">
        <f>ROUND((S1271/7)/VLOOKUP(EOMONTH(A1271,-1),Employment!A:P,16,FALSE),4)</f>
        <v>2.0188999999999999</v>
      </c>
      <c r="U1271" s="18">
        <f t="shared" si="373"/>
        <v>1.9932000000000001</v>
      </c>
      <c r="V1271" s="29">
        <f t="shared" si="374"/>
        <v>-1.2699999999999999E-2</v>
      </c>
      <c r="W1271" s="29">
        <f t="shared" si="375"/>
        <v>2.1999999999999999E-2</v>
      </c>
      <c r="X1271" s="30">
        <f t="shared" si="376"/>
        <v>122.15</v>
      </c>
      <c r="Y1271" s="31">
        <f t="shared" si="377"/>
        <v>127.47</v>
      </c>
    </row>
    <row r="1272" spans="1:25" ht="15" customHeight="1" x14ac:dyDescent="0.25">
      <c r="A1272" s="5">
        <v>34441</v>
      </c>
      <c r="B1272">
        <v>600.6703</v>
      </c>
      <c r="C1272" s="29">
        <f t="shared" si="381"/>
        <v>9.4000000000000004E-3</v>
      </c>
      <c r="D1272">
        <v>-0.68</v>
      </c>
      <c r="E1272">
        <v>0.67600000000000005</v>
      </c>
      <c r="F1272" s="18">
        <f t="shared" si="368"/>
        <v>-1.2799999999999994</v>
      </c>
      <c r="G1272" s="18">
        <f t="shared" si="369"/>
        <v>-3.0879999999999992</v>
      </c>
      <c r="H1272">
        <v>3.16</v>
      </c>
      <c r="I1272">
        <v>1.57</v>
      </c>
      <c r="J1272">
        <f t="shared" si="378"/>
        <v>2.37</v>
      </c>
      <c r="K1272" s="6">
        <f t="shared" si="379"/>
        <v>2.38</v>
      </c>
      <c r="L1272" s="6">
        <f t="shared" si="380"/>
        <v>0</v>
      </c>
      <c r="M1272">
        <v>3.5925217866070001</v>
      </c>
      <c r="N1272">
        <v>336250</v>
      </c>
      <c r="O1272" s="18">
        <f>ROUND(N1272/VLOOKUP(EOMONTH(A1272,-1),Employment!A:P,16,FALSE),4)</f>
        <v>1.7137</v>
      </c>
      <c r="P1272" s="18">
        <f t="shared" si="370"/>
        <v>1.7095</v>
      </c>
      <c r="Q1272" s="29">
        <f t="shared" si="371"/>
        <v>-6.0400000000000002E-2</v>
      </c>
      <c r="R1272" s="29">
        <f t="shared" si="372"/>
        <v>1.5599999999999999E-2</v>
      </c>
      <c r="S1272">
        <v>2730000</v>
      </c>
      <c r="T1272" s="18">
        <f>ROUND((S1272/7)/VLOOKUP(EOMONTH(A1272,-1),Employment!A:P,16,FALSE),4)</f>
        <v>1.9876</v>
      </c>
      <c r="U1272" s="18">
        <f t="shared" si="373"/>
        <v>1.9866999999999999</v>
      </c>
      <c r="V1272" s="29">
        <f t="shared" si="374"/>
        <v>-8.9999999999999993E-3</v>
      </c>
      <c r="W1272" s="29">
        <f t="shared" si="375"/>
        <v>1.9300000000000001E-2</v>
      </c>
      <c r="X1272" s="30">
        <f t="shared" si="376"/>
        <v>127.89</v>
      </c>
      <c r="Y1272" s="31">
        <f t="shared" si="377"/>
        <v>136.35</v>
      </c>
    </row>
    <row r="1273" spans="1:25" ht="15" customHeight="1" x14ac:dyDescent="0.25">
      <c r="A1273" s="5">
        <v>34434</v>
      </c>
      <c r="B1273">
        <v>598.48760000000004</v>
      </c>
      <c r="C1273" s="29">
        <f t="shared" si="381"/>
        <v>1.01E-2</v>
      </c>
      <c r="D1273">
        <v>-0.7</v>
      </c>
      <c r="E1273">
        <v>0.54100000000000004</v>
      </c>
      <c r="F1273" s="18">
        <f t="shared" si="368"/>
        <v>-1.2960000000000007</v>
      </c>
      <c r="G1273" s="18">
        <f t="shared" si="369"/>
        <v>-2.0520000000000005</v>
      </c>
      <c r="H1273">
        <v>3.16</v>
      </c>
      <c r="I1273">
        <v>1.59</v>
      </c>
      <c r="J1273">
        <f t="shared" si="378"/>
        <v>2.38</v>
      </c>
      <c r="K1273" s="6">
        <f t="shared" si="379"/>
        <v>2.38</v>
      </c>
      <c r="L1273" s="6">
        <f t="shared" si="380"/>
        <v>-1.0000000000000231E-2</v>
      </c>
      <c r="M1273">
        <v>4.0131924843727997</v>
      </c>
      <c r="N1273">
        <v>334250</v>
      </c>
      <c r="O1273" s="18">
        <f>ROUND(N1273/VLOOKUP(EOMONTH(A1273,-1),Employment!A:P,16,FALSE),4)</f>
        <v>1.7035</v>
      </c>
      <c r="P1273" s="18">
        <f t="shared" si="370"/>
        <v>1.7111000000000001</v>
      </c>
      <c r="Q1273" s="29">
        <f t="shared" si="371"/>
        <v>-5.4800000000000001E-2</v>
      </c>
      <c r="R1273" s="29">
        <f t="shared" si="372"/>
        <v>2.7699999999999999E-2</v>
      </c>
      <c r="S1273">
        <v>2710000</v>
      </c>
      <c r="T1273" s="18">
        <f>ROUND((S1273/7)/VLOOKUP(EOMONTH(A1273,-1),Employment!A:P,16,FALSE),4)</f>
        <v>1.9731000000000001</v>
      </c>
      <c r="U1273" s="18">
        <f t="shared" si="373"/>
        <v>2</v>
      </c>
      <c r="V1273" s="29">
        <f t="shared" si="374"/>
        <v>1.11E-2</v>
      </c>
      <c r="W1273" s="29">
        <f t="shared" si="375"/>
        <v>1.43E-2</v>
      </c>
      <c r="X1273" s="30">
        <f t="shared" si="376"/>
        <v>139.72</v>
      </c>
      <c r="Y1273" s="31">
        <f t="shared" si="377"/>
        <v>146.44999999999999</v>
      </c>
    </row>
    <row r="1274" spans="1:25" ht="15" customHeight="1" x14ac:dyDescent="0.25">
      <c r="A1274" s="5">
        <v>34427</v>
      </c>
      <c r="B1274">
        <v>595.34280000000001</v>
      </c>
      <c r="C1274" s="29">
        <f t="shared" si="381"/>
        <v>8.3000000000000001E-3</v>
      </c>
      <c r="D1274">
        <v>-0.74</v>
      </c>
      <c r="E1274">
        <v>0.42899999999999999</v>
      </c>
      <c r="F1274" s="18">
        <f t="shared" si="368"/>
        <v>-0.51199999999999912</v>
      </c>
      <c r="G1274" s="18">
        <f t="shared" si="369"/>
        <v>-1.327999999999999</v>
      </c>
      <c r="H1274">
        <v>3.16</v>
      </c>
      <c r="I1274">
        <v>1.59</v>
      </c>
      <c r="J1274">
        <f t="shared" si="378"/>
        <v>2.38</v>
      </c>
      <c r="K1274" s="6">
        <f t="shared" si="379"/>
        <v>2.39</v>
      </c>
      <c r="L1274" s="6">
        <f t="shared" si="380"/>
        <v>-9.9999999999997868E-3</v>
      </c>
      <c r="M1274">
        <v>3.0729327248148</v>
      </c>
      <c r="N1274">
        <v>335750</v>
      </c>
      <c r="O1274" s="18">
        <f>ROUND(N1274/VLOOKUP(EOMONTH(A1274,-1),Employment!A:P,16,FALSE),4)</f>
        <v>1.7112000000000001</v>
      </c>
      <c r="P1274" s="18">
        <f t="shared" si="370"/>
        <v>1.7245999999999999</v>
      </c>
      <c r="Q1274" s="29">
        <f t="shared" si="371"/>
        <v>-4.7199999999999999E-2</v>
      </c>
      <c r="R1274" s="29">
        <f t="shared" si="372"/>
        <v>4.3099999999999999E-2</v>
      </c>
      <c r="S1274">
        <v>2746000</v>
      </c>
      <c r="T1274" s="18">
        <f>ROUND((S1274/7)/VLOOKUP(EOMONTH(A1274,-1),Employment!A:P,16,FALSE),4)</f>
        <v>1.9993000000000001</v>
      </c>
      <c r="U1274" s="18">
        <f t="shared" si="373"/>
        <v>2.0171000000000001</v>
      </c>
      <c r="V1274" s="29">
        <f t="shared" si="374"/>
        <v>2.4799999999999999E-2</v>
      </c>
      <c r="W1274" s="29">
        <f t="shared" si="375"/>
        <v>6.3E-3</v>
      </c>
      <c r="X1274" s="30">
        <f t="shared" si="376"/>
        <v>149.06</v>
      </c>
      <c r="Y1274" s="31">
        <f t="shared" si="377"/>
        <v>151.01</v>
      </c>
    </row>
    <row r="1275" spans="1:25" ht="15" customHeight="1" x14ac:dyDescent="0.25">
      <c r="A1275" s="5">
        <v>34420</v>
      </c>
      <c r="B1275">
        <v>596.0308</v>
      </c>
      <c r="C1275" s="29">
        <f t="shared" si="381"/>
        <v>1.26E-2</v>
      </c>
      <c r="D1275">
        <v>-0.76</v>
      </c>
      <c r="E1275">
        <v>0.39</v>
      </c>
      <c r="F1275" s="18">
        <f t="shared" si="368"/>
        <v>-0.24400000000000066</v>
      </c>
      <c r="G1275" s="18">
        <f t="shared" si="369"/>
        <v>-1.8560000000000008</v>
      </c>
      <c r="H1275">
        <v>3.16</v>
      </c>
      <c r="I1275">
        <v>1.59</v>
      </c>
      <c r="J1275">
        <f t="shared" si="378"/>
        <v>2.38</v>
      </c>
      <c r="K1275" s="6">
        <f t="shared" si="379"/>
        <v>2.4</v>
      </c>
      <c r="L1275" s="6">
        <f t="shared" si="380"/>
        <v>-2.0000000000000018E-2</v>
      </c>
      <c r="M1275">
        <v>3.7663333855254</v>
      </c>
      <c r="N1275">
        <v>337000</v>
      </c>
      <c r="O1275" s="18">
        <f>ROUND(N1275/VLOOKUP(EOMONTH(A1275,-1),Employment!A:P,16,FALSE),4)</f>
        <v>1.7185999999999999</v>
      </c>
      <c r="P1275" s="18">
        <f t="shared" si="370"/>
        <v>1.7411000000000001</v>
      </c>
      <c r="Q1275" s="29">
        <f t="shared" si="371"/>
        <v>-3.4700000000000002E-2</v>
      </c>
      <c r="R1275" s="29">
        <f t="shared" si="372"/>
        <v>5.3699999999999998E-2</v>
      </c>
      <c r="S1275">
        <v>2783000</v>
      </c>
      <c r="T1275" s="18">
        <f>ROUND((S1275/7)/VLOOKUP(EOMONTH(A1275,-1),Employment!A:P,16,FALSE),4)</f>
        <v>2.0274999999999999</v>
      </c>
      <c r="U1275" s="18">
        <f t="shared" si="373"/>
        <v>2.0299</v>
      </c>
      <c r="V1275" s="29">
        <f t="shared" si="374"/>
        <v>4.1300000000000003E-2</v>
      </c>
      <c r="W1275" s="29">
        <f t="shared" si="375"/>
        <v>6.3E-3</v>
      </c>
      <c r="X1275" s="30">
        <f t="shared" si="376"/>
        <v>156.72</v>
      </c>
      <c r="Y1275" s="31">
        <f t="shared" si="377"/>
        <v>144.02000000000001</v>
      </c>
    </row>
    <row r="1276" spans="1:25" ht="15" customHeight="1" x14ac:dyDescent="0.25">
      <c r="A1276" s="5">
        <v>34413</v>
      </c>
      <c r="B1276">
        <v>590.43799999999999</v>
      </c>
      <c r="C1276" s="29">
        <f t="shared" si="381"/>
        <v>4.0000000000000001E-3</v>
      </c>
      <c r="D1276">
        <v>-0.79</v>
      </c>
      <c r="E1276">
        <v>0.39700000000000002</v>
      </c>
      <c r="F1276" s="18">
        <f t="shared" si="368"/>
        <v>-0.57199999999999918</v>
      </c>
      <c r="G1276" s="18">
        <f t="shared" si="369"/>
        <v>-2.5560000000000009</v>
      </c>
      <c r="H1276">
        <v>3.16</v>
      </c>
      <c r="I1276">
        <v>1.63</v>
      </c>
      <c r="J1276">
        <f t="shared" si="378"/>
        <v>2.4</v>
      </c>
      <c r="K1276" s="6">
        <f t="shared" si="379"/>
        <v>2.42</v>
      </c>
      <c r="L1276" s="6">
        <f t="shared" si="380"/>
        <v>-1.0000000000000231E-2</v>
      </c>
      <c r="M1276">
        <v>3.65953070047</v>
      </c>
      <c r="N1276">
        <v>342000</v>
      </c>
      <c r="O1276" s="18">
        <f>ROUND(N1276/VLOOKUP(EOMONTH(A1276,-1),Employment!A:P,16,FALSE),4)</f>
        <v>1.7441</v>
      </c>
      <c r="P1276" s="18">
        <f t="shared" si="370"/>
        <v>1.7606999999999999</v>
      </c>
      <c r="Q1276" s="29">
        <f t="shared" si="371"/>
        <v>-1.2699999999999999E-2</v>
      </c>
      <c r="R1276" s="29">
        <f t="shared" si="372"/>
        <v>4.1500000000000002E-2</v>
      </c>
      <c r="S1276">
        <v>2779000</v>
      </c>
      <c r="T1276" s="18">
        <f>ROUND((S1276/7)/VLOOKUP(EOMONTH(A1276,-1),Employment!A:P,16,FALSE),4)</f>
        <v>2.0246</v>
      </c>
      <c r="U1276" s="18">
        <f t="shared" si="373"/>
        <v>2.0213999999999999</v>
      </c>
      <c r="V1276" s="29">
        <f t="shared" si="374"/>
        <v>3.3300000000000003E-2</v>
      </c>
      <c r="W1276" s="29">
        <f t="shared" si="375"/>
        <v>-1.1999999999999999E-3</v>
      </c>
      <c r="X1276" s="30">
        <f t="shared" si="376"/>
        <v>141.6</v>
      </c>
      <c r="Y1276" s="31">
        <f t="shared" si="377"/>
        <v>123.92</v>
      </c>
    </row>
    <row r="1277" spans="1:25" ht="15" customHeight="1" x14ac:dyDescent="0.25">
      <c r="A1277" s="5">
        <v>34406</v>
      </c>
      <c r="B1277">
        <v>588.19619999999998</v>
      </c>
      <c r="C1277" s="29">
        <f t="shared" si="381"/>
        <v>5.0000000000000001E-4</v>
      </c>
      <c r="D1277">
        <v>-0.82</v>
      </c>
      <c r="E1277">
        <v>0.36299999999999999</v>
      </c>
      <c r="F1277" s="18">
        <f t="shared" si="368"/>
        <v>-1.0400000000000009</v>
      </c>
      <c r="G1277" s="18">
        <f t="shared" si="369"/>
        <v>-2.3000000000000007</v>
      </c>
      <c r="H1277">
        <v>3.16</v>
      </c>
      <c r="I1277">
        <v>1.68</v>
      </c>
      <c r="J1277">
        <f t="shared" si="378"/>
        <v>2.42</v>
      </c>
      <c r="K1277" s="6">
        <f t="shared" si="379"/>
        <v>2.4300000000000002</v>
      </c>
      <c r="L1277" s="6">
        <f t="shared" si="380"/>
        <v>-2.0000000000000018E-2</v>
      </c>
      <c r="M1277">
        <v>3.5157477862777999</v>
      </c>
      <c r="N1277">
        <v>345250</v>
      </c>
      <c r="O1277" s="18">
        <f>ROUND(N1277/VLOOKUP(EOMONTH(A1277,-1),Employment!A:P,16,FALSE),4)</f>
        <v>1.7606999999999999</v>
      </c>
      <c r="P1277" s="18">
        <f t="shared" si="370"/>
        <v>1.8057000000000001</v>
      </c>
      <c r="Q1277" s="29">
        <f t="shared" si="371"/>
        <v>3.27E-2</v>
      </c>
      <c r="R1277" s="29">
        <f t="shared" si="372"/>
        <v>8.6E-3</v>
      </c>
      <c r="S1277">
        <v>2797000</v>
      </c>
      <c r="T1277" s="18">
        <f>ROUND((S1277/7)/VLOOKUP(EOMONTH(A1277,-1),Employment!A:P,16,FALSE),4)</f>
        <v>2.0377000000000001</v>
      </c>
      <c r="U1277" s="18">
        <f t="shared" si="373"/>
        <v>2.0417999999999998</v>
      </c>
      <c r="V1277" s="29">
        <f t="shared" si="374"/>
        <v>5.0700000000000002E-2</v>
      </c>
      <c r="W1277" s="29">
        <f t="shared" si="375"/>
        <v>-1.4800000000000001E-2</v>
      </c>
      <c r="X1277" s="30">
        <f t="shared" si="376"/>
        <v>118.3</v>
      </c>
      <c r="Y1277" s="31">
        <f t="shared" si="377"/>
        <v>102.27</v>
      </c>
    </row>
    <row r="1278" spans="1:25" ht="15" customHeight="1" x14ac:dyDescent="0.25">
      <c r="A1278" s="5">
        <v>34399</v>
      </c>
      <c r="B1278">
        <v>586.99329999999998</v>
      </c>
      <c r="C1278" s="29">
        <f t="shared" si="381"/>
        <v>-1.8E-3</v>
      </c>
      <c r="D1278">
        <v>-0.86</v>
      </c>
      <c r="E1278">
        <v>0.28299999999999997</v>
      </c>
      <c r="F1278" s="18">
        <f t="shared" si="368"/>
        <v>-0.94400000000000084</v>
      </c>
      <c r="G1278" s="18">
        <f t="shared" si="369"/>
        <v>-2.4319999999999986</v>
      </c>
      <c r="H1278">
        <v>3.16</v>
      </c>
      <c r="I1278">
        <v>1.7</v>
      </c>
      <c r="J1278">
        <f t="shared" si="378"/>
        <v>2.4300000000000002</v>
      </c>
      <c r="K1278" s="6">
        <f t="shared" si="379"/>
        <v>2.4500000000000002</v>
      </c>
      <c r="L1278" s="6">
        <f t="shared" si="380"/>
        <v>-2.0000000000000018E-2</v>
      </c>
      <c r="M1278">
        <v>3.7469090932986999</v>
      </c>
      <c r="N1278">
        <v>348500</v>
      </c>
      <c r="O1278" s="18">
        <f>ROUND(N1278/VLOOKUP(EOMONTH(A1278,-1),Employment!A:P,16,FALSE),4)</f>
        <v>1.7771999999999999</v>
      </c>
      <c r="P1278" s="18">
        <f t="shared" si="370"/>
        <v>1.8448</v>
      </c>
      <c r="Q1278" s="29">
        <f t="shared" si="371"/>
        <v>7.2400000000000006E-2</v>
      </c>
      <c r="R1278" s="29">
        <f t="shared" si="372"/>
        <v>-2.7900000000000001E-2</v>
      </c>
      <c r="S1278">
        <v>2748000</v>
      </c>
      <c r="T1278" s="18">
        <f>ROUND((S1278/7)/VLOOKUP(EOMONTH(A1278,-1),Employment!A:P,16,FALSE),4)</f>
        <v>2.0019999999999998</v>
      </c>
      <c r="U1278" s="18">
        <f t="shared" si="373"/>
        <v>2.0343</v>
      </c>
      <c r="V1278" s="29">
        <f t="shared" si="374"/>
        <v>4.6600000000000003E-2</v>
      </c>
      <c r="W1278" s="29">
        <f t="shared" si="375"/>
        <v>-2.52E-2</v>
      </c>
      <c r="X1278" s="30">
        <f t="shared" si="376"/>
        <v>93.77</v>
      </c>
      <c r="Y1278" s="31">
        <f t="shared" si="377"/>
        <v>88.35</v>
      </c>
    </row>
    <row r="1279" spans="1:25" ht="15" customHeight="1" x14ac:dyDescent="0.25">
      <c r="A1279" s="5">
        <v>34392</v>
      </c>
      <c r="B1279">
        <v>588.83000000000004</v>
      </c>
      <c r="C1279" s="29">
        <f t="shared" si="381"/>
        <v>1.8E-3</v>
      </c>
      <c r="D1279">
        <v>-0.88</v>
      </c>
      <c r="E1279">
        <v>0.19</v>
      </c>
      <c r="F1279" s="18">
        <f t="shared" si="368"/>
        <v>-0.31599999999999895</v>
      </c>
      <c r="G1279" s="18">
        <f t="shared" si="369"/>
        <v>-1.5519999999999978</v>
      </c>
      <c r="H1279">
        <v>3.16</v>
      </c>
      <c r="I1279">
        <v>1.74</v>
      </c>
      <c r="J1279">
        <f t="shared" si="378"/>
        <v>2.4500000000000002</v>
      </c>
      <c r="K1279" s="6">
        <f t="shared" si="379"/>
        <v>2.4700000000000002</v>
      </c>
      <c r="L1279" s="6">
        <f t="shared" si="380"/>
        <v>0</v>
      </c>
      <c r="M1279">
        <v>2.1305697413170002</v>
      </c>
      <c r="N1279">
        <v>368250</v>
      </c>
      <c r="O1279" s="18">
        <f>ROUND(N1279/VLOOKUP(EOMONTH(A1279,-1),Employment!A:P,16,FALSE),4)</f>
        <v>1.8793</v>
      </c>
      <c r="P1279" s="18">
        <f t="shared" si="370"/>
        <v>1.8789</v>
      </c>
      <c r="Q1279" s="29">
        <f t="shared" si="371"/>
        <v>9.2200000000000004E-2</v>
      </c>
      <c r="R1279" s="29">
        <f t="shared" si="372"/>
        <v>-4.7800000000000002E-2</v>
      </c>
      <c r="S1279">
        <v>2861000</v>
      </c>
      <c r="T1279" s="18">
        <f>ROUND((S1279/7)/VLOOKUP(EOMONTH(A1279,-1),Employment!A:P,16,FALSE),4)</f>
        <v>2.0857999999999999</v>
      </c>
      <c r="U1279" s="18">
        <f t="shared" si="373"/>
        <v>2.0381999999999998</v>
      </c>
      <c r="V1279" s="29">
        <f t="shared" si="374"/>
        <v>4.6100000000000002E-2</v>
      </c>
      <c r="W1279" s="29">
        <f t="shared" si="375"/>
        <v>-3.1899999999999998E-2</v>
      </c>
      <c r="X1279" s="30">
        <f t="shared" si="376"/>
        <v>83.42</v>
      </c>
      <c r="Y1279" s="31">
        <f t="shared" si="377"/>
        <v>87.91</v>
      </c>
    </row>
    <row r="1280" spans="1:25" ht="15" customHeight="1" x14ac:dyDescent="0.25">
      <c r="A1280" s="5">
        <v>34385</v>
      </c>
      <c r="B1280">
        <v>588.2115</v>
      </c>
      <c r="C1280" s="29">
        <f t="shared" si="381"/>
        <v>1.1000000000000001E-3</v>
      </c>
      <c r="D1280">
        <v>-0.91</v>
      </c>
      <c r="E1280">
        <v>0.188</v>
      </c>
      <c r="F1280" s="18">
        <f t="shared" si="368"/>
        <v>-1.1719999999999988</v>
      </c>
      <c r="G1280" s="18">
        <f t="shared" si="369"/>
        <v>-1.0359999999999996</v>
      </c>
      <c r="H1280">
        <v>3.16</v>
      </c>
      <c r="I1280">
        <v>1.78</v>
      </c>
      <c r="J1280">
        <f t="shared" si="378"/>
        <v>2.4700000000000002</v>
      </c>
      <c r="K1280" s="6">
        <f t="shared" si="379"/>
        <v>2.4700000000000002</v>
      </c>
      <c r="L1280" s="6">
        <f t="shared" si="380"/>
        <v>-9.9999999999997868E-3</v>
      </c>
      <c r="M1280">
        <v>1.7785159669527</v>
      </c>
      <c r="N1280">
        <v>368000</v>
      </c>
      <c r="O1280" s="18">
        <f>ROUND(N1280/VLOOKUP(EOMONTH(A1280,-1),Employment!A:P,16,FALSE),4)</f>
        <v>1.8779999999999999</v>
      </c>
      <c r="P1280" s="18">
        <f t="shared" si="370"/>
        <v>1.8712</v>
      </c>
      <c r="Q1280" s="29">
        <f t="shared" si="371"/>
        <v>7.2800000000000004E-2</v>
      </c>
      <c r="R1280" s="29">
        <f t="shared" si="372"/>
        <v>-4.58E-2</v>
      </c>
      <c r="S1280">
        <v>2764000</v>
      </c>
      <c r="T1280" s="18">
        <f>ROUND((S1280/7)/VLOOKUP(EOMONTH(A1280,-1),Employment!A:P,16,FALSE),4)</f>
        <v>2.0150999999999999</v>
      </c>
      <c r="U1280" s="18">
        <f t="shared" si="373"/>
        <v>2.0266999999999999</v>
      </c>
      <c r="V1280" s="29">
        <f t="shared" si="374"/>
        <v>2.7400000000000001E-2</v>
      </c>
      <c r="W1280" s="29">
        <f t="shared" si="375"/>
        <v>-2.3400000000000001E-2</v>
      </c>
      <c r="X1280" s="30">
        <f t="shared" si="376"/>
        <v>87.1</v>
      </c>
      <c r="Y1280" s="31">
        <f t="shared" si="377"/>
        <v>97.36</v>
      </c>
    </row>
    <row r="1281" spans="1:25" ht="15" customHeight="1" x14ac:dyDescent="0.25">
      <c r="A1281" s="5">
        <v>34378</v>
      </c>
      <c r="B1281">
        <v>587.45979999999997</v>
      </c>
      <c r="C1281" s="29">
        <f t="shared" si="381"/>
        <v>2.0000000000000001E-4</v>
      </c>
      <c r="D1281">
        <v>-0.94</v>
      </c>
      <c r="E1281">
        <v>7.9000000000000001E-2</v>
      </c>
      <c r="F1281" s="18">
        <f t="shared" si="368"/>
        <v>-6.4000000000000057E-2</v>
      </c>
      <c r="G1281" s="18">
        <f t="shared" si="369"/>
        <v>0</v>
      </c>
      <c r="H1281">
        <v>3.16</v>
      </c>
      <c r="I1281">
        <v>1.82</v>
      </c>
      <c r="J1281">
        <f t="shared" si="378"/>
        <v>2.4900000000000002</v>
      </c>
      <c r="K1281" s="6">
        <f t="shared" si="379"/>
        <v>2.48</v>
      </c>
      <c r="L1281" s="6">
        <f t="shared" si="380"/>
        <v>-2.0000000000000018E-2</v>
      </c>
      <c r="M1281">
        <v>2.0306382496334998</v>
      </c>
      <c r="N1281">
        <v>368250</v>
      </c>
      <c r="O1281" s="18">
        <f>ROUND(N1281/VLOOKUP(EOMONTH(A1281,-1),Employment!A:P,16,FALSE),4)</f>
        <v>1.8793</v>
      </c>
      <c r="P1281" s="18">
        <f t="shared" si="370"/>
        <v>1.8368</v>
      </c>
      <c r="Q1281" s="29">
        <f t="shared" si="371"/>
        <v>3.56E-2</v>
      </c>
      <c r="R1281" s="29">
        <f t="shared" si="372"/>
        <v>-3.3000000000000002E-2</v>
      </c>
      <c r="S1281">
        <v>2762000</v>
      </c>
      <c r="T1281" s="18">
        <f>ROUND((S1281/7)/VLOOKUP(EOMONTH(A1281,-1),Employment!A:P,16,FALSE),4)</f>
        <v>2.0135999999999998</v>
      </c>
      <c r="U1281" s="18">
        <f t="shared" si="373"/>
        <v>1.9956</v>
      </c>
      <c r="V1281" s="29">
        <f t="shared" si="374"/>
        <v>-1.6000000000000001E-3</v>
      </c>
      <c r="W1281" s="29">
        <f t="shared" si="375"/>
        <v>-1.4800000000000001E-2</v>
      </c>
      <c r="X1281" s="30">
        <f t="shared" si="376"/>
        <v>101.14</v>
      </c>
      <c r="Y1281" s="31">
        <f t="shared" si="377"/>
        <v>109.55</v>
      </c>
    </row>
    <row r="1282" spans="1:25" ht="15" customHeight="1" x14ac:dyDescent="0.25">
      <c r="A1282" s="5">
        <v>34371</v>
      </c>
      <c r="B1282">
        <v>587.59580000000005</v>
      </c>
      <c r="C1282" s="29">
        <f t="shared" si="381"/>
        <v>2.3E-3</v>
      </c>
      <c r="D1282">
        <v>-0.96</v>
      </c>
      <c r="E1282">
        <v>9.6000000000000002E-2</v>
      </c>
      <c r="F1282" s="18">
        <f t="shared" si="368"/>
        <v>0.19999999999999929</v>
      </c>
      <c r="G1282" s="18">
        <f t="shared" si="369"/>
        <v>0.61999999999999922</v>
      </c>
      <c r="H1282">
        <v>3.16</v>
      </c>
      <c r="I1282">
        <v>1.74</v>
      </c>
      <c r="J1282">
        <f t="shared" si="378"/>
        <v>2.4500000000000002</v>
      </c>
      <c r="K1282" s="6">
        <f t="shared" si="379"/>
        <v>2.5</v>
      </c>
      <c r="L1282" s="6">
        <f t="shared" si="380"/>
        <v>-2.0000000000000018E-2</v>
      </c>
      <c r="M1282">
        <v>0.45651790088062</v>
      </c>
      <c r="N1282">
        <v>363750</v>
      </c>
      <c r="O1282" s="18">
        <f>ROUND(N1282/VLOOKUP(EOMONTH(A1282,-1),Employment!A:P,16,FALSE),4)</f>
        <v>1.8563000000000001</v>
      </c>
      <c r="P1282" s="18">
        <f t="shared" si="370"/>
        <v>1.776</v>
      </c>
      <c r="Q1282" s="29">
        <f t="shared" si="371"/>
        <v>-8.9999999999999998E-4</v>
      </c>
      <c r="R1282" s="29">
        <f t="shared" si="372"/>
        <v>-1.9E-2</v>
      </c>
      <c r="S1282">
        <v>2814000</v>
      </c>
      <c r="T1282" s="18">
        <f>ROUND((S1282/7)/VLOOKUP(EOMONTH(A1282,-1),Employment!A:P,16,FALSE),4)</f>
        <v>2.0514999999999999</v>
      </c>
      <c r="U1282" s="18">
        <f t="shared" si="373"/>
        <v>1.9823</v>
      </c>
      <c r="V1282" s="29">
        <f t="shared" si="374"/>
        <v>-1.2699999999999999E-2</v>
      </c>
      <c r="W1282" s="29">
        <f t="shared" si="375"/>
        <v>-3.0000000000000001E-3</v>
      </c>
      <c r="X1282" s="30">
        <f t="shared" si="376"/>
        <v>113.55</v>
      </c>
      <c r="Y1282" s="31">
        <f t="shared" si="377"/>
        <v>117.94</v>
      </c>
    </row>
    <row r="1283" spans="1:25" ht="15" customHeight="1" x14ac:dyDescent="0.25">
      <c r="A1283" s="5">
        <v>34364</v>
      </c>
      <c r="B1283">
        <v>587.78689999999995</v>
      </c>
      <c r="C1283" s="29">
        <f t="shared" si="381"/>
        <v>4.4000000000000003E-3</v>
      </c>
      <c r="D1283">
        <v>-0.96</v>
      </c>
      <c r="E1283">
        <v>0.121</v>
      </c>
      <c r="F1283" s="18">
        <f t="shared" si="368"/>
        <v>-0.13599999999999923</v>
      </c>
      <c r="G1283" s="18">
        <f t="shared" si="369"/>
        <v>5.1999999999999602E-2</v>
      </c>
      <c r="H1283">
        <v>3.16</v>
      </c>
      <c r="I1283">
        <v>1.86</v>
      </c>
      <c r="J1283">
        <f t="shared" si="378"/>
        <v>2.5099999999999998</v>
      </c>
      <c r="K1283" s="6">
        <f t="shared" si="379"/>
        <v>2.52</v>
      </c>
      <c r="L1283" s="6">
        <f t="shared" si="380"/>
        <v>-2.0000000000000018E-2</v>
      </c>
      <c r="M1283">
        <v>0.49266202132726999</v>
      </c>
      <c r="N1283">
        <v>347500</v>
      </c>
      <c r="O1283" s="18">
        <f>ROUND(N1283/VLOOKUP(EOMONTH(A1283,-1),Employment!A:P,16,FALSE),4)</f>
        <v>1.7747999999999999</v>
      </c>
      <c r="P1283" s="18">
        <f t="shared" si="370"/>
        <v>1.7126999999999999</v>
      </c>
      <c r="Q1283" s="29">
        <f t="shared" si="371"/>
        <v>-2.6200000000000001E-2</v>
      </c>
      <c r="R1283" s="29">
        <f t="shared" si="372"/>
        <v>-9.9000000000000008E-3</v>
      </c>
      <c r="S1283">
        <v>2634000</v>
      </c>
      <c r="T1283" s="18">
        <f>ROUND((S1283/7)/VLOOKUP(EOMONTH(A1283,-1),Employment!A:P,16,FALSE),4)</f>
        <v>1.9218</v>
      </c>
      <c r="U1283" s="18">
        <f t="shared" si="373"/>
        <v>1.9388000000000001</v>
      </c>
      <c r="V1283" s="29">
        <f t="shared" si="374"/>
        <v>-3.49E-2</v>
      </c>
      <c r="W1283" s="29">
        <f t="shared" si="375"/>
        <v>2.5999999999999999E-3</v>
      </c>
      <c r="X1283" s="30">
        <f t="shared" si="376"/>
        <v>120.57</v>
      </c>
      <c r="Y1283" s="31">
        <f t="shared" si="377"/>
        <v>121.4</v>
      </c>
    </row>
    <row r="1284" spans="1:25" ht="15" customHeight="1" x14ac:dyDescent="0.25">
      <c r="A1284" s="5">
        <v>34357</v>
      </c>
      <c r="B1284">
        <v>587.51179999999999</v>
      </c>
      <c r="C1284" s="29">
        <f t="shared" si="381"/>
        <v>5.1999999999999998E-3</v>
      </c>
      <c r="D1284">
        <v>-0.96</v>
      </c>
      <c r="E1284">
        <v>0.104</v>
      </c>
      <c r="F1284" s="18">
        <f t="shared" si="368"/>
        <v>0.55599999999999916</v>
      </c>
      <c r="G1284" s="18">
        <f t="shared" si="369"/>
        <v>-0.61200000000000188</v>
      </c>
      <c r="H1284">
        <v>3.16</v>
      </c>
      <c r="I1284">
        <v>1.9</v>
      </c>
      <c r="J1284">
        <f t="shared" si="378"/>
        <v>2.5299999999999998</v>
      </c>
      <c r="K1284" s="6">
        <f t="shared" si="379"/>
        <v>2.54</v>
      </c>
      <c r="L1284" s="6">
        <f t="shared" si="380"/>
        <v>0</v>
      </c>
      <c r="M1284">
        <v>0.24102965038115001</v>
      </c>
      <c r="N1284">
        <v>332250</v>
      </c>
      <c r="O1284" s="18">
        <f>ROUND(N1284/VLOOKUP(EOMONTH(A1284,-1),Employment!A:P,16,FALSE),4)</f>
        <v>1.6969000000000001</v>
      </c>
      <c r="P1284" s="18">
        <f t="shared" si="370"/>
        <v>1.6727000000000001</v>
      </c>
      <c r="Q1284" s="29">
        <f t="shared" si="371"/>
        <v>-3.9300000000000002E-2</v>
      </c>
      <c r="R1284" s="29">
        <f t="shared" si="372"/>
        <v>-4.5999999999999999E-3</v>
      </c>
      <c r="S1284">
        <v>2705000</v>
      </c>
      <c r="T1284" s="18">
        <f>ROUND((S1284/7)/VLOOKUP(EOMONTH(A1284,-1),Employment!A:P,16,FALSE),4)</f>
        <v>1.9736</v>
      </c>
      <c r="U1284" s="18">
        <f t="shared" si="373"/>
        <v>1.9598</v>
      </c>
      <c r="V1284" s="29">
        <f t="shared" si="374"/>
        <v>-3.0499999999999999E-2</v>
      </c>
      <c r="W1284" s="29">
        <f t="shared" si="375"/>
        <v>-1.9E-3</v>
      </c>
      <c r="X1284" s="30">
        <f t="shared" si="376"/>
        <v>122.33</v>
      </c>
      <c r="Y1284" s="31">
        <f t="shared" si="377"/>
        <v>121.39</v>
      </c>
    </row>
    <row r="1285" spans="1:25" ht="15" customHeight="1" x14ac:dyDescent="0.25">
      <c r="A1285" s="5">
        <v>34350</v>
      </c>
      <c r="B1285">
        <v>586.53099999999995</v>
      </c>
      <c r="C1285" s="29">
        <f t="shared" si="381"/>
        <v>5.3E-3</v>
      </c>
      <c r="D1285">
        <v>-0.95</v>
      </c>
      <c r="E1285">
        <v>0.161</v>
      </c>
      <c r="F1285" s="18">
        <f t="shared" si="368"/>
        <v>-0.36800000000000033</v>
      </c>
      <c r="G1285" s="18">
        <f t="shared" si="369"/>
        <v>-0.96799999999999997</v>
      </c>
      <c r="H1285">
        <v>3.16</v>
      </c>
      <c r="I1285">
        <v>1.89</v>
      </c>
      <c r="J1285">
        <f t="shared" si="378"/>
        <v>2.5299999999999998</v>
      </c>
      <c r="K1285" s="6">
        <f t="shared" si="379"/>
        <v>2.54</v>
      </c>
      <c r="L1285" s="6">
        <f t="shared" si="380"/>
        <v>-9.9999999999997868E-3</v>
      </c>
      <c r="M1285">
        <v>0.50566486517936005</v>
      </c>
      <c r="N1285">
        <v>326250</v>
      </c>
      <c r="O1285" s="18">
        <f>ROUND(N1285/VLOOKUP(EOMONTH(A1285,-1),Employment!A:P,16,FALSE),4)</f>
        <v>1.6662999999999999</v>
      </c>
      <c r="P1285" s="18">
        <f t="shared" si="370"/>
        <v>1.6569</v>
      </c>
      <c r="Q1285" s="29">
        <f t="shared" si="371"/>
        <v>-4.7500000000000001E-2</v>
      </c>
      <c r="R1285" s="29">
        <f t="shared" si="372"/>
        <v>-4.1999999999999997E-3</v>
      </c>
      <c r="S1285">
        <v>2633000</v>
      </c>
      <c r="T1285" s="18">
        <f>ROUND((S1285/7)/VLOOKUP(EOMONTH(A1285,-1),Employment!A:P,16,FALSE),4)</f>
        <v>1.9211</v>
      </c>
      <c r="U1285" s="18">
        <f t="shared" si="373"/>
        <v>1.978</v>
      </c>
      <c r="V1285" s="29">
        <f t="shared" si="374"/>
        <v>-3.0099999999999998E-2</v>
      </c>
      <c r="W1285" s="29">
        <f t="shared" si="375"/>
        <v>-8.2000000000000007E-3</v>
      </c>
      <c r="X1285" s="30">
        <f t="shared" si="376"/>
        <v>121.14</v>
      </c>
      <c r="Y1285" s="31">
        <f t="shared" si="377"/>
        <v>120.92</v>
      </c>
    </row>
    <row r="1286" spans="1:25" ht="15" customHeight="1" x14ac:dyDescent="0.25">
      <c r="A1286" s="5">
        <v>34343</v>
      </c>
      <c r="B1286">
        <v>583.05640000000005</v>
      </c>
      <c r="C1286" s="29">
        <f t="shared" si="381"/>
        <v>-6.9999999999999999E-4</v>
      </c>
      <c r="D1286">
        <v>-0.95</v>
      </c>
      <c r="E1286">
        <v>0.115</v>
      </c>
      <c r="F1286" s="18">
        <f t="shared" si="368"/>
        <v>-0.80000000000000071</v>
      </c>
      <c r="G1286" s="18">
        <f t="shared" si="369"/>
        <v>-0.5</v>
      </c>
      <c r="H1286">
        <v>3.16</v>
      </c>
      <c r="I1286">
        <v>1.93</v>
      </c>
      <c r="J1286">
        <f t="shared" si="378"/>
        <v>2.5499999999999998</v>
      </c>
      <c r="K1286" s="6">
        <f t="shared" si="379"/>
        <v>2.5499999999999998</v>
      </c>
      <c r="L1286" s="6">
        <f t="shared" si="380"/>
        <v>0</v>
      </c>
      <c r="M1286">
        <v>2.3840777549609</v>
      </c>
      <c r="N1286">
        <v>324000</v>
      </c>
      <c r="O1286" s="18">
        <f>ROUND(N1286/VLOOKUP(EOMONTH(A1286,-1),Employment!A:P,16,FALSE),4)</f>
        <v>1.6548</v>
      </c>
      <c r="P1286" s="18">
        <f t="shared" si="370"/>
        <v>1.6718999999999999</v>
      </c>
      <c r="Q1286" s="29">
        <f t="shared" si="371"/>
        <v>-4.9000000000000002E-2</v>
      </c>
      <c r="R1286" s="29">
        <f t="shared" si="372"/>
        <v>-6.6E-3</v>
      </c>
      <c r="S1286">
        <v>2720000</v>
      </c>
      <c r="T1286" s="18">
        <f>ROUND((S1286/7)/VLOOKUP(EOMONTH(A1286,-1),Employment!A:P,16,FALSE),4)</f>
        <v>1.9845999999999999</v>
      </c>
      <c r="U1286" s="18">
        <f t="shared" si="373"/>
        <v>2.0063</v>
      </c>
      <c r="V1286" s="29">
        <f t="shared" si="374"/>
        <v>-2.5600000000000001E-2</v>
      </c>
      <c r="W1286" s="29">
        <f t="shared" si="375"/>
        <v>-1.3599999999999999E-2</v>
      </c>
      <c r="X1286" s="30">
        <f t="shared" si="376"/>
        <v>119.67</v>
      </c>
      <c r="Y1286" s="31">
        <f t="shared" si="377"/>
        <v>122.07</v>
      </c>
    </row>
    <row r="1287" spans="1:25" ht="15" customHeight="1" x14ac:dyDescent="0.25">
      <c r="A1287" s="5">
        <v>34336</v>
      </c>
      <c r="B1287">
        <v>583.69420000000002</v>
      </c>
      <c r="C1287" s="29">
        <f t="shared" si="381"/>
        <v>5.9999999999999995E-4</v>
      </c>
      <c r="D1287">
        <v>-0.93</v>
      </c>
      <c r="E1287" s="11">
        <v>-0.01</v>
      </c>
      <c r="F1287" s="18">
        <f t="shared" si="368"/>
        <v>0.20000000000000107</v>
      </c>
      <c r="G1287" s="18">
        <f t="shared" si="369"/>
        <v>0.5</v>
      </c>
      <c r="H1287">
        <v>3.16</v>
      </c>
      <c r="I1287">
        <v>1.94</v>
      </c>
      <c r="J1287">
        <f t="shared" si="378"/>
        <v>2.5499999999999998</v>
      </c>
      <c r="K1287" s="6">
        <f t="shared" si="379"/>
        <v>2.5499999999999998</v>
      </c>
      <c r="L1287" s="6">
        <f t="shared" si="380"/>
        <v>9.9999999999997868E-3</v>
      </c>
      <c r="M1287">
        <v>3.3583613557624998</v>
      </c>
      <c r="N1287">
        <v>323000</v>
      </c>
      <c r="O1287" s="18">
        <f>ROUND(N1287/VLOOKUP(EOMONTH(A1287,-1),Employment!A:P,16,FALSE),4)</f>
        <v>1.6496999999999999</v>
      </c>
      <c r="P1287" s="18">
        <f t="shared" si="370"/>
        <v>1.6928000000000001</v>
      </c>
      <c r="Q1287" s="29">
        <f t="shared" si="371"/>
        <v>-5.1299999999999998E-2</v>
      </c>
      <c r="R1287" s="29">
        <f t="shared" si="372"/>
        <v>-9.1000000000000004E-3</v>
      </c>
      <c r="S1287">
        <v>2780000</v>
      </c>
      <c r="T1287" s="18">
        <f>ROUND((S1287/7)/VLOOKUP(EOMONTH(A1287,-1),Employment!A:P,16,FALSE),4)</f>
        <v>2.0284</v>
      </c>
      <c r="U1287" s="18">
        <f t="shared" si="373"/>
        <v>2.0268999999999999</v>
      </c>
      <c r="V1287" s="29">
        <f t="shared" si="374"/>
        <v>-2.9600000000000001E-2</v>
      </c>
      <c r="W1287" s="29">
        <f t="shared" si="375"/>
        <v>-1.1299999999999999E-2</v>
      </c>
      <c r="X1287" s="30">
        <f t="shared" si="376"/>
        <v>123.49000000000001</v>
      </c>
      <c r="Y1287" s="31">
        <f t="shared" si="377"/>
        <v>124.38</v>
      </c>
    </row>
    <row r="1288" spans="1:25" ht="15" customHeight="1" x14ac:dyDescent="0.25">
      <c r="A1288" s="5">
        <v>34329</v>
      </c>
      <c r="B1288">
        <v>584.6386</v>
      </c>
      <c r="C1288" s="29">
        <f t="shared" si="381"/>
        <v>2.5000000000000001E-3</v>
      </c>
      <c r="D1288">
        <v>-0.91</v>
      </c>
      <c r="E1288" s="11">
        <v>-0.01</v>
      </c>
      <c r="F1288" s="18">
        <f t="shared" si="368"/>
        <v>9.9999999999999645E-2</v>
      </c>
      <c r="G1288" s="18">
        <f t="shared" si="369"/>
        <v>0.29999999999999893</v>
      </c>
      <c r="H1288">
        <v>3.16</v>
      </c>
      <c r="I1288">
        <v>1.93</v>
      </c>
      <c r="J1288">
        <f t="shared" si="378"/>
        <v>2.5499999999999998</v>
      </c>
      <c r="K1288" s="6">
        <f t="shared" si="379"/>
        <v>2.54</v>
      </c>
      <c r="L1288" s="6">
        <f t="shared" si="380"/>
        <v>1.0000000000000231E-2</v>
      </c>
      <c r="M1288">
        <v>3.5710333614084999</v>
      </c>
      <c r="N1288">
        <v>334750</v>
      </c>
      <c r="O1288" s="18">
        <f>ROUND(N1288/VLOOKUP(EOMONTH(A1288,-1),Employment!A:P,16,FALSE),4)</f>
        <v>1.7112000000000001</v>
      </c>
      <c r="P1288" s="18">
        <f t="shared" si="370"/>
        <v>1.7183999999999999</v>
      </c>
      <c r="Q1288" s="29">
        <f t="shared" si="371"/>
        <v>-5.2999999999999999E-2</v>
      </c>
      <c r="R1288" s="29">
        <f t="shared" si="372"/>
        <v>-7.7000000000000002E-3</v>
      </c>
      <c r="S1288">
        <v>2747000</v>
      </c>
      <c r="T1288" s="18">
        <f>ROUND((S1288/7)/VLOOKUP(EOMONTH(A1288,-1),Employment!A:P,16,FALSE),4)</f>
        <v>2.0059999999999998</v>
      </c>
      <c r="U1288" s="18">
        <f t="shared" si="373"/>
        <v>2.0284</v>
      </c>
      <c r="V1288" s="29">
        <f t="shared" si="374"/>
        <v>-4.4999999999999998E-2</v>
      </c>
      <c r="W1288" s="29">
        <f t="shared" si="375"/>
        <v>-9.1000000000000004E-3</v>
      </c>
      <c r="X1288" s="30">
        <f t="shared" si="376"/>
        <v>124.50999999999999</v>
      </c>
      <c r="Y1288" s="31">
        <f t="shared" si="377"/>
        <v>125.59</v>
      </c>
    </row>
    <row r="1289" spans="1:25" ht="15" customHeight="1" x14ac:dyDescent="0.25">
      <c r="A1289" s="5">
        <v>34322</v>
      </c>
      <c r="B1289">
        <v>582.43200000000002</v>
      </c>
      <c r="C1289" s="29">
        <f t="shared" si="381"/>
        <v>-2.3999999999999998E-3</v>
      </c>
      <c r="D1289">
        <v>-0.9</v>
      </c>
      <c r="E1289" s="11">
        <v>-0.01</v>
      </c>
      <c r="F1289" s="18">
        <f t="shared" si="368"/>
        <v>0.19999999999999929</v>
      </c>
      <c r="G1289" s="18">
        <f t="shared" si="369"/>
        <v>0.40000000000000036</v>
      </c>
      <c r="H1289">
        <v>3.16</v>
      </c>
      <c r="I1289">
        <v>1.92</v>
      </c>
      <c r="J1289">
        <f t="shared" si="378"/>
        <v>2.54</v>
      </c>
      <c r="K1289" s="6">
        <f t="shared" si="379"/>
        <v>2.5299999999999998</v>
      </c>
      <c r="L1289" s="6">
        <f t="shared" si="380"/>
        <v>-1.0000000000000231E-2</v>
      </c>
      <c r="M1289">
        <v>4.0667356398066001</v>
      </c>
      <c r="N1289">
        <v>336000</v>
      </c>
      <c r="O1289" s="18">
        <f>ROUND(N1289/VLOOKUP(EOMONTH(A1289,-1),Employment!A:P,16,FALSE),4)</f>
        <v>1.7176</v>
      </c>
      <c r="P1289" s="18">
        <f t="shared" si="370"/>
        <v>1.7291000000000001</v>
      </c>
      <c r="Q1289" s="29">
        <f t="shared" si="371"/>
        <v>-6.1499999999999999E-2</v>
      </c>
      <c r="R1289" s="29">
        <f t="shared" si="372"/>
        <v>-2.0999999999999999E-3</v>
      </c>
      <c r="S1289">
        <v>2802000</v>
      </c>
      <c r="T1289" s="18">
        <f>ROUND((S1289/7)/VLOOKUP(EOMONTH(A1289,-1),Employment!A:P,16,FALSE),4)</f>
        <v>2.0461999999999998</v>
      </c>
      <c r="U1289" s="18">
        <f t="shared" si="373"/>
        <v>2.0415999999999999</v>
      </c>
      <c r="V1289" s="29">
        <f t="shared" si="374"/>
        <v>-4.9700000000000001E-2</v>
      </c>
      <c r="W1289" s="29">
        <f t="shared" si="375"/>
        <v>-8.3000000000000001E-3</v>
      </c>
      <c r="X1289" s="30">
        <f t="shared" si="376"/>
        <v>126.28</v>
      </c>
      <c r="Y1289" s="31">
        <f t="shared" si="377"/>
        <v>126.02</v>
      </c>
    </row>
    <row r="1290" spans="1:25" ht="15" customHeight="1" x14ac:dyDescent="0.25">
      <c r="A1290" s="5">
        <v>34315</v>
      </c>
      <c r="B1290">
        <v>582.98099999999999</v>
      </c>
      <c r="C1290" s="29">
        <f t="shared" si="381"/>
        <v>-2.3999999999999998E-3</v>
      </c>
      <c r="D1290">
        <v>-0.88</v>
      </c>
      <c r="E1290" s="11">
        <v>-0.01</v>
      </c>
      <c r="F1290" s="18">
        <f t="shared" si="368"/>
        <v>0</v>
      </c>
      <c r="G1290" s="18">
        <f t="shared" si="369"/>
        <v>0.10000000000000142</v>
      </c>
      <c r="H1290">
        <v>3.16</v>
      </c>
      <c r="I1290">
        <v>1.89</v>
      </c>
      <c r="J1290">
        <f t="shared" si="378"/>
        <v>2.5299999999999998</v>
      </c>
      <c r="K1290" s="6">
        <f t="shared" si="379"/>
        <v>2.54</v>
      </c>
      <c r="L1290" s="6">
        <f t="shared" si="380"/>
        <v>0</v>
      </c>
      <c r="M1290">
        <v>3.8425001157863998</v>
      </c>
      <c r="N1290">
        <v>337750</v>
      </c>
      <c r="O1290" s="18">
        <f>ROUND(N1290/VLOOKUP(EOMONTH(A1290,-1),Employment!A:P,16,FALSE),4)</f>
        <v>1.7264999999999999</v>
      </c>
      <c r="P1290" s="18">
        <f t="shared" si="370"/>
        <v>1.7427999999999999</v>
      </c>
      <c r="Q1290" s="29">
        <f t="shared" si="371"/>
        <v>-6.88E-2</v>
      </c>
      <c r="R1290" s="29">
        <f t="shared" si="372"/>
        <v>1E-3</v>
      </c>
      <c r="S1290">
        <v>2784000</v>
      </c>
      <c r="T1290" s="18">
        <f>ROUND((S1290/7)/VLOOKUP(EOMONTH(A1290,-1),Employment!A:P,16,FALSE),4)</f>
        <v>2.0329999999999999</v>
      </c>
      <c r="U1290" s="18">
        <f t="shared" si="373"/>
        <v>2.0381</v>
      </c>
      <c r="V1290" s="29">
        <f t="shared" si="374"/>
        <v>-5.6300000000000003E-2</v>
      </c>
      <c r="W1290" s="29">
        <f t="shared" si="375"/>
        <v>-7.1999999999999998E-3</v>
      </c>
      <c r="X1290" s="30">
        <f t="shared" si="376"/>
        <v>126.58</v>
      </c>
      <c r="Y1290" s="31">
        <f t="shared" si="377"/>
        <v>123.55</v>
      </c>
    </row>
    <row r="1291" spans="1:25" ht="15" customHeight="1" x14ac:dyDescent="0.25">
      <c r="A1291" s="5">
        <v>34308</v>
      </c>
      <c r="B1291">
        <v>583.3528</v>
      </c>
      <c r="C1291" s="29">
        <f t="shared" si="381"/>
        <v>-2.3999999999999998E-3</v>
      </c>
      <c r="D1291">
        <v>-0.88</v>
      </c>
      <c r="E1291" s="11">
        <v>-0.01</v>
      </c>
      <c r="F1291" s="18">
        <f t="shared" si="368"/>
        <v>0.20000000000000107</v>
      </c>
      <c r="G1291" s="18">
        <f t="shared" si="369"/>
        <v>0.10000000000000142</v>
      </c>
      <c r="H1291">
        <v>3.16</v>
      </c>
      <c r="I1291">
        <v>1.89</v>
      </c>
      <c r="J1291">
        <f t="shared" si="378"/>
        <v>2.5299999999999998</v>
      </c>
      <c r="K1291" s="6">
        <f t="shared" si="379"/>
        <v>2.54</v>
      </c>
      <c r="L1291" s="6">
        <f t="shared" si="380"/>
        <v>-9.9999999999997868E-3</v>
      </c>
      <c r="M1291">
        <v>3.7928242998574002</v>
      </c>
      <c r="N1291">
        <v>341000</v>
      </c>
      <c r="O1291" s="18">
        <f>ROUND(N1291/VLOOKUP(EOMONTH(A1291,-1),Employment!A:P,16,FALSE),4)</f>
        <v>1.7431000000000001</v>
      </c>
      <c r="P1291" s="18">
        <f t="shared" si="370"/>
        <v>1.7612000000000001</v>
      </c>
      <c r="Q1291" s="29">
        <f t="shared" si="371"/>
        <v>-7.1599999999999997E-2</v>
      </c>
      <c r="R1291" s="29">
        <f t="shared" si="372"/>
        <v>-2.8E-3</v>
      </c>
      <c r="S1291">
        <v>2801000</v>
      </c>
      <c r="T1291" s="18">
        <f>ROUND((S1291/7)/VLOOKUP(EOMONTH(A1291,-1),Employment!A:P,16,FALSE),4)</f>
        <v>2.0455000000000001</v>
      </c>
      <c r="U1291" s="18">
        <f t="shared" si="373"/>
        <v>2.0506000000000002</v>
      </c>
      <c r="V1291" s="29">
        <f t="shared" si="374"/>
        <v>-6.2199999999999998E-2</v>
      </c>
      <c r="W1291" s="29">
        <f t="shared" si="375"/>
        <v>-6.6E-3</v>
      </c>
      <c r="X1291" s="30">
        <f t="shared" si="376"/>
        <v>123.96000000000001</v>
      </c>
      <c r="Y1291" s="31">
        <f t="shared" si="377"/>
        <v>117.07</v>
      </c>
    </row>
    <row r="1292" spans="1:25" ht="15" customHeight="1" x14ac:dyDescent="0.25">
      <c r="A1292" s="5">
        <v>34301</v>
      </c>
      <c r="B1292">
        <v>583.92370000000005</v>
      </c>
      <c r="C1292" s="29">
        <f t="shared" si="381"/>
        <v>-1.1999999999999999E-3</v>
      </c>
      <c r="D1292">
        <v>-0.86</v>
      </c>
      <c r="E1292" s="11">
        <v>-0.01</v>
      </c>
      <c r="F1292" s="18">
        <f t="shared" si="368"/>
        <v>-9.9999999999999645E-2</v>
      </c>
      <c r="G1292" s="18">
        <f t="shared" si="369"/>
        <v>-0.30000000000000071</v>
      </c>
      <c r="H1292">
        <v>3.16</v>
      </c>
      <c r="I1292">
        <v>1.93</v>
      </c>
      <c r="J1292">
        <f t="shared" si="378"/>
        <v>2.5499999999999998</v>
      </c>
      <c r="K1292" s="6">
        <f t="shared" si="379"/>
        <v>2.5499999999999998</v>
      </c>
      <c r="L1292" s="6">
        <f t="shared" si="380"/>
        <v>0</v>
      </c>
      <c r="M1292">
        <v>4.5319889337296004</v>
      </c>
      <c r="N1292">
        <v>343750</v>
      </c>
      <c r="O1292" s="18">
        <f>ROUND(N1292/VLOOKUP(EOMONTH(A1292,-1),Employment!A:P,16,FALSE),4)</f>
        <v>1.7587999999999999</v>
      </c>
      <c r="P1292" s="18">
        <f t="shared" si="370"/>
        <v>1.7818000000000001</v>
      </c>
      <c r="Q1292" s="29">
        <f t="shared" si="371"/>
        <v>-6.9900000000000004E-2</v>
      </c>
      <c r="R1292" s="29">
        <f t="shared" si="372"/>
        <v>-1.6400000000000001E-2</v>
      </c>
      <c r="S1292">
        <v>2785000</v>
      </c>
      <c r="T1292" s="18">
        <f>ROUND((S1292/7)/VLOOKUP(EOMONTH(A1292,-1),Employment!A:P,16,FALSE),4)</f>
        <v>2.0356999999999998</v>
      </c>
      <c r="U1292" s="18">
        <f t="shared" si="373"/>
        <v>2.0512999999999999</v>
      </c>
      <c r="V1292" s="29">
        <f t="shared" si="374"/>
        <v>-6.9199999999999998E-2</v>
      </c>
      <c r="W1292" s="29">
        <f t="shared" si="375"/>
        <v>-1.0500000000000001E-2</v>
      </c>
      <c r="X1292" s="30">
        <f t="shared" si="376"/>
        <v>114.94</v>
      </c>
      <c r="Y1292" s="31">
        <f t="shared" si="377"/>
        <v>108.23</v>
      </c>
    </row>
    <row r="1293" spans="1:25" ht="15" customHeight="1" x14ac:dyDescent="0.25">
      <c r="A1293" s="5">
        <v>34294</v>
      </c>
      <c r="B1293">
        <v>585.15769999999998</v>
      </c>
      <c r="C1293" s="29">
        <f t="shared" si="381"/>
        <v>1.6000000000000001E-3</v>
      </c>
      <c r="D1293">
        <v>-0.87</v>
      </c>
      <c r="E1293" s="11">
        <v>-0.01</v>
      </c>
      <c r="F1293" s="18">
        <f t="shared" si="368"/>
        <v>0</v>
      </c>
      <c r="G1293" s="18">
        <f t="shared" si="369"/>
        <v>-0.30000000000000071</v>
      </c>
      <c r="H1293">
        <v>3.16</v>
      </c>
      <c r="I1293">
        <v>1.92</v>
      </c>
      <c r="J1293">
        <f t="shared" si="378"/>
        <v>2.54</v>
      </c>
      <c r="K1293" s="6">
        <f t="shared" si="379"/>
        <v>2.5499999999999998</v>
      </c>
      <c r="L1293" s="6">
        <f t="shared" si="380"/>
        <v>-1.0000000000000231E-2</v>
      </c>
      <c r="M1293">
        <v>4.0912635731952998</v>
      </c>
      <c r="N1293">
        <v>348250</v>
      </c>
      <c r="O1293" s="18">
        <f>ROUND(N1293/VLOOKUP(EOMONTH(A1293,-1),Employment!A:P,16,FALSE),4)</f>
        <v>1.7818000000000001</v>
      </c>
      <c r="P1293" s="18">
        <f t="shared" si="370"/>
        <v>1.7992999999999999</v>
      </c>
      <c r="Q1293" s="29">
        <f t="shared" si="371"/>
        <v>-6.4600000000000005E-2</v>
      </c>
      <c r="R1293" s="29">
        <f t="shared" si="372"/>
        <v>-3.27E-2</v>
      </c>
      <c r="S1293">
        <v>2833000</v>
      </c>
      <c r="T1293" s="18">
        <f>ROUND((S1293/7)/VLOOKUP(EOMONTH(A1293,-1),Employment!A:P,16,FALSE),4)</f>
        <v>2.0707</v>
      </c>
      <c r="U1293" s="18">
        <f t="shared" si="373"/>
        <v>2.0749</v>
      </c>
      <c r="V1293" s="29">
        <f t="shared" si="374"/>
        <v>-6.9000000000000006E-2</v>
      </c>
      <c r="W1293" s="29">
        <f t="shared" si="375"/>
        <v>-1.55E-2</v>
      </c>
      <c r="X1293" s="30">
        <f t="shared" si="376"/>
        <v>105.18</v>
      </c>
      <c r="Y1293" s="31">
        <f t="shared" si="377"/>
        <v>101.72</v>
      </c>
    </row>
    <row r="1294" spans="1:25" ht="15" customHeight="1" x14ac:dyDescent="0.25">
      <c r="A1294" s="5">
        <v>34287</v>
      </c>
      <c r="B1294">
        <v>585.05820000000006</v>
      </c>
      <c r="C1294" s="29">
        <f t="shared" si="381"/>
        <v>2.3E-3</v>
      </c>
      <c r="D1294">
        <v>-0.87</v>
      </c>
      <c r="E1294" s="11">
        <v>-0.01</v>
      </c>
      <c r="F1294" s="18">
        <f t="shared" si="368"/>
        <v>-0.20000000000000107</v>
      </c>
      <c r="G1294" s="18">
        <f t="shared" si="369"/>
        <v>-0.40000000000000036</v>
      </c>
      <c r="H1294">
        <v>3.16</v>
      </c>
      <c r="I1294">
        <v>1.98</v>
      </c>
      <c r="J1294">
        <f t="shared" si="378"/>
        <v>2.57</v>
      </c>
      <c r="K1294" s="6">
        <f t="shared" si="379"/>
        <v>2.56</v>
      </c>
      <c r="L1294" s="6">
        <f t="shared" si="380"/>
        <v>1.0000000000000231E-2</v>
      </c>
      <c r="M1294">
        <v>4.0258781441847997</v>
      </c>
      <c r="N1294">
        <v>352750</v>
      </c>
      <c r="O1294" s="18">
        <f>ROUND(N1294/VLOOKUP(EOMONTH(A1294,-1),Employment!A:P,16,FALSE),4)</f>
        <v>1.8048999999999999</v>
      </c>
      <c r="P1294" s="18">
        <f t="shared" si="370"/>
        <v>1.8032999999999999</v>
      </c>
      <c r="Q1294" s="29">
        <f t="shared" si="371"/>
        <v>-7.0999999999999994E-2</v>
      </c>
      <c r="R1294" s="29">
        <f t="shared" si="372"/>
        <v>-4.24E-2</v>
      </c>
      <c r="S1294">
        <v>2801000</v>
      </c>
      <c r="T1294" s="18">
        <f>ROUND((S1294/7)/VLOOKUP(EOMONTH(A1294,-1),Employment!A:P,16,FALSE),4)</f>
        <v>2.0474000000000001</v>
      </c>
      <c r="U1294" s="18">
        <f t="shared" si="373"/>
        <v>2.0756000000000001</v>
      </c>
      <c r="V1294" s="29">
        <f t="shared" si="374"/>
        <v>-7.5399999999999995E-2</v>
      </c>
      <c r="W1294" s="29">
        <f t="shared" si="375"/>
        <v>-1.6500000000000001E-2</v>
      </c>
      <c r="X1294" s="30">
        <f t="shared" si="376"/>
        <v>99.08</v>
      </c>
      <c r="Y1294" s="31">
        <f t="shared" si="377"/>
        <v>100.48</v>
      </c>
    </row>
    <row r="1295" spans="1:25" ht="15" customHeight="1" x14ac:dyDescent="0.25">
      <c r="A1295" s="5">
        <v>34280</v>
      </c>
      <c r="B1295">
        <v>584.8125</v>
      </c>
      <c r="C1295" s="29">
        <f t="shared" si="381"/>
        <v>1.1999999999999999E-3</v>
      </c>
      <c r="D1295">
        <v>-0.89</v>
      </c>
      <c r="E1295" s="11">
        <v>-0.01</v>
      </c>
      <c r="F1295" s="18">
        <f t="shared" ref="F1295:F1358" si="382">(((D1295*10)+(E1295*8))*-1)-(((D1296*10)+(E1296*8))*-1)</f>
        <v>-9.9999999999999645E-2</v>
      </c>
      <c r="G1295" s="18">
        <f t="shared" ref="G1295:G1358" si="383">SUM(F1295:F1297)</f>
        <v>-0.30000000000000071</v>
      </c>
      <c r="H1295">
        <v>3.16</v>
      </c>
      <c r="I1295">
        <v>1.93</v>
      </c>
      <c r="J1295">
        <f t="shared" si="378"/>
        <v>2.5499999999999998</v>
      </c>
      <c r="K1295" s="6">
        <f t="shared" si="379"/>
        <v>2.5499999999999998</v>
      </c>
      <c r="L1295" s="6">
        <f t="shared" si="380"/>
        <v>-1.0000000000000231E-2</v>
      </c>
      <c r="M1295">
        <v>3.5179380320787002</v>
      </c>
      <c r="N1295">
        <v>354000</v>
      </c>
      <c r="O1295" s="18">
        <f>ROUND(N1295/VLOOKUP(EOMONTH(A1295,-1),Employment!A:P,16,FALSE),4)</f>
        <v>1.8112999999999999</v>
      </c>
      <c r="P1295" s="18">
        <f t="shared" ref="P1295:P1358" si="384">ROUND(AVERAGE(O1295:O1297),4)</f>
        <v>1.7948999999999999</v>
      </c>
      <c r="Q1295" s="29">
        <f t="shared" ref="Q1295:Q1324" si="385">ROUND((P1295/P1347)-1,4)</f>
        <v>-9.0800000000000006E-2</v>
      </c>
      <c r="R1295" s="29">
        <f t="shared" ref="R1295:R1358" si="386">ROUND(AVERAGE(Q1295:Q1296)-AVERAGE(Q1295:Q1299),4)*-1</f>
        <v>-4.1599999999999998E-2</v>
      </c>
      <c r="S1295">
        <v>2882000</v>
      </c>
      <c r="T1295" s="18">
        <f>ROUND((S1295/7)/VLOOKUP(EOMONTH(A1295,-1),Employment!A:P,16,FALSE),4)</f>
        <v>2.1065999999999998</v>
      </c>
      <c r="U1295" s="18">
        <f t="shared" ref="U1295:U1358" si="387">ROUND(AVERAGE(T1295:T1297),4)</f>
        <v>2.0756999999999999</v>
      </c>
      <c r="V1295" s="29">
        <f t="shared" ref="V1295:V1326" si="388">ROUND((U1295/U1347)-1,4)</f>
        <v>-8.5599999999999996E-2</v>
      </c>
      <c r="W1295" s="29">
        <f t="shared" ref="W1295:W1358" si="389">ROUND(AVERAGE(V1295:V1296)-AVERAGE(V1295:V1299),4)*-1</f>
        <v>-1.46E-2</v>
      </c>
      <c r="X1295" s="30">
        <f t="shared" ref="X1295:X1358" si="390">IF(ROUND((C1295*500)-(D1295*10)-(E1295*8)+(M1295*1.2)-(P1295*23)-(Q1295*10)+(R1295*600)-(U1295*2)-(V1295*5)+(W1295*100)-(K1295*5)-(L1295*5)+(G1295*3),2)+170&lt;0,0,ROUND((C1295*500)-(D1295*10)-(E1295*8)+(M1295*1.2)-(P1295*23)-(Q1295*10)+(R1295*600)-(U1295*2)-(V1295*5)+(W1295*100)-(K1295*5)-(L1295*5)+(G1295*3),2)+170)</f>
        <v>99.68</v>
      </c>
      <c r="Y1295" s="31">
        <f t="shared" ref="Y1295:Y1358" si="391">ROUND(AVERAGE(AVERAGE(X1295:X1296),AVERAGE(X1295:X1297)),2)</f>
        <v>104.94</v>
      </c>
    </row>
    <row r="1296" spans="1:25" ht="15" customHeight="1" x14ac:dyDescent="0.25">
      <c r="A1296" s="5">
        <v>34273</v>
      </c>
      <c r="B1296">
        <v>583.4778</v>
      </c>
      <c r="C1296" s="29">
        <f t="shared" si="381"/>
        <v>-1.8E-3</v>
      </c>
      <c r="D1296">
        <v>-0.9</v>
      </c>
      <c r="E1296" s="11">
        <v>-0.01</v>
      </c>
      <c r="F1296" s="18">
        <f t="shared" si="382"/>
        <v>-9.9999999999999645E-2</v>
      </c>
      <c r="G1296" s="18">
        <f t="shared" si="383"/>
        <v>-0.39999999999999858</v>
      </c>
      <c r="H1296">
        <v>3.16</v>
      </c>
      <c r="I1296">
        <v>1.96</v>
      </c>
      <c r="J1296">
        <f t="shared" ref="J1296:J1359" si="392">ROUND(AVERAGE(H1296:I1296),2)</f>
        <v>2.56</v>
      </c>
      <c r="K1296" s="6">
        <f t="shared" ref="K1296:K1359" si="393">ROUND(AVERAGE(J1296:J1298),2)</f>
        <v>2.56</v>
      </c>
      <c r="L1296" s="6">
        <f t="shared" ref="L1296:L1359" si="394">K1296-K1297</f>
        <v>-9.9999999999997868E-3</v>
      </c>
      <c r="M1296">
        <v>3.6752796829491001</v>
      </c>
      <c r="N1296">
        <v>350250</v>
      </c>
      <c r="O1296" s="18">
        <f>ROUND(N1296/VLOOKUP(EOMONTH(A1296,-1),Employment!A:P,16,FALSE),4)</f>
        <v>1.7938000000000001</v>
      </c>
      <c r="P1296" s="18">
        <f t="shared" si="384"/>
        <v>1.7787999999999999</v>
      </c>
      <c r="Q1296" s="29">
        <f t="shared" si="385"/>
        <v>-0.12180000000000001</v>
      </c>
      <c r="R1296" s="29">
        <f t="shared" si="386"/>
        <v>-3.04E-2</v>
      </c>
      <c r="S1296">
        <v>2833000</v>
      </c>
      <c r="T1296" s="18">
        <f>ROUND((S1296/7)/VLOOKUP(EOMONTH(A1296,-1),Employment!A:P,16,FALSE),4)</f>
        <v>2.0727000000000002</v>
      </c>
      <c r="U1296" s="18">
        <f t="shared" si="387"/>
        <v>2.0588000000000002</v>
      </c>
      <c r="V1296" s="29">
        <f t="shared" si="388"/>
        <v>-9.9000000000000005E-2</v>
      </c>
      <c r="W1296" s="29">
        <f t="shared" si="389"/>
        <v>-1.12E-2</v>
      </c>
      <c r="X1296" s="30">
        <f t="shared" si="390"/>
        <v>105.96</v>
      </c>
      <c r="Y1296" s="31">
        <f t="shared" si="391"/>
        <v>113.29</v>
      </c>
    </row>
    <row r="1297" spans="1:25" ht="15" customHeight="1" x14ac:dyDescent="0.25">
      <c r="A1297" s="5">
        <v>34266</v>
      </c>
      <c r="B1297">
        <v>583.43169999999998</v>
      </c>
      <c r="C1297" s="29">
        <f t="shared" si="381"/>
        <v>-3.3999999999999998E-3</v>
      </c>
      <c r="D1297">
        <v>-0.91</v>
      </c>
      <c r="E1297" s="11">
        <v>-0.01</v>
      </c>
      <c r="F1297" s="18">
        <f t="shared" si="382"/>
        <v>-0.10000000000000142</v>
      </c>
      <c r="G1297" s="18">
        <f t="shared" si="383"/>
        <v>-0.40000000000000036</v>
      </c>
      <c r="H1297">
        <v>3.16</v>
      </c>
      <c r="I1297">
        <v>1.91</v>
      </c>
      <c r="J1297">
        <f t="shared" si="392"/>
        <v>2.54</v>
      </c>
      <c r="K1297" s="6">
        <f t="shared" si="393"/>
        <v>2.57</v>
      </c>
      <c r="L1297" s="6">
        <f t="shared" si="394"/>
        <v>-2.0000000000000018E-2</v>
      </c>
      <c r="M1297">
        <v>3.7373226217602</v>
      </c>
      <c r="N1297">
        <v>347500</v>
      </c>
      <c r="O1297" s="18">
        <f>ROUND(N1297/VLOOKUP(EOMONTH(A1297,-1),Employment!A:P,16,FALSE),4)</f>
        <v>1.7797000000000001</v>
      </c>
      <c r="P1297" s="18">
        <f t="shared" si="384"/>
        <v>1.7592000000000001</v>
      </c>
      <c r="Q1297" s="29">
        <f t="shared" si="385"/>
        <v>-0.15440000000000001</v>
      </c>
      <c r="R1297" s="29">
        <f t="shared" si="386"/>
        <v>-1.4999999999999999E-2</v>
      </c>
      <c r="S1297">
        <v>2799000</v>
      </c>
      <c r="T1297" s="18">
        <f>ROUND((S1297/7)/VLOOKUP(EOMONTH(A1297,-1),Employment!A:P,16,FALSE),4)</f>
        <v>2.0478000000000001</v>
      </c>
      <c r="U1297" s="18">
        <f t="shared" si="387"/>
        <v>2.0594999999999999</v>
      </c>
      <c r="V1297" s="29">
        <f t="shared" si="388"/>
        <v>-0.10970000000000001</v>
      </c>
      <c r="W1297" s="29">
        <f t="shared" si="389"/>
        <v>-1.0200000000000001E-2</v>
      </c>
      <c r="X1297" s="30">
        <f t="shared" si="390"/>
        <v>115.50999999999999</v>
      </c>
      <c r="Y1297" s="31">
        <f t="shared" si="391"/>
        <v>123.5</v>
      </c>
    </row>
    <row r="1298" spans="1:25" ht="15" customHeight="1" x14ac:dyDescent="0.25">
      <c r="A1298" s="5">
        <v>34259</v>
      </c>
      <c r="B1298">
        <v>583.19269999999995</v>
      </c>
      <c r="C1298" s="29">
        <f t="shared" ref="C1298:C1361" si="395">ROUND((B1298-AVERAGE(B1299:B1302))/AVERAGE(B1299:B1302),4)</f>
        <v>-3.8999999999999998E-3</v>
      </c>
      <c r="D1298">
        <v>-0.92</v>
      </c>
      <c r="E1298" s="11">
        <v>-0.01</v>
      </c>
      <c r="F1298" s="18">
        <f t="shared" si="382"/>
        <v>-0.19999999999999751</v>
      </c>
      <c r="G1298" s="18">
        <f t="shared" si="383"/>
        <v>-0.39999999999999858</v>
      </c>
      <c r="H1298">
        <v>3.16</v>
      </c>
      <c r="I1298">
        <v>1.99</v>
      </c>
      <c r="J1298">
        <f t="shared" si="392"/>
        <v>2.58</v>
      </c>
      <c r="K1298" s="6">
        <f t="shared" si="393"/>
        <v>2.59</v>
      </c>
      <c r="L1298" s="6">
        <f t="shared" si="394"/>
        <v>0</v>
      </c>
      <c r="M1298">
        <v>4.2991338628889002</v>
      </c>
      <c r="N1298">
        <v>344250</v>
      </c>
      <c r="O1298" s="18">
        <f>ROUND(N1298/VLOOKUP(EOMONTH(A1298,-1),Employment!A:P,16,FALSE),4)</f>
        <v>1.7629999999999999</v>
      </c>
      <c r="P1298" s="18">
        <f t="shared" si="384"/>
        <v>1.7446999999999999</v>
      </c>
      <c r="Q1298" s="29">
        <f t="shared" si="385"/>
        <v>-0.1787</v>
      </c>
      <c r="R1298" s="29">
        <f t="shared" si="386"/>
        <v>5.0000000000000001E-4</v>
      </c>
      <c r="S1298">
        <v>2810000</v>
      </c>
      <c r="T1298" s="18">
        <f>ROUND((S1298/7)/VLOOKUP(EOMONTH(A1298,-1),Employment!A:P,16,FALSE),4)</f>
        <v>2.0558999999999998</v>
      </c>
      <c r="U1298" s="18">
        <f t="shared" si="387"/>
        <v>2.0733999999999999</v>
      </c>
      <c r="V1298" s="29">
        <f t="shared" si="388"/>
        <v>-0.1153</v>
      </c>
      <c r="W1298" s="29">
        <f t="shared" si="389"/>
        <v>-6.7999999999999996E-3</v>
      </c>
      <c r="X1298" s="30">
        <f t="shared" si="390"/>
        <v>126.05</v>
      </c>
      <c r="Y1298" s="31">
        <f t="shared" si="391"/>
        <v>132.55000000000001</v>
      </c>
    </row>
    <row r="1299" spans="1:25" ht="15" customHeight="1" x14ac:dyDescent="0.25">
      <c r="A1299" s="5">
        <v>34252</v>
      </c>
      <c r="B1299">
        <v>586.26329999999996</v>
      </c>
      <c r="C1299" s="29">
        <f t="shared" si="395"/>
        <v>1.4E-3</v>
      </c>
      <c r="D1299">
        <v>-0.94</v>
      </c>
      <c r="E1299" s="11">
        <v>-0.01</v>
      </c>
      <c r="F1299" s="18">
        <f t="shared" si="382"/>
        <v>-0.10000000000000142</v>
      </c>
      <c r="G1299" s="18">
        <f t="shared" si="383"/>
        <v>-0.30000000000000071</v>
      </c>
      <c r="H1299">
        <v>3.16</v>
      </c>
      <c r="I1299">
        <v>2.0299999999999998</v>
      </c>
      <c r="J1299">
        <f t="shared" si="392"/>
        <v>2.6</v>
      </c>
      <c r="K1299" s="6">
        <f t="shared" si="393"/>
        <v>2.59</v>
      </c>
      <c r="L1299" s="6">
        <f t="shared" si="394"/>
        <v>9.9999999999997868E-3</v>
      </c>
      <c r="M1299">
        <v>5.2487043079901001</v>
      </c>
      <c r="N1299">
        <v>338750</v>
      </c>
      <c r="O1299" s="18">
        <f>ROUND(N1299/VLOOKUP(EOMONTH(A1299,-1),Employment!A:P,16,FALSE),4)</f>
        <v>1.7349000000000001</v>
      </c>
      <c r="P1299" s="18">
        <f t="shared" si="384"/>
        <v>1.7338</v>
      </c>
      <c r="Q1299" s="29">
        <f t="shared" si="385"/>
        <v>-0.1938</v>
      </c>
      <c r="R1299" s="29">
        <f t="shared" si="386"/>
        <v>1.0500000000000001E-2</v>
      </c>
      <c r="S1299">
        <v>2836000</v>
      </c>
      <c r="T1299" s="18">
        <f>ROUND((S1299/7)/VLOOKUP(EOMONTH(A1299,-1),Employment!A:P,16,FALSE),4)</f>
        <v>2.0749</v>
      </c>
      <c r="U1299" s="18">
        <f t="shared" si="387"/>
        <v>2.0823999999999998</v>
      </c>
      <c r="V1299" s="29">
        <f t="shared" si="388"/>
        <v>-0.12470000000000001</v>
      </c>
      <c r="W1299" s="29">
        <f t="shared" si="389"/>
        <v>-3.0999999999999999E-3</v>
      </c>
      <c r="X1299" s="30">
        <f t="shared" si="390"/>
        <v>137.09</v>
      </c>
      <c r="Y1299" s="31">
        <f t="shared" si="391"/>
        <v>136.63999999999999</v>
      </c>
    </row>
    <row r="1300" spans="1:25" ht="15" customHeight="1" x14ac:dyDescent="0.25">
      <c r="A1300" s="5">
        <v>34245</v>
      </c>
      <c r="B1300">
        <v>585.27599999999995</v>
      </c>
      <c r="C1300" s="29">
        <f t="shared" si="395"/>
        <v>-1.2999999999999999E-3</v>
      </c>
      <c r="D1300">
        <v>-0.95</v>
      </c>
      <c r="E1300" s="11">
        <v>-0.01</v>
      </c>
      <c r="F1300" s="18">
        <f t="shared" si="382"/>
        <v>-9.9999999999999645E-2</v>
      </c>
      <c r="G1300" s="18">
        <f t="shared" si="383"/>
        <v>-0.30000000000000071</v>
      </c>
      <c r="H1300">
        <v>3.16</v>
      </c>
      <c r="I1300">
        <v>2.02</v>
      </c>
      <c r="J1300">
        <f t="shared" si="392"/>
        <v>2.59</v>
      </c>
      <c r="K1300" s="6">
        <f t="shared" si="393"/>
        <v>2.58</v>
      </c>
      <c r="L1300" s="6">
        <f t="shared" si="394"/>
        <v>0</v>
      </c>
      <c r="M1300">
        <v>5.7877832978952002</v>
      </c>
      <c r="N1300">
        <v>339000</v>
      </c>
      <c r="O1300" s="18">
        <f>ROUND(N1300/VLOOKUP(EOMONTH(A1300,-1),Employment!A:P,16,FALSE),4)</f>
        <v>1.7362</v>
      </c>
      <c r="P1300" s="18">
        <f t="shared" si="384"/>
        <v>1.7304999999999999</v>
      </c>
      <c r="Q1300" s="29">
        <f t="shared" si="385"/>
        <v>-0.19370000000000001</v>
      </c>
      <c r="R1300" s="29">
        <f t="shared" si="386"/>
        <v>1.12E-2</v>
      </c>
      <c r="S1300">
        <v>2856000</v>
      </c>
      <c r="T1300" s="18">
        <f>ROUND((S1300/7)/VLOOKUP(EOMONTH(A1300,-1),Employment!A:P,16,FALSE),4)</f>
        <v>2.0895000000000001</v>
      </c>
      <c r="U1300" s="18">
        <f t="shared" si="387"/>
        <v>2.0665</v>
      </c>
      <c r="V1300" s="29">
        <f t="shared" si="388"/>
        <v>-0.12920000000000001</v>
      </c>
      <c r="W1300" s="29">
        <f t="shared" si="389"/>
        <v>2.0000000000000001E-4</v>
      </c>
      <c r="X1300" s="30">
        <f t="shared" si="390"/>
        <v>137.46</v>
      </c>
      <c r="Y1300" s="31">
        <f t="shared" si="391"/>
        <v>132.9</v>
      </c>
    </row>
    <row r="1301" spans="1:25" ht="15" customHeight="1" x14ac:dyDescent="0.25">
      <c r="A1301" s="5">
        <v>34238</v>
      </c>
      <c r="B1301">
        <v>586.84479999999996</v>
      </c>
      <c r="C1301" s="29">
        <f t="shared" si="395"/>
        <v>1.1000000000000001E-3</v>
      </c>
      <c r="D1301">
        <v>-0.96</v>
      </c>
      <c r="E1301" s="11">
        <v>-0.01</v>
      </c>
      <c r="F1301" s="18">
        <f t="shared" si="382"/>
        <v>-9.9999999999999645E-2</v>
      </c>
      <c r="G1301" s="18">
        <f t="shared" si="383"/>
        <v>-0.40000000000000036</v>
      </c>
      <c r="H1301">
        <v>3.16</v>
      </c>
      <c r="I1301">
        <v>2</v>
      </c>
      <c r="J1301">
        <f t="shared" si="392"/>
        <v>2.58</v>
      </c>
      <c r="K1301" s="6">
        <f t="shared" si="393"/>
        <v>2.58</v>
      </c>
      <c r="L1301" s="6">
        <f t="shared" si="394"/>
        <v>1.0000000000000231E-2</v>
      </c>
      <c r="M1301">
        <v>5.7518487547105996</v>
      </c>
      <c r="N1301">
        <v>337500</v>
      </c>
      <c r="O1301" s="18">
        <f>ROUND(N1301/VLOOKUP(EOMONTH(A1301,-1),Employment!A:P,16,FALSE),4)</f>
        <v>1.7302</v>
      </c>
      <c r="P1301" s="18">
        <f t="shared" si="384"/>
        <v>1.7294</v>
      </c>
      <c r="Q1301" s="29">
        <f t="shared" si="385"/>
        <v>-0.18720000000000001</v>
      </c>
      <c r="R1301" s="29">
        <f t="shared" si="386"/>
        <v>3.8E-3</v>
      </c>
      <c r="S1301">
        <v>2844000</v>
      </c>
      <c r="T1301" s="18">
        <f>ROUND((S1301/7)/VLOOKUP(EOMONTH(A1301,-1),Employment!A:P,16,FALSE),4)</f>
        <v>2.0828000000000002</v>
      </c>
      <c r="U1301" s="18">
        <f t="shared" si="387"/>
        <v>2.0506000000000002</v>
      </c>
      <c r="V1301" s="29">
        <f t="shared" si="388"/>
        <v>-0.13439999999999999</v>
      </c>
      <c r="W1301" s="29">
        <f t="shared" si="389"/>
        <v>-4.4000000000000003E-3</v>
      </c>
      <c r="X1301" s="30">
        <f t="shared" si="390"/>
        <v>133.49</v>
      </c>
      <c r="Y1301" s="31">
        <f t="shared" si="391"/>
        <v>124.8</v>
      </c>
    </row>
    <row r="1302" spans="1:25" ht="15" customHeight="1" x14ac:dyDescent="0.25">
      <c r="A1302" s="5">
        <v>34231</v>
      </c>
      <c r="B1302">
        <v>583.47180000000003</v>
      </c>
      <c r="C1302" s="29">
        <f t="shared" si="395"/>
        <v>-6.7000000000000002E-3</v>
      </c>
      <c r="D1302">
        <v>-0.97</v>
      </c>
      <c r="E1302" s="11">
        <v>-0.01</v>
      </c>
      <c r="F1302" s="18">
        <f t="shared" si="382"/>
        <v>-0.10000000000000142</v>
      </c>
      <c r="G1302" s="18">
        <f t="shared" si="383"/>
        <v>-0.30000000000000071</v>
      </c>
      <c r="H1302">
        <v>3.16</v>
      </c>
      <c r="I1302">
        <v>2</v>
      </c>
      <c r="J1302">
        <f t="shared" si="392"/>
        <v>2.58</v>
      </c>
      <c r="K1302" s="6">
        <f t="shared" si="393"/>
        <v>2.57</v>
      </c>
      <c r="L1302" s="6">
        <f t="shared" si="394"/>
        <v>9.9999999999997868E-3</v>
      </c>
      <c r="M1302">
        <v>4.9598671513976997</v>
      </c>
      <c r="N1302">
        <v>336500</v>
      </c>
      <c r="O1302" s="18">
        <f>ROUND(N1302/VLOOKUP(EOMONTH(A1302,-1),Employment!A:P,16,FALSE),4)</f>
        <v>1.7251000000000001</v>
      </c>
      <c r="P1302" s="18">
        <f t="shared" si="384"/>
        <v>1.7354000000000001</v>
      </c>
      <c r="Q1302" s="29">
        <f t="shared" si="385"/>
        <v>-0.17530000000000001</v>
      </c>
      <c r="R1302" s="29">
        <f t="shared" si="386"/>
        <v>-9.7000000000000003E-3</v>
      </c>
      <c r="S1302">
        <v>2768000</v>
      </c>
      <c r="T1302" s="18">
        <f>ROUND((S1302/7)/VLOOKUP(EOMONTH(A1302,-1),Employment!A:P,16,FALSE),4)</f>
        <v>2.0272000000000001</v>
      </c>
      <c r="U1302" s="18">
        <f t="shared" si="387"/>
        <v>2.0449999999999999</v>
      </c>
      <c r="V1302" s="29">
        <f t="shared" si="388"/>
        <v>-0.13020000000000001</v>
      </c>
      <c r="W1302" s="29">
        <f t="shared" si="389"/>
        <v>-1.14E-2</v>
      </c>
      <c r="X1302" s="30">
        <f t="shared" si="390"/>
        <v>120.02000000000001</v>
      </c>
      <c r="Y1302" s="31">
        <f t="shared" si="391"/>
        <v>117.4</v>
      </c>
    </row>
    <row r="1303" spans="1:25" ht="15" customHeight="1" x14ac:dyDescent="0.25">
      <c r="A1303" s="5">
        <v>34224</v>
      </c>
      <c r="B1303">
        <v>586.16790000000003</v>
      </c>
      <c r="C1303" s="29">
        <f t="shared" si="395"/>
        <v>-3.3999999999999998E-3</v>
      </c>
      <c r="D1303">
        <v>-0.98</v>
      </c>
      <c r="E1303" s="11">
        <v>-0.01</v>
      </c>
      <c r="F1303" s="18">
        <f t="shared" si="382"/>
        <v>-0.19999999999999929</v>
      </c>
      <c r="G1303" s="18">
        <f t="shared" si="383"/>
        <v>-0.39999999999999858</v>
      </c>
      <c r="H1303">
        <v>3.16</v>
      </c>
      <c r="I1303">
        <v>1.99</v>
      </c>
      <c r="J1303">
        <f t="shared" si="392"/>
        <v>2.58</v>
      </c>
      <c r="K1303" s="6">
        <f t="shared" si="393"/>
        <v>2.56</v>
      </c>
      <c r="L1303" s="6">
        <f t="shared" si="394"/>
        <v>2.0000000000000018E-2</v>
      </c>
      <c r="M1303">
        <v>4.2217490952618002</v>
      </c>
      <c r="N1303">
        <v>338000</v>
      </c>
      <c r="O1303" s="18">
        <f>ROUND(N1303/VLOOKUP(EOMONTH(A1303,-1),Employment!A:P,16,FALSE),4)</f>
        <v>1.7327999999999999</v>
      </c>
      <c r="P1303" s="18">
        <f t="shared" si="384"/>
        <v>1.7517</v>
      </c>
      <c r="Q1303" s="29">
        <f t="shared" si="385"/>
        <v>-0.1661</v>
      </c>
      <c r="R1303" s="29">
        <f t="shared" si="386"/>
        <v>-1.7100000000000001E-2</v>
      </c>
      <c r="S1303">
        <v>2788000</v>
      </c>
      <c r="T1303" s="18">
        <f>ROUND((S1303/7)/VLOOKUP(EOMONTH(A1303,-1),Employment!A:P,16,FALSE),4)</f>
        <v>2.0417999999999998</v>
      </c>
      <c r="U1303" s="18">
        <f t="shared" si="387"/>
        <v>2.0512000000000001</v>
      </c>
      <c r="V1303" s="29">
        <f t="shared" si="388"/>
        <v>-0.1318</v>
      </c>
      <c r="W1303" s="29">
        <f t="shared" si="389"/>
        <v>-1.8100000000000002E-2</v>
      </c>
      <c r="X1303" s="30">
        <f t="shared" si="390"/>
        <v>115</v>
      </c>
      <c r="Y1303" s="31">
        <f t="shared" si="391"/>
        <v>116.73</v>
      </c>
    </row>
    <row r="1304" spans="1:25" ht="15" customHeight="1" x14ac:dyDescent="0.25">
      <c r="A1304" s="5">
        <v>34217</v>
      </c>
      <c r="B1304">
        <v>587.73659999999995</v>
      </c>
      <c r="C1304" s="29">
        <f t="shared" si="395"/>
        <v>-2.0000000000000001E-4</v>
      </c>
      <c r="D1304">
        <v>-1</v>
      </c>
      <c r="E1304" s="11">
        <v>-0.01</v>
      </c>
      <c r="F1304" s="18">
        <f t="shared" si="382"/>
        <v>0</v>
      </c>
      <c r="G1304" s="18">
        <f t="shared" si="383"/>
        <v>-0.19999999999999929</v>
      </c>
      <c r="H1304">
        <v>3.16</v>
      </c>
      <c r="I1304">
        <v>1.95</v>
      </c>
      <c r="J1304">
        <f t="shared" si="392"/>
        <v>2.56</v>
      </c>
      <c r="K1304" s="6">
        <f t="shared" si="393"/>
        <v>2.54</v>
      </c>
      <c r="L1304" s="6">
        <f t="shared" si="394"/>
        <v>1.0000000000000231E-2</v>
      </c>
      <c r="M1304">
        <v>3.4480640602040999</v>
      </c>
      <c r="N1304">
        <v>341000</v>
      </c>
      <c r="O1304" s="18">
        <f>ROUND(N1304/VLOOKUP(EOMONTH(A1304,-1),Employment!A:P,16,FALSE),4)</f>
        <v>1.7482</v>
      </c>
      <c r="P1304" s="18">
        <f t="shared" si="384"/>
        <v>1.7967</v>
      </c>
      <c r="Q1304" s="29">
        <f t="shared" si="385"/>
        <v>-0.17399999999999999</v>
      </c>
      <c r="R1304" s="29">
        <f t="shared" si="386"/>
        <v>-1.66E-2</v>
      </c>
      <c r="S1304">
        <v>2821000</v>
      </c>
      <c r="T1304" s="18">
        <f>ROUND((S1304/7)/VLOOKUP(EOMONTH(A1304,-1),Employment!A:P,16,FALSE),4)</f>
        <v>2.0659999999999998</v>
      </c>
      <c r="U1304" s="18">
        <f t="shared" si="387"/>
        <v>2.0579999999999998</v>
      </c>
      <c r="V1304" s="29">
        <f t="shared" si="388"/>
        <v>-0.13250000000000001</v>
      </c>
      <c r="W1304" s="29">
        <f t="shared" si="389"/>
        <v>-9.2999999999999992E-3</v>
      </c>
      <c r="X1304" s="30">
        <f t="shared" si="390"/>
        <v>116.84</v>
      </c>
      <c r="Y1304" s="31">
        <f t="shared" si="391"/>
        <v>120.61</v>
      </c>
    </row>
    <row r="1305" spans="1:25" ht="15" customHeight="1" x14ac:dyDescent="0.25">
      <c r="A1305" s="5">
        <v>34210</v>
      </c>
      <c r="B1305">
        <v>587.37310000000002</v>
      </c>
      <c r="C1305" s="29">
        <f t="shared" si="395"/>
        <v>-8.9999999999999998E-4</v>
      </c>
      <c r="D1305">
        <v>-1</v>
      </c>
      <c r="E1305" s="11">
        <v>-0.01</v>
      </c>
      <c r="F1305" s="18">
        <f t="shared" si="382"/>
        <v>-0.19999999999999929</v>
      </c>
      <c r="G1305" s="18">
        <f t="shared" si="383"/>
        <v>-0.30000000000000071</v>
      </c>
      <c r="H1305">
        <v>3.16</v>
      </c>
      <c r="I1305">
        <v>1.92</v>
      </c>
      <c r="J1305">
        <f t="shared" si="392"/>
        <v>2.54</v>
      </c>
      <c r="K1305" s="6">
        <f t="shared" si="393"/>
        <v>2.5299999999999998</v>
      </c>
      <c r="L1305" s="6">
        <f t="shared" si="394"/>
        <v>0</v>
      </c>
      <c r="M1305">
        <v>2.9410550552314998</v>
      </c>
      <c r="N1305">
        <v>345750</v>
      </c>
      <c r="O1305" s="18">
        <f>ROUND(N1305/VLOOKUP(EOMONTH(A1305,-1),Employment!A:P,16,FALSE),4)</f>
        <v>1.7742</v>
      </c>
      <c r="P1305" s="18">
        <f t="shared" si="384"/>
        <v>1.8349</v>
      </c>
      <c r="Q1305" s="29">
        <f t="shared" si="385"/>
        <v>-0.18459999999999999</v>
      </c>
      <c r="R1305" s="29">
        <f t="shared" si="386"/>
        <v>-9.1000000000000004E-3</v>
      </c>
      <c r="S1305">
        <v>2791000</v>
      </c>
      <c r="T1305" s="18">
        <f>ROUND((S1305/7)/VLOOKUP(EOMONTH(A1305,-1),Employment!A:P,16,FALSE),4)</f>
        <v>2.0459000000000001</v>
      </c>
      <c r="U1305" s="18">
        <f t="shared" si="387"/>
        <v>2.0640000000000001</v>
      </c>
      <c r="V1305" s="29">
        <f t="shared" si="388"/>
        <v>-0.15479999999999999</v>
      </c>
      <c r="W1305" s="29">
        <f t="shared" si="389"/>
        <v>3.5999999999999999E-3</v>
      </c>
      <c r="X1305" s="30">
        <f t="shared" si="390"/>
        <v>120.8</v>
      </c>
      <c r="Y1305" s="31">
        <f t="shared" si="391"/>
        <v>126.49</v>
      </c>
    </row>
    <row r="1306" spans="1:25" ht="15" customHeight="1" x14ac:dyDescent="0.25">
      <c r="A1306" s="5">
        <v>34203</v>
      </c>
      <c r="B1306">
        <v>588.41430000000003</v>
      </c>
      <c r="C1306" s="29">
        <f t="shared" si="395"/>
        <v>1.5E-3</v>
      </c>
      <c r="D1306">
        <v>-1.02</v>
      </c>
      <c r="E1306" s="11">
        <v>-0.01</v>
      </c>
      <c r="F1306" s="18">
        <f t="shared" si="382"/>
        <v>0</v>
      </c>
      <c r="G1306" s="18">
        <f t="shared" si="383"/>
        <v>0</v>
      </c>
      <c r="H1306">
        <v>3.16</v>
      </c>
      <c r="I1306">
        <v>1.87</v>
      </c>
      <c r="J1306">
        <f t="shared" si="392"/>
        <v>2.52</v>
      </c>
      <c r="K1306" s="6">
        <f t="shared" si="393"/>
        <v>2.5299999999999998</v>
      </c>
      <c r="L1306" s="6">
        <f t="shared" si="394"/>
        <v>-3.0000000000000249E-2</v>
      </c>
      <c r="M1306">
        <v>2.7224877486058001</v>
      </c>
      <c r="N1306">
        <v>364000</v>
      </c>
      <c r="O1306" s="18">
        <f>ROUND(N1306/VLOOKUP(EOMONTH(A1306,-1),Employment!A:P,16,FALSE),4)</f>
        <v>1.8677999999999999</v>
      </c>
      <c r="P1306" s="18">
        <f t="shared" si="384"/>
        <v>1.8507</v>
      </c>
      <c r="Q1306" s="29">
        <f t="shared" si="385"/>
        <v>-0.2019</v>
      </c>
      <c r="R1306" s="29">
        <f t="shared" si="386"/>
        <v>8.9999999999999998E-4</v>
      </c>
      <c r="S1306">
        <v>2813000</v>
      </c>
      <c r="T1306" s="18">
        <f>ROUND((S1306/7)/VLOOKUP(EOMONTH(A1306,-1),Employment!A:P,16,FALSE),4)</f>
        <v>2.0621</v>
      </c>
      <c r="U1306" s="18">
        <f t="shared" si="387"/>
        <v>2.0669</v>
      </c>
      <c r="V1306" s="29">
        <f t="shared" si="388"/>
        <v>-0.16270000000000001</v>
      </c>
      <c r="W1306" s="29">
        <f t="shared" si="389"/>
        <v>1.0999999999999999E-2</v>
      </c>
      <c r="X1306" s="30">
        <f t="shared" si="390"/>
        <v>129.57</v>
      </c>
      <c r="Y1306" s="31">
        <f t="shared" si="391"/>
        <v>131.65</v>
      </c>
    </row>
    <row r="1307" spans="1:25" ht="15" customHeight="1" x14ac:dyDescent="0.25">
      <c r="A1307" s="5">
        <v>34196</v>
      </c>
      <c r="B1307">
        <v>589.12139999999999</v>
      </c>
      <c r="C1307" s="29">
        <f t="shared" si="395"/>
        <v>2.3E-3</v>
      </c>
      <c r="D1307">
        <v>-1.02</v>
      </c>
      <c r="E1307" s="11">
        <v>-0.01</v>
      </c>
      <c r="F1307" s="18">
        <f t="shared" si="382"/>
        <v>-0.10000000000000142</v>
      </c>
      <c r="G1307" s="18">
        <f t="shared" si="383"/>
        <v>9.9999999999999645E-2</v>
      </c>
      <c r="H1307">
        <v>3.16</v>
      </c>
      <c r="I1307">
        <v>1.9</v>
      </c>
      <c r="J1307">
        <f t="shared" si="392"/>
        <v>2.5299999999999998</v>
      </c>
      <c r="K1307" s="6">
        <f t="shared" si="393"/>
        <v>2.56</v>
      </c>
      <c r="L1307" s="6">
        <f t="shared" si="394"/>
        <v>-2.9999999999999805E-2</v>
      </c>
      <c r="M1307">
        <v>2.5469103342881998</v>
      </c>
      <c r="N1307">
        <v>363000</v>
      </c>
      <c r="O1307" s="18">
        <f>ROUND(N1307/VLOOKUP(EOMONTH(A1307,-1),Employment!A:P,16,FALSE),4)</f>
        <v>1.8627</v>
      </c>
      <c r="P1307" s="18">
        <f t="shared" si="384"/>
        <v>1.8259000000000001</v>
      </c>
      <c r="Q1307" s="29">
        <f t="shared" si="385"/>
        <v>-0.20930000000000001</v>
      </c>
      <c r="R1307" s="29">
        <f t="shared" si="386"/>
        <v>6.4000000000000003E-3</v>
      </c>
      <c r="S1307">
        <v>2843000</v>
      </c>
      <c r="T1307" s="18">
        <f>ROUND((S1307/7)/VLOOKUP(EOMONTH(A1307,-1),Employment!A:P,16,FALSE),4)</f>
        <v>2.0840000000000001</v>
      </c>
      <c r="U1307" s="18">
        <f t="shared" si="387"/>
        <v>2.0554000000000001</v>
      </c>
      <c r="V1307" s="29">
        <f t="shared" si="388"/>
        <v>-0.1696</v>
      </c>
      <c r="W1307" s="29">
        <f t="shared" si="389"/>
        <v>2.3E-3</v>
      </c>
      <c r="X1307" s="30">
        <f t="shared" si="390"/>
        <v>133.04</v>
      </c>
      <c r="Y1307" s="31">
        <f t="shared" si="391"/>
        <v>133.38</v>
      </c>
    </row>
    <row r="1308" spans="1:25" ht="15" customHeight="1" x14ac:dyDescent="0.25">
      <c r="A1308" s="5">
        <v>34189</v>
      </c>
      <c r="B1308">
        <v>586.60059999999999</v>
      </c>
      <c r="C1308" s="29">
        <f t="shared" si="395"/>
        <v>-3.5999999999999999E-3</v>
      </c>
      <c r="D1308">
        <v>-1.03</v>
      </c>
      <c r="E1308" s="11">
        <v>-0.01</v>
      </c>
      <c r="F1308" s="18">
        <f t="shared" si="382"/>
        <v>0.10000000000000142</v>
      </c>
      <c r="G1308" s="18">
        <f t="shared" si="383"/>
        <v>0.40000000000000036</v>
      </c>
      <c r="H1308">
        <v>3.16</v>
      </c>
      <c r="I1308">
        <v>1.93</v>
      </c>
      <c r="J1308">
        <f t="shared" si="392"/>
        <v>2.5499999999999998</v>
      </c>
      <c r="K1308" s="6">
        <f t="shared" si="393"/>
        <v>2.59</v>
      </c>
      <c r="L1308" s="6">
        <f t="shared" si="394"/>
        <v>-4.0000000000000036E-2</v>
      </c>
      <c r="M1308">
        <v>3.0532768216424002</v>
      </c>
      <c r="N1308">
        <v>355000</v>
      </c>
      <c r="O1308" s="18">
        <f>ROUND(N1308/VLOOKUP(EOMONTH(A1308,-1),Employment!A:P,16,FALSE),4)</f>
        <v>1.8216000000000001</v>
      </c>
      <c r="P1308" s="18">
        <f t="shared" si="384"/>
        <v>1.7712000000000001</v>
      </c>
      <c r="Q1308" s="29">
        <f t="shared" si="385"/>
        <v>-0.20979999999999999</v>
      </c>
      <c r="R1308" s="29">
        <f t="shared" si="386"/>
        <v>9.1000000000000004E-3</v>
      </c>
      <c r="S1308">
        <v>2803000</v>
      </c>
      <c r="T1308" s="18">
        <f>ROUND((S1308/7)/VLOOKUP(EOMONTH(A1308,-1),Employment!A:P,16,FALSE),4)</f>
        <v>2.0547</v>
      </c>
      <c r="U1308" s="18">
        <f t="shared" si="387"/>
        <v>2.0400999999999998</v>
      </c>
      <c r="V1308" s="29">
        <f t="shared" si="388"/>
        <v>-0.14499999999999999</v>
      </c>
      <c r="W1308" s="29">
        <f t="shared" si="389"/>
        <v>-8.0000000000000002E-3</v>
      </c>
      <c r="X1308" s="30">
        <f t="shared" si="390"/>
        <v>133.36000000000001</v>
      </c>
      <c r="Y1308" s="31">
        <f t="shared" si="391"/>
        <v>133.83000000000001</v>
      </c>
    </row>
    <row r="1309" spans="1:25" ht="15" customHeight="1" x14ac:dyDescent="0.25">
      <c r="A1309" s="5">
        <v>34182</v>
      </c>
      <c r="B1309">
        <v>587.37609999999995</v>
      </c>
      <c r="C1309" s="29">
        <f t="shared" si="395"/>
        <v>-3.3E-3</v>
      </c>
      <c r="D1309">
        <v>-1.02</v>
      </c>
      <c r="E1309" s="11">
        <v>-0.01</v>
      </c>
      <c r="F1309" s="18">
        <f t="shared" si="382"/>
        <v>9.9999999999999645E-2</v>
      </c>
      <c r="G1309" s="18">
        <f t="shared" si="383"/>
        <v>0.5</v>
      </c>
      <c r="H1309">
        <v>3.16</v>
      </c>
      <c r="I1309">
        <v>2.0499999999999998</v>
      </c>
      <c r="J1309">
        <f t="shared" si="392"/>
        <v>2.61</v>
      </c>
      <c r="K1309" s="6">
        <f t="shared" si="393"/>
        <v>2.63</v>
      </c>
      <c r="L1309" s="6">
        <f t="shared" si="394"/>
        <v>-2.0000000000000018E-2</v>
      </c>
      <c r="M1309">
        <v>3.4128373311025002</v>
      </c>
      <c r="N1309">
        <v>349500</v>
      </c>
      <c r="O1309" s="18">
        <f>ROUND(N1309/VLOOKUP(EOMONTH(A1309,-1),Employment!A:P,16,FALSE),4)</f>
        <v>1.7934000000000001</v>
      </c>
      <c r="P1309" s="18">
        <f t="shared" si="384"/>
        <v>1.7344999999999999</v>
      </c>
      <c r="Q1309" s="29">
        <f t="shared" si="385"/>
        <v>-0.20599999999999999</v>
      </c>
      <c r="R1309" s="29">
        <f t="shared" si="386"/>
        <v>7.6E-3</v>
      </c>
      <c r="S1309">
        <v>2766000</v>
      </c>
      <c r="T1309" s="18">
        <f>ROUND((S1309/7)/VLOOKUP(EOMONTH(A1309,-1),Employment!A:P,16,FALSE),4)</f>
        <v>2.0276000000000001</v>
      </c>
      <c r="U1309" s="18">
        <f t="shared" si="387"/>
        <v>2.0213999999999999</v>
      </c>
      <c r="V1309" s="29">
        <f t="shared" si="388"/>
        <v>-0.14369999999999999</v>
      </c>
      <c r="W1309" s="29">
        <f t="shared" si="389"/>
        <v>-2.8E-3</v>
      </c>
      <c r="X1309" s="30">
        <f t="shared" si="390"/>
        <v>134.30000000000001</v>
      </c>
      <c r="Y1309" s="31">
        <f t="shared" si="391"/>
        <v>134.24</v>
      </c>
    </row>
    <row r="1310" spans="1:25" ht="15" customHeight="1" x14ac:dyDescent="0.25">
      <c r="A1310" s="5">
        <v>34175</v>
      </c>
      <c r="B1310">
        <v>587.00750000000005</v>
      </c>
      <c r="C1310" s="29">
        <f t="shared" si="395"/>
        <v>-5.5999999999999999E-3</v>
      </c>
      <c r="D1310">
        <v>-1.01</v>
      </c>
      <c r="E1310" s="11">
        <v>-0.01</v>
      </c>
      <c r="F1310" s="18">
        <f t="shared" si="382"/>
        <v>0.19999999999999929</v>
      </c>
      <c r="G1310" s="18">
        <f t="shared" si="383"/>
        <v>0.59999999999999964</v>
      </c>
      <c r="H1310">
        <v>3.16</v>
      </c>
      <c r="I1310">
        <v>2.0499999999999998</v>
      </c>
      <c r="J1310">
        <f t="shared" si="392"/>
        <v>2.61</v>
      </c>
      <c r="K1310" s="6">
        <f t="shared" si="393"/>
        <v>2.65</v>
      </c>
      <c r="L1310" s="6">
        <f t="shared" si="394"/>
        <v>-2.0000000000000018E-2</v>
      </c>
      <c r="M1310">
        <v>3.3293167234759999</v>
      </c>
      <c r="N1310">
        <v>330750</v>
      </c>
      <c r="O1310" s="18">
        <f>ROUND(N1310/VLOOKUP(EOMONTH(A1310,-1),Employment!A:P,16,FALSE),4)</f>
        <v>1.6986000000000001</v>
      </c>
      <c r="P1310" s="18">
        <f t="shared" si="384"/>
        <v>1.7196</v>
      </c>
      <c r="Q1310" s="29">
        <f t="shared" si="385"/>
        <v>-0.1963</v>
      </c>
      <c r="R1310" s="29">
        <f t="shared" si="386"/>
        <v>7.4000000000000003E-3</v>
      </c>
      <c r="S1310">
        <v>2778000</v>
      </c>
      <c r="T1310" s="18">
        <f>ROUND((S1310/7)/VLOOKUP(EOMONTH(A1310,-1),Employment!A:P,16,FALSE),4)</f>
        <v>2.0381</v>
      </c>
      <c r="U1310" s="18">
        <f t="shared" si="387"/>
        <v>2.0173000000000001</v>
      </c>
      <c r="V1310" s="29">
        <f t="shared" si="388"/>
        <v>-0.1547</v>
      </c>
      <c r="W1310" s="29">
        <f t="shared" si="389"/>
        <v>2.3E-3</v>
      </c>
      <c r="X1310" s="30">
        <f t="shared" si="390"/>
        <v>133.85</v>
      </c>
      <c r="Y1310" s="31">
        <f t="shared" si="391"/>
        <v>133.85</v>
      </c>
    </row>
    <row r="1311" spans="1:25" ht="15" customHeight="1" x14ac:dyDescent="0.25">
      <c r="A1311" s="5">
        <v>34168</v>
      </c>
      <c r="B1311">
        <v>590.03790000000004</v>
      </c>
      <c r="C1311" s="29">
        <f t="shared" si="395"/>
        <v>-2.9999999999999997E-4</v>
      </c>
      <c r="D1311">
        <v>-0.99</v>
      </c>
      <c r="E1311" s="11">
        <v>-0.01</v>
      </c>
      <c r="F1311" s="18">
        <f t="shared" si="382"/>
        <v>0.20000000000000107</v>
      </c>
      <c r="G1311" s="18">
        <f t="shared" si="383"/>
        <v>0.59999999999999964</v>
      </c>
      <c r="H1311">
        <v>3.16</v>
      </c>
      <c r="I1311">
        <v>2.16</v>
      </c>
      <c r="J1311">
        <f t="shared" si="392"/>
        <v>2.66</v>
      </c>
      <c r="K1311" s="6">
        <f t="shared" si="393"/>
        <v>2.67</v>
      </c>
      <c r="L1311" s="6">
        <f t="shared" si="394"/>
        <v>0</v>
      </c>
      <c r="M1311">
        <v>3.4527566230164002</v>
      </c>
      <c r="N1311">
        <v>333250</v>
      </c>
      <c r="O1311" s="18">
        <f>ROUND(N1311/VLOOKUP(EOMONTH(A1311,-1),Employment!A:P,16,FALSE),4)</f>
        <v>1.7114</v>
      </c>
      <c r="P1311" s="18">
        <f t="shared" si="384"/>
        <v>1.7401</v>
      </c>
      <c r="Q1311" s="29">
        <f t="shared" si="385"/>
        <v>-0.1946</v>
      </c>
      <c r="R1311" s="29">
        <f t="shared" si="386"/>
        <v>6.6E-3</v>
      </c>
      <c r="S1311">
        <v>2724000</v>
      </c>
      <c r="T1311" s="18">
        <f>ROUND((S1311/7)/VLOOKUP(EOMONTH(A1311,-1),Employment!A:P,16,FALSE),4)</f>
        <v>1.9984999999999999</v>
      </c>
      <c r="U1311" s="18">
        <f t="shared" si="387"/>
        <v>2.0367000000000002</v>
      </c>
      <c r="V1311" s="29">
        <f t="shared" si="388"/>
        <v>-0.16220000000000001</v>
      </c>
      <c r="W1311" s="29">
        <f t="shared" si="389"/>
        <v>2.9999999999999997E-4</v>
      </c>
      <c r="X1311" s="30">
        <f t="shared" si="390"/>
        <v>135.07</v>
      </c>
      <c r="Y1311" s="31">
        <f t="shared" si="391"/>
        <v>132.06</v>
      </c>
    </row>
    <row r="1312" spans="1:25" ht="15" customHeight="1" x14ac:dyDescent="0.25">
      <c r="A1312" s="5">
        <v>34161</v>
      </c>
      <c r="B1312">
        <v>590.49300000000005</v>
      </c>
      <c r="C1312" s="29">
        <f t="shared" si="395"/>
        <v>2.9999999999999997E-4</v>
      </c>
      <c r="D1312">
        <v>-0.97</v>
      </c>
      <c r="E1312" s="11">
        <v>-0.01</v>
      </c>
      <c r="F1312" s="18">
        <f t="shared" si="382"/>
        <v>0.19999999999999929</v>
      </c>
      <c r="G1312" s="18">
        <f t="shared" si="383"/>
        <v>0.59999999999999964</v>
      </c>
      <c r="H1312">
        <v>3.16</v>
      </c>
      <c r="I1312">
        <v>2.17</v>
      </c>
      <c r="J1312">
        <f t="shared" si="392"/>
        <v>2.67</v>
      </c>
      <c r="K1312" s="6">
        <f t="shared" si="393"/>
        <v>2.67</v>
      </c>
      <c r="L1312" s="6">
        <f t="shared" si="394"/>
        <v>2.0000000000000018E-2</v>
      </c>
      <c r="M1312">
        <v>2.9245127320170998</v>
      </c>
      <c r="N1312">
        <v>340500</v>
      </c>
      <c r="O1312" s="18">
        <f>ROUND(N1312/VLOOKUP(EOMONTH(A1312,-1),Employment!A:P,16,FALSE),4)</f>
        <v>1.7486999999999999</v>
      </c>
      <c r="P1312" s="18">
        <f t="shared" si="384"/>
        <v>1.7606999999999999</v>
      </c>
      <c r="Q1312" s="29">
        <f t="shared" si="385"/>
        <v>-0.18720000000000001</v>
      </c>
      <c r="R1312" s="29">
        <f t="shared" si="386"/>
        <v>3.5000000000000001E-3</v>
      </c>
      <c r="S1312">
        <v>2747000</v>
      </c>
      <c r="T1312" s="18">
        <f>ROUND((S1312/7)/VLOOKUP(EOMONTH(A1312,-1),Employment!A:P,16,FALSE),4)</f>
        <v>2.0154000000000001</v>
      </c>
      <c r="U1312" s="18">
        <f t="shared" si="387"/>
        <v>2.0647000000000002</v>
      </c>
      <c r="V1312" s="29">
        <f t="shared" si="388"/>
        <v>-0.15590000000000001</v>
      </c>
      <c r="W1312" s="29">
        <f t="shared" si="389"/>
        <v>-1.15E-2</v>
      </c>
      <c r="X1312" s="30">
        <f t="shared" si="390"/>
        <v>130.77000000000001</v>
      </c>
      <c r="Y1312" s="31">
        <f t="shared" si="391"/>
        <v>128.91</v>
      </c>
    </row>
    <row r="1313" spans="1:25" ht="15" customHeight="1" x14ac:dyDescent="0.25">
      <c r="A1313" s="5">
        <v>34154</v>
      </c>
      <c r="B1313">
        <v>589.83000000000004</v>
      </c>
      <c r="C1313" s="29">
        <f t="shared" si="395"/>
        <v>-5.9999999999999995E-4</v>
      </c>
      <c r="D1313">
        <v>-0.95</v>
      </c>
      <c r="E1313" s="11">
        <v>-0.01</v>
      </c>
      <c r="F1313" s="18">
        <f t="shared" si="382"/>
        <v>0.19999999999999929</v>
      </c>
      <c r="G1313" s="18">
        <f t="shared" si="383"/>
        <v>0.5</v>
      </c>
      <c r="H1313">
        <v>3.16</v>
      </c>
      <c r="I1313">
        <v>2.19</v>
      </c>
      <c r="J1313">
        <f t="shared" si="392"/>
        <v>2.68</v>
      </c>
      <c r="K1313" s="6">
        <f t="shared" si="393"/>
        <v>2.65</v>
      </c>
      <c r="L1313" s="6">
        <f t="shared" si="394"/>
        <v>2.0000000000000018E-2</v>
      </c>
      <c r="M1313">
        <v>3.2592200081897</v>
      </c>
      <c r="N1313">
        <v>342750</v>
      </c>
      <c r="O1313" s="18">
        <f>ROUND(N1313/VLOOKUP(EOMONTH(A1313,-1),Employment!A:P,16,FALSE),4)</f>
        <v>1.7602</v>
      </c>
      <c r="P1313" s="18">
        <f t="shared" si="384"/>
        <v>1.7677</v>
      </c>
      <c r="Q1313" s="29">
        <f t="shared" si="385"/>
        <v>-0.18340000000000001</v>
      </c>
      <c r="R1313" s="29">
        <f t="shared" si="386"/>
        <v>-8.0000000000000004E-4</v>
      </c>
      <c r="S1313">
        <v>2857000</v>
      </c>
      <c r="T1313" s="18">
        <f>ROUND((S1313/7)/VLOOKUP(EOMONTH(A1313,-1),Employment!A:P,16,FALSE),4)</f>
        <v>2.0960999999999999</v>
      </c>
      <c r="U1313" s="18">
        <f t="shared" si="387"/>
        <v>2.0802</v>
      </c>
      <c r="V1313" s="29">
        <f t="shared" si="388"/>
        <v>-0.14330000000000001</v>
      </c>
      <c r="W1313" s="29">
        <f t="shared" si="389"/>
        <v>-8.5000000000000006E-3</v>
      </c>
      <c r="X1313" s="30">
        <f t="shared" si="390"/>
        <v>127.74000000000001</v>
      </c>
      <c r="Y1313" s="31">
        <f t="shared" si="391"/>
        <v>127.11</v>
      </c>
    </row>
    <row r="1314" spans="1:25" ht="15" customHeight="1" x14ac:dyDescent="0.25">
      <c r="A1314" s="5">
        <v>34147</v>
      </c>
      <c r="B1314">
        <v>590.95630000000006</v>
      </c>
      <c r="C1314" s="29">
        <f t="shared" si="395"/>
        <v>2.8999999999999998E-3</v>
      </c>
      <c r="D1314">
        <v>-0.93</v>
      </c>
      <c r="E1314" s="11">
        <v>-0.01</v>
      </c>
      <c r="F1314" s="18">
        <f t="shared" si="382"/>
        <v>0.20000000000000107</v>
      </c>
      <c r="G1314" s="18">
        <f t="shared" si="383"/>
        <v>0.40000000000000036</v>
      </c>
      <c r="H1314">
        <v>3.16</v>
      </c>
      <c r="I1314">
        <v>2.14</v>
      </c>
      <c r="J1314">
        <f t="shared" si="392"/>
        <v>2.65</v>
      </c>
      <c r="K1314" s="6">
        <f t="shared" si="393"/>
        <v>2.63</v>
      </c>
      <c r="L1314" s="6">
        <f t="shared" si="394"/>
        <v>9.9999999999997868E-3</v>
      </c>
      <c r="M1314">
        <v>3.4595586001074001</v>
      </c>
      <c r="N1314">
        <v>345000</v>
      </c>
      <c r="O1314" s="18">
        <f>ROUND(N1314/VLOOKUP(EOMONTH(A1314,-1),Employment!A:P,16,FALSE),4)</f>
        <v>1.7733000000000001</v>
      </c>
      <c r="P1314" s="18">
        <f t="shared" si="384"/>
        <v>1.7716000000000001</v>
      </c>
      <c r="Q1314" s="29">
        <f t="shared" si="385"/>
        <v>-0.17860000000000001</v>
      </c>
      <c r="R1314" s="29">
        <f t="shared" si="386"/>
        <v>-5.4000000000000003E-3</v>
      </c>
      <c r="S1314">
        <v>2836000</v>
      </c>
      <c r="T1314" s="18">
        <f>ROUND((S1314/7)/VLOOKUP(EOMONTH(A1314,-1),Employment!A:P,16,FALSE),4)</f>
        <v>2.0825</v>
      </c>
      <c r="U1314" s="18">
        <f t="shared" si="387"/>
        <v>2.0514000000000001</v>
      </c>
      <c r="V1314" s="29">
        <f t="shared" si="388"/>
        <v>-0.1646</v>
      </c>
      <c r="W1314" s="29">
        <f t="shared" si="389"/>
        <v>-3.3E-3</v>
      </c>
      <c r="X1314" s="30">
        <f t="shared" si="390"/>
        <v>127.17</v>
      </c>
      <c r="Y1314" s="31">
        <f t="shared" si="391"/>
        <v>126.78</v>
      </c>
    </row>
    <row r="1315" spans="1:25" ht="15" customHeight="1" x14ac:dyDescent="0.25">
      <c r="A1315" s="5">
        <v>34140</v>
      </c>
      <c r="B1315">
        <v>589.58889999999997</v>
      </c>
      <c r="C1315" s="29">
        <f t="shared" si="395"/>
        <v>1.6000000000000001E-3</v>
      </c>
      <c r="D1315">
        <v>-0.91</v>
      </c>
      <c r="E1315" s="11">
        <v>-0.01</v>
      </c>
      <c r="F1315" s="18">
        <f t="shared" si="382"/>
        <v>9.9999999999999645E-2</v>
      </c>
      <c r="G1315" s="18">
        <f t="shared" si="383"/>
        <v>0.19999999999999929</v>
      </c>
      <c r="H1315">
        <v>3.16</v>
      </c>
      <c r="I1315">
        <v>2.08</v>
      </c>
      <c r="J1315">
        <f t="shared" si="392"/>
        <v>2.62</v>
      </c>
      <c r="K1315" s="6">
        <f t="shared" si="393"/>
        <v>2.62</v>
      </c>
      <c r="L1315" s="6">
        <f t="shared" si="394"/>
        <v>-9.9999999999997868E-3</v>
      </c>
      <c r="M1315">
        <v>3.1686576092757002</v>
      </c>
      <c r="N1315">
        <v>344250</v>
      </c>
      <c r="O1315" s="18">
        <f>ROUND(N1315/VLOOKUP(EOMONTH(A1315,-1),Employment!A:P,16,FALSE),4)</f>
        <v>1.7695000000000001</v>
      </c>
      <c r="P1315" s="18">
        <f t="shared" si="384"/>
        <v>1.7695000000000001</v>
      </c>
      <c r="Q1315" s="29">
        <f t="shared" si="385"/>
        <v>-0.1779</v>
      </c>
      <c r="R1315" s="29">
        <f t="shared" si="386"/>
        <v>-5.8999999999999999E-3</v>
      </c>
      <c r="S1315">
        <v>2808000</v>
      </c>
      <c r="T1315" s="18">
        <f>ROUND((S1315/7)/VLOOKUP(EOMONTH(A1315,-1),Employment!A:P,16,FALSE),4)</f>
        <v>2.0619000000000001</v>
      </c>
      <c r="U1315" s="18">
        <f t="shared" si="387"/>
        <v>2.0465</v>
      </c>
      <c r="V1315" s="29">
        <f t="shared" si="388"/>
        <v>-0.16789999999999999</v>
      </c>
      <c r="W1315" s="29">
        <f t="shared" si="389"/>
        <v>-2.2000000000000001E-3</v>
      </c>
      <c r="X1315" s="30">
        <f t="shared" si="390"/>
        <v>125.4</v>
      </c>
      <c r="Y1315" s="31">
        <f t="shared" si="391"/>
        <v>128.16</v>
      </c>
    </row>
    <row r="1316" spans="1:25" ht="15" customHeight="1" x14ac:dyDescent="0.25">
      <c r="A1316" s="5">
        <v>34133</v>
      </c>
      <c r="B1316">
        <v>590.83439999999996</v>
      </c>
      <c r="C1316" s="29">
        <f t="shared" si="395"/>
        <v>5.8999999999999999E-3</v>
      </c>
      <c r="D1316">
        <v>-0.9</v>
      </c>
      <c r="E1316" s="11">
        <v>-0.01</v>
      </c>
      <c r="F1316" s="18">
        <f t="shared" si="382"/>
        <v>9.9999999999999645E-2</v>
      </c>
      <c r="G1316" s="18">
        <f t="shared" si="383"/>
        <v>9.9999999999999645E-2</v>
      </c>
      <c r="H1316">
        <v>3.16</v>
      </c>
      <c r="I1316">
        <v>2.1</v>
      </c>
      <c r="J1316">
        <f t="shared" si="392"/>
        <v>2.63</v>
      </c>
      <c r="K1316" s="6">
        <f t="shared" si="393"/>
        <v>2.63</v>
      </c>
      <c r="L1316" s="6">
        <f t="shared" si="394"/>
        <v>-1.0000000000000231E-2</v>
      </c>
      <c r="M1316">
        <v>3.0005039158188</v>
      </c>
      <c r="N1316">
        <v>344750</v>
      </c>
      <c r="O1316" s="18">
        <f>ROUND(N1316/VLOOKUP(EOMONTH(A1316,-1),Employment!A:P,16,FALSE),4)</f>
        <v>1.772</v>
      </c>
      <c r="P1316" s="18">
        <f t="shared" si="384"/>
        <v>1.7665</v>
      </c>
      <c r="Q1316" s="29">
        <f t="shared" si="385"/>
        <v>-0.18190000000000001</v>
      </c>
      <c r="R1316" s="29">
        <f t="shared" si="386"/>
        <v>-1.2999999999999999E-3</v>
      </c>
      <c r="S1316">
        <v>2737000</v>
      </c>
      <c r="T1316" s="18">
        <f>ROUND((S1316/7)/VLOOKUP(EOMONTH(A1316,-1),Employment!A:P,16,FALSE),4)</f>
        <v>2.0097999999999998</v>
      </c>
      <c r="U1316" s="18">
        <f t="shared" si="387"/>
        <v>2.0381999999999998</v>
      </c>
      <c r="V1316" s="29">
        <f t="shared" si="388"/>
        <v>-0.17399999999999999</v>
      </c>
      <c r="W1316" s="29">
        <f t="shared" si="389"/>
        <v>-7.9000000000000008E-3</v>
      </c>
      <c r="X1316" s="30">
        <f t="shared" si="390"/>
        <v>129.24</v>
      </c>
      <c r="Y1316" s="31">
        <f t="shared" si="391"/>
        <v>131.69999999999999</v>
      </c>
    </row>
    <row r="1317" spans="1:25" ht="15" customHeight="1" x14ac:dyDescent="0.25">
      <c r="A1317" s="5">
        <v>34126</v>
      </c>
      <c r="B1317">
        <v>589.25459999999998</v>
      </c>
      <c r="C1317" s="29">
        <f t="shared" si="395"/>
        <v>4.4999999999999997E-3</v>
      </c>
      <c r="D1317">
        <v>-0.89</v>
      </c>
      <c r="E1317" s="11">
        <v>-0.01</v>
      </c>
      <c r="F1317" s="18">
        <f t="shared" si="382"/>
        <v>0</v>
      </c>
      <c r="G1317" s="18">
        <f t="shared" si="383"/>
        <v>-9.9999999999999645E-2</v>
      </c>
      <c r="H1317">
        <v>3.16</v>
      </c>
      <c r="I1317">
        <v>2.0699999999999998</v>
      </c>
      <c r="J1317">
        <f t="shared" si="392"/>
        <v>2.62</v>
      </c>
      <c r="K1317" s="6">
        <f t="shared" si="393"/>
        <v>2.64</v>
      </c>
      <c r="L1317" s="6">
        <f t="shared" si="394"/>
        <v>-2.0000000000000018E-2</v>
      </c>
      <c r="M1317">
        <v>2.1949118248042998</v>
      </c>
      <c r="N1317">
        <v>343750</v>
      </c>
      <c r="O1317" s="18">
        <f>ROUND(N1317/VLOOKUP(EOMONTH(A1317,-1),Employment!A:P,16,FALSE),4)</f>
        <v>1.7668999999999999</v>
      </c>
      <c r="P1317" s="18">
        <f t="shared" si="384"/>
        <v>1.7661</v>
      </c>
      <c r="Q1317" s="29">
        <f t="shared" si="385"/>
        <v>-0.18740000000000001</v>
      </c>
      <c r="R1317" s="29">
        <f t="shared" si="386"/>
        <v>7.4000000000000003E-3</v>
      </c>
      <c r="S1317">
        <v>2816000</v>
      </c>
      <c r="T1317" s="18">
        <f>ROUND((S1317/7)/VLOOKUP(EOMONTH(A1317,-1),Employment!A:P,16,FALSE),4)</f>
        <v>2.0678000000000001</v>
      </c>
      <c r="U1317" s="18">
        <f t="shared" si="387"/>
        <v>2.0590999999999999</v>
      </c>
      <c r="V1317" s="29">
        <f t="shared" si="388"/>
        <v>-0.16259999999999999</v>
      </c>
      <c r="W1317" s="29">
        <f t="shared" si="389"/>
        <v>-4.8999999999999998E-3</v>
      </c>
      <c r="X1317" s="30">
        <f t="shared" si="390"/>
        <v>132.36000000000001</v>
      </c>
      <c r="Y1317" s="31">
        <f t="shared" si="391"/>
        <v>134.59</v>
      </c>
    </row>
    <row r="1318" spans="1:25" ht="15" customHeight="1" x14ac:dyDescent="0.25">
      <c r="A1318" s="5">
        <v>34119</v>
      </c>
      <c r="B1318">
        <v>587.28570000000002</v>
      </c>
      <c r="C1318" s="29">
        <f t="shared" si="395"/>
        <v>2E-3</v>
      </c>
      <c r="D1318">
        <v>-0.89</v>
      </c>
      <c r="E1318" s="11">
        <v>-0.01</v>
      </c>
      <c r="F1318" s="18">
        <f t="shared" si="382"/>
        <v>0</v>
      </c>
      <c r="G1318" s="18">
        <f t="shared" si="383"/>
        <v>-9.9999999999999645E-2</v>
      </c>
      <c r="H1318">
        <v>3.16</v>
      </c>
      <c r="I1318">
        <v>2.1</v>
      </c>
      <c r="J1318">
        <f t="shared" si="392"/>
        <v>2.63</v>
      </c>
      <c r="K1318" s="6">
        <f t="shared" si="393"/>
        <v>2.66</v>
      </c>
      <c r="L1318" s="6">
        <f t="shared" si="394"/>
        <v>-2.0000000000000018E-2</v>
      </c>
      <c r="M1318">
        <v>2.5680622350942999</v>
      </c>
      <c r="N1318">
        <v>342250</v>
      </c>
      <c r="O1318" s="18">
        <f>ROUND(N1318/VLOOKUP(EOMONTH(A1318,-1),Employment!A:P,16,FALSE),4)</f>
        <v>1.7605999999999999</v>
      </c>
      <c r="P1318" s="18">
        <f t="shared" si="384"/>
        <v>1.77</v>
      </c>
      <c r="Q1318" s="29">
        <f t="shared" si="385"/>
        <v>-0.1923</v>
      </c>
      <c r="R1318" s="29">
        <f t="shared" si="386"/>
        <v>1.41E-2</v>
      </c>
      <c r="S1318">
        <v>2772000</v>
      </c>
      <c r="T1318" s="18">
        <f>ROUND((S1318/7)/VLOOKUP(EOMONTH(A1318,-1),Employment!A:P,16,FALSE),4)</f>
        <v>2.0371000000000001</v>
      </c>
      <c r="U1318" s="18">
        <f t="shared" si="387"/>
        <v>2.0427</v>
      </c>
      <c r="V1318" s="29">
        <f t="shared" si="388"/>
        <v>-0.1787</v>
      </c>
      <c r="W1318" s="29">
        <f t="shared" si="389"/>
        <v>1.8E-3</v>
      </c>
      <c r="X1318" s="30">
        <f t="shared" si="390"/>
        <v>136.22</v>
      </c>
      <c r="Y1318" s="31">
        <f t="shared" si="391"/>
        <v>134.83000000000001</v>
      </c>
    </row>
    <row r="1319" spans="1:25" ht="15" customHeight="1" x14ac:dyDescent="0.25">
      <c r="A1319" s="5">
        <v>34112</v>
      </c>
      <c r="B1319">
        <v>587.27110000000005</v>
      </c>
      <c r="C1319" s="29">
        <f t="shared" si="395"/>
        <v>3.0000000000000001E-3</v>
      </c>
      <c r="D1319">
        <v>-0.89</v>
      </c>
      <c r="E1319" s="11">
        <v>-0.01</v>
      </c>
      <c r="F1319" s="18">
        <f t="shared" si="382"/>
        <v>-9.9999999999999645E-2</v>
      </c>
      <c r="G1319" s="18">
        <f t="shared" si="383"/>
        <v>0</v>
      </c>
      <c r="H1319">
        <v>3.16</v>
      </c>
      <c r="I1319">
        <v>2.15</v>
      </c>
      <c r="J1319">
        <f t="shared" si="392"/>
        <v>2.66</v>
      </c>
      <c r="K1319" s="6">
        <f t="shared" si="393"/>
        <v>2.68</v>
      </c>
      <c r="L1319" s="6">
        <f t="shared" si="394"/>
        <v>1.0000000000000231E-2</v>
      </c>
      <c r="M1319">
        <v>2.7015765035267001</v>
      </c>
      <c r="N1319">
        <v>344250</v>
      </c>
      <c r="O1319" s="18">
        <f>ROUND(N1319/VLOOKUP(EOMONTH(A1319,-1),Employment!A:P,16,FALSE),4)</f>
        <v>1.7708999999999999</v>
      </c>
      <c r="P1319" s="18">
        <f t="shared" si="384"/>
        <v>1.782</v>
      </c>
      <c r="Q1319" s="29">
        <f t="shared" si="385"/>
        <v>-0.1893</v>
      </c>
      <c r="R1319" s="29">
        <f t="shared" si="386"/>
        <v>1.2999999999999999E-2</v>
      </c>
      <c r="S1319">
        <v>2820000</v>
      </c>
      <c r="T1319" s="18">
        <f>ROUND((S1319/7)/VLOOKUP(EOMONTH(A1319,-1),Employment!A:P,16,FALSE),4)</f>
        <v>2.0722999999999998</v>
      </c>
      <c r="U1319" s="18">
        <f t="shared" si="387"/>
        <v>2.0476000000000001</v>
      </c>
      <c r="V1319" s="29">
        <f t="shared" si="388"/>
        <v>-0.18240000000000001</v>
      </c>
      <c r="W1319" s="29">
        <f t="shared" si="389"/>
        <v>2.5999999999999999E-3</v>
      </c>
      <c r="X1319" s="30">
        <f t="shared" si="390"/>
        <v>136.06</v>
      </c>
      <c r="Y1319" s="31">
        <f t="shared" si="391"/>
        <v>131.22999999999999</v>
      </c>
    </row>
    <row r="1320" spans="1:25" ht="15" customHeight="1" x14ac:dyDescent="0.25">
      <c r="A1320" s="5">
        <v>34105</v>
      </c>
      <c r="B1320">
        <v>585.69330000000002</v>
      </c>
      <c r="C1320" s="29">
        <f t="shared" si="395"/>
        <v>0</v>
      </c>
      <c r="D1320">
        <v>-0.9</v>
      </c>
      <c r="E1320" s="11">
        <v>-0.01</v>
      </c>
      <c r="F1320" s="18">
        <f t="shared" si="382"/>
        <v>0</v>
      </c>
      <c r="G1320" s="18">
        <f t="shared" si="383"/>
        <v>0.30000000000000071</v>
      </c>
      <c r="H1320">
        <v>3.16</v>
      </c>
      <c r="I1320">
        <v>2.2000000000000002</v>
      </c>
      <c r="J1320">
        <f t="shared" si="392"/>
        <v>2.68</v>
      </c>
      <c r="K1320" s="6">
        <f t="shared" si="393"/>
        <v>2.67</v>
      </c>
      <c r="L1320" s="6">
        <f t="shared" si="394"/>
        <v>0</v>
      </c>
      <c r="M1320">
        <v>2.8824696279605999</v>
      </c>
      <c r="N1320">
        <v>345750</v>
      </c>
      <c r="O1320" s="18">
        <f>ROUND(N1320/VLOOKUP(EOMONTH(A1320,-1),Employment!A:P,16,FALSE),4)</f>
        <v>1.7786</v>
      </c>
      <c r="P1320" s="18">
        <f t="shared" si="384"/>
        <v>1.8</v>
      </c>
      <c r="Q1320" s="29">
        <f t="shared" si="385"/>
        <v>-0.17910000000000001</v>
      </c>
      <c r="R1320" s="29">
        <f t="shared" si="386"/>
        <v>2.5999999999999999E-3</v>
      </c>
      <c r="S1320">
        <v>2747000</v>
      </c>
      <c r="T1320" s="18">
        <f>ROUND((S1320/7)/VLOOKUP(EOMONTH(A1320,-1),Employment!A:P,16,FALSE),4)</f>
        <v>2.0186999999999999</v>
      </c>
      <c r="U1320" s="18">
        <f t="shared" si="387"/>
        <v>2.0427</v>
      </c>
      <c r="V1320" s="29">
        <f t="shared" si="388"/>
        <v>-0.18310000000000001</v>
      </c>
      <c r="W1320" s="29">
        <f t="shared" si="389"/>
        <v>-5.8999999999999999E-3</v>
      </c>
      <c r="X1320" s="30">
        <f t="shared" si="390"/>
        <v>128.28</v>
      </c>
      <c r="Y1320" s="31">
        <f t="shared" si="391"/>
        <v>127.33</v>
      </c>
    </row>
    <row r="1321" spans="1:25" ht="15" customHeight="1" x14ac:dyDescent="0.25">
      <c r="A1321" s="5">
        <v>34098</v>
      </c>
      <c r="B1321">
        <v>586.28779999999995</v>
      </c>
      <c r="C1321" s="29">
        <f t="shared" si="395"/>
        <v>-1E-4</v>
      </c>
      <c r="D1321">
        <v>-0.9</v>
      </c>
      <c r="E1321" s="11">
        <v>-0.01</v>
      </c>
      <c r="F1321" s="18">
        <f t="shared" si="382"/>
        <v>9.9999999999999645E-2</v>
      </c>
      <c r="G1321" s="18">
        <f t="shared" si="383"/>
        <v>0.5</v>
      </c>
      <c r="H1321">
        <v>3.16</v>
      </c>
      <c r="I1321">
        <v>2.2200000000000002</v>
      </c>
      <c r="J1321">
        <f t="shared" si="392"/>
        <v>2.69</v>
      </c>
      <c r="K1321" s="6">
        <f t="shared" si="393"/>
        <v>2.67</v>
      </c>
      <c r="L1321" s="6">
        <f t="shared" si="394"/>
        <v>9.9999999999997868E-3</v>
      </c>
      <c r="M1321">
        <v>3.9937813569309002</v>
      </c>
      <c r="N1321">
        <v>349250</v>
      </c>
      <c r="O1321" s="18">
        <f>ROUND(N1321/VLOOKUP(EOMONTH(A1321,-1),Employment!A:P,16,FALSE),4)</f>
        <v>1.7966</v>
      </c>
      <c r="P1321" s="18">
        <f t="shared" si="384"/>
        <v>1.8228</v>
      </c>
      <c r="Q1321" s="29">
        <f t="shared" si="385"/>
        <v>-0.16439999999999999</v>
      </c>
      <c r="R1321" s="29">
        <f t="shared" si="386"/>
        <v>-2E-3</v>
      </c>
      <c r="S1321">
        <v>2792000</v>
      </c>
      <c r="T1321" s="18">
        <f>ROUND((S1321/7)/VLOOKUP(EOMONTH(A1321,-1),Employment!A:P,16,FALSE),4)</f>
        <v>2.0518000000000001</v>
      </c>
      <c r="U1321" s="18">
        <f t="shared" si="387"/>
        <v>2.0514999999999999</v>
      </c>
      <c r="V1321" s="29">
        <f t="shared" si="388"/>
        <v>-0.17080000000000001</v>
      </c>
      <c r="W1321" s="29">
        <f t="shared" si="389"/>
        <v>-6.7000000000000002E-3</v>
      </c>
      <c r="X1321" s="30">
        <f t="shared" si="390"/>
        <v>126.52000000000001</v>
      </c>
      <c r="Y1321" s="31">
        <f t="shared" si="391"/>
        <v>127.87</v>
      </c>
    </row>
    <row r="1322" spans="1:25" ht="15" customHeight="1" x14ac:dyDescent="0.25">
      <c r="A1322" s="5">
        <v>34091</v>
      </c>
      <c r="B1322">
        <v>585.23720000000003</v>
      </c>
      <c r="C1322" s="29">
        <f t="shared" si="395"/>
        <v>-4.1000000000000003E-3</v>
      </c>
      <c r="D1322">
        <v>-0.89</v>
      </c>
      <c r="E1322" s="11">
        <v>-0.01</v>
      </c>
      <c r="F1322" s="18">
        <f t="shared" si="382"/>
        <v>0.20000000000000107</v>
      </c>
      <c r="G1322" s="18">
        <f t="shared" si="383"/>
        <v>0.60000000000000142</v>
      </c>
      <c r="H1322">
        <v>3.16</v>
      </c>
      <c r="I1322">
        <v>2.12</v>
      </c>
      <c r="J1322">
        <f t="shared" si="392"/>
        <v>2.64</v>
      </c>
      <c r="K1322" s="6">
        <f t="shared" si="393"/>
        <v>2.66</v>
      </c>
      <c r="L1322" s="6">
        <f t="shared" si="394"/>
        <v>-2.0000000000000018E-2</v>
      </c>
      <c r="M1322">
        <v>3.8408499699173002</v>
      </c>
      <c r="N1322">
        <v>354750</v>
      </c>
      <c r="O1322" s="18">
        <f>ROUND(N1322/VLOOKUP(EOMONTH(A1322,-1),Employment!A:P,16,FALSE),4)</f>
        <v>1.8249</v>
      </c>
      <c r="P1322" s="18">
        <f t="shared" si="384"/>
        <v>1.8340000000000001</v>
      </c>
      <c r="Q1322" s="29">
        <f t="shared" si="385"/>
        <v>-0.1583</v>
      </c>
      <c r="R1322" s="29">
        <f t="shared" si="386"/>
        <v>1.1999999999999999E-3</v>
      </c>
      <c r="S1322">
        <v>2800000</v>
      </c>
      <c r="T1322" s="18">
        <f>ROUND((S1322/7)/VLOOKUP(EOMONTH(A1322,-1),Employment!A:P,16,FALSE),4)</f>
        <v>2.0575999999999999</v>
      </c>
      <c r="U1322" s="18">
        <f t="shared" si="387"/>
        <v>2.0366</v>
      </c>
      <c r="V1322" s="29">
        <f t="shared" si="388"/>
        <v>-0.17860000000000001</v>
      </c>
      <c r="W1322" s="29">
        <f t="shared" si="389"/>
        <v>-1E-3</v>
      </c>
      <c r="X1322" s="30">
        <f t="shared" si="390"/>
        <v>126.97999999999999</v>
      </c>
      <c r="Y1322" s="31">
        <f t="shared" si="391"/>
        <v>130.37</v>
      </c>
    </row>
    <row r="1323" spans="1:25" ht="15" customHeight="1" x14ac:dyDescent="0.25">
      <c r="A1323" s="5">
        <v>34084</v>
      </c>
      <c r="B1323">
        <v>584.73839999999996</v>
      </c>
      <c r="C1323" s="29">
        <f t="shared" si="395"/>
        <v>-8.3000000000000001E-3</v>
      </c>
      <c r="D1323">
        <v>-0.87</v>
      </c>
      <c r="E1323" s="11">
        <v>-0.01</v>
      </c>
      <c r="F1323" s="18">
        <f t="shared" si="382"/>
        <v>0.19999999999999929</v>
      </c>
      <c r="G1323" s="18">
        <f t="shared" si="383"/>
        <v>0.59999999999999787</v>
      </c>
      <c r="H1323">
        <v>3.16</v>
      </c>
      <c r="I1323">
        <v>2.19</v>
      </c>
      <c r="J1323">
        <f t="shared" si="392"/>
        <v>2.68</v>
      </c>
      <c r="K1323" s="6">
        <f t="shared" si="393"/>
        <v>2.68</v>
      </c>
      <c r="L1323" s="6">
        <f t="shared" si="394"/>
        <v>1.0000000000000231E-2</v>
      </c>
      <c r="M1323">
        <v>4.3285018173602996</v>
      </c>
      <c r="N1323">
        <v>358750</v>
      </c>
      <c r="O1323" s="18">
        <f>ROUND(N1323/VLOOKUP(EOMONTH(A1323,-1),Employment!A:P,16,FALSE),4)</f>
        <v>1.8469</v>
      </c>
      <c r="P1323" s="18">
        <f t="shared" si="384"/>
        <v>1.8327</v>
      </c>
      <c r="Q1323" s="29">
        <f t="shared" si="385"/>
        <v>-0.1651</v>
      </c>
      <c r="R1323" s="29">
        <f t="shared" si="386"/>
        <v>1.3299999999999999E-2</v>
      </c>
      <c r="S1323">
        <v>2781000</v>
      </c>
      <c r="T1323" s="18">
        <f>ROUND((S1323/7)/VLOOKUP(EOMONTH(A1323,-1),Employment!A:P,16,FALSE),4)</f>
        <v>2.0451999999999999</v>
      </c>
      <c r="U1323" s="18">
        <f t="shared" si="387"/>
        <v>2.0188000000000001</v>
      </c>
      <c r="V1323" s="29">
        <f t="shared" si="388"/>
        <v>-0.1857</v>
      </c>
      <c r="W1323" s="29">
        <f t="shared" si="389"/>
        <v>9.2999999999999992E-3</v>
      </c>
      <c r="X1323" s="30">
        <f t="shared" si="390"/>
        <v>133.47</v>
      </c>
      <c r="Y1323" s="31">
        <f t="shared" si="391"/>
        <v>131.05000000000001</v>
      </c>
    </row>
    <row r="1324" spans="1:25" ht="15" customHeight="1" x14ac:dyDescent="0.25">
      <c r="A1324" s="5">
        <v>34077</v>
      </c>
      <c r="B1324">
        <v>586.58299999999997</v>
      </c>
      <c r="C1324" s="29">
        <f t="shared" si="395"/>
        <v>-7.6E-3</v>
      </c>
      <c r="D1324">
        <v>-0.85</v>
      </c>
      <c r="E1324" s="11">
        <v>-0.01</v>
      </c>
      <c r="F1324" s="18">
        <f t="shared" si="382"/>
        <v>0.20000000000000107</v>
      </c>
      <c r="G1324" s="18">
        <f t="shared" si="383"/>
        <v>0.39999999999999858</v>
      </c>
      <c r="H1324">
        <v>3.16</v>
      </c>
      <c r="I1324">
        <v>2.16</v>
      </c>
      <c r="J1324">
        <f t="shared" si="392"/>
        <v>2.66</v>
      </c>
      <c r="K1324" s="6">
        <f t="shared" si="393"/>
        <v>2.67</v>
      </c>
      <c r="L1324" s="6">
        <f t="shared" si="394"/>
        <v>0</v>
      </c>
      <c r="M1324">
        <v>4.6300287825183002</v>
      </c>
      <c r="N1324">
        <v>355500</v>
      </c>
      <c r="O1324" s="18">
        <f>ROUND(N1324/VLOOKUP(EOMONTH(A1324,-1),Employment!A:P,16,FALSE),4)</f>
        <v>1.8301000000000001</v>
      </c>
      <c r="P1324" s="18">
        <f t="shared" si="384"/>
        <v>1.8193999999999999</v>
      </c>
      <c r="Q1324" s="29">
        <f t="shared" si="385"/>
        <v>-0.17910000000000001</v>
      </c>
      <c r="R1324" s="29">
        <f t="shared" si="386"/>
        <v>8.6999999999999994E-3</v>
      </c>
      <c r="S1324">
        <v>2729000</v>
      </c>
      <c r="T1324" s="18">
        <f>ROUND((S1324/7)/VLOOKUP(EOMONTH(A1324,-1),Employment!A:P,16,FALSE),4)</f>
        <v>2.0070000000000001</v>
      </c>
      <c r="U1324" s="18">
        <f t="shared" si="387"/>
        <v>2.0047999999999999</v>
      </c>
      <c r="V1324" s="29">
        <f t="shared" si="388"/>
        <v>-0.19589999999999999</v>
      </c>
      <c r="W1324" s="29">
        <f t="shared" si="389"/>
        <v>7.4999999999999997E-3</v>
      </c>
      <c r="X1324" s="30">
        <f t="shared" si="390"/>
        <v>131.07</v>
      </c>
      <c r="Y1324" s="31">
        <f t="shared" si="391"/>
        <v>127.45</v>
      </c>
    </row>
    <row r="1325" spans="1:25" ht="15" customHeight="1" x14ac:dyDescent="0.25">
      <c r="A1325" s="5">
        <v>34070</v>
      </c>
      <c r="B1325">
        <v>588.7654</v>
      </c>
      <c r="C1325" s="29">
        <f t="shared" si="395"/>
        <v>-5.7000000000000002E-3</v>
      </c>
      <c r="D1325">
        <v>-0.83</v>
      </c>
      <c r="E1325" s="11">
        <v>-0.01</v>
      </c>
      <c r="F1325" s="18">
        <f t="shared" si="382"/>
        <v>0.19999999999999751</v>
      </c>
      <c r="G1325" s="18">
        <f t="shared" si="383"/>
        <v>0.19999999999999751</v>
      </c>
      <c r="H1325">
        <v>3.16</v>
      </c>
      <c r="I1325">
        <v>2.21</v>
      </c>
      <c r="J1325">
        <f t="shared" si="392"/>
        <v>2.69</v>
      </c>
      <c r="K1325" s="6">
        <f t="shared" si="393"/>
        <v>2.67</v>
      </c>
      <c r="L1325" s="6">
        <f t="shared" si="394"/>
        <v>9.9999999999997868E-3</v>
      </c>
      <c r="M1325">
        <v>4.1473777667703997</v>
      </c>
      <c r="N1325">
        <v>353750</v>
      </c>
      <c r="O1325" s="18">
        <f>ROUND(N1325/VLOOKUP(EOMONTH(A1325,-1),Employment!A:P,16,FALSE),4)</f>
        <v>1.8210999999999999</v>
      </c>
      <c r="P1325" s="18">
        <f t="shared" si="384"/>
        <v>1.8104</v>
      </c>
      <c r="Q1325" s="29">
        <v>-0.15</v>
      </c>
      <c r="R1325" s="29">
        <f t="shared" si="386"/>
        <v>0</v>
      </c>
      <c r="S1325">
        <v>2725000</v>
      </c>
      <c r="T1325" s="18">
        <f>ROUND((S1325/7)/VLOOKUP(EOMONTH(A1325,-1),Employment!A:P,16,FALSE),4)</f>
        <v>2.0041000000000002</v>
      </c>
      <c r="U1325" s="18">
        <f t="shared" si="387"/>
        <v>1.9781</v>
      </c>
      <c r="V1325" s="29">
        <f t="shared" si="388"/>
        <v>-0.17580000000000001</v>
      </c>
      <c r="W1325" s="29">
        <f t="shared" si="389"/>
        <v>4.7000000000000002E-3</v>
      </c>
      <c r="X1325" s="30">
        <f t="shared" si="390"/>
        <v>124.96000000000001</v>
      </c>
      <c r="Y1325" s="31">
        <f t="shared" si="391"/>
        <v>124.78</v>
      </c>
    </row>
    <row r="1326" spans="1:25" ht="15" customHeight="1" x14ac:dyDescent="0.25">
      <c r="A1326" s="5">
        <v>34063</v>
      </c>
      <c r="B1326">
        <v>590.50909999999999</v>
      </c>
      <c r="C1326" s="29">
        <f t="shared" si="395"/>
        <v>-3.5000000000000001E-3</v>
      </c>
      <c r="D1326">
        <v>-0.81</v>
      </c>
      <c r="E1326" s="11">
        <v>-0.01</v>
      </c>
      <c r="F1326" s="18">
        <f t="shared" si="382"/>
        <v>0</v>
      </c>
      <c r="G1326" s="18">
        <f t="shared" si="383"/>
        <v>-9.9999999999997868E-2</v>
      </c>
      <c r="H1326">
        <v>3.16</v>
      </c>
      <c r="I1326">
        <v>2.15</v>
      </c>
      <c r="J1326">
        <f t="shared" si="392"/>
        <v>2.66</v>
      </c>
      <c r="K1326" s="6">
        <f t="shared" si="393"/>
        <v>2.66</v>
      </c>
      <c r="L1326" s="6">
        <f t="shared" si="394"/>
        <v>1.0000000000000231E-2</v>
      </c>
      <c r="M1326">
        <v>3.9339648303398</v>
      </c>
      <c r="N1326">
        <v>351000</v>
      </c>
      <c r="O1326" s="18">
        <f>ROUND(N1326/VLOOKUP(EOMONTH(A1326,-1),Employment!A:P,16,FALSE),4)</f>
        <v>1.8069999999999999</v>
      </c>
      <c r="P1326" s="18">
        <f t="shared" si="384"/>
        <v>1.81</v>
      </c>
      <c r="Q1326" s="29">
        <v>-0.15</v>
      </c>
      <c r="R1326" s="29">
        <f t="shared" si="386"/>
        <v>0</v>
      </c>
      <c r="S1326">
        <v>2724000</v>
      </c>
      <c r="T1326" s="18">
        <f>ROUND((S1326/7)/VLOOKUP(EOMONTH(A1326,-1),Employment!A:P,16,FALSE),4)</f>
        <v>2.0032999999999999</v>
      </c>
      <c r="U1326" s="18">
        <f t="shared" si="387"/>
        <v>1.9681999999999999</v>
      </c>
      <c r="V1326" s="29">
        <f t="shared" si="388"/>
        <v>-0.1799</v>
      </c>
      <c r="W1326" s="29">
        <f t="shared" si="389"/>
        <v>3.0000000000000001E-3</v>
      </c>
      <c r="X1326" s="30">
        <f t="shared" si="390"/>
        <v>124.63</v>
      </c>
      <c r="Y1326" s="31">
        <f t="shared" si="391"/>
        <v>124.83</v>
      </c>
    </row>
    <row r="1327" spans="1:25" ht="15" customHeight="1" x14ac:dyDescent="0.25">
      <c r="A1327" s="5">
        <v>34056</v>
      </c>
      <c r="B1327">
        <v>592.61469999999997</v>
      </c>
      <c r="C1327" s="29">
        <f t="shared" si="395"/>
        <v>-5.0000000000000001E-4</v>
      </c>
      <c r="D1327">
        <v>-0.81</v>
      </c>
      <c r="E1327" s="11">
        <v>-0.01</v>
      </c>
      <c r="F1327" s="18">
        <f t="shared" si="382"/>
        <v>0</v>
      </c>
      <c r="G1327" s="18">
        <f t="shared" si="383"/>
        <v>-0.29999999999999893</v>
      </c>
      <c r="H1327">
        <v>3.16</v>
      </c>
      <c r="I1327">
        <v>2.14</v>
      </c>
      <c r="J1327">
        <f t="shared" si="392"/>
        <v>2.65</v>
      </c>
      <c r="K1327" s="6">
        <f t="shared" si="393"/>
        <v>2.65</v>
      </c>
      <c r="L1327" s="6">
        <f t="shared" si="394"/>
        <v>-1.0000000000000231E-2</v>
      </c>
      <c r="M1327">
        <v>3.2763690978749</v>
      </c>
      <c r="N1327">
        <v>350000</v>
      </c>
      <c r="O1327" s="18">
        <f>ROUND(N1327/VLOOKUP(EOMONTH(A1327,-1),Employment!A:P,16,FALSE),4)</f>
        <v>1.8030999999999999</v>
      </c>
      <c r="P1327" s="18">
        <f t="shared" si="384"/>
        <v>1.8036000000000001</v>
      </c>
      <c r="Q1327" s="29">
        <v>-0.15</v>
      </c>
      <c r="R1327" s="29">
        <f t="shared" si="386"/>
        <v>0</v>
      </c>
      <c r="S1327">
        <v>2618000</v>
      </c>
      <c r="T1327" s="18">
        <f>ROUND((S1327/7)/VLOOKUP(EOMONTH(A1327,-1),Employment!A:P,16,FALSE),4)</f>
        <v>1.9268000000000001</v>
      </c>
      <c r="U1327" s="18">
        <f t="shared" si="387"/>
        <v>1.9493</v>
      </c>
      <c r="V1327" s="29">
        <v>-0.17</v>
      </c>
      <c r="W1327" s="29">
        <f t="shared" si="389"/>
        <v>0</v>
      </c>
      <c r="X1327" s="30">
        <f t="shared" si="390"/>
        <v>124.72999999999999</v>
      </c>
      <c r="Y1327" s="31">
        <f t="shared" si="391"/>
        <v>125.35</v>
      </c>
    </row>
    <row r="1328" spans="1:25" ht="15" customHeight="1" x14ac:dyDescent="0.25">
      <c r="A1328" s="5">
        <v>34049</v>
      </c>
      <c r="B1328">
        <v>592.52020000000005</v>
      </c>
      <c r="C1328" s="29">
        <f t="shared" si="395"/>
        <v>-1E-3</v>
      </c>
      <c r="D1328">
        <v>-0.81</v>
      </c>
      <c r="E1328" s="11">
        <v>-0.01</v>
      </c>
      <c r="F1328" s="18">
        <f t="shared" si="382"/>
        <v>-9.9999999999997868E-2</v>
      </c>
      <c r="G1328" s="18">
        <f t="shared" si="383"/>
        <v>-0.39999999999999858</v>
      </c>
      <c r="H1328">
        <v>3.16</v>
      </c>
      <c r="I1328">
        <v>2.1800000000000002</v>
      </c>
      <c r="J1328">
        <f t="shared" si="392"/>
        <v>2.67</v>
      </c>
      <c r="K1328" s="6">
        <f t="shared" si="393"/>
        <v>2.66</v>
      </c>
      <c r="L1328" s="6">
        <f t="shared" si="394"/>
        <v>0</v>
      </c>
      <c r="M1328">
        <v>4.1664200430112999</v>
      </c>
      <c r="N1328">
        <v>353250</v>
      </c>
      <c r="O1328" s="18">
        <f>ROUND(N1328/VLOOKUP(EOMONTH(A1328,-1),Employment!A:P,16,FALSE),4)</f>
        <v>1.8199000000000001</v>
      </c>
      <c r="P1328" s="18">
        <f t="shared" si="384"/>
        <v>1.7834000000000001</v>
      </c>
      <c r="Q1328" s="29">
        <v>-0.15</v>
      </c>
      <c r="R1328" s="29">
        <f t="shared" si="386"/>
        <v>0</v>
      </c>
      <c r="S1328">
        <v>2683000</v>
      </c>
      <c r="T1328" s="18">
        <f>ROUND((S1328/7)/VLOOKUP(EOMONTH(A1328,-1),Employment!A:P,16,FALSE),4)</f>
        <v>1.9745999999999999</v>
      </c>
      <c r="U1328" s="18">
        <f t="shared" si="387"/>
        <v>1.9561999999999999</v>
      </c>
      <c r="V1328" s="29">
        <v>-0.17</v>
      </c>
      <c r="W1328" s="29">
        <f t="shared" si="389"/>
        <v>0</v>
      </c>
      <c r="X1328" s="30">
        <f t="shared" si="390"/>
        <v>125.6</v>
      </c>
      <c r="Y1328" s="31">
        <f t="shared" si="391"/>
        <v>126</v>
      </c>
    </row>
    <row r="1329" spans="1:25" ht="15" customHeight="1" x14ac:dyDescent="0.25">
      <c r="A1329" s="5">
        <v>34042</v>
      </c>
      <c r="B1329">
        <v>592.91909999999996</v>
      </c>
      <c r="C1329" s="29">
        <f t="shared" si="395"/>
        <v>-1.6999999999999999E-3</v>
      </c>
      <c r="D1329">
        <v>-0.82</v>
      </c>
      <c r="E1329" s="11">
        <v>-0.01</v>
      </c>
      <c r="F1329" s="18">
        <f t="shared" si="382"/>
        <v>-0.20000000000000107</v>
      </c>
      <c r="G1329" s="18">
        <f t="shared" si="383"/>
        <v>-0.40000000000000036</v>
      </c>
      <c r="H1329">
        <v>3.16</v>
      </c>
      <c r="I1329">
        <v>2.09</v>
      </c>
      <c r="J1329">
        <f t="shared" si="392"/>
        <v>2.63</v>
      </c>
      <c r="K1329" s="6">
        <f t="shared" si="393"/>
        <v>2.66</v>
      </c>
      <c r="L1329" s="6">
        <f t="shared" si="394"/>
        <v>-9.9999999999997868E-3</v>
      </c>
      <c r="M1329">
        <v>4.2268824432554997</v>
      </c>
      <c r="N1329">
        <v>347000</v>
      </c>
      <c r="O1329" s="18">
        <f>ROUND(N1329/VLOOKUP(EOMONTH(A1329,-1),Employment!A:P,16,FALSE),4)</f>
        <v>1.7877000000000001</v>
      </c>
      <c r="P1329" s="18">
        <f t="shared" si="384"/>
        <v>1.7485999999999999</v>
      </c>
      <c r="Q1329" s="29">
        <v>-0.15</v>
      </c>
      <c r="R1329" s="29">
        <f t="shared" si="386"/>
        <v>0</v>
      </c>
      <c r="S1329">
        <v>2645000</v>
      </c>
      <c r="T1329" s="18">
        <f>ROUND((S1329/7)/VLOOKUP(EOMONTH(A1329,-1),Employment!A:P,16,FALSE),4)</f>
        <v>1.9466000000000001</v>
      </c>
      <c r="U1329" s="18">
        <f t="shared" si="387"/>
        <v>1.9432</v>
      </c>
      <c r="V1329" s="29">
        <v>-0.17</v>
      </c>
      <c r="W1329" s="29">
        <f t="shared" si="389"/>
        <v>0</v>
      </c>
      <c r="X1329" s="30">
        <f t="shared" si="390"/>
        <v>126.3</v>
      </c>
      <c r="Y1329" s="31">
        <f t="shared" si="391"/>
        <v>126.68</v>
      </c>
    </row>
    <row r="1330" spans="1:25" ht="15" customHeight="1" x14ac:dyDescent="0.25">
      <c r="A1330" s="5">
        <v>34035</v>
      </c>
      <c r="B1330">
        <v>592.21579999999994</v>
      </c>
      <c r="C1330" s="29">
        <f t="shared" si="395"/>
        <v>-4.7000000000000002E-3</v>
      </c>
      <c r="D1330">
        <v>-0.84</v>
      </c>
      <c r="E1330" s="11">
        <v>-0.01</v>
      </c>
      <c r="F1330" s="18">
        <f t="shared" si="382"/>
        <v>-9.9999999999999645E-2</v>
      </c>
      <c r="G1330" s="18">
        <f t="shared" si="383"/>
        <v>-0.29999999999999893</v>
      </c>
      <c r="H1330">
        <v>3.16</v>
      </c>
      <c r="I1330">
        <v>2.2000000000000002</v>
      </c>
      <c r="J1330">
        <f t="shared" si="392"/>
        <v>2.68</v>
      </c>
      <c r="K1330" s="6">
        <f t="shared" si="393"/>
        <v>2.67</v>
      </c>
      <c r="L1330" s="6">
        <f t="shared" si="394"/>
        <v>9.9999999999997868E-3</v>
      </c>
      <c r="M1330">
        <v>4.6000801596449996</v>
      </c>
      <c r="N1330">
        <v>338250</v>
      </c>
      <c r="O1330" s="18">
        <f>ROUND(N1330/VLOOKUP(EOMONTH(A1330,-1),Employment!A:P,16,FALSE),4)</f>
        <v>1.7425999999999999</v>
      </c>
      <c r="P1330" s="18">
        <f t="shared" si="384"/>
        <v>1.7202999999999999</v>
      </c>
      <c r="Q1330" s="29">
        <v>-0.15</v>
      </c>
      <c r="R1330" s="29">
        <f t="shared" si="386"/>
        <v>0</v>
      </c>
      <c r="S1330">
        <v>2646000</v>
      </c>
      <c r="T1330" s="18">
        <f>ROUND((S1330/7)/VLOOKUP(EOMONTH(A1330,-1),Employment!A:P,16,FALSE),4)</f>
        <v>1.9474</v>
      </c>
      <c r="U1330" s="18">
        <f t="shared" si="387"/>
        <v>1.9437</v>
      </c>
      <c r="V1330" s="29">
        <v>-0.17</v>
      </c>
      <c r="W1330" s="29">
        <f t="shared" si="389"/>
        <v>0</v>
      </c>
      <c r="X1330" s="30">
        <f t="shared" si="390"/>
        <v>126.25</v>
      </c>
      <c r="Y1330" s="31">
        <f t="shared" si="391"/>
        <v>127.36</v>
      </c>
    </row>
    <row r="1331" spans="1:25" ht="15" customHeight="1" x14ac:dyDescent="0.25">
      <c r="A1331" s="5">
        <v>34028</v>
      </c>
      <c r="B1331">
        <v>593.97050000000002</v>
      </c>
      <c r="C1331" s="29">
        <f t="shared" si="395"/>
        <v>-2.3999999999999998E-3</v>
      </c>
      <c r="D1331">
        <v>-0.85</v>
      </c>
      <c r="E1331" s="11">
        <v>-0.01</v>
      </c>
      <c r="F1331" s="18">
        <f t="shared" si="382"/>
        <v>-9.9999999999999645E-2</v>
      </c>
      <c r="G1331" s="18">
        <f t="shared" si="383"/>
        <v>-9.9999999999999645E-2</v>
      </c>
      <c r="H1331">
        <v>3.16</v>
      </c>
      <c r="I1331">
        <v>2.2000000000000002</v>
      </c>
      <c r="J1331">
        <f t="shared" si="392"/>
        <v>2.68</v>
      </c>
      <c r="K1331" s="6">
        <f t="shared" si="393"/>
        <v>2.66</v>
      </c>
      <c r="L1331" s="6">
        <f t="shared" si="394"/>
        <v>1.0000000000000231E-2</v>
      </c>
      <c r="M1331">
        <v>5.0950270775898998</v>
      </c>
      <c r="N1331">
        <v>332750</v>
      </c>
      <c r="O1331" s="18">
        <f>ROUND(N1331/VLOOKUP(EOMONTH(A1331,-1),Employment!A:P,16,FALSE),4)</f>
        <v>1.7155</v>
      </c>
      <c r="P1331" s="18">
        <f t="shared" si="384"/>
        <v>1.7202999999999999</v>
      </c>
      <c r="Q1331" s="29">
        <v>-0.15</v>
      </c>
      <c r="R1331" s="29">
        <f t="shared" si="386"/>
        <v>0</v>
      </c>
      <c r="S1331">
        <v>2628000</v>
      </c>
      <c r="T1331" s="18">
        <f>ROUND((S1331/7)/VLOOKUP(EOMONTH(A1331,-1),Employment!A:P,16,FALSE),4)</f>
        <v>1.9356</v>
      </c>
      <c r="U1331" s="18">
        <f t="shared" si="387"/>
        <v>1.9483999999999999</v>
      </c>
      <c r="V1331" s="29">
        <v>-0.17</v>
      </c>
      <c r="W1331" s="29">
        <f t="shared" si="389"/>
        <v>0</v>
      </c>
      <c r="X1331" s="30">
        <f t="shared" si="390"/>
        <v>128.72999999999999</v>
      </c>
      <c r="Y1331" s="31">
        <f t="shared" si="391"/>
        <v>127.86</v>
      </c>
    </row>
    <row r="1332" spans="1:25" ht="15" customHeight="1" x14ac:dyDescent="0.25">
      <c r="A1332" s="5">
        <v>34021</v>
      </c>
      <c r="B1332">
        <v>593.40060000000005</v>
      </c>
      <c r="C1332" s="29">
        <f t="shared" si="395"/>
        <v>-3.7000000000000002E-3</v>
      </c>
      <c r="D1332">
        <v>-0.86</v>
      </c>
      <c r="E1332" s="11">
        <v>-0.01</v>
      </c>
      <c r="F1332" s="18">
        <f t="shared" si="382"/>
        <v>-9.9999999999999645E-2</v>
      </c>
      <c r="G1332" s="18">
        <f t="shared" si="383"/>
        <v>0.19999999999999929</v>
      </c>
      <c r="H1332">
        <v>3.16</v>
      </c>
      <c r="I1332">
        <v>2.16</v>
      </c>
      <c r="J1332">
        <f t="shared" si="392"/>
        <v>2.66</v>
      </c>
      <c r="K1332" s="6">
        <f t="shared" si="393"/>
        <v>2.65</v>
      </c>
      <c r="L1332" s="6">
        <f t="shared" si="394"/>
        <v>9.9999999999997868E-3</v>
      </c>
      <c r="M1332">
        <v>3.5568862604349998</v>
      </c>
      <c r="N1332">
        <v>330250</v>
      </c>
      <c r="O1332" s="18">
        <f>ROUND(N1332/VLOOKUP(EOMONTH(A1332,-1),Employment!A:P,16,FALSE),4)</f>
        <v>1.7027000000000001</v>
      </c>
      <c r="P1332" s="18">
        <f t="shared" si="384"/>
        <v>1.7443</v>
      </c>
      <c r="Q1332" s="29">
        <v>-0.15</v>
      </c>
      <c r="R1332" s="29">
        <f t="shared" si="386"/>
        <v>0</v>
      </c>
      <c r="S1332">
        <v>2645000</v>
      </c>
      <c r="T1332" s="18">
        <f>ROUND((S1332/7)/VLOOKUP(EOMONTH(A1332,-1),Employment!A:P,16,FALSE),4)</f>
        <v>1.9480999999999999</v>
      </c>
      <c r="U1332" s="18">
        <f t="shared" si="387"/>
        <v>1.9726999999999999</v>
      </c>
      <c r="V1332" s="29">
        <v>-0.17</v>
      </c>
      <c r="W1332" s="29">
        <f t="shared" si="389"/>
        <v>0</v>
      </c>
      <c r="X1332" s="30">
        <f t="shared" si="390"/>
        <v>126.68</v>
      </c>
      <c r="Y1332" s="31">
        <f t="shared" si="391"/>
        <v>127.71</v>
      </c>
    </row>
    <row r="1333" spans="1:25" ht="15" customHeight="1" x14ac:dyDescent="0.25">
      <c r="A1333" s="5">
        <v>34014</v>
      </c>
      <c r="B1333">
        <v>596.19399999999996</v>
      </c>
      <c r="C1333" s="29">
        <f t="shared" si="395"/>
        <v>1.4E-3</v>
      </c>
      <c r="D1333">
        <v>-0.87</v>
      </c>
      <c r="E1333" s="11">
        <v>-0.01</v>
      </c>
      <c r="F1333" s="18">
        <f t="shared" si="382"/>
        <v>9.9999999999999645E-2</v>
      </c>
      <c r="G1333" s="18">
        <f t="shared" si="383"/>
        <v>0.5</v>
      </c>
      <c r="H1333">
        <v>3.16</v>
      </c>
      <c r="I1333">
        <v>2.09</v>
      </c>
      <c r="J1333">
        <f t="shared" si="392"/>
        <v>2.63</v>
      </c>
      <c r="K1333" s="6">
        <f t="shared" si="393"/>
        <v>2.64</v>
      </c>
      <c r="L1333" s="6">
        <f t="shared" si="394"/>
        <v>1.0000000000000231E-2</v>
      </c>
      <c r="M1333">
        <v>2.7984762721360998</v>
      </c>
      <c r="N1333">
        <v>338000</v>
      </c>
      <c r="O1333" s="18">
        <f>ROUND(N1333/VLOOKUP(EOMONTH(A1333,-1),Employment!A:P,16,FALSE),4)</f>
        <v>1.7425999999999999</v>
      </c>
      <c r="P1333" s="18">
        <f t="shared" si="384"/>
        <v>1.7737000000000001</v>
      </c>
      <c r="Q1333" s="29">
        <v>-0.15</v>
      </c>
      <c r="R1333" s="29">
        <f t="shared" si="386"/>
        <v>0</v>
      </c>
      <c r="S1333">
        <v>2663000</v>
      </c>
      <c r="T1333" s="18">
        <f>ROUND((S1333/7)/VLOOKUP(EOMONTH(A1333,-1),Employment!A:P,16,FALSE),4)</f>
        <v>1.9614</v>
      </c>
      <c r="U1333" s="18">
        <f t="shared" si="387"/>
        <v>1.9987999999999999</v>
      </c>
      <c r="V1333" s="29">
        <v>-0.17</v>
      </c>
      <c r="W1333" s="29">
        <f t="shared" si="389"/>
        <v>0</v>
      </c>
      <c r="X1333" s="30">
        <f t="shared" si="390"/>
        <v>128.65</v>
      </c>
      <c r="Y1333" s="31">
        <f t="shared" si="391"/>
        <v>128.4</v>
      </c>
    </row>
    <row r="1334" spans="1:25" ht="15" customHeight="1" x14ac:dyDescent="0.25">
      <c r="A1334" s="5">
        <v>34007</v>
      </c>
      <c r="B1334">
        <v>596.40740000000005</v>
      </c>
      <c r="C1334" s="29">
        <f t="shared" si="395"/>
        <v>2E-3</v>
      </c>
      <c r="D1334">
        <v>-0.86</v>
      </c>
      <c r="E1334" s="11">
        <v>-0.01</v>
      </c>
      <c r="F1334" s="18">
        <f t="shared" si="382"/>
        <v>0.19999999999999929</v>
      </c>
      <c r="G1334" s="18">
        <f t="shared" si="383"/>
        <v>0.59999999999999964</v>
      </c>
      <c r="H1334">
        <v>3.16</v>
      </c>
      <c r="I1334">
        <v>2.14</v>
      </c>
      <c r="J1334">
        <f t="shared" si="392"/>
        <v>2.65</v>
      </c>
      <c r="K1334" s="6">
        <f t="shared" si="393"/>
        <v>2.63</v>
      </c>
      <c r="L1334" s="6">
        <f t="shared" si="394"/>
        <v>9.9999999999997868E-3</v>
      </c>
      <c r="M1334">
        <v>1.8387756600012</v>
      </c>
      <c r="N1334">
        <v>346750</v>
      </c>
      <c r="O1334" s="18">
        <f>ROUND(N1334/VLOOKUP(EOMONTH(A1334,-1),Employment!A:P,16,FALSE),4)</f>
        <v>1.7877000000000001</v>
      </c>
      <c r="P1334" s="18">
        <f t="shared" si="384"/>
        <v>1.7776000000000001</v>
      </c>
      <c r="Q1334" s="29">
        <v>-0.15</v>
      </c>
      <c r="R1334" s="29">
        <f t="shared" si="386"/>
        <v>0</v>
      </c>
      <c r="S1334">
        <v>2727000</v>
      </c>
      <c r="T1334" s="18">
        <f>ROUND((S1334/7)/VLOOKUP(EOMONTH(A1334,-1),Employment!A:P,16,FALSE),4)</f>
        <v>2.0085000000000002</v>
      </c>
      <c r="U1334" s="18">
        <f t="shared" si="387"/>
        <v>2.0078</v>
      </c>
      <c r="V1334" s="29">
        <v>-0.17</v>
      </c>
      <c r="W1334" s="29">
        <f t="shared" si="389"/>
        <v>0</v>
      </c>
      <c r="X1334" s="30">
        <f t="shared" si="390"/>
        <v>127.94</v>
      </c>
      <c r="Y1334" s="31">
        <f t="shared" si="391"/>
        <v>128.31</v>
      </c>
    </row>
    <row r="1335" spans="1:25" ht="15" customHeight="1" x14ac:dyDescent="0.25">
      <c r="A1335" s="5">
        <v>34000</v>
      </c>
      <c r="B1335">
        <v>595.51199999999994</v>
      </c>
      <c r="C1335" s="29">
        <f t="shared" si="395"/>
        <v>5.0000000000000001E-4</v>
      </c>
      <c r="D1335">
        <v>-0.84</v>
      </c>
      <c r="E1335" s="11">
        <v>-0.01</v>
      </c>
      <c r="F1335" s="18">
        <f t="shared" si="382"/>
        <v>0.20000000000000107</v>
      </c>
      <c r="G1335" s="18">
        <f t="shared" si="383"/>
        <v>0.70000000000000018</v>
      </c>
      <c r="H1335">
        <v>3.16</v>
      </c>
      <c r="I1335">
        <v>2.11</v>
      </c>
      <c r="J1335">
        <f t="shared" si="392"/>
        <v>2.64</v>
      </c>
      <c r="K1335" s="6">
        <f t="shared" si="393"/>
        <v>2.62</v>
      </c>
      <c r="L1335" s="6">
        <f t="shared" si="394"/>
        <v>1.0000000000000231E-2</v>
      </c>
      <c r="M1335">
        <v>2.7847093142245001</v>
      </c>
      <c r="N1335">
        <v>347000</v>
      </c>
      <c r="O1335" s="18">
        <f>ROUND(N1335/VLOOKUP(EOMONTH(A1335,-1),Employment!A:P,16,FALSE),4)</f>
        <v>1.7907</v>
      </c>
      <c r="P1335" s="18">
        <f t="shared" si="384"/>
        <v>1.7587999999999999</v>
      </c>
      <c r="Q1335" s="29">
        <v>-0.15</v>
      </c>
      <c r="R1335" s="29">
        <f t="shared" si="386"/>
        <v>0</v>
      </c>
      <c r="S1335">
        <v>2749000</v>
      </c>
      <c r="T1335" s="18">
        <f>ROUND((S1335/7)/VLOOKUP(EOMONTH(A1335,-1),Employment!A:P,16,FALSE),4)</f>
        <v>2.0266000000000002</v>
      </c>
      <c r="U1335" s="18">
        <f t="shared" si="387"/>
        <v>2.0089000000000001</v>
      </c>
      <c r="V1335" s="29">
        <v>-0.17</v>
      </c>
      <c r="W1335" s="29">
        <f t="shared" si="389"/>
        <v>0</v>
      </c>
      <c r="X1335" s="30">
        <f t="shared" si="390"/>
        <v>128.9</v>
      </c>
      <c r="Y1335" s="31">
        <f t="shared" si="391"/>
        <v>128.38</v>
      </c>
    </row>
    <row r="1336" spans="1:25" ht="15" customHeight="1" x14ac:dyDescent="0.25">
      <c r="A1336" s="5">
        <v>33993</v>
      </c>
      <c r="B1336">
        <v>594.37639999999999</v>
      </c>
      <c r="C1336" s="29">
        <f t="shared" si="395"/>
        <v>-2.5999999999999999E-3</v>
      </c>
      <c r="D1336">
        <v>-0.82</v>
      </c>
      <c r="E1336" s="11">
        <v>-0.01</v>
      </c>
      <c r="F1336" s="18">
        <f t="shared" si="382"/>
        <v>0.19999999999999929</v>
      </c>
      <c r="G1336" s="18">
        <f t="shared" si="383"/>
        <v>0.59999999999999964</v>
      </c>
      <c r="H1336">
        <v>3.16</v>
      </c>
      <c r="I1336">
        <v>2.06</v>
      </c>
      <c r="J1336">
        <f t="shared" si="392"/>
        <v>2.61</v>
      </c>
      <c r="K1336" s="6">
        <f t="shared" si="393"/>
        <v>2.61</v>
      </c>
      <c r="L1336" s="6">
        <f t="shared" si="394"/>
        <v>0</v>
      </c>
      <c r="M1336">
        <v>3.1382362401114001</v>
      </c>
      <c r="N1336">
        <v>340000</v>
      </c>
      <c r="O1336" s="18">
        <f>ROUND(N1336/VLOOKUP(EOMONTH(A1336,-1),Employment!A:P,16,FALSE),4)</f>
        <v>1.7544999999999999</v>
      </c>
      <c r="P1336" s="18">
        <f t="shared" si="384"/>
        <v>1.7412000000000001</v>
      </c>
      <c r="Q1336" s="29">
        <v>-0.15</v>
      </c>
      <c r="R1336" s="29">
        <f t="shared" si="386"/>
        <v>0</v>
      </c>
      <c r="S1336">
        <v>2697000</v>
      </c>
      <c r="T1336" s="18">
        <f>ROUND((S1336/7)/VLOOKUP(EOMONTH(A1336,-1),Employment!A:P,16,FALSE),4)</f>
        <v>1.9882</v>
      </c>
      <c r="U1336" s="18">
        <f t="shared" si="387"/>
        <v>2.0213999999999999</v>
      </c>
      <c r="V1336" s="29">
        <v>-0.17</v>
      </c>
      <c r="W1336" s="29">
        <f t="shared" si="389"/>
        <v>0</v>
      </c>
      <c r="X1336" s="30">
        <f t="shared" si="390"/>
        <v>127.75999999999999</v>
      </c>
      <c r="Y1336" s="31">
        <f t="shared" si="391"/>
        <v>128.41999999999999</v>
      </c>
    </row>
    <row r="1337" spans="1:25" ht="15" customHeight="1" x14ac:dyDescent="0.25">
      <c r="A1337" s="5">
        <v>33986</v>
      </c>
      <c r="B1337">
        <v>595.17460000000005</v>
      </c>
      <c r="C1337" s="29">
        <f t="shared" si="395"/>
        <v>-2E-3</v>
      </c>
      <c r="D1337">
        <v>-0.8</v>
      </c>
      <c r="E1337" s="11">
        <v>-0.01</v>
      </c>
      <c r="F1337" s="18">
        <f t="shared" si="382"/>
        <v>0.29999999999999982</v>
      </c>
      <c r="G1337" s="18">
        <f t="shared" si="383"/>
        <v>0.59999999999999964</v>
      </c>
      <c r="H1337">
        <v>3.16</v>
      </c>
      <c r="I1337">
        <v>2.06</v>
      </c>
      <c r="J1337">
        <f t="shared" si="392"/>
        <v>2.61</v>
      </c>
      <c r="K1337" s="6">
        <f t="shared" si="393"/>
        <v>2.61</v>
      </c>
      <c r="L1337" s="6">
        <f t="shared" si="394"/>
        <v>0</v>
      </c>
      <c r="M1337">
        <v>3.7856772272993999</v>
      </c>
      <c r="N1337">
        <v>335500</v>
      </c>
      <c r="O1337" s="18">
        <f>ROUND(N1337/VLOOKUP(EOMONTH(A1337,-1),Employment!A:P,16,FALSE),4)</f>
        <v>1.7313000000000001</v>
      </c>
      <c r="P1337" s="18">
        <f t="shared" si="384"/>
        <v>1.7395</v>
      </c>
      <c r="Q1337" s="29">
        <v>-0.15</v>
      </c>
      <c r="R1337" s="29">
        <f t="shared" si="386"/>
        <v>0</v>
      </c>
      <c r="S1337">
        <v>2729000</v>
      </c>
      <c r="T1337" s="18">
        <f>ROUND((S1337/7)/VLOOKUP(EOMONTH(A1337,-1),Employment!A:P,16,FALSE),4)</f>
        <v>2.0118</v>
      </c>
      <c r="U1337" s="18">
        <f t="shared" si="387"/>
        <v>2.0392999999999999</v>
      </c>
      <c r="V1337" s="29">
        <v>-0.17</v>
      </c>
      <c r="W1337" s="29">
        <f t="shared" si="389"/>
        <v>0</v>
      </c>
      <c r="X1337" s="30">
        <f t="shared" si="390"/>
        <v>128.63999999999999</v>
      </c>
      <c r="Y1337" s="31">
        <f t="shared" si="391"/>
        <v>128.84</v>
      </c>
    </row>
    <row r="1338" spans="1:25" ht="15" customHeight="1" x14ac:dyDescent="0.25">
      <c r="A1338" s="5">
        <v>33979</v>
      </c>
      <c r="B1338">
        <v>595.77890000000002</v>
      </c>
      <c r="C1338" s="29">
        <f t="shared" si="395"/>
        <v>-1.8E-3</v>
      </c>
      <c r="D1338">
        <v>-0.77</v>
      </c>
      <c r="E1338" s="11">
        <v>-0.01</v>
      </c>
      <c r="F1338" s="18">
        <f t="shared" si="382"/>
        <v>0.10000000000000053</v>
      </c>
      <c r="G1338" s="18">
        <f t="shared" si="383"/>
        <v>0.60000000000000053</v>
      </c>
      <c r="H1338">
        <v>3.16</v>
      </c>
      <c r="I1338">
        <v>2.04</v>
      </c>
      <c r="J1338">
        <f t="shared" si="392"/>
        <v>2.6</v>
      </c>
      <c r="K1338" s="6">
        <f t="shared" si="393"/>
        <v>2.61</v>
      </c>
      <c r="L1338" s="6">
        <f t="shared" si="394"/>
        <v>0</v>
      </c>
      <c r="M1338">
        <v>5.0883282862480996</v>
      </c>
      <c r="N1338">
        <v>336750</v>
      </c>
      <c r="O1338" s="18">
        <f>ROUND(N1338/VLOOKUP(EOMONTH(A1338,-1),Employment!A:P,16,FALSE),4)</f>
        <v>1.7378</v>
      </c>
      <c r="P1338" s="18">
        <f t="shared" si="384"/>
        <v>1.7581</v>
      </c>
      <c r="Q1338" s="29">
        <v>-0.15</v>
      </c>
      <c r="R1338" s="29">
        <f t="shared" si="386"/>
        <v>0</v>
      </c>
      <c r="S1338">
        <v>2800000</v>
      </c>
      <c r="T1338" s="18">
        <f>ROUND((S1338/7)/VLOOKUP(EOMONTH(A1338,-1),Employment!A:P,16,FALSE),4)</f>
        <v>2.0642</v>
      </c>
      <c r="U1338" s="18">
        <f t="shared" si="387"/>
        <v>2.0590999999999999</v>
      </c>
      <c r="V1338" s="29">
        <v>-0.17</v>
      </c>
      <c r="W1338" s="29">
        <f t="shared" si="389"/>
        <v>0</v>
      </c>
      <c r="X1338" s="30">
        <f t="shared" si="390"/>
        <v>129.53</v>
      </c>
      <c r="Y1338" s="31">
        <f t="shared" si="391"/>
        <v>128.47999999999999</v>
      </c>
    </row>
    <row r="1339" spans="1:25" ht="15" customHeight="1" x14ac:dyDescent="0.25">
      <c r="A1339" s="5">
        <v>33972</v>
      </c>
      <c r="B1339">
        <v>595.59469999999999</v>
      </c>
      <c r="C1339" s="29">
        <f t="shared" si="395"/>
        <v>-3.0999999999999999E-3</v>
      </c>
      <c r="D1339">
        <v>-0.76</v>
      </c>
      <c r="E1339" s="11">
        <v>-0.01</v>
      </c>
      <c r="F1339" s="18">
        <f t="shared" si="382"/>
        <v>0.19999999999999929</v>
      </c>
      <c r="G1339" s="18">
        <f t="shared" si="383"/>
        <v>0.79999999999999893</v>
      </c>
      <c r="H1339">
        <v>3.16</v>
      </c>
      <c r="I1339">
        <v>2.06</v>
      </c>
      <c r="J1339">
        <f t="shared" si="392"/>
        <v>2.61</v>
      </c>
      <c r="K1339" s="6">
        <f t="shared" si="393"/>
        <v>2.61</v>
      </c>
      <c r="L1339" s="6">
        <f t="shared" si="394"/>
        <v>9.9999999999997868E-3</v>
      </c>
      <c r="M1339">
        <v>4.2162534449158997</v>
      </c>
      <c r="N1339">
        <v>339000</v>
      </c>
      <c r="O1339" s="18">
        <f>ROUND(N1339/VLOOKUP(EOMONTH(A1339,-1),Employment!A:P,16,FALSE),4)</f>
        <v>1.7494000000000001</v>
      </c>
      <c r="P1339" s="18">
        <f t="shared" si="384"/>
        <v>1.7844</v>
      </c>
      <c r="Q1339" s="29">
        <v>-0.15</v>
      </c>
      <c r="R1339" s="29">
        <f t="shared" si="386"/>
        <v>0</v>
      </c>
      <c r="S1339">
        <v>2770000</v>
      </c>
      <c r="T1339" s="18">
        <f>ROUND((S1339/7)/VLOOKUP(EOMONTH(A1339,-1),Employment!A:P,16,FALSE),4)</f>
        <v>2.0419999999999998</v>
      </c>
      <c r="U1339" s="18">
        <f t="shared" si="387"/>
        <v>2.0886999999999998</v>
      </c>
      <c r="V1339" s="29">
        <v>-0.17</v>
      </c>
      <c r="W1339" s="29">
        <f t="shared" si="389"/>
        <v>0</v>
      </c>
      <c r="X1339" s="30">
        <f t="shared" si="390"/>
        <v>127.62</v>
      </c>
      <c r="Y1339" s="31">
        <f t="shared" si="391"/>
        <v>127.69</v>
      </c>
    </row>
    <row r="1340" spans="1:25" ht="15" customHeight="1" x14ac:dyDescent="0.25">
      <c r="A1340" s="5">
        <v>33965</v>
      </c>
      <c r="B1340">
        <v>597.19140000000004</v>
      </c>
      <c r="C1340" s="29">
        <f t="shared" si="395"/>
        <v>2.0000000000000001E-4</v>
      </c>
      <c r="D1340">
        <v>-0.74</v>
      </c>
      <c r="E1340" s="11">
        <v>-0.01</v>
      </c>
      <c r="F1340" s="18">
        <f t="shared" si="382"/>
        <v>0.30000000000000071</v>
      </c>
      <c r="G1340" s="18">
        <f t="shared" si="383"/>
        <v>1</v>
      </c>
      <c r="H1340">
        <v>3.16</v>
      </c>
      <c r="I1340">
        <v>2.0499999999999998</v>
      </c>
      <c r="J1340">
        <f t="shared" si="392"/>
        <v>2.61</v>
      </c>
      <c r="K1340" s="6">
        <f t="shared" si="393"/>
        <v>2.6</v>
      </c>
      <c r="L1340" s="6">
        <f t="shared" si="394"/>
        <v>0</v>
      </c>
      <c r="M1340">
        <v>3.3869538981798999</v>
      </c>
      <c r="N1340">
        <v>346000</v>
      </c>
      <c r="O1340" s="18">
        <f>ROUND(N1340/VLOOKUP(EOMONTH(A1340,-1),Employment!A:P,16,FALSE),4)</f>
        <v>1.7869999999999999</v>
      </c>
      <c r="P1340" s="18">
        <f t="shared" si="384"/>
        <v>1.8145</v>
      </c>
      <c r="Q1340" s="29">
        <v>-0.15</v>
      </c>
      <c r="R1340" s="29">
        <f t="shared" si="386"/>
        <v>0</v>
      </c>
      <c r="S1340">
        <v>2807000</v>
      </c>
      <c r="T1340" s="18">
        <f>ROUND((S1340/7)/VLOOKUP(EOMONTH(A1340,-1),Employment!A:P,16,FALSE),4)</f>
        <v>2.0710999999999999</v>
      </c>
      <c r="U1340" s="18">
        <f t="shared" si="387"/>
        <v>2.1240000000000001</v>
      </c>
      <c r="V1340" s="29">
        <v>-0.17</v>
      </c>
      <c r="W1340" s="29">
        <f t="shared" si="389"/>
        <v>0</v>
      </c>
      <c r="X1340" s="30">
        <f t="shared" si="390"/>
        <v>128.01</v>
      </c>
      <c r="Y1340" s="31">
        <f t="shared" si="391"/>
        <v>127.33</v>
      </c>
    </row>
    <row r="1341" spans="1:25" ht="15" customHeight="1" x14ac:dyDescent="0.25">
      <c r="A1341" s="5">
        <v>33958</v>
      </c>
      <c r="B1341">
        <v>597.00019999999995</v>
      </c>
      <c r="C1341" s="29">
        <f t="shared" si="395"/>
        <v>-1E-4</v>
      </c>
      <c r="D1341">
        <v>-0.71</v>
      </c>
      <c r="E1341" s="11">
        <v>-0.01</v>
      </c>
      <c r="F1341" s="18">
        <f t="shared" si="382"/>
        <v>0.29999999999999893</v>
      </c>
      <c r="G1341" s="18">
        <f t="shared" si="383"/>
        <v>1</v>
      </c>
      <c r="H1341">
        <v>3.16</v>
      </c>
      <c r="I1341">
        <v>2.0499999999999998</v>
      </c>
      <c r="J1341">
        <f t="shared" si="392"/>
        <v>2.61</v>
      </c>
      <c r="K1341" s="6">
        <f t="shared" si="393"/>
        <v>2.6</v>
      </c>
      <c r="L1341" s="6">
        <f t="shared" si="394"/>
        <v>1.0000000000000231E-2</v>
      </c>
      <c r="M1341">
        <v>3.6070779049138002</v>
      </c>
      <c r="N1341">
        <v>351750</v>
      </c>
      <c r="O1341" s="18">
        <f>ROUND(N1341/VLOOKUP(EOMONTH(A1341,-1),Employment!A:P,16,FALSE),4)</f>
        <v>1.8167</v>
      </c>
      <c r="P1341" s="18">
        <f t="shared" si="384"/>
        <v>1.8425</v>
      </c>
      <c r="Q1341" s="29">
        <v>-0.15</v>
      </c>
      <c r="R1341" s="29">
        <f t="shared" si="386"/>
        <v>0</v>
      </c>
      <c r="S1341">
        <v>2918000</v>
      </c>
      <c r="T1341" s="18">
        <f>ROUND((S1341/7)/VLOOKUP(EOMONTH(A1341,-1),Employment!A:P,16,FALSE),4)</f>
        <v>2.153</v>
      </c>
      <c r="U1341" s="18">
        <f t="shared" si="387"/>
        <v>2.1482999999999999</v>
      </c>
      <c r="V1341" s="29">
        <v>-0.17</v>
      </c>
      <c r="W1341" s="29">
        <f t="shared" si="389"/>
        <v>0</v>
      </c>
      <c r="X1341" s="30">
        <f t="shared" si="390"/>
        <v>127.08</v>
      </c>
      <c r="Y1341" s="31">
        <f t="shared" si="391"/>
        <v>126.51</v>
      </c>
    </row>
    <row r="1342" spans="1:25" ht="15" customHeight="1" x14ac:dyDescent="0.25">
      <c r="A1342" s="5">
        <v>33951</v>
      </c>
      <c r="B1342">
        <v>597.57770000000005</v>
      </c>
      <c r="C1342" s="29">
        <f t="shared" si="395"/>
        <v>1.5E-3</v>
      </c>
      <c r="D1342">
        <v>-0.68</v>
      </c>
      <c r="E1342" s="11">
        <v>-0.01</v>
      </c>
      <c r="F1342" s="18">
        <f t="shared" si="382"/>
        <v>0.40000000000000036</v>
      </c>
      <c r="G1342" s="18">
        <f t="shared" si="383"/>
        <v>1.0000000000000009</v>
      </c>
      <c r="H1342">
        <v>3.16</v>
      </c>
      <c r="I1342">
        <v>2.0099999999999998</v>
      </c>
      <c r="J1342">
        <f t="shared" si="392"/>
        <v>2.59</v>
      </c>
      <c r="K1342" s="6">
        <f t="shared" si="393"/>
        <v>2.59</v>
      </c>
      <c r="L1342" s="6">
        <f t="shared" si="394"/>
        <v>-1.0000000000000231E-2</v>
      </c>
      <c r="M1342">
        <v>2.9485481386960002</v>
      </c>
      <c r="N1342">
        <v>356250</v>
      </c>
      <c r="O1342" s="18">
        <f>ROUND(N1342/VLOOKUP(EOMONTH(A1342,-1),Employment!A:P,16,FALSE),4)</f>
        <v>1.8399000000000001</v>
      </c>
      <c r="P1342" s="18">
        <f t="shared" si="384"/>
        <v>1.8714999999999999</v>
      </c>
      <c r="Q1342" s="29">
        <v>-0.15</v>
      </c>
      <c r="R1342" s="29">
        <f t="shared" si="386"/>
        <v>0</v>
      </c>
      <c r="S1342">
        <v>2911000</v>
      </c>
      <c r="T1342" s="18">
        <f>ROUND((S1342/7)/VLOOKUP(EOMONTH(A1342,-1),Employment!A:P,16,FALSE),4)</f>
        <v>2.1478000000000002</v>
      </c>
      <c r="U1342" s="18">
        <f t="shared" si="387"/>
        <v>2.1598000000000002</v>
      </c>
      <c r="V1342" s="29">
        <v>-0.17</v>
      </c>
      <c r="W1342" s="29">
        <f t="shared" si="389"/>
        <v>0</v>
      </c>
      <c r="X1342" s="30">
        <f t="shared" si="390"/>
        <v>126.25</v>
      </c>
      <c r="Y1342" s="31">
        <f t="shared" si="391"/>
        <v>125.72</v>
      </c>
    </row>
    <row r="1343" spans="1:25" ht="15" customHeight="1" x14ac:dyDescent="0.25">
      <c r="A1343" s="5">
        <v>33944</v>
      </c>
      <c r="B1343">
        <v>597.91219999999998</v>
      </c>
      <c r="C1343" s="29">
        <f t="shared" si="395"/>
        <v>2.7000000000000001E-3</v>
      </c>
      <c r="D1343">
        <v>-0.64</v>
      </c>
      <c r="E1343" s="11">
        <v>-0.01</v>
      </c>
      <c r="F1343" s="18">
        <f t="shared" si="382"/>
        <v>0.30000000000000071</v>
      </c>
      <c r="G1343" s="18">
        <f t="shared" si="383"/>
        <v>0.79999999999999982</v>
      </c>
      <c r="H1343">
        <v>3.16</v>
      </c>
      <c r="I1343">
        <v>2.0299999999999998</v>
      </c>
      <c r="J1343">
        <f t="shared" si="392"/>
        <v>2.6</v>
      </c>
      <c r="K1343" s="6">
        <f t="shared" si="393"/>
        <v>2.6</v>
      </c>
      <c r="L1343" s="6">
        <f t="shared" si="394"/>
        <v>-9.9999999999997868E-3</v>
      </c>
      <c r="M1343">
        <v>3.4122589413652</v>
      </c>
      <c r="N1343">
        <v>362250</v>
      </c>
      <c r="O1343" s="18">
        <f>ROUND(N1343/VLOOKUP(EOMONTH(A1343,-1),Employment!A:P,16,FALSE),4)</f>
        <v>1.8709</v>
      </c>
      <c r="P1343" s="18">
        <f t="shared" si="384"/>
        <v>1.8971</v>
      </c>
      <c r="Q1343" s="29">
        <v>-0.15</v>
      </c>
      <c r="R1343" s="29">
        <f t="shared" si="386"/>
        <v>0</v>
      </c>
      <c r="S1343">
        <v>2906000</v>
      </c>
      <c r="T1343" s="18">
        <f>ROUND((S1343/7)/VLOOKUP(EOMONTH(A1343,-1),Employment!A:P,16,FALSE),4)</f>
        <v>2.1440999999999999</v>
      </c>
      <c r="U1343" s="18">
        <f t="shared" si="387"/>
        <v>2.1865000000000001</v>
      </c>
      <c r="V1343" s="29">
        <v>-0.17</v>
      </c>
      <c r="W1343" s="29">
        <f t="shared" si="389"/>
        <v>0</v>
      </c>
      <c r="X1343" s="30">
        <f t="shared" si="390"/>
        <v>125.72</v>
      </c>
      <c r="Y1343" s="31">
        <f t="shared" si="391"/>
        <v>124.84</v>
      </c>
    </row>
    <row r="1344" spans="1:25" ht="15" customHeight="1" x14ac:dyDescent="0.25">
      <c r="A1344" s="5">
        <v>33937</v>
      </c>
      <c r="B1344">
        <v>595.82590000000005</v>
      </c>
      <c r="C1344" s="29">
        <f t="shared" si="395"/>
        <v>-8.9999999999999998E-4</v>
      </c>
      <c r="D1344">
        <v>-0.61</v>
      </c>
      <c r="E1344" s="11">
        <v>-0.01</v>
      </c>
      <c r="F1344" s="18">
        <f t="shared" si="382"/>
        <v>0.29999999999999982</v>
      </c>
      <c r="G1344" s="18">
        <f t="shared" si="383"/>
        <v>0.69999999999999929</v>
      </c>
      <c r="H1344">
        <v>3.16</v>
      </c>
      <c r="I1344">
        <v>2</v>
      </c>
      <c r="J1344">
        <f t="shared" si="392"/>
        <v>2.58</v>
      </c>
      <c r="K1344" s="6">
        <f t="shared" si="393"/>
        <v>2.61</v>
      </c>
      <c r="L1344" s="6">
        <f t="shared" si="394"/>
        <v>-2.0000000000000018E-2</v>
      </c>
      <c r="M1344">
        <v>4.7145443497670998</v>
      </c>
      <c r="N1344">
        <v>368250</v>
      </c>
      <c r="O1344" s="18">
        <f>ROUND(N1344/VLOOKUP(EOMONTH(A1344,-1),Employment!A:P,16,FALSE),4)</f>
        <v>1.9036999999999999</v>
      </c>
      <c r="P1344" s="18">
        <f t="shared" si="384"/>
        <v>1.9157</v>
      </c>
      <c r="Q1344" s="29">
        <v>-0.15</v>
      </c>
      <c r="R1344" s="29">
        <f t="shared" si="386"/>
        <v>0</v>
      </c>
      <c r="S1344">
        <v>2962000</v>
      </c>
      <c r="T1344" s="18">
        <f>ROUND((S1344/7)/VLOOKUP(EOMONTH(A1344,-1),Employment!A:P,16,FALSE),4)</f>
        <v>2.1873999999999998</v>
      </c>
      <c r="U1344" s="18">
        <f t="shared" si="387"/>
        <v>2.2037</v>
      </c>
      <c r="V1344" s="29">
        <v>-0.17</v>
      </c>
      <c r="W1344" s="29">
        <f t="shared" si="389"/>
        <v>0</v>
      </c>
      <c r="X1344" s="30">
        <f t="shared" si="390"/>
        <v>124.42</v>
      </c>
      <c r="Y1344" s="31">
        <f t="shared" si="391"/>
        <v>123.5</v>
      </c>
    </row>
    <row r="1345" spans="1:25" ht="15" customHeight="1" x14ac:dyDescent="0.25">
      <c r="A1345" s="5">
        <v>33930</v>
      </c>
      <c r="B1345">
        <v>596.8614</v>
      </c>
      <c r="C1345" s="29">
        <f t="shared" si="395"/>
        <v>5.9999999999999995E-4</v>
      </c>
      <c r="D1345">
        <v>-0.57999999999999996</v>
      </c>
      <c r="E1345" s="11">
        <v>-0.01</v>
      </c>
      <c r="F1345" s="18">
        <f t="shared" si="382"/>
        <v>0.19999999999999929</v>
      </c>
      <c r="G1345" s="18">
        <f t="shared" si="383"/>
        <v>0.39999999999999947</v>
      </c>
      <c r="H1345">
        <v>3.16</v>
      </c>
      <c r="I1345">
        <v>2.0499999999999998</v>
      </c>
      <c r="J1345">
        <f t="shared" si="392"/>
        <v>2.61</v>
      </c>
      <c r="K1345" s="6">
        <f t="shared" si="393"/>
        <v>2.63</v>
      </c>
      <c r="L1345" s="6">
        <f t="shared" si="394"/>
        <v>-2.0000000000000018E-2</v>
      </c>
      <c r="M1345">
        <v>4.7427497206722</v>
      </c>
      <c r="N1345">
        <v>370750</v>
      </c>
      <c r="O1345" s="18">
        <f>ROUND(N1345/VLOOKUP(EOMONTH(A1345,-1),Employment!A:P,16,FALSE),4)</f>
        <v>1.9166000000000001</v>
      </c>
      <c r="P1345" s="18">
        <f t="shared" si="384"/>
        <v>1.9235</v>
      </c>
      <c r="Q1345" s="29">
        <v>-0.15</v>
      </c>
      <c r="R1345" s="29">
        <f t="shared" si="386"/>
        <v>0</v>
      </c>
      <c r="S1345">
        <v>3017000</v>
      </c>
      <c r="T1345" s="18">
        <f>ROUND((S1345/7)/VLOOKUP(EOMONTH(A1345,-1),Employment!A:P,16,FALSE),4)</f>
        <v>2.2281</v>
      </c>
      <c r="U1345" s="18">
        <f t="shared" si="387"/>
        <v>2.2286000000000001</v>
      </c>
      <c r="V1345" s="29">
        <v>-0.17</v>
      </c>
      <c r="W1345" s="29">
        <f t="shared" si="389"/>
        <v>0</v>
      </c>
      <c r="X1345" s="30">
        <f t="shared" si="390"/>
        <v>123.67</v>
      </c>
      <c r="Y1345" s="31">
        <f t="shared" si="391"/>
        <v>121.31</v>
      </c>
    </row>
    <row r="1346" spans="1:25" ht="15" customHeight="1" x14ac:dyDescent="0.25">
      <c r="A1346" s="5">
        <v>33923</v>
      </c>
      <c r="B1346">
        <v>596.15380000000005</v>
      </c>
      <c r="C1346" s="29">
        <f t="shared" si="395"/>
        <v>-1.2999999999999999E-3</v>
      </c>
      <c r="D1346">
        <v>-0.56000000000000005</v>
      </c>
      <c r="E1346" s="11">
        <v>-0.01</v>
      </c>
      <c r="F1346" s="18">
        <f t="shared" si="382"/>
        <v>0.20000000000000018</v>
      </c>
      <c r="G1346" s="18">
        <f t="shared" si="383"/>
        <v>0.10000000000000053</v>
      </c>
      <c r="H1346">
        <v>3.16</v>
      </c>
      <c r="I1346">
        <v>2.12</v>
      </c>
      <c r="J1346">
        <f t="shared" si="392"/>
        <v>2.64</v>
      </c>
      <c r="K1346" s="6">
        <f t="shared" si="393"/>
        <v>2.65</v>
      </c>
      <c r="L1346" s="6">
        <f t="shared" si="394"/>
        <v>0</v>
      </c>
      <c r="M1346">
        <v>4.5543725178168</v>
      </c>
      <c r="N1346">
        <v>372750</v>
      </c>
      <c r="O1346" s="18">
        <f>ROUND(N1346/VLOOKUP(EOMONTH(A1346,-1),Employment!A:P,16,FALSE),4)</f>
        <v>1.9269000000000001</v>
      </c>
      <c r="P1346" s="18">
        <f t="shared" si="384"/>
        <v>1.9411</v>
      </c>
      <c r="Q1346" s="29">
        <v>-0.15</v>
      </c>
      <c r="R1346" s="29">
        <f t="shared" si="386"/>
        <v>0</v>
      </c>
      <c r="S1346">
        <v>2973000</v>
      </c>
      <c r="T1346" s="18">
        <f>ROUND((S1346/7)/VLOOKUP(EOMONTH(A1346,-1),Employment!A:P,16,FALSE),4)</f>
        <v>2.1956000000000002</v>
      </c>
      <c r="U1346" s="18">
        <f t="shared" si="387"/>
        <v>2.2448000000000001</v>
      </c>
      <c r="V1346" s="29">
        <v>-0.17</v>
      </c>
      <c r="W1346" s="29">
        <f t="shared" si="389"/>
        <v>0</v>
      </c>
      <c r="X1346" s="30">
        <f t="shared" si="390"/>
        <v>120.75999999999999</v>
      </c>
      <c r="Y1346" s="31">
        <f t="shared" si="391"/>
        <v>117.88</v>
      </c>
    </row>
    <row r="1347" spans="1:25" ht="15" customHeight="1" x14ac:dyDescent="0.25">
      <c r="A1347" s="5">
        <v>33916</v>
      </c>
      <c r="B1347">
        <v>596.27710000000002</v>
      </c>
      <c r="C1347" s="29">
        <f t="shared" si="395"/>
        <v>-2E-3</v>
      </c>
      <c r="D1347">
        <v>-0.54</v>
      </c>
      <c r="E1347" s="11">
        <v>-0.01</v>
      </c>
      <c r="F1347" s="18">
        <f t="shared" si="382"/>
        <v>0</v>
      </c>
      <c r="G1347" s="18">
        <f t="shared" si="383"/>
        <v>-0.39999999999999947</v>
      </c>
      <c r="H1347">
        <v>3.16</v>
      </c>
      <c r="I1347">
        <v>2.1</v>
      </c>
      <c r="J1347">
        <f t="shared" si="392"/>
        <v>2.63</v>
      </c>
      <c r="K1347" s="6">
        <f t="shared" si="393"/>
        <v>2.65</v>
      </c>
      <c r="L1347" s="6">
        <f t="shared" si="394"/>
        <v>-2.0000000000000018E-2</v>
      </c>
      <c r="M1347">
        <v>3.5608724154815001</v>
      </c>
      <c r="N1347">
        <v>372750</v>
      </c>
      <c r="O1347" s="18">
        <f>ROUND(N1347/VLOOKUP(EOMONTH(A1347,-1),Employment!A:P,16,FALSE),4)</f>
        <v>1.9269000000000001</v>
      </c>
      <c r="P1347" s="18">
        <f t="shared" si="384"/>
        <v>1.9742</v>
      </c>
      <c r="Q1347" s="29">
        <v>-0.15</v>
      </c>
      <c r="R1347" s="29">
        <f t="shared" si="386"/>
        <v>0</v>
      </c>
      <c r="S1347">
        <v>3063000</v>
      </c>
      <c r="T1347" s="18">
        <f>ROUND((S1347/7)/VLOOKUP(EOMONTH(A1347,-1),Employment!A:P,16,FALSE),4)</f>
        <v>2.262</v>
      </c>
      <c r="U1347" s="18">
        <f t="shared" si="387"/>
        <v>2.27</v>
      </c>
      <c r="V1347" s="29">
        <v>-0.17</v>
      </c>
      <c r="W1347" s="29">
        <f t="shared" si="389"/>
        <v>0</v>
      </c>
      <c r="X1347" s="30">
        <f t="shared" si="390"/>
        <v>116.81</v>
      </c>
      <c r="Y1347" s="31">
        <f t="shared" si="391"/>
        <v>114.4</v>
      </c>
    </row>
    <row r="1348" spans="1:25" ht="15" customHeight="1" x14ac:dyDescent="0.25">
      <c r="A1348" s="5">
        <v>33909</v>
      </c>
      <c r="B1348">
        <v>596.23749999999995</v>
      </c>
      <c r="C1348" s="29">
        <f t="shared" si="395"/>
        <v>-3.0000000000000001E-3</v>
      </c>
      <c r="D1348">
        <v>-0.54</v>
      </c>
      <c r="E1348" s="11">
        <v>-0.01</v>
      </c>
      <c r="F1348" s="18">
        <f t="shared" si="382"/>
        <v>-9.9999999999999645E-2</v>
      </c>
      <c r="G1348" s="18">
        <f t="shared" si="383"/>
        <v>-0.69999999999999929</v>
      </c>
      <c r="H1348">
        <v>3.16</v>
      </c>
      <c r="I1348">
        <v>2.19</v>
      </c>
      <c r="J1348">
        <f t="shared" si="392"/>
        <v>2.68</v>
      </c>
      <c r="K1348" s="6">
        <f t="shared" si="393"/>
        <v>2.67</v>
      </c>
      <c r="L1348" s="6">
        <f t="shared" si="394"/>
        <v>-2.0000000000000018E-2</v>
      </c>
      <c r="M1348">
        <v>2.9643193861030999</v>
      </c>
      <c r="N1348">
        <v>381000</v>
      </c>
      <c r="O1348" s="18">
        <f>ROUND(N1348/VLOOKUP(EOMONTH(A1348,-1),Employment!A:P,16,FALSE),4)</f>
        <v>1.9696</v>
      </c>
      <c r="P1348" s="18">
        <f t="shared" si="384"/>
        <v>2.0253999999999999</v>
      </c>
      <c r="Q1348" s="29">
        <v>-0.15</v>
      </c>
      <c r="R1348" s="29">
        <f t="shared" si="386"/>
        <v>0</v>
      </c>
      <c r="S1348">
        <v>3083000</v>
      </c>
      <c r="T1348" s="18">
        <f>ROUND((S1348/7)/VLOOKUP(EOMONTH(A1348,-1),Employment!A:P,16,FALSE),4)</f>
        <v>2.2768000000000002</v>
      </c>
      <c r="U1348" s="18">
        <f t="shared" si="387"/>
        <v>2.2850999999999999</v>
      </c>
      <c r="V1348" s="29">
        <v>-0.17</v>
      </c>
      <c r="W1348" s="29">
        <f t="shared" si="389"/>
        <v>0</v>
      </c>
      <c r="X1348" s="30">
        <f t="shared" si="390"/>
        <v>113.38</v>
      </c>
      <c r="Y1348" s="31">
        <f t="shared" si="391"/>
        <v>111.92</v>
      </c>
    </row>
    <row r="1349" spans="1:25" ht="15" customHeight="1" x14ac:dyDescent="0.25">
      <c r="A1349" s="5">
        <v>33902</v>
      </c>
      <c r="B1349">
        <v>597.37080000000003</v>
      </c>
      <c r="C1349" s="29">
        <f t="shared" si="395"/>
        <v>-1.6999999999999999E-3</v>
      </c>
      <c r="D1349">
        <v>-0.55000000000000004</v>
      </c>
      <c r="E1349" s="11">
        <v>-0.01</v>
      </c>
      <c r="F1349" s="18">
        <f t="shared" si="382"/>
        <v>-0.29999999999999982</v>
      </c>
      <c r="G1349" s="18">
        <f t="shared" si="383"/>
        <v>-1.1000000000000005</v>
      </c>
      <c r="H1349">
        <v>3.16</v>
      </c>
      <c r="I1349">
        <v>2.09</v>
      </c>
      <c r="J1349">
        <f t="shared" si="392"/>
        <v>2.63</v>
      </c>
      <c r="K1349" s="6">
        <f t="shared" si="393"/>
        <v>2.69</v>
      </c>
      <c r="L1349" s="6">
        <f t="shared" si="394"/>
        <v>-4.0000000000000036E-2</v>
      </c>
      <c r="M1349">
        <v>2.3875392037391001</v>
      </c>
      <c r="N1349">
        <v>391500</v>
      </c>
      <c r="O1349" s="18">
        <f>ROUND(N1349/VLOOKUP(EOMONTH(A1349,-1),Employment!A:P,16,FALSE),4)</f>
        <v>2.0261</v>
      </c>
      <c r="P1349" s="18">
        <f t="shared" si="384"/>
        <v>2.0804</v>
      </c>
      <c r="Q1349" s="29">
        <v>-0.15</v>
      </c>
      <c r="R1349" s="29">
        <f t="shared" si="386"/>
        <v>0</v>
      </c>
      <c r="S1349">
        <v>3072000</v>
      </c>
      <c r="T1349" s="18">
        <f>ROUND((S1349/7)/VLOOKUP(EOMONTH(A1349,-1),Employment!A:P,16,FALSE),4)</f>
        <v>2.2711999999999999</v>
      </c>
      <c r="U1349" s="18">
        <f t="shared" si="387"/>
        <v>2.3132999999999999</v>
      </c>
      <c r="V1349" s="29">
        <v>-0.17</v>
      </c>
      <c r="W1349" s="29">
        <f t="shared" si="389"/>
        <v>0</v>
      </c>
      <c r="X1349" s="30">
        <f t="shared" si="390"/>
        <v>110.92</v>
      </c>
      <c r="Y1349" s="31">
        <f t="shared" si="391"/>
        <v>111.04</v>
      </c>
    </row>
    <row r="1350" spans="1:25" ht="15" customHeight="1" x14ac:dyDescent="0.25">
      <c r="A1350" s="5">
        <v>33895</v>
      </c>
      <c r="B1350">
        <v>597.90790000000004</v>
      </c>
      <c r="C1350" s="29">
        <f t="shared" si="395"/>
        <v>-8.9999999999999998E-4</v>
      </c>
      <c r="D1350">
        <v>-0.57999999999999996</v>
      </c>
      <c r="E1350" s="11">
        <v>-0.01</v>
      </c>
      <c r="F1350" s="18">
        <f t="shared" si="382"/>
        <v>-0.29999999999999982</v>
      </c>
      <c r="G1350" s="18">
        <f t="shared" si="383"/>
        <v>-1.2000000000000002</v>
      </c>
      <c r="H1350">
        <v>3.16</v>
      </c>
      <c r="I1350">
        <v>2.2599999999999998</v>
      </c>
      <c r="J1350">
        <f t="shared" si="392"/>
        <v>2.71</v>
      </c>
      <c r="K1350" s="6">
        <f t="shared" si="393"/>
        <v>2.73</v>
      </c>
      <c r="L1350" s="6">
        <f t="shared" si="394"/>
        <v>-1.0000000000000231E-2</v>
      </c>
      <c r="M1350">
        <v>3.1280215793899</v>
      </c>
      <c r="N1350">
        <v>402000</v>
      </c>
      <c r="O1350" s="18">
        <f>ROUND(N1350/VLOOKUP(EOMONTH(A1350,-1),Employment!A:P,16,FALSE),4)</f>
        <v>2.0804</v>
      </c>
      <c r="P1350" s="18">
        <f t="shared" si="384"/>
        <v>2.1244000000000001</v>
      </c>
      <c r="Q1350" s="29">
        <v>-0.15</v>
      </c>
      <c r="R1350" s="29">
        <f t="shared" si="386"/>
        <v>0</v>
      </c>
      <c r="S1350">
        <v>3121000</v>
      </c>
      <c r="T1350" s="18">
        <f>ROUND((S1350/7)/VLOOKUP(EOMONTH(A1350,-1),Employment!A:P,16,FALSE),4)</f>
        <v>2.3073999999999999</v>
      </c>
      <c r="U1350" s="18">
        <f t="shared" si="387"/>
        <v>2.3435999999999999</v>
      </c>
      <c r="V1350" s="29">
        <v>-0.17</v>
      </c>
      <c r="W1350" s="29">
        <f t="shared" si="389"/>
        <v>0</v>
      </c>
      <c r="X1350" s="30">
        <f t="shared" si="390"/>
        <v>110.78999999999999</v>
      </c>
      <c r="Y1350" s="31">
        <f t="shared" si="391"/>
        <v>111.9</v>
      </c>
    </row>
    <row r="1351" spans="1:25" ht="15" customHeight="1" x14ac:dyDescent="0.25">
      <c r="A1351" s="5">
        <v>33888</v>
      </c>
      <c r="B1351">
        <v>598.41930000000002</v>
      </c>
      <c r="C1351" s="29">
        <f t="shared" si="395"/>
        <v>1E-4</v>
      </c>
      <c r="D1351">
        <v>-0.61</v>
      </c>
      <c r="E1351" s="11">
        <v>-0.01</v>
      </c>
      <c r="F1351" s="18">
        <f t="shared" si="382"/>
        <v>-0.50000000000000089</v>
      </c>
      <c r="G1351" s="18">
        <f t="shared" si="383"/>
        <v>-1.3000000000000007</v>
      </c>
      <c r="H1351">
        <v>3.16</v>
      </c>
      <c r="I1351">
        <v>2.27</v>
      </c>
      <c r="J1351">
        <f t="shared" si="392"/>
        <v>2.72</v>
      </c>
      <c r="K1351" s="6">
        <f t="shared" si="393"/>
        <v>2.74</v>
      </c>
      <c r="L1351" s="6">
        <f t="shared" si="394"/>
        <v>2.0000000000000018E-2</v>
      </c>
      <c r="M1351">
        <v>4.4436346790784</v>
      </c>
      <c r="N1351">
        <v>412500</v>
      </c>
      <c r="O1351" s="18">
        <f>ROUND(N1351/VLOOKUP(EOMONTH(A1351,-1),Employment!A:P,16,FALSE),4)</f>
        <v>2.1347999999999998</v>
      </c>
      <c r="P1351" s="18">
        <f t="shared" si="384"/>
        <v>2.1507000000000001</v>
      </c>
      <c r="Q1351" s="29">
        <v>-0.15</v>
      </c>
      <c r="R1351" s="29">
        <f t="shared" si="386"/>
        <v>0</v>
      </c>
      <c r="S1351">
        <v>3194000</v>
      </c>
      <c r="T1351" s="18">
        <f>ROUND((S1351/7)/VLOOKUP(EOMONTH(A1351,-1),Employment!A:P,16,FALSE),4)</f>
        <v>2.3614000000000002</v>
      </c>
      <c r="U1351" s="18">
        <f t="shared" si="387"/>
        <v>2.379</v>
      </c>
      <c r="V1351" s="29">
        <v>-0.17</v>
      </c>
      <c r="W1351" s="29">
        <f t="shared" si="389"/>
        <v>0</v>
      </c>
      <c r="X1351" s="30">
        <f t="shared" si="390"/>
        <v>111.99000000000001</v>
      </c>
      <c r="Y1351" s="31">
        <f t="shared" si="391"/>
        <v>113.94</v>
      </c>
    </row>
    <row r="1352" spans="1:25" ht="15" customHeight="1" x14ac:dyDescent="0.25">
      <c r="A1352" s="5">
        <v>33881</v>
      </c>
      <c r="B1352">
        <v>598.53869999999995</v>
      </c>
      <c r="C1352" s="29">
        <f t="shared" si="395"/>
        <v>1E-3</v>
      </c>
      <c r="D1352">
        <v>-0.66</v>
      </c>
      <c r="E1352" s="11">
        <v>-0.01</v>
      </c>
      <c r="F1352" s="18">
        <f t="shared" si="382"/>
        <v>-0.39999999999999947</v>
      </c>
      <c r="G1352" s="18">
        <f t="shared" si="383"/>
        <v>-1.0999999999999996</v>
      </c>
      <c r="H1352">
        <v>3.16</v>
      </c>
      <c r="I1352">
        <v>2.38</v>
      </c>
      <c r="J1352">
        <f t="shared" si="392"/>
        <v>2.77</v>
      </c>
      <c r="K1352" s="6">
        <f t="shared" si="393"/>
        <v>2.72</v>
      </c>
      <c r="L1352" s="6">
        <f t="shared" si="394"/>
        <v>3.0000000000000249E-2</v>
      </c>
      <c r="M1352">
        <v>5.0798712609461996</v>
      </c>
      <c r="N1352">
        <v>417000</v>
      </c>
      <c r="O1352" s="18">
        <f>ROUND(N1352/VLOOKUP(EOMONTH(A1352,-1),Employment!A:P,16,FALSE),4)</f>
        <v>2.1581000000000001</v>
      </c>
      <c r="P1352" s="18">
        <f t="shared" si="384"/>
        <v>2.1463000000000001</v>
      </c>
      <c r="Q1352" s="29">
        <v>-0.15</v>
      </c>
      <c r="R1352" s="29">
        <f t="shared" si="386"/>
        <v>0</v>
      </c>
      <c r="S1352">
        <v>3195000</v>
      </c>
      <c r="T1352" s="18">
        <f>ROUND((S1352/7)/VLOOKUP(EOMONTH(A1352,-1),Employment!A:P,16,FALSE),4)</f>
        <v>2.3620999999999999</v>
      </c>
      <c r="U1352" s="18">
        <f t="shared" si="387"/>
        <v>2.3732000000000002</v>
      </c>
      <c r="V1352" s="29">
        <v>-0.17</v>
      </c>
      <c r="W1352" s="29">
        <f t="shared" si="389"/>
        <v>0</v>
      </c>
      <c r="X1352" s="30">
        <f t="shared" si="390"/>
        <v>114.46000000000001</v>
      </c>
      <c r="Y1352" s="31">
        <f t="shared" si="391"/>
        <v>116.56</v>
      </c>
    </row>
    <row r="1353" spans="1:25" ht="15" customHeight="1" x14ac:dyDescent="0.25">
      <c r="A1353" s="5">
        <v>33874</v>
      </c>
      <c r="B1353">
        <v>598.61869999999999</v>
      </c>
      <c r="C1353" s="29">
        <f t="shared" si="395"/>
        <v>2E-3</v>
      </c>
      <c r="D1353">
        <v>-0.7</v>
      </c>
      <c r="E1353" s="11">
        <v>-0.01</v>
      </c>
      <c r="F1353" s="18">
        <f t="shared" si="382"/>
        <v>-0.40000000000000036</v>
      </c>
      <c r="G1353" s="18">
        <f t="shared" si="383"/>
        <v>-0.90000000000000036</v>
      </c>
      <c r="H1353">
        <v>3.16</v>
      </c>
      <c r="I1353">
        <v>2.27</v>
      </c>
      <c r="J1353">
        <f t="shared" si="392"/>
        <v>2.72</v>
      </c>
      <c r="K1353" s="6">
        <f t="shared" si="393"/>
        <v>2.69</v>
      </c>
      <c r="L1353" s="6">
        <f t="shared" si="394"/>
        <v>2.0000000000000018E-2</v>
      </c>
      <c r="M1353">
        <v>5.8436185503751004</v>
      </c>
      <c r="N1353">
        <v>416750</v>
      </c>
      <c r="O1353" s="18">
        <f>ROUND(N1353/VLOOKUP(EOMONTH(A1353,-1),Employment!A:P,16,FALSE),4)</f>
        <v>2.1591</v>
      </c>
      <c r="P1353" s="18">
        <f t="shared" si="384"/>
        <v>2.1276000000000002</v>
      </c>
      <c r="Q1353" s="29">
        <v>-0.15</v>
      </c>
      <c r="R1353" s="29">
        <f t="shared" si="386"/>
        <v>0</v>
      </c>
      <c r="S1353">
        <v>3261000</v>
      </c>
      <c r="T1353" s="18">
        <f>ROUND((S1353/7)/VLOOKUP(EOMONTH(A1353,-1),Employment!A:P,16,FALSE),4)</f>
        <v>2.4135</v>
      </c>
      <c r="U1353" s="18">
        <f t="shared" si="387"/>
        <v>2.3691</v>
      </c>
      <c r="V1353" s="29">
        <v>-0.17</v>
      </c>
      <c r="W1353" s="29">
        <f t="shared" si="389"/>
        <v>0</v>
      </c>
      <c r="X1353" s="30">
        <f t="shared" si="390"/>
        <v>117.52000000000001</v>
      </c>
      <c r="Y1353" s="31">
        <f t="shared" si="391"/>
        <v>118.74</v>
      </c>
    </row>
    <row r="1354" spans="1:25" ht="15" customHeight="1" x14ac:dyDescent="0.25">
      <c r="A1354" s="5">
        <v>33867</v>
      </c>
      <c r="B1354">
        <v>598.14670000000001</v>
      </c>
      <c r="C1354" s="29">
        <f t="shared" si="395"/>
        <v>1.5E-3</v>
      </c>
      <c r="D1354">
        <v>-0.74</v>
      </c>
      <c r="E1354" s="11">
        <v>-0.01</v>
      </c>
      <c r="F1354" s="18">
        <f t="shared" si="382"/>
        <v>-0.29999999999999982</v>
      </c>
      <c r="G1354" s="18">
        <f t="shared" si="383"/>
        <v>-0.70000000000000107</v>
      </c>
      <c r="H1354">
        <v>3.16</v>
      </c>
      <c r="I1354">
        <v>2.2000000000000002</v>
      </c>
      <c r="J1354">
        <f t="shared" si="392"/>
        <v>2.68</v>
      </c>
      <c r="K1354" s="6">
        <f t="shared" si="393"/>
        <v>2.67</v>
      </c>
      <c r="L1354" s="6">
        <f t="shared" si="394"/>
        <v>2.0000000000000018E-2</v>
      </c>
      <c r="M1354">
        <v>6.2184384488441999</v>
      </c>
      <c r="N1354">
        <v>409500</v>
      </c>
      <c r="O1354" s="18">
        <f>ROUND(N1354/VLOOKUP(EOMONTH(A1354,-1),Employment!A:P,16,FALSE),4)</f>
        <v>2.1215999999999999</v>
      </c>
      <c r="P1354" s="18">
        <f t="shared" si="384"/>
        <v>2.1042999999999998</v>
      </c>
      <c r="Q1354" s="29">
        <v>-0.15</v>
      </c>
      <c r="R1354" s="29">
        <f t="shared" si="386"/>
        <v>0</v>
      </c>
      <c r="S1354">
        <v>3167000</v>
      </c>
      <c r="T1354" s="18">
        <f>ROUND((S1354/7)/VLOOKUP(EOMONTH(A1354,-1),Employment!A:P,16,FALSE),4)</f>
        <v>2.3439999999999999</v>
      </c>
      <c r="U1354" s="18">
        <f t="shared" si="387"/>
        <v>2.3511000000000002</v>
      </c>
      <c r="V1354" s="29">
        <v>-0.17</v>
      </c>
      <c r="W1354" s="29">
        <f t="shared" si="389"/>
        <v>0</v>
      </c>
      <c r="X1354" s="30">
        <f t="shared" si="390"/>
        <v>119.39</v>
      </c>
      <c r="Y1354" s="31">
        <f t="shared" si="391"/>
        <v>119.42</v>
      </c>
    </row>
    <row r="1355" spans="1:25" ht="15" customHeight="1" x14ac:dyDescent="0.25">
      <c r="A1355" s="5">
        <v>33860</v>
      </c>
      <c r="B1355">
        <v>598.15030000000002</v>
      </c>
      <c r="C1355" s="29">
        <f t="shared" si="395"/>
        <v>1.8E-3</v>
      </c>
      <c r="D1355">
        <v>-0.77</v>
      </c>
      <c r="E1355" s="11">
        <v>-0.01</v>
      </c>
      <c r="F1355" s="18">
        <f t="shared" si="382"/>
        <v>-0.20000000000000018</v>
      </c>
      <c r="G1355" s="18">
        <f t="shared" si="383"/>
        <v>-0.49999999999999911</v>
      </c>
      <c r="H1355">
        <v>3.16</v>
      </c>
      <c r="I1355">
        <v>2.17</v>
      </c>
      <c r="J1355">
        <f t="shared" si="392"/>
        <v>2.67</v>
      </c>
      <c r="K1355" s="6">
        <f t="shared" si="393"/>
        <v>2.65</v>
      </c>
      <c r="L1355" s="6">
        <f t="shared" si="394"/>
        <v>9.9999999999997868E-3</v>
      </c>
      <c r="M1355">
        <v>5.8026308484472002</v>
      </c>
      <c r="N1355">
        <v>405750</v>
      </c>
      <c r="O1355" s="18">
        <f>ROUND(N1355/VLOOKUP(EOMONTH(A1355,-1),Employment!A:P,16,FALSE),4)</f>
        <v>2.1021000000000001</v>
      </c>
      <c r="P1355" s="18">
        <f t="shared" si="384"/>
        <v>2.1006999999999998</v>
      </c>
      <c r="Q1355" s="29">
        <v>-0.15</v>
      </c>
      <c r="R1355" s="29">
        <f t="shared" si="386"/>
        <v>0</v>
      </c>
      <c r="S1355">
        <v>3175000</v>
      </c>
      <c r="T1355" s="18">
        <f>ROUND((S1355/7)/VLOOKUP(EOMONTH(A1355,-1),Employment!A:P,16,FALSE),4)</f>
        <v>2.3498999999999999</v>
      </c>
      <c r="U1355" s="18">
        <f t="shared" si="387"/>
        <v>2.3624999999999998</v>
      </c>
      <c r="V1355" s="29">
        <v>-0.17</v>
      </c>
      <c r="W1355" s="29">
        <f t="shared" si="389"/>
        <v>0</v>
      </c>
      <c r="X1355" s="30">
        <f t="shared" si="390"/>
        <v>120.15</v>
      </c>
      <c r="Y1355" s="31">
        <f t="shared" si="391"/>
        <v>118.48</v>
      </c>
    </row>
    <row r="1356" spans="1:25" ht="15" customHeight="1" x14ac:dyDescent="0.25">
      <c r="A1356" s="5">
        <v>33853</v>
      </c>
      <c r="B1356">
        <v>596.85940000000005</v>
      </c>
      <c r="C1356" s="29">
        <f t="shared" si="395"/>
        <v>-5.0000000000000001E-4</v>
      </c>
      <c r="D1356">
        <v>-0.79</v>
      </c>
      <c r="E1356" s="11">
        <v>-0.01</v>
      </c>
      <c r="F1356" s="18">
        <f t="shared" si="382"/>
        <v>-0.20000000000000107</v>
      </c>
      <c r="G1356" s="18">
        <f t="shared" si="383"/>
        <v>-0.39999999999999858</v>
      </c>
      <c r="H1356">
        <v>3.16</v>
      </c>
      <c r="I1356">
        <v>2.16</v>
      </c>
      <c r="J1356">
        <f t="shared" si="392"/>
        <v>2.66</v>
      </c>
      <c r="K1356" s="6">
        <f t="shared" si="393"/>
        <v>2.64</v>
      </c>
      <c r="L1356" s="6">
        <f t="shared" si="394"/>
        <v>2.0000000000000018E-2</v>
      </c>
      <c r="M1356">
        <v>5.7185612246708004</v>
      </c>
      <c r="N1356">
        <v>403250</v>
      </c>
      <c r="O1356" s="18">
        <f>ROUND(N1356/VLOOKUP(EOMONTH(A1356,-1),Employment!A:P,16,FALSE),4)</f>
        <v>2.0891999999999999</v>
      </c>
      <c r="P1356" s="18">
        <f t="shared" si="384"/>
        <v>2.1753</v>
      </c>
      <c r="Q1356" s="29">
        <v>-0.15</v>
      </c>
      <c r="R1356" s="29">
        <f t="shared" si="386"/>
        <v>0</v>
      </c>
      <c r="S1356">
        <v>3188000</v>
      </c>
      <c r="T1356" s="18">
        <f>ROUND((S1356/7)/VLOOKUP(EOMONTH(A1356,-1),Employment!A:P,16,FALSE),4)</f>
        <v>2.3595000000000002</v>
      </c>
      <c r="U1356" s="18">
        <f t="shared" si="387"/>
        <v>2.3721999999999999</v>
      </c>
      <c r="V1356" s="29">
        <v>-0.17</v>
      </c>
      <c r="W1356" s="29">
        <f t="shared" si="389"/>
        <v>0</v>
      </c>
      <c r="X1356" s="30">
        <f t="shared" si="390"/>
        <v>117.67</v>
      </c>
      <c r="Y1356" s="31">
        <f t="shared" si="391"/>
        <v>116.42</v>
      </c>
    </row>
    <row r="1357" spans="1:25" ht="15" customHeight="1" x14ac:dyDescent="0.25">
      <c r="A1357" s="5">
        <v>33846</v>
      </c>
      <c r="B1357">
        <v>596.50340000000006</v>
      </c>
      <c r="C1357" s="29">
        <f t="shared" si="395"/>
        <v>-2.0999999999999999E-3</v>
      </c>
      <c r="D1357">
        <v>-0.81</v>
      </c>
      <c r="E1357" s="11">
        <v>-0.01</v>
      </c>
      <c r="F1357" s="18">
        <f t="shared" si="382"/>
        <v>-9.9999999999997868E-2</v>
      </c>
      <c r="G1357" s="18">
        <f t="shared" si="383"/>
        <v>-0.29999999999999893</v>
      </c>
      <c r="H1357">
        <v>3.16</v>
      </c>
      <c r="I1357">
        <v>2.06</v>
      </c>
      <c r="J1357">
        <f t="shared" si="392"/>
        <v>2.61</v>
      </c>
      <c r="K1357" s="6">
        <f t="shared" si="393"/>
        <v>2.62</v>
      </c>
      <c r="L1357" s="6">
        <f t="shared" si="394"/>
        <v>-9.9999999999997868E-3</v>
      </c>
      <c r="M1357">
        <v>6.1799013344529001</v>
      </c>
      <c r="N1357">
        <v>407000</v>
      </c>
      <c r="O1357" s="18">
        <f>ROUND(N1357/VLOOKUP(EOMONTH(A1357,-1),Employment!A:P,16,FALSE),4)</f>
        <v>2.1107</v>
      </c>
      <c r="P1357" s="18">
        <f t="shared" si="384"/>
        <v>2.2503000000000002</v>
      </c>
      <c r="Q1357" s="29">
        <v>-0.15</v>
      </c>
      <c r="R1357" s="29">
        <f t="shared" si="386"/>
        <v>0</v>
      </c>
      <c r="S1357">
        <v>3210000</v>
      </c>
      <c r="T1357" s="18">
        <f>ROUND((S1357/7)/VLOOKUP(EOMONTH(A1357,-1),Employment!A:P,16,FALSE),4)</f>
        <v>2.3782000000000001</v>
      </c>
      <c r="U1357" s="18">
        <f t="shared" si="387"/>
        <v>2.4419</v>
      </c>
      <c r="V1357" s="29">
        <v>-0.17</v>
      </c>
      <c r="W1357" s="29">
        <f t="shared" si="389"/>
        <v>0</v>
      </c>
      <c r="X1357" s="30">
        <f t="shared" si="390"/>
        <v>116.31</v>
      </c>
      <c r="Y1357" s="31">
        <f t="shared" si="391"/>
        <v>114.89</v>
      </c>
    </row>
    <row r="1358" spans="1:25" ht="15" customHeight="1" x14ac:dyDescent="0.25">
      <c r="A1358" s="5">
        <v>33839</v>
      </c>
      <c r="B1358">
        <v>597.40719999999999</v>
      </c>
      <c r="C1358" s="29">
        <f t="shared" si="395"/>
        <v>-2.3999999999999998E-3</v>
      </c>
      <c r="D1358">
        <v>-0.82</v>
      </c>
      <c r="E1358" s="11">
        <v>-0.01</v>
      </c>
      <c r="F1358" s="18">
        <f t="shared" si="382"/>
        <v>-9.9999999999999645E-2</v>
      </c>
      <c r="G1358" s="18">
        <f t="shared" si="383"/>
        <v>-9.9999999999999645E-2</v>
      </c>
      <c r="H1358">
        <v>3.16</v>
      </c>
      <c r="I1358">
        <v>2.11</v>
      </c>
      <c r="J1358">
        <f t="shared" si="392"/>
        <v>2.64</v>
      </c>
      <c r="K1358" s="6">
        <f t="shared" si="393"/>
        <v>2.63</v>
      </c>
      <c r="L1358" s="6">
        <f t="shared" si="394"/>
        <v>2.9999999999999805E-2</v>
      </c>
      <c r="M1358">
        <v>4.9954952233069996</v>
      </c>
      <c r="N1358">
        <v>448500</v>
      </c>
      <c r="O1358" s="18">
        <f>ROUND(N1358/VLOOKUP(EOMONTH(A1358,-1),Employment!A:P,16,FALSE),4)</f>
        <v>2.3258999999999999</v>
      </c>
      <c r="P1358" s="18">
        <f t="shared" si="384"/>
        <v>2.319</v>
      </c>
      <c r="Q1358" s="29">
        <v>-0.15</v>
      </c>
      <c r="R1358" s="29">
        <f t="shared" si="386"/>
        <v>0</v>
      </c>
      <c r="S1358">
        <v>3211000</v>
      </c>
      <c r="T1358" s="18">
        <f>ROUND((S1358/7)/VLOOKUP(EOMONTH(A1358,-1),Employment!A:P,16,FALSE),4)</f>
        <v>2.3788999999999998</v>
      </c>
      <c r="U1358" s="18">
        <f t="shared" si="387"/>
        <v>2.4685999999999999</v>
      </c>
      <c r="V1358" s="29">
        <v>-0.17</v>
      </c>
      <c r="W1358" s="29">
        <f t="shared" si="389"/>
        <v>0</v>
      </c>
      <c r="X1358" s="30">
        <f t="shared" si="390"/>
        <v>113.55</v>
      </c>
      <c r="Y1358" s="31">
        <f t="shared" si="391"/>
        <v>114.22</v>
      </c>
    </row>
    <row r="1359" spans="1:25" ht="15" customHeight="1" x14ac:dyDescent="0.25">
      <c r="A1359" s="5">
        <v>33832</v>
      </c>
      <c r="B1359">
        <v>597.61890000000005</v>
      </c>
      <c r="C1359" s="29">
        <f t="shared" si="395"/>
        <v>-2.8E-3</v>
      </c>
      <c r="D1359">
        <v>-0.83</v>
      </c>
      <c r="E1359" s="11">
        <v>-0.01</v>
      </c>
      <c r="F1359" s="18">
        <f t="shared" ref="F1359:F1391" si="396">(((D1359*10)+(E1359*8))*-1)-(((D1360*10)+(E1360*8))*-1)</f>
        <v>-0.10000000000000142</v>
      </c>
      <c r="G1359" s="18">
        <f t="shared" ref="G1359:G1391" si="397">SUM(F1359:F1361)</f>
        <v>0</v>
      </c>
      <c r="H1359">
        <v>3.16</v>
      </c>
      <c r="I1359">
        <v>2.0699999999999998</v>
      </c>
      <c r="J1359">
        <f t="shared" si="392"/>
        <v>2.62</v>
      </c>
      <c r="K1359" s="6">
        <f t="shared" si="393"/>
        <v>2.6</v>
      </c>
      <c r="L1359" s="6">
        <f t="shared" si="394"/>
        <v>0</v>
      </c>
      <c r="M1359">
        <v>5.3275189187981997</v>
      </c>
      <c r="N1359">
        <v>446250</v>
      </c>
      <c r="O1359" s="18">
        <f>ROUND(N1359/VLOOKUP(EOMONTH(A1359,-1),Employment!A:P,16,FALSE),4)</f>
        <v>2.3142999999999998</v>
      </c>
      <c r="P1359" s="18">
        <f t="shared" ref="P1359:P1382" si="398">ROUND(AVERAGE(O1359:O1361),4)</f>
        <v>2.3090999999999999</v>
      </c>
      <c r="Q1359" s="29">
        <v>-0.15</v>
      </c>
      <c r="R1359" s="29">
        <f t="shared" ref="R1359:R1391" si="399">ROUND(AVERAGE(Q1359:Q1360)-AVERAGE(Q1359:Q1363),4)*-1</f>
        <v>0</v>
      </c>
      <c r="S1359">
        <v>3467000</v>
      </c>
      <c r="T1359" s="18">
        <f>ROUND((S1359/7)/VLOOKUP(EOMONTH(A1359,-1),Employment!A:P,16,FALSE),4)</f>
        <v>2.5686</v>
      </c>
      <c r="U1359" s="18">
        <f t="shared" ref="U1359:U1376" si="400">ROUND(AVERAGE(T1359:T1361),4)</f>
        <v>2.4752000000000001</v>
      </c>
      <c r="V1359" s="29">
        <v>-0.17</v>
      </c>
      <c r="W1359" s="29">
        <f t="shared" ref="W1359:W1391" si="401">ROUND(AVERAGE(V1359:V1360)-AVERAGE(V1359:V1363),4)*-1</f>
        <v>0</v>
      </c>
      <c r="X1359" s="30">
        <f t="shared" ref="X1359:X1385" si="402">IF(ROUND((C1359*500)-(D1359*10)-(E1359*8)+(M1359*1.2)-(P1359*23)-(Q1359*10)+(R1359*600)-(U1359*2)-(V1359*5)+(W1359*100)-(K1359*5)-(L1359*5)+(G1359*3),2)+170&lt;0,0,ROUND((C1359*500)-(D1359*10)-(E1359*8)+(M1359*1.2)-(P1359*23)-(Q1359*10)+(R1359*600)-(U1359*2)-(V1359*5)+(W1359*100)-(K1359*5)-(L1359*5)+(G1359*3),2)+170)</f>
        <v>114.66</v>
      </c>
      <c r="Y1359" s="31">
        <f t="shared" ref="Y1359:Y1385" si="403">ROUND(AVERAGE(AVERAGE(X1359:X1360),AVERAGE(X1359:X1361)),2)</f>
        <v>115.05</v>
      </c>
    </row>
    <row r="1360" spans="1:25" ht="15" customHeight="1" x14ac:dyDescent="0.25">
      <c r="A1360" s="5">
        <v>33825</v>
      </c>
      <c r="B1360">
        <v>597.03089999999997</v>
      </c>
      <c r="C1360" s="29">
        <f t="shared" si="395"/>
        <v>-5.7000000000000002E-3</v>
      </c>
      <c r="D1360">
        <v>-0.84</v>
      </c>
      <c r="E1360" s="11">
        <v>-0.01</v>
      </c>
      <c r="F1360" s="18">
        <f t="shared" si="396"/>
        <v>0.10000000000000142</v>
      </c>
      <c r="G1360" s="18">
        <f t="shared" si="397"/>
        <v>0.20000000000000107</v>
      </c>
      <c r="H1360">
        <v>3.16</v>
      </c>
      <c r="I1360">
        <v>2.0699999999999998</v>
      </c>
      <c r="J1360">
        <f t="shared" ref="J1360:J1391" si="404">ROUND(AVERAGE(H1360:I1360),2)</f>
        <v>2.62</v>
      </c>
      <c r="K1360" s="6">
        <f t="shared" ref="K1360:K1389" si="405">ROUND(AVERAGE(J1360:J1362),2)</f>
        <v>2.6</v>
      </c>
      <c r="L1360" s="6">
        <f t="shared" ref="L1360:L1390" si="406">K1360-K1361</f>
        <v>2.0000000000000018E-2</v>
      </c>
      <c r="M1360">
        <v>4.6933819311792</v>
      </c>
      <c r="N1360">
        <v>446750</v>
      </c>
      <c r="O1360" s="18">
        <f>ROUND(N1360/VLOOKUP(EOMONTH(A1360,-1),Employment!A:P,16,FALSE),4)</f>
        <v>2.3169</v>
      </c>
      <c r="P1360" s="18">
        <f t="shared" si="398"/>
        <v>2.2414000000000001</v>
      </c>
      <c r="Q1360" s="29">
        <v>-0.15</v>
      </c>
      <c r="R1360" s="29">
        <f t="shared" si="399"/>
        <v>0</v>
      </c>
      <c r="S1360">
        <v>3318000</v>
      </c>
      <c r="T1360" s="18">
        <f>ROUND((S1360/7)/VLOOKUP(EOMONTH(A1360,-1),Employment!A:P,16,FALSE),4)</f>
        <v>2.4582000000000002</v>
      </c>
      <c r="U1360" s="18">
        <f t="shared" si="400"/>
        <v>2.3860000000000001</v>
      </c>
      <c r="V1360" s="29">
        <v>-0.17</v>
      </c>
      <c r="W1360" s="29">
        <f t="shared" si="401"/>
        <v>0</v>
      </c>
      <c r="X1360" s="30">
        <f t="shared" si="402"/>
        <v>114.78999999999999</v>
      </c>
      <c r="Y1360" s="31">
        <f t="shared" si="403"/>
        <v>116.4</v>
      </c>
    </row>
    <row r="1361" spans="1:25" ht="15" customHeight="1" x14ac:dyDescent="0.25">
      <c r="A1361" s="5">
        <v>33818</v>
      </c>
      <c r="B1361">
        <v>599.03610000000003</v>
      </c>
      <c r="C1361" s="29">
        <f t="shared" si="395"/>
        <v>-2.8999999999999998E-3</v>
      </c>
      <c r="D1361">
        <v>-0.83</v>
      </c>
      <c r="E1361" s="11">
        <v>-0.01</v>
      </c>
      <c r="F1361" s="18">
        <f t="shared" si="396"/>
        <v>0</v>
      </c>
      <c r="G1361" s="18">
        <f t="shared" si="397"/>
        <v>0.19999999999999751</v>
      </c>
      <c r="H1361">
        <v>3.16</v>
      </c>
      <c r="I1361">
        <v>1.97</v>
      </c>
      <c r="J1361">
        <f t="shared" si="404"/>
        <v>2.57</v>
      </c>
      <c r="K1361" s="6">
        <f t="shared" si="405"/>
        <v>2.58</v>
      </c>
      <c r="L1361" s="6">
        <f t="shared" si="406"/>
        <v>0</v>
      </c>
      <c r="M1361">
        <v>3.8736752105052998</v>
      </c>
      <c r="N1361">
        <v>442750</v>
      </c>
      <c r="O1361" s="18">
        <f>ROUND(N1361/VLOOKUP(EOMONTH(A1361,-1),Employment!A:P,16,FALSE),4)</f>
        <v>2.2961</v>
      </c>
      <c r="P1361" s="18">
        <f t="shared" si="398"/>
        <v>2.1844999999999999</v>
      </c>
      <c r="Q1361" s="29">
        <v>-0.15</v>
      </c>
      <c r="R1361" s="29">
        <f t="shared" si="399"/>
        <v>0</v>
      </c>
      <c r="S1361">
        <v>3238000</v>
      </c>
      <c r="T1361" s="18">
        <f>ROUND((S1361/7)/VLOOKUP(EOMONTH(A1361,-1),Employment!A:P,16,FALSE),4)</f>
        <v>2.3988999999999998</v>
      </c>
      <c r="U1361" s="18">
        <f t="shared" si="400"/>
        <v>2.3605</v>
      </c>
      <c r="V1361" s="29">
        <v>-0.17</v>
      </c>
      <c r="W1361" s="29">
        <f t="shared" si="401"/>
        <v>0</v>
      </c>
      <c r="X1361" s="30">
        <f t="shared" si="402"/>
        <v>116.66</v>
      </c>
      <c r="Y1361" s="31">
        <f t="shared" si="403"/>
        <v>117.75</v>
      </c>
    </row>
    <row r="1362" spans="1:25" ht="15" customHeight="1" x14ac:dyDescent="0.25">
      <c r="A1362" s="5">
        <v>33811</v>
      </c>
      <c r="B1362">
        <v>601.61490000000003</v>
      </c>
      <c r="C1362" s="29">
        <f t="shared" ref="C1362:C1387" si="407">ROUND((B1362-AVERAGE(B1363:B1366))/AVERAGE(B1363:B1366),4)</f>
        <v>1.8E-3</v>
      </c>
      <c r="D1362">
        <v>-0.83</v>
      </c>
      <c r="E1362" s="11">
        <v>-0.01</v>
      </c>
      <c r="F1362" s="18">
        <f t="shared" si="396"/>
        <v>9.9999999999999645E-2</v>
      </c>
      <c r="G1362" s="18">
        <f t="shared" si="397"/>
        <v>9.9999999999999645E-2</v>
      </c>
      <c r="H1362">
        <v>3.16</v>
      </c>
      <c r="I1362">
        <v>2.06</v>
      </c>
      <c r="J1362">
        <f t="shared" si="404"/>
        <v>2.61</v>
      </c>
      <c r="K1362" s="6">
        <f t="shared" si="405"/>
        <v>2.58</v>
      </c>
      <c r="L1362" s="6">
        <f t="shared" si="406"/>
        <v>1.0000000000000231E-2</v>
      </c>
      <c r="M1362">
        <v>3.9599841126450999</v>
      </c>
      <c r="N1362">
        <v>406750</v>
      </c>
      <c r="O1362" s="18">
        <f>ROUND(N1362/VLOOKUP(EOMONTH(A1362,-1),Employment!A:P,16,FALSE),4)</f>
        <v>2.1112000000000002</v>
      </c>
      <c r="P1362" s="18">
        <f t="shared" si="398"/>
        <v>2.1396999999999999</v>
      </c>
      <c r="Q1362" s="29">
        <v>-0.15</v>
      </c>
      <c r="R1362" s="29">
        <f t="shared" si="399"/>
        <v>0</v>
      </c>
      <c r="S1362">
        <v>3103000</v>
      </c>
      <c r="T1362" s="18">
        <f>ROUND((S1362/7)/VLOOKUP(EOMONTH(A1362,-1),Employment!A:P,16,FALSE),4)</f>
        <v>2.3008000000000002</v>
      </c>
      <c r="U1362" s="18">
        <f t="shared" si="400"/>
        <v>2.3864000000000001</v>
      </c>
      <c r="V1362" s="29">
        <v>-0.17</v>
      </c>
      <c r="W1362" s="29">
        <f t="shared" si="401"/>
        <v>0</v>
      </c>
      <c r="X1362" s="30">
        <f t="shared" si="402"/>
        <v>119.75</v>
      </c>
      <c r="Y1362" s="31">
        <f t="shared" si="403"/>
        <v>117.5</v>
      </c>
    </row>
    <row r="1363" spans="1:25" ht="15" customHeight="1" x14ac:dyDescent="0.25">
      <c r="A1363" s="5">
        <v>33804</v>
      </c>
      <c r="B1363">
        <v>599.51239999999996</v>
      </c>
      <c r="C1363" s="29">
        <f t="shared" si="407"/>
        <v>-2.5000000000000001E-3</v>
      </c>
      <c r="D1363">
        <v>-0.82</v>
      </c>
      <c r="E1363" s="11">
        <v>-0.01</v>
      </c>
      <c r="F1363" s="18">
        <f t="shared" si="396"/>
        <v>9.9999999999997868E-2</v>
      </c>
      <c r="G1363" s="18">
        <f t="shared" si="397"/>
        <v>0</v>
      </c>
      <c r="H1363">
        <v>3.16</v>
      </c>
      <c r="I1363">
        <v>1.97</v>
      </c>
      <c r="J1363">
        <f t="shared" si="404"/>
        <v>2.57</v>
      </c>
      <c r="K1363" s="6">
        <f t="shared" si="405"/>
        <v>2.57</v>
      </c>
      <c r="L1363" s="6">
        <f t="shared" si="406"/>
        <v>2.0000000000000018E-2</v>
      </c>
      <c r="M1363">
        <v>2.9758773220572001</v>
      </c>
      <c r="N1363">
        <v>413500</v>
      </c>
      <c r="O1363" s="18">
        <f>ROUND(N1363/VLOOKUP(EOMONTH(A1363,-1),Employment!A:P,16,FALSE),4)</f>
        <v>2.1461999999999999</v>
      </c>
      <c r="P1363" s="18">
        <f t="shared" si="398"/>
        <v>2.1604999999999999</v>
      </c>
      <c r="Q1363" s="29">
        <v>-0.15</v>
      </c>
      <c r="R1363" s="29">
        <f t="shared" si="399"/>
        <v>0</v>
      </c>
      <c r="S1363">
        <v>3212000</v>
      </c>
      <c r="T1363" s="18">
        <f>ROUND((S1363/7)/VLOOKUP(EOMONTH(A1363,-1),Employment!A:P,16,FALSE),4)</f>
        <v>2.3816999999999999</v>
      </c>
      <c r="U1363" s="18">
        <f t="shared" si="400"/>
        <v>2.4310999999999998</v>
      </c>
      <c r="V1363" s="29">
        <v>-0.17</v>
      </c>
      <c r="W1363" s="29">
        <f t="shared" si="401"/>
        <v>0</v>
      </c>
      <c r="X1363" s="30">
        <f t="shared" si="402"/>
        <v>115.45</v>
      </c>
      <c r="Y1363" s="31">
        <f t="shared" si="403"/>
        <v>116.19</v>
      </c>
    </row>
    <row r="1364" spans="1:25" ht="15" customHeight="1" x14ac:dyDescent="0.25">
      <c r="A1364" s="5">
        <v>33797</v>
      </c>
      <c r="B1364">
        <v>601.63639999999998</v>
      </c>
      <c r="C1364" s="29">
        <f t="shared" si="407"/>
        <v>1E-3</v>
      </c>
      <c r="D1364">
        <v>-0.81</v>
      </c>
      <c r="E1364" s="11">
        <v>-0.01</v>
      </c>
      <c r="F1364" s="18">
        <f t="shared" si="396"/>
        <v>-9.9999999999997868E-2</v>
      </c>
      <c r="G1364" s="18">
        <f t="shared" si="397"/>
        <v>-9.9999999999997868E-2</v>
      </c>
      <c r="H1364">
        <v>3.16</v>
      </c>
      <c r="I1364">
        <v>1.95</v>
      </c>
      <c r="J1364">
        <f t="shared" si="404"/>
        <v>2.56</v>
      </c>
      <c r="K1364" s="6">
        <f t="shared" si="405"/>
        <v>2.5499999999999998</v>
      </c>
      <c r="L1364" s="6">
        <f t="shared" si="406"/>
        <v>2.9999999999999805E-2</v>
      </c>
      <c r="M1364">
        <v>3.2477843462556999</v>
      </c>
      <c r="N1364">
        <v>416500</v>
      </c>
      <c r="O1364" s="18">
        <f>ROUND(N1364/VLOOKUP(EOMONTH(A1364,-1),Employment!A:P,16,FALSE),4)</f>
        <v>2.1617999999999999</v>
      </c>
      <c r="P1364" s="18">
        <f t="shared" si="398"/>
        <v>2.1663000000000001</v>
      </c>
      <c r="Q1364" s="29">
        <v>-0.15</v>
      </c>
      <c r="R1364" s="29">
        <f t="shared" si="399"/>
        <v>0</v>
      </c>
      <c r="S1364">
        <v>3340000</v>
      </c>
      <c r="T1364" s="18">
        <f>ROUND((S1364/7)/VLOOKUP(EOMONTH(A1364,-1),Employment!A:P,16,FALSE),4)</f>
        <v>2.4765999999999999</v>
      </c>
      <c r="U1364" s="18">
        <f t="shared" si="400"/>
        <v>2.4460999999999999</v>
      </c>
      <c r="V1364" s="29">
        <v>-0.17</v>
      </c>
      <c r="W1364" s="29">
        <f t="shared" si="401"/>
        <v>0</v>
      </c>
      <c r="X1364" s="30">
        <f t="shared" si="402"/>
        <v>117.00999999999999</v>
      </c>
      <c r="Y1364" s="31">
        <f t="shared" si="403"/>
        <v>116.69</v>
      </c>
    </row>
    <row r="1365" spans="1:25" ht="15" customHeight="1" x14ac:dyDescent="0.25">
      <c r="A1365" s="5">
        <v>33790</v>
      </c>
      <c r="B1365">
        <v>600.37199999999996</v>
      </c>
      <c r="C1365" s="29">
        <f t="shared" si="407"/>
        <v>-1.8E-3</v>
      </c>
      <c r="D1365">
        <v>-0.82</v>
      </c>
      <c r="E1365" s="11">
        <v>-0.01</v>
      </c>
      <c r="F1365" s="18">
        <f t="shared" si="396"/>
        <v>0</v>
      </c>
      <c r="G1365" s="18">
        <f t="shared" si="397"/>
        <v>0</v>
      </c>
      <c r="H1365">
        <v>3.16</v>
      </c>
      <c r="I1365">
        <v>1.99</v>
      </c>
      <c r="J1365">
        <f t="shared" si="404"/>
        <v>2.58</v>
      </c>
      <c r="K1365" s="6">
        <f t="shared" si="405"/>
        <v>2.52</v>
      </c>
      <c r="L1365" s="6">
        <f t="shared" si="406"/>
        <v>4.0000000000000036E-2</v>
      </c>
      <c r="M1365">
        <v>3.0858074308279</v>
      </c>
      <c r="N1365">
        <v>418750</v>
      </c>
      <c r="O1365" s="18">
        <f>ROUND(N1365/VLOOKUP(EOMONTH(A1365,-1),Employment!A:P,16,FALSE),4)</f>
        <v>2.1735000000000002</v>
      </c>
      <c r="P1365" s="18">
        <f t="shared" si="398"/>
        <v>2.1646999999999998</v>
      </c>
      <c r="Q1365" s="29">
        <v>-0.15</v>
      </c>
      <c r="R1365" s="29">
        <f t="shared" si="399"/>
        <v>0</v>
      </c>
      <c r="S1365">
        <v>3284000</v>
      </c>
      <c r="T1365" s="18">
        <f>ROUND((S1365/7)/VLOOKUP(EOMONTH(A1365,-1),Employment!A:P,16,FALSE),4)</f>
        <v>2.4350000000000001</v>
      </c>
      <c r="U1365" s="18">
        <f t="shared" si="400"/>
        <v>2.4281999999999999</v>
      </c>
      <c r="V1365" s="29">
        <v>-0.17</v>
      </c>
      <c r="W1365" s="29">
        <f t="shared" si="401"/>
        <v>0</v>
      </c>
      <c r="X1365" s="30">
        <f t="shared" si="402"/>
        <v>115.99000000000001</v>
      </c>
      <c r="Y1365" s="31">
        <f t="shared" si="403"/>
        <v>117.11</v>
      </c>
    </row>
    <row r="1366" spans="1:25" ht="15" customHeight="1" x14ac:dyDescent="0.25">
      <c r="A1366" s="5">
        <v>33783</v>
      </c>
      <c r="B1366">
        <v>600.63440000000003</v>
      </c>
      <c r="C1366" s="29">
        <f t="shared" si="407"/>
        <v>-2E-3</v>
      </c>
      <c r="D1366">
        <v>-0.82</v>
      </c>
      <c r="E1366" s="11">
        <v>-0.01</v>
      </c>
      <c r="F1366" s="18">
        <f t="shared" si="396"/>
        <v>0</v>
      </c>
      <c r="G1366" s="18">
        <f t="shared" si="397"/>
        <v>0</v>
      </c>
      <c r="H1366">
        <v>3.16</v>
      </c>
      <c r="I1366">
        <v>1.85</v>
      </c>
      <c r="J1366">
        <f t="shared" si="404"/>
        <v>2.5099999999999998</v>
      </c>
      <c r="K1366" s="6">
        <f t="shared" si="405"/>
        <v>2.48</v>
      </c>
      <c r="L1366" s="6">
        <f t="shared" si="406"/>
        <v>9.9999999999997868E-3</v>
      </c>
      <c r="M1366">
        <v>4.1233060286010002</v>
      </c>
      <c r="N1366">
        <v>416500</v>
      </c>
      <c r="O1366" s="18">
        <f>ROUND(N1366/VLOOKUP(EOMONTH(A1366,-1),Employment!A:P,16,FALSE),4)</f>
        <v>2.1636000000000002</v>
      </c>
      <c r="P1366" s="18">
        <f t="shared" si="398"/>
        <v>2.1566999999999998</v>
      </c>
      <c r="Q1366" s="29">
        <v>-0.15</v>
      </c>
      <c r="R1366" s="29">
        <f t="shared" si="399"/>
        <v>0</v>
      </c>
      <c r="S1366">
        <v>3270000</v>
      </c>
      <c r="T1366" s="18">
        <f>ROUND((S1366/7)/VLOOKUP(EOMONTH(A1366,-1),Employment!A:P,16,FALSE),4)</f>
        <v>2.4266999999999999</v>
      </c>
      <c r="U1366" s="18">
        <f t="shared" si="400"/>
        <v>2.4556</v>
      </c>
      <c r="V1366" s="29">
        <v>-0.17</v>
      </c>
      <c r="W1366" s="29">
        <f t="shared" si="401"/>
        <v>0</v>
      </c>
      <c r="X1366" s="30">
        <f t="shared" si="402"/>
        <v>117.61</v>
      </c>
      <c r="Y1366" s="31">
        <f t="shared" si="403"/>
        <v>118.29</v>
      </c>
    </row>
    <row r="1367" spans="1:25" ht="15" customHeight="1" x14ac:dyDescent="0.25">
      <c r="A1367" s="5">
        <v>33776</v>
      </c>
      <c r="B1367">
        <v>601.48239999999998</v>
      </c>
      <c r="C1367" s="29">
        <f t="shared" si="407"/>
        <v>-1.1999999999999999E-3</v>
      </c>
      <c r="D1367">
        <v>-0.82</v>
      </c>
      <c r="E1367" s="11">
        <v>-0.01</v>
      </c>
      <c r="F1367" s="18">
        <f t="shared" si="396"/>
        <v>0</v>
      </c>
      <c r="G1367" s="18">
        <f t="shared" si="397"/>
        <v>9.9999999999997868E-2</v>
      </c>
      <c r="H1367">
        <v>3.16</v>
      </c>
      <c r="I1367">
        <v>1.8</v>
      </c>
      <c r="J1367">
        <f t="shared" si="404"/>
        <v>2.48</v>
      </c>
      <c r="K1367" s="6">
        <f t="shared" si="405"/>
        <v>2.4700000000000002</v>
      </c>
      <c r="L1367" s="6">
        <f t="shared" si="406"/>
        <v>0</v>
      </c>
      <c r="M1367">
        <v>4.2719267814539998</v>
      </c>
      <c r="N1367">
        <v>415250</v>
      </c>
      <c r="O1367" s="18">
        <f>ROUND(N1367/VLOOKUP(EOMONTH(A1367,-1),Employment!A:P,16,FALSE),4)</f>
        <v>2.1570999999999998</v>
      </c>
      <c r="P1367" s="18">
        <f t="shared" si="398"/>
        <v>2.1522999999999999</v>
      </c>
      <c r="Q1367" s="29">
        <v>-0.15</v>
      </c>
      <c r="R1367" s="29">
        <f t="shared" si="399"/>
        <v>0</v>
      </c>
      <c r="S1367">
        <v>3265000</v>
      </c>
      <c r="T1367" s="18">
        <f>ROUND((S1367/7)/VLOOKUP(EOMONTH(A1367,-1),Employment!A:P,16,FALSE),4)</f>
        <v>2.423</v>
      </c>
      <c r="U1367" s="18">
        <f t="shared" si="400"/>
        <v>2.4592999999999998</v>
      </c>
      <c r="V1367" s="29">
        <v>-0.17</v>
      </c>
      <c r="W1367" s="29">
        <f t="shared" si="401"/>
        <v>0</v>
      </c>
      <c r="X1367" s="30">
        <f t="shared" si="402"/>
        <v>118.68</v>
      </c>
      <c r="Y1367" s="31">
        <f t="shared" si="403"/>
        <v>119.05</v>
      </c>
    </row>
    <row r="1368" spans="1:25" ht="15" customHeight="1" x14ac:dyDescent="0.25">
      <c r="A1368" s="5">
        <v>33769</v>
      </c>
      <c r="B1368">
        <v>601.60990000000004</v>
      </c>
      <c r="C1368" s="29">
        <f t="shared" si="407"/>
        <v>-1.1999999999999999E-3</v>
      </c>
      <c r="D1368">
        <v>-0.82</v>
      </c>
      <c r="E1368" s="11">
        <v>-0.01</v>
      </c>
      <c r="F1368" s="18">
        <f t="shared" si="396"/>
        <v>0</v>
      </c>
      <c r="G1368" s="18">
        <f t="shared" si="397"/>
        <v>0.29999999999999893</v>
      </c>
      <c r="H1368">
        <v>3.16</v>
      </c>
      <c r="I1368">
        <v>1.76</v>
      </c>
      <c r="J1368">
        <f t="shared" si="404"/>
        <v>2.46</v>
      </c>
      <c r="K1368" s="6">
        <f t="shared" si="405"/>
        <v>2.4700000000000002</v>
      </c>
      <c r="L1368" s="6">
        <f t="shared" si="406"/>
        <v>1.0000000000000231E-2</v>
      </c>
      <c r="M1368">
        <v>4.24328041384</v>
      </c>
      <c r="N1368">
        <v>413750</v>
      </c>
      <c r="O1368" s="18">
        <f>ROUND(N1368/VLOOKUP(EOMONTH(A1368,-1),Employment!A:P,16,FALSE),4)</f>
        <v>2.1493000000000002</v>
      </c>
      <c r="P1368" s="18">
        <f t="shared" si="398"/>
        <v>2.1594000000000002</v>
      </c>
      <c r="Q1368" s="29">
        <v>-0.15</v>
      </c>
      <c r="R1368" s="29">
        <f t="shared" si="399"/>
        <v>0</v>
      </c>
      <c r="S1368">
        <v>3392000</v>
      </c>
      <c r="T1368" s="18">
        <f>ROUND((S1368/7)/VLOOKUP(EOMONTH(A1368,-1),Employment!A:P,16,FALSE),4)</f>
        <v>2.5171999999999999</v>
      </c>
      <c r="U1368" s="18">
        <f t="shared" si="400"/>
        <v>2.4676</v>
      </c>
      <c r="V1368" s="29">
        <v>-0.17</v>
      </c>
      <c r="W1368" s="29">
        <f t="shared" si="401"/>
        <v>0</v>
      </c>
      <c r="X1368" s="30">
        <f t="shared" si="402"/>
        <v>119.02000000000001</v>
      </c>
      <c r="Y1368" s="31">
        <f t="shared" si="403"/>
        <v>119.43</v>
      </c>
    </row>
    <row r="1369" spans="1:25" ht="15" customHeight="1" x14ac:dyDescent="0.25">
      <c r="A1369" s="5">
        <v>33762</v>
      </c>
      <c r="B1369">
        <v>601.99310000000003</v>
      </c>
      <c r="C1369" s="29">
        <f t="shared" si="407"/>
        <v>-4.0000000000000002E-4</v>
      </c>
      <c r="D1369">
        <v>-0.82</v>
      </c>
      <c r="E1369" s="11">
        <v>-0.01</v>
      </c>
      <c r="F1369" s="18">
        <f t="shared" si="396"/>
        <v>9.9999999999997868E-2</v>
      </c>
      <c r="G1369" s="18">
        <f t="shared" si="397"/>
        <v>0.59999999999999964</v>
      </c>
      <c r="H1369">
        <v>3.16</v>
      </c>
      <c r="I1369">
        <v>1.77</v>
      </c>
      <c r="J1369">
        <f t="shared" si="404"/>
        <v>2.4700000000000002</v>
      </c>
      <c r="K1369" s="6">
        <f t="shared" si="405"/>
        <v>2.46</v>
      </c>
      <c r="L1369" s="6">
        <f t="shared" si="406"/>
        <v>0</v>
      </c>
      <c r="M1369">
        <v>4.1723570974303001</v>
      </c>
      <c r="N1369">
        <v>414000</v>
      </c>
      <c r="O1369" s="18">
        <f>ROUND(N1369/VLOOKUP(EOMONTH(A1369,-1),Employment!A:P,16,FALSE),4)</f>
        <v>2.1505999999999998</v>
      </c>
      <c r="P1369" s="18">
        <f t="shared" si="398"/>
        <v>2.1734</v>
      </c>
      <c r="Q1369" s="29">
        <v>-0.15</v>
      </c>
      <c r="R1369" s="29">
        <f t="shared" si="399"/>
        <v>0</v>
      </c>
      <c r="S1369">
        <v>3285000</v>
      </c>
      <c r="T1369" s="18">
        <f>ROUND((S1369/7)/VLOOKUP(EOMONTH(A1369,-1),Employment!A:P,16,FALSE),4)</f>
        <v>2.4378000000000002</v>
      </c>
      <c r="U1369" s="18">
        <f t="shared" si="400"/>
        <v>2.4588999999999999</v>
      </c>
      <c r="V1369" s="29">
        <v>-0.17</v>
      </c>
      <c r="W1369" s="29">
        <f t="shared" si="401"/>
        <v>0</v>
      </c>
      <c r="X1369" s="30">
        <f t="shared" si="402"/>
        <v>120.03</v>
      </c>
      <c r="Y1369" s="31">
        <f t="shared" si="403"/>
        <v>119.33</v>
      </c>
    </row>
    <row r="1370" spans="1:25" ht="15" customHeight="1" x14ac:dyDescent="0.25">
      <c r="A1370" s="5">
        <v>33755</v>
      </c>
      <c r="B1370">
        <v>602.27719999999999</v>
      </c>
      <c r="C1370" s="29">
        <f t="shared" si="407"/>
        <v>-4.0000000000000002E-4</v>
      </c>
      <c r="D1370">
        <v>-0.81</v>
      </c>
      <c r="E1370" s="11">
        <v>-0.01</v>
      </c>
      <c r="F1370" s="18">
        <f t="shared" si="396"/>
        <v>0.20000000000000107</v>
      </c>
      <c r="G1370" s="18">
        <f t="shared" si="397"/>
        <v>0.8000000000000016</v>
      </c>
      <c r="H1370">
        <v>3.16</v>
      </c>
      <c r="I1370">
        <v>1.77</v>
      </c>
      <c r="J1370">
        <f t="shared" si="404"/>
        <v>2.4700000000000002</v>
      </c>
      <c r="K1370" s="6">
        <f t="shared" si="405"/>
        <v>2.46</v>
      </c>
      <c r="L1370" s="6">
        <f t="shared" si="406"/>
        <v>0</v>
      </c>
      <c r="M1370">
        <v>3.2599111069737998</v>
      </c>
      <c r="N1370">
        <v>419000</v>
      </c>
      <c r="O1370" s="18">
        <f>ROUND(N1370/VLOOKUP(EOMONTH(A1370,-1),Employment!A:P,16,FALSE),4)</f>
        <v>2.1783000000000001</v>
      </c>
      <c r="P1370" s="18">
        <f t="shared" si="398"/>
        <v>2.1913</v>
      </c>
      <c r="Q1370" s="29">
        <v>-0.15</v>
      </c>
      <c r="R1370" s="29">
        <f t="shared" si="399"/>
        <v>0</v>
      </c>
      <c r="S1370">
        <v>3296000</v>
      </c>
      <c r="T1370" s="18">
        <f>ROUND((S1370/7)/VLOOKUP(EOMONTH(A1370,-1),Employment!A:P,16,FALSE),4)</f>
        <v>2.4479000000000002</v>
      </c>
      <c r="U1370" s="18">
        <f t="shared" si="400"/>
        <v>2.4872000000000001</v>
      </c>
      <c r="V1370" s="29">
        <v>-0.17</v>
      </c>
      <c r="W1370" s="29">
        <f t="shared" si="401"/>
        <v>0</v>
      </c>
      <c r="X1370" s="30">
        <f t="shared" si="402"/>
        <v>118.97</v>
      </c>
      <c r="Y1370" s="31">
        <f t="shared" si="403"/>
        <v>118.65</v>
      </c>
    </row>
    <row r="1371" spans="1:25" ht="15" customHeight="1" x14ac:dyDescent="0.25">
      <c r="A1371" s="5">
        <v>33748</v>
      </c>
      <c r="B1371">
        <v>602.91309999999999</v>
      </c>
      <c r="C1371" s="29">
        <f t="shared" si="407"/>
        <v>-5.0000000000000001E-4</v>
      </c>
      <c r="D1371">
        <v>-0.79</v>
      </c>
      <c r="E1371" s="11">
        <v>-0.01</v>
      </c>
      <c r="F1371" s="18">
        <f t="shared" si="396"/>
        <v>0.30000000000000071</v>
      </c>
      <c r="G1371" s="18">
        <f t="shared" si="397"/>
        <v>0.90000000000000036</v>
      </c>
      <c r="H1371">
        <v>3.16</v>
      </c>
      <c r="I1371">
        <v>1.72</v>
      </c>
      <c r="J1371">
        <f t="shared" si="404"/>
        <v>2.44</v>
      </c>
      <c r="K1371" s="6">
        <f t="shared" si="405"/>
        <v>2.46</v>
      </c>
      <c r="L1371" s="6">
        <f t="shared" si="406"/>
        <v>2.0000000000000018E-2</v>
      </c>
      <c r="M1371">
        <v>3.0514147456096001</v>
      </c>
      <c r="N1371">
        <v>421500</v>
      </c>
      <c r="O1371" s="18">
        <f>ROUND(N1371/VLOOKUP(EOMONTH(A1371,-1),Employment!A:P,16,FALSE),4)</f>
        <v>2.1913</v>
      </c>
      <c r="P1371" s="18">
        <f t="shared" si="398"/>
        <v>2.1981999999999999</v>
      </c>
      <c r="Q1371" s="29">
        <v>-0.15</v>
      </c>
      <c r="R1371" s="29">
        <f t="shared" si="399"/>
        <v>0</v>
      </c>
      <c r="S1371">
        <v>3354000</v>
      </c>
      <c r="T1371" s="18">
        <f>ROUND((S1371/7)/VLOOKUP(EOMONTH(A1371,-1),Employment!A:P,16,FALSE),4)</f>
        <v>2.4908999999999999</v>
      </c>
      <c r="U1371" s="18">
        <f t="shared" si="400"/>
        <v>2.5043000000000002</v>
      </c>
      <c r="V1371" s="29">
        <v>-0.17</v>
      </c>
      <c r="W1371" s="29">
        <f t="shared" si="401"/>
        <v>0</v>
      </c>
      <c r="X1371" s="30">
        <f t="shared" si="402"/>
        <v>118.47</v>
      </c>
      <c r="Y1371" s="31">
        <f t="shared" si="403"/>
        <v>118.09</v>
      </c>
    </row>
    <row r="1372" spans="1:25" ht="15" customHeight="1" x14ac:dyDescent="0.25">
      <c r="A1372" s="5">
        <v>33741</v>
      </c>
      <c r="B1372">
        <v>602.17060000000004</v>
      </c>
      <c r="C1372" s="29">
        <f t="shared" si="407"/>
        <v>-3.8E-3</v>
      </c>
      <c r="D1372">
        <v>-0.76</v>
      </c>
      <c r="E1372" s="11">
        <v>-0.01</v>
      </c>
      <c r="F1372" s="18">
        <f t="shared" si="396"/>
        <v>0.29999999999999982</v>
      </c>
      <c r="G1372" s="18">
        <f t="shared" si="397"/>
        <v>0.99999999999999911</v>
      </c>
      <c r="H1372">
        <v>3.16</v>
      </c>
      <c r="I1372">
        <v>1.8</v>
      </c>
      <c r="J1372">
        <f t="shared" si="404"/>
        <v>2.48</v>
      </c>
      <c r="K1372" s="6">
        <f t="shared" si="405"/>
        <v>2.44</v>
      </c>
      <c r="L1372" s="6">
        <f t="shared" si="406"/>
        <v>9.9999999999997868E-3</v>
      </c>
      <c r="M1372">
        <v>4.0387256314988997</v>
      </c>
      <c r="N1372">
        <v>424000</v>
      </c>
      <c r="O1372" s="18">
        <f>ROUND(N1372/VLOOKUP(EOMONTH(A1372,-1),Employment!A:P,16,FALSE),4)</f>
        <v>2.2042999999999999</v>
      </c>
      <c r="P1372" s="18">
        <f t="shared" si="398"/>
        <v>2.1926000000000001</v>
      </c>
      <c r="Q1372" s="29">
        <v>-0.15</v>
      </c>
      <c r="R1372" s="29">
        <f t="shared" si="399"/>
        <v>0</v>
      </c>
      <c r="S1372">
        <v>3397000</v>
      </c>
      <c r="T1372" s="18">
        <f>ROUND((S1372/7)/VLOOKUP(EOMONTH(A1372,-1),Employment!A:P,16,FALSE),4)</f>
        <v>2.5228999999999999</v>
      </c>
      <c r="U1372" s="18">
        <f t="shared" si="400"/>
        <v>2.5005999999999999</v>
      </c>
      <c r="V1372" s="29">
        <v>-0.17</v>
      </c>
      <c r="W1372" s="29">
        <f t="shared" si="401"/>
        <v>0</v>
      </c>
      <c r="X1372" s="30">
        <f t="shared" si="402"/>
        <v>118.3</v>
      </c>
      <c r="Y1372" s="31">
        <f t="shared" si="403"/>
        <v>117.31</v>
      </c>
    </row>
    <row r="1373" spans="1:25" ht="15" customHeight="1" x14ac:dyDescent="0.25">
      <c r="A1373" s="5">
        <v>33734</v>
      </c>
      <c r="B1373">
        <v>601.60630000000003</v>
      </c>
      <c r="C1373" s="29">
        <f t="shared" si="407"/>
        <v>-6.7999999999999996E-3</v>
      </c>
      <c r="D1373">
        <v>-0.73</v>
      </c>
      <c r="E1373" s="11">
        <v>-0.01</v>
      </c>
      <c r="F1373" s="18">
        <f t="shared" si="396"/>
        <v>0.29999999999999982</v>
      </c>
      <c r="G1373" s="18">
        <f t="shared" si="397"/>
        <v>1</v>
      </c>
      <c r="H1373">
        <v>3.16</v>
      </c>
      <c r="I1373">
        <v>1.74</v>
      </c>
      <c r="J1373">
        <f t="shared" si="404"/>
        <v>2.4500000000000002</v>
      </c>
      <c r="K1373" s="6">
        <f t="shared" si="405"/>
        <v>2.4300000000000002</v>
      </c>
      <c r="L1373" s="6">
        <f t="shared" si="406"/>
        <v>0</v>
      </c>
      <c r="M1373">
        <v>3.7896515858619</v>
      </c>
      <c r="N1373">
        <v>423000</v>
      </c>
      <c r="O1373" s="18">
        <f>ROUND(N1373/VLOOKUP(EOMONTH(A1373,-1),Employment!A:P,16,FALSE),4)</f>
        <v>2.1991000000000001</v>
      </c>
      <c r="P1373" s="18">
        <f t="shared" si="398"/>
        <v>2.1815000000000002</v>
      </c>
      <c r="Q1373" s="29">
        <v>-0.15</v>
      </c>
      <c r="R1373" s="29">
        <f t="shared" si="399"/>
        <v>0</v>
      </c>
      <c r="S1373">
        <v>3365000</v>
      </c>
      <c r="T1373" s="18">
        <f>ROUND((S1373/7)/VLOOKUP(EOMONTH(A1373,-1),Employment!A:P,16,FALSE),4)</f>
        <v>2.4990999999999999</v>
      </c>
      <c r="U1373" s="18">
        <f t="shared" si="400"/>
        <v>2.4742000000000002</v>
      </c>
      <c r="V1373" s="29">
        <v>-0.17</v>
      </c>
      <c r="W1373" s="29">
        <f t="shared" si="401"/>
        <v>0</v>
      </c>
      <c r="X1373" s="30">
        <f t="shared" si="402"/>
        <v>116.6</v>
      </c>
      <c r="Y1373" s="31">
        <f t="shared" si="403"/>
        <v>116.63</v>
      </c>
    </row>
    <row r="1374" spans="1:25" ht="15" customHeight="1" x14ac:dyDescent="0.25">
      <c r="A1374" s="5">
        <v>33727</v>
      </c>
      <c r="B1374">
        <v>603.33240000000001</v>
      </c>
      <c r="C1374" s="29">
        <f t="shared" si="407"/>
        <v>-5.4000000000000003E-3</v>
      </c>
      <c r="D1374">
        <v>-0.7</v>
      </c>
      <c r="E1374" s="11">
        <v>-0.01</v>
      </c>
      <c r="F1374" s="18">
        <f t="shared" si="396"/>
        <v>0.39999999999999947</v>
      </c>
      <c r="G1374" s="18">
        <f t="shared" si="397"/>
        <v>0.90000000000000036</v>
      </c>
      <c r="H1374">
        <v>3.16</v>
      </c>
      <c r="I1374">
        <v>1.64</v>
      </c>
      <c r="J1374">
        <f t="shared" si="404"/>
        <v>2.4</v>
      </c>
      <c r="K1374" s="6">
        <f t="shared" si="405"/>
        <v>2.4300000000000002</v>
      </c>
      <c r="L1374" s="6">
        <f t="shared" si="406"/>
        <v>-2.0000000000000018E-2</v>
      </c>
      <c r="M1374">
        <v>3.5656955003450999</v>
      </c>
      <c r="N1374">
        <v>418250</v>
      </c>
      <c r="O1374" s="18">
        <f>ROUND(N1374/VLOOKUP(EOMONTH(A1374,-1),Employment!A:P,16,FALSE),4)</f>
        <v>2.1743999999999999</v>
      </c>
      <c r="P1374" s="18">
        <f t="shared" si="398"/>
        <v>2.1789999999999998</v>
      </c>
      <c r="Q1374" s="29">
        <v>-0.15</v>
      </c>
      <c r="R1374" s="29">
        <f t="shared" si="399"/>
        <v>0</v>
      </c>
      <c r="S1374">
        <v>3339000</v>
      </c>
      <c r="T1374" s="18">
        <f>ROUND((S1374/7)/VLOOKUP(EOMONTH(A1374,-1),Employment!A:P,16,FALSE),4)</f>
        <v>2.4798</v>
      </c>
      <c r="U1374" s="18">
        <f t="shared" si="400"/>
        <v>2.4792999999999998</v>
      </c>
      <c r="V1374" s="29">
        <v>-0.17</v>
      </c>
      <c r="W1374" s="29">
        <f t="shared" si="401"/>
        <v>0</v>
      </c>
      <c r="X1374" s="30">
        <f t="shared" si="402"/>
        <v>116.58</v>
      </c>
      <c r="Y1374" s="31">
        <f t="shared" si="403"/>
        <v>116.3</v>
      </c>
    </row>
    <row r="1375" spans="1:25" ht="15" customHeight="1" x14ac:dyDescent="0.25">
      <c r="A1375" s="5">
        <v>33720</v>
      </c>
      <c r="B1375">
        <v>605.74149999999997</v>
      </c>
      <c r="C1375" s="29">
        <f>ROUND((B1375-AVERAGE(B1376:B1379))/AVERAGE(B1376:B1379),4)</f>
        <v>-1.5E-3</v>
      </c>
      <c r="D1375">
        <v>-0.66</v>
      </c>
      <c r="E1375" s="11">
        <v>-0.01</v>
      </c>
      <c r="F1375" s="18">
        <f t="shared" si="396"/>
        <v>0.30000000000000071</v>
      </c>
      <c r="G1375" s="18">
        <f t="shared" si="397"/>
        <v>0.50000000000000089</v>
      </c>
      <c r="H1375">
        <v>3.16</v>
      </c>
      <c r="I1375">
        <v>1.69</v>
      </c>
      <c r="J1375">
        <f t="shared" si="404"/>
        <v>2.4300000000000002</v>
      </c>
      <c r="K1375" s="6">
        <f t="shared" si="405"/>
        <v>2.4500000000000002</v>
      </c>
      <c r="L1375" s="6">
        <f t="shared" si="406"/>
        <v>-2.0000000000000018E-2</v>
      </c>
      <c r="M1375">
        <v>3.8448029079161001</v>
      </c>
      <c r="N1375">
        <v>417250</v>
      </c>
      <c r="O1375" s="18">
        <f>ROUND(N1375/VLOOKUP(EOMONTH(A1375,-1),Employment!A:P,16,FALSE),4)</f>
        <v>2.1709000000000001</v>
      </c>
      <c r="P1375" s="18">
        <f t="shared" si="398"/>
        <v>2.1951999999999998</v>
      </c>
      <c r="Q1375" s="29">
        <v>-0.15</v>
      </c>
      <c r="R1375" s="29">
        <f t="shared" si="399"/>
        <v>0</v>
      </c>
      <c r="S1375">
        <v>3288000</v>
      </c>
      <c r="T1375" s="18">
        <f>ROUND((S1375/7)/VLOOKUP(EOMONTH(A1375,-1),Employment!A:P,16,FALSE),4)</f>
        <v>2.4438</v>
      </c>
      <c r="U1375" s="18">
        <f t="shared" si="400"/>
        <v>2.4792000000000001</v>
      </c>
      <c r="V1375" s="29">
        <v>-0.17</v>
      </c>
      <c r="W1375" s="29">
        <f t="shared" si="401"/>
        <v>0</v>
      </c>
      <c r="X1375" s="30">
        <f t="shared" si="402"/>
        <v>116.8</v>
      </c>
      <c r="Y1375" s="31">
        <f t="shared" si="403"/>
        <v>115.95</v>
      </c>
    </row>
    <row r="1376" spans="1:25" ht="15" customHeight="1" x14ac:dyDescent="0.25">
      <c r="A1376" s="5">
        <v>33713</v>
      </c>
      <c r="B1376">
        <v>607.09770000000003</v>
      </c>
      <c r="C1376" s="29">
        <f>ROUND((B1376-AVERAGE(B1377:B1380))/AVERAGE(B1377:B1380),4)</f>
        <v>2.0000000000000001E-4</v>
      </c>
      <c r="D1376">
        <v>-0.63</v>
      </c>
      <c r="E1376" s="11">
        <v>-0.01</v>
      </c>
      <c r="F1376" s="18">
        <f t="shared" si="396"/>
        <v>0.20000000000000018</v>
      </c>
      <c r="G1376" s="18">
        <f t="shared" si="397"/>
        <v>0.20000000000000018</v>
      </c>
      <c r="H1376">
        <v>3.16</v>
      </c>
      <c r="I1376">
        <v>1.73</v>
      </c>
      <c r="J1376">
        <f t="shared" si="404"/>
        <v>2.4500000000000002</v>
      </c>
      <c r="K1376" s="6">
        <f t="shared" si="405"/>
        <v>2.4700000000000002</v>
      </c>
      <c r="L1376" s="6">
        <f t="shared" si="406"/>
        <v>1.0000000000000231E-2</v>
      </c>
      <c r="M1376">
        <v>2.7462133001990998</v>
      </c>
      <c r="N1376">
        <v>421250</v>
      </c>
      <c r="O1376" s="18">
        <f>ROUND(N1376/VLOOKUP(EOMONTH(A1376,-1),Employment!A:P,16,FALSE),4)</f>
        <v>2.1917</v>
      </c>
      <c r="P1376" s="18">
        <f t="shared" si="398"/>
        <v>2.2164000000000001</v>
      </c>
      <c r="Q1376" s="29">
        <v>-0.15</v>
      </c>
      <c r="R1376" s="29">
        <f t="shared" si="399"/>
        <v>0</v>
      </c>
      <c r="S1376">
        <v>3383000</v>
      </c>
      <c r="T1376" s="18">
        <f>ROUND((S1376/7)/VLOOKUP(EOMONTH(A1376,-1),Employment!A:P,16,FALSE),4)</f>
        <v>2.5144000000000002</v>
      </c>
      <c r="U1376" s="18">
        <f t="shared" si="400"/>
        <v>2.4931000000000001</v>
      </c>
      <c r="V1376" s="29">
        <v>-0.17</v>
      </c>
      <c r="W1376" s="29">
        <f t="shared" si="401"/>
        <v>0</v>
      </c>
      <c r="X1376" s="30">
        <f t="shared" si="402"/>
        <v>114.36</v>
      </c>
      <c r="Y1376" s="31">
        <f t="shared" si="403"/>
        <v>116.36</v>
      </c>
    </row>
    <row r="1377" spans="1:25" ht="15" customHeight="1" x14ac:dyDescent="0.25">
      <c r="A1377" s="5">
        <v>33706</v>
      </c>
      <c r="B1377">
        <v>606.71420000000001</v>
      </c>
      <c r="C1377" s="29">
        <f>ROUND((B1377-AVERAGE(B1378:B1381))/AVERAGE(B1378:B1381),4)</f>
        <v>-1.8E-3</v>
      </c>
      <c r="D1377">
        <v>-0.61</v>
      </c>
      <c r="E1377" s="11">
        <v>-0.01</v>
      </c>
      <c r="F1377" s="18">
        <f t="shared" si="396"/>
        <v>0</v>
      </c>
      <c r="G1377" s="18">
        <f t="shared" si="397"/>
        <v>-0.10000000000000053</v>
      </c>
      <c r="H1377">
        <v>3.16</v>
      </c>
      <c r="I1377">
        <v>1.8</v>
      </c>
      <c r="J1377">
        <f t="shared" si="404"/>
        <v>2.48</v>
      </c>
      <c r="K1377" s="6">
        <f>ROUND(AVERAGE(J1377:J1379),2)</f>
        <v>2.46</v>
      </c>
      <c r="L1377" s="6">
        <f t="shared" si="406"/>
        <v>2.0000000000000018E-2</v>
      </c>
      <c r="M1377">
        <v>3.0692113433785999</v>
      </c>
      <c r="N1377">
        <v>427250</v>
      </c>
      <c r="O1377" s="18">
        <f>ROUND(N1377/VLOOKUP(EOMONTH(A1377,-1),Employment!A:P,16,FALSE),4)</f>
        <v>2.2229000000000001</v>
      </c>
      <c r="P1377" s="18">
        <v>2</v>
      </c>
      <c r="Q1377" s="29">
        <v>-0.15</v>
      </c>
      <c r="R1377" s="29">
        <f t="shared" si="399"/>
        <v>0</v>
      </c>
      <c r="S1377">
        <v>3336000</v>
      </c>
      <c r="T1377" s="18">
        <f>ROUND((S1377/7)/VLOOKUP(EOMONTH(A1377,-1),Employment!A:P,16,FALSE),4)</f>
        <v>2.4794999999999998</v>
      </c>
      <c r="U1377" s="18">
        <v>2.4</v>
      </c>
      <c r="V1377" s="29">
        <v>-0.17</v>
      </c>
      <c r="W1377" s="29">
        <f t="shared" si="401"/>
        <v>0</v>
      </c>
      <c r="X1377" s="30">
        <f t="shared" si="402"/>
        <v>117.81</v>
      </c>
      <c r="Y1377" s="31">
        <f t="shared" si="403"/>
        <v>116.49</v>
      </c>
    </row>
    <row r="1378" spans="1:25" ht="15" customHeight="1" x14ac:dyDescent="0.25">
      <c r="A1378" s="5">
        <v>33699</v>
      </c>
      <c r="B1378">
        <v>606.89419999999996</v>
      </c>
      <c r="C1378" s="29">
        <f>ROUND((B1378-AVERAGE(B1379:B1382))/AVERAGE(B1379:B1382),4)</f>
        <v>-2.3999999999999998E-3</v>
      </c>
      <c r="D1378">
        <v>-0.61</v>
      </c>
      <c r="E1378" s="11">
        <v>-0.01</v>
      </c>
      <c r="F1378" s="18">
        <f t="shared" si="396"/>
        <v>0</v>
      </c>
      <c r="G1378" s="18">
        <f t="shared" si="397"/>
        <v>-0.20000000000000018</v>
      </c>
      <c r="H1378">
        <v>3.16</v>
      </c>
      <c r="I1378">
        <v>1.77</v>
      </c>
      <c r="J1378">
        <f t="shared" si="404"/>
        <v>2.4700000000000002</v>
      </c>
      <c r="K1378" s="6">
        <f>ROUND(AVERAGE(J1378:J1380),2)</f>
        <v>2.44</v>
      </c>
      <c r="L1378" s="6">
        <f>K1378-K1379</f>
        <v>2.9999999999999805E-2</v>
      </c>
      <c r="M1378">
        <v>3.4804123760521999</v>
      </c>
      <c r="N1378">
        <v>429500</v>
      </c>
      <c r="O1378" s="18">
        <f>ROUND(N1378/VLOOKUP(EOMONTH(A1378,-1),Employment!A:P,16,FALSE),4)</f>
        <v>2.2345999999999999</v>
      </c>
      <c r="P1378" s="18">
        <v>2</v>
      </c>
      <c r="Q1378" s="29">
        <v>-0.15</v>
      </c>
      <c r="R1378" s="29">
        <f t="shared" si="399"/>
        <v>0</v>
      </c>
      <c r="S1378">
        <v>3344000</v>
      </c>
      <c r="T1378" s="18">
        <f>ROUND((S1378/7)/VLOOKUP(EOMONTH(A1378,-1),Employment!A:P,16,FALSE),4)</f>
        <v>2.4855</v>
      </c>
      <c r="U1378" s="18">
        <v>2.4</v>
      </c>
      <c r="V1378" s="29">
        <v>-0.17</v>
      </c>
      <c r="W1378" s="29">
        <f t="shared" si="401"/>
        <v>0</v>
      </c>
      <c r="X1378" s="30">
        <f t="shared" si="402"/>
        <v>117.75999999999999</v>
      </c>
      <c r="Y1378" s="31">
        <f t="shared" si="403"/>
        <v>113.78</v>
      </c>
    </row>
    <row r="1379" spans="1:25" ht="15" customHeight="1" x14ac:dyDescent="0.25">
      <c r="A1379" s="5">
        <v>33692</v>
      </c>
      <c r="B1379">
        <v>605.89750000000004</v>
      </c>
      <c r="C1379" s="29">
        <f t="shared" si="407"/>
        <v>-5.4000000000000003E-3</v>
      </c>
      <c r="D1379">
        <v>-0.61</v>
      </c>
      <c r="E1379" s="11">
        <v>-0.01</v>
      </c>
      <c r="F1379" s="18">
        <f t="shared" si="396"/>
        <v>-0.10000000000000053</v>
      </c>
      <c r="G1379" s="18">
        <f t="shared" si="397"/>
        <v>-0.20000000000000018</v>
      </c>
      <c r="H1379">
        <v>3.16</v>
      </c>
      <c r="I1379">
        <v>1.67</v>
      </c>
      <c r="J1379">
        <f t="shared" si="404"/>
        <v>2.42</v>
      </c>
      <c r="K1379" s="6">
        <f t="shared" si="405"/>
        <v>2.41</v>
      </c>
      <c r="L1379" s="6">
        <f t="shared" si="406"/>
        <v>-9.9999999999997868E-3</v>
      </c>
      <c r="M1379">
        <v>2.7872031676739</v>
      </c>
      <c r="N1379">
        <v>435500</v>
      </c>
      <c r="O1379" s="18">
        <v>2.25</v>
      </c>
      <c r="P1379" s="18">
        <f t="shared" si="398"/>
        <v>2.25</v>
      </c>
      <c r="Q1379" s="29">
        <v>-0.15</v>
      </c>
      <c r="R1379" s="29">
        <f t="shared" si="399"/>
        <v>0</v>
      </c>
      <c r="S1379">
        <v>3280000</v>
      </c>
      <c r="T1379" s="18">
        <v>2.5</v>
      </c>
      <c r="U1379" s="18">
        <v>2.4</v>
      </c>
      <c r="V1379" s="29">
        <v>-0.17</v>
      </c>
      <c r="W1379" s="29">
        <f t="shared" si="401"/>
        <v>0</v>
      </c>
      <c r="X1379" s="30">
        <f t="shared" si="402"/>
        <v>110.02000000000001</v>
      </c>
      <c r="Y1379" s="31">
        <f t="shared" si="403"/>
        <v>112.28</v>
      </c>
    </row>
    <row r="1380" spans="1:25" ht="15" customHeight="1" x14ac:dyDescent="0.25">
      <c r="A1380" s="5">
        <v>33685</v>
      </c>
      <c r="B1380">
        <v>608.42639999999994</v>
      </c>
      <c r="C1380" s="29">
        <f t="shared" si="407"/>
        <v>-1.5E-3</v>
      </c>
      <c r="D1380">
        <v>-0.62</v>
      </c>
      <c r="E1380" s="11">
        <v>-0.01</v>
      </c>
      <c r="F1380" s="18">
        <f t="shared" si="396"/>
        <v>-9.9999999999999645E-2</v>
      </c>
      <c r="G1380" s="18">
        <f t="shared" si="397"/>
        <v>-9.9999999999999645E-2</v>
      </c>
      <c r="H1380">
        <v>3.16</v>
      </c>
      <c r="I1380">
        <v>1.67</v>
      </c>
      <c r="J1380">
        <f t="shared" si="404"/>
        <v>2.42</v>
      </c>
      <c r="K1380" s="6">
        <f t="shared" si="405"/>
        <v>2.42</v>
      </c>
      <c r="L1380" s="6">
        <f t="shared" si="406"/>
        <v>-3.0000000000000249E-2</v>
      </c>
      <c r="M1380">
        <v>3.4727612749548</v>
      </c>
      <c r="N1380">
        <v>434500</v>
      </c>
      <c r="O1380" s="18">
        <v>2.25</v>
      </c>
      <c r="P1380" s="18">
        <f t="shared" si="398"/>
        <v>2.25</v>
      </c>
      <c r="Q1380" s="29">
        <v>-0.15</v>
      </c>
      <c r="R1380" s="29">
        <f t="shared" si="399"/>
        <v>0</v>
      </c>
      <c r="S1380">
        <v>3288000</v>
      </c>
      <c r="T1380" s="18">
        <v>2.5</v>
      </c>
      <c r="U1380" s="18">
        <v>2.4</v>
      </c>
      <c r="V1380" s="29">
        <v>-0.17</v>
      </c>
      <c r="W1380" s="29">
        <f t="shared" si="401"/>
        <v>0</v>
      </c>
      <c r="X1380" s="30">
        <f t="shared" si="402"/>
        <v>113.25</v>
      </c>
      <c r="Y1380" s="31">
        <f t="shared" si="403"/>
        <v>114.47</v>
      </c>
    </row>
    <row r="1381" spans="1:25" ht="15" customHeight="1" x14ac:dyDescent="0.25">
      <c r="A1381" s="5">
        <v>33678</v>
      </c>
      <c r="B1381">
        <v>609.96659999999997</v>
      </c>
      <c r="C1381" s="29">
        <f t="shared" si="407"/>
        <v>2.0000000000000001E-4</v>
      </c>
      <c r="D1381">
        <v>-0.63</v>
      </c>
      <c r="E1381" s="11">
        <v>-0.01</v>
      </c>
      <c r="F1381" s="18">
        <f t="shared" si="396"/>
        <v>0</v>
      </c>
      <c r="G1381" s="18">
        <f t="shared" si="397"/>
        <v>9.9999999999999645E-2</v>
      </c>
      <c r="H1381">
        <v>3.16</v>
      </c>
      <c r="I1381">
        <v>1.61</v>
      </c>
      <c r="J1381">
        <f t="shared" si="404"/>
        <v>2.39</v>
      </c>
      <c r="K1381" s="6">
        <f t="shared" si="405"/>
        <v>2.4500000000000002</v>
      </c>
      <c r="L1381" s="6">
        <f t="shared" si="406"/>
        <v>-4.0000000000000036E-2</v>
      </c>
      <c r="M1381">
        <v>4.1430078918281001</v>
      </c>
      <c r="N1381">
        <v>436750</v>
      </c>
      <c r="O1381" s="18">
        <v>2.25</v>
      </c>
      <c r="P1381" s="18">
        <f t="shared" si="398"/>
        <v>2.25</v>
      </c>
      <c r="Q1381" s="29">
        <v>-0.15</v>
      </c>
      <c r="R1381" s="29">
        <f t="shared" si="399"/>
        <v>0</v>
      </c>
      <c r="S1381">
        <v>3280000</v>
      </c>
      <c r="T1381" s="18">
        <v>2.5</v>
      </c>
      <c r="U1381" s="18">
        <v>2.4</v>
      </c>
      <c r="V1381" s="29">
        <v>-0.17</v>
      </c>
      <c r="W1381" s="29">
        <f t="shared" si="401"/>
        <v>0</v>
      </c>
      <c r="X1381" s="30">
        <f t="shared" si="402"/>
        <v>115.5</v>
      </c>
      <c r="Y1381" s="31">
        <f t="shared" si="403"/>
        <v>124.05</v>
      </c>
    </row>
    <row r="1382" spans="1:25" ht="15" customHeight="1" x14ac:dyDescent="0.25">
      <c r="A1382" s="5">
        <v>33671</v>
      </c>
      <c r="B1382">
        <v>609.15930000000003</v>
      </c>
      <c r="C1382" s="29">
        <f t="shared" si="407"/>
        <v>-2.5999999999999999E-3</v>
      </c>
      <c r="D1382">
        <v>-0.63</v>
      </c>
      <c r="E1382" s="11">
        <v>-0.01</v>
      </c>
      <c r="F1382" s="18">
        <f t="shared" si="396"/>
        <v>0</v>
      </c>
      <c r="G1382" s="18">
        <f t="shared" si="397"/>
        <v>0.20000000000000018</v>
      </c>
      <c r="H1382">
        <v>3.16</v>
      </c>
      <c r="I1382">
        <v>1.72</v>
      </c>
      <c r="J1382">
        <f t="shared" si="404"/>
        <v>2.44</v>
      </c>
      <c r="K1382" s="6">
        <f t="shared" si="405"/>
        <v>2.4900000000000002</v>
      </c>
      <c r="L1382" s="6">
        <f t="shared" si="406"/>
        <v>-1.9999999999999574E-2</v>
      </c>
      <c r="M1382">
        <v>4.8541140555912996</v>
      </c>
      <c r="N1382">
        <v>442750</v>
      </c>
      <c r="O1382" s="18">
        <v>2.25</v>
      </c>
      <c r="P1382" s="18">
        <f t="shared" si="398"/>
        <v>2.25</v>
      </c>
      <c r="Q1382" s="29">
        <v>-0.15</v>
      </c>
      <c r="R1382" s="29">
        <f t="shared" si="399"/>
        <v>0</v>
      </c>
      <c r="S1382">
        <v>3412000</v>
      </c>
      <c r="U1382" s="18">
        <v>2.4</v>
      </c>
      <c r="V1382" s="29">
        <v>-0.17</v>
      </c>
      <c r="W1382" s="29">
        <f t="shared" si="401"/>
        <v>0</v>
      </c>
      <c r="X1382" s="30">
        <f t="shared" si="402"/>
        <v>114.95</v>
      </c>
      <c r="Y1382" s="31">
        <f t="shared" si="403"/>
        <v>145.94</v>
      </c>
    </row>
    <row r="1383" spans="1:25" ht="15" customHeight="1" x14ac:dyDescent="0.25">
      <c r="A1383" s="5">
        <v>33664</v>
      </c>
      <c r="B1383">
        <v>609.11599999999999</v>
      </c>
      <c r="C1383" s="29">
        <f t="shared" si="407"/>
        <v>-4.1999999999999997E-3</v>
      </c>
      <c r="D1383">
        <v>-0.63</v>
      </c>
      <c r="E1383" s="11">
        <v>-0.01</v>
      </c>
      <c r="F1383" s="18">
        <f t="shared" si="396"/>
        <v>9.9999999999999645E-2</v>
      </c>
      <c r="G1383" s="18">
        <f t="shared" si="397"/>
        <v>0.29999999999999982</v>
      </c>
      <c r="H1383">
        <v>3.16</v>
      </c>
      <c r="I1383">
        <v>1.9</v>
      </c>
      <c r="J1383">
        <f t="shared" si="404"/>
        <v>2.5299999999999998</v>
      </c>
      <c r="K1383" s="6">
        <f t="shared" si="405"/>
        <v>2.5099999999999998</v>
      </c>
      <c r="L1383" s="6">
        <f t="shared" si="406"/>
        <v>-1.0000000000000231E-2</v>
      </c>
      <c r="M1383">
        <v>6.6335508735483</v>
      </c>
      <c r="N1383">
        <v>441750</v>
      </c>
      <c r="Q1383" s="29">
        <v>-0.15</v>
      </c>
      <c r="R1383" s="29">
        <f t="shared" si="399"/>
        <v>0</v>
      </c>
      <c r="S1383">
        <v>3260000</v>
      </c>
      <c r="U1383" s="18">
        <v>2.4</v>
      </c>
      <c r="V1383" s="29">
        <v>-0.17</v>
      </c>
      <c r="W1383" s="29">
        <f t="shared" si="401"/>
        <v>0</v>
      </c>
      <c r="X1383" s="30">
        <f t="shared" si="402"/>
        <v>168.19</v>
      </c>
      <c r="Y1383" s="31">
        <f t="shared" si="403"/>
        <v>168.29</v>
      </c>
    </row>
    <row r="1384" spans="1:25" ht="15" customHeight="1" x14ac:dyDescent="0.25">
      <c r="A1384" s="5">
        <v>33657</v>
      </c>
      <c r="B1384">
        <v>609.22749999999996</v>
      </c>
      <c r="C1384" s="29">
        <f t="shared" si="407"/>
        <v>-6.3E-3</v>
      </c>
      <c r="D1384">
        <v>-0.62</v>
      </c>
      <c r="E1384" s="11">
        <v>-0.01</v>
      </c>
      <c r="F1384" s="18">
        <f t="shared" si="396"/>
        <v>0.10000000000000053</v>
      </c>
      <c r="G1384" s="18">
        <f t="shared" si="397"/>
        <v>0.40000000000000036</v>
      </c>
      <c r="H1384">
        <v>3.16</v>
      </c>
      <c r="I1384">
        <v>1.84</v>
      </c>
      <c r="J1384">
        <f t="shared" si="404"/>
        <v>2.5</v>
      </c>
      <c r="K1384" s="6">
        <f t="shared" si="405"/>
        <v>2.52</v>
      </c>
      <c r="L1384" s="6">
        <f t="shared" si="406"/>
        <v>-9.9999999999997868E-3</v>
      </c>
      <c r="M1384">
        <v>7.0645832980721002</v>
      </c>
      <c r="N1384">
        <v>443000</v>
      </c>
      <c r="Q1384" s="29">
        <v>-0.15</v>
      </c>
      <c r="R1384" s="29">
        <f t="shared" si="399"/>
        <v>0</v>
      </c>
      <c r="S1384">
        <v>3320000</v>
      </c>
      <c r="U1384" s="18">
        <v>2.4</v>
      </c>
      <c r="V1384" s="29">
        <v>-0.17</v>
      </c>
      <c r="W1384" s="29">
        <f t="shared" si="401"/>
        <v>0</v>
      </c>
      <c r="X1384" s="30">
        <f t="shared" si="402"/>
        <v>167.81</v>
      </c>
      <c r="Y1384" s="31">
        <f t="shared" si="403"/>
        <v>168.77</v>
      </c>
    </row>
    <row r="1385" spans="1:25" ht="15" customHeight="1" x14ac:dyDescent="0.25">
      <c r="A1385" s="5">
        <v>33650</v>
      </c>
      <c r="B1385">
        <v>611.82749999999999</v>
      </c>
      <c r="C1385" s="29">
        <f t="shared" si="407"/>
        <v>-3.0000000000000001E-3</v>
      </c>
      <c r="D1385">
        <v>-0.61</v>
      </c>
      <c r="E1385" s="11">
        <v>-0.01</v>
      </c>
      <c r="F1385" s="18">
        <f t="shared" si="396"/>
        <v>9.9999999999999645E-2</v>
      </c>
      <c r="G1385" s="18">
        <f t="shared" si="397"/>
        <v>0.40000000000000036</v>
      </c>
      <c r="H1385">
        <v>3.16</v>
      </c>
      <c r="I1385">
        <v>1.86</v>
      </c>
      <c r="J1385">
        <f t="shared" si="404"/>
        <v>2.5099999999999998</v>
      </c>
      <c r="K1385" s="6">
        <f t="shared" si="405"/>
        <v>2.5299999999999998</v>
      </c>
      <c r="L1385" s="6">
        <f t="shared" si="406"/>
        <v>-2.0000000000000018E-2</v>
      </c>
      <c r="M1385">
        <v>7.3708182331785004</v>
      </c>
      <c r="N1385">
        <v>442250</v>
      </c>
      <c r="Q1385" s="29">
        <v>-0.15</v>
      </c>
      <c r="R1385" s="29">
        <f t="shared" si="399"/>
        <v>0</v>
      </c>
      <c r="S1385">
        <v>3301000</v>
      </c>
      <c r="U1385" s="18">
        <v>2.4</v>
      </c>
      <c r="V1385" s="29">
        <v>-0.17</v>
      </c>
      <c r="W1385" s="29">
        <f t="shared" si="401"/>
        <v>0</v>
      </c>
      <c r="X1385" s="30">
        <f t="shared" si="402"/>
        <v>169.72</v>
      </c>
      <c r="Y1385" s="31">
        <f t="shared" si="403"/>
        <v>169.72</v>
      </c>
    </row>
    <row r="1386" spans="1:25" ht="15" customHeight="1" x14ac:dyDescent="0.25">
      <c r="A1386" s="5">
        <v>33643</v>
      </c>
      <c r="B1386">
        <v>612.84820000000002</v>
      </c>
      <c r="C1386" s="29">
        <f t="shared" si="407"/>
        <v>-2.2000000000000001E-3</v>
      </c>
      <c r="D1386">
        <v>-0.6</v>
      </c>
      <c r="E1386" s="11">
        <v>-0.01</v>
      </c>
      <c r="F1386" s="18">
        <f t="shared" si="396"/>
        <v>0.20000000000000018</v>
      </c>
      <c r="G1386" s="18">
        <f t="shared" si="397"/>
        <v>0.39999999999999947</v>
      </c>
      <c r="H1386">
        <v>3.16</v>
      </c>
      <c r="I1386">
        <v>1.96</v>
      </c>
      <c r="J1386">
        <f t="shared" si="404"/>
        <v>2.56</v>
      </c>
      <c r="K1386" s="6">
        <f t="shared" si="405"/>
        <v>2.5499999999999998</v>
      </c>
      <c r="L1386" s="6">
        <f t="shared" si="406"/>
        <v>-2.0000000000000018E-2</v>
      </c>
      <c r="M1386">
        <v>6.6644286997669999</v>
      </c>
      <c r="N1386">
        <v>441000</v>
      </c>
      <c r="Q1386" s="29">
        <v>-0.15</v>
      </c>
      <c r="R1386" s="29">
        <f t="shared" si="399"/>
        <v>0</v>
      </c>
      <c r="S1386">
        <v>3364000</v>
      </c>
      <c r="W1386" s="29" t="e">
        <f t="shared" si="401"/>
        <v>#DIV/0!</v>
      </c>
    </row>
    <row r="1387" spans="1:25" ht="15" customHeight="1" x14ac:dyDescent="0.25">
      <c r="A1387" s="5">
        <v>33636</v>
      </c>
      <c r="B1387">
        <v>612.86350000000004</v>
      </c>
      <c r="C1387" s="29">
        <f t="shared" si="407"/>
        <v>-4.5999999999999999E-3</v>
      </c>
      <c r="D1387">
        <v>-0.57999999999999996</v>
      </c>
      <c r="E1387" s="11">
        <v>-0.01</v>
      </c>
      <c r="F1387" s="18">
        <f t="shared" si="396"/>
        <v>0.10000000000000053</v>
      </c>
      <c r="G1387" s="18">
        <f t="shared" si="397"/>
        <v>0.29999999999999982</v>
      </c>
      <c r="H1387">
        <v>3.16</v>
      </c>
      <c r="I1387">
        <v>1.9</v>
      </c>
      <c r="J1387">
        <f t="shared" si="404"/>
        <v>2.5299999999999998</v>
      </c>
      <c r="K1387" s="6">
        <f t="shared" si="405"/>
        <v>2.57</v>
      </c>
      <c r="L1387" s="6">
        <f t="shared" si="406"/>
        <v>-5.0000000000000266E-2</v>
      </c>
      <c r="M1387">
        <v>4.4252263952293998</v>
      </c>
      <c r="N1387">
        <v>439000</v>
      </c>
      <c r="Q1387" s="29">
        <v>-0.15</v>
      </c>
      <c r="R1387" s="29">
        <f t="shared" si="399"/>
        <v>0</v>
      </c>
      <c r="S1387">
        <v>3297000</v>
      </c>
      <c r="W1387" s="29" t="e">
        <f t="shared" si="401"/>
        <v>#DIV/0!</v>
      </c>
    </row>
    <row r="1388" spans="1:25" ht="15" customHeight="1" x14ac:dyDescent="0.25">
      <c r="A1388" s="5">
        <v>33629</v>
      </c>
      <c r="B1388">
        <v>614.72109999999998</v>
      </c>
      <c r="C1388" s="29">
        <f>ROUND((B1388-AVERAGE(B1389:B1391))/AVERAGE(B1389:B1391),4)</f>
        <v>-2.0999999999999999E-3</v>
      </c>
      <c r="D1388">
        <v>-0.56999999999999995</v>
      </c>
      <c r="E1388" s="11">
        <v>-0.01</v>
      </c>
      <c r="F1388" s="18">
        <f t="shared" si="396"/>
        <v>9.9999999999998757E-2</v>
      </c>
      <c r="G1388" s="18">
        <f t="shared" si="397"/>
        <v>0.29999999999999893</v>
      </c>
      <c r="H1388">
        <v>3.16</v>
      </c>
      <c r="I1388">
        <v>1.97</v>
      </c>
      <c r="J1388">
        <f t="shared" si="404"/>
        <v>2.57</v>
      </c>
      <c r="K1388" s="6">
        <f t="shared" si="405"/>
        <v>2.62</v>
      </c>
      <c r="L1388" s="6">
        <f t="shared" si="406"/>
        <v>-4.0000000000000036E-2</v>
      </c>
      <c r="M1388">
        <v>1.7199994559878999</v>
      </c>
      <c r="N1388">
        <v>439000</v>
      </c>
      <c r="Q1388" s="29">
        <v>-0.15</v>
      </c>
      <c r="R1388" s="29">
        <f t="shared" si="399"/>
        <v>0</v>
      </c>
      <c r="S1388">
        <v>3342000</v>
      </c>
      <c r="W1388" s="29" t="e">
        <f t="shared" si="401"/>
        <v>#DIV/0!</v>
      </c>
    </row>
    <row r="1389" spans="1:25" ht="15" customHeight="1" x14ac:dyDescent="0.25">
      <c r="A1389" s="5">
        <v>33622</v>
      </c>
      <c r="B1389">
        <v>614.1893</v>
      </c>
      <c r="C1389" s="29">
        <f>ROUND((B1389-AVERAGE(B1390:B1391))/AVERAGE(B1390:B1391),4)</f>
        <v>-4.4000000000000003E-3</v>
      </c>
      <c r="D1389">
        <v>-0.56000000000000005</v>
      </c>
      <c r="E1389" s="11">
        <v>-0.01</v>
      </c>
      <c r="F1389" s="18">
        <f t="shared" si="396"/>
        <v>0.10000000000000053</v>
      </c>
      <c r="G1389" s="18">
        <f t="shared" si="397"/>
        <v>5.6800000000000006</v>
      </c>
      <c r="H1389">
        <v>3.16</v>
      </c>
      <c r="I1389">
        <v>2.04</v>
      </c>
      <c r="J1389">
        <f t="shared" si="404"/>
        <v>2.6</v>
      </c>
      <c r="K1389" s="6">
        <f t="shared" si="405"/>
        <v>2.66</v>
      </c>
      <c r="L1389" s="6">
        <f t="shared" si="406"/>
        <v>-4.0000000000000036E-2</v>
      </c>
      <c r="M1389">
        <v>4.7171519848676997E-3</v>
      </c>
      <c r="N1389">
        <v>437250</v>
      </c>
      <c r="Q1389" s="29">
        <v>-0.15</v>
      </c>
      <c r="R1389" s="29">
        <f t="shared" si="399"/>
        <v>0</v>
      </c>
      <c r="S1389">
        <v>3410000</v>
      </c>
      <c r="W1389" s="29" t="e">
        <f t="shared" si="401"/>
        <v>#DIV/0!</v>
      </c>
    </row>
    <row r="1390" spans="1:25" ht="15" customHeight="1" x14ac:dyDescent="0.25">
      <c r="A1390" s="5">
        <v>33615</v>
      </c>
      <c r="B1390">
        <v>615.00400000000002</v>
      </c>
      <c r="C1390" s="29">
        <f>ROUND((B1390-AVERAGE(B1391:B1391))/AVERAGE(B1391:B1391),4)</f>
        <v>-6.1999999999999998E-3</v>
      </c>
      <c r="D1390">
        <v>-0.55000000000000004</v>
      </c>
      <c r="E1390" s="11">
        <v>-0.01</v>
      </c>
      <c r="F1390" s="18">
        <f t="shared" si="396"/>
        <v>9.9999999999999645E-2</v>
      </c>
      <c r="G1390" s="18">
        <f t="shared" si="397"/>
        <v>5.58</v>
      </c>
      <c r="H1390">
        <v>3.16</v>
      </c>
      <c r="I1390">
        <v>2.19</v>
      </c>
      <c r="J1390">
        <f t="shared" si="404"/>
        <v>2.68</v>
      </c>
      <c r="K1390" s="6">
        <f>ROUND(AVERAGE(J1390:J1391),2)</f>
        <v>2.7</v>
      </c>
      <c r="L1390" s="6">
        <f t="shared" si="406"/>
        <v>-9.9999999999997868E-3</v>
      </c>
      <c r="M1390">
        <v>-0.43602073554117998</v>
      </c>
      <c r="N1390">
        <v>446000</v>
      </c>
      <c r="Q1390" s="29">
        <v>-0.15</v>
      </c>
      <c r="R1390" s="29">
        <f t="shared" si="399"/>
        <v>0</v>
      </c>
      <c r="S1390">
        <v>3340000</v>
      </c>
      <c r="W1390" s="29" t="e">
        <f t="shared" si="401"/>
        <v>#DIV/0!</v>
      </c>
    </row>
    <row r="1391" spans="1:25" ht="15" customHeight="1" x14ac:dyDescent="0.25">
      <c r="A1391" s="5">
        <v>33608</v>
      </c>
      <c r="B1391">
        <v>618.83410000000003</v>
      </c>
      <c r="C1391" s="29">
        <v>0</v>
      </c>
      <c r="D1391">
        <v>-0.54</v>
      </c>
      <c r="E1391" s="11">
        <v>-0.01</v>
      </c>
      <c r="F1391" s="18">
        <f t="shared" si="396"/>
        <v>5.48</v>
      </c>
      <c r="G1391" s="18">
        <f t="shared" si="397"/>
        <v>5.48</v>
      </c>
      <c r="H1391">
        <v>3.16</v>
      </c>
      <c r="I1391">
        <v>2.2599999999999998</v>
      </c>
      <c r="J1391">
        <f t="shared" si="404"/>
        <v>2.71</v>
      </c>
      <c r="K1391" s="6">
        <f>ROUND(AVERAGE(J1391:J1391),2)</f>
        <v>2.71</v>
      </c>
      <c r="L1391" s="6">
        <v>0</v>
      </c>
      <c r="M1391">
        <v>-5.8415865728412002E-2</v>
      </c>
      <c r="N1391">
        <v>456750</v>
      </c>
      <c r="Q1391" s="29">
        <v>-0.15</v>
      </c>
      <c r="R1391" s="29">
        <f t="shared" si="399"/>
        <v>0</v>
      </c>
      <c r="S1391">
        <v>3264000</v>
      </c>
      <c r="W1391" s="29" t="e">
        <f t="shared" si="401"/>
        <v>#DIV/0!</v>
      </c>
    </row>
  </sheetData>
  <autoFilter ref="A2:Y1391" xr:uid="{00000000-0009-0000-0000-000002000000}"/>
  <mergeCells count="5">
    <mergeCell ref="B1:C1"/>
    <mergeCell ref="H1:L1"/>
    <mergeCell ref="N1:R1"/>
    <mergeCell ref="S1:W1"/>
    <mergeCell ref="D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25"/>
  <sheetViews>
    <sheetView zoomScaleNormal="100" workbookViewId="0">
      <pane xSplit="1" ySplit="2" topLeftCell="S3" activePane="bottomRight" state="frozen"/>
      <selection pane="topRight" activeCell="B1" sqref="B1"/>
      <selection pane="bottomLeft" activeCell="A3" sqref="A3"/>
      <selection pane="bottomRight" activeCell="AF3" sqref="AF3"/>
    </sheetView>
  </sheetViews>
  <sheetFormatPr defaultColWidth="15.140625" defaultRowHeight="15" customHeight="1" x14ac:dyDescent="0.25"/>
  <cols>
    <col min="1" max="1" width="11.140625" style="11" customWidth="1"/>
    <col min="2" max="2" width="18.5703125" style="11" bestFit="1" customWidth="1"/>
    <col min="3" max="4" width="18.5703125" style="11" customWidth="1"/>
    <col min="5" max="9" width="13.42578125" style="11" customWidth="1"/>
    <col min="10" max="10" width="22" style="11" bestFit="1" customWidth="1"/>
    <col min="11" max="11" width="22" style="11" customWidth="1"/>
    <col min="12" max="12" width="16.42578125" style="11" bestFit="1" customWidth="1"/>
    <col min="13" max="13" width="18.140625" style="11" customWidth="1"/>
    <col min="14" max="15" width="16.140625" style="11" customWidth="1"/>
    <col min="16" max="16" width="18.140625" style="11" customWidth="1"/>
    <col min="17" max="18" width="16.140625" style="11" customWidth="1"/>
    <col min="19" max="19" width="18.140625" style="11" customWidth="1"/>
    <col min="20" max="21" width="16.140625" style="11" customWidth="1"/>
    <col min="22" max="22" width="16.140625" style="11" bestFit="1" customWidth="1"/>
    <col min="23" max="29" width="16.140625" style="11" customWidth="1"/>
    <col min="30" max="30" width="22.5703125" style="11" bestFit="1" customWidth="1"/>
    <col min="31" max="31" width="0" style="11" hidden="1" customWidth="1"/>
    <col min="32" max="16384" width="15.140625" style="11"/>
  </cols>
  <sheetData>
    <row r="1" spans="1:32" ht="18" customHeight="1" thickBot="1" x14ac:dyDescent="0.35">
      <c r="A1" s="1"/>
      <c r="B1" s="59" t="s">
        <v>60</v>
      </c>
      <c r="C1" s="59"/>
      <c r="D1" s="59"/>
      <c r="E1" s="59"/>
      <c r="F1" s="59" t="s">
        <v>101</v>
      </c>
      <c r="G1" s="59"/>
      <c r="H1" s="59"/>
      <c r="I1" s="59"/>
      <c r="J1" s="59" t="s">
        <v>23</v>
      </c>
      <c r="K1" s="59"/>
      <c r="L1" s="59"/>
      <c r="M1" s="59" t="s">
        <v>102</v>
      </c>
      <c r="N1" s="59"/>
      <c r="O1" s="59"/>
      <c r="P1" s="59" t="s">
        <v>103</v>
      </c>
      <c r="Q1" s="59"/>
      <c r="R1" s="59"/>
      <c r="S1" s="59" t="s">
        <v>104</v>
      </c>
      <c r="T1" s="59"/>
      <c r="U1" s="59"/>
      <c r="V1" s="59" t="s">
        <v>105</v>
      </c>
      <c r="W1" s="59"/>
      <c r="X1" s="59"/>
      <c r="Y1" s="59"/>
      <c r="Z1" s="59" t="s">
        <v>106</v>
      </c>
      <c r="AA1" s="59"/>
      <c r="AB1" s="59"/>
      <c r="AC1" s="59"/>
      <c r="AD1" s="28" t="s">
        <v>107</v>
      </c>
      <c r="AE1" s="28" t="s">
        <v>36</v>
      </c>
      <c r="AF1" s="28" t="s">
        <v>40</v>
      </c>
    </row>
    <row r="2" spans="1:32" ht="16.5" customHeight="1" thickTop="1" thickBot="1" x14ac:dyDescent="0.3">
      <c r="A2" s="3" t="s">
        <v>0</v>
      </c>
      <c r="B2" s="4" t="s">
        <v>60</v>
      </c>
      <c r="C2" s="4" t="s">
        <v>108</v>
      </c>
      <c r="D2" s="4" t="s">
        <v>109</v>
      </c>
      <c r="E2" s="4" t="s">
        <v>61</v>
      </c>
      <c r="F2" s="4" t="s">
        <v>110</v>
      </c>
      <c r="G2" s="4" t="s">
        <v>111</v>
      </c>
      <c r="H2" s="4" t="s">
        <v>109</v>
      </c>
      <c r="I2" s="4" t="s">
        <v>112</v>
      </c>
      <c r="J2" s="4" t="s">
        <v>23</v>
      </c>
      <c r="K2" s="4" t="s">
        <v>113</v>
      </c>
      <c r="L2" s="4" t="s">
        <v>114</v>
      </c>
      <c r="M2" s="4" t="s">
        <v>115</v>
      </c>
      <c r="N2" s="4" t="s">
        <v>116</v>
      </c>
      <c r="O2" s="4" t="s">
        <v>117</v>
      </c>
      <c r="P2" s="4" t="s">
        <v>118</v>
      </c>
      <c r="Q2" s="4" t="s">
        <v>119</v>
      </c>
      <c r="R2" s="4" t="s">
        <v>120</v>
      </c>
      <c r="S2" s="4" t="s">
        <v>121</v>
      </c>
      <c r="T2" s="4" t="s">
        <v>122</v>
      </c>
      <c r="U2" s="4" t="s">
        <v>123</v>
      </c>
      <c r="V2" s="4" t="s">
        <v>24</v>
      </c>
      <c r="W2" s="4" t="s">
        <v>124</v>
      </c>
      <c r="X2" s="4" t="s">
        <v>125</v>
      </c>
      <c r="Y2" s="4" t="s">
        <v>126</v>
      </c>
      <c r="Z2" s="4" t="s">
        <v>127</v>
      </c>
      <c r="AA2" s="4" t="s">
        <v>124</v>
      </c>
      <c r="AB2" s="4" t="s">
        <v>125</v>
      </c>
      <c r="AC2" s="4" t="s">
        <v>128</v>
      </c>
      <c r="AD2" s="4" t="s">
        <v>107</v>
      </c>
      <c r="AE2" s="4" t="s">
        <v>9</v>
      </c>
      <c r="AF2" s="18" t="s">
        <v>40</v>
      </c>
    </row>
    <row r="3" spans="1:32" ht="16.5" customHeight="1" x14ac:dyDescent="0.25">
      <c r="A3" s="37">
        <v>43312</v>
      </c>
      <c r="B3" s="18">
        <v>97.9</v>
      </c>
      <c r="C3" s="18">
        <f>ROUND(AVERAGE(B3,AVERAGE(B3:B4)),1)</f>
        <v>98</v>
      </c>
      <c r="D3" s="38">
        <f>IF(ISERROR(ROUND((C3/C9)-1,4)),#REF!,ROUND((C3/C9)-1,4))</f>
        <v>2.3E-2</v>
      </c>
      <c r="E3" s="29">
        <f>ROUND((AVERAGE(C3:C5)-AVERAGE(C4:C6))/AVERAGE(C4:C6),4)</f>
        <v>-5.1000000000000004E-3</v>
      </c>
      <c r="F3" s="18">
        <v>1449678</v>
      </c>
      <c r="G3">
        <f t="shared" ref="G3" si="0">ROUND(AVERAGE(F3:F5),0)</f>
        <v>1437942</v>
      </c>
      <c r="H3" s="38">
        <f>IF(ISERROR(ROUND((G3/G7)-1,4)),#REF!,ROUND((G3/G7)-1,4))</f>
        <v>8.9999999999999993E-3</v>
      </c>
      <c r="I3" s="13">
        <f t="shared" ref="I3" si="1">ROUND((AVERAGE(G3:G4)-AVERAGE(G6:G7))/AVERAGE(G6:G7),4)</f>
        <v>5.4999999999999997E-3</v>
      </c>
      <c r="J3" s="18">
        <v>0.16</v>
      </c>
      <c r="K3">
        <f t="shared" ref="K3" si="2">J3+100</f>
        <v>100.16</v>
      </c>
      <c r="L3" s="29">
        <f t="shared" ref="L3" si="3">ROUND((AVERAGE(K3:K6)-AVERAGE(K4:K7))/AVERAGE(K4:K7),4)</f>
        <v>-5.0000000000000001E-4</v>
      </c>
      <c r="M3" s="18">
        <v>1.42</v>
      </c>
      <c r="N3">
        <f t="shared" ref="N3" si="4">M3+100</f>
        <v>101.42</v>
      </c>
      <c r="O3" s="13">
        <f t="shared" ref="O3" si="5">ROUND((AVERAGE(N3:N5)-AVERAGE(N4:N6))/AVERAGE(N4:N6),4)</f>
        <v>-5.9999999999999995E-4</v>
      </c>
      <c r="P3">
        <v>123.25</v>
      </c>
      <c r="Q3">
        <f t="shared" ref="Q3" si="6">ROUND(AVERAGE(P3:P5),3)</f>
        <v>123.077</v>
      </c>
      <c r="R3" s="13">
        <f t="shared" ref="R3" si="7">ROUND((AVERAGE(Q3:Q5)-AVERAGE(Q4:Q6))/AVERAGE(Q4:Q6),4)</f>
        <v>2.5000000000000001E-3</v>
      </c>
      <c r="S3" s="18">
        <v>114.4</v>
      </c>
      <c r="T3">
        <f t="shared" ref="T3" si="8">ROUND(AVERAGE(S3:S5),3)</f>
        <v>114.233</v>
      </c>
      <c r="U3" s="13">
        <f t="shared" ref="U3" si="9">ROUND((AVERAGE(T3:T5)-AVERAGE(T4:T6))/AVERAGE(T4:T6),4)</f>
        <v>-8.0000000000000002E-3</v>
      </c>
      <c r="V3" s="18">
        <v>446164</v>
      </c>
      <c r="W3" s="18">
        <f t="shared" ref="W3" si="10">ROUND(AVERAGE(V3:V5),0)</f>
        <v>442981</v>
      </c>
      <c r="X3" s="38">
        <f>IF(ISERROR(ROUND((W3/W7)-1,4)),#REF!,ROUND((W3/W7)-1,4))</f>
        <v>1.6899999999999998E-2</v>
      </c>
      <c r="Y3" s="29">
        <f t="shared" ref="Y3" si="11">ROUND((AVERAGE(V3:V6)-AVERAGE(V4:V7))/AVERAGE(V4:V7),4)</f>
        <v>6.7999999999999996E-3</v>
      </c>
      <c r="Z3" s="18">
        <v>86.52</v>
      </c>
      <c r="AA3" s="18">
        <f t="shared" ref="AA3" si="12">ROUND(AVERAGE(Z3:Z5),2)</f>
        <v>85.59</v>
      </c>
      <c r="AB3" s="38">
        <f>IF(ISERROR(ROUND((AA3/AA7)-1,4)),#REF!,ROUND((AA3/AA7)-1,4))</f>
        <v>2.2700000000000001E-2</v>
      </c>
      <c r="AC3" s="13">
        <f t="shared" ref="AC3" si="13">ROUND((AVERAGE(Z3,Z3:Z5)-AVERAGE(Z4:Z6))/AVERAGE(Z4:Z6),4)</f>
        <v>1.0699999999999999E-2</v>
      </c>
      <c r="AD3" s="30">
        <f>ROUND(((C3*1.5)+(D3*300)+(E3*300)+(H3*400)+(I3*400)+(J3*20)+(L3*2000)+(T3*1.5)+(U3*300)+(R3*2000)+(M3*10)+(Y3*400)+(X3*400)+(AB3*300)+(AC3*300))/3,2)</f>
        <v>122.67</v>
      </c>
      <c r="AE3" s="18"/>
      <c r="AF3" s="31">
        <f t="shared" ref="AF3" si="14">IF(ROUND(AVERAGE(AD3:AD5),2)&lt;0,0,ROUND(AVERAGE(AD3:AD5),2))</f>
        <v>122.93</v>
      </c>
    </row>
    <row r="4" spans="1:32" ht="16.5" customHeight="1" x14ac:dyDescent="0.25">
      <c r="A4" s="37">
        <v>43281</v>
      </c>
      <c r="B4" s="18">
        <v>98.2</v>
      </c>
      <c r="C4" s="18">
        <f>ROUND(AVERAGE(B4,AVERAGE(B4:B5)),1)</f>
        <v>98.2</v>
      </c>
      <c r="D4" s="38">
        <f>IF(ISERROR(ROUND((C4/C10)-1,4)),#REF!,ROUND((C4/C10)-1,4))</f>
        <v>1.66E-2</v>
      </c>
      <c r="E4" s="29">
        <f>ROUND((AVERAGE(C4:C6)-AVERAGE(C5:C7))/AVERAGE(C5:C7),4)</f>
        <v>-9.4000000000000004E-3</v>
      </c>
      <c r="F4" s="18">
        <v>1425856</v>
      </c>
      <c r="G4">
        <f t="shared" ref="G4:G9" si="15">ROUND(AVERAGE(F4:F6),0)</f>
        <v>1431513</v>
      </c>
      <c r="H4" s="38">
        <f>IF(ISERROR(ROUND((G4/G8)-1,4)),#REF!,ROUND((G4/G8)-1,4))</f>
        <v>9.7999999999999997E-3</v>
      </c>
      <c r="I4" s="13">
        <f t="shared" ref="I4:I9" si="16">ROUND((AVERAGE(G4:G5)-AVERAGE(G7:G8))/AVERAGE(G7:G8),4)</f>
        <v>7.1999999999999998E-3</v>
      </c>
      <c r="J4" s="18">
        <v>0.18</v>
      </c>
      <c r="K4">
        <f t="shared" ref="K4" si="17">J4+100</f>
        <v>100.18</v>
      </c>
      <c r="L4" s="29">
        <f t="shared" ref="L4" si="18">ROUND((AVERAGE(K4:K7)-AVERAGE(K5:K8))/AVERAGE(K5:K8),4)</f>
        <v>0</v>
      </c>
      <c r="M4" s="18">
        <v>1.58</v>
      </c>
      <c r="N4">
        <f t="shared" ref="N4" si="19">M4+100</f>
        <v>101.58</v>
      </c>
      <c r="O4" s="13">
        <f t="shared" ref="O4" si="20">ROUND((AVERAGE(N4:N6)-AVERAGE(N5:N7))/AVERAGE(N5:N7),4)</f>
        <v>0</v>
      </c>
      <c r="P4">
        <v>123.07</v>
      </c>
      <c r="Q4">
        <f t="shared" ref="Q4" si="21">ROUND(AVERAGE(P4:P6),3)</f>
        <v>122.87</v>
      </c>
      <c r="R4" s="13">
        <f t="shared" ref="R4" si="22">ROUND((AVERAGE(Q4:Q6)-AVERAGE(Q5:Q7))/AVERAGE(Q5:Q7),4)</f>
        <v>3.0000000000000001E-3</v>
      </c>
      <c r="S4" s="18">
        <v>116.5</v>
      </c>
      <c r="T4">
        <f t="shared" ref="T4" si="23">ROUND(AVERAGE(S4:S6),3)</f>
        <v>114.4</v>
      </c>
      <c r="U4" s="13">
        <f t="shared" ref="U4" si="24">ROUND((AVERAGE(T4:T6)-AVERAGE(T5:T7))/AVERAGE(T5:T7),4)</f>
        <v>-3.3E-3</v>
      </c>
      <c r="V4" s="18">
        <v>443067</v>
      </c>
      <c r="W4" s="18">
        <f t="shared" ref="W4" si="25">ROUND(AVERAGE(V4:V6),0)</f>
        <v>439773</v>
      </c>
      <c r="X4" s="38">
        <f>IF(ISERROR(ROUND((W4/W8)-1,4)),#REF!,ROUND((W4/W8)-1,4))</f>
        <v>8.6E-3</v>
      </c>
      <c r="Y4" s="29">
        <f t="shared" ref="Y4" si="26">ROUND((AVERAGE(V4:V7)-AVERAGE(V5:V8))/AVERAGE(V5:V8),4)</f>
        <v>4.7999999999999996E-3</v>
      </c>
      <c r="Z4">
        <v>85.352689999999996</v>
      </c>
      <c r="AA4" s="18">
        <f t="shared" ref="AA4" si="27">ROUND(AVERAGE(Z4:Z6),2)</f>
        <v>84.91</v>
      </c>
      <c r="AB4" s="38">
        <f>IF(ISERROR(ROUND((AA4/AA8)-1,4)),#REF!,ROUND((AA4/AA8)-1,4))</f>
        <v>2.1700000000000001E-2</v>
      </c>
      <c r="AC4" s="13">
        <f t="shared" ref="AC4" si="28">ROUND((AVERAGE(Z4,Z4:Z6)-AVERAGE(Z5:Z7))/AVERAGE(Z5:Z7),4)</f>
        <v>6.1999999999999998E-3</v>
      </c>
      <c r="AD4" s="30">
        <f>ROUND(((C4*1.5)+(D4*300)+(E4*300)+(H4*400)+(I4*400)+(J4*20)+(L4*2000)+(T4*1.5)+(U4*300)+(R4*2000)+(M4*10)+(Y4*400)+(X4*400)+(AB4*300)+(AC4*300))/3,2)</f>
        <v>122</v>
      </c>
      <c r="AE4" s="18"/>
      <c r="AF4" s="31">
        <f t="shared" ref="AF4" si="29">IF(ROUND(AVERAGE(AD4:AD6),2)&lt;0,0,ROUND(AVERAGE(AD4:AD6),2))</f>
        <v>125.93</v>
      </c>
    </row>
    <row r="5" spans="1:32" ht="16.5" customHeight="1" x14ac:dyDescent="0.25">
      <c r="A5" s="37">
        <v>43251</v>
      </c>
      <c r="B5" s="18">
        <v>98</v>
      </c>
      <c r="C5" s="18">
        <f>ROUND(AVERAGE(B5,AVERAGE(B5:B6)),1)</f>
        <v>98.2</v>
      </c>
      <c r="D5" s="38">
        <f>IF(ISERROR(ROUND((C5/C11)-1,4)),D1,ROUND((C5/C11)-1,4))</f>
        <v>-9.1000000000000004E-3</v>
      </c>
      <c r="E5" s="29">
        <f>ROUND((AVERAGE(C5:C7)-AVERAGE(C6:C8))/AVERAGE(C6:C8),4)</f>
        <v>-1.6999999999999999E-3</v>
      </c>
      <c r="F5" s="18">
        <v>1438293</v>
      </c>
      <c r="G5">
        <f t="shared" si="15"/>
        <v>1431573</v>
      </c>
      <c r="H5" s="38">
        <f>IF(ISERROR(ROUND((G5/G9)-1,4)),H1,ROUND((G5/G9)-1,4))</f>
        <v>1.8800000000000001E-2</v>
      </c>
      <c r="I5" s="13">
        <f t="shared" si="16"/>
        <v>1.3299999999999999E-2</v>
      </c>
      <c r="J5" s="18">
        <v>0.34</v>
      </c>
      <c r="K5">
        <f t="shared" ref="K5" si="30">J5+100</f>
        <v>100.34</v>
      </c>
      <c r="L5" s="29">
        <f t="shared" ref="L5" si="31">ROUND((AVERAGE(K5:K8)-AVERAGE(K6:K9))/AVERAGE(K6:K9),4)</f>
        <v>-2.0000000000000001E-4</v>
      </c>
      <c r="M5" s="18">
        <v>1.51</v>
      </c>
      <c r="N5">
        <f t="shared" ref="N5" si="32">M5+100</f>
        <v>101.51</v>
      </c>
      <c r="O5" s="13">
        <f t="shared" ref="O5" si="33">ROUND((AVERAGE(N5:N7)-AVERAGE(N6:N8))/AVERAGE(N6:N8),4)</f>
        <v>2.0000000000000001E-4</v>
      </c>
      <c r="P5">
        <v>122.91</v>
      </c>
      <c r="Q5">
        <f t="shared" ref="Q5" si="34">ROUND(AVERAGE(P5:P7),3)</f>
        <v>122.527</v>
      </c>
      <c r="R5" s="13">
        <f t="shared" ref="R5" si="35">ROUND((AVERAGE(Q5:Q7)-AVERAGE(Q6:Q8))/AVERAGE(Q6:Q8),4)</f>
        <v>2.8E-3</v>
      </c>
      <c r="S5" s="18">
        <v>111.8</v>
      </c>
      <c r="T5">
        <f t="shared" ref="T5" si="36">ROUND(AVERAGE(S5:S7),3)</f>
        <v>115.967</v>
      </c>
      <c r="U5" s="13">
        <f t="shared" ref="U5" si="37">ROUND((AVERAGE(T5:T7)-AVERAGE(T6:T8))/AVERAGE(T6:T8),4)</f>
        <v>8.3999999999999995E-3</v>
      </c>
      <c r="V5" s="18">
        <v>439712</v>
      </c>
      <c r="W5" s="18">
        <f t="shared" ref="W5" si="38">ROUND(AVERAGE(V5:V7),0)</f>
        <v>436837</v>
      </c>
      <c r="X5" s="38">
        <f>IF(ISERROR(ROUND((W5/W9)-1,4)),X1,ROUND((W5/W9)-1,4))</f>
        <v>4.0000000000000001E-3</v>
      </c>
      <c r="Y5" s="29">
        <f t="shared" ref="Y5" si="39">ROUND((AVERAGE(V5:V8)-AVERAGE(V6:V9))/AVERAGE(V6:V9),4)</f>
        <v>1.1000000000000001E-3</v>
      </c>
      <c r="Z5">
        <v>84.900180000000006</v>
      </c>
      <c r="AA5" s="18">
        <f t="shared" ref="AA5" si="40">ROUND(AVERAGE(Z5:Z7),2)</f>
        <v>84.5</v>
      </c>
      <c r="AB5" s="38">
        <f>IF(ISERROR(ROUND((AA5/AA9)-1,4)),AB1,ROUND((AA5/AA9)-1,4))</f>
        <v>2.7E-2</v>
      </c>
      <c r="AC5" s="13">
        <f t="shared" ref="AC5" si="41">ROUND((AVERAGE(Z5,Z5:Z7)-AVERAGE(Z6:Z8))/AVERAGE(Z6:Z8),4)</f>
        <v>5.7999999999999996E-3</v>
      </c>
      <c r="AD5" s="30">
        <f>ROUND(((C5*1.5)+(D5*300)+(E5*300)+(H5*400)+(I5*400)+(J5*20)+(L5*2000)+(T5*1.5)+(U5*300)+(R5*2000)+(M5*10)+(Y5*400)+(X5*400)+(AB5*300)+(AC5*300))/3,2)</f>
        <v>124.12</v>
      </c>
      <c r="AE5" s="18"/>
      <c r="AF5" s="31">
        <f t="shared" ref="AF5" si="42">IF(ROUND(AVERAGE(AD5:AD7),2)&lt;0,0,ROUND(AVERAGE(AD5:AD7),2))</f>
        <v>132.63</v>
      </c>
    </row>
    <row r="6" spans="1:32" ht="16.5" customHeight="1" x14ac:dyDescent="0.25">
      <c r="A6" s="37">
        <v>43220</v>
      </c>
      <c r="B6" s="18">
        <v>98.8</v>
      </c>
      <c r="C6" s="18">
        <f>ROUND(AVERAGE(B6,AVERAGE(B6:B7)),1)</f>
        <v>99.5</v>
      </c>
      <c r="D6" s="38">
        <f>IF(ISERROR(ROUND((C6/C12)-1,4)),D2,ROUND((C6/C12)-1,4))</f>
        <v>2E-3</v>
      </c>
      <c r="E6" s="29">
        <f>ROUND((AVERAGE(C6:C8)-AVERAGE(C7:C9))/AVERAGE(C7:C9),4)</f>
        <v>1.2500000000000001E-2</v>
      </c>
      <c r="F6" s="18">
        <v>1430391</v>
      </c>
      <c r="G6">
        <f t="shared" si="15"/>
        <v>1428626</v>
      </c>
      <c r="H6" s="38">
        <f>IF(ISERROR(ROUND((G6/G10)-1,4)),H2,ROUND((G6/G10)-1,4))</f>
        <v>2.87E-2</v>
      </c>
      <c r="I6" s="13">
        <f t="shared" si="16"/>
        <v>2.1399999999999999E-2</v>
      </c>
      <c r="J6" s="18">
        <v>0.27</v>
      </c>
      <c r="K6">
        <f t="shared" ref="K6:K69" si="43">J6+100</f>
        <v>100.27</v>
      </c>
      <c r="L6" s="29">
        <f t="shared" ref="L6:L69" si="44">ROUND((AVERAGE(K6:K9)-AVERAGE(K7:K10))/AVERAGE(K7:K10),4)</f>
        <v>-2.9999999999999997E-4</v>
      </c>
      <c r="M6" s="18">
        <v>1.59</v>
      </c>
      <c r="N6">
        <f t="shared" ref="N6:N69" si="45">M6+100</f>
        <v>101.59</v>
      </c>
      <c r="O6" s="13">
        <f t="shared" ref="O6:O69" si="46">ROUND((AVERAGE(N6:N8)-AVERAGE(N7:N9))/AVERAGE(N7:N9),4)</f>
        <v>5.9999999999999995E-4</v>
      </c>
      <c r="P6">
        <v>122.63</v>
      </c>
      <c r="Q6">
        <f t="shared" ref="Q6:Q69" si="47">ROUND(AVERAGE(P6:P8),3)</f>
        <v>122.14700000000001</v>
      </c>
      <c r="R6" s="13">
        <f t="shared" ref="R6:R69" si="48">ROUND((AVERAGE(Q6:Q8)-AVERAGE(Q7:Q9))/AVERAGE(Q7:Q9),4)</f>
        <v>2.5999999999999999E-3</v>
      </c>
      <c r="S6" s="18">
        <v>114.9</v>
      </c>
      <c r="T6">
        <f t="shared" ref="T6:T69" si="49">ROUND(AVERAGE(S6:S8),3)</f>
        <v>117</v>
      </c>
      <c r="U6" s="13">
        <f t="shared" ref="U6:U69" si="50">ROUND((AVERAGE(T6:T8)-AVERAGE(T7:T9))/AVERAGE(T7:T9),4)</f>
        <v>1.29E-2</v>
      </c>
      <c r="V6" s="18">
        <v>436540</v>
      </c>
      <c r="W6" s="18">
        <f t="shared" ref="W6:W69" si="51">ROUND(AVERAGE(V6:V8),0)</f>
        <v>435170</v>
      </c>
      <c r="X6" s="38">
        <f>IF(ISERROR(ROUND((W6/W10)-1,4)),X2,ROUND((W6/W10)-1,4))</f>
        <v>8.6E-3</v>
      </c>
      <c r="Y6" s="29">
        <f t="shared" ref="Y6:Y69" si="52">ROUND((AVERAGE(V6:V9)-AVERAGE(V7:V10))/AVERAGE(V7:V10),4)</f>
        <v>5.9999999999999995E-4</v>
      </c>
      <c r="Z6">
        <v>84.488159999999993</v>
      </c>
      <c r="AA6" s="18">
        <f t="shared" ref="AA6:AA69" si="53">ROUND(AVERAGE(Z6:Z8),2)</f>
        <v>84.11</v>
      </c>
      <c r="AB6" s="38">
        <f>IF(ISERROR(ROUND((AA6/AA10)-1,4)),AB2,ROUND((AA6/AA10)-1,4))</f>
        <v>3.5299999999999998E-2</v>
      </c>
      <c r="AC6" s="13">
        <f t="shared" ref="AC6:AC69" si="54">ROUND((AVERAGE(Z6,Z6:Z8)-AVERAGE(Z7:Z9))/AVERAGE(Z7:Z9),4)</f>
        <v>6.1999999999999998E-3</v>
      </c>
      <c r="AD6" s="30">
        <f>ROUND(((C6*1.5)+(D6*300)+(E6*300)+(H6*400)+(I6*400)+(J6*20)+(L6*2000)+(T6*1.5)+(U6*300)+(R6*2000)+(M6*10)+(Y6*400)+(X6*400)+(AB6*300)+(AC6*300))/3,2)</f>
        <v>131.68</v>
      </c>
      <c r="AE6" s="18"/>
      <c r="AF6" s="31">
        <f t="shared" ref="AF6:AF69" si="55">IF(ROUND(AVERAGE(AD6:AD8),2)&lt;0,0,ROUND(AVERAGE(AD6:AD8),2))</f>
        <v>136.6</v>
      </c>
    </row>
    <row r="7" spans="1:32" ht="16.5" customHeight="1" x14ac:dyDescent="0.25">
      <c r="A7" s="37">
        <v>43190</v>
      </c>
      <c r="B7" s="18">
        <v>101.4</v>
      </c>
      <c r="C7" s="18">
        <f t="shared" ref="C7:C70" si="56">ROUND(AVERAGE(B7,AVERAGE(B7:B8)),1)</f>
        <v>101</v>
      </c>
      <c r="D7" s="38">
        <f t="shared" ref="D7:D70" si="57">IF(ISERROR(ROUND((C7/C13)-1,4)),D6,ROUND((C7/C13)-1,4))</f>
        <v>5.5399999999999998E-2</v>
      </c>
      <c r="E7" s="29">
        <f t="shared" ref="E7:E70" si="58">ROUND((AVERAGE(C7:C9)-AVERAGE(C8:C10))/AVERAGE(C8:C10),4)</f>
        <v>1.5100000000000001E-2</v>
      </c>
      <c r="F7" s="18">
        <v>1426035</v>
      </c>
      <c r="G7">
        <f t="shared" si="15"/>
        <v>1425183</v>
      </c>
      <c r="H7" s="38">
        <f t="shared" ref="H7:H70" si="59">IF(ISERROR(ROUND((G7/G11)-1,4)),H6,ROUND((G7/G11)-1,4))</f>
        <v>3.7100000000000001E-2</v>
      </c>
      <c r="I7" s="13">
        <f t="shared" si="16"/>
        <v>2.8899999999999999E-2</v>
      </c>
      <c r="J7" s="18">
        <v>0.37</v>
      </c>
      <c r="K7">
        <f t="shared" si="43"/>
        <v>100.37</v>
      </c>
      <c r="L7" s="29">
        <f t="shared" si="44"/>
        <v>2.0000000000000001E-4</v>
      </c>
      <c r="M7" s="18">
        <v>1.57</v>
      </c>
      <c r="N7">
        <f t="shared" si="45"/>
        <v>101.57</v>
      </c>
      <c r="O7" s="13">
        <f t="shared" si="46"/>
        <v>-5.0000000000000001E-4</v>
      </c>
      <c r="P7">
        <v>122.04</v>
      </c>
      <c r="Q7">
        <f t="shared" si="47"/>
        <v>121.773</v>
      </c>
      <c r="R7" s="13">
        <f t="shared" si="48"/>
        <v>2.3999999999999998E-3</v>
      </c>
      <c r="S7" s="18">
        <v>121.2</v>
      </c>
      <c r="T7">
        <f t="shared" si="49"/>
        <v>115.533</v>
      </c>
      <c r="U7" s="13">
        <f t="shared" si="50"/>
        <v>2.7000000000000001E-3</v>
      </c>
      <c r="V7" s="18">
        <v>434260</v>
      </c>
      <c r="W7" s="18">
        <f t="shared" si="51"/>
        <v>435601</v>
      </c>
      <c r="X7" s="38">
        <f t="shared" ref="X7:X69" si="60">IF(ISERROR(ROUND((W7/W11)-1,4)),X6,ROUND((W7/W11)-1,4))</f>
        <v>2.1899999999999999E-2</v>
      </c>
      <c r="Y7" s="29">
        <f t="shared" si="52"/>
        <v>1.2999999999999999E-3</v>
      </c>
      <c r="Z7">
        <v>84.112110000000001</v>
      </c>
      <c r="AA7" s="18">
        <f t="shared" si="53"/>
        <v>83.69</v>
      </c>
      <c r="AB7" s="38">
        <f t="shared" ref="AB7:AB69" si="61">IF(ISERROR(ROUND((AA7/AA11)-1,4)),AB6,ROUND((AA7/AA11)-1,4))</f>
        <v>4.36E-2</v>
      </c>
      <c r="AC7" s="13">
        <f t="shared" si="54"/>
        <v>8.2000000000000007E-3</v>
      </c>
      <c r="AD7" s="30">
        <f t="shared" ref="AD7:AD70" si="62">ROUND(((C7*1.5)+(D7*300)+(E7*300)+(H7*400)+(I7*400)+(J7*20)+(L7*2000)+(T7*1.5)+(U7*300)+(R7*2000)+(M7*10)+(Y7*400)+(X7*400)+(AB7*300)+(AC7*300))/3,2)</f>
        <v>142.09</v>
      </c>
      <c r="AE7" s="18"/>
      <c r="AF7" s="31">
        <f t="shared" si="55"/>
        <v>137.9</v>
      </c>
    </row>
    <row r="8" spans="1:32" ht="16.5" customHeight="1" x14ac:dyDescent="0.25">
      <c r="A8" s="37">
        <v>43159</v>
      </c>
      <c r="B8" s="18">
        <v>99.7</v>
      </c>
      <c r="C8" s="18">
        <f t="shared" si="56"/>
        <v>98.7</v>
      </c>
      <c r="D8" s="38">
        <f t="shared" si="57"/>
        <v>2.1700000000000001E-2</v>
      </c>
      <c r="E8" s="29">
        <f t="shared" si="58"/>
        <v>-1.4E-3</v>
      </c>
      <c r="F8" s="18">
        <v>1429453</v>
      </c>
      <c r="G8">
        <f t="shared" si="15"/>
        <v>1417572</v>
      </c>
      <c r="H8" s="38">
        <f t="shared" si="59"/>
        <v>4.07E-2</v>
      </c>
      <c r="I8" s="13">
        <f t="shared" si="16"/>
        <v>3.1600000000000003E-2</v>
      </c>
      <c r="J8" s="18">
        <v>0.17</v>
      </c>
      <c r="K8">
        <f t="shared" si="43"/>
        <v>100.17</v>
      </c>
      <c r="L8" s="29">
        <f t="shared" si="44"/>
        <v>8.0000000000000004E-4</v>
      </c>
      <c r="M8" s="18">
        <v>1.44</v>
      </c>
      <c r="N8">
        <f t="shared" si="45"/>
        <v>101.44</v>
      </c>
      <c r="O8" s="13">
        <f t="shared" si="46"/>
        <v>8.0000000000000004E-4</v>
      </c>
      <c r="P8">
        <v>121.77</v>
      </c>
      <c r="Q8">
        <f t="shared" si="47"/>
        <v>121.503</v>
      </c>
      <c r="R8" s="13">
        <f t="shared" si="48"/>
        <v>2.3999999999999998E-3</v>
      </c>
      <c r="S8" s="18">
        <v>114.9</v>
      </c>
      <c r="T8">
        <f t="shared" si="49"/>
        <v>113.06699999999999</v>
      </c>
      <c r="U8" s="13">
        <f t="shared" si="50"/>
        <v>-2.3999999999999998E-3</v>
      </c>
      <c r="V8" s="18">
        <v>434711</v>
      </c>
      <c r="W8" s="18">
        <f t="shared" si="51"/>
        <v>436004</v>
      </c>
      <c r="X8" s="38">
        <f t="shared" si="60"/>
        <v>3.09E-2</v>
      </c>
      <c r="Y8" s="29">
        <f t="shared" si="52"/>
        <v>4.4999999999999997E-3</v>
      </c>
      <c r="Z8">
        <v>83.734840000000005</v>
      </c>
      <c r="AA8" s="18">
        <f t="shared" si="53"/>
        <v>83.11</v>
      </c>
      <c r="AB8" s="38">
        <f t="shared" si="61"/>
        <v>4.7399999999999998E-2</v>
      </c>
      <c r="AC8" s="13">
        <f t="shared" si="54"/>
        <v>1.2E-2</v>
      </c>
      <c r="AD8" s="30">
        <f t="shared" si="62"/>
        <v>136.04</v>
      </c>
      <c r="AE8" s="18"/>
      <c r="AF8" s="31">
        <f t="shared" si="55"/>
        <v>135.46</v>
      </c>
    </row>
    <row r="9" spans="1:32" ht="16.5" customHeight="1" x14ac:dyDescent="0.25">
      <c r="A9" s="37">
        <v>43131</v>
      </c>
      <c r="B9" s="18">
        <v>95.7</v>
      </c>
      <c r="C9" s="18">
        <f t="shared" si="56"/>
        <v>95.8</v>
      </c>
      <c r="D9" s="38">
        <f t="shared" si="57"/>
        <v>2.1299999999999999E-2</v>
      </c>
      <c r="E9" s="29">
        <f t="shared" si="58"/>
        <v>-1.1900000000000001E-2</v>
      </c>
      <c r="F9" s="18">
        <v>1420062</v>
      </c>
      <c r="G9">
        <f t="shared" si="15"/>
        <v>1405203</v>
      </c>
      <c r="H9" s="38">
        <f t="shared" si="59"/>
        <v>3.61E-2</v>
      </c>
      <c r="I9" s="13">
        <f t="shared" si="16"/>
        <v>2.7799999999999998E-2</v>
      </c>
      <c r="J9" s="18">
        <v>0.42</v>
      </c>
      <c r="K9">
        <f t="shared" si="43"/>
        <v>100.42</v>
      </c>
      <c r="L9" s="29">
        <f t="shared" si="44"/>
        <v>1.4E-3</v>
      </c>
      <c r="M9" s="18">
        <v>1.4</v>
      </c>
      <c r="N9">
        <f t="shared" si="45"/>
        <v>101.4</v>
      </c>
      <c r="O9" s="13">
        <f t="shared" si="46"/>
        <v>1.6999999999999999E-3</v>
      </c>
      <c r="P9">
        <v>121.51</v>
      </c>
      <c r="Q9">
        <f t="shared" si="47"/>
        <v>121.217</v>
      </c>
      <c r="R9" s="13">
        <f t="shared" si="48"/>
        <v>2.3999999999999998E-3</v>
      </c>
      <c r="S9" s="18">
        <v>110.5</v>
      </c>
      <c r="T9">
        <f t="shared" si="49"/>
        <v>112.6</v>
      </c>
      <c r="U9" s="13">
        <f t="shared" si="50"/>
        <v>-1.2999999999999999E-3</v>
      </c>
      <c r="V9" s="18">
        <v>437832</v>
      </c>
      <c r="W9" s="18">
        <f t="shared" si="51"/>
        <v>435114</v>
      </c>
      <c r="X9" s="38">
        <f t="shared" si="60"/>
        <v>3.4799999999999998E-2</v>
      </c>
      <c r="Y9" s="29">
        <f t="shared" si="52"/>
        <v>1.0500000000000001E-2</v>
      </c>
      <c r="Z9">
        <v>83.225800000000007</v>
      </c>
      <c r="AA9" s="18">
        <f t="shared" si="53"/>
        <v>82.28</v>
      </c>
      <c r="AB9" s="38">
        <f t="shared" si="61"/>
        <v>4.4400000000000002E-2</v>
      </c>
      <c r="AC9" s="13">
        <f t="shared" si="54"/>
        <v>1.5699999999999999E-2</v>
      </c>
      <c r="AD9" s="30">
        <f t="shared" si="62"/>
        <v>135.58000000000001</v>
      </c>
      <c r="AE9" s="18"/>
      <c r="AF9" s="31">
        <f t="shared" si="55"/>
        <v>133.25</v>
      </c>
    </row>
    <row r="10" spans="1:32" ht="16.5" customHeight="1" x14ac:dyDescent="0.25">
      <c r="A10" s="37">
        <v>43100</v>
      </c>
      <c r="B10" s="18">
        <v>95.9</v>
      </c>
      <c r="C10" s="18">
        <f t="shared" si="56"/>
        <v>96.6</v>
      </c>
      <c r="D10" s="38">
        <f t="shared" si="57"/>
        <v>1.0500000000000001E-2</v>
      </c>
      <c r="E10" s="29">
        <f t="shared" si="58"/>
        <v>3.0999999999999999E-3</v>
      </c>
      <c r="F10" s="18">
        <v>1403201</v>
      </c>
      <c r="G10">
        <f t="shared" ref="G10:G73" si="63">ROUND(AVERAGE(F10:F12),0)</f>
        <v>1388790</v>
      </c>
      <c r="H10" s="38">
        <f t="shared" si="59"/>
        <v>2.58E-2</v>
      </c>
      <c r="I10" s="13">
        <f t="shared" ref="I10:I73" si="64">ROUND((AVERAGE(G10:G11)-AVERAGE(G13:G14))/AVERAGE(G13:G14),4)</f>
        <v>1.95E-2</v>
      </c>
      <c r="J10" s="18">
        <v>0.41</v>
      </c>
      <c r="K10">
        <f t="shared" si="43"/>
        <v>100.41</v>
      </c>
      <c r="L10" s="29">
        <f t="shared" si="44"/>
        <v>1.2999999999999999E-3</v>
      </c>
      <c r="M10" s="18">
        <v>1.72</v>
      </c>
      <c r="N10">
        <f t="shared" si="45"/>
        <v>101.72</v>
      </c>
      <c r="O10" s="13">
        <f t="shared" si="46"/>
        <v>2E-3</v>
      </c>
      <c r="P10">
        <v>121.23</v>
      </c>
      <c r="Q10">
        <f t="shared" si="47"/>
        <v>120.91</v>
      </c>
      <c r="R10" s="13">
        <f t="shared" si="48"/>
        <v>2.3E-3</v>
      </c>
      <c r="S10" s="18">
        <v>113.8</v>
      </c>
      <c r="T10">
        <f t="shared" si="49"/>
        <v>114.6</v>
      </c>
      <c r="U10" s="13">
        <f t="shared" si="50"/>
        <v>7.7000000000000002E-3</v>
      </c>
      <c r="V10" s="18">
        <v>435470</v>
      </c>
      <c r="W10" s="18">
        <f t="shared" si="51"/>
        <v>431453</v>
      </c>
      <c r="X10" s="38">
        <f t="shared" si="60"/>
        <v>2.7300000000000001E-2</v>
      </c>
      <c r="Y10" s="29">
        <f t="shared" si="52"/>
        <v>7.7999999999999996E-3</v>
      </c>
      <c r="Z10">
        <v>82.3767</v>
      </c>
      <c r="AA10" s="18">
        <f t="shared" si="53"/>
        <v>81.239999999999995</v>
      </c>
      <c r="AB10" s="38">
        <f t="shared" si="61"/>
        <v>3.7900000000000003E-2</v>
      </c>
      <c r="AC10" s="13">
        <f t="shared" si="54"/>
        <v>1.66E-2</v>
      </c>
      <c r="AD10" s="30">
        <f t="shared" si="62"/>
        <v>134.77000000000001</v>
      </c>
      <c r="AE10" s="18"/>
      <c r="AF10" s="31">
        <f t="shared" si="55"/>
        <v>128.69999999999999</v>
      </c>
    </row>
    <row r="11" spans="1:32" ht="16.5" customHeight="1" x14ac:dyDescent="0.25">
      <c r="A11" s="37">
        <v>43069</v>
      </c>
      <c r="B11" s="18">
        <v>98.5</v>
      </c>
      <c r="C11" s="18">
        <f t="shared" si="56"/>
        <v>99.1</v>
      </c>
      <c r="D11" s="38">
        <f t="shared" si="57"/>
        <v>2.06E-2</v>
      </c>
      <c r="E11" s="29">
        <f t="shared" si="58"/>
        <v>8.6E-3</v>
      </c>
      <c r="F11" s="18">
        <v>1392347</v>
      </c>
      <c r="G11">
        <f t="shared" si="63"/>
        <v>1374222</v>
      </c>
      <c r="H11" s="38">
        <f t="shared" si="59"/>
        <v>1.6E-2</v>
      </c>
      <c r="I11" s="13">
        <f t="shared" si="64"/>
        <v>1.11E-2</v>
      </c>
      <c r="J11" s="18">
        <v>0.28000000000000003</v>
      </c>
      <c r="K11">
        <f t="shared" si="43"/>
        <v>100.28</v>
      </c>
      <c r="L11" s="29">
        <f t="shared" si="44"/>
        <v>5.9999999999999995E-4</v>
      </c>
      <c r="M11" s="18">
        <v>1.2</v>
      </c>
      <c r="N11">
        <f t="shared" si="45"/>
        <v>101.2</v>
      </c>
      <c r="O11" s="13">
        <f t="shared" si="46"/>
        <v>1E-4</v>
      </c>
      <c r="P11">
        <v>120.91</v>
      </c>
      <c r="Q11">
        <f t="shared" si="47"/>
        <v>120.617</v>
      </c>
      <c r="R11" s="13">
        <f t="shared" si="48"/>
        <v>2.2000000000000001E-3</v>
      </c>
      <c r="S11" s="18">
        <v>113.5</v>
      </c>
      <c r="T11">
        <f t="shared" si="49"/>
        <v>113.9</v>
      </c>
      <c r="U11" s="13">
        <f t="shared" si="50"/>
        <v>4.7999999999999996E-3</v>
      </c>
      <c r="V11" s="18">
        <v>432041</v>
      </c>
      <c r="W11" s="18">
        <f t="shared" si="51"/>
        <v>426258</v>
      </c>
      <c r="X11" s="38">
        <f t="shared" si="60"/>
        <v>1.7999999999999999E-2</v>
      </c>
      <c r="Y11" s="29">
        <f t="shared" si="52"/>
        <v>7.4999999999999997E-3</v>
      </c>
      <c r="Z11">
        <v>81.241280000000003</v>
      </c>
      <c r="AA11" s="18">
        <f t="shared" si="53"/>
        <v>80.19</v>
      </c>
      <c r="AB11" s="38">
        <f t="shared" si="61"/>
        <v>3.3799999999999997E-2</v>
      </c>
      <c r="AC11" s="13">
        <f t="shared" si="54"/>
        <v>1.38E-2</v>
      </c>
      <c r="AD11" s="30">
        <f t="shared" si="62"/>
        <v>129.41</v>
      </c>
      <c r="AE11" s="18"/>
      <c r="AF11" s="31">
        <f t="shared" si="55"/>
        <v>121.38</v>
      </c>
    </row>
    <row r="12" spans="1:32" ht="16.5" customHeight="1" x14ac:dyDescent="0.25">
      <c r="A12" s="37">
        <v>43039</v>
      </c>
      <c r="B12" s="18">
        <v>100.7</v>
      </c>
      <c r="C12" s="18">
        <f t="shared" si="56"/>
        <v>99.3</v>
      </c>
      <c r="D12" s="38">
        <f t="shared" si="57"/>
        <v>2.3699999999999999E-2</v>
      </c>
      <c r="E12" s="29">
        <f t="shared" si="58"/>
        <v>1.9199999999999998E-2</v>
      </c>
      <c r="F12" s="18">
        <v>1370821</v>
      </c>
      <c r="G12">
        <f t="shared" si="63"/>
        <v>1362132</v>
      </c>
      <c r="H12" s="38">
        <f t="shared" si="59"/>
        <v>7.1000000000000004E-3</v>
      </c>
      <c r="I12" s="13">
        <f t="shared" si="64"/>
        <v>4.8999999999999998E-3</v>
      </c>
      <c r="J12" s="18">
        <v>-0.16</v>
      </c>
      <c r="K12">
        <f t="shared" si="43"/>
        <v>99.84</v>
      </c>
      <c r="L12" s="29">
        <f t="shared" si="44"/>
        <v>-5.0000000000000001E-4</v>
      </c>
      <c r="M12">
        <v>0.87</v>
      </c>
      <c r="N12">
        <f t="shared" si="45"/>
        <v>100.87</v>
      </c>
      <c r="O12" s="13">
        <f t="shared" si="46"/>
        <v>-1.6999999999999999E-3</v>
      </c>
      <c r="P12">
        <v>120.59</v>
      </c>
      <c r="Q12">
        <f t="shared" si="47"/>
        <v>120.343</v>
      </c>
      <c r="R12" s="13">
        <f t="shared" si="48"/>
        <v>2.2000000000000001E-3</v>
      </c>
      <c r="S12" s="18">
        <v>116.5</v>
      </c>
      <c r="T12">
        <f t="shared" si="49"/>
        <v>113.033</v>
      </c>
      <c r="U12" s="13">
        <f t="shared" si="50"/>
        <v>1.5E-3</v>
      </c>
      <c r="V12" s="18">
        <v>426849</v>
      </c>
      <c r="W12" s="18">
        <f t="shared" si="51"/>
        <v>422955</v>
      </c>
      <c r="X12" s="38">
        <f t="shared" si="60"/>
        <v>1.24E-2</v>
      </c>
      <c r="Y12" s="29">
        <f t="shared" si="52"/>
        <v>5.0000000000000001E-3</v>
      </c>
      <c r="Z12">
        <v>80.096170000000001</v>
      </c>
      <c r="AA12" s="18">
        <f t="shared" si="53"/>
        <v>79.349999999999994</v>
      </c>
      <c r="AB12" s="38">
        <f t="shared" si="61"/>
        <v>3.4799999999999998E-2</v>
      </c>
      <c r="AC12" s="13">
        <f t="shared" si="54"/>
        <v>9.5999999999999992E-3</v>
      </c>
      <c r="AD12" s="30">
        <f t="shared" si="62"/>
        <v>121.93</v>
      </c>
      <c r="AE12" s="18"/>
      <c r="AF12" s="31">
        <f t="shared" si="55"/>
        <v>116.77</v>
      </c>
    </row>
    <row r="13" spans="1:32" ht="16.5" customHeight="1" x14ac:dyDescent="0.25">
      <c r="A13" s="37">
        <v>43008</v>
      </c>
      <c r="B13" s="18">
        <v>95.1</v>
      </c>
      <c r="C13" s="18">
        <f t="shared" si="56"/>
        <v>95.7</v>
      </c>
      <c r="D13" s="38">
        <f t="shared" si="57"/>
        <v>-1.14E-2</v>
      </c>
      <c r="E13" s="29">
        <f t="shared" si="58"/>
        <v>2.9999999999999997E-4</v>
      </c>
      <c r="F13" s="18">
        <v>1359499</v>
      </c>
      <c r="G13">
        <f t="shared" si="63"/>
        <v>1356280</v>
      </c>
      <c r="H13" s="38">
        <f t="shared" si="59"/>
        <v>3.5000000000000001E-3</v>
      </c>
      <c r="I13" s="13">
        <f t="shared" si="64"/>
        <v>2.3E-3</v>
      </c>
      <c r="J13" s="18">
        <v>-0.16</v>
      </c>
      <c r="K13">
        <f t="shared" si="43"/>
        <v>99.84</v>
      </c>
      <c r="L13" s="29">
        <f t="shared" si="44"/>
        <v>-1E-3</v>
      </c>
      <c r="M13">
        <v>1.1200000000000001</v>
      </c>
      <c r="N13">
        <f t="shared" si="45"/>
        <v>101.12</v>
      </c>
      <c r="O13" s="13">
        <f t="shared" si="46"/>
        <v>-6.9999999999999999E-4</v>
      </c>
      <c r="P13">
        <v>120.35</v>
      </c>
      <c r="Q13">
        <f t="shared" si="47"/>
        <v>120.087</v>
      </c>
      <c r="R13" s="13">
        <f t="shared" si="48"/>
        <v>2.3E-3</v>
      </c>
      <c r="S13">
        <v>111.7</v>
      </c>
      <c r="T13">
        <f t="shared" si="49"/>
        <v>112</v>
      </c>
      <c r="U13" s="13">
        <f t="shared" si="50"/>
        <v>-8.9999999999999998E-4</v>
      </c>
      <c r="V13" s="18">
        <v>419884</v>
      </c>
      <c r="W13" s="18">
        <f t="shared" si="51"/>
        <v>420485</v>
      </c>
      <c r="X13" s="38">
        <f t="shared" si="60"/>
        <v>8.2000000000000007E-3</v>
      </c>
      <c r="Y13" s="29">
        <f t="shared" si="52"/>
        <v>8.9999999999999998E-4</v>
      </c>
      <c r="Z13">
        <v>79.229119999999995</v>
      </c>
      <c r="AA13" s="18">
        <f t="shared" si="53"/>
        <v>78.78</v>
      </c>
      <c r="AB13" s="38">
        <f t="shared" si="61"/>
        <v>3.8399999999999997E-2</v>
      </c>
      <c r="AC13" s="13">
        <f t="shared" si="54"/>
        <v>8.0000000000000002E-3</v>
      </c>
      <c r="AD13" s="30">
        <f t="shared" si="62"/>
        <v>112.81</v>
      </c>
      <c r="AE13" s="18"/>
      <c r="AF13" s="31">
        <f t="shared" si="55"/>
        <v>113.42</v>
      </c>
    </row>
    <row r="14" spans="1:32" ht="16.5" customHeight="1" x14ac:dyDescent="0.25">
      <c r="A14" s="37">
        <v>42978</v>
      </c>
      <c r="B14" s="18">
        <v>97.6</v>
      </c>
      <c r="C14" s="18">
        <f t="shared" si="56"/>
        <v>96.6</v>
      </c>
      <c r="D14" s="38">
        <f t="shared" si="57"/>
        <v>-3.0999999999999999E-3</v>
      </c>
      <c r="E14" s="29">
        <f t="shared" si="58"/>
        <v>-1.6999999999999999E-3</v>
      </c>
      <c r="F14" s="18">
        <v>1356076</v>
      </c>
      <c r="G14">
        <f t="shared" si="63"/>
        <v>1353926</v>
      </c>
      <c r="H14" s="38">
        <f t="shared" si="59"/>
        <v>3.5999999999999999E-3</v>
      </c>
      <c r="I14" s="13">
        <f t="shared" si="64"/>
        <v>2.2000000000000001E-3</v>
      </c>
      <c r="J14" s="18">
        <v>-0.11</v>
      </c>
      <c r="K14">
        <f t="shared" si="43"/>
        <v>99.89</v>
      </c>
      <c r="L14" s="29">
        <f t="shared" si="44"/>
        <v>-2.9999999999999997E-4</v>
      </c>
      <c r="M14">
        <v>1.17</v>
      </c>
      <c r="N14">
        <f t="shared" si="45"/>
        <v>101.17</v>
      </c>
      <c r="O14" s="13">
        <f t="shared" si="46"/>
        <v>-1.1000000000000001E-3</v>
      </c>
      <c r="P14">
        <v>120.09</v>
      </c>
      <c r="Q14">
        <f t="shared" si="47"/>
        <v>119.82</v>
      </c>
      <c r="R14" s="13">
        <f t="shared" si="48"/>
        <v>2.3999999999999998E-3</v>
      </c>
      <c r="S14">
        <v>110.9</v>
      </c>
      <c r="T14">
        <f t="shared" si="49"/>
        <v>112.267</v>
      </c>
      <c r="U14" s="13">
        <f t="shared" si="50"/>
        <v>-8.0000000000000004E-4</v>
      </c>
      <c r="V14" s="18">
        <v>422132</v>
      </c>
      <c r="W14" s="18">
        <f t="shared" si="51"/>
        <v>419984</v>
      </c>
      <c r="X14" s="38">
        <f t="shared" si="60"/>
        <v>7.9000000000000008E-3</v>
      </c>
      <c r="Y14" s="29">
        <f t="shared" si="52"/>
        <v>3.3E-3</v>
      </c>
      <c r="Z14">
        <v>78.737660000000005</v>
      </c>
      <c r="AA14" s="18">
        <f t="shared" si="53"/>
        <v>78.27</v>
      </c>
      <c r="AB14" s="38">
        <f t="shared" si="61"/>
        <v>3.8100000000000002E-2</v>
      </c>
      <c r="AC14" s="13">
        <f t="shared" si="54"/>
        <v>1.04E-2</v>
      </c>
      <c r="AD14" s="30">
        <f t="shared" si="62"/>
        <v>115.56</v>
      </c>
      <c r="AE14" s="18"/>
      <c r="AF14" s="31">
        <f t="shared" si="55"/>
        <v>115.11</v>
      </c>
    </row>
    <row r="15" spans="1:32" ht="16.5" customHeight="1" x14ac:dyDescent="0.25">
      <c r="A15" s="37">
        <v>42947</v>
      </c>
      <c r="B15" s="18">
        <v>93.4</v>
      </c>
      <c r="C15" s="18">
        <f t="shared" si="56"/>
        <v>93.8</v>
      </c>
      <c r="D15" s="38">
        <f t="shared" si="57"/>
        <v>-4.6699999999999998E-2</v>
      </c>
      <c r="E15" s="29">
        <f t="shared" si="58"/>
        <v>-1.0999999999999999E-2</v>
      </c>
      <c r="F15" s="18">
        <v>1353265</v>
      </c>
      <c r="G15">
        <f t="shared" si="63"/>
        <v>1352521</v>
      </c>
      <c r="H15" s="38">
        <f t="shared" si="59"/>
        <v>1.1900000000000001E-2</v>
      </c>
      <c r="I15" s="13">
        <f t="shared" si="64"/>
        <v>7.1999999999999998E-3</v>
      </c>
      <c r="J15" s="18">
        <v>0.06</v>
      </c>
      <c r="K15">
        <f t="shared" si="43"/>
        <v>100.06</v>
      </c>
      <c r="L15" s="29">
        <f t="shared" si="44"/>
        <v>-5.0000000000000001E-4</v>
      </c>
      <c r="M15">
        <v>1.4</v>
      </c>
      <c r="N15">
        <f t="shared" si="45"/>
        <v>101.4</v>
      </c>
      <c r="O15" s="13">
        <f t="shared" si="46"/>
        <v>-5.0000000000000001E-4</v>
      </c>
      <c r="P15">
        <v>119.82</v>
      </c>
      <c r="Q15">
        <f t="shared" si="47"/>
        <v>119.547</v>
      </c>
      <c r="R15" s="13">
        <f t="shared" si="48"/>
        <v>2.3999999999999998E-3</v>
      </c>
      <c r="S15">
        <v>113.4</v>
      </c>
      <c r="T15">
        <f t="shared" si="49"/>
        <v>112.533</v>
      </c>
      <c r="U15" s="13">
        <f t="shared" si="50"/>
        <v>2.0000000000000001E-4</v>
      </c>
      <c r="V15" s="18">
        <v>419438</v>
      </c>
      <c r="W15" s="18">
        <f t="shared" si="51"/>
        <v>418711</v>
      </c>
      <c r="X15" s="38">
        <f t="shared" si="60"/>
        <v>5.7000000000000002E-3</v>
      </c>
      <c r="Y15" s="29">
        <f t="shared" si="52"/>
        <v>1.9E-3</v>
      </c>
      <c r="Z15">
        <v>78.372730000000004</v>
      </c>
      <c r="AA15" s="18">
        <f t="shared" si="53"/>
        <v>77.569999999999993</v>
      </c>
      <c r="AB15" s="38">
        <f t="shared" si="61"/>
        <v>3.1399999999999997E-2</v>
      </c>
      <c r="AC15" s="13">
        <f t="shared" si="54"/>
        <v>1.43E-2</v>
      </c>
      <c r="AD15" s="30">
        <f t="shared" si="62"/>
        <v>111.88</v>
      </c>
      <c r="AE15" s="18"/>
      <c r="AF15" s="31">
        <f t="shared" si="55"/>
        <v>120.03</v>
      </c>
    </row>
    <row r="16" spans="1:32" ht="16.5" customHeight="1" x14ac:dyDescent="0.25">
      <c r="A16" s="37">
        <v>42916</v>
      </c>
      <c r="B16" s="18">
        <v>95.1</v>
      </c>
      <c r="C16" s="18">
        <f t="shared" si="56"/>
        <v>95.6</v>
      </c>
      <c r="D16" s="38">
        <f t="shared" si="57"/>
        <v>-1.54E-2</v>
      </c>
      <c r="E16" s="29">
        <f t="shared" si="58"/>
        <v>-4.1000000000000003E-3</v>
      </c>
      <c r="F16" s="18">
        <v>1352436</v>
      </c>
      <c r="G16">
        <f t="shared" si="63"/>
        <v>1352502</v>
      </c>
      <c r="H16" s="38">
        <f t="shared" si="59"/>
        <v>2.0500000000000001E-2</v>
      </c>
      <c r="I16" s="13">
        <f t="shared" si="64"/>
        <v>1.5800000000000002E-2</v>
      </c>
      <c r="J16" s="18">
        <v>0.04</v>
      </c>
      <c r="K16">
        <f t="shared" si="43"/>
        <v>100.04</v>
      </c>
      <c r="L16" s="29">
        <f t="shared" si="44"/>
        <v>-1E-4</v>
      </c>
      <c r="M16">
        <v>1.34</v>
      </c>
      <c r="N16">
        <f t="shared" si="45"/>
        <v>101.34</v>
      </c>
      <c r="O16" s="13">
        <f t="shared" si="46"/>
        <v>0</v>
      </c>
      <c r="P16">
        <v>119.55</v>
      </c>
      <c r="Q16">
        <f t="shared" si="47"/>
        <v>119.267</v>
      </c>
      <c r="R16" s="13">
        <f t="shared" si="48"/>
        <v>2.2000000000000001E-3</v>
      </c>
      <c r="S16">
        <v>112.5</v>
      </c>
      <c r="T16">
        <f t="shared" si="49"/>
        <v>112.3</v>
      </c>
      <c r="U16" s="13">
        <f t="shared" si="50"/>
        <v>8.9999999999999998E-4</v>
      </c>
      <c r="V16" s="18">
        <v>418381</v>
      </c>
      <c r="W16" s="18">
        <f t="shared" si="51"/>
        <v>417794</v>
      </c>
      <c r="X16" s="38">
        <f t="shared" si="60"/>
        <v>7.7000000000000002E-3</v>
      </c>
      <c r="Y16" s="29">
        <f t="shared" si="52"/>
        <v>6.9999999999999999E-4</v>
      </c>
      <c r="Z16">
        <v>77.684870000000004</v>
      </c>
      <c r="AA16" s="18">
        <f t="shared" si="53"/>
        <v>76.680000000000007</v>
      </c>
      <c r="AB16" s="38">
        <f t="shared" si="61"/>
        <v>2.3099999999999999E-2</v>
      </c>
      <c r="AC16" s="13">
        <f t="shared" si="54"/>
        <v>1.4E-2</v>
      </c>
      <c r="AD16" s="30">
        <f t="shared" si="62"/>
        <v>117.89</v>
      </c>
      <c r="AE16" s="18"/>
      <c r="AF16" s="31">
        <f t="shared" si="55"/>
        <v>127.67</v>
      </c>
    </row>
    <row r="17" spans="1:32" ht="16.5" customHeight="1" x14ac:dyDescent="0.25">
      <c r="A17" s="37">
        <v>42886</v>
      </c>
      <c r="B17" s="18">
        <v>97.1</v>
      </c>
      <c r="C17" s="18">
        <f t="shared" si="56"/>
        <v>97.1</v>
      </c>
      <c r="D17" s="38">
        <f t="shared" si="57"/>
        <v>5.3100000000000001E-2</v>
      </c>
      <c r="E17" s="29">
        <f t="shared" si="58"/>
        <v>6.9999999999999999E-4</v>
      </c>
      <c r="F17" s="18">
        <v>1351861</v>
      </c>
      <c r="G17">
        <f t="shared" si="63"/>
        <v>1351502</v>
      </c>
      <c r="H17" s="38">
        <f t="shared" si="59"/>
        <v>2.9700000000000001E-2</v>
      </c>
      <c r="I17" s="13">
        <f t="shared" si="64"/>
        <v>2.3800000000000002E-2</v>
      </c>
      <c r="J17" s="18">
        <v>0.23</v>
      </c>
      <c r="K17">
        <f t="shared" si="43"/>
        <v>100.23</v>
      </c>
      <c r="L17" s="29">
        <f t="shared" si="44"/>
        <v>4.0000000000000002E-4</v>
      </c>
      <c r="M17">
        <v>1.49</v>
      </c>
      <c r="N17">
        <f t="shared" si="45"/>
        <v>101.49</v>
      </c>
      <c r="O17" s="13">
        <f t="shared" si="46"/>
        <v>-1E-4</v>
      </c>
      <c r="P17">
        <v>119.27</v>
      </c>
      <c r="Q17">
        <f t="shared" si="47"/>
        <v>118.977</v>
      </c>
      <c r="R17" s="13">
        <f t="shared" si="48"/>
        <v>2.0999999999999999E-3</v>
      </c>
      <c r="S17">
        <v>111.7</v>
      </c>
      <c r="T17">
        <f t="shared" si="49"/>
        <v>112.533</v>
      </c>
      <c r="U17" s="13">
        <f t="shared" si="50"/>
        <v>2.8999999999999998E-3</v>
      </c>
      <c r="V17">
        <v>418314</v>
      </c>
      <c r="W17" s="18">
        <f t="shared" si="51"/>
        <v>417065</v>
      </c>
      <c r="X17" s="38">
        <f t="shared" si="60"/>
        <v>1.09E-2</v>
      </c>
      <c r="Y17" s="29">
        <f t="shared" si="52"/>
        <v>1.6000000000000001E-3</v>
      </c>
      <c r="Z17">
        <v>76.661330000000007</v>
      </c>
      <c r="AA17" s="18">
        <f t="shared" si="53"/>
        <v>75.87</v>
      </c>
      <c r="AB17" s="38">
        <f t="shared" si="61"/>
        <v>1.9800000000000002E-2</v>
      </c>
      <c r="AC17" s="13">
        <f t="shared" si="54"/>
        <v>8.8000000000000005E-3</v>
      </c>
      <c r="AD17" s="30">
        <f t="shared" si="62"/>
        <v>130.31</v>
      </c>
      <c r="AE17" s="18"/>
      <c r="AF17" s="31">
        <f t="shared" si="55"/>
        <v>132.9</v>
      </c>
    </row>
    <row r="18" spans="1:32" ht="16.5" customHeight="1" x14ac:dyDescent="0.25">
      <c r="A18" s="37">
        <v>42855</v>
      </c>
      <c r="B18" s="10">
        <v>97</v>
      </c>
      <c r="C18" s="18">
        <f t="shared" si="56"/>
        <v>97</v>
      </c>
      <c r="D18" s="38">
        <f t="shared" si="57"/>
        <v>9.98E-2</v>
      </c>
      <c r="E18" s="29">
        <f t="shared" si="58"/>
        <v>-4.7999999999999996E-3</v>
      </c>
      <c r="F18">
        <v>1353209</v>
      </c>
      <c r="G18">
        <f t="shared" si="63"/>
        <v>1349124</v>
      </c>
      <c r="H18" s="38">
        <f t="shared" si="59"/>
        <v>3.2500000000000001E-2</v>
      </c>
      <c r="I18" s="13">
        <f t="shared" si="64"/>
        <v>2.5399999999999999E-2</v>
      </c>
      <c r="J18">
        <v>0.03</v>
      </c>
      <c r="K18">
        <f t="shared" si="43"/>
        <v>100.03</v>
      </c>
      <c r="L18" s="29">
        <f t="shared" si="44"/>
        <v>2.9999999999999997E-4</v>
      </c>
      <c r="M18">
        <v>1.54</v>
      </c>
      <c r="N18">
        <f t="shared" si="45"/>
        <v>101.54</v>
      </c>
      <c r="O18" s="13">
        <f t="shared" si="46"/>
        <v>2.9999999999999997E-4</v>
      </c>
      <c r="P18">
        <v>118.98</v>
      </c>
      <c r="Q18">
        <f t="shared" si="47"/>
        <v>118.703</v>
      </c>
      <c r="R18" s="13">
        <f t="shared" si="48"/>
        <v>2.0999999999999999E-3</v>
      </c>
      <c r="S18">
        <v>112.7</v>
      </c>
      <c r="T18">
        <f t="shared" si="49"/>
        <v>112.467</v>
      </c>
      <c r="U18" s="13">
        <f t="shared" si="50"/>
        <v>6.8999999999999999E-3</v>
      </c>
      <c r="V18">
        <v>416686</v>
      </c>
      <c r="W18" s="18">
        <f t="shared" si="51"/>
        <v>416674</v>
      </c>
      <c r="X18" s="38">
        <f t="shared" si="60"/>
        <v>1.61E-2</v>
      </c>
      <c r="Y18" s="29">
        <f t="shared" si="52"/>
        <v>3.3999999999999998E-3</v>
      </c>
      <c r="Z18">
        <v>75.688869999999994</v>
      </c>
      <c r="AA18" s="18">
        <f t="shared" si="53"/>
        <v>75.400000000000006</v>
      </c>
      <c r="AB18" s="38">
        <f t="shared" si="61"/>
        <v>2.2800000000000001E-2</v>
      </c>
      <c r="AC18" s="13">
        <f t="shared" si="54"/>
        <v>3.5000000000000001E-3</v>
      </c>
      <c r="AD18" s="30">
        <f t="shared" si="62"/>
        <v>134.81</v>
      </c>
      <c r="AE18" s="18"/>
      <c r="AF18" s="31">
        <f t="shared" si="55"/>
        <v>134.62</v>
      </c>
    </row>
    <row r="19" spans="1:32" ht="16.5" customHeight="1" x14ac:dyDescent="0.25">
      <c r="A19" s="5">
        <v>42825</v>
      </c>
      <c r="B19" s="10">
        <v>96.9</v>
      </c>
      <c r="C19" s="18">
        <f t="shared" si="56"/>
        <v>96.8</v>
      </c>
      <c r="D19" s="38">
        <f t="shared" si="57"/>
        <v>6.4899999999999999E-2</v>
      </c>
      <c r="E19" s="29">
        <f t="shared" si="58"/>
        <v>-1E-3</v>
      </c>
      <c r="F19">
        <v>1349436</v>
      </c>
      <c r="G19">
        <f t="shared" si="63"/>
        <v>1336624</v>
      </c>
      <c r="H19" s="38">
        <f t="shared" si="59"/>
        <v>2.81E-2</v>
      </c>
      <c r="I19" s="13">
        <f t="shared" si="64"/>
        <v>2.1100000000000001E-2</v>
      </c>
      <c r="J19">
        <v>0.25</v>
      </c>
      <c r="K19">
        <f t="shared" si="43"/>
        <v>100.25</v>
      </c>
      <c r="L19" s="29">
        <f t="shared" si="44"/>
        <v>1.1000000000000001E-3</v>
      </c>
      <c r="M19">
        <v>1.35</v>
      </c>
      <c r="N19">
        <f t="shared" si="45"/>
        <v>101.35</v>
      </c>
      <c r="O19" s="13">
        <f t="shared" si="46"/>
        <v>-1.2999999999999999E-3</v>
      </c>
      <c r="P19">
        <v>118.68</v>
      </c>
      <c r="Q19">
        <f t="shared" si="47"/>
        <v>118.483</v>
      </c>
      <c r="R19" s="13">
        <f t="shared" si="48"/>
        <v>2.3999999999999998E-3</v>
      </c>
      <c r="S19">
        <v>113.2</v>
      </c>
      <c r="T19">
        <f t="shared" si="49"/>
        <v>112</v>
      </c>
      <c r="U19" s="13">
        <f t="shared" si="50"/>
        <v>1.38E-2</v>
      </c>
      <c r="V19">
        <v>416196</v>
      </c>
      <c r="W19" s="18">
        <f t="shared" si="51"/>
        <v>416325</v>
      </c>
      <c r="X19" s="38">
        <f t="shared" si="60"/>
        <v>2.1000000000000001E-2</v>
      </c>
      <c r="Y19" s="29">
        <f t="shared" si="52"/>
        <v>3.0999999999999999E-3</v>
      </c>
      <c r="Z19">
        <v>75.250559999999993</v>
      </c>
      <c r="AA19" s="18">
        <f t="shared" si="53"/>
        <v>75.209999999999994</v>
      </c>
      <c r="AB19" s="38">
        <f t="shared" si="61"/>
        <v>2.7699999999999999E-2</v>
      </c>
      <c r="AC19" s="13">
        <f t="shared" si="54"/>
        <v>3.5999999999999999E-3</v>
      </c>
      <c r="AD19" s="30">
        <f t="shared" si="62"/>
        <v>133.57</v>
      </c>
      <c r="AE19" s="11">
        <f>IF(AD19&gt;85,3,IF(AND(AD19&gt;78,AD19&lt;=85),2,IF(AND(AD19&gt;70,AD19&lt;=78),1,IF(AD19&lt;40,-3,IF(AND(AD19&lt;55,AD19&gt;=40),-2,IF(AND(AD19&lt;65,AD19&gt;=55),-1,0))))))</f>
        <v>3</v>
      </c>
      <c r="AF19" s="31">
        <f t="shared" si="55"/>
        <v>134.99</v>
      </c>
    </row>
    <row r="20" spans="1:32" x14ac:dyDescent="0.25">
      <c r="A20" s="5">
        <v>42794</v>
      </c>
      <c r="B20" s="10">
        <v>96.3</v>
      </c>
      <c r="C20" s="18">
        <f t="shared" si="56"/>
        <v>96.9</v>
      </c>
      <c r="D20" s="38">
        <f t="shared" si="57"/>
        <v>7.7899999999999997E-2</v>
      </c>
      <c r="E20" s="29">
        <f t="shared" si="58"/>
        <v>1.6299999999999999E-2</v>
      </c>
      <c r="F20">
        <v>1344726</v>
      </c>
      <c r="G20">
        <f t="shared" si="63"/>
        <v>1325321</v>
      </c>
      <c r="H20" s="38">
        <f t="shared" si="59"/>
        <v>2.0899999999999998E-2</v>
      </c>
      <c r="I20" s="13">
        <f t="shared" si="64"/>
        <v>1.52E-2</v>
      </c>
      <c r="J20">
        <v>7.0000000000000007E-2</v>
      </c>
      <c r="K20">
        <f t="shared" si="43"/>
        <v>100.07</v>
      </c>
      <c r="L20" s="29">
        <f t="shared" si="44"/>
        <v>5.0000000000000001E-4</v>
      </c>
      <c r="M20">
        <v>1.52</v>
      </c>
      <c r="N20">
        <f t="shared" si="45"/>
        <v>101.52</v>
      </c>
      <c r="O20" s="13">
        <f t="shared" si="46"/>
        <v>5.0000000000000001E-4</v>
      </c>
      <c r="P20">
        <v>118.45</v>
      </c>
      <c r="Q20">
        <f t="shared" si="47"/>
        <v>118.23</v>
      </c>
      <c r="R20" s="13">
        <f t="shared" si="48"/>
        <v>2.5000000000000001E-3</v>
      </c>
      <c r="S20">
        <v>111.5</v>
      </c>
      <c r="T20">
        <f t="shared" si="49"/>
        <v>111.56699999999999</v>
      </c>
      <c r="U20" s="13">
        <f t="shared" si="50"/>
        <v>2.07E-2</v>
      </c>
      <c r="V20">
        <v>417141</v>
      </c>
      <c r="W20" s="18">
        <f t="shared" si="51"/>
        <v>414587</v>
      </c>
      <c r="X20" s="38">
        <f t="shared" si="60"/>
        <v>2.2100000000000002E-2</v>
      </c>
      <c r="Y20" s="29">
        <f t="shared" si="52"/>
        <v>5.4999999999999997E-3</v>
      </c>
      <c r="Z20">
        <v>75.260230000000007</v>
      </c>
      <c r="AA20" s="18">
        <f t="shared" si="53"/>
        <v>74.95</v>
      </c>
      <c r="AB20" s="38">
        <f t="shared" si="61"/>
        <v>2.9000000000000001E-2</v>
      </c>
      <c r="AC20" s="13">
        <f t="shared" si="54"/>
        <v>8.3999999999999995E-3</v>
      </c>
      <c r="AD20" s="30">
        <f t="shared" si="62"/>
        <v>135.49</v>
      </c>
      <c r="AE20" s="11">
        <f t="shared" ref="AE20:AE83" si="65">IF(AD20&gt;85,3,IF(AND(AD20&gt;78,AD20&lt;=85),2,IF(AND(AD20&gt;70,AD20&lt;=78),1,IF(AD20&lt;40,-3,IF(AND(AD20&lt;55,AD20&gt;=40),-2,IF(AND(AD20&lt;65,AD20&gt;=55),-1,0))))))</f>
        <v>3</v>
      </c>
      <c r="AF20" s="31">
        <f t="shared" si="55"/>
        <v>131.9</v>
      </c>
    </row>
    <row r="21" spans="1:32" x14ac:dyDescent="0.25">
      <c r="A21" s="5">
        <v>42766</v>
      </c>
      <c r="B21" s="10">
        <v>98.5</v>
      </c>
      <c r="C21" s="18">
        <f t="shared" si="56"/>
        <v>98.4</v>
      </c>
      <c r="D21" s="38">
        <f t="shared" si="57"/>
        <v>8.2500000000000004E-2</v>
      </c>
      <c r="E21" s="29">
        <f t="shared" si="58"/>
        <v>3.6799999999999999E-2</v>
      </c>
      <c r="F21">
        <v>1315710</v>
      </c>
      <c r="G21">
        <f t="shared" si="63"/>
        <v>1312491</v>
      </c>
      <c r="H21" s="38">
        <f t="shared" si="59"/>
        <v>1.46E-2</v>
      </c>
      <c r="I21" s="13">
        <f t="shared" si="64"/>
        <v>1.06E-2</v>
      </c>
      <c r="J21">
        <v>0.08</v>
      </c>
      <c r="K21">
        <f t="shared" si="43"/>
        <v>100.08</v>
      </c>
      <c r="L21" s="29">
        <f t="shared" si="44"/>
        <v>4.0000000000000002E-4</v>
      </c>
      <c r="M21">
        <v>1.44</v>
      </c>
      <c r="N21">
        <f t="shared" si="45"/>
        <v>101.44</v>
      </c>
      <c r="O21" s="13">
        <f t="shared" si="46"/>
        <v>0</v>
      </c>
      <c r="P21">
        <v>118.32</v>
      </c>
      <c r="Q21">
        <f t="shared" si="47"/>
        <v>117.953</v>
      </c>
      <c r="R21" s="13">
        <f t="shared" si="48"/>
        <v>2.5000000000000001E-3</v>
      </c>
      <c r="S21">
        <v>111.3</v>
      </c>
      <c r="T21">
        <f t="shared" si="49"/>
        <v>110.167</v>
      </c>
      <c r="U21" s="13">
        <f t="shared" si="50"/>
        <v>1.6899999999999998E-2</v>
      </c>
      <c r="V21">
        <v>415639</v>
      </c>
      <c r="W21" s="18">
        <f t="shared" si="51"/>
        <v>412554</v>
      </c>
      <c r="X21" s="38">
        <f t="shared" si="60"/>
        <v>2.01E-2</v>
      </c>
      <c r="Y21" s="29">
        <f t="shared" si="52"/>
        <v>7.1000000000000004E-3</v>
      </c>
      <c r="Z21">
        <v>75.110299999999995</v>
      </c>
      <c r="AA21" s="18">
        <f t="shared" si="53"/>
        <v>74.400000000000006</v>
      </c>
      <c r="AB21" s="38">
        <f t="shared" si="61"/>
        <v>2.58E-2</v>
      </c>
      <c r="AC21" s="13">
        <f t="shared" si="54"/>
        <v>1.17E-2</v>
      </c>
      <c r="AD21" s="30">
        <f t="shared" si="62"/>
        <v>135.91</v>
      </c>
      <c r="AE21" s="11">
        <f t="shared" si="65"/>
        <v>3</v>
      </c>
      <c r="AF21" s="31">
        <f t="shared" si="55"/>
        <v>123.78</v>
      </c>
    </row>
    <row r="22" spans="1:32" x14ac:dyDescent="0.25">
      <c r="A22" s="5">
        <v>42735</v>
      </c>
      <c r="B22" s="10">
        <v>98.2</v>
      </c>
      <c r="C22" s="18">
        <f t="shared" si="56"/>
        <v>97.1</v>
      </c>
      <c r="D22" s="38">
        <f t="shared" si="57"/>
        <v>3.5200000000000002E-2</v>
      </c>
      <c r="E22" s="29">
        <f t="shared" si="58"/>
        <v>2.29E-2</v>
      </c>
      <c r="F22">
        <v>1315526</v>
      </c>
      <c r="G22">
        <f t="shared" si="63"/>
        <v>1306688</v>
      </c>
      <c r="H22" s="38">
        <f t="shared" si="59"/>
        <v>1.4200000000000001E-2</v>
      </c>
      <c r="I22" s="13">
        <f t="shared" si="64"/>
        <v>9.5999999999999992E-3</v>
      </c>
      <c r="J22">
        <v>-0.09</v>
      </c>
      <c r="K22">
        <f t="shared" si="43"/>
        <v>99.91</v>
      </c>
      <c r="L22" s="29">
        <f t="shared" si="44"/>
        <v>1E-4</v>
      </c>
      <c r="M22">
        <v>1.75</v>
      </c>
      <c r="N22">
        <f t="shared" si="45"/>
        <v>101.75</v>
      </c>
      <c r="O22" s="13">
        <f t="shared" si="46"/>
        <v>5.9999999999999995E-4</v>
      </c>
      <c r="P22">
        <v>117.92</v>
      </c>
      <c r="Q22">
        <f t="shared" si="47"/>
        <v>117.637</v>
      </c>
      <c r="R22" s="13">
        <f t="shared" si="48"/>
        <v>2.3E-3</v>
      </c>
      <c r="S22">
        <v>111.9</v>
      </c>
      <c r="T22">
        <f t="shared" si="49"/>
        <v>107.467</v>
      </c>
      <c r="U22" s="13">
        <f t="shared" si="50"/>
        <v>2.3E-3</v>
      </c>
      <c r="V22">
        <v>410981</v>
      </c>
      <c r="W22" s="18">
        <f t="shared" si="51"/>
        <v>410063</v>
      </c>
      <c r="X22" s="38">
        <f t="shared" si="60"/>
        <v>1.6299999999999999E-2</v>
      </c>
      <c r="Y22" s="29">
        <f t="shared" si="52"/>
        <v>3.8E-3</v>
      </c>
      <c r="Z22">
        <v>74.473929999999996</v>
      </c>
      <c r="AA22" s="18">
        <f t="shared" si="53"/>
        <v>73.72</v>
      </c>
      <c r="AB22" s="38">
        <f t="shared" si="61"/>
        <v>2.2800000000000001E-2</v>
      </c>
      <c r="AC22" s="13">
        <f t="shared" si="54"/>
        <v>0.01</v>
      </c>
      <c r="AD22" s="30">
        <f t="shared" si="62"/>
        <v>124.29</v>
      </c>
      <c r="AE22" s="11">
        <f t="shared" si="65"/>
        <v>3</v>
      </c>
      <c r="AF22" s="31">
        <f t="shared" si="55"/>
        <v>114.72</v>
      </c>
    </row>
    <row r="23" spans="1:32" x14ac:dyDescent="0.25">
      <c r="A23" s="5">
        <v>42704</v>
      </c>
      <c r="B23" s="10">
        <v>93.8</v>
      </c>
      <c r="C23" s="18">
        <f t="shared" si="56"/>
        <v>92.2</v>
      </c>
      <c r="D23" s="38">
        <f t="shared" si="57"/>
        <v>-1.18E-2</v>
      </c>
      <c r="E23" s="29">
        <f t="shared" si="58"/>
        <v>8.6E-3</v>
      </c>
      <c r="F23">
        <v>1306238</v>
      </c>
      <c r="G23">
        <f t="shared" si="63"/>
        <v>1300131</v>
      </c>
      <c r="H23" s="38">
        <f t="shared" si="59"/>
        <v>1.6799999999999999E-2</v>
      </c>
      <c r="I23" s="13">
        <f t="shared" si="64"/>
        <v>1.2200000000000001E-2</v>
      </c>
      <c r="J23">
        <v>-0.17</v>
      </c>
      <c r="K23">
        <f t="shared" si="43"/>
        <v>99.83</v>
      </c>
      <c r="L23" s="29">
        <f t="shared" si="44"/>
        <v>0</v>
      </c>
      <c r="M23">
        <v>1.38</v>
      </c>
      <c r="N23">
        <f t="shared" si="45"/>
        <v>101.38</v>
      </c>
      <c r="O23" s="13">
        <f t="shared" si="46"/>
        <v>1E-4</v>
      </c>
      <c r="P23">
        <v>117.62</v>
      </c>
      <c r="Q23">
        <f t="shared" si="47"/>
        <v>117.357</v>
      </c>
      <c r="R23" s="13">
        <f t="shared" si="48"/>
        <v>2.3E-3</v>
      </c>
      <c r="S23">
        <v>107.3</v>
      </c>
      <c r="T23">
        <f t="shared" si="49"/>
        <v>104.9</v>
      </c>
      <c r="U23" s="13">
        <f t="shared" si="50"/>
        <v>-1.26E-2</v>
      </c>
      <c r="V23">
        <v>411043</v>
      </c>
      <c r="W23" s="18">
        <f t="shared" si="51"/>
        <v>407746</v>
      </c>
      <c r="X23" s="38">
        <f t="shared" si="60"/>
        <v>1.43E-2</v>
      </c>
      <c r="Y23" s="29">
        <f t="shared" si="52"/>
        <v>4.0000000000000001E-3</v>
      </c>
      <c r="Z23">
        <v>73.628979999999999</v>
      </c>
      <c r="AA23" s="18">
        <f t="shared" si="53"/>
        <v>73.180000000000007</v>
      </c>
      <c r="AB23" s="38">
        <f t="shared" si="61"/>
        <v>2.24E-2</v>
      </c>
      <c r="AC23" s="13">
        <f t="shared" si="54"/>
        <v>6.1000000000000004E-3</v>
      </c>
      <c r="AD23" s="30">
        <f t="shared" si="62"/>
        <v>111.13</v>
      </c>
      <c r="AE23" s="11">
        <f t="shared" si="65"/>
        <v>3</v>
      </c>
      <c r="AF23" s="31">
        <f t="shared" si="55"/>
        <v>111.07</v>
      </c>
    </row>
    <row r="24" spans="1:32" x14ac:dyDescent="0.25">
      <c r="A24" s="5">
        <v>42674</v>
      </c>
      <c r="B24" s="10">
        <v>87.2</v>
      </c>
      <c r="C24" s="18">
        <f t="shared" si="56"/>
        <v>88.2</v>
      </c>
      <c r="D24" s="38">
        <f t="shared" si="57"/>
        <v>-1.4500000000000001E-2</v>
      </c>
      <c r="E24" s="29">
        <f t="shared" si="58"/>
        <v>-9.9000000000000008E-3</v>
      </c>
      <c r="F24">
        <v>1298300</v>
      </c>
      <c r="G24">
        <f t="shared" si="63"/>
        <v>1298174</v>
      </c>
      <c r="H24" s="38">
        <f t="shared" si="59"/>
        <v>2.07E-2</v>
      </c>
      <c r="I24" s="13">
        <f t="shared" si="64"/>
        <v>1.6199999999999999E-2</v>
      </c>
      <c r="J24">
        <v>-0.12</v>
      </c>
      <c r="K24">
        <f t="shared" si="43"/>
        <v>99.88</v>
      </c>
      <c r="L24" s="29">
        <f t="shared" si="44"/>
        <v>6.9999999999999999E-4</v>
      </c>
      <c r="M24">
        <v>1.43</v>
      </c>
      <c r="N24">
        <f t="shared" si="45"/>
        <v>101.43</v>
      </c>
      <c r="O24" s="13">
        <f t="shared" si="46"/>
        <v>1E-4</v>
      </c>
      <c r="P24">
        <v>117.37</v>
      </c>
      <c r="Q24">
        <f t="shared" si="47"/>
        <v>117.077</v>
      </c>
      <c r="R24" s="13">
        <f t="shared" si="48"/>
        <v>2.3E-3</v>
      </c>
      <c r="S24">
        <v>103.2</v>
      </c>
      <c r="T24">
        <f t="shared" si="49"/>
        <v>104.8</v>
      </c>
      <c r="U24" s="13">
        <f t="shared" si="50"/>
        <v>-1.5699999999999999E-2</v>
      </c>
      <c r="V24">
        <v>408165</v>
      </c>
      <c r="W24" s="18">
        <f t="shared" si="51"/>
        <v>405638</v>
      </c>
      <c r="X24" s="38">
        <f t="shared" si="60"/>
        <v>1.5299999999999999E-2</v>
      </c>
      <c r="Y24" s="29">
        <f t="shared" si="52"/>
        <v>4.3E-3</v>
      </c>
      <c r="Z24">
        <v>73.05686</v>
      </c>
      <c r="AA24" s="18">
        <f t="shared" si="53"/>
        <v>72.84</v>
      </c>
      <c r="AB24" s="38">
        <f t="shared" si="61"/>
        <v>2.23E-2</v>
      </c>
      <c r="AC24" s="13">
        <f t="shared" si="54"/>
        <v>5.1000000000000004E-3</v>
      </c>
      <c r="AD24" s="30">
        <f t="shared" si="62"/>
        <v>108.73</v>
      </c>
      <c r="AE24" s="11">
        <f t="shared" si="65"/>
        <v>3</v>
      </c>
      <c r="AF24" s="31">
        <f t="shared" si="55"/>
        <v>110.8</v>
      </c>
    </row>
    <row r="25" spans="1:32" x14ac:dyDescent="0.25">
      <c r="A25" s="5">
        <v>42643</v>
      </c>
      <c r="B25" s="10">
        <v>91.2</v>
      </c>
      <c r="C25" s="18">
        <f t="shared" si="56"/>
        <v>90.9</v>
      </c>
      <c r="D25" s="38">
        <f t="shared" si="57"/>
        <v>-3.3E-3</v>
      </c>
      <c r="E25" s="29">
        <f t="shared" si="58"/>
        <v>-1.06E-2</v>
      </c>
      <c r="F25">
        <v>1295854</v>
      </c>
      <c r="G25">
        <f t="shared" si="63"/>
        <v>1293586</v>
      </c>
      <c r="H25" s="38">
        <f t="shared" si="59"/>
        <v>2.06E-2</v>
      </c>
      <c r="I25" s="13">
        <f t="shared" si="64"/>
        <v>1.6799999999999999E-2</v>
      </c>
      <c r="J25">
        <v>-7.0000000000000007E-2</v>
      </c>
      <c r="K25">
        <f t="shared" si="43"/>
        <v>99.93</v>
      </c>
      <c r="L25" s="29">
        <f t="shared" si="44"/>
        <v>5.0000000000000001E-4</v>
      </c>
      <c r="M25">
        <v>1.56</v>
      </c>
      <c r="N25">
        <f t="shared" si="45"/>
        <v>101.56</v>
      </c>
      <c r="O25" s="13">
        <f t="shared" si="46"/>
        <v>5.9999999999999995E-4</v>
      </c>
      <c r="P25">
        <v>117.08</v>
      </c>
      <c r="Q25">
        <f t="shared" si="47"/>
        <v>116.813</v>
      </c>
      <c r="R25" s="13">
        <f t="shared" si="48"/>
        <v>2.3E-3</v>
      </c>
      <c r="S25">
        <v>104.2</v>
      </c>
      <c r="T25">
        <f t="shared" si="49"/>
        <v>106.733</v>
      </c>
      <c r="U25" s="13">
        <f t="shared" si="50"/>
        <v>-7.3000000000000001E-3</v>
      </c>
      <c r="V25">
        <v>404031</v>
      </c>
      <c r="W25" s="18">
        <f t="shared" si="51"/>
        <v>404417</v>
      </c>
      <c r="X25" s="38">
        <f t="shared" si="60"/>
        <v>1.5900000000000001E-2</v>
      </c>
      <c r="Y25" s="29">
        <f t="shared" si="52"/>
        <v>2.3999999999999998E-3</v>
      </c>
      <c r="Z25">
        <v>72.846320000000006</v>
      </c>
      <c r="AA25" s="18">
        <f t="shared" si="53"/>
        <v>72.53</v>
      </c>
      <c r="AB25" s="38">
        <f t="shared" si="61"/>
        <v>1.8800000000000001E-2</v>
      </c>
      <c r="AC25" s="13">
        <f t="shared" si="54"/>
        <v>7.4000000000000003E-3</v>
      </c>
      <c r="AD25" s="30">
        <f t="shared" si="62"/>
        <v>113.34</v>
      </c>
      <c r="AE25" s="11">
        <f t="shared" si="65"/>
        <v>3</v>
      </c>
      <c r="AF25" s="31">
        <f t="shared" si="55"/>
        <v>110.72</v>
      </c>
    </row>
    <row r="26" spans="1:32" x14ac:dyDescent="0.25">
      <c r="A26" s="5">
        <v>42613</v>
      </c>
      <c r="B26" s="10">
        <v>89.8</v>
      </c>
      <c r="C26" s="18">
        <f t="shared" si="56"/>
        <v>89.9</v>
      </c>
      <c r="D26" s="38">
        <f t="shared" si="57"/>
        <v>-2.07E-2</v>
      </c>
      <c r="E26" s="29">
        <f t="shared" si="58"/>
        <v>-1.2200000000000001E-2</v>
      </c>
      <c r="F26">
        <v>1300367</v>
      </c>
      <c r="G26">
        <f t="shared" si="63"/>
        <v>1288393</v>
      </c>
      <c r="H26" s="38">
        <f t="shared" si="59"/>
        <v>1.4800000000000001E-2</v>
      </c>
      <c r="I26" s="13">
        <f t="shared" si="64"/>
        <v>1.18E-2</v>
      </c>
      <c r="J26">
        <v>-0.13</v>
      </c>
      <c r="K26">
        <f t="shared" si="43"/>
        <v>99.87</v>
      </c>
      <c r="L26" s="29">
        <f t="shared" si="44"/>
        <v>2.0000000000000001E-4</v>
      </c>
      <c r="M26">
        <v>1.36</v>
      </c>
      <c r="N26">
        <f t="shared" si="45"/>
        <v>101.36</v>
      </c>
      <c r="O26" s="13">
        <f t="shared" si="46"/>
        <v>-5.9999999999999995E-4</v>
      </c>
      <c r="P26">
        <v>116.78</v>
      </c>
      <c r="Q26">
        <f t="shared" si="47"/>
        <v>116.53700000000001</v>
      </c>
      <c r="R26" s="13">
        <f t="shared" si="48"/>
        <v>2.3E-3</v>
      </c>
      <c r="S26">
        <v>107</v>
      </c>
      <c r="T26">
        <f t="shared" si="49"/>
        <v>108.93300000000001</v>
      </c>
      <c r="U26" s="13">
        <f t="shared" si="50"/>
        <v>4.7000000000000002E-3</v>
      </c>
      <c r="V26">
        <v>404717</v>
      </c>
      <c r="W26" s="18">
        <f t="shared" si="51"/>
        <v>403483</v>
      </c>
      <c r="X26" s="38">
        <f t="shared" si="60"/>
        <v>1.78E-2</v>
      </c>
      <c r="Y26" s="29">
        <f t="shared" si="52"/>
        <v>4.7999999999999996E-3</v>
      </c>
      <c r="Z26">
        <v>72.630660000000006</v>
      </c>
      <c r="AA26" s="18">
        <f t="shared" si="53"/>
        <v>72.08</v>
      </c>
      <c r="AB26" s="38">
        <f t="shared" si="61"/>
        <v>9.4999999999999998E-3</v>
      </c>
      <c r="AC26" s="13">
        <f t="shared" si="54"/>
        <v>8.8999999999999999E-3</v>
      </c>
      <c r="AD26" s="30">
        <f t="shared" si="62"/>
        <v>110.33</v>
      </c>
      <c r="AE26" s="11">
        <f t="shared" si="65"/>
        <v>3</v>
      </c>
      <c r="AF26" s="31">
        <f t="shared" si="55"/>
        <v>108</v>
      </c>
    </row>
    <row r="27" spans="1:32" x14ac:dyDescent="0.25">
      <c r="A27" s="5">
        <v>42582</v>
      </c>
      <c r="B27" s="10">
        <v>90</v>
      </c>
      <c r="C27" s="18">
        <f t="shared" si="56"/>
        <v>90.9</v>
      </c>
      <c r="D27" s="38">
        <f t="shared" si="57"/>
        <v>-1.41E-2</v>
      </c>
      <c r="E27" s="29">
        <f t="shared" si="58"/>
        <v>5.1000000000000004E-3</v>
      </c>
      <c r="F27">
        <v>1284536</v>
      </c>
      <c r="G27">
        <f t="shared" si="63"/>
        <v>1278696</v>
      </c>
      <c r="H27" s="38">
        <f t="shared" si="59"/>
        <v>5.9999999999999995E-4</v>
      </c>
      <c r="I27" s="13">
        <f t="shared" si="64"/>
        <v>1.1999999999999999E-3</v>
      </c>
      <c r="J27">
        <v>-0.16</v>
      </c>
      <c r="K27">
        <f t="shared" si="43"/>
        <v>99.84</v>
      </c>
      <c r="L27" s="29">
        <f t="shared" si="44"/>
        <v>-2.0000000000000001E-4</v>
      </c>
      <c r="M27">
        <v>1.41</v>
      </c>
      <c r="N27">
        <f t="shared" si="45"/>
        <v>101.41</v>
      </c>
      <c r="O27" s="13">
        <f t="shared" si="46"/>
        <v>-5.9999999999999995E-4</v>
      </c>
      <c r="P27">
        <v>116.58</v>
      </c>
      <c r="Q27">
        <f t="shared" si="47"/>
        <v>116.277</v>
      </c>
      <c r="R27" s="13">
        <f t="shared" si="48"/>
        <v>2.3E-3</v>
      </c>
      <c r="S27">
        <v>109</v>
      </c>
      <c r="T27">
        <f t="shared" si="49"/>
        <v>109.9</v>
      </c>
      <c r="U27" s="13">
        <f t="shared" si="50"/>
        <v>1.09E-2</v>
      </c>
      <c r="V27">
        <v>404503</v>
      </c>
      <c r="W27" s="18">
        <f t="shared" si="51"/>
        <v>401979</v>
      </c>
      <c r="X27" s="38">
        <f t="shared" si="60"/>
        <v>1.26E-2</v>
      </c>
      <c r="Y27" s="29">
        <f t="shared" si="52"/>
        <v>4.7000000000000002E-3</v>
      </c>
      <c r="Z27">
        <v>72.107309999999998</v>
      </c>
      <c r="AA27" s="18">
        <f t="shared" si="53"/>
        <v>71.58</v>
      </c>
      <c r="AB27" s="38">
        <f t="shared" si="61"/>
        <v>-3.3E-3</v>
      </c>
      <c r="AC27" s="13">
        <f t="shared" si="54"/>
        <v>6.4999999999999997E-3</v>
      </c>
      <c r="AD27" s="30">
        <f t="shared" si="62"/>
        <v>108.49</v>
      </c>
      <c r="AE27" s="11">
        <f t="shared" si="65"/>
        <v>3</v>
      </c>
      <c r="AF27" s="31">
        <f t="shared" si="55"/>
        <v>104.89</v>
      </c>
    </row>
    <row r="28" spans="1:32" x14ac:dyDescent="0.25">
      <c r="A28" s="5">
        <v>42551</v>
      </c>
      <c r="B28" s="10">
        <v>93.5</v>
      </c>
      <c r="C28" s="18">
        <f t="shared" si="56"/>
        <v>93.8</v>
      </c>
      <c r="D28" s="38">
        <f t="shared" si="57"/>
        <v>1.6299999999999999E-2</v>
      </c>
      <c r="E28" s="29">
        <f t="shared" si="58"/>
        <v>9.4999999999999998E-3</v>
      </c>
      <c r="F28">
        <v>1280276</v>
      </c>
      <c r="G28">
        <f t="shared" si="63"/>
        <v>1271825</v>
      </c>
      <c r="H28" s="38">
        <f t="shared" si="59"/>
        <v>-1.15E-2</v>
      </c>
      <c r="I28" s="13">
        <f t="shared" si="64"/>
        <v>-9.7999999999999997E-3</v>
      </c>
      <c r="J28">
        <v>-0.4</v>
      </c>
      <c r="K28">
        <f t="shared" si="43"/>
        <v>99.6</v>
      </c>
      <c r="L28" s="29">
        <f t="shared" si="44"/>
        <v>-5.0000000000000001E-4</v>
      </c>
      <c r="M28">
        <v>1.39</v>
      </c>
      <c r="N28">
        <f t="shared" si="45"/>
        <v>101.39</v>
      </c>
      <c r="O28" s="13">
        <f t="shared" si="46"/>
        <v>-1.1999999999999999E-3</v>
      </c>
      <c r="P28">
        <v>116.25</v>
      </c>
      <c r="Q28">
        <f t="shared" si="47"/>
        <v>116.01</v>
      </c>
      <c r="R28" s="13">
        <f t="shared" si="48"/>
        <v>2.3999999999999998E-3</v>
      </c>
      <c r="S28">
        <v>110.8</v>
      </c>
      <c r="T28">
        <f t="shared" si="49"/>
        <v>109.133</v>
      </c>
      <c r="U28" s="13">
        <f t="shared" si="50"/>
        <v>8.9999999999999993E-3</v>
      </c>
      <c r="V28">
        <v>401229</v>
      </c>
      <c r="W28" s="18">
        <f t="shared" si="51"/>
        <v>399506</v>
      </c>
      <c r="X28" s="38">
        <f t="shared" si="60"/>
        <v>5.8999999999999999E-3</v>
      </c>
      <c r="Y28" s="29">
        <f t="shared" si="52"/>
        <v>3.8E-3</v>
      </c>
      <c r="Z28">
        <v>71.494690000000006</v>
      </c>
      <c r="AA28" s="18">
        <f t="shared" si="53"/>
        <v>71.25</v>
      </c>
      <c r="AB28" s="38">
        <f t="shared" si="61"/>
        <v>-1.6299999999999999E-2</v>
      </c>
      <c r="AC28" s="13">
        <f t="shared" si="54"/>
        <v>1.6999999999999999E-3</v>
      </c>
      <c r="AD28" s="30">
        <f t="shared" si="62"/>
        <v>105.17</v>
      </c>
      <c r="AE28" s="11">
        <f t="shared" si="65"/>
        <v>3</v>
      </c>
      <c r="AF28" s="31">
        <f t="shared" si="55"/>
        <v>99.93</v>
      </c>
    </row>
    <row r="29" spans="1:32" x14ac:dyDescent="0.25">
      <c r="A29" s="5">
        <v>42521</v>
      </c>
      <c r="B29" s="10">
        <v>94.7</v>
      </c>
      <c r="C29" s="18">
        <f t="shared" si="56"/>
        <v>93.3</v>
      </c>
      <c r="D29" s="38">
        <f t="shared" si="57"/>
        <v>2.53E-2</v>
      </c>
      <c r="E29" s="29">
        <f t="shared" si="58"/>
        <v>5.4999999999999997E-3</v>
      </c>
      <c r="F29">
        <v>1271275</v>
      </c>
      <c r="G29">
        <f t="shared" si="63"/>
        <v>1267533</v>
      </c>
      <c r="H29" s="38">
        <f t="shared" si="59"/>
        <v>-2.0199999999999999E-2</v>
      </c>
      <c r="I29" s="13">
        <f t="shared" si="64"/>
        <v>-1.67E-2</v>
      </c>
      <c r="J29">
        <v>-0.26</v>
      </c>
      <c r="K29">
        <f t="shared" si="43"/>
        <v>99.74</v>
      </c>
      <c r="L29" s="29">
        <f t="shared" si="44"/>
        <v>0</v>
      </c>
      <c r="M29">
        <v>1.53</v>
      </c>
      <c r="N29">
        <f t="shared" si="45"/>
        <v>101.53</v>
      </c>
      <c r="O29" s="13">
        <f t="shared" si="46"/>
        <v>4.0000000000000002E-4</v>
      </c>
      <c r="P29">
        <v>116</v>
      </c>
      <c r="Q29">
        <f t="shared" si="47"/>
        <v>115.75</v>
      </c>
      <c r="R29" s="13">
        <f t="shared" si="48"/>
        <v>2.5000000000000001E-3</v>
      </c>
      <c r="S29">
        <v>109.9</v>
      </c>
      <c r="T29">
        <f t="shared" si="49"/>
        <v>107.4</v>
      </c>
      <c r="U29" s="13">
        <f t="shared" si="50"/>
        <v>8.9999999999999998E-4</v>
      </c>
      <c r="V29">
        <v>400204</v>
      </c>
      <c r="W29" s="18">
        <f t="shared" si="51"/>
        <v>398073</v>
      </c>
      <c r="X29" s="38">
        <f t="shared" si="60"/>
        <v>1.8E-3</v>
      </c>
      <c r="Y29" s="29">
        <f t="shared" si="52"/>
        <v>8.9999999999999998E-4</v>
      </c>
      <c r="Z29">
        <v>71.135319999999993</v>
      </c>
      <c r="AA29" s="18">
        <f t="shared" si="53"/>
        <v>71.19</v>
      </c>
      <c r="AB29" s="38">
        <f t="shared" si="61"/>
        <v>-2.6800000000000001E-2</v>
      </c>
      <c r="AC29" s="13">
        <f t="shared" si="54"/>
        <v>-3.0999999999999999E-3</v>
      </c>
      <c r="AD29" s="30">
        <f t="shared" si="62"/>
        <v>101</v>
      </c>
      <c r="AE29" s="11">
        <f t="shared" si="65"/>
        <v>3</v>
      </c>
      <c r="AF29" s="31">
        <f t="shared" si="55"/>
        <v>98.42</v>
      </c>
    </row>
    <row r="30" spans="1:32" x14ac:dyDescent="0.25">
      <c r="A30" s="5">
        <v>42490</v>
      </c>
      <c r="B30" s="10">
        <v>89</v>
      </c>
      <c r="C30" s="18">
        <f t="shared" si="56"/>
        <v>89.5</v>
      </c>
      <c r="D30" s="38">
        <f t="shared" si="57"/>
        <v>2.2000000000000001E-3</v>
      </c>
      <c r="E30" s="29">
        <f t="shared" si="58"/>
        <v>-9.7999999999999997E-3</v>
      </c>
      <c r="F30">
        <v>1263923</v>
      </c>
      <c r="G30">
        <f t="shared" si="63"/>
        <v>1269644</v>
      </c>
      <c r="H30" s="38">
        <f t="shared" si="59"/>
        <v>-2.1299999999999999E-2</v>
      </c>
      <c r="I30" s="13">
        <f t="shared" si="64"/>
        <v>-1.6799999999999999E-2</v>
      </c>
      <c r="J30">
        <v>-0.22</v>
      </c>
      <c r="K30">
        <f t="shared" si="43"/>
        <v>99.78</v>
      </c>
      <c r="L30" s="29">
        <f t="shared" si="44"/>
        <v>1E-4</v>
      </c>
      <c r="M30">
        <v>1.6</v>
      </c>
      <c r="N30">
        <f t="shared" si="45"/>
        <v>101.6</v>
      </c>
      <c r="O30" s="13">
        <f t="shared" si="46"/>
        <v>-1E-4</v>
      </c>
      <c r="P30">
        <v>115.78</v>
      </c>
      <c r="Q30">
        <f t="shared" si="47"/>
        <v>115.48</v>
      </c>
      <c r="R30" s="13">
        <f t="shared" si="48"/>
        <v>2.5999999999999999E-3</v>
      </c>
      <c r="S30">
        <v>106.7</v>
      </c>
      <c r="T30">
        <f t="shared" si="49"/>
        <v>106.367</v>
      </c>
      <c r="U30" s="13">
        <f t="shared" si="50"/>
        <v>2.9999999999999997E-4</v>
      </c>
      <c r="V30">
        <v>397086</v>
      </c>
      <c r="W30" s="18">
        <f t="shared" si="51"/>
        <v>396421</v>
      </c>
      <c r="X30" s="38">
        <f t="shared" si="60"/>
        <v>-1E-3</v>
      </c>
      <c r="Y30" s="29">
        <f t="shared" si="52"/>
        <v>-2.0000000000000001E-4</v>
      </c>
      <c r="Z30">
        <v>71.105369999999994</v>
      </c>
      <c r="AA30" s="18">
        <f t="shared" si="53"/>
        <v>71.400000000000006</v>
      </c>
      <c r="AB30" s="38">
        <f t="shared" si="61"/>
        <v>-3.32E-2</v>
      </c>
      <c r="AC30" s="13">
        <f t="shared" si="54"/>
        <v>-6.8999999999999999E-3</v>
      </c>
      <c r="AD30" s="30">
        <f t="shared" si="62"/>
        <v>93.62</v>
      </c>
      <c r="AE30" s="11">
        <f t="shared" si="65"/>
        <v>3</v>
      </c>
      <c r="AF30" s="31">
        <f t="shared" si="55"/>
        <v>97.45</v>
      </c>
    </row>
    <row r="31" spans="1:32" x14ac:dyDescent="0.25">
      <c r="A31" s="5">
        <v>42460</v>
      </c>
      <c r="B31" s="10">
        <v>91</v>
      </c>
      <c r="C31" s="18">
        <f t="shared" si="56"/>
        <v>91.2</v>
      </c>
      <c r="D31" s="38">
        <f t="shared" si="57"/>
        <v>3.1699999999999999E-2</v>
      </c>
      <c r="E31" s="29">
        <f t="shared" si="58"/>
        <v>-4.0000000000000001E-3</v>
      </c>
      <c r="F31">
        <v>1267401</v>
      </c>
      <c r="G31">
        <f t="shared" si="63"/>
        <v>1277902</v>
      </c>
      <c r="H31" s="38">
        <f t="shared" si="59"/>
        <v>-1.8700000000000001E-2</v>
      </c>
      <c r="I31" s="13">
        <f t="shared" si="64"/>
        <v>-1.35E-2</v>
      </c>
      <c r="J31">
        <v>-0.09</v>
      </c>
      <c r="K31">
        <f t="shared" si="43"/>
        <v>99.91</v>
      </c>
      <c r="L31" s="29">
        <f t="shared" si="44"/>
        <v>4.0000000000000002E-4</v>
      </c>
      <c r="M31">
        <v>1.75</v>
      </c>
      <c r="N31">
        <f t="shared" si="45"/>
        <v>101.75</v>
      </c>
      <c r="O31" s="13">
        <f t="shared" si="46"/>
        <v>5.0000000000000001E-4</v>
      </c>
      <c r="P31">
        <v>115.47</v>
      </c>
      <c r="Q31">
        <f t="shared" si="47"/>
        <v>115.173</v>
      </c>
      <c r="R31" s="13">
        <f t="shared" si="48"/>
        <v>2.5999999999999999E-3</v>
      </c>
      <c r="S31">
        <v>105.6</v>
      </c>
      <c r="T31">
        <f t="shared" si="49"/>
        <v>106.267</v>
      </c>
      <c r="U31" s="13">
        <f t="shared" si="50"/>
        <v>4.3E-3</v>
      </c>
      <c r="V31">
        <v>396930</v>
      </c>
      <c r="W31" s="18">
        <f t="shared" si="51"/>
        <v>396979</v>
      </c>
      <c r="X31" s="38">
        <f t="shared" si="60"/>
        <v>6.9999999999999999E-4</v>
      </c>
      <c r="Y31" s="29">
        <f t="shared" si="52"/>
        <v>6.9999999999999999E-4</v>
      </c>
      <c r="Z31">
        <v>71.320899999999995</v>
      </c>
      <c r="AA31" s="18">
        <f t="shared" si="53"/>
        <v>71.819999999999993</v>
      </c>
      <c r="AB31" s="38">
        <f t="shared" si="61"/>
        <v>-3.4000000000000002E-2</v>
      </c>
      <c r="AC31" s="13">
        <f t="shared" si="54"/>
        <v>-1.01E-2</v>
      </c>
      <c r="AD31" s="30">
        <f t="shared" si="62"/>
        <v>100.65</v>
      </c>
      <c r="AE31" s="11">
        <f t="shared" si="65"/>
        <v>3</v>
      </c>
      <c r="AF31" s="31">
        <f t="shared" si="55"/>
        <v>99.33</v>
      </c>
    </row>
    <row r="32" spans="1:32" x14ac:dyDescent="0.25">
      <c r="A32" s="5">
        <v>42429</v>
      </c>
      <c r="B32" s="10">
        <v>91.7</v>
      </c>
      <c r="C32" s="18">
        <f t="shared" si="56"/>
        <v>91.8</v>
      </c>
      <c r="D32" s="38">
        <f t="shared" si="57"/>
        <v>-4.3E-3</v>
      </c>
      <c r="E32" s="29">
        <f t="shared" si="58"/>
        <v>2.8999999999999998E-3</v>
      </c>
      <c r="F32">
        <v>1277607</v>
      </c>
      <c r="G32">
        <f t="shared" si="63"/>
        <v>1286581</v>
      </c>
      <c r="H32" s="38">
        <f t="shared" si="59"/>
        <v>-1.46E-2</v>
      </c>
      <c r="I32" s="13">
        <f t="shared" si="64"/>
        <v>-1.06E-2</v>
      </c>
      <c r="J32">
        <v>-0.19</v>
      </c>
      <c r="K32">
        <f t="shared" si="43"/>
        <v>99.81</v>
      </c>
      <c r="L32" s="29">
        <f t="shared" si="44"/>
        <v>-2.9999999999999997E-4</v>
      </c>
      <c r="M32">
        <v>1.42</v>
      </c>
      <c r="N32">
        <f t="shared" si="45"/>
        <v>101.42</v>
      </c>
      <c r="O32" s="13">
        <f t="shared" si="46"/>
        <v>-5.0000000000000001E-4</v>
      </c>
      <c r="P32">
        <v>115.19</v>
      </c>
      <c r="Q32">
        <f t="shared" si="47"/>
        <v>114.877</v>
      </c>
      <c r="R32" s="13">
        <f t="shared" si="48"/>
        <v>2.5999999999999999E-3</v>
      </c>
      <c r="S32">
        <v>106.8</v>
      </c>
      <c r="T32">
        <f t="shared" si="49"/>
        <v>107.1</v>
      </c>
      <c r="U32" s="13">
        <f t="shared" si="50"/>
        <v>1.43E-2</v>
      </c>
      <c r="V32">
        <v>395246</v>
      </c>
      <c r="W32" s="18">
        <f t="shared" si="51"/>
        <v>397157</v>
      </c>
      <c r="X32" s="38">
        <f t="shared" si="60"/>
        <v>-1E-4</v>
      </c>
      <c r="Y32" s="29">
        <f t="shared" si="52"/>
        <v>-1.1999999999999999E-3</v>
      </c>
      <c r="Z32">
        <v>71.766769999999994</v>
      </c>
      <c r="AA32" s="18">
        <f t="shared" si="53"/>
        <v>72.430000000000007</v>
      </c>
      <c r="AB32" s="38">
        <f t="shared" si="61"/>
        <v>-2.9000000000000001E-2</v>
      </c>
      <c r="AC32" s="13">
        <f t="shared" si="54"/>
        <v>-1.2200000000000001E-2</v>
      </c>
      <c r="AD32" s="30">
        <f t="shared" si="62"/>
        <v>98.09</v>
      </c>
      <c r="AE32" s="11">
        <f t="shared" si="65"/>
        <v>3</v>
      </c>
      <c r="AF32" s="31">
        <f t="shared" si="55"/>
        <v>99.03</v>
      </c>
    </row>
    <row r="33" spans="1:32" x14ac:dyDescent="0.25">
      <c r="A33" s="5">
        <v>42400</v>
      </c>
      <c r="B33" s="10">
        <v>92</v>
      </c>
      <c r="C33" s="18">
        <f t="shared" si="56"/>
        <v>92.2</v>
      </c>
      <c r="D33" s="38">
        <f t="shared" si="57"/>
        <v>-1.8100000000000002E-2</v>
      </c>
      <c r="E33" s="29">
        <f t="shared" si="58"/>
        <v>1.06E-2</v>
      </c>
      <c r="F33">
        <v>1288698</v>
      </c>
      <c r="G33">
        <f t="shared" si="63"/>
        <v>1293713</v>
      </c>
      <c r="H33" s="38">
        <f t="shared" si="59"/>
        <v>-1.0699999999999999E-2</v>
      </c>
      <c r="I33" s="13">
        <f t="shared" si="64"/>
        <v>-8.5000000000000006E-3</v>
      </c>
      <c r="J33">
        <v>-0.27</v>
      </c>
      <c r="K33">
        <f t="shared" si="43"/>
        <v>99.73</v>
      </c>
      <c r="L33" s="29">
        <f t="shared" si="44"/>
        <v>-6.9999999999999999E-4</v>
      </c>
      <c r="M33">
        <v>1.63</v>
      </c>
      <c r="N33">
        <f t="shared" si="45"/>
        <v>101.63</v>
      </c>
      <c r="O33" s="13">
        <f t="shared" si="46"/>
        <v>-4.0000000000000002E-4</v>
      </c>
      <c r="P33">
        <v>114.86</v>
      </c>
      <c r="Q33">
        <f t="shared" si="47"/>
        <v>114.56699999999999</v>
      </c>
      <c r="R33" s="13">
        <f t="shared" si="48"/>
        <v>2.5000000000000001E-3</v>
      </c>
      <c r="S33">
        <v>106.4</v>
      </c>
      <c r="T33">
        <f t="shared" si="49"/>
        <v>106.267</v>
      </c>
      <c r="U33" s="13">
        <f t="shared" si="50"/>
        <v>1.0999999999999999E-2</v>
      </c>
      <c r="V33">
        <v>398762</v>
      </c>
      <c r="W33" s="18">
        <f t="shared" si="51"/>
        <v>397359</v>
      </c>
      <c r="X33" s="38">
        <f t="shared" si="60"/>
        <v>2.7000000000000001E-3</v>
      </c>
      <c r="Y33" s="29">
        <f t="shared" si="52"/>
        <v>1E-3</v>
      </c>
      <c r="Z33">
        <v>72.382400000000004</v>
      </c>
      <c r="AA33" s="18">
        <f t="shared" si="53"/>
        <v>73.150000000000006</v>
      </c>
      <c r="AB33" s="38">
        <f t="shared" si="61"/>
        <v>-1.9E-2</v>
      </c>
      <c r="AC33" s="13">
        <f t="shared" si="54"/>
        <v>-1.2E-2</v>
      </c>
      <c r="AD33" s="30">
        <f t="shared" si="62"/>
        <v>99.25</v>
      </c>
      <c r="AE33" s="11">
        <f t="shared" si="65"/>
        <v>3</v>
      </c>
      <c r="AF33" s="31">
        <f t="shared" si="55"/>
        <v>99.89</v>
      </c>
    </row>
    <row r="34" spans="1:32" x14ac:dyDescent="0.25">
      <c r="A34" s="5">
        <v>42369</v>
      </c>
      <c r="B34" s="10">
        <v>92.6</v>
      </c>
      <c r="C34" s="18">
        <f t="shared" si="56"/>
        <v>92.3</v>
      </c>
      <c r="D34" s="38">
        <f t="shared" si="57"/>
        <v>-2.64E-2</v>
      </c>
      <c r="E34" s="29">
        <f t="shared" si="58"/>
        <v>1.4500000000000001E-2</v>
      </c>
      <c r="F34">
        <v>1293438</v>
      </c>
      <c r="G34">
        <f t="shared" si="63"/>
        <v>1297307</v>
      </c>
      <c r="H34" s="38">
        <f t="shared" si="59"/>
        <v>-5.8999999999999999E-3</v>
      </c>
      <c r="I34" s="13">
        <f t="shared" si="64"/>
        <v>-5.0000000000000001E-3</v>
      </c>
      <c r="J34">
        <v>-0.27</v>
      </c>
      <c r="K34">
        <f t="shared" si="43"/>
        <v>99.73</v>
      </c>
      <c r="L34" s="29">
        <f t="shared" si="44"/>
        <v>-6.9999999999999999E-4</v>
      </c>
      <c r="M34">
        <v>1.6</v>
      </c>
      <c r="N34">
        <f t="shared" si="45"/>
        <v>101.6</v>
      </c>
      <c r="O34" s="13">
        <f t="shared" si="46"/>
        <v>-6.9999999999999999E-4</v>
      </c>
      <c r="P34">
        <v>114.58</v>
      </c>
      <c r="Q34">
        <f t="shared" si="47"/>
        <v>114.283</v>
      </c>
      <c r="R34" s="13">
        <f t="shared" si="48"/>
        <v>2.5999999999999999E-3</v>
      </c>
      <c r="S34">
        <v>108.1</v>
      </c>
      <c r="T34">
        <f t="shared" si="49"/>
        <v>104.9</v>
      </c>
      <c r="U34" s="13">
        <f t="shared" si="50"/>
        <v>1.2999999999999999E-3</v>
      </c>
      <c r="V34">
        <v>397463</v>
      </c>
      <c r="W34" s="18">
        <f t="shared" si="51"/>
        <v>396800</v>
      </c>
      <c r="X34" s="38">
        <f t="shared" si="60"/>
        <v>3.5000000000000001E-3</v>
      </c>
      <c r="Y34" s="29">
        <f t="shared" si="52"/>
        <v>1E-4</v>
      </c>
      <c r="Z34">
        <v>73.147040000000004</v>
      </c>
      <c r="AA34" s="18">
        <f t="shared" si="53"/>
        <v>73.849999999999994</v>
      </c>
      <c r="AB34" s="38">
        <f t="shared" si="61"/>
        <v>-7.1000000000000004E-3</v>
      </c>
      <c r="AC34" s="13">
        <f t="shared" si="54"/>
        <v>-9.1000000000000004E-3</v>
      </c>
      <c r="AD34" s="30">
        <f t="shared" si="62"/>
        <v>99.75</v>
      </c>
      <c r="AE34" s="11">
        <f t="shared" si="65"/>
        <v>3</v>
      </c>
      <c r="AF34" s="31">
        <f t="shared" si="55"/>
        <v>100.12</v>
      </c>
    </row>
    <row r="35" spans="1:32" x14ac:dyDescent="0.25">
      <c r="A35" s="5">
        <v>42338</v>
      </c>
      <c r="B35" s="10">
        <v>91.3</v>
      </c>
      <c r="C35" s="18">
        <f t="shared" si="56"/>
        <v>91</v>
      </c>
      <c r="D35" s="38">
        <f t="shared" si="57"/>
        <v>-1.09E-2</v>
      </c>
      <c r="E35" s="29">
        <f t="shared" si="58"/>
        <v>-4.4000000000000003E-3</v>
      </c>
      <c r="F35">
        <v>1299004</v>
      </c>
      <c r="G35">
        <f t="shared" si="63"/>
        <v>1302314</v>
      </c>
      <c r="H35" s="38">
        <f t="shared" si="59"/>
        <v>6.9999999999999999E-4</v>
      </c>
      <c r="I35" s="13">
        <f t="shared" si="64"/>
        <v>5.9999999999999995E-4</v>
      </c>
      <c r="J35">
        <v>-0.23</v>
      </c>
      <c r="K35">
        <f t="shared" si="43"/>
        <v>99.77</v>
      </c>
      <c r="L35" s="29">
        <f t="shared" si="44"/>
        <v>-4.0000000000000002E-4</v>
      </c>
      <c r="M35">
        <v>1.58</v>
      </c>
      <c r="N35">
        <f t="shared" si="45"/>
        <v>101.58</v>
      </c>
      <c r="O35" s="13">
        <f t="shared" si="46"/>
        <v>-5.9999999999999995E-4</v>
      </c>
      <c r="P35">
        <v>114.26</v>
      </c>
      <c r="Q35">
        <f t="shared" si="47"/>
        <v>113.997</v>
      </c>
      <c r="R35" s="13">
        <f t="shared" si="48"/>
        <v>2.8E-3</v>
      </c>
      <c r="S35">
        <v>104.3</v>
      </c>
      <c r="T35">
        <f t="shared" si="49"/>
        <v>102.6</v>
      </c>
      <c r="U35" s="13">
        <f t="shared" si="50"/>
        <v>-1.4200000000000001E-2</v>
      </c>
      <c r="V35">
        <v>395853</v>
      </c>
      <c r="W35" s="18">
        <f t="shared" si="51"/>
        <v>396711</v>
      </c>
      <c r="X35" s="38">
        <f t="shared" si="60"/>
        <v>8.8999999999999999E-3</v>
      </c>
      <c r="Y35" s="29">
        <f t="shared" si="52"/>
        <v>8.9999999999999998E-4</v>
      </c>
      <c r="Z35">
        <v>73.935079999999999</v>
      </c>
      <c r="AA35" s="18">
        <f t="shared" si="53"/>
        <v>74.349999999999994</v>
      </c>
      <c r="AB35" s="38">
        <f t="shared" si="61"/>
        <v>4.4999999999999997E-3</v>
      </c>
      <c r="AC35" s="13">
        <f t="shared" si="54"/>
        <v>-4.4999999999999997E-3</v>
      </c>
      <c r="AD35" s="30">
        <f t="shared" si="62"/>
        <v>100.66</v>
      </c>
      <c r="AE35" s="11">
        <f t="shared" si="65"/>
        <v>3</v>
      </c>
      <c r="AF35" s="31">
        <f t="shared" si="55"/>
        <v>101.84</v>
      </c>
    </row>
    <row r="36" spans="1:32" x14ac:dyDescent="0.25">
      <c r="A36" s="5">
        <v>42308</v>
      </c>
      <c r="B36" s="10">
        <v>90</v>
      </c>
      <c r="C36" s="18">
        <f t="shared" si="56"/>
        <v>89.3</v>
      </c>
      <c r="D36" s="38">
        <f t="shared" si="57"/>
        <v>-6.2E-2</v>
      </c>
      <c r="E36" s="29">
        <f t="shared" si="58"/>
        <v>-1.6799999999999999E-2</v>
      </c>
      <c r="F36">
        <v>1299478</v>
      </c>
      <c r="G36">
        <f t="shared" si="63"/>
        <v>1305618</v>
      </c>
      <c r="H36" s="38">
        <f t="shared" si="59"/>
        <v>7.7000000000000002E-3</v>
      </c>
      <c r="I36" s="13">
        <f t="shared" si="64"/>
        <v>6.1999999999999998E-3</v>
      </c>
      <c r="J36">
        <v>-0.06</v>
      </c>
      <c r="K36">
        <f t="shared" si="43"/>
        <v>99.94</v>
      </c>
      <c r="L36" s="29">
        <f t="shared" si="44"/>
        <v>1E-4</v>
      </c>
      <c r="M36">
        <v>1.74</v>
      </c>
      <c r="N36">
        <f t="shared" si="45"/>
        <v>101.74</v>
      </c>
      <c r="O36" s="13">
        <f t="shared" si="46"/>
        <v>2.0000000000000001E-4</v>
      </c>
      <c r="P36">
        <v>114.01</v>
      </c>
      <c r="Q36">
        <f t="shared" si="47"/>
        <v>113.70699999999999</v>
      </c>
      <c r="R36" s="13">
        <f t="shared" si="48"/>
        <v>2.8999999999999998E-3</v>
      </c>
      <c r="S36">
        <v>102.3</v>
      </c>
      <c r="T36">
        <f t="shared" si="49"/>
        <v>102.867</v>
      </c>
      <c r="U36" s="13">
        <f t="shared" si="50"/>
        <v>-8.6999999999999994E-3</v>
      </c>
      <c r="V36">
        <v>397083</v>
      </c>
      <c r="W36" s="18">
        <f t="shared" si="51"/>
        <v>397179</v>
      </c>
      <c r="X36" s="38">
        <f t="shared" si="60"/>
        <v>1.2800000000000001E-2</v>
      </c>
      <c r="Y36" s="29">
        <f t="shared" si="52"/>
        <v>1.6000000000000001E-3</v>
      </c>
      <c r="Z36">
        <v>74.454750000000004</v>
      </c>
      <c r="AA36" s="18">
        <f t="shared" si="53"/>
        <v>74.59</v>
      </c>
      <c r="AB36" s="38">
        <f t="shared" si="61"/>
        <v>1.47E-2</v>
      </c>
      <c r="AC36" s="13">
        <f t="shared" si="54"/>
        <v>-2.9999999999999997E-4</v>
      </c>
      <c r="AD36" s="30">
        <f t="shared" si="62"/>
        <v>99.95</v>
      </c>
      <c r="AE36" s="11">
        <f t="shared" si="65"/>
        <v>3</v>
      </c>
      <c r="AF36" s="31">
        <f t="shared" si="55"/>
        <v>105.79</v>
      </c>
    </row>
    <row r="37" spans="1:32" x14ac:dyDescent="0.25">
      <c r="A37" s="5">
        <v>42277</v>
      </c>
      <c r="B37" s="10">
        <v>87.2</v>
      </c>
      <c r="C37" s="18">
        <f t="shared" si="56"/>
        <v>88.4</v>
      </c>
      <c r="D37" s="38">
        <f t="shared" si="57"/>
        <v>-5.5599999999999997E-2</v>
      </c>
      <c r="E37" s="29">
        <f t="shared" si="58"/>
        <v>-2.2800000000000001E-2</v>
      </c>
      <c r="F37">
        <v>1308459</v>
      </c>
      <c r="G37">
        <f t="shared" si="63"/>
        <v>1307666</v>
      </c>
      <c r="H37" s="38">
        <f t="shared" si="59"/>
        <v>1.14E-2</v>
      </c>
      <c r="I37" s="13">
        <f t="shared" si="64"/>
        <v>9.2999999999999992E-3</v>
      </c>
      <c r="J37">
        <v>-0.01</v>
      </c>
      <c r="K37">
        <f t="shared" si="43"/>
        <v>99.99</v>
      </c>
      <c r="L37" s="29">
        <f t="shared" si="44"/>
        <v>2.9999999999999997E-4</v>
      </c>
      <c r="M37">
        <v>1.82</v>
      </c>
      <c r="N37">
        <f t="shared" si="45"/>
        <v>101.82</v>
      </c>
      <c r="O37" s="13">
        <f t="shared" si="46"/>
        <v>-2.0000000000000001E-4</v>
      </c>
      <c r="P37">
        <v>113.72</v>
      </c>
      <c r="Q37">
        <f t="shared" si="47"/>
        <v>113.38</v>
      </c>
      <c r="R37" s="13">
        <f t="shared" si="48"/>
        <v>2.8E-3</v>
      </c>
      <c r="S37">
        <v>101.2</v>
      </c>
      <c r="T37">
        <f t="shared" si="49"/>
        <v>104.5</v>
      </c>
      <c r="U37" s="13">
        <f t="shared" si="50"/>
        <v>-3.3999999999999998E-3</v>
      </c>
      <c r="V37">
        <v>397197</v>
      </c>
      <c r="W37" s="18">
        <f t="shared" si="51"/>
        <v>396306</v>
      </c>
      <c r="X37" s="38">
        <f t="shared" si="60"/>
        <v>1.9900000000000001E-2</v>
      </c>
      <c r="Y37" s="29">
        <f t="shared" si="52"/>
        <v>4.1999999999999997E-3</v>
      </c>
      <c r="Z37">
        <v>74.662819999999996</v>
      </c>
      <c r="AA37" s="18">
        <f t="shared" si="53"/>
        <v>74.569999999999993</v>
      </c>
      <c r="AB37" s="38">
        <f t="shared" si="61"/>
        <v>2.3E-2</v>
      </c>
      <c r="AC37" s="13">
        <f t="shared" si="54"/>
        <v>2.8999999999999998E-3</v>
      </c>
      <c r="AD37" s="30">
        <f t="shared" si="62"/>
        <v>104.9</v>
      </c>
      <c r="AE37" s="11">
        <f t="shared" si="65"/>
        <v>3</v>
      </c>
      <c r="AF37" s="31">
        <f t="shared" si="55"/>
        <v>108.2</v>
      </c>
    </row>
    <row r="38" spans="1:32" x14ac:dyDescent="0.25">
      <c r="A38" s="5">
        <v>42247</v>
      </c>
      <c r="B38" s="10">
        <v>91.9</v>
      </c>
      <c r="C38" s="18">
        <f t="shared" si="56"/>
        <v>92.2</v>
      </c>
      <c r="D38" s="38">
        <f t="shared" si="57"/>
        <v>-4.0599999999999997E-2</v>
      </c>
      <c r="E38" s="29">
        <f t="shared" si="58"/>
        <v>6.9999999999999999E-4</v>
      </c>
      <c r="F38">
        <v>1308918</v>
      </c>
      <c r="G38">
        <f t="shared" si="63"/>
        <v>1305025</v>
      </c>
      <c r="H38" s="38">
        <f t="shared" si="59"/>
        <v>2.3999999999999998E-3</v>
      </c>
      <c r="I38" s="13">
        <f t="shared" si="64"/>
        <v>4.4999999999999997E-3</v>
      </c>
      <c r="J38">
        <v>0</v>
      </c>
      <c r="K38">
        <f t="shared" si="43"/>
        <v>100</v>
      </c>
      <c r="L38" s="29">
        <f t="shared" si="44"/>
        <v>5.9999999999999995E-4</v>
      </c>
      <c r="M38">
        <v>1.77</v>
      </c>
      <c r="N38">
        <f t="shared" si="45"/>
        <v>101.77</v>
      </c>
      <c r="O38" s="13">
        <f t="shared" si="46"/>
        <v>2.9999999999999997E-4</v>
      </c>
      <c r="P38">
        <v>113.39</v>
      </c>
      <c r="Q38">
        <f t="shared" si="47"/>
        <v>113.057</v>
      </c>
      <c r="R38" s="13">
        <f t="shared" si="48"/>
        <v>2.8E-3</v>
      </c>
      <c r="S38">
        <v>105.1</v>
      </c>
      <c r="T38">
        <f t="shared" si="49"/>
        <v>107.06699999999999</v>
      </c>
      <c r="U38" s="13">
        <f t="shared" si="50"/>
        <v>8.8999999999999999E-3</v>
      </c>
      <c r="V38">
        <v>397256</v>
      </c>
      <c r="W38" s="18">
        <f t="shared" si="51"/>
        <v>395428</v>
      </c>
      <c r="X38" s="38">
        <f t="shared" si="60"/>
        <v>2.1999999999999999E-2</v>
      </c>
      <c r="Y38" s="29">
        <f t="shared" si="52"/>
        <v>3.8E-3</v>
      </c>
      <c r="Z38">
        <v>74.637600000000006</v>
      </c>
      <c r="AA38" s="18">
        <f t="shared" si="53"/>
        <v>74.38</v>
      </c>
      <c r="AB38" s="38">
        <f t="shared" si="61"/>
        <v>2.8899999999999999E-2</v>
      </c>
      <c r="AC38" s="13">
        <f t="shared" si="54"/>
        <v>5.7000000000000002E-3</v>
      </c>
      <c r="AD38" s="30">
        <f t="shared" si="62"/>
        <v>112.52</v>
      </c>
      <c r="AE38" s="11">
        <f t="shared" si="65"/>
        <v>3</v>
      </c>
      <c r="AF38" s="31">
        <f t="shared" si="55"/>
        <v>109.22</v>
      </c>
    </row>
    <row r="39" spans="1:32" x14ac:dyDescent="0.25">
      <c r="A39" s="5">
        <v>42216</v>
      </c>
      <c r="B39" s="10">
        <v>93.1</v>
      </c>
      <c r="C39" s="18">
        <f t="shared" si="56"/>
        <v>93.9</v>
      </c>
      <c r="D39" s="38">
        <f t="shared" si="57"/>
        <v>-3.2000000000000001E-2</v>
      </c>
      <c r="E39" s="29">
        <f t="shared" si="58"/>
        <v>-4.5999999999999999E-3</v>
      </c>
      <c r="F39">
        <v>1305621</v>
      </c>
      <c r="G39">
        <f t="shared" si="63"/>
        <v>1301447</v>
      </c>
      <c r="H39" s="38">
        <f t="shared" si="59"/>
        <v>-1.32E-2</v>
      </c>
      <c r="I39" s="13">
        <f t="shared" si="64"/>
        <v>-9.1000000000000004E-3</v>
      </c>
      <c r="J39">
        <v>-0.08</v>
      </c>
      <c r="K39">
        <f t="shared" si="43"/>
        <v>99.92</v>
      </c>
      <c r="L39" s="29">
        <f t="shared" si="44"/>
        <v>2.9999999999999997E-4</v>
      </c>
      <c r="M39">
        <v>1.69</v>
      </c>
      <c r="N39">
        <f t="shared" si="45"/>
        <v>101.69</v>
      </c>
      <c r="O39" s="13">
        <f t="shared" si="46"/>
        <v>1E-4</v>
      </c>
      <c r="P39">
        <v>113.03</v>
      </c>
      <c r="Q39">
        <f t="shared" si="47"/>
        <v>112.723</v>
      </c>
      <c r="R39" s="13">
        <f t="shared" si="48"/>
        <v>2.7000000000000001E-3</v>
      </c>
      <c r="S39">
        <v>107.2</v>
      </c>
      <c r="T39">
        <f t="shared" si="49"/>
        <v>105.633</v>
      </c>
      <c r="U39" s="13">
        <f t="shared" si="50"/>
        <v>-2.0999999999999999E-3</v>
      </c>
      <c r="V39">
        <v>394465</v>
      </c>
      <c r="W39" s="18">
        <f t="shared" si="51"/>
        <v>393218</v>
      </c>
      <c r="X39" s="38">
        <f t="shared" si="60"/>
        <v>1.84E-2</v>
      </c>
      <c r="Y39" s="29">
        <f t="shared" si="52"/>
        <v>6.7999999999999996E-3</v>
      </c>
      <c r="Z39">
        <v>74.424530000000004</v>
      </c>
      <c r="AA39" s="18">
        <f t="shared" si="53"/>
        <v>74.02</v>
      </c>
      <c r="AB39" s="38">
        <f t="shared" si="61"/>
        <v>2.9600000000000001E-2</v>
      </c>
      <c r="AC39" s="13">
        <f t="shared" si="54"/>
        <v>8.3000000000000001E-3</v>
      </c>
      <c r="AD39" s="30">
        <f t="shared" si="62"/>
        <v>107.17</v>
      </c>
      <c r="AE39" s="11">
        <f t="shared" si="65"/>
        <v>3</v>
      </c>
      <c r="AF39" s="31">
        <f t="shared" si="55"/>
        <v>104.53</v>
      </c>
    </row>
    <row r="40" spans="1:32" x14ac:dyDescent="0.25">
      <c r="A40" s="5">
        <v>42185</v>
      </c>
      <c r="B40" s="10">
        <v>96.1</v>
      </c>
      <c r="C40" s="18">
        <f t="shared" si="56"/>
        <v>94.8</v>
      </c>
      <c r="D40" s="38">
        <f t="shared" si="57"/>
        <v>2.5999999999999999E-2</v>
      </c>
      <c r="E40" s="29">
        <f t="shared" si="58"/>
        <v>4.3E-3</v>
      </c>
      <c r="F40">
        <v>1300535</v>
      </c>
      <c r="G40">
        <f t="shared" si="63"/>
        <v>1295610</v>
      </c>
      <c r="H40" s="38">
        <f t="shared" si="59"/>
        <v>-3.0099999999999998E-2</v>
      </c>
      <c r="I40" s="13">
        <f t="shared" si="64"/>
        <v>-2.4899999999999999E-2</v>
      </c>
      <c r="J40">
        <v>-0.09</v>
      </c>
      <c r="K40">
        <f t="shared" si="43"/>
        <v>99.91</v>
      </c>
      <c r="L40" s="29">
        <f t="shared" si="44"/>
        <v>-5.0000000000000001E-4</v>
      </c>
      <c r="M40">
        <v>1.87</v>
      </c>
      <c r="N40">
        <f t="shared" si="45"/>
        <v>101.87</v>
      </c>
      <c r="O40" s="13">
        <f t="shared" si="46"/>
        <v>8.0000000000000004E-4</v>
      </c>
      <c r="P40">
        <v>112.75</v>
      </c>
      <c r="Q40">
        <f t="shared" si="47"/>
        <v>112.43300000000001</v>
      </c>
      <c r="R40" s="13">
        <f t="shared" si="48"/>
        <v>2.8999999999999998E-3</v>
      </c>
      <c r="S40">
        <v>108.9</v>
      </c>
      <c r="T40">
        <f t="shared" si="49"/>
        <v>105.56699999999999</v>
      </c>
      <c r="U40" s="13">
        <f t="shared" si="50"/>
        <v>-4.7000000000000002E-3</v>
      </c>
      <c r="V40">
        <v>394564</v>
      </c>
      <c r="W40" s="18">
        <f t="shared" si="51"/>
        <v>392145</v>
      </c>
      <c r="X40" s="38">
        <f t="shared" si="60"/>
        <v>8.0999999999999996E-3</v>
      </c>
      <c r="Y40" s="29">
        <f t="shared" si="52"/>
        <v>5.7999999999999996E-3</v>
      </c>
      <c r="Z40">
        <v>74.072280000000006</v>
      </c>
      <c r="AA40" s="18">
        <f t="shared" si="53"/>
        <v>73.510000000000005</v>
      </c>
      <c r="AB40" s="38">
        <f t="shared" si="61"/>
        <v>2.41E-2</v>
      </c>
      <c r="AC40" s="13">
        <f t="shared" si="54"/>
        <v>1.0500000000000001E-2</v>
      </c>
      <c r="AD40" s="30">
        <f t="shared" si="62"/>
        <v>107.96</v>
      </c>
      <c r="AE40" s="11">
        <f t="shared" si="65"/>
        <v>3</v>
      </c>
      <c r="AF40" s="31">
        <f t="shared" si="55"/>
        <v>104.28</v>
      </c>
    </row>
    <row r="41" spans="1:32" x14ac:dyDescent="0.25">
      <c r="A41" s="5">
        <v>42155</v>
      </c>
      <c r="B41" s="10">
        <v>90.7</v>
      </c>
      <c r="C41" s="18">
        <f t="shared" si="56"/>
        <v>92</v>
      </c>
      <c r="D41" s="38">
        <f t="shared" si="57"/>
        <v>4.19E-2</v>
      </c>
      <c r="E41" s="29">
        <f t="shared" si="58"/>
        <v>-1.44E-2</v>
      </c>
      <c r="F41">
        <v>1298186</v>
      </c>
      <c r="G41">
        <f t="shared" si="63"/>
        <v>1292947</v>
      </c>
      <c r="H41" s="38">
        <f t="shared" si="59"/>
        <v>-3.8199999999999998E-2</v>
      </c>
      <c r="I41" s="13">
        <f t="shared" si="64"/>
        <v>-3.1800000000000002E-2</v>
      </c>
      <c r="J41">
        <v>-0.14000000000000001</v>
      </c>
      <c r="K41">
        <f t="shared" si="43"/>
        <v>99.86</v>
      </c>
      <c r="L41" s="29">
        <f t="shared" si="44"/>
        <v>-1E-3</v>
      </c>
      <c r="M41">
        <v>1.68</v>
      </c>
      <c r="N41">
        <f t="shared" si="45"/>
        <v>101.68</v>
      </c>
      <c r="O41" s="13">
        <f t="shared" si="46"/>
        <v>1E-4</v>
      </c>
      <c r="P41">
        <v>112.39</v>
      </c>
      <c r="Q41">
        <f t="shared" si="47"/>
        <v>112.1</v>
      </c>
      <c r="R41" s="13">
        <f t="shared" si="48"/>
        <v>2.8999999999999998E-3</v>
      </c>
      <c r="S41">
        <v>100.8</v>
      </c>
      <c r="T41">
        <f t="shared" si="49"/>
        <v>104.267</v>
      </c>
      <c r="U41" s="13">
        <f t="shared" si="50"/>
        <v>-8.5000000000000006E-3</v>
      </c>
      <c r="V41">
        <v>390624</v>
      </c>
      <c r="W41" s="18">
        <f t="shared" si="51"/>
        <v>388562</v>
      </c>
      <c r="X41" s="38">
        <f t="shared" si="60"/>
        <v>-5.4000000000000003E-3</v>
      </c>
      <c r="Y41" s="29">
        <f t="shared" si="52"/>
        <v>1.1000000000000001E-3</v>
      </c>
      <c r="Z41">
        <v>73.576750000000004</v>
      </c>
      <c r="AA41" s="18">
        <f t="shared" si="53"/>
        <v>72.89</v>
      </c>
      <c r="AB41" s="38">
        <f t="shared" si="61"/>
        <v>1.32E-2</v>
      </c>
      <c r="AC41" s="13">
        <f t="shared" si="54"/>
        <v>1.0699999999999999E-2</v>
      </c>
      <c r="AD41" s="30">
        <f t="shared" si="62"/>
        <v>98.45</v>
      </c>
      <c r="AE41" s="11">
        <f t="shared" si="65"/>
        <v>3</v>
      </c>
      <c r="AF41" s="31">
        <f t="shared" si="55"/>
        <v>105.02</v>
      </c>
    </row>
    <row r="42" spans="1:32" x14ac:dyDescent="0.25">
      <c r="A42" s="5">
        <v>42124</v>
      </c>
      <c r="B42" s="10">
        <v>95.9</v>
      </c>
      <c r="C42" s="18">
        <f t="shared" si="56"/>
        <v>95.2</v>
      </c>
      <c r="D42" s="38">
        <f t="shared" si="57"/>
        <v>0.1031</v>
      </c>
      <c r="E42" s="29">
        <f t="shared" si="58"/>
        <v>-6.3E-3</v>
      </c>
      <c r="F42">
        <v>1288108</v>
      </c>
      <c r="G42">
        <f t="shared" si="63"/>
        <v>1301905</v>
      </c>
      <c r="H42" s="38">
        <f t="shared" si="59"/>
        <v>-3.5700000000000003E-2</v>
      </c>
      <c r="I42" s="13">
        <f t="shared" si="64"/>
        <v>-2.7300000000000001E-2</v>
      </c>
      <c r="J42">
        <v>-0.25</v>
      </c>
      <c r="K42">
        <f t="shared" si="43"/>
        <v>99.75</v>
      </c>
      <c r="L42" s="29">
        <f t="shared" si="44"/>
        <v>-1.4E-3</v>
      </c>
      <c r="M42">
        <v>1.67</v>
      </c>
      <c r="N42">
        <f t="shared" si="45"/>
        <v>101.67</v>
      </c>
      <c r="O42" s="13">
        <f t="shared" si="46"/>
        <v>-1.1000000000000001E-3</v>
      </c>
      <c r="P42">
        <v>112.16</v>
      </c>
      <c r="Q42">
        <f t="shared" si="47"/>
        <v>111.807</v>
      </c>
      <c r="R42" s="13">
        <f t="shared" si="48"/>
        <v>3.0000000000000001E-3</v>
      </c>
      <c r="S42">
        <v>107</v>
      </c>
      <c r="T42">
        <f t="shared" si="49"/>
        <v>106.3</v>
      </c>
      <c r="U42" s="13">
        <f t="shared" si="50"/>
        <v>2.2000000000000001E-3</v>
      </c>
      <c r="V42">
        <v>391247</v>
      </c>
      <c r="W42" s="18">
        <f t="shared" si="51"/>
        <v>386898</v>
      </c>
      <c r="X42" s="38">
        <f t="shared" si="60"/>
        <v>-1.04E-2</v>
      </c>
      <c r="Y42" s="29">
        <f t="shared" si="52"/>
        <v>-6.9999999999999999E-4</v>
      </c>
      <c r="Z42">
        <v>72.894540000000006</v>
      </c>
      <c r="AA42" s="18">
        <f t="shared" si="53"/>
        <v>72.290000000000006</v>
      </c>
      <c r="AB42" s="38">
        <f t="shared" si="61"/>
        <v>-5.9999999999999995E-4</v>
      </c>
      <c r="AC42" s="13">
        <f t="shared" si="54"/>
        <v>7.6E-3</v>
      </c>
      <c r="AD42" s="30">
        <f t="shared" si="62"/>
        <v>106.44</v>
      </c>
      <c r="AE42" s="11">
        <f t="shared" si="65"/>
        <v>3</v>
      </c>
      <c r="AF42" s="31">
        <f t="shared" si="55"/>
        <v>114.06</v>
      </c>
    </row>
    <row r="43" spans="1:32" x14ac:dyDescent="0.25">
      <c r="A43" s="5">
        <v>42094</v>
      </c>
      <c r="B43" s="10">
        <v>93</v>
      </c>
      <c r="C43" s="18">
        <f t="shared" si="56"/>
        <v>93.6</v>
      </c>
      <c r="D43" s="38">
        <f t="shared" si="57"/>
        <v>0.113</v>
      </c>
      <c r="E43" s="29">
        <f t="shared" si="58"/>
        <v>4.1999999999999997E-3</v>
      </c>
      <c r="F43">
        <v>1292547</v>
      </c>
      <c r="G43">
        <f t="shared" si="63"/>
        <v>1318920</v>
      </c>
      <c r="H43" s="38">
        <f t="shared" si="59"/>
        <v>-2.5600000000000001E-2</v>
      </c>
      <c r="I43" s="13">
        <f t="shared" si="64"/>
        <v>-1.8100000000000002E-2</v>
      </c>
      <c r="J43">
        <v>-0.2</v>
      </c>
      <c r="K43">
        <f t="shared" si="43"/>
        <v>99.8</v>
      </c>
      <c r="L43" s="29">
        <f t="shared" si="44"/>
        <v>-6.9999999999999999E-4</v>
      </c>
      <c r="M43">
        <v>1.63</v>
      </c>
      <c r="N43">
        <f t="shared" si="45"/>
        <v>101.63</v>
      </c>
      <c r="O43" s="13">
        <f t="shared" si="46"/>
        <v>-4.0000000000000002E-4</v>
      </c>
      <c r="P43">
        <v>111.75</v>
      </c>
      <c r="Q43">
        <f t="shared" si="47"/>
        <v>111.447</v>
      </c>
      <c r="R43" s="13">
        <f t="shared" si="48"/>
        <v>3.0000000000000001E-3</v>
      </c>
      <c r="S43">
        <v>105</v>
      </c>
      <c r="T43">
        <f t="shared" si="49"/>
        <v>107.06699999999999</v>
      </c>
      <c r="U43" s="13">
        <f t="shared" si="50"/>
        <v>1.6299999999999999E-2</v>
      </c>
      <c r="V43">
        <v>383816</v>
      </c>
      <c r="W43" s="18">
        <f t="shared" si="51"/>
        <v>386113</v>
      </c>
      <c r="X43" s="38">
        <f t="shared" si="60"/>
        <v>-1.14E-2</v>
      </c>
      <c r="Y43" s="29">
        <f t="shared" si="52"/>
        <v>-4.4000000000000003E-3</v>
      </c>
      <c r="Z43">
        <v>72.205110000000005</v>
      </c>
      <c r="AA43" s="18">
        <f t="shared" si="53"/>
        <v>71.89</v>
      </c>
      <c r="AB43" s="38">
        <f t="shared" si="61"/>
        <v>-1.47E-2</v>
      </c>
      <c r="AC43" s="13">
        <f t="shared" si="54"/>
        <v>2.5999999999999999E-3</v>
      </c>
      <c r="AD43" s="30">
        <f t="shared" si="62"/>
        <v>110.17</v>
      </c>
      <c r="AE43" s="11">
        <f t="shared" si="65"/>
        <v>3</v>
      </c>
      <c r="AF43" s="31">
        <f t="shared" si="55"/>
        <v>122.71</v>
      </c>
    </row>
    <row r="44" spans="1:32" x14ac:dyDescent="0.25">
      <c r="A44" s="5">
        <v>42063</v>
      </c>
      <c r="B44" s="10">
        <v>95.4</v>
      </c>
      <c r="C44" s="18">
        <f t="shared" si="56"/>
        <v>96.1</v>
      </c>
      <c r="D44" s="38">
        <f t="shared" si="57"/>
        <v>0.16769999999999999</v>
      </c>
      <c r="E44" s="29">
        <f t="shared" si="58"/>
        <v>2.81E-2</v>
      </c>
      <c r="F44">
        <v>1325060</v>
      </c>
      <c r="G44">
        <f t="shared" si="63"/>
        <v>1335788</v>
      </c>
      <c r="H44" s="38">
        <f t="shared" si="59"/>
        <v>-1.23E-2</v>
      </c>
      <c r="I44" s="13">
        <f t="shared" si="64"/>
        <v>-9.5999999999999992E-3</v>
      </c>
      <c r="J44">
        <v>0.12</v>
      </c>
      <c r="K44">
        <f t="shared" si="43"/>
        <v>100.12</v>
      </c>
      <c r="L44" s="29">
        <f t="shared" si="44"/>
        <v>1E-4</v>
      </c>
      <c r="M44">
        <v>1.64</v>
      </c>
      <c r="N44">
        <f t="shared" si="45"/>
        <v>101.64</v>
      </c>
      <c r="O44" s="13">
        <f t="shared" si="46"/>
        <v>-1.2999999999999999E-3</v>
      </c>
      <c r="P44">
        <v>111.51</v>
      </c>
      <c r="Q44">
        <f t="shared" si="47"/>
        <v>111.143</v>
      </c>
      <c r="R44" s="13">
        <f t="shared" si="48"/>
        <v>3.2000000000000002E-3</v>
      </c>
      <c r="S44">
        <v>106.9</v>
      </c>
      <c r="T44">
        <f t="shared" si="49"/>
        <v>107</v>
      </c>
      <c r="U44" s="13">
        <f t="shared" si="50"/>
        <v>2.29E-2</v>
      </c>
      <c r="V44">
        <v>385630</v>
      </c>
      <c r="W44" s="18">
        <f t="shared" si="51"/>
        <v>388976</v>
      </c>
      <c r="X44" s="38">
        <f t="shared" si="60"/>
        <v>-1.4E-3</v>
      </c>
      <c r="Y44" s="29">
        <f t="shared" si="52"/>
        <v>-2.7000000000000001E-3</v>
      </c>
      <c r="Z44">
        <v>71.767600000000002</v>
      </c>
      <c r="AA44" s="18">
        <f t="shared" si="53"/>
        <v>71.78</v>
      </c>
      <c r="AB44" s="38">
        <f t="shared" si="61"/>
        <v>-2.63E-2</v>
      </c>
      <c r="AC44" s="13">
        <f t="shared" si="54"/>
        <v>-2.2000000000000001E-3</v>
      </c>
      <c r="AD44" s="30">
        <f t="shared" si="62"/>
        <v>125.57</v>
      </c>
      <c r="AE44" s="11">
        <f t="shared" si="65"/>
        <v>3</v>
      </c>
      <c r="AF44" s="31">
        <f t="shared" si="55"/>
        <v>126.64</v>
      </c>
    </row>
    <row r="45" spans="1:32" x14ac:dyDescent="0.25">
      <c r="A45" s="5">
        <v>42035</v>
      </c>
      <c r="B45" s="10">
        <v>98.1</v>
      </c>
      <c r="C45" s="18">
        <f t="shared" si="56"/>
        <v>97</v>
      </c>
      <c r="D45" s="38">
        <f t="shared" si="57"/>
        <v>0.18290000000000001</v>
      </c>
      <c r="E45" s="29">
        <f t="shared" si="58"/>
        <v>4.0099999999999997E-2</v>
      </c>
      <c r="F45">
        <v>1339154</v>
      </c>
      <c r="G45">
        <f t="shared" si="63"/>
        <v>1344270</v>
      </c>
      <c r="H45" s="38">
        <f t="shared" si="59"/>
        <v>-3.5000000000000001E-3</v>
      </c>
      <c r="I45" s="13">
        <f t="shared" si="64"/>
        <v>-2.5999999999999999E-3</v>
      </c>
      <c r="J45">
        <v>0.27</v>
      </c>
      <c r="K45">
        <f t="shared" si="43"/>
        <v>100.27</v>
      </c>
      <c r="L45" s="29">
        <f t="shared" si="44"/>
        <v>2.9999999999999997E-4</v>
      </c>
      <c r="M45">
        <v>2.02</v>
      </c>
      <c r="N45">
        <f t="shared" si="45"/>
        <v>102.02</v>
      </c>
      <c r="O45" s="13">
        <f t="shared" si="46"/>
        <v>4.0000000000000002E-4</v>
      </c>
      <c r="P45">
        <v>111.08</v>
      </c>
      <c r="Q45">
        <f t="shared" si="47"/>
        <v>110.797</v>
      </c>
      <c r="R45" s="13">
        <f t="shared" si="48"/>
        <v>3.0999999999999999E-3</v>
      </c>
      <c r="S45">
        <v>109.3</v>
      </c>
      <c r="T45">
        <f t="shared" si="49"/>
        <v>105.6</v>
      </c>
      <c r="U45" s="13">
        <f t="shared" si="50"/>
        <v>2.1899999999999999E-2</v>
      </c>
      <c r="V45">
        <v>388894</v>
      </c>
      <c r="W45" s="18">
        <f t="shared" si="51"/>
        <v>390669</v>
      </c>
      <c r="X45" s="38">
        <f t="shared" si="60"/>
        <v>5.0000000000000001E-3</v>
      </c>
      <c r="Y45" s="29">
        <f t="shared" si="52"/>
        <v>-1.5E-3</v>
      </c>
      <c r="Z45">
        <v>71.706050000000005</v>
      </c>
      <c r="AA45" s="18">
        <f t="shared" si="53"/>
        <v>71.94</v>
      </c>
      <c r="AB45" s="38">
        <f t="shared" si="61"/>
        <v>-3.2399999999999998E-2</v>
      </c>
      <c r="AC45" s="13">
        <f t="shared" si="54"/>
        <v>-6.1999999999999998E-3</v>
      </c>
      <c r="AD45" s="30">
        <f t="shared" si="62"/>
        <v>132.38</v>
      </c>
      <c r="AE45" s="11">
        <f t="shared" si="65"/>
        <v>3</v>
      </c>
      <c r="AF45" s="31">
        <f t="shared" si="55"/>
        <v>122.51</v>
      </c>
    </row>
    <row r="46" spans="1:32" x14ac:dyDescent="0.25">
      <c r="A46" s="5">
        <v>42004</v>
      </c>
      <c r="B46" s="10">
        <v>93.6</v>
      </c>
      <c r="C46" s="18">
        <f t="shared" si="56"/>
        <v>92.4</v>
      </c>
      <c r="D46" s="38">
        <f t="shared" si="57"/>
        <v>0.12139999999999999</v>
      </c>
      <c r="E46" s="29">
        <f t="shared" si="58"/>
        <v>3.2099999999999997E-2</v>
      </c>
      <c r="F46">
        <v>1343151</v>
      </c>
      <c r="G46">
        <f t="shared" si="63"/>
        <v>1350080</v>
      </c>
      <c r="H46" s="38">
        <f t="shared" si="59"/>
        <v>3.3E-3</v>
      </c>
      <c r="I46" s="13">
        <f t="shared" si="64"/>
        <v>3.3999999999999998E-3</v>
      </c>
      <c r="J46">
        <v>0.3</v>
      </c>
      <c r="K46">
        <f t="shared" si="43"/>
        <v>100.3</v>
      </c>
      <c r="L46" s="29">
        <f t="shared" si="44"/>
        <v>1E-4</v>
      </c>
      <c r="M46">
        <v>1.76</v>
      </c>
      <c r="N46">
        <f t="shared" si="45"/>
        <v>101.76</v>
      </c>
      <c r="O46" s="13">
        <f t="shared" si="46"/>
        <v>5.0000000000000001E-4</v>
      </c>
      <c r="P46">
        <v>110.84</v>
      </c>
      <c r="Q46">
        <f t="shared" si="47"/>
        <v>110.447</v>
      </c>
      <c r="R46" s="13">
        <f t="shared" si="48"/>
        <v>2.8999999999999998E-3</v>
      </c>
      <c r="S46">
        <v>104.8</v>
      </c>
      <c r="T46">
        <f t="shared" si="49"/>
        <v>101.93300000000001</v>
      </c>
      <c r="U46" s="13">
        <f t="shared" si="50"/>
        <v>1.09E-2</v>
      </c>
      <c r="V46">
        <v>392405</v>
      </c>
      <c r="W46" s="18">
        <f t="shared" si="51"/>
        <v>390974</v>
      </c>
      <c r="X46" s="38">
        <f t="shared" si="60"/>
        <v>9.5999999999999992E-3</v>
      </c>
      <c r="Y46" s="29">
        <f t="shared" si="52"/>
        <v>3.0999999999999999E-3</v>
      </c>
      <c r="Z46">
        <v>71.876239999999996</v>
      </c>
      <c r="AA46" s="18">
        <f t="shared" si="53"/>
        <v>72.33</v>
      </c>
      <c r="AB46" s="38">
        <f t="shared" si="61"/>
        <v>-3.0700000000000002E-2</v>
      </c>
      <c r="AC46" s="13">
        <f t="shared" si="54"/>
        <v>-1.0200000000000001E-2</v>
      </c>
      <c r="AD46" s="30">
        <f t="shared" si="62"/>
        <v>121.97</v>
      </c>
      <c r="AE46" s="11">
        <f t="shared" si="65"/>
        <v>3</v>
      </c>
      <c r="AF46" s="31">
        <f t="shared" si="55"/>
        <v>115.17</v>
      </c>
    </row>
    <row r="47" spans="1:32" x14ac:dyDescent="0.25">
      <c r="A47" s="5">
        <v>41973</v>
      </c>
      <c r="B47" s="10">
        <v>88.8</v>
      </c>
      <c r="C47" s="18">
        <f t="shared" si="56"/>
        <v>88.3</v>
      </c>
      <c r="D47" s="38">
        <f t="shared" si="57"/>
        <v>7.0300000000000001E-2</v>
      </c>
      <c r="E47" s="29">
        <f t="shared" si="58"/>
        <v>2.3699999999999999E-2</v>
      </c>
      <c r="F47">
        <v>1350505</v>
      </c>
      <c r="G47">
        <f t="shared" si="63"/>
        <v>1353612</v>
      </c>
      <c r="H47" s="38">
        <f t="shared" si="59"/>
        <v>7.7999999999999996E-3</v>
      </c>
      <c r="I47" s="13">
        <f t="shared" si="64"/>
        <v>6.4000000000000003E-3</v>
      </c>
      <c r="J47">
        <v>7.0000000000000007E-2</v>
      </c>
      <c r="K47">
        <f t="shared" si="43"/>
        <v>100.07</v>
      </c>
      <c r="L47" s="29">
        <f t="shared" si="44"/>
        <v>-2.9999999999999997E-4</v>
      </c>
      <c r="M47">
        <v>2.04</v>
      </c>
      <c r="N47">
        <f t="shared" si="45"/>
        <v>102.04</v>
      </c>
      <c r="O47" s="13">
        <f t="shared" si="46"/>
        <v>5.9999999999999995E-4</v>
      </c>
      <c r="P47">
        <v>110.47</v>
      </c>
      <c r="Q47">
        <f t="shared" si="47"/>
        <v>110.093</v>
      </c>
      <c r="R47" s="13">
        <f t="shared" si="48"/>
        <v>2.7000000000000001E-3</v>
      </c>
      <c r="S47">
        <v>102.7</v>
      </c>
      <c r="T47">
        <f t="shared" si="49"/>
        <v>99.966999999999999</v>
      </c>
      <c r="U47" s="13">
        <f t="shared" si="50"/>
        <v>6.8999999999999999E-3</v>
      </c>
      <c r="V47">
        <v>390708</v>
      </c>
      <c r="W47" s="18">
        <f t="shared" si="51"/>
        <v>390559</v>
      </c>
      <c r="X47" s="38">
        <f t="shared" si="60"/>
        <v>9.4999999999999998E-3</v>
      </c>
      <c r="Y47" s="29">
        <f t="shared" si="52"/>
        <v>2.2000000000000001E-3</v>
      </c>
      <c r="Z47">
        <v>72.225440000000006</v>
      </c>
      <c r="AA47" s="18">
        <f t="shared" si="53"/>
        <v>72.959999999999994</v>
      </c>
      <c r="AB47" s="38">
        <f t="shared" si="61"/>
        <v>-2.07E-2</v>
      </c>
      <c r="AC47" s="13">
        <f t="shared" si="54"/>
        <v>-1.2800000000000001E-2</v>
      </c>
      <c r="AD47" s="30">
        <f t="shared" si="62"/>
        <v>113.19</v>
      </c>
      <c r="AE47" s="11">
        <f t="shared" si="65"/>
        <v>3</v>
      </c>
      <c r="AF47" s="31">
        <f t="shared" si="55"/>
        <v>111.91</v>
      </c>
    </row>
    <row r="48" spans="1:32" x14ac:dyDescent="0.25">
      <c r="A48" s="5">
        <v>41943</v>
      </c>
      <c r="B48" s="10">
        <v>86.9</v>
      </c>
      <c r="C48" s="18">
        <f t="shared" si="56"/>
        <v>86.3</v>
      </c>
      <c r="D48" s="38">
        <f t="shared" si="57"/>
        <v>3.85E-2</v>
      </c>
      <c r="E48" s="29">
        <f t="shared" si="58"/>
        <v>1.7299999999999999E-2</v>
      </c>
      <c r="F48">
        <v>1356585</v>
      </c>
      <c r="G48">
        <f t="shared" si="63"/>
        <v>1352429</v>
      </c>
      <c r="H48" s="38">
        <f t="shared" si="59"/>
        <v>1.2E-2</v>
      </c>
      <c r="I48" s="13">
        <f t="shared" si="64"/>
        <v>8.2000000000000007E-3</v>
      </c>
      <c r="J48">
        <v>0.08</v>
      </c>
      <c r="K48">
        <f t="shared" si="43"/>
        <v>100.08</v>
      </c>
      <c r="L48" s="29">
        <f t="shared" si="44"/>
        <v>-5.0000000000000001E-4</v>
      </c>
      <c r="M48">
        <v>1.9</v>
      </c>
      <c r="N48">
        <f t="shared" si="45"/>
        <v>101.9</v>
      </c>
      <c r="O48" s="13">
        <f t="shared" si="46"/>
        <v>-2.0000000000000001E-4</v>
      </c>
      <c r="P48">
        <v>110.03</v>
      </c>
      <c r="Q48">
        <f t="shared" si="47"/>
        <v>109.78700000000001</v>
      </c>
      <c r="R48" s="13">
        <f t="shared" si="48"/>
        <v>2.8999999999999998E-3</v>
      </c>
      <c r="S48">
        <v>98.3</v>
      </c>
      <c r="T48">
        <f t="shared" si="49"/>
        <v>99</v>
      </c>
      <c r="U48" s="13">
        <f t="shared" si="50"/>
        <v>9.7000000000000003E-3</v>
      </c>
      <c r="V48">
        <v>389808</v>
      </c>
      <c r="W48" s="18">
        <f t="shared" si="51"/>
        <v>389531</v>
      </c>
      <c r="X48" s="38">
        <f t="shared" si="60"/>
        <v>1.09E-2</v>
      </c>
      <c r="Y48" s="29">
        <f t="shared" si="52"/>
        <v>1.9E-3</v>
      </c>
      <c r="Z48">
        <v>72.879040000000003</v>
      </c>
      <c r="AA48" s="18">
        <f t="shared" si="53"/>
        <v>73.72</v>
      </c>
      <c r="AB48" s="38">
        <f t="shared" si="61"/>
        <v>-5.8999999999999999E-3</v>
      </c>
      <c r="AC48" s="13">
        <f t="shared" si="54"/>
        <v>-1.14E-2</v>
      </c>
      <c r="AD48" s="30">
        <f t="shared" si="62"/>
        <v>110.34</v>
      </c>
      <c r="AE48" s="11">
        <f t="shared" si="65"/>
        <v>3</v>
      </c>
      <c r="AF48" s="31">
        <f t="shared" si="55"/>
        <v>111.52</v>
      </c>
    </row>
    <row r="49" spans="1:32" x14ac:dyDescent="0.25">
      <c r="A49" s="5">
        <v>41912</v>
      </c>
      <c r="B49" s="10">
        <v>84.6</v>
      </c>
      <c r="C49" s="18">
        <f t="shared" si="56"/>
        <v>84.1</v>
      </c>
      <c r="D49" s="38">
        <f t="shared" si="57"/>
        <v>4.5999999999999999E-2</v>
      </c>
      <c r="E49" s="29">
        <f t="shared" si="58"/>
        <v>6.8999999999999999E-3</v>
      </c>
      <c r="F49">
        <v>1353745</v>
      </c>
      <c r="G49">
        <f t="shared" si="63"/>
        <v>1348943</v>
      </c>
      <c r="H49" s="38">
        <f t="shared" si="59"/>
        <v>1.7999999999999999E-2</v>
      </c>
      <c r="I49" s="13">
        <f t="shared" si="64"/>
        <v>1.2500000000000001E-2</v>
      </c>
      <c r="J49">
        <v>0.13</v>
      </c>
      <c r="K49">
        <f t="shared" si="43"/>
        <v>100.13</v>
      </c>
      <c r="L49" s="29">
        <f t="shared" si="44"/>
        <v>-6.9999999999999999E-4</v>
      </c>
      <c r="M49">
        <v>1.62</v>
      </c>
      <c r="N49">
        <f t="shared" si="45"/>
        <v>101.62</v>
      </c>
      <c r="O49" s="13">
        <f t="shared" si="46"/>
        <v>-8.0000000000000004E-4</v>
      </c>
      <c r="P49">
        <v>109.78</v>
      </c>
      <c r="Q49">
        <f t="shared" si="47"/>
        <v>109.497</v>
      </c>
      <c r="R49" s="13">
        <f t="shared" si="48"/>
        <v>3.0999999999999999E-3</v>
      </c>
      <c r="S49">
        <v>98.9</v>
      </c>
      <c r="T49">
        <f t="shared" si="49"/>
        <v>98.7</v>
      </c>
      <c r="U49" s="13">
        <f t="shared" si="50"/>
        <v>7.1999999999999998E-3</v>
      </c>
      <c r="V49">
        <v>391162</v>
      </c>
      <c r="W49" s="18">
        <f t="shared" si="51"/>
        <v>388709</v>
      </c>
      <c r="X49" s="38">
        <f t="shared" si="60"/>
        <v>1.67E-2</v>
      </c>
      <c r="Y49" s="29">
        <f t="shared" si="52"/>
        <v>3.0000000000000001E-3</v>
      </c>
      <c r="Z49">
        <v>73.761290000000002</v>
      </c>
      <c r="AA49" s="18">
        <f t="shared" si="53"/>
        <v>74.349999999999994</v>
      </c>
      <c r="AB49" s="38">
        <f t="shared" si="61"/>
        <v>8.0000000000000002E-3</v>
      </c>
      <c r="AC49" s="13">
        <f t="shared" si="54"/>
        <v>-5.5999999999999999E-3</v>
      </c>
      <c r="AD49" s="30">
        <f t="shared" si="62"/>
        <v>112.21</v>
      </c>
      <c r="AE49" s="11">
        <f t="shared" si="65"/>
        <v>3</v>
      </c>
      <c r="AF49" s="31">
        <f t="shared" si="55"/>
        <v>111.68</v>
      </c>
    </row>
    <row r="50" spans="1:32" x14ac:dyDescent="0.25">
      <c r="A50" s="5">
        <v>41882</v>
      </c>
      <c r="B50" s="10">
        <v>82.5</v>
      </c>
      <c r="C50" s="18">
        <f t="shared" si="56"/>
        <v>82.3</v>
      </c>
      <c r="D50" s="38">
        <f t="shared" si="57"/>
        <v>9.7999999999999997E-3</v>
      </c>
      <c r="E50" s="29">
        <f t="shared" si="58"/>
        <v>-8.0000000000000004E-4</v>
      </c>
      <c r="F50">
        <v>1346956</v>
      </c>
      <c r="G50">
        <f t="shared" si="63"/>
        <v>1345705</v>
      </c>
      <c r="H50" s="38">
        <f t="shared" si="59"/>
        <v>1.9699999999999999E-2</v>
      </c>
      <c r="I50" s="13">
        <f t="shared" si="64"/>
        <v>1.66E-2</v>
      </c>
      <c r="J50">
        <v>0.24</v>
      </c>
      <c r="K50">
        <f t="shared" si="43"/>
        <v>100.24</v>
      </c>
      <c r="L50" s="29">
        <f t="shared" si="44"/>
        <v>2.9999999999999997E-4</v>
      </c>
      <c r="M50">
        <v>1.87</v>
      </c>
      <c r="N50">
        <f t="shared" si="45"/>
        <v>101.87</v>
      </c>
      <c r="O50" s="13">
        <f t="shared" si="46"/>
        <v>2.9999999999999997E-4</v>
      </c>
      <c r="P50">
        <v>109.55</v>
      </c>
      <c r="Q50">
        <f t="shared" si="47"/>
        <v>109.20699999999999</v>
      </c>
      <c r="R50" s="13">
        <f t="shared" si="48"/>
        <v>3.0999999999999999E-3</v>
      </c>
      <c r="S50">
        <v>99.8</v>
      </c>
      <c r="T50">
        <f t="shared" si="49"/>
        <v>97.933000000000007</v>
      </c>
      <c r="U50" s="13">
        <f t="shared" si="50"/>
        <v>5.5999999999999999E-3</v>
      </c>
      <c r="V50">
        <v>387623</v>
      </c>
      <c r="W50" s="18">
        <f t="shared" si="51"/>
        <v>387254</v>
      </c>
      <c r="X50" s="38">
        <f t="shared" si="60"/>
        <v>2.4899999999999999E-2</v>
      </c>
      <c r="Y50" s="29">
        <f t="shared" si="52"/>
        <v>3.2000000000000002E-3</v>
      </c>
      <c r="Z50">
        <v>74.505610000000004</v>
      </c>
      <c r="AA50" s="18">
        <f t="shared" si="53"/>
        <v>74.62</v>
      </c>
      <c r="AB50" s="38">
        <f t="shared" si="61"/>
        <v>1.6299999999999999E-2</v>
      </c>
      <c r="AC50" s="13">
        <f t="shared" si="54"/>
        <v>1.1999999999999999E-3</v>
      </c>
      <c r="AD50" s="30">
        <f t="shared" si="62"/>
        <v>112.01</v>
      </c>
      <c r="AE50" s="11">
        <f t="shared" si="65"/>
        <v>3</v>
      </c>
      <c r="AF50" s="31">
        <f t="shared" si="55"/>
        <v>111.94</v>
      </c>
    </row>
    <row r="51" spans="1:32" x14ac:dyDescent="0.25">
      <c r="A51" s="5">
        <v>41851</v>
      </c>
      <c r="B51" s="10">
        <v>81.8</v>
      </c>
      <c r="C51" s="18">
        <f t="shared" si="56"/>
        <v>82</v>
      </c>
      <c r="D51" s="38">
        <f t="shared" si="57"/>
        <v>6.1000000000000004E-3</v>
      </c>
      <c r="E51" s="29">
        <f t="shared" si="58"/>
        <v>-4.4000000000000003E-3</v>
      </c>
      <c r="F51">
        <v>1346128</v>
      </c>
      <c r="G51">
        <f t="shared" si="63"/>
        <v>1343131</v>
      </c>
      <c r="H51" s="38">
        <f t="shared" si="59"/>
        <v>1.84E-2</v>
      </c>
      <c r="I51" s="13">
        <f t="shared" si="64"/>
        <v>1.55E-2</v>
      </c>
      <c r="J51">
        <v>0.19</v>
      </c>
      <c r="K51">
        <f t="shared" si="43"/>
        <v>100.19</v>
      </c>
      <c r="L51" s="29">
        <f t="shared" si="44"/>
        <v>8.0000000000000004E-4</v>
      </c>
      <c r="M51">
        <v>1.95</v>
      </c>
      <c r="N51">
        <f t="shared" si="45"/>
        <v>101.95</v>
      </c>
      <c r="O51" s="13">
        <f t="shared" si="46"/>
        <v>1.6000000000000001E-3</v>
      </c>
      <c r="P51">
        <v>109.16</v>
      </c>
      <c r="Q51">
        <f t="shared" si="47"/>
        <v>108.837</v>
      </c>
      <c r="R51" s="13">
        <f t="shared" si="48"/>
        <v>2.8E-3</v>
      </c>
      <c r="S51">
        <v>97.4</v>
      </c>
      <c r="T51">
        <f t="shared" si="49"/>
        <v>96.167000000000002</v>
      </c>
      <c r="U51" s="13">
        <f t="shared" si="50"/>
        <v>-1.5E-3</v>
      </c>
      <c r="V51">
        <v>387342</v>
      </c>
      <c r="W51" s="18">
        <f t="shared" si="51"/>
        <v>386891</v>
      </c>
      <c r="X51" s="38">
        <f t="shared" si="60"/>
        <v>2.93E-2</v>
      </c>
      <c r="Y51" s="29">
        <f t="shared" si="52"/>
        <v>6.3E-3</v>
      </c>
      <c r="Z51">
        <v>74.784469999999999</v>
      </c>
      <c r="AA51" s="18">
        <f t="shared" si="53"/>
        <v>74.5</v>
      </c>
      <c r="AB51" s="38">
        <f t="shared" si="61"/>
        <v>1.7299999999999999E-2</v>
      </c>
      <c r="AC51" s="13">
        <f t="shared" si="54"/>
        <v>5.5999999999999999E-3</v>
      </c>
      <c r="AD51" s="30">
        <f t="shared" si="62"/>
        <v>110.83</v>
      </c>
      <c r="AE51" s="11">
        <f t="shared" si="65"/>
        <v>3</v>
      </c>
      <c r="AF51" s="31">
        <f t="shared" si="55"/>
        <v>113.78</v>
      </c>
    </row>
    <row r="52" spans="1:32" x14ac:dyDescent="0.25">
      <c r="A52" s="5">
        <v>41820</v>
      </c>
      <c r="B52" s="10">
        <v>82.5</v>
      </c>
      <c r="C52" s="18">
        <f t="shared" si="56"/>
        <v>82.4</v>
      </c>
      <c r="D52" s="38">
        <f t="shared" si="57"/>
        <v>2.1100000000000001E-2</v>
      </c>
      <c r="E52" s="29">
        <f t="shared" si="58"/>
        <v>8.0999999999999996E-3</v>
      </c>
      <c r="F52">
        <v>1344031</v>
      </c>
      <c r="G52">
        <f t="shared" si="63"/>
        <v>1336390</v>
      </c>
      <c r="H52" s="38">
        <f t="shared" si="59"/>
        <v>1.3100000000000001E-2</v>
      </c>
      <c r="I52" s="13">
        <f t="shared" si="64"/>
        <v>8.8999999999999999E-3</v>
      </c>
      <c r="J52">
        <v>0.27</v>
      </c>
      <c r="K52">
        <f t="shared" si="43"/>
        <v>100.27</v>
      </c>
      <c r="L52" s="29">
        <f t="shared" si="44"/>
        <v>1.1999999999999999E-3</v>
      </c>
      <c r="M52">
        <v>1.87</v>
      </c>
      <c r="N52">
        <f t="shared" si="45"/>
        <v>101.87</v>
      </c>
      <c r="O52" s="13">
        <f t="shared" si="46"/>
        <v>1.5E-3</v>
      </c>
      <c r="P52">
        <v>108.91</v>
      </c>
      <c r="Q52">
        <f t="shared" si="47"/>
        <v>108.49299999999999</v>
      </c>
      <c r="R52" s="13">
        <f t="shared" si="48"/>
        <v>2.3999999999999998E-3</v>
      </c>
      <c r="S52">
        <v>96.6</v>
      </c>
      <c r="T52">
        <f t="shared" si="49"/>
        <v>96.6</v>
      </c>
      <c r="U52" s="13">
        <f t="shared" si="50"/>
        <v>2.2000000000000001E-3</v>
      </c>
      <c r="V52">
        <v>386798</v>
      </c>
      <c r="W52" s="18">
        <f t="shared" si="51"/>
        <v>385331</v>
      </c>
      <c r="X52" s="38">
        <f t="shared" si="60"/>
        <v>2.8500000000000001E-2</v>
      </c>
      <c r="Y52" s="29">
        <f t="shared" si="52"/>
        <v>8.9999999999999993E-3</v>
      </c>
      <c r="Z52">
        <v>74.570750000000004</v>
      </c>
      <c r="AA52" s="18">
        <f t="shared" si="53"/>
        <v>74.16</v>
      </c>
      <c r="AB52" s="38">
        <f t="shared" si="61"/>
        <v>1.2699999999999999E-2</v>
      </c>
      <c r="AC52" s="13">
        <f t="shared" si="54"/>
        <v>6.8999999999999999E-3</v>
      </c>
      <c r="AD52" s="30">
        <f t="shared" si="62"/>
        <v>112.97</v>
      </c>
      <c r="AE52" s="11">
        <f t="shared" si="65"/>
        <v>3</v>
      </c>
      <c r="AF52" s="31">
        <f t="shared" si="55"/>
        <v>115.2</v>
      </c>
    </row>
    <row r="53" spans="1:32" x14ac:dyDescent="0.25">
      <c r="A53" s="5">
        <v>41790</v>
      </c>
      <c r="B53" s="10">
        <v>81.900000000000006</v>
      </c>
      <c r="C53" s="18">
        <f t="shared" si="56"/>
        <v>82.5</v>
      </c>
      <c r="D53" s="38">
        <f t="shared" si="57"/>
        <v>0.10589999999999999</v>
      </c>
      <c r="E53" s="29">
        <f t="shared" si="58"/>
        <v>4.1000000000000003E-3</v>
      </c>
      <c r="F53">
        <v>1339235</v>
      </c>
      <c r="G53">
        <f t="shared" si="63"/>
        <v>1325107</v>
      </c>
      <c r="H53" s="38">
        <f t="shared" si="59"/>
        <v>8.8999999999999999E-3</v>
      </c>
      <c r="I53" s="13">
        <f t="shared" si="64"/>
        <v>4.7000000000000002E-3</v>
      </c>
      <c r="J53">
        <v>0.41</v>
      </c>
      <c r="K53">
        <f t="shared" si="43"/>
        <v>100.41</v>
      </c>
      <c r="L53" s="29">
        <f t="shared" si="44"/>
        <v>8.9999999999999998E-4</v>
      </c>
      <c r="M53">
        <v>1.78</v>
      </c>
      <c r="N53">
        <f t="shared" si="45"/>
        <v>101.78</v>
      </c>
      <c r="O53" s="13">
        <f t="shared" si="46"/>
        <v>-1E-4</v>
      </c>
      <c r="P53">
        <v>108.44</v>
      </c>
      <c r="Q53">
        <f t="shared" si="47"/>
        <v>108.18300000000001</v>
      </c>
      <c r="R53" s="13">
        <f t="shared" si="48"/>
        <v>2.3999999999999998E-3</v>
      </c>
      <c r="S53">
        <v>94.5</v>
      </c>
      <c r="T53">
        <f t="shared" si="49"/>
        <v>96.3</v>
      </c>
      <c r="U53" s="13">
        <f t="shared" si="50"/>
        <v>-2.2000000000000001E-3</v>
      </c>
      <c r="V53">
        <v>386533</v>
      </c>
      <c r="W53" s="18">
        <f t="shared" si="51"/>
        <v>382315</v>
      </c>
      <c r="X53" s="38">
        <f t="shared" si="60"/>
        <v>1.9900000000000001E-2</v>
      </c>
      <c r="Y53" s="29">
        <f t="shared" si="52"/>
        <v>6.4999999999999997E-3</v>
      </c>
      <c r="Z53">
        <v>74.156559999999999</v>
      </c>
      <c r="AA53" s="18">
        <f t="shared" si="53"/>
        <v>73.760000000000005</v>
      </c>
      <c r="AB53" s="38">
        <f t="shared" si="61"/>
        <v>5.7000000000000002E-3</v>
      </c>
      <c r="AC53" s="13">
        <f t="shared" si="54"/>
        <v>6.0000000000000001E-3</v>
      </c>
      <c r="AD53" s="30">
        <f t="shared" si="62"/>
        <v>117.55</v>
      </c>
      <c r="AE53" s="11">
        <f t="shared" si="65"/>
        <v>3</v>
      </c>
      <c r="AF53" s="31">
        <f t="shared" si="55"/>
        <v>111.1</v>
      </c>
    </row>
    <row r="54" spans="1:32" x14ac:dyDescent="0.25">
      <c r="A54" s="5">
        <v>41759</v>
      </c>
      <c r="B54" s="10">
        <v>84.1</v>
      </c>
      <c r="C54" s="18">
        <f t="shared" si="56"/>
        <v>83.1</v>
      </c>
      <c r="D54" s="38">
        <f t="shared" si="57"/>
        <v>0.11840000000000001</v>
      </c>
      <c r="E54" s="29">
        <f t="shared" si="58"/>
        <v>6.6E-3</v>
      </c>
      <c r="F54">
        <v>1325903</v>
      </c>
      <c r="G54">
        <f t="shared" si="63"/>
        <v>1319721</v>
      </c>
      <c r="H54" s="38">
        <f t="shared" si="59"/>
        <v>9.7999999999999997E-3</v>
      </c>
      <c r="I54" s="13">
        <f t="shared" si="64"/>
        <v>7.0000000000000001E-3</v>
      </c>
      <c r="J54">
        <v>0.1</v>
      </c>
      <c r="K54">
        <f t="shared" si="43"/>
        <v>100.1</v>
      </c>
      <c r="L54" s="29">
        <f t="shared" si="44"/>
        <v>-2.0000000000000001E-4</v>
      </c>
      <c r="M54">
        <v>1.45</v>
      </c>
      <c r="N54">
        <f t="shared" si="45"/>
        <v>101.45</v>
      </c>
      <c r="O54" s="13">
        <f t="shared" si="46"/>
        <v>-2.0000000000000001E-4</v>
      </c>
      <c r="P54">
        <v>108.13</v>
      </c>
      <c r="Q54">
        <f t="shared" si="47"/>
        <v>107.937</v>
      </c>
      <c r="R54" s="13">
        <f t="shared" si="48"/>
        <v>2.5999999999999999E-3</v>
      </c>
      <c r="S54">
        <v>98.7</v>
      </c>
      <c r="T54">
        <f t="shared" si="49"/>
        <v>96.6</v>
      </c>
      <c r="U54" s="13">
        <f t="shared" si="50"/>
        <v>7.4000000000000003E-3</v>
      </c>
      <c r="V54">
        <v>382663</v>
      </c>
      <c r="W54" s="18">
        <f t="shared" si="51"/>
        <v>377830</v>
      </c>
      <c r="X54" s="38">
        <f t="shared" si="60"/>
        <v>1.21E-2</v>
      </c>
      <c r="Y54" s="29">
        <f t="shared" si="52"/>
        <v>5.7000000000000002E-3</v>
      </c>
      <c r="Z54">
        <v>73.746390000000005</v>
      </c>
      <c r="AA54" s="18">
        <f t="shared" si="53"/>
        <v>73.42</v>
      </c>
      <c r="AB54" s="38">
        <f t="shared" si="61"/>
        <v>-8.0000000000000004E-4</v>
      </c>
      <c r="AC54" s="13">
        <f t="shared" si="54"/>
        <v>3.5999999999999999E-3</v>
      </c>
      <c r="AD54" s="30">
        <f t="shared" si="62"/>
        <v>115.08</v>
      </c>
      <c r="AE54" s="11">
        <f t="shared" si="65"/>
        <v>3</v>
      </c>
      <c r="AF54" s="31">
        <f t="shared" si="55"/>
        <v>106.07</v>
      </c>
    </row>
    <row r="55" spans="1:32" x14ac:dyDescent="0.25">
      <c r="A55" s="5">
        <v>41729</v>
      </c>
      <c r="B55" s="10">
        <v>80</v>
      </c>
      <c r="C55" s="18">
        <f t="shared" si="56"/>
        <v>80.400000000000006</v>
      </c>
      <c r="D55" s="38">
        <f t="shared" si="57"/>
        <v>2.1600000000000001E-2</v>
      </c>
      <c r="E55" s="29">
        <f t="shared" si="58"/>
        <v>-1.1999999999999999E-3</v>
      </c>
      <c r="F55">
        <v>1310183</v>
      </c>
      <c r="G55">
        <f t="shared" si="63"/>
        <v>1318863</v>
      </c>
      <c r="H55" s="38">
        <f t="shared" si="59"/>
        <v>1.29E-2</v>
      </c>
      <c r="I55" s="13">
        <f t="shared" si="64"/>
        <v>1.11E-2</v>
      </c>
      <c r="J55">
        <v>-0.15</v>
      </c>
      <c r="K55">
        <f t="shared" si="43"/>
        <v>99.85</v>
      </c>
      <c r="L55" s="29">
        <f t="shared" si="44"/>
        <v>-8.9999999999999998E-4</v>
      </c>
      <c r="M55">
        <v>1.4</v>
      </c>
      <c r="N55">
        <f t="shared" si="45"/>
        <v>101.4</v>
      </c>
      <c r="O55" s="13">
        <f t="shared" si="46"/>
        <v>-5.9999999999999995E-4</v>
      </c>
      <c r="P55">
        <v>107.98</v>
      </c>
      <c r="Q55">
        <f t="shared" si="47"/>
        <v>107.703</v>
      </c>
      <c r="R55" s="13">
        <f t="shared" si="48"/>
        <v>2.8E-3</v>
      </c>
      <c r="S55">
        <v>95.7</v>
      </c>
      <c r="T55">
        <f t="shared" si="49"/>
        <v>95.966999999999999</v>
      </c>
      <c r="U55" s="13">
        <f t="shared" si="50"/>
        <v>1.34E-2</v>
      </c>
      <c r="V55">
        <v>377749</v>
      </c>
      <c r="W55" s="18">
        <f t="shared" si="51"/>
        <v>375871</v>
      </c>
      <c r="X55" s="38">
        <f t="shared" si="60"/>
        <v>8.3999999999999995E-3</v>
      </c>
      <c r="Y55" s="29">
        <f t="shared" si="52"/>
        <v>2.7000000000000001E-3</v>
      </c>
      <c r="Z55">
        <v>73.364500000000007</v>
      </c>
      <c r="AA55" s="18">
        <f t="shared" si="53"/>
        <v>73.23</v>
      </c>
      <c r="AB55" s="38">
        <f t="shared" si="61"/>
        <v>-5.5999999999999999E-3</v>
      </c>
      <c r="AC55" s="13">
        <f t="shared" si="54"/>
        <v>5.0000000000000001E-4</v>
      </c>
      <c r="AD55" s="30">
        <f t="shared" si="62"/>
        <v>100.67</v>
      </c>
      <c r="AE55" s="11">
        <f t="shared" si="65"/>
        <v>3</v>
      </c>
      <c r="AF55" s="31">
        <f t="shared" si="55"/>
        <v>100.48</v>
      </c>
    </row>
    <row r="56" spans="1:32" x14ac:dyDescent="0.25">
      <c r="A56" s="5">
        <v>41698</v>
      </c>
      <c r="B56" s="10">
        <v>81.599999999999994</v>
      </c>
      <c r="C56" s="18">
        <f t="shared" si="56"/>
        <v>81.5</v>
      </c>
      <c r="D56" s="38">
        <f t="shared" si="57"/>
        <v>-1.6899999999999998E-2</v>
      </c>
      <c r="E56" s="29">
        <f t="shared" si="58"/>
        <v>2.9100000000000001E-2</v>
      </c>
      <c r="F56">
        <v>1323076</v>
      </c>
      <c r="G56">
        <f t="shared" si="63"/>
        <v>1319099</v>
      </c>
      <c r="H56" s="38">
        <f t="shared" si="59"/>
        <v>1.55E-2</v>
      </c>
      <c r="I56" s="13">
        <f t="shared" si="64"/>
        <v>1.21E-2</v>
      </c>
      <c r="J56">
        <v>-0.21</v>
      </c>
      <c r="K56">
        <f t="shared" si="43"/>
        <v>99.79</v>
      </c>
      <c r="L56" s="29">
        <f t="shared" si="44"/>
        <v>-4.0000000000000002E-4</v>
      </c>
      <c r="M56">
        <v>1.81</v>
      </c>
      <c r="N56">
        <f t="shared" si="45"/>
        <v>101.81</v>
      </c>
      <c r="O56" s="13">
        <f t="shared" si="46"/>
        <v>1.2999999999999999E-3</v>
      </c>
      <c r="P56">
        <v>107.7</v>
      </c>
      <c r="Q56">
        <f t="shared" si="47"/>
        <v>107.39700000000001</v>
      </c>
      <c r="R56" s="13">
        <f t="shared" si="48"/>
        <v>2.5999999999999999E-3</v>
      </c>
      <c r="S56">
        <v>95.4</v>
      </c>
      <c r="T56">
        <f t="shared" si="49"/>
        <v>96.933000000000007</v>
      </c>
      <c r="U56" s="13">
        <f t="shared" si="50"/>
        <v>2.4400000000000002E-2</v>
      </c>
      <c r="V56">
        <v>373079</v>
      </c>
      <c r="W56" s="18">
        <f t="shared" si="51"/>
        <v>374656</v>
      </c>
      <c r="X56" s="38">
        <f t="shared" si="60"/>
        <v>5.4999999999999997E-3</v>
      </c>
      <c r="Y56" s="29">
        <f t="shared" si="52"/>
        <v>5.9999999999999995E-4</v>
      </c>
      <c r="Z56">
        <v>73.139279999999999</v>
      </c>
      <c r="AA56" s="18">
        <f t="shared" si="53"/>
        <v>73.23</v>
      </c>
      <c r="AB56" s="38">
        <f t="shared" si="61"/>
        <v>-8.3000000000000001E-3</v>
      </c>
      <c r="AC56" s="13">
        <f t="shared" si="54"/>
        <v>-1.8E-3</v>
      </c>
      <c r="AD56" s="30">
        <f t="shared" si="62"/>
        <v>102.46</v>
      </c>
      <c r="AE56" s="11">
        <f t="shared" si="65"/>
        <v>3</v>
      </c>
      <c r="AF56" s="31">
        <f t="shared" si="55"/>
        <v>97.94</v>
      </c>
    </row>
    <row r="57" spans="1:32" x14ac:dyDescent="0.25">
      <c r="A57" s="5">
        <v>41670</v>
      </c>
      <c r="B57" s="10">
        <v>81.2</v>
      </c>
      <c r="C57" s="18">
        <f t="shared" si="56"/>
        <v>81.5</v>
      </c>
      <c r="D57" s="38">
        <f t="shared" si="57"/>
        <v>-0.04</v>
      </c>
      <c r="E57" s="29">
        <f t="shared" si="58"/>
        <v>3.1399999999999997E-2</v>
      </c>
      <c r="F57">
        <v>1323331</v>
      </c>
      <c r="G57">
        <f t="shared" si="63"/>
        <v>1313363</v>
      </c>
      <c r="H57" s="38">
        <f t="shared" si="59"/>
        <v>1.2800000000000001E-2</v>
      </c>
      <c r="I57" s="13">
        <f t="shared" si="64"/>
        <v>9.4999999999999998E-3</v>
      </c>
      <c r="J57">
        <v>0.04</v>
      </c>
      <c r="K57">
        <f t="shared" si="43"/>
        <v>100.04</v>
      </c>
      <c r="L57" s="29">
        <f t="shared" si="44"/>
        <v>5.0000000000000001E-4</v>
      </c>
      <c r="M57">
        <v>1.5</v>
      </c>
      <c r="N57">
        <f t="shared" si="45"/>
        <v>101.5</v>
      </c>
      <c r="O57" s="13">
        <f t="shared" si="46"/>
        <v>-8.9999999999999998E-4</v>
      </c>
      <c r="P57">
        <v>107.43</v>
      </c>
      <c r="Q57">
        <f t="shared" si="47"/>
        <v>107.1</v>
      </c>
      <c r="R57" s="13">
        <f t="shared" si="48"/>
        <v>2.5999999999999999E-3</v>
      </c>
      <c r="S57">
        <v>96.8</v>
      </c>
      <c r="T57">
        <f t="shared" si="49"/>
        <v>94.466999999999999</v>
      </c>
      <c r="U57" s="13">
        <f t="shared" si="50"/>
        <v>6.8999999999999999E-3</v>
      </c>
      <c r="V57">
        <v>376786</v>
      </c>
      <c r="W57" s="18">
        <f t="shared" si="51"/>
        <v>374855</v>
      </c>
      <c r="X57" s="38">
        <f t="shared" si="60"/>
        <v>7.0000000000000001E-3</v>
      </c>
      <c r="Y57" s="29">
        <f t="shared" si="52"/>
        <v>3.0000000000000001E-3</v>
      </c>
      <c r="Z57">
        <v>73.195959999999999</v>
      </c>
      <c r="AA57" s="18">
        <f t="shared" si="53"/>
        <v>73.34</v>
      </c>
      <c r="AB57" s="38">
        <f t="shared" si="61"/>
        <v>-9.1000000000000004E-3</v>
      </c>
      <c r="AC57" s="13">
        <f t="shared" si="54"/>
        <v>-2.3999999999999998E-3</v>
      </c>
      <c r="AD57" s="30">
        <f t="shared" si="62"/>
        <v>98.3</v>
      </c>
      <c r="AE57" s="11">
        <f t="shared" si="65"/>
        <v>3</v>
      </c>
      <c r="AF57" s="31">
        <f t="shared" si="55"/>
        <v>89.83</v>
      </c>
    </row>
    <row r="58" spans="1:32" x14ac:dyDescent="0.25">
      <c r="A58" s="5">
        <v>41639</v>
      </c>
      <c r="B58" s="10">
        <v>82.5</v>
      </c>
      <c r="C58" s="18">
        <f t="shared" si="56"/>
        <v>80.7</v>
      </c>
      <c r="D58" s="38">
        <f t="shared" si="57"/>
        <v>-4.1599999999999998E-2</v>
      </c>
      <c r="E58" s="29">
        <f t="shared" si="58"/>
        <v>8.8000000000000005E-3</v>
      </c>
      <c r="F58">
        <v>1310890</v>
      </c>
      <c r="G58">
        <f t="shared" si="63"/>
        <v>1306953</v>
      </c>
      <c r="H58" s="38">
        <f t="shared" si="59"/>
        <v>1.0800000000000001E-2</v>
      </c>
      <c r="I58" s="13">
        <f t="shared" si="64"/>
        <v>7.4000000000000003E-3</v>
      </c>
      <c r="J58">
        <v>0.17</v>
      </c>
      <c r="K58">
        <f t="shared" si="43"/>
        <v>100.17</v>
      </c>
      <c r="L58" s="29">
        <f t="shared" si="44"/>
        <v>1.1999999999999999E-3</v>
      </c>
      <c r="M58">
        <v>1.59</v>
      </c>
      <c r="N58">
        <f t="shared" si="45"/>
        <v>101.59</v>
      </c>
      <c r="O58" s="13">
        <f t="shared" si="46"/>
        <v>-1E-4</v>
      </c>
      <c r="P58">
        <v>107.06</v>
      </c>
      <c r="Q58">
        <f t="shared" si="47"/>
        <v>106.813</v>
      </c>
      <c r="R58" s="13">
        <f t="shared" si="48"/>
        <v>2.5000000000000001E-3</v>
      </c>
      <c r="S58">
        <v>98.6</v>
      </c>
      <c r="T58">
        <f t="shared" si="49"/>
        <v>92.167000000000002</v>
      </c>
      <c r="U58" s="13">
        <f t="shared" si="50"/>
        <v>-1.1900000000000001E-2</v>
      </c>
      <c r="V58">
        <v>374102</v>
      </c>
      <c r="W58" s="18">
        <f t="shared" si="51"/>
        <v>373322</v>
      </c>
      <c r="X58" s="38">
        <f t="shared" si="60"/>
        <v>5.7000000000000002E-3</v>
      </c>
      <c r="Y58" s="29">
        <f t="shared" si="52"/>
        <v>5.9999999999999995E-4</v>
      </c>
      <c r="Z58">
        <v>73.355530000000002</v>
      </c>
      <c r="AA58" s="18">
        <f t="shared" si="53"/>
        <v>73.48</v>
      </c>
      <c r="AB58" s="38">
        <f t="shared" si="61"/>
        <v>-8.2000000000000007E-3</v>
      </c>
      <c r="AC58" s="13">
        <f t="shared" si="54"/>
        <v>-2.5999999999999999E-3</v>
      </c>
      <c r="AD58" s="30">
        <f t="shared" si="62"/>
        <v>93.05</v>
      </c>
      <c r="AE58" s="11">
        <f t="shared" si="65"/>
        <v>3</v>
      </c>
      <c r="AF58" s="31">
        <f t="shared" si="55"/>
        <v>85.05</v>
      </c>
    </row>
    <row r="59" spans="1:32" x14ac:dyDescent="0.25">
      <c r="A59" s="5">
        <v>41608</v>
      </c>
      <c r="B59" s="10">
        <v>75.099999999999994</v>
      </c>
      <c r="C59" s="18">
        <f t="shared" si="56"/>
        <v>74.599999999999994</v>
      </c>
      <c r="D59" s="38">
        <f t="shared" si="57"/>
        <v>-9.5799999999999996E-2</v>
      </c>
      <c r="E59" s="29">
        <f t="shared" si="58"/>
        <v>-3.5200000000000002E-2</v>
      </c>
      <c r="F59">
        <v>1305867</v>
      </c>
      <c r="G59">
        <f t="shared" si="63"/>
        <v>1302025</v>
      </c>
      <c r="H59" s="38">
        <f t="shared" si="59"/>
        <v>8.2000000000000007E-3</v>
      </c>
      <c r="I59" s="13">
        <f t="shared" si="64"/>
        <v>6.4000000000000003E-3</v>
      </c>
      <c r="J59">
        <v>0.2</v>
      </c>
      <c r="K59">
        <f t="shared" si="43"/>
        <v>100.2</v>
      </c>
      <c r="L59" s="29">
        <f t="shared" si="44"/>
        <v>8.9999999999999998E-4</v>
      </c>
      <c r="M59">
        <v>1.42</v>
      </c>
      <c r="N59">
        <f t="shared" si="45"/>
        <v>101.42</v>
      </c>
      <c r="O59" s="13">
        <f t="shared" si="46"/>
        <v>-2.0000000000000001E-4</v>
      </c>
      <c r="P59">
        <v>106.81</v>
      </c>
      <c r="Q59">
        <f t="shared" si="47"/>
        <v>106.553</v>
      </c>
      <c r="R59" s="13">
        <f t="shared" si="48"/>
        <v>2.5999999999999999E-3</v>
      </c>
      <c r="S59">
        <v>88</v>
      </c>
      <c r="T59">
        <f t="shared" si="49"/>
        <v>90.167000000000002</v>
      </c>
      <c r="U59" s="13">
        <f t="shared" si="50"/>
        <v>-2.01E-2</v>
      </c>
      <c r="V59">
        <v>373677</v>
      </c>
      <c r="W59" s="18">
        <f t="shared" si="51"/>
        <v>372745</v>
      </c>
      <c r="X59" s="38">
        <f t="shared" si="60"/>
        <v>8.8999999999999999E-3</v>
      </c>
      <c r="Y59" s="29">
        <f t="shared" si="52"/>
        <v>1.6999999999999999E-3</v>
      </c>
      <c r="Z59">
        <v>73.458860000000001</v>
      </c>
      <c r="AA59" s="18">
        <f t="shared" si="53"/>
        <v>73.64</v>
      </c>
      <c r="AB59" s="38">
        <f t="shared" si="61"/>
        <v>-5.7000000000000002E-3</v>
      </c>
      <c r="AC59" s="13">
        <f t="shared" si="54"/>
        <v>-3.3E-3</v>
      </c>
      <c r="AD59" s="30">
        <f t="shared" si="62"/>
        <v>78.13</v>
      </c>
      <c r="AE59" s="11">
        <f t="shared" si="65"/>
        <v>2</v>
      </c>
      <c r="AF59" s="31">
        <f t="shared" si="55"/>
        <v>85.02</v>
      </c>
    </row>
    <row r="60" spans="1:32" x14ac:dyDescent="0.25">
      <c r="A60" s="5">
        <v>41578</v>
      </c>
      <c r="B60" s="10">
        <v>73.2</v>
      </c>
      <c r="C60" s="18">
        <f t="shared" si="56"/>
        <v>74.3</v>
      </c>
      <c r="D60" s="38">
        <f t="shared" si="57"/>
        <v>-3.5099999999999999E-2</v>
      </c>
      <c r="E60" s="29">
        <f t="shared" si="58"/>
        <v>-4.2999999999999997E-2</v>
      </c>
      <c r="F60">
        <v>1304101</v>
      </c>
      <c r="G60">
        <f t="shared" si="63"/>
        <v>1298911</v>
      </c>
      <c r="H60" s="38">
        <f t="shared" si="59"/>
        <v>2.5000000000000001E-3</v>
      </c>
      <c r="I60" s="13">
        <f t="shared" si="64"/>
        <v>3.3E-3</v>
      </c>
      <c r="J60">
        <v>-0.03</v>
      </c>
      <c r="K60">
        <f t="shared" si="43"/>
        <v>99.97</v>
      </c>
      <c r="L60" s="29">
        <f t="shared" si="44"/>
        <v>6.9999999999999999E-4</v>
      </c>
      <c r="M60">
        <v>1.76</v>
      </c>
      <c r="N60">
        <f t="shared" si="45"/>
        <v>101.76</v>
      </c>
      <c r="O60" s="13">
        <f t="shared" si="46"/>
        <v>1E-3</v>
      </c>
      <c r="P60">
        <v>106.57</v>
      </c>
      <c r="Q60">
        <f t="shared" si="47"/>
        <v>106.277</v>
      </c>
      <c r="R60" s="13">
        <f t="shared" si="48"/>
        <v>2.5000000000000001E-3</v>
      </c>
      <c r="S60">
        <v>89.9</v>
      </c>
      <c r="T60">
        <f t="shared" si="49"/>
        <v>92.566999999999993</v>
      </c>
      <c r="U60" s="13">
        <f t="shared" si="50"/>
        <v>-1.47E-2</v>
      </c>
      <c r="V60">
        <v>372188</v>
      </c>
      <c r="W60" s="18">
        <f t="shared" si="51"/>
        <v>372598</v>
      </c>
      <c r="X60" s="38">
        <f t="shared" si="60"/>
        <v>1.06E-2</v>
      </c>
      <c r="Y60" s="29">
        <f t="shared" si="52"/>
        <v>1.9E-3</v>
      </c>
      <c r="Z60">
        <v>73.614890000000003</v>
      </c>
      <c r="AA60" s="18">
        <f t="shared" si="53"/>
        <v>73.84</v>
      </c>
      <c r="AB60" s="38">
        <f t="shared" si="61"/>
        <v>-1.1999999999999999E-3</v>
      </c>
      <c r="AC60" s="13">
        <f t="shared" si="54"/>
        <v>-3.0999999999999999E-3</v>
      </c>
      <c r="AD60" s="30">
        <f t="shared" si="62"/>
        <v>83.96</v>
      </c>
      <c r="AE60" s="11">
        <f t="shared" si="65"/>
        <v>2</v>
      </c>
      <c r="AF60" s="31">
        <f t="shared" si="55"/>
        <v>93.67</v>
      </c>
    </row>
    <row r="61" spans="1:32" x14ac:dyDescent="0.25">
      <c r="A61" s="5">
        <v>41547</v>
      </c>
      <c r="B61" s="10">
        <v>77.5</v>
      </c>
      <c r="C61" s="18">
        <f t="shared" si="56"/>
        <v>78.7</v>
      </c>
      <c r="D61" s="38">
        <f t="shared" si="57"/>
        <v>3.8E-3</v>
      </c>
      <c r="E61" s="29">
        <f t="shared" si="58"/>
        <v>-2.18E-2</v>
      </c>
      <c r="F61">
        <v>1296107</v>
      </c>
      <c r="G61">
        <f t="shared" si="63"/>
        <v>1296806</v>
      </c>
      <c r="H61" s="38">
        <f t="shared" si="59"/>
        <v>-1E-3</v>
      </c>
      <c r="I61" s="13">
        <f t="shared" si="64"/>
        <v>-1.5E-3</v>
      </c>
      <c r="J61">
        <v>-0.16</v>
      </c>
      <c r="K61">
        <f t="shared" si="43"/>
        <v>99.84</v>
      </c>
      <c r="L61" s="29">
        <f t="shared" si="44"/>
        <v>0</v>
      </c>
      <c r="M61">
        <v>1.61</v>
      </c>
      <c r="N61">
        <f t="shared" si="45"/>
        <v>101.61</v>
      </c>
      <c r="O61" s="13">
        <f t="shared" si="46"/>
        <v>2.0000000000000001E-4</v>
      </c>
      <c r="P61">
        <v>106.28</v>
      </c>
      <c r="Q61">
        <f t="shared" si="47"/>
        <v>106</v>
      </c>
      <c r="R61" s="13">
        <f t="shared" si="48"/>
        <v>2.3E-3</v>
      </c>
      <c r="S61">
        <v>92.6</v>
      </c>
      <c r="T61">
        <f t="shared" si="49"/>
        <v>95.466999999999999</v>
      </c>
      <c r="U61" s="13">
        <f t="shared" si="50"/>
        <v>5.4999999999999997E-3</v>
      </c>
      <c r="V61">
        <v>372370</v>
      </c>
      <c r="W61" s="18">
        <f t="shared" si="51"/>
        <v>372234</v>
      </c>
      <c r="X61" s="38">
        <f t="shared" si="60"/>
        <v>7.4000000000000003E-3</v>
      </c>
      <c r="Y61" s="29">
        <f t="shared" si="52"/>
        <v>3.0000000000000001E-3</v>
      </c>
      <c r="Z61">
        <v>73.845280000000002</v>
      </c>
      <c r="AA61" s="18">
        <f t="shared" si="53"/>
        <v>74.010000000000005</v>
      </c>
      <c r="AB61" s="38">
        <f t="shared" si="61"/>
        <v>4.1999999999999997E-3</v>
      </c>
      <c r="AC61" s="13">
        <f t="shared" si="54"/>
        <v>-1.6999999999999999E-3</v>
      </c>
      <c r="AD61" s="30">
        <f t="shared" si="62"/>
        <v>92.97</v>
      </c>
      <c r="AE61" s="11">
        <f t="shared" si="65"/>
        <v>3</v>
      </c>
      <c r="AF61" s="31">
        <f t="shared" si="55"/>
        <v>105.54</v>
      </c>
    </row>
    <row r="62" spans="1:32" x14ac:dyDescent="0.25">
      <c r="A62" s="5">
        <v>41517</v>
      </c>
      <c r="B62" s="10">
        <v>82.1</v>
      </c>
      <c r="C62" s="18">
        <f t="shared" si="56"/>
        <v>82.9</v>
      </c>
      <c r="D62" s="38">
        <f t="shared" si="57"/>
        <v>8.0799999999999997E-2</v>
      </c>
      <c r="E62" s="29">
        <f t="shared" si="58"/>
        <v>1.6000000000000001E-3</v>
      </c>
      <c r="F62">
        <v>1296526</v>
      </c>
      <c r="G62">
        <f t="shared" si="63"/>
        <v>1292953</v>
      </c>
      <c r="H62" s="38">
        <f t="shared" si="59"/>
        <v>-2.5999999999999999E-3</v>
      </c>
      <c r="I62" s="13">
        <f t="shared" si="64"/>
        <v>-3.8999999999999998E-3</v>
      </c>
      <c r="J62">
        <v>-0.31</v>
      </c>
      <c r="K62">
        <f t="shared" si="43"/>
        <v>99.69</v>
      </c>
      <c r="L62" s="29">
        <f t="shared" si="44"/>
        <v>-4.0000000000000002E-4</v>
      </c>
      <c r="M62">
        <v>1.48</v>
      </c>
      <c r="N62">
        <f t="shared" si="45"/>
        <v>101.48</v>
      </c>
      <c r="O62" s="13">
        <f t="shared" si="46"/>
        <v>-4.0000000000000002E-4</v>
      </c>
      <c r="P62">
        <v>105.98</v>
      </c>
      <c r="Q62">
        <f t="shared" si="47"/>
        <v>105.727</v>
      </c>
      <c r="R62" s="13">
        <f t="shared" si="48"/>
        <v>2.3999999999999998E-3</v>
      </c>
      <c r="S62">
        <v>95.2</v>
      </c>
      <c r="T62">
        <f t="shared" si="49"/>
        <v>95.867000000000004</v>
      </c>
      <c r="U62" s="13">
        <f t="shared" si="50"/>
        <v>1.06E-2</v>
      </c>
      <c r="V62">
        <v>373235</v>
      </c>
      <c r="W62" s="18">
        <f t="shared" si="51"/>
        <v>371210</v>
      </c>
      <c r="X62" s="38">
        <f t="shared" si="60"/>
        <v>5.3E-3</v>
      </c>
      <c r="Y62" s="29">
        <f t="shared" si="52"/>
        <v>3.0000000000000001E-3</v>
      </c>
      <c r="Z62">
        <v>74.050389999999993</v>
      </c>
      <c r="AA62" s="18">
        <f t="shared" si="53"/>
        <v>74.09</v>
      </c>
      <c r="AB62" s="38">
        <f t="shared" si="61"/>
        <v>9.2999999999999992E-3</v>
      </c>
      <c r="AC62" s="13">
        <f t="shared" si="54"/>
        <v>2.0000000000000001E-4</v>
      </c>
      <c r="AD62" s="30">
        <f t="shared" si="62"/>
        <v>104.07</v>
      </c>
      <c r="AE62" s="11">
        <f t="shared" si="65"/>
        <v>3</v>
      </c>
      <c r="AF62" s="31">
        <f t="shared" si="55"/>
        <v>113.17</v>
      </c>
    </row>
    <row r="63" spans="1:32" x14ac:dyDescent="0.25">
      <c r="A63" s="5">
        <v>41486</v>
      </c>
      <c r="B63" s="10">
        <v>85.1</v>
      </c>
      <c r="C63" s="18">
        <f t="shared" si="56"/>
        <v>84.9</v>
      </c>
      <c r="D63" s="38">
        <f t="shared" si="57"/>
        <v>0.1535</v>
      </c>
      <c r="E63" s="29">
        <f t="shared" si="58"/>
        <v>3.2399999999999998E-2</v>
      </c>
      <c r="F63">
        <v>1297786</v>
      </c>
      <c r="G63">
        <f t="shared" si="63"/>
        <v>1291429</v>
      </c>
      <c r="H63" s="38">
        <f t="shared" si="59"/>
        <v>3.0000000000000001E-3</v>
      </c>
      <c r="I63" s="13">
        <f t="shared" si="64"/>
        <v>1.1999999999999999E-3</v>
      </c>
      <c r="J63">
        <v>-0.16</v>
      </c>
      <c r="K63">
        <f t="shared" si="43"/>
        <v>99.84</v>
      </c>
      <c r="L63" s="29">
        <f t="shared" si="44"/>
        <v>-6.9999999999999999E-4</v>
      </c>
      <c r="M63">
        <v>1.47</v>
      </c>
      <c r="N63">
        <f t="shared" si="45"/>
        <v>101.47</v>
      </c>
      <c r="O63" s="13">
        <f t="shared" si="46"/>
        <v>-8.0000000000000004E-4</v>
      </c>
      <c r="P63">
        <v>105.74</v>
      </c>
      <c r="Q63">
        <f t="shared" si="47"/>
        <v>105.497</v>
      </c>
      <c r="R63" s="13">
        <f t="shared" si="48"/>
        <v>2.5999999999999999E-3</v>
      </c>
      <c r="S63">
        <v>98.6</v>
      </c>
      <c r="T63">
        <f t="shared" si="49"/>
        <v>96.8</v>
      </c>
      <c r="U63" s="13">
        <f t="shared" si="50"/>
        <v>2.5100000000000001E-2</v>
      </c>
      <c r="V63">
        <v>371097</v>
      </c>
      <c r="W63" s="18">
        <f t="shared" si="51"/>
        <v>369446</v>
      </c>
      <c r="X63" s="38">
        <f t="shared" si="60"/>
        <v>4.3E-3</v>
      </c>
      <c r="Y63" s="29">
        <f t="shared" si="52"/>
        <v>-4.0000000000000002E-4</v>
      </c>
      <c r="Z63">
        <v>74.130549999999999</v>
      </c>
      <c r="AA63" s="18">
        <f t="shared" si="53"/>
        <v>74.06</v>
      </c>
      <c r="AB63" s="38">
        <f t="shared" si="61"/>
        <v>1.24E-2</v>
      </c>
      <c r="AC63" s="13">
        <f t="shared" si="54"/>
        <v>2E-3</v>
      </c>
      <c r="AD63" s="30">
        <f t="shared" si="62"/>
        <v>119.57</v>
      </c>
      <c r="AE63" s="11">
        <f t="shared" si="65"/>
        <v>3</v>
      </c>
      <c r="AF63" s="31">
        <f t="shared" si="55"/>
        <v>114.02</v>
      </c>
    </row>
    <row r="64" spans="1:32" x14ac:dyDescent="0.25">
      <c r="A64" s="5">
        <v>41455</v>
      </c>
      <c r="B64" s="10">
        <v>84.1</v>
      </c>
      <c r="C64" s="18">
        <f t="shared" si="56"/>
        <v>84.2</v>
      </c>
      <c r="D64" s="38">
        <f t="shared" si="57"/>
        <v>0.1167</v>
      </c>
      <c r="E64" s="29">
        <f t="shared" si="58"/>
        <v>2.4400000000000002E-2</v>
      </c>
      <c r="F64">
        <v>1284546</v>
      </c>
      <c r="G64">
        <f t="shared" si="63"/>
        <v>1295622</v>
      </c>
      <c r="H64" s="38">
        <f t="shared" si="59"/>
        <v>1.1599999999999999E-2</v>
      </c>
      <c r="I64" s="13">
        <f t="shared" si="64"/>
        <v>9.9000000000000008E-3</v>
      </c>
      <c r="J64">
        <v>-0.3</v>
      </c>
      <c r="K64">
        <f t="shared" si="43"/>
        <v>99.7</v>
      </c>
      <c r="L64" s="29">
        <f t="shared" si="44"/>
        <v>-8.9999999999999998E-4</v>
      </c>
      <c r="M64">
        <v>1.56</v>
      </c>
      <c r="N64">
        <f t="shared" si="45"/>
        <v>101.56</v>
      </c>
      <c r="O64" s="13">
        <f t="shared" si="46"/>
        <v>-1.4E-3</v>
      </c>
      <c r="P64">
        <v>105.46</v>
      </c>
      <c r="Q64">
        <f t="shared" si="47"/>
        <v>105.25700000000001</v>
      </c>
      <c r="R64" s="13">
        <f t="shared" si="48"/>
        <v>2.7000000000000001E-3</v>
      </c>
      <c r="S64">
        <v>93.8</v>
      </c>
      <c r="T64">
        <f t="shared" si="49"/>
        <v>93.9</v>
      </c>
      <c r="U64" s="13">
        <f t="shared" si="50"/>
        <v>2.0899999999999998E-2</v>
      </c>
      <c r="V64">
        <v>369297</v>
      </c>
      <c r="W64" s="18">
        <f t="shared" si="51"/>
        <v>368682</v>
      </c>
      <c r="X64" s="38">
        <f t="shared" si="60"/>
        <v>1.03E-2</v>
      </c>
      <c r="Y64" s="29">
        <f t="shared" si="52"/>
        <v>1.4E-3</v>
      </c>
      <c r="Z64">
        <v>74.091179999999994</v>
      </c>
      <c r="AA64" s="18">
        <f t="shared" si="53"/>
        <v>73.930000000000007</v>
      </c>
      <c r="AB64" s="38">
        <f t="shared" si="61"/>
        <v>1.43E-2</v>
      </c>
      <c r="AC64" s="13">
        <f t="shared" si="54"/>
        <v>3.7000000000000002E-3</v>
      </c>
      <c r="AD64" s="30">
        <f t="shared" si="62"/>
        <v>115.88</v>
      </c>
      <c r="AE64" s="11">
        <f t="shared" si="65"/>
        <v>3</v>
      </c>
      <c r="AF64" s="31">
        <f t="shared" si="55"/>
        <v>106.44</v>
      </c>
    </row>
    <row r="65" spans="1:32" x14ac:dyDescent="0.25">
      <c r="A65" s="5">
        <v>41425</v>
      </c>
      <c r="B65" s="10">
        <v>84.5</v>
      </c>
      <c r="C65" s="18">
        <f t="shared" si="56"/>
        <v>82.5</v>
      </c>
      <c r="D65" s="38">
        <f t="shared" si="57"/>
        <v>-2.3999999999999998E-3</v>
      </c>
      <c r="E65" s="29">
        <f t="shared" si="58"/>
        <v>2.5000000000000001E-2</v>
      </c>
      <c r="F65">
        <v>1291956</v>
      </c>
      <c r="G65">
        <f t="shared" si="63"/>
        <v>1298094</v>
      </c>
      <c r="H65" s="38">
        <f t="shared" si="59"/>
        <v>1.5800000000000002E-2</v>
      </c>
      <c r="I65" s="13">
        <f t="shared" si="64"/>
        <v>1.3899999999999999E-2</v>
      </c>
      <c r="J65">
        <v>-0.16</v>
      </c>
      <c r="K65">
        <f t="shared" si="43"/>
        <v>99.84</v>
      </c>
      <c r="L65" s="29">
        <f t="shared" si="44"/>
        <v>-5.0000000000000001E-4</v>
      </c>
      <c r="M65">
        <v>1.61</v>
      </c>
      <c r="N65">
        <f t="shared" si="45"/>
        <v>101.61</v>
      </c>
      <c r="O65" s="13">
        <f t="shared" si="46"/>
        <v>0</v>
      </c>
      <c r="P65">
        <v>105.29</v>
      </c>
      <c r="Q65">
        <f t="shared" si="47"/>
        <v>104.98</v>
      </c>
      <c r="R65" s="13">
        <f t="shared" si="48"/>
        <v>2.5999999999999999E-3</v>
      </c>
      <c r="S65">
        <v>98</v>
      </c>
      <c r="T65">
        <f t="shared" si="49"/>
        <v>92.867000000000004</v>
      </c>
      <c r="U65" s="13">
        <f t="shared" si="50"/>
        <v>2.2100000000000002E-2</v>
      </c>
      <c r="V65">
        <v>367944</v>
      </c>
      <c r="W65" s="18">
        <f t="shared" si="51"/>
        <v>369497</v>
      </c>
      <c r="X65" s="38">
        <f t="shared" si="60"/>
        <v>1.7299999999999999E-2</v>
      </c>
      <c r="Y65" s="29">
        <f t="shared" si="52"/>
        <v>2.3E-3</v>
      </c>
      <c r="Z65">
        <v>73.971199999999996</v>
      </c>
      <c r="AA65" s="18">
        <f t="shared" si="53"/>
        <v>73.7</v>
      </c>
      <c r="AB65" s="38">
        <f t="shared" si="61"/>
        <v>1.7100000000000001E-2</v>
      </c>
      <c r="AC65" s="13">
        <f t="shared" si="54"/>
        <v>4.7999999999999996E-3</v>
      </c>
      <c r="AD65" s="30">
        <f t="shared" si="62"/>
        <v>106.62</v>
      </c>
      <c r="AE65" s="11">
        <f t="shared" si="65"/>
        <v>3</v>
      </c>
      <c r="AF65" s="31">
        <f t="shared" si="55"/>
        <v>103.51</v>
      </c>
    </row>
    <row r="66" spans="1:32" x14ac:dyDescent="0.25">
      <c r="A66" s="5">
        <v>41394</v>
      </c>
      <c r="B66" s="10">
        <v>76.400000000000006</v>
      </c>
      <c r="C66" s="18">
        <f t="shared" si="56"/>
        <v>77</v>
      </c>
      <c r="D66" s="38">
        <f t="shared" si="57"/>
        <v>-5.5199999999999999E-2</v>
      </c>
      <c r="E66" s="29">
        <f t="shared" si="58"/>
        <v>1.49E-2</v>
      </c>
      <c r="F66">
        <v>1310365</v>
      </c>
      <c r="G66">
        <f t="shared" si="63"/>
        <v>1296318</v>
      </c>
      <c r="H66" s="38">
        <f t="shared" si="59"/>
        <v>2.0899999999999998E-2</v>
      </c>
      <c r="I66" s="13">
        <f t="shared" si="64"/>
        <v>1.4200000000000001E-2</v>
      </c>
      <c r="J66">
        <v>-0.17</v>
      </c>
      <c r="K66">
        <f t="shared" si="43"/>
        <v>99.83</v>
      </c>
      <c r="L66" s="29">
        <f t="shared" si="44"/>
        <v>-2.9999999999999997E-4</v>
      </c>
      <c r="M66">
        <v>1.72</v>
      </c>
      <c r="N66">
        <f t="shared" si="45"/>
        <v>101.72</v>
      </c>
      <c r="O66" s="13">
        <f t="shared" si="46"/>
        <v>6.9999999999999999E-4</v>
      </c>
      <c r="P66">
        <v>105.02</v>
      </c>
      <c r="Q66">
        <f t="shared" si="47"/>
        <v>104.67700000000001</v>
      </c>
      <c r="R66" s="13">
        <f t="shared" si="48"/>
        <v>2.3E-3</v>
      </c>
      <c r="S66">
        <v>89.9</v>
      </c>
      <c r="T66">
        <f t="shared" si="49"/>
        <v>89.867000000000004</v>
      </c>
      <c r="U66" s="13">
        <f t="shared" si="50"/>
        <v>8.8999999999999999E-3</v>
      </c>
      <c r="V66">
        <v>368806</v>
      </c>
      <c r="W66" s="18">
        <f t="shared" si="51"/>
        <v>369259</v>
      </c>
      <c r="X66" s="38">
        <f t="shared" si="60"/>
        <v>1.9400000000000001E-2</v>
      </c>
      <c r="Y66" s="29">
        <f t="shared" si="52"/>
        <v>4.0000000000000001E-3</v>
      </c>
      <c r="Z66">
        <v>73.736949999999993</v>
      </c>
      <c r="AA66" s="18">
        <f t="shared" si="53"/>
        <v>73.41</v>
      </c>
      <c r="AB66" s="38">
        <f t="shared" si="61"/>
        <v>2.3099999999999999E-2</v>
      </c>
      <c r="AC66" s="13">
        <f t="shared" si="54"/>
        <v>4.7000000000000002E-3</v>
      </c>
      <c r="AD66" s="30">
        <f t="shared" si="62"/>
        <v>96.81</v>
      </c>
      <c r="AE66" s="11">
        <f t="shared" si="65"/>
        <v>3</v>
      </c>
      <c r="AF66" s="31">
        <f t="shared" si="55"/>
        <v>102.22</v>
      </c>
    </row>
    <row r="67" spans="1:32" x14ac:dyDescent="0.25">
      <c r="A67" s="5">
        <v>41364</v>
      </c>
      <c r="B67" s="10">
        <v>78.599999999999994</v>
      </c>
      <c r="C67" s="18">
        <f t="shared" si="56"/>
        <v>78.400000000000006</v>
      </c>
      <c r="D67" s="38">
        <f t="shared" si="57"/>
        <v>1.4200000000000001E-2</v>
      </c>
      <c r="E67" s="29">
        <f t="shared" si="58"/>
        <v>1.3299999999999999E-2</v>
      </c>
      <c r="F67">
        <v>1291960</v>
      </c>
      <c r="G67">
        <f t="shared" si="63"/>
        <v>1287535</v>
      </c>
      <c r="H67" s="38">
        <f t="shared" si="59"/>
        <v>2.0400000000000001E-2</v>
      </c>
      <c r="I67" s="13">
        <f t="shared" si="64"/>
        <v>1.4500000000000001E-2</v>
      </c>
      <c r="J67">
        <v>0.11</v>
      </c>
      <c r="K67">
        <f t="shared" si="43"/>
        <v>100.11</v>
      </c>
      <c r="L67" s="29">
        <f t="shared" si="44"/>
        <v>1.1000000000000001E-3</v>
      </c>
      <c r="M67">
        <v>2</v>
      </c>
      <c r="N67">
        <f t="shared" si="45"/>
        <v>102</v>
      </c>
      <c r="O67" s="13">
        <f t="shared" si="46"/>
        <v>2.2000000000000001E-3</v>
      </c>
      <c r="P67">
        <v>104.63</v>
      </c>
      <c r="Q67">
        <f t="shared" si="47"/>
        <v>104.4</v>
      </c>
      <c r="R67" s="13">
        <f t="shared" si="48"/>
        <v>2.2000000000000001E-3</v>
      </c>
      <c r="S67">
        <v>90.7</v>
      </c>
      <c r="T67">
        <f t="shared" si="49"/>
        <v>88.233000000000004</v>
      </c>
      <c r="U67" s="13">
        <f t="shared" si="50"/>
        <v>-1.2999999999999999E-3</v>
      </c>
      <c r="V67">
        <v>371742</v>
      </c>
      <c r="W67" s="18">
        <f t="shared" si="51"/>
        <v>367852</v>
      </c>
      <c r="X67" s="38">
        <f t="shared" si="60"/>
        <v>2.01E-2</v>
      </c>
      <c r="Y67" s="29">
        <f t="shared" si="52"/>
        <v>6.6E-3</v>
      </c>
      <c r="Z67">
        <v>73.394909999999996</v>
      </c>
      <c r="AA67" s="18">
        <f t="shared" si="53"/>
        <v>73.150000000000006</v>
      </c>
      <c r="AB67" s="38">
        <f t="shared" si="61"/>
        <v>2.93E-2</v>
      </c>
      <c r="AC67" s="13">
        <f t="shared" si="54"/>
        <v>4.3E-3</v>
      </c>
      <c r="AD67" s="30">
        <f t="shared" si="62"/>
        <v>107.11</v>
      </c>
      <c r="AE67" s="11">
        <f t="shared" si="65"/>
        <v>3</v>
      </c>
      <c r="AF67" s="31">
        <f t="shared" si="55"/>
        <v>102.7</v>
      </c>
    </row>
    <row r="68" spans="1:32" x14ac:dyDescent="0.25">
      <c r="A68" s="5">
        <v>41333</v>
      </c>
      <c r="B68" s="10">
        <v>77.599999999999994</v>
      </c>
      <c r="C68" s="18">
        <f t="shared" si="56"/>
        <v>76.7</v>
      </c>
      <c r="D68" s="38">
        <f t="shared" si="57"/>
        <v>3.9300000000000002E-2</v>
      </c>
      <c r="E68" s="29">
        <f t="shared" si="58"/>
        <v>-2.5899999999999999E-2</v>
      </c>
      <c r="F68">
        <v>1286629</v>
      </c>
      <c r="G68">
        <f t="shared" si="63"/>
        <v>1280776</v>
      </c>
      <c r="H68" s="38">
        <f t="shared" si="59"/>
        <v>2.4199999999999999E-2</v>
      </c>
      <c r="I68" s="13">
        <f t="shared" si="64"/>
        <v>1.8499999999999999E-2</v>
      </c>
      <c r="J68">
        <v>0.04</v>
      </c>
      <c r="K68">
        <f t="shared" si="43"/>
        <v>100.04</v>
      </c>
      <c r="L68" s="29">
        <f t="shared" si="44"/>
        <v>8.9999999999999998E-4</v>
      </c>
      <c r="M68">
        <v>1.6</v>
      </c>
      <c r="N68">
        <f t="shared" si="45"/>
        <v>101.6</v>
      </c>
      <c r="O68" s="13">
        <f t="shared" si="46"/>
        <v>-6.9999999999999999E-4</v>
      </c>
      <c r="P68">
        <v>104.38</v>
      </c>
      <c r="Q68">
        <f t="shared" si="47"/>
        <v>104.17700000000001</v>
      </c>
      <c r="R68" s="13">
        <f t="shared" si="48"/>
        <v>2.3E-3</v>
      </c>
      <c r="S68">
        <v>89</v>
      </c>
      <c r="T68">
        <f t="shared" si="49"/>
        <v>87</v>
      </c>
      <c r="U68" s="13">
        <f t="shared" si="50"/>
        <v>-4.3E-3</v>
      </c>
      <c r="V68">
        <v>367229</v>
      </c>
      <c r="W68" s="18">
        <f t="shared" si="51"/>
        <v>364924</v>
      </c>
      <c r="X68" s="38">
        <f t="shared" si="60"/>
        <v>1.9900000000000001E-2</v>
      </c>
      <c r="Y68" s="29">
        <f t="shared" si="52"/>
        <v>3.8999999999999998E-3</v>
      </c>
      <c r="Z68">
        <v>73.105950000000007</v>
      </c>
      <c r="AA68" s="18">
        <f t="shared" si="53"/>
        <v>72.89</v>
      </c>
      <c r="AB68" s="38">
        <f t="shared" si="61"/>
        <v>2.7099999999999999E-2</v>
      </c>
      <c r="AC68" s="13">
        <f t="shared" si="54"/>
        <v>6.6E-3</v>
      </c>
      <c r="AD68" s="30">
        <f t="shared" si="62"/>
        <v>102.73</v>
      </c>
      <c r="AE68" s="11">
        <f t="shared" si="65"/>
        <v>3</v>
      </c>
      <c r="AF68" s="31">
        <f t="shared" si="55"/>
        <v>99.13</v>
      </c>
    </row>
    <row r="69" spans="1:32" x14ac:dyDescent="0.25">
      <c r="A69" s="5">
        <v>41305</v>
      </c>
      <c r="B69" s="10">
        <v>73.8</v>
      </c>
      <c r="C69" s="18">
        <f t="shared" si="56"/>
        <v>73.599999999999994</v>
      </c>
      <c r="D69" s="38">
        <f t="shared" si="57"/>
        <v>1.52E-2</v>
      </c>
      <c r="E69" s="29">
        <f t="shared" si="58"/>
        <v>-3.3000000000000002E-2</v>
      </c>
      <c r="F69">
        <v>1284016</v>
      </c>
      <c r="G69">
        <f t="shared" si="63"/>
        <v>1277961</v>
      </c>
      <c r="H69" s="38">
        <f t="shared" si="59"/>
        <v>2.1399999999999999E-2</v>
      </c>
      <c r="I69" s="13">
        <f t="shared" si="64"/>
        <v>1.84E-2</v>
      </c>
      <c r="J69">
        <v>0.05</v>
      </c>
      <c r="K69">
        <f t="shared" si="43"/>
        <v>100.05</v>
      </c>
      <c r="L69" s="29">
        <f t="shared" si="44"/>
        <v>1.2999999999999999E-3</v>
      </c>
      <c r="M69">
        <v>1.52</v>
      </c>
      <c r="N69">
        <f t="shared" si="45"/>
        <v>101.52</v>
      </c>
      <c r="O69" s="13">
        <f t="shared" si="46"/>
        <v>-2.0000000000000001E-4</v>
      </c>
      <c r="P69">
        <v>104.19</v>
      </c>
      <c r="Q69">
        <f t="shared" si="47"/>
        <v>103.973</v>
      </c>
      <c r="R69" s="13">
        <f t="shared" si="48"/>
        <v>2.5000000000000001E-3</v>
      </c>
      <c r="S69">
        <v>85</v>
      </c>
      <c r="T69">
        <f t="shared" si="49"/>
        <v>87.533000000000001</v>
      </c>
      <c r="U69" s="13">
        <f t="shared" si="50"/>
        <v>1E-4</v>
      </c>
      <c r="V69">
        <v>364585</v>
      </c>
      <c r="W69" s="18">
        <f t="shared" si="51"/>
        <v>363208</v>
      </c>
      <c r="X69" s="38">
        <f t="shared" si="60"/>
        <v>2.4E-2</v>
      </c>
      <c r="Y69" s="29">
        <f t="shared" si="52"/>
        <v>4.4999999999999997E-3</v>
      </c>
      <c r="Z69">
        <v>72.943629999999999</v>
      </c>
      <c r="AA69" s="18">
        <f t="shared" si="53"/>
        <v>72.459999999999994</v>
      </c>
      <c r="AB69" s="38">
        <f t="shared" si="61"/>
        <v>1.2699999999999999E-2</v>
      </c>
      <c r="AC69" s="13">
        <f t="shared" si="54"/>
        <v>1.1599999999999999E-2</v>
      </c>
      <c r="AD69" s="30">
        <f t="shared" si="62"/>
        <v>98.27</v>
      </c>
      <c r="AE69" s="11">
        <f t="shared" si="65"/>
        <v>3</v>
      </c>
      <c r="AF69" s="31">
        <f t="shared" si="55"/>
        <v>98.55</v>
      </c>
    </row>
    <row r="70" spans="1:32" x14ac:dyDescent="0.25">
      <c r="A70" s="5">
        <v>41274</v>
      </c>
      <c r="B70" s="10">
        <v>72.900000000000006</v>
      </c>
      <c r="C70" s="18">
        <f t="shared" si="56"/>
        <v>75.400000000000006</v>
      </c>
      <c r="D70" s="38">
        <f t="shared" si="57"/>
        <v>9.4000000000000004E-3</v>
      </c>
      <c r="E70" s="29">
        <f t="shared" si="58"/>
        <v>-7.9000000000000008E-3</v>
      </c>
      <c r="F70">
        <v>1271684</v>
      </c>
      <c r="G70">
        <f t="shared" si="63"/>
        <v>1269837</v>
      </c>
      <c r="H70" s="38">
        <f t="shared" si="59"/>
        <v>8.8000000000000005E-3</v>
      </c>
      <c r="I70" s="13">
        <f t="shared" si="64"/>
        <v>8.6E-3</v>
      </c>
      <c r="J70">
        <v>-0.03</v>
      </c>
      <c r="K70">
        <f t="shared" ref="K70:K133" si="66">J70+100</f>
        <v>99.97</v>
      </c>
      <c r="L70" s="29">
        <f t="shared" ref="L70:L133" si="67">ROUND((AVERAGE(K70:K73)-AVERAGE(K71:K74))/AVERAGE(K71:K74),4)</f>
        <v>8.0000000000000004E-4</v>
      </c>
      <c r="M70">
        <v>1.33</v>
      </c>
      <c r="N70">
        <f t="shared" ref="N70:N133" si="68">M70+100</f>
        <v>101.33</v>
      </c>
      <c r="O70" s="13">
        <f t="shared" ref="O70:O133" si="69">ROUND((AVERAGE(N70:N72)-AVERAGE(N71:N73))/AVERAGE(N71:N73),4)</f>
        <v>-1E-4</v>
      </c>
      <c r="P70">
        <v>103.96</v>
      </c>
      <c r="Q70">
        <f t="shared" ref="Q70:Q133" si="70">ROUND(AVERAGE(P70:P72),3)</f>
        <v>103.727</v>
      </c>
      <c r="R70" s="13">
        <f t="shared" ref="R70:R133" si="71">ROUND((AVERAGE(Q70:Q72)-AVERAGE(Q71:Q73))/AVERAGE(Q71:Q73),4)</f>
        <v>2.3999999999999998E-3</v>
      </c>
      <c r="S70">
        <v>87</v>
      </c>
      <c r="T70">
        <f t="shared" ref="T70:T133" si="72">ROUND(AVERAGE(S70:S72),3)</f>
        <v>88.566999999999993</v>
      </c>
      <c r="U70" s="13">
        <f t="shared" ref="U70:U133" si="73">ROUND((AVERAGE(T70:T72)-AVERAGE(T71:T73))/AVERAGE(T71:T73),4)</f>
        <v>1.0999999999999999E-2</v>
      </c>
      <c r="V70">
        <v>362959</v>
      </c>
      <c r="W70" s="18">
        <f t="shared" ref="W70:W133" si="74">ROUND(AVERAGE(V70:V72),0)</f>
        <v>362219</v>
      </c>
      <c r="X70" s="38">
        <f t="shared" ref="X70:X133" si="75">IF(ISERROR(ROUND((W70/W74)-1,4)),X69,ROUND((W70/W74)-1,4))</f>
        <v>2.3199999999999998E-2</v>
      </c>
      <c r="Y70" s="29">
        <f t="shared" ref="Y70:Y133" si="76">ROUND((AVERAGE(V70:V73)-AVERAGE(V71:V74))/AVERAGE(V71:V74),4)</f>
        <v>6.4999999999999997E-3</v>
      </c>
      <c r="Z70">
        <v>72.631360000000001</v>
      </c>
      <c r="AA70" s="18">
        <f t="shared" ref="AA70:AA133" si="77">ROUND(AVERAGE(Z70:Z72),2)</f>
        <v>71.75</v>
      </c>
      <c r="AB70" s="38">
        <f t="shared" ref="AB70:AB133" si="78">IF(ISERROR(ROUND((AA70/AA74)-1,4)),AB69,ROUND((AA70/AA74)-1,4))</f>
        <v>-7.7000000000000002E-3</v>
      </c>
      <c r="AC70" s="13">
        <f t="shared" ref="AC70:AC133" si="79">ROUND((AVERAGE(Z70,Z70:Z72)-AVERAGE(Z71:Z73))/AVERAGE(Z71:Z73),4)</f>
        <v>1.2699999999999999E-2</v>
      </c>
      <c r="AD70" s="30">
        <f t="shared" si="62"/>
        <v>96.38</v>
      </c>
      <c r="AE70" s="11">
        <f t="shared" si="65"/>
        <v>3</v>
      </c>
      <c r="AF70" s="31">
        <f t="shared" ref="AF70:AF133" si="80">IF(ROUND(AVERAGE(AD70:AD72),2)&lt;0,0,ROUND(AVERAGE(AD70:AD72),2))</f>
        <v>97.52</v>
      </c>
    </row>
    <row r="71" spans="1:32" x14ac:dyDescent="0.25">
      <c r="A71" s="5">
        <v>41243</v>
      </c>
      <c r="B71" s="10">
        <v>82.7</v>
      </c>
      <c r="C71" s="18">
        <f t="shared" ref="C71:C134" si="81">ROUND(AVERAGE(B71,AVERAGE(B71:B72)),1)</f>
        <v>82.7</v>
      </c>
      <c r="D71" s="38">
        <f t="shared" ref="D71:D134" si="82">IF(ISERROR(ROUND((C71/C77)-1,4)),D70,ROUND((C71/C77)-1,4))</f>
        <v>5.2200000000000003E-2</v>
      </c>
      <c r="E71" s="29">
        <f t="shared" ref="E71:E134" si="83">ROUND((AVERAGE(C71:C73)-AVERAGE(C72:C74))/AVERAGE(C72:C74),4)</f>
        <v>3.8300000000000001E-2</v>
      </c>
      <c r="F71">
        <v>1278183</v>
      </c>
      <c r="G71">
        <f t="shared" si="63"/>
        <v>1261740</v>
      </c>
      <c r="H71" s="38">
        <f t="shared" ref="H71:H134" si="84">IF(ISERROR(ROUND((G71/G75)-1,4)),H70,ROUND((G71/G75)-1,4))</f>
        <v>-3.8999999999999998E-3</v>
      </c>
      <c r="I71" s="13">
        <f t="shared" si="64"/>
        <v>-5.1999999999999998E-3</v>
      </c>
      <c r="J71">
        <v>-0.34</v>
      </c>
      <c r="K71">
        <f t="shared" si="66"/>
        <v>99.66</v>
      </c>
      <c r="L71" s="29">
        <f t="shared" si="67"/>
        <v>-2.9999999999999997E-4</v>
      </c>
      <c r="M71">
        <v>1.8</v>
      </c>
      <c r="N71">
        <f t="shared" si="68"/>
        <v>101.8</v>
      </c>
      <c r="O71" s="13">
        <f t="shared" si="69"/>
        <v>1.2999999999999999E-3</v>
      </c>
      <c r="P71">
        <v>103.77</v>
      </c>
      <c r="Q71">
        <f t="shared" si="70"/>
        <v>103.467</v>
      </c>
      <c r="R71" s="13">
        <f t="shared" si="71"/>
        <v>2.3E-3</v>
      </c>
      <c r="S71">
        <v>90.6</v>
      </c>
      <c r="T71">
        <f t="shared" si="72"/>
        <v>88.132999999999996</v>
      </c>
      <c r="U71" s="13">
        <f t="shared" si="73"/>
        <v>1.49E-2</v>
      </c>
      <c r="V71">
        <v>362081</v>
      </c>
      <c r="W71" s="18">
        <f t="shared" si="74"/>
        <v>360616</v>
      </c>
      <c r="X71" s="38">
        <f t="shared" si="75"/>
        <v>1.5900000000000001E-2</v>
      </c>
      <c r="Y71" s="29">
        <f t="shared" si="76"/>
        <v>6.8999999999999999E-3</v>
      </c>
      <c r="Z71">
        <v>71.819990000000004</v>
      </c>
      <c r="AA71" s="18">
        <f t="shared" si="77"/>
        <v>71.069999999999993</v>
      </c>
      <c r="AB71" s="38">
        <f t="shared" si="78"/>
        <v>-2.2700000000000001E-2</v>
      </c>
      <c r="AC71" s="13">
        <f t="shared" si="79"/>
        <v>4.1000000000000003E-3</v>
      </c>
      <c r="AD71" s="30">
        <f t="shared" ref="AD71:AD134" si="85">ROUND(((C71*1.5)+(D71*300)+(E71*300)+(H71*400)+(I71*400)+(J71*20)+(L71*2000)+(T71*1.5)+(U71*300)+(R71*2000)+(M71*10)+(Y71*400)+(X71*400)+(AB71*300)+(AC71*300))/3,2)</f>
        <v>100.99</v>
      </c>
      <c r="AE71" s="11">
        <f t="shared" si="65"/>
        <v>3</v>
      </c>
      <c r="AF71" s="31">
        <f t="shared" si="80"/>
        <v>92.65</v>
      </c>
    </row>
    <row r="72" spans="1:32" x14ac:dyDescent="0.25">
      <c r="A72" s="5">
        <v>41213</v>
      </c>
      <c r="B72" s="10">
        <v>82.6</v>
      </c>
      <c r="C72" s="18">
        <f t="shared" si="81"/>
        <v>81.5</v>
      </c>
      <c r="D72" s="38">
        <f t="shared" si="82"/>
        <v>6.6799999999999998E-2</v>
      </c>
      <c r="E72" s="29">
        <f t="shared" si="83"/>
        <v>4.0300000000000002E-2</v>
      </c>
      <c r="F72">
        <v>1259643</v>
      </c>
      <c r="G72">
        <f t="shared" si="63"/>
        <v>1250532</v>
      </c>
      <c r="H72" s="38">
        <f t="shared" si="84"/>
        <v>-1.2699999999999999E-2</v>
      </c>
      <c r="I72" s="13">
        <f t="shared" si="64"/>
        <v>-1.2500000000000001E-2</v>
      </c>
      <c r="J72">
        <v>-0.31</v>
      </c>
      <c r="K72">
        <f t="shared" si="66"/>
        <v>99.69</v>
      </c>
      <c r="L72" s="29">
        <f t="shared" si="67"/>
        <v>-2.0000000000000001E-4</v>
      </c>
      <c r="M72">
        <v>1.57</v>
      </c>
      <c r="N72">
        <f t="shared" si="68"/>
        <v>101.57</v>
      </c>
      <c r="O72" s="13">
        <f t="shared" si="69"/>
        <v>5.0000000000000001E-4</v>
      </c>
      <c r="P72">
        <v>103.45</v>
      </c>
      <c r="Q72">
        <f t="shared" si="70"/>
        <v>103.197</v>
      </c>
      <c r="R72" s="13">
        <f t="shared" si="71"/>
        <v>2.0999999999999999E-3</v>
      </c>
      <c r="S72">
        <v>88.1</v>
      </c>
      <c r="T72">
        <f t="shared" si="72"/>
        <v>87.5</v>
      </c>
      <c r="U72" s="13">
        <f t="shared" si="73"/>
        <v>1.46E-2</v>
      </c>
      <c r="V72">
        <v>361618</v>
      </c>
      <c r="W72" s="18">
        <f t="shared" si="74"/>
        <v>357813</v>
      </c>
      <c r="X72" s="38">
        <f t="shared" si="75"/>
        <v>1.6999999999999999E-3</v>
      </c>
      <c r="Y72" s="29">
        <f t="shared" si="76"/>
        <v>3.8999999999999998E-3</v>
      </c>
      <c r="Z72">
        <v>70.80292</v>
      </c>
      <c r="AA72" s="18">
        <f t="shared" si="77"/>
        <v>70.97</v>
      </c>
      <c r="AB72" s="38">
        <f t="shared" si="78"/>
        <v>-2.4299999999999999E-2</v>
      </c>
      <c r="AC72" s="13">
        <f t="shared" si="79"/>
        <v>-8.6999999999999994E-3</v>
      </c>
      <c r="AD72" s="30">
        <f t="shared" si="85"/>
        <v>95.19</v>
      </c>
      <c r="AE72" s="11">
        <f t="shared" si="65"/>
        <v>3</v>
      </c>
      <c r="AF72" s="31">
        <f t="shared" si="80"/>
        <v>84.66</v>
      </c>
    </row>
    <row r="73" spans="1:32" x14ac:dyDescent="0.25">
      <c r="A73" s="5">
        <v>41182</v>
      </c>
      <c r="B73" s="10">
        <v>78.3</v>
      </c>
      <c r="C73" s="18">
        <f t="shared" si="81"/>
        <v>77.3</v>
      </c>
      <c r="D73" s="38">
        <f t="shared" si="82"/>
        <v>1.7100000000000001E-2</v>
      </c>
      <c r="E73" s="29">
        <f t="shared" si="83"/>
        <v>1.18E-2</v>
      </c>
      <c r="F73">
        <v>1247395</v>
      </c>
      <c r="G73">
        <f t="shared" si="63"/>
        <v>1251144</v>
      </c>
      <c r="H73" s="38">
        <f t="shared" si="84"/>
        <v>-7.3000000000000001E-3</v>
      </c>
      <c r="I73" s="13">
        <f t="shared" si="64"/>
        <v>-6.7999999999999996E-3</v>
      </c>
      <c r="J73">
        <v>-0.47</v>
      </c>
      <c r="K73">
        <f t="shared" si="66"/>
        <v>99.53</v>
      </c>
      <c r="L73" s="29">
        <f t="shared" si="67"/>
        <v>-8.0000000000000004E-4</v>
      </c>
      <c r="M73">
        <v>1.37</v>
      </c>
      <c r="N73">
        <f t="shared" si="68"/>
        <v>101.37</v>
      </c>
      <c r="O73" s="13">
        <f t="shared" si="69"/>
        <v>-8.9999999999999998E-4</v>
      </c>
      <c r="P73">
        <v>103.18</v>
      </c>
      <c r="Q73">
        <f t="shared" si="70"/>
        <v>102.973</v>
      </c>
      <c r="R73" s="13">
        <f t="shared" si="71"/>
        <v>2.2000000000000001E-3</v>
      </c>
      <c r="S73">
        <v>85.7</v>
      </c>
      <c r="T73">
        <f t="shared" si="72"/>
        <v>85.7</v>
      </c>
      <c r="U73" s="13">
        <f t="shared" si="73"/>
        <v>7.3000000000000001E-3</v>
      </c>
      <c r="V73">
        <v>358149</v>
      </c>
      <c r="W73" s="18">
        <f t="shared" si="74"/>
        <v>354687</v>
      </c>
      <c r="X73" s="38">
        <f t="shared" si="75"/>
        <v>-8.0000000000000002E-3</v>
      </c>
      <c r="Y73" s="29">
        <f t="shared" si="76"/>
        <v>1E-3</v>
      </c>
      <c r="Z73">
        <v>70.589470000000006</v>
      </c>
      <c r="AA73" s="18">
        <f t="shared" si="77"/>
        <v>71.55</v>
      </c>
      <c r="AB73" s="38">
        <f t="shared" si="78"/>
        <v>-1.5100000000000001E-2</v>
      </c>
      <c r="AC73" s="13">
        <f t="shared" si="79"/>
        <v>-1.3899999999999999E-2</v>
      </c>
      <c r="AD73" s="30">
        <f t="shared" si="85"/>
        <v>81.77</v>
      </c>
      <c r="AE73" s="11">
        <f t="shared" si="65"/>
        <v>2</v>
      </c>
      <c r="AF73" s="31">
        <f t="shared" si="80"/>
        <v>81.02</v>
      </c>
    </row>
    <row r="74" spans="1:32" x14ac:dyDescent="0.25">
      <c r="A74" s="5">
        <v>41152</v>
      </c>
      <c r="B74" s="10">
        <v>74.3</v>
      </c>
      <c r="C74" s="18">
        <f t="shared" si="81"/>
        <v>73.8</v>
      </c>
      <c r="D74" s="38">
        <f t="shared" si="82"/>
        <v>-1.8599999999999998E-2</v>
      </c>
      <c r="E74" s="29">
        <f t="shared" si="83"/>
        <v>-2.1299999999999999E-2</v>
      </c>
      <c r="F74">
        <v>1244559</v>
      </c>
      <c r="G74">
        <f t="shared" ref="G74:G137" si="86">ROUND(AVERAGE(F74:F76),0)</f>
        <v>1258786</v>
      </c>
      <c r="H74" s="38">
        <f t="shared" si="84"/>
        <v>6.4000000000000003E-3</v>
      </c>
      <c r="I74" s="13">
        <f t="shared" ref="I74:I137" si="87">ROUND((AVERAGE(G74:G75)-AVERAGE(G77:G78))/AVERAGE(G77:G78),4)</f>
        <v>5.7000000000000002E-3</v>
      </c>
      <c r="J74">
        <v>-0.34</v>
      </c>
      <c r="K74">
        <f t="shared" si="66"/>
        <v>99.66</v>
      </c>
      <c r="L74" s="29">
        <f t="shared" si="67"/>
        <v>-1E-3</v>
      </c>
      <c r="M74">
        <v>1.39</v>
      </c>
      <c r="N74">
        <f t="shared" si="68"/>
        <v>101.39</v>
      </c>
      <c r="O74" s="13">
        <f t="shared" si="69"/>
        <v>-1E-3</v>
      </c>
      <c r="P74">
        <v>102.96</v>
      </c>
      <c r="Q74">
        <f t="shared" si="70"/>
        <v>102.76300000000001</v>
      </c>
      <c r="R74" s="13">
        <f t="shared" si="71"/>
        <v>2.3999999999999998E-3</v>
      </c>
      <c r="S74">
        <v>88.7</v>
      </c>
      <c r="T74">
        <f t="shared" si="72"/>
        <v>84.3</v>
      </c>
      <c r="U74" s="13">
        <f t="shared" si="73"/>
        <v>-4.1999999999999997E-3</v>
      </c>
      <c r="V74">
        <v>353671</v>
      </c>
      <c r="W74" s="18">
        <f t="shared" si="74"/>
        <v>353989</v>
      </c>
      <c r="X74" s="38">
        <f t="shared" si="75"/>
        <v>-6.1999999999999998E-3</v>
      </c>
      <c r="Y74" s="29">
        <f t="shared" si="76"/>
        <v>-3.7000000000000002E-3</v>
      </c>
      <c r="Z74">
        <v>71.512699999999995</v>
      </c>
      <c r="AA74" s="18">
        <f t="shared" si="77"/>
        <v>72.31</v>
      </c>
      <c r="AB74" s="38">
        <f t="shared" si="78"/>
        <v>-3.8999999999999998E-3</v>
      </c>
      <c r="AC74" s="13">
        <f t="shared" si="79"/>
        <v>-8.3000000000000001E-3</v>
      </c>
      <c r="AD74" s="30">
        <f t="shared" si="85"/>
        <v>77.010000000000005</v>
      </c>
      <c r="AE74" s="11">
        <f t="shared" si="65"/>
        <v>1</v>
      </c>
      <c r="AF74" s="31">
        <f t="shared" si="80"/>
        <v>87.88</v>
      </c>
    </row>
    <row r="75" spans="1:32" x14ac:dyDescent="0.25">
      <c r="A75" s="5">
        <v>41121</v>
      </c>
      <c r="B75" s="10">
        <v>72.3</v>
      </c>
      <c r="C75" s="18">
        <f t="shared" si="81"/>
        <v>72.5</v>
      </c>
      <c r="D75" s="38">
        <f t="shared" si="82"/>
        <v>-1.6299999999999999E-2</v>
      </c>
      <c r="E75" s="29">
        <f t="shared" si="83"/>
        <v>-1.7000000000000001E-2</v>
      </c>
      <c r="F75">
        <v>1261479</v>
      </c>
      <c r="G75">
        <f t="shared" si="86"/>
        <v>1266635</v>
      </c>
      <c r="H75" s="38">
        <f t="shared" si="84"/>
        <v>2.1299999999999999E-2</v>
      </c>
      <c r="I75" s="13">
        <f t="shared" si="87"/>
        <v>1.7000000000000001E-2</v>
      </c>
      <c r="J75">
        <v>-0.22</v>
      </c>
      <c r="K75">
        <f t="shared" si="66"/>
        <v>99.78</v>
      </c>
      <c r="L75" s="29">
        <f t="shared" si="67"/>
        <v>-1.4E-3</v>
      </c>
      <c r="M75">
        <v>1.41</v>
      </c>
      <c r="N75">
        <f t="shared" si="68"/>
        <v>101.41</v>
      </c>
      <c r="O75" s="13">
        <f t="shared" si="69"/>
        <v>-1.2999999999999999E-3</v>
      </c>
      <c r="P75">
        <v>102.78</v>
      </c>
      <c r="Q75">
        <f t="shared" si="70"/>
        <v>102.563</v>
      </c>
      <c r="R75" s="13">
        <f t="shared" si="71"/>
        <v>2.7000000000000001E-3</v>
      </c>
      <c r="S75">
        <v>82.7</v>
      </c>
      <c r="T75">
        <f t="shared" si="72"/>
        <v>83.8</v>
      </c>
      <c r="U75" s="13">
        <f t="shared" si="73"/>
        <v>-6.9999999999999999E-4</v>
      </c>
      <c r="V75">
        <v>352240</v>
      </c>
      <c r="W75" s="18">
        <f t="shared" si="74"/>
        <v>354989</v>
      </c>
      <c r="X75" s="38">
        <f t="shared" si="75"/>
        <v>5.1999999999999998E-3</v>
      </c>
      <c r="Y75" s="29">
        <f t="shared" si="76"/>
        <v>-3.3999999999999998E-3</v>
      </c>
      <c r="Z75">
        <v>72.549440000000004</v>
      </c>
      <c r="AA75" s="18">
        <f t="shared" si="77"/>
        <v>72.72</v>
      </c>
      <c r="AB75" s="38">
        <f t="shared" si="78"/>
        <v>1.6999999999999999E-3</v>
      </c>
      <c r="AC75" s="13">
        <f t="shared" si="79"/>
        <v>-8.0000000000000004E-4</v>
      </c>
      <c r="AD75" s="30">
        <f t="shared" si="85"/>
        <v>84.29</v>
      </c>
      <c r="AE75" s="11">
        <f t="shared" si="65"/>
        <v>2</v>
      </c>
      <c r="AF75" s="31">
        <f t="shared" si="80"/>
        <v>104.07</v>
      </c>
    </row>
    <row r="76" spans="1:32" x14ac:dyDescent="0.25">
      <c r="A76" s="5">
        <v>41090</v>
      </c>
      <c r="B76" s="10">
        <v>73.2</v>
      </c>
      <c r="C76" s="18">
        <f t="shared" si="81"/>
        <v>74.7</v>
      </c>
      <c r="D76" s="38">
        <f t="shared" si="82"/>
        <v>9.2100000000000001E-2</v>
      </c>
      <c r="E76" s="29">
        <f t="shared" si="83"/>
        <v>-5.5999999999999999E-3</v>
      </c>
      <c r="F76">
        <v>1270320</v>
      </c>
      <c r="G76">
        <f t="shared" si="86"/>
        <v>1266664</v>
      </c>
      <c r="H76" s="38">
        <f t="shared" si="84"/>
        <v>2.7199999999999998E-2</v>
      </c>
      <c r="I76" s="13">
        <f t="shared" si="87"/>
        <v>2.1700000000000001E-2</v>
      </c>
      <c r="J76">
        <v>-0.23</v>
      </c>
      <c r="K76">
        <f t="shared" si="66"/>
        <v>99.77</v>
      </c>
      <c r="L76" s="29">
        <f t="shared" si="67"/>
        <v>-8.9999999999999998E-4</v>
      </c>
      <c r="M76">
        <v>1.63</v>
      </c>
      <c r="N76">
        <f t="shared" si="68"/>
        <v>101.63</v>
      </c>
      <c r="O76" s="13">
        <f t="shared" si="69"/>
        <v>-6.9999999999999999E-4</v>
      </c>
      <c r="P76">
        <v>102.55</v>
      </c>
      <c r="Q76">
        <f t="shared" si="70"/>
        <v>102.303</v>
      </c>
      <c r="R76" s="13">
        <f t="shared" si="71"/>
        <v>2.7000000000000001E-3</v>
      </c>
      <c r="S76">
        <v>81.5</v>
      </c>
      <c r="T76">
        <f t="shared" si="72"/>
        <v>83.867000000000004</v>
      </c>
      <c r="U76" s="13">
        <f t="shared" si="73"/>
        <v>-2.0999999999999999E-3</v>
      </c>
      <c r="V76">
        <v>356057</v>
      </c>
      <c r="W76" s="18">
        <f t="shared" si="74"/>
        <v>357214</v>
      </c>
      <c r="X76" s="38">
        <f t="shared" si="75"/>
        <v>1.8800000000000001E-2</v>
      </c>
      <c r="Y76" s="29">
        <f t="shared" si="76"/>
        <v>2.3999999999999998E-3</v>
      </c>
      <c r="Z76">
        <v>72.880250000000004</v>
      </c>
      <c r="AA76" s="18">
        <f t="shared" si="77"/>
        <v>72.739999999999995</v>
      </c>
      <c r="AB76" s="38">
        <f t="shared" si="78"/>
        <v>-1E-4</v>
      </c>
      <c r="AC76" s="13">
        <f t="shared" si="79"/>
        <v>1.6999999999999999E-3</v>
      </c>
      <c r="AD76" s="30">
        <f t="shared" si="85"/>
        <v>102.33</v>
      </c>
      <c r="AE76" s="11">
        <f t="shared" si="65"/>
        <v>3</v>
      </c>
      <c r="AF76" s="31">
        <f t="shared" si="80"/>
        <v>117.9</v>
      </c>
    </row>
    <row r="77" spans="1:32" x14ac:dyDescent="0.25">
      <c r="A77" s="5">
        <v>41060</v>
      </c>
      <c r="B77" s="10">
        <v>79.3</v>
      </c>
      <c r="C77" s="18">
        <f t="shared" si="81"/>
        <v>78.599999999999994</v>
      </c>
      <c r="D77" s="38">
        <f t="shared" si="82"/>
        <v>0.24759999999999999</v>
      </c>
      <c r="E77" s="29">
        <f t="shared" si="83"/>
        <v>1.49E-2</v>
      </c>
      <c r="F77">
        <v>1268106</v>
      </c>
      <c r="G77">
        <f t="shared" si="86"/>
        <v>1260401</v>
      </c>
      <c r="H77" s="38">
        <f t="shared" si="84"/>
        <v>2.75E-2</v>
      </c>
      <c r="I77" s="13">
        <f t="shared" si="87"/>
        <v>2.0899999999999998E-2</v>
      </c>
      <c r="J77">
        <v>-0.14000000000000001</v>
      </c>
      <c r="K77">
        <f t="shared" si="66"/>
        <v>99.86</v>
      </c>
      <c r="L77" s="29">
        <f t="shared" si="67"/>
        <v>-2.9999999999999997E-4</v>
      </c>
      <c r="M77">
        <v>1.69</v>
      </c>
      <c r="N77">
        <f t="shared" si="68"/>
        <v>101.69</v>
      </c>
      <c r="O77" s="13">
        <f t="shared" si="69"/>
        <v>-6.9999999999999999E-4</v>
      </c>
      <c r="P77">
        <v>102.36</v>
      </c>
      <c r="Q77">
        <f t="shared" si="70"/>
        <v>102.04</v>
      </c>
      <c r="R77" s="13">
        <f t="shared" si="71"/>
        <v>2.8E-3</v>
      </c>
      <c r="S77">
        <v>87.2</v>
      </c>
      <c r="T77">
        <f t="shared" si="72"/>
        <v>85.367000000000004</v>
      </c>
      <c r="U77" s="13">
        <f t="shared" si="73"/>
        <v>1.24E-2</v>
      </c>
      <c r="V77">
        <v>356669</v>
      </c>
      <c r="W77" s="18">
        <f t="shared" si="74"/>
        <v>357544</v>
      </c>
      <c r="X77" s="38">
        <f t="shared" si="75"/>
        <v>2.4199999999999999E-2</v>
      </c>
      <c r="Y77" s="29">
        <f t="shared" si="76"/>
        <v>4.7999999999999996E-3</v>
      </c>
      <c r="Z77">
        <v>72.717299999999994</v>
      </c>
      <c r="AA77" s="18">
        <f t="shared" si="77"/>
        <v>72.650000000000006</v>
      </c>
      <c r="AB77" s="38">
        <f t="shared" si="78"/>
        <v>-6.7000000000000002E-3</v>
      </c>
      <c r="AC77" s="13">
        <f t="shared" si="79"/>
        <v>1E-3</v>
      </c>
      <c r="AD77" s="30">
        <f t="shared" si="85"/>
        <v>125.59</v>
      </c>
      <c r="AE77" s="11">
        <f t="shared" si="65"/>
        <v>3</v>
      </c>
      <c r="AF77" s="31">
        <f t="shared" si="80"/>
        <v>128.26</v>
      </c>
    </row>
    <row r="78" spans="1:32" x14ac:dyDescent="0.25">
      <c r="A78" s="5">
        <v>41029</v>
      </c>
      <c r="B78" s="10">
        <v>76.400000000000006</v>
      </c>
      <c r="C78" s="18">
        <f t="shared" si="81"/>
        <v>76.400000000000006</v>
      </c>
      <c r="D78" s="38">
        <f t="shared" si="82"/>
        <v>0.26279999999999998</v>
      </c>
      <c r="E78" s="29">
        <f t="shared" si="83"/>
        <v>1.2E-2</v>
      </c>
      <c r="F78">
        <v>1261567</v>
      </c>
      <c r="G78">
        <f t="shared" si="86"/>
        <v>1250761</v>
      </c>
      <c r="H78" s="38">
        <f t="shared" si="84"/>
        <v>2.2800000000000001E-2</v>
      </c>
      <c r="I78" s="13">
        <f t="shared" si="87"/>
        <v>1.6899999999999998E-2</v>
      </c>
      <c r="J78">
        <v>0.04</v>
      </c>
      <c r="K78">
        <f t="shared" si="66"/>
        <v>100.04</v>
      </c>
      <c r="L78" s="29">
        <f t="shared" si="67"/>
        <v>6.9999999999999999E-4</v>
      </c>
      <c r="M78">
        <v>1.82</v>
      </c>
      <c r="N78">
        <f t="shared" si="68"/>
        <v>101.82</v>
      </c>
      <c r="O78" s="13">
        <f t="shared" si="69"/>
        <v>2.9999999999999997E-4</v>
      </c>
      <c r="P78">
        <v>102</v>
      </c>
      <c r="Q78">
        <f t="shared" si="70"/>
        <v>101.733</v>
      </c>
      <c r="R78" s="13">
        <f t="shared" si="71"/>
        <v>2.7000000000000001E-3</v>
      </c>
      <c r="S78">
        <v>82.9</v>
      </c>
      <c r="T78">
        <f t="shared" si="72"/>
        <v>83.966999999999999</v>
      </c>
      <c r="U78" s="13">
        <f t="shared" si="73"/>
        <v>1.44E-2</v>
      </c>
      <c r="V78">
        <v>358917</v>
      </c>
      <c r="W78" s="18">
        <f t="shared" si="74"/>
        <v>356202</v>
      </c>
      <c r="X78" s="38">
        <f t="shared" si="75"/>
        <v>2.47E-2</v>
      </c>
      <c r="Y78" s="29">
        <f t="shared" si="76"/>
        <v>6.7999999999999996E-3</v>
      </c>
      <c r="Z78">
        <v>72.608559999999997</v>
      </c>
      <c r="AA78" s="18">
        <f t="shared" si="77"/>
        <v>72.59</v>
      </c>
      <c r="AB78" s="38">
        <f t="shared" si="78"/>
        <v>-1.43E-2</v>
      </c>
      <c r="AC78" s="13">
        <f t="shared" si="79"/>
        <v>0</v>
      </c>
      <c r="AD78" s="30">
        <f t="shared" si="85"/>
        <v>125.77</v>
      </c>
      <c r="AE78" s="11">
        <f t="shared" si="65"/>
        <v>3</v>
      </c>
      <c r="AF78" s="31">
        <f t="shared" si="80"/>
        <v>130.44999999999999</v>
      </c>
    </row>
    <row r="79" spans="1:32" x14ac:dyDescent="0.25">
      <c r="A79" s="5">
        <v>40999</v>
      </c>
      <c r="B79" s="10">
        <v>76.2</v>
      </c>
      <c r="C79" s="18">
        <f t="shared" si="81"/>
        <v>76</v>
      </c>
      <c r="D79" s="38">
        <f t="shared" si="82"/>
        <v>0.2969</v>
      </c>
      <c r="E79" s="29">
        <f t="shared" si="83"/>
        <v>3.5000000000000003E-2</v>
      </c>
      <c r="F79">
        <v>1251531</v>
      </c>
      <c r="G79">
        <f t="shared" si="86"/>
        <v>1240269</v>
      </c>
      <c r="H79" s="38">
        <f t="shared" si="84"/>
        <v>1.89E-2</v>
      </c>
      <c r="I79" s="13">
        <f t="shared" si="87"/>
        <v>1.37E-2</v>
      </c>
      <c r="J79">
        <v>0.33</v>
      </c>
      <c r="K79">
        <f t="shared" si="66"/>
        <v>100.33</v>
      </c>
      <c r="L79" s="29">
        <f t="shared" si="67"/>
        <v>1.1000000000000001E-3</v>
      </c>
      <c r="M79">
        <v>1.84</v>
      </c>
      <c r="N79">
        <f t="shared" si="68"/>
        <v>101.84</v>
      </c>
      <c r="O79" s="13">
        <f t="shared" si="69"/>
        <v>2.9999999999999997E-4</v>
      </c>
      <c r="P79">
        <v>101.76</v>
      </c>
      <c r="Q79">
        <f t="shared" si="70"/>
        <v>101.47</v>
      </c>
      <c r="R79" s="13">
        <f t="shared" si="71"/>
        <v>2.7000000000000001E-3</v>
      </c>
      <c r="S79">
        <v>86</v>
      </c>
      <c r="T79">
        <f t="shared" si="72"/>
        <v>84.4</v>
      </c>
      <c r="U79" s="13">
        <f t="shared" si="73"/>
        <v>2.9600000000000001E-2</v>
      </c>
      <c r="V79">
        <v>357047</v>
      </c>
      <c r="W79" s="18">
        <f t="shared" si="74"/>
        <v>353163</v>
      </c>
      <c r="X79" s="38">
        <f t="shared" si="75"/>
        <v>2.3099999999999999E-2</v>
      </c>
      <c r="Y79" s="29">
        <f t="shared" si="76"/>
        <v>6.4000000000000003E-3</v>
      </c>
      <c r="Z79">
        <v>72.620159999999998</v>
      </c>
      <c r="AA79" s="18">
        <f t="shared" si="77"/>
        <v>72.599999999999994</v>
      </c>
      <c r="AB79" s="38">
        <f t="shared" si="78"/>
        <v>-1.8800000000000001E-2</v>
      </c>
      <c r="AC79" s="13">
        <f t="shared" si="79"/>
        <v>-2.0999999999999999E-3</v>
      </c>
      <c r="AD79" s="30">
        <f t="shared" si="85"/>
        <v>133.41</v>
      </c>
      <c r="AE79" s="11">
        <f t="shared" si="65"/>
        <v>3</v>
      </c>
      <c r="AF79" s="31">
        <f t="shared" si="80"/>
        <v>126</v>
      </c>
    </row>
    <row r="80" spans="1:32" x14ac:dyDescent="0.25">
      <c r="A80" s="5">
        <v>40968</v>
      </c>
      <c r="B80" s="10">
        <v>75.3</v>
      </c>
      <c r="C80" s="18">
        <f t="shared" si="81"/>
        <v>75.2</v>
      </c>
      <c r="D80" s="38">
        <f t="shared" si="82"/>
        <v>0.30099999999999999</v>
      </c>
      <c r="E80" s="29">
        <f t="shared" si="83"/>
        <v>5.9499999999999997E-2</v>
      </c>
      <c r="F80">
        <v>1239185</v>
      </c>
      <c r="G80">
        <f t="shared" si="86"/>
        <v>1233133</v>
      </c>
      <c r="H80" s="38">
        <f t="shared" si="84"/>
        <v>1.7299999999999999E-2</v>
      </c>
      <c r="I80" s="13">
        <f t="shared" si="87"/>
        <v>1.2500000000000001E-2</v>
      </c>
      <c r="J80">
        <v>0.14000000000000001</v>
      </c>
      <c r="K80">
        <f t="shared" si="66"/>
        <v>100.14</v>
      </c>
      <c r="L80" s="29">
        <f t="shared" si="67"/>
        <v>5.9999999999999995E-4</v>
      </c>
      <c r="M80">
        <v>1.9</v>
      </c>
      <c r="N80">
        <f t="shared" si="68"/>
        <v>101.9</v>
      </c>
      <c r="O80" s="13">
        <f t="shared" si="69"/>
        <v>1.1999999999999999E-3</v>
      </c>
      <c r="P80">
        <v>101.44</v>
      </c>
      <c r="Q80">
        <f t="shared" si="70"/>
        <v>101.197</v>
      </c>
      <c r="R80" s="13">
        <f t="shared" si="71"/>
        <v>2.5999999999999999E-3</v>
      </c>
      <c r="S80">
        <v>83</v>
      </c>
      <c r="T80">
        <f t="shared" si="72"/>
        <v>82.266999999999996</v>
      </c>
      <c r="U80" s="13">
        <f t="shared" si="73"/>
        <v>2.76E-2</v>
      </c>
      <c r="V80">
        <v>352643</v>
      </c>
      <c r="W80" s="18">
        <f t="shared" si="74"/>
        <v>350607</v>
      </c>
      <c r="X80" s="38">
        <f t="shared" si="75"/>
        <v>2.23E-2</v>
      </c>
      <c r="Y80" s="29">
        <f t="shared" si="76"/>
        <v>5.1999999999999998E-3</v>
      </c>
      <c r="Z80">
        <v>72.553629999999998</v>
      </c>
      <c r="AA80" s="18">
        <f t="shared" si="77"/>
        <v>72.75</v>
      </c>
      <c r="AB80" s="38">
        <f t="shared" si="78"/>
        <v>-1.8100000000000002E-2</v>
      </c>
      <c r="AC80" s="13">
        <f t="shared" si="79"/>
        <v>-6.0000000000000001E-3</v>
      </c>
      <c r="AD80" s="30">
        <f t="shared" si="85"/>
        <v>132.16999999999999</v>
      </c>
      <c r="AE80" s="11">
        <f t="shared" si="65"/>
        <v>3</v>
      </c>
      <c r="AF80" s="31">
        <f t="shared" si="80"/>
        <v>110.4</v>
      </c>
    </row>
    <row r="81" spans="1:32" x14ac:dyDescent="0.25">
      <c r="A81" s="5">
        <v>40939</v>
      </c>
      <c r="B81" s="10">
        <v>75</v>
      </c>
      <c r="C81" s="18">
        <f t="shared" si="81"/>
        <v>73.7</v>
      </c>
      <c r="D81" s="38">
        <f t="shared" si="82"/>
        <v>0.12180000000000001</v>
      </c>
      <c r="E81" s="29">
        <f t="shared" si="83"/>
        <v>6.88E-2</v>
      </c>
      <c r="F81">
        <v>1230090</v>
      </c>
      <c r="G81">
        <f t="shared" si="86"/>
        <v>1226709</v>
      </c>
      <c r="H81" s="38">
        <f t="shared" si="84"/>
        <v>1.8100000000000002E-2</v>
      </c>
      <c r="I81" s="13">
        <f t="shared" si="87"/>
        <v>1.34E-2</v>
      </c>
      <c r="J81">
        <v>-0.01</v>
      </c>
      <c r="K81">
        <f t="shared" si="66"/>
        <v>99.99</v>
      </c>
      <c r="L81" s="29">
        <f t="shared" si="67"/>
        <v>0</v>
      </c>
      <c r="M81">
        <v>1.72</v>
      </c>
      <c r="N81">
        <f t="shared" si="68"/>
        <v>101.72</v>
      </c>
      <c r="O81" s="13">
        <f t="shared" si="69"/>
        <v>1.2999999999999999E-3</v>
      </c>
      <c r="P81">
        <v>101.21</v>
      </c>
      <c r="Q81">
        <f t="shared" si="70"/>
        <v>100.92700000000001</v>
      </c>
      <c r="R81" s="13">
        <f t="shared" si="71"/>
        <v>2.3999999999999998E-3</v>
      </c>
      <c r="S81">
        <v>84.2</v>
      </c>
      <c r="T81">
        <f t="shared" si="72"/>
        <v>80.400000000000006</v>
      </c>
      <c r="U81" s="13">
        <f t="shared" si="73"/>
        <v>3.3300000000000003E-2</v>
      </c>
      <c r="V81">
        <v>349798</v>
      </c>
      <c r="W81" s="18">
        <f t="shared" si="74"/>
        <v>349091</v>
      </c>
      <c r="X81" s="38">
        <f t="shared" si="75"/>
        <v>2.1700000000000001E-2</v>
      </c>
      <c r="Y81" s="29">
        <f t="shared" si="76"/>
        <v>5.5999999999999999E-3</v>
      </c>
      <c r="Z81">
        <v>72.626220000000004</v>
      </c>
      <c r="AA81" s="18">
        <f t="shared" si="77"/>
        <v>73.14</v>
      </c>
      <c r="AB81" s="38">
        <f t="shared" si="78"/>
        <v>-1.2699999999999999E-2</v>
      </c>
      <c r="AC81" s="13">
        <f t="shared" si="79"/>
        <v>-8.5000000000000006E-3</v>
      </c>
      <c r="AD81" s="30">
        <f t="shared" si="85"/>
        <v>112.43</v>
      </c>
      <c r="AE81" s="11">
        <f t="shared" si="65"/>
        <v>3</v>
      </c>
      <c r="AF81" s="31">
        <f t="shared" si="80"/>
        <v>89.92</v>
      </c>
    </row>
    <row r="82" spans="1:32" x14ac:dyDescent="0.25">
      <c r="A82" s="5">
        <v>40908</v>
      </c>
      <c r="B82" s="10">
        <v>69.900000000000006</v>
      </c>
      <c r="C82" s="18">
        <f t="shared" si="81"/>
        <v>68.400000000000006</v>
      </c>
      <c r="D82" s="38">
        <f t="shared" si="82"/>
        <v>-5.2600000000000001E-2</v>
      </c>
      <c r="E82" s="29">
        <f t="shared" si="83"/>
        <v>5.3800000000000001E-2</v>
      </c>
      <c r="F82">
        <v>1230123</v>
      </c>
      <c r="G82">
        <f t="shared" si="86"/>
        <v>1222840</v>
      </c>
      <c r="H82" s="38">
        <f t="shared" si="84"/>
        <v>1.7399999999999999E-2</v>
      </c>
      <c r="I82" s="13">
        <f t="shared" si="87"/>
        <v>1.38E-2</v>
      </c>
      <c r="J82">
        <v>-0.24</v>
      </c>
      <c r="K82">
        <f t="shared" si="66"/>
        <v>99.76</v>
      </c>
      <c r="L82" s="29">
        <f t="shared" si="67"/>
        <v>-4.0000000000000002E-4</v>
      </c>
      <c r="M82">
        <v>1.76</v>
      </c>
      <c r="N82">
        <f t="shared" si="68"/>
        <v>101.76</v>
      </c>
      <c r="O82" s="13">
        <f t="shared" si="69"/>
        <v>6.9999999999999999E-4</v>
      </c>
      <c r="P82">
        <v>100.94</v>
      </c>
      <c r="Q82">
        <f t="shared" si="70"/>
        <v>100.657</v>
      </c>
      <c r="R82" s="13">
        <f t="shared" si="71"/>
        <v>2.0999999999999999E-3</v>
      </c>
      <c r="S82">
        <v>79.599999999999994</v>
      </c>
      <c r="T82">
        <f t="shared" si="72"/>
        <v>77.3</v>
      </c>
      <c r="U82" s="13">
        <f t="shared" si="73"/>
        <v>1.8800000000000001E-2</v>
      </c>
      <c r="V82">
        <v>349379</v>
      </c>
      <c r="W82" s="18">
        <f t="shared" si="74"/>
        <v>347607</v>
      </c>
      <c r="X82" s="38">
        <f t="shared" si="75"/>
        <v>2.01E-2</v>
      </c>
      <c r="Y82" s="29">
        <f t="shared" si="76"/>
        <v>5.7999999999999996E-3</v>
      </c>
      <c r="Z82">
        <v>73.082719999999995</v>
      </c>
      <c r="AA82" s="18">
        <f t="shared" si="77"/>
        <v>73.64</v>
      </c>
      <c r="AB82" s="38">
        <f t="shared" si="78"/>
        <v>-6.1000000000000004E-3</v>
      </c>
      <c r="AC82" s="13">
        <f t="shared" si="79"/>
        <v>-6.6E-3</v>
      </c>
      <c r="AD82" s="30">
        <f t="shared" si="85"/>
        <v>86.59</v>
      </c>
      <c r="AE82" s="11">
        <f t="shared" si="65"/>
        <v>3</v>
      </c>
      <c r="AF82" s="31">
        <f t="shared" si="80"/>
        <v>72.459999999999994</v>
      </c>
    </row>
    <row r="83" spans="1:32" x14ac:dyDescent="0.25">
      <c r="A83" s="5">
        <v>40877</v>
      </c>
      <c r="B83" s="10">
        <v>63.7</v>
      </c>
      <c r="C83" s="18">
        <f t="shared" si="81"/>
        <v>63</v>
      </c>
      <c r="D83" s="38">
        <f t="shared" si="82"/>
        <v>-0.13930000000000001</v>
      </c>
      <c r="E83" s="29">
        <f t="shared" si="83"/>
        <v>2.9399999999999999E-2</v>
      </c>
      <c r="F83">
        <v>1219915</v>
      </c>
      <c r="G83">
        <f t="shared" si="86"/>
        <v>1217246</v>
      </c>
      <c r="H83" s="38">
        <f t="shared" si="84"/>
        <v>1.52E-2</v>
      </c>
      <c r="I83" s="13">
        <f t="shared" si="87"/>
        <v>1.1900000000000001E-2</v>
      </c>
      <c r="J83">
        <v>-0.09</v>
      </c>
      <c r="K83">
        <f t="shared" si="66"/>
        <v>99.91</v>
      </c>
      <c r="L83" s="29">
        <f t="shared" si="67"/>
        <v>6.9999999999999999E-4</v>
      </c>
      <c r="M83">
        <v>1.52</v>
      </c>
      <c r="N83">
        <f t="shared" si="68"/>
        <v>101.52</v>
      </c>
      <c r="O83" s="13">
        <f t="shared" si="69"/>
        <v>8.9999999999999998E-4</v>
      </c>
      <c r="P83">
        <v>100.63</v>
      </c>
      <c r="Q83">
        <f t="shared" si="70"/>
        <v>100.417</v>
      </c>
      <c r="R83" s="13">
        <f t="shared" si="71"/>
        <v>2E-3</v>
      </c>
      <c r="S83">
        <v>77.400000000000006</v>
      </c>
      <c r="T83">
        <f t="shared" si="72"/>
        <v>75.832999999999998</v>
      </c>
      <c r="U83" s="13">
        <f t="shared" si="73"/>
        <v>2E-3</v>
      </c>
      <c r="V83">
        <v>348095</v>
      </c>
      <c r="W83" s="18">
        <f t="shared" si="74"/>
        <v>345182</v>
      </c>
      <c r="X83" s="38">
        <f t="shared" si="75"/>
        <v>1.4200000000000001E-2</v>
      </c>
      <c r="Y83" s="29">
        <f t="shared" si="76"/>
        <v>4.7999999999999996E-3</v>
      </c>
      <c r="Z83">
        <v>73.72336</v>
      </c>
      <c r="AA83" s="18">
        <f t="shared" si="77"/>
        <v>73.989999999999995</v>
      </c>
      <c r="AB83" s="38">
        <f t="shared" si="78"/>
        <v>-6.9999999999999999E-4</v>
      </c>
      <c r="AC83" s="13">
        <f t="shared" si="79"/>
        <v>-2.2000000000000001E-3</v>
      </c>
      <c r="AD83" s="30">
        <f t="shared" si="85"/>
        <v>70.75</v>
      </c>
      <c r="AE83" s="11">
        <f t="shared" si="65"/>
        <v>1</v>
      </c>
      <c r="AF83" s="31">
        <f t="shared" si="80"/>
        <v>61.3</v>
      </c>
    </row>
    <row r="84" spans="1:32" x14ac:dyDescent="0.25">
      <c r="A84" s="5">
        <v>40847</v>
      </c>
      <c r="B84" s="10">
        <v>60.8</v>
      </c>
      <c r="C84" s="18">
        <f t="shared" si="81"/>
        <v>60.5</v>
      </c>
      <c r="D84" s="38">
        <f t="shared" si="82"/>
        <v>-0.12570000000000001</v>
      </c>
      <c r="E84" s="29">
        <f t="shared" si="83"/>
        <v>-2.86E-2</v>
      </c>
      <c r="F84">
        <v>1218481</v>
      </c>
      <c r="G84">
        <f t="shared" si="86"/>
        <v>1212168</v>
      </c>
      <c r="H84" s="38">
        <f t="shared" si="84"/>
        <v>1.9099999999999999E-2</v>
      </c>
      <c r="I84" s="13">
        <f t="shared" si="87"/>
        <v>1.2E-2</v>
      </c>
      <c r="J84">
        <v>-0.09</v>
      </c>
      <c r="K84">
        <f t="shared" si="66"/>
        <v>99.91</v>
      </c>
      <c r="L84" s="29">
        <f t="shared" si="67"/>
        <v>2.0000000000000001E-4</v>
      </c>
      <c r="M84">
        <v>1.32</v>
      </c>
      <c r="N84">
        <f t="shared" si="68"/>
        <v>101.32</v>
      </c>
      <c r="O84" s="13">
        <f t="shared" si="69"/>
        <v>5.0000000000000001E-4</v>
      </c>
      <c r="P84">
        <v>100.4</v>
      </c>
      <c r="Q84">
        <f t="shared" si="70"/>
        <v>100.21299999999999</v>
      </c>
      <c r="R84" s="13">
        <f t="shared" si="71"/>
        <v>2.0999999999999999E-3</v>
      </c>
      <c r="S84">
        <v>74.900000000000006</v>
      </c>
      <c r="T84">
        <f t="shared" si="72"/>
        <v>72.867000000000004</v>
      </c>
      <c r="U84" s="13">
        <f t="shared" si="73"/>
        <v>-3.0599999999999999E-2</v>
      </c>
      <c r="V84">
        <v>345346</v>
      </c>
      <c r="W84" s="18">
        <f t="shared" si="74"/>
        <v>342955</v>
      </c>
      <c r="X84" s="38">
        <f t="shared" si="75"/>
        <v>1.12E-2</v>
      </c>
      <c r="Y84" s="29">
        <f t="shared" si="76"/>
        <v>4.4000000000000003E-3</v>
      </c>
      <c r="Z84">
        <v>74.123230000000007</v>
      </c>
      <c r="AA84" s="18">
        <f t="shared" si="77"/>
        <v>74.09</v>
      </c>
      <c r="AB84" s="38">
        <f t="shared" si="78"/>
        <v>2.5999999999999999E-3</v>
      </c>
      <c r="AC84" s="13">
        <f t="shared" si="79"/>
        <v>2.0000000000000001E-4</v>
      </c>
      <c r="AD84" s="30">
        <f t="shared" si="85"/>
        <v>60.03</v>
      </c>
      <c r="AE84" s="11">
        <f t="shared" ref="AE84:AE147" si="88">IF(AD84&gt;85,3,IF(AND(AD84&gt;78,AD84&lt;=85),2,IF(AND(AD84&gt;70,AD84&lt;=78),1,IF(AD84&lt;40,-3,IF(AND(AD84&lt;55,AD84&gt;=40),-2,IF(AND(AD84&lt;65,AD84&gt;=55),-1,0))))))</f>
        <v>-1</v>
      </c>
      <c r="AF84" s="31">
        <f t="shared" si="80"/>
        <v>53.67</v>
      </c>
    </row>
    <row r="85" spans="1:32" x14ac:dyDescent="0.25">
      <c r="A85" s="5">
        <v>40816</v>
      </c>
      <c r="B85" s="10">
        <v>59.5</v>
      </c>
      <c r="C85" s="18">
        <f t="shared" si="81"/>
        <v>58.6</v>
      </c>
      <c r="D85" s="38">
        <f t="shared" si="82"/>
        <v>-0.16289999999999999</v>
      </c>
      <c r="E85" s="29">
        <f t="shared" si="83"/>
        <v>-6.9500000000000006E-2</v>
      </c>
      <c r="F85">
        <v>1213343</v>
      </c>
      <c r="G85">
        <f t="shared" si="86"/>
        <v>1204940</v>
      </c>
      <c r="H85" s="38">
        <f t="shared" si="84"/>
        <v>2.29E-2</v>
      </c>
      <c r="I85" s="13">
        <f t="shared" si="87"/>
        <v>1.67E-2</v>
      </c>
      <c r="J85">
        <v>-0.01</v>
      </c>
      <c r="K85">
        <f t="shared" si="66"/>
        <v>99.99</v>
      </c>
      <c r="L85" s="29">
        <f t="shared" si="67"/>
        <v>4.0000000000000002E-4</v>
      </c>
      <c r="M85">
        <v>1.54</v>
      </c>
      <c r="N85">
        <f t="shared" si="68"/>
        <v>101.54</v>
      </c>
      <c r="O85" s="13">
        <f t="shared" si="69"/>
        <v>1.1000000000000001E-3</v>
      </c>
      <c r="P85">
        <v>100.22</v>
      </c>
      <c r="Q85">
        <f t="shared" si="70"/>
        <v>100.02</v>
      </c>
      <c r="R85" s="13">
        <f t="shared" si="71"/>
        <v>2.2000000000000001E-3</v>
      </c>
      <c r="S85">
        <v>75.2</v>
      </c>
      <c r="T85">
        <f t="shared" si="72"/>
        <v>73.132999999999996</v>
      </c>
      <c r="U85" s="13">
        <f t="shared" si="73"/>
        <v>-3.7900000000000003E-2</v>
      </c>
      <c r="V85">
        <v>342104</v>
      </c>
      <c r="W85" s="18">
        <f t="shared" si="74"/>
        <v>341683</v>
      </c>
      <c r="X85" s="38">
        <f t="shared" si="75"/>
        <v>1.23E-2</v>
      </c>
      <c r="Y85" s="29">
        <f t="shared" si="76"/>
        <v>1.4E-3</v>
      </c>
      <c r="Z85">
        <v>74.118409999999997</v>
      </c>
      <c r="AA85" s="18">
        <f t="shared" si="77"/>
        <v>74.08</v>
      </c>
      <c r="AB85" s="38">
        <f t="shared" si="78"/>
        <v>3.7000000000000002E-3</v>
      </c>
      <c r="AC85" s="13">
        <f t="shared" si="79"/>
        <v>1E-4</v>
      </c>
      <c r="AD85" s="30">
        <f t="shared" si="85"/>
        <v>53.12</v>
      </c>
      <c r="AE85" s="11">
        <f t="shared" si="88"/>
        <v>-2</v>
      </c>
      <c r="AF85" s="31">
        <f t="shared" si="80"/>
        <v>58.64</v>
      </c>
    </row>
    <row r="86" spans="1:32" x14ac:dyDescent="0.25">
      <c r="A86" s="5">
        <v>40786</v>
      </c>
      <c r="B86" s="10">
        <v>55.8</v>
      </c>
      <c r="C86" s="18">
        <f t="shared" si="81"/>
        <v>57.8</v>
      </c>
      <c r="D86" s="38">
        <f t="shared" si="82"/>
        <v>-0.24640000000000001</v>
      </c>
      <c r="E86" s="29">
        <f t="shared" si="83"/>
        <v>-7.2999999999999995E-2</v>
      </c>
      <c r="F86">
        <v>1204680</v>
      </c>
      <c r="G86">
        <f t="shared" si="86"/>
        <v>1201873</v>
      </c>
      <c r="H86" s="38">
        <f t="shared" si="84"/>
        <v>3.5900000000000001E-2</v>
      </c>
      <c r="I86" s="13">
        <f t="shared" si="87"/>
        <v>2.6800000000000001E-2</v>
      </c>
      <c r="J86">
        <v>-0.09</v>
      </c>
      <c r="K86">
        <f t="shared" si="66"/>
        <v>99.91</v>
      </c>
      <c r="L86" s="29">
        <f t="shared" si="67"/>
        <v>-4.0000000000000002E-4</v>
      </c>
      <c r="M86">
        <v>1.24</v>
      </c>
      <c r="N86">
        <f t="shared" si="68"/>
        <v>101.24</v>
      </c>
      <c r="O86" s="13">
        <f t="shared" si="69"/>
        <v>-6.9999999999999999E-4</v>
      </c>
      <c r="P86">
        <v>100.02</v>
      </c>
      <c r="Q86">
        <f t="shared" si="70"/>
        <v>99.813000000000002</v>
      </c>
      <c r="R86" s="13">
        <f t="shared" si="71"/>
        <v>2.3E-3</v>
      </c>
      <c r="S86">
        <v>68.5</v>
      </c>
      <c r="T86">
        <f t="shared" si="72"/>
        <v>75.400000000000006</v>
      </c>
      <c r="U86" s="13">
        <f t="shared" si="73"/>
        <v>-2.8199999999999999E-2</v>
      </c>
      <c r="V86">
        <v>341414</v>
      </c>
      <c r="W86" s="18">
        <f t="shared" si="74"/>
        <v>340766</v>
      </c>
      <c r="X86" s="38">
        <f t="shared" si="75"/>
        <v>1.7299999999999999E-2</v>
      </c>
      <c r="Y86" s="29">
        <f t="shared" si="76"/>
        <v>2.5999999999999999E-3</v>
      </c>
      <c r="Z86">
        <v>74.023780000000002</v>
      </c>
      <c r="AA86" s="18">
        <f t="shared" si="77"/>
        <v>74.09</v>
      </c>
      <c r="AB86" s="38">
        <f t="shared" si="78"/>
        <v>1.6000000000000001E-3</v>
      </c>
      <c r="AC86" s="13">
        <f t="shared" si="79"/>
        <v>4.0000000000000002E-4</v>
      </c>
      <c r="AD86" s="30">
        <f t="shared" si="85"/>
        <v>47.85</v>
      </c>
      <c r="AE86" s="11">
        <f t="shared" si="88"/>
        <v>-2</v>
      </c>
      <c r="AF86" s="31">
        <f t="shared" si="80"/>
        <v>72.849999999999994</v>
      </c>
    </row>
    <row r="87" spans="1:32" x14ac:dyDescent="0.25">
      <c r="A87" s="5">
        <v>40755</v>
      </c>
      <c r="B87" s="10">
        <v>63.7</v>
      </c>
      <c r="C87" s="18">
        <f t="shared" si="81"/>
        <v>65.7</v>
      </c>
      <c r="D87" s="38">
        <f t="shared" si="82"/>
        <v>-0.1157</v>
      </c>
      <c r="E87" s="29">
        <f t="shared" si="83"/>
        <v>-1.6299999999999999E-2</v>
      </c>
      <c r="F87">
        <v>1196798</v>
      </c>
      <c r="G87">
        <f t="shared" si="86"/>
        <v>1199008</v>
      </c>
      <c r="H87" s="38">
        <f t="shared" si="84"/>
        <v>4.5400000000000003E-2</v>
      </c>
      <c r="I87" s="13">
        <f t="shared" si="87"/>
        <v>3.5200000000000002E-2</v>
      </c>
      <c r="J87">
        <v>-0.37</v>
      </c>
      <c r="K87">
        <f t="shared" si="66"/>
        <v>99.63</v>
      </c>
      <c r="L87" s="29">
        <f t="shared" si="67"/>
        <v>-6.9999999999999999E-4</v>
      </c>
      <c r="M87">
        <v>1.17</v>
      </c>
      <c r="N87">
        <f t="shared" si="68"/>
        <v>101.17</v>
      </c>
      <c r="O87" s="13">
        <f t="shared" si="69"/>
        <v>-1.2999999999999999E-3</v>
      </c>
      <c r="P87">
        <v>99.82</v>
      </c>
      <c r="Q87">
        <f t="shared" si="70"/>
        <v>99.596999999999994</v>
      </c>
      <c r="R87" s="13">
        <f t="shared" si="71"/>
        <v>2.3E-3</v>
      </c>
      <c r="S87">
        <v>75.7</v>
      </c>
      <c r="T87">
        <f t="shared" si="72"/>
        <v>79.867000000000004</v>
      </c>
      <c r="U87" s="13">
        <f t="shared" si="73"/>
        <v>-1.6500000000000001E-2</v>
      </c>
      <c r="V87">
        <v>341532</v>
      </c>
      <c r="W87" s="18">
        <f t="shared" si="74"/>
        <v>340365</v>
      </c>
      <c r="X87" s="38">
        <f t="shared" si="75"/>
        <v>2.4400000000000002E-2</v>
      </c>
      <c r="Y87" s="29">
        <f t="shared" si="76"/>
        <v>5.1999999999999998E-3</v>
      </c>
      <c r="Z87">
        <v>74.109930000000006</v>
      </c>
      <c r="AA87" s="18">
        <f t="shared" si="77"/>
        <v>74.040000000000006</v>
      </c>
      <c r="AB87" s="38">
        <f t="shared" si="78"/>
        <v>-4.0000000000000001E-3</v>
      </c>
      <c r="AC87" s="13">
        <f t="shared" si="79"/>
        <v>2.2000000000000001E-3</v>
      </c>
      <c r="AD87" s="30">
        <f t="shared" si="85"/>
        <v>74.95</v>
      </c>
      <c r="AE87" s="11">
        <f t="shared" si="88"/>
        <v>1</v>
      </c>
      <c r="AF87" s="31">
        <f t="shared" si="80"/>
        <v>90.48</v>
      </c>
    </row>
    <row r="88" spans="1:32" x14ac:dyDescent="0.25">
      <c r="A88" s="5">
        <v>40724</v>
      </c>
      <c r="B88" s="10">
        <v>71.5</v>
      </c>
      <c r="C88" s="18">
        <f t="shared" si="81"/>
        <v>72.2</v>
      </c>
      <c r="D88" s="38">
        <f t="shared" si="82"/>
        <v>-2.1700000000000001E-2</v>
      </c>
      <c r="E88" s="29">
        <f t="shared" si="83"/>
        <v>1.04E-2</v>
      </c>
      <c r="F88">
        <v>1204140</v>
      </c>
      <c r="G88">
        <f t="shared" si="86"/>
        <v>1189431</v>
      </c>
      <c r="H88" s="38">
        <f t="shared" si="84"/>
        <v>5.2600000000000001E-2</v>
      </c>
      <c r="I88" s="13">
        <f t="shared" si="87"/>
        <v>3.9699999999999999E-2</v>
      </c>
      <c r="J88">
        <v>-0.15</v>
      </c>
      <c r="K88">
        <f t="shared" si="66"/>
        <v>99.85</v>
      </c>
      <c r="L88" s="29">
        <f t="shared" si="67"/>
        <v>-2.0000000000000001E-4</v>
      </c>
      <c r="M88">
        <v>1.21</v>
      </c>
      <c r="N88">
        <f t="shared" si="68"/>
        <v>101.21</v>
      </c>
      <c r="O88" s="13">
        <f t="shared" si="69"/>
        <v>-8.9999999999999998E-4</v>
      </c>
      <c r="P88">
        <v>99.6</v>
      </c>
      <c r="Q88">
        <f t="shared" si="70"/>
        <v>99.367000000000004</v>
      </c>
      <c r="R88" s="13">
        <f t="shared" si="71"/>
        <v>2.3999999999999998E-3</v>
      </c>
      <c r="S88">
        <v>82</v>
      </c>
      <c r="T88">
        <f t="shared" si="72"/>
        <v>82.132999999999996</v>
      </c>
      <c r="U88" s="13">
        <f t="shared" si="73"/>
        <v>-6.4000000000000003E-3</v>
      </c>
      <c r="V88">
        <v>339352</v>
      </c>
      <c r="W88" s="18">
        <f t="shared" si="74"/>
        <v>339141</v>
      </c>
      <c r="X88" s="38">
        <f t="shared" si="75"/>
        <v>2.7799999999999998E-2</v>
      </c>
      <c r="Y88" s="29">
        <f t="shared" si="76"/>
        <v>5.0000000000000001E-3</v>
      </c>
      <c r="Z88">
        <v>74.122810000000001</v>
      </c>
      <c r="AA88" s="18">
        <f t="shared" si="77"/>
        <v>73.900000000000006</v>
      </c>
      <c r="AB88" s="38">
        <f t="shared" si="78"/>
        <v>-1.03E-2</v>
      </c>
      <c r="AC88" s="13">
        <f t="shared" si="79"/>
        <v>1.9E-3</v>
      </c>
      <c r="AD88" s="30">
        <f t="shared" si="85"/>
        <v>95.74</v>
      </c>
      <c r="AE88" s="11">
        <f t="shared" si="88"/>
        <v>3</v>
      </c>
      <c r="AF88" s="31">
        <f t="shared" si="80"/>
        <v>99.02</v>
      </c>
    </row>
    <row r="89" spans="1:32" x14ac:dyDescent="0.25">
      <c r="A89" s="5">
        <v>40694</v>
      </c>
      <c r="B89" s="10">
        <v>74.3</v>
      </c>
      <c r="C89" s="18">
        <f t="shared" si="81"/>
        <v>73.2</v>
      </c>
      <c r="D89" s="38">
        <f t="shared" si="82"/>
        <v>3.6799999999999999E-2</v>
      </c>
      <c r="E89" s="29">
        <f t="shared" si="83"/>
        <v>-1.6199999999999999E-2</v>
      </c>
      <c r="F89">
        <v>1196085</v>
      </c>
      <c r="G89">
        <f t="shared" si="86"/>
        <v>1177951</v>
      </c>
      <c r="H89" s="38">
        <f t="shared" si="84"/>
        <v>5.5800000000000002E-2</v>
      </c>
      <c r="I89" s="13">
        <f t="shared" si="87"/>
        <v>4.1200000000000001E-2</v>
      </c>
      <c r="J89">
        <v>-0.17</v>
      </c>
      <c r="K89">
        <f t="shared" si="66"/>
        <v>99.83</v>
      </c>
      <c r="L89" s="29">
        <f t="shared" si="67"/>
        <v>-1E-4</v>
      </c>
      <c r="M89">
        <v>1.45</v>
      </c>
      <c r="N89">
        <f t="shared" si="68"/>
        <v>101.45</v>
      </c>
      <c r="O89" s="13">
        <f t="shared" si="69"/>
        <v>1E-4</v>
      </c>
      <c r="P89">
        <v>99.37</v>
      </c>
      <c r="Q89">
        <f t="shared" si="70"/>
        <v>99.137</v>
      </c>
      <c r="R89" s="13">
        <f t="shared" si="71"/>
        <v>2.3E-3</v>
      </c>
      <c r="S89">
        <v>81.900000000000006</v>
      </c>
      <c r="T89">
        <f t="shared" si="72"/>
        <v>82.3</v>
      </c>
      <c r="U89" s="13">
        <f t="shared" si="73"/>
        <v>-9.4000000000000004E-3</v>
      </c>
      <c r="V89">
        <v>340212</v>
      </c>
      <c r="W89" s="18">
        <f t="shared" si="74"/>
        <v>337538</v>
      </c>
      <c r="X89" s="38">
        <f t="shared" si="75"/>
        <v>3.1699999999999999E-2</v>
      </c>
      <c r="Y89" s="29">
        <f t="shared" si="76"/>
        <v>7.9000000000000008E-3</v>
      </c>
      <c r="Z89">
        <v>73.888319999999993</v>
      </c>
      <c r="AA89" s="18">
        <f t="shared" si="77"/>
        <v>73.81</v>
      </c>
      <c r="AB89" s="38">
        <f t="shared" si="78"/>
        <v>-1.32E-2</v>
      </c>
      <c r="AC89" s="13">
        <f t="shared" si="79"/>
        <v>-1.9E-3</v>
      </c>
      <c r="AD89" s="30">
        <f t="shared" si="85"/>
        <v>100.74</v>
      </c>
      <c r="AE89" s="11">
        <f t="shared" si="88"/>
        <v>3</v>
      </c>
      <c r="AF89" s="31">
        <f t="shared" si="80"/>
        <v>100.81</v>
      </c>
    </row>
    <row r="90" spans="1:32" x14ac:dyDescent="0.25">
      <c r="A90" s="5">
        <v>40663</v>
      </c>
      <c r="B90" s="10">
        <v>69.8</v>
      </c>
      <c r="C90" s="18">
        <f t="shared" si="81"/>
        <v>69.2</v>
      </c>
      <c r="D90" s="38">
        <f t="shared" si="82"/>
        <v>2.06E-2</v>
      </c>
      <c r="E90" s="29">
        <f t="shared" si="83"/>
        <v>-2.3099999999999999E-2</v>
      </c>
      <c r="F90">
        <v>1168067</v>
      </c>
      <c r="G90">
        <f t="shared" si="86"/>
        <v>1160256</v>
      </c>
      <c r="H90" s="38">
        <f t="shared" si="84"/>
        <v>5.16E-2</v>
      </c>
      <c r="I90" s="13">
        <f t="shared" si="87"/>
        <v>3.9800000000000002E-2</v>
      </c>
      <c r="J90">
        <v>0.06</v>
      </c>
      <c r="K90">
        <f t="shared" si="66"/>
        <v>100.06</v>
      </c>
      <c r="L90" s="29">
        <f t="shared" si="67"/>
        <v>8.0000000000000004E-4</v>
      </c>
      <c r="M90">
        <v>1.58</v>
      </c>
      <c r="N90">
        <f t="shared" si="68"/>
        <v>101.58</v>
      </c>
      <c r="O90" s="13">
        <f t="shared" si="69"/>
        <v>2.9999999999999997E-4</v>
      </c>
      <c r="P90">
        <v>99.13</v>
      </c>
      <c r="Q90">
        <f t="shared" si="70"/>
        <v>98.92</v>
      </c>
      <c r="R90" s="13">
        <f t="shared" si="71"/>
        <v>2.3E-3</v>
      </c>
      <c r="S90">
        <v>82.5</v>
      </c>
      <c r="T90">
        <f t="shared" si="72"/>
        <v>83.966999999999999</v>
      </c>
      <c r="U90" s="13">
        <f t="shared" si="73"/>
        <v>3.5999999999999999E-3</v>
      </c>
      <c r="V90">
        <v>337858</v>
      </c>
      <c r="W90" s="18">
        <f t="shared" si="74"/>
        <v>334987</v>
      </c>
      <c r="X90" s="38">
        <f t="shared" si="75"/>
        <v>3.4200000000000001E-2</v>
      </c>
      <c r="Y90" s="29">
        <f t="shared" si="76"/>
        <v>7.7000000000000002E-3</v>
      </c>
      <c r="Z90">
        <v>73.677599999999998</v>
      </c>
      <c r="AA90" s="18">
        <f t="shared" si="77"/>
        <v>73.97</v>
      </c>
      <c r="AB90" s="38">
        <f t="shared" si="78"/>
        <v>-1.04E-2</v>
      </c>
      <c r="AC90" s="13">
        <f t="shared" si="79"/>
        <v>-5.8999999999999999E-3</v>
      </c>
      <c r="AD90" s="30">
        <f t="shared" si="85"/>
        <v>100.57</v>
      </c>
      <c r="AE90" s="11">
        <f t="shared" si="88"/>
        <v>3</v>
      </c>
      <c r="AF90" s="31">
        <f t="shared" si="80"/>
        <v>107.16</v>
      </c>
    </row>
    <row r="91" spans="1:32" x14ac:dyDescent="0.25">
      <c r="A91" s="5">
        <v>40633</v>
      </c>
      <c r="B91" s="10">
        <v>67.5</v>
      </c>
      <c r="C91" s="18">
        <f t="shared" si="81"/>
        <v>70</v>
      </c>
      <c r="D91" s="38">
        <f t="shared" si="82"/>
        <v>2.3400000000000001E-2</v>
      </c>
      <c r="E91" s="29">
        <f t="shared" si="83"/>
        <v>-1.6899999999999998E-2</v>
      </c>
      <c r="F91">
        <v>1169701</v>
      </c>
      <c r="G91">
        <f t="shared" si="86"/>
        <v>1146972</v>
      </c>
      <c r="H91" s="38">
        <f t="shared" si="84"/>
        <v>5.0500000000000003E-2</v>
      </c>
      <c r="I91" s="13">
        <f t="shared" si="87"/>
        <v>3.73E-2</v>
      </c>
      <c r="J91">
        <v>-0.08</v>
      </c>
      <c r="K91">
        <f t="shared" si="66"/>
        <v>99.92</v>
      </c>
      <c r="L91" s="29">
        <f t="shared" si="67"/>
        <v>2.9999999999999997E-4</v>
      </c>
      <c r="M91">
        <v>1.48</v>
      </c>
      <c r="N91">
        <f t="shared" si="68"/>
        <v>101.48</v>
      </c>
      <c r="O91" s="13">
        <f t="shared" si="69"/>
        <v>5.9999999999999995E-4</v>
      </c>
      <c r="P91">
        <v>98.91</v>
      </c>
      <c r="Q91">
        <f t="shared" si="70"/>
        <v>98.66</v>
      </c>
      <c r="R91" s="13">
        <f t="shared" si="71"/>
        <v>1.9E-3</v>
      </c>
      <c r="S91">
        <v>82.5</v>
      </c>
      <c r="T91">
        <f t="shared" si="72"/>
        <v>83.733000000000004</v>
      </c>
      <c r="U91" s="13">
        <f t="shared" si="73"/>
        <v>9.5999999999999992E-3</v>
      </c>
      <c r="V91">
        <v>334544</v>
      </c>
      <c r="W91" s="18">
        <f t="shared" si="74"/>
        <v>332270</v>
      </c>
      <c r="X91" s="38">
        <f t="shared" si="75"/>
        <v>3.6999999999999998E-2</v>
      </c>
      <c r="Y91" s="29">
        <f t="shared" si="76"/>
        <v>7.9000000000000008E-3</v>
      </c>
      <c r="Z91">
        <v>73.868570000000005</v>
      </c>
      <c r="AA91" s="18">
        <f t="shared" si="77"/>
        <v>74.34</v>
      </c>
      <c r="AB91" s="38">
        <f t="shared" si="78"/>
        <v>-3.0999999999999999E-3</v>
      </c>
      <c r="AC91" s="13">
        <f t="shared" si="79"/>
        <v>-6.0000000000000001E-3</v>
      </c>
      <c r="AD91" s="30">
        <f t="shared" si="85"/>
        <v>101.13</v>
      </c>
      <c r="AE91" s="11">
        <f t="shared" si="88"/>
        <v>3</v>
      </c>
      <c r="AF91" s="31">
        <f t="shared" si="80"/>
        <v>110.57</v>
      </c>
    </row>
    <row r="92" spans="1:32" x14ac:dyDescent="0.25">
      <c r="A92" s="5">
        <v>40602</v>
      </c>
      <c r="B92" s="10">
        <v>77.5</v>
      </c>
      <c r="C92" s="18">
        <f t="shared" si="81"/>
        <v>76.7</v>
      </c>
      <c r="D92" s="38">
        <f t="shared" si="82"/>
        <v>0.1181</v>
      </c>
      <c r="E92" s="29">
        <f t="shared" si="83"/>
        <v>2.7900000000000001E-2</v>
      </c>
      <c r="F92">
        <v>1143001</v>
      </c>
      <c r="G92">
        <f t="shared" si="86"/>
        <v>1130028</v>
      </c>
      <c r="H92" s="38">
        <f t="shared" si="84"/>
        <v>4.2700000000000002E-2</v>
      </c>
      <c r="I92" s="13">
        <f t="shared" si="87"/>
        <v>3.2300000000000002E-2</v>
      </c>
      <c r="J92">
        <v>-0.06</v>
      </c>
      <c r="K92">
        <f t="shared" si="66"/>
        <v>99.94</v>
      </c>
      <c r="L92" s="29">
        <f t="shared" si="67"/>
        <v>0</v>
      </c>
      <c r="M92">
        <v>1.42</v>
      </c>
      <c r="N92">
        <f t="shared" si="68"/>
        <v>101.42</v>
      </c>
      <c r="O92" s="13">
        <f t="shared" si="69"/>
        <v>2.0999999999999999E-3</v>
      </c>
      <c r="P92">
        <v>98.72</v>
      </c>
      <c r="Q92">
        <f t="shared" si="70"/>
        <v>98.46</v>
      </c>
      <c r="R92" s="13">
        <f t="shared" si="71"/>
        <v>1.6999999999999999E-3</v>
      </c>
      <c r="S92">
        <v>86.9</v>
      </c>
      <c r="T92">
        <f t="shared" si="72"/>
        <v>84.667000000000002</v>
      </c>
      <c r="U92" s="13">
        <f t="shared" si="73"/>
        <v>2.1499999999999998E-2</v>
      </c>
      <c r="V92">
        <v>332559</v>
      </c>
      <c r="W92" s="18">
        <f t="shared" si="74"/>
        <v>329962</v>
      </c>
      <c r="X92" s="38">
        <f t="shared" si="75"/>
        <v>3.9300000000000002E-2</v>
      </c>
      <c r="Y92" s="29">
        <f t="shared" si="76"/>
        <v>9.7000000000000003E-3</v>
      </c>
      <c r="Z92">
        <v>74.372900000000001</v>
      </c>
      <c r="AA92" s="18">
        <f t="shared" si="77"/>
        <v>74.67</v>
      </c>
      <c r="AB92" s="38">
        <f t="shared" si="78"/>
        <v>6.1999999999999998E-3</v>
      </c>
      <c r="AC92" s="13">
        <f t="shared" si="79"/>
        <v>-2.7000000000000001E-3</v>
      </c>
      <c r="AD92" s="30">
        <f t="shared" si="85"/>
        <v>119.78</v>
      </c>
      <c r="AE92" s="11">
        <f t="shared" si="88"/>
        <v>3</v>
      </c>
      <c r="AF92" s="31">
        <f t="shared" si="80"/>
        <v>108.6</v>
      </c>
    </row>
    <row r="93" spans="1:32" x14ac:dyDescent="0.25">
      <c r="A93" s="5">
        <v>40574</v>
      </c>
      <c r="B93" s="10">
        <v>74.2</v>
      </c>
      <c r="C93" s="18">
        <f t="shared" si="81"/>
        <v>74.3</v>
      </c>
      <c r="D93" s="38">
        <f t="shared" si="82"/>
        <v>6.2899999999999998E-2</v>
      </c>
      <c r="E93" s="29">
        <f t="shared" si="83"/>
        <v>3.0599999999999999E-2</v>
      </c>
      <c r="F93">
        <v>1128214</v>
      </c>
      <c r="G93">
        <f t="shared" si="86"/>
        <v>1115654</v>
      </c>
      <c r="H93" s="38">
        <f t="shared" si="84"/>
        <v>3.44E-2</v>
      </c>
      <c r="I93" s="13">
        <f t="shared" si="87"/>
        <v>2.6200000000000001E-2</v>
      </c>
      <c r="J93">
        <v>-0.13</v>
      </c>
      <c r="K93">
        <f t="shared" si="66"/>
        <v>99.87</v>
      </c>
      <c r="L93" s="29">
        <f t="shared" si="67"/>
        <v>-1E-4</v>
      </c>
      <c r="M93">
        <v>1.48</v>
      </c>
      <c r="N93">
        <f t="shared" si="68"/>
        <v>101.48</v>
      </c>
      <c r="O93" s="13">
        <f t="shared" si="69"/>
        <v>3.3E-3</v>
      </c>
      <c r="P93">
        <v>98.35</v>
      </c>
      <c r="Q93">
        <f t="shared" si="70"/>
        <v>98.24</v>
      </c>
      <c r="R93" s="13">
        <f t="shared" si="71"/>
        <v>1.4E-3</v>
      </c>
      <c r="S93">
        <v>81.8</v>
      </c>
      <c r="T93">
        <f t="shared" si="72"/>
        <v>83.066999999999993</v>
      </c>
      <c r="U93" s="13">
        <f t="shared" si="73"/>
        <v>2.0500000000000001E-2</v>
      </c>
      <c r="V93">
        <v>329707</v>
      </c>
      <c r="W93" s="18">
        <f t="shared" si="74"/>
        <v>327182</v>
      </c>
      <c r="X93" s="38">
        <f t="shared" si="75"/>
        <v>3.5900000000000001E-2</v>
      </c>
      <c r="Y93" s="29">
        <f t="shared" si="76"/>
        <v>9.7999999999999997E-3</v>
      </c>
      <c r="Z93">
        <v>74.781670000000005</v>
      </c>
      <c r="AA93" s="18">
        <f t="shared" si="77"/>
        <v>74.8</v>
      </c>
      <c r="AB93" s="38">
        <f t="shared" si="78"/>
        <v>1.5599999999999999E-2</v>
      </c>
      <c r="AC93" s="13">
        <f t="shared" si="79"/>
        <v>5.9999999999999995E-4</v>
      </c>
      <c r="AD93" s="30">
        <f t="shared" si="85"/>
        <v>110.81</v>
      </c>
      <c r="AE93" s="11">
        <f t="shared" si="88"/>
        <v>3</v>
      </c>
      <c r="AF93" s="31">
        <f t="shared" si="80"/>
        <v>96.24</v>
      </c>
    </row>
    <row r="94" spans="1:32" x14ac:dyDescent="0.25">
      <c r="A94" s="5">
        <v>40543</v>
      </c>
      <c r="B94" s="10">
        <v>74.5</v>
      </c>
      <c r="C94" s="18">
        <f t="shared" si="81"/>
        <v>73.8</v>
      </c>
      <c r="D94" s="38">
        <f t="shared" si="82"/>
        <v>-2.12E-2</v>
      </c>
      <c r="E94" s="29">
        <f t="shared" si="83"/>
        <v>2.6100000000000002E-2</v>
      </c>
      <c r="F94">
        <v>1118869</v>
      </c>
      <c r="G94">
        <f t="shared" si="86"/>
        <v>1103298</v>
      </c>
      <c r="H94" s="38">
        <f t="shared" si="84"/>
        <v>2.3699999999999999E-2</v>
      </c>
      <c r="I94" s="13">
        <f t="shared" si="87"/>
        <v>1.7999999999999999E-2</v>
      </c>
      <c r="J94">
        <v>-0.26</v>
      </c>
      <c r="K94">
        <f t="shared" si="66"/>
        <v>99.74</v>
      </c>
      <c r="L94" s="29">
        <f t="shared" si="67"/>
        <v>-1.1000000000000001E-3</v>
      </c>
      <c r="M94">
        <v>1.31</v>
      </c>
      <c r="N94">
        <f t="shared" si="68"/>
        <v>101.31</v>
      </c>
      <c r="O94" s="13">
        <f t="shared" si="69"/>
        <v>1.8E-3</v>
      </c>
      <c r="P94">
        <v>98.31</v>
      </c>
      <c r="Q94">
        <f t="shared" si="70"/>
        <v>98.102999999999994</v>
      </c>
      <c r="R94" s="13">
        <f t="shared" si="71"/>
        <v>1.2999999999999999E-3</v>
      </c>
      <c r="S94">
        <v>85.3</v>
      </c>
      <c r="T94">
        <f t="shared" si="72"/>
        <v>81.332999999999998</v>
      </c>
      <c r="U94" s="13">
        <f t="shared" si="73"/>
        <v>1.3599999999999999E-2</v>
      </c>
      <c r="V94">
        <v>327620</v>
      </c>
      <c r="W94" s="18">
        <f t="shared" si="74"/>
        <v>323913</v>
      </c>
      <c r="X94" s="38">
        <f t="shared" si="75"/>
        <v>2.7199999999999998E-2</v>
      </c>
      <c r="Y94" s="29">
        <f t="shared" si="76"/>
        <v>9.5999999999999992E-3</v>
      </c>
      <c r="Z94">
        <v>74.859960000000001</v>
      </c>
      <c r="AA94" s="18">
        <f t="shared" si="77"/>
        <v>74.75</v>
      </c>
      <c r="AB94" s="38">
        <f t="shared" si="78"/>
        <v>2.29E-2</v>
      </c>
      <c r="AC94" s="13">
        <f t="shared" si="79"/>
        <v>2.8E-3</v>
      </c>
      <c r="AD94" s="30">
        <f t="shared" si="85"/>
        <v>95.22</v>
      </c>
      <c r="AE94" s="11">
        <f t="shared" si="88"/>
        <v>3</v>
      </c>
      <c r="AF94" s="31">
        <f t="shared" si="80"/>
        <v>83.68</v>
      </c>
    </row>
    <row r="95" spans="1:32" x14ac:dyDescent="0.25">
      <c r="A95" s="5">
        <v>40512</v>
      </c>
      <c r="B95" s="10">
        <v>71.599999999999994</v>
      </c>
      <c r="C95" s="18">
        <f t="shared" si="81"/>
        <v>70.599999999999994</v>
      </c>
      <c r="D95" s="38">
        <f t="shared" si="82"/>
        <v>-3.6799999999999999E-2</v>
      </c>
      <c r="E95" s="29">
        <f t="shared" si="83"/>
        <v>9.7999999999999997E-3</v>
      </c>
      <c r="F95">
        <v>1099878</v>
      </c>
      <c r="G95">
        <f t="shared" si="86"/>
        <v>1091792</v>
      </c>
      <c r="H95" s="38">
        <f t="shared" si="84"/>
        <v>1.5100000000000001E-2</v>
      </c>
      <c r="I95" s="13">
        <f t="shared" si="87"/>
        <v>1.03E-2</v>
      </c>
      <c r="J95">
        <v>-0.21</v>
      </c>
      <c r="K95">
        <f t="shared" si="66"/>
        <v>99.79</v>
      </c>
      <c r="L95" s="29">
        <f t="shared" si="67"/>
        <v>-1.1999999999999999E-3</v>
      </c>
      <c r="M95">
        <v>0.77</v>
      </c>
      <c r="N95">
        <f t="shared" si="68"/>
        <v>100.77</v>
      </c>
      <c r="O95" s="13">
        <f t="shared" si="69"/>
        <v>-1.6999999999999999E-3</v>
      </c>
      <c r="P95">
        <v>98.06</v>
      </c>
      <c r="Q95">
        <f t="shared" si="70"/>
        <v>97.95</v>
      </c>
      <c r="R95" s="13">
        <f t="shared" si="71"/>
        <v>1.6000000000000001E-3</v>
      </c>
      <c r="S95">
        <v>82.1</v>
      </c>
      <c r="T95">
        <f t="shared" si="72"/>
        <v>79.433000000000007</v>
      </c>
      <c r="U95" s="13">
        <f t="shared" si="73"/>
        <v>-3.0000000000000001E-3</v>
      </c>
      <c r="V95">
        <v>324218</v>
      </c>
      <c r="W95" s="18">
        <f t="shared" si="74"/>
        <v>320407</v>
      </c>
      <c r="X95" s="38">
        <f t="shared" si="75"/>
        <v>1.29E-2</v>
      </c>
      <c r="Y95" s="29">
        <f t="shared" si="76"/>
        <v>7.3000000000000001E-3</v>
      </c>
      <c r="Z95">
        <v>74.761610000000005</v>
      </c>
      <c r="AA95" s="18">
        <f t="shared" si="77"/>
        <v>74.569999999999993</v>
      </c>
      <c r="AB95" s="38">
        <f t="shared" si="78"/>
        <v>2.6100000000000002E-2</v>
      </c>
      <c r="AC95" s="13">
        <f t="shared" si="79"/>
        <v>5.4999999999999997E-3</v>
      </c>
      <c r="AD95" s="30">
        <f t="shared" si="85"/>
        <v>82.69</v>
      </c>
      <c r="AE95" s="11">
        <f t="shared" si="88"/>
        <v>2</v>
      </c>
      <c r="AF95" s="31">
        <f t="shared" si="80"/>
        <v>76.31</v>
      </c>
    </row>
    <row r="96" spans="1:32" x14ac:dyDescent="0.25">
      <c r="A96" s="5">
        <v>40482</v>
      </c>
      <c r="B96" s="10">
        <v>67.7</v>
      </c>
      <c r="C96" s="18">
        <f t="shared" si="81"/>
        <v>67.8</v>
      </c>
      <c r="D96" s="38">
        <f t="shared" si="82"/>
        <v>-6.6100000000000006E-2</v>
      </c>
      <c r="E96" s="29">
        <f t="shared" si="83"/>
        <v>-1.01E-2</v>
      </c>
      <c r="F96">
        <v>1091147</v>
      </c>
      <c r="G96">
        <f t="shared" si="86"/>
        <v>1083710</v>
      </c>
      <c r="H96" s="38">
        <f t="shared" si="84"/>
        <v>1.5800000000000002E-2</v>
      </c>
      <c r="I96" s="13">
        <f t="shared" si="87"/>
        <v>9.1999999999999998E-3</v>
      </c>
      <c r="J96">
        <v>-7.0000000000000007E-2</v>
      </c>
      <c r="K96">
        <f t="shared" si="66"/>
        <v>99.93</v>
      </c>
      <c r="L96" s="29">
        <f t="shared" si="67"/>
        <v>-1.6000000000000001E-3</v>
      </c>
      <c r="M96">
        <v>0.48</v>
      </c>
      <c r="N96">
        <f t="shared" si="68"/>
        <v>100.48</v>
      </c>
      <c r="O96" s="13">
        <f t="shared" si="69"/>
        <v>-3.0000000000000001E-3</v>
      </c>
      <c r="P96">
        <v>97.94</v>
      </c>
      <c r="Q96">
        <f t="shared" si="70"/>
        <v>97.843000000000004</v>
      </c>
      <c r="R96" s="13">
        <f t="shared" si="71"/>
        <v>2.0999999999999999E-3</v>
      </c>
      <c r="S96">
        <v>76.599999999999994</v>
      </c>
      <c r="T96">
        <f t="shared" si="72"/>
        <v>78.167000000000002</v>
      </c>
      <c r="U96" s="13">
        <f t="shared" si="73"/>
        <v>-1.2E-2</v>
      </c>
      <c r="V96">
        <v>319901</v>
      </c>
      <c r="W96" s="18">
        <f t="shared" si="74"/>
        <v>317476</v>
      </c>
      <c r="X96" s="38">
        <f t="shared" si="75"/>
        <v>2.3E-3</v>
      </c>
      <c r="Y96" s="29">
        <f t="shared" si="76"/>
        <v>3.3999999999999998E-3</v>
      </c>
      <c r="Z96">
        <v>74.640569999999997</v>
      </c>
      <c r="AA96" s="18">
        <f t="shared" si="77"/>
        <v>74.209999999999994</v>
      </c>
      <c r="AB96" s="38">
        <f t="shared" si="78"/>
        <v>2.4899999999999999E-2</v>
      </c>
      <c r="AC96" s="13">
        <f t="shared" si="79"/>
        <v>9.1000000000000004E-3</v>
      </c>
      <c r="AD96" s="30">
        <f t="shared" si="85"/>
        <v>73.12</v>
      </c>
      <c r="AE96" s="11">
        <f t="shared" si="88"/>
        <v>1</v>
      </c>
      <c r="AF96" s="31">
        <f t="shared" si="80"/>
        <v>76.64</v>
      </c>
    </row>
    <row r="97" spans="1:32" x14ac:dyDescent="0.25">
      <c r="A97" s="5">
        <v>40451</v>
      </c>
      <c r="B97" s="10">
        <v>68.2</v>
      </c>
      <c r="C97" s="18">
        <f t="shared" si="81"/>
        <v>68.400000000000006</v>
      </c>
      <c r="D97" s="38">
        <f t="shared" si="82"/>
        <v>-7.0699999999999999E-2</v>
      </c>
      <c r="E97" s="29">
        <f t="shared" si="83"/>
        <v>-3.27E-2</v>
      </c>
      <c r="F97">
        <v>1084351</v>
      </c>
      <c r="G97">
        <f t="shared" si="86"/>
        <v>1078551</v>
      </c>
      <c r="H97" s="38">
        <f t="shared" si="84"/>
        <v>2.2100000000000002E-2</v>
      </c>
      <c r="I97" s="13">
        <f t="shared" si="87"/>
        <v>1.61E-2</v>
      </c>
      <c r="J97">
        <v>-0.08</v>
      </c>
      <c r="K97">
        <f t="shared" si="66"/>
        <v>99.92</v>
      </c>
      <c r="L97" s="29">
        <f t="shared" si="67"/>
        <v>-6.9999999999999999E-4</v>
      </c>
      <c r="M97">
        <v>0.78</v>
      </c>
      <c r="N97">
        <f t="shared" si="68"/>
        <v>100.78</v>
      </c>
      <c r="O97" s="13">
        <f t="shared" si="69"/>
        <v>-1.8E-3</v>
      </c>
      <c r="P97">
        <v>97.85</v>
      </c>
      <c r="Q97">
        <f t="shared" si="70"/>
        <v>97.722999999999999</v>
      </c>
      <c r="R97" s="13">
        <f t="shared" si="71"/>
        <v>2.5000000000000001E-3</v>
      </c>
      <c r="S97">
        <v>79.599999999999994</v>
      </c>
      <c r="T97">
        <f t="shared" si="72"/>
        <v>78.132999999999996</v>
      </c>
      <c r="U97" s="13">
        <f t="shared" si="73"/>
        <v>-1.8100000000000002E-2</v>
      </c>
      <c r="V97">
        <v>317103</v>
      </c>
      <c r="W97" s="18">
        <f t="shared" si="74"/>
        <v>315833</v>
      </c>
      <c r="X97" s="38">
        <f t="shared" si="75"/>
        <v>4.5999999999999999E-3</v>
      </c>
      <c r="Y97" s="29">
        <f t="shared" si="76"/>
        <v>-1.1000000000000001E-3</v>
      </c>
      <c r="Z97">
        <v>74.320239999999998</v>
      </c>
      <c r="AA97" s="18">
        <f t="shared" si="77"/>
        <v>73.650000000000006</v>
      </c>
      <c r="AB97" s="38">
        <f t="shared" si="78"/>
        <v>2.1600000000000001E-2</v>
      </c>
      <c r="AC97" s="13">
        <f t="shared" si="79"/>
        <v>1.01E-2</v>
      </c>
      <c r="AD97" s="30">
        <f t="shared" si="85"/>
        <v>73.11</v>
      </c>
      <c r="AE97" s="11">
        <f t="shared" si="88"/>
        <v>1</v>
      </c>
      <c r="AF97" s="31">
        <f t="shared" si="80"/>
        <v>83.17</v>
      </c>
    </row>
    <row r="98" spans="1:32" x14ac:dyDescent="0.25">
      <c r="A98" s="5">
        <v>40421</v>
      </c>
      <c r="B98" s="10">
        <v>68.900000000000006</v>
      </c>
      <c r="C98" s="18">
        <f t="shared" si="81"/>
        <v>68.599999999999994</v>
      </c>
      <c r="D98" s="38">
        <f t="shared" si="82"/>
        <v>-7.0499999999999993E-2</v>
      </c>
      <c r="E98" s="29">
        <f t="shared" si="83"/>
        <v>-2.1499999999999998E-2</v>
      </c>
      <c r="F98">
        <v>1075632</v>
      </c>
      <c r="G98">
        <f t="shared" si="86"/>
        <v>1077722</v>
      </c>
      <c r="H98" s="38">
        <f t="shared" si="84"/>
        <v>3.1699999999999999E-2</v>
      </c>
      <c r="I98" s="13">
        <f t="shared" si="87"/>
        <v>2.5499999999999998E-2</v>
      </c>
      <c r="J98">
        <v>0.16</v>
      </c>
      <c r="K98">
        <f t="shared" si="66"/>
        <v>100.16</v>
      </c>
      <c r="L98" s="29">
        <f t="shared" si="67"/>
        <v>2.9999999999999997E-4</v>
      </c>
      <c r="M98">
        <v>1.28</v>
      </c>
      <c r="N98">
        <f t="shared" si="68"/>
        <v>101.28</v>
      </c>
      <c r="O98" s="13">
        <f t="shared" si="69"/>
        <v>8.9999999999999998E-4</v>
      </c>
      <c r="P98">
        <v>97.74</v>
      </c>
      <c r="Q98">
        <f t="shared" si="70"/>
        <v>97.486999999999995</v>
      </c>
      <c r="R98" s="13">
        <f t="shared" si="71"/>
        <v>2.0999999999999999E-3</v>
      </c>
      <c r="S98">
        <v>78.3</v>
      </c>
      <c r="T98">
        <f t="shared" si="72"/>
        <v>80.132999999999996</v>
      </c>
      <c r="U98" s="13">
        <f t="shared" si="73"/>
        <v>-5.4000000000000003E-3</v>
      </c>
      <c r="V98">
        <v>315424</v>
      </c>
      <c r="W98" s="18">
        <f t="shared" si="74"/>
        <v>315335</v>
      </c>
      <c r="X98" s="38">
        <f t="shared" si="75"/>
        <v>1.34E-2</v>
      </c>
      <c r="Y98" s="29">
        <f t="shared" si="76"/>
        <v>-5.9999999999999995E-4</v>
      </c>
      <c r="Z98">
        <v>73.666780000000003</v>
      </c>
      <c r="AA98" s="18">
        <f t="shared" si="77"/>
        <v>73.08</v>
      </c>
      <c r="AB98" s="38">
        <f t="shared" si="78"/>
        <v>2.0500000000000001E-2</v>
      </c>
      <c r="AC98" s="13">
        <f t="shared" si="79"/>
        <v>7.6E-3</v>
      </c>
      <c r="AD98" s="30">
        <f t="shared" si="85"/>
        <v>83.7</v>
      </c>
      <c r="AE98" s="11">
        <f t="shared" si="88"/>
        <v>2</v>
      </c>
      <c r="AF98" s="31">
        <f t="shared" si="80"/>
        <v>96.44</v>
      </c>
    </row>
    <row r="99" spans="1:32" x14ac:dyDescent="0.25">
      <c r="A99" s="5">
        <v>40390</v>
      </c>
      <c r="B99" s="10">
        <v>67.8</v>
      </c>
      <c r="C99" s="18">
        <f t="shared" si="81"/>
        <v>69.900000000000006</v>
      </c>
      <c r="D99" s="38">
        <f t="shared" si="82"/>
        <v>-5.4100000000000002E-2</v>
      </c>
      <c r="E99" s="29">
        <f t="shared" si="83"/>
        <v>-1.2200000000000001E-2</v>
      </c>
      <c r="F99">
        <v>1075669</v>
      </c>
      <c r="G99">
        <f t="shared" si="86"/>
        <v>1075598</v>
      </c>
      <c r="H99" s="38">
        <f t="shared" si="84"/>
        <v>3.6400000000000002E-2</v>
      </c>
      <c r="I99" s="13">
        <f t="shared" si="87"/>
        <v>2.8899999999999999E-2</v>
      </c>
      <c r="J99">
        <v>0.28999999999999998</v>
      </c>
      <c r="K99">
        <f t="shared" si="66"/>
        <v>100.29</v>
      </c>
      <c r="L99" s="29">
        <f t="shared" si="67"/>
        <v>1.6999999999999999E-3</v>
      </c>
      <c r="M99">
        <v>1.38</v>
      </c>
      <c r="N99">
        <f t="shared" si="68"/>
        <v>101.38</v>
      </c>
      <c r="O99" s="13">
        <f t="shared" si="69"/>
        <v>1.5E-3</v>
      </c>
      <c r="P99">
        <v>97.58</v>
      </c>
      <c r="Q99">
        <f t="shared" si="70"/>
        <v>97.23</v>
      </c>
      <c r="R99" s="13">
        <f t="shared" si="71"/>
        <v>1.5E-3</v>
      </c>
      <c r="S99">
        <v>76.5</v>
      </c>
      <c r="T99">
        <f t="shared" si="72"/>
        <v>81.033000000000001</v>
      </c>
      <c r="U99" s="13">
        <f t="shared" si="73"/>
        <v>-2.8E-3</v>
      </c>
      <c r="V99">
        <v>314973</v>
      </c>
      <c r="W99" s="18">
        <f t="shared" si="74"/>
        <v>316339</v>
      </c>
      <c r="X99" s="38">
        <f t="shared" si="75"/>
        <v>2.5000000000000001E-2</v>
      </c>
      <c r="Y99" s="29">
        <f t="shared" si="76"/>
        <v>5.1000000000000004E-3</v>
      </c>
      <c r="Z99">
        <v>72.957210000000003</v>
      </c>
      <c r="AA99" s="18">
        <f t="shared" si="77"/>
        <v>72.67</v>
      </c>
      <c r="AB99" s="38">
        <f t="shared" si="78"/>
        <v>2.29E-2</v>
      </c>
      <c r="AC99" s="13">
        <f t="shared" si="79"/>
        <v>4.5999999999999999E-3</v>
      </c>
      <c r="AD99" s="30">
        <f t="shared" si="85"/>
        <v>92.69</v>
      </c>
      <c r="AE99" s="11">
        <f t="shared" si="88"/>
        <v>3</v>
      </c>
      <c r="AF99" s="31">
        <f t="shared" si="80"/>
        <v>104.87</v>
      </c>
    </row>
    <row r="100" spans="1:32" x14ac:dyDescent="0.25">
      <c r="A100" s="5">
        <v>40359</v>
      </c>
      <c r="B100" s="10">
        <v>76</v>
      </c>
      <c r="C100" s="18">
        <f t="shared" si="81"/>
        <v>75.400000000000006</v>
      </c>
      <c r="D100" s="38">
        <f t="shared" si="82"/>
        <v>5.8999999999999997E-2</v>
      </c>
      <c r="E100" s="29">
        <f t="shared" si="83"/>
        <v>8.2000000000000007E-3</v>
      </c>
      <c r="F100">
        <v>1081864</v>
      </c>
      <c r="G100">
        <f t="shared" si="86"/>
        <v>1066865</v>
      </c>
      <c r="H100" s="38">
        <f t="shared" si="84"/>
        <v>0.04</v>
      </c>
      <c r="I100" s="13">
        <f t="shared" si="87"/>
        <v>2.8299999999999999E-2</v>
      </c>
      <c r="J100">
        <v>0.56999999999999995</v>
      </c>
      <c r="K100">
        <f t="shared" si="66"/>
        <v>100.57</v>
      </c>
      <c r="L100" s="29">
        <f t="shared" si="67"/>
        <v>2E-3</v>
      </c>
      <c r="M100">
        <v>1.34</v>
      </c>
      <c r="N100">
        <f t="shared" si="68"/>
        <v>101.34</v>
      </c>
      <c r="O100" s="13">
        <f t="shared" si="69"/>
        <v>2E-3</v>
      </c>
      <c r="P100">
        <v>97.14</v>
      </c>
      <c r="Q100">
        <f t="shared" si="70"/>
        <v>96.992999999999995</v>
      </c>
      <c r="R100" s="13">
        <f t="shared" si="71"/>
        <v>8.0000000000000004E-4</v>
      </c>
      <c r="S100">
        <v>85.6</v>
      </c>
      <c r="T100">
        <f t="shared" si="72"/>
        <v>82.533000000000001</v>
      </c>
      <c r="U100" s="13">
        <f t="shared" si="73"/>
        <v>3.0999999999999999E-3</v>
      </c>
      <c r="V100">
        <v>315608</v>
      </c>
      <c r="W100" s="18">
        <f t="shared" si="74"/>
        <v>316732</v>
      </c>
      <c r="X100" s="38">
        <f t="shared" si="75"/>
        <v>2.8299999999999999E-2</v>
      </c>
      <c r="Y100" s="29">
        <f t="shared" si="76"/>
        <v>5.4999999999999997E-3</v>
      </c>
      <c r="Z100">
        <v>72.604879999999994</v>
      </c>
      <c r="AA100" s="18">
        <f t="shared" si="77"/>
        <v>72.41</v>
      </c>
      <c r="AB100" s="38">
        <f t="shared" si="78"/>
        <v>2.6700000000000002E-2</v>
      </c>
      <c r="AC100" s="13">
        <f t="shared" si="79"/>
        <v>5.1000000000000004E-3</v>
      </c>
      <c r="AD100" s="30">
        <f t="shared" si="85"/>
        <v>112.92</v>
      </c>
      <c r="AE100" s="11">
        <f t="shared" si="88"/>
        <v>3</v>
      </c>
      <c r="AF100" s="31">
        <f t="shared" si="80"/>
        <v>108.33</v>
      </c>
    </row>
    <row r="101" spans="1:32" x14ac:dyDescent="0.25">
      <c r="A101" s="5">
        <v>40329</v>
      </c>
      <c r="B101" s="10">
        <v>73.599999999999994</v>
      </c>
      <c r="C101" s="18">
        <f t="shared" si="81"/>
        <v>73.3</v>
      </c>
      <c r="D101" s="38">
        <f t="shared" si="82"/>
        <v>7.4800000000000005E-2</v>
      </c>
      <c r="E101" s="29">
        <f t="shared" si="83"/>
        <v>-2.3E-3</v>
      </c>
      <c r="F101">
        <v>1069262</v>
      </c>
      <c r="G101">
        <f t="shared" si="86"/>
        <v>1055195</v>
      </c>
      <c r="H101" s="38">
        <f t="shared" si="84"/>
        <v>4.0899999999999999E-2</v>
      </c>
      <c r="I101" s="13">
        <f t="shared" si="87"/>
        <v>2.9499999999999998E-2</v>
      </c>
      <c r="J101">
        <v>0.21</v>
      </c>
      <c r="K101">
        <f t="shared" si="66"/>
        <v>100.21</v>
      </c>
      <c r="L101" s="29">
        <f t="shared" si="67"/>
        <v>1.8E-3</v>
      </c>
      <c r="M101">
        <v>1</v>
      </c>
      <c r="N101">
        <f t="shared" si="68"/>
        <v>101</v>
      </c>
      <c r="O101" s="13">
        <f t="shared" si="69"/>
        <v>1.6999999999999999E-3</v>
      </c>
      <c r="P101">
        <v>96.97</v>
      </c>
      <c r="Q101">
        <f t="shared" si="70"/>
        <v>96.882999999999996</v>
      </c>
      <c r="R101" s="13">
        <f t="shared" si="71"/>
        <v>5.9999999999999995E-4</v>
      </c>
      <c r="S101">
        <v>81</v>
      </c>
      <c r="T101">
        <f t="shared" si="72"/>
        <v>81.466999999999999</v>
      </c>
      <c r="U101" s="13">
        <f t="shared" si="73"/>
        <v>4.7999999999999996E-3</v>
      </c>
      <c r="V101">
        <v>318437</v>
      </c>
      <c r="W101" s="18">
        <f t="shared" si="74"/>
        <v>314385</v>
      </c>
      <c r="X101" s="38">
        <f t="shared" si="75"/>
        <v>2.58E-2</v>
      </c>
      <c r="Y101" s="29">
        <f t="shared" si="76"/>
        <v>8.0000000000000002E-3</v>
      </c>
      <c r="Z101">
        <v>72.449389999999994</v>
      </c>
      <c r="AA101" s="18">
        <f t="shared" si="77"/>
        <v>72.09</v>
      </c>
      <c r="AB101" s="38">
        <f t="shared" si="78"/>
        <v>2.87E-2</v>
      </c>
      <c r="AC101" s="13">
        <f t="shared" si="79"/>
        <v>8.0000000000000002E-3</v>
      </c>
      <c r="AD101" s="30">
        <f t="shared" si="85"/>
        <v>109.01</v>
      </c>
      <c r="AE101" s="11">
        <f t="shared" si="88"/>
        <v>3</v>
      </c>
      <c r="AF101" s="31">
        <f t="shared" si="80"/>
        <v>104.71</v>
      </c>
    </row>
    <row r="102" spans="1:32" x14ac:dyDescent="0.25">
      <c r="A102" s="5">
        <v>40298</v>
      </c>
      <c r="B102" s="10">
        <v>72.2</v>
      </c>
      <c r="C102" s="18">
        <f t="shared" si="81"/>
        <v>72.599999999999994</v>
      </c>
      <c r="D102" s="38">
        <f t="shared" si="82"/>
        <v>1.8200000000000001E-2</v>
      </c>
      <c r="E102" s="29">
        <f t="shared" si="83"/>
        <v>-5.8999999999999999E-3</v>
      </c>
      <c r="F102">
        <v>1049470</v>
      </c>
      <c r="G102">
        <f t="shared" si="86"/>
        <v>1044563</v>
      </c>
      <c r="H102" s="38">
        <f t="shared" si="84"/>
        <v>4.0899999999999999E-2</v>
      </c>
      <c r="I102" s="13">
        <f t="shared" si="87"/>
        <v>3.2300000000000002E-2</v>
      </c>
      <c r="J102">
        <v>0.05</v>
      </c>
      <c r="K102">
        <f t="shared" si="66"/>
        <v>100.05</v>
      </c>
      <c r="L102" s="29">
        <f t="shared" si="67"/>
        <v>1.1999999999999999E-3</v>
      </c>
      <c r="M102">
        <v>0.92</v>
      </c>
      <c r="N102">
        <f t="shared" si="68"/>
        <v>100.92</v>
      </c>
      <c r="O102" s="13">
        <f t="shared" si="69"/>
        <v>1.1999999999999999E-3</v>
      </c>
      <c r="P102">
        <v>96.87</v>
      </c>
      <c r="Q102">
        <f t="shared" si="70"/>
        <v>96.796999999999997</v>
      </c>
      <c r="R102" s="13">
        <f t="shared" si="71"/>
        <v>2.0000000000000001E-4</v>
      </c>
      <c r="S102">
        <v>81</v>
      </c>
      <c r="T102">
        <f t="shared" si="72"/>
        <v>81.733000000000004</v>
      </c>
      <c r="U102" s="13">
        <f t="shared" si="73"/>
        <v>2.4199999999999999E-2</v>
      </c>
      <c r="V102">
        <v>316150</v>
      </c>
      <c r="W102" s="18">
        <f t="shared" si="74"/>
        <v>311156</v>
      </c>
      <c r="X102" s="38">
        <f t="shared" si="75"/>
        <v>2.3699999999999999E-2</v>
      </c>
      <c r="Y102" s="29">
        <f t="shared" si="76"/>
        <v>7.6E-3</v>
      </c>
      <c r="Z102">
        <v>72.163929999999993</v>
      </c>
      <c r="AA102" s="18">
        <f t="shared" si="77"/>
        <v>71.61</v>
      </c>
      <c r="AB102" s="38">
        <f t="shared" si="78"/>
        <v>2.9899999999999999E-2</v>
      </c>
      <c r="AC102" s="13">
        <f t="shared" si="79"/>
        <v>9.9000000000000008E-3</v>
      </c>
      <c r="AD102" s="30">
        <f t="shared" si="85"/>
        <v>103.06</v>
      </c>
      <c r="AE102" s="11">
        <f t="shared" si="88"/>
        <v>3</v>
      </c>
      <c r="AF102" s="31">
        <f t="shared" si="80"/>
        <v>105.91</v>
      </c>
    </row>
    <row r="103" spans="1:32" x14ac:dyDescent="0.25">
      <c r="A103" s="5">
        <v>40268</v>
      </c>
      <c r="B103" s="10">
        <v>73.599999999999994</v>
      </c>
      <c r="C103" s="18">
        <f t="shared" si="81"/>
        <v>73.599999999999994</v>
      </c>
      <c r="D103" s="38">
        <f t="shared" si="82"/>
        <v>2.7900000000000001E-2</v>
      </c>
      <c r="E103" s="29">
        <f t="shared" si="83"/>
        <v>1.0999999999999999E-2</v>
      </c>
      <c r="F103">
        <v>1046852</v>
      </c>
      <c r="G103">
        <f t="shared" si="86"/>
        <v>1037790</v>
      </c>
      <c r="H103" s="38">
        <f t="shared" si="84"/>
        <v>4.3900000000000002E-2</v>
      </c>
      <c r="I103" s="13">
        <f t="shared" si="87"/>
        <v>3.3000000000000002E-2</v>
      </c>
      <c r="J103">
        <v>-0.38</v>
      </c>
      <c r="K103">
        <f t="shared" si="66"/>
        <v>99.62</v>
      </c>
      <c r="L103" s="29">
        <f t="shared" si="67"/>
        <v>4.0000000000000002E-4</v>
      </c>
      <c r="M103">
        <v>0.72</v>
      </c>
      <c r="N103">
        <f t="shared" si="68"/>
        <v>100.72</v>
      </c>
      <c r="O103" s="13">
        <f t="shared" si="69"/>
        <v>1.1999999999999999E-3</v>
      </c>
      <c r="P103">
        <v>96.81</v>
      </c>
      <c r="Q103">
        <f t="shared" si="70"/>
        <v>96.76</v>
      </c>
      <c r="R103" s="13">
        <f t="shared" si="71"/>
        <v>-1E-4</v>
      </c>
      <c r="S103">
        <v>82.4</v>
      </c>
      <c r="T103">
        <f t="shared" si="72"/>
        <v>81.766999999999996</v>
      </c>
      <c r="U103" s="13">
        <f t="shared" si="73"/>
        <v>3.5999999999999997E-2</v>
      </c>
      <c r="V103">
        <v>308568</v>
      </c>
      <c r="W103" s="18">
        <f t="shared" si="74"/>
        <v>308612</v>
      </c>
      <c r="X103" s="38">
        <f t="shared" si="75"/>
        <v>1.29E-2</v>
      </c>
      <c r="Y103" s="29">
        <f t="shared" si="76"/>
        <v>3.7000000000000002E-3</v>
      </c>
      <c r="Z103">
        <v>71.657399999999996</v>
      </c>
      <c r="AA103" s="18">
        <f t="shared" si="77"/>
        <v>71.040000000000006</v>
      </c>
      <c r="AB103" s="38">
        <f t="shared" si="78"/>
        <v>3.4099999999999998E-2</v>
      </c>
      <c r="AC103" s="13">
        <f t="shared" si="79"/>
        <v>9.4000000000000004E-3</v>
      </c>
      <c r="AD103" s="30">
        <f t="shared" si="85"/>
        <v>102.06</v>
      </c>
      <c r="AE103" s="11">
        <f t="shared" si="88"/>
        <v>3</v>
      </c>
      <c r="AF103" s="31">
        <f t="shared" si="80"/>
        <v>106</v>
      </c>
    </row>
    <row r="104" spans="1:32" x14ac:dyDescent="0.25">
      <c r="A104" s="5">
        <v>40237</v>
      </c>
      <c r="B104" s="10">
        <v>73.599999999999994</v>
      </c>
      <c r="C104" s="18">
        <f t="shared" si="81"/>
        <v>73.8</v>
      </c>
      <c r="D104" s="38">
        <f t="shared" si="82"/>
        <v>0.1216</v>
      </c>
      <c r="E104" s="29">
        <f t="shared" si="83"/>
        <v>2.63E-2</v>
      </c>
      <c r="F104">
        <v>1037368</v>
      </c>
      <c r="G104">
        <f t="shared" si="86"/>
        <v>1025853</v>
      </c>
      <c r="H104" s="38">
        <f t="shared" si="84"/>
        <v>4.02E-2</v>
      </c>
      <c r="I104" s="13">
        <f t="shared" si="87"/>
        <v>2.9899999999999999E-2</v>
      </c>
      <c r="J104">
        <v>-0.21</v>
      </c>
      <c r="K104">
        <f t="shared" si="66"/>
        <v>99.79</v>
      </c>
      <c r="L104" s="29">
        <f t="shared" si="67"/>
        <v>2.9999999999999997E-4</v>
      </c>
      <c r="M104">
        <v>0.5</v>
      </c>
      <c r="N104">
        <f t="shared" si="68"/>
        <v>100.5</v>
      </c>
      <c r="O104" s="13">
        <f t="shared" si="69"/>
        <v>1.6000000000000001E-3</v>
      </c>
      <c r="P104">
        <v>96.71</v>
      </c>
      <c r="Q104">
        <f t="shared" si="70"/>
        <v>96.712999999999994</v>
      </c>
      <c r="R104" s="13">
        <f t="shared" si="71"/>
        <v>-8.0000000000000004E-4</v>
      </c>
      <c r="S104">
        <v>81.8</v>
      </c>
      <c r="T104">
        <f t="shared" si="72"/>
        <v>80.3</v>
      </c>
      <c r="U104" s="13">
        <f t="shared" si="73"/>
        <v>3.7600000000000001E-2</v>
      </c>
      <c r="V104">
        <v>308751</v>
      </c>
      <c r="W104" s="18">
        <f t="shared" si="74"/>
        <v>308023</v>
      </c>
      <c r="X104" s="38">
        <f t="shared" si="75"/>
        <v>1.2699999999999999E-2</v>
      </c>
      <c r="Y104" s="29">
        <f t="shared" si="76"/>
        <v>6.4000000000000003E-3</v>
      </c>
      <c r="Z104">
        <v>71.005449999999996</v>
      </c>
      <c r="AA104" s="18">
        <f t="shared" si="77"/>
        <v>70.53</v>
      </c>
      <c r="AB104" s="38">
        <f t="shared" si="78"/>
        <v>4.3700000000000003E-2</v>
      </c>
      <c r="AC104" s="13">
        <f t="shared" si="79"/>
        <v>8.0999999999999996E-3</v>
      </c>
      <c r="AD104" s="30">
        <f t="shared" si="85"/>
        <v>112.61</v>
      </c>
      <c r="AE104" s="11">
        <f t="shared" si="88"/>
        <v>3</v>
      </c>
      <c r="AF104" s="31">
        <f t="shared" si="80"/>
        <v>103.22</v>
      </c>
    </row>
    <row r="105" spans="1:32" x14ac:dyDescent="0.25">
      <c r="A105" s="5">
        <v>40209</v>
      </c>
      <c r="B105" s="10">
        <v>74.400000000000006</v>
      </c>
      <c r="C105" s="18">
        <f t="shared" si="81"/>
        <v>73.900000000000006</v>
      </c>
      <c r="D105" s="38">
        <f t="shared" si="82"/>
        <v>9.9699999999999997E-2</v>
      </c>
      <c r="E105" s="29">
        <f t="shared" si="83"/>
        <v>1.23E-2</v>
      </c>
      <c r="F105">
        <v>1029151</v>
      </c>
      <c r="G105">
        <f t="shared" si="86"/>
        <v>1013735</v>
      </c>
      <c r="H105" s="38">
        <f t="shared" si="84"/>
        <v>4.1000000000000002E-2</v>
      </c>
      <c r="I105" s="13">
        <f t="shared" si="87"/>
        <v>2.92E-2</v>
      </c>
      <c r="J105">
        <v>-0.5</v>
      </c>
      <c r="K105">
        <f t="shared" si="66"/>
        <v>99.5</v>
      </c>
      <c r="L105" s="29">
        <f t="shared" si="67"/>
        <v>5.9999999999999995E-4</v>
      </c>
      <c r="M105">
        <v>0.55000000000000004</v>
      </c>
      <c r="N105">
        <f t="shared" si="68"/>
        <v>100.55</v>
      </c>
      <c r="O105" s="13">
        <f t="shared" si="69"/>
        <v>1.1000000000000001E-3</v>
      </c>
      <c r="P105">
        <v>96.76</v>
      </c>
      <c r="Q105">
        <f t="shared" si="70"/>
        <v>96.74</v>
      </c>
      <c r="R105" s="13">
        <f t="shared" si="71"/>
        <v>-1.1000000000000001E-3</v>
      </c>
      <c r="S105">
        <v>81.099999999999994</v>
      </c>
      <c r="T105">
        <f t="shared" si="72"/>
        <v>75.966999999999999</v>
      </c>
      <c r="U105" s="13">
        <f t="shared" si="73"/>
        <v>2.18E-2</v>
      </c>
      <c r="V105">
        <v>308518</v>
      </c>
      <c r="W105" s="18">
        <f t="shared" si="74"/>
        <v>306465</v>
      </c>
      <c r="X105" s="38">
        <f t="shared" si="75"/>
        <v>6.6E-3</v>
      </c>
      <c r="Y105" s="29">
        <f t="shared" si="76"/>
        <v>-4.0000000000000002E-4</v>
      </c>
      <c r="Z105">
        <v>70.461590000000001</v>
      </c>
      <c r="AA105" s="18">
        <f t="shared" si="77"/>
        <v>70.08</v>
      </c>
      <c r="AB105" s="38">
        <f t="shared" si="78"/>
        <v>5.7200000000000001E-2</v>
      </c>
      <c r="AC105" s="13">
        <f t="shared" si="79"/>
        <v>9.2999999999999992E-3</v>
      </c>
      <c r="AD105" s="30">
        <f t="shared" si="85"/>
        <v>103.32</v>
      </c>
      <c r="AE105" s="11">
        <f t="shared" si="88"/>
        <v>3</v>
      </c>
      <c r="AF105" s="31">
        <f t="shared" si="80"/>
        <v>96.52</v>
      </c>
    </row>
    <row r="106" spans="1:32" x14ac:dyDescent="0.25">
      <c r="A106" s="5">
        <v>40178</v>
      </c>
      <c r="B106" s="10">
        <v>72.5</v>
      </c>
      <c r="C106" s="18">
        <f t="shared" si="81"/>
        <v>71.2</v>
      </c>
      <c r="D106" s="38">
        <f t="shared" si="82"/>
        <v>1.2800000000000001E-2</v>
      </c>
      <c r="E106" s="29">
        <f t="shared" si="83"/>
        <v>-1.9E-3</v>
      </c>
      <c r="F106">
        <v>1011040</v>
      </c>
      <c r="G106">
        <f t="shared" si="86"/>
        <v>1003552</v>
      </c>
      <c r="H106" s="38">
        <f t="shared" si="84"/>
        <v>4.1099999999999998E-2</v>
      </c>
      <c r="I106" s="13">
        <f t="shared" si="87"/>
        <v>3.09E-2</v>
      </c>
      <c r="J106">
        <v>-0.43</v>
      </c>
      <c r="K106">
        <f t="shared" si="66"/>
        <v>99.57</v>
      </c>
      <c r="L106" s="29">
        <f t="shared" si="67"/>
        <v>2.2000000000000001E-3</v>
      </c>
      <c r="M106">
        <v>0.37</v>
      </c>
      <c r="N106">
        <f t="shared" si="68"/>
        <v>100.37</v>
      </c>
      <c r="O106" s="13">
        <f t="shared" si="69"/>
        <v>1.6000000000000001E-3</v>
      </c>
      <c r="P106">
        <v>96.67</v>
      </c>
      <c r="Q106">
        <f t="shared" si="70"/>
        <v>96.802999999999997</v>
      </c>
      <c r="R106" s="13">
        <f t="shared" si="71"/>
        <v>-1.5E-3</v>
      </c>
      <c r="S106">
        <v>78</v>
      </c>
      <c r="T106">
        <f t="shared" si="72"/>
        <v>73.5</v>
      </c>
      <c r="U106" s="13">
        <f t="shared" si="73"/>
        <v>1.5599999999999999E-2</v>
      </c>
      <c r="V106">
        <v>306799</v>
      </c>
      <c r="W106" s="18">
        <f t="shared" si="74"/>
        <v>303943</v>
      </c>
      <c r="X106" s="38">
        <f t="shared" si="75"/>
        <v>1.21E-2</v>
      </c>
      <c r="Y106" s="29">
        <f t="shared" si="76"/>
        <v>3.5000000000000001E-3</v>
      </c>
      <c r="Z106">
        <v>70.137020000000007</v>
      </c>
      <c r="AA106" s="18">
        <f t="shared" si="77"/>
        <v>69.53</v>
      </c>
      <c r="AB106" s="38">
        <f t="shared" si="78"/>
        <v>6.8000000000000005E-2</v>
      </c>
      <c r="AC106" s="13">
        <f t="shared" si="79"/>
        <v>1.43E-2</v>
      </c>
      <c r="AD106" s="30">
        <f t="shared" si="85"/>
        <v>93.74</v>
      </c>
      <c r="AE106" s="11">
        <f t="shared" si="88"/>
        <v>3</v>
      </c>
      <c r="AF106" s="31">
        <f t="shared" si="80"/>
        <v>97.55</v>
      </c>
    </row>
    <row r="107" spans="1:32" x14ac:dyDescent="0.25">
      <c r="A107" s="5">
        <v>40147</v>
      </c>
      <c r="B107" s="10">
        <v>67.400000000000006</v>
      </c>
      <c r="C107" s="18">
        <f t="shared" si="81"/>
        <v>68.2</v>
      </c>
      <c r="D107" s="38">
        <f t="shared" si="82"/>
        <v>5.8999999999999999E-3</v>
      </c>
      <c r="E107" s="29">
        <f t="shared" si="83"/>
        <v>1.15E-2</v>
      </c>
      <c r="F107">
        <v>1001014</v>
      </c>
      <c r="G107">
        <f t="shared" si="86"/>
        <v>994143</v>
      </c>
      <c r="H107" s="38">
        <f t="shared" si="84"/>
        <v>3.9100000000000003E-2</v>
      </c>
      <c r="I107" s="13">
        <f t="shared" si="87"/>
        <v>3.1099999999999999E-2</v>
      </c>
      <c r="J107">
        <v>-0.54</v>
      </c>
      <c r="K107">
        <f t="shared" si="66"/>
        <v>99.46</v>
      </c>
      <c r="L107" s="29">
        <f t="shared" si="67"/>
        <v>4.1999999999999997E-3</v>
      </c>
      <c r="M107">
        <v>0.02</v>
      </c>
      <c r="N107">
        <f t="shared" si="68"/>
        <v>100.02</v>
      </c>
      <c r="O107" s="13">
        <f t="shared" si="69"/>
        <v>8.0000000000000004E-4</v>
      </c>
      <c r="P107">
        <v>96.79</v>
      </c>
      <c r="Q107">
        <f t="shared" si="70"/>
        <v>96.933000000000007</v>
      </c>
      <c r="R107" s="13">
        <f t="shared" si="71"/>
        <v>-1.8E-3</v>
      </c>
      <c r="S107">
        <v>68.8</v>
      </c>
      <c r="T107">
        <f t="shared" si="72"/>
        <v>71.966999999999999</v>
      </c>
      <c r="U107" s="13">
        <f t="shared" si="73"/>
        <v>8.8000000000000005E-3</v>
      </c>
      <c r="V107">
        <v>304078</v>
      </c>
      <c r="W107" s="18">
        <f t="shared" si="74"/>
        <v>304681</v>
      </c>
      <c r="X107" s="38">
        <f t="shared" si="75"/>
        <v>2.47E-2</v>
      </c>
      <c r="Y107" s="29">
        <f t="shared" si="76"/>
        <v>1.8E-3</v>
      </c>
      <c r="Z107">
        <v>69.650450000000006</v>
      </c>
      <c r="AA107" s="18">
        <f t="shared" si="77"/>
        <v>68.7</v>
      </c>
      <c r="AB107" s="38">
        <f t="shared" si="78"/>
        <v>6.8400000000000002E-2</v>
      </c>
      <c r="AC107" s="13">
        <f t="shared" si="79"/>
        <v>2.01E-2</v>
      </c>
      <c r="AD107" s="30">
        <f t="shared" si="85"/>
        <v>92.51</v>
      </c>
      <c r="AE107" s="11">
        <f t="shared" si="88"/>
        <v>3</v>
      </c>
      <c r="AF107" s="31">
        <f t="shared" si="80"/>
        <v>101.47</v>
      </c>
    </row>
    <row r="108" spans="1:32" x14ac:dyDescent="0.25">
      <c r="A108" s="5">
        <v>40117</v>
      </c>
      <c r="B108" s="10">
        <v>70.599999999999994</v>
      </c>
      <c r="C108" s="18">
        <f t="shared" si="81"/>
        <v>71.3</v>
      </c>
      <c r="D108" s="38">
        <f t="shared" si="82"/>
        <v>0.12820000000000001</v>
      </c>
      <c r="E108" s="29">
        <f t="shared" si="83"/>
        <v>0.02</v>
      </c>
      <c r="F108">
        <v>998603</v>
      </c>
      <c r="G108">
        <f t="shared" si="86"/>
        <v>986239</v>
      </c>
      <c r="H108" s="38">
        <f t="shared" si="84"/>
        <v>2.29E-2</v>
      </c>
      <c r="I108" s="13">
        <f t="shared" si="87"/>
        <v>2.0400000000000001E-2</v>
      </c>
      <c r="J108">
        <v>-0.33</v>
      </c>
      <c r="K108">
        <f t="shared" si="66"/>
        <v>99.67</v>
      </c>
      <c r="L108" s="29">
        <f t="shared" si="67"/>
        <v>6.4999999999999997E-3</v>
      </c>
      <c r="M108">
        <v>0.23</v>
      </c>
      <c r="N108">
        <f t="shared" si="68"/>
        <v>100.23</v>
      </c>
      <c r="O108" s="13">
        <f t="shared" si="69"/>
        <v>3.3999999999999998E-3</v>
      </c>
      <c r="P108">
        <v>96.95</v>
      </c>
      <c r="Q108">
        <f t="shared" si="70"/>
        <v>97.07</v>
      </c>
      <c r="R108" s="13">
        <f t="shared" si="71"/>
        <v>-2.5000000000000001E-3</v>
      </c>
      <c r="S108">
        <v>73.7</v>
      </c>
      <c r="T108">
        <f t="shared" si="72"/>
        <v>71.233000000000004</v>
      </c>
      <c r="U108" s="13">
        <f t="shared" si="73"/>
        <v>3.5999999999999999E-3</v>
      </c>
      <c r="V108">
        <v>300953</v>
      </c>
      <c r="W108" s="18">
        <f t="shared" si="74"/>
        <v>304160</v>
      </c>
      <c r="X108" s="38">
        <f t="shared" si="75"/>
        <v>3.39E-2</v>
      </c>
      <c r="Y108" s="29">
        <f t="shared" si="76"/>
        <v>3.5999999999999999E-3</v>
      </c>
      <c r="Z108">
        <v>68.800929999999994</v>
      </c>
      <c r="AA108" s="18">
        <f t="shared" si="77"/>
        <v>67.58</v>
      </c>
      <c r="AB108" s="38">
        <f t="shared" si="78"/>
        <v>5.5599999999999997E-2</v>
      </c>
      <c r="AC108" s="13">
        <f t="shared" si="79"/>
        <v>2.4E-2</v>
      </c>
      <c r="AD108" s="30">
        <f t="shared" si="85"/>
        <v>106.41</v>
      </c>
      <c r="AE108" s="11">
        <f t="shared" si="88"/>
        <v>3</v>
      </c>
      <c r="AF108" s="31">
        <f t="shared" si="80"/>
        <v>95.35</v>
      </c>
    </row>
    <row r="109" spans="1:32" x14ac:dyDescent="0.25">
      <c r="A109" s="5">
        <v>40086</v>
      </c>
      <c r="B109" s="10">
        <v>73.5</v>
      </c>
      <c r="C109" s="18">
        <f t="shared" si="81"/>
        <v>71.599999999999994</v>
      </c>
      <c r="D109" s="38">
        <f t="shared" si="82"/>
        <v>0.25390000000000001</v>
      </c>
      <c r="E109" s="29">
        <f t="shared" si="83"/>
        <v>6.4000000000000003E-3</v>
      </c>
      <c r="F109">
        <v>982811</v>
      </c>
      <c r="G109">
        <f t="shared" si="86"/>
        <v>973843</v>
      </c>
      <c r="H109" s="38">
        <f t="shared" si="84"/>
        <v>1.4E-3</v>
      </c>
      <c r="I109" s="13">
        <f t="shared" si="87"/>
        <v>5.9999999999999995E-4</v>
      </c>
      <c r="J109">
        <v>-0.72</v>
      </c>
      <c r="K109">
        <f t="shared" si="66"/>
        <v>99.28</v>
      </c>
      <c r="L109" s="29">
        <f t="shared" si="67"/>
        <v>5.5999999999999999E-3</v>
      </c>
      <c r="M109">
        <v>-0.1</v>
      </c>
      <c r="N109">
        <f t="shared" si="68"/>
        <v>99.9</v>
      </c>
      <c r="O109" s="13">
        <f t="shared" si="69"/>
        <v>4.3E-3</v>
      </c>
      <c r="P109">
        <v>97.06</v>
      </c>
      <c r="Q109">
        <f t="shared" si="70"/>
        <v>97.233000000000004</v>
      </c>
      <c r="R109" s="13">
        <f t="shared" si="71"/>
        <v>-3.3999999999999998E-3</v>
      </c>
      <c r="S109">
        <v>73.400000000000006</v>
      </c>
      <c r="T109">
        <f t="shared" si="72"/>
        <v>70.167000000000002</v>
      </c>
      <c r="U109" s="13">
        <f t="shared" si="73"/>
        <v>2.0999999999999999E-3</v>
      </c>
      <c r="V109">
        <v>309012</v>
      </c>
      <c r="W109" s="18">
        <f t="shared" si="74"/>
        <v>304461</v>
      </c>
      <c r="X109" s="38">
        <f t="shared" si="75"/>
        <v>3.3500000000000002E-2</v>
      </c>
      <c r="Y109" s="29">
        <f t="shared" si="76"/>
        <v>1.29E-2</v>
      </c>
      <c r="Z109">
        <v>67.64649</v>
      </c>
      <c r="AA109" s="18">
        <f t="shared" si="77"/>
        <v>66.290000000000006</v>
      </c>
      <c r="AB109" s="38">
        <f t="shared" si="78"/>
        <v>3.2399999999999998E-2</v>
      </c>
      <c r="AC109" s="13">
        <f t="shared" si="79"/>
        <v>2.35E-2</v>
      </c>
      <c r="AD109" s="30">
        <f t="shared" si="85"/>
        <v>105.5</v>
      </c>
      <c r="AE109" s="11">
        <f t="shared" si="88"/>
        <v>3</v>
      </c>
      <c r="AF109" s="31">
        <f t="shared" si="80"/>
        <v>77.63</v>
      </c>
    </row>
    <row r="110" spans="1:32" x14ac:dyDescent="0.25">
      <c r="A110" s="5">
        <v>40056</v>
      </c>
      <c r="B110" s="10">
        <v>65.7</v>
      </c>
      <c r="C110" s="18">
        <f t="shared" si="81"/>
        <v>65.8</v>
      </c>
      <c r="D110" s="38">
        <f t="shared" si="82"/>
        <v>0.14430000000000001</v>
      </c>
      <c r="E110" s="29">
        <f t="shared" si="83"/>
        <v>-9.7000000000000003E-3</v>
      </c>
      <c r="F110">
        <v>977303</v>
      </c>
      <c r="G110">
        <f t="shared" si="86"/>
        <v>963927</v>
      </c>
      <c r="H110" s="38">
        <f t="shared" si="84"/>
        <v>-2.2499999999999999E-2</v>
      </c>
      <c r="I110" s="13">
        <f t="shared" si="87"/>
        <v>-1.9300000000000001E-2</v>
      </c>
      <c r="J110">
        <v>-1.32</v>
      </c>
      <c r="K110">
        <f t="shared" si="66"/>
        <v>98.68</v>
      </c>
      <c r="L110" s="29">
        <f t="shared" si="67"/>
        <v>5.7999999999999996E-3</v>
      </c>
      <c r="M110">
        <v>-0.23</v>
      </c>
      <c r="N110">
        <f t="shared" si="68"/>
        <v>99.77</v>
      </c>
      <c r="O110" s="13">
        <f t="shared" si="69"/>
        <v>7.0000000000000001E-3</v>
      </c>
      <c r="P110">
        <v>97.2</v>
      </c>
      <c r="Q110">
        <f t="shared" si="70"/>
        <v>97.466999999999999</v>
      </c>
      <c r="R110" s="13">
        <f t="shared" si="71"/>
        <v>-4.1000000000000003E-3</v>
      </c>
      <c r="S110">
        <v>66.599999999999994</v>
      </c>
      <c r="T110">
        <f t="shared" si="72"/>
        <v>70.099999999999994</v>
      </c>
      <c r="U110" s="13">
        <f t="shared" si="73"/>
        <v>1.77E-2</v>
      </c>
      <c r="V110">
        <v>302514</v>
      </c>
      <c r="W110" s="18">
        <f t="shared" si="74"/>
        <v>300311</v>
      </c>
      <c r="X110" s="38">
        <f t="shared" si="75"/>
        <v>1.34E-2</v>
      </c>
      <c r="Y110" s="29">
        <f t="shared" si="76"/>
        <v>8.5000000000000006E-3</v>
      </c>
      <c r="Z110">
        <v>66.292190000000005</v>
      </c>
      <c r="AA110" s="18">
        <f t="shared" si="77"/>
        <v>65.099999999999994</v>
      </c>
      <c r="AB110" s="38">
        <f t="shared" si="78"/>
        <v>3.3999999999999998E-3</v>
      </c>
      <c r="AC110" s="13">
        <f t="shared" si="79"/>
        <v>1.7100000000000001E-2</v>
      </c>
      <c r="AD110" s="30">
        <f t="shared" si="85"/>
        <v>74.14</v>
      </c>
      <c r="AE110" s="11">
        <f t="shared" si="88"/>
        <v>1</v>
      </c>
      <c r="AF110" s="31">
        <f t="shared" si="80"/>
        <v>57.89</v>
      </c>
    </row>
    <row r="111" spans="1:32" x14ac:dyDescent="0.25">
      <c r="A111" s="5">
        <v>40025</v>
      </c>
      <c r="B111" s="10">
        <v>66</v>
      </c>
      <c r="C111" s="18">
        <f t="shared" si="81"/>
        <v>67.2</v>
      </c>
      <c r="D111" s="38">
        <f t="shared" si="82"/>
        <v>0.10340000000000001</v>
      </c>
      <c r="E111" s="29">
        <f t="shared" si="83"/>
        <v>1.9900000000000001E-2</v>
      </c>
      <c r="F111">
        <v>961414</v>
      </c>
      <c r="G111">
        <f t="shared" si="86"/>
        <v>956738</v>
      </c>
      <c r="H111" s="38">
        <f t="shared" si="84"/>
        <v>-4.7100000000000003E-2</v>
      </c>
      <c r="I111" s="13">
        <f t="shared" si="87"/>
        <v>-3.4799999999999998E-2</v>
      </c>
      <c r="J111">
        <v>-2.2000000000000002</v>
      </c>
      <c r="K111">
        <f t="shared" si="66"/>
        <v>97.8</v>
      </c>
      <c r="L111" s="29">
        <f t="shared" si="67"/>
        <v>4.1000000000000003E-3</v>
      </c>
      <c r="M111">
        <v>-0.79</v>
      </c>
      <c r="N111">
        <f t="shared" si="68"/>
        <v>99.21</v>
      </c>
      <c r="O111" s="13">
        <f t="shared" si="69"/>
        <v>6.7000000000000002E-3</v>
      </c>
      <c r="P111">
        <v>97.44</v>
      </c>
      <c r="Q111">
        <f t="shared" si="70"/>
        <v>97.802999999999997</v>
      </c>
      <c r="R111" s="13">
        <f t="shared" si="71"/>
        <v>-4.4999999999999997E-3</v>
      </c>
      <c r="S111">
        <v>70.5</v>
      </c>
      <c r="T111">
        <f t="shared" si="72"/>
        <v>70.466999999999999</v>
      </c>
      <c r="U111" s="13">
        <f t="shared" si="73"/>
        <v>2.3599999999999999E-2</v>
      </c>
      <c r="V111">
        <v>301858</v>
      </c>
      <c r="W111" s="18">
        <f t="shared" si="74"/>
        <v>297331</v>
      </c>
      <c r="X111" s="38">
        <f t="shared" si="75"/>
        <v>1.2999999999999999E-3</v>
      </c>
      <c r="Y111" s="29">
        <f t="shared" si="76"/>
        <v>3.3999999999999998E-3</v>
      </c>
      <c r="Z111">
        <v>64.937479999999994</v>
      </c>
      <c r="AA111" s="18">
        <f t="shared" si="77"/>
        <v>64.3</v>
      </c>
      <c r="AB111" s="38">
        <f t="shared" si="78"/>
        <v>-3.1E-2</v>
      </c>
      <c r="AC111" s="13">
        <f t="shared" si="79"/>
        <v>6.7999999999999996E-3</v>
      </c>
      <c r="AD111" s="30">
        <f t="shared" si="85"/>
        <v>53.24</v>
      </c>
      <c r="AE111" s="11">
        <f t="shared" si="88"/>
        <v>-2</v>
      </c>
      <c r="AF111" s="31">
        <f t="shared" si="80"/>
        <v>39.65</v>
      </c>
    </row>
    <row r="112" spans="1:32" x14ac:dyDescent="0.25">
      <c r="A112" s="5">
        <v>39994</v>
      </c>
      <c r="B112" s="10">
        <v>70.8</v>
      </c>
      <c r="C112" s="18">
        <f t="shared" si="81"/>
        <v>70.3</v>
      </c>
      <c r="D112" s="38">
        <f t="shared" si="82"/>
        <v>0.19350000000000001</v>
      </c>
      <c r="E112" s="29">
        <f t="shared" si="83"/>
        <v>7.0199999999999999E-2</v>
      </c>
      <c r="F112">
        <v>953065</v>
      </c>
      <c r="G112">
        <f t="shared" si="86"/>
        <v>964125</v>
      </c>
      <c r="H112" s="38">
        <f t="shared" si="84"/>
        <v>-8.14E-2</v>
      </c>
      <c r="I112" s="13">
        <f t="shared" si="87"/>
        <v>-5.7000000000000002E-2</v>
      </c>
      <c r="J112">
        <v>-2.87</v>
      </c>
      <c r="K112">
        <f t="shared" si="66"/>
        <v>97.13</v>
      </c>
      <c r="L112" s="29">
        <f t="shared" si="67"/>
        <v>3.3999999999999998E-3</v>
      </c>
      <c r="M112">
        <v>-1.38</v>
      </c>
      <c r="N112">
        <f t="shared" si="68"/>
        <v>98.62</v>
      </c>
      <c r="O112" s="13">
        <f t="shared" si="69"/>
        <v>3.5000000000000001E-3</v>
      </c>
      <c r="P112">
        <v>97.76</v>
      </c>
      <c r="Q112">
        <f t="shared" si="70"/>
        <v>98.227000000000004</v>
      </c>
      <c r="R112" s="13">
        <f t="shared" si="71"/>
        <v>-4.4999999999999997E-3</v>
      </c>
      <c r="S112">
        <v>73.2</v>
      </c>
      <c r="T112">
        <f t="shared" si="72"/>
        <v>69.733000000000004</v>
      </c>
      <c r="U112" s="13">
        <f t="shared" si="73"/>
        <v>2.35E-2</v>
      </c>
      <c r="V112">
        <v>296560</v>
      </c>
      <c r="W112" s="18">
        <f t="shared" si="74"/>
        <v>294187</v>
      </c>
      <c r="X112" s="38">
        <f t="shared" si="75"/>
        <v>-1.3599999999999999E-2</v>
      </c>
      <c r="Y112" s="29">
        <f t="shared" si="76"/>
        <v>-1.9E-3</v>
      </c>
      <c r="Z112">
        <v>64.072509999999994</v>
      </c>
      <c r="AA112" s="18">
        <f t="shared" si="77"/>
        <v>64.02</v>
      </c>
      <c r="AB112" s="38">
        <f t="shared" si="78"/>
        <v>-7.1900000000000006E-2</v>
      </c>
      <c r="AC112" s="13">
        <f t="shared" si="79"/>
        <v>-2.7000000000000001E-3</v>
      </c>
      <c r="AD112" s="30">
        <f t="shared" si="85"/>
        <v>46.29</v>
      </c>
      <c r="AE112" s="11">
        <f t="shared" si="88"/>
        <v>-2</v>
      </c>
      <c r="AF112" s="31">
        <f t="shared" si="80"/>
        <v>12.26</v>
      </c>
    </row>
    <row r="113" spans="1:32" x14ac:dyDescent="0.25">
      <c r="A113" s="5">
        <v>39964</v>
      </c>
      <c r="B113" s="10">
        <v>68.7</v>
      </c>
      <c r="C113" s="18">
        <f t="shared" si="81"/>
        <v>67.8</v>
      </c>
      <c r="D113" s="38">
        <f t="shared" si="82"/>
        <v>0.21290000000000001</v>
      </c>
      <c r="E113" s="29">
        <f t="shared" si="83"/>
        <v>5.79E-2</v>
      </c>
      <c r="F113">
        <v>955735</v>
      </c>
      <c r="G113">
        <f t="shared" si="86"/>
        <v>972436</v>
      </c>
      <c r="H113" s="38">
        <f t="shared" si="84"/>
        <v>-0.1208</v>
      </c>
      <c r="I113" s="13">
        <f t="shared" si="87"/>
        <v>-9.1399999999999995E-2</v>
      </c>
      <c r="J113">
        <v>-2.92</v>
      </c>
      <c r="K113">
        <f t="shared" si="66"/>
        <v>97.08</v>
      </c>
      <c r="L113" s="29">
        <f t="shared" si="67"/>
        <v>1E-3</v>
      </c>
      <c r="M113">
        <v>-2.2999999999999998</v>
      </c>
      <c r="N113">
        <f t="shared" si="68"/>
        <v>97.7</v>
      </c>
      <c r="O113" s="13">
        <f t="shared" si="69"/>
        <v>5.9999999999999995E-4</v>
      </c>
      <c r="P113">
        <v>98.21</v>
      </c>
      <c r="Q113">
        <f t="shared" si="70"/>
        <v>98.686999999999998</v>
      </c>
      <c r="R113" s="13">
        <f t="shared" si="71"/>
        <v>-4.3E-3</v>
      </c>
      <c r="S113">
        <v>67.7</v>
      </c>
      <c r="T113">
        <f t="shared" si="72"/>
        <v>66.433000000000007</v>
      </c>
      <c r="U113" s="13">
        <f t="shared" si="73"/>
        <v>-3.7000000000000002E-3</v>
      </c>
      <c r="V113">
        <v>293575</v>
      </c>
      <c r="W113" s="18">
        <f t="shared" si="74"/>
        <v>294599</v>
      </c>
      <c r="X113" s="38">
        <f t="shared" si="75"/>
        <v>-2.9399999999999999E-2</v>
      </c>
      <c r="Y113" s="29">
        <f t="shared" si="76"/>
        <v>-5.9999999999999995E-4</v>
      </c>
      <c r="Z113">
        <v>63.87912</v>
      </c>
      <c r="AA113" s="18">
        <f t="shared" si="77"/>
        <v>64.209999999999994</v>
      </c>
      <c r="AB113" s="38">
        <f t="shared" si="78"/>
        <v>-0.1162</v>
      </c>
      <c r="AC113" s="13">
        <f t="shared" si="79"/>
        <v>-1.1599999999999999E-2</v>
      </c>
      <c r="AD113" s="30">
        <f t="shared" si="85"/>
        <v>19.420000000000002</v>
      </c>
      <c r="AE113" s="11">
        <f t="shared" si="88"/>
        <v>-3</v>
      </c>
      <c r="AF113" s="31">
        <f t="shared" si="80"/>
        <v>0</v>
      </c>
    </row>
    <row r="114" spans="1:32" x14ac:dyDescent="0.25">
      <c r="A114" s="5">
        <v>39933</v>
      </c>
      <c r="B114" s="10">
        <v>65.099999999999994</v>
      </c>
      <c r="C114" s="18">
        <f t="shared" si="81"/>
        <v>63.2</v>
      </c>
      <c r="D114" s="38">
        <f t="shared" si="82"/>
        <v>3.95E-2</v>
      </c>
      <c r="E114" s="29">
        <f t="shared" si="83"/>
        <v>1.3100000000000001E-2</v>
      </c>
      <c r="F114">
        <v>983576</v>
      </c>
      <c r="G114">
        <f t="shared" si="86"/>
        <v>986123</v>
      </c>
      <c r="H114" s="38">
        <f t="shared" si="84"/>
        <v>-0.1492</v>
      </c>
      <c r="I114" s="13">
        <f t="shared" si="87"/>
        <v>-0.12139999999999999</v>
      </c>
      <c r="J114">
        <v>-3.57</v>
      </c>
      <c r="K114">
        <f t="shared" si="66"/>
        <v>96.43</v>
      </c>
      <c r="L114" s="29">
        <f t="shared" si="67"/>
        <v>-1.1999999999999999E-3</v>
      </c>
      <c r="M114">
        <v>-2.77</v>
      </c>
      <c r="N114">
        <f t="shared" si="68"/>
        <v>97.23</v>
      </c>
      <c r="O114" s="13">
        <f t="shared" si="69"/>
        <v>-2.7000000000000001E-3</v>
      </c>
      <c r="P114">
        <v>98.71</v>
      </c>
      <c r="Q114">
        <f t="shared" si="70"/>
        <v>99.147000000000006</v>
      </c>
      <c r="R114" s="13">
        <f t="shared" si="71"/>
        <v>-3.8999999999999998E-3</v>
      </c>
      <c r="S114">
        <v>68.3</v>
      </c>
      <c r="T114">
        <f t="shared" si="72"/>
        <v>65.7</v>
      </c>
      <c r="U114" s="13">
        <f t="shared" si="73"/>
        <v>6.1000000000000004E-3</v>
      </c>
      <c r="V114">
        <v>292427</v>
      </c>
      <c r="W114" s="18">
        <f t="shared" si="74"/>
        <v>296348</v>
      </c>
      <c r="X114" s="38">
        <f t="shared" si="75"/>
        <v>-5.8500000000000003E-2</v>
      </c>
      <c r="Y114" s="29">
        <f t="shared" si="76"/>
        <v>-7.7000000000000002E-3</v>
      </c>
      <c r="Z114">
        <v>64.110849999999999</v>
      </c>
      <c r="AA114" s="18">
        <f t="shared" si="77"/>
        <v>64.88</v>
      </c>
      <c r="AB114" s="38">
        <f t="shared" si="78"/>
        <v>-0.154</v>
      </c>
      <c r="AC114" s="13">
        <f t="shared" si="79"/>
        <v>-2.5100000000000001E-2</v>
      </c>
      <c r="AD114" s="30">
        <f t="shared" si="85"/>
        <v>-28.93</v>
      </c>
      <c r="AE114" s="11">
        <f t="shared" si="88"/>
        <v>-3</v>
      </c>
      <c r="AF114" s="31">
        <f t="shared" si="80"/>
        <v>0</v>
      </c>
    </row>
    <row r="115" spans="1:32" x14ac:dyDescent="0.25">
      <c r="A115" s="5">
        <v>39903</v>
      </c>
      <c r="B115" s="10">
        <v>57.3</v>
      </c>
      <c r="C115" s="18">
        <f t="shared" si="81"/>
        <v>57.1</v>
      </c>
      <c r="D115" s="38">
        <f t="shared" si="82"/>
        <v>-0.16639999999999999</v>
      </c>
      <c r="E115" s="29">
        <f t="shared" si="83"/>
        <v>-1.0200000000000001E-2</v>
      </c>
      <c r="F115">
        <v>977996</v>
      </c>
      <c r="G115">
        <f t="shared" si="86"/>
        <v>1004011</v>
      </c>
      <c r="H115" s="38">
        <f t="shared" si="84"/>
        <v>-0.15890000000000001</v>
      </c>
      <c r="I115" s="13">
        <f t="shared" si="87"/>
        <v>-0.12720000000000001</v>
      </c>
      <c r="J115">
        <v>-3.78</v>
      </c>
      <c r="K115">
        <f t="shared" si="66"/>
        <v>96.22</v>
      </c>
      <c r="L115" s="29">
        <f t="shared" si="67"/>
        <v>-3.0999999999999999E-3</v>
      </c>
      <c r="M115">
        <v>-2.41</v>
      </c>
      <c r="N115">
        <f t="shared" si="68"/>
        <v>97.59</v>
      </c>
      <c r="O115" s="13">
        <f t="shared" si="69"/>
        <v>-2E-3</v>
      </c>
      <c r="P115">
        <v>99.14</v>
      </c>
      <c r="Q115">
        <f t="shared" si="70"/>
        <v>99.57</v>
      </c>
      <c r="R115" s="13">
        <f t="shared" si="71"/>
        <v>-3.3E-3</v>
      </c>
      <c r="S115">
        <v>63.3</v>
      </c>
      <c r="T115">
        <f t="shared" si="72"/>
        <v>65.099999999999994</v>
      </c>
      <c r="U115" s="13">
        <f t="shared" si="73"/>
        <v>1.7100000000000001E-2</v>
      </c>
      <c r="V115">
        <v>297795</v>
      </c>
      <c r="W115" s="18">
        <f t="shared" si="74"/>
        <v>296953</v>
      </c>
      <c r="X115" s="38">
        <f t="shared" si="75"/>
        <v>-8.77E-2</v>
      </c>
      <c r="Y115" s="29">
        <f t="shared" si="76"/>
        <v>-1.3899999999999999E-2</v>
      </c>
      <c r="Z115">
        <v>64.640230000000003</v>
      </c>
      <c r="AA115" s="18">
        <f t="shared" si="77"/>
        <v>66.36</v>
      </c>
      <c r="AB115" s="38">
        <f t="shared" si="78"/>
        <v>-0.1736</v>
      </c>
      <c r="AC115" s="13">
        <f t="shared" si="79"/>
        <v>-4.4200000000000003E-2</v>
      </c>
      <c r="AD115" s="30">
        <f t="shared" si="85"/>
        <v>-65.819999999999993</v>
      </c>
      <c r="AE115" s="11">
        <f t="shared" si="88"/>
        <v>-3</v>
      </c>
      <c r="AF115" s="31">
        <f t="shared" si="80"/>
        <v>0</v>
      </c>
    </row>
    <row r="116" spans="1:32" x14ac:dyDescent="0.25">
      <c r="A116" s="5">
        <v>39872</v>
      </c>
      <c r="B116" s="10">
        <v>56.3</v>
      </c>
      <c r="C116" s="18">
        <f t="shared" si="81"/>
        <v>57.5</v>
      </c>
      <c r="D116" s="38">
        <f t="shared" si="82"/>
        <v>-8.1500000000000003E-2</v>
      </c>
      <c r="E116" s="29">
        <f t="shared" si="83"/>
        <v>9.1000000000000004E-3</v>
      </c>
      <c r="F116">
        <v>996797</v>
      </c>
      <c r="G116">
        <f t="shared" si="86"/>
        <v>1049546</v>
      </c>
      <c r="H116" s="38">
        <f t="shared" si="84"/>
        <v>-0.13450000000000001</v>
      </c>
      <c r="I116" s="13">
        <f t="shared" si="87"/>
        <v>-0.1042</v>
      </c>
      <c r="J116">
        <v>-4.2</v>
      </c>
      <c r="K116">
        <f t="shared" si="66"/>
        <v>95.8</v>
      </c>
      <c r="L116" s="29">
        <f t="shared" si="67"/>
        <v>-4.1999999999999997E-3</v>
      </c>
      <c r="M116">
        <v>-2.48</v>
      </c>
      <c r="N116">
        <f t="shared" si="68"/>
        <v>97.52</v>
      </c>
      <c r="O116" s="13">
        <f t="shared" si="69"/>
        <v>-4.4000000000000003E-3</v>
      </c>
      <c r="P116">
        <v>99.59</v>
      </c>
      <c r="Q116">
        <f t="shared" si="70"/>
        <v>99.962999999999994</v>
      </c>
      <c r="R116" s="13">
        <f t="shared" si="71"/>
        <v>-2.5999999999999999E-3</v>
      </c>
      <c r="S116">
        <v>65.5</v>
      </c>
      <c r="T116">
        <f t="shared" si="72"/>
        <v>67.167000000000002</v>
      </c>
      <c r="U116" s="13">
        <f t="shared" si="73"/>
        <v>1.8599999999999998E-2</v>
      </c>
      <c r="V116">
        <v>298823</v>
      </c>
      <c r="W116" s="18">
        <f t="shared" si="74"/>
        <v>298234</v>
      </c>
      <c r="X116" s="38">
        <f t="shared" si="75"/>
        <v>-0.10390000000000001</v>
      </c>
      <c r="Y116" s="29">
        <f t="shared" si="76"/>
        <v>-2.3599999999999999E-2</v>
      </c>
      <c r="Z116">
        <v>65.893540000000002</v>
      </c>
      <c r="AA116" s="18">
        <f t="shared" si="77"/>
        <v>68.98</v>
      </c>
      <c r="AB116" s="38">
        <f t="shared" si="78"/>
        <v>-0.17080000000000001</v>
      </c>
      <c r="AC116" s="13">
        <f t="shared" si="79"/>
        <v>-6.1199999999999997E-2</v>
      </c>
      <c r="AD116" s="30">
        <f t="shared" si="85"/>
        <v>-55.87</v>
      </c>
      <c r="AE116" s="11">
        <f t="shared" si="88"/>
        <v>-3</v>
      </c>
      <c r="AF116" s="31">
        <f t="shared" si="80"/>
        <v>0</v>
      </c>
    </row>
    <row r="117" spans="1:32" x14ac:dyDescent="0.25">
      <c r="A117" s="5">
        <v>39844</v>
      </c>
      <c r="B117" s="10">
        <v>61.2</v>
      </c>
      <c r="C117" s="18">
        <f t="shared" si="81"/>
        <v>60.9</v>
      </c>
      <c r="D117" s="38">
        <f t="shared" si="82"/>
        <v>1.4999999999999999E-2</v>
      </c>
      <c r="E117" s="29">
        <f t="shared" si="83"/>
        <v>5.9999999999999995E-4</v>
      </c>
      <c r="F117">
        <v>1037239</v>
      </c>
      <c r="G117">
        <f t="shared" si="86"/>
        <v>1106029</v>
      </c>
      <c r="H117" s="38">
        <f t="shared" si="84"/>
        <v>-9.0200000000000002E-2</v>
      </c>
      <c r="I117" s="13">
        <f t="shared" si="87"/>
        <v>-6.7299999999999999E-2</v>
      </c>
      <c r="J117">
        <v>-3.3</v>
      </c>
      <c r="K117">
        <f t="shared" si="66"/>
        <v>96.7</v>
      </c>
      <c r="L117" s="29">
        <f t="shared" si="67"/>
        <v>-4.1000000000000003E-3</v>
      </c>
      <c r="M117">
        <v>-1.98</v>
      </c>
      <c r="N117">
        <f t="shared" si="68"/>
        <v>98.02</v>
      </c>
      <c r="O117" s="13">
        <f t="shared" si="69"/>
        <v>-4.4999999999999997E-3</v>
      </c>
      <c r="P117">
        <v>99.98</v>
      </c>
      <c r="Q117">
        <f t="shared" si="70"/>
        <v>100.307</v>
      </c>
      <c r="R117" s="13">
        <f t="shared" si="71"/>
        <v>-1.8E-3</v>
      </c>
      <c r="S117">
        <v>66.5</v>
      </c>
      <c r="T117">
        <f t="shared" si="72"/>
        <v>64.5</v>
      </c>
      <c r="U117" s="13">
        <f t="shared" si="73"/>
        <v>-1.8800000000000001E-2</v>
      </c>
      <c r="V117">
        <v>294241</v>
      </c>
      <c r="W117" s="18">
        <f t="shared" si="74"/>
        <v>303509</v>
      </c>
      <c r="X117" s="38">
        <f t="shared" si="75"/>
        <v>-9.7299999999999998E-2</v>
      </c>
      <c r="Y117" s="29">
        <f t="shared" si="76"/>
        <v>-3.1E-2</v>
      </c>
      <c r="Z117">
        <v>68.532160000000005</v>
      </c>
      <c r="AA117" s="18">
        <f t="shared" si="77"/>
        <v>72.650000000000006</v>
      </c>
      <c r="AB117" s="38">
        <f t="shared" si="78"/>
        <v>-0.15049999999999999</v>
      </c>
      <c r="AC117" s="13">
        <f t="shared" si="79"/>
        <v>-6.6100000000000006E-2</v>
      </c>
      <c r="AD117" s="30">
        <f t="shared" si="85"/>
        <v>-29.92</v>
      </c>
      <c r="AE117" s="11">
        <f t="shared" si="88"/>
        <v>-3</v>
      </c>
      <c r="AF117" s="31">
        <f t="shared" si="80"/>
        <v>0</v>
      </c>
    </row>
    <row r="118" spans="1:32" x14ac:dyDescent="0.25">
      <c r="A118" s="5">
        <v>39813</v>
      </c>
      <c r="B118" s="10">
        <v>60.1</v>
      </c>
      <c r="C118" s="18">
        <f t="shared" si="81"/>
        <v>58.9</v>
      </c>
      <c r="D118" s="38">
        <f t="shared" si="82"/>
        <v>2.7900000000000001E-2</v>
      </c>
      <c r="E118" s="29">
        <f t="shared" si="83"/>
        <v>-5.1799999999999999E-2</v>
      </c>
      <c r="F118">
        <v>1114601</v>
      </c>
      <c r="G118">
        <f t="shared" si="86"/>
        <v>1159043</v>
      </c>
      <c r="H118" s="38">
        <f t="shared" si="84"/>
        <v>-4.0899999999999999E-2</v>
      </c>
      <c r="I118" s="13">
        <f t="shared" si="87"/>
        <v>-2.9499999999999998E-2</v>
      </c>
      <c r="J118">
        <v>-3.1</v>
      </c>
      <c r="K118">
        <f t="shared" si="66"/>
        <v>96.9</v>
      </c>
      <c r="L118" s="29">
        <f t="shared" si="67"/>
        <v>-4.1999999999999997E-3</v>
      </c>
      <c r="M118">
        <v>-1.83</v>
      </c>
      <c r="N118">
        <f t="shared" si="68"/>
        <v>98.17</v>
      </c>
      <c r="O118" s="13">
        <f t="shared" si="69"/>
        <v>-3.3E-3</v>
      </c>
      <c r="P118">
        <v>100.32</v>
      </c>
      <c r="Q118">
        <f t="shared" si="70"/>
        <v>100.557</v>
      </c>
      <c r="R118" s="13">
        <f t="shared" si="71"/>
        <v>-1.1999999999999999E-3</v>
      </c>
      <c r="S118">
        <v>69.5</v>
      </c>
      <c r="T118">
        <f t="shared" si="72"/>
        <v>61.8</v>
      </c>
      <c r="U118" s="13">
        <f t="shared" si="73"/>
        <v>-5.4800000000000001E-2</v>
      </c>
      <c r="V118">
        <v>301638</v>
      </c>
      <c r="W118" s="18">
        <f t="shared" si="74"/>
        <v>314772</v>
      </c>
      <c r="X118" s="38">
        <f t="shared" si="75"/>
        <v>-6.7400000000000002E-2</v>
      </c>
      <c r="Y118" s="29">
        <f t="shared" si="76"/>
        <v>-2.6599999999999999E-2</v>
      </c>
      <c r="Z118">
        <v>72.499650000000003</v>
      </c>
      <c r="AA118" s="18">
        <f t="shared" si="77"/>
        <v>76.69</v>
      </c>
      <c r="AB118" s="38">
        <f t="shared" si="78"/>
        <v>-0.1229</v>
      </c>
      <c r="AC118" s="13">
        <f t="shared" si="79"/>
        <v>-5.8099999999999999E-2</v>
      </c>
      <c r="AD118" s="30">
        <f t="shared" si="85"/>
        <v>-17.91</v>
      </c>
      <c r="AE118" s="11">
        <f t="shared" si="88"/>
        <v>-3</v>
      </c>
      <c r="AF118" s="31">
        <f t="shared" si="80"/>
        <v>4.29</v>
      </c>
    </row>
    <row r="119" spans="1:32" x14ac:dyDescent="0.25">
      <c r="A119" s="5">
        <v>39782</v>
      </c>
      <c r="B119" s="10">
        <v>55.3</v>
      </c>
      <c r="C119" s="18">
        <f t="shared" si="81"/>
        <v>55.9</v>
      </c>
      <c r="D119" s="38">
        <f t="shared" si="82"/>
        <v>-7.5999999999999998E-2</v>
      </c>
      <c r="E119" s="29">
        <f t="shared" si="83"/>
        <v>-3.49E-2</v>
      </c>
      <c r="F119">
        <v>1166248</v>
      </c>
      <c r="G119">
        <f t="shared" si="86"/>
        <v>1193687</v>
      </c>
      <c r="H119" s="38">
        <f t="shared" si="84"/>
        <v>1.4E-3</v>
      </c>
      <c r="I119" s="13">
        <f t="shared" si="87"/>
        <v>2.5000000000000001E-3</v>
      </c>
      <c r="J119">
        <v>-2.57</v>
      </c>
      <c r="K119">
        <f t="shared" si="66"/>
        <v>97.43</v>
      </c>
      <c r="L119" s="29">
        <f t="shared" si="67"/>
        <v>-3.5000000000000001E-3</v>
      </c>
      <c r="M119">
        <v>-1.18</v>
      </c>
      <c r="N119">
        <f t="shared" si="68"/>
        <v>98.82</v>
      </c>
      <c r="O119" s="13">
        <f t="shared" si="69"/>
        <v>-2.3E-3</v>
      </c>
      <c r="P119">
        <v>100.62</v>
      </c>
      <c r="Q119">
        <f t="shared" si="70"/>
        <v>100.73699999999999</v>
      </c>
      <c r="R119" s="13">
        <f t="shared" si="71"/>
        <v>-8.9999999999999998E-4</v>
      </c>
      <c r="S119">
        <v>57.5</v>
      </c>
      <c r="T119">
        <f t="shared" si="72"/>
        <v>63.633000000000003</v>
      </c>
      <c r="U119" s="13">
        <f t="shared" si="73"/>
        <v>-3.27E-2</v>
      </c>
      <c r="V119">
        <v>314648</v>
      </c>
      <c r="W119" s="18">
        <f t="shared" si="74"/>
        <v>325505</v>
      </c>
      <c r="X119" s="38">
        <f t="shared" si="75"/>
        <v>-3.44E-2</v>
      </c>
      <c r="Y119" s="29">
        <f t="shared" si="76"/>
        <v>-1.7600000000000001E-2</v>
      </c>
      <c r="Z119">
        <v>76.914919999999995</v>
      </c>
      <c r="AA119" s="18">
        <f t="shared" si="77"/>
        <v>80.3</v>
      </c>
      <c r="AB119" s="38">
        <f t="shared" si="78"/>
        <v>-9.6199999999999994E-2</v>
      </c>
      <c r="AC119" s="13">
        <f t="shared" si="79"/>
        <v>-4.4900000000000002E-2</v>
      </c>
      <c r="AD119" s="30">
        <f t="shared" si="85"/>
        <v>0.88</v>
      </c>
      <c r="AE119" s="11">
        <f t="shared" si="88"/>
        <v>-3</v>
      </c>
      <c r="AF119" s="31">
        <f t="shared" si="80"/>
        <v>30.59</v>
      </c>
    </row>
    <row r="120" spans="1:32" x14ac:dyDescent="0.25">
      <c r="A120" s="5">
        <v>39752</v>
      </c>
      <c r="B120" s="10">
        <v>57.6</v>
      </c>
      <c r="C120" s="18">
        <f t="shared" si="81"/>
        <v>60.8</v>
      </c>
      <c r="D120" s="38">
        <f t="shared" si="82"/>
        <v>-5.4399999999999997E-2</v>
      </c>
      <c r="E120" s="29">
        <f t="shared" si="83"/>
        <v>4.1999999999999997E-3</v>
      </c>
      <c r="F120">
        <v>1196279</v>
      </c>
      <c r="G120">
        <f t="shared" si="86"/>
        <v>1212699</v>
      </c>
      <c r="H120" s="38">
        <f t="shared" si="84"/>
        <v>2.6800000000000001E-2</v>
      </c>
      <c r="I120" s="13">
        <f t="shared" si="87"/>
        <v>2.3300000000000001E-2</v>
      </c>
      <c r="J120">
        <v>-2.5499999999999998</v>
      </c>
      <c r="K120">
        <f t="shared" si="66"/>
        <v>97.45</v>
      </c>
      <c r="L120" s="29">
        <f t="shared" si="67"/>
        <v>-3.3E-3</v>
      </c>
      <c r="M120">
        <v>-0.64</v>
      </c>
      <c r="N120">
        <f t="shared" si="68"/>
        <v>99.36</v>
      </c>
      <c r="O120" s="13">
        <f t="shared" si="69"/>
        <v>-1.5E-3</v>
      </c>
      <c r="P120">
        <v>100.73</v>
      </c>
      <c r="Q120">
        <f t="shared" si="70"/>
        <v>100.84</v>
      </c>
      <c r="R120" s="13">
        <f t="shared" si="71"/>
        <v>-6.9999999999999999E-4</v>
      </c>
      <c r="S120">
        <v>58.4</v>
      </c>
      <c r="T120">
        <f t="shared" si="72"/>
        <v>68.132999999999996</v>
      </c>
      <c r="U120" s="13">
        <f t="shared" si="73"/>
        <v>-1.49E-2</v>
      </c>
      <c r="V120">
        <v>328031</v>
      </c>
      <c r="W120" s="18">
        <f t="shared" si="74"/>
        <v>332812</v>
      </c>
      <c r="X120" s="38">
        <f t="shared" si="75"/>
        <v>-9.7000000000000003E-3</v>
      </c>
      <c r="Y120" s="29">
        <f t="shared" si="76"/>
        <v>-7.1999999999999998E-3</v>
      </c>
      <c r="Z120">
        <v>80.646829999999994</v>
      </c>
      <c r="AA120" s="18">
        <f t="shared" si="77"/>
        <v>83.19</v>
      </c>
      <c r="AB120" s="38">
        <f t="shared" si="78"/>
        <v>-7.2300000000000003E-2</v>
      </c>
      <c r="AC120" s="13">
        <f t="shared" si="79"/>
        <v>-3.4599999999999999E-2</v>
      </c>
      <c r="AD120" s="30">
        <f t="shared" si="85"/>
        <v>29.89</v>
      </c>
      <c r="AE120" s="11">
        <f t="shared" si="88"/>
        <v>-3</v>
      </c>
      <c r="AF120" s="31">
        <f t="shared" si="80"/>
        <v>43.9</v>
      </c>
    </row>
    <row r="121" spans="1:32" x14ac:dyDescent="0.25">
      <c r="A121" s="5">
        <v>39721</v>
      </c>
      <c r="B121" s="10">
        <v>70.3</v>
      </c>
      <c r="C121" s="18">
        <f t="shared" si="81"/>
        <v>68.5</v>
      </c>
      <c r="D121" s="38">
        <f t="shared" si="82"/>
        <v>-1.8599999999999998E-2</v>
      </c>
      <c r="E121" s="29">
        <f t="shared" si="83"/>
        <v>6.2300000000000001E-2</v>
      </c>
      <c r="F121">
        <v>1218535</v>
      </c>
      <c r="G121">
        <f t="shared" si="86"/>
        <v>1215736</v>
      </c>
      <c r="H121" s="38">
        <f t="shared" si="84"/>
        <v>3.4700000000000002E-2</v>
      </c>
      <c r="I121" s="13">
        <f t="shared" si="87"/>
        <v>2.8899999999999999E-2</v>
      </c>
      <c r="J121">
        <v>-1.69</v>
      </c>
      <c r="K121">
        <f t="shared" si="66"/>
        <v>98.31</v>
      </c>
      <c r="L121" s="29">
        <f t="shared" si="67"/>
        <v>-1.1999999999999999E-3</v>
      </c>
      <c r="M121">
        <v>-0.85</v>
      </c>
      <c r="N121">
        <f t="shared" si="68"/>
        <v>99.15</v>
      </c>
      <c r="O121" s="13">
        <f t="shared" si="69"/>
        <v>-2.5999999999999999E-3</v>
      </c>
      <c r="P121">
        <v>100.86</v>
      </c>
      <c r="Q121">
        <f t="shared" si="70"/>
        <v>100.92700000000001</v>
      </c>
      <c r="R121" s="13">
        <f t="shared" si="71"/>
        <v>-4.0000000000000002E-4</v>
      </c>
      <c r="S121">
        <v>75</v>
      </c>
      <c r="T121">
        <f t="shared" si="72"/>
        <v>73.033000000000001</v>
      </c>
      <c r="U121" s="13">
        <f t="shared" si="73"/>
        <v>1.9E-3</v>
      </c>
      <c r="V121">
        <v>333836</v>
      </c>
      <c r="W121" s="18">
        <f t="shared" si="74"/>
        <v>336213</v>
      </c>
      <c r="X121" s="38">
        <f t="shared" si="75"/>
        <v>3.5999999999999999E-3</v>
      </c>
      <c r="Y121" s="29">
        <f t="shared" si="76"/>
        <v>-1.1000000000000001E-3</v>
      </c>
      <c r="Z121">
        <v>83.346199999999996</v>
      </c>
      <c r="AA121" s="18">
        <f t="shared" si="77"/>
        <v>85.52</v>
      </c>
      <c r="AB121" s="38">
        <f t="shared" si="78"/>
        <v>-5.1499999999999997E-2</v>
      </c>
      <c r="AC121" s="13">
        <f t="shared" si="79"/>
        <v>-2.8299999999999999E-2</v>
      </c>
      <c r="AD121" s="30">
        <f t="shared" si="85"/>
        <v>60.99</v>
      </c>
      <c r="AE121" s="11">
        <f t="shared" si="88"/>
        <v>-1</v>
      </c>
      <c r="AF121" s="31">
        <f t="shared" si="80"/>
        <v>43.17</v>
      </c>
    </row>
    <row r="122" spans="1:32" x14ac:dyDescent="0.25">
      <c r="A122" s="5">
        <v>39691</v>
      </c>
      <c r="B122" s="10">
        <v>63</v>
      </c>
      <c r="C122" s="18">
        <f t="shared" si="81"/>
        <v>62.6</v>
      </c>
      <c r="D122" s="38">
        <f t="shared" si="82"/>
        <v>-0.1389</v>
      </c>
      <c r="E122" s="29">
        <f t="shared" si="83"/>
        <v>1.18E-2</v>
      </c>
      <c r="F122">
        <v>1223283</v>
      </c>
      <c r="G122">
        <f t="shared" si="86"/>
        <v>1208424</v>
      </c>
      <c r="H122" s="38">
        <f t="shared" si="84"/>
        <v>3.1399999999999997E-2</v>
      </c>
      <c r="I122" s="13">
        <f t="shared" si="87"/>
        <v>2.29E-2</v>
      </c>
      <c r="J122">
        <v>-1.46</v>
      </c>
      <c r="K122">
        <f t="shared" si="66"/>
        <v>98.54</v>
      </c>
      <c r="L122" s="29">
        <f t="shared" si="67"/>
        <v>-1.1000000000000001E-3</v>
      </c>
      <c r="M122">
        <v>-0.48</v>
      </c>
      <c r="N122">
        <f t="shared" si="68"/>
        <v>99.52</v>
      </c>
      <c r="O122" s="13">
        <f t="shared" si="69"/>
        <v>-2.0999999999999999E-3</v>
      </c>
      <c r="P122">
        <v>100.93</v>
      </c>
      <c r="Q122">
        <f t="shared" si="70"/>
        <v>101.01</v>
      </c>
      <c r="R122" s="13">
        <f t="shared" si="71"/>
        <v>1E-4</v>
      </c>
      <c r="S122">
        <v>71</v>
      </c>
      <c r="T122">
        <f t="shared" si="72"/>
        <v>70.566999999999993</v>
      </c>
      <c r="U122" s="13">
        <f t="shared" si="73"/>
        <v>-3.4200000000000001E-2</v>
      </c>
      <c r="V122">
        <v>336570</v>
      </c>
      <c r="W122" s="18">
        <f t="shared" si="74"/>
        <v>337522</v>
      </c>
      <c r="X122" s="38">
        <f t="shared" si="75"/>
        <v>5.4000000000000003E-3</v>
      </c>
      <c r="Y122" s="29">
        <f t="shared" si="76"/>
        <v>1.1000000000000001E-3</v>
      </c>
      <c r="Z122">
        <v>85.573210000000003</v>
      </c>
      <c r="AA122" s="18">
        <f t="shared" si="77"/>
        <v>87.44</v>
      </c>
      <c r="AB122" s="38">
        <f t="shared" si="78"/>
        <v>-3.6299999999999999E-2</v>
      </c>
      <c r="AC122" s="13">
        <f t="shared" si="79"/>
        <v>-2.1100000000000001E-2</v>
      </c>
      <c r="AD122" s="30">
        <f t="shared" si="85"/>
        <v>40.82</v>
      </c>
      <c r="AE122" s="11">
        <f t="shared" si="88"/>
        <v>-2</v>
      </c>
      <c r="AF122" s="31">
        <f t="shared" si="80"/>
        <v>28.85</v>
      </c>
    </row>
    <row r="123" spans="1:32" x14ac:dyDescent="0.25">
      <c r="A123" s="5">
        <v>39660</v>
      </c>
      <c r="B123" s="10">
        <v>61.2</v>
      </c>
      <c r="C123" s="18">
        <f t="shared" si="81"/>
        <v>60</v>
      </c>
      <c r="D123" s="38">
        <f t="shared" si="82"/>
        <v>-0.2278</v>
      </c>
      <c r="E123" s="29">
        <f t="shared" si="83"/>
        <v>-2.3599999999999999E-2</v>
      </c>
      <c r="F123">
        <v>1205389</v>
      </c>
      <c r="G123">
        <f t="shared" si="86"/>
        <v>1191966</v>
      </c>
      <c r="H123" s="38">
        <f t="shared" si="84"/>
        <v>1.72E-2</v>
      </c>
      <c r="I123" s="13">
        <f t="shared" si="87"/>
        <v>1.26E-2</v>
      </c>
      <c r="J123">
        <v>-1.2</v>
      </c>
      <c r="K123">
        <f t="shared" si="66"/>
        <v>98.8</v>
      </c>
      <c r="L123" s="29">
        <f t="shared" si="67"/>
        <v>-1E-3</v>
      </c>
      <c r="M123">
        <v>-0.18</v>
      </c>
      <c r="N123">
        <f t="shared" si="68"/>
        <v>99.82</v>
      </c>
      <c r="O123" s="13">
        <f t="shared" si="69"/>
        <v>-1E-3</v>
      </c>
      <c r="P123">
        <v>100.99</v>
      </c>
      <c r="Q123">
        <f t="shared" si="70"/>
        <v>101.04</v>
      </c>
      <c r="R123" s="13">
        <f t="shared" si="71"/>
        <v>5.0000000000000001E-4</v>
      </c>
      <c r="S123">
        <v>73.099999999999994</v>
      </c>
      <c r="T123">
        <f t="shared" si="72"/>
        <v>71.332999999999998</v>
      </c>
      <c r="U123" s="13">
        <f t="shared" si="73"/>
        <v>-4.4499999999999998E-2</v>
      </c>
      <c r="V123">
        <v>338234</v>
      </c>
      <c r="W123" s="18">
        <f t="shared" si="74"/>
        <v>337118</v>
      </c>
      <c r="X123" s="38">
        <f t="shared" si="75"/>
        <v>2.3999999999999998E-3</v>
      </c>
      <c r="Y123" s="29">
        <f t="shared" si="76"/>
        <v>2.8E-3</v>
      </c>
      <c r="Z123">
        <v>87.627930000000006</v>
      </c>
      <c r="AA123" s="18">
        <f t="shared" si="77"/>
        <v>88.85</v>
      </c>
      <c r="AB123" s="38">
        <f t="shared" si="78"/>
        <v>-2.86E-2</v>
      </c>
      <c r="AC123" s="13">
        <f t="shared" si="79"/>
        <v>-1.2500000000000001E-2</v>
      </c>
      <c r="AD123" s="30">
        <f t="shared" si="85"/>
        <v>27.7</v>
      </c>
      <c r="AE123" s="11">
        <f t="shared" si="88"/>
        <v>-3</v>
      </c>
      <c r="AF123" s="31">
        <f t="shared" si="80"/>
        <v>24.86</v>
      </c>
    </row>
    <row r="124" spans="1:32" x14ac:dyDescent="0.25">
      <c r="A124" s="5">
        <v>39629</v>
      </c>
      <c r="B124" s="10">
        <v>56.4</v>
      </c>
      <c r="C124" s="18">
        <f t="shared" si="81"/>
        <v>57.3</v>
      </c>
      <c r="D124" s="38">
        <f t="shared" si="82"/>
        <v>-0.24310000000000001</v>
      </c>
      <c r="E124" s="29">
        <f t="shared" si="83"/>
        <v>-6.4199999999999993E-2</v>
      </c>
      <c r="F124">
        <v>1196599</v>
      </c>
      <c r="G124">
        <f t="shared" si="86"/>
        <v>1181063</v>
      </c>
      <c r="H124" s="38">
        <f t="shared" si="84"/>
        <v>1.52E-2</v>
      </c>
      <c r="I124" s="13">
        <f t="shared" si="87"/>
        <v>8.8999999999999999E-3</v>
      </c>
      <c r="J124">
        <v>-1.24</v>
      </c>
      <c r="K124">
        <f t="shared" si="66"/>
        <v>98.76</v>
      </c>
      <c r="L124" s="29">
        <f t="shared" si="67"/>
        <v>-2E-3</v>
      </c>
      <c r="M124">
        <v>-0.08</v>
      </c>
      <c r="N124">
        <f t="shared" si="68"/>
        <v>99.92</v>
      </c>
      <c r="O124" s="13">
        <f t="shared" si="69"/>
        <v>-1.1999999999999999E-3</v>
      </c>
      <c r="P124">
        <v>101.11</v>
      </c>
      <c r="Q124">
        <f t="shared" si="70"/>
        <v>101.05</v>
      </c>
      <c r="R124" s="13">
        <f t="shared" si="71"/>
        <v>8.9999999999999998E-4</v>
      </c>
      <c r="S124">
        <v>67.599999999999994</v>
      </c>
      <c r="T124">
        <f t="shared" si="72"/>
        <v>72.632999999999996</v>
      </c>
      <c r="U124" s="13">
        <f t="shared" si="73"/>
        <v>-0.06</v>
      </c>
      <c r="V124">
        <v>337762</v>
      </c>
      <c r="W124" s="18">
        <f t="shared" si="74"/>
        <v>336074</v>
      </c>
      <c r="X124" s="38">
        <f t="shared" si="75"/>
        <v>-6.8999999999999999E-3</v>
      </c>
      <c r="Y124" s="29">
        <f t="shared" si="76"/>
        <v>2.0000000000000001E-4</v>
      </c>
      <c r="Z124">
        <v>89.131039999999999</v>
      </c>
      <c r="AA124" s="18">
        <f t="shared" si="77"/>
        <v>89.67</v>
      </c>
      <c r="AB124" s="38">
        <f t="shared" si="78"/>
        <v>-2.5600000000000001E-2</v>
      </c>
      <c r="AC124" s="13">
        <f t="shared" si="79"/>
        <v>-6.8999999999999999E-3</v>
      </c>
      <c r="AD124" s="30">
        <f t="shared" si="85"/>
        <v>18.04</v>
      </c>
      <c r="AE124" s="11">
        <f t="shared" si="88"/>
        <v>-3</v>
      </c>
      <c r="AF124" s="31">
        <f t="shared" si="80"/>
        <v>28.41</v>
      </c>
    </row>
    <row r="125" spans="1:32" x14ac:dyDescent="0.25">
      <c r="A125" s="5">
        <v>39599</v>
      </c>
      <c r="B125" s="10">
        <v>59.8</v>
      </c>
      <c r="C125" s="18">
        <f t="shared" si="81"/>
        <v>60.5</v>
      </c>
      <c r="D125" s="38">
        <f t="shared" si="82"/>
        <v>-0.21729999999999999</v>
      </c>
      <c r="E125" s="29">
        <f t="shared" si="83"/>
        <v>-5.8999999999999997E-2</v>
      </c>
      <c r="F125">
        <v>1173911</v>
      </c>
      <c r="G125">
        <f t="shared" si="86"/>
        <v>1174970</v>
      </c>
      <c r="H125" s="38">
        <f t="shared" si="84"/>
        <v>1.66E-2</v>
      </c>
      <c r="I125" s="13">
        <f t="shared" si="87"/>
        <v>1.18E-2</v>
      </c>
      <c r="J125">
        <v>-1.2</v>
      </c>
      <c r="K125">
        <f t="shared" si="66"/>
        <v>98.8</v>
      </c>
      <c r="L125" s="29">
        <f t="shared" si="67"/>
        <v>-1.8E-3</v>
      </c>
      <c r="M125">
        <v>0.15</v>
      </c>
      <c r="N125">
        <f t="shared" si="68"/>
        <v>100.15</v>
      </c>
      <c r="O125" s="13">
        <f t="shared" si="69"/>
        <v>-6.9999999999999999E-4</v>
      </c>
      <c r="P125">
        <v>101.02</v>
      </c>
      <c r="Q125">
        <f t="shared" si="70"/>
        <v>100.973</v>
      </c>
      <c r="R125" s="13">
        <f t="shared" si="71"/>
        <v>1E-3</v>
      </c>
      <c r="S125">
        <v>73.3</v>
      </c>
      <c r="T125">
        <f t="shared" si="72"/>
        <v>78.167000000000002</v>
      </c>
      <c r="U125" s="13">
        <f t="shared" si="73"/>
        <v>-4.4699999999999997E-2</v>
      </c>
      <c r="V125">
        <v>335357</v>
      </c>
      <c r="W125" s="18">
        <f t="shared" si="74"/>
        <v>334995</v>
      </c>
      <c r="X125" s="38">
        <f t="shared" si="75"/>
        <v>-0.01</v>
      </c>
      <c r="Y125" s="29">
        <f t="shared" si="76"/>
        <v>-1.1000000000000001E-3</v>
      </c>
      <c r="Z125">
        <v>89.795140000000004</v>
      </c>
      <c r="AA125" s="18">
        <f t="shared" si="77"/>
        <v>90.16</v>
      </c>
      <c r="AB125" s="38">
        <f t="shared" si="78"/>
        <v>-1.9300000000000001E-2</v>
      </c>
      <c r="AC125" s="13">
        <f t="shared" si="79"/>
        <v>-7.3000000000000001E-3</v>
      </c>
      <c r="AD125" s="30">
        <f t="shared" si="85"/>
        <v>28.85</v>
      </c>
      <c r="AE125" s="11">
        <f t="shared" si="88"/>
        <v>-3</v>
      </c>
      <c r="AF125" s="31">
        <f t="shared" si="80"/>
        <v>43.16</v>
      </c>
    </row>
    <row r="126" spans="1:32" x14ac:dyDescent="0.25">
      <c r="A126" s="5">
        <v>39568</v>
      </c>
      <c r="B126" s="10">
        <v>62.6</v>
      </c>
      <c r="C126" s="18">
        <f t="shared" si="81"/>
        <v>64.3</v>
      </c>
      <c r="D126" s="38">
        <f t="shared" si="82"/>
        <v>-0.21099999999999999</v>
      </c>
      <c r="E126" s="29">
        <f t="shared" si="83"/>
        <v>-6.0900000000000003E-2</v>
      </c>
      <c r="F126">
        <v>1172679</v>
      </c>
      <c r="G126">
        <f t="shared" si="86"/>
        <v>1171663</v>
      </c>
      <c r="H126" s="38">
        <f t="shared" si="84"/>
        <v>2.6100000000000002E-2</v>
      </c>
      <c r="I126" s="13">
        <f t="shared" si="87"/>
        <v>1.9900000000000001E-2</v>
      </c>
      <c r="J126">
        <v>-1.02</v>
      </c>
      <c r="K126">
        <f t="shared" si="66"/>
        <v>98.98</v>
      </c>
      <c r="L126" s="29">
        <f t="shared" si="67"/>
        <v>-1.6999999999999999E-3</v>
      </c>
      <c r="M126">
        <v>0.12</v>
      </c>
      <c r="N126">
        <f t="shared" si="68"/>
        <v>100.12</v>
      </c>
      <c r="O126" s="13">
        <f t="shared" si="69"/>
        <v>-4.0000000000000002E-4</v>
      </c>
      <c r="P126">
        <v>101.02</v>
      </c>
      <c r="Q126">
        <f t="shared" si="70"/>
        <v>100.88</v>
      </c>
      <c r="R126" s="13">
        <f t="shared" si="71"/>
        <v>1.1000000000000001E-3</v>
      </c>
      <c r="S126">
        <v>77</v>
      </c>
      <c r="T126">
        <f t="shared" si="72"/>
        <v>81.667000000000002</v>
      </c>
      <c r="U126" s="13">
        <f t="shared" si="73"/>
        <v>-3.95E-2</v>
      </c>
      <c r="V126">
        <v>335104</v>
      </c>
      <c r="W126" s="18">
        <f t="shared" si="74"/>
        <v>335722</v>
      </c>
      <c r="X126" s="38">
        <f t="shared" si="75"/>
        <v>-6.6E-3</v>
      </c>
      <c r="Y126" s="29">
        <f t="shared" si="76"/>
        <v>-4.3E-3</v>
      </c>
      <c r="Z126">
        <v>90.082470000000001</v>
      </c>
      <c r="AA126" s="18">
        <f t="shared" si="77"/>
        <v>90.73</v>
      </c>
      <c r="AB126" s="38">
        <f t="shared" si="78"/>
        <v>-4.0000000000000001E-3</v>
      </c>
      <c r="AC126" s="13">
        <f t="shared" si="79"/>
        <v>-9.9000000000000008E-3</v>
      </c>
      <c r="AD126" s="30">
        <f t="shared" si="85"/>
        <v>38.33</v>
      </c>
      <c r="AE126" s="11">
        <f t="shared" si="88"/>
        <v>-3</v>
      </c>
      <c r="AF126" s="31">
        <f t="shared" si="80"/>
        <v>58.41</v>
      </c>
    </row>
    <row r="127" spans="1:32" x14ac:dyDescent="0.25">
      <c r="A127" s="5">
        <v>39538</v>
      </c>
      <c r="B127" s="10">
        <v>69.5</v>
      </c>
      <c r="C127" s="18">
        <f t="shared" si="81"/>
        <v>69.8</v>
      </c>
      <c r="D127" s="38">
        <f t="shared" si="82"/>
        <v>-0.16309999999999999</v>
      </c>
      <c r="E127" s="29">
        <f t="shared" si="83"/>
        <v>-2.6100000000000002E-2</v>
      </c>
      <c r="F127">
        <v>1178321</v>
      </c>
      <c r="G127">
        <f t="shared" si="86"/>
        <v>1171842</v>
      </c>
      <c r="H127" s="38">
        <f t="shared" si="84"/>
        <v>3.4599999999999999E-2</v>
      </c>
      <c r="I127" s="13">
        <f t="shared" si="87"/>
        <v>2.6599999999999999E-2</v>
      </c>
      <c r="J127">
        <v>-0.81</v>
      </c>
      <c r="K127">
        <f t="shared" si="66"/>
        <v>99.19</v>
      </c>
      <c r="L127" s="29">
        <f t="shared" si="67"/>
        <v>-1E-3</v>
      </c>
      <c r="M127">
        <v>0.28999999999999998</v>
      </c>
      <c r="N127">
        <f t="shared" si="68"/>
        <v>100.29</v>
      </c>
      <c r="O127" s="13">
        <f t="shared" si="69"/>
        <v>-4.0000000000000002E-4</v>
      </c>
      <c r="P127">
        <v>100.88</v>
      </c>
      <c r="Q127">
        <f t="shared" si="70"/>
        <v>100.773</v>
      </c>
      <c r="R127" s="13">
        <f t="shared" si="71"/>
        <v>1.1999999999999999E-3</v>
      </c>
      <c r="S127">
        <v>84.2</v>
      </c>
      <c r="T127">
        <f t="shared" si="72"/>
        <v>87.466999999999999</v>
      </c>
      <c r="U127" s="13">
        <f t="shared" si="73"/>
        <v>-2.1399999999999999E-2</v>
      </c>
      <c r="V127">
        <v>334524</v>
      </c>
      <c r="W127" s="18">
        <f t="shared" si="74"/>
        <v>336302</v>
      </c>
      <c r="X127" s="38">
        <f t="shared" si="75"/>
        <v>2.0999999999999999E-3</v>
      </c>
      <c r="Y127" s="29">
        <f t="shared" si="76"/>
        <v>-2.2000000000000001E-3</v>
      </c>
      <c r="Z127">
        <v>90.597849999999994</v>
      </c>
      <c r="AA127" s="18">
        <f t="shared" si="77"/>
        <v>91.47</v>
      </c>
      <c r="AB127" s="38">
        <f t="shared" si="78"/>
        <v>1.72E-2</v>
      </c>
      <c r="AC127" s="13">
        <f t="shared" si="79"/>
        <v>-8.3999999999999995E-3</v>
      </c>
      <c r="AD127" s="30">
        <f t="shared" si="85"/>
        <v>62.3</v>
      </c>
      <c r="AE127" s="11">
        <f t="shared" si="88"/>
        <v>-1</v>
      </c>
      <c r="AF127" s="31">
        <f t="shared" si="80"/>
        <v>72.34</v>
      </c>
    </row>
    <row r="128" spans="1:32" x14ac:dyDescent="0.25">
      <c r="A128" s="5">
        <v>39507</v>
      </c>
      <c r="B128" s="10">
        <v>70.8</v>
      </c>
      <c r="C128" s="18">
        <f t="shared" si="81"/>
        <v>72.7</v>
      </c>
      <c r="D128" s="38">
        <f t="shared" si="82"/>
        <v>-0.1467</v>
      </c>
      <c r="E128" s="29">
        <f t="shared" si="83"/>
        <v>-1.9900000000000001E-2</v>
      </c>
      <c r="F128">
        <v>1163990</v>
      </c>
      <c r="G128">
        <f t="shared" si="86"/>
        <v>1163350</v>
      </c>
      <c r="H128" s="38">
        <f t="shared" si="84"/>
        <v>3.1600000000000003E-2</v>
      </c>
      <c r="I128" s="13">
        <f t="shared" si="87"/>
        <v>2.5999999999999999E-2</v>
      </c>
      <c r="J128">
        <v>-0.43</v>
      </c>
      <c r="K128">
        <f t="shared" si="66"/>
        <v>99.57</v>
      </c>
      <c r="L128" s="29">
        <f t="shared" si="67"/>
        <v>-2.9999999999999997E-4</v>
      </c>
      <c r="M128">
        <v>0.37</v>
      </c>
      <c r="N128">
        <f t="shared" si="68"/>
        <v>100.37</v>
      </c>
      <c r="O128" s="13">
        <f t="shared" si="69"/>
        <v>-6.9999999999999999E-4</v>
      </c>
      <c r="P128">
        <v>100.74</v>
      </c>
      <c r="Q128">
        <f t="shared" si="70"/>
        <v>100.663</v>
      </c>
      <c r="R128" s="13">
        <f t="shared" si="71"/>
        <v>1.4E-3</v>
      </c>
      <c r="S128">
        <v>83.8</v>
      </c>
      <c r="T128">
        <f t="shared" si="72"/>
        <v>89.733000000000004</v>
      </c>
      <c r="U128" s="13">
        <f t="shared" si="73"/>
        <v>-2.1100000000000001E-2</v>
      </c>
      <c r="V128">
        <v>337537</v>
      </c>
      <c r="W128" s="18">
        <f t="shared" si="74"/>
        <v>338418</v>
      </c>
      <c r="X128" s="38">
        <f t="shared" si="75"/>
        <v>1.37E-2</v>
      </c>
      <c r="Y128" s="29">
        <f t="shared" si="76"/>
        <v>1.5E-3</v>
      </c>
      <c r="Z128">
        <v>91.514380000000003</v>
      </c>
      <c r="AA128" s="18">
        <f t="shared" si="77"/>
        <v>92.03</v>
      </c>
      <c r="AB128" s="38">
        <f t="shared" si="78"/>
        <v>3.3799999999999997E-2</v>
      </c>
      <c r="AC128" s="13">
        <f t="shared" si="79"/>
        <v>-2.9999999999999997E-4</v>
      </c>
      <c r="AD128" s="30">
        <f t="shared" si="85"/>
        <v>74.599999999999994</v>
      </c>
      <c r="AE128" s="11">
        <f t="shared" si="88"/>
        <v>1</v>
      </c>
      <c r="AF128" s="31">
        <f t="shared" si="80"/>
        <v>77.209999999999994</v>
      </c>
    </row>
    <row r="129" spans="1:32" x14ac:dyDescent="0.25">
      <c r="A129" s="5">
        <v>39478</v>
      </c>
      <c r="B129" s="10">
        <v>78.400000000000006</v>
      </c>
      <c r="C129" s="18">
        <f t="shared" si="81"/>
        <v>77.7</v>
      </c>
      <c r="D129" s="38">
        <f t="shared" si="82"/>
        <v>-0.12790000000000001</v>
      </c>
      <c r="E129" s="29">
        <f t="shared" si="83"/>
        <v>-1.6199999999999999E-2</v>
      </c>
      <c r="F129">
        <v>1173216</v>
      </c>
      <c r="G129">
        <f t="shared" si="86"/>
        <v>1155832</v>
      </c>
      <c r="H129" s="38">
        <f t="shared" si="84"/>
        <v>2.6200000000000001E-2</v>
      </c>
      <c r="I129" s="13">
        <f t="shared" si="87"/>
        <v>1.9400000000000001E-2</v>
      </c>
      <c r="J129">
        <v>-0.49</v>
      </c>
      <c r="K129">
        <f t="shared" si="66"/>
        <v>99.51</v>
      </c>
      <c r="L129" s="29">
        <f t="shared" si="67"/>
        <v>-2.9999999999999997E-4</v>
      </c>
      <c r="M129">
        <v>0.23</v>
      </c>
      <c r="N129">
        <f t="shared" si="68"/>
        <v>100.23</v>
      </c>
      <c r="O129" s="13">
        <f t="shared" si="69"/>
        <v>-5.9999999999999995E-4</v>
      </c>
      <c r="P129">
        <v>100.7</v>
      </c>
      <c r="Q129">
        <f t="shared" si="70"/>
        <v>100.54300000000001</v>
      </c>
      <c r="R129" s="13">
        <f t="shared" si="71"/>
        <v>1.4E-3</v>
      </c>
      <c r="S129">
        <v>94.4</v>
      </c>
      <c r="T129">
        <f t="shared" si="72"/>
        <v>92.3</v>
      </c>
      <c r="U129" s="13">
        <f t="shared" si="73"/>
        <v>-1.9699999999999999E-2</v>
      </c>
      <c r="V129">
        <v>336844</v>
      </c>
      <c r="W129" s="18">
        <f t="shared" si="74"/>
        <v>338391</v>
      </c>
      <c r="X129" s="38">
        <f t="shared" si="75"/>
        <v>1.8200000000000001E-2</v>
      </c>
      <c r="Y129" s="29">
        <f t="shared" si="76"/>
        <v>2.2000000000000001E-3</v>
      </c>
      <c r="Z129">
        <v>92.306089999999998</v>
      </c>
      <c r="AA129" s="18">
        <f t="shared" si="77"/>
        <v>91.93</v>
      </c>
      <c r="AB129" s="38">
        <f t="shared" si="78"/>
        <v>3.44E-2</v>
      </c>
      <c r="AC129" s="13">
        <f t="shared" si="79"/>
        <v>1.0200000000000001E-2</v>
      </c>
      <c r="AD129" s="30">
        <f t="shared" si="85"/>
        <v>80.11</v>
      </c>
      <c r="AE129" s="11">
        <f t="shared" si="88"/>
        <v>2</v>
      </c>
      <c r="AF129" s="31">
        <f t="shared" si="80"/>
        <v>77.36</v>
      </c>
    </row>
    <row r="130" spans="1:32" x14ac:dyDescent="0.25">
      <c r="A130" s="5">
        <v>39447</v>
      </c>
      <c r="B130" s="10">
        <v>75.5</v>
      </c>
      <c r="C130" s="18">
        <f t="shared" si="81"/>
        <v>75.7</v>
      </c>
      <c r="D130" s="38">
        <f t="shared" si="82"/>
        <v>-0.1208</v>
      </c>
      <c r="E130" s="29">
        <f t="shared" si="83"/>
        <v>-3.1800000000000002E-2</v>
      </c>
      <c r="F130">
        <v>1152843</v>
      </c>
      <c r="G130">
        <f t="shared" si="86"/>
        <v>1141909</v>
      </c>
      <c r="H130" s="38">
        <f t="shared" si="84"/>
        <v>1.7100000000000001E-2</v>
      </c>
      <c r="I130" s="13">
        <f t="shared" si="87"/>
        <v>1.14E-2</v>
      </c>
      <c r="J130">
        <v>-0.34</v>
      </c>
      <c r="K130">
        <f t="shared" si="66"/>
        <v>99.66</v>
      </c>
      <c r="L130" s="29">
        <f t="shared" si="67"/>
        <v>-2.9999999999999997E-4</v>
      </c>
      <c r="M130">
        <v>0.4</v>
      </c>
      <c r="N130">
        <f t="shared" si="68"/>
        <v>100.4</v>
      </c>
      <c r="O130" s="13">
        <f t="shared" si="69"/>
        <v>-4.0000000000000002E-4</v>
      </c>
      <c r="P130">
        <v>100.55</v>
      </c>
      <c r="Q130">
        <f t="shared" si="70"/>
        <v>100.4</v>
      </c>
      <c r="R130" s="13">
        <f t="shared" si="71"/>
        <v>1.2999999999999999E-3</v>
      </c>
      <c r="S130">
        <v>91</v>
      </c>
      <c r="T130">
        <f t="shared" si="72"/>
        <v>93.367000000000004</v>
      </c>
      <c r="U130" s="13">
        <f t="shared" si="73"/>
        <v>-2.35E-2</v>
      </c>
      <c r="V130">
        <v>340872</v>
      </c>
      <c r="W130" s="18">
        <f t="shared" si="74"/>
        <v>337946</v>
      </c>
      <c r="X130" s="38">
        <f t="shared" si="75"/>
        <v>1.6500000000000001E-2</v>
      </c>
      <c r="Y130" s="29">
        <f t="shared" si="76"/>
        <v>6.4999999999999997E-3</v>
      </c>
      <c r="Z130">
        <v>92.259960000000007</v>
      </c>
      <c r="AA130" s="18">
        <f t="shared" si="77"/>
        <v>91.09</v>
      </c>
      <c r="AB130" s="38">
        <f t="shared" si="78"/>
        <v>1.77E-2</v>
      </c>
      <c r="AC130" s="13">
        <f t="shared" si="79"/>
        <v>1.6299999999999999E-2</v>
      </c>
      <c r="AD130" s="30">
        <f t="shared" si="85"/>
        <v>76.92</v>
      </c>
      <c r="AE130" s="11">
        <f t="shared" si="88"/>
        <v>1</v>
      </c>
      <c r="AF130" s="31">
        <f t="shared" si="80"/>
        <v>77.91</v>
      </c>
    </row>
    <row r="131" spans="1:32" x14ac:dyDescent="0.25">
      <c r="A131" s="5">
        <v>39416</v>
      </c>
      <c r="B131" s="10">
        <v>76.099999999999994</v>
      </c>
      <c r="C131" s="18">
        <f t="shared" si="81"/>
        <v>77.3</v>
      </c>
      <c r="D131" s="38">
        <f t="shared" si="82"/>
        <v>-0.1216</v>
      </c>
      <c r="E131" s="29">
        <f t="shared" si="83"/>
        <v>-3.1600000000000003E-2</v>
      </c>
      <c r="F131">
        <v>1141436</v>
      </c>
      <c r="G131">
        <f t="shared" si="86"/>
        <v>1132706</v>
      </c>
      <c r="H131" s="38">
        <f t="shared" si="84"/>
        <v>1.46E-2</v>
      </c>
      <c r="I131" s="13">
        <f t="shared" si="87"/>
        <v>9.4999999999999998E-3</v>
      </c>
      <c r="J131">
        <v>-0.42</v>
      </c>
      <c r="K131">
        <f t="shared" si="66"/>
        <v>99.58</v>
      </c>
      <c r="L131" s="29">
        <f t="shared" si="67"/>
        <v>-6.9999999999999999E-4</v>
      </c>
      <c r="M131">
        <v>0.59</v>
      </c>
      <c r="N131">
        <f t="shared" si="68"/>
        <v>100.59</v>
      </c>
      <c r="O131" s="13">
        <f t="shared" si="69"/>
        <v>2.0000000000000001E-4</v>
      </c>
      <c r="P131">
        <v>100.38</v>
      </c>
      <c r="Q131">
        <f t="shared" si="70"/>
        <v>100.253</v>
      </c>
      <c r="R131" s="13">
        <f t="shared" si="71"/>
        <v>1.2999999999999999E-3</v>
      </c>
      <c r="S131">
        <v>91.5</v>
      </c>
      <c r="T131">
        <f t="shared" si="72"/>
        <v>95.667000000000002</v>
      </c>
      <c r="U131" s="13">
        <f t="shared" si="73"/>
        <v>-1.9800000000000002E-2</v>
      </c>
      <c r="V131">
        <v>337458</v>
      </c>
      <c r="W131" s="18">
        <f t="shared" si="74"/>
        <v>335599</v>
      </c>
      <c r="X131" s="38">
        <f t="shared" si="75"/>
        <v>1.21E-2</v>
      </c>
      <c r="Y131" s="29">
        <f t="shared" si="76"/>
        <v>4.7999999999999996E-3</v>
      </c>
      <c r="Z131">
        <v>91.212800000000001</v>
      </c>
      <c r="AA131" s="18">
        <f t="shared" si="77"/>
        <v>89.92</v>
      </c>
      <c r="AB131" s="38">
        <f t="shared" si="78"/>
        <v>-5.3E-3</v>
      </c>
      <c r="AC131" s="13">
        <f t="shared" si="79"/>
        <v>1.37E-2</v>
      </c>
      <c r="AD131" s="30">
        <f t="shared" si="85"/>
        <v>75.06</v>
      </c>
      <c r="AE131" s="11">
        <f t="shared" si="88"/>
        <v>1</v>
      </c>
      <c r="AF131" s="31">
        <f t="shared" si="80"/>
        <v>82.05</v>
      </c>
    </row>
    <row r="132" spans="1:32" x14ac:dyDescent="0.25">
      <c r="A132" s="5">
        <v>39386</v>
      </c>
      <c r="B132" s="10">
        <v>80.900000000000006</v>
      </c>
      <c r="C132" s="18">
        <f t="shared" si="81"/>
        <v>81.5</v>
      </c>
      <c r="D132" s="38">
        <f t="shared" si="82"/>
        <v>-6.7500000000000004E-2</v>
      </c>
      <c r="E132" s="29">
        <f t="shared" si="83"/>
        <v>-2.9499999999999998E-2</v>
      </c>
      <c r="F132">
        <v>1131448</v>
      </c>
      <c r="G132">
        <f t="shared" si="86"/>
        <v>1127680</v>
      </c>
      <c r="H132" s="38">
        <f t="shared" si="84"/>
        <v>1.9800000000000002E-2</v>
      </c>
      <c r="I132" s="13">
        <f t="shared" si="87"/>
        <v>1.43E-2</v>
      </c>
      <c r="J132">
        <v>-0.33</v>
      </c>
      <c r="K132">
        <f t="shared" si="66"/>
        <v>99.67</v>
      </c>
      <c r="L132" s="29">
        <f t="shared" si="67"/>
        <v>-8.9999999999999998E-4</v>
      </c>
      <c r="M132">
        <v>0.41</v>
      </c>
      <c r="N132">
        <f t="shared" si="68"/>
        <v>100.41</v>
      </c>
      <c r="O132" s="13">
        <f t="shared" si="69"/>
        <v>-1E-3</v>
      </c>
      <c r="P132">
        <v>100.27</v>
      </c>
      <c r="Q132">
        <f t="shared" si="70"/>
        <v>100.127</v>
      </c>
      <c r="R132" s="13">
        <f t="shared" si="71"/>
        <v>1.4E-3</v>
      </c>
      <c r="S132">
        <v>97.6</v>
      </c>
      <c r="T132">
        <f t="shared" si="72"/>
        <v>97.966999999999999</v>
      </c>
      <c r="U132" s="13">
        <f t="shared" si="73"/>
        <v>-1.9199999999999998E-2</v>
      </c>
      <c r="V132">
        <v>335509</v>
      </c>
      <c r="W132" s="18">
        <f t="shared" si="74"/>
        <v>333856</v>
      </c>
      <c r="X132" s="38">
        <f t="shared" si="75"/>
        <v>7.0000000000000001E-3</v>
      </c>
      <c r="Y132" s="29">
        <f t="shared" si="76"/>
        <v>1E-3</v>
      </c>
      <c r="Z132">
        <v>89.799589999999995</v>
      </c>
      <c r="AA132" s="18">
        <f t="shared" si="77"/>
        <v>89.02</v>
      </c>
      <c r="AB132" s="38">
        <f t="shared" si="78"/>
        <v>-1.8700000000000001E-2</v>
      </c>
      <c r="AC132" s="13">
        <f t="shared" si="79"/>
        <v>3.8999999999999998E-3</v>
      </c>
      <c r="AD132" s="30">
        <f t="shared" si="85"/>
        <v>81.75</v>
      </c>
      <c r="AE132" s="11">
        <f t="shared" si="88"/>
        <v>2</v>
      </c>
      <c r="AF132" s="31">
        <f t="shared" si="80"/>
        <v>88.11</v>
      </c>
    </row>
    <row r="133" spans="1:32" x14ac:dyDescent="0.25">
      <c r="A133" s="5">
        <v>39355</v>
      </c>
      <c r="B133" s="10">
        <v>83.4</v>
      </c>
      <c r="C133" s="18">
        <f t="shared" si="81"/>
        <v>83.4</v>
      </c>
      <c r="D133" s="38">
        <f t="shared" si="82"/>
        <v>-6.4000000000000001E-2</v>
      </c>
      <c r="E133" s="29">
        <f t="shared" si="83"/>
        <v>-1.04E-2</v>
      </c>
      <c r="F133">
        <v>1125234</v>
      </c>
      <c r="G133">
        <f t="shared" si="86"/>
        <v>1126310</v>
      </c>
      <c r="H133" s="38">
        <f t="shared" si="84"/>
        <v>2.93E-2</v>
      </c>
      <c r="I133" s="13">
        <f t="shared" si="87"/>
        <v>2.23E-2</v>
      </c>
      <c r="J133">
        <v>-0.36</v>
      </c>
      <c r="K133">
        <f t="shared" si="66"/>
        <v>99.64</v>
      </c>
      <c r="L133" s="29">
        <f t="shared" si="67"/>
        <v>-1.1999999999999999E-3</v>
      </c>
      <c r="M133">
        <v>0.52</v>
      </c>
      <c r="N133">
        <f t="shared" si="68"/>
        <v>100.52</v>
      </c>
      <c r="O133" s="13">
        <f t="shared" si="69"/>
        <v>-2.2000000000000001E-3</v>
      </c>
      <c r="P133">
        <v>100.11</v>
      </c>
      <c r="Q133">
        <f t="shared" si="70"/>
        <v>100.01</v>
      </c>
      <c r="R133" s="13">
        <f t="shared" si="71"/>
        <v>1.8E-3</v>
      </c>
      <c r="S133">
        <v>97.9</v>
      </c>
      <c r="T133">
        <f t="shared" si="72"/>
        <v>100.267</v>
      </c>
      <c r="U133" s="13">
        <f t="shared" si="73"/>
        <v>-1.1599999999999999E-2</v>
      </c>
      <c r="V133">
        <v>333830</v>
      </c>
      <c r="W133" s="18">
        <f t="shared" si="74"/>
        <v>332353</v>
      </c>
      <c r="X133" s="38">
        <f t="shared" si="75"/>
        <v>8.6E-3</v>
      </c>
      <c r="Y133" s="29">
        <f t="shared" si="76"/>
        <v>3.0999999999999999E-3</v>
      </c>
      <c r="Z133">
        <v>88.732929999999996</v>
      </c>
      <c r="AA133" s="18">
        <f t="shared" si="77"/>
        <v>88.87</v>
      </c>
      <c r="AB133" s="38">
        <f t="shared" si="78"/>
        <v>-1.2999999999999999E-2</v>
      </c>
      <c r="AC133" s="13">
        <f t="shared" si="79"/>
        <v>-7.6E-3</v>
      </c>
      <c r="AD133" s="30">
        <f t="shared" si="85"/>
        <v>89.35</v>
      </c>
      <c r="AE133" s="11">
        <f t="shared" si="88"/>
        <v>3</v>
      </c>
      <c r="AF133" s="31">
        <f t="shared" si="80"/>
        <v>95.78</v>
      </c>
    </row>
    <row r="134" spans="1:32" x14ac:dyDescent="0.25">
      <c r="A134" s="5">
        <v>39325</v>
      </c>
      <c r="B134" s="10">
        <v>83.4</v>
      </c>
      <c r="C134" s="18">
        <f t="shared" si="81"/>
        <v>85.2</v>
      </c>
      <c r="D134" s="38">
        <f t="shared" si="82"/>
        <v>-8.09E-2</v>
      </c>
      <c r="E134" s="29">
        <f t="shared" si="83"/>
        <v>-1.06E-2</v>
      </c>
      <c r="F134">
        <v>1126359</v>
      </c>
      <c r="G134">
        <f t="shared" si="86"/>
        <v>1122695</v>
      </c>
      <c r="H134" s="38">
        <f t="shared" si="84"/>
        <v>2.9399999999999999E-2</v>
      </c>
      <c r="I134" s="13">
        <f t="shared" si="87"/>
        <v>2.4799999999999999E-2</v>
      </c>
      <c r="J134">
        <v>-0.24</v>
      </c>
      <c r="K134">
        <f t="shared" ref="K134:K197" si="89">J134+100</f>
        <v>99.76</v>
      </c>
      <c r="L134" s="29">
        <f t="shared" ref="L134:L197" si="90">ROUND((AVERAGE(K134:K137)-AVERAGE(K135:K138))/AVERAGE(K135:K138),4)</f>
        <v>-4.0000000000000002E-4</v>
      </c>
      <c r="M134">
        <v>0.52</v>
      </c>
      <c r="N134">
        <f t="shared" ref="N134:N197" si="91">M134+100</f>
        <v>100.52</v>
      </c>
      <c r="O134" s="13">
        <f t="shared" ref="O134:O197" si="92">ROUND((AVERAGE(N134:N136)-AVERAGE(N135:N137))/AVERAGE(N135:N137),4)</f>
        <v>-1.6999999999999999E-3</v>
      </c>
      <c r="P134">
        <v>100</v>
      </c>
      <c r="Q134">
        <f t="shared" ref="Q134:Q197" si="93">ROUND(AVERAGE(P134:P136),3)</f>
        <v>99.86</v>
      </c>
      <c r="R134" s="13">
        <f t="shared" ref="R134:R197" si="94">ROUND((AVERAGE(Q134:Q136)-AVERAGE(Q135:Q137))/AVERAGE(Q135:Q137),4)</f>
        <v>2.0999999999999999E-3</v>
      </c>
      <c r="S134">
        <v>98.4</v>
      </c>
      <c r="T134">
        <f t="shared" ref="T134:T197" si="95">ROUND(AVERAGE(S134:S136),3)</f>
        <v>101.6</v>
      </c>
      <c r="U134" s="13">
        <f t="shared" ref="U134:U197" si="96">ROUND((AVERAGE(T134:T136)-AVERAGE(T135:T137))/AVERAGE(T135:T137),4)</f>
        <v>-8.9999999999999993E-3</v>
      </c>
      <c r="V134">
        <v>332228</v>
      </c>
      <c r="W134" s="18">
        <f t="shared" ref="W134:W197" si="97">ROUND(AVERAGE(V134:V136),0)</f>
        <v>332455</v>
      </c>
      <c r="X134" s="38">
        <f t="shared" ref="X134:X197" si="98">IF(ISERROR(ROUND((W134/W138)-1,4)),X133,ROUND((W134/W138)-1,4))</f>
        <v>1.15E-2</v>
      </c>
      <c r="Y134" s="29">
        <f t="shared" ref="Y134:Y197" si="99">ROUND((AVERAGE(V134:V137)-AVERAGE(V135:V138))/AVERAGE(V135:V138),4)</f>
        <v>1.1000000000000001E-3</v>
      </c>
      <c r="Z134">
        <v>88.514889999999994</v>
      </c>
      <c r="AA134" s="18">
        <f t="shared" ref="AA134:AA197" si="100">ROUND(AVERAGE(Z134:Z136),2)</f>
        <v>89.51</v>
      </c>
      <c r="AB134" s="38">
        <f t="shared" ref="AB134:AB197" si="101">IF(ISERROR(ROUND((AA134/AA138)-1,4)),AB133,ROUND((AA134/AA138)-1,4))</f>
        <v>9.5999999999999992E-3</v>
      </c>
      <c r="AC134" s="13">
        <f t="shared" ref="AC134:AC197" si="102">ROUND((AVERAGE(Z134,Z134:Z136)-AVERAGE(Z135:Z137))/AVERAGE(Z135:Z137),4)</f>
        <v>-1.26E-2</v>
      </c>
      <c r="AD134" s="30">
        <f t="shared" si="85"/>
        <v>93.22</v>
      </c>
      <c r="AE134" s="11">
        <f t="shared" si="88"/>
        <v>3</v>
      </c>
      <c r="AF134" s="31">
        <f t="shared" ref="AF134:AF197" si="103">IF(ROUND(AVERAGE(AD134:AD136),2)&lt;0,0,ROUND(AVERAGE(AD134:AD136),2))</f>
        <v>101.79</v>
      </c>
    </row>
    <row r="135" spans="1:32" x14ac:dyDescent="0.25">
      <c r="A135" s="5">
        <v>39294</v>
      </c>
      <c r="B135" s="10">
        <v>90.4</v>
      </c>
      <c r="C135" s="18">
        <f t="shared" ref="C135:C198" si="104">ROUND(AVERAGE(B135,AVERAGE(B135:B136)),1)</f>
        <v>89.1</v>
      </c>
      <c r="D135" s="38">
        <f t="shared" ref="D135:D198" si="105">IF(ISERROR(ROUND((C135/C141)-1,4)),D134,ROUND((C135/C141)-1,4))</f>
        <v>-6.8000000000000005E-2</v>
      </c>
      <c r="E135" s="29">
        <f t="shared" ref="E135:E198" si="106">ROUND((AVERAGE(C135:C137)-AVERAGE(C136:C138))/AVERAGE(C136:C138),4)</f>
        <v>6.4999999999999997E-3</v>
      </c>
      <c r="F135">
        <v>1127337</v>
      </c>
      <c r="G135">
        <f t="shared" si="86"/>
        <v>1116363</v>
      </c>
      <c r="H135" s="38">
        <f t="shared" ref="H135:H198" si="107">IF(ISERROR(ROUND((G135/G139)-1,4)),H134,ROUND((G135/G139)-1,4))</f>
        <v>3.1600000000000003E-2</v>
      </c>
      <c r="I135" s="13">
        <f t="shared" si="87"/>
        <v>2.2700000000000001E-2</v>
      </c>
      <c r="J135">
        <v>-0.13</v>
      </c>
      <c r="K135">
        <f t="shared" si="89"/>
        <v>99.87</v>
      </c>
      <c r="L135" s="29">
        <f t="shared" si="90"/>
        <v>-6.9999999999999999E-4</v>
      </c>
      <c r="M135">
        <v>0.71</v>
      </c>
      <c r="N135">
        <f t="shared" si="91"/>
        <v>100.71</v>
      </c>
      <c r="O135" s="13">
        <f t="shared" si="92"/>
        <v>-1.9E-3</v>
      </c>
      <c r="P135">
        <v>99.92</v>
      </c>
      <c r="Q135">
        <f t="shared" si="93"/>
        <v>99.692999999999998</v>
      </c>
      <c r="R135" s="13">
        <f t="shared" si="94"/>
        <v>2.3999999999999998E-3</v>
      </c>
      <c r="S135">
        <v>104.5</v>
      </c>
      <c r="T135">
        <f t="shared" si="95"/>
        <v>103.833</v>
      </c>
      <c r="U135" s="13">
        <f t="shared" si="96"/>
        <v>-3.5000000000000001E-3</v>
      </c>
      <c r="V135">
        <v>331002</v>
      </c>
      <c r="W135" s="18">
        <f t="shared" si="97"/>
        <v>331597</v>
      </c>
      <c r="X135" s="38">
        <f t="shared" si="98"/>
        <v>1.26E-2</v>
      </c>
      <c r="Y135" s="29">
        <f t="shared" si="99"/>
        <v>2.2000000000000001E-3</v>
      </c>
      <c r="Z135">
        <v>89.356319999999997</v>
      </c>
      <c r="AA135" s="18">
        <f t="shared" si="100"/>
        <v>90.4</v>
      </c>
      <c r="AB135" s="38">
        <f t="shared" si="101"/>
        <v>3.61E-2</v>
      </c>
      <c r="AC135" s="13">
        <f t="shared" si="102"/>
        <v>-6.4000000000000003E-3</v>
      </c>
      <c r="AD135" s="30">
        <f t="shared" ref="AD135:AD198" si="108">ROUND(((C135*1.5)+(D135*300)+(E135*300)+(H135*400)+(I135*400)+(J135*20)+(L135*2000)+(T135*1.5)+(U135*300)+(R135*2000)+(M135*10)+(Y135*400)+(X135*400)+(AB135*300)+(AC135*300))/3,2)</f>
        <v>104.78</v>
      </c>
      <c r="AE135" s="11">
        <f t="shared" si="88"/>
        <v>3</v>
      </c>
      <c r="AF135" s="31">
        <f t="shared" si="103"/>
        <v>106.95</v>
      </c>
    </row>
    <row r="136" spans="1:32" x14ac:dyDescent="0.25">
      <c r="A136" s="5">
        <v>39263</v>
      </c>
      <c r="B136" s="10">
        <v>85.3</v>
      </c>
      <c r="C136" s="18">
        <f t="shared" si="104"/>
        <v>86.1</v>
      </c>
      <c r="D136" s="38">
        <f t="shared" si="105"/>
        <v>-6.2100000000000002E-2</v>
      </c>
      <c r="E136" s="29">
        <f t="shared" si="106"/>
        <v>-1.1299999999999999E-2</v>
      </c>
      <c r="F136">
        <v>1114390</v>
      </c>
      <c r="G136">
        <f t="shared" si="86"/>
        <v>1105757</v>
      </c>
      <c r="H136" s="38">
        <f t="shared" si="107"/>
        <v>2.6499999999999999E-2</v>
      </c>
      <c r="I136" s="13">
        <f t="shared" si="87"/>
        <v>1.8800000000000001E-2</v>
      </c>
      <c r="J136">
        <v>0.04</v>
      </c>
      <c r="K136">
        <f t="shared" si="89"/>
        <v>100.04</v>
      </c>
      <c r="L136" s="29">
        <f t="shared" si="90"/>
        <v>1E-4</v>
      </c>
      <c r="M136">
        <v>1.2</v>
      </c>
      <c r="N136">
        <f t="shared" si="91"/>
        <v>101.2</v>
      </c>
      <c r="O136" s="13">
        <f t="shared" si="92"/>
        <v>5.9999999999999995E-4</v>
      </c>
      <c r="P136">
        <v>99.66</v>
      </c>
      <c r="Q136">
        <f t="shared" si="93"/>
        <v>99.456999999999994</v>
      </c>
      <c r="R136" s="13">
        <f t="shared" si="94"/>
        <v>2.3E-3</v>
      </c>
      <c r="S136">
        <v>101.9</v>
      </c>
      <c r="T136">
        <f t="shared" si="95"/>
        <v>103.867</v>
      </c>
      <c r="U136" s="13">
        <f t="shared" si="96"/>
        <v>-1.04E-2</v>
      </c>
      <c r="V136">
        <v>334135</v>
      </c>
      <c r="W136" s="18">
        <f t="shared" si="97"/>
        <v>331529</v>
      </c>
      <c r="X136" s="38">
        <f t="shared" si="98"/>
        <v>1.7299999999999999E-2</v>
      </c>
      <c r="Y136" s="29">
        <f t="shared" si="99"/>
        <v>5.3E-3</v>
      </c>
      <c r="Z136">
        <v>90.659930000000003</v>
      </c>
      <c r="AA136" s="18">
        <f t="shared" si="100"/>
        <v>90.72</v>
      </c>
      <c r="AB136" s="38">
        <f t="shared" si="101"/>
        <v>5.0999999999999997E-2</v>
      </c>
      <c r="AC136" s="13">
        <f t="shared" si="102"/>
        <v>7.4000000000000003E-3</v>
      </c>
      <c r="AD136" s="30">
        <f t="shared" si="108"/>
        <v>107.36</v>
      </c>
      <c r="AE136" s="11">
        <f t="shared" si="88"/>
        <v>3</v>
      </c>
      <c r="AF136" s="31">
        <f t="shared" si="103"/>
        <v>107.18</v>
      </c>
    </row>
    <row r="137" spans="1:32" x14ac:dyDescent="0.25">
      <c r="A137" s="5">
        <v>39233</v>
      </c>
      <c r="B137" s="10">
        <v>88.3</v>
      </c>
      <c r="C137" s="18">
        <f t="shared" si="104"/>
        <v>88</v>
      </c>
      <c r="D137" s="38">
        <f t="shared" si="105"/>
        <v>-4.8599999999999997E-2</v>
      </c>
      <c r="E137" s="29">
        <f t="shared" si="106"/>
        <v>-1.7500000000000002E-2</v>
      </c>
      <c r="F137">
        <v>1107363</v>
      </c>
      <c r="G137">
        <f t="shared" si="86"/>
        <v>1094223</v>
      </c>
      <c r="H137" s="38">
        <f t="shared" si="107"/>
        <v>2.4400000000000002E-2</v>
      </c>
      <c r="I137" s="13">
        <f t="shared" si="87"/>
        <v>1.84E-2</v>
      </c>
      <c r="J137">
        <v>0.12</v>
      </c>
      <c r="K137">
        <f t="shared" si="89"/>
        <v>100.12</v>
      </c>
      <c r="L137" s="29">
        <f t="shared" si="90"/>
        <v>0</v>
      </c>
      <c r="M137">
        <v>1.03</v>
      </c>
      <c r="N137">
        <f t="shared" si="91"/>
        <v>101.03</v>
      </c>
      <c r="O137" s="13">
        <f t="shared" si="92"/>
        <v>-5.0000000000000001E-4</v>
      </c>
      <c r="P137">
        <v>99.5</v>
      </c>
      <c r="Q137">
        <f t="shared" si="93"/>
        <v>99.23</v>
      </c>
      <c r="R137" s="13">
        <f t="shared" si="94"/>
        <v>2.3E-3</v>
      </c>
      <c r="S137">
        <v>105.1</v>
      </c>
      <c r="T137">
        <f t="shared" si="95"/>
        <v>104.4</v>
      </c>
      <c r="U137" s="13">
        <f t="shared" si="96"/>
        <v>-1.34E-2</v>
      </c>
      <c r="V137">
        <v>329653</v>
      </c>
      <c r="W137" s="18">
        <f t="shared" si="97"/>
        <v>329510</v>
      </c>
      <c r="X137" s="38">
        <f t="shared" si="98"/>
        <v>1.5800000000000002E-2</v>
      </c>
      <c r="Y137" s="29">
        <f t="shared" si="99"/>
        <v>1.9E-3</v>
      </c>
      <c r="Z137">
        <v>91.190259999999995</v>
      </c>
      <c r="AA137" s="18">
        <f t="shared" si="100"/>
        <v>90.04</v>
      </c>
      <c r="AB137" s="38">
        <f t="shared" si="101"/>
        <v>4.7600000000000003E-2</v>
      </c>
      <c r="AC137" s="13">
        <f t="shared" si="102"/>
        <v>1.8800000000000001E-2</v>
      </c>
      <c r="AD137" s="30">
        <f t="shared" si="108"/>
        <v>108.72</v>
      </c>
      <c r="AE137" s="11">
        <f t="shared" si="88"/>
        <v>3</v>
      </c>
      <c r="AF137" s="31">
        <f t="shared" si="103"/>
        <v>109.89</v>
      </c>
    </row>
    <row r="138" spans="1:32" x14ac:dyDescent="0.25">
      <c r="A138" s="5">
        <v>39202</v>
      </c>
      <c r="B138" s="10">
        <v>87.1</v>
      </c>
      <c r="C138" s="18">
        <f t="shared" si="104"/>
        <v>87.4</v>
      </c>
      <c r="D138" s="38">
        <f t="shared" si="105"/>
        <v>-4.5900000000000003E-2</v>
      </c>
      <c r="E138" s="29">
        <f t="shared" si="106"/>
        <v>-2.9600000000000001E-2</v>
      </c>
      <c r="F138">
        <v>1095519</v>
      </c>
      <c r="G138">
        <f t="shared" ref="G138:G201" si="109">ROUND(AVERAGE(F138:F140),0)</f>
        <v>1090672</v>
      </c>
      <c r="H138" s="38">
        <f t="shared" si="107"/>
        <v>1.6799999999999999E-2</v>
      </c>
      <c r="I138" s="13">
        <f t="shared" ref="I138:I201" si="110">ROUND((AVERAGE(G138:G139)-AVERAGE(G141:G142))/AVERAGE(G141:G142),4)</f>
        <v>1.4999999999999999E-2</v>
      </c>
      <c r="J138">
        <v>-0.09</v>
      </c>
      <c r="K138">
        <f t="shared" si="89"/>
        <v>99.91</v>
      </c>
      <c r="L138" s="29">
        <f t="shared" si="90"/>
        <v>2.9999999999999997E-4</v>
      </c>
      <c r="M138">
        <v>1.29</v>
      </c>
      <c r="N138">
        <f t="shared" si="91"/>
        <v>101.29</v>
      </c>
      <c r="O138" s="13">
        <f t="shared" si="92"/>
        <v>1.1999999999999999E-3</v>
      </c>
      <c r="P138">
        <v>99.21</v>
      </c>
      <c r="Q138">
        <f t="shared" si="93"/>
        <v>98.99</v>
      </c>
      <c r="R138" s="13">
        <f t="shared" si="94"/>
        <v>2.0999999999999999E-3</v>
      </c>
      <c r="S138">
        <v>104.6</v>
      </c>
      <c r="T138">
        <f t="shared" si="95"/>
        <v>104.93300000000001</v>
      </c>
      <c r="U138" s="13">
        <f t="shared" si="96"/>
        <v>-1.09E-2</v>
      </c>
      <c r="V138">
        <v>330800</v>
      </c>
      <c r="W138" s="18">
        <f t="shared" si="97"/>
        <v>328667</v>
      </c>
      <c r="X138" s="38">
        <f t="shared" si="98"/>
        <v>1.7600000000000001E-2</v>
      </c>
      <c r="Y138" s="29">
        <f t="shared" si="99"/>
        <v>5.7000000000000002E-3</v>
      </c>
      <c r="Z138">
        <v>90.303830000000005</v>
      </c>
      <c r="AA138" s="18">
        <f t="shared" si="100"/>
        <v>88.66</v>
      </c>
      <c r="AB138" s="38">
        <f t="shared" si="101"/>
        <v>3.2000000000000001E-2</v>
      </c>
      <c r="AC138" s="13">
        <f t="shared" si="102"/>
        <v>2.0799999999999999E-2</v>
      </c>
      <c r="AD138" s="30">
        <f t="shared" si="108"/>
        <v>105.45</v>
      </c>
      <c r="AE138" s="11">
        <f t="shared" si="88"/>
        <v>3</v>
      </c>
      <c r="AF138" s="31">
        <f t="shared" si="103"/>
        <v>114.46</v>
      </c>
    </row>
    <row r="139" spans="1:32" x14ac:dyDescent="0.25">
      <c r="A139" s="5">
        <v>39172</v>
      </c>
      <c r="B139" s="10">
        <v>88.4</v>
      </c>
      <c r="C139" s="18">
        <f t="shared" si="104"/>
        <v>89.1</v>
      </c>
      <c r="D139" s="38">
        <f t="shared" si="105"/>
        <v>5.3199999999999997E-2</v>
      </c>
      <c r="E139" s="29">
        <f t="shared" si="106"/>
        <v>-9.5999999999999992E-3</v>
      </c>
      <c r="F139">
        <v>1079786</v>
      </c>
      <c r="G139">
        <f t="shared" si="109"/>
        <v>1082212</v>
      </c>
      <c r="H139" s="38">
        <f t="shared" si="107"/>
        <v>6.4000000000000003E-3</v>
      </c>
      <c r="I139" s="13">
        <f t="shared" si="110"/>
        <v>5.3E-3</v>
      </c>
      <c r="J139">
        <v>0.14000000000000001</v>
      </c>
      <c r="K139">
        <f t="shared" si="89"/>
        <v>100.14</v>
      </c>
      <c r="L139" s="29">
        <f t="shared" si="90"/>
        <v>5.0000000000000001E-4</v>
      </c>
      <c r="M139">
        <v>1.03</v>
      </c>
      <c r="N139">
        <f t="shared" si="91"/>
        <v>101.03</v>
      </c>
      <c r="O139" s="13">
        <f t="shared" si="92"/>
        <v>8.9999999999999998E-4</v>
      </c>
      <c r="P139">
        <v>98.98</v>
      </c>
      <c r="Q139">
        <f t="shared" si="93"/>
        <v>98.763000000000005</v>
      </c>
      <c r="R139" s="13">
        <f t="shared" si="94"/>
        <v>2.0999999999999999E-3</v>
      </c>
      <c r="S139">
        <v>103.5</v>
      </c>
      <c r="T139">
        <f t="shared" si="95"/>
        <v>107.167</v>
      </c>
      <c r="U139" s="13">
        <f t="shared" si="96"/>
        <v>1E-4</v>
      </c>
      <c r="V139">
        <v>328076</v>
      </c>
      <c r="W139" s="18">
        <f t="shared" si="97"/>
        <v>327470</v>
      </c>
      <c r="X139" s="38">
        <f t="shared" si="98"/>
        <v>1.2E-2</v>
      </c>
      <c r="Y139" s="29">
        <f t="shared" si="99"/>
        <v>4.1999999999999997E-3</v>
      </c>
      <c r="Z139">
        <v>88.626980000000003</v>
      </c>
      <c r="AA139" s="18">
        <f t="shared" si="100"/>
        <v>87.25</v>
      </c>
      <c r="AB139" s="38">
        <f t="shared" si="101"/>
        <v>1.7100000000000001E-2</v>
      </c>
      <c r="AC139" s="13">
        <f t="shared" si="102"/>
        <v>1.4800000000000001E-2</v>
      </c>
      <c r="AD139" s="30">
        <f t="shared" si="108"/>
        <v>115.51</v>
      </c>
      <c r="AE139" s="11">
        <f t="shared" si="88"/>
        <v>3</v>
      </c>
      <c r="AF139" s="31">
        <f t="shared" si="103"/>
        <v>120.7</v>
      </c>
    </row>
    <row r="140" spans="1:32" x14ac:dyDescent="0.25">
      <c r="A140" s="5">
        <v>39141</v>
      </c>
      <c r="B140" s="10">
        <v>91.3</v>
      </c>
      <c r="C140" s="18">
        <f t="shared" si="104"/>
        <v>92.7</v>
      </c>
      <c r="D140" s="38">
        <f t="shared" si="105"/>
        <v>0.12089999999999999</v>
      </c>
      <c r="E140" s="29">
        <f t="shared" si="106"/>
        <v>6.9999999999999999E-4</v>
      </c>
      <c r="F140">
        <v>1096711</v>
      </c>
      <c r="G140">
        <f t="shared" si="109"/>
        <v>1077165</v>
      </c>
      <c r="H140" s="38">
        <f t="shared" si="107"/>
        <v>0</v>
      </c>
      <c r="I140" s="13">
        <f t="shared" si="110"/>
        <v>-3.3E-3</v>
      </c>
      <c r="J140">
        <v>0</v>
      </c>
      <c r="K140">
        <f t="shared" si="89"/>
        <v>100</v>
      </c>
      <c r="L140" s="29">
        <f t="shared" si="90"/>
        <v>2.0000000000000001E-4</v>
      </c>
      <c r="M140">
        <v>1.17</v>
      </c>
      <c r="N140">
        <f t="shared" si="91"/>
        <v>101.17</v>
      </c>
      <c r="O140" s="13">
        <f t="shared" si="92"/>
        <v>4.0000000000000002E-4</v>
      </c>
      <c r="P140">
        <v>98.78</v>
      </c>
      <c r="Q140">
        <f t="shared" si="93"/>
        <v>98.552999999999997</v>
      </c>
      <c r="R140" s="13">
        <f t="shared" si="94"/>
        <v>2.0999999999999999E-3</v>
      </c>
      <c r="S140">
        <v>106.7</v>
      </c>
      <c r="T140">
        <f t="shared" si="95"/>
        <v>108.7</v>
      </c>
      <c r="U140" s="13">
        <f t="shared" si="96"/>
        <v>1.6899999999999998E-2</v>
      </c>
      <c r="V140">
        <v>327125</v>
      </c>
      <c r="W140" s="18">
        <f t="shared" si="97"/>
        <v>325898</v>
      </c>
      <c r="X140" s="38">
        <f t="shared" si="98"/>
        <v>5.4000000000000003E-3</v>
      </c>
      <c r="Y140" s="29">
        <f t="shared" si="99"/>
        <v>3.2000000000000002E-3</v>
      </c>
      <c r="Z140">
        <v>87.04674</v>
      </c>
      <c r="AA140" s="18">
        <f t="shared" si="100"/>
        <v>86.32</v>
      </c>
      <c r="AB140" s="38">
        <f t="shared" si="101"/>
        <v>1.0800000000000001E-2</v>
      </c>
      <c r="AC140" s="13">
        <f t="shared" si="102"/>
        <v>6.4000000000000003E-3</v>
      </c>
      <c r="AD140" s="30">
        <f t="shared" si="108"/>
        <v>122.41</v>
      </c>
      <c r="AE140" s="11">
        <f t="shared" si="88"/>
        <v>3</v>
      </c>
      <c r="AF140" s="31">
        <f t="shared" si="103"/>
        <v>121.83</v>
      </c>
    </row>
    <row r="141" spans="1:32" x14ac:dyDescent="0.25">
      <c r="A141" s="5">
        <v>39113</v>
      </c>
      <c r="B141" s="10">
        <v>96.9</v>
      </c>
      <c r="C141" s="18">
        <f t="shared" si="104"/>
        <v>95.6</v>
      </c>
      <c r="D141" s="38">
        <f t="shared" si="105"/>
        <v>0.12740000000000001</v>
      </c>
      <c r="E141" s="29">
        <f t="shared" si="106"/>
        <v>1.4500000000000001E-2</v>
      </c>
      <c r="F141">
        <v>1070138</v>
      </c>
      <c r="G141">
        <f t="shared" si="109"/>
        <v>1068167</v>
      </c>
      <c r="H141" s="38">
        <f t="shared" si="107"/>
        <v>-5.0000000000000001E-3</v>
      </c>
      <c r="I141" s="13">
        <f t="shared" si="110"/>
        <v>-4.5999999999999999E-3</v>
      </c>
      <c r="J141">
        <v>0.13</v>
      </c>
      <c r="K141">
        <f t="shared" si="89"/>
        <v>100.13</v>
      </c>
      <c r="L141" s="29">
        <f t="shared" si="90"/>
        <v>4.0000000000000002E-4</v>
      </c>
      <c r="M141">
        <v>0.93</v>
      </c>
      <c r="N141">
        <f t="shared" si="91"/>
        <v>100.93</v>
      </c>
      <c r="O141" s="13">
        <f t="shared" si="92"/>
        <v>2.9999999999999997E-4</v>
      </c>
      <c r="P141">
        <v>98.53</v>
      </c>
      <c r="Q141">
        <f t="shared" si="93"/>
        <v>98.356999999999999</v>
      </c>
      <c r="R141" s="13">
        <f t="shared" si="94"/>
        <v>2.2000000000000001E-3</v>
      </c>
      <c r="S141">
        <v>111.3</v>
      </c>
      <c r="T141">
        <f t="shared" si="95"/>
        <v>108.467</v>
      </c>
      <c r="U141" s="13">
        <f t="shared" si="96"/>
        <v>1.8800000000000001E-2</v>
      </c>
      <c r="V141">
        <v>327208</v>
      </c>
      <c r="W141" s="18">
        <f t="shared" si="97"/>
        <v>324395</v>
      </c>
      <c r="X141" s="38">
        <f t="shared" si="98"/>
        <v>6.9999999999999999E-4</v>
      </c>
      <c r="Y141" s="29">
        <f t="shared" si="99"/>
        <v>1.6000000000000001E-3</v>
      </c>
      <c r="Z141">
        <v>86.090270000000004</v>
      </c>
      <c r="AA141" s="18">
        <f t="shared" si="100"/>
        <v>85.95</v>
      </c>
      <c r="AB141" s="38">
        <f t="shared" si="101"/>
        <v>1.26E-2</v>
      </c>
      <c r="AC141" s="13">
        <f t="shared" si="102"/>
        <v>8.9999999999999998E-4</v>
      </c>
      <c r="AD141" s="30">
        <f t="shared" si="108"/>
        <v>124.18</v>
      </c>
      <c r="AE141" s="11">
        <f t="shared" si="88"/>
        <v>3</v>
      </c>
      <c r="AF141" s="31">
        <f t="shared" si="103"/>
        <v>122.78</v>
      </c>
    </row>
    <row r="142" spans="1:32" x14ac:dyDescent="0.25">
      <c r="A142" s="5">
        <v>39082</v>
      </c>
      <c r="B142" s="10">
        <v>91.7</v>
      </c>
      <c r="C142" s="18">
        <f t="shared" si="104"/>
        <v>91.8</v>
      </c>
      <c r="D142" s="38">
        <f t="shared" si="105"/>
        <v>9.9400000000000002E-2</v>
      </c>
      <c r="E142" s="29">
        <f t="shared" si="106"/>
        <v>2.6800000000000001E-2</v>
      </c>
      <c r="F142">
        <v>1064645</v>
      </c>
      <c r="G142">
        <f t="shared" si="109"/>
        <v>1072660</v>
      </c>
      <c r="H142" s="38">
        <f t="shared" si="107"/>
        <v>3.0999999999999999E-3</v>
      </c>
      <c r="I142" s="13">
        <f t="shared" si="110"/>
        <v>2.3999999999999998E-3</v>
      </c>
      <c r="J142">
        <v>-0.23</v>
      </c>
      <c r="K142">
        <f t="shared" si="89"/>
        <v>99.77</v>
      </c>
      <c r="L142" s="29">
        <f t="shared" si="90"/>
        <v>-2.0000000000000001E-4</v>
      </c>
      <c r="M142">
        <v>0.77</v>
      </c>
      <c r="N142">
        <f t="shared" si="91"/>
        <v>100.77</v>
      </c>
      <c r="O142" s="13">
        <f t="shared" si="92"/>
        <v>-6.9999999999999999E-4</v>
      </c>
      <c r="P142">
        <v>98.35</v>
      </c>
      <c r="Q142">
        <f t="shared" si="93"/>
        <v>98.153000000000006</v>
      </c>
      <c r="R142" s="13">
        <f t="shared" si="94"/>
        <v>2.2000000000000001E-3</v>
      </c>
      <c r="S142">
        <v>108.1</v>
      </c>
      <c r="T142">
        <f t="shared" si="95"/>
        <v>107.133</v>
      </c>
      <c r="U142" s="13">
        <f t="shared" si="96"/>
        <v>1.9E-2</v>
      </c>
      <c r="V142">
        <v>323362</v>
      </c>
      <c r="W142" s="18">
        <f t="shared" si="97"/>
        <v>322996</v>
      </c>
      <c r="X142" s="38">
        <f t="shared" si="98"/>
        <v>0</v>
      </c>
      <c r="Y142" s="29">
        <f t="shared" si="99"/>
        <v>-6.9999999999999999E-4</v>
      </c>
      <c r="Z142">
        <v>85.824929999999995</v>
      </c>
      <c r="AA142" s="18">
        <f t="shared" si="100"/>
        <v>85.91</v>
      </c>
      <c r="AB142" s="38">
        <f t="shared" si="101"/>
        <v>1.78E-2</v>
      </c>
      <c r="AC142" s="13">
        <f t="shared" si="102"/>
        <v>1.1999999999999999E-3</v>
      </c>
      <c r="AD142" s="30">
        <f t="shared" si="108"/>
        <v>118.89</v>
      </c>
      <c r="AE142" s="11">
        <f t="shared" si="88"/>
        <v>3</v>
      </c>
      <c r="AF142" s="31">
        <f t="shared" si="103"/>
        <v>119.97</v>
      </c>
    </row>
    <row r="143" spans="1:32" x14ac:dyDescent="0.25">
      <c r="A143" s="5">
        <v>39051</v>
      </c>
      <c r="B143" s="10">
        <v>92.1</v>
      </c>
      <c r="C143" s="18">
        <f t="shared" si="104"/>
        <v>92.5</v>
      </c>
      <c r="D143" s="38">
        <f t="shared" si="105"/>
        <v>0.13919999999999999</v>
      </c>
      <c r="E143" s="29">
        <f t="shared" si="106"/>
        <v>3.7900000000000003E-2</v>
      </c>
      <c r="F143">
        <v>1069718</v>
      </c>
      <c r="G143">
        <f t="shared" si="109"/>
        <v>1075333</v>
      </c>
      <c r="H143" s="38">
        <f t="shared" si="107"/>
        <v>1.0200000000000001E-2</v>
      </c>
      <c r="I143" s="13">
        <f t="shared" si="110"/>
        <v>8.8000000000000005E-3</v>
      </c>
      <c r="J143">
        <v>-7.0000000000000007E-2</v>
      </c>
      <c r="K143">
        <f t="shared" si="89"/>
        <v>99.93</v>
      </c>
      <c r="L143" s="29">
        <f t="shared" si="90"/>
        <v>0</v>
      </c>
      <c r="M143">
        <v>1.05</v>
      </c>
      <c r="N143">
        <f t="shared" si="91"/>
        <v>101.05</v>
      </c>
      <c r="O143" s="13">
        <f t="shared" si="92"/>
        <v>1.2999999999999999E-3</v>
      </c>
      <c r="P143">
        <v>98.19</v>
      </c>
      <c r="Q143">
        <f t="shared" si="93"/>
        <v>97.936999999999998</v>
      </c>
      <c r="R143" s="13">
        <f t="shared" si="94"/>
        <v>2.0999999999999999E-3</v>
      </c>
      <c r="S143">
        <v>106</v>
      </c>
      <c r="T143">
        <f t="shared" si="95"/>
        <v>103.3</v>
      </c>
      <c r="U143" s="13">
        <f t="shared" si="96"/>
        <v>-2.5999999999999999E-3</v>
      </c>
      <c r="V143">
        <v>322614</v>
      </c>
      <c r="W143" s="18">
        <f t="shared" si="97"/>
        <v>323591</v>
      </c>
      <c r="X143" s="38">
        <f t="shared" si="98"/>
        <v>3.5000000000000001E-3</v>
      </c>
      <c r="Y143" s="29">
        <f t="shared" si="99"/>
        <v>-2.9999999999999997E-4</v>
      </c>
      <c r="Z143">
        <v>85.949269999999999</v>
      </c>
      <c r="AA143" s="18">
        <f t="shared" si="100"/>
        <v>85.78</v>
      </c>
      <c r="AB143" s="38">
        <f t="shared" si="101"/>
        <v>2.0199999999999999E-2</v>
      </c>
      <c r="AC143" s="13">
        <f t="shared" si="102"/>
        <v>5.0000000000000001E-3</v>
      </c>
      <c r="AD143" s="30">
        <f t="shared" si="108"/>
        <v>125.26</v>
      </c>
      <c r="AE143" s="11">
        <f t="shared" si="88"/>
        <v>3</v>
      </c>
      <c r="AF143" s="31">
        <f t="shared" si="103"/>
        <v>113.73</v>
      </c>
    </row>
    <row r="144" spans="1:32" x14ac:dyDescent="0.25">
      <c r="A144" s="5">
        <v>39021</v>
      </c>
      <c r="B144" s="10">
        <v>93.6</v>
      </c>
      <c r="C144" s="18">
        <f t="shared" si="104"/>
        <v>91.6</v>
      </c>
      <c r="D144" s="38">
        <f t="shared" si="105"/>
        <v>4.3299999999999998E-2</v>
      </c>
      <c r="E144" s="29">
        <f t="shared" si="106"/>
        <v>2.7E-2</v>
      </c>
      <c r="F144">
        <v>1083618</v>
      </c>
      <c r="G144">
        <f t="shared" si="109"/>
        <v>1077177</v>
      </c>
      <c r="H144" s="38">
        <f t="shared" si="107"/>
        <v>1.7100000000000001E-2</v>
      </c>
      <c r="I144" s="13">
        <f t="shared" si="110"/>
        <v>1.2800000000000001E-2</v>
      </c>
      <c r="J144">
        <v>-0.08</v>
      </c>
      <c r="K144">
        <f t="shared" si="89"/>
        <v>99.92</v>
      </c>
      <c r="L144" s="29">
        <f t="shared" si="90"/>
        <v>-2.9999999999999997E-4</v>
      </c>
      <c r="M144">
        <v>0.85</v>
      </c>
      <c r="N144">
        <f t="shared" si="91"/>
        <v>100.85</v>
      </c>
      <c r="O144" s="13">
        <f t="shared" si="92"/>
        <v>-6.9999999999999999E-4</v>
      </c>
      <c r="P144">
        <v>97.92</v>
      </c>
      <c r="Q144">
        <f t="shared" si="93"/>
        <v>97.712999999999994</v>
      </c>
      <c r="R144" s="13">
        <f t="shared" si="94"/>
        <v>2.0999999999999999E-3</v>
      </c>
      <c r="S144">
        <v>107.3</v>
      </c>
      <c r="T144">
        <f t="shared" si="95"/>
        <v>102.56699999999999</v>
      </c>
      <c r="U144" s="13">
        <f t="shared" si="96"/>
        <v>3.3999999999999998E-3</v>
      </c>
      <c r="V144">
        <v>323013</v>
      </c>
      <c r="W144" s="18">
        <f t="shared" si="97"/>
        <v>324160</v>
      </c>
      <c r="X144" s="38">
        <f t="shared" si="98"/>
        <v>7.4000000000000003E-3</v>
      </c>
      <c r="Y144" s="29">
        <f t="shared" si="99"/>
        <v>1.1000000000000001E-3</v>
      </c>
      <c r="Z144">
        <v>85.948170000000005</v>
      </c>
      <c r="AA144" s="18">
        <f t="shared" si="100"/>
        <v>85.4</v>
      </c>
      <c r="AB144" s="38">
        <f t="shared" si="101"/>
        <v>1.9099999999999999E-2</v>
      </c>
      <c r="AC144" s="13">
        <f t="shared" si="102"/>
        <v>7.7999999999999996E-3</v>
      </c>
      <c r="AD144" s="30">
        <f t="shared" si="108"/>
        <v>115.76</v>
      </c>
      <c r="AE144" s="11">
        <f t="shared" si="88"/>
        <v>3</v>
      </c>
      <c r="AF144" s="31">
        <f t="shared" si="103"/>
        <v>104.36</v>
      </c>
    </row>
    <row r="145" spans="1:32" x14ac:dyDescent="0.25">
      <c r="A145" s="5">
        <v>38990</v>
      </c>
      <c r="B145" s="10">
        <v>85.4</v>
      </c>
      <c r="C145" s="18">
        <f t="shared" si="104"/>
        <v>84.6</v>
      </c>
      <c r="D145" s="38">
        <f t="shared" si="105"/>
        <v>-4.2999999999999997E-2</v>
      </c>
      <c r="E145" s="29">
        <f t="shared" si="106"/>
        <v>4.4000000000000003E-3</v>
      </c>
      <c r="F145">
        <v>1072664</v>
      </c>
      <c r="G145">
        <f t="shared" si="109"/>
        <v>1073546</v>
      </c>
      <c r="H145" s="38">
        <f t="shared" si="107"/>
        <v>1.43E-2</v>
      </c>
      <c r="I145" s="13">
        <f t="shared" si="110"/>
        <v>1.2E-2</v>
      </c>
      <c r="J145">
        <v>-0.03</v>
      </c>
      <c r="K145">
        <f t="shared" si="89"/>
        <v>99.97</v>
      </c>
      <c r="L145" s="29">
        <f t="shared" si="90"/>
        <v>-4.0000000000000002E-4</v>
      </c>
      <c r="M145">
        <v>0.97</v>
      </c>
      <c r="N145">
        <f t="shared" si="91"/>
        <v>100.97</v>
      </c>
      <c r="O145" s="13">
        <f t="shared" si="92"/>
        <v>0</v>
      </c>
      <c r="P145">
        <v>97.7</v>
      </c>
      <c r="Q145">
        <f t="shared" si="93"/>
        <v>97.52</v>
      </c>
      <c r="R145" s="13">
        <f t="shared" si="94"/>
        <v>2.3E-3</v>
      </c>
      <c r="S145">
        <v>96.6</v>
      </c>
      <c r="T145">
        <f t="shared" si="95"/>
        <v>101.3</v>
      </c>
      <c r="U145" s="13">
        <f t="shared" si="96"/>
        <v>-6.8999999999999999E-3</v>
      </c>
      <c r="V145">
        <v>325147</v>
      </c>
      <c r="W145" s="18">
        <f t="shared" si="97"/>
        <v>324164</v>
      </c>
      <c r="X145" s="38">
        <f t="shared" si="98"/>
        <v>8.8000000000000005E-3</v>
      </c>
      <c r="Y145" s="29">
        <f t="shared" si="99"/>
        <v>1.9E-3</v>
      </c>
      <c r="Z145">
        <v>85.457400000000007</v>
      </c>
      <c r="AA145" s="18">
        <f t="shared" si="100"/>
        <v>84.88</v>
      </c>
      <c r="AB145" s="38">
        <f t="shared" si="101"/>
        <v>1.8100000000000002E-2</v>
      </c>
      <c r="AC145" s="13">
        <f t="shared" si="102"/>
        <v>7.3000000000000001E-3</v>
      </c>
      <c r="AD145" s="30">
        <f t="shared" si="108"/>
        <v>100.17</v>
      </c>
      <c r="AE145" s="11">
        <f t="shared" si="88"/>
        <v>3</v>
      </c>
      <c r="AF145" s="31">
        <f t="shared" si="103"/>
        <v>98.03</v>
      </c>
    </row>
    <row r="146" spans="1:32" x14ac:dyDescent="0.25">
      <c r="A146" s="5">
        <v>38960</v>
      </c>
      <c r="B146" s="10">
        <v>82</v>
      </c>
      <c r="C146" s="18">
        <f t="shared" si="104"/>
        <v>82.7</v>
      </c>
      <c r="D146" s="38">
        <f t="shared" si="105"/>
        <v>-5.8099999999999999E-2</v>
      </c>
      <c r="E146" s="29">
        <f t="shared" si="106"/>
        <v>6.0000000000000001E-3</v>
      </c>
      <c r="F146">
        <v>1075249</v>
      </c>
      <c r="G146">
        <f t="shared" si="109"/>
        <v>1069309</v>
      </c>
      <c r="H146" s="38">
        <f t="shared" si="107"/>
        <v>1.5100000000000001E-2</v>
      </c>
      <c r="I146" s="13">
        <f t="shared" si="110"/>
        <v>1.04E-2</v>
      </c>
      <c r="J146">
        <v>-0.17</v>
      </c>
      <c r="K146">
        <f t="shared" si="89"/>
        <v>99.83</v>
      </c>
      <c r="L146" s="29">
        <f t="shared" si="90"/>
        <v>-1.4E-3</v>
      </c>
      <c r="M146">
        <v>0.67</v>
      </c>
      <c r="N146">
        <f t="shared" si="91"/>
        <v>100.67</v>
      </c>
      <c r="O146" s="13">
        <f t="shared" si="92"/>
        <v>-2.2000000000000001E-3</v>
      </c>
      <c r="P146">
        <v>97.52</v>
      </c>
      <c r="Q146">
        <f t="shared" si="93"/>
        <v>97.322999999999993</v>
      </c>
      <c r="R146" s="13">
        <f t="shared" si="94"/>
        <v>2.5999999999999999E-3</v>
      </c>
      <c r="S146">
        <v>103.8</v>
      </c>
      <c r="T146">
        <f t="shared" si="95"/>
        <v>104.1</v>
      </c>
      <c r="U146" s="13">
        <f t="shared" si="96"/>
        <v>-2.3E-3</v>
      </c>
      <c r="V146">
        <v>324319</v>
      </c>
      <c r="W146" s="18">
        <f t="shared" si="97"/>
        <v>322997</v>
      </c>
      <c r="X146" s="38">
        <f t="shared" si="98"/>
        <v>5.5999999999999999E-3</v>
      </c>
      <c r="Y146" s="29">
        <f t="shared" si="99"/>
        <v>2.5999999999999999E-3</v>
      </c>
      <c r="Z146">
        <v>84.797449999999998</v>
      </c>
      <c r="AA146" s="18">
        <f t="shared" si="100"/>
        <v>84.41</v>
      </c>
      <c r="AB146" s="38">
        <f t="shared" si="101"/>
        <v>2.29E-2</v>
      </c>
      <c r="AC146" s="13">
        <f t="shared" si="102"/>
        <v>5.1000000000000004E-3</v>
      </c>
      <c r="AD146" s="30">
        <f t="shared" si="108"/>
        <v>97.15</v>
      </c>
      <c r="AE146" s="11">
        <f t="shared" si="88"/>
        <v>3</v>
      </c>
      <c r="AF146" s="31">
        <f t="shared" si="103"/>
        <v>98.22</v>
      </c>
    </row>
    <row r="147" spans="1:32" x14ac:dyDescent="0.25">
      <c r="A147" s="5">
        <v>38929</v>
      </c>
      <c r="B147" s="10">
        <v>84.7</v>
      </c>
      <c r="C147" s="18">
        <f t="shared" si="104"/>
        <v>84.8</v>
      </c>
      <c r="D147" s="38">
        <f t="shared" si="105"/>
        <v>-7.1199999999999999E-2</v>
      </c>
      <c r="E147" s="29">
        <f t="shared" si="106"/>
        <v>-1.1900000000000001E-2</v>
      </c>
      <c r="F147">
        <v>1072724</v>
      </c>
      <c r="G147">
        <f t="shared" si="109"/>
        <v>1064428</v>
      </c>
      <c r="H147" s="38">
        <f t="shared" si="107"/>
        <v>1.7299999999999999E-2</v>
      </c>
      <c r="I147" s="13">
        <f t="shared" si="110"/>
        <v>1.1299999999999999E-2</v>
      </c>
      <c r="J147">
        <v>-0.06</v>
      </c>
      <c r="K147">
        <f t="shared" si="89"/>
        <v>99.94</v>
      </c>
      <c r="L147" s="29">
        <f t="shared" si="90"/>
        <v>-1.1999999999999999E-3</v>
      </c>
      <c r="M147">
        <v>1.07</v>
      </c>
      <c r="N147">
        <f t="shared" si="91"/>
        <v>101.07</v>
      </c>
      <c r="O147" s="13">
        <f t="shared" si="92"/>
        <v>-1.4E-3</v>
      </c>
      <c r="P147">
        <v>97.34</v>
      </c>
      <c r="Q147">
        <f t="shared" si="93"/>
        <v>97.106999999999999</v>
      </c>
      <c r="R147" s="13">
        <f t="shared" si="94"/>
        <v>2.8999999999999998E-3</v>
      </c>
      <c r="S147">
        <v>103.5</v>
      </c>
      <c r="T147">
        <f t="shared" si="95"/>
        <v>101.533</v>
      </c>
      <c r="U147" s="13">
        <f t="shared" si="96"/>
        <v>-2.0299999999999999E-2</v>
      </c>
      <c r="V147">
        <v>323025</v>
      </c>
      <c r="W147" s="18">
        <f t="shared" si="97"/>
        <v>322470</v>
      </c>
      <c r="X147" s="38">
        <f t="shared" si="98"/>
        <v>1.18E-2</v>
      </c>
      <c r="Y147" s="29">
        <f t="shared" si="99"/>
        <v>2.2000000000000001E-3</v>
      </c>
      <c r="Z147">
        <v>84.373320000000007</v>
      </c>
      <c r="AA147" s="18">
        <f t="shared" si="100"/>
        <v>84.08</v>
      </c>
      <c r="AB147" s="38">
        <f t="shared" si="101"/>
        <v>3.5299999999999998E-2</v>
      </c>
      <c r="AC147" s="13">
        <f t="shared" si="102"/>
        <v>4.1999999999999997E-3</v>
      </c>
      <c r="AD147" s="30">
        <f t="shared" si="108"/>
        <v>96.76</v>
      </c>
      <c r="AE147" s="11">
        <f t="shared" si="88"/>
        <v>3</v>
      </c>
      <c r="AF147" s="31">
        <f t="shared" si="103"/>
        <v>104.33</v>
      </c>
    </row>
    <row r="148" spans="1:32" x14ac:dyDescent="0.25">
      <c r="A148" s="5">
        <v>38898</v>
      </c>
      <c r="B148" s="10">
        <v>84.9</v>
      </c>
      <c r="C148" s="18">
        <f t="shared" si="104"/>
        <v>83.5</v>
      </c>
      <c r="D148" s="38">
        <f t="shared" si="105"/>
        <v>-6.1800000000000001E-2</v>
      </c>
      <c r="E148" s="29">
        <f t="shared" si="106"/>
        <v>-1.9E-2</v>
      </c>
      <c r="F148">
        <v>1059953</v>
      </c>
      <c r="G148">
        <f t="shared" si="109"/>
        <v>1059059</v>
      </c>
      <c r="H148" s="38">
        <f t="shared" si="107"/>
        <v>1.9400000000000001E-2</v>
      </c>
      <c r="I148" s="13">
        <f t="shared" si="110"/>
        <v>1.55E-2</v>
      </c>
      <c r="J148">
        <v>0.03</v>
      </c>
      <c r="K148">
        <f t="shared" si="89"/>
        <v>100.03</v>
      </c>
      <c r="L148" s="29">
        <f t="shared" si="90"/>
        <v>-1.6000000000000001E-3</v>
      </c>
      <c r="M148">
        <v>0.98</v>
      </c>
      <c r="N148">
        <f t="shared" si="91"/>
        <v>100.98</v>
      </c>
      <c r="O148" s="13">
        <f t="shared" si="92"/>
        <v>-1.9E-3</v>
      </c>
      <c r="P148">
        <v>97.11</v>
      </c>
      <c r="Q148">
        <f t="shared" si="93"/>
        <v>96.837000000000003</v>
      </c>
      <c r="R148" s="13">
        <f t="shared" si="94"/>
        <v>2.8999999999999998E-3</v>
      </c>
      <c r="S148">
        <v>105</v>
      </c>
      <c r="T148">
        <f t="shared" si="95"/>
        <v>103.43300000000001</v>
      </c>
      <c r="U148" s="13">
        <f t="shared" si="96"/>
        <v>-1.5299999999999999E-2</v>
      </c>
      <c r="V148">
        <v>321647</v>
      </c>
      <c r="W148" s="18">
        <f t="shared" si="97"/>
        <v>321794</v>
      </c>
      <c r="X148" s="38">
        <f t="shared" si="98"/>
        <v>1.7100000000000001E-2</v>
      </c>
      <c r="Y148" s="29">
        <f t="shared" si="99"/>
        <v>-5.9999999999999995E-4</v>
      </c>
      <c r="Z148">
        <v>84.052859999999995</v>
      </c>
      <c r="AA148" s="18">
        <f t="shared" si="100"/>
        <v>83.8</v>
      </c>
      <c r="AB148" s="38">
        <f t="shared" si="101"/>
        <v>5.1200000000000002E-2</v>
      </c>
      <c r="AC148" s="13">
        <f t="shared" si="102"/>
        <v>5.8999999999999999E-3</v>
      </c>
      <c r="AD148" s="30">
        <f t="shared" si="108"/>
        <v>100.75</v>
      </c>
      <c r="AE148" s="11">
        <f t="shared" ref="AE148:AE211" si="111">IF(AD148&gt;85,3,IF(AND(AD148&gt;78,AD148&lt;=85),2,IF(AND(AD148&gt;70,AD148&lt;=78),1,IF(AD148&lt;40,-3,IF(AND(AD148&lt;55,AD148&gt;=40),-2,IF(AND(AD148&lt;65,AD148&gt;=55),-1,0))))))</f>
        <v>3</v>
      </c>
      <c r="AF148" s="31">
        <f t="shared" si="103"/>
        <v>119.94</v>
      </c>
    </row>
    <row r="149" spans="1:32" x14ac:dyDescent="0.25">
      <c r="A149" s="5">
        <v>38868</v>
      </c>
      <c r="B149" s="10">
        <v>79.099999999999994</v>
      </c>
      <c r="C149" s="18">
        <f t="shared" si="104"/>
        <v>81.2</v>
      </c>
      <c r="D149" s="38">
        <f t="shared" si="105"/>
        <v>1.7500000000000002E-2</v>
      </c>
      <c r="E149" s="29">
        <f t="shared" si="106"/>
        <v>-2.5000000000000001E-2</v>
      </c>
      <c r="F149">
        <v>1060606</v>
      </c>
      <c r="G149">
        <f t="shared" si="109"/>
        <v>1058390</v>
      </c>
      <c r="H149" s="38">
        <f t="shared" si="107"/>
        <v>2.4500000000000001E-2</v>
      </c>
      <c r="I149" s="13">
        <f t="shared" si="110"/>
        <v>1.9199999999999998E-2</v>
      </c>
      <c r="J149">
        <v>0.14000000000000001</v>
      </c>
      <c r="K149">
        <f t="shared" si="89"/>
        <v>100.14</v>
      </c>
      <c r="L149" s="29">
        <f t="shared" si="90"/>
        <v>-1.6000000000000001E-3</v>
      </c>
      <c r="M149">
        <v>1.34</v>
      </c>
      <c r="N149">
        <f t="shared" si="91"/>
        <v>101.34</v>
      </c>
      <c r="O149" s="13">
        <f t="shared" si="92"/>
        <v>-1.5E-3</v>
      </c>
      <c r="P149">
        <v>96.87</v>
      </c>
      <c r="Q149">
        <f t="shared" si="93"/>
        <v>96.563000000000002</v>
      </c>
      <c r="R149" s="13">
        <f t="shared" si="94"/>
        <v>2.8999999999999998E-3</v>
      </c>
      <c r="S149">
        <v>96.1</v>
      </c>
      <c r="T149">
        <f t="shared" si="95"/>
        <v>104.8</v>
      </c>
      <c r="U149" s="13">
        <f t="shared" si="96"/>
        <v>-1.09E-2</v>
      </c>
      <c r="V149">
        <v>322739</v>
      </c>
      <c r="W149" s="18">
        <f t="shared" si="97"/>
        <v>321324</v>
      </c>
      <c r="X149" s="38">
        <f t="shared" si="98"/>
        <v>2.8299999999999999E-2</v>
      </c>
      <c r="Y149" s="29">
        <f t="shared" si="99"/>
        <v>7.1999999999999998E-3</v>
      </c>
      <c r="Z149">
        <v>83.809240000000003</v>
      </c>
      <c r="AA149" s="18">
        <f t="shared" si="100"/>
        <v>83.37</v>
      </c>
      <c r="AB149" s="38">
        <f t="shared" si="101"/>
        <v>6.3299999999999995E-2</v>
      </c>
      <c r="AC149" s="13">
        <f t="shared" si="102"/>
        <v>1.1599999999999999E-2</v>
      </c>
      <c r="AD149" s="30">
        <f t="shared" si="108"/>
        <v>115.48</v>
      </c>
      <c r="AE149" s="11">
        <f t="shared" si="111"/>
        <v>3</v>
      </c>
      <c r="AF149" s="31">
        <f t="shared" si="103"/>
        <v>133.62</v>
      </c>
    </row>
    <row r="150" spans="1:32" x14ac:dyDescent="0.25">
      <c r="A150" s="5">
        <v>38837</v>
      </c>
      <c r="B150" s="10">
        <v>87.4</v>
      </c>
      <c r="C150" s="18">
        <f t="shared" si="104"/>
        <v>87.8</v>
      </c>
      <c r="D150" s="38">
        <f t="shared" si="105"/>
        <v>0.17219999999999999</v>
      </c>
      <c r="E150" s="29">
        <f t="shared" si="106"/>
        <v>-1.3100000000000001E-2</v>
      </c>
      <c r="F150">
        <v>1056617</v>
      </c>
      <c r="G150">
        <f t="shared" si="109"/>
        <v>1053407</v>
      </c>
      <c r="H150" s="38">
        <f t="shared" si="107"/>
        <v>2.6700000000000002E-2</v>
      </c>
      <c r="I150" s="13">
        <f t="shared" si="110"/>
        <v>1.9699999999999999E-2</v>
      </c>
      <c r="J150">
        <v>0.39</v>
      </c>
      <c r="K150">
        <f t="shared" si="89"/>
        <v>100.39</v>
      </c>
      <c r="L150" s="29">
        <f t="shared" si="90"/>
        <v>1E-4</v>
      </c>
      <c r="M150">
        <v>1.5</v>
      </c>
      <c r="N150">
        <f t="shared" si="91"/>
        <v>101.5</v>
      </c>
      <c r="O150" s="13">
        <f t="shared" si="92"/>
        <v>-5.9999999999999995E-4</v>
      </c>
      <c r="P150">
        <v>96.53</v>
      </c>
      <c r="Q150">
        <f t="shared" si="93"/>
        <v>96.266999999999996</v>
      </c>
      <c r="R150" s="13">
        <f t="shared" si="94"/>
        <v>2.8E-3</v>
      </c>
      <c r="S150">
        <v>109.2</v>
      </c>
      <c r="T150">
        <f t="shared" si="95"/>
        <v>107.967</v>
      </c>
      <c r="U150" s="13">
        <f t="shared" si="96"/>
        <v>4.4000000000000003E-3</v>
      </c>
      <c r="V150">
        <v>320996</v>
      </c>
      <c r="W150" s="18">
        <f t="shared" si="97"/>
        <v>321204</v>
      </c>
      <c r="X150" s="38">
        <f t="shared" si="98"/>
        <v>3.1399999999999997E-2</v>
      </c>
      <c r="Y150" s="29">
        <f t="shared" si="99"/>
        <v>6.1000000000000004E-3</v>
      </c>
      <c r="Z150">
        <v>83.542249999999996</v>
      </c>
      <c r="AA150" s="18">
        <f t="shared" si="100"/>
        <v>82.52</v>
      </c>
      <c r="AB150" s="38">
        <f t="shared" si="101"/>
        <v>6.7100000000000007E-2</v>
      </c>
      <c r="AC150" s="13">
        <f t="shared" si="102"/>
        <v>1.9300000000000001E-2</v>
      </c>
      <c r="AD150" s="30">
        <f t="shared" si="108"/>
        <v>143.59</v>
      </c>
      <c r="AE150" s="11">
        <f t="shared" si="111"/>
        <v>3</v>
      </c>
      <c r="AF150" s="31">
        <f t="shared" si="103"/>
        <v>139.88</v>
      </c>
    </row>
    <row r="151" spans="1:32" x14ac:dyDescent="0.25">
      <c r="A151" s="5">
        <v>38807</v>
      </c>
      <c r="B151" s="10">
        <v>88.9</v>
      </c>
      <c r="C151" s="18">
        <f t="shared" si="104"/>
        <v>88.4</v>
      </c>
      <c r="D151" s="38">
        <f t="shared" si="105"/>
        <v>0.105</v>
      </c>
      <c r="E151" s="29">
        <f t="shared" si="106"/>
        <v>-2.2000000000000001E-3</v>
      </c>
      <c r="F151">
        <v>1057947</v>
      </c>
      <c r="G151">
        <f t="shared" si="109"/>
        <v>1046281</v>
      </c>
      <c r="H151" s="38">
        <f t="shared" si="107"/>
        <v>2.9899999999999999E-2</v>
      </c>
      <c r="I151" s="13">
        <f t="shared" si="110"/>
        <v>2.12E-2</v>
      </c>
      <c r="J151">
        <v>0.44</v>
      </c>
      <c r="K151">
        <f t="shared" si="89"/>
        <v>100.44</v>
      </c>
      <c r="L151" s="29">
        <f t="shared" si="90"/>
        <v>8.0000000000000004E-4</v>
      </c>
      <c r="M151">
        <v>1.57</v>
      </c>
      <c r="N151">
        <f t="shared" si="91"/>
        <v>101.57</v>
      </c>
      <c r="O151" s="13">
        <f t="shared" si="92"/>
        <v>5.0000000000000001E-4</v>
      </c>
      <c r="P151">
        <v>96.29</v>
      </c>
      <c r="Q151">
        <f t="shared" si="93"/>
        <v>95.997</v>
      </c>
      <c r="R151" s="13">
        <f t="shared" si="94"/>
        <v>2.5000000000000001E-3</v>
      </c>
      <c r="S151">
        <v>109.1</v>
      </c>
      <c r="T151">
        <f t="shared" si="95"/>
        <v>108.333</v>
      </c>
      <c r="U151" s="13">
        <f t="shared" si="96"/>
        <v>2.5899999999999999E-2</v>
      </c>
      <c r="V151">
        <v>320238</v>
      </c>
      <c r="W151" s="18">
        <f t="shared" si="97"/>
        <v>318714</v>
      </c>
      <c r="X151" s="38">
        <f t="shared" si="98"/>
        <v>2.7099999999999999E-2</v>
      </c>
      <c r="Y151" s="29">
        <f t="shared" si="99"/>
        <v>7.6E-3</v>
      </c>
      <c r="Z151">
        <v>82.757800000000003</v>
      </c>
      <c r="AA151" s="18">
        <f t="shared" si="100"/>
        <v>81.209999999999994</v>
      </c>
      <c r="AB151" s="38">
        <f t="shared" si="101"/>
        <v>6.4100000000000004E-2</v>
      </c>
      <c r="AC151" s="13">
        <f t="shared" si="102"/>
        <v>2.35E-2</v>
      </c>
      <c r="AD151" s="30">
        <f t="shared" si="108"/>
        <v>141.80000000000001</v>
      </c>
      <c r="AE151" s="11">
        <f t="shared" si="111"/>
        <v>3</v>
      </c>
      <c r="AF151" s="31">
        <f t="shared" si="103"/>
        <v>136.13</v>
      </c>
    </row>
    <row r="152" spans="1:32" x14ac:dyDescent="0.25">
      <c r="A152" s="5">
        <v>38776</v>
      </c>
      <c r="B152" s="10">
        <v>86.7</v>
      </c>
      <c r="C152" s="18">
        <f t="shared" si="104"/>
        <v>87.8</v>
      </c>
      <c r="D152" s="38">
        <f t="shared" si="105"/>
        <v>-3.5200000000000002E-2</v>
      </c>
      <c r="E152" s="29">
        <f t="shared" si="106"/>
        <v>3.0800000000000001E-2</v>
      </c>
      <c r="F152">
        <v>1045656</v>
      </c>
      <c r="G152">
        <f t="shared" si="109"/>
        <v>1038924</v>
      </c>
      <c r="H152" s="38">
        <f t="shared" si="107"/>
        <v>3.27E-2</v>
      </c>
      <c r="I152" s="13">
        <f t="shared" si="110"/>
        <v>2.4799999999999999E-2</v>
      </c>
      <c r="J152">
        <v>0.69</v>
      </c>
      <c r="K152">
        <f t="shared" si="89"/>
        <v>100.69</v>
      </c>
      <c r="L152" s="29">
        <f t="shared" si="90"/>
        <v>2.2000000000000001E-3</v>
      </c>
      <c r="M152">
        <v>1.81</v>
      </c>
      <c r="N152">
        <f t="shared" si="91"/>
        <v>101.81</v>
      </c>
      <c r="O152" s="13">
        <f t="shared" si="92"/>
        <v>1.8E-3</v>
      </c>
      <c r="P152">
        <v>95.98</v>
      </c>
      <c r="Q152">
        <f t="shared" si="93"/>
        <v>95.72</v>
      </c>
      <c r="R152" s="13">
        <f t="shared" si="94"/>
        <v>2.2000000000000001E-3</v>
      </c>
      <c r="S152">
        <v>105.6</v>
      </c>
      <c r="T152">
        <f t="shared" si="95"/>
        <v>108.333</v>
      </c>
      <c r="U152" s="13">
        <f t="shared" si="96"/>
        <v>3.9E-2</v>
      </c>
      <c r="V152">
        <v>322377</v>
      </c>
      <c r="W152" s="18">
        <f t="shared" si="97"/>
        <v>316386</v>
      </c>
      <c r="X152" s="38">
        <f t="shared" si="98"/>
        <v>1.6400000000000001E-2</v>
      </c>
      <c r="Y152" s="29">
        <f t="shared" si="99"/>
        <v>9.5999999999999992E-3</v>
      </c>
      <c r="Z152">
        <v>81.258989999999997</v>
      </c>
      <c r="AA152" s="18">
        <f t="shared" si="100"/>
        <v>79.72</v>
      </c>
      <c r="AB152" s="38">
        <f t="shared" si="101"/>
        <v>5.8599999999999999E-2</v>
      </c>
      <c r="AC152" s="13">
        <f t="shared" si="102"/>
        <v>2.1600000000000001E-2</v>
      </c>
      <c r="AD152" s="30">
        <f t="shared" si="108"/>
        <v>134.25</v>
      </c>
      <c r="AE152" s="11">
        <f t="shared" si="111"/>
        <v>3</v>
      </c>
      <c r="AF152" s="31">
        <f t="shared" si="103"/>
        <v>127.31</v>
      </c>
    </row>
    <row r="153" spans="1:32" x14ac:dyDescent="0.25">
      <c r="A153" s="5">
        <v>38748</v>
      </c>
      <c r="B153" s="10">
        <v>91.2</v>
      </c>
      <c r="C153" s="18">
        <f t="shared" si="104"/>
        <v>91.3</v>
      </c>
      <c r="D153" s="38">
        <f t="shared" si="105"/>
        <v>-5.2900000000000003E-2</v>
      </c>
      <c r="E153" s="29">
        <f t="shared" si="106"/>
        <v>6.7299999999999999E-2</v>
      </c>
      <c r="F153">
        <v>1035240</v>
      </c>
      <c r="G153">
        <f t="shared" si="109"/>
        <v>1033048</v>
      </c>
      <c r="H153" s="38">
        <f t="shared" si="107"/>
        <v>3.61E-2</v>
      </c>
      <c r="I153" s="13">
        <f t="shared" si="110"/>
        <v>2.7900000000000001E-2</v>
      </c>
      <c r="J153">
        <v>0.77</v>
      </c>
      <c r="K153">
        <f t="shared" si="89"/>
        <v>100.77</v>
      </c>
      <c r="L153" s="29">
        <f t="shared" si="90"/>
        <v>1.2999999999999999E-3</v>
      </c>
      <c r="M153">
        <v>1.67</v>
      </c>
      <c r="N153">
        <f t="shared" si="91"/>
        <v>101.67</v>
      </c>
      <c r="O153" s="13">
        <f t="shared" si="92"/>
        <v>1.5E-3</v>
      </c>
      <c r="P153">
        <v>95.72</v>
      </c>
      <c r="Q153">
        <f t="shared" si="93"/>
        <v>95.477000000000004</v>
      </c>
      <c r="R153" s="13">
        <f t="shared" si="94"/>
        <v>2.2000000000000001E-3</v>
      </c>
      <c r="S153">
        <v>110.3</v>
      </c>
      <c r="T153">
        <f t="shared" si="95"/>
        <v>106.533</v>
      </c>
      <c r="U153" s="13">
        <f t="shared" si="96"/>
        <v>2.4899999999999999E-2</v>
      </c>
      <c r="V153">
        <v>313528</v>
      </c>
      <c r="W153" s="18">
        <f t="shared" si="97"/>
        <v>312494</v>
      </c>
      <c r="X153" s="38">
        <f t="shared" si="98"/>
        <v>3.2000000000000002E-3</v>
      </c>
      <c r="Y153" s="29">
        <f t="shared" si="99"/>
        <v>2.8999999999999998E-3</v>
      </c>
      <c r="Z153">
        <v>79.605069999999998</v>
      </c>
      <c r="AA153" s="18">
        <f t="shared" si="100"/>
        <v>78.41</v>
      </c>
      <c r="AB153" s="38">
        <f t="shared" si="101"/>
        <v>5.3199999999999997E-2</v>
      </c>
      <c r="AC153" s="13">
        <f t="shared" si="102"/>
        <v>1.78E-2</v>
      </c>
      <c r="AD153" s="30">
        <f t="shared" si="108"/>
        <v>132.33000000000001</v>
      </c>
      <c r="AE153" s="11">
        <f t="shared" si="111"/>
        <v>3</v>
      </c>
      <c r="AF153" s="31">
        <f t="shared" si="103"/>
        <v>112.79</v>
      </c>
    </row>
    <row r="154" spans="1:32" x14ac:dyDescent="0.25">
      <c r="A154" s="5">
        <v>38717</v>
      </c>
      <c r="B154" s="10">
        <v>91.5</v>
      </c>
      <c r="C154" s="18">
        <f t="shared" si="104"/>
        <v>89</v>
      </c>
      <c r="D154" s="38">
        <f t="shared" si="105"/>
        <v>-5.0200000000000002E-2</v>
      </c>
      <c r="E154" s="29">
        <f t="shared" si="106"/>
        <v>3.8300000000000001E-2</v>
      </c>
      <c r="F154">
        <v>1035877</v>
      </c>
      <c r="G154">
        <f t="shared" si="109"/>
        <v>1025976</v>
      </c>
      <c r="H154" s="38">
        <f t="shared" si="107"/>
        <v>3.2599999999999997E-2</v>
      </c>
      <c r="I154" s="13">
        <f t="shared" si="110"/>
        <v>2.5700000000000001E-2</v>
      </c>
      <c r="J154">
        <v>0.34</v>
      </c>
      <c r="K154">
        <f t="shared" si="89"/>
        <v>100.34</v>
      </c>
      <c r="L154" s="29">
        <f t="shared" si="90"/>
        <v>5.0000000000000001E-4</v>
      </c>
      <c r="M154">
        <v>1.43</v>
      </c>
      <c r="N154">
        <f t="shared" si="91"/>
        <v>101.43</v>
      </c>
      <c r="O154" s="13">
        <f t="shared" si="92"/>
        <v>-1.1000000000000001E-3</v>
      </c>
      <c r="P154">
        <v>95.46</v>
      </c>
      <c r="Q154">
        <f t="shared" si="93"/>
        <v>95.277000000000001</v>
      </c>
      <c r="R154" s="13">
        <f t="shared" si="94"/>
        <v>2.3999999999999998E-3</v>
      </c>
      <c r="S154">
        <v>109.1</v>
      </c>
      <c r="T154">
        <f t="shared" si="95"/>
        <v>100.167</v>
      </c>
      <c r="U154" s="13">
        <f t="shared" si="96"/>
        <v>-2.1299999999999999E-2</v>
      </c>
      <c r="V154">
        <v>313253</v>
      </c>
      <c r="W154" s="18">
        <f t="shared" si="97"/>
        <v>311435</v>
      </c>
      <c r="X154" s="38">
        <f t="shared" si="98"/>
        <v>8.6999999999999994E-3</v>
      </c>
      <c r="Y154" s="29">
        <f t="shared" si="99"/>
        <v>-2.9999999999999997E-4</v>
      </c>
      <c r="Z154">
        <v>78.289090000000002</v>
      </c>
      <c r="AA154" s="18">
        <f t="shared" si="100"/>
        <v>77.33</v>
      </c>
      <c r="AB154" s="38">
        <f t="shared" si="101"/>
        <v>4.5999999999999999E-2</v>
      </c>
      <c r="AC154" s="13">
        <f t="shared" si="102"/>
        <v>1.6400000000000001E-2</v>
      </c>
      <c r="AD154" s="30">
        <f t="shared" si="108"/>
        <v>115.36</v>
      </c>
      <c r="AE154" s="11">
        <f t="shared" si="111"/>
        <v>3</v>
      </c>
      <c r="AF154" s="31">
        <f t="shared" si="103"/>
        <v>94.49</v>
      </c>
    </row>
    <row r="155" spans="1:32" x14ac:dyDescent="0.25">
      <c r="A155" s="5">
        <v>38686</v>
      </c>
      <c r="B155" s="10">
        <v>81.599999999999994</v>
      </c>
      <c r="C155" s="18">
        <f t="shared" si="104"/>
        <v>79.8</v>
      </c>
      <c r="D155" s="38">
        <f t="shared" si="105"/>
        <v>-8.3799999999999999E-2</v>
      </c>
      <c r="E155" s="29">
        <f t="shared" si="106"/>
        <v>-4.5499999999999999E-2</v>
      </c>
      <c r="F155">
        <v>1028026</v>
      </c>
      <c r="G155">
        <f t="shared" si="109"/>
        <v>1015872</v>
      </c>
      <c r="H155" s="38">
        <f t="shared" si="107"/>
        <v>0.03</v>
      </c>
      <c r="I155" s="13">
        <f t="shared" si="110"/>
        <v>2.1299999999999999E-2</v>
      </c>
      <c r="J155">
        <v>0.12</v>
      </c>
      <c r="K155">
        <f t="shared" si="89"/>
        <v>100.12</v>
      </c>
      <c r="L155" s="29">
        <f t="shared" si="90"/>
        <v>-6.9999999999999999E-4</v>
      </c>
      <c r="M155">
        <v>1.25</v>
      </c>
      <c r="N155">
        <f t="shared" si="91"/>
        <v>101.25</v>
      </c>
      <c r="O155" s="13">
        <f t="shared" si="92"/>
        <v>-1.2999999999999999E-3</v>
      </c>
      <c r="P155">
        <v>95.25</v>
      </c>
      <c r="Q155">
        <f t="shared" si="93"/>
        <v>95.08</v>
      </c>
      <c r="R155" s="13">
        <f t="shared" si="94"/>
        <v>2.5999999999999999E-3</v>
      </c>
      <c r="S155">
        <v>100.2</v>
      </c>
      <c r="T155">
        <f t="shared" si="95"/>
        <v>96.5</v>
      </c>
      <c r="U155" s="13">
        <f t="shared" si="96"/>
        <v>-4.7699999999999999E-2</v>
      </c>
      <c r="V155">
        <v>310701</v>
      </c>
      <c r="W155" s="18">
        <f t="shared" si="97"/>
        <v>310311</v>
      </c>
      <c r="X155" s="38">
        <f t="shared" si="98"/>
        <v>1.54E-2</v>
      </c>
      <c r="Y155" s="29">
        <f t="shared" si="99"/>
        <v>-2.0000000000000001E-4</v>
      </c>
      <c r="Z155">
        <v>77.336510000000004</v>
      </c>
      <c r="AA155" s="18">
        <f t="shared" si="100"/>
        <v>76.319999999999993</v>
      </c>
      <c r="AB155" s="38">
        <f t="shared" si="101"/>
        <v>3.4599999999999999E-2</v>
      </c>
      <c r="AC155" s="13">
        <f t="shared" si="102"/>
        <v>1.6799999999999999E-2</v>
      </c>
      <c r="AD155" s="30">
        <f t="shared" si="108"/>
        <v>90.69</v>
      </c>
      <c r="AE155" s="11">
        <f t="shared" si="111"/>
        <v>3</v>
      </c>
      <c r="AF155" s="31">
        <f t="shared" si="103"/>
        <v>87.63</v>
      </c>
    </row>
    <row r="156" spans="1:32" x14ac:dyDescent="0.25">
      <c r="A156" s="5">
        <v>38656</v>
      </c>
      <c r="B156" s="10">
        <v>74.2</v>
      </c>
      <c r="C156" s="18">
        <f t="shared" si="104"/>
        <v>74.900000000000006</v>
      </c>
      <c r="D156" s="38">
        <f t="shared" si="105"/>
        <v>-0.1575</v>
      </c>
      <c r="E156" s="29">
        <f t="shared" si="106"/>
        <v>-8.0399999999999999E-2</v>
      </c>
      <c r="F156">
        <v>1014024</v>
      </c>
      <c r="G156">
        <f t="shared" si="109"/>
        <v>1006048</v>
      </c>
      <c r="H156" s="38">
        <f t="shared" si="107"/>
        <v>2.3099999999999999E-2</v>
      </c>
      <c r="I156" s="13">
        <f t="shared" si="110"/>
        <v>1.7000000000000001E-2</v>
      </c>
      <c r="J156">
        <v>-0.21</v>
      </c>
      <c r="K156">
        <f t="shared" si="89"/>
        <v>99.79</v>
      </c>
      <c r="L156" s="29">
        <f t="shared" si="90"/>
        <v>-8.9999999999999998E-4</v>
      </c>
      <c r="M156">
        <v>1.2</v>
      </c>
      <c r="N156">
        <f t="shared" si="91"/>
        <v>101.2</v>
      </c>
      <c r="O156" s="13">
        <f t="shared" si="92"/>
        <v>-1.5E-3</v>
      </c>
      <c r="P156">
        <v>95.12</v>
      </c>
      <c r="Q156">
        <f t="shared" si="93"/>
        <v>94.863</v>
      </c>
      <c r="R156" s="13">
        <f t="shared" si="94"/>
        <v>2.8E-3</v>
      </c>
      <c r="S156">
        <v>91.2</v>
      </c>
      <c r="T156">
        <f t="shared" si="95"/>
        <v>99.167000000000002</v>
      </c>
      <c r="U156" s="13">
        <f t="shared" si="96"/>
        <v>-3.4599999999999999E-2</v>
      </c>
      <c r="V156">
        <v>310350</v>
      </c>
      <c r="W156" s="18">
        <f t="shared" si="97"/>
        <v>311288</v>
      </c>
      <c r="X156" s="38">
        <f t="shared" si="98"/>
        <v>2.9700000000000001E-2</v>
      </c>
      <c r="Y156" s="29">
        <f t="shared" si="99"/>
        <v>7.0000000000000001E-3</v>
      </c>
      <c r="Z156">
        <v>76.361990000000006</v>
      </c>
      <c r="AA156" s="18">
        <f t="shared" si="100"/>
        <v>75.31</v>
      </c>
      <c r="AB156" s="38">
        <f t="shared" si="101"/>
        <v>2.0199999999999999E-2</v>
      </c>
      <c r="AC156" s="13">
        <f t="shared" si="102"/>
        <v>1.5100000000000001E-2</v>
      </c>
      <c r="AD156" s="30">
        <f t="shared" si="108"/>
        <v>77.42</v>
      </c>
      <c r="AE156" s="11">
        <f t="shared" si="111"/>
        <v>1</v>
      </c>
      <c r="AF156" s="31">
        <f t="shared" si="103"/>
        <v>97.37</v>
      </c>
    </row>
    <row r="157" spans="1:32" x14ac:dyDescent="0.25">
      <c r="A157" s="5">
        <v>38625</v>
      </c>
      <c r="B157" s="10">
        <v>76.900000000000006</v>
      </c>
      <c r="C157" s="18">
        <f t="shared" si="104"/>
        <v>80</v>
      </c>
      <c r="D157" s="38">
        <f t="shared" si="105"/>
        <v>-0.13980000000000001</v>
      </c>
      <c r="E157" s="29">
        <f t="shared" si="106"/>
        <v>-4.87E-2</v>
      </c>
      <c r="F157">
        <v>1005565</v>
      </c>
      <c r="G157">
        <f t="shared" si="109"/>
        <v>997091</v>
      </c>
      <c r="H157" s="38">
        <f t="shared" si="107"/>
        <v>2.1499999999999998E-2</v>
      </c>
      <c r="I157" s="13">
        <f t="shared" si="110"/>
        <v>1.5900000000000001E-2</v>
      </c>
      <c r="J157">
        <v>0.23</v>
      </c>
      <c r="K157">
        <f t="shared" si="89"/>
        <v>100.23</v>
      </c>
      <c r="L157" s="29">
        <f t="shared" si="90"/>
        <v>-2.0000000000000001E-4</v>
      </c>
      <c r="M157">
        <v>1.75</v>
      </c>
      <c r="N157">
        <f t="shared" si="91"/>
        <v>101.75</v>
      </c>
      <c r="O157" s="13">
        <f t="shared" si="92"/>
        <v>1.5E-3</v>
      </c>
      <c r="P157">
        <v>94.87</v>
      </c>
      <c r="Q157">
        <f t="shared" si="93"/>
        <v>94.6</v>
      </c>
      <c r="R157" s="13">
        <f t="shared" si="94"/>
        <v>2.7000000000000001E-3</v>
      </c>
      <c r="S157">
        <v>98.1</v>
      </c>
      <c r="T157">
        <f t="shared" si="95"/>
        <v>106.6</v>
      </c>
      <c r="U157" s="13">
        <f t="shared" si="96"/>
        <v>-2.7000000000000001E-3</v>
      </c>
      <c r="V157">
        <v>309881</v>
      </c>
      <c r="W157" s="18">
        <f t="shared" si="97"/>
        <v>311487</v>
      </c>
      <c r="X157" s="38">
        <f t="shared" si="98"/>
        <v>3.1699999999999999E-2</v>
      </c>
      <c r="Y157" s="29">
        <f t="shared" si="99"/>
        <v>4.5999999999999999E-3</v>
      </c>
      <c r="Z157">
        <v>75.265010000000004</v>
      </c>
      <c r="AA157" s="18">
        <f t="shared" si="100"/>
        <v>74.45</v>
      </c>
      <c r="AB157" s="38">
        <f t="shared" si="101"/>
        <v>7.6E-3</v>
      </c>
      <c r="AC157" s="13">
        <f t="shared" si="102"/>
        <v>9.7999999999999997E-3</v>
      </c>
      <c r="AD157" s="30">
        <f t="shared" si="108"/>
        <v>94.78</v>
      </c>
      <c r="AE157" s="11">
        <f t="shared" si="111"/>
        <v>3</v>
      </c>
      <c r="AF157" s="31">
        <f t="shared" si="103"/>
        <v>113.75</v>
      </c>
    </row>
    <row r="158" spans="1:32" x14ac:dyDescent="0.25">
      <c r="A158" s="5">
        <v>38595</v>
      </c>
      <c r="B158" s="10">
        <v>89.1</v>
      </c>
      <c r="C158" s="18">
        <f t="shared" si="104"/>
        <v>91</v>
      </c>
      <c r="D158" s="38">
        <f t="shared" si="105"/>
        <v>-3.6999999999999998E-2</v>
      </c>
      <c r="E158" s="29">
        <f t="shared" si="106"/>
        <v>1.41E-2</v>
      </c>
      <c r="F158">
        <v>998555</v>
      </c>
      <c r="G158">
        <f t="shared" si="109"/>
        <v>993550</v>
      </c>
      <c r="H158" s="38">
        <f t="shared" si="107"/>
        <v>2.12E-2</v>
      </c>
      <c r="I158" s="13">
        <f t="shared" si="110"/>
        <v>1.5800000000000002E-2</v>
      </c>
      <c r="J158">
        <v>0.15</v>
      </c>
      <c r="K158">
        <f t="shared" si="89"/>
        <v>100.15</v>
      </c>
      <c r="L158" s="29">
        <f t="shared" si="90"/>
        <v>-1E-4</v>
      </c>
      <c r="M158">
        <v>1.65</v>
      </c>
      <c r="N158">
        <f t="shared" si="91"/>
        <v>101.65</v>
      </c>
      <c r="O158" s="13">
        <f t="shared" si="92"/>
        <v>1E-4</v>
      </c>
      <c r="P158">
        <v>94.6</v>
      </c>
      <c r="Q158">
        <f t="shared" si="93"/>
        <v>94.337000000000003</v>
      </c>
      <c r="R158" s="13">
        <f t="shared" si="94"/>
        <v>2.5999999999999999E-3</v>
      </c>
      <c r="S158">
        <v>108.2</v>
      </c>
      <c r="T158">
        <f t="shared" si="95"/>
        <v>111.633</v>
      </c>
      <c r="U158" s="13">
        <f t="shared" si="96"/>
        <v>1.8100000000000002E-2</v>
      </c>
      <c r="V158">
        <v>313634</v>
      </c>
      <c r="W158" s="18">
        <f t="shared" si="97"/>
        <v>308763</v>
      </c>
      <c r="X158" s="38">
        <f t="shared" si="98"/>
        <v>3.09E-2</v>
      </c>
      <c r="Y158" s="29">
        <f t="shared" si="99"/>
        <v>1.04E-2</v>
      </c>
      <c r="Z158">
        <v>74.310119999999998</v>
      </c>
      <c r="AA158" s="18">
        <f t="shared" si="100"/>
        <v>73.930000000000007</v>
      </c>
      <c r="AB158" s="38">
        <f t="shared" si="101"/>
        <v>1.1999999999999999E-3</v>
      </c>
      <c r="AC158" s="13">
        <f t="shared" si="102"/>
        <v>3.5000000000000001E-3</v>
      </c>
      <c r="AD158" s="30">
        <f t="shared" si="108"/>
        <v>119.91</v>
      </c>
      <c r="AE158" s="11">
        <f t="shared" si="111"/>
        <v>3</v>
      </c>
      <c r="AF158" s="31">
        <f t="shared" si="103"/>
        <v>119.87</v>
      </c>
    </row>
    <row r="159" spans="1:32" x14ac:dyDescent="0.25">
      <c r="A159" s="5">
        <v>38564</v>
      </c>
      <c r="B159" s="10">
        <v>96.5</v>
      </c>
      <c r="C159" s="18">
        <f t="shared" si="104"/>
        <v>96.4</v>
      </c>
      <c r="D159" s="38">
        <f t="shared" si="105"/>
        <v>5.1999999999999998E-3</v>
      </c>
      <c r="E159" s="29">
        <f t="shared" si="106"/>
        <v>2.7799999999999998E-2</v>
      </c>
      <c r="F159">
        <v>987152</v>
      </c>
      <c r="G159">
        <f t="shared" si="109"/>
        <v>986295</v>
      </c>
      <c r="H159" s="38">
        <f t="shared" si="107"/>
        <v>2.1600000000000001E-2</v>
      </c>
      <c r="I159" s="13">
        <f t="shared" si="110"/>
        <v>1.6199999999999999E-2</v>
      </c>
      <c r="J159">
        <v>0.42</v>
      </c>
      <c r="K159">
        <f t="shared" si="89"/>
        <v>100.42</v>
      </c>
      <c r="L159" s="29">
        <f t="shared" si="90"/>
        <v>-5.0000000000000001E-4</v>
      </c>
      <c r="M159">
        <v>1.65</v>
      </c>
      <c r="N159">
        <f t="shared" si="91"/>
        <v>101.65</v>
      </c>
      <c r="O159" s="13">
        <f t="shared" si="92"/>
        <v>1E-3</v>
      </c>
      <c r="P159">
        <v>94.33</v>
      </c>
      <c r="Q159">
        <f t="shared" si="93"/>
        <v>94.082999999999998</v>
      </c>
      <c r="R159" s="13">
        <f t="shared" si="94"/>
        <v>2.5000000000000001E-3</v>
      </c>
      <c r="S159">
        <v>113.5</v>
      </c>
      <c r="T159">
        <f t="shared" si="95"/>
        <v>110.533</v>
      </c>
      <c r="U159" s="13">
        <f t="shared" si="96"/>
        <v>1.04E-2</v>
      </c>
      <c r="V159">
        <v>310946</v>
      </c>
      <c r="W159" s="18">
        <f t="shared" si="97"/>
        <v>305611</v>
      </c>
      <c r="X159" s="38">
        <f t="shared" si="98"/>
        <v>2.18E-2</v>
      </c>
      <c r="Y159" s="29">
        <f t="shared" si="99"/>
        <v>8.6E-3</v>
      </c>
      <c r="Z159">
        <v>73.784970000000001</v>
      </c>
      <c r="AA159" s="18">
        <f t="shared" si="100"/>
        <v>73.77</v>
      </c>
      <c r="AB159" s="38">
        <f t="shared" si="101"/>
        <v>1.1000000000000001E-3</v>
      </c>
      <c r="AC159" s="13">
        <f t="shared" si="102"/>
        <v>-6.9999999999999999E-4</v>
      </c>
      <c r="AD159" s="30">
        <f t="shared" si="108"/>
        <v>126.57</v>
      </c>
      <c r="AE159" s="11">
        <f t="shared" si="111"/>
        <v>3</v>
      </c>
      <c r="AF159" s="31">
        <f t="shared" si="103"/>
        <v>115.22</v>
      </c>
    </row>
    <row r="160" spans="1:32" x14ac:dyDescent="0.25">
      <c r="A160" s="5">
        <v>38533</v>
      </c>
      <c r="B160" s="10">
        <v>96</v>
      </c>
      <c r="C160" s="18">
        <f t="shared" si="104"/>
        <v>93.7</v>
      </c>
      <c r="D160" s="38">
        <f t="shared" si="105"/>
        <v>-2.4E-2</v>
      </c>
      <c r="E160" s="29">
        <f t="shared" si="106"/>
        <v>2.5999999999999999E-3</v>
      </c>
      <c r="F160">
        <v>994943</v>
      </c>
      <c r="G160">
        <f t="shared" si="109"/>
        <v>983369</v>
      </c>
      <c r="H160" s="38">
        <f t="shared" si="107"/>
        <v>2.6700000000000002E-2</v>
      </c>
      <c r="I160" s="13">
        <f t="shared" si="110"/>
        <v>1.8800000000000001E-2</v>
      </c>
      <c r="J160">
        <v>0.14000000000000001</v>
      </c>
      <c r="K160">
        <f t="shared" si="89"/>
        <v>100.14</v>
      </c>
      <c r="L160" s="29">
        <f t="shared" si="90"/>
        <v>-6.9999999999999999E-4</v>
      </c>
      <c r="M160">
        <v>1.29</v>
      </c>
      <c r="N160">
        <f t="shared" si="91"/>
        <v>101.29</v>
      </c>
      <c r="O160" s="13">
        <f t="shared" si="92"/>
        <v>-5.9999999999999995E-4</v>
      </c>
      <c r="P160">
        <v>94.08</v>
      </c>
      <c r="Q160">
        <f t="shared" si="93"/>
        <v>93.826999999999998</v>
      </c>
      <c r="R160" s="13">
        <f t="shared" si="94"/>
        <v>2.3E-3</v>
      </c>
      <c r="S160">
        <v>113.2</v>
      </c>
      <c r="T160">
        <f t="shared" si="95"/>
        <v>107.5</v>
      </c>
      <c r="U160" s="13">
        <f t="shared" si="96"/>
        <v>-5.7999999999999996E-3</v>
      </c>
      <c r="V160">
        <v>301708</v>
      </c>
      <c r="W160" s="18">
        <f t="shared" si="97"/>
        <v>302303</v>
      </c>
      <c r="X160" s="38">
        <f t="shared" si="98"/>
        <v>1.5699999999999999E-2</v>
      </c>
      <c r="Y160" s="29">
        <f t="shared" si="99"/>
        <v>4.0000000000000001E-3</v>
      </c>
      <c r="Z160">
        <v>73.696100000000001</v>
      </c>
      <c r="AA160" s="18">
        <f t="shared" si="100"/>
        <v>73.819999999999993</v>
      </c>
      <c r="AB160" s="38">
        <f t="shared" si="101"/>
        <v>3.8999999999999998E-3</v>
      </c>
      <c r="AC160" s="13">
        <f t="shared" si="102"/>
        <v>-1.4E-3</v>
      </c>
      <c r="AD160" s="30">
        <f t="shared" si="108"/>
        <v>113.12</v>
      </c>
      <c r="AE160" s="11">
        <f t="shared" si="111"/>
        <v>3</v>
      </c>
      <c r="AF160" s="31">
        <f t="shared" si="103"/>
        <v>109.97</v>
      </c>
    </row>
    <row r="161" spans="1:32" x14ac:dyDescent="0.25">
      <c r="A161" s="5">
        <v>38503</v>
      </c>
      <c r="B161" s="10">
        <v>86.9</v>
      </c>
      <c r="C161" s="18">
        <f t="shared" si="104"/>
        <v>87.1</v>
      </c>
      <c r="D161" s="38">
        <f t="shared" si="105"/>
        <v>-5.8400000000000001E-2</v>
      </c>
      <c r="E161" s="29">
        <f t="shared" si="106"/>
        <v>-2.6800000000000001E-2</v>
      </c>
      <c r="F161">
        <v>976791</v>
      </c>
      <c r="G161">
        <f t="shared" si="109"/>
        <v>976079</v>
      </c>
      <c r="H161" s="38">
        <f t="shared" si="107"/>
        <v>2.9899999999999999E-2</v>
      </c>
      <c r="I161" s="13">
        <f t="shared" si="110"/>
        <v>2.2800000000000001E-2</v>
      </c>
      <c r="J161">
        <v>0.32</v>
      </c>
      <c r="K161">
        <f t="shared" si="89"/>
        <v>100.32</v>
      </c>
      <c r="L161" s="29">
        <f t="shared" si="90"/>
        <v>-5.0000000000000001E-4</v>
      </c>
      <c r="M161">
        <v>1.62</v>
      </c>
      <c r="N161">
        <f t="shared" si="91"/>
        <v>101.62</v>
      </c>
      <c r="O161" s="13">
        <f t="shared" si="92"/>
        <v>1.6999999999999999E-3</v>
      </c>
      <c r="P161">
        <v>93.84</v>
      </c>
      <c r="Q161">
        <f t="shared" si="93"/>
        <v>93.596999999999994</v>
      </c>
      <c r="R161" s="13">
        <f t="shared" si="94"/>
        <v>2.2000000000000001E-3</v>
      </c>
      <c r="S161">
        <v>104.9</v>
      </c>
      <c r="T161">
        <f t="shared" si="95"/>
        <v>105.767</v>
      </c>
      <c r="U161" s="13">
        <f t="shared" si="96"/>
        <v>-9.7000000000000003E-3</v>
      </c>
      <c r="V161">
        <v>304180</v>
      </c>
      <c r="W161" s="18">
        <f t="shared" si="97"/>
        <v>301904</v>
      </c>
      <c r="X161" s="38">
        <f t="shared" si="98"/>
        <v>1.6500000000000001E-2</v>
      </c>
      <c r="Y161" s="29">
        <f t="shared" si="99"/>
        <v>3.7000000000000002E-3</v>
      </c>
      <c r="Z161">
        <v>73.820639999999997</v>
      </c>
      <c r="AA161" s="18">
        <f t="shared" si="100"/>
        <v>73.89</v>
      </c>
      <c r="AB161" s="38">
        <f t="shared" si="101"/>
        <v>6.0000000000000001E-3</v>
      </c>
      <c r="AC161" s="13">
        <f t="shared" si="102"/>
        <v>4.0000000000000002E-4</v>
      </c>
      <c r="AD161" s="30">
        <f t="shared" si="108"/>
        <v>105.97</v>
      </c>
      <c r="AE161" s="11">
        <f t="shared" si="111"/>
        <v>3</v>
      </c>
      <c r="AF161" s="31">
        <f t="shared" si="103"/>
        <v>113.8</v>
      </c>
    </row>
    <row r="162" spans="1:32" x14ac:dyDescent="0.25">
      <c r="A162" s="5">
        <v>38472</v>
      </c>
      <c r="B162" s="10">
        <v>87.7</v>
      </c>
      <c r="C162" s="18">
        <f t="shared" si="104"/>
        <v>88.9</v>
      </c>
      <c r="D162" s="38">
        <f t="shared" si="105"/>
        <v>-3.6799999999999999E-2</v>
      </c>
      <c r="E162" s="29">
        <f t="shared" si="106"/>
        <v>-2.47E-2</v>
      </c>
      <c r="F162">
        <v>978373</v>
      </c>
      <c r="G162">
        <f t="shared" si="109"/>
        <v>972896</v>
      </c>
      <c r="H162" s="38">
        <f t="shared" si="107"/>
        <v>3.6400000000000002E-2</v>
      </c>
      <c r="I162" s="13">
        <f t="shared" si="110"/>
        <v>2.75E-2</v>
      </c>
      <c r="J162">
        <v>0.19</v>
      </c>
      <c r="K162">
        <f t="shared" si="89"/>
        <v>100.19</v>
      </c>
      <c r="L162" s="29">
        <f t="shared" si="90"/>
        <v>-2.0000000000000001E-4</v>
      </c>
      <c r="M162">
        <v>1.34</v>
      </c>
      <c r="N162">
        <f t="shared" si="91"/>
        <v>101.34</v>
      </c>
      <c r="O162" s="13">
        <f t="shared" si="92"/>
        <v>0</v>
      </c>
      <c r="P162">
        <v>93.56</v>
      </c>
      <c r="Q162">
        <f t="shared" si="93"/>
        <v>93.37</v>
      </c>
      <c r="R162" s="13">
        <f t="shared" si="94"/>
        <v>2.0999999999999999E-3</v>
      </c>
      <c r="S162">
        <v>104.4</v>
      </c>
      <c r="T162">
        <f t="shared" si="95"/>
        <v>107.2</v>
      </c>
      <c r="U162" s="13">
        <f t="shared" si="96"/>
        <v>-6.9999999999999999E-4</v>
      </c>
      <c r="V162">
        <v>301020</v>
      </c>
      <c r="W162" s="18">
        <f t="shared" si="97"/>
        <v>299496</v>
      </c>
      <c r="X162" s="38">
        <f t="shared" si="98"/>
        <v>1.5900000000000001E-2</v>
      </c>
      <c r="Y162" s="29">
        <f t="shared" si="99"/>
        <v>4.1000000000000003E-3</v>
      </c>
      <c r="Z162">
        <v>73.943280000000001</v>
      </c>
      <c r="AA162" s="18">
        <f t="shared" si="100"/>
        <v>73.84</v>
      </c>
      <c r="AB162" s="38">
        <f t="shared" si="101"/>
        <v>5.5999999999999999E-3</v>
      </c>
      <c r="AC162" s="13">
        <f t="shared" si="102"/>
        <v>2.5000000000000001E-3</v>
      </c>
      <c r="AD162" s="30">
        <f t="shared" si="108"/>
        <v>110.83</v>
      </c>
      <c r="AE162" s="11">
        <f t="shared" si="111"/>
        <v>3</v>
      </c>
      <c r="AF162" s="31">
        <f t="shared" si="103"/>
        <v>119.99</v>
      </c>
    </row>
    <row r="163" spans="1:32" x14ac:dyDescent="0.25">
      <c r="A163" s="5">
        <v>38442</v>
      </c>
      <c r="B163" s="10">
        <v>92.6</v>
      </c>
      <c r="C163" s="18">
        <f t="shared" si="104"/>
        <v>93</v>
      </c>
      <c r="D163" s="38">
        <f t="shared" si="105"/>
        <v>-1.6899999999999998E-2</v>
      </c>
      <c r="E163" s="29">
        <f t="shared" si="106"/>
        <v>-1.0500000000000001E-2</v>
      </c>
      <c r="F163">
        <v>973072</v>
      </c>
      <c r="G163">
        <f t="shared" si="109"/>
        <v>965423</v>
      </c>
      <c r="H163" s="38">
        <f t="shared" si="107"/>
        <v>4.02E-2</v>
      </c>
      <c r="I163" s="13">
        <f t="shared" si="110"/>
        <v>3.0200000000000001E-2</v>
      </c>
      <c r="J163">
        <v>0.62</v>
      </c>
      <c r="K163">
        <f t="shared" si="89"/>
        <v>100.62</v>
      </c>
      <c r="L163" s="29">
        <f t="shared" si="90"/>
        <v>5.9999999999999995E-4</v>
      </c>
      <c r="M163">
        <v>1.48</v>
      </c>
      <c r="N163">
        <f t="shared" si="91"/>
        <v>101.48</v>
      </c>
      <c r="O163" s="13">
        <f t="shared" si="92"/>
        <v>0</v>
      </c>
      <c r="P163">
        <v>93.39</v>
      </c>
      <c r="Q163">
        <f t="shared" si="93"/>
        <v>93.183000000000007</v>
      </c>
      <c r="R163" s="13">
        <f t="shared" si="94"/>
        <v>2.2000000000000001E-3</v>
      </c>
      <c r="S163">
        <v>108</v>
      </c>
      <c r="T163">
        <f t="shared" si="95"/>
        <v>109.367</v>
      </c>
      <c r="U163" s="13">
        <f t="shared" si="96"/>
        <v>1.32E-2</v>
      </c>
      <c r="V163">
        <v>300511</v>
      </c>
      <c r="W163" s="18">
        <f t="shared" si="97"/>
        <v>299078</v>
      </c>
      <c r="X163" s="38">
        <f t="shared" si="98"/>
        <v>2.41E-2</v>
      </c>
      <c r="Y163" s="29">
        <f t="shared" si="99"/>
        <v>4.5999999999999999E-3</v>
      </c>
      <c r="Z163">
        <v>73.904539999999997</v>
      </c>
      <c r="AA163" s="18">
        <f t="shared" si="100"/>
        <v>73.69</v>
      </c>
      <c r="AB163" s="38">
        <f t="shared" si="101"/>
        <v>4.1000000000000003E-3</v>
      </c>
      <c r="AC163" s="13">
        <f t="shared" si="102"/>
        <v>2.8999999999999998E-3</v>
      </c>
      <c r="AD163" s="30">
        <f t="shared" si="108"/>
        <v>124.61</v>
      </c>
      <c r="AE163" s="11">
        <f t="shared" si="111"/>
        <v>3</v>
      </c>
      <c r="AF163" s="31">
        <f t="shared" si="103"/>
        <v>125.7</v>
      </c>
    </row>
    <row r="164" spans="1:32" x14ac:dyDescent="0.25">
      <c r="A164" s="5">
        <v>38411</v>
      </c>
      <c r="B164" s="10">
        <v>94.1</v>
      </c>
      <c r="C164" s="18">
        <f t="shared" si="104"/>
        <v>94.5</v>
      </c>
      <c r="D164" s="38">
        <f t="shared" si="105"/>
        <v>-1.66E-2</v>
      </c>
      <c r="E164" s="29">
        <f t="shared" si="106"/>
        <v>7.0000000000000001E-3</v>
      </c>
      <c r="F164">
        <v>967242</v>
      </c>
      <c r="G164">
        <f t="shared" si="109"/>
        <v>957841</v>
      </c>
      <c r="H164" s="38">
        <f t="shared" si="107"/>
        <v>4.02E-2</v>
      </c>
      <c r="I164" s="13">
        <f t="shared" si="110"/>
        <v>3.0599999999999999E-2</v>
      </c>
      <c r="J164">
        <v>0.43</v>
      </c>
      <c r="K164">
        <f t="shared" si="89"/>
        <v>100.43</v>
      </c>
      <c r="L164" s="29">
        <f t="shared" si="90"/>
        <v>1E-4</v>
      </c>
      <c r="M164">
        <v>1.1100000000000001</v>
      </c>
      <c r="N164">
        <f t="shared" si="91"/>
        <v>101.11</v>
      </c>
      <c r="O164" s="13">
        <f t="shared" si="92"/>
        <v>-8.9999999999999998E-4</v>
      </c>
      <c r="P164">
        <v>93.16</v>
      </c>
      <c r="Q164">
        <f t="shared" si="93"/>
        <v>92.983000000000004</v>
      </c>
      <c r="R164" s="13">
        <f t="shared" si="94"/>
        <v>2.3E-3</v>
      </c>
      <c r="S164">
        <v>109.2</v>
      </c>
      <c r="T164">
        <f t="shared" si="95"/>
        <v>108.93300000000001</v>
      </c>
      <c r="U164" s="13">
        <f t="shared" si="96"/>
        <v>1.52E-2</v>
      </c>
      <c r="V164">
        <v>296957</v>
      </c>
      <c r="W164" s="18">
        <f t="shared" si="97"/>
        <v>297634</v>
      </c>
      <c r="X164" s="38">
        <f t="shared" si="98"/>
        <v>2.8199999999999999E-2</v>
      </c>
      <c r="Y164" s="29">
        <f t="shared" si="99"/>
        <v>3.2000000000000002E-3</v>
      </c>
      <c r="Z164">
        <v>73.686179999999993</v>
      </c>
      <c r="AA164" s="18">
        <f t="shared" si="100"/>
        <v>73.53</v>
      </c>
      <c r="AB164" s="38">
        <f t="shared" si="101"/>
        <v>3.0000000000000001E-3</v>
      </c>
      <c r="AC164" s="13">
        <f t="shared" si="102"/>
        <v>1.6000000000000001E-3</v>
      </c>
      <c r="AD164" s="30">
        <f t="shared" si="108"/>
        <v>124.53</v>
      </c>
      <c r="AE164" s="11">
        <f t="shared" si="111"/>
        <v>3</v>
      </c>
      <c r="AF164" s="31">
        <f t="shared" si="103"/>
        <v>125.11</v>
      </c>
    </row>
    <row r="165" spans="1:32" x14ac:dyDescent="0.25">
      <c r="A165" s="5">
        <v>38383</v>
      </c>
      <c r="B165" s="10">
        <v>95.5</v>
      </c>
      <c r="C165" s="18">
        <f t="shared" si="104"/>
        <v>95.9</v>
      </c>
      <c r="D165" s="38">
        <f t="shared" si="105"/>
        <v>-5.1999999999999998E-3</v>
      </c>
      <c r="E165" s="29">
        <f t="shared" si="106"/>
        <v>1.2800000000000001E-2</v>
      </c>
      <c r="F165">
        <v>955955</v>
      </c>
      <c r="G165">
        <f t="shared" si="109"/>
        <v>947707</v>
      </c>
      <c r="H165" s="38">
        <f t="shared" si="107"/>
        <v>3.4099999999999998E-2</v>
      </c>
      <c r="I165" s="13">
        <f t="shared" si="110"/>
        <v>2.6800000000000001E-2</v>
      </c>
      <c r="J165">
        <v>0.53</v>
      </c>
      <c r="K165">
        <f t="shared" si="89"/>
        <v>100.53</v>
      </c>
      <c r="L165" s="29">
        <f t="shared" si="90"/>
        <v>8.0000000000000004E-4</v>
      </c>
      <c r="M165">
        <v>1.34</v>
      </c>
      <c r="N165">
        <f t="shared" si="91"/>
        <v>101.34</v>
      </c>
      <c r="O165" s="13">
        <f t="shared" si="92"/>
        <v>-1E-4</v>
      </c>
      <c r="P165">
        <v>93</v>
      </c>
      <c r="Q165">
        <f t="shared" si="93"/>
        <v>92.783000000000001</v>
      </c>
      <c r="R165" s="13">
        <f t="shared" si="94"/>
        <v>2.3E-3</v>
      </c>
      <c r="S165">
        <v>110.9</v>
      </c>
      <c r="T165">
        <f t="shared" si="95"/>
        <v>107.43300000000001</v>
      </c>
      <c r="U165" s="13">
        <f t="shared" si="96"/>
        <v>7.1000000000000004E-3</v>
      </c>
      <c r="V165">
        <v>299766</v>
      </c>
      <c r="W165" s="18">
        <f t="shared" si="97"/>
        <v>297000</v>
      </c>
      <c r="X165" s="38">
        <f t="shared" si="98"/>
        <v>3.6799999999999999E-2</v>
      </c>
      <c r="Y165" s="29">
        <f t="shared" si="99"/>
        <v>1.01E-2</v>
      </c>
      <c r="Z165">
        <v>73.475570000000005</v>
      </c>
      <c r="AA165" s="18">
        <f t="shared" si="100"/>
        <v>73.45</v>
      </c>
      <c r="AB165" s="38">
        <f t="shared" si="101"/>
        <v>3.3E-3</v>
      </c>
      <c r="AC165" s="13">
        <f t="shared" si="102"/>
        <v>4.0000000000000002E-4</v>
      </c>
      <c r="AD165" s="30">
        <f t="shared" si="108"/>
        <v>127.95</v>
      </c>
      <c r="AE165" s="11">
        <f t="shared" si="111"/>
        <v>3</v>
      </c>
      <c r="AF165" s="31">
        <f t="shared" si="103"/>
        <v>122.39</v>
      </c>
    </row>
    <row r="166" spans="1:32" x14ac:dyDescent="0.25">
      <c r="A166" s="5">
        <v>38352</v>
      </c>
      <c r="B166" s="10">
        <v>97.1</v>
      </c>
      <c r="C166" s="18">
        <f t="shared" si="104"/>
        <v>96</v>
      </c>
      <c r="D166" s="38">
        <f t="shared" si="105"/>
        <v>1.7999999999999999E-2</v>
      </c>
      <c r="E166" s="29">
        <f t="shared" si="106"/>
        <v>5.0000000000000001E-3</v>
      </c>
      <c r="F166">
        <v>950327</v>
      </c>
      <c r="G166">
        <f t="shared" si="109"/>
        <v>938752</v>
      </c>
      <c r="H166" s="38">
        <f t="shared" si="107"/>
        <v>2.9000000000000001E-2</v>
      </c>
      <c r="I166" s="13">
        <f t="shared" si="110"/>
        <v>2.0899999999999998E-2</v>
      </c>
      <c r="J166">
        <v>0.27</v>
      </c>
      <c r="K166">
        <f t="shared" si="89"/>
        <v>100.27</v>
      </c>
      <c r="L166" s="29">
        <f t="shared" si="90"/>
        <v>-2.0000000000000001E-4</v>
      </c>
      <c r="M166">
        <v>1.47</v>
      </c>
      <c r="N166">
        <f t="shared" si="91"/>
        <v>101.47</v>
      </c>
      <c r="O166" s="13">
        <f t="shared" si="92"/>
        <v>1E-4</v>
      </c>
      <c r="P166">
        <v>92.79</v>
      </c>
      <c r="Q166">
        <f t="shared" si="93"/>
        <v>92.566999999999993</v>
      </c>
      <c r="R166" s="13">
        <f t="shared" si="94"/>
        <v>2.3E-3</v>
      </c>
      <c r="S166">
        <v>106.7</v>
      </c>
      <c r="T166">
        <f t="shared" si="95"/>
        <v>105.133</v>
      </c>
      <c r="U166" s="13">
        <f t="shared" si="96"/>
        <v>-1.5E-3</v>
      </c>
      <c r="V166">
        <v>296178</v>
      </c>
      <c r="W166" s="18">
        <f t="shared" si="97"/>
        <v>294803</v>
      </c>
      <c r="X166" s="38">
        <f t="shared" si="98"/>
        <v>2.87E-2</v>
      </c>
      <c r="Y166" s="29">
        <f t="shared" si="99"/>
        <v>7.6E-3</v>
      </c>
      <c r="Z166">
        <v>73.427350000000004</v>
      </c>
      <c r="AA166" s="18">
        <f t="shared" si="100"/>
        <v>73.430000000000007</v>
      </c>
      <c r="AB166" s="38">
        <f t="shared" si="101"/>
        <v>4.8999999999999998E-3</v>
      </c>
      <c r="AC166" s="13">
        <f t="shared" si="102"/>
        <v>5.0000000000000001E-4</v>
      </c>
      <c r="AD166" s="30">
        <f t="shared" si="108"/>
        <v>122.85</v>
      </c>
      <c r="AE166" s="11">
        <f t="shared" si="111"/>
        <v>3</v>
      </c>
      <c r="AF166" s="31">
        <f t="shared" si="103"/>
        <v>116.84</v>
      </c>
    </row>
    <row r="167" spans="1:32" x14ac:dyDescent="0.25">
      <c r="A167" s="5">
        <v>38321</v>
      </c>
      <c r="B167" s="10">
        <v>92.8</v>
      </c>
      <c r="C167" s="18">
        <f t="shared" si="104"/>
        <v>92.5</v>
      </c>
      <c r="D167" s="38">
        <f t="shared" si="105"/>
        <v>1.43E-2</v>
      </c>
      <c r="E167" s="29">
        <f t="shared" si="106"/>
        <v>-1.2699999999999999E-2</v>
      </c>
      <c r="F167">
        <v>936840</v>
      </c>
      <c r="G167">
        <f t="shared" si="109"/>
        <v>928141</v>
      </c>
      <c r="H167" s="38">
        <f t="shared" si="107"/>
        <v>1.8800000000000001E-2</v>
      </c>
      <c r="I167" s="13">
        <f t="shared" si="110"/>
        <v>1.41E-2</v>
      </c>
      <c r="J167">
        <v>0.39</v>
      </c>
      <c r="K167">
        <f t="shared" si="89"/>
        <v>100.39</v>
      </c>
      <c r="L167" s="29">
        <f t="shared" si="90"/>
        <v>4.0000000000000002E-4</v>
      </c>
      <c r="M167">
        <v>1.37</v>
      </c>
      <c r="N167">
        <f t="shared" si="91"/>
        <v>101.37</v>
      </c>
      <c r="O167" s="13">
        <f t="shared" si="92"/>
        <v>-5.0000000000000001E-4</v>
      </c>
      <c r="P167">
        <v>92.56</v>
      </c>
      <c r="Q167">
        <f t="shared" si="93"/>
        <v>92.35</v>
      </c>
      <c r="R167" s="13">
        <f t="shared" si="94"/>
        <v>2.2000000000000001E-3</v>
      </c>
      <c r="S167">
        <v>104.7</v>
      </c>
      <c r="T167">
        <f t="shared" si="95"/>
        <v>104.133</v>
      </c>
      <c r="U167" s="13">
        <f t="shared" si="96"/>
        <v>-7.7999999999999996E-3</v>
      </c>
      <c r="V167">
        <v>295055</v>
      </c>
      <c r="W167" s="18">
        <f t="shared" si="97"/>
        <v>292047</v>
      </c>
      <c r="X167" s="38">
        <f t="shared" si="98"/>
        <v>2.4299999999999999E-2</v>
      </c>
      <c r="Y167" s="29">
        <f t="shared" si="99"/>
        <v>9.4999999999999998E-3</v>
      </c>
      <c r="Z167">
        <v>73.457160000000002</v>
      </c>
      <c r="AA167" s="18">
        <f t="shared" si="100"/>
        <v>73.39</v>
      </c>
      <c r="AB167" s="38">
        <f t="shared" si="101"/>
        <v>7.4000000000000003E-3</v>
      </c>
      <c r="AC167" s="13">
        <f t="shared" si="102"/>
        <v>1.4E-3</v>
      </c>
      <c r="AD167" s="30">
        <f t="shared" si="108"/>
        <v>116.37</v>
      </c>
      <c r="AE167" s="11">
        <f t="shared" si="111"/>
        <v>3</v>
      </c>
      <c r="AF167" s="31">
        <f t="shared" si="103"/>
        <v>114.73</v>
      </c>
    </row>
    <row r="168" spans="1:32" x14ac:dyDescent="0.25">
      <c r="A168" s="5">
        <v>38291</v>
      </c>
      <c r="B168" s="10">
        <v>91.7</v>
      </c>
      <c r="C168" s="18">
        <f t="shared" si="104"/>
        <v>92.3</v>
      </c>
      <c r="D168" s="38">
        <f t="shared" si="105"/>
        <v>-2.4299999999999999E-2</v>
      </c>
      <c r="E168" s="29">
        <f t="shared" si="106"/>
        <v>-1.43E-2</v>
      </c>
      <c r="F168">
        <v>929090</v>
      </c>
      <c r="G168">
        <f t="shared" si="109"/>
        <v>920838</v>
      </c>
      <c r="H168" s="38">
        <f t="shared" si="107"/>
        <v>2.1700000000000001E-2</v>
      </c>
      <c r="I168" s="13">
        <f t="shared" si="110"/>
        <v>1.38E-2</v>
      </c>
      <c r="J168">
        <v>0.37</v>
      </c>
      <c r="K168">
        <f t="shared" si="89"/>
        <v>100.37</v>
      </c>
      <c r="L168" s="29">
        <f t="shared" si="90"/>
        <v>-5.0000000000000001E-4</v>
      </c>
      <c r="M168">
        <v>1.37</v>
      </c>
      <c r="N168">
        <f t="shared" si="91"/>
        <v>101.37</v>
      </c>
      <c r="O168" s="13">
        <f t="shared" si="92"/>
        <v>-2.9999999999999997E-4</v>
      </c>
      <c r="P168">
        <v>92.35</v>
      </c>
      <c r="Q168">
        <f t="shared" si="93"/>
        <v>92.143000000000001</v>
      </c>
      <c r="R168" s="13">
        <f t="shared" si="94"/>
        <v>2.3E-3</v>
      </c>
      <c r="S168">
        <v>104</v>
      </c>
      <c r="T168">
        <f t="shared" si="95"/>
        <v>105.2</v>
      </c>
      <c r="U168" s="13">
        <f t="shared" si="96"/>
        <v>1E-4</v>
      </c>
      <c r="V168">
        <v>293177</v>
      </c>
      <c r="W168" s="18">
        <f t="shared" si="97"/>
        <v>289476</v>
      </c>
      <c r="X168" s="38">
        <f t="shared" si="98"/>
        <v>1.2800000000000001E-2</v>
      </c>
      <c r="Y168" s="29">
        <f t="shared" si="99"/>
        <v>4.3E-3</v>
      </c>
      <c r="Z168">
        <v>73.407480000000007</v>
      </c>
      <c r="AA168" s="18">
        <f t="shared" si="100"/>
        <v>73.31</v>
      </c>
      <c r="AB168" s="38">
        <f t="shared" si="101"/>
        <v>9.9000000000000008E-3</v>
      </c>
      <c r="AC168" s="13">
        <f t="shared" si="102"/>
        <v>1.6999999999999999E-3</v>
      </c>
      <c r="AD168" s="30">
        <f t="shared" si="108"/>
        <v>111.31</v>
      </c>
      <c r="AE168" s="11">
        <f t="shared" si="111"/>
        <v>3</v>
      </c>
      <c r="AF168" s="31">
        <f t="shared" si="103"/>
        <v>117.4</v>
      </c>
    </row>
    <row r="169" spans="1:32" x14ac:dyDescent="0.25">
      <c r="A169" s="5">
        <v>38260</v>
      </c>
      <c r="B169" s="10">
        <v>94.2</v>
      </c>
      <c r="C169" s="18">
        <f t="shared" si="104"/>
        <v>94.6</v>
      </c>
      <c r="D169" s="38">
        <f t="shared" si="105"/>
        <v>-9.4000000000000004E-3</v>
      </c>
      <c r="E169" s="29">
        <f t="shared" si="106"/>
        <v>1E-3</v>
      </c>
      <c r="F169">
        <v>918494</v>
      </c>
      <c r="G169">
        <f t="shared" si="109"/>
        <v>916419</v>
      </c>
      <c r="H169" s="38">
        <f t="shared" si="107"/>
        <v>2.7900000000000001E-2</v>
      </c>
      <c r="I169" s="13">
        <f t="shared" si="110"/>
        <v>0.02</v>
      </c>
      <c r="J169">
        <v>0.19</v>
      </c>
      <c r="K169">
        <f t="shared" si="89"/>
        <v>100.19</v>
      </c>
      <c r="L169" s="29">
        <f t="shared" si="90"/>
        <v>-6.9999999999999999E-4</v>
      </c>
      <c r="M169">
        <v>1.44</v>
      </c>
      <c r="N169">
        <f t="shared" si="91"/>
        <v>101.44</v>
      </c>
      <c r="O169" s="13">
        <f t="shared" si="92"/>
        <v>-1E-3</v>
      </c>
      <c r="P169">
        <v>92.14</v>
      </c>
      <c r="Q169">
        <f t="shared" si="93"/>
        <v>91.942999999999998</v>
      </c>
      <c r="R169" s="13">
        <f t="shared" si="94"/>
        <v>2.5000000000000001E-3</v>
      </c>
      <c r="S169">
        <v>103.7</v>
      </c>
      <c r="T169">
        <f t="shared" si="95"/>
        <v>105.6</v>
      </c>
      <c r="U169" s="13">
        <f t="shared" si="96"/>
        <v>1.6000000000000001E-3</v>
      </c>
      <c r="V169">
        <v>287909</v>
      </c>
      <c r="W169" s="18">
        <f t="shared" si="97"/>
        <v>286465</v>
      </c>
      <c r="X169" s="38">
        <f t="shared" si="98"/>
        <v>1.09E-2</v>
      </c>
      <c r="Y169" s="29">
        <f t="shared" si="99"/>
        <v>4.3E-3</v>
      </c>
      <c r="Z169">
        <v>73.305809999999994</v>
      </c>
      <c r="AA169" s="18">
        <f t="shared" si="100"/>
        <v>73.209999999999994</v>
      </c>
      <c r="AB169" s="38">
        <f t="shared" si="101"/>
        <v>1.17E-2</v>
      </c>
      <c r="AC169" s="13">
        <f t="shared" si="102"/>
        <v>2.3E-3</v>
      </c>
      <c r="AD169" s="30">
        <f t="shared" si="108"/>
        <v>116.5</v>
      </c>
      <c r="AE169" s="11">
        <f t="shared" si="111"/>
        <v>3</v>
      </c>
      <c r="AF169" s="31">
        <f t="shared" si="103"/>
        <v>119.95</v>
      </c>
    </row>
    <row r="170" spans="1:32" x14ac:dyDescent="0.25">
      <c r="A170" s="5">
        <v>38230</v>
      </c>
      <c r="B170" s="10">
        <v>95.9</v>
      </c>
      <c r="C170" s="18">
        <f t="shared" si="104"/>
        <v>96.1</v>
      </c>
      <c r="D170" s="38">
        <f t="shared" si="105"/>
        <v>-7.1999999999999998E-3</v>
      </c>
      <c r="E170" s="29">
        <f t="shared" si="106"/>
        <v>1.7399999999999999E-2</v>
      </c>
      <c r="F170">
        <v>914931</v>
      </c>
      <c r="G170">
        <f t="shared" si="109"/>
        <v>912308</v>
      </c>
      <c r="H170" s="38">
        <f t="shared" si="107"/>
        <v>3.6799999999999999E-2</v>
      </c>
      <c r="I170" s="13">
        <f t="shared" si="110"/>
        <v>2.93E-2</v>
      </c>
      <c r="J170">
        <v>0.36</v>
      </c>
      <c r="K170">
        <f t="shared" si="89"/>
        <v>100.36</v>
      </c>
      <c r="L170" s="29">
        <f t="shared" si="90"/>
        <v>-1E-4</v>
      </c>
      <c r="M170">
        <v>1.51</v>
      </c>
      <c r="N170">
        <f t="shared" si="91"/>
        <v>101.51</v>
      </c>
      <c r="O170" s="13">
        <f t="shared" si="92"/>
        <v>-2.9999999999999997E-4</v>
      </c>
      <c r="P170">
        <v>91.94</v>
      </c>
      <c r="Q170">
        <f t="shared" si="93"/>
        <v>91.736999999999995</v>
      </c>
      <c r="R170" s="13">
        <f t="shared" si="94"/>
        <v>2.5000000000000001E-3</v>
      </c>
      <c r="S170">
        <v>107.9</v>
      </c>
      <c r="T170">
        <f t="shared" si="95"/>
        <v>106.6</v>
      </c>
      <c r="U170" s="13">
        <f t="shared" si="96"/>
        <v>4.7000000000000002E-3</v>
      </c>
      <c r="V170">
        <v>287341</v>
      </c>
      <c r="W170" s="18">
        <f t="shared" si="97"/>
        <v>286579</v>
      </c>
      <c r="X170" s="38">
        <f t="shared" si="98"/>
        <v>1.61E-2</v>
      </c>
      <c r="Y170" s="29">
        <f t="shared" si="99"/>
        <v>1E-3</v>
      </c>
      <c r="Z170">
        <v>73.208500000000001</v>
      </c>
      <c r="AA170" s="18">
        <f t="shared" si="100"/>
        <v>73.069999999999993</v>
      </c>
      <c r="AB170" s="38">
        <f t="shared" si="101"/>
        <v>1.0800000000000001E-2</v>
      </c>
      <c r="AC170" s="13">
        <f t="shared" si="102"/>
        <v>3.3999999999999998E-3</v>
      </c>
      <c r="AD170" s="30">
        <f t="shared" si="108"/>
        <v>124.39</v>
      </c>
      <c r="AE170" s="11">
        <f t="shared" si="111"/>
        <v>3</v>
      </c>
      <c r="AF170" s="31">
        <f t="shared" si="103"/>
        <v>122.76</v>
      </c>
    </row>
    <row r="171" spans="1:32" x14ac:dyDescent="0.25">
      <c r="A171" s="5">
        <v>38199</v>
      </c>
      <c r="B171" s="10">
        <v>96.7</v>
      </c>
      <c r="C171" s="18">
        <f t="shared" si="104"/>
        <v>96.4</v>
      </c>
      <c r="D171" s="38">
        <f t="shared" si="105"/>
        <v>-4.5499999999999999E-2</v>
      </c>
      <c r="E171" s="29">
        <f t="shared" si="106"/>
        <v>6.4000000000000003E-3</v>
      </c>
      <c r="F171">
        <v>915831</v>
      </c>
      <c r="G171">
        <f t="shared" si="109"/>
        <v>910984</v>
      </c>
      <c r="H171" s="38">
        <f t="shared" si="107"/>
        <v>4.0099999999999997E-2</v>
      </c>
      <c r="I171" s="13">
        <f t="shared" si="110"/>
        <v>3.2199999999999999E-2</v>
      </c>
      <c r="J171">
        <v>0.24</v>
      </c>
      <c r="K171">
        <f t="shared" si="89"/>
        <v>100.24</v>
      </c>
      <c r="L171" s="29">
        <f t="shared" si="90"/>
        <v>1E-4</v>
      </c>
      <c r="M171">
        <v>1.47</v>
      </c>
      <c r="N171">
        <f t="shared" si="91"/>
        <v>101.47</v>
      </c>
      <c r="O171" s="13">
        <f t="shared" si="92"/>
        <v>-2.9999999999999997E-4</v>
      </c>
      <c r="P171">
        <v>91.75</v>
      </c>
      <c r="Q171">
        <f t="shared" si="93"/>
        <v>91.5</v>
      </c>
      <c r="R171" s="13">
        <f t="shared" si="94"/>
        <v>2.3E-3</v>
      </c>
      <c r="S171">
        <v>105.2</v>
      </c>
      <c r="T171">
        <f t="shared" si="95"/>
        <v>105.167</v>
      </c>
      <c r="U171" s="13">
        <f t="shared" si="96"/>
        <v>1E-4</v>
      </c>
      <c r="V171">
        <v>284146</v>
      </c>
      <c r="W171" s="18">
        <f t="shared" si="97"/>
        <v>285122</v>
      </c>
      <c r="X171" s="38">
        <f t="shared" si="98"/>
        <v>2.1399999999999999E-2</v>
      </c>
      <c r="Y171" s="29">
        <f t="shared" si="99"/>
        <v>2.8E-3</v>
      </c>
      <c r="Z171">
        <v>73.101079999999996</v>
      </c>
      <c r="AA171" s="18">
        <f t="shared" si="100"/>
        <v>72.849999999999994</v>
      </c>
      <c r="AB171" s="38">
        <f t="shared" si="101"/>
        <v>6.4999999999999997E-3</v>
      </c>
      <c r="AC171" s="13">
        <f t="shared" si="102"/>
        <v>4.4999999999999997E-3</v>
      </c>
      <c r="AD171" s="30">
        <f t="shared" si="108"/>
        <v>118.95</v>
      </c>
      <c r="AE171" s="11">
        <f t="shared" si="111"/>
        <v>3</v>
      </c>
      <c r="AF171" s="31">
        <f t="shared" si="103"/>
        <v>119.57</v>
      </c>
    </row>
    <row r="172" spans="1:32" x14ac:dyDescent="0.25">
      <c r="A172" s="5">
        <v>38168</v>
      </c>
      <c r="B172" s="10">
        <v>95.6</v>
      </c>
      <c r="C172" s="18">
        <f t="shared" si="104"/>
        <v>94.3</v>
      </c>
      <c r="D172" s="38">
        <f t="shared" si="105"/>
        <v>1.5100000000000001E-2</v>
      </c>
      <c r="E172" s="29">
        <f t="shared" si="106"/>
        <v>-4.3E-3</v>
      </c>
      <c r="F172">
        <v>906163</v>
      </c>
      <c r="G172">
        <f t="shared" si="109"/>
        <v>901323</v>
      </c>
      <c r="H172" s="38">
        <f t="shared" si="107"/>
        <v>3.2199999999999999E-2</v>
      </c>
      <c r="I172" s="13">
        <f t="shared" si="110"/>
        <v>2.5000000000000001E-2</v>
      </c>
      <c r="J172">
        <v>0.57999999999999996</v>
      </c>
      <c r="K172">
        <f t="shared" si="89"/>
        <v>100.58</v>
      </c>
      <c r="L172" s="29">
        <f t="shared" si="90"/>
        <v>8.0000000000000004E-4</v>
      </c>
      <c r="M172">
        <v>1.75</v>
      </c>
      <c r="N172">
        <f t="shared" si="91"/>
        <v>101.75</v>
      </c>
      <c r="O172" s="13">
        <f t="shared" si="92"/>
        <v>1.1000000000000001E-3</v>
      </c>
      <c r="P172">
        <v>91.52</v>
      </c>
      <c r="Q172">
        <f t="shared" si="93"/>
        <v>91.266999999999996</v>
      </c>
      <c r="R172" s="13">
        <f t="shared" si="94"/>
        <v>2.2000000000000001E-3</v>
      </c>
      <c r="S172">
        <v>106.7</v>
      </c>
      <c r="T172">
        <f t="shared" si="95"/>
        <v>105.1</v>
      </c>
      <c r="U172" s="13">
        <f t="shared" si="96"/>
        <v>-4.7999999999999996E-3</v>
      </c>
      <c r="V172">
        <v>288250</v>
      </c>
      <c r="W172" s="18">
        <f t="shared" si="97"/>
        <v>285818</v>
      </c>
      <c r="X172" s="38">
        <f t="shared" si="98"/>
        <v>2.7199999999999998E-2</v>
      </c>
      <c r="Y172" s="29">
        <f t="shared" si="99"/>
        <v>8.3000000000000001E-3</v>
      </c>
      <c r="Z172">
        <v>72.886489999999995</v>
      </c>
      <c r="AA172" s="18">
        <f t="shared" si="100"/>
        <v>72.59</v>
      </c>
      <c r="AB172" s="38">
        <f t="shared" si="101"/>
        <v>1.6999999999999999E-3</v>
      </c>
      <c r="AC172" s="13">
        <f t="shared" si="102"/>
        <v>4.1000000000000003E-3</v>
      </c>
      <c r="AD172" s="30">
        <f t="shared" si="108"/>
        <v>124.94</v>
      </c>
      <c r="AE172" s="11">
        <f t="shared" si="111"/>
        <v>3</v>
      </c>
      <c r="AF172" s="31">
        <f t="shared" si="103"/>
        <v>120.64</v>
      </c>
    </row>
    <row r="173" spans="1:32" x14ac:dyDescent="0.25">
      <c r="A173" s="5">
        <v>38138</v>
      </c>
      <c r="B173" s="10">
        <v>90.2</v>
      </c>
      <c r="C173" s="18">
        <f t="shared" si="104"/>
        <v>91.2</v>
      </c>
      <c r="D173" s="38">
        <f t="shared" si="105"/>
        <v>-1.6199999999999999E-2</v>
      </c>
      <c r="E173" s="29">
        <f t="shared" si="106"/>
        <v>-1.95E-2</v>
      </c>
      <c r="F173">
        <v>910959</v>
      </c>
      <c r="G173">
        <f t="shared" si="109"/>
        <v>891541</v>
      </c>
      <c r="H173" s="38">
        <f t="shared" si="107"/>
        <v>2.52E-2</v>
      </c>
      <c r="I173" s="13">
        <f t="shared" si="110"/>
        <v>1.6400000000000001E-2</v>
      </c>
      <c r="J173">
        <v>0.47</v>
      </c>
      <c r="K173">
        <f t="shared" si="89"/>
        <v>100.47</v>
      </c>
      <c r="L173" s="29">
        <f t="shared" si="90"/>
        <v>4.0000000000000002E-4</v>
      </c>
      <c r="M173">
        <v>1.59</v>
      </c>
      <c r="N173">
        <f t="shared" si="91"/>
        <v>101.59</v>
      </c>
      <c r="O173" s="13">
        <f t="shared" si="92"/>
        <v>4.0000000000000002E-4</v>
      </c>
      <c r="P173">
        <v>91.23</v>
      </c>
      <c r="Q173">
        <f t="shared" si="93"/>
        <v>91.043000000000006</v>
      </c>
      <c r="R173" s="13">
        <f t="shared" si="94"/>
        <v>2.0999999999999999E-3</v>
      </c>
      <c r="S173">
        <v>103.6</v>
      </c>
      <c r="T173">
        <f t="shared" si="95"/>
        <v>105.133</v>
      </c>
      <c r="U173" s="13">
        <f t="shared" si="96"/>
        <v>5.5999999999999999E-3</v>
      </c>
      <c r="V173">
        <v>282971</v>
      </c>
      <c r="W173" s="18">
        <f t="shared" si="97"/>
        <v>283390</v>
      </c>
      <c r="X173" s="38">
        <f t="shared" si="98"/>
        <v>2.35E-2</v>
      </c>
      <c r="Y173" s="29">
        <f t="shared" si="99"/>
        <v>4.7999999999999996E-3</v>
      </c>
      <c r="Z173">
        <v>72.570170000000005</v>
      </c>
      <c r="AA173" s="18">
        <f t="shared" si="100"/>
        <v>72.36</v>
      </c>
      <c r="AB173" s="38">
        <f t="shared" si="101"/>
        <v>8.0000000000000004E-4</v>
      </c>
      <c r="AC173" s="13">
        <f t="shared" si="102"/>
        <v>1.6999999999999999E-3</v>
      </c>
      <c r="AD173" s="30">
        <f t="shared" si="108"/>
        <v>114.83</v>
      </c>
      <c r="AE173" s="11">
        <f t="shared" si="111"/>
        <v>3</v>
      </c>
      <c r="AF173" s="31">
        <f t="shared" si="103"/>
        <v>121.92</v>
      </c>
    </row>
    <row r="174" spans="1:32" x14ac:dyDescent="0.25">
      <c r="A174" s="5">
        <v>38107</v>
      </c>
      <c r="B174" s="10">
        <v>94.2</v>
      </c>
      <c r="C174" s="18">
        <f t="shared" si="104"/>
        <v>94.6</v>
      </c>
      <c r="D174" s="38">
        <f t="shared" si="105"/>
        <v>6.1699999999999998E-2</v>
      </c>
      <c r="E174" s="29">
        <f t="shared" si="106"/>
        <v>-2.18E-2</v>
      </c>
      <c r="F174">
        <v>886848</v>
      </c>
      <c r="G174">
        <f t="shared" si="109"/>
        <v>879891</v>
      </c>
      <c r="H174" s="38">
        <f t="shared" si="107"/>
        <v>1.77E-2</v>
      </c>
      <c r="I174" s="13">
        <f t="shared" si="110"/>
        <v>1.24E-2</v>
      </c>
      <c r="J174">
        <v>0.4</v>
      </c>
      <c r="K174">
        <f t="shared" si="89"/>
        <v>100.4</v>
      </c>
      <c r="L174" s="29">
        <f t="shared" si="90"/>
        <v>-1E-4</v>
      </c>
      <c r="M174">
        <v>1.55</v>
      </c>
      <c r="N174">
        <f t="shared" si="91"/>
        <v>101.55</v>
      </c>
      <c r="O174" s="13">
        <f t="shared" si="92"/>
        <v>-6.9999999999999999E-4</v>
      </c>
      <c r="P174">
        <v>91.05</v>
      </c>
      <c r="Q174">
        <f t="shared" si="93"/>
        <v>90.86</v>
      </c>
      <c r="R174" s="13">
        <f t="shared" si="94"/>
        <v>2.2000000000000001E-3</v>
      </c>
      <c r="S174">
        <v>105</v>
      </c>
      <c r="T174">
        <f t="shared" si="95"/>
        <v>105.133</v>
      </c>
      <c r="U174" s="13">
        <f t="shared" si="96"/>
        <v>6.7999999999999996E-3</v>
      </c>
      <c r="V174">
        <v>286232</v>
      </c>
      <c r="W174" s="18">
        <f t="shared" si="97"/>
        <v>282027</v>
      </c>
      <c r="X174" s="38">
        <f t="shared" si="98"/>
        <v>0.02</v>
      </c>
      <c r="Y174" s="29">
        <f t="shared" si="99"/>
        <v>7.1000000000000004E-3</v>
      </c>
      <c r="Z174">
        <v>72.305480000000003</v>
      </c>
      <c r="AA174" s="18">
        <f t="shared" si="100"/>
        <v>72.290000000000006</v>
      </c>
      <c r="AB174" s="38">
        <f t="shared" si="101"/>
        <v>8.5000000000000006E-3</v>
      </c>
      <c r="AC174" s="13">
        <f t="shared" si="102"/>
        <v>-1.1000000000000001E-3</v>
      </c>
      <c r="AD174" s="30">
        <f t="shared" si="108"/>
        <v>122.14</v>
      </c>
      <c r="AE174" s="11">
        <f t="shared" si="111"/>
        <v>3</v>
      </c>
      <c r="AF174" s="31">
        <f t="shared" si="103"/>
        <v>126.9</v>
      </c>
    </row>
    <row r="175" spans="1:32" x14ac:dyDescent="0.25">
      <c r="A175" s="5">
        <v>38077</v>
      </c>
      <c r="B175" s="10">
        <v>95.8</v>
      </c>
      <c r="C175" s="18">
        <f t="shared" si="104"/>
        <v>95.5</v>
      </c>
      <c r="D175" s="38">
        <f t="shared" si="105"/>
        <v>8.4000000000000005E-2</v>
      </c>
      <c r="E175" s="29">
        <f t="shared" si="106"/>
        <v>8.8999999999999999E-3</v>
      </c>
      <c r="F175">
        <v>876816</v>
      </c>
      <c r="G175">
        <f t="shared" si="109"/>
        <v>875881</v>
      </c>
      <c r="H175" s="38">
        <f t="shared" si="107"/>
        <v>1.78E-2</v>
      </c>
      <c r="I175" s="13">
        <f t="shared" si="110"/>
        <v>1.38E-2</v>
      </c>
      <c r="J175">
        <v>0.2</v>
      </c>
      <c r="K175">
        <f t="shared" si="89"/>
        <v>100.2</v>
      </c>
      <c r="L175" s="29">
        <f t="shared" si="90"/>
        <v>2.9999999999999997E-4</v>
      </c>
      <c r="M175">
        <v>1.42</v>
      </c>
      <c r="N175">
        <f t="shared" si="91"/>
        <v>101.42</v>
      </c>
      <c r="O175" s="13">
        <f t="shared" si="92"/>
        <v>-2.9999999999999997E-4</v>
      </c>
      <c r="P175">
        <v>90.85</v>
      </c>
      <c r="Q175">
        <f t="shared" si="93"/>
        <v>90.667000000000002</v>
      </c>
      <c r="R175" s="13">
        <f t="shared" si="94"/>
        <v>2.0999999999999999E-3</v>
      </c>
      <c r="S175">
        <v>106.8</v>
      </c>
      <c r="T175">
        <f t="shared" si="95"/>
        <v>106.633</v>
      </c>
      <c r="U175" s="13">
        <f t="shared" si="96"/>
        <v>2.23E-2</v>
      </c>
      <c r="V175">
        <v>280966</v>
      </c>
      <c r="W175" s="18">
        <f t="shared" si="97"/>
        <v>279139</v>
      </c>
      <c r="X175" s="38">
        <f t="shared" si="98"/>
        <v>0.01</v>
      </c>
      <c r="Y175" s="29">
        <f t="shared" si="99"/>
        <v>5.5999999999999999E-3</v>
      </c>
      <c r="Z175">
        <v>72.217269999999999</v>
      </c>
      <c r="AA175" s="18">
        <f t="shared" si="100"/>
        <v>72.38</v>
      </c>
      <c r="AB175" s="38">
        <f t="shared" si="101"/>
        <v>2.4199999999999999E-2</v>
      </c>
      <c r="AC175" s="13">
        <f t="shared" si="102"/>
        <v>-1.8E-3</v>
      </c>
      <c r="AD175" s="30">
        <f t="shared" si="108"/>
        <v>128.79</v>
      </c>
      <c r="AE175" s="11">
        <f t="shared" si="111"/>
        <v>3</v>
      </c>
      <c r="AF175" s="31">
        <f t="shared" si="103"/>
        <v>133.80000000000001</v>
      </c>
    </row>
    <row r="176" spans="1:32" x14ac:dyDescent="0.25">
      <c r="A176" s="5">
        <v>38046</v>
      </c>
      <c r="B176" s="10">
        <v>94.4</v>
      </c>
      <c r="C176" s="18">
        <f t="shared" si="104"/>
        <v>96.8</v>
      </c>
      <c r="D176" s="38">
        <f t="shared" si="105"/>
        <v>7.9200000000000007E-2</v>
      </c>
      <c r="E176" s="29">
        <f t="shared" si="106"/>
        <v>1.43E-2</v>
      </c>
      <c r="F176">
        <v>876010</v>
      </c>
      <c r="G176">
        <f t="shared" si="109"/>
        <v>873197</v>
      </c>
      <c r="H176" s="38">
        <f t="shared" si="107"/>
        <v>2.1399999999999999E-2</v>
      </c>
      <c r="I176" s="13">
        <f t="shared" si="110"/>
        <v>1.6E-2</v>
      </c>
      <c r="J176">
        <v>0.27</v>
      </c>
      <c r="K176">
        <f t="shared" si="89"/>
        <v>100.27</v>
      </c>
      <c r="L176" s="29">
        <f t="shared" si="90"/>
        <v>5.9999999999999995E-4</v>
      </c>
      <c r="M176">
        <v>1.47</v>
      </c>
      <c r="N176">
        <f t="shared" si="91"/>
        <v>101.47</v>
      </c>
      <c r="O176" s="13">
        <f t="shared" si="92"/>
        <v>-2.0000000000000001E-4</v>
      </c>
      <c r="P176">
        <v>90.68</v>
      </c>
      <c r="Q176">
        <f t="shared" si="93"/>
        <v>90.477000000000004</v>
      </c>
      <c r="R176" s="13">
        <f t="shared" si="94"/>
        <v>2E-3</v>
      </c>
      <c r="S176">
        <v>103.6</v>
      </c>
      <c r="T176">
        <f t="shared" si="95"/>
        <v>103.367</v>
      </c>
      <c r="U176" s="13">
        <f t="shared" si="96"/>
        <v>1.0200000000000001E-2</v>
      </c>
      <c r="V176">
        <v>278884</v>
      </c>
      <c r="W176" s="18">
        <f t="shared" si="97"/>
        <v>278258</v>
      </c>
      <c r="X176" s="38">
        <f t="shared" si="98"/>
        <v>8.5000000000000006E-3</v>
      </c>
      <c r="Y176" s="29">
        <f t="shared" si="99"/>
        <v>2.2000000000000001E-3</v>
      </c>
      <c r="Z176">
        <v>72.354709999999997</v>
      </c>
      <c r="AA176" s="18">
        <f t="shared" si="100"/>
        <v>72.47</v>
      </c>
      <c r="AB176" s="38">
        <f t="shared" si="101"/>
        <v>4.2700000000000002E-2</v>
      </c>
      <c r="AC176" s="13">
        <f t="shared" si="102"/>
        <v>2E-3</v>
      </c>
      <c r="AD176" s="30">
        <f t="shared" si="108"/>
        <v>129.77000000000001</v>
      </c>
      <c r="AE176" s="11">
        <f t="shared" si="111"/>
        <v>3</v>
      </c>
      <c r="AF176" s="31">
        <f t="shared" si="103"/>
        <v>133.99</v>
      </c>
    </row>
    <row r="177" spans="1:32" x14ac:dyDescent="0.25">
      <c r="A177" s="5">
        <v>38017</v>
      </c>
      <c r="B177" s="10">
        <v>103.8</v>
      </c>
      <c r="C177" s="18">
        <f t="shared" si="104"/>
        <v>101</v>
      </c>
      <c r="D177" s="38">
        <f t="shared" si="105"/>
        <v>0.1148</v>
      </c>
      <c r="E177" s="29">
        <f t="shared" si="106"/>
        <v>4.3299999999999998E-2</v>
      </c>
      <c r="F177">
        <v>874817</v>
      </c>
      <c r="G177">
        <f t="shared" si="109"/>
        <v>869652</v>
      </c>
      <c r="H177" s="38">
        <f t="shared" si="107"/>
        <v>2.63E-2</v>
      </c>
      <c r="I177" s="13">
        <f t="shared" si="110"/>
        <v>1.8800000000000001E-2</v>
      </c>
      <c r="J177">
        <v>0.3</v>
      </c>
      <c r="K177">
        <f t="shared" si="89"/>
        <v>100.3</v>
      </c>
      <c r="L177" s="29">
        <f t="shared" si="90"/>
        <v>1E-3</v>
      </c>
      <c r="M177">
        <v>1.76</v>
      </c>
      <c r="N177">
        <f t="shared" si="91"/>
        <v>101.76</v>
      </c>
      <c r="O177" s="13">
        <f t="shared" si="92"/>
        <v>1E-3</v>
      </c>
      <c r="P177">
        <v>90.47</v>
      </c>
      <c r="Q177">
        <f t="shared" si="93"/>
        <v>90.266999999999996</v>
      </c>
      <c r="R177" s="13">
        <f t="shared" si="94"/>
        <v>1.6999999999999999E-3</v>
      </c>
      <c r="S177">
        <v>109.5</v>
      </c>
      <c r="T177">
        <f t="shared" si="95"/>
        <v>103</v>
      </c>
      <c r="U177" s="13">
        <f t="shared" si="96"/>
        <v>1.2200000000000001E-2</v>
      </c>
      <c r="V177">
        <v>277567</v>
      </c>
      <c r="W177" s="18">
        <f t="shared" si="97"/>
        <v>276889</v>
      </c>
      <c r="X177" s="38">
        <f t="shared" si="98"/>
        <v>1.09E-2</v>
      </c>
      <c r="Y177" s="29">
        <f t="shared" si="99"/>
        <v>-2.9999999999999997E-4</v>
      </c>
      <c r="Z177">
        <v>72.559870000000004</v>
      </c>
      <c r="AA177" s="18">
        <f t="shared" si="100"/>
        <v>72.3</v>
      </c>
      <c r="AB177" s="38">
        <f t="shared" si="101"/>
        <v>5.7799999999999997E-2</v>
      </c>
      <c r="AC177" s="13">
        <f t="shared" si="102"/>
        <v>9.4999999999999998E-3</v>
      </c>
      <c r="AD177" s="30">
        <f t="shared" si="108"/>
        <v>142.85</v>
      </c>
      <c r="AE177" s="11">
        <f t="shared" si="111"/>
        <v>3</v>
      </c>
      <c r="AF177" s="31">
        <f t="shared" si="103"/>
        <v>132.93</v>
      </c>
    </row>
    <row r="178" spans="1:32" x14ac:dyDescent="0.25">
      <c r="A178" s="5">
        <v>37986</v>
      </c>
      <c r="B178" s="10">
        <v>92.6</v>
      </c>
      <c r="C178" s="18">
        <f t="shared" si="104"/>
        <v>92.9</v>
      </c>
      <c r="D178" s="38">
        <f t="shared" si="105"/>
        <v>2.8799999999999999E-2</v>
      </c>
      <c r="E178" s="29">
        <f t="shared" si="106"/>
        <v>1.78E-2</v>
      </c>
      <c r="F178">
        <v>868764</v>
      </c>
      <c r="G178">
        <f t="shared" si="109"/>
        <v>864615</v>
      </c>
      <c r="H178" s="38">
        <f t="shared" si="107"/>
        <v>2.8799999999999999E-2</v>
      </c>
      <c r="I178" s="13">
        <f t="shared" si="110"/>
        <v>2.2200000000000001E-2</v>
      </c>
      <c r="J178">
        <v>0.45</v>
      </c>
      <c r="K178">
        <f t="shared" si="89"/>
        <v>100.45</v>
      </c>
      <c r="L178" s="29">
        <f t="shared" si="90"/>
        <v>1.1999999999999999E-3</v>
      </c>
      <c r="M178">
        <v>1.51</v>
      </c>
      <c r="N178">
        <f t="shared" si="91"/>
        <v>101.51</v>
      </c>
      <c r="O178" s="13">
        <f t="shared" si="92"/>
        <v>1.2999999999999999E-3</v>
      </c>
      <c r="P178">
        <v>90.28</v>
      </c>
      <c r="Q178">
        <f t="shared" si="93"/>
        <v>90.09</v>
      </c>
      <c r="R178" s="13">
        <f t="shared" si="94"/>
        <v>1.4E-3</v>
      </c>
      <c r="S178">
        <v>97</v>
      </c>
      <c r="T178">
        <f t="shared" si="95"/>
        <v>99.8</v>
      </c>
      <c r="U178" s="13">
        <f t="shared" si="96"/>
        <v>-8.9999999999999998E-4</v>
      </c>
      <c r="V178">
        <v>278322</v>
      </c>
      <c r="W178" s="18">
        <f t="shared" si="97"/>
        <v>276505</v>
      </c>
      <c r="X178" s="38">
        <f t="shared" si="98"/>
        <v>2.2599999999999999E-2</v>
      </c>
      <c r="Y178" s="29">
        <f t="shared" si="99"/>
        <v>4.4999999999999997E-3</v>
      </c>
      <c r="Z178">
        <v>72.490459999999999</v>
      </c>
      <c r="AA178" s="18">
        <f t="shared" si="100"/>
        <v>71.680000000000007</v>
      </c>
      <c r="AB178" s="38">
        <f t="shared" si="101"/>
        <v>6.54E-2</v>
      </c>
      <c r="AC178" s="13">
        <f t="shared" si="102"/>
        <v>1.72E-2</v>
      </c>
      <c r="AD178" s="30">
        <f t="shared" si="108"/>
        <v>129.36000000000001</v>
      </c>
      <c r="AE178" s="11">
        <f t="shared" si="111"/>
        <v>3</v>
      </c>
      <c r="AF178" s="31">
        <f t="shared" si="103"/>
        <v>126.7</v>
      </c>
    </row>
    <row r="179" spans="1:32" x14ac:dyDescent="0.25">
      <c r="A179" s="5">
        <v>37955</v>
      </c>
      <c r="B179" s="10">
        <v>93.7</v>
      </c>
      <c r="C179" s="18">
        <f t="shared" si="104"/>
        <v>92.7</v>
      </c>
      <c r="D179" s="38">
        <f t="shared" si="105"/>
        <v>2.3199999999999998E-2</v>
      </c>
      <c r="E179" s="29">
        <f t="shared" si="106"/>
        <v>1.12E-2</v>
      </c>
      <c r="F179">
        <v>865376</v>
      </c>
      <c r="G179">
        <f t="shared" si="109"/>
        <v>860588</v>
      </c>
      <c r="H179" s="38">
        <f t="shared" si="107"/>
        <v>2.3099999999999999E-2</v>
      </c>
      <c r="I179" s="13">
        <f t="shared" si="110"/>
        <v>2.0199999999999999E-2</v>
      </c>
      <c r="J179">
        <v>0.08</v>
      </c>
      <c r="K179">
        <f t="shared" si="89"/>
        <v>100.08</v>
      </c>
      <c r="L179" s="29">
        <f t="shared" si="90"/>
        <v>1.1999999999999999E-3</v>
      </c>
      <c r="M179">
        <v>1.54</v>
      </c>
      <c r="N179">
        <f t="shared" si="91"/>
        <v>101.54</v>
      </c>
      <c r="O179" s="13">
        <f t="shared" si="92"/>
        <v>2.2000000000000001E-3</v>
      </c>
      <c r="P179">
        <v>90.05</v>
      </c>
      <c r="Q179">
        <f t="shared" si="93"/>
        <v>89.936999999999998</v>
      </c>
      <c r="R179" s="13">
        <f t="shared" si="94"/>
        <v>1.1999999999999999E-3</v>
      </c>
      <c r="S179">
        <v>102.5</v>
      </c>
      <c r="T179">
        <f t="shared" si="95"/>
        <v>100.267</v>
      </c>
      <c r="U179" s="13">
        <f t="shared" si="96"/>
        <v>4.7999999999999996E-3</v>
      </c>
      <c r="V179">
        <v>274779</v>
      </c>
      <c r="W179" s="18">
        <f t="shared" si="97"/>
        <v>276364</v>
      </c>
      <c r="X179" s="38">
        <f t="shared" si="98"/>
        <v>2.9899999999999999E-2</v>
      </c>
      <c r="Y179" s="29">
        <f t="shared" si="99"/>
        <v>4.0000000000000001E-3</v>
      </c>
      <c r="Z179">
        <v>71.845680000000002</v>
      </c>
      <c r="AA179" s="18">
        <f t="shared" si="100"/>
        <v>70.67</v>
      </c>
      <c r="AB179" s="38">
        <f t="shared" si="101"/>
        <v>6.5100000000000005E-2</v>
      </c>
      <c r="AC179" s="13">
        <f t="shared" si="102"/>
        <v>2.1100000000000001E-2</v>
      </c>
      <c r="AD179" s="30">
        <f t="shared" si="108"/>
        <v>126.58</v>
      </c>
      <c r="AE179" s="11">
        <f t="shared" si="111"/>
        <v>3</v>
      </c>
      <c r="AF179" s="31">
        <f t="shared" si="103"/>
        <v>125.2</v>
      </c>
    </row>
    <row r="180" spans="1:32" x14ac:dyDescent="0.25">
      <c r="A180" s="5">
        <v>37925</v>
      </c>
      <c r="B180" s="10">
        <v>89.6</v>
      </c>
      <c r="C180" s="18">
        <f t="shared" si="104"/>
        <v>89.1</v>
      </c>
      <c r="D180" s="38">
        <f t="shared" si="105"/>
        <v>6.2E-2</v>
      </c>
      <c r="E180" s="29">
        <f t="shared" si="106"/>
        <v>-5.5999999999999999E-3</v>
      </c>
      <c r="F180">
        <v>859706</v>
      </c>
      <c r="G180">
        <f t="shared" si="109"/>
        <v>854887</v>
      </c>
      <c r="H180" s="38">
        <f t="shared" si="107"/>
        <v>1.46E-2</v>
      </c>
      <c r="I180" s="13">
        <f t="shared" si="110"/>
        <v>1.0999999999999999E-2</v>
      </c>
      <c r="J180">
        <v>0.04</v>
      </c>
      <c r="K180">
        <f t="shared" si="89"/>
        <v>100.04</v>
      </c>
      <c r="L180" s="29">
        <f t="shared" si="90"/>
        <v>1.5E-3</v>
      </c>
      <c r="M180">
        <v>1.46</v>
      </c>
      <c r="N180">
        <f t="shared" si="91"/>
        <v>101.46</v>
      </c>
      <c r="O180" s="13">
        <f t="shared" si="92"/>
        <v>3.2000000000000002E-3</v>
      </c>
      <c r="P180">
        <v>89.94</v>
      </c>
      <c r="Q180">
        <f t="shared" si="93"/>
        <v>89.807000000000002</v>
      </c>
      <c r="R180" s="13">
        <f t="shared" si="94"/>
        <v>8.0000000000000004E-4</v>
      </c>
      <c r="S180">
        <v>99.9</v>
      </c>
      <c r="T180">
        <f t="shared" si="95"/>
        <v>99.332999999999998</v>
      </c>
      <c r="U180" s="13">
        <f t="shared" si="96"/>
        <v>8.9999999999999993E-3</v>
      </c>
      <c r="V180">
        <v>276413</v>
      </c>
      <c r="W180" s="18">
        <f t="shared" si="97"/>
        <v>275902</v>
      </c>
      <c r="X180" s="38">
        <f t="shared" si="98"/>
        <v>3.15E-2</v>
      </c>
      <c r="Y180" s="29">
        <f t="shared" si="99"/>
        <v>8.3000000000000001E-3</v>
      </c>
      <c r="Z180">
        <v>70.70335</v>
      </c>
      <c r="AA180" s="18">
        <f t="shared" si="100"/>
        <v>69.5</v>
      </c>
      <c r="AB180" s="38">
        <f t="shared" si="101"/>
        <v>5.91E-2</v>
      </c>
      <c r="AC180" s="13">
        <f t="shared" si="102"/>
        <v>2.12E-2</v>
      </c>
      <c r="AD180" s="30">
        <f t="shared" si="108"/>
        <v>124.17</v>
      </c>
      <c r="AE180" s="11">
        <f t="shared" si="111"/>
        <v>3</v>
      </c>
      <c r="AF180" s="31">
        <f t="shared" si="103"/>
        <v>122.88</v>
      </c>
    </row>
    <row r="181" spans="1:32" x14ac:dyDescent="0.25">
      <c r="A181" s="5">
        <v>37894</v>
      </c>
      <c r="B181" s="10">
        <v>87.7</v>
      </c>
      <c r="C181" s="18">
        <f t="shared" si="104"/>
        <v>88.1</v>
      </c>
      <c r="D181" s="38">
        <f t="shared" si="105"/>
        <v>0.12659999999999999</v>
      </c>
      <c r="E181" s="29">
        <f t="shared" si="106"/>
        <v>-8.0999999999999996E-3</v>
      </c>
      <c r="F181">
        <v>856683</v>
      </c>
      <c r="G181">
        <f t="shared" si="109"/>
        <v>847378</v>
      </c>
      <c r="H181" s="38">
        <f t="shared" si="107"/>
        <v>3.5999999999999999E-3</v>
      </c>
      <c r="I181" s="13">
        <f t="shared" si="110"/>
        <v>5.0000000000000001E-4</v>
      </c>
      <c r="J181">
        <v>-0.11</v>
      </c>
      <c r="K181">
        <f t="shared" si="89"/>
        <v>99.89</v>
      </c>
      <c r="L181" s="29">
        <f t="shared" si="90"/>
        <v>1.5E-3</v>
      </c>
      <c r="M181">
        <v>1.1000000000000001</v>
      </c>
      <c r="N181">
        <f t="shared" si="91"/>
        <v>101.1</v>
      </c>
      <c r="O181" s="13">
        <f t="shared" si="92"/>
        <v>2.3E-3</v>
      </c>
      <c r="P181">
        <v>89.82</v>
      </c>
      <c r="Q181">
        <f t="shared" si="93"/>
        <v>89.7</v>
      </c>
      <c r="R181" s="13">
        <f t="shared" si="94"/>
        <v>5.0000000000000001E-4</v>
      </c>
      <c r="S181">
        <v>98.4</v>
      </c>
      <c r="T181">
        <f t="shared" si="95"/>
        <v>100.06699999999999</v>
      </c>
      <c r="U181" s="13">
        <f t="shared" si="96"/>
        <v>1.83E-2</v>
      </c>
      <c r="V181">
        <v>277901</v>
      </c>
      <c r="W181" s="18">
        <f t="shared" si="97"/>
        <v>273909</v>
      </c>
      <c r="X181" s="38">
        <f t="shared" si="98"/>
        <v>2.9399999999999999E-2</v>
      </c>
      <c r="Y181" s="29">
        <f t="shared" si="99"/>
        <v>9.9000000000000008E-3</v>
      </c>
      <c r="Z181">
        <v>69.461029999999994</v>
      </c>
      <c r="AA181" s="18">
        <f t="shared" si="100"/>
        <v>68.349999999999994</v>
      </c>
      <c r="AB181" s="38">
        <f t="shared" si="101"/>
        <v>5.04E-2</v>
      </c>
      <c r="AC181" s="13">
        <f t="shared" si="102"/>
        <v>1.9900000000000001E-2</v>
      </c>
      <c r="AD181" s="30">
        <f t="shared" si="108"/>
        <v>124.85</v>
      </c>
      <c r="AE181" s="11">
        <f t="shared" si="111"/>
        <v>3</v>
      </c>
      <c r="AF181" s="31">
        <f t="shared" si="103"/>
        <v>119.26</v>
      </c>
    </row>
    <row r="182" spans="1:32" x14ac:dyDescent="0.25">
      <c r="A182" s="5">
        <v>37864</v>
      </c>
      <c r="B182" s="10">
        <v>89.3</v>
      </c>
      <c r="C182" s="18">
        <f t="shared" si="104"/>
        <v>89.7</v>
      </c>
      <c r="D182" s="38">
        <f t="shared" si="105"/>
        <v>0.1143</v>
      </c>
      <c r="E182" s="29">
        <f t="shared" si="106"/>
        <v>-3.3E-3</v>
      </c>
      <c r="F182">
        <v>848271</v>
      </c>
      <c r="G182">
        <f t="shared" si="109"/>
        <v>840376</v>
      </c>
      <c r="H182" s="38">
        <f t="shared" si="107"/>
        <v>3.3999999999999998E-3</v>
      </c>
      <c r="I182" s="13">
        <f t="shared" si="110"/>
        <v>-2.0000000000000001E-4</v>
      </c>
      <c r="J182">
        <v>-0.04</v>
      </c>
      <c r="K182">
        <f t="shared" si="89"/>
        <v>99.96</v>
      </c>
      <c r="L182" s="29">
        <f t="shared" si="90"/>
        <v>5.0000000000000001E-4</v>
      </c>
      <c r="M182">
        <v>0.88</v>
      </c>
      <c r="N182">
        <f t="shared" si="91"/>
        <v>100.88</v>
      </c>
      <c r="O182" s="13">
        <f t="shared" si="92"/>
        <v>2.2000000000000001E-3</v>
      </c>
      <c r="P182">
        <v>89.66</v>
      </c>
      <c r="Q182">
        <f t="shared" si="93"/>
        <v>89.62</v>
      </c>
      <c r="R182" s="13">
        <f t="shared" si="94"/>
        <v>2.0000000000000001E-4</v>
      </c>
      <c r="S182">
        <v>99.7</v>
      </c>
      <c r="T182">
        <f t="shared" si="95"/>
        <v>98.832999999999998</v>
      </c>
      <c r="U182" s="13">
        <f t="shared" si="96"/>
        <v>1.9800000000000002E-2</v>
      </c>
      <c r="V182">
        <v>273393</v>
      </c>
      <c r="W182" s="18">
        <f t="shared" si="97"/>
        <v>270391</v>
      </c>
      <c r="X182" s="38">
        <f t="shared" si="98"/>
        <v>1.61E-2</v>
      </c>
      <c r="Y182" s="29">
        <f t="shared" si="99"/>
        <v>5.1999999999999998E-3</v>
      </c>
      <c r="Z182">
        <v>68.330299999999994</v>
      </c>
      <c r="AA182" s="18">
        <f t="shared" si="100"/>
        <v>67.28</v>
      </c>
      <c r="AB182" s="38">
        <f t="shared" si="101"/>
        <v>4.0800000000000003E-2</v>
      </c>
      <c r="AC182" s="13">
        <f t="shared" si="102"/>
        <v>1.7999999999999999E-2</v>
      </c>
      <c r="AD182" s="30">
        <f t="shared" si="108"/>
        <v>119.63</v>
      </c>
      <c r="AE182" s="11">
        <f t="shared" si="111"/>
        <v>3</v>
      </c>
      <c r="AF182" s="31">
        <f t="shared" si="103"/>
        <v>113.21</v>
      </c>
    </row>
    <row r="183" spans="1:32" x14ac:dyDescent="0.25">
      <c r="A183" s="5">
        <v>37833</v>
      </c>
      <c r="B183" s="10">
        <v>90.9</v>
      </c>
      <c r="C183" s="18">
        <f t="shared" si="104"/>
        <v>90.6</v>
      </c>
      <c r="D183" s="38">
        <f t="shared" si="105"/>
        <v>8.5000000000000006E-2</v>
      </c>
      <c r="E183" s="29">
        <f t="shared" si="106"/>
        <v>2.53E-2</v>
      </c>
      <c r="F183">
        <v>837179</v>
      </c>
      <c r="G183">
        <f t="shared" si="109"/>
        <v>841159</v>
      </c>
      <c r="H183" s="38">
        <f t="shared" si="107"/>
        <v>6.1000000000000004E-3</v>
      </c>
      <c r="I183" s="13">
        <f t="shared" si="110"/>
        <v>6.1000000000000004E-3</v>
      </c>
      <c r="J183">
        <v>-0.4</v>
      </c>
      <c r="K183">
        <f t="shared" si="89"/>
        <v>99.6</v>
      </c>
      <c r="L183" s="29">
        <f t="shared" si="90"/>
        <v>0</v>
      </c>
      <c r="M183">
        <v>0.49</v>
      </c>
      <c r="N183">
        <f t="shared" si="91"/>
        <v>100.49</v>
      </c>
      <c r="O183" s="13">
        <f t="shared" si="92"/>
        <v>2.9999999999999997E-4</v>
      </c>
      <c r="P183">
        <v>89.62</v>
      </c>
      <c r="Q183">
        <f t="shared" si="93"/>
        <v>89.582999999999998</v>
      </c>
      <c r="R183" s="13">
        <f t="shared" si="94"/>
        <v>2.9999999999999997E-4</v>
      </c>
      <c r="S183">
        <v>102.1</v>
      </c>
      <c r="T183">
        <f t="shared" si="95"/>
        <v>96.667000000000002</v>
      </c>
      <c r="U183" s="13">
        <f t="shared" si="96"/>
        <v>9.7000000000000003E-3</v>
      </c>
      <c r="V183">
        <v>270432</v>
      </c>
      <c r="W183" s="18">
        <f t="shared" si="97"/>
        <v>268340</v>
      </c>
      <c r="X183" s="38">
        <f t="shared" si="98"/>
        <v>1.0999999999999999E-2</v>
      </c>
      <c r="Y183" s="29">
        <f t="shared" si="99"/>
        <v>6.7999999999999996E-3</v>
      </c>
      <c r="Z183">
        <v>67.253600000000006</v>
      </c>
      <c r="AA183" s="18">
        <f t="shared" si="100"/>
        <v>66.349999999999994</v>
      </c>
      <c r="AB183" s="38">
        <f t="shared" si="101"/>
        <v>3.04E-2</v>
      </c>
      <c r="AC183" s="13">
        <f t="shared" si="102"/>
        <v>1.46E-2</v>
      </c>
      <c r="AD183" s="30">
        <f t="shared" si="108"/>
        <v>113.3</v>
      </c>
      <c r="AE183" s="11">
        <f t="shared" si="111"/>
        <v>3</v>
      </c>
      <c r="AF183" s="31">
        <f t="shared" si="103"/>
        <v>108.4</v>
      </c>
    </row>
    <row r="184" spans="1:32" x14ac:dyDescent="0.25">
      <c r="A184" s="5">
        <v>37802</v>
      </c>
      <c r="B184" s="10">
        <v>89.7</v>
      </c>
      <c r="C184" s="18">
        <f t="shared" si="104"/>
        <v>90.3</v>
      </c>
      <c r="D184" s="38">
        <f t="shared" si="105"/>
        <v>4.8800000000000003E-2</v>
      </c>
      <c r="E184" s="29">
        <f t="shared" si="106"/>
        <v>4.7899999999999998E-2</v>
      </c>
      <c r="F184">
        <v>835678</v>
      </c>
      <c r="G184">
        <f t="shared" si="109"/>
        <v>842587</v>
      </c>
      <c r="H184" s="38">
        <f t="shared" si="107"/>
        <v>1.2200000000000001E-2</v>
      </c>
      <c r="I184" s="13">
        <f t="shared" si="110"/>
        <v>1.0999999999999999E-2</v>
      </c>
      <c r="J184">
        <v>-0.56000000000000005</v>
      </c>
      <c r="K184">
        <f t="shared" si="89"/>
        <v>99.44</v>
      </c>
      <c r="L184" s="29">
        <f t="shared" si="90"/>
        <v>-8.9999999999999998E-4</v>
      </c>
      <c r="M184">
        <v>0.41</v>
      </c>
      <c r="N184">
        <f t="shared" si="91"/>
        <v>100.41</v>
      </c>
      <c r="O184" s="13">
        <f t="shared" si="92"/>
        <v>-5.9999999999999995E-4</v>
      </c>
      <c r="P184">
        <v>89.58</v>
      </c>
      <c r="Q184">
        <f t="shared" si="93"/>
        <v>89.563000000000002</v>
      </c>
      <c r="R184" s="13">
        <f t="shared" si="94"/>
        <v>5.0000000000000001E-4</v>
      </c>
      <c r="S184">
        <v>94.7</v>
      </c>
      <c r="T184">
        <f t="shared" si="95"/>
        <v>94.766999999999996</v>
      </c>
      <c r="U184" s="13">
        <f t="shared" si="96"/>
        <v>2E-3</v>
      </c>
      <c r="V184">
        <v>267347</v>
      </c>
      <c r="W184" s="18">
        <f t="shared" si="97"/>
        <v>267476</v>
      </c>
      <c r="X184" s="38">
        <f t="shared" si="98"/>
        <v>7.3000000000000001E-3</v>
      </c>
      <c r="Y184" s="29">
        <f t="shared" si="99"/>
        <v>1E-4</v>
      </c>
      <c r="Z184">
        <v>66.270570000000006</v>
      </c>
      <c r="AA184" s="18">
        <f t="shared" si="100"/>
        <v>65.62</v>
      </c>
      <c r="AB184" s="38">
        <f t="shared" si="101"/>
        <v>1.7500000000000002E-2</v>
      </c>
      <c r="AC184" s="13">
        <f t="shared" si="102"/>
        <v>1.09E-2</v>
      </c>
      <c r="AD184" s="30">
        <f t="shared" si="108"/>
        <v>106.69</v>
      </c>
      <c r="AE184" s="11">
        <f t="shared" si="111"/>
        <v>3</v>
      </c>
      <c r="AF184" s="31">
        <f t="shared" si="103"/>
        <v>101.92</v>
      </c>
    </row>
    <row r="185" spans="1:32" x14ac:dyDescent="0.25">
      <c r="A185" s="5">
        <v>37772</v>
      </c>
      <c r="B185" s="10">
        <v>92.1</v>
      </c>
      <c r="C185" s="18">
        <f t="shared" si="104"/>
        <v>90.6</v>
      </c>
      <c r="D185" s="38">
        <f t="shared" si="105"/>
        <v>8.7599999999999997E-2</v>
      </c>
      <c r="E185" s="29">
        <f t="shared" si="106"/>
        <v>4.1599999999999998E-2</v>
      </c>
      <c r="F185">
        <v>850619</v>
      </c>
      <c r="G185">
        <f t="shared" si="109"/>
        <v>844359</v>
      </c>
      <c r="H185" s="38">
        <f t="shared" si="107"/>
        <v>1.3599999999999999E-2</v>
      </c>
      <c r="I185" s="13">
        <f t="shared" si="110"/>
        <v>9.7999999999999997E-3</v>
      </c>
      <c r="J185">
        <v>-0.72</v>
      </c>
      <c r="K185">
        <f t="shared" si="89"/>
        <v>99.28</v>
      </c>
      <c r="L185" s="29">
        <f t="shared" si="90"/>
        <v>-5.0000000000000001E-4</v>
      </c>
      <c r="M185">
        <v>0.21</v>
      </c>
      <c r="N185">
        <f t="shared" si="91"/>
        <v>100.21</v>
      </c>
      <c r="O185" s="13">
        <f t="shared" si="92"/>
        <v>-2.0999999999999999E-3</v>
      </c>
      <c r="P185">
        <v>89.55</v>
      </c>
      <c r="Q185">
        <f t="shared" si="93"/>
        <v>89.563000000000002</v>
      </c>
      <c r="R185" s="13">
        <f t="shared" si="94"/>
        <v>8.0000000000000004E-4</v>
      </c>
      <c r="S185">
        <v>93.2</v>
      </c>
      <c r="T185">
        <f t="shared" si="95"/>
        <v>93.2</v>
      </c>
      <c r="U185" s="13">
        <f t="shared" si="96"/>
        <v>-1.06E-2</v>
      </c>
      <c r="V185">
        <v>267240</v>
      </c>
      <c r="W185" s="18">
        <f t="shared" si="97"/>
        <v>266094</v>
      </c>
      <c r="X185" s="38">
        <f t="shared" si="98"/>
        <v>8.6999999999999994E-3</v>
      </c>
      <c r="Y185" s="29">
        <f t="shared" si="99"/>
        <v>1.4E-3</v>
      </c>
      <c r="Z185">
        <v>65.539609999999996</v>
      </c>
      <c r="AA185" s="18">
        <f t="shared" si="100"/>
        <v>65.069999999999993</v>
      </c>
      <c r="AB185" s="38">
        <f t="shared" si="101"/>
        <v>2.9999999999999997E-4</v>
      </c>
      <c r="AC185" s="13">
        <f t="shared" si="102"/>
        <v>8.5000000000000006E-3</v>
      </c>
      <c r="AD185" s="30">
        <f t="shared" si="108"/>
        <v>105.21</v>
      </c>
      <c r="AE185" s="11">
        <f t="shared" si="111"/>
        <v>3</v>
      </c>
      <c r="AF185" s="31">
        <f t="shared" si="103"/>
        <v>90.39</v>
      </c>
    </row>
    <row r="186" spans="1:32" x14ac:dyDescent="0.25">
      <c r="A186" s="5">
        <v>37741</v>
      </c>
      <c r="B186" s="10">
        <v>86</v>
      </c>
      <c r="C186" s="18">
        <f t="shared" si="104"/>
        <v>83.9</v>
      </c>
      <c r="D186" s="38">
        <f t="shared" si="105"/>
        <v>2.3199999999999998E-2</v>
      </c>
      <c r="E186" s="29">
        <f t="shared" si="106"/>
        <v>1.6999999999999999E-3</v>
      </c>
      <c r="F186">
        <v>841463</v>
      </c>
      <c r="G186">
        <f t="shared" si="109"/>
        <v>837490</v>
      </c>
      <c r="H186" s="38">
        <f t="shared" si="107"/>
        <v>6.4000000000000003E-3</v>
      </c>
      <c r="I186" s="13">
        <f t="shared" si="110"/>
        <v>5.1000000000000004E-3</v>
      </c>
      <c r="J186">
        <v>-0.25</v>
      </c>
      <c r="K186">
        <f t="shared" si="89"/>
        <v>99.75</v>
      </c>
      <c r="L186" s="29">
        <f t="shared" si="90"/>
        <v>2.9999999999999997E-4</v>
      </c>
      <c r="M186">
        <v>0.41</v>
      </c>
      <c r="N186">
        <f t="shared" si="91"/>
        <v>100.41</v>
      </c>
      <c r="O186" s="13">
        <f t="shared" si="92"/>
        <v>-5.9999999999999995E-4</v>
      </c>
      <c r="P186">
        <v>89.56</v>
      </c>
      <c r="Q186">
        <f t="shared" si="93"/>
        <v>89.5</v>
      </c>
      <c r="R186" s="13">
        <f t="shared" si="94"/>
        <v>6.9999999999999999E-4</v>
      </c>
      <c r="S186">
        <v>96.4</v>
      </c>
      <c r="T186">
        <f t="shared" si="95"/>
        <v>93.933000000000007</v>
      </c>
      <c r="U186" s="13">
        <f t="shared" si="96"/>
        <v>-5.1999999999999998E-3</v>
      </c>
      <c r="V186">
        <v>267842</v>
      </c>
      <c r="W186" s="18">
        <f t="shared" si="97"/>
        <v>266106</v>
      </c>
      <c r="X186" s="38">
        <f t="shared" si="98"/>
        <v>1.54E-2</v>
      </c>
      <c r="Y186" s="29">
        <f t="shared" si="99"/>
        <v>4.0000000000000001E-3</v>
      </c>
      <c r="Z186">
        <v>65.051590000000004</v>
      </c>
      <c r="AA186" s="18">
        <f t="shared" si="100"/>
        <v>64.64</v>
      </c>
      <c r="AB186" s="38">
        <f t="shared" si="101"/>
        <v>-2.0500000000000001E-2</v>
      </c>
      <c r="AC186" s="13">
        <f t="shared" si="102"/>
        <v>5.4999999999999997E-3</v>
      </c>
      <c r="AD186" s="30">
        <f t="shared" si="108"/>
        <v>93.87</v>
      </c>
      <c r="AE186" s="11">
        <f t="shared" si="111"/>
        <v>3</v>
      </c>
      <c r="AF186" s="31">
        <f t="shared" si="103"/>
        <v>81.69</v>
      </c>
    </row>
    <row r="187" spans="1:32" x14ac:dyDescent="0.25">
      <c r="A187" s="5">
        <v>37711</v>
      </c>
      <c r="B187" s="10">
        <v>77.599999999999994</v>
      </c>
      <c r="C187" s="18">
        <f t="shared" si="104"/>
        <v>78.2</v>
      </c>
      <c r="D187" s="38">
        <f t="shared" si="105"/>
        <v>-9.6000000000000002E-2</v>
      </c>
      <c r="E187" s="29">
        <f t="shared" si="106"/>
        <v>-3.1600000000000003E-2</v>
      </c>
      <c r="F187">
        <v>840994</v>
      </c>
      <c r="G187">
        <f t="shared" si="109"/>
        <v>836086</v>
      </c>
      <c r="H187" s="38">
        <f t="shared" si="107"/>
        <v>6.4999999999999997E-3</v>
      </c>
      <c r="I187" s="13">
        <f t="shared" si="110"/>
        <v>3.3999999999999998E-3</v>
      </c>
      <c r="J187">
        <v>-0.41</v>
      </c>
      <c r="K187">
        <f t="shared" si="89"/>
        <v>99.59</v>
      </c>
      <c r="L187" s="29">
        <f t="shared" si="90"/>
        <v>0</v>
      </c>
      <c r="M187">
        <v>0.59</v>
      </c>
      <c r="N187">
        <f t="shared" si="91"/>
        <v>100.59</v>
      </c>
      <c r="O187" s="13">
        <f t="shared" si="92"/>
        <v>-2.9999999999999997E-4</v>
      </c>
      <c r="P187">
        <v>89.58</v>
      </c>
      <c r="Q187">
        <f t="shared" si="93"/>
        <v>89.433000000000007</v>
      </c>
      <c r="R187" s="13">
        <f t="shared" si="94"/>
        <v>6.9999999999999999E-4</v>
      </c>
      <c r="S187">
        <v>90</v>
      </c>
      <c r="T187">
        <f t="shared" si="95"/>
        <v>94.2</v>
      </c>
      <c r="U187" s="13">
        <f t="shared" si="96"/>
        <v>1.2999999999999999E-3</v>
      </c>
      <c r="V187">
        <v>263199</v>
      </c>
      <c r="W187" s="18">
        <f t="shared" si="97"/>
        <v>265426</v>
      </c>
      <c r="X187" s="38">
        <f t="shared" si="98"/>
        <v>1.0999999999999999E-2</v>
      </c>
      <c r="Y187" s="29">
        <f t="shared" si="99"/>
        <v>1.1000000000000001E-3</v>
      </c>
      <c r="Z187">
        <v>64.622879999999995</v>
      </c>
      <c r="AA187" s="18">
        <f t="shared" si="100"/>
        <v>64.39</v>
      </c>
      <c r="AB187" s="38">
        <f t="shared" si="101"/>
        <v>-4.0500000000000001E-2</v>
      </c>
      <c r="AC187" s="13">
        <f t="shared" si="102"/>
        <v>-6.9999999999999999E-4</v>
      </c>
      <c r="AD187" s="30">
        <f t="shared" si="108"/>
        <v>72.08</v>
      </c>
      <c r="AE187" s="11">
        <f t="shared" si="111"/>
        <v>1</v>
      </c>
      <c r="AF187" s="31">
        <f t="shared" si="103"/>
        <v>76.13</v>
      </c>
    </row>
    <row r="188" spans="1:32" x14ac:dyDescent="0.25">
      <c r="A188" s="5">
        <v>37680</v>
      </c>
      <c r="B188" s="10">
        <v>79.900000000000006</v>
      </c>
      <c r="C188" s="18">
        <f t="shared" si="104"/>
        <v>80.5</v>
      </c>
      <c r="D188" s="38">
        <f t="shared" si="105"/>
        <v>-8.2100000000000006E-2</v>
      </c>
      <c r="E188" s="29">
        <f t="shared" si="106"/>
        <v>-1.11E-2</v>
      </c>
      <c r="F188">
        <v>830014</v>
      </c>
      <c r="G188">
        <f t="shared" si="109"/>
        <v>832452</v>
      </c>
      <c r="H188" s="38">
        <f t="shared" si="107"/>
        <v>4.5999999999999999E-3</v>
      </c>
      <c r="I188" s="13">
        <f t="shared" si="110"/>
        <v>3.7000000000000002E-3</v>
      </c>
      <c r="J188">
        <v>-0.2</v>
      </c>
      <c r="K188">
        <f t="shared" si="89"/>
        <v>99.8</v>
      </c>
      <c r="L188" s="29">
        <f t="shared" si="90"/>
        <v>5.0000000000000001E-4</v>
      </c>
      <c r="M188">
        <v>0.84</v>
      </c>
      <c r="N188">
        <f t="shared" si="91"/>
        <v>100.84</v>
      </c>
      <c r="O188" s="13">
        <f t="shared" si="92"/>
        <v>1E-4</v>
      </c>
      <c r="P188">
        <v>89.36</v>
      </c>
      <c r="Q188">
        <f t="shared" si="93"/>
        <v>89.352999999999994</v>
      </c>
      <c r="R188" s="13">
        <f t="shared" si="94"/>
        <v>8.0000000000000004E-4</v>
      </c>
      <c r="S188">
        <v>95.4</v>
      </c>
      <c r="T188">
        <f t="shared" si="95"/>
        <v>96.2</v>
      </c>
      <c r="U188" s="13">
        <f t="shared" si="96"/>
        <v>8.6E-3</v>
      </c>
      <c r="V188">
        <v>267276</v>
      </c>
      <c r="W188" s="18">
        <f t="shared" si="97"/>
        <v>265546</v>
      </c>
      <c r="X188" s="38">
        <f t="shared" si="98"/>
        <v>1.04E-2</v>
      </c>
      <c r="Y188" s="29">
        <f t="shared" si="99"/>
        <v>6.3E-3</v>
      </c>
      <c r="Z188">
        <v>64.248980000000003</v>
      </c>
      <c r="AA188" s="18">
        <f t="shared" si="100"/>
        <v>64.489999999999995</v>
      </c>
      <c r="AB188" s="38">
        <f t="shared" si="101"/>
        <v>-5.5E-2</v>
      </c>
      <c r="AC188" s="13">
        <f t="shared" si="102"/>
        <v>-9.4999999999999998E-3</v>
      </c>
      <c r="AD188" s="30">
        <f t="shared" si="108"/>
        <v>79.11</v>
      </c>
      <c r="AE188" s="11">
        <f t="shared" si="111"/>
        <v>2</v>
      </c>
      <c r="AF188" s="31">
        <f t="shared" si="103"/>
        <v>77.48</v>
      </c>
    </row>
    <row r="189" spans="1:32" x14ac:dyDescent="0.25">
      <c r="A189" s="5">
        <v>37652</v>
      </c>
      <c r="B189" s="10">
        <v>82.4</v>
      </c>
      <c r="C189" s="18">
        <f t="shared" si="104"/>
        <v>83.5</v>
      </c>
      <c r="D189" s="38">
        <f t="shared" si="105"/>
        <v>-6.3899999999999998E-2</v>
      </c>
      <c r="E189" s="29">
        <f t="shared" si="106"/>
        <v>6.0000000000000001E-3</v>
      </c>
      <c r="F189">
        <v>837251</v>
      </c>
      <c r="G189">
        <f t="shared" si="109"/>
        <v>833012</v>
      </c>
      <c r="H189" s="38">
        <f t="shared" si="107"/>
        <v>1.04E-2</v>
      </c>
      <c r="I189" s="13">
        <f t="shared" si="110"/>
        <v>7.3000000000000001E-3</v>
      </c>
      <c r="J189">
        <v>-0.54</v>
      </c>
      <c r="K189">
        <f t="shared" si="89"/>
        <v>99.46</v>
      </c>
      <c r="L189" s="29">
        <f t="shared" si="90"/>
        <v>-1E-3</v>
      </c>
      <c r="M189">
        <v>0.6</v>
      </c>
      <c r="N189">
        <f t="shared" si="91"/>
        <v>100.6</v>
      </c>
      <c r="O189" s="13">
        <f t="shared" si="92"/>
        <v>-1E-3</v>
      </c>
      <c r="P189">
        <v>89.36</v>
      </c>
      <c r="Q189">
        <f t="shared" si="93"/>
        <v>89.302999999999997</v>
      </c>
      <c r="R189" s="13">
        <f t="shared" si="94"/>
        <v>8.9999999999999998E-4</v>
      </c>
      <c r="S189">
        <v>97.2</v>
      </c>
      <c r="T189">
        <f t="shared" si="95"/>
        <v>95.433000000000007</v>
      </c>
      <c r="U189" s="13">
        <f t="shared" si="96"/>
        <v>-5.0000000000000001E-4</v>
      </c>
      <c r="V189">
        <v>265802</v>
      </c>
      <c r="W189" s="18">
        <f t="shared" si="97"/>
        <v>263791</v>
      </c>
      <c r="X189" s="38">
        <f t="shared" si="98"/>
        <v>4.7999999999999996E-3</v>
      </c>
      <c r="Y189" s="29">
        <f t="shared" si="99"/>
        <v>8.0000000000000004E-4</v>
      </c>
      <c r="Z189">
        <v>64.299279999999996</v>
      </c>
      <c r="AA189" s="18">
        <f t="shared" si="100"/>
        <v>65.05</v>
      </c>
      <c r="AB189" s="38">
        <f t="shared" si="101"/>
        <v>-6.1600000000000002E-2</v>
      </c>
      <c r="AC189" s="13">
        <f t="shared" si="102"/>
        <v>-1.7000000000000001E-2</v>
      </c>
      <c r="AD189" s="30">
        <f t="shared" si="108"/>
        <v>77.209999999999994</v>
      </c>
      <c r="AE189" s="11">
        <f t="shared" si="111"/>
        <v>1</v>
      </c>
      <c r="AF189" s="31">
        <f t="shared" si="103"/>
        <v>74.06</v>
      </c>
    </row>
    <row r="190" spans="1:32" x14ac:dyDescent="0.25">
      <c r="A190" s="5">
        <v>37621</v>
      </c>
      <c r="B190" s="10">
        <v>86.7</v>
      </c>
      <c r="C190" s="18">
        <f t="shared" si="104"/>
        <v>86.1</v>
      </c>
      <c r="D190" s="38">
        <f t="shared" si="105"/>
        <v>-7.9100000000000004E-2</v>
      </c>
      <c r="E190" s="29">
        <f t="shared" si="106"/>
        <v>-1.6000000000000001E-3</v>
      </c>
      <c r="F190">
        <v>830092</v>
      </c>
      <c r="G190">
        <f t="shared" si="109"/>
        <v>832133</v>
      </c>
      <c r="H190" s="38">
        <f t="shared" si="107"/>
        <v>1.09E-2</v>
      </c>
      <c r="I190" s="13">
        <f t="shared" si="110"/>
        <v>9.1999999999999998E-3</v>
      </c>
      <c r="J190">
        <v>-0.35</v>
      </c>
      <c r="K190">
        <f t="shared" si="89"/>
        <v>99.65</v>
      </c>
      <c r="L190" s="29">
        <f t="shared" si="90"/>
        <v>-6.9999999999999999E-4</v>
      </c>
      <c r="M190">
        <v>0.68</v>
      </c>
      <c r="N190">
        <f t="shared" si="91"/>
        <v>100.68</v>
      </c>
      <c r="O190" s="13">
        <f t="shared" si="92"/>
        <v>-5.9999999999999995E-4</v>
      </c>
      <c r="P190">
        <v>89.34</v>
      </c>
      <c r="Q190">
        <f t="shared" si="93"/>
        <v>89.233000000000004</v>
      </c>
      <c r="R190" s="13">
        <f t="shared" si="94"/>
        <v>1E-3</v>
      </c>
      <c r="S190">
        <v>96</v>
      </c>
      <c r="T190">
        <f t="shared" si="95"/>
        <v>93.832999999999998</v>
      </c>
      <c r="U190" s="13">
        <f t="shared" si="96"/>
        <v>-1.4E-2</v>
      </c>
      <c r="V190">
        <v>263559</v>
      </c>
      <c r="W190" s="18">
        <f t="shared" si="97"/>
        <v>262073</v>
      </c>
      <c r="X190" s="38">
        <f t="shared" si="98"/>
        <v>7.7000000000000002E-3</v>
      </c>
      <c r="Y190" s="29">
        <f t="shared" si="99"/>
        <v>6.9999999999999999E-4</v>
      </c>
      <c r="Z190">
        <v>64.929150000000007</v>
      </c>
      <c r="AA190" s="18">
        <f t="shared" si="100"/>
        <v>65.989999999999995</v>
      </c>
      <c r="AB190" s="38">
        <f t="shared" si="101"/>
        <v>-6.2399999999999997E-2</v>
      </c>
      <c r="AC190" s="13">
        <f t="shared" si="102"/>
        <v>-2.06E-2</v>
      </c>
      <c r="AD190" s="30">
        <f t="shared" si="108"/>
        <v>76.13</v>
      </c>
      <c r="AE190" s="11">
        <f t="shared" si="111"/>
        <v>1</v>
      </c>
      <c r="AF190" s="31">
        <f t="shared" si="103"/>
        <v>72.03</v>
      </c>
    </row>
    <row r="191" spans="1:32" x14ac:dyDescent="0.25">
      <c r="A191" s="5">
        <v>37590</v>
      </c>
      <c r="B191" s="10">
        <v>84.2</v>
      </c>
      <c r="C191" s="18">
        <f t="shared" si="104"/>
        <v>83.3</v>
      </c>
      <c r="D191" s="38">
        <f t="shared" si="105"/>
        <v>-0.13139999999999999</v>
      </c>
      <c r="E191" s="29">
        <f t="shared" si="106"/>
        <v>-1.72E-2</v>
      </c>
      <c r="F191">
        <v>831694</v>
      </c>
      <c r="G191">
        <f t="shared" si="109"/>
        <v>830717</v>
      </c>
      <c r="H191" s="38">
        <f t="shared" si="107"/>
        <v>1.6E-2</v>
      </c>
      <c r="I191" s="13">
        <f t="shared" si="110"/>
        <v>1.1299999999999999E-2</v>
      </c>
      <c r="J191">
        <v>-0.4</v>
      </c>
      <c r="K191">
        <f t="shared" si="89"/>
        <v>99.6</v>
      </c>
      <c r="L191" s="29">
        <f t="shared" si="90"/>
        <v>-1.4E-3</v>
      </c>
      <c r="M191">
        <v>0.82</v>
      </c>
      <c r="N191">
        <f t="shared" si="91"/>
        <v>100.82</v>
      </c>
      <c r="O191" s="13">
        <f t="shared" si="92"/>
        <v>-8.9999999999999998E-4</v>
      </c>
      <c r="P191">
        <v>89.21</v>
      </c>
      <c r="Q191">
        <f t="shared" si="93"/>
        <v>89.137</v>
      </c>
      <c r="R191" s="13">
        <f t="shared" si="94"/>
        <v>1E-3</v>
      </c>
      <c r="S191">
        <v>93.1</v>
      </c>
      <c r="T191">
        <f t="shared" si="95"/>
        <v>93.766999999999996</v>
      </c>
      <c r="U191" s="13">
        <f t="shared" si="96"/>
        <v>-1.8200000000000001E-2</v>
      </c>
      <c r="V191">
        <v>262011</v>
      </c>
      <c r="W191" s="18">
        <f t="shared" si="97"/>
        <v>262545</v>
      </c>
      <c r="X191" s="38">
        <f t="shared" si="98"/>
        <v>1.14E-2</v>
      </c>
      <c r="Y191" s="29">
        <f t="shared" si="99"/>
        <v>2.0999999999999999E-3</v>
      </c>
      <c r="Z191">
        <v>65.917969999999997</v>
      </c>
      <c r="AA191" s="18">
        <f t="shared" si="100"/>
        <v>67.11</v>
      </c>
      <c r="AB191" s="38">
        <f t="shared" si="101"/>
        <v>-6.1400000000000003E-2</v>
      </c>
      <c r="AC191" s="13">
        <f t="shared" si="102"/>
        <v>-2.1000000000000001E-2</v>
      </c>
      <c r="AD191" s="30">
        <f t="shared" si="108"/>
        <v>68.849999999999994</v>
      </c>
      <c r="AE191" s="11">
        <f t="shared" si="111"/>
        <v>0</v>
      </c>
      <c r="AF191" s="31">
        <f t="shared" si="103"/>
        <v>74.13</v>
      </c>
    </row>
    <row r="192" spans="1:32" x14ac:dyDescent="0.25">
      <c r="A192" s="5">
        <v>37560</v>
      </c>
      <c r="B192" s="10">
        <v>80.599999999999994</v>
      </c>
      <c r="C192" s="18">
        <f t="shared" si="104"/>
        <v>82</v>
      </c>
      <c r="D192" s="38">
        <f t="shared" si="105"/>
        <v>-0.1249</v>
      </c>
      <c r="E192" s="29">
        <f t="shared" si="106"/>
        <v>-2.7300000000000001E-2</v>
      </c>
      <c r="F192">
        <v>834613</v>
      </c>
      <c r="G192">
        <f t="shared" si="109"/>
        <v>828679</v>
      </c>
      <c r="H192" s="38">
        <f t="shared" si="107"/>
        <v>1.9199999999999998E-2</v>
      </c>
      <c r="I192" s="13">
        <f t="shared" si="110"/>
        <v>1.37E-2</v>
      </c>
      <c r="J192">
        <v>-0.4</v>
      </c>
      <c r="K192">
        <f t="shared" si="89"/>
        <v>99.6</v>
      </c>
      <c r="L192" s="29">
        <f t="shared" si="90"/>
        <v>-8.9999999999999998E-4</v>
      </c>
      <c r="M192">
        <v>0.91</v>
      </c>
      <c r="N192">
        <f t="shared" si="91"/>
        <v>100.91</v>
      </c>
      <c r="O192" s="13">
        <f t="shared" si="92"/>
        <v>-1E-4</v>
      </c>
      <c r="P192">
        <v>89.15</v>
      </c>
      <c r="Q192">
        <f t="shared" si="93"/>
        <v>89.052999999999997</v>
      </c>
      <c r="R192" s="13">
        <f t="shared" si="94"/>
        <v>1E-3</v>
      </c>
      <c r="S192">
        <v>92.4</v>
      </c>
      <c r="T192">
        <f t="shared" si="95"/>
        <v>95.566999999999993</v>
      </c>
      <c r="U192" s="13">
        <f t="shared" si="96"/>
        <v>-1.7500000000000002E-2</v>
      </c>
      <c r="V192">
        <v>260650</v>
      </c>
      <c r="W192" s="18">
        <f t="shared" si="97"/>
        <v>262812</v>
      </c>
      <c r="X192" s="38">
        <f t="shared" si="98"/>
        <v>1.6E-2</v>
      </c>
      <c r="Y192" s="29">
        <f t="shared" si="99"/>
        <v>2.8999999999999998E-3</v>
      </c>
      <c r="Z192">
        <v>67.11233</v>
      </c>
      <c r="AA192" s="18">
        <f t="shared" si="100"/>
        <v>68.239999999999995</v>
      </c>
      <c r="AB192" s="38">
        <f t="shared" si="101"/>
        <v>-6.0699999999999997E-2</v>
      </c>
      <c r="AC192" s="13">
        <f t="shared" si="102"/>
        <v>-1.9599999999999999E-2</v>
      </c>
      <c r="AD192" s="30">
        <f t="shared" si="108"/>
        <v>71.12</v>
      </c>
      <c r="AE192" s="11">
        <f t="shared" si="111"/>
        <v>1</v>
      </c>
      <c r="AF192" s="31">
        <f t="shared" si="103"/>
        <v>80.95</v>
      </c>
    </row>
    <row r="193" spans="1:32" x14ac:dyDescent="0.25">
      <c r="A193" s="5">
        <v>37529</v>
      </c>
      <c r="B193" s="10">
        <v>86.1</v>
      </c>
      <c r="C193" s="18">
        <f t="shared" si="104"/>
        <v>86.5</v>
      </c>
      <c r="D193" s="38">
        <f t="shared" si="105"/>
        <v>-8.4699999999999998E-2</v>
      </c>
      <c r="E193" s="29">
        <f t="shared" si="106"/>
        <v>-2.5899999999999999E-2</v>
      </c>
      <c r="F193">
        <v>825843</v>
      </c>
      <c r="G193">
        <f t="shared" si="109"/>
        <v>824461</v>
      </c>
      <c r="H193" s="38">
        <f t="shared" si="107"/>
        <v>2.1299999999999999E-2</v>
      </c>
      <c r="I193" s="13">
        <f t="shared" si="110"/>
        <v>1.6799999999999999E-2</v>
      </c>
      <c r="J193">
        <v>-0.14000000000000001</v>
      </c>
      <c r="K193">
        <f t="shared" si="89"/>
        <v>99.86</v>
      </c>
      <c r="L193" s="29">
        <f t="shared" si="90"/>
        <v>1E-4</v>
      </c>
      <c r="M193">
        <v>0.86</v>
      </c>
      <c r="N193">
        <f t="shared" si="91"/>
        <v>100.86</v>
      </c>
      <c r="O193" s="13">
        <f t="shared" si="92"/>
        <v>6.9999999999999999E-4</v>
      </c>
      <c r="P193">
        <v>89.05</v>
      </c>
      <c r="Q193">
        <f t="shared" si="93"/>
        <v>88.96</v>
      </c>
      <c r="R193" s="13">
        <f t="shared" si="94"/>
        <v>8.9999999999999998E-4</v>
      </c>
      <c r="S193">
        <v>95.8</v>
      </c>
      <c r="T193">
        <f t="shared" si="95"/>
        <v>97.867000000000004</v>
      </c>
      <c r="U193" s="13">
        <f t="shared" si="96"/>
        <v>-9.4999999999999998E-3</v>
      </c>
      <c r="V193">
        <v>264975</v>
      </c>
      <c r="W193" s="18">
        <f t="shared" si="97"/>
        <v>262534</v>
      </c>
      <c r="X193" s="38">
        <f t="shared" si="98"/>
        <v>1.49E-2</v>
      </c>
      <c r="Y193" s="29">
        <f t="shared" si="99"/>
        <v>3.5000000000000001E-3</v>
      </c>
      <c r="Z193">
        <v>68.290149999999997</v>
      </c>
      <c r="AA193" s="18">
        <f t="shared" si="100"/>
        <v>69.319999999999993</v>
      </c>
      <c r="AB193" s="38">
        <f t="shared" si="101"/>
        <v>-6.0100000000000001E-2</v>
      </c>
      <c r="AC193" s="13">
        <f t="shared" si="102"/>
        <v>-1.8700000000000001E-2</v>
      </c>
      <c r="AD193" s="30">
        <f t="shared" si="108"/>
        <v>82.43</v>
      </c>
      <c r="AE193" s="11">
        <f t="shared" si="111"/>
        <v>2</v>
      </c>
      <c r="AF193" s="31">
        <f t="shared" si="103"/>
        <v>88.41</v>
      </c>
    </row>
    <row r="194" spans="1:32" x14ac:dyDescent="0.25">
      <c r="A194" s="5">
        <v>37499</v>
      </c>
      <c r="B194" s="10">
        <v>87.6</v>
      </c>
      <c r="C194" s="18">
        <f t="shared" si="104"/>
        <v>87.7</v>
      </c>
      <c r="D194" s="38">
        <f t="shared" si="105"/>
        <v>-3.9399999999999998E-2</v>
      </c>
      <c r="E194" s="29">
        <f t="shared" si="106"/>
        <v>-2.9399999999999999E-2</v>
      </c>
      <c r="F194">
        <v>825581</v>
      </c>
      <c r="G194">
        <f t="shared" si="109"/>
        <v>823185</v>
      </c>
      <c r="H194" s="38">
        <f t="shared" si="107"/>
        <v>2.1000000000000001E-2</v>
      </c>
      <c r="I194" s="13">
        <f t="shared" si="110"/>
        <v>1.6899999999999998E-2</v>
      </c>
      <c r="J194">
        <v>-0.06</v>
      </c>
      <c r="K194">
        <f t="shared" si="89"/>
        <v>99.94</v>
      </c>
      <c r="L194" s="29">
        <f t="shared" si="90"/>
        <v>5.0000000000000001E-4</v>
      </c>
      <c r="M194">
        <v>1.0900000000000001</v>
      </c>
      <c r="N194">
        <f t="shared" si="91"/>
        <v>101.09</v>
      </c>
      <c r="O194" s="13">
        <f t="shared" si="92"/>
        <v>1.9E-3</v>
      </c>
      <c r="P194">
        <v>88.96</v>
      </c>
      <c r="Q194">
        <f t="shared" si="93"/>
        <v>88.856999999999999</v>
      </c>
      <c r="R194" s="13">
        <f t="shared" si="94"/>
        <v>5.0000000000000001E-4</v>
      </c>
      <c r="S194">
        <v>98.5</v>
      </c>
      <c r="T194">
        <f t="shared" si="95"/>
        <v>99.1</v>
      </c>
      <c r="U194" s="13">
        <f t="shared" si="96"/>
        <v>-6.4000000000000003E-3</v>
      </c>
      <c r="V194">
        <v>262811</v>
      </c>
      <c r="W194" s="18">
        <f t="shared" si="97"/>
        <v>260081</v>
      </c>
      <c r="X194" s="38">
        <f t="shared" si="98"/>
        <v>1.18E-2</v>
      </c>
      <c r="Y194" s="29">
        <f t="shared" si="99"/>
        <v>5.5999999999999999E-3</v>
      </c>
      <c r="Z194">
        <v>69.32647</v>
      </c>
      <c r="AA194" s="18">
        <f t="shared" si="100"/>
        <v>70.38</v>
      </c>
      <c r="AB194" s="38">
        <f t="shared" si="101"/>
        <v>-5.9200000000000003E-2</v>
      </c>
      <c r="AC194" s="13">
        <f t="shared" si="102"/>
        <v>-1.9300000000000001E-2</v>
      </c>
      <c r="AD194" s="30">
        <f t="shared" si="108"/>
        <v>89.3</v>
      </c>
      <c r="AE194" s="11">
        <f t="shared" si="111"/>
        <v>3</v>
      </c>
      <c r="AF194" s="31">
        <f t="shared" si="103"/>
        <v>94.71</v>
      </c>
    </row>
    <row r="195" spans="1:32" x14ac:dyDescent="0.25">
      <c r="A195" s="5">
        <v>37468</v>
      </c>
      <c r="B195" s="10">
        <v>88.1</v>
      </c>
      <c r="C195" s="18">
        <f t="shared" si="104"/>
        <v>89.2</v>
      </c>
      <c r="D195" s="38">
        <f t="shared" si="105"/>
        <v>-3.04E-2</v>
      </c>
      <c r="E195" s="29">
        <f t="shared" si="106"/>
        <v>-1.5900000000000001E-2</v>
      </c>
      <c r="F195">
        <v>821959</v>
      </c>
      <c r="G195">
        <f t="shared" si="109"/>
        <v>817670</v>
      </c>
      <c r="H195" s="38">
        <f t="shared" si="107"/>
        <v>1.4200000000000001E-2</v>
      </c>
      <c r="I195" s="13">
        <f t="shared" si="110"/>
        <v>1.1299999999999999E-2</v>
      </c>
      <c r="J195">
        <v>0.14000000000000001</v>
      </c>
      <c r="K195">
        <f t="shared" si="89"/>
        <v>100.14</v>
      </c>
      <c r="L195" s="29">
        <f t="shared" si="90"/>
        <v>1.2999999999999999E-3</v>
      </c>
      <c r="M195">
        <v>0.94</v>
      </c>
      <c r="N195">
        <f t="shared" si="91"/>
        <v>100.94</v>
      </c>
      <c r="O195" s="13">
        <f t="shared" si="92"/>
        <v>1.6999999999999999E-3</v>
      </c>
      <c r="P195">
        <v>88.87</v>
      </c>
      <c r="Q195">
        <f t="shared" si="93"/>
        <v>88.79</v>
      </c>
      <c r="R195" s="13">
        <f t="shared" si="94"/>
        <v>4.0000000000000002E-4</v>
      </c>
      <c r="S195">
        <v>99.3</v>
      </c>
      <c r="T195">
        <f t="shared" si="95"/>
        <v>100.767</v>
      </c>
      <c r="U195" s="13">
        <f t="shared" si="96"/>
        <v>7.1999999999999998E-3</v>
      </c>
      <c r="V195">
        <v>259815</v>
      </c>
      <c r="W195" s="18">
        <f t="shared" si="97"/>
        <v>259584</v>
      </c>
      <c r="X195" s="38">
        <f t="shared" si="98"/>
        <v>1.06E-2</v>
      </c>
      <c r="Y195" s="29">
        <f t="shared" si="99"/>
        <v>2.0999999999999999E-3</v>
      </c>
      <c r="Z195">
        <v>70.334190000000007</v>
      </c>
      <c r="AA195" s="18">
        <f t="shared" si="100"/>
        <v>71.5</v>
      </c>
      <c r="AB195" s="38">
        <f t="shared" si="101"/>
        <v>-5.8799999999999998E-2</v>
      </c>
      <c r="AC195" s="13">
        <f t="shared" si="102"/>
        <v>-1.9900000000000001E-2</v>
      </c>
      <c r="AD195" s="30">
        <f t="shared" si="108"/>
        <v>93.5</v>
      </c>
      <c r="AE195" s="11">
        <f t="shared" si="111"/>
        <v>3</v>
      </c>
      <c r="AF195" s="31">
        <f t="shared" si="103"/>
        <v>101.16</v>
      </c>
    </row>
    <row r="196" spans="1:32" x14ac:dyDescent="0.25">
      <c r="A196" s="5">
        <v>37437</v>
      </c>
      <c r="B196" s="10">
        <v>92.4</v>
      </c>
      <c r="C196" s="18">
        <f t="shared" si="104"/>
        <v>93.5</v>
      </c>
      <c r="D196" s="38">
        <f t="shared" si="105"/>
        <v>6.7400000000000002E-2</v>
      </c>
      <c r="E196" s="29">
        <f t="shared" si="106"/>
        <v>-3.5000000000000001E-3</v>
      </c>
      <c r="F196">
        <v>822014</v>
      </c>
      <c r="G196">
        <f t="shared" si="109"/>
        <v>813101</v>
      </c>
      <c r="H196" s="38">
        <f t="shared" si="107"/>
        <v>3.8E-3</v>
      </c>
      <c r="I196" s="13">
        <f t="shared" si="110"/>
        <v>2.5999999999999999E-3</v>
      </c>
      <c r="J196">
        <v>-0.05</v>
      </c>
      <c r="K196">
        <f t="shared" si="89"/>
        <v>99.95</v>
      </c>
      <c r="L196" s="29">
        <f t="shared" si="90"/>
        <v>1.6999999999999999E-3</v>
      </c>
      <c r="M196">
        <v>0.66</v>
      </c>
      <c r="N196">
        <f t="shared" si="91"/>
        <v>100.66</v>
      </c>
      <c r="O196" s="13">
        <f t="shared" si="92"/>
        <v>1E-4</v>
      </c>
      <c r="P196">
        <v>88.74</v>
      </c>
      <c r="Q196">
        <f t="shared" si="93"/>
        <v>88.733000000000004</v>
      </c>
      <c r="R196" s="13">
        <f t="shared" si="94"/>
        <v>1E-4</v>
      </c>
      <c r="S196">
        <v>99.5</v>
      </c>
      <c r="T196">
        <f t="shared" si="95"/>
        <v>100.733</v>
      </c>
      <c r="U196" s="13">
        <f t="shared" si="96"/>
        <v>1.11E-2</v>
      </c>
      <c r="V196">
        <v>257616</v>
      </c>
      <c r="W196" s="18">
        <f t="shared" si="97"/>
        <v>258665</v>
      </c>
      <c r="X196" s="38">
        <f t="shared" si="98"/>
        <v>3.5000000000000001E-3</v>
      </c>
      <c r="Y196" s="29">
        <f t="shared" si="99"/>
        <v>1.1999999999999999E-3</v>
      </c>
      <c r="Z196">
        <v>71.467789999999994</v>
      </c>
      <c r="AA196" s="18">
        <f t="shared" si="100"/>
        <v>72.650000000000006</v>
      </c>
      <c r="AB196" s="38">
        <f t="shared" si="101"/>
        <v>-5.9299999999999999E-2</v>
      </c>
      <c r="AC196" s="13">
        <f t="shared" si="102"/>
        <v>-1.89E-2</v>
      </c>
      <c r="AD196" s="30">
        <f t="shared" si="108"/>
        <v>101.34</v>
      </c>
      <c r="AE196" s="11">
        <f t="shared" si="111"/>
        <v>3</v>
      </c>
      <c r="AF196" s="31">
        <f t="shared" si="103"/>
        <v>103.51</v>
      </c>
    </row>
    <row r="197" spans="1:32" x14ac:dyDescent="0.25">
      <c r="A197" s="5">
        <v>37407</v>
      </c>
      <c r="B197" s="10">
        <v>96.9</v>
      </c>
      <c r="C197" s="18">
        <f t="shared" si="104"/>
        <v>95.9</v>
      </c>
      <c r="D197" s="38">
        <f t="shared" si="105"/>
        <v>0.14710000000000001</v>
      </c>
      <c r="E197" s="29">
        <f t="shared" si="106"/>
        <v>1.6500000000000001E-2</v>
      </c>
      <c r="F197">
        <v>809038</v>
      </c>
      <c r="G197">
        <f t="shared" si="109"/>
        <v>807262</v>
      </c>
      <c r="H197" s="38">
        <f t="shared" si="107"/>
        <v>-2.3E-3</v>
      </c>
      <c r="I197" s="13">
        <f t="shared" si="110"/>
        <v>-3.5000000000000001E-3</v>
      </c>
      <c r="J197">
        <v>-0.16</v>
      </c>
      <c r="K197">
        <f t="shared" si="89"/>
        <v>99.84</v>
      </c>
      <c r="L197" s="29">
        <f t="shared" si="90"/>
        <v>2E-3</v>
      </c>
      <c r="M197">
        <v>0.52</v>
      </c>
      <c r="N197">
        <f t="shared" si="91"/>
        <v>100.52</v>
      </c>
      <c r="O197" s="13">
        <f t="shared" si="92"/>
        <v>2.0000000000000001E-4</v>
      </c>
      <c r="P197">
        <v>88.76</v>
      </c>
      <c r="Q197">
        <f t="shared" si="93"/>
        <v>88.72</v>
      </c>
      <c r="R197" s="13">
        <f t="shared" si="94"/>
        <v>-1E-4</v>
      </c>
      <c r="S197">
        <v>103.5</v>
      </c>
      <c r="T197">
        <f t="shared" si="95"/>
        <v>101.033</v>
      </c>
      <c r="U197" s="13">
        <f t="shared" si="96"/>
        <v>1.3899999999999999E-2</v>
      </c>
      <c r="V197">
        <v>261320</v>
      </c>
      <c r="W197" s="18">
        <f t="shared" si="97"/>
        <v>258686</v>
      </c>
      <c r="X197" s="38">
        <f t="shared" si="98"/>
        <v>-1.14E-2</v>
      </c>
      <c r="Y197" s="29">
        <f t="shared" si="99"/>
        <v>4.5999999999999999E-3</v>
      </c>
      <c r="Z197">
        <v>72.688599999999994</v>
      </c>
      <c r="AA197" s="18">
        <f t="shared" si="100"/>
        <v>73.75</v>
      </c>
      <c r="AB197" s="38">
        <f t="shared" si="101"/>
        <v>-6.0600000000000001E-2</v>
      </c>
      <c r="AC197" s="13">
        <f t="shared" si="102"/>
        <v>-1.77E-2</v>
      </c>
      <c r="AD197" s="30">
        <f t="shared" si="108"/>
        <v>108.64</v>
      </c>
      <c r="AE197" s="11">
        <f t="shared" si="111"/>
        <v>3</v>
      </c>
      <c r="AF197" s="31">
        <f t="shared" si="103"/>
        <v>103.04</v>
      </c>
    </row>
    <row r="198" spans="1:32" x14ac:dyDescent="0.25">
      <c r="A198" s="5">
        <v>37376</v>
      </c>
      <c r="B198" s="10">
        <v>93</v>
      </c>
      <c r="C198" s="18">
        <f t="shared" si="104"/>
        <v>93.7</v>
      </c>
      <c r="D198" s="38">
        <f t="shared" si="105"/>
        <v>0.1358</v>
      </c>
      <c r="E198" s="29">
        <f t="shared" si="106"/>
        <v>6.1000000000000004E-3</v>
      </c>
      <c r="F198">
        <v>808251</v>
      </c>
      <c r="G198">
        <f t="shared" si="109"/>
        <v>806267</v>
      </c>
      <c r="H198" s="38">
        <f t="shared" si="107"/>
        <v>-7.4000000000000003E-3</v>
      </c>
      <c r="I198" s="13">
        <f t="shared" si="110"/>
        <v>-5.4999999999999997E-3</v>
      </c>
      <c r="J198">
        <v>-0.26</v>
      </c>
      <c r="K198">
        <f t="shared" ref="K198:K261" si="112">J198+100</f>
        <v>99.74</v>
      </c>
      <c r="L198" s="29">
        <f t="shared" ref="L198:L261" si="113">ROUND((AVERAGE(K198:K201)-AVERAGE(K199:K202))/AVERAGE(K199:K202),4)</f>
        <v>2.5999999999999999E-3</v>
      </c>
      <c r="M198">
        <v>0.42</v>
      </c>
      <c r="N198">
        <f t="shared" ref="N198:N261" si="114">M198+100</f>
        <v>100.42</v>
      </c>
      <c r="O198" s="13">
        <f t="shared" ref="O198:O261" si="115">ROUND((AVERAGE(N198:N200)-AVERAGE(N199:N201))/AVERAGE(N199:N201),4)</f>
        <v>1.8E-3</v>
      </c>
      <c r="P198">
        <v>88.7</v>
      </c>
      <c r="Q198">
        <f t="shared" ref="Q198:Q261" si="116">ROUND(AVERAGE(P198:P200),3)</f>
        <v>88.686999999999998</v>
      </c>
      <c r="R198" s="13">
        <f t="shared" ref="R198:R261" si="117">ROUND((AVERAGE(Q198:Q200)-AVERAGE(Q199:Q201))/AVERAGE(Q199:Q201),4)</f>
        <v>-5.9999999999999995E-4</v>
      </c>
      <c r="S198">
        <v>99.2</v>
      </c>
      <c r="T198">
        <f t="shared" ref="T198:T261" si="118">ROUND(AVERAGE(S198:S200),3)</f>
        <v>98.6</v>
      </c>
      <c r="U198" s="13">
        <f t="shared" ref="U198:U261" si="119">ROUND((AVERAGE(T198:T200)-AVERAGE(T199:T201))/AVERAGE(T199:T201),4)</f>
        <v>6.6E-3</v>
      </c>
      <c r="V198">
        <v>257060</v>
      </c>
      <c r="W198" s="18">
        <f t="shared" ref="W198:W261" si="120">ROUND(AVERAGE(V198:V200),0)</f>
        <v>257038</v>
      </c>
      <c r="X198" s="38">
        <f t="shared" ref="X198:X261" si="121">IF(ISERROR(ROUND((W198/W202)-1,4)),X197,ROUND((W198/W202)-1,4))</f>
        <v>-9.1999999999999998E-3</v>
      </c>
      <c r="Y198" s="29">
        <f t="shared" ref="Y198:Y261" si="122">ROUND((AVERAGE(V198:V201)-AVERAGE(V199:V202))/AVERAGE(V199:V202),4)</f>
        <v>-3.2000000000000002E-3</v>
      </c>
      <c r="Z198">
        <v>73.795079999999999</v>
      </c>
      <c r="AA198" s="18">
        <f t="shared" ref="AA198:AA261" si="123">ROUND(AVERAGE(Z198:Z200),2)</f>
        <v>74.81</v>
      </c>
      <c r="AB198" s="38">
        <f t="shared" ref="AB198:AB261" si="124">IF(ISERROR(ROUND((AA198/AA202)-1,4)),AB197,ROUND((AA198/AA202)-1,4))</f>
        <v>-6.2199999999999998E-2</v>
      </c>
      <c r="AC198" s="13">
        <f t="shared" ref="AC198:AC261" si="125">ROUND((AVERAGE(Z198,Z198:Z200)-AVERAGE(Z199:Z201))/AVERAGE(Z199:Z201),4)</f>
        <v>-1.8499999999999999E-2</v>
      </c>
      <c r="AD198" s="30">
        <f t="shared" si="108"/>
        <v>100.56</v>
      </c>
      <c r="AE198" s="11">
        <f t="shared" si="111"/>
        <v>3</v>
      </c>
      <c r="AF198" s="31">
        <f t="shared" ref="AF198:AF261" si="126">IF(ROUND(AVERAGE(AD198:AD200),2)&lt;0,0,ROUND(AVERAGE(AD198:AD200),2))</f>
        <v>95.82</v>
      </c>
    </row>
    <row r="199" spans="1:32" x14ac:dyDescent="0.25">
      <c r="A199" s="5">
        <v>37346</v>
      </c>
      <c r="B199" s="10">
        <v>95.7</v>
      </c>
      <c r="C199" s="18">
        <f t="shared" ref="C199:C262" si="127">ROUND(AVERAGE(B199,AVERAGE(B199:B200)),1)</f>
        <v>94.5</v>
      </c>
      <c r="D199" s="38">
        <f t="shared" ref="D199:D262" si="128">IF(ISERROR(ROUND((C199/C205)-1,4)),D198,ROUND((C199/C205)-1,4))</f>
        <v>0.12230000000000001</v>
      </c>
      <c r="E199" s="29">
        <f t="shared" ref="E199:E262" si="129">ROUND((AVERAGE(C199:C201)-AVERAGE(C200:C202))/AVERAGE(C200:C202),4)</f>
        <v>2.5499999999999998E-2</v>
      </c>
      <c r="F199">
        <v>804496</v>
      </c>
      <c r="G199">
        <f t="shared" si="109"/>
        <v>806223</v>
      </c>
      <c r="H199" s="38">
        <f t="shared" ref="H199:H262" si="130">IF(ISERROR(ROUND((G199/G203)-1,4)),H198,ROUND((G199/G203)-1,4))</f>
        <v>-5.8999999999999999E-3</v>
      </c>
      <c r="I199" s="13">
        <f t="shared" si="110"/>
        <v>-4.3E-3</v>
      </c>
      <c r="J199">
        <v>-0.39</v>
      </c>
      <c r="K199">
        <f t="shared" si="112"/>
        <v>99.61</v>
      </c>
      <c r="L199" s="29">
        <f t="shared" si="113"/>
        <v>2E-3</v>
      </c>
      <c r="M199">
        <v>0.64</v>
      </c>
      <c r="N199">
        <f t="shared" si="114"/>
        <v>100.64</v>
      </c>
      <c r="O199" s="13">
        <f t="shared" si="115"/>
        <v>3.8999999999999998E-3</v>
      </c>
      <c r="P199">
        <v>88.7</v>
      </c>
      <c r="Q199">
        <f t="shared" si="116"/>
        <v>88.7</v>
      </c>
      <c r="R199" s="13">
        <f t="shared" si="117"/>
        <v>-8.9999999999999998E-4</v>
      </c>
      <c r="S199">
        <v>100.4</v>
      </c>
      <c r="T199">
        <f t="shared" si="118"/>
        <v>97.433000000000007</v>
      </c>
      <c r="U199" s="13">
        <f t="shared" si="119"/>
        <v>4.5999999999999999E-3</v>
      </c>
      <c r="V199">
        <v>257677</v>
      </c>
      <c r="W199" s="18">
        <f t="shared" si="120"/>
        <v>256868</v>
      </c>
      <c r="X199" s="38">
        <f t="shared" si="121"/>
        <v>-2.5000000000000001E-3</v>
      </c>
      <c r="Y199" s="29">
        <f t="shared" si="122"/>
        <v>-0.01</v>
      </c>
      <c r="Z199">
        <v>74.762979999999999</v>
      </c>
      <c r="AA199" s="18">
        <f t="shared" si="123"/>
        <v>75.97</v>
      </c>
      <c r="AB199" s="38">
        <f t="shared" si="124"/>
        <v>-6.5199999999999994E-2</v>
      </c>
      <c r="AC199" s="13">
        <f t="shared" si="125"/>
        <v>-2.0199999999999999E-2</v>
      </c>
      <c r="AD199" s="30">
        <f t="shared" ref="AD199:AD262" si="131">ROUND(((C199*1.5)+(D199*300)+(E199*300)+(H199*400)+(I199*400)+(J199*20)+(L199*2000)+(T199*1.5)+(U199*300)+(R199*2000)+(M199*10)+(Y199*400)+(X199*400)+(AB199*300)+(AC199*300))/3,2)</f>
        <v>99.91</v>
      </c>
      <c r="AE199" s="11">
        <f t="shared" si="111"/>
        <v>3</v>
      </c>
      <c r="AF199" s="31">
        <f t="shared" si="126"/>
        <v>89.42</v>
      </c>
    </row>
    <row r="200" spans="1:32" x14ac:dyDescent="0.25">
      <c r="A200" s="5">
        <v>37315</v>
      </c>
      <c r="B200" s="10">
        <v>90.7</v>
      </c>
      <c r="C200" s="18">
        <f t="shared" si="127"/>
        <v>91.3</v>
      </c>
      <c r="D200" s="38">
        <f t="shared" si="128"/>
        <v>-4.4000000000000003E-3</v>
      </c>
      <c r="E200" s="29">
        <f t="shared" si="129"/>
        <v>2.93E-2</v>
      </c>
      <c r="F200">
        <v>806054</v>
      </c>
      <c r="G200">
        <f t="shared" si="109"/>
        <v>810008</v>
      </c>
      <c r="H200" s="38">
        <f t="shared" si="130"/>
        <v>-6.0000000000000001E-3</v>
      </c>
      <c r="I200" s="13">
        <f t="shared" si="110"/>
        <v>-4.1000000000000003E-3</v>
      </c>
      <c r="J200">
        <v>-0.72</v>
      </c>
      <c r="K200">
        <f t="shared" si="112"/>
        <v>99.28</v>
      </c>
      <c r="L200" s="29">
        <f t="shared" si="113"/>
        <v>1E-3</v>
      </c>
      <c r="M200">
        <v>0.47</v>
      </c>
      <c r="N200">
        <f t="shared" si="114"/>
        <v>100.47</v>
      </c>
      <c r="O200" s="13">
        <f t="shared" si="115"/>
        <v>3.0999999999999999E-3</v>
      </c>
      <c r="P200">
        <v>88.66</v>
      </c>
      <c r="Q200">
        <f t="shared" si="116"/>
        <v>88.747</v>
      </c>
      <c r="R200" s="13">
        <f t="shared" si="117"/>
        <v>-1.1000000000000001E-3</v>
      </c>
      <c r="S200">
        <v>96.2</v>
      </c>
      <c r="T200">
        <f t="shared" si="118"/>
        <v>96.966999999999999</v>
      </c>
      <c r="U200" s="13">
        <f t="shared" si="119"/>
        <v>8.0999999999999996E-3</v>
      </c>
      <c r="V200">
        <v>256376</v>
      </c>
      <c r="W200" s="18">
        <f t="shared" si="120"/>
        <v>257764</v>
      </c>
      <c r="X200" s="38">
        <f t="shared" si="121"/>
        <v>2.0899999999999998E-2</v>
      </c>
      <c r="Y200" s="29">
        <f t="shared" si="122"/>
        <v>6.3E-3</v>
      </c>
      <c r="Z200">
        <v>75.876760000000004</v>
      </c>
      <c r="AA200" s="18">
        <f t="shared" si="123"/>
        <v>77.23</v>
      </c>
      <c r="AB200" s="38">
        <f t="shared" si="124"/>
        <v>-7.3599999999999999E-2</v>
      </c>
      <c r="AC200" s="13">
        <f t="shared" si="125"/>
        <v>-2.06E-2</v>
      </c>
      <c r="AD200" s="30">
        <f t="shared" si="131"/>
        <v>86.99</v>
      </c>
      <c r="AE200" s="11">
        <f t="shared" si="111"/>
        <v>3</v>
      </c>
      <c r="AF200" s="31">
        <f t="shared" si="126"/>
        <v>77.39</v>
      </c>
    </row>
    <row r="201" spans="1:32" x14ac:dyDescent="0.25">
      <c r="A201" s="5">
        <v>37287</v>
      </c>
      <c r="B201" s="10">
        <v>93</v>
      </c>
      <c r="C201" s="18">
        <f t="shared" si="127"/>
        <v>92</v>
      </c>
      <c r="D201" s="38">
        <f t="shared" si="128"/>
        <v>-5.4000000000000003E-3</v>
      </c>
      <c r="E201" s="29">
        <f t="shared" si="129"/>
        <v>3.7400000000000003E-2</v>
      </c>
      <c r="F201">
        <v>808120</v>
      </c>
      <c r="G201">
        <f t="shared" si="109"/>
        <v>809153</v>
      </c>
      <c r="H201" s="38">
        <f t="shared" si="130"/>
        <v>-1.0999999999999999E-2</v>
      </c>
      <c r="I201" s="13">
        <f t="shared" si="110"/>
        <v>-7.1999999999999998E-3</v>
      </c>
      <c r="J201">
        <v>-0.97</v>
      </c>
      <c r="K201">
        <f t="shared" si="112"/>
        <v>99.03</v>
      </c>
      <c r="L201" s="29">
        <f t="shared" si="113"/>
        <v>4.0000000000000002E-4</v>
      </c>
      <c r="M201">
        <v>-0.12</v>
      </c>
      <c r="N201">
        <f t="shared" si="114"/>
        <v>99.88</v>
      </c>
      <c r="O201" s="13">
        <f t="shared" si="115"/>
        <v>2.9999999999999997E-4</v>
      </c>
      <c r="P201">
        <v>88.74</v>
      </c>
      <c r="Q201">
        <f t="shared" si="116"/>
        <v>88.856999999999999</v>
      </c>
      <c r="R201" s="13">
        <f t="shared" si="117"/>
        <v>-8.0000000000000004E-4</v>
      </c>
      <c r="S201">
        <v>95.7</v>
      </c>
      <c r="T201">
        <f t="shared" si="118"/>
        <v>96.667000000000002</v>
      </c>
      <c r="U201" s="13">
        <f t="shared" si="119"/>
        <v>2.0000000000000001E-4</v>
      </c>
      <c r="V201">
        <v>256552</v>
      </c>
      <c r="W201" s="18">
        <f t="shared" si="120"/>
        <v>261662</v>
      </c>
      <c r="X201" s="38">
        <f t="shared" si="121"/>
        <v>3.0700000000000002E-2</v>
      </c>
      <c r="Y201" s="29">
        <f t="shared" si="122"/>
        <v>1.9E-3</v>
      </c>
      <c r="Z201">
        <v>77.260180000000005</v>
      </c>
      <c r="AA201" s="18">
        <f t="shared" si="123"/>
        <v>78.510000000000005</v>
      </c>
      <c r="AB201" s="38">
        <f t="shared" si="124"/>
        <v>-0.09</v>
      </c>
      <c r="AC201" s="13">
        <f t="shared" si="125"/>
        <v>-1.9699999999999999E-2</v>
      </c>
      <c r="AD201" s="30">
        <f t="shared" si="131"/>
        <v>81.37</v>
      </c>
      <c r="AE201" s="11">
        <f t="shared" si="111"/>
        <v>2</v>
      </c>
      <c r="AF201" s="31">
        <f t="shared" si="126"/>
        <v>64.98</v>
      </c>
    </row>
    <row r="202" spans="1:32" x14ac:dyDescent="0.25">
      <c r="A202" s="5">
        <v>37256</v>
      </c>
      <c r="B202" s="10">
        <v>88.8</v>
      </c>
      <c r="C202" s="18">
        <f t="shared" si="127"/>
        <v>87.6</v>
      </c>
      <c r="D202" s="38">
        <f t="shared" si="128"/>
        <v>-5.2999999999999999E-2</v>
      </c>
      <c r="E202" s="29">
        <f t="shared" si="129"/>
        <v>1.3599999999999999E-2</v>
      </c>
      <c r="F202">
        <v>815849</v>
      </c>
      <c r="G202">
        <f t="shared" ref="G202:G265" si="132">ROUND(AVERAGE(F202:F204),0)</f>
        <v>812256</v>
      </c>
      <c r="H202" s="38">
        <f t="shared" si="130"/>
        <v>-0.01</v>
      </c>
      <c r="I202" s="13">
        <f t="shared" ref="I202:I265" si="133">ROUND((AVERAGE(G202:G203)-AVERAGE(G205:G206))/AVERAGE(G205:G206),4)</f>
        <v>-9.4000000000000004E-3</v>
      </c>
      <c r="J202">
        <v>-1.29</v>
      </c>
      <c r="K202">
        <f t="shared" si="112"/>
        <v>98.71</v>
      </c>
      <c r="L202" s="29">
        <f t="shared" si="113"/>
        <v>-5.0000000000000001E-4</v>
      </c>
      <c r="M202">
        <v>-0.53</v>
      </c>
      <c r="N202">
        <f t="shared" si="114"/>
        <v>99.47</v>
      </c>
      <c r="O202" s="13">
        <f t="shared" si="115"/>
        <v>-2.7000000000000001E-3</v>
      </c>
      <c r="P202">
        <v>88.84</v>
      </c>
      <c r="Q202">
        <f t="shared" si="116"/>
        <v>88.953000000000003</v>
      </c>
      <c r="R202" s="13">
        <f t="shared" si="117"/>
        <v>-5.9999999999999995E-4</v>
      </c>
      <c r="S202">
        <v>99</v>
      </c>
      <c r="T202">
        <f t="shared" si="118"/>
        <v>96.1</v>
      </c>
      <c r="U202" s="13">
        <f t="shared" si="119"/>
        <v>-7.0000000000000001E-3</v>
      </c>
      <c r="V202">
        <v>260363</v>
      </c>
      <c r="W202" s="18">
        <f t="shared" si="120"/>
        <v>259430</v>
      </c>
      <c r="X202" s="38">
        <f t="shared" si="121"/>
        <v>2.1000000000000001E-2</v>
      </c>
      <c r="Y202" s="29">
        <f t="shared" si="122"/>
        <v>7.1999999999999998E-3</v>
      </c>
      <c r="Z202">
        <v>78.539910000000006</v>
      </c>
      <c r="AA202" s="18">
        <f t="shared" si="123"/>
        <v>79.77</v>
      </c>
      <c r="AB202" s="38">
        <f t="shared" si="124"/>
        <v>-0.1125</v>
      </c>
      <c r="AC202" s="13">
        <f t="shared" si="125"/>
        <v>-2.23E-2</v>
      </c>
      <c r="AD202" s="30">
        <f t="shared" si="131"/>
        <v>63.8</v>
      </c>
      <c r="AE202" s="11">
        <f t="shared" si="111"/>
        <v>-1</v>
      </c>
      <c r="AF202" s="31">
        <f t="shared" si="126"/>
        <v>52.76</v>
      </c>
    </row>
    <row r="203" spans="1:32" x14ac:dyDescent="0.25">
      <c r="A203" s="5">
        <v>37225</v>
      </c>
      <c r="B203" s="10">
        <v>83.9</v>
      </c>
      <c r="C203" s="18">
        <f t="shared" si="127"/>
        <v>83.6</v>
      </c>
      <c r="D203" s="38">
        <f t="shared" si="128"/>
        <v>-8.2299999999999998E-2</v>
      </c>
      <c r="E203" s="29">
        <f t="shared" si="129"/>
        <v>-3.1300000000000001E-2</v>
      </c>
      <c r="F203">
        <v>803489</v>
      </c>
      <c r="G203">
        <f t="shared" si="132"/>
        <v>810985</v>
      </c>
      <c r="H203" s="38">
        <f t="shared" si="130"/>
        <v>-1.4999999999999999E-2</v>
      </c>
      <c r="I203" s="13">
        <f t="shared" si="133"/>
        <v>-1.09E-2</v>
      </c>
      <c r="J203">
        <v>-1.18</v>
      </c>
      <c r="K203">
        <f t="shared" si="112"/>
        <v>98.82</v>
      </c>
      <c r="L203" s="29">
        <f t="shared" si="113"/>
        <v>2.9999999999999997E-4</v>
      </c>
      <c r="M203">
        <v>-0.46</v>
      </c>
      <c r="N203">
        <f t="shared" si="114"/>
        <v>99.54</v>
      </c>
      <c r="O203" s="13">
        <f t="shared" si="115"/>
        <v>-2.0999999999999999E-3</v>
      </c>
      <c r="P203">
        <v>88.99</v>
      </c>
      <c r="Q203">
        <f t="shared" si="116"/>
        <v>89.04</v>
      </c>
      <c r="R203" s="13">
        <f t="shared" si="117"/>
        <v>-1E-4</v>
      </c>
      <c r="S203">
        <v>95.3</v>
      </c>
      <c r="T203">
        <f t="shared" si="118"/>
        <v>94.632999999999996</v>
      </c>
      <c r="U203" s="13">
        <f t="shared" si="119"/>
        <v>-1.9800000000000002E-2</v>
      </c>
      <c r="V203">
        <v>268072</v>
      </c>
      <c r="W203" s="18">
        <f t="shared" si="120"/>
        <v>257499</v>
      </c>
      <c r="X203" s="38">
        <f t="shared" si="121"/>
        <v>1.11E-2</v>
      </c>
      <c r="Y203" s="29">
        <f t="shared" si="122"/>
        <v>1.3899999999999999E-2</v>
      </c>
      <c r="Z203">
        <v>79.723389999999995</v>
      </c>
      <c r="AA203" s="18">
        <f t="shared" si="123"/>
        <v>81.27</v>
      </c>
      <c r="AB203" s="38">
        <f t="shared" si="124"/>
        <v>-0.13639999999999999</v>
      </c>
      <c r="AC203" s="13">
        <f t="shared" si="125"/>
        <v>-2.98E-2</v>
      </c>
      <c r="AD203" s="30">
        <f t="shared" si="131"/>
        <v>49.77</v>
      </c>
      <c r="AE203" s="11">
        <f t="shared" si="111"/>
        <v>-2</v>
      </c>
      <c r="AF203" s="31">
        <f t="shared" si="126"/>
        <v>47.5</v>
      </c>
    </row>
    <row r="204" spans="1:32" x14ac:dyDescent="0.25">
      <c r="A204" s="5">
        <v>37195</v>
      </c>
      <c r="B204" s="10">
        <v>82.7</v>
      </c>
      <c r="C204" s="18">
        <f t="shared" si="127"/>
        <v>82.5</v>
      </c>
      <c r="D204" s="38">
        <f t="shared" si="128"/>
        <v>-7.51E-2</v>
      </c>
      <c r="E204" s="29">
        <f t="shared" si="129"/>
        <v>-3.73E-2</v>
      </c>
      <c r="F204">
        <v>817431</v>
      </c>
      <c r="G204">
        <f t="shared" si="132"/>
        <v>814906</v>
      </c>
      <c r="H204" s="38">
        <f t="shared" si="130"/>
        <v>-1.4E-2</v>
      </c>
      <c r="I204" s="13">
        <f t="shared" si="133"/>
        <v>-1.01E-2</v>
      </c>
      <c r="J204">
        <v>-1.1100000000000001</v>
      </c>
      <c r="K204">
        <f t="shared" si="112"/>
        <v>98.89</v>
      </c>
      <c r="L204" s="29">
        <f t="shared" si="113"/>
        <v>1E-4</v>
      </c>
      <c r="M204">
        <v>-0.21</v>
      </c>
      <c r="N204">
        <f t="shared" si="114"/>
        <v>99.79</v>
      </c>
      <c r="O204" s="13">
        <f t="shared" si="115"/>
        <v>-2.3999999999999998E-3</v>
      </c>
      <c r="P204">
        <v>89.03</v>
      </c>
      <c r="Q204">
        <f t="shared" si="116"/>
        <v>89.072999999999993</v>
      </c>
      <c r="R204" s="13">
        <f t="shared" si="117"/>
        <v>1E-4</v>
      </c>
      <c r="S204">
        <v>94</v>
      </c>
      <c r="T204">
        <f t="shared" si="118"/>
        <v>96.6</v>
      </c>
      <c r="U204" s="13">
        <f t="shared" si="119"/>
        <v>-1.4E-2</v>
      </c>
      <c r="V204">
        <v>249856</v>
      </c>
      <c r="W204" s="18">
        <f t="shared" si="120"/>
        <v>252480</v>
      </c>
      <c r="X204" s="38">
        <f t="shared" si="121"/>
        <v>-3.8999999999999998E-3</v>
      </c>
      <c r="Y204" s="29">
        <f t="shared" si="122"/>
        <v>-5.3E-3</v>
      </c>
      <c r="Z204">
        <v>81.047370000000001</v>
      </c>
      <c r="AA204" s="18">
        <f t="shared" si="123"/>
        <v>83.37</v>
      </c>
      <c r="AB204" s="38">
        <f t="shared" si="124"/>
        <v>-0.1575</v>
      </c>
      <c r="AC204" s="13">
        <f t="shared" si="125"/>
        <v>-4.0300000000000002E-2</v>
      </c>
      <c r="AD204" s="30">
        <f t="shared" si="131"/>
        <v>44.72</v>
      </c>
      <c r="AE204" s="11">
        <f t="shared" si="111"/>
        <v>-2</v>
      </c>
      <c r="AF204" s="31">
        <f t="shared" si="126"/>
        <v>51.97</v>
      </c>
    </row>
    <row r="205" spans="1:32" x14ac:dyDescent="0.25">
      <c r="A205" s="5">
        <v>37164</v>
      </c>
      <c r="B205" s="10">
        <v>81.8</v>
      </c>
      <c r="C205" s="18">
        <f t="shared" si="127"/>
        <v>84.2</v>
      </c>
      <c r="D205" s="38">
        <f t="shared" si="128"/>
        <v>-7.7799999999999994E-2</v>
      </c>
      <c r="E205" s="29">
        <f t="shared" si="129"/>
        <v>-0.03</v>
      </c>
      <c r="F205">
        <v>812034</v>
      </c>
      <c r="G205">
        <f t="shared" si="132"/>
        <v>818193</v>
      </c>
      <c r="H205" s="38">
        <f t="shared" si="130"/>
        <v>-1.6199999999999999E-2</v>
      </c>
      <c r="I205" s="13">
        <f t="shared" si="133"/>
        <v>-1.17E-2</v>
      </c>
      <c r="J205">
        <v>-1.1299999999999999</v>
      </c>
      <c r="K205">
        <f t="shared" si="112"/>
        <v>98.87</v>
      </c>
      <c r="L205" s="29">
        <f t="shared" si="113"/>
        <v>0</v>
      </c>
      <c r="M205">
        <v>0.28000000000000003</v>
      </c>
      <c r="N205">
        <f t="shared" si="114"/>
        <v>100.28</v>
      </c>
      <c r="O205" s="13">
        <f t="shared" si="115"/>
        <v>-2.9999999999999997E-4</v>
      </c>
      <c r="P205">
        <v>89.1</v>
      </c>
      <c r="Q205">
        <f t="shared" si="116"/>
        <v>89.106999999999999</v>
      </c>
      <c r="R205" s="13">
        <f t="shared" si="117"/>
        <v>4.0000000000000002E-4</v>
      </c>
      <c r="S205">
        <v>94.6</v>
      </c>
      <c r="T205">
        <f t="shared" si="118"/>
        <v>98.132999999999996</v>
      </c>
      <c r="U205" s="13">
        <f t="shared" si="119"/>
        <v>-8.2000000000000007E-3</v>
      </c>
      <c r="V205">
        <v>254570</v>
      </c>
      <c r="W205" s="18">
        <f t="shared" si="120"/>
        <v>253868</v>
      </c>
      <c r="X205" s="38">
        <f t="shared" si="121"/>
        <v>5.0000000000000001E-3</v>
      </c>
      <c r="Y205" s="29">
        <f t="shared" si="122"/>
        <v>-2.0000000000000001E-4</v>
      </c>
      <c r="Z205">
        <v>83.043970000000002</v>
      </c>
      <c r="AA205" s="18">
        <f t="shared" si="123"/>
        <v>86.27</v>
      </c>
      <c r="AB205" s="38">
        <f t="shared" si="124"/>
        <v>-0.17230000000000001</v>
      </c>
      <c r="AC205" s="13">
        <f t="shared" si="125"/>
        <v>-4.9099999999999998E-2</v>
      </c>
      <c r="AD205" s="30">
        <f t="shared" si="131"/>
        <v>48.01</v>
      </c>
      <c r="AE205" s="11">
        <f t="shared" si="111"/>
        <v>-2</v>
      </c>
      <c r="AF205" s="31">
        <f t="shared" si="126"/>
        <v>57.53</v>
      </c>
    </row>
    <row r="206" spans="1:32" x14ac:dyDescent="0.25">
      <c r="A206" s="5">
        <v>37134</v>
      </c>
      <c r="B206" s="10">
        <v>91.5</v>
      </c>
      <c r="C206" s="18">
        <f t="shared" si="127"/>
        <v>91.7</v>
      </c>
      <c r="D206" s="38">
        <f t="shared" si="128"/>
        <v>1.1000000000000001E-3</v>
      </c>
      <c r="E206" s="29">
        <f t="shared" si="129"/>
        <v>2.2000000000000001E-3</v>
      </c>
      <c r="F206">
        <v>815254</v>
      </c>
      <c r="G206">
        <f t="shared" si="132"/>
        <v>820494</v>
      </c>
      <c r="H206" s="38">
        <f t="shared" si="130"/>
        <v>-2.0500000000000001E-2</v>
      </c>
      <c r="I206" s="13">
        <f t="shared" si="133"/>
        <v>-1.52E-2</v>
      </c>
      <c r="J206">
        <v>-1.1000000000000001</v>
      </c>
      <c r="K206">
        <f t="shared" si="112"/>
        <v>98.9</v>
      </c>
      <c r="L206" s="29">
        <f t="shared" si="113"/>
        <v>-1E-4</v>
      </c>
      <c r="M206">
        <v>0.17</v>
      </c>
      <c r="N206">
        <f t="shared" si="114"/>
        <v>100.17</v>
      </c>
      <c r="O206" s="13">
        <f t="shared" si="115"/>
        <v>1E-4</v>
      </c>
      <c r="P206">
        <v>89.09</v>
      </c>
      <c r="Q206">
        <f t="shared" si="116"/>
        <v>89.076999999999998</v>
      </c>
      <c r="R206" s="13">
        <f t="shared" si="117"/>
        <v>5.9999999999999995E-4</v>
      </c>
      <c r="S206">
        <v>101.2</v>
      </c>
      <c r="T206">
        <f t="shared" si="118"/>
        <v>100.467</v>
      </c>
      <c r="U206" s="13">
        <f t="shared" si="119"/>
        <v>-2.3999999999999998E-3</v>
      </c>
      <c r="V206">
        <v>253015</v>
      </c>
      <c r="W206" s="18">
        <f t="shared" si="120"/>
        <v>254099</v>
      </c>
      <c r="X206" s="38">
        <f t="shared" si="121"/>
        <v>8.6E-3</v>
      </c>
      <c r="Y206" s="29">
        <f t="shared" si="122"/>
        <v>2.5999999999999999E-3</v>
      </c>
      <c r="Z206">
        <v>86.020930000000007</v>
      </c>
      <c r="AA206" s="18">
        <f t="shared" si="123"/>
        <v>89.88</v>
      </c>
      <c r="AB206" s="38">
        <f t="shared" si="124"/>
        <v>-0.17780000000000001</v>
      </c>
      <c r="AC206" s="13">
        <f t="shared" si="125"/>
        <v>-5.5199999999999999E-2</v>
      </c>
      <c r="AD206" s="30">
        <f t="shared" si="131"/>
        <v>63.17</v>
      </c>
      <c r="AE206" s="11">
        <f t="shared" si="111"/>
        <v>-1</v>
      </c>
      <c r="AF206" s="31">
        <f t="shared" si="126"/>
        <v>60.89</v>
      </c>
    </row>
    <row r="207" spans="1:32" x14ac:dyDescent="0.25">
      <c r="A207" s="5">
        <v>37103</v>
      </c>
      <c r="B207" s="10">
        <v>92.4</v>
      </c>
      <c r="C207" s="18">
        <f t="shared" si="127"/>
        <v>92.5</v>
      </c>
      <c r="D207" s="38">
        <f t="shared" si="128"/>
        <v>-3.2399999999999998E-2</v>
      </c>
      <c r="E207" s="29">
        <f t="shared" si="129"/>
        <v>1.21E-2</v>
      </c>
      <c r="F207">
        <v>827290</v>
      </c>
      <c r="G207">
        <f t="shared" si="132"/>
        <v>823327</v>
      </c>
      <c r="H207" s="38">
        <f t="shared" si="130"/>
        <v>-1.61E-2</v>
      </c>
      <c r="I207" s="13">
        <f t="shared" si="133"/>
        <v>-1.47E-2</v>
      </c>
      <c r="J207">
        <v>-1.28</v>
      </c>
      <c r="K207">
        <f t="shared" si="112"/>
        <v>98.72</v>
      </c>
      <c r="L207" s="29">
        <f t="shared" si="113"/>
        <v>-1.1000000000000001E-3</v>
      </c>
      <c r="M207">
        <v>0.5</v>
      </c>
      <c r="N207">
        <f t="shared" si="114"/>
        <v>100.5</v>
      </c>
      <c r="O207" s="13">
        <f t="shared" si="115"/>
        <v>5.9999999999999995E-4</v>
      </c>
      <c r="P207">
        <v>89.13</v>
      </c>
      <c r="Q207">
        <f t="shared" si="116"/>
        <v>89.052999999999997</v>
      </c>
      <c r="R207" s="13">
        <f t="shared" si="117"/>
        <v>6.9999999999999999E-4</v>
      </c>
      <c r="S207">
        <v>98.6</v>
      </c>
      <c r="T207">
        <f t="shared" si="118"/>
        <v>100.8</v>
      </c>
      <c r="U207" s="13">
        <f t="shared" si="119"/>
        <v>-5.3E-3</v>
      </c>
      <c r="V207">
        <v>254020</v>
      </c>
      <c r="W207" s="18">
        <f t="shared" si="120"/>
        <v>254680</v>
      </c>
      <c r="X207" s="38">
        <f t="shared" si="121"/>
        <v>1.0500000000000001E-2</v>
      </c>
      <c r="Y207" s="29">
        <f t="shared" si="122"/>
        <v>1.2999999999999999E-3</v>
      </c>
      <c r="Z207">
        <v>89.742699999999999</v>
      </c>
      <c r="AA207" s="18">
        <f t="shared" si="123"/>
        <v>94.11</v>
      </c>
      <c r="AB207" s="38">
        <f t="shared" si="124"/>
        <v>-0.1701</v>
      </c>
      <c r="AC207" s="13">
        <f t="shared" si="125"/>
        <v>-6.0100000000000001E-2</v>
      </c>
      <c r="AD207" s="30">
        <f t="shared" si="131"/>
        <v>61.4</v>
      </c>
      <c r="AE207" s="11">
        <f t="shared" si="111"/>
        <v>-1</v>
      </c>
      <c r="AF207" s="31">
        <f t="shared" si="126"/>
        <v>57.84</v>
      </c>
    </row>
    <row r="208" spans="1:32" x14ac:dyDescent="0.25">
      <c r="A208" s="5">
        <v>37072</v>
      </c>
      <c r="B208" s="10">
        <v>92.6</v>
      </c>
      <c r="C208" s="18">
        <f t="shared" si="127"/>
        <v>92.5</v>
      </c>
      <c r="D208" s="38">
        <f t="shared" si="128"/>
        <v>-8.14E-2</v>
      </c>
      <c r="E208" s="29">
        <f t="shared" si="129"/>
        <v>4.4000000000000003E-3</v>
      </c>
      <c r="F208">
        <v>818937</v>
      </c>
      <c r="G208">
        <f t="shared" si="132"/>
        <v>826488</v>
      </c>
      <c r="H208" s="38">
        <f t="shared" si="130"/>
        <v>-1.4E-2</v>
      </c>
      <c r="I208" s="13">
        <f t="shared" si="133"/>
        <v>-1.01E-2</v>
      </c>
      <c r="J208">
        <v>-1.1299999999999999</v>
      </c>
      <c r="K208">
        <f t="shared" si="112"/>
        <v>98.87</v>
      </c>
      <c r="L208" s="29">
        <f t="shared" si="113"/>
        <v>-1.1000000000000001E-3</v>
      </c>
      <c r="M208">
        <v>0.36</v>
      </c>
      <c r="N208">
        <f t="shared" si="114"/>
        <v>100.36</v>
      </c>
      <c r="O208" s="13">
        <f t="shared" si="115"/>
        <v>-5.0000000000000001E-4</v>
      </c>
      <c r="P208">
        <v>89.01</v>
      </c>
      <c r="Q208">
        <f t="shared" si="116"/>
        <v>88.992999999999995</v>
      </c>
      <c r="R208" s="13">
        <f t="shared" si="117"/>
        <v>8.9999999999999998E-4</v>
      </c>
      <c r="S208">
        <v>101.6</v>
      </c>
      <c r="T208">
        <f t="shared" si="118"/>
        <v>100.6</v>
      </c>
      <c r="U208" s="13">
        <f t="shared" si="119"/>
        <v>-1.6299999999999999E-2</v>
      </c>
      <c r="V208">
        <v>255262</v>
      </c>
      <c r="W208" s="18">
        <f t="shared" si="120"/>
        <v>253456</v>
      </c>
      <c r="X208" s="38">
        <f t="shared" si="121"/>
        <v>8.9999999999999993E-3</v>
      </c>
      <c r="Y208" s="29">
        <f t="shared" si="122"/>
        <v>2.5000000000000001E-3</v>
      </c>
      <c r="Z208">
        <v>93.874039999999994</v>
      </c>
      <c r="AA208" s="18">
        <f t="shared" si="123"/>
        <v>98.96</v>
      </c>
      <c r="AB208" s="38">
        <f t="shared" si="124"/>
        <v>-0.14699999999999999</v>
      </c>
      <c r="AC208" s="13">
        <f t="shared" si="125"/>
        <v>-6.2799999999999995E-2</v>
      </c>
      <c r="AD208" s="30">
        <f t="shared" si="131"/>
        <v>58.09</v>
      </c>
      <c r="AE208" s="11">
        <f t="shared" si="111"/>
        <v>-1</v>
      </c>
      <c r="AF208" s="31">
        <f t="shared" si="126"/>
        <v>56.33</v>
      </c>
    </row>
    <row r="209" spans="1:32" x14ac:dyDescent="0.25">
      <c r="A209" s="5">
        <v>37042</v>
      </c>
      <c r="B209" s="10">
        <v>92</v>
      </c>
      <c r="C209" s="18">
        <f t="shared" si="127"/>
        <v>91.1</v>
      </c>
      <c r="D209" s="38">
        <f t="shared" si="128"/>
        <v>-0.1502</v>
      </c>
      <c r="E209" s="29">
        <f t="shared" si="129"/>
        <v>-1.8E-3</v>
      </c>
      <c r="F209">
        <v>823753</v>
      </c>
      <c r="G209">
        <f t="shared" si="132"/>
        <v>831633</v>
      </c>
      <c r="H209" s="38">
        <f t="shared" si="130"/>
        <v>-9.2999999999999992E-3</v>
      </c>
      <c r="I209" s="13">
        <f t="shared" si="133"/>
        <v>-5.0000000000000001E-3</v>
      </c>
      <c r="J209">
        <v>-1.1399999999999999</v>
      </c>
      <c r="K209">
        <f t="shared" si="112"/>
        <v>98.86</v>
      </c>
      <c r="L209" s="29">
        <f t="shared" si="113"/>
        <v>-1.5E-3</v>
      </c>
      <c r="M209">
        <v>0.13</v>
      </c>
      <c r="N209">
        <f t="shared" si="114"/>
        <v>100.13</v>
      </c>
      <c r="O209" s="13">
        <f t="shared" si="115"/>
        <v>-2.3E-3</v>
      </c>
      <c r="P209">
        <v>89.02</v>
      </c>
      <c r="Q209">
        <f t="shared" si="116"/>
        <v>88.93</v>
      </c>
      <c r="R209" s="13">
        <f t="shared" si="117"/>
        <v>1.1000000000000001E-3</v>
      </c>
      <c r="S209">
        <v>102.2</v>
      </c>
      <c r="T209">
        <f t="shared" si="118"/>
        <v>101.2</v>
      </c>
      <c r="U209" s="13">
        <f t="shared" si="119"/>
        <v>-2.1499999999999998E-2</v>
      </c>
      <c r="V209">
        <v>254759</v>
      </c>
      <c r="W209" s="18">
        <f t="shared" si="120"/>
        <v>252612</v>
      </c>
      <c r="X209" s="38">
        <f t="shared" si="121"/>
        <v>7.6E-3</v>
      </c>
      <c r="Y209" s="29">
        <f t="shared" si="122"/>
        <v>4.1000000000000003E-3</v>
      </c>
      <c r="Z209">
        <v>98.713120000000004</v>
      </c>
      <c r="AA209" s="18">
        <f t="shared" si="123"/>
        <v>104.23</v>
      </c>
      <c r="AB209" s="38">
        <f t="shared" si="124"/>
        <v>-0.11070000000000001</v>
      </c>
      <c r="AC209" s="13">
        <f t="shared" si="125"/>
        <v>-5.91E-2</v>
      </c>
      <c r="AD209" s="30">
        <f t="shared" si="131"/>
        <v>54.04</v>
      </c>
      <c r="AE209" s="11">
        <f t="shared" si="111"/>
        <v>-2</v>
      </c>
      <c r="AF209" s="31">
        <f t="shared" si="126"/>
        <v>60.24</v>
      </c>
    </row>
    <row r="210" spans="1:32" x14ac:dyDescent="0.25">
      <c r="A210" s="5">
        <v>37011</v>
      </c>
      <c r="B210" s="10">
        <v>88.4</v>
      </c>
      <c r="C210" s="18">
        <f t="shared" si="127"/>
        <v>89.2</v>
      </c>
      <c r="D210" s="38">
        <f t="shared" si="128"/>
        <v>-0.1593</v>
      </c>
      <c r="E210" s="29">
        <f t="shared" si="129"/>
        <v>-2.3E-2</v>
      </c>
      <c r="F210">
        <v>836774</v>
      </c>
      <c r="G210">
        <f t="shared" si="132"/>
        <v>837634</v>
      </c>
      <c r="H210" s="38">
        <f t="shared" si="130"/>
        <v>-1E-4</v>
      </c>
      <c r="I210" s="13">
        <f t="shared" si="133"/>
        <v>-1.6000000000000001E-3</v>
      </c>
      <c r="J210">
        <v>-1.06</v>
      </c>
      <c r="K210">
        <f t="shared" si="112"/>
        <v>98.94</v>
      </c>
      <c r="L210" s="29">
        <f t="shared" si="113"/>
        <v>-2.0999999999999999E-3</v>
      </c>
      <c r="M210">
        <v>0.31</v>
      </c>
      <c r="N210">
        <f t="shared" si="114"/>
        <v>100.31</v>
      </c>
      <c r="O210" s="13">
        <f t="shared" si="115"/>
        <v>-1.1999999999999999E-3</v>
      </c>
      <c r="P210">
        <v>88.95</v>
      </c>
      <c r="Q210">
        <f t="shared" si="116"/>
        <v>88.852999999999994</v>
      </c>
      <c r="R210" s="13">
        <f t="shared" si="117"/>
        <v>1.4E-3</v>
      </c>
      <c r="S210">
        <v>98</v>
      </c>
      <c r="T210">
        <f t="shared" si="118"/>
        <v>102.4</v>
      </c>
      <c r="U210" s="13">
        <f t="shared" si="119"/>
        <v>-2.86E-2</v>
      </c>
      <c r="V210">
        <v>250346</v>
      </c>
      <c r="W210" s="18">
        <f t="shared" si="120"/>
        <v>251937</v>
      </c>
      <c r="X210" s="38">
        <f t="shared" si="121"/>
        <v>3.3E-3</v>
      </c>
      <c r="Y210" s="29">
        <f t="shared" si="122"/>
        <v>1E-4</v>
      </c>
      <c r="Z210">
        <v>104.29510000000001</v>
      </c>
      <c r="AA210" s="18">
        <f t="shared" si="123"/>
        <v>109.31</v>
      </c>
      <c r="AB210" s="38">
        <f t="shared" si="124"/>
        <v>-6.8699999999999997E-2</v>
      </c>
      <c r="AC210" s="13">
        <f t="shared" si="125"/>
        <v>-4.7100000000000003E-2</v>
      </c>
      <c r="AD210" s="30">
        <f t="shared" si="131"/>
        <v>56.86</v>
      </c>
      <c r="AE210" s="11">
        <f t="shared" si="111"/>
        <v>-1</v>
      </c>
      <c r="AF210" s="31">
        <f t="shared" si="126"/>
        <v>68.099999999999994</v>
      </c>
    </row>
    <row r="211" spans="1:32" x14ac:dyDescent="0.25">
      <c r="A211" s="5">
        <v>36981</v>
      </c>
      <c r="B211" s="10">
        <v>91.5</v>
      </c>
      <c r="C211" s="18">
        <f t="shared" si="127"/>
        <v>91.3</v>
      </c>
      <c r="D211" s="38">
        <f t="shared" si="128"/>
        <v>-0.1459</v>
      </c>
      <c r="E211" s="29">
        <f t="shared" si="129"/>
        <v>-3.27E-2</v>
      </c>
      <c r="F211">
        <v>834372</v>
      </c>
      <c r="G211">
        <f t="shared" si="132"/>
        <v>836827</v>
      </c>
      <c r="H211" s="38">
        <f t="shared" si="130"/>
        <v>6.9999999999999999E-4</v>
      </c>
      <c r="I211" s="13">
        <f t="shared" si="133"/>
        <v>5.9999999999999995E-4</v>
      </c>
      <c r="J211">
        <v>-0.85</v>
      </c>
      <c r="K211">
        <f t="shared" si="112"/>
        <v>99.15</v>
      </c>
      <c r="L211" s="29">
        <f t="shared" si="113"/>
        <v>-1.4E-3</v>
      </c>
      <c r="M211">
        <v>0.51</v>
      </c>
      <c r="N211">
        <f t="shared" si="114"/>
        <v>100.51</v>
      </c>
      <c r="O211" s="13">
        <f t="shared" si="115"/>
        <v>-1.1999999999999999E-3</v>
      </c>
      <c r="P211">
        <v>88.82</v>
      </c>
      <c r="Q211">
        <f t="shared" si="116"/>
        <v>88.753</v>
      </c>
      <c r="R211" s="13">
        <f t="shared" si="117"/>
        <v>1.8E-3</v>
      </c>
      <c r="S211">
        <v>103.4</v>
      </c>
      <c r="T211">
        <f t="shared" si="118"/>
        <v>105.633</v>
      </c>
      <c r="U211" s="13">
        <f t="shared" si="119"/>
        <v>-2.41E-2</v>
      </c>
      <c r="V211">
        <v>252730</v>
      </c>
      <c r="W211" s="18">
        <f t="shared" si="120"/>
        <v>252023</v>
      </c>
      <c r="X211" s="38">
        <f t="shared" si="121"/>
        <v>7.1999999999999998E-3</v>
      </c>
      <c r="Y211" s="29">
        <f t="shared" si="122"/>
        <v>1.5E-3</v>
      </c>
      <c r="Z211">
        <v>109.6824</v>
      </c>
      <c r="AA211" s="18">
        <f t="shared" si="123"/>
        <v>113.4</v>
      </c>
      <c r="AB211" s="38">
        <f t="shared" si="124"/>
        <v>-2.9600000000000001E-2</v>
      </c>
      <c r="AC211" s="13">
        <f t="shared" si="125"/>
        <v>-3.0499999999999999E-2</v>
      </c>
      <c r="AD211" s="30">
        <f t="shared" si="131"/>
        <v>69.819999999999993</v>
      </c>
      <c r="AE211" s="11">
        <f t="shared" si="111"/>
        <v>0</v>
      </c>
      <c r="AF211" s="31">
        <f t="shared" si="126"/>
        <v>80.41</v>
      </c>
    </row>
    <row r="212" spans="1:32" x14ac:dyDescent="0.25">
      <c r="A212" s="5">
        <v>36950</v>
      </c>
      <c r="B212" s="10">
        <v>90.6</v>
      </c>
      <c r="C212" s="18">
        <f t="shared" si="127"/>
        <v>91.6</v>
      </c>
      <c r="D212" s="38">
        <f t="shared" si="128"/>
        <v>-0.1487</v>
      </c>
      <c r="E212" s="29">
        <f t="shared" si="129"/>
        <v>-5.1400000000000001E-2</v>
      </c>
      <c r="F212">
        <v>841755</v>
      </c>
      <c r="G212">
        <f t="shared" si="132"/>
        <v>838206</v>
      </c>
      <c r="H212" s="38">
        <f t="shared" si="130"/>
        <v>4.7999999999999996E-3</v>
      </c>
      <c r="I212" s="13">
        <f t="shared" si="133"/>
        <v>4.3E-3</v>
      </c>
      <c r="J212">
        <v>-0.69</v>
      </c>
      <c r="K212">
        <f t="shared" si="112"/>
        <v>99.31</v>
      </c>
      <c r="L212" s="29">
        <f t="shared" si="113"/>
        <v>-1.2999999999999999E-3</v>
      </c>
      <c r="M212">
        <v>0.81</v>
      </c>
      <c r="N212">
        <f t="shared" si="114"/>
        <v>100.81</v>
      </c>
      <c r="O212" s="13">
        <f t="shared" si="115"/>
        <v>-1E-3</v>
      </c>
      <c r="P212">
        <v>88.79</v>
      </c>
      <c r="Q212">
        <f t="shared" si="116"/>
        <v>88.626999999999995</v>
      </c>
      <c r="R212" s="13">
        <f t="shared" si="117"/>
        <v>1.9E-3</v>
      </c>
      <c r="S212">
        <v>105.8</v>
      </c>
      <c r="T212">
        <f t="shared" si="118"/>
        <v>108</v>
      </c>
      <c r="U212" s="13">
        <f t="shared" si="119"/>
        <v>-1.8200000000000001E-2</v>
      </c>
      <c r="V212">
        <v>252736</v>
      </c>
      <c r="W212" s="18">
        <f t="shared" si="120"/>
        <v>251188</v>
      </c>
      <c r="X212" s="38">
        <f t="shared" si="121"/>
        <v>9.2999999999999992E-3</v>
      </c>
      <c r="Y212" s="29">
        <f t="shared" si="122"/>
        <v>8.9999999999999998E-4</v>
      </c>
      <c r="Z212">
        <v>113.95988</v>
      </c>
      <c r="AA212" s="18">
        <f t="shared" si="123"/>
        <v>116.01</v>
      </c>
      <c r="AB212" s="38">
        <f t="shared" si="124"/>
        <v>2.9999999999999997E-4</v>
      </c>
      <c r="AC212" s="13">
        <f t="shared" si="125"/>
        <v>-1.46E-2</v>
      </c>
      <c r="AD212" s="30">
        <f t="shared" si="131"/>
        <v>77.61</v>
      </c>
      <c r="AE212" s="11">
        <f t="shared" ref="AE212:AE275" si="134">IF(AD212&gt;85,3,IF(AND(AD212&gt;78,AD212&lt;=85),2,IF(AND(AD212&gt;70,AD212&lt;=78),1,IF(AD212&lt;40,-3,IF(AND(AD212&lt;55,AD212&gt;=40),-2,IF(AND(AD212&lt;65,AD212&gt;=55),-1,0))))))</f>
        <v>1</v>
      </c>
      <c r="AF212" s="31">
        <f t="shared" si="126"/>
        <v>93.58</v>
      </c>
    </row>
    <row r="213" spans="1:32" x14ac:dyDescent="0.25">
      <c r="A213" s="5">
        <v>36922</v>
      </c>
      <c r="B213" s="10">
        <v>94.7</v>
      </c>
      <c r="C213" s="18">
        <f t="shared" si="127"/>
        <v>95.6</v>
      </c>
      <c r="D213" s="38">
        <f t="shared" si="128"/>
        <v>-0.1132</v>
      </c>
      <c r="E213" s="29">
        <f t="shared" si="129"/>
        <v>-3.3399999999999999E-2</v>
      </c>
      <c r="F213">
        <v>834354</v>
      </c>
      <c r="G213">
        <f t="shared" si="132"/>
        <v>839419</v>
      </c>
      <c r="H213" s="38">
        <f t="shared" si="130"/>
        <v>6.4000000000000003E-3</v>
      </c>
      <c r="I213" s="13">
        <f t="shared" si="133"/>
        <v>5.3E-3</v>
      </c>
      <c r="J213">
        <v>-0.53</v>
      </c>
      <c r="K213">
        <f t="shared" si="112"/>
        <v>99.47</v>
      </c>
      <c r="L213" s="29">
        <f t="shared" si="113"/>
        <v>-5.9999999999999995E-4</v>
      </c>
      <c r="M213">
        <v>0.68</v>
      </c>
      <c r="N213">
        <f t="shared" si="114"/>
        <v>100.68</v>
      </c>
      <c r="O213" s="13">
        <f t="shared" si="115"/>
        <v>-1E-3</v>
      </c>
      <c r="P213">
        <v>88.65</v>
      </c>
      <c r="Q213">
        <f t="shared" si="116"/>
        <v>88.47</v>
      </c>
      <c r="R213" s="13">
        <f t="shared" si="117"/>
        <v>2E-3</v>
      </c>
      <c r="S213">
        <v>107.7</v>
      </c>
      <c r="T213">
        <f t="shared" si="118"/>
        <v>111.7</v>
      </c>
      <c r="U213" s="13">
        <f t="shared" si="119"/>
        <v>-2.8E-3</v>
      </c>
      <c r="V213">
        <v>250603</v>
      </c>
      <c r="W213" s="18">
        <f t="shared" si="120"/>
        <v>250698</v>
      </c>
      <c r="X213" s="38">
        <f t="shared" si="121"/>
        <v>1.23E-2</v>
      </c>
      <c r="Y213" s="29">
        <f t="shared" si="122"/>
        <v>3.0000000000000001E-3</v>
      </c>
      <c r="Z213">
        <v>116.56251</v>
      </c>
      <c r="AA213" s="18">
        <f t="shared" si="123"/>
        <v>117.21</v>
      </c>
      <c r="AB213" s="38">
        <f t="shared" si="124"/>
        <v>2.1000000000000001E-2</v>
      </c>
      <c r="AC213" s="13">
        <f t="shared" si="125"/>
        <v>-2.7000000000000001E-3</v>
      </c>
      <c r="AD213" s="30">
        <f t="shared" si="131"/>
        <v>93.81</v>
      </c>
      <c r="AE213" s="11">
        <f t="shared" si="134"/>
        <v>3</v>
      </c>
      <c r="AF213" s="31">
        <f t="shared" si="126"/>
        <v>107.46</v>
      </c>
    </row>
    <row r="214" spans="1:32" x14ac:dyDescent="0.25">
      <c r="A214" s="5">
        <v>36891</v>
      </c>
      <c r="B214" s="10">
        <v>98.4</v>
      </c>
      <c r="C214" s="18">
        <f t="shared" si="127"/>
        <v>100.7</v>
      </c>
      <c r="D214" s="38">
        <f t="shared" si="128"/>
        <v>-6.3299999999999995E-2</v>
      </c>
      <c r="E214" s="29">
        <f t="shared" si="129"/>
        <v>-1.9400000000000001E-2</v>
      </c>
      <c r="F214">
        <v>838509</v>
      </c>
      <c r="G214">
        <f t="shared" si="132"/>
        <v>837743</v>
      </c>
      <c r="H214" s="38">
        <f t="shared" si="130"/>
        <v>4.1999999999999997E-3</v>
      </c>
      <c r="I214" s="13">
        <f t="shared" si="133"/>
        <v>3.3999999999999998E-3</v>
      </c>
      <c r="J214">
        <v>-0.24</v>
      </c>
      <c r="K214">
        <f t="shared" si="112"/>
        <v>99.76</v>
      </c>
      <c r="L214" s="29">
        <f t="shared" si="113"/>
        <v>1E-4</v>
      </c>
      <c r="M214">
        <v>0.88</v>
      </c>
      <c r="N214">
        <f t="shared" si="114"/>
        <v>100.88</v>
      </c>
      <c r="O214" s="13">
        <f t="shared" si="115"/>
        <v>-2.0000000000000001E-4</v>
      </c>
      <c r="P214">
        <v>88.44</v>
      </c>
      <c r="Q214">
        <f t="shared" si="116"/>
        <v>88.283000000000001</v>
      </c>
      <c r="R214" s="13">
        <f t="shared" si="117"/>
        <v>1.9E-3</v>
      </c>
      <c r="S214">
        <v>110.5</v>
      </c>
      <c r="T214">
        <f t="shared" si="118"/>
        <v>113.667</v>
      </c>
      <c r="U214" s="13">
        <f t="shared" si="119"/>
        <v>2.3999999999999998E-3</v>
      </c>
      <c r="V214">
        <v>250225</v>
      </c>
      <c r="W214" s="18">
        <f t="shared" si="120"/>
        <v>251101</v>
      </c>
      <c r="X214" s="38">
        <f t="shared" si="121"/>
        <v>1.5800000000000002E-2</v>
      </c>
      <c r="Y214" s="29">
        <f t="shared" si="122"/>
        <v>3.0000000000000001E-3</v>
      </c>
      <c r="Z214">
        <v>117.52084000000001</v>
      </c>
      <c r="AA214" s="18">
        <f t="shared" si="123"/>
        <v>117.37</v>
      </c>
      <c r="AB214" s="38">
        <f t="shared" si="124"/>
        <v>3.5200000000000002E-2</v>
      </c>
      <c r="AC214" s="13">
        <f t="shared" si="125"/>
        <v>4.5999999999999999E-3</v>
      </c>
      <c r="AD214" s="30">
        <f t="shared" si="131"/>
        <v>109.32</v>
      </c>
      <c r="AE214" s="11">
        <f t="shared" si="134"/>
        <v>3</v>
      </c>
      <c r="AF214" s="31">
        <f t="shared" si="126"/>
        <v>115.89</v>
      </c>
    </row>
    <row r="215" spans="1:32" x14ac:dyDescent="0.25">
      <c r="A215" s="5">
        <v>36860</v>
      </c>
      <c r="B215" s="10">
        <v>107.6</v>
      </c>
      <c r="C215" s="18">
        <f t="shared" si="127"/>
        <v>107.2</v>
      </c>
      <c r="D215" s="38">
        <f t="shared" si="128"/>
        <v>-2.81E-2</v>
      </c>
      <c r="E215" s="29">
        <f t="shared" si="129"/>
        <v>-1.1999999999999999E-3</v>
      </c>
      <c r="F215">
        <v>845393</v>
      </c>
      <c r="G215">
        <f t="shared" si="132"/>
        <v>836253</v>
      </c>
      <c r="H215" s="38">
        <f t="shared" si="130"/>
        <v>5.7999999999999996E-3</v>
      </c>
      <c r="I215" s="13">
        <f t="shared" si="133"/>
        <v>2.8999999999999998E-3</v>
      </c>
      <c r="J215">
        <v>-0.31</v>
      </c>
      <c r="K215">
        <f t="shared" si="112"/>
        <v>99.69</v>
      </c>
      <c r="L215" s="29">
        <f t="shared" si="113"/>
        <v>-1E-3</v>
      </c>
      <c r="M215">
        <v>1.1000000000000001</v>
      </c>
      <c r="N215">
        <f t="shared" si="114"/>
        <v>101.1</v>
      </c>
      <c r="O215" s="13">
        <f t="shared" si="115"/>
        <v>6.9999999999999999E-4</v>
      </c>
      <c r="P215">
        <v>88.32</v>
      </c>
      <c r="Q215">
        <f t="shared" si="116"/>
        <v>88.123000000000005</v>
      </c>
      <c r="R215" s="13">
        <f t="shared" si="117"/>
        <v>2E-3</v>
      </c>
      <c r="S215">
        <v>116.9</v>
      </c>
      <c r="T215">
        <f t="shared" si="118"/>
        <v>114.167</v>
      </c>
      <c r="U215" s="13">
        <f t="shared" si="119"/>
        <v>8.0000000000000004E-4</v>
      </c>
      <c r="V215">
        <v>251267</v>
      </c>
      <c r="W215" s="18">
        <f t="shared" si="120"/>
        <v>250227</v>
      </c>
      <c r="X215" s="38">
        <f t="shared" si="121"/>
        <v>1.4200000000000001E-2</v>
      </c>
      <c r="Y215" s="29">
        <f t="shared" si="122"/>
        <v>3.0999999999999999E-3</v>
      </c>
      <c r="Z215">
        <v>117.55239</v>
      </c>
      <c r="AA215" s="18">
        <f t="shared" si="123"/>
        <v>116.86</v>
      </c>
      <c r="AB215" s="38">
        <f t="shared" si="124"/>
        <v>4.7699999999999999E-2</v>
      </c>
      <c r="AC215" s="13">
        <f t="shared" si="125"/>
        <v>9.1999999999999998E-3</v>
      </c>
      <c r="AD215" s="30">
        <f t="shared" si="131"/>
        <v>119.26</v>
      </c>
      <c r="AE215" s="11">
        <f t="shared" si="134"/>
        <v>3</v>
      </c>
      <c r="AF215" s="31">
        <f t="shared" si="126"/>
        <v>120.08</v>
      </c>
    </row>
    <row r="216" spans="1:32" x14ac:dyDescent="0.25">
      <c r="A216" s="5">
        <v>36830</v>
      </c>
      <c r="B216" s="10">
        <v>105.8</v>
      </c>
      <c r="C216" s="18">
        <f t="shared" si="127"/>
        <v>106.1</v>
      </c>
      <c r="D216" s="38">
        <f t="shared" si="128"/>
        <v>-2.3900000000000001E-2</v>
      </c>
      <c r="E216" s="29">
        <f t="shared" si="129"/>
        <v>-5.3E-3</v>
      </c>
      <c r="F216">
        <v>829327</v>
      </c>
      <c r="G216">
        <f t="shared" si="132"/>
        <v>834208</v>
      </c>
      <c r="H216" s="38">
        <f t="shared" si="130"/>
        <v>8.6E-3</v>
      </c>
      <c r="I216" s="13">
        <f t="shared" si="133"/>
        <v>5.8999999999999999E-3</v>
      </c>
      <c r="J216">
        <v>-0.19</v>
      </c>
      <c r="K216">
        <f t="shared" si="112"/>
        <v>99.81</v>
      </c>
      <c r="L216" s="29">
        <f t="shared" si="113"/>
        <v>-1.1000000000000001E-3</v>
      </c>
      <c r="M216">
        <v>0.98</v>
      </c>
      <c r="N216">
        <f t="shared" si="114"/>
        <v>100.98</v>
      </c>
      <c r="O216" s="13">
        <f t="shared" si="115"/>
        <v>-6.9999999999999999E-4</v>
      </c>
      <c r="P216">
        <v>88.09</v>
      </c>
      <c r="Q216">
        <f t="shared" si="116"/>
        <v>87.936999999999998</v>
      </c>
      <c r="R216" s="13">
        <f t="shared" si="117"/>
        <v>2.0999999999999999E-3</v>
      </c>
      <c r="S216">
        <v>113.6</v>
      </c>
      <c r="T216">
        <f t="shared" si="118"/>
        <v>112.667</v>
      </c>
      <c r="U216" s="13">
        <f t="shared" si="119"/>
        <v>-1.09E-2</v>
      </c>
      <c r="V216">
        <v>251812</v>
      </c>
      <c r="W216" s="18">
        <f t="shared" si="120"/>
        <v>248866</v>
      </c>
      <c r="X216" s="38">
        <f t="shared" si="121"/>
        <v>6.4000000000000003E-3</v>
      </c>
      <c r="Y216" s="29">
        <f t="shared" si="122"/>
        <v>5.5999999999999999E-3</v>
      </c>
      <c r="Z216">
        <v>117.02394</v>
      </c>
      <c r="AA216" s="18">
        <f t="shared" si="123"/>
        <v>115.97</v>
      </c>
      <c r="AB216" s="38">
        <f t="shared" si="124"/>
        <v>6.2700000000000006E-2</v>
      </c>
      <c r="AC216" s="13">
        <f t="shared" si="125"/>
        <v>1.2500000000000001E-2</v>
      </c>
      <c r="AD216" s="30">
        <f t="shared" si="131"/>
        <v>119.09</v>
      </c>
      <c r="AE216" s="11">
        <f t="shared" si="134"/>
        <v>3</v>
      </c>
      <c r="AF216" s="31">
        <f t="shared" si="126"/>
        <v>121.5</v>
      </c>
    </row>
    <row r="217" spans="1:32" x14ac:dyDescent="0.25">
      <c r="A217" s="5">
        <v>36799</v>
      </c>
      <c r="B217" s="10">
        <v>106.8</v>
      </c>
      <c r="C217" s="18">
        <f t="shared" si="127"/>
        <v>106.9</v>
      </c>
      <c r="D217" s="38">
        <f t="shared" si="128"/>
        <v>-1.2E-2</v>
      </c>
      <c r="E217" s="29">
        <f t="shared" si="129"/>
        <v>-1.9E-3</v>
      </c>
      <c r="F217">
        <v>834039</v>
      </c>
      <c r="G217">
        <f t="shared" si="132"/>
        <v>834101</v>
      </c>
      <c r="H217" s="38">
        <f t="shared" si="130"/>
        <v>1.18E-2</v>
      </c>
      <c r="I217" s="13">
        <f t="shared" si="133"/>
        <v>1.0200000000000001E-2</v>
      </c>
      <c r="J217">
        <v>-0.28000000000000003</v>
      </c>
      <c r="K217">
        <f t="shared" si="112"/>
        <v>99.72</v>
      </c>
      <c r="L217" s="29">
        <f t="shared" si="113"/>
        <v>-1.6000000000000001E-3</v>
      </c>
      <c r="M217">
        <v>0.94</v>
      </c>
      <c r="N217">
        <f t="shared" si="114"/>
        <v>100.94</v>
      </c>
      <c r="O217" s="13">
        <f t="shared" si="115"/>
        <v>-2.8999999999999998E-3</v>
      </c>
      <c r="P217">
        <v>87.96</v>
      </c>
      <c r="Q217">
        <f t="shared" si="116"/>
        <v>87.78</v>
      </c>
      <c r="R217" s="13">
        <f t="shared" si="117"/>
        <v>2.5999999999999999E-3</v>
      </c>
      <c r="S217">
        <v>112</v>
      </c>
      <c r="T217">
        <f t="shared" si="118"/>
        <v>112.867</v>
      </c>
      <c r="U217" s="13">
        <f t="shared" si="119"/>
        <v>-1.3599999999999999E-2</v>
      </c>
      <c r="V217">
        <v>247601</v>
      </c>
      <c r="W217" s="18">
        <f t="shared" si="120"/>
        <v>247654</v>
      </c>
      <c r="X217" s="38">
        <f t="shared" si="121"/>
        <v>2.9999999999999997E-4</v>
      </c>
      <c r="Y217" s="29">
        <f t="shared" si="122"/>
        <v>1.8E-3</v>
      </c>
      <c r="Z217">
        <v>116.01279</v>
      </c>
      <c r="AA217" s="18">
        <f t="shared" si="123"/>
        <v>114.8</v>
      </c>
      <c r="AB217" s="38">
        <f t="shared" si="124"/>
        <v>8.0799999999999997E-2</v>
      </c>
      <c r="AC217" s="13">
        <f t="shared" si="125"/>
        <v>1.52E-2</v>
      </c>
      <c r="AD217" s="30">
        <f t="shared" si="131"/>
        <v>121.88</v>
      </c>
      <c r="AE217" s="11">
        <f t="shared" si="134"/>
        <v>3</v>
      </c>
      <c r="AF217" s="31">
        <f t="shared" si="126"/>
        <v>126.64</v>
      </c>
    </row>
    <row r="218" spans="1:32" x14ac:dyDescent="0.25">
      <c r="A218" s="5">
        <v>36769</v>
      </c>
      <c r="B218" s="10">
        <v>107.3</v>
      </c>
      <c r="C218" s="18">
        <f t="shared" si="127"/>
        <v>107.6</v>
      </c>
      <c r="D218" s="38">
        <f t="shared" si="128"/>
        <v>-3.5000000000000003E-2</v>
      </c>
      <c r="E218" s="29">
        <f t="shared" si="129"/>
        <v>-8.3000000000000001E-3</v>
      </c>
      <c r="F218">
        <v>839258</v>
      </c>
      <c r="G218">
        <f t="shared" si="132"/>
        <v>834219</v>
      </c>
      <c r="H218" s="38">
        <f t="shared" si="130"/>
        <v>1.7500000000000002E-2</v>
      </c>
      <c r="I218" s="13">
        <f t="shared" si="133"/>
        <v>1.3100000000000001E-2</v>
      </c>
      <c r="J218">
        <v>-0.28000000000000003</v>
      </c>
      <c r="K218">
        <f t="shared" si="112"/>
        <v>99.72</v>
      </c>
      <c r="L218" s="29">
        <f t="shared" si="113"/>
        <v>-1.4E-3</v>
      </c>
      <c r="M218">
        <v>0.9</v>
      </c>
      <c r="N218">
        <f t="shared" si="114"/>
        <v>100.9</v>
      </c>
      <c r="O218" s="13">
        <f t="shared" si="115"/>
        <v>-3.8999999999999998E-3</v>
      </c>
      <c r="P218">
        <v>87.76</v>
      </c>
      <c r="Q218">
        <f t="shared" si="116"/>
        <v>87.606999999999999</v>
      </c>
      <c r="R218" s="13">
        <f t="shared" si="117"/>
        <v>3.2000000000000002E-3</v>
      </c>
      <c r="S218">
        <v>112.4</v>
      </c>
      <c r="T218">
        <f t="shared" si="118"/>
        <v>113.9</v>
      </c>
      <c r="U218" s="13">
        <f t="shared" si="119"/>
        <v>-1.0800000000000001E-2</v>
      </c>
      <c r="V218">
        <v>247184</v>
      </c>
      <c r="W218" s="18">
        <f t="shared" si="120"/>
        <v>247196</v>
      </c>
      <c r="X218" s="38">
        <f t="shared" si="121"/>
        <v>1.5E-3</v>
      </c>
      <c r="Y218" s="29">
        <f t="shared" si="122"/>
        <v>-2.7000000000000001E-3</v>
      </c>
      <c r="Z218">
        <v>114.86763000000001</v>
      </c>
      <c r="AA218" s="18">
        <f t="shared" si="123"/>
        <v>113.38</v>
      </c>
      <c r="AB218" s="38">
        <f t="shared" si="124"/>
        <v>9.9599999999999994E-2</v>
      </c>
      <c r="AC218" s="13">
        <f t="shared" si="125"/>
        <v>1.9900000000000001E-2</v>
      </c>
      <c r="AD218" s="30">
        <f t="shared" si="131"/>
        <v>123.54</v>
      </c>
      <c r="AE218" s="11">
        <f t="shared" si="134"/>
        <v>3</v>
      </c>
      <c r="AF218" s="31">
        <f t="shared" si="126"/>
        <v>134.5</v>
      </c>
    </row>
    <row r="219" spans="1:32" x14ac:dyDescent="0.25">
      <c r="A219" s="5">
        <v>36738</v>
      </c>
      <c r="B219" s="10">
        <v>108.3</v>
      </c>
      <c r="C219" s="18">
        <f t="shared" si="127"/>
        <v>107.8</v>
      </c>
      <c r="D219" s="38">
        <f t="shared" si="128"/>
        <v>-2.3599999999999999E-2</v>
      </c>
      <c r="E219" s="29">
        <f t="shared" si="129"/>
        <v>-2.8E-3</v>
      </c>
      <c r="F219">
        <v>829005</v>
      </c>
      <c r="G219">
        <f t="shared" si="132"/>
        <v>831457</v>
      </c>
      <c r="H219" s="38">
        <f t="shared" si="130"/>
        <v>1.6799999999999999E-2</v>
      </c>
      <c r="I219" s="13">
        <f t="shared" si="133"/>
        <v>1.2800000000000001E-2</v>
      </c>
      <c r="J219">
        <v>7.0000000000000007E-2</v>
      </c>
      <c r="K219">
        <f t="shared" si="112"/>
        <v>100.07</v>
      </c>
      <c r="L219" s="29">
        <f t="shared" si="113"/>
        <v>-5.9999999999999995E-4</v>
      </c>
      <c r="M219">
        <v>1.19</v>
      </c>
      <c r="N219">
        <f t="shared" si="114"/>
        <v>101.19</v>
      </c>
      <c r="O219" s="13">
        <f t="shared" si="115"/>
        <v>-2.0999999999999999E-3</v>
      </c>
      <c r="P219">
        <v>87.62</v>
      </c>
      <c r="Q219">
        <f t="shared" si="116"/>
        <v>87.39</v>
      </c>
      <c r="R219" s="13">
        <f t="shared" si="117"/>
        <v>3.3999999999999998E-3</v>
      </c>
      <c r="S219">
        <v>114.2</v>
      </c>
      <c r="T219">
        <f t="shared" si="118"/>
        <v>116.4</v>
      </c>
      <c r="U219" s="13">
        <f t="shared" si="119"/>
        <v>-8.0000000000000004E-4</v>
      </c>
      <c r="V219">
        <v>248178</v>
      </c>
      <c r="W219" s="18">
        <f t="shared" si="120"/>
        <v>246731</v>
      </c>
      <c r="X219" s="38">
        <f t="shared" si="121"/>
        <v>5.4999999999999997E-3</v>
      </c>
      <c r="Y219" s="29">
        <f t="shared" si="122"/>
        <v>1.1000000000000001E-3</v>
      </c>
      <c r="Z219">
        <v>113.50515</v>
      </c>
      <c r="AA219" s="18">
        <f t="shared" si="123"/>
        <v>111.54</v>
      </c>
      <c r="AB219" s="38">
        <f t="shared" si="124"/>
        <v>0.1134</v>
      </c>
      <c r="AC219" s="13">
        <f t="shared" si="125"/>
        <v>2.6499999999999999E-2</v>
      </c>
      <c r="AD219" s="30">
        <f t="shared" si="131"/>
        <v>134.5</v>
      </c>
      <c r="AE219" s="11">
        <f t="shared" si="134"/>
        <v>3</v>
      </c>
      <c r="AF219" s="31">
        <f t="shared" si="126"/>
        <v>144.11000000000001</v>
      </c>
    </row>
    <row r="220" spans="1:32" x14ac:dyDescent="0.25">
      <c r="A220" s="5">
        <v>36707</v>
      </c>
      <c r="B220" s="10">
        <v>106.4</v>
      </c>
      <c r="C220" s="18">
        <f t="shared" si="127"/>
        <v>107.5</v>
      </c>
      <c r="D220" s="38">
        <f t="shared" si="128"/>
        <v>1.5100000000000001E-2</v>
      </c>
      <c r="E220" s="29">
        <f t="shared" si="129"/>
        <v>-2.0999999999999999E-3</v>
      </c>
      <c r="F220">
        <v>834393</v>
      </c>
      <c r="G220">
        <f t="shared" si="132"/>
        <v>827109</v>
      </c>
      <c r="H220" s="38">
        <f t="shared" si="130"/>
        <v>2.01E-2</v>
      </c>
      <c r="I220" s="13">
        <f t="shared" si="133"/>
        <v>1.41E-2</v>
      </c>
      <c r="J220">
        <v>0.24</v>
      </c>
      <c r="K220">
        <f t="shared" si="112"/>
        <v>100.24</v>
      </c>
      <c r="L220" s="29">
        <f t="shared" si="113"/>
        <v>-8.9999999999999998E-4</v>
      </c>
      <c r="M220">
        <v>1.81</v>
      </c>
      <c r="N220">
        <f t="shared" si="114"/>
        <v>101.81</v>
      </c>
      <c r="O220" s="13">
        <f t="shared" si="115"/>
        <v>1.2999999999999999E-3</v>
      </c>
      <c r="P220">
        <v>87.44</v>
      </c>
      <c r="Q220">
        <f t="shared" si="116"/>
        <v>87.087000000000003</v>
      </c>
      <c r="R220" s="13">
        <f t="shared" si="117"/>
        <v>3.2000000000000002E-3</v>
      </c>
      <c r="S220">
        <v>115.1</v>
      </c>
      <c r="T220">
        <f t="shared" si="118"/>
        <v>117.6</v>
      </c>
      <c r="U220" s="13">
        <f t="shared" si="119"/>
        <v>3.0999999999999999E-3</v>
      </c>
      <c r="V220">
        <v>246225</v>
      </c>
      <c r="W220" s="18">
        <f t="shared" si="120"/>
        <v>247287</v>
      </c>
      <c r="X220" s="38">
        <f t="shared" si="121"/>
        <v>1.7000000000000001E-2</v>
      </c>
      <c r="Y220" s="29">
        <f t="shared" si="122"/>
        <v>2.8E-3</v>
      </c>
      <c r="Z220">
        <v>111.77079999999999</v>
      </c>
      <c r="AA220" s="18">
        <f t="shared" si="123"/>
        <v>109.13</v>
      </c>
      <c r="AB220" s="38">
        <f t="shared" si="124"/>
        <v>0.1158</v>
      </c>
      <c r="AC220" s="13">
        <f t="shared" si="125"/>
        <v>3.3599999999999998E-2</v>
      </c>
      <c r="AD220" s="30">
        <f t="shared" si="131"/>
        <v>145.47</v>
      </c>
      <c r="AE220" s="11">
        <f t="shared" si="134"/>
        <v>3</v>
      </c>
      <c r="AF220" s="31">
        <f t="shared" si="126"/>
        <v>149.38999999999999</v>
      </c>
    </row>
    <row r="221" spans="1:32" x14ac:dyDescent="0.25">
      <c r="A221" s="5">
        <v>36677</v>
      </c>
      <c r="B221" s="10">
        <v>110.7</v>
      </c>
      <c r="C221" s="18">
        <f t="shared" si="127"/>
        <v>110.3</v>
      </c>
      <c r="D221" s="38">
        <f t="shared" si="128"/>
        <v>3.8600000000000002E-2</v>
      </c>
      <c r="E221" s="29">
        <f t="shared" si="129"/>
        <v>-3.7000000000000002E-3</v>
      </c>
      <c r="F221">
        <v>830973</v>
      </c>
      <c r="G221">
        <f t="shared" si="132"/>
        <v>824338</v>
      </c>
      <c r="H221" s="38">
        <f t="shared" si="130"/>
        <v>2.5499999999999998E-2</v>
      </c>
      <c r="I221" s="13">
        <f t="shared" si="133"/>
        <v>1.83E-2</v>
      </c>
      <c r="J221">
        <v>0.37</v>
      </c>
      <c r="K221">
        <f t="shared" si="112"/>
        <v>100.37</v>
      </c>
      <c r="L221" s="29">
        <f t="shared" si="113"/>
        <v>-1.1999999999999999E-3</v>
      </c>
      <c r="M221">
        <v>2.09</v>
      </c>
      <c r="N221">
        <f t="shared" si="114"/>
        <v>102.09</v>
      </c>
      <c r="O221" s="13">
        <f t="shared" si="115"/>
        <v>1.8E-3</v>
      </c>
      <c r="P221">
        <v>87.11</v>
      </c>
      <c r="Q221">
        <f t="shared" si="116"/>
        <v>86.777000000000001</v>
      </c>
      <c r="R221" s="13">
        <f t="shared" si="117"/>
        <v>3.0000000000000001E-3</v>
      </c>
      <c r="S221">
        <v>119.9</v>
      </c>
      <c r="T221">
        <f t="shared" si="118"/>
        <v>117.7</v>
      </c>
      <c r="U221" s="13">
        <f t="shared" si="119"/>
        <v>6.4999999999999997E-3</v>
      </c>
      <c r="V221">
        <v>245789</v>
      </c>
      <c r="W221" s="18">
        <f t="shared" si="120"/>
        <v>247590</v>
      </c>
      <c r="X221" s="38">
        <f t="shared" si="121"/>
        <v>2.6599999999999999E-2</v>
      </c>
      <c r="Y221" s="29">
        <f t="shared" si="122"/>
        <v>2.9999999999999997E-4</v>
      </c>
      <c r="Z221">
        <v>109.33627</v>
      </c>
      <c r="AA221" s="18">
        <f t="shared" si="123"/>
        <v>106.22</v>
      </c>
      <c r="AB221" s="38">
        <f t="shared" si="124"/>
        <v>0.1038</v>
      </c>
      <c r="AC221" s="13">
        <f t="shared" si="125"/>
        <v>3.7699999999999997E-2</v>
      </c>
      <c r="AD221" s="30">
        <f t="shared" si="131"/>
        <v>152.35</v>
      </c>
      <c r="AE221" s="11">
        <f t="shared" si="134"/>
        <v>3</v>
      </c>
      <c r="AF221" s="31">
        <f t="shared" si="126"/>
        <v>149.32</v>
      </c>
    </row>
    <row r="222" spans="1:32" x14ac:dyDescent="0.25">
      <c r="A222" s="5">
        <v>36646</v>
      </c>
      <c r="B222" s="10">
        <v>109.2</v>
      </c>
      <c r="C222" s="18">
        <f t="shared" si="127"/>
        <v>108.7</v>
      </c>
      <c r="D222" s="38">
        <f t="shared" si="128"/>
        <v>4.3200000000000002E-2</v>
      </c>
      <c r="E222" s="29">
        <f t="shared" si="129"/>
        <v>-5.1000000000000004E-3</v>
      </c>
      <c r="F222">
        <v>815960</v>
      </c>
      <c r="G222">
        <f t="shared" si="132"/>
        <v>819866</v>
      </c>
      <c r="H222" s="38">
        <f t="shared" si="130"/>
        <v>2.5899999999999999E-2</v>
      </c>
      <c r="I222" s="13">
        <f t="shared" si="133"/>
        <v>2.1600000000000001E-2</v>
      </c>
      <c r="J222">
        <v>0.27</v>
      </c>
      <c r="K222">
        <f t="shared" si="112"/>
        <v>100.27</v>
      </c>
      <c r="L222" s="29">
        <f t="shared" si="113"/>
        <v>-5.0000000000000001E-4</v>
      </c>
      <c r="M222">
        <v>1.82</v>
      </c>
      <c r="N222">
        <f t="shared" si="114"/>
        <v>101.82</v>
      </c>
      <c r="O222" s="13">
        <f t="shared" si="115"/>
        <v>-1E-4</v>
      </c>
      <c r="P222">
        <v>86.71</v>
      </c>
      <c r="Q222">
        <f t="shared" si="116"/>
        <v>86.507000000000005</v>
      </c>
      <c r="R222" s="13">
        <f t="shared" si="117"/>
        <v>3.0999999999999999E-3</v>
      </c>
      <c r="S222">
        <v>117.8</v>
      </c>
      <c r="T222">
        <f t="shared" si="118"/>
        <v>116.667</v>
      </c>
      <c r="U222" s="13">
        <f t="shared" si="119"/>
        <v>3.5999999999999999E-3</v>
      </c>
      <c r="V222">
        <v>249847</v>
      </c>
      <c r="W222" s="18">
        <f t="shared" si="120"/>
        <v>246821</v>
      </c>
      <c r="X222" s="38">
        <f t="shared" si="121"/>
        <v>3.4799999999999998E-2</v>
      </c>
      <c r="Y222" s="29">
        <f t="shared" si="122"/>
        <v>9.5999999999999992E-3</v>
      </c>
      <c r="Z222">
        <v>106.29224000000001</v>
      </c>
      <c r="AA222" s="18">
        <f t="shared" si="123"/>
        <v>103.11</v>
      </c>
      <c r="AB222" s="38">
        <f t="shared" si="124"/>
        <v>7.9100000000000004E-2</v>
      </c>
      <c r="AC222" s="13">
        <f t="shared" si="125"/>
        <v>3.7199999999999997E-2</v>
      </c>
      <c r="AD222" s="30">
        <f t="shared" si="131"/>
        <v>150.34</v>
      </c>
      <c r="AE222" s="11">
        <f t="shared" si="134"/>
        <v>3</v>
      </c>
      <c r="AF222" s="31">
        <f t="shared" si="126"/>
        <v>148.32</v>
      </c>
    </row>
    <row r="223" spans="1:32" x14ac:dyDescent="0.25">
      <c r="A223" s="5">
        <v>36616</v>
      </c>
      <c r="B223" s="10">
        <v>107.1</v>
      </c>
      <c r="C223" s="18">
        <f t="shared" si="127"/>
        <v>108.2</v>
      </c>
      <c r="D223" s="38">
        <f t="shared" si="128"/>
        <v>1.6E-2</v>
      </c>
      <c r="E223" s="29">
        <f t="shared" si="129"/>
        <v>7.0000000000000001E-3</v>
      </c>
      <c r="F223">
        <v>826081</v>
      </c>
      <c r="G223">
        <f t="shared" si="132"/>
        <v>817723</v>
      </c>
      <c r="H223" s="38">
        <f t="shared" si="130"/>
        <v>3.1600000000000003E-2</v>
      </c>
      <c r="I223" s="13">
        <f t="shared" si="133"/>
        <v>2.3099999999999999E-2</v>
      </c>
      <c r="J223">
        <v>0.32</v>
      </c>
      <c r="K223">
        <f t="shared" si="112"/>
        <v>100.32</v>
      </c>
      <c r="L223" s="29">
        <f t="shared" si="113"/>
        <v>-2.9999999999999997E-4</v>
      </c>
      <c r="M223">
        <v>1.41</v>
      </c>
      <c r="N223">
        <f t="shared" si="114"/>
        <v>101.41</v>
      </c>
      <c r="O223" s="13">
        <f t="shared" si="115"/>
        <v>-1.6000000000000001E-3</v>
      </c>
      <c r="P223">
        <v>86.51</v>
      </c>
      <c r="Q223">
        <f t="shared" si="116"/>
        <v>86.266999999999996</v>
      </c>
      <c r="R223" s="13">
        <f t="shared" si="117"/>
        <v>3.0999999999999999E-3</v>
      </c>
      <c r="S223">
        <v>115.4</v>
      </c>
      <c r="T223">
        <f t="shared" si="118"/>
        <v>116.5</v>
      </c>
      <c r="U223" s="13">
        <f t="shared" si="119"/>
        <v>7.4999999999999997E-3</v>
      </c>
      <c r="V223">
        <v>247133</v>
      </c>
      <c r="W223" s="18">
        <f t="shared" si="120"/>
        <v>245371</v>
      </c>
      <c r="X223" s="38">
        <f t="shared" si="121"/>
        <v>3.44E-2</v>
      </c>
      <c r="Y223" s="29">
        <f t="shared" si="122"/>
        <v>9.9000000000000008E-3</v>
      </c>
      <c r="Z223">
        <v>103.04582000000001</v>
      </c>
      <c r="AA223" s="18">
        <f t="shared" si="123"/>
        <v>100.18</v>
      </c>
      <c r="AB223" s="38">
        <f t="shared" si="124"/>
        <v>4.8099999999999997E-2</v>
      </c>
      <c r="AC223" s="13">
        <f t="shared" si="125"/>
        <v>3.1600000000000003E-2</v>
      </c>
      <c r="AD223" s="30">
        <f t="shared" si="131"/>
        <v>145.27000000000001</v>
      </c>
      <c r="AE223" s="11">
        <f t="shared" si="134"/>
        <v>3</v>
      </c>
      <c r="AF223" s="31">
        <f t="shared" si="126"/>
        <v>147.28</v>
      </c>
    </row>
    <row r="224" spans="1:32" x14ac:dyDescent="0.25">
      <c r="A224" s="5">
        <v>36585</v>
      </c>
      <c r="B224" s="10">
        <v>111.3</v>
      </c>
      <c r="C224" s="18">
        <f t="shared" si="127"/>
        <v>111.5</v>
      </c>
      <c r="D224" s="38">
        <f t="shared" si="128"/>
        <v>6.2899999999999998E-2</v>
      </c>
      <c r="E224" s="29">
        <f t="shared" si="129"/>
        <v>1.6400000000000001E-2</v>
      </c>
      <c r="F224">
        <v>817556</v>
      </c>
      <c r="G224">
        <f t="shared" si="132"/>
        <v>810819</v>
      </c>
      <c r="H224" s="38">
        <f t="shared" si="130"/>
        <v>2.92E-2</v>
      </c>
      <c r="I224" s="13">
        <f t="shared" si="133"/>
        <v>2.1700000000000001E-2</v>
      </c>
      <c r="J224">
        <v>0.6</v>
      </c>
      <c r="K224">
        <f t="shared" si="112"/>
        <v>100.6</v>
      </c>
      <c r="L224" s="29">
        <f t="shared" si="113"/>
        <v>1.1000000000000001E-3</v>
      </c>
      <c r="M224">
        <v>1.54</v>
      </c>
      <c r="N224">
        <f t="shared" si="114"/>
        <v>101.54</v>
      </c>
      <c r="O224" s="13">
        <f t="shared" si="115"/>
        <v>-2.9999999999999997E-4</v>
      </c>
      <c r="P224">
        <v>86.3</v>
      </c>
      <c r="Q224">
        <f t="shared" si="116"/>
        <v>86.01</v>
      </c>
      <c r="R224" s="13">
        <f t="shared" si="117"/>
        <v>3.0999999999999999E-3</v>
      </c>
      <c r="S224">
        <v>116.8</v>
      </c>
      <c r="T224">
        <f t="shared" si="118"/>
        <v>115.43300000000001</v>
      </c>
      <c r="U224" s="13">
        <f t="shared" si="119"/>
        <v>8.9999999999999998E-4</v>
      </c>
      <c r="V224">
        <v>243483</v>
      </c>
      <c r="W224" s="18">
        <f t="shared" si="120"/>
        <v>243148</v>
      </c>
      <c r="X224" s="38">
        <f t="shared" si="121"/>
        <v>3.0200000000000001E-2</v>
      </c>
      <c r="Y224" s="29">
        <f t="shared" si="122"/>
        <v>6.1999999999999998E-3</v>
      </c>
      <c r="Z224">
        <v>100</v>
      </c>
      <c r="AA224" s="18">
        <f t="shared" si="123"/>
        <v>97.8</v>
      </c>
      <c r="AB224" s="38">
        <f t="shared" si="124"/>
        <v>2.07E-2</v>
      </c>
      <c r="AC224" s="13">
        <f t="shared" si="125"/>
        <v>2.2100000000000002E-2</v>
      </c>
      <c r="AD224" s="30">
        <f t="shared" si="131"/>
        <v>149.34</v>
      </c>
      <c r="AE224" s="11">
        <f t="shared" si="134"/>
        <v>3</v>
      </c>
      <c r="AF224" s="31">
        <f t="shared" si="126"/>
        <v>142.77000000000001</v>
      </c>
    </row>
    <row r="225" spans="1:32" x14ac:dyDescent="0.25">
      <c r="A225" s="5">
        <v>36556</v>
      </c>
      <c r="B225" s="10">
        <v>112</v>
      </c>
      <c r="C225" s="18">
        <f t="shared" si="127"/>
        <v>110.4</v>
      </c>
      <c r="D225" s="38">
        <f t="shared" si="128"/>
        <v>3.8600000000000002E-2</v>
      </c>
      <c r="E225" s="29">
        <f t="shared" si="129"/>
        <v>1.9599999999999999E-2</v>
      </c>
      <c r="F225">
        <v>809531</v>
      </c>
      <c r="G225">
        <f t="shared" si="132"/>
        <v>803866</v>
      </c>
      <c r="H225" s="38">
        <f t="shared" si="130"/>
        <v>2.6800000000000001E-2</v>
      </c>
      <c r="I225" s="13">
        <f t="shared" si="133"/>
        <v>2.06E-2</v>
      </c>
      <c r="J225">
        <v>0.85</v>
      </c>
      <c r="K225">
        <f t="shared" si="112"/>
        <v>100.85</v>
      </c>
      <c r="L225" s="29">
        <f t="shared" si="113"/>
        <v>1.6000000000000001E-3</v>
      </c>
      <c r="M225">
        <v>1.84</v>
      </c>
      <c r="N225">
        <f t="shared" si="114"/>
        <v>101.84</v>
      </c>
      <c r="O225" s="13">
        <f t="shared" si="115"/>
        <v>8.9999999999999998E-4</v>
      </c>
      <c r="P225">
        <v>85.99</v>
      </c>
      <c r="Q225">
        <f t="shared" si="116"/>
        <v>85.72</v>
      </c>
      <c r="R225" s="13">
        <f t="shared" si="117"/>
        <v>3.0000000000000001E-3</v>
      </c>
      <c r="S225">
        <v>117.3</v>
      </c>
      <c r="T225">
        <f t="shared" si="118"/>
        <v>115.43300000000001</v>
      </c>
      <c r="U225" s="13">
        <f t="shared" si="119"/>
        <v>3.5000000000000001E-3</v>
      </c>
      <c r="V225">
        <v>245498</v>
      </c>
      <c r="W225" s="18">
        <f t="shared" si="120"/>
        <v>241173</v>
      </c>
      <c r="X225" s="38">
        <f t="shared" si="121"/>
        <v>0.03</v>
      </c>
      <c r="Y225" s="29">
        <f t="shared" si="122"/>
        <v>9.4000000000000004E-3</v>
      </c>
      <c r="Z225">
        <v>97.495199999999997</v>
      </c>
      <c r="AA225" s="18">
        <f t="shared" si="123"/>
        <v>96.23</v>
      </c>
      <c r="AB225" s="38">
        <f t="shared" si="124"/>
        <v>6.4999999999999997E-3</v>
      </c>
      <c r="AC225" s="13">
        <f t="shared" si="125"/>
        <v>1.04E-2</v>
      </c>
      <c r="AD225" s="30">
        <f t="shared" si="131"/>
        <v>147.22</v>
      </c>
      <c r="AE225" s="11">
        <f t="shared" si="134"/>
        <v>3</v>
      </c>
      <c r="AF225" s="31">
        <f t="shared" si="126"/>
        <v>137.9</v>
      </c>
    </row>
    <row r="226" spans="1:32" x14ac:dyDescent="0.25">
      <c r="A226" s="5">
        <v>36525</v>
      </c>
      <c r="B226" s="10">
        <v>105.4</v>
      </c>
      <c r="C226" s="18">
        <f t="shared" si="127"/>
        <v>105.9</v>
      </c>
      <c r="D226" s="38">
        <f t="shared" si="128"/>
        <v>-1.21E-2</v>
      </c>
      <c r="E226" s="29">
        <f t="shared" si="129"/>
        <v>-1.9E-3</v>
      </c>
      <c r="F226">
        <v>805370</v>
      </c>
      <c r="G226">
        <f t="shared" si="132"/>
        <v>799170</v>
      </c>
      <c r="H226" s="38">
        <f t="shared" si="130"/>
        <v>2.7799999999999998E-2</v>
      </c>
      <c r="I226" s="13">
        <f t="shared" si="133"/>
        <v>2.01E-2</v>
      </c>
      <c r="J226">
        <v>0.49</v>
      </c>
      <c r="K226">
        <f t="shared" si="112"/>
        <v>100.49</v>
      </c>
      <c r="L226" s="29">
        <f t="shared" si="113"/>
        <v>4.0000000000000002E-4</v>
      </c>
      <c r="M226">
        <v>1.9</v>
      </c>
      <c r="N226">
        <f t="shared" si="114"/>
        <v>101.9</v>
      </c>
      <c r="O226" s="13">
        <f t="shared" si="115"/>
        <v>8.0000000000000004E-4</v>
      </c>
      <c r="P226">
        <v>85.74</v>
      </c>
      <c r="Q226">
        <f t="shared" si="116"/>
        <v>85.46</v>
      </c>
      <c r="R226" s="13">
        <f t="shared" si="117"/>
        <v>2.8999999999999998E-3</v>
      </c>
      <c r="S226">
        <v>112.2</v>
      </c>
      <c r="T226">
        <f t="shared" si="118"/>
        <v>113.9</v>
      </c>
      <c r="U226" s="13">
        <f t="shared" si="119"/>
        <v>-4.5999999999999999E-3</v>
      </c>
      <c r="V226">
        <v>240462</v>
      </c>
      <c r="W226" s="18">
        <f t="shared" si="120"/>
        <v>238513</v>
      </c>
      <c r="X226" s="38">
        <f t="shared" si="121"/>
        <v>2.6499999999999999E-2</v>
      </c>
      <c r="Y226" s="29">
        <f t="shared" si="122"/>
        <v>6.8999999999999999E-3</v>
      </c>
      <c r="Z226">
        <v>95.910139999999998</v>
      </c>
      <c r="AA226" s="18">
        <f t="shared" si="123"/>
        <v>95.55</v>
      </c>
      <c r="AB226" s="38">
        <f t="shared" si="124"/>
        <v>0.01</v>
      </c>
      <c r="AC226" s="13">
        <f t="shared" si="125"/>
        <v>5.9999999999999995E-4</v>
      </c>
      <c r="AD226" s="30">
        <f t="shared" si="131"/>
        <v>131.74</v>
      </c>
      <c r="AE226" s="11">
        <f t="shared" si="134"/>
        <v>3</v>
      </c>
      <c r="AF226" s="31">
        <f t="shared" si="126"/>
        <v>132.57</v>
      </c>
    </row>
    <row r="227" spans="1:32" x14ac:dyDescent="0.25">
      <c r="A227" s="5">
        <v>36494</v>
      </c>
      <c r="B227" s="10">
        <v>107.2</v>
      </c>
      <c r="C227" s="18">
        <f t="shared" si="127"/>
        <v>106.2</v>
      </c>
      <c r="D227" s="38">
        <f t="shared" si="128"/>
        <v>-8.9999999999999998E-4</v>
      </c>
      <c r="E227" s="29">
        <f t="shared" si="129"/>
        <v>4.1000000000000003E-3</v>
      </c>
      <c r="F227">
        <v>796698</v>
      </c>
      <c r="G227">
        <f t="shared" si="132"/>
        <v>792651</v>
      </c>
      <c r="H227" s="38">
        <f t="shared" si="130"/>
        <v>2.69E-2</v>
      </c>
      <c r="I227" s="13">
        <f t="shared" si="133"/>
        <v>0.02</v>
      </c>
      <c r="J227">
        <v>0.45</v>
      </c>
      <c r="K227">
        <f t="shared" si="112"/>
        <v>100.45</v>
      </c>
      <c r="L227" s="29">
        <f t="shared" si="113"/>
        <v>5.9999999999999995E-4</v>
      </c>
      <c r="M227">
        <v>1.64</v>
      </c>
      <c r="N227">
        <f t="shared" si="114"/>
        <v>101.64</v>
      </c>
      <c r="O227" s="13">
        <f t="shared" si="115"/>
        <v>-5.0000000000000001E-4</v>
      </c>
      <c r="P227">
        <v>85.43</v>
      </c>
      <c r="Q227">
        <f t="shared" si="116"/>
        <v>85.203000000000003</v>
      </c>
      <c r="R227" s="13">
        <f t="shared" si="117"/>
        <v>2.8999999999999998E-3</v>
      </c>
      <c r="S227">
        <v>116.8</v>
      </c>
      <c r="T227">
        <f t="shared" si="118"/>
        <v>115.133</v>
      </c>
      <c r="U227" s="13">
        <f t="shared" si="119"/>
        <v>-3.8999999999999998E-3</v>
      </c>
      <c r="V227">
        <v>237560</v>
      </c>
      <c r="W227" s="18">
        <f t="shared" si="120"/>
        <v>237222</v>
      </c>
      <c r="X227" s="38">
        <f t="shared" si="121"/>
        <v>2.8199999999999999E-2</v>
      </c>
      <c r="Y227" s="29">
        <f t="shared" si="122"/>
        <v>6.0000000000000001E-3</v>
      </c>
      <c r="Z227">
        <v>95.274000000000001</v>
      </c>
      <c r="AA227" s="18">
        <f t="shared" si="123"/>
        <v>95.58</v>
      </c>
      <c r="AB227" s="38">
        <f t="shared" si="124"/>
        <v>2.8500000000000001E-2</v>
      </c>
      <c r="AC227" s="13">
        <f t="shared" si="125"/>
        <v>-3.3E-3</v>
      </c>
      <c r="AD227" s="30">
        <f t="shared" si="131"/>
        <v>134.72999999999999</v>
      </c>
      <c r="AE227" s="11">
        <f t="shared" si="134"/>
        <v>3</v>
      </c>
      <c r="AF227" s="31">
        <f t="shared" si="126"/>
        <v>134.80000000000001</v>
      </c>
    </row>
    <row r="228" spans="1:32" x14ac:dyDescent="0.25">
      <c r="A228" s="5">
        <v>36464</v>
      </c>
      <c r="B228" s="10">
        <v>103.2</v>
      </c>
      <c r="C228" s="18">
        <f t="shared" si="127"/>
        <v>104.2</v>
      </c>
      <c r="D228" s="38">
        <f t="shared" si="128"/>
        <v>-6.7000000000000002E-3</v>
      </c>
      <c r="E228" s="29">
        <f t="shared" si="129"/>
        <v>-6.6E-3</v>
      </c>
      <c r="F228">
        <v>795441</v>
      </c>
      <c r="G228">
        <f t="shared" si="132"/>
        <v>787779</v>
      </c>
      <c r="H228" s="38">
        <f t="shared" si="130"/>
        <v>2.7400000000000001E-2</v>
      </c>
      <c r="I228" s="13">
        <f t="shared" si="133"/>
        <v>2.0799999999999999E-2</v>
      </c>
      <c r="J228">
        <v>0.16</v>
      </c>
      <c r="K228">
        <f t="shared" si="112"/>
        <v>100.16</v>
      </c>
      <c r="L228" s="29">
        <f t="shared" si="113"/>
        <v>-2.0000000000000001E-4</v>
      </c>
      <c r="M228">
        <v>1.56</v>
      </c>
      <c r="N228">
        <f t="shared" si="114"/>
        <v>101.56</v>
      </c>
      <c r="O228" s="13">
        <f t="shared" si="115"/>
        <v>-1E-4</v>
      </c>
      <c r="P228">
        <v>85.21</v>
      </c>
      <c r="Q228">
        <f t="shared" si="116"/>
        <v>84.96</v>
      </c>
      <c r="R228" s="13">
        <f t="shared" si="117"/>
        <v>2.8E-3</v>
      </c>
      <c r="S228">
        <v>112.7</v>
      </c>
      <c r="T228">
        <f t="shared" si="118"/>
        <v>114.233</v>
      </c>
      <c r="U228" s="13">
        <f t="shared" si="119"/>
        <v>-1.3100000000000001E-2</v>
      </c>
      <c r="V228">
        <v>237516</v>
      </c>
      <c r="W228" s="18">
        <f t="shared" si="120"/>
        <v>236013</v>
      </c>
      <c r="X228" s="38">
        <f t="shared" si="121"/>
        <v>2.9700000000000001E-2</v>
      </c>
      <c r="Y228" s="29">
        <f t="shared" si="122"/>
        <v>6.7000000000000002E-3</v>
      </c>
      <c r="Z228">
        <v>95.461529999999996</v>
      </c>
      <c r="AA228" s="18">
        <f t="shared" si="123"/>
        <v>95.82</v>
      </c>
      <c r="AB228" s="38">
        <f t="shared" si="124"/>
        <v>5.2600000000000001E-2</v>
      </c>
      <c r="AC228" s="13">
        <f t="shared" si="125"/>
        <v>1.2999999999999999E-3</v>
      </c>
      <c r="AD228" s="30">
        <f t="shared" si="131"/>
        <v>131.25</v>
      </c>
      <c r="AE228" s="11">
        <f t="shared" si="134"/>
        <v>3</v>
      </c>
      <c r="AF228" s="31">
        <f t="shared" si="126"/>
        <v>136.05000000000001</v>
      </c>
    </row>
    <row r="229" spans="1:32" x14ac:dyDescent="0.25">
      <c r="A229" s="5">
        <v>36433</v>
      </c>
      <c r="B229" s="10">
        <v>107.2</v>
      </c>
      <c r="C229" s="18">
        <f t="shared" si="127"/>
        <v>106.5</v>
      </c>
      <c r="D229" s="38">
        <f t="shared" si="128"/>
        <v>1.9E-3</v>
      </c>
      <c r="E229" s="29">
        <f t="shared" si="129"/>
        <v>-2.2000000000000001E-3</v>
      </c>
      <c r="F229">
        <v>785815</v>
      </c>
      <c r="G229">
        <f t="shared" si="132"/>
        <v>782880</v>
      </c>
      <c r="H229" s="38">
        <f t="shared" si="130"/>
        <v>2.6200000000000001E-2</v>
      </c>
      <c r="I229" s="13">
        <f t="shared" si="133"/>
        <v>2.01E-2</v>
      </c>
      <c r="J229">
        <v>0.19</v>
      </c>
      <c r="K229">
        <f t="shared" si="112"/>
        <v>100.19</v>
      </c>
      <c r="L229" s="29">
        <f t="shared" si="113"/>
        <v>0</v>
      </c>
      <c r="M229">
        <v>1.67</v>
      </c>
      <c r="N229">
        <f t="shared" si="114"/>
        <v>101.67</v>
      </c>
      <c r="O229" s="13">
        <f t="shared" si="115"/>
        <v>2.0000000000000001E-4</v>
      </c>
      <c r="P229">
        <v>84.97</v>
      </c>
      <c r="Q229">
        <f t="shared" si="116"/>
        <v>84.727000000000004</v>
      </c>
      <c r="R229" s="13">
        <f t="shared" si="117"/>
        <v>3.0000000000000001E-3</v>
      </c>
      <c r="S229">
        <v>115.9</v>
      </c>
      <c r="T229">
        <f t="shared" si="118"/>
        <v>115.5</v>
      </c>
      <c r="U229" s="13">
        <f t="shared" si="119"/>
        <v>-8.8999999999999999E-3</v>
      </c>
      <c r="V229">
        <v>236589</v>
      </c>
      <c r="W229" s="18">
        <f t="shared" si="120"/>
        <v>234149</v>
      </c>
      <c r="X229" s="38">
        <f t="shared" si="121"/>
        <v>2.9000000000000001E-2</v>
      </c>
      <c r="Y229" s="29">
        <f t="shared" si="122"/>
        <v>8.2000000000000007E-3</v>
      </c>
      <c r="Z229">
        <v>96.003240000000005</v>
      </c>
      <c r="AA229" s="18">
        <f t="shared" si="123"/>
        <v>95.61</v>
      </c>
      <c r="AB229" s="38">
        <f t="shared" si="124"/>
        <v>7.1900000000000006E-2</v>
      </c>
      <c r="AC229" s="13">
        <f t="shared" si="125"/>
        <v>1.18E-2</v>
      </c>
      <c r="AD229" s="30">
        <f t="shared" si="131"/>
        <v>138.41999999999999</v>
      </c>
      <c r="AE229" s="11">
        <f t="shared" si="134"/>
        <v>3</v>
      </c>
      <c r="AF229" s="31">
        <f t="shared" si="126"/>
        <v>140.91</v>
      </c>
    </row>
    <row r="230" spans="1:32" x14ac:dyDescent="0.25">
      <c r="A230" s="5">
        <v>36403</v>
      </c>
      <c r="B230" s="10">
        <v>104.5</v>
      </c>
      <c r="C230" s="18">
        <f t="shared" si="127"/>
        <v>104.9</v>
      </c>
      <c r="D230" s="38">
        <f t="shared" si="128"/>
        <v>-2.0500000000000001E-2</v>
      </c>
      <c r="E230" s="29">
        <f t="shared" si="129"/>
        <v>-4.4000000000000003E-3</v>
      </c>
      <c r="F230">
        <v>782081</v>
      </c>
      <c r="G230">
        <f t="shared" si="132"/>
        <v>777529</v>
      </c>
      <c r="H230" s="38">
        <f t="shared" si="130"/>
        <v>2.3300000000000001E-2</v>
      </c>
      <c r="I230" s="13">
        <f t="shared" si="133"/>
        <v>1.7600000000000001E-2</v>
      </c>
      <c r="J230">
        <v>0.31</v>
      </c>
      <c r="K230">
        <f t="shared" si="112"/>
        <v>100.31</v>
      </c>
      <c r="L230" s="29">
        <f t="shared" si="113"/>
        <v>2.0000000000000001E-4</v>
      </c>
      <c r="M230">
        <v>1.78</v>
      </c>
      <c r="N230">
        <f t="shared" si="114"/>
        <v>101.78</v>
      </c>
      <c r="O230" s="13">
        <f t="shared" si="115"/>
        <v>1E-4</v>
      </c>
      <c r="P230">
        <v>84.7</v>
      </c>
      <c r="Q230">
        <f t="shared" si="116"/>
        <v>84.477000000000004</v>
      </c>
      <c r="R230" s="13">
        <f t="shared" si="117"/>
        <v>3.0000000000000001E-3</v>
      </c>
      <c r="S230">
        <v>114.1</v>
      </c>
      <c r="T230">
        <f t="shared" si="118"/>
        <v>116.5</v>
      </c>
      <c r="U230" s="13">
        <f t="shared" si="119"/>
        <v>-3.5999999999999999E-3</v>
      </c>
      <c r="V230">
        <v>233933</v>
      </c>
      <c r="W230" s="18">
        <f t="shared" si="120"/>
        <v>232366</v>
      </c>
      <c r="X230" s="38">
        <f t="shared" si="121"/>
        <v>2.87E-2</v>
      </c>
      <c r="Y230" s="29">
        <f t="shared" si="122"/>
        <v>7.1000000000000004E-3</v>
      </c>
      <c r="Z230">
        <v>95.99794</v>
      </c>
      <c r="AA230" s="18">
        <f t="shared" si="123"/>
        <v>94.6</v>
      </c>
      <c r="AB230" s="38">
        <f t="shared" si="124"/>
        <v>8.1100000000000005E-2</v>
      </c>
      <c r="AC230" s="13">
        <f t="shared" si="125"/>
        <v>2.1700000000000001E-2</v>
      </c>
      <c r="AD230" s="30">
        <f t="shared" si="131"/>
        <v>138.49</v>
      </c>
      <c r="AE230" s="11">
        <f t="shared" si="134"/>
        <v>3</v>
      </c>
      <c r="AF230" s="31">
        <f t="shared" si="126"/>
        <v>144.30000000000001</v>
      </c>
    </row>
    <row r="231" spans="1:32" x14ac:dyDescent="0.25">
      <c r="A231" s="5">
        <v>36372</v>
      </c>
      <c r="B231" s="10">
        <v>106</v>
      </c>
      <c r="C231" s="18">
        <f t="shared" si="127"/>
        <v>106.3</v>
      </c>
      <c r="D231" s="38">
        <f t="shared" si="128"/>
        <v>3.1E-2</v>
      </c>
      <c r="E231" s="29">
        <f t="shared" si="129"/>
        <v>4.4000000000000003E-3</v>
      </c>
      <c r="F231">
        <v>780745</v>
      </c>
      <c r="G231">
        <f t="shared" si="132"/>
        <v>771867</v>
      </c>
      <c r="H231" s="38">
        <f t="shared" si="130"/>
        <v>2.1700000000000001E-2</v>
      </c>
      <c r="I231" s="13">
        <f t="shared" si="133"/>
        <v>1.55E-2</v>
      </c>
      <c r="J231">
        <v>0.22</v>
      </c>
      <c r="K231">
        <f t="shared" si="112"/>
        <v>100.22</v>
      </c>
      <c r="L231" s="29">
        <f t="shared" si="113"/>
        <v>-4.0000000000000002E-4</v>
      </c>
      <c r="M231">
        <v>1.6</v>
      </c>
      <c r="N231">
        <f t="shared" si="114"/>
        <v>101.6</v>
      </c>
      <c r="O231" s="13">
        <f t="shared" si="115"/>
        <v>-5.9999999999999995E-4</v>
      </c>
      <c r="P231">
        <v>84.51</v>
      </c>
      <c r="Q231">
        <f t="shared" si="116"/>
        <v>84.24</v>
      </c>
      <c r="R231" s="13">
        <f t="shared" si="117"/>
        <v>3.0999999999999999E-3</v>
      </c>
      <c r="S231">
        <v>116.5</v>
      </c>
      <c r="T231">
        <f t="shared" si="118"/>
        <v>118.833</v>
      </c>
      <c r="U231" s="13">
        <f t="shared" si="119"/>
        <v>8.8000000000000005E-3</v>
      </c>
      <c r="V231">
        <v>231926</v>
      </c>
      <c r="W231" s="18">
        <f t="shared" si="120"/>
        <v>230714</v>
      </c>
      <c r="X231" s="38">
        <f t="shared" si="121"/>
        <v>2.7699999999999999E-2</v>
      </c>
      <c r="Y231" s="29">
        <f t="shared" si="122"/>
        <v>6.1999999999999998E-3</v>
      </c>
      <c r="Z231">
        <v>94.830529999999996</v>
      </c>
      <c r="AA231" s="18">
        <f t="shared" si="123"/>
        <v>92.93</v>
      </c>
      <c r="AB231" s="38">
        <f t="shared" si="124"/>
        <v>8.1600000000000006E-2</v>
      </c>
      <c r="AC231" s="13">
        <f t="shared" si="125"/>
        <v>2.5999999999999999E-2</v>
      </c>
      <c r="AD231" s="30">
        <f t="shared" si="131"/>
        <v>145.83000000000001</v>
      </c>
      <c r="AE231" s="11">
        <f t="shared" si="134"/>
        <v>3</v>
      </c>
      <c r="AF231" s="31">
        <f t="shared" si="126"/>
        <v>146.52000000000001</v>
      </c>
    </row>
    <row r="232" spans="1:32" x14ac:dyDescent="0.25">
      <c r="A232" s="5">
        <v>36341</v>
      </c>
      <c r="B232" s="10">
        <v>107.3</v>
      </c>
      <c r="C232" s="18">
        <f t="shared" si="127"/>
        <v>107.2</v>
      </c>
      <c r="D232" s="38">
        <f t="shared" si="128"/>
        <v>6.0299999999999999E-2</v>
      </c>
      <c r="E232" s="29">
        <f t="shared" si="129"/>
        <v>2.8E-3</v>
      </c>
      <c r="F232">
        <v>769760</v>
      </c>
      <c r="G232">
        <f t="shared" si="132"/>
        <v>766800</v>
      </c>
      <c r="H232" s="38">
        <f t="shared" si="130"/>
        <v>1.8599999999999998E-2</v>
      </c>
      <c r="I232" s="13">
        <f t="shared" si="133"/>
        <v>1.4200000000000001E-2</v>
      </c>
      <c r="J232">
        <v>0.23</v>
      </c>
      <c r="K232">
        <f t="shared" si="112"/>
        <v>100.23</v>
      </c>
      <c r="L232" s="29">
        <f t="shared" si="113"/>
        <v>1E-4</v>
      </c>
      <c r="M232">
        <v>1.61</v>
      </c>
      <c r="N232">
        <f t="shared" si="114"/>
        <v>101.61</v>
      </c>
      <c r="O232" s="13">
        <f t="shared" si="115"/>
        <v>-5.9999999999999995E-4</v>
      </c>
      <c r="P232">
        <v>84.22</v>
      </c>
      <c r="Q232">
        <f t="shared" si="116"/>
        <v>83.977000000000004</v>
      </c>
      <c r="R232" s="13">
        <f t="shared" si="117"/>
        <v>3.0000000000000001E-3</v>
      </c>
      <c r="S232">
        <v>118.9</v>
      </c>
      <c r="T232">
        <f t="shared" si="118"/>
        <v>118.633</v>
      </c>
      <c r="U232" s="13">
        <f t="shared" si="119"/>
        <v>7.4000000000000003E-3</v>
      </c>
      <c r="V232">
        <v>231238</v>
      </c>
      <c r="W232" s="18">
        <f t="shared" si="120"/>
        <v>229208</v>
      </c>
      <c r="X232" s="38">
        <f t="shared" si="121"/>
        <v>2.8799999999999999E-2</v>
      </c>
      <c r="Y232" s="29">
        <f t="shared" si="122"/>
        <v>8.0000000000000002E-3</v>
      </c>
      <c r="Z232">
        <v>92.962469999999996</v>
      </c>
      <c r="AA232" s="18">
        <f t="shared" si="123"/>
        <v>91.03</v>
      </c>
      <c r="AB232" s="38">
        <f t="shared" si="124"/>
        <v>7.7700000000000005E-2</v>
      </c>
      <c r="AC232" s="13">
        <f t="shared" si="125"/>
        <v>2.5899999999999999E-2</v>
      </c>
      <c r="AD232" s="30">
        <f t="shared" si="131"/>
        <v>148.57</v>
      </c>
      <c r="AE232" s="11">
        <f t="shared" si="134"/>
        <v>3</v>
      </c>
      <c r="AF232" s="31">
        <f t="shared" si="126"/>
        <v>146.80000000000001</v>
      </c>
    </row>
    <row r="233" spans="1:32" x14ac:dyDescent="0.25">
      <c r="A233" s="5">
        <v>36311</v>
      </c>
      <c r="B233" s="10">
        <v>106.8</v>
      </c>
      <c r="C233" s="18">
        <f t="shared" si="127"/>
        <v>106.3</v>
      </c>
      <c r="D233" s="38">
        <f t="shared" si="128"/>
        <v>4.8300000000000003E-2</v>
      </c>
      <c r="E233" s="29">
        <f t="shared" si="129"/>
        <v>-2.5000000000000001E-3</v>
      </c>
      <c r="F233">
        <v>765096</v>
      </c>
      <c r="G233">
        <f t="shared" si="132"/>
        <v>762873</v>
      </c>
      <c r="H233" s="38">
        <f t="shared" si="130"/>
        <v>1.9E-2</v>
      </c>
      <c r="I233" s="13">
        <f t="shared" si="133"/>
        <v>1.41E-2</v>
      </c>
      <c r="J233">
        <v>0.19</v>
      </c>
      <c r="K233">
        <f t="shared" si="112"/>
        <v>100.19</v>
      </c>
      <c r="L233" s="29">
        <f t="shared" si="113"/>
        <v>-2.0000000000000001E-4</v>
      </c>
      <c r="M233">
        <v>1.75</v>
      </c>
      <c r="N233">
        <f t="shared" si="114"/>
        <v>101.75</v>
      </c>
      <c r="O233" s="13">
        <f t="shared" si="115"/>
        <v>5.9999999999999995E-4</v>
      </c>
      <c r="P233">
        <v>83.99</v>
      </c>
      <c r="Q233">
        <f t="shared" si="116"/>
        <v>83.727000000000004</v>
      </c>
      <c r="R233" s="13">
        <f t="shared" si="117"/>
        <v>3.0999999999999999E-3</v>
      </c>
      <c r="S233">
        <v>121.1</v>
      </c>
      <c r="T233">
        <f t="shared" si="118"/>
        <v>117.767</v>
      </c>
      <c r="U233" s="13">
        <f t="shared" si="119"/>
        <v>7.3000000000000001E-3</v>
      </c>
      <c r="V233">
        <v>228978</v>
      </c>
      <c r="W233" s="18">
        <f t="shared" si="120"/>
        <v>227542</v>
      </c>
      <c r="X233" s="38">
        <f t="shared" si="121"/>
        <v>2.8299999999999999E-2</v>
      </c>
      <c r="Y233" s="29">
        <f t="shared" si="122"/>
        <v>6.4000000000000003E-3</v>
      </c>
      <c r="Z233">
        <v>90.993099999999998</v>
      </c>
      <c r="AA233" s="18">
        <f t="shared" si="123"/>
        <v>89.2</v>
      </c>
      <c r="AB233" s="38">
        <f t="shared" si="124"/>
        <v>7.2900000000000006E-2</v>
      </c>
      <c r="AC233" s="13">
        <f t="shared" si="125"/>
        <v>2.46E-2</v>
      </c>
      <c r="AD233" s="30">
        <f t="shared" si="131"/>
        <v>145.16999999999999</v>
      </c>
      <c r="AE233" s="11">
        <f t="shared" si="134"/>
        <v>3</v>
      </c>
      <c r="AF233" s="31">
        <f t="shared" si="126"/>
        <v>146.66</v>
      </c>
    </row>
    <row r="234" spans="1:32" x14ac:dyDescent="0.25">
      <c r="A234" s="5">
        <v>36280</v>
      </c>
      <c r="B234" s="10">
        <v>104.6</v>
      </c>
      <c r="C234" s="18">
        <f t="shared" si="127"/>
        <v>104.9</v>
      </c>
      <c r="D234" s="38">
        <f t="shared" si="128"/>
        <v>6.7100000000000007E-2</v>
      </c>
      <c r="E234" s="29">
        <f t="shared" si="129"/>
        <v>5.7000000000000002E-3</v>
      </c>
      <c r="F234">
        <v>765545</v>
      </c>
      <c r="G234">
        <f t="shared" si="132"/>
        <v>759789</v>
      </c>
      <c r="H234" s="38">
        <f t="shared" si="130"/>
        <v>2.1399999999999999E-2</v>
      </c>
      <c r="I234" s="13">
        <f t="shared" si="133"/>
        <v>1.52E-2</v>
      </c>
      <c r="J234">
        <v>0.23</v>
      </c>
      <c r="K234">
        <f t="shared" si="112"/>
        <v>100.23</v>
      </c>
      <c r="L234" s="29">
        <f t="shared" si="113"/>
        <v>2.0000000000000001E-4</v>
      </c>
      <c r="M234">
        <v>1.78</v>
      </c>
      <c r="N234">
        <f t="shared" si="114"/>
        <v>101.78</v>
      </c>
      <c r="O234" s="13">
        <f t="shared" si="115"/>
        <v>0</v>
      </c>
      <c r="P234">
        <v>83.72</v>
      </c>
      <c r="Q234">
        <f t="shared" si="116"/>
        <v>83.472999999999999</v>
      </c>
      <c r="R234" s="13">
        <f t="shared" si="117"/>
        <v>3.0999999999999999E-3</v>
      </c>
      <c r="S234">
        <v>115.9</v>
      </c>
      <c r="T234">
        <f t="shared" si="118"/>
        <v>115.733</v>
      </c>
      <c r="U234" s="13">
        <f t="shared" si="119"/>
        <v>5.9999999999999995E-4</v>
      </c>
      <c r="V234">
        <v>227407</v>
      </c>
      <c r="W234" s="18">
        <f t="shared" si="120"/>
        <v>225889</v>
      </c>
      <c r="X234" s="38">
        <f t="shared" si="121"/>
        <v>3.2500000000000001E-2</v>
      </c>
      <c r="Y234" s="29">
        <f t="shared" si="122"/>
        <v>7.0000000000000001E-3</v>
      </c>
      <c r="Z234">
        <v>89.1434</v>
      </c>
      <c r="AA234" s="18">
        <f t="shared" si="123"/>
        <v>87.5</v>
      </c>
      <c r="AB234" s="38">
        <f t="shared" si="124"/>
        <v>6.88E-2</v>
      </c>
      <c r="AC234" s="13">
        <f t="shared" si="125"/>
        <v>2.3099999999999999E-2</v>
      </c>
      <c r="AD234" s="30">
        <f t="shared" si="131"/>
        <v>146.66</v>
      </c>
      <c r="AE234" s="11">
        <f t="shared" si="134"/>
        <v>3</v>
      </c>
      <c r="AF234" s="31">
        <f t="shared" si="126"/>
        <v>146.41999999999999</v>
      </c>
    </row>
    <row r="235" spans="1:32" x14ac:dyDescent="0.25">
      <c r="A235" s="5">
        <v>36250</v>
      </c>
      <c r="B235" s="10">
        <v>105.7</v>
      </c>
      <c r="C235" s="18">
        <f t="shared" si="127"/>
        <v>106.3</v>
      </c>
      <c r="D235" s="38">
        <f t="shared" si="128"/>
        <v>4.4200000000000003E-2</v>
      </c>
      <c r="E235" s="29">
        <f t="shared" si="129"/>
        <v>1.67E-2</v>
      </c>
      <c r="F235">
        <v>757979</v>
      </c>
      <c r="G235">
        <f t="shared" si="132"/>
        <v>755462</v>
      </c>
      <c r="H235" s="38">
        <f t="shared" si="130"/>
        <v>2.3199999999999998E-2</v>
      </c>
      <c r="I235" s="13">
        <f t="shared" si="133"/>
        <v>1.7600000000000001E-2</v>
      </c>
      <c r="J235">
        <v>0.37</v>
      </c>
      <c r="K235">
        <f t="shared" si="112"/>
        <v>100.37</v>
      </c>
      <c r="L235" s="29">
        <f t="shared" si="113"/>
        <v>-5.9999999999999995E-4</v>
      </c>
      <c r="M235">
        <v>1.79</v>
      </c>
      <c r="N235">
        <f t="shared" si="114"/>
        <v>101.79</v>
      </c>
      <c r="O235" s="13">
        <f t="shared" si="115"/>
        <v>4.0000000000000002E-4</v>
      </c>
      <c r="P235">
        <v>83.47</v>
      </c>
      <c r="Q235">
        <f t="shared" si="116"/>
        <v>83.22</v>
      </c>
      <c r="R235" s="13">
        <f t="shared" si="117"/>
        <v>3.0999999999999999E-3</v>
      </c>
      <c r="S235">
        <v>116.3</v>
      </c>
      <c r="T235">
        <f t="shared" si="118"/>
        <v>116.033</v>
      </c>
      <c r="U235" s="13">
        <f t="shared" si="119"/>
        <v>5.3E-3</v>
      </c>
      <c r="V235">
        <v>226240</v>
      </c>
      <c r="W235" s="18">
        <f t="shared" si="120"/>
        <v>224495</v>
      </c>
      <c r="X235" s="38">
        <f t="shared" si="121"/>
        <v>3.7999999999999999E-2</v>
      </c>
      <c r="Y235" s="29">
        <f t="shared" si="122"/>
        <v>7.6E-3</v>
      </c>
      <c r="Z235">
        <v>87.471000000000004</v>
      </c>
      <c r="AA235" s="18">
        <f t="shared" si="123"/>
        <v>85.92</v>
      </c>
      <c r="AB235" s="38">
        <f t="shared" si="124"/>
        <v>6.5699999999999995E-2</v>
      </c>
      <c r="AC235" s="13">
        <f t="shared" si="125"/>
        <v>2.1700000000000001E-2</v>
      </c>
      <c r="AD235" s="30">
        <f t="shared" si="131"/>
        <v>148.15</v>
      </c>
      <c r="AE235" s="11">
        <f t="shared" si="134"/>
        <v>3</v>
      </c>
      <c r="AF235" s="31">
        <f t="shared" si="126"/>
        <v>143.01</v>
      </c>
    </row>
    <row r="236" spans="1:32" x14ac:dyDescent="0.25">
      <c r="A236" s="5">
        <v>36219</v>
      </c>
      <c r="B236" s="10">
        <v>108.1</v>
      </c>
      <c r="C236" s="18">
        <f t="shared" si="127"/>
        <v>107.1</v>
      </c>
      <c r="D236" s="38">
        <f t="shared" si="128"/>
        <v>2.3900000000000001E-2</v>
      </c>
      <c r="E236" s="29">
        <f t="shared" si="129"/>
        <v>1.8700000000000001E-2</v>
      </c>
      <c r="F236">
        <v>755844</v>
      </c>
      <c r="G236">
        <f t="shared" si="132"/>
        <v>752811</v>
      </c>
      <c r="H236" s="38">
        <f t="shared" si="130"/>
        <v>2.29E-2</v>
      </c>
      <c r="I236" s="13">
        <f t="shared" si="133"/>
        <v>1.84E-2</v>
      </c>
      <c r="J236">
        <v>0.2</v>
      </c>
      <c r="K236">
        <f t="shared" si="112"/>
        <v>100.2</v>
      </c>
      <c r="L236" s="29">
        <f t="shared" si="113"/>
        <v>-1E-4</v>
      </c>
      <c r="M236">
        <v>1.57</v>
      </c>
      <c r="N236">
        <f t="shared" si="114"/>
        <v>101.57</v>
      </c>
      <c r="O236" s="13">
        <f t="shared" si="115"/>
        <v>-2.0000000000000001E-4</v>
      </c>
      <c r="P236">
        <v>83.23</v>
      </c>
      <c r="Q236">
        <f t="shared" si="116"/>
        <v>82.96</v>
      </c>
      <c r="R236" s="13">
        <f t="shared" si="117"/>
        <v>3.0000000000000001E-3</v>
      </c>
      <c r="S236">
        <v>115</v>
      </c>
      <c r="T236">
        <f t="shared" si="118"/>
        <v>115.233</v>
      </c>
      <c r="U236" s="13">
        <f t="shared" si="119"/>
        <v>5.1000000000000004E-3</v>
      </c>
      <c r="V236">
        <v>224020</v>
      </c>
      <c r="W236" s="18">
        <f t="shared" si="120"/>
        <v>222799</v>
      </c>
      <c r="X236" s="38">
        <f t="shared" si="121"/>
        <v>3.7499999999999999E-2</v>
      </c>
      <c r="Y236" s="29">
        <f t="shared" si="122"/>
        <v>9.4000000000000004E-3</v>
      </c>
      <c r="Z236">
        <v>85.875010000000003</v>
      </c>
      <c r="AA236" s="18">
        <f t="shared" si="123"/>
        <v>84.47</v>
      </c>
      <c r="AB236" s="38">
        <f t="shared" si="124"/>
        <v>6.2399999999999997E-2</v>
      </c>
      <c r="AC236" s="13">
        <f t="shared" si="125"/>
        <v>2.0199999999999999E-2</v>
      </c>
      <c r="AD236" s="30">
        <f t="shared" si="131"/>
        <v>144.46</v>
      </c>
      <c r="AE236" s="11">
        <f t="shared" si="134"/>
        <v>3</v>
      </c>
      <c r="AF236" s="31">
        <f t="shared" si="126"/>
        <v>134.79</v>
      </c>
    </row>
    <row r="237" spans="1:32" x14ac:dyDescent="0.25">
      <c r="A237" s="5">
        <v>36191</v>
      </c>
      <c r="B237" s="10">
        <v>103.9</v>
      </c>
      <c r="C237" s="18">
        <f t="shared" si="127"/>
        <v>103.1</v>
      </c>
      <c r="D237" s="38">
        <f t="shared" si="128"/>
        <v>-2.0899999999999998E-2</v>
      </c>
      <c r="E237" s="29">
        <f t="shared" si="129"/>
        <v>1.6E-2</v>
      </c>
      <c r="F237">
        <v>752562</v>
      </c>
      <c r="G237">
        <f t="shared" si="132"/>
        <v>748682</v>
      </c>
      <c r="H237" s="38">
        <f t="shared" si="130"/>
        <v>1.5100000000000001E-2</v>
      </c>
      <c r="I237" s="13">
        <f t="shared" si="133"/>
        <v>1.29E-2</v>
      </c>
      <c r="J237">
        <v>0.27</v>
      </c>
      <c r="K237">
        <f t="shared" si="112"/>
        <v>100.27</v>
      </c>
      <c r="L237" s="29">
        <f t="shared" si="113"/>
        <v>5.0000000000000001E-4</v>
      </c>
      <c r="M237">
        <v>1.79</v>
      </c>
      <c r="N237">
        <f t="shared" si="114"/>
        <v>101.79</v>
      </c>
      <c r="O237" s="13">
        <f t="shared" si="115"/>
        <v>-2.9999999999999997E-4</v>
      </c>
      <c r="P237">
        <v>82.96</v>
      </c>
      <c r="Q237">
        <f t="shared" si="116"/>
        <v>82.692999999999998</v>
      </c>
      <c r="R237" s="13">
        <f t="shared" si="117"/>
        <v>2.8999999999999998E-3</v>
      </c>
      <c r="S237">
        <v>116.8</v>
      </c>
      <c r="T237">
        <f t="shared" si="118"/>
        <v>115.533</v>
      </c>
      <c r="U237" s="13">
        <f t="shared" si="119"/>
        <v>8.0000000000000002E-3</v>
      </c>
      <c r="V237">
        <v>223226</v>
      </c>
      <c r="W237" s="18">
        <f t="shared" si="120"/>
        <v>221280</v>
      </c>
      <c r="X237" s="38">
        <f t="shared" si="121"/>
        <v>2.9499999999999998E-2</v>
      </c>
      <c r="Y237" s="29">
        <f t="shared" si="122"/>
        <v>1.0999999999999999E-2</v>
      </c>
      <c r="Z237">
        <v>84.417559999999995</v>
      </c>
      <c r="AA237" s="18">
        <f t="shared" si="123"/>
        <v>83.14</v>
      </c>
      <c r="AB237" s="38">
        <f t="shared" si="124"/>
        <v>5.67E-2</v>
      </c>
      <c r="AC237" s="13">
        <f t="shared" si="125"/>
        <v>1.95E-2</v>
      </c>
      <c r="AD237" s="30">
        <f t="shared" si="131"/>
        <v>136.41</v>
      </c>
      <c r="AE237" s="11">
        <f t="shared" si="134"/>
        <v>3</v>
      </c>
      <c r="AF237" s="31">
        <f t="shared" si="126"/>
        <v>126.12</v>
      </c>
    </row>
    <row r="238" spans="1:32" x14ac:dyDescent="0.25">
      <c r="A238" s="5">
        <v>36160</v>
      </c>
      <c r="B238" s="10">
        <v>100.5</v>
      </c>
      <c r="C238" s="18">
        <f t="shared" si="127"/>
        <v>101.1</v>
      </c>
      <c r="D238" s="38">
        <f t="shared" si="128"/>
        <v>-4.4400000000000002E-2</v>
      </c>
      <c r="E238" s="29">
        <f t="shared" si="129"/>
        <v>-2.3E-3</v>
      </c>
      <c r="F238">
        <v>750026</v>
      </c>
      <c r="G238">
        <f t="shared" si="132"/>
        <v>743875</v>
      </c>
      <c r="H238" s="38">
        <f t="shared" si="130"/>
        <v>5.5999999999999999E-3</v>
      </c>
      <c r="I238" s="13">
        <f t="shared" si="133"/>
        <v>3.3999999999999998E-3</v>
      </c>
      <c r="J238">
        <v>0.15</v>
      </c>
      <c r="K238">
        <f t="shared" si="112"/>
        <v>100.15</v>
      </c>
      <c r="L238" s="29">
        <f t="shared" si="113"/>
        <v>1.1000000000000001E-3</v>
      </c>
      <c r="M238">
        <v>1.67</v>
      </c>
      <c r="N238">
        <f t="shared" si="114"/>
        <v>101.67</v>
      </c>
      <c r="O238" s="13">
        <f t="shared" si="115"/>
        <v>2.0000000000000001E-4</v>
      </c>
      <c r="P238">
        <v>82.69</v>
      </c>
      <c r="Q238">
        <f t="shared" si="116"/>
        <v>82.45</v>
      </c>
      <c r="R238" s="13">
        <f t="shared" si="117"/>
        <v>2.8E-3</v>
      </c>
      <c r="S238">
        <v>113.9</v>
      </c>
      <c r="T238">
        <f t="shared" si="118"/>
        <v>114.2</v>
      </c>
      <c r="U238" s="13">
        <f t="shared" si="119"/>
        <v>3.5999999999999999E-3</v>
      </c>
      <c r="V238">
        <v>221150</v>
      </c>
      <c r="W238" s="18">
        <f t="shared" si="120"/>
        <v>218776</v>
      </c>
      <c r="X238" s="38">
        <f t="shared" si="121"/>
        <v>1.6299999999999999E-2</v>
      </c>
      <c r="Y238" s="29">
        <f t="shared" si="122"/>
        <v>7.3000000000000001E-3</v>
      </c>
      <c r="Z238">
        <v>83.127719999999997</v>
      </c>
      <c r="AA238" s="18">
        <f t="shared" si="123"/>
        <v>81.87</v>
      </c>
      <c r="AB238" s="38">
        <f t="shared" si="124"/>
        <v>4.7100000000000003E-2</v>
      </c>
      <c r="AC238" s="13">
        <f t="shared" si="125"/>
        <v>1.9400000000000001E-2</v>
      </c>
      <c r="AD238" s="30">
        <f t="shared" si="131"/>
        <v>123.5</v>
      </c>
      <c r="AE238" s="11">
        <f t="shared" si="134"/>
        <v>3</v>
      </c>
      <c r="AF238" s="31">
        <f t="shared" si="126"/>
        <v>116.25</v>
      </c>
    </row>
    <row r="239" spans="1:32" x14ac:dyDescent="0.25">
      <c r="A239" s="5">
        <v>36129</v>
      </c>
      <c r="B239" s="10">
        <v>102.7</v>
      </c>
      <c r="C239" s="18">
        <f t="shared" si="127"/>
        <v>101.4</v>
      </c>
      <c r="D239" s="38">
        <f t="shared" si="128"/>
        <v>-5.3199999999999997E-2</v>
      </c>
      <c r="E239" s="29">
        <f t="shared" si="129"/>
        <v>-1.0500000000000001E-2</v>
      </c>
      <c r="F239">
        <v>743458</v>
      </c>
      <c r="G239">
        <f t="shared" si="132"/>
        <v>738354</v>
      </c>
      <c r="H239" s="38">
        <f t="shared" si="130"/>
        <v>-4.1999999999999997E-3</v>
      </c>
      <c r="I239" s="13">
        <f t="shared" si="133"/>
        <v>-4.7000000000000002E-3</v>
      </c>
      <c r="J239">
        <v>0.62</v>
      </c>
      <c r="K239">
        <f t="shared" si="112"/>
        <v>100.62</v>
      </c>
      <c r="L239" s="29">
        <f t="shared" si="113"/>
        <v>1.4E-3</v>
      </c>
      <c r="M239">
        <v>1.62</v>
      </c>
      <c r="N239">
        <f t="shared" si="114"/>
        <v>101.62</v>
      </c>
      <c r="O239" s="13">
        <f t="shared" si="115"/>
        <v>2.0000000000000001E-4</v>
      </c>
      <c r="P239">
        <v>82.43</v>
      </c>
      <c r="Q239">
        <f t="shared" si="116"/>
        <v>82.21</v>
      </c>
      <c r="R239" s="13">
        <f t="shared" si="117"/>
        <v>2.7000000000000001E-3</v>
      </c>
      <c r="S239">
        <v>115.9</v>
      </c>
      <c r="T239">
        <f t="shared" si="118"/>
        <v>113.467</v>
      </c>
      <c r="U239" s="13">
        <f t="shared" si="119"/>
        <v>-2.2000000000000001E-3</v>
      </c>
      <c r="V239">
        <v>219465</v>
      </c>
      <c r="W239" s="18">
        <f t="shared" si="120"/>
        <v>216282</v>
      </c>
      <c r="X239" s="38">
        <f t="shared" si="121"/>
        <v>6.6E-3</v>
      </c>
      <c r="Y239" s="29">
        <f t="shared" si="122"/>
        <v>3.5999999999999999E-3</v>
      </c>
      <c r="Z239">
        <v>81.885639999999995</v>
      </c>
      <c r="AA239" s="18">
        <f t="shared" si="123"/>
        <v>80.62</v>
      </c>
      <c r="AB239" s="38">
        <f t="shared" si="124"/>
        <v>3.3700000000000001E-2</v>
      </c>
      <c r="AC239" s="13">
        <f t="shared" si="125"/>
        <v>1.7999999999999999E-2</v>
      </c>
      <c r="AD239" s="30">
        <f t="shared" si="131"/>
        <v>118.45</v>
      </c>
      <c r="AE239" s="11">
        <f t="shared" si="134"/>
        <v>3</v>
      </c>
      <c r="AF239" s="31">
        <f t="shared" si="126"/>
        <v>112.34</v>
      </c>
    </row>
    <row r="240" spans="1:32" x14ac:dyDescent="0.25">
      <c r="A240" s="5">
        <v>36099</v>
      </c>
      <c r="B240" s="10">
        <v>97.4</v>
      </c>
      <c r="C240" s="18">
        <f t="shared" si="127"/>
        <v>98.3</v>
      </c>
      <c r="D240" s="38">
        <f t="shared" si="128"/>
        <v>-9.1499999999999998E-2</v>
      </c>
      <c r="E240" s="29">
        <f t="shared" si="129"/>
        <v>-2.2499999999999999E-2</v>
      </c>
      <c r="F240">
        <v>738142</v>
      </c>
      <c r="G240">
        <f t="shared" si="132"/>
        <v>735970</v>
      </c>
      <c r="H240" s="38">
        <f t="shared" si="130"/>
        <v>-6.3E-3</v>
      </c>
      <c r="I240" s="13">
        <f t="shared" si="133"/>
        <v>-5.7999999999999996E-3</v>
      </c>
      <c r="J240">
        <v>0.26</v>
      </c>
      <c r="K240">
        <f t="shared" si="112"/>
        <v>100.26</v>
      </c>
      <c r="L240" s="29">
        <f t="shared" si="113"/>
        <v>0</v>
      </c>
      <c r="M240">
        <v>1.89</v>
      </c>
      <c r="N240">
        <f t="shared" si="114"/>
        <v>101.89</v>
      </c>
      <c r="O240" s="13">
        <f t="shared" si="115"/>
        <v>1E-3</v>
      </c>
      <c r="P240">
        <v>82.23</v>
      </c>
      <c r="Q240">
        <f t="shared" si="116"/>
        <v>81.99</v>
      </c>
      <c r="R240" s="13">
        <f t="shared" si="117"/>
        <v>3.0000000000000001E-3</v>
      </c>
      <c r="S240">
        <v>112.8</v>
      </c>
      <c r="T240">
        <f t="shared" si="118"/>
        <v>112.8</v>
      </c>
      <c r="U240" s="13">
        <f t="shared" si="119"/>
        <v>-4.1000000000000003E-3</v>
      </c>
      <c r="V240">
        <v>215712</v>
      </c>
      <c r="W240" s="18">
        <f t="shared" si="120"/>
        <v>214745</v>
      </c>
      <c r="X240" s="38">
        <f t="shared" si="121"/>
        <v>8.0999999999999996E-3</v>
      </c>
      <c r="Y240" s="29">
        <f t="shared" si="122"/>
        <v>1.2999999999999999E-3</v>
      </c>
      <c r="Z240">
        <v>80.590580000000003</v>
      </c>
      <c r="AA240" s="18">
        <f t="shared" si="123"/>
        <v>79.510000000000005</v>
      </c>
      <c r="AB240" s="38">
        <f t="shared" si="124"/>
        <v>0.02</v>
      </c>
      <c r="AC240" s="13">
        <f t="shared" si="125"/>
        <v>1.4E-2</v>
      </c>
      <c r="AD240" s="30">
        <f t="shared" si="131"/>
        <v>106.81</v>
      </c>
      <c r="AE240" s="11">
        <f t="shared" si="134"/>
        <v>3</v>
      </c>
      <c r="AF240" s="31">
        <f t="shared" si="126"/>
        <v>111.25</v>
      </c>
    </row>
    <row r="241" spans="1:32" x14ac:dyDescent="0.25">
      <c r="A241" s="5">
        <v>36068</v>
      </c>
      <c r="B241" s="10">
        <v>100.9</v>
      </c>
      <c r="C241" s="18">
        <f t="shared" si="127"/>
        <v>101.8</v>
      </c>
      <c r="D241" s="38">
        <f t="shared" si="128"/>
        <v>-5.2999999999999999E-2</v>
      </c>
      <c r="E241" s="29">
        <f t="shared" si="129"/>
        <v>-1.2699999999999999E-2</v>
      </c>
      <c r="F241">
        <v>733462</v>
      </c>
      <c r="G241">
        <f t="shared" si="132"/>
        <v>737515</v>
      </c>
      <c r="H241" s="38">
        <f t="shared" si="130"/>
        <v>-5.0000000000000001E-4</v>
      </c>
      <c r="I241" s="13">
        <f t="shared" si="133"/>
        <v>-8.0000000000000004E-4</v>
      </c>
      <c r="J241">
        <v>0.06</v>
      </c>
      <c r="K241">
        <f t="shared" si="112"/>
        <v>100.06</v>
      </c>
      <c r="L241" s="29">
        <f t="shared" si="113"/>
        <v>-5.0000000000000001E-4</v>
      </c>
      <c r="M241">
        <v>1.61</v>
      </c>
      <c r="N241">
        <f t="shared" si="114"/>
        <v>101.61</v>
      </c>
      <c r="O241" s="13">
        <f t="shared" si="115"/>
        <v>-1E-3</v>
      </c>
      <c r="P241">
        <v>81.97</v>
      </c>
      <c r="Q241">
        <f t="shared" si="116"/>
        <v>81.760000000000005</v>
      </c>
      <c r="R241" s="13">
        <f t="shared" si="117"/>
        <v>3.0999999999999999E-3</v>
      </c>
      <c r="S241">
        <v>111.7</v>
      </c>
      <c r="T241">
        <f t="shared" si="118"/>
        <v>112.967</v>
      </c>
      <c r="U241" s="13">
        <f t="shared" si="119"/>
        <v>-5.7000000000000002E-3</v>
      </c>
      <c r="V241">
        <v>213669</v>
      </c>
      <c r="W241" s="18">
        <f t="shared" si="120"/>
        <v>214949</v>
      </c>
      <c r="X241" s="38">
        <f t="shared" si="121"/>
        <v>1.72E-2</v>
      </c>
      <c r="Y241" s="29">
        <f t="shared" si="122"/>
        <v>1E-4</v>
      </c>
      <c r="Z241">
        <v>79.387870000000007</v>
      </c>
      <c r="AA241" s="18">
        <f t="shared" si="123"/>
        <v>78.680000000000007</v>
      </c>
      <c r="AB241" s="38">
        <f t="shared" si="124"/>
        <v>1.04E-2</v>
      </c>
      <c r="AC241" s="13">
        <f t="shared" si="125"/>
        <v>8.5000000000000006E-3</v>
      </c>
      <c r="AD241" s="30">
        <f t="shared" si="131"/>
        <v>111.77</v>
      </c>
      <c r="AE241" s="11">
        <f t="shared" si="134"/>
        <v>3</v>
      </c>
      <c r="AF241" s="31">
        <f t="shared" si="126"/>
        <v>116.81</v>
      </c>
    </row>
    <row r="242" spans="1:32" x14ac:dyDescent="0.25">
      <c r="A242" s="5">
        <v>36038</v>
      </c>
      <c r="B242" s="10">
        <v>104.4</v>
      </c>
      <c r="C242" s="18">
        <f t="shared" si="127"/>
        <v>104.6</v>
      </c>
      <c r="D242" s="38">
        <f t="shared" si="128"/>
        <v>-4.4699999999999997E-2</v>
      </c>
      <c r="E242" s="29">
        <f t="shared" si="129"/>
        <v>-7.9000000000000008E-3</v>
      </c>
      <c r="F242">
        <v>736306</v>
      </c>
      <c r="G242">
        <f t="shared" si="132"/>
        <v>739756</v>
      </c>
      <c r="H242" s="38">
        <f t="shared" si="130"/>
        <v>6.1000000000000004E-3</v>
      </c>
      <c r="I242" s="13">
        <f t="shared" si="133"/>
        <v>5.4999999999999997E-3</v>
      </c>
      <c r="J242">
        <v>-0.31</v>
      </c>
      <c r="K242">
        <f t="shared" si="112"/>
        <v>99.69</v>
      </c>
      <c r="L242" s="29">
        <f t="shared" si="113"/>
        <v>-1.5E-3</v>
      </c>
      <c r="M242">
        <v>1.57</v>
      </c>
      <c r="N242">
        <f t="shared" si="114"/>
        <v>101.57</v>
      </c>
      <c r="O242" s="13">
        <f t="shared" si="115"/>
        <v>-8.9999999999999998E-4</v>
      </c>
      <c r="P242">
        <v>81.77</v>
      </c>
      <c r="Q242">
        <f t="shared" si="116"/>
        <v>81.543000000000006</v>
      </c>
      <c r="R242" s="13">
        <f t="shared" si="117"/>
        <v>3.3E-3</v>
      </c>
      <c r="S242">
        <v>113.9</v>
      </c>
      <c r="T242">
        <f t="shared" si="118"/>
        <v>114.2</v>
      </c>
      <c r="U242" s="13">
        <f t="shared" si="119"/>
        <v>-5.0000000000000001E-4</v>
      </c>
      <c r="V242">
        <v>214853</v>
      </c>
      <c r="W242" s="18">
        <f t="shared" si="120"/>
        <v>215265</v>
      </c>
      <c r="X242" s="38">
        <f t="shared" si="121"/>
        <v>2.5100000000000001E-2</v>
      </c>
      <c r="Y242" s="29">
        <f t="shared" si="122"/>
        <v>4.7000000000000002E-3</v>
      </c>
      <c r="Z242">
        <v>78.551900000000003</v>
      </c>
      <c r="AA242" s="18">
        <f t="shared" si="123"/>
        <v>78.19</v>
      </c>
      <c r="AB242" s="38">
        <f t="shared" si="124"/>
        <v>8.0999999999999996E-3</v>
      </c>
      <c r="AC242" s="13">
        <f t="shared" si="125"/>
        <v>3.7000000000000002E-3</v>
      </c>
      <c r="AD242" s="30">
        <f t="shared" si="131"/>
        <v>115.16</v>
      </c>
      <c r="AE242" s="11">
        <f t="shared" si="134"/>
        <v>3</v>
      </c>
      <c r="AF242" s="31">
        <f t="shared" si="126"/>
        <v>122.62</v>
      </c>
    </row>
    <row r="243" spans="1:32" x14ac:dyDescent="0.25">
      <c r="A243" s="5">
        <v>36007</v>
      </c>
      <c r="B243" s="10">
        <v>105.2</v>
      </c>
      <c r="C243" s="18">
        <f t="shared" si="127"/>
        <v>105.3</v>
      </c>
      <c r="D243" s="38">
        <f t="shared" si="128"/>
        <v>-1.9E-3</v>
      </c>
      <c r="E243" s="29">
        <f t="shared" si="129"/>
        <v>-8.9999999999999993E-3</v>
      </c>
      <c r="F243">
        <v>742777</v>
      </c>
      <c r="G243">
        <f t="shared" si="132"/>
        <v>741485</v>
      </c>
      <c r="H243" s="38">
        <f t="shared" si="130"/>
        <v>9.5999999999999992E-3</v>
      </c>
      <c r="I243" s="13">
        <f t="shared" si="133"/>
        <v>8.3999999999999995E-3</v>
      </c>
      <c r="J243">
        <v>0.04</v>
      </c>
      <c r="K243">
        <f t="shared" si="112"/>
        <v>100.04</v>
      </c>
      <c r="L243" s="29">
        <f t="shared" si="113"/>
        <v>-6.9999999999999999E-4</v>
      </c>
      <c r="M243">
        <v>1.59</v>
      </c>
      <c r="N243">
        <f t="shared" si="114"/>
        <v>101.59</v>
      </c>
      <c r="O243" s="13">
        <f t="shared" si="115"/>
        <v>0</v>
      </c>
      <c r="P243">
        <v>81.540000000000006</v>
      </c>
      <c r="Q243">
        <f t="shared" si="116"/>
        <v>81.266999999999996</v>
      </c>
      <c r="R243" s="13">
        <f t="shared" si="117"/>
        <v>3.2000000000000002E-3</v>
      </c>
      <c r="S243">
        <v>113.3</v>
      </c>
      <c r="T243">
        <f t="shared" si="118"/>
        <v>114.2</v>
      </c>
      <c r="U243" s="13">
        <f t="shared" si="119"/>
        <v>-6.4000000000000003E-3</v>
      </c>
      <c r="V243">
        <v>216324</v>
      </c>
      <c r="W243" s="18">
        <f t="shared" si="120"/>
        <v>214855</v>
      </c>
      <c r="X243" s="38">
        <f t="shared" si="121"/>
        <v>2.5399999999999999E-2</v>
      </c>
      <c r="Y243" s="29">
        <f t="shared" si="122"/>
        <v>8.0000000000000002E-3</v>
      </c>
      <c r="Z243">
        <v>78.092920000000007</v>
      </c>
      <c r="AA243" s="18">
        <f t="shared" si="123"/>
        <v>77.989999999999995</v>
      </c>
      <c r="AB243" s="38">
        <f t="shared" si="124"/>
        <v>1.29E-2</v>
      </c>
      <c r="AC243" s="13">
        <f t="shared" si="125"/>
        <v>8.9999999999999998E-4</v>
      </c>
      <c r="AD243" s="30">
        <f t="shared" si="131"/>
        <v>123.49</v>
      </c>
      <c r="AE243" s="11">
        <f t="shared" si="134"/>
        <v>3</v>
      </c>
      <c r="AF243" s="31">
        <f t="shared" si="126"/>
        <v>126.31</v>
      </c>
    </row>
    <row r="244" spans="1:32" x14ac:dyDescent="0.25">
      <c r="A244" s="5">
        <v>35976</v>
      </c>
      <c r="B244" s="10">
        <v>105.6</v>
      </c>
      <c r="C244" s="18">
        <f t="shared" si="127"/>
        <v>105.8</v>
      </c>
      <c r="D244" s="38">
        <f t="shared" si="128"/>
        <v>2.3199999999999998E-2</v>
      </c>
      <c r="E244" s="29">
        <f t="shared" si="129"/>
        <v>-5.3E-3</v>
      </c>
      <c r="F244">
        <v>740184</v>
      </c>
      <c r="G244">
        <f t="shared" si="132"/>
        <v>740601</v>
      </c>
      <c r="H244" s="38">
        <f t="shared" si="130"/>
        <v>9.1999999999999998E-3</v>
      </c>
      <c r="I244" s="13">
        <f t="shared" si="133"/>
        <v>7.0000000000000001E-3</v>
      </c>
      <c r="J244">
        <v>0.27</v>
      </c>
      <c r="K244">
        <f t="shared" si="112"/>
        <v>100.27</v>
      </c>
      <c r="L244" s="29">
        <f t="shared" si="113"/>
        <v>-5.9999999999999995E-4</v>
      </c>
      <c r="M244">
        <v>1.92</v>
      </c>
      <c r="N244">
        <f t="shared" si="114"/>
        <v>101.92</v>
      </c>
      <c r="O244" s="13">
        <f t="shared" si="115"/>
        <v>4.0000000000000002E-4</v>
      </c>
      <c r="P244">
        <v>81.319999999999993</v>
      </c>
      <c r="Q244">
        <f t="shared" si="116"/>
        <v>81.003</v>
      </c>
      <c r="R244" s="13">
        <f t="shared" si="117"/>
        <v>3.0999999999999999E-3</v>
      </c>
      <c r="S244">
        <v>115.4</v>
      </c>
      <c r="T244">
        <f t="shared" si="118"/>
        <v>114.93300000000001</v>
      </c>
      <c r="U244" s="13">
        <f t="shared" si="119"/>
        <v>-2.3E-3</v>
      </c>
      <c r="V244">
        <v>214619</v>
      </c>
      <c r="W244" s="18">
        <f t="shared" si="120"/>
        <v>213011</v>
      </c>
      <c r="X244" s="38">
        <f t="shared" si="121"/>
        <v>1.7500000000000002E-2</v>
      </c>
      <c r="Y244" s="29">
        <f t="shared" si="122"/>
        <v>5.7999999999999996E-3</v>
      </c>
      <c r="Z244">
        <v>77.919390000000007</v>
      </c>
      <c r="AA244" s="18">
        <f t="shared" si="123"/>
        <v>77.95</v>
      </c>
      <c r="AB244" s="38">
        <f t="shared" si="124"/>
        <v>2.06E-2</v>
      </c>
      <c r="AC244" s="13">
        <f t="shared" si="125"/>
        <v>8.9999999999999998E-4</v>
      </c>
      <c r="AD244" s="30">
        <f t="shared" si="131"/>
        <v>129.21</v>
      </c>
      <c r="AE244" s="11">
        <f t="shared" si="134"/>
        <v>3</v>
      </c>
      <c r="AF244" s="31">
        <f t="shared" si="126"/>
        <v>128.77000000000001</v>
      </c>
    </row>
    <row r="245" spans="1:32" x14ac:dyDescent="0.25">
      <c r="A245" s="5">
        <v>35946</v>
      </c>
      <c r="B245" s="10">
        <v>106.5</v>
      </c>
      <c r="C245" s="18">
        <f t="shared" si="127"/>
        <v>107.1</v>
      </c>
      <c r="D245" s="38">
        <f t="shared" si="128"/>
        <v>2.8E-3</v>
      </c>
      <c r="E245" s="29">
        <f t="shared" si="129"/>
        <v>-7.4000000000000003E-3</v>
      </c>
      <c r="F245">
        <v>741495</v>
      </c>
      <c r="G245">
        <f t="shared" si="132"/>
        <v>737879</v>
      </c>
      <c r="H245" s="38">
        <f t="shared" si="130"/>
        <v>6.4000000000000003E-3</v>
      </c>
      <c r="I245" s="13">
        <f t="shared" si="133"/>
        <v>4.1999999999999997E-3</v>
      </c>
      <c r="J245">
        <v>0.27</v>
      </c>
      <c r="K245">
        <f t="shared" si="112"/>
        <v>100.27</v>
      </c>
      <c r="L245" s="29">
        <f t="shared" si="113"/>
        <v>-6.9999999999999999E-4</v>
      </c>
      <c r="M245">
        <v>1.83</v>
      </c>
      <c r="N245">
        <f t="shared" si="114"/>
        <v>101.83</v>
      </c>
      <c r="O245" s="13">
        <f t="shared" si="115"/>
        <v>1E-4</v>
      </c>
      <c r="P245">
        <v>80.94</v>
      </c>
      <c r="Q245">
        <f t="shared" si="116"/>
        <v>80.739999999999995</v>
      </c>
      <c r="R245" s="13">
        <f t="shared" si="117"/>
        <v>3.2000000000000002E-3</v>
      </c>
      <c r="S245">
        <v>113.9</v>
      </c>
      <c r="T245">
        <f t="shared" si="118"/>
        <v>114.367</v>
      </c>
      <c r="U245" s="13">
        <f t="shared" si="119"/>
        <v>-1.6999999999999999E-3</v>
      </c>
      <c r="V245">
        <v>213623</v>
      </c>
      <c r="W245" s="18">
        <f t="shared" si="120"/>
        <v>211316</v>
      </c>
      <c r="X245" s="38">
        <f t="shared" si="121"/>
        <v>1.2E-2</v>
      </c>
      <c r="Y245" s="29">
        <f t="shared" si="122"/>
        <v>5.1000000000000004E-3</v>
      </c>
      <c r="Z245">
        <v>77.967200000000005</v>
      </c>
      <c r="AA245" s="18">
        <f t="shared" si="123"/>
        <v>77.87</v>
      </c>
      <c r="AB245" s="38">
        <f t="shared" si="124"/>
        <v>2.4500000000000001E-2</v>
      </c>
      <c r="AC245" s="13">
        <f t="shared" si="125"/>
        <v>4.3E-3</v>
      </c>
      <c r="AD245" s="30">
        <f t="shared" si="131"/>
        <v>126.24</v>
      </c>
      <c r="AE245" s="11">
        <f t="shared" si="134"/>
        <v>3</v>
      </c>
      <c r="AF245" s="31">
        <f t="shared" si="126"/>
        <v>129.47</v>
      </c>
    </row>
    <row r="246" spans="1:32" x14ac:dyDescent="0.25">
      <c r="A246" s="5">
        <v>35915</v>
      </c>
      <c r="B246" s="10">
        <v>108.7</v>
      </c>
      <c r="C246" s="18">
        <f t="shared" si="127"/>
        <v>108.2</v>
      </c>
      <c r="D246" s="38">
        <f t="shared" si="128"/>
        <v>2.3699999999999999E-2</v>
      </c>
      <c r="E246" s="29">
        <f t="shared" si="129"/>
        <v>8.3999999999999995E-3</v>
      </c>
      <c r="F246">
        <v>740125</v>
      </c>
      <c r="G246">
        <f t="shared" si="132"/>
        <v>735303</v>
      </c>
      <c r="H246" s="38">
        <f t="shared" si="130"/>
        <v>7.1999999999999998E-3</v>
      </c>
      <c r="I246" s="13">
        <f t="shared" si="133"/>
        <v>4.4999999999999997E-3</v>
      </c>
      <c r="J246">
        <v>0.3</v>
      </c>
      <c r="K246">
        <f t="shared" si="112"/>
        <v>100.3</v>
      </c>
      <c r="L246" s="29">
        <f t="shared" si="113"/>
        <v>-1.4E-3</v>
      </c>
      <c r="M246">
        <v>1.58</v>
      </c>
      <c r="N246">
        <f t="shared" si="114"/>
        <v>101.58</v>
      </c>
      <c r="O246" s="13">
        <f t="shared" si="115"/>
        <v>-1.4E-3</v>
      </c>
      <c r="P246">
        <v>80.75</v>
      </c>
      <c r="Q246">
        <f t="shared" si="116"/>
        <v>80.503</v>
      </c>
      <c r="R246" s="13">
        <f t="shared" si="117"/>
        <v>3.3999999999999998E-3</v>
      </c>
      <c r="S246">
        <v>115.5</v>
      </c>
      <c r="T246">
        <f t="shared" si="118"/>
        <v>116.4</v>
      </c>
      <c r="U246" s="13">
        <f t="shared" si="119"/>
        <v>9.1000000000000004E-3</v>
      </c>
      <c r="V246">
        <v>210792</v>
      </c>
      <c r="W246" s="18">
        <f t="shared" si="120"/>
        <v>210003</v>
      </c>
      <c r="X246" s="38">
        <f t="shared" si="121"/>
        <v>7.4999999999999997E-3</v>
      </c>
      <c r="Y246" s="29">
        <f t="shared" si="122"/>
        <v>2.2000000000000001E-3</v>
      </c>
      <c r="Z246">
        <v>77.964219999999997</v>
      </c>
      <c r="AA246" s="18">
        <f t="shared" si="123"/>
        <v>77.56</v>
      </c>
      <c r="AB246" s="38">
        <f t="shared" si="124"/>
        <v>2.1299999999999999E-2</v>
      </c>
      <c r="AC246" s="13">
        <f t="shared" si="125"/>
        <v>8.6999999999999994E-3</v>
      </c>
      <c r="AD246" s="30">
        <f t="shared" si="131"/>
        <v>130.87</v>
      </c>
      <c r="AE246" s="11">
        <f t="shared" si="134"/>
        <v>3</v>
      </c>
      <c r="AF246" s="31">
        <f t="shared" si="126"/>
        <v>132.49</v>
      </c>
    </row>
    <row r="247" spans="1:32" x14ac:dyDescent="0.25">
      <c r="A247" s="5">
        <v>35885</v>
      </c>
      <c r="B247" s="10">
        <v>106.5</v>
      </c>
      <c r="C247" s="18">
        <f t="shared" si="127"/>
        <v>107.5</v>
      </c>
      <c r="D247" s="38">
        <f t="shared" si="128"/>
        <v>1.7999999999999999E-2</v>
      </c>
      <c r="E247" s="29">
        <f t="shared" si="129"/>
        <v>1.29E-2</v>
      </c>
      <c r="F247">
        <v>732016</v>
      </c>
      <c r="G247">
        <f t="shared" si="132"/>
        <v>734435</v>
      </c>
      <c r="H247" s="38">
        <f t="shared" si="130"/>
        <v>7.1000000000000004E-3</v>
      </c>
      <c r="I247" s="13">
        <f t="shared" si="133"/>
        <v>6.1999999999999998E-3</v>
      </c>
      <c r="J247">
        <v>0.33</v>
      </c>
      <c r="K247">
        <f t="shared" si="112"/>
        <v>100.33</v>
      </c>
      <c r="L247" s="29">
        <f t="shared" si="113"/>
        <v>-8.9999999999999998E-4</v>
      </c>
      <c r="M247">
        <v>1.8</v>
      </c>
      <c r="N247">
        <f t="shared" si="114"/>
        <v>101.8</v>
      </c>
      <c r="O247" s="13">
        <f t="shared" si="115"/>
        <v>-6.9999999999999999E-4</v>
      </c>
      <c r="P247">
        <v>80.53</v>
      </c>
      <c r="Q247">
        <f t="shared" si="116"/>
        <v>80.247</v>
      </c>
      <c r="R247" s="13">
        <f t="shared" si="117"/>
        <v>3.5000000000000001E-3</v>
      </c>
      <c r="S247">
        <v>113.7</v>
      </c>
      <c r="T247">
        <f t="shared" si="118"/>
        <v>115.733</v>
      </c>
      <c r="U247" s="13">
        <f t="shared" si="119"/>
        <v>1.09E-2</v>
      </c>
      <c r="V247">
        <v>209532</v>
      </c>
      <c r="W247" s="18">
        <f t="shared" si="120"/>
        <v>209532</v>
      </c>
      <c r="X247" s="38">
        <f t="shared" si="121"/>
        <v>7.4000000000000003E-3</v>
      </c>
      <c r="Y247" s="29">
        <f t="shared" si="122"/>
        <v>1.8E-3</v>
      </c>
      <c r="Z247">
        <v>77.692279999999997</v>
      </c>
      <c r="AA247" s="18">
        <f t="shared" si="123"/>
        <v>77</v>
      </c>
      <c r="AB247" s="38">
        <f t="shared" si="124"/>
        <v>1.54E-2</v>
      </c>
      <c r="AC247" s="13">
        <f t="shared" si="125"/>
        <v>1.03E-2</v>
      </c>
      <c r="AD247" s="30">
        <f t="shared" si="131"/>
        <v>131.30000000000001</v>
      </c>
      <c r="AE247" s="11">
        <f t="shared" si="134"/>
        <v>3</v>
      </c>
      <c r="AF247" s="31">
        <f t="shared" si="126"/>
        <v>132.1</v>
      </c>
    </row>
    <row r="248" spans="1:32" x14ac:dyDescent="0.25">
      <c r="A248" s="5">
        <v>35854</v>
      </c>
      <c r="B248" s="10">
        <v>110.4</v>
      </c>
      <c r="C248" s="18">
        <f t="shared" si="127"/>
        <v>109.5</v>
      </c>
      <c r="D248" s="38">
        <f t="shared" si="128"/>
        <v>4.19E-2</v>
      </c>
      <c r="E248" s="29">
        <f t="shared" si="129"/>
        <v>8.6E-3</v>
      </c>
      <c r="F248">
        <v>733769</v>
      </c>
      <c r="G248">
        <f t="shared" si="132"/>
        <v>733832</v>
      </c>
      <c r="H248" s="38">
        <f t="shared" si="130"/>
        <v>1.0699999999999999E-2</v>
      </c>
      <c r="I248" s="13">
        <f t="shared" si="133"/>
        <v>8.0999999999999996E-3</v>
      </c>
      <c r="J248">
        <v>0.51</v>
      </c>
      <c r="K248">
        <f t="shared" si="112"/>
        <v>100.51</v>
      </c>
      <c r="L248" s="29">
        <f t="shared" si="113"/>
        <v>-5.0000000000000001E-4</v>
      </c>
      <c r="M248">
        <v>1.8</v>
      </c>
      <c r="N248">
        <f t="shared" si="114"/>
        <v>101.8</v>
      </c>
      <c r="O248" s="13">
        <f t="shared" si="115"/>
        <v>-5.0000000000000001E-4</v>
      </c>
      <c r="P248">
        <v>80.23</v>
      </c>
      <c r="Q248">
        <f t="shared" si="116"/>
        <v>79.977000000000004</v>
      </c>
      <c r="R248" s="13">
        <f t="shared" si="117"/>
        <v>3.5000000000000001E-3</v>
      </c>
      <c r="S248">
        <v>120</v>
      </c>
      <c r="T248">
        <f t="shared" si="118"/>
        <v>114.967</v>
      </c>
      <c r="U248" s="13">
        <f t="shared" si="119"/>
        <v>6.0000000000000001E-3</v>
      </c>
      <c r="V248">
        <v>209684</v>
      </c>
      <c r="W248" s="18">
        <f t="shared" si="120"/>
        <v>209348</v>
      </c>
      <c r="X248" s="38">
        <f t="shared" si="121"/>
        <v>8.0999999999999996E-3</v>
      </c>
      <c r="Y248" s="29">
        <f t="shared" si="122"/>
        <v>1.6999999999999999E-3</v>
      </c>
      <c r="Z248">
        <v>77.025739999999999</v>
      </c>
      <c r="AA248" s="18">
        <f t="shared" si="123"/>
        <v>76.38</v>
      </c>
      <c r="AB248" s="38">
        <f t="shared" si="124"/>
        <v>1.49E-2</v>
      </c>
      <c r="AC248" s="13">
        <f t="shared" si="125"/>
        <v>7.0000000000000001E-3</v>
      </c>
      <c r="AD248" s="30">
        <f t="shared" si="131"/>
        <v>135.29</v>
      </c>
      <c r="AE248" s="11">
        <f t="shared" si="134"/>
        <v>3</v>
      </c>
      <c r="AF248" s="31">
        <f t="shared" si="126"/>
        <v>132.41999999999999</v>
      </c>
    </row>
    <row r="249" spans="1:32" x14ac:dyDescent="0.25">
      <c r="A249" s="5">
        <v>35826</v>
      </c>
      <c r="B249" s="10">
        <v>106.6</v>
      </c>
      <c r="C249" s="18">
        <f t="shared" si="127"/>
        <v>105.5</v>
      </c>
      <c r="D249" s="38">
        <f t="shared" si="128"/>
        <v>-9.4000000000000004E-3</v>
      </c>
      <c r="E249" s="29">
        <f t="shared" si="129"/>
        <v>-5.9999999999999995E-4</v>
      </c>
      <c r="F249">
        <v>737520</v>
      </c>
      <c r="G249">
        <f t="shared" si="132"/>
        <v>733194</v>
      </c>
      <c r="H249" s="38">
        <f t="shared" si="130"/>
        <v>1.6199999999999999E-2</v>
      </c>
      <c r="I249" s="13">
        <f t="shared" si="133"/>
        <v>1.0800000000000001E-2</v>
      </c>
      <c r="J249">
        <v>0.56999999999999995</v>
      </c>
      <c r="K249">
        <f t="shared" si="112"/>
        <v>100.57</v>
      </c>
      <c r="L249" s="29">
        <f t="shared" si="113"/>
        <v>-1E-4</v>
      </c>
      <c r="M249">
        <v>2.02</v>
      </c>
      <c r="N249">
        <f t="shared" si="114"/>
        <v>102.02</v>
      </c>
      <c r="O249" s="13">
        <f t="shared" si="115"/>
        <v>5.0000000000000001E-4</v>
      </c>
      <c r="P249">
        <v>79.98</v>
      </c>
      <c r="Q249">
        <f t="shared" si="116"/>
        <v>79.692999999999998</v>
      </c>
      <c r="R249" s="13">
        <f t="shared" si="117"/>
        <v>3.3E-3</v>
      </c>
      <c r="S249">
        <v>113.5</v>
      </c>
      <c r="T249">
        <f t="shared" si="118"/>
        <v>113.267</v>
      </c>
      <c r="U249" s="13">
        <f t="shared" si="119"/>
        <v>5.1999999999999998E-3</v>
      </c>
      <c r="V249">
        <v>209379</v>
      </c>
      <c r="W249" s="18">
        <f t="shared" si="120"/>
        <v>208808</v>
      </c>
      <c r="X249" s="38">
        <f t="shared" si="121"/>
        <v>1.14E-2</v>
      </c>
      <c r="Y249" s="29">
        <f t="shared" si="122"/>
        <v>2.0999999999999999E-3</v>
      </c>
      <c r="Z249">
        <v>76.268069999999994</v>
      </c>
      <c r="AA249" s="18">
        <f t="shared" si="123"/>
        <v>76.010000000000005</v>
      </c>
      <c r="AB249" s="38">
        <f t="shared" si="124"/>
        <v>2.5600000000000001E-2</v>
      </c>
      <c r="AC249" s="13">
        <f t="shared" si="125"/>
        <v>1.8E-3</v>
      </c>
      <c r="AD249" s="30">
        <f t="shared" si="131"/>
        <v>129.71</v>
      </c>
      <c r="AE249" s="11">
        <f t="shared" si="134"/>
        <v>3</v>
      </c>
      <c r="AF249" s="31">
        <f t="shared" si="126"/>
        <v>135.05000000000001</v>
      </c>
    </row>
    <row r="250" spans="1:32" x14ac:dyDescent="0.25">
      <c r="A250" s="5">
        <v>35795</v>
      </c>
      <c r="B250" s="10">
        <v>102.1</v>
      </c>
      <c r="C250" s="18">
        <f t="shared" si="127"/>
        <v>103.4</v>
      </c>
      <c r="D250" s="38">
        <f t="shared" si="128"/>
        <v>-7.7000000000000002E-3</v>
      </c>
      <c r="E250" s="29">
        <f t="shared" si="129"/>
        <v>-6.8999999999999999E-3</v>
      </c>
      <c r="F250">
        <v>730206</v>
      </c>
      <c r="G250">
        <f t="shared" si="132"/>
        <v>730022</v>
      </c>
      <c r="H250" s="38">
        <f t="shared" si="130"/>
        <v>1.6400000000000001E-2</v>
      </c>
      <c r="I250" s="13">
        <f t="shared" si="133"/>
        <v>1.35E-2</v>
      </c>
      <c r="J250">
        <v>0.85</v>
      </c>
      <c r="K250">
        <f t="shared" si="112"/>
        <v>100.85</v>
      </c>
      <c r="L250" s="29">
        <f t="shared" si="113"/>
        <v>5.9999999999999995E-4</v>
      </c>
      <c r="M250">
        <v>2</v>
      </c>
      <c r="N250">
        <f t="shared" si="114"/>
        <v>102</v>
      </c>
      <c r="O250" s="13">
        <f t="shared" si="115"/>
        <v>1.5E-3</v>
      </c>
      <c r="P250">
        <v>79.72</v>
      </c>
      <c r="Q250">
        <f t="shared" si="116"/>
        <v>79.400000000000006</v>
      </c>
      <c r="R250" s="13">
        <f t="shared" si="117"/>
        <v>3.0000000000000001E-3</v>
      </c>
      <c r="S250">
        <v>111.4</v>
      </c>
      <c r="T250">
        <f t="shared" si="118"/>
        <v>112.033</v>
      </c>
      <c r="U250" s="13">
        <f t="shared" si="119"/>
        <v>-2.7000000000000001E-3</v>
      </c>
      <c r="V250">
        <v>208982</v>
      </c>
      <c r="W250" s="18">
        <f t="shared" si="120"/>
        <v>208448</v>
      </c>
      <c r="X250" s="38">
        <f t="shared" si="121"/>
        <v>1.95E-2</v>
      </c>
      <c r="Y250" s="29">
        <f t="shared" si="122"/>
        <v>2.3E-3</v>
      </c>
      <c r="Z250">
        <v>75.848410000000001</v>
      </c>
      <c r="AA250" s="18">
        <f t="shared" si="123"/>
        <v>75.94</v>
      </c>
      <c r="AB250" s="38">
        <f t="shared" si="124"/>
        <v>4.5400000000000003E-2</v>
      </c>
      <c r="AC250" s="13">
        <f t="shared" si="125"/>
        <v>1.1000000000000001E-3</v>
      </c>
      <c r="AD250" s="30">
        <f t="shared" si="131"/>
        <v>132.26</v>
      </c>
      <c r="AE250" s="11">
        <f t="shared" si="134"/>
        <v>3</v>
      </c>
      <c r="AF250" s="31">
        <f t="shared" si="126"/>
        <v>139.29</v>
      </c>
    </row>
    <row r="251" spans="1:32" x14ac:dyDescent="0.25">
      <c r="A251" s="5">
        <v>35764</v>
      </c>
      <c r="B251" s="10">
        <v>107.2</v>
      </c>
      <c r="C251" s="18">
        <f t="shared" si="127"/>
        <v>106.8</v>
      </c>
      <c r="D251" s="38">
        <f t="shared" si="128"/>
        <v>3.8899999999999997E-2</v>
      </c>
      <c r="E251" s="29">
        <f t="shared" si="129"/>
        <v>5.4000000000000003E-3</v>
      </c>
      <c r="F251">
        <v>731857</v>
      </c>
      <c r="G251">
        <f t="shared" si="132"/>
        <v>729228</v>
      </c>
      <c r="H251" s="38">
        <f t="shared" si="130"/>
        <v>1.7299999999999999E-2</v>
      </c>
      <c r="I251" s="13">
        <f t="shared" si="133"/>
        <v>1.4E-2</v>
      </c>
      <c r="J251">
        <v>0.68</v>
      </c>
      <c r="K251">
        <f t="shared" si="112"/>
        <v>100.68</v>
      </c>
      <c r="L251" s="29">
        <f t="shared" si="113"/>
        <v>8.0000000000000004E-4</v>
      </c>
      <c r="M251">
        <v>1.96</v>
      </c>
      <c r="N251">
        <f t="shared" si="114"/>
        <v>101.96</v>
      </c>
      <c r="O251" s="13">
        <f t="shared" si="115"/>
        <v>-1E-4</v>
      </c>
      <c r="P251">
        <v>79.38</v>
      </c>
      <c r="Q251">
        <f t="shared" si="116"/>
        <v>79.14</v>
      </c>
      <c r="R251" s="13">
        <f t="shared" si="117"/>
        <v>3.0000000000000001E-3</v>
      </c>
      <c r="S251">
        <v>114.9</v>
      </c>
      <c r="T251">
        <f t="shared" si="118"/>
        <v>112.93300000000001</v>
      </c>
      <c r="U251" s="13">
        <f t="shared" si="119"/>
        <v>8.9999999999999998E-4</v>
      </c>
      <c r="V251">
        <v>208064</v>
      </c>
      <c r="W251" s="18">
        <f t="shared" si="120"/>
        <v>208002</v>
      </c>
      <c r="X251" s="38">
        <f t="shared" si="121"/>
        <v>2.3400000000000001E-2</v>
      </c>
      <c r="Y251" s="29">
        <f t="shared" si="122"/>
        <v>4.1000000000000003E-3</v>
      </c>
      <c r="Z251">
        <v>75.922179999999997</v>
      </c>
      <c r="AA251" s="18">
        <f t="shared" si="123"/>
        <v>75.83</v>
      </c>
      <c r="AB251" s="38">
        <f t="shared" si="124"/>
        <v>6.5500000000000003E-2</v>
      </c>
      <c r="AC251" s="13">
        <f t="shared" si="125"/>
        <v>7.9000000000000008E-3</v>
      </c>
      <c r="AD251" s="30">
        <f t="shared" si="131"/>
        <v>143.16999999999999</v>
      </c>
      <c r="AE251" s="11">
        <f t="shared" si="134"/>
        <v>3</v>
      </c>
      <c r="AF251" s="31">
        <f t="shared" si="126"/>
        <v>142.59</v>
      </c>
    </row>
    <row r="252" spans="1:32" x14ac:dyDescent="0.25">
      <c r="A252" s="5">
        <v>35734</v>
      </c>
      <c r="B252" s="10">
        <v>105.6</v>
      </c>
      <c r="C252" s="18">
        <f t="shared" si="127"/>
        <v>105.7</v>
      </c>
      <c r="D252" s="38">
        <f t="shared" si="128"/>
        <v>4.5499999999999999E-2</v>
      </c>
      <c r="E252" s="29">
        <f t="shared" si="129"/>
        <v>-2.5000000000000001E-3</v>
      </c>
      <c r="F252">
        <v>728004</v>
      </c>
      <c r="G252">
        <f t="shared" si="132"/>
        <v>726049</v>
      </c>
      <c r="H252" s="38">
        <f t="shared" si="130"/>
        <v>1.12E-2</v>
      </c>
      <c r="I252" s="13">
        <f t="shared" si="133"/>
        <v>8.8999999999999999E-3</v>
      </c>
      <c r="J252">
        <v>0.73</v>
      </c>
      <c r="K252">
        <f t="shared" si="112"/>
        <v>100.73</v>
      </c>
      <c r="L252" s="29">
        <f t="shared" si="113"/>
        <v>8.9999999999999998E-4</v>
      </c>
      <c r="M252">
        <v>1.88</v>
      </c>
      <c r="N252">
        <f t="shared" si="114"/>
        <v>101.88</v>
      </c>
      <c r="O252" s="13">
        <f t="shared" si="115"/>
        <v>0</v>
      </c>
      <c r="P252">
        <v>79.099999999999994</v>
      </c>
      <c r="Q252">
        <f t="shared" si="116"/>
        <v>78.900000000000006</v>
      </c>
      <c r="R252" s="13">
        <f t="shared" si="117"/>
        <v>3.0999999999999999E-3</v>
      </c>
      <c r="S252">
        <v>109.8</v>
      </c>
      <c r="T252">
        <f t="shared" si="118"/>
        <v>111.533</v>
      </c>
      <c r="U252" s="13">
        <f t="shared" si="119"/>
        <v>-6.0000000000000001E-3</v>
      </c>
      <c r="V252">
        <v>208298</v>
      </c>
      <c r="W252" s="18">
        <f t="shared" si="120"/>
        <v>207663</v>
      </c>
      <c r="X252" s="38">
        <f t="shared" si="121"/>
        <v>2.1299999999999999E-2</v>
      </c>
      <c r="Y252" s="29">
        <f t="shared" si="122"/>
        <v>8.0999999999999996E-3</v>
      </c>
      <c r="Z252">
        <v>76.044439999999994</v>
      </c>
      <c r="AA252" s="18">
        <f t="shared" si="123"/>
        <v>75.260000000000005</v>
      </c>
      <c r="AB252" s="38">
        <f t="shared" si="124"/>
        <v>7.9000000000000001E-2</v>
      </c>
      <c r="AC252" s="13">
        <f t="shared" si="125"/>
        <v>1.8200000000000001E-2</v>
      </c>
      <c r="AD252" s="30">
        <f t="shared" si="131"/>
        <v>142.44</v>
      </c>
      <c r="AE252" s="11">
        <f t="shared" si="134"/>
        <v>3</v>
      </c>
      <c r="AF252" s="31">
        <f t="shared" si="126"/>
        <v>142.94999999999999</v>
      </c>
    </row>
    <row r="253" spans="1:32" x14ac:dyDescent="0.25">
      <c r="A253" s="5">
        <v>35703</v>
      </c>
      <c r="B253" s="10">
        <v>106</v>
      </c>
      <c r="C253" s="18">
        <f t="shared" si="127"/>
        <v>105.6</v>
      </c>
      <c r="D253" s="38">
        <f t="shared" si="128"/>
        <v>5.7099999999999998E-2</v>
      </c>
      <c r="E253" s="29">
        <f t="shared" si="129"/>
        <v>4.4000000000000003E-3</v>
      </c>
      <c r="F253">
        <v>727824</v>
      </c>
      <c r="G253">
        <f t="shared" si="132"/>
        <v>721527</v>
      </c>
      <c r="H253" s="38">
        <f t="shared" si="130"/>
        <v>1.15E-2</v>
      </c>
      <c r="I253" s="13">
        <f t="shared" si="133"/>
        <v>5.8999999999999999E-3</v>
      </c>
      <c r="J253">
        <v>0.61</v>
      </c>
      <c r="K253">
        <f t="shared" si="112"/>
        <v>100.61</v>
      </c>
      <c r="L253" s="29">
        <f t="shared" si="113"/>
        <v>0</v>
      </c>
      <c r="M253">
        <v>1.53</v>
      </c>
      <c r="N253">
        <f t="shared" si="114"/>
        <v>101.53</v>
      </c>
      <c r="O253" s="13">
        <f t="shared" si="115"/>
        <v>-1.4E-3</v>
      </c>
      <c r="P253">
        <v>78.94</v>
      </c>
      <c r="Q253">
        <f t="shared" si="116"/>
        <v>78.686999999999998</v>
      </c>
      <c r="R253" s="13">
        <f t="shared" si="117"/>
        <v>3.3999999999999998E-3</v>
      </c>
      <c r="S253">
        <v>114.1</v>
      </c>
      <c r="T253">
        <f t="shared" si="118"/>
        <v>112.93300000000001</v>
      </c>
      <c r="U253" s="13">
        <f t="shared" si="119"/>
        <v>-3.0000000000000001E-3</v>
      </c>
      <c r="V253">
        <v>207643</v>
      </c>
      <c r="W253" s="18">
        <f t="shared" si="120"/>
        <v>206453</v>
      </c>
      <c r="X253" s="38">
        <f t="shared" si="121"/>
        <v>1.0999999999999999E-2</v>
      </c>
      <c r="Y253" s="29">
        <f t="shared" si="122"/>
        <v>5.1999999999999998E-3</v>
      </c>
      <c r="Z253">
        <v>75.522049999999993</v>
      </c>
      <c r="AA253" s="18">
        <f t="shared" si="123"/>
        <v>74.11</v>
      </c>
      <c r="AB253" s="38">
        <f t="shared" si="124"/>
        <v>8.6300000000000002E-2</v>
      </c>
      <c r="AC253" s="13">
        <f t="shared" si="125"/>
        <v>2.5100000000000001E-2</v>
      </c>
      <c r="AD253" s="30">
        <f t="shared" si="131"/>
        <v>142.16999999999999</v>
      </c>
      <c r="AE253" s="11">
        <f t="shared" si="134"/>
        <v>3</v>
      </c>
      <c r="AF253" s="31">
        <f t="shared" si="126"/>
        <v>145.52000000000001</v>
      </c>
    </row>
    <row r="254" spans="1:32" x14ac:dyDescent="0.25">
      <c r="A254" s="5">
        <v>35673</v>
      </c>
      <c r="B254" s="10">
        <v>104.4</v>
      </c>
      <c r="C254" s="18">
        <f t="shared" si="127"/>
        <v>105.1</v>
      </c>
      <c r="D254" s="38">
        <f t="shared" si="128"/>
        <v>6.0499999999999998E-2</v>
      </c>
      <c r="E254" s="29">
        <f t="shared" si="129"/>
        <v>7.3000000000000001E-3</v>
      </c>
      <c r="F254">
        <v>722320</v>
      </c>
      <c r="G254">
        <f t="shared" si="132"/>
        <v>718267</v>
      </c>
      <c r="H254" s="38">
        <f t="shared" si="130"/>
        <v>1.5299999999999999E-2</v>
      </c>
      <c r="I254" s="13">
        <f t="shared" si="133"/>
        <v>1.01E-2</v>
      </c>
      <c r="J254">
        <v>0.6</v>
      </c>
      <c r="K254">
        <f t="shared" si="112"/>
        <v>100.6</v>
      </c>
      <c r="L254" s="29">
        <f t="shared" si="113"/>
        <v>-1E-4</v>
      </c>
      <c r="M254">
        <v>1.99</v>
      </c>
      <c r="N254">
        <f t="shared" si="114"/>
        <v>101.99</v>
      </c>
      <c r="O254" s="13">
        <f t="shared" si="115"/>
        <v>5.0000000000000001E-4</v>
      </c>
      <c r="P254">
        <v>78.66</v>
      </c>
      <c r="Q254">
        <f t="shared" si="116"/>
        <v>78.427000000000007</v>
      </c>
      <c r="R254" s="13">
        <f t="shared" si="117"/>
        <v>3.3999999999999998E-3</v>
      </c>
      <c r="S254">
        <v>110.7</v>
      </c>
      <c r="T254">
        <f t="shared" si="118"/>
        <v>112.633</v>
      </c>
      <c r="U254" s="13">
        <f t="shared" si="119"/>
        <v>-5.9999999999999995E-4</v>
      </c>
      <c r="V254">
        <v>207049</v>
      </c>
      <c r="W254" s="18">
        <f t="shared" si="120"/>
        <v>204464</v>
      </c>
      <c r="X254" s="38">
        <f t="shared" si="121"/>
        <v>2.8E-3</v>
      </c>
      <c r="Y254" s="29">
        <f t="shared" si="122"/>
        <v>2.5999999999999999E-3</v>
      </c>
      <c r="Z254">
        <v>74.207570000000004</v>
      </c>
      <c r="AA254" s="18">
        <f t="shared" si="123"/>
        <v>72.64</v>
      </c>
      <c r="AB254" s="38">
        <f t="shared" si="124"/>
        <v>9.0899999999999995E-2</v>
      </c>
      <c r="AC254" s="13">
        <f t="shared" si="125"/>
        <v>2.6100000000000002E-2</v>
      </c>
      <c r="AD254" s="30">
        <f t="shared" si="131"/>
        <v>144.22999999999999</v>
      </c>
      <c r="AE254" s="11">
        <f t="shared" si="134"/>
        <v>3</v>
      </c>
      <c r="AF254" s="31">
        <f t="shared" si="126"/>
        <v>147.94999999999999</v>
      </c>
    </row>
    <row r="255" spans="1:32" x14ac:dyDescent="0.25">
      <c r="A255" s="5">
        <v>35642</v>
      </c>
      <c r="B255" s="10">
        <v>107.1</v>
      </c>
      <c r="C255" s="18">
        <f t="shared" si="127"/>
        <v>106.5</v>
      </c>
      <c r="D255" s="38">
        <f t="shared" si="128"/>
        <v>9.4600000000000004E-2</v>
      </c>
      <c r="E255" s="29">
        <f t="shared" si="129"/>
        <v>1.7500000000000002E-2</v>
      </c>
      <c r="F255">
        <v>714436</v>
      </c>
      <c r="G255">
        <f t="shared" si="132"/>
        <v>716857</v>
      </c>
      <c r="H255" s="38">
        <f t="shared" si="130"/>
        <v>2.0299999999999999E-2</v>
      </c>
      <c r="I255" s="13">
        <f t="shared" si="133"/>
        <v>1.7600000000000001E-2</v>
      </c>
      <c r="J255">
        <v>0.37</v>
      </c>
      <c r="K255">
        <f t="shared" si="112"/>
        <v>100.37</v>
      </c>
      <c r="L255" s="29">
        <f t="shared" si="113"/>
        <v>-2.9999999999999997E-4</v>
      </c>
      <c r="M255">
        <v>1.87</v>
      </c>
      <c r="N255">
        <f t="shared" si="114"/>
        <v>101.87</v>
      </c>
      <c r="O255" s="13">
        <f t="shared" si="115"/>
        <v>-2.9999999999999997E-4</v>
      </c>
      <c r="P255">
        <v>78.459999999999994</v>
      </c>
      <c r="Q255">
        <f t="shared" si="116"/>
        <v>78.162999999999997</v>
      </c>
      <c r="R255" s="13">
        <f t="shared" si="117"/>
        <v>3.3999999999999998E-3</v>
      </c>
      <c r="S255">
        <v>114</v>
      </c>
      <c r="T255">
        <f t="shared" si="118"/>
        <v>113.56699999999999</v>
      </c>
      <c r="U255" s="13">
        <f t="shared" si="119"/>
        <v>8.3999999999999995E-3</v>
      </c>
      <c r="V255">
        <v>204666</v>
      </c>
      <c r="W255" s="18">
        <f t="shared" si="120"/>
        <v>203238</v>
      </c>
      <c r="X255" s="38">
        <f t="shared" si="121"/>
        <v>3.0000000000000001E-3</v>
      </c>
      <c r="Y255" s="29">
        <f t="shared" si="122"/>
        <v>5.0000000000000001E-4</v>
      </c>
      <c r="Z255">
        <v>72.594620000000006</v>
      </c>
      <c r="AA255" s="18">
        <f t="shared" si="123"/>
        <v>71.17</v>
      </c>
      <c r="AB255" s="38">
        <f t="shared" si="124"/>
        <v>9.2399999999999996E-2</v>
      </c>
      <c r="AC255" s="13">
        <f t="shared" si="125"/>
        <v>2.5499999999999998E-2</v>
      </c>
      <c r="AD255" s="30">
        <f t="shared" si="131"/>
        <v>150.16</v>
      </c>
      <c r="AE255" s="11">
        <f t="shared" si="134"/>
        <v>3</v>
      </c>
      <c r="AF255" s="31">
        <f t="shared" si="126"/>
        <v>148.75</v>
      </c>
    </row>
    <row r="256" spans="1:32" x14ac:dyDescent="0.25">
      <c r="A256" s="5">
        <v>35611</v>
      </c>
      <c r="B256" s="10">
        <v>104.5</v>
      </c>
      <c r="C256" s="18">
        <f t="shared" si="127"/>
        <v>104.2</v>
      </c>
      <c r="D256" s="38">
        <f t="shared" si="128"/>
        <v>6.8699999999999997E-2</v>
      </c>
      <c r="E256" s="29">
        <f t="shared" si="129"/>
        <v>1.4200000000000001E-2</v>
      </c>
      <c r="F256">
        <v>718045</v>
      </c>
      <c r="G256">
        <f t="shared" si="132"/>
        <v>717992</v>
      </c>
      <c r="H256" s="38">
        <f t="shared" si="130"/>
        <v>2.63E-2</v>
      </c>
      <c r="I256" s="13">
        <f t="shared" si="133"/>
        <v>2.0799999999999999E-2</v>
      </c>
      <c r="J256">
        <v>0.37</v>
      </c>
      <c r="K256">
        <f t="shared" si="112"/>
        <v>100.37</v>
      </c>
      <c r="L256" s="29">
        <f t="shared" si="113"/>
        <v>0</v>
      </c>
      <c r="M256">
        <v>1.97</v>
      </c>
      <c r="N256">
        <f t="shared" si="114"/>
        <v>101.97</v>
      </c>
      <c r="O256" s="13">
        <f t="shared" si="115"/>
        <v>6.9999999999999999E-4</v>
      </c>
      <c r="P256">
        <v>78.16</v>
      </c>
      <c r="Q256">
        <f t="shared" si="116"/>
        <v>77.887</v>
      </c>
      <c r="R256" s="13">
        <f t="shared" si="117"/>
        <v>3.2000000000000002E-3</v>
      </c>
      <c r="S256">
        <v>113.2</v>
      </c>
      <c r="T256">
        <f t="shared" si="118"/>
        <v>113.967</v>
      </c>
      <c r="U256" s="13">
        <f t="shared" si="119"/>
        <v>1.8200000000000001E-2</v>
      </c>
      <c r="V256">
        <v>201676</v>
      </c>
      <c r="W256" s="18">
        <f t="shared" si="120"/>
        <v>203338</v>
      </c>
      <c r="X256" s="38">
        <f t="shared" si="121"/>
        <v>1.03E-2</v>
      </c>
      <c r="Y256" s="29">
        <f t="shared" si="122"/>
        <v>-8.9999999999999998E-4</v>
      </c>
      <c r="Z256">
        <v>71.12124</v>
      </c>
      <c r="AA256" s="18">
        <f t="shared" si="123"/>
        <v>69.75</v>
      </c>
      <c r="AB256" s="38">
        <f t="shared" si="124"/>
        <v>8.8099999999999998E-2</v>
      </c>
      <c r="AC256" s="13">
        <f t="shared" si="125"/>
        <v>2.75E-2</v>
      </c>
      <c r="AD256" s="30">
        <f t="shared" si="131"/>
        <v>149.44999999999999</v>
      </c>
      <c r="AE256" s="11">
        <f t="shared" si="134"/>
        <v>3</v>
      </c>
      <c r="AF256" s="31">
        <f t="shared" si="126"/>
        <v>146.74</v>
      </c>
    </row>
    <row r="257" spans="1:32" x14ac:dyDescent="0.25">
      <c r="A257" s="5">
        <v>35581</v>
      </c>
      <c r="B257" s="10">
        <v>103.2</v>
      </c>
      <c r="C257" s="18">
        <f t="shared" si="127"/>
        <v>102.8</v>
      </c>
      <c r="D257" s="38">
        <f t="shared" si="128"/>
        <v>4.3700000000000003E-2</v>
      </c>
      <c r="E257" s="29">
        <f t="shared" si="129"/>
        <v>1.23E-2</v>
      </c>
      <c r="F257">
        <v>718089</v>
      </c>
      <c r="G257">
        <f t="shared" si="132"/>
        <v>713323</v>
      </c>
      <c r="H257" s="38">
        <f t="shared" si="130"/>
        <v>2.1999999999999999E-2</v>
      </c>
      <c r="I257" s="13">
        <f t="shared" si="133"/>
        <v>1.66E-2</v>
      </c>
      <c r="J257">
        <v>0.59</v>
      </c>
      <c r="K257">
        <f t="shared" si="112"/>
        <v>100.59</v>
      </c>
      <c r="L257" s="29">
        <f t="shared" si="113"/>
        <v>8.0000000000000004E-4</v>
      </c>
      <c r="M257">
        <v>1.84</v>
      </c>
      <c r="N257">
        <f t="shared" si="114"/>
        <v>101.84</v>
      </c>
      <c r="O257" s="13">
        <f t="shared" si="115"/>
        <v>8.9999999999999998E-4</v>
      </c>
      <c r="P257">
        <v>77.87</v>
      </c>
      <c r="Q257">
        <f t="shared" si="116"/>
        <v>77.623000000000005</v>
      </c>
      <c r="R257" s="13">
        <f t="shared" si="117"/>
        <v>3.0000000000000001E-3</v>
      </c>
      <c r="S257">
        <v>113.5</v>
      </c>
      <c r="T257">
        <f t="shared" si="118"/>
        <v>112.833</v>
      </c>
      <c r="U257" s="13">
        <f t="shared" si="119"/>
        <v>2.01E-2</v>
      </c>
      <c r="V257">
        <v>203372</v>
      </c>
      <c r="W257" s="18">
        <f t="shared" si="120"/>
        <v>204203</v>
      </c>
      <c r="X257" s="38">
        <f t="shared" si="121"/>
        <v>1.78E-2</v>
      </c>
      <c r="Y257" s="29">
        <f t="shared" si="122"/>
        <v>2.7000000000000001E-3</v>
      </c>
      <c r="Z257">
        <v>69.80771</v>
      </c>
      <c r="AA257" s="18">
        <f t="shared" si="123"/>
        <v>68.22</v>
      </c>
      <c r="AB257" s="38">
        <f t="shared" si="124"/>
        <v>7.6999999999999999E-2</v>
      </c>
      <c r="AC257" s="13">
        <f t="shared" si="125"/>
        <v>3.04E-2</v>
      </c>
      <c r="AD257" s="30">
        <f t="shared" si="131"/>
        <v>146.65</v>
      </c>
      <c r="AE257" s="11">
        <f t="shared" si="134"/>
        <v>3</v>
      </c>
      <c r="AF257" s="31">
        <f t="shared" si="126"/>
        <v>142.56</v>
      </c>
    </row>
    <row r="258" spans="1:32" x14ac:dyDescent="0.25">
      <c r="A258" s="5">
        <v>35550</v>
      </c>
      <c r="B258" s="10">
        <v>101.4</v>
      </c>
      <c r="C258" s="18">
        <f t="shared" si="127"/>
        <v>101.1</v>
      </c>
      <c r="D258" s="38">
        <f t="shared" si="128"/>
        <v>5.1999999999999998E-2</v>
      </c>
      <c r="E258" s="29">
        <f t="shared" si="129"/>
        <v>1.2800000000000001E-2</v>
      </c>
      <c r="F258">
        <v>717843</v>
      </c>
      <c r="G258">
        <f t="shared" si="132"/>
        <v>707473</v>
      </c>
      <c r="H258" s="38">
        <f t="shared" si="130"/>
        <v>2.0199999999999999E-2</v>
      </c>
      <c r="I258" s="13">
        <f t="shared" si="133"/>
        <v>1.3299999999999999E-2</v>
      </c>
      <c r="J258">
        <v>0.63</v>
      </c>
      <c r="K258">
        <f t="shared" si="112"/>
        <v>100.63</v>
      </c>
      <c r="L258" s="29">
        <f t="shared" si="113"/>
        <v>6.9999999999999999E-4</v>
      </c>
      <c r="M258">
        <v>1.97</v>
      </c>
      <c r="N258">
        <f t="shared" si="114"/>
        <v>101.97</v>
      </c>
      <c r="O258" s="13">
        <f t="shared" si="115"/>
        <v>1.9E-3</v>
      </c>
      <c r="P258">
        <v>77.63</v>
      </c>
      <c r="Q258">
        <f t="shared" si="116"/>
        <v>77.37</v>
      </c>
      <c r="R258" s="13">
        <f t="shared" si="117"/>
        <v>2.8E-3</v>
      </c>
      <c r="S258">
        <v>115.2</v>
      </c>
      <c r="T258">
        <f t="shared" si="118"/>
        <v>110.733</v>
      </c>
      <c r="U258" s="13">
        <f t="shared" si="119"/>
        <v>1.35E-2</v>
      </c>
      <c r="V258">
        <v>204965</v>
      </c>
      <c r="W258" s="18">
        <f t="shared" si="120"/>
        <v>203884</v>
      </c>
      <c r="X258" s="38">
        <f t="shared" si="121"/>
        <v>2.0199999999999999E-2</v>
      </c>
      <c r="Y258" s="29">
        <f t="shared" si="122"/>
        <v>5.8999999999999999E-3</v>
      </c>
      <c r="Z258">
        <v>68.321510000000004</v>
      </c>
      <c r="AA258" s="18">
        <f t="shared" si="123"/>
        <v>66.59</v>
      </c>
      <c r="AB258" s="38">
        <f t="shared" si="124"/>
        <v>6.4399999999999999E-2</v>
      </c>
      <c r="AC258" s="13">
        <f t="shared" si="125"/>
        <v>2.8799999999999999E-2</v>
      </c>
      <c r="AD258" s="30">
        <f t="shared" si="131"/>
        <v>144.11000000000001</v>
      </c>
      <c r="AE258" s="11">
        <f t="shared" si="134"/>
        <v>3</v>
      </c>
      <c r="AF258" s="31">
        <f t="shared" si="126"/>
        <v>137.38</v>
      </c>
    </row>
    <row r="259" spans="1:32" x14ac:dyDescent="0.25">
      <c r="A259" s="5">
        <v>35520</v>
      </c>
      <c r="B259" s="10">
        <v>100</v>
      </c>
      <c r="C259" s="18">
        <f t="shared" si="127"/>
        <v>99.9</v>
      </c>
      <c r="D259" s="38">
        <f t="shared" si="128"/>
        <v>5.2699999999999997E-2</v>
      </c>
      <c r="E259" s="29">
        <f t="shared" si="129"/>
        <v>8.2000000000000007E-3</v>
      </c>
      <c r="F259">
        <v>704038</v>
      </c>
      <c r="G259">
        <f t="shared" si="132"/>
        <v>702574</v>
      </c>
      <c r="H259" s="38">
        <f t="shared" si="130"/>
        <v>1.6899999999999998E-2</v>
      </c>
      <c r="I259" s="13">
        <f t="shared" si="133"/>
        <v>1.29E-2</v>
      </c>
      <c r="J259">
        <v>0.49</v>
      </c>
      <c r="K259">
        <f t="shared" si="112"/>
        <v>100.49</v>
      </c>
      <c r="L259" s="29">
        <f t="shared" si="113"/>
        <v>5.0000000000000001E-4</v>
      </c>
      <c r="M259">
        <v>1.77</v>
      </c>
      <c r="N259">
        <f t="shared" si="114"/>
        <v>101.77</v>
      </c>
      <c r="O259" s="13">
        <f t="shared" si="115"/>
        <v>1.1000000000000001E-3</v>
      </c>
      <c r="P259">
        <v>77.37</v>
      </c>
      <c r="Q259">
        <f t="shared" si="116"/>
        <v>77.132999999999996</v>
      </c>
      <c r="R259" s="13">
        <f t="shared" si="117"/>
        <v>2.5999999999999999E-3</v>
      </c>
      <c r="S259">
        <v>109.8</v>
      </c>
      <c r="T259">
        <f t="shared" si="118"/>
        <v>107.93300000000001</v>
      </c>
      <c r="U259" s="13">
        <f t="shared" si="119"/>
        <v>5.0000000000000001E-3</v>
      </c>
      <c r="V259">
        <v>204273</v>
      </c>
      <c r="W259" s="18">
        <f t="shared" si="120"/>
        <v>202626</v>
      </c>
      <c r="X259" s="38">
        <f t="shared" si="121"/>
        <v>2.07E-2</v>
      </c>
      <c r="Y259" s="29">
        <f t="shared" si="122"/>
        <v>4.7000000000000002E-3</v>
      </c>
      <c r="Z259">
        <v>66.531589999999994</v>
      </c>
      <c r="AA259" s="18">
        <f t="shared" si="123"/>
        <v>65.150000000000006</v>
      </c>
      <c r="AB259" s="38">
        <f t="shared" si="124"/>
        <v>5.6399999999999999E-2</v>
      </c>
      <c r="AC259" s="13">
        <f t="shared" si="125"/>
        <v>2.18E-2</v>
      </c>
      <c r="AD259" s="30">
        <f t="shared" si="131"/>
        <v>136.91999999999999</v>
      </c>
      <c r="AE259" s="11">
        <f t="shared" si="134"/>
        <v>3</v>
      </c>
      <c r="AF259" s="31">
        <f t="shared" si="126"/>
        <v>132.28</v>
      </c>
    </row>
    <row r="260" spans="1:32" x14ac:dyDescent="0.25">
      <c r="A260" s="5">
        <v>35489</v>
      </c>
      <c r="B260" s="10">
        <v>99.7</v>
      </c>
      <c r="C260" s="18">
        <f t="shared" si="127"/>
        <v>99.1</v>
      </c>
      <c r="D260" s="38">
        <f t="shared" si="128"/>
        <v>4.1000000000000002E-2</v>
      </c>
      <c r="E260" s="29">
        <f t="shared" si="129"/>
        <v>2E-3</v>
      </c>
      <c r="F260">
        <v>700539</v>
      </c>
      <c r="G260">
        <f t="shared" si="132"/>
        <v>699598</v>
      </c>
      <c r="H260" s="38">
        <f t="shared" si="130"/>
        <v>1.6199999999999999E-2</v>
      </c>
      <c r="I260" s="13">
        <f t="shared" si="133"/>
        <v>1.32E-2</v>
      </c>
      <c r="J260">
        <v>0.35</v>
      </c>
      <c r="K260">
        <f t="shared" si="112"/>
        <v>100.35</v>
      </c>
      <c r="L260" s="29">
        <f t="shared" si="113"/>
        <v>2.0000000000000001E-4</v>
      </c>
      <c r="M260">
        <v>1.55</v>
      </c>
      <c r="N260">
        <f t="shared" si="114"/>
        <v>101.55</v>
      </c>
      <c r="O260" s="13">
        <f t="shared" si="115"/>
        <v>-1E-4</v>
      </c>
      <c r="P260">
        <v>77.11</v>
      </c>
      <c r="Q260">
        <f t="shared" si="116"/>
        <v>76.927000000000007</v>
      </c>
      <c r="R260" s="13">
        <f t="shared" si="117"/>
        <v>2.7000000000000001E-3</v>
      </c>
      <c r="S260">
        <v>107.2</v>
      </c>
      <c r="T260">
        <f t="shared" si="118"/>
        <v>106.3</v>
      </c>
      <c r="U260" s="13">
        <f t="shared" si="119"/>
        <v>2.8999999999999998E-3</v>
      </c>
      <c r="V260">
        <v>202414</v>
      </c>
      <c r="W260" s="18">
        <f t="shared" si="120"/>
        <v>201268</v>
      </c>
      <c r="X260" s="38">
        <f t="shared" si="121"/>
        <v>2.12E-2</v>
      </c>
      <c r="Y260" s="29">
        <f t="shared" si="122"/>
        <v>4.4999999999999997E-3</v>
      </c>
      <c r="Z260">
        <v>64.927850000000007</v>
      </c>
      <c r="AA260" s="18">
        <f t="shared" si="123"/>
        <v>64.099999999999994</v>
      </c>
      <c r="AB260" s="38">
        <f t="shared" si="124"/>
        <v>5.5100000000000003E-2</v>
      </c>
      <c r="AC260" s="13">
        <f t="shared" si="125"/>
        <v>1.5299999999999999E-2</v>
      </c>
      <c r="AD260" s="30">
        <f t="shared" si="131"/>
        <v>131.11000000000001</v>
      </c>
      <c r="AE260" s="11">
        <f t="shared" si="134"/>
        <v>3</v>
      </c>
      <c r="AF260" s="31">
        <f t="shared" si="126"/>
        <v>130.74</v>
      </c>
    </row>
    <row r="261" spans="1:32" x14ac:dyDescent="0.25">
      <c r="A261" s="5">
        <v>35461</v>
      </c>
      <c r="B261" s="10">
        <v>97.4</v>
      </c>
      <c r="C261" s="18">
        <f t="shared" si="127"/>
        <v>97.3</v>
      </c>
      <c r="D261" s="38">
        <f t="shared" si="128"/>
        <v>3.4000000000000002E-2</v>
      </c>
      <c r="E261" s="29">
        <f t="shared" si="129"/>
        <v>4.1000000000000003E-3</v>
      </c>
      <c r="F261">
        <v>703144</v>
      </c>
      <c r="G261">
        <f t="shared" si="132"/>
        <v>697977</v>
      </c>
      <c r="H261" s="38">
        <f t="shared" si="130"/>
        <v>1.66E-2</v>
      </c>
      <c r="I261" s="13">
        <f t="shared" si="133"/>
        <v>1.1900000000000001E-2</v>
      </c>
      <c r="J261">
        <v>0.26</v>
      </c>
      <c r="K261">
        <f t="shared" si="112"/>
        <v>100.26</v>
      </c>
      <c r="L261" s="29">
        <f t="shared" si="113"/>
        <v>-2.0000000000000001E-4</v>
      </c>
      <c r="M261">
        <v>1.38</v>
      </c>
      <c r="N261">
        <f t="shared" si="114"/>
        <v>101.38</v>
      </c>
      <c r="O261" s="13">
        <f t="shared" si="115"/>
        <v>-1E-3</v>
      </c>
      <c r="P261">
        <v>76.92</v>
      </c>
      <c r="Q261">
        <f t="shared" si="116"/>
        <v>76.73</v>
      </c>
      <c r="R261" s="13">
        <f t="shared" si="117"/>
        <v>2.8E-3</v>
      </c>
      <c r="S261">
        <v>106.8</v>
      </c>
      <c r="T261">
        <f t="shared" si="118"/>
        <v>106.4</v>
      </c>
      <c r="U261" s="13">
        <f t="shared" si="119"/>
        <v>2.8999999999999998E-3</v>
      </c>
      <c r="V261">
        <v>201191</v>
      </c>
      <c r="W261" s="18">
        <f t="shared" si="120"/>
        <v>200626</v>
      </c>
      <c r="X261" s="38">
        <f t="shared" si="121"/>
        <v>2.2599999999999999E-2</v>
      </c>
      <c r="Y261" s="29">
        <f t="shared" si="122"/>
        <v>6.3E-3</v>
      </c>
      <c r="Z261">
        <v>63.985840000000003</v>
      </c>
      <c r="AA261" s="18">
        <f t="shared" si="123"/>
        <v>63.34</v>
      </c>
      <c r="AB261" s="38">
        <f t="shared" si="124"/>
        <v>5.6399999999999999E-2</v>
      </c>
      <c r="AC261" s="13">
        <f t="shared" si="125"/>
        <v>1.4999999999999999E-2</v>
      </c>
      <c r="AD261" s="30">
        <f t="shared" si="131"/>
        <v>128.81</v>
      </c>
      <c r="AE261" s="11">
        <f t="shared" si="134"/>
        <v>3</v>
      </c>
      <c r="AF261" s="31">
        <f t="shared" si="126"/>
        <v>131.66</v>
      </c>
    </row>
    <row r="262" spans="1:32" x14ac:dyDescent="0.25">
      <c r="A262" s="5">
        <v>35430</v>
      </c>
      <c r="B262" s="10">
        <v>96.9</v>
      </c>
      <c r="C262" s="18">
        <f t="shared" si="127"/>
        <v>97.5</v>
      </c>
      <c r="D262" s="38">
        <f t="shared" si="128"/>
        <v>6.3200000000000006E-2</v>
      </c>
      <c r="E262" s="29">
        <f t="shared" si="129"/>
        <v>8.9999999999999993E-3</v>
      </c>
      <c r="F262">
        <v>695111</v>
      </c>
      <c r="G262">
        <f t="shared" si="132"/>
        <v>693494</v>
      </c>
      <c r="H262" s="38">
        <f t="shared" si="130"/>
        <v>1.49E-2</v>
      </c>
      <c r="I262" s="13">
        <f t="shared" si="133"/>
        <v>1.06E-2</v>
      </c>
      <c r="J262">
        <v>0.36</v>
      </c>
      <c r="K262">
        <f t="shared" ref="K262:K322" si="135">J262+100</f>
        <v>100.36</v>
      </c>
      <c r="L262" s="29">
        <f t="shared" ref="L262:L319" si="136">ROUND((AVERAGE(K262:K265)-AVERAGE(K263:K266))/AVERAGE(K263:K266),4)</f>
        <v>-1E-4</v>
      </c>
      <c r="M262">
        <v>1.42</v>
      </c>
      <c r="N262">
        <f t="shared" ref="N262:N321" si="137">M262+100</f>
        <v>101.42</v>
      </c>
      <c r="O262" s="13">
        <f t="shared" ref="O262:O320" si="138">ROUND((AVERAGE(N262:N264)-AVERAGE(N263:N265))/AVERAGE(N263:N265),4)</f>
        <v>-1.6000000000000001E-3</v>
      </c>
      <c r="P262">
        <v>76.75</v>
      </c>
      <c r="Q262">
        <f t="shared" ref="Q262:Q321" si="139">ROUND(AVERAGE(P262:P264),3)</f>
        <v>76.540000000000006</v>
      </c>
      <c r="R262" s="13">
        <f t="shared" ref="R262:R320" si="140">ROUND((AVERAGE(Q262:Q264)-AVERAGE(Q263:Q265))/AVERAGE(Q263:Q265),4)</f>
        <v>3.2000000000000002E-3</v>
      </c>
      <c r="S262">
        <v>104.9</v>
      </c>
      <c r="T262">
        <f t="shared" ref="T262:T321" si="141">ROUND(AVERAGE(S262:S264),3)</f>
        <v>106.333</v>
      </c>
      <c r="U262" s="13">
        <f t="shared" ref="U262:U320" si="142">ROUND((AVERAGE(T262:T264)-AVERAGE(T263:T265))/AVERAGE(T263:T265),4)</f>
        <v>1.8E-3</v>
      </c>
      <c r="V262">
        <v>200200</v>
      </c>
      <c r="W262" s="18">
        <f t="shared" ref="W262:W322" si="143">ROUND(AVERAGE(V262:V264),0)</f>
        <v>199844</v>
      </c>
      <c r="X262" s="38">
        <f t="shared" ref="X262:X321" si="144">IF(ISERROR(ROUND((W262/W266)-1,4)),X261,ROUND((W262/W266)-1,4))</f>
        <v>1.8599999999999998E-2</v>
      </c>
      <c r="Y262" s="29">
        <f t="shared" ref="Y262:Y319" si="145">ROUND((AVERAGE(V262:V265)-AVERAGE(V263:V266))/AVERAGE(V263:V266),4)</f>
        <v>5.0000000000000001E-3</v>
      </c>
      <c r="Z262">
        <v>63.38541</v>
      </c>
      <c r="AA262" s="18">
        <f t="shared" ref="AA262:AA323" si="146">ROUND(AVERAGE(Z262:Z264),2)</f>
        <v>62.56</v>
      </c>
      <c r="AB262" s="38">
        <f t="shared" ref="AB262:AB321" si="147">IF(ISERROR(ROUND((AA262/AA266)-1,4)),AB261,ROUND((AA262/AA266)-1,4))</f>
        <v>5.4600000000000003E-2</v>
      </c>
      <c r="AC262" s="13">
        <f t="shared" ref="AC262:AC322" si="148">ROUND((AVERAGE(Z262,Z262:Z264)-AVERAGE(Z263:Z265))/AVERAGE(Z263:Z265),4)</f>
        <v>1.7899999999999999E-2</v>
      </c>
      <c r="AD262" s="30">
        <f t="shared" si="131"/>
        <v>132.31</v>
      </c>
      <c r="AE262" s="11">
        <f t="shared" si="134"/>
        <v>3</v>
      </c>
      <c r="AF262" s="31">
        <f t="shared" ref="AF262:AF319" si="149">IF(ROUND(AVERAGE(AD262:AD264),2)&lt;0,0,ROUND(AVERAGE(AD262:AD264),2))</f>
        <v>131.32</v>
      </c>
    </row>
    <row r="263" spans="1:32" x14ac:dyDescent="0.25">
      <c r="A263" s="5">
        <v>35399</v>
      </c>
      <c r="B263" s="10">
        <v>99.2</v>
      </c>
      <c r="C263" s="18">
        <f t="shared" ref="C263:C322" si="150">ROUND(AVERAGE(B263,AVERAGE(B263:B264)),1)</f>
        <v>98.5</v>
      </c>
      <c r="D263" s="38">
        <f t="shared" ref="D263:D319" si="151">IF(ISERROR(ROUND((C263/C269)-1,4)),D262,ROUND((C263/C269)-1,4))</f>
        <v>9.1999999999999998E-2</v>
      </c>
      <c r="E263" s="29">
        <f t="shared" ref="E263:E319" si="152">ROUND((AVERAGE(C263:C265)-AVERAGE(C264:C266))/AVERAGE(C264:C266),4)</f>
        <v>1.15E-2</v>
      </c>
      <c r="F263">
        <v>695677</v>
      </c>
      <c r="G263">
        <f t="shared" si="132"/>
        <v>690885</v>
      </c>
      <c r="H263" s="38">
        <f t="shared" ref="H263:H321" si="153">IF(ISERROR(ROUND((G263/G267)-1,4)),H262,ROUND((G263/G267)-1,4))</f>
        <v>1.72E-2</v>
      </c>
      <c r="I263" s="13">
        <f t="shared" si="133"/>
        <v>1.23E-2</v>
      </c>
      <c r="J263">
        <v>0.27</v>
      </c>
      <c r="K263">
        <f t="shared" si="135"/>
        <v>100.27</v>
      </c>
      <c r="L263" s="29">
        <f t="shared" si="136"/>
        <v>-8.0000000000000004E-4</v>
      </c>
      <c r="M263">
        <v>1.58</v>
      </c>
      <c r="N263">
        <f t="shared" si="137"/>
        <v>101.58</v>
      </c>
      <c r="O263" s="13">
        <f t="shared" si="138"/>
        <v>-1.1000000000000001E-3</v>
      </c>
      <c r="P263">
        <v>76.52</v>
      </c>
      <c r="Q263">
        <f t="shared" si="139"/>
        <v>76.3</v>
      </c>
      <c r="R263" s="13">
        <f t="shared" si="140"/>
        <v>3.2000000000000002E-3</v>
      </c>
      <c r="S263">
        <v>107.5</v>
      </c>
      <c r="T263">
        <f t="shared" si="141"/>
        <v>105.367</v>
      </c>
      <c r="U263" s="13">
        <f t="shared" si="142"/>
        <v>-4.7999999999999996E-3</v>
      </c>
      <c r="V263">
        <v>200488</v>
      </c>
      <c r="W263" s="18">
        <f t="shared" si="143"/>
        <v>198515</v>
      </c>
      <c r="X263" s="38">
        <f t="shared" si="144"/>
        <v>1.4500000000000001E-2</v>
      </c>
      <c r="Y263" s="29">
        <f t="shared" si="145"/>
        <v>5.4999999999999997E-3</v>
      </c>
      <c r="Z263">
        <v>62.642609999999998</v>
      </c>
      <c r="AA263" s="18">
        <f t="shared" si="146"/>
        <v>61.67</v>
      </c>
      <c r="AB263" s="38">
        <f t="shared" si="147"/>
        <v>4.8800000000000003E-2</v>
      </c>
      <c r="AC263" s="13">
        <f t="shared" si="148"/>
        <v>1.9099999999999999E-2</v>
      </c>
      <c r="AD263" s="30">
        <f t="shared" ref="AD263:AD319" si="154">ROUND(((C263*1.5)+(D263*300)+(E263*300)+(H263*400)+(I263*400)+(J263*20)+(L263*2000)+(T263*1.5)+(U263*300)+(R263*2000)+(M263*10)+(Y263*400)+(X263*400)+(AB263*300)+(AC263*300))/3,2)</f>
        <v>133.86000000000001</v>
      </c>
      <c r="AE263" s="11">
        <f t="shared" si="134"/>
        <v>3</v>
      </c>
      <c r="AF263" s="31">
        <f t="shared" si="149"/>
        <v>130.34</v>
      </c>
    </row>
    <row r="264" spans="1:32" x14ac:dyDescent="0.25">
      <c r="A264" s="5">
        <v>35369</v>
      </c>
      <c r="B264" s="10">
        <v>96.5</v>
      </c>
      <c r="C264" s="18">
        <f t="shared" si="150"/>
        <v>96.1</v>
      </c>
      <c r="D264" s="38">
        <f t="shared" si="151"/>
        <v>3.3300000000000003E-2</v>
      </c>
      <c r="E264" s="29">
        <f t="shared" si="152"/>
        <v>7.0000000000000001E-3</v>
      </c>
      <c r="F264">
        <v>689695</v>
      </c>
      <c r="G264">
        <f t="shared" si="132"/>
        <v>688467</v>
      </c>
      <c r="H264" s="38">
        <f t="shared" si="153"/>
        <v>2.5899999999999999E-2</v>
      </c>
      <c r="I264" s="13">
        <f t="shared" si="133"/>
        <v>1.83E-2</v>
      </c>
      <c r="J264">
        <v>0.26</v>
      </c>
      <c r="K264">
        <f t="shared" si="135"/>
        <v>100.26</v>
      </c>
      <c r="L264" s="29">
        <f t="shared" si="136"/>
        <v>-1E-4</v>
      </c>
      <c r="M264">
        <v>1.68</v>
      </c>
      <c r="N264">
        <f t="shared" si="137"/>
        <v>101.68</v>
      </c>
      <c r="O264" s="13">
        <f t="shared" si="138"/>
        <v>-1.1000000000000001E-3</v>
      </c>
      <c r="P264">
        <v>76.349999999999994</v>
      </c>
      <c r="Q264">
        <f t="shared" si="139"/>
        <v>76.082999999999998</v>
      </c>
      <c r="R264" s="13">
        <f t="shared" si="140"/>
        <v>3.3E-3</v>
      </c>
      <c r="S264">
        <v>106.6</v>
      </c>
      <c r="T264">
        <f t="shared" si="141"/>
        <v>105.467</v>
      </c>
      <c r="U264" s="13">
        <f t="shared" si="142"/>
        <v>-1.6999999999999999E-3</v>
      </c>
      <c r="V264">
        <v>198843</v>
      </c>
      <c r="W264" s="18">
        <f t="shared" si="143"/>
        <v>197096</v>
      </c>
      <c r="X264" s="38">
        <f t="shared" si="144"/>
        <v>1.09E-2</v>
      </c>
      <c r="Y264" s="29">
        <f t="shared" si="145"/>
        <v>3.3999999999999998E-3</v>
      </c>
      <c r="Z264">
        <v>61.6633</v>
      </c>
      <c r="AA264" s="18">
        <f t="shared" si="146"/>
        <v>60.75</v>
      </c>
      <c r="AB264" s="38">
        <f t="shared" si="147"/>
        <v>4.1799999999999997E-2</v>
      </c>
      <c r="AC264" s="13">
        <f t="shared" si="148"/>
        <v>1.7100000000000001E-2</v>
      </c>
      <c r="AD264" s="30">
        <f t="shared" si="154"/>
        <v>127.8</v>
      </c>
      <c r="AE264" s="11">
        <f t="shared" si="134"/>
        <v>3</v>
      </c>
      <c r="AF264" s="31">
        <f t="shared" si="149"/>
        <v>131.5</v>
      </c>
    </row>
    <row r="265" spans="1:32" x14ac:dyDescent="0.25">
      <c r="A265" s="5">
        <v>35338</v>
      </c>
      <c r="B265" s="10">
        <v>94.7</v>
      </c>
      <c r="C265" s="18">
        <f t="shared" si="150"/>
        <v>94.9</v>
      </c>
      <c r="D265" s="38">
        <f t="shared" si="151"/>
        <v>2.7099999999999999E-2</v>
      </c>
      <c r="E265" s="29">
        <f t="shared" si="152"/>
        <v>1.14E-2</v>
      </c>
      <c r="F265">
        <v>687282</v>
      </c>
      <c r="G265">
        <f t="shared" si="132"/>
        <v>686574</v>
      </c>
      <c r="H265" s="38">
        <f t="shared" si="153"/>
        <v>3.1800000000000002E-2</v>
      </c>
      <c r="I265" s="13">
        <f t="shared" si="133"/>
        <v>2.5000000000000001E-2</v>
      </c>
      <c r="J265">
        <v>0.34</v>
      </c>
      <c r="K265">
        <f t="shared" si="135"/>
        <v>100.34</v>
      </c>
      <c r="L265" s="29">
        <f t="shared" si="136"/>
        <v>-2.9999999999999997E-4</v>
      </c>
      <c r="M265">
        <v>1.92</v>
      </c>
      <c r="N265">
        <f t="shared" si="137"/>
        <v>101.92</v>
      </c>
      <c r="O265" s="13">
        <f t="shared" si="138"/>
        <v>6.9999999999999999E-4</v>
      </c>
      <c r="P265">
        <v>76.03</v>
      </c>
      <c r="Q265">
        <f t="shared" si="139"/>
        <v>75.816999999999993</v>
      </c>
      <c r="R265" s="13">
        <f t="shared" si="140"/>
        <v>3.0000000000000001E-3</v>
      </c>
      <c r="S265">
        <v>102</v>
      </c>
      <c r="T265">
        <f t="shared" si="141"/>
        <v>105.767</v>
      </c>
      <c r="U265" s="13">
        <f t="shared" si="142"/>
        <v>-1E-3</v>
      </c>
      <c r="V265">
        <v>196215</v>
      </c>
      <c r="W265" s="18">
        <f t="shared" si="143"/>
        <v>196190</v>
      </c>
      <c r="X265" s="38">
        <f t="shared" si="144"/>
        <v>1.3100000000000001E-2</v>
      </c>
      <c r="Y265" s="29">
        <f t="shared" si="145"/>
        <v>1.9E-3</v>
      </c>
      <c r="Z265">
        <v>60.695990000000002</v>
      </c>
      <c r="AA265" s="18">
        <f t="shared" si="146"/>
        <v>59.96</v>
      </c>
      <c r="AB265" s="38">
        <f t="shared" si="147"/>
        <v>3.8600000000000002E-2</v>
      </c>
      <c r="AC265" s="13">
        <f t="shared" si="148"/>
        <v>1.38E-2</v>
      </c>
      <c r="AD265" s="30">
        <f t="shared" si="154"/>
        <v>129.36000000000001</v>
      </c>
      <c r="AE265" s="11">
        <f t="shared" si="134"/>
        <v>3</v>
      </c>
      <c r="AF265" s="31">
        <f t="shared" si="149"/>
        <v>132.86000000000001</v>
      </c>
    </row>
    <row r="266" spans="1:32" x14ac:dyDescent="0.25">
      <c r="A266" s="5">
        <v>35308</v>
      </c>
      <c r="B266" s="10">
        <v>95.3</v>
      </c>
      <c r="C266" s="18">
        <f t="shared" si="150"/>
        <v>95.2</v>
      </c>
      <c r="D266" s="38">
        <f t="shared" si="151"/>
        <v>7.3300000000000004E-2</v>
      </c>
      <c r="E266" s="29">
        <f t="shared" si="152"/>
        <v>1.8100000000000002E-2</v>
      </c>
      <c r="F266">
        <v>688424</v>
      </c>
      <c r="G266">
        <f t="shared" ref="G266:G321" si="155">ROUND(AVERAGE(F266:F268),0)</f>
        <v>683327</v>
      </c>
      <c r="H266" s="38">
        <f t="shared" si="153"/>
        <v>2.58E-2</v>
      </c>
      <c r="I266" s="13">
        <f t="shared" ref="I266:I313" si="156">ROUND((AVERAGE(G266:G267)-AVERAGE(G269:G270))/AVERAGE(G269:G270),4)</f>
        <v>2.3300000000000001E-2</v>
      </c>
      <c r="J266">
        <v>0.41</v>
      </c>
      <c r="K266">
        <f t="shared" si="135"/>
        <v>100.41</v>
      </c>
      <c r="L266" s="29">
        <f t="shared" si="136"/>
        <v>1.2999999999999999E-3</v>
      </c>
      <c r="M266">
        <v>1.91</v>
      </c>
      <c r="N266">
        <f t="shared" si="137"/>
        <v>101.91</v>
      </c>
      <c r="O266" s="13">
        <f t="shared" si="138"/>
        <v>1.1000000000000001E-3</v>
      </c>
      <c r="P266">
        <v>75.87</v>
      </c>
      <c r="Q266">
        <f t="shared" si="139"/>
        <v>75.576999999999998</v>
      </c>
      <c r="R266" s="13">
        <f t="shared" si="140"/>
        <v>2.8999999999999998E-3</v>
      </c>
      <c r="S266">
        <v>107.8</v>
      </c>
      <c r="T266">
        <f t="shared" si="141"/>
        <v>106.9</v>
      </c>
      <c r="U266" s="13">
        <f t="shared" si="142"/>
        <v>2.5000000000000001E-3</v>
      </c>
      <c r="V266">
        <v>196229</v>
      </c>
      <c r="W266" s="18">
        <f t="shared" si="143"/>
        <v>196189</v>
      </c>
      <c r="X266" s="38">
        <f t="shared" si="144"/>
        <v>2.2800000000000001E-2</v>
      </c>
      <c r="Y266" s="29">
        <f t="shared" si="145"/>
        <v>2.8999999999999998E-3</v>
      </c>
      <c r="Z266">
        <v>59.894629999999999</v>
      </c>
      <c r="AA266" s="18">
        <f t="shared" si="146"/>
        <v>59.32</v>
      </c>
      <c r="AB266" s="38">
        <f t="shared" si="147"/>
        <v>3.9199999999999999E-2</v>
      </c>
      <c r="AC266" s="13">
        <f t="shared" si="148"/>
        <v>1.12E-2</v>
      </c>
      <c r="AD266" s="30">
        <f t="shared" si="154"/>
        <v>137.35</v>
      </c>
      <c r="AE266" s="11">
        <f t="shared" si="134"/>
        <v>3</v>
      </c>
      <c r="AF266" s="31">
        <f t="shared" si="149"/>
        <v>130.35</v>
      </c>
    </row>
    <row r="267" spans="1:32" x14ac:dyDescent="0.25">
      <c r="A267" s="5">
        <v>35277</v>
      </c>
      <c r="B267" s="10">
        <v>94.7</v>
      </c>
      <c r="C267" s="18">
        <f t="shared" si="150"/>
        <v>94.1</v>
      </c>
      <c r="D267" s="38">
        <f t="shared" si="151"/>
        <v>4.9099999999999998E-2</v>
      </c>
      <c r="E267" s="29">
        <f t="shared" si="152"/>
        <v>4.0000000000000001E-3</v>
      </c>
      <c r="F267">
        <v>684017</v>
      </c>
      <c r="G267">
        <f t="shared" si="155"/>
        <v>679230</v>
      </c>
      <c r="H267" s="38">
        <f t="shared" si="153"/>
        <v>1.67E-2</v>
      </c>
      <c r="I267" s="13">
        <f t="shared" si="156"/>
        <v>1.21E-2</v>
      </c>
      <c r="J267">
        <v>0.59</v>
      </c>
      <c r="K267">
        <f t="shared" si="135"/>
        <v>100.59</v>
      </c>
      <c r="L267" s="29">
        <f t="shared" si="136"/>
        <v>1.5E-3</v>
      </c>
      <c r="M267">
        <v>2.0099999999999998</v>
      </c>
      <c r="N267">
        <f t="shared" si="137"/>
        <v>102.01</v>
      </c>
      <c r="O267" s="13">
        <f t="shared" si="138"/>
        <v>2.3E-3</v>
      </c>
      <c r="P267">
        <v>75.55</v>
      </c>
      <c r="Q267">
        <f t="shared" si="139"/>
        <v>75.34</v>
      </c>
      <c r="R267" s="13">
        <f t="shared" si="140"/>
        <v>2.7000000000000001E-3</v>
      </c>
      <c r="S267">
        <v>107.5</v>
      </c>
      <c r="T267">
        <f t="shared" si="141"/>
        <v>106</v>
      </c>
      <c r="U267" s="13">
        <f t="shared" si="142"/>
        <v>-4.0000000000000002E-4</v>
      </c>
      <c r="V267">
        <v>196127</v>
      </c>
      <c r="W267" s="18">
        <f t="shared" si="143"/>
        <v>195683</v>
      </c>
      <c r="X267" s="38">
        <f t="shared" si="144"/>
        <v>2.5899999999999999E-2</v>
      </c>
      <c r="Y267" s="29">
        <f t="shared" si="145"/>
        <v>5.0000000000000001E-3</v>
      </c>
      <c r="Z267">
        <v>59.27572</v>
      </c>
      <c r="AA267" s="18">
        <f t="shared" si="146"/>
        <v>58.8</v>
      </c>
      <c r="AB267" s="38">
        <f t="shared" si="147"/>
        <v>4.1099999999999998E-2</v>
      </c>
      <c r="AC267" s="13">
        <f t="shared" si="148"/>
        <v>1.0500000000000001E-2</v>
      </c>
      <c r="AD267" s="30">
        <f t="shared" si="154"/>
        <v>131.87</v>
      </c>
      <c r="AE267" s="11">
        <f t="shared" si="134"/>
        <v>3</v>
      </c>
      <c r="AF267" s="31">
        <f t="shared" si="149"/>
        <v>125.04</v>
      </c>
    </row>
    <row r="268" spans="1:32" x14ac:dyDescent="0.25">
      <c r="A268" s="5">
        <v>35246</v>
      </c>
      <c r="B268" s="10">
        <v>92.4</v>
      </c>
      <c r="C268" s="18">
        <f t="shared" si="150"/>
        <v>91.7</v>
      </c>
      <c r="D268" s="38">
        <f t="shared" si="151"/>
        <v>1.55E-2</v>
      </c>
      <c r="E268" s="29">
        <f t="shared" si="152"/>
        <v>-2.5000000000000001E-3</v>
      </c>
      <c r="F268">
        <v>677539</v>
      </c>
      <c r="G268">
        <f t="shared" si="155"/>
        <v>671115</v>
      </c>
      <c r="H268" s="38">
        <f t="shared" si="153"/>
        <v>3.7000000000000002E-3</v>
      </c>
      <c r="I268" s="13">
        <f t="shared" si="156"/>
        <v>-2.0000000000000001E-4</v>
      </c>
      <c r="J268">
        <v>0.3</v>
      </c>
      <c r="K268">
        <f t="shared" si="135"/>
        <v>100.3</v>
      </c>
      <c r="L268" s="29">
        <f t="shared" si="136"/>
        <v>1.9E-3</v>
      </c>
      <c r="M268">
        <v>1.71</v>
      </c>
      <c r="N268">
        <f t="shared" si="137"/>
        <v>101.71</v>
      </c>
      <c r="O268" s="13">
        <f t="shared" si="138"/>
        <v>1.1999999999999999E-3</v>
      </c>
      <c r="P268">
        <v>75.31</v>
      </c>
      <c r="Q268">
        <f t="shared" si="139"/>
        <v>75.143000000000001</v>
      </c>
      <c r="R268" s="13">
        <f t="shared" si="140"/>
        <v>2.5999999999999999E-3</v>
      </c>
      <c r="S268">
        <v>105.4</v>
      </c>
      <c r="T268">
        <f t="shared" si="141"/>
        <v>106.1</v>
      </c>
      <c r="U268" s="13">
        <f t="shared" si="142"/>
        <v>2E-3</v>
      </c>
      <c r="V268">
        <v>196210</v>
      </c>
      <c r="W268" s="18">
        <f t="shared" si="143"/>
        <v>194972</v>
      </c>
      <c r="X268" s="38">
        <f t="shared" si="144"/>
        <v>2.7900000000000001E-2</v>
      </c>
      <c r="Y268" s="29">
        <f t="shared" si="145"/>
        <v>9.1000000000000004E-3</v>
      </c>
      <c r="Z268">
        <v>58.790590000000002</v>
      </c>
      <c r="AA268" s="18">
        <f t="shared" si="146"/>
        <v>58.31</v>
      </c>
      <c r="AB268" s="38">
        <f t="shared" si="147"/>
        <v>4.1099999999999998E-2</v>
      </c>
      <c r="AC268" s="13">
        <f t="shared" si="148"/>
        <v>1.21E-2</v>
      </c>
      <c r="AD268" s="30">
        <f t="shared" si="154"/>
        <v>121.82</v>
      </c>
      <c r="AE268" s="11">
        <f t="shared" si="134"/>
        <v>3</v>
      </c>
      <c r="AF268" s="31">
        <f t="shared" si="149"/>
        <v>121.45</v>
      </c>
    </row>
    <row r="269" spans="1:32" x14ac:dyDescent="0.25">
      <c r="A269" s="5">
        <v>35216</v>
      </c>
      <c r="B269" s="10">
        <v>89.4</v>
      </c>
      <c r="C269" s="18">
        <f t="shared" si="150"/>
        <v>90.2</v>
      </c>
      <c r="D269" s="38">
        <f t="shared" si="151"/>
        <v>1.6899999999999998E-2</v>
      </c>
      <c r="E269" s="29">
        <f t="shared" si="152"/>
        <v>5.4999999999999997E-3</v>
      </c>
      <c r="F269">
        <v>676135</v>
      </c>
      <c r="G269">
        <f t="shared" si="155"/>
        <v>665407</v>
      </c>
      <c r="H269" s="38">
        <f t="shared" si="153"/>
        <v>1.9E-3</v>
      </c>
      <c r="I269" s="13">
        <f t="shared" si="156"/>
        <v>-8.9999999999999998E-4</v>
      </c>
      <c r="J269">
        <v>0.47</v>
      </c>
      <c r="K269">
        <f t="shared" si="135"/>
        <v>100.47</v>
      </c>
      <c r="L269" s="29">
        <f t="shared" si="136"/>
        <v>1.5E-3</v>
      </c>
      <c r="M269">
        <v>1.58</v>
      </c>
      <c r="N269">
        <f t="shared" si="137"/>
        <v>101.58</v>
      </c>
      <c r="O269" s="13">
        <f t="shared" si="138"/>
        <v>6.9999999999999999E-4</v>
      </c>
      <c r="P269">
        <v>75.16</v>
      </c>
      <c r="Q269">
        <f t="shared" si="139"/>
        <v>74.933000000000007</v>
      </c>
      <c r="R269" s="13">
        <f t="shared" si="140"/>
        <v>2.3E-3</v>
      </c>
      <c r="S269">
        <v>105.1</v>
      </c>
      <c r="T269">
        <f t="shared" si="141"/>
        <v>106.1</v>
      </c>
      <c r="U269" s="13">
        <f t="shared" si="142"/>
        <v>5.1999999999999998E-3</v>
      </c>
      <c r="V269">
        <v>194712</v>
      </c>
      <c r="W269" s="18">
        <f t="shared" si="143"/>
        <v>193658</v>
      </c>
      <c r="X269" s="38">
        <f t="shared" si="144"/>
        <v>2.5700000000000001E-2</v>
      </c>
      <c r="Y269" s="29">
        <f t="shared" si="145"/>
        <v>5.1000000000000004E-3</v>
      </c>
      <c r="Z269">
        <v>58.341439999999999</v>
      </c>
      <c r="AA269" s="18">
        <f t="shared" si="146"/>
        <v>57.73</v>
      </c>
      <c r="AB269" s="38">
        <f t="shared" si="147"/>
        <v>3.9399999999999998E-2</v>
      </c>
      <c r="AC269" s="13">
        <f t="shared" si="148"/>
        <v>1.41E-2</v>
      </c>
      <c r="AD269" s="30">
        <f t="shared" si="154"/>
        <v>121.43</v>
      </c>
      <c r="AE269" s="11">
        <f t="shared" si="134"/>
        <v>3</v>
      </c>
      <c r="AF269" s="31">
        <f t="shared" si="149"/>
        <v>121.22</v>
      </c>
    </row>
    <row r="270" spans="1:32" x14ac:dyDescent="0.25">
      <c r="A270" s="5">
        <v>35185</v>
      </c>
      <c r="B270" s="10">
        <v>92.7</v>
      </c>
      <c r="C270" s="18">
        <f t="shared" si="150"/>
        <v>93</v>
      </c>
      <c r="D270" s="38">
        <f t="shared" si="151"/>
        <v>3.4500000000000003E-2</v>
      </c>
      <c r="E270" s="29">
        <f t="shared" si="152"/>
        <v>1.2200000000000001E-2</v>
      </c>
      <c r="F270">
        <v>659670</v>
      </c>
      <c r="G270">
        <f t="shared" si="155"/>
        <v>666157</v>
      </c>
      <c r="H270" s="38">
        <f t="shared" si="153"/>
        <v>6.8999999999999999E-3</v>
      </c>
      <c r="I270" s="13">
        <f t="shared" si="156"/>
        <v>6.4000000000000003E-3</v>
      </c>
      <c r="J270">
        <v>-0.13</v>
      </c>
      <c r="K270">
        <f t="shared" si="135"/>
        <v>99.87</v>
      </c>
      <c r="L270" s="29">
        <f t="shared" si="136"/>
        <v>-2.0000000000000001E-4</v>
      </c>
      <c r="M270">
        <v>1.31</v>
      </c>
      <c r="N270">
        <f t="shared" si="137"/>
        <v>101.31</v>
      </c>
      <c r="O270" s="13">
        <f t="shared" si="138"/>
        <v>-2.0000000000000001E-4</v>
      </c>
      <c r="P270">
        <v>74.959999999999994</v>
      </c>
      <c r="Q270">
        <f t="shared" si="139"/>
        <v>74.742999999999995</v>
      </c>
      <c r="R270" s="13">
        <f t="shared" si="140"/>
        <v>2.2000000000000001E-3</v>
      </c>
      <c r="S270">
        <v>107.8</v>
      </c>
      <c r="T270">
        <f t="shared" si="141"/>
        <v>106.133</v>
      </c>
      <c r="U270" s="13">
        <f t="shared" si="142"/>
        <v>9.4999999999999998E-3</v>
      </c>
      <c r="V270">
        <v>193993</v>
      </c>
      <c r="W270" s="18">
        <f t="shared" si="143"/>
        <v>191810</v>
      </c>
      <c r="X270" s="38">
        <f t="shared" si="144"/>
        <v>2.2200000000000001E-2</v>
      </c>
      <c r="Y270" s="29">
        <f t="shared" si="145"/>
        <v>6.4999999999999997E-3</v>
      </c>
      <c r="Z270">
        <v>57.792369999999998</v>
      </c>
      <c r="AA270" s="18">
        <f t="shared" si="146"/>
        <v>57.08</v>
      </c>
      <c r="AB270" s="38">
        <f t="shared" si="147"/>
        <v>4.1000000000000002E-2</v>
      </c>
      <c r="AC270" s="13">
        <f t="shared" si="148"/>
        <v>1.38E-2</v>
      </c>
      <c r="AD270" s="30">
        <f t="shared" si="154"/>
        <v>121.1</v>
      </c>
      <c r="AE270" s="11">
        <f t="shared" si="134"/>
        <v>3</v>
      </c>
      <c r="AF270" s="31">
        <f t="shared" si="149"/>
        <v>116.24</v>
      </c>
    </row>
    <row r="271" spans="1:32" x14ac:dyDescent="0.25">
      <c r="A271" s="5">
        <v>35155</v>
      </c>
      <c r="B271" s="10">
        <v>93.7</v>
      </c>
      <c r="C271" s="18">
        <f t="shared" si="150"/>
        <v>92.4</v>
      </c>
      <c r="D271" s="38">
        <f t="shared" si="151"/>
        <v>1.8700000000000001E-2</v>
      </c>
      <c r="E271" s="29">
        <f t="shared" si="152"/>
        <v>7.7999999999999996E-3</v>
      </c>
      <c r="F271">
        <v>660416</v>
      </c>
      <c r="G271">
        <f t="shared" si="155"/>
        <v>668090</v>
      </c>
      <c r="H271" s="38">
        <f t="shared" si="153"/>
        <v>1.43E-2</v>
      </c>
      <c r="I271" s="13">
        <f t="shared" si="156"/>
        <v>1.2500000000000001E-2</v>
      </c>
      <c r="J271">
        <v>-0.03</v>
      </c>
      <c r="K271">
        <f t="shared" si="135"/>
        <v>99.97</v>
      </c>
      <c r="L271" s="29">
        <f t="shared" si="136"/>
        <v>-8.0000000000000004E-4</v>
      </c>
      <c r="M271">
        <v>1.34</v>
      </c>
      <c r="N271">
        <f t="shared" si="137"/>
        <v>101.34</v>
      </c>
      <c r="O271" s="13">
        <f t="shared" si="138"/>
        <v>-2.0000000000000001E-4</v>
      </c>
      <c r="P271">
        <v>74.680000000000007</v>
      </c>
      <c r="Q271">
        <f t="shared" si="139"/>
        <v>74.56</v>
      </c>
      <c r="R271" s="13">
        <f t="shared" si="140"/>
        <v>2.2000000000000001E-3</v>
      </c>
      <c r="S271">
        <v>105.4</v>
      </c>
      <c r="T271">
        <f t="shared" si="141"/>
        <v>105.467</v>
      </c>
      <c r="U271" s="13">
        <f t="shared" si="142"/>
        <v>8.5000000000000006E-3</v>
      </c>
      <c r="V271">
        <v>192269</v>
      </c>
      <c r="W271" s="18">
        <f t="shared" si="143"/>
        <v>190748</v>
      </c>
      <c r="X271" s="38">
        <f t="shared" si="144"/>
        <v>2.06E-2</v>
      </c>
      <c r="Y271" s="29">
        <f t="shared" si="145"/>
        <v>7.6E-3</v>
      </c>
      <c r="Z271">
        <v>57.064480000000003</v>
      </c>
      <c r="AA271" s="18">
        <f t="shared" si="146"/>
        <v>56.48</v>
      </c>
      <c r="AB271" s="38">
        <f t="shared" si="147"/>
        <v>5.04E-2</v>
      </c>
      <c r="AC271" s="13">
        <f t="shared" si="148"/>
        <v>1.11E-2</v>
      </c>
      <c r="AD271" s="30">
        <f t="shared" si="154"/>
        <v>121.12</v>
      </c>
      <c r="AE271" s="11">
        <f t="shared" si="134"/>
        <v>3</v>
      </c>
      <c r="AF271" s="31">
        <f t="shared" si="149"/>
        <v>113.06</v>
      </c>
    </row>
    <row r="272" spans="1:32" x14ac:dyDescent="0.25">
      <c r="A272" s="5">
        <v>35124</v>
      </c>
      <c r="B272" s="10">
        <v>88.5</v>
      </c>
      <c r="C272" s="18">
        <f t="shared" si="150"/>
        <v>88.7</v>
      </c>
      <c r="D272" s="38">
        <f t="shared" si="151"/>
        <v>-7.4099999999999999E-2</v>
      </c>
      <c r="E272" s="29">
        <f t="shared" si="152"/>
        <v>0</v>
      </c>
      <c r="F272">
        <v>678386</v>
      </c>
      <c r="G272">
        <f t="shared" si="155"/>
        <v>668673</v>
      </c>
      <c r="H272" s="38">
        <f t="shared" si="153"/>
        <v>2.0299999999999999E-2</v>
      </c>
      <c r="I272" s="13">
        <f t="shared" si="156"/>
        <v>1.43E-2</v>
      </c>
      <c r="J272">
        <v>-0.44</v>
      </c>
      <c r="K272">
        <f t="shared" si="135"/>
        <v>99.56</v>
      </c>
      <c r="L272" s="29">
        <f t="shared" si="136"/>
        <v>-1.4E-3</v>
      </c>
      <c r="M272">
        <v>1.36</v>
      </c>
      <c r="N272">
        <f t="shared" si="137"/>
        <v>101.36</v>
      </c>
      <c r="O272" s="13">
        <f t="shared" si="138"/>
        <v>-1E-3</v>
      </c>
      <c r="P272">
        <v>74.59</v>
      </c>
      <c r="Q272">
        <f t="shared" si="139"/>
        <v>74.423000000000002</v>
      </c>
      <c r="R272" s="13">
        <f t="shared" si="140"/>
        <v>2.5000000000000001E-3</v>
      </c>
      <c r="S272">
        <v>105.2</v>
      </c>
      <c r="T272">
        <f t="shared" si="141"/>
        <v>104.467</v>
      </c>
      <c r="U272" s="13">
        <f t="shared" si="142"/>
        <v>2.8999999999999998E-3</v>
      </c>
      <c r="V272">
        <v>189167</v>
      </c>
      <c r="W272" s="18">
        <f t="shared" si="143"/>
        <v>189676</v>
      </c>
      <c r="X272" s="38">
        <f t="shared" si="144"/>
        <v>1.6799999999999999E-2</v>
      </c>
      <c r="Y272" s="29">
        <f t="shared" si="145"/>
        <v>2.3999999999999998E-3</v>
      </c>
      <c r="Z272">
        <v>56.382289999999998</v>
      </c>
      <c r="AA272" s="18">
        <f t="shared" si="146"/>
        <v>56.01</v>
      </c>
      <c r="AB272" s="38">
        <f t="shared" si="147"/>
        <v>6.5199999999999994E-2</v>
      </c>
      <c r="AC272" s="13">
        <f t="shared" si="148"/>
        <v>0.01</v>
      </c>
      <c r="AD272" s="30">
        <f t="shared" si="154"/>
        <v>106.49</v>
      </c>
      <c r="AE272" s="11">
        <f t="shared" si="134"/>
        <v>3</v>
      </c>
      <c r="AF272" s="31">
        <f t="shared" si="149"/>
        <v>111.31</v>
      </c>
    </row>
    <row r="273" spans="1:32" x14ac:dyDescent="0.25">
      <c r="A273" s="5">
        <v>35095</v>
      </c>
      <c r="B273" s="10">
        <v>89.3</v>
      </c>
      <c r="C273" s="18">
        <f t="shared" si="150"/>
        <v>89.7</v>
      </c>
      <c r="D273" s="38">
        <f t="shared" si="151"/>
        <v>-4.5699999999999998E-2</v>
      </c>
      <c r="E273" s="29">
        <f t="shared" si="152"/>
        <v>-6.9999999999999999E-4</v>
      </c>
      <c r="F273">
        <v>665467</v>
      </c>
      <c r="G273">
        <f t="shared" si="155"/>
        <v>664127</v>
      </c>
      <c r="H273" s="38">
        <f t="shared" si="153"/>
        <v>1.8599999999999998E-2</v>
      </c>
      <c r="I273" s="13">
        <f t="shared" si="156"/>
        <v>1.4E-2</v>
      </c>
      <c r="J273">
        <v>-0.13</v>
      </c>
      <c r="K273">
        <f t="shared" si="135"/>
        <v>99.87</v>
      </c>
      <c r="L273" s="29">
        <f t="shared" si="136"/>
        <v>-6.9999999999999999E-4</v>
      </c>
      <c r="M273">
        <v>1.36</v>
      </c>
      <c r="N273">
        <f t="shared" si="137"/>
        <v>101.36</v>
      </c>
      <c r="O273" s="13">
        <f t="shared" si="138"/>
        <v>-2.0000000000000001E-4</v>
      </c>
      <c r="P273">
        <v>74.41</v>
      </c>
      <c r="Q273">
        <f t="shared" si="139"/>
        <v>74.253</v>
      </c>
      <c r="R273" s="13">
        <f t="shared" si="140"/>
        <v>2.5999999999999999E-3</v>
      </c>
      <c r="S273">
        <v>105.8</v>
      </c>
      <c r="T273">
        <f t="shared" si="141"/>
        <v>103.167</v>
      </c>
      <c r="U273" s="13">
        <f t="shared" si="142"/>
        <v>-1.24E-2</v>
      </c>
      <c r="V273">
        <v>190809</v>
      </c>
      <c r="W273" s="18">
        <f t="shared" si="143"/>
        <v>188802</v>
      </c>
      <c r="X273" s="38">
        <f t="shared" si="144"/>
        <v>1.44E-2</v>
      </c>
      <c r="Y273" s="29">
        <f t="shared" si="145"/>
        <v>5.3E-3</v>
      </c>
      <c r="Z273">
        <v>55.986989999999999</v>
      </c>
      <c r="AA273" s="18">
        <f t="shared" si="146"/>
        <v>55.54</v>
      </c>
      <c r="AB273" s="38">
        <f t="shared" si="147"/>
        <v>7.5899999999999995E-2</v>
      </c>
      <c r="AC273" s="13">
        <f t="shared" si="148"/>
        <v>1.5100000000000001E-2</v>
      </c>
      <c r="AD273" s="30">
        <f t="shared" si="154"/>
        <v>111.56</v>
      </c>
      <c r="AE273" s="11">
        <f t="shared" si="134"/>
        <v>3</v>
      </c>
      <c r="AF273" s="31">
        <f t="shared" si="149"/>
        <v>114.73</v>
      </c>
    </row>
    <row r="274" spans="1:32" x14ac:dyDescent="0.25">
      <c r="A274" s="5">
        <v>35064</v>
      </c>
      <c r="B274" s="10">
        <v>91</v>
      </c>
      <c r="C274" s="18">
        <f t="shared" si="150"/>
        <v>90.3</v>
      </c>
      <c r="D274" s="38">
        <f t="shared" si="151"/>
        <v>-1.8499999999999999E-2</v>
      </c>
      <c r="E274" s="29">
        <f t="shared" si="152"/>
        <v>-1.5E-3</v>
      </c>
      <c r="F274">
        <v>662167</v>
      </c>
      <c r="G274">
        <f t="shared" si="155"/>
        <v>661596</v>
      </c>
      <c r="H274" s="38">
        <f t="shared" si="153"/>
        <v>1.67E-2</v>
      </c>
      <c r="I274" s="13">
        <f t="shared" si="156"/>
        <v>1.35E-2</v>
      </c>
      <c r="J274">
        <v>-7.0000000000000007E-2</v>
      </c>
      <c r="K274">
        <f t="shared" si="135"/>
        <v>99.93</v>
      </c>
      <c r="L274" s="29">
        <f t="shared" si="136"/>
        <v>4.0000000000000002E-4</v>
      </c>
      <c r="M274">
        <v>1.39</v>
      </c>
      <c r="N274">
        <f t="shared" si="137"/>
        <v>101.39</v>
      </c>
      <c r="O274" s="13">
        <f t="shared" si="138"/>
        <v>-5.9999999999999995E-4</v>
      </c>
      <c r="P274">
        <v>74.27</v>
      </c>
      <c r="Q274">
        <f t="shared" si="139"/>
        <v>74.063000000000002</v>
      </c>
      <c r="R274" s="13">
        <f t="shared" si="140"/>
        <v>2.5000000000000001E-3</v>
      </c>
      <c r="S274">
        <v>102.4</v>
      </c>
      <c r="T274">
        <f t="shared" si="141"/>
        <v>102.833</v>
      </c>
      <c r="U274" s="13">
        <f t="shared" si="142"/>
        <v>-1.37E-2</v>
      </c>
      <c r="V274">
        <v>189052</v>
      </c>
      <c r="W274" s="18">
        <f t="shared" si="143"/>
        <v>187645</v>
      </c>
      <c r="X274" s="38">
        <f t="shared" si="144"/>
        <v>1.41E-2</v>
      </c>
      <c r="Y274" s="29">
        <f t="shared" si="145"/>
        <v>4.7999999999999996E-3</v>
      </c>
      <c r="Z274">
        <v>55.645870000000002</v>
      </c>
      <c r="AA274" s="18">
        <f t="shared" si="146"/>
        <v>54.83</v>
      </c>
      <c r="AB274" s="38">
        <f t="shared" si="147"/>
        <v>7.6799999999999993E-2</v>
      </c>
      <c r="AC274" s="13">
        <f t="shared" si="148"/>
        <v>2.3599999999999999E-2</v>
      </c>
      <c r="AD274" s="30">
        <f t="shared" si="154"/>
        <v>115.88</v>
      </c>
      <c r="AE274" s="11">
        <f t="shared" si="134"/>
        <v>3</v>
      </c>
      <c r="AF274" s="31">
        <f t="shared" si="149"/>
        <v>117.64</v>
      </c>
    </row>
    <row r="275" spans="1:32" x14ac:dyDescent="0.25">
      <c r="A275" s="5">
        <v>35033</v>
      </c>
      <c r="B275" s="10">
        <v>88.2</v>
      </c>
      <c r="C275" s="18">
        <f t="shared" si="150"/>
        <v>88.7</v>
      </c>
      <c r="D275" s="38">
        <f t="shared" si="151"/>
        <v>-1.9900000000000001E-2</v>
      </c>
      <c r="E275" s="29">
        <f t="shared" si="152"/>
        <v>-2.5700000000000001E-2</v>
      </c>
      <c r="F275">
        <v>664747</v>
      </c>
      <c r="G275">
        <f t="shared" si="155"/>
        <v>658678</v>
      </c>
      <c r="H275" s="38">
        <f t="shared" si="153"/>
        <v>1.9400000000000001E-2</v>
      </c>
      <c r="I275" s="13">
        <f t="shared" si="156"/>
        <v>1.3299999999999999E-2</v>
      </c>
      <c r="J275">
        <v>0.27</v>
      </c>
      <c r="K275">
        <f t="shared" si="135"/>
        <v>100.27</v>
      </c>
      <c r="L275" s="29">
        <f t="shared" si="136"/>
        <v>1.1999999999999999E-3</v>
      </c>
      <c r="M275">
        <v>1.67</v>
      </c>
      <c r="N275">
        <f t="shared" si="137"/>
        <v>101.67</v>
      </c>
      <c r="O275" s="13">
        <f t="shared" si="138"/>
        <v>2E-3</v>
      </c>
      <c r="P275">
        <v>74.08</v>
      </c>
      <c r="Q275">
        <f t="shared" si="139"/>
        <v>73.86</v>
      </c>
      <c r="R275" s="13">
        <f t="shared" si="140"/>
        <v>2.3E-3</v>
      </c>
      <c r="S275">
        <v>101.3</v>
      </c>
      <c r="T275">
        <f t="shared" si="141"/>
        <v>103.56699999999999</v>
      </c>
      <c r="U275" s="13">
        <f t="shared" si="142"/>
        <v>-1.2800000000000001E-2</v>
      </c>
      <c r="V275">
        <v>186546</v>
      </c>
      <c r="W275" s="18">
        <f t="shared" si="143"/>
        <v>186899</v>
      </c>
      <c r="X275" s="38">
        <f t="shared" si="144"/>
        <v>1.7000000000000001E-2</v>
      </c>
      <c r="Y275" s="29">
        <f t="shared" si="145"/>
        <v>5.9999999999999995E-4</v>
      </c>
      <c r="Z275">
        <v>55.001519999999999</v>
      </c>
      <c r="AA275" s="18">
        <f t="shared" si="146"/>
        <v>53.77</v>
      </c>
      <c r="AB275" s="38">
        <f t="shared" si="147"/>
        <v>7.1999999999999995E-2</v>
      </c>
      <c r="AC275" s="13">
        <f t="shared" si="148"/>
        <v>2.8400000000000002E-2</v>
      </c>
      <c r="AD275" s="30">
        <f t="shared" si="154"/>
        <v>116.74</v>
      </c>
      <c r="AE275" s="11">
        <f t="shared" si="134"/>
        <v>3</v>
      </c>
      <c r="AF275" s="31">
        <f t="shared" si="149"/>
        <v>120.48</v>
      </c>
    </row>
    <row r="276" spans="1:32" x14ac:dyDescent="0.25">
      <c r="A276" s="5">
        <v>35003</v>
      </c>
      <c r="B276" s="10">
        <v>90.2</v>
      </c>
      <c r="C276" s="18">
        <f t="shared" si="150"/>
        <v>89.9</v>
      </c>
      <c r="D276" s="38">
        <f t="shared" si="151"/>
        <v>-2.2800000000000001E-2</v>
      </c>
      <c r="E276" s="29">
        <f t="shared" si="152"/>
        <v>-1.46E-2</v>
      </c>
      <c r="F276">
        <v>657875</v>
      </c>
      <c r="G276">
        <f t="shared" si="155"/>
        <v>655371</v>
      </c>
      <c r="H276" s="38">
        <f t="shared" si="153"/>
        <v>1.5599999999999999E-2</v>
      </c>
      <c r="I276" s="13">
        <f t="shared" si="156"/>
        <v>1.23E-2</v>
      </c>
      <c r="J276">
        <v>0.14000000000000001</v>
      </c>
      <c r="K276">
        <f t="shared" si="135"/>
        <v>100.14</v>
      </c>
      <c r="L276" s="29">
        <f t="shared" si="136"/>
        <v>1.1000000000000001E-3</v>
      </c>
      <c r="M276">
        <v>1.42</v>
      </c>
      <c r="N276">
        <f t="shared" si="137"/>
        <v>101.42</v>
      </c>
      <c r="O276" s="13">
        <f t="shared" si="138"/>
        <v>1.1000000000000001E-3</v>
      </c>
      <c r="P276">
        <v>73.84</v>
      </c>
      <c r="Q276">
        <f t="shared" si="139"/>
        <v>73.680000000000007</v>
      </c>
      <c r="R276" s="13">
        <f t="shared" si="140"/>
        <v>2.0999999999999999E-3</v>
      </c>
      <c r="S276">
        <v>104.8</v>
      </c>
      <c r="T276">
        <f t="shared" si="141"/>
        <v>107.06699999999999</v>
      </c>
      <c r="U276" s="13">
        <f t="shared" si="142"/>
        <v>5.1000000000000004E-3</v>
      </c>
      <c r="V276">
        <v>187338</v>
      </c>
      <c r="W276" s="18">
        <f t="shared" si="143"/>
        <v>186541</v>
      </c>
      <c r="X276" s="38">
        <f t="shared" si="144"/>
        <v>2.4500000000000001E-2</v>
      </c>
      <c r="Y276" s="29">
        <f t="shared" si="145"/>
        <v>5.1000000000000004E-3</v>
      </c>
      <c r="Z276">
        <v>53.838439999999999</v>
      </c>
      <c r="AA276" s="18">
        <f t="shared" si="146"/>
        <v>52.58</v>
      </c>
      <c r="AB276" s="38">
        <f t="shared" si="147"/>
        <v>7.1099999999999997E-2</v>
      </c>
      <c r="AC276" s="13">
        <f t="shared" si="148"/>
        <v>2.47E-2</v>
      </c>
      <c r="AD276" s="30">
        <f t="shared" si="154"/>
        <v>120.3</v>
      </c>
      <c r="AE276" s="11">
        <f t="shared" ref="AE276:AE319" si="157">IF(AD276&gt;85,3,IF(AND(AD276&gt;78,AD276&lt;=85),2,IF(AND(AD276&gt;70,AD276&lt;=78),1,IF(AD276&lt;40,-3,IF(AND(AD276&lt;55,AD276&gt;=40),-2,IF(AND(AD276&lt;65,AD276&gt;=55),-1,0))))))</f>
        <v>3</v>
      </c>
      <c r="AF276" s="31">
        <f t="shared" si="149"/>
        <v>123.08</v>
      </c>
    </row>
    <row r="277" spans="1:32" x14ac:dyDescent="0.25">
      <c r="A277" s="5">
        <v>34972</v>
      </c>
      <c r="B277" s="10">
        <v>88.9</v>
      </c>
      <c r="C277" s="18">
        <f t="shared" si="150"/>
        <v>90.7</v>
      </c>
      <c r="D277" s="38">
        <f t="shared" si="151"/>
        <v>-8.6999999999999994E-3</v>
      </c>
      <c r="E277" s="29">
        <f t="shared" si="152"/>
        <v>-4.5999999999999999E-3</v>
      </c>
      <c r="F277">
        <v>653413</v>
      </c>
      <c r="G277">
        <f t="shared" si="155"/>
        <v>651996</v>
      </c>
      <c r="H277" s="38">
        <f t="shared" si="153"/>
        <v>1.29E-2</v>
      </c>
      <c r="I277" s="13">
        <f t="shared" si="156"/>
        <v>1.06E-2</v>
      </c>
      <c r="J277">
        <v>0.16</v>
      </c>
      <c r="K277">
        <f t="shared" si="135"/>
        <v>100.16</v>
      </c>
      <c r="L277" s="29">
        <f t="shared" si="136"/>
        <v>1.1999999999999999E-3</v>
      </c>
      <c r="M277">
        <v>1.57</v>
      </c>
      <c r="N277">
        <f t="shared" si="137"/>
        <v>101.57</v>
      </c>
      <c r="O277" s="13">
        <f t="shared" si="138"/>
        <v>1.9E-3</v>
      </c>
      <c r="P277">
        <v>73.66</v>
      </c>
      <c r="Q277">
        <f t="shared" si="139"/>
        <v>73.52</v>
      </c>
      <c r="R277" s="13">
        <f t="shared" si="140"/>
        <v>2.0999999999999999E-3</v>
      </c>
      <c r="S277">
        <v>104.6</v>
      </c>
      <c r="T277">
        <f t="shared" si="141"/>
        <v>107.2</v>
      </c>
      <c r="U277" s="13">
        <f t="shared" si="142"/>
        <v>4.7999999999999996E-3</v>
      </c>
      <c r="V277">
        <v>186814</v>
      </c>
      <c r="W277" s="18">
        <f t="shared" si="143"/>
        <v>186124</v>
      </c>
      <c r="X277" s="38">
        <f t="shared" si="144"/>
        <v>2.9899999999999999E-2</v>
      </c>
      <c r="Y277" s="29">
        <f t="shared" si="145"/>
        <v>6.8999999999999999E-3</v>
      </c>
      <c r="Z277">
        <v>52.457599999999999</v>
      </c>
      <c r="AA277" s="18">
        <f t="shared" si="146"/>
        <v>51.62</v>
      </c>
      <c r="AB277" s="38">
        <f t="shared" si="147"/>
        <v>7.9699999999999993E-2</v>
      </c>
      <c r="AC277" s="13">
        <f t="shared" si="148"/>
        <v>1.7999999999999999E-2</v>
      </c>
      <c r="AD277" s="30">
        <f t="shared" si="154"/>
        <v>124.41</v>
      </c>
      <c r="AE277" s="11">
        <f t="shared" si="157"/>
        <v>3</v>
      </c>
      <c r="AF277" s="31">
        <f t="shared" si="149"/>
        <v>122.26</v>
      </c>
    </row>
    <row r="278" spans="1:32" x14ac:dyDescent="0.25">
      <c r="A278" s="5">
        <v>34942</v>
      </c>
      <c r="B278" s="10">
        <v>96.2</v>
      </c>
      <c r="C278" s="18">
        <f t="shared" si="150"/>
        <v>95.8</v>
      </c>
      <c r="D278" s="38">
        <f t="shared" si="151"/>
        <v>1E-3</v>
      </c>
      <c r="E278" s="29">
        <f t="shared" si="152"/>
        <v>1.9199999999999998E-2</v>
      </c>
      <c r="F278">
        <v>654826</v>
      </c>
      <c r="G278">
        <f t="shared" si="155"/>
        <v>650709</v>
      </c>
      <c r="H278" s="38">
        <f t="shared" si="153"/>
        <v>1.0200000000000001E-2</v>
      </c>
      <c r="I278" s="13">
        <f t="shared" si="156"/>
        <v>7.0000000000000001E-3</v>
      </c>
      <c r="J278">
        <v>-0.24</v>
      </c>
      <c r="K278">
        <f t="shared" si="135"/>
        <v>99.76</v>
      </c>
      <c r="L278" s="29">
        <f t="shared" si="136"/>
        <v>-5.9999999999999995E-4</v>
      </c>
      <c r="M278">
        <v>1.07</v>
      </c>
      <c r="N278">
        <f t="shared" si="137"/>
        <v>101.07</v>
      </c>
      <c r="O278" s="13">
        <f t="shared" si="138"/>
        <v>-2.0000000000000001E-4</v>
      </c>
      <c r="P278">
        <v>73.540000000000006</v>
      </c>
      <c r="Q278">
        <f t="shared" si="139"/>
        <v>73.356999999999999</v>
      </c>
      <c r="R278" s="13">
        <f t="shared" si="140"/>
        <v>2.2000000000000001E-3</v>
      </c>
      <c r="S278">
        <v>111.8</v>
      </c>
      <c r="T278">
        <f t="shared" si="141"/>
        <v>107.7</v>
      </c>
      <c r="U278" s="13">
        <f t="shared" si="142"/>
        <v>6.0000000000000001E-3</v>
      </c>
      <c r="V278">
        <v>185470</v>
      </c>
      <c r="W278" s="18">
        <f t="shared" si="143"/>
        <v>185034</v>
      </c>
      <c r="X278" s="38">
        <f t="shared" si="144"/>
        <v>2.2499999999999999E-2</v>
      </c>
      <c r="Y278" s="29">
        <f t="shared" si="145"/>
        <v>6.1000000000000004E-3</v>
      </c>
      <c r="Z278">
        <v>51.455289999999998</v>
      </c>
      <c r="AA278" s="18">
        <f t="shared" si="146"/>
        <v>50.92</v>
      </c>
      <c r="AB278" s="38">
        <f t="shared" si="147"/>
        <v>9.2499999999999999E-2</v>
      </c>
      <c r="AC278" s="13">
        <f t="shared" si="148"/>
        <v>1.78E-2</v>
      </c>
      <c r="AD278" s="30">
        <f t="shared" si="154"/>
        <v>124.54</v>
      </c>
      <c r="AE278" s="11">
        <f t="shared" si="157"/>
        <v>3</v>
      </c>
      <c r="AF278" s="31">
        <f t="shared" si="149"/>
        <v>119.01</v>
      </c>
    </row>
    <row r="279" spans="1:32" x14ac:dyDescent="0.25">
      <c r="A279" s="5">
        <v>34911</v>
      </c>
      <c r="B279" s="10">
        <v>94.4</v>
      </c>
      <c r="C279" s="18">
        <f t="shared" si="150"/>
        <v>94</v>
      </c>
      <c r="D279" s="38">
        <f t="shared" si="151"/>
        <v>-3.09E-2</v>
      </c>
      <c r="E279" s="29">
        <f t="shared" si="152"/>
        <v>7.3000000000000001E-3</v>
      </c>
      <c r="F279">
        <v>647749</v>
      </c>
      <c r="G279">
        <f t="shared" si="155"/>
        <v>646152</v>
      </c>
      <c r="H279" s="38">
        <f t="shared" si="153"/>
        <v>1.0200000000000001E-2</v>
      </c>
      <c r="I279" s="13">
        <f t="shared" si="156"/>
        <v>6.1000000000000004E-3</v>
      </c>
      <c r="J279">
        <v>-0.19</v>
      </c>
      <c r="K279">
        <f t="shared" si="135"/>
        <v>99.81</v>
      </c>
      <c r="L279" s="29">
        <f t="shared" si="136"/>
        <v>-1.2999999999999999E-3</v>
      </c>
      <c r="M279">
        <v>1.0900000000000001</v>
      </c>
      <c r="N279">
        <f t="shared" si="137"/>
        <v>101.09</v>
      </c>
      <c r="O279" s="13">
        <f t="shared" si="138"/>
        <v>-1.4E-3</v>
      </c>
      <c r="P279">
        <v>73.36</v>
      </c>
      <c r="Q279">
        <f t="shared" si="139"/>
        <v>73.209999999999994</v>
      </c>
      <c r="R279" s="13">
        <f t="shared" si="140"/>
        <v>2.5999999999999999E-3</v>
      </c>
      <c r="S279">
        <v>105.2</v>
      </c>
      <c r="T279">
        <f t="shared" si="141"/>
        <v>105.43300000000001</v>
      </c>
      <c r="U279" s="13">
        <f t="shared" si="142"/>
        <v>-5.5999999999999999E-3</v>
      </c>
      <c r="V279">
        <v>186088</v>
      </c>
      <c r="W279" s="18">
        <f t="shared" si="143"/>
        <v>183778</v>
      </c>
      <c r="X279" s="38">
        <f t="shared" si="144"/>
        <v>1.46E-2</v>
      </c>
      <c r="Y279" s="29">
        <f t="shared" si="145"/>
        <v>9.1000000000000004E-3</v>
      </c>
      <c r="Z279">
        <v>50.958390000000001</v>
      </c>
      <c r="AA279" s="18">
        <f t="shared" si="146"/>
        <v>50.16</v>
      </c>
      <c r="AB279" s="38">
        <f t="shared" si="147"/>
        <v>9.8799999999999999E-2</v>
      </c>
      <c r="AC279" s="13">
        <f t="shared" si="148"/>
        <v>2.58E-2</v>
      </c>
      <c r="AD279" s="30">
        <f t="shared" si="154"/>
        <v>117.82</v>
      </c>
      <c r="AE279" s="11">
        <f t="shared" si="157"/>
        <v>3</v>
      </c>
      <c r="AF279" s="31">
        <f t="shared" si="149"/>
        <v>115.71</v>
      </c>
    </row>
    <row r="280" spans="1:32" x14ac:dyDescent="0.25">
      <c r="A280" s="5">
        <v>34880</v>
      </c>
      <c r="B280" s="10">
        <v>92.7</v>
      </c>
      <c r="C280" s="18">
        <f t="shared" si="150"/>
        <v>92</v>
      </c>
      <c r="D280" s="38">
        <f t="shared" si="151"/>
        <v>-2.3400000000000001E-2</v>
      </c>
      <c r="E280" s="29">
        <f t="shared" si="152"/>
        <v>1.8E-3</v>
      </c>
      <c r="F280">
        <v>649552</v>
      </c>
      <c r="G280">
        <f t="shared" si="155"/>
        <v>645334</v>
      </c>
      <c r="H280" s="38">
        <f t="shared" si="153"/>
        <v>1.78E-2</v>
      </c>
      <c r="I280" s="13">
        <f t="shared" si="156"/>
        <v>1.21E-2</v>
      </c>
      <c r="J280">
        <v>-0.31</v>
      </c>
      <c r="K280">
        <f t="shared" si="135"/>
        <v>99.69</v>
      </c>
      <c r="L280" s="29">
        <f t="shared" si="136"/>
        <v>-2.3999999999999998E-3</v>
      </c>
      <c r="M280">
        <v>0.98</v>
      </c>
      <c r="N280">
        <f t="shared" si="137"/>
        <v>100.98</v>
      </c>
      <c r="O280" s="13">
        <f t="shared" si="138"/>
        <v>-2.0999999999999999E-3</v>
      </c>
      <c r="P280">
        <v>73.17</v>
      </c>
      <c r="Q280">
        <f t="shared" si="139"/>
        <v>73.05</v>
      </c>
      <c r="R280" s="13">
        <f t="shared" si="140"/>
        <v>3.0000000000000001E-3</v>
      </c>
      <c r="S280">
        <v>106.1</v>
      </c>
      <c r="T280">
        <f t="shared" si="141"/>
        <v>105.667</v>
      </c>
      <c r="U280" s="13">
        <f t="shared" si="142"/>
        <v>-1.12E-2</v>
      </c>
      <c r="V280">
        <v>183543</v>
      </c>
      <c r="W280" s="18">
        <f t="shared" si="143"/>
        <v>182080</v>
      </c>
      <c r="X280" s="38">
        <f t="shared" si="144"/>
        <v>3.0000000000000001E-3</v>
      </c>
      <c r="Y280" s="29">
        <f t="shared" si="145"/>
        <v>1.5E-3</v>
      </c>
      <c r="Z280">
        <v>50.333289999999998</v>
      </c>
      <c r="AA280" s="18">
        <f t="shared" si="146"/>
        <v>49.09</v>
      </c>
      <c r="AB280" s="38">
        <f t="shared" si="147"/>
        <v>9.5799999999999996E-2</v>
      </c>
      <c r="AC280" s="13">
        <f t="shared" si="148"/>
        <v>3.3399999999999999E-2</v>
      </c>
      <c r="AD280" s="30">
        <f t="shared" si="154"/>
        <v>114.66</v>
      </c>
      <c r="AE280" s="11">
        <f t="shared" si="157"/>
        <v>3</v>
      </c>
      <c r="AF280" s="31">
        <f t="shared" si="149"/>
        <v>118.04</v>
      </c>
    </row>
    <row r="281" spans="1:32" x14ac:dyDescent="0.25">
      <c r="A281" s="5">
        <v>34850</v>
      </c>
      <c r="B281" s="10">
        <v>89.8</v>
      </c>
      <c r="C281" s="18">
        <f t="shared" si="150"/>
        <v>90.5</v>
      </c>
      <c r="D281" s="38">
        <f t="shared" si="151"/>
        <v>-1.52E-2</v>
      </c>
      <c r="E281" s="29">
        <f t="shared" si="152"/>
        <v>-1.8599999999999998E-2</v>
      </c>
      <c r="F281">
        <v>641155</v>
      </c>
      <c r="G281">
        <f t="shared" si="155"/>
        <v>643708</v>
      </c>
      <c r="H281" s="38">
        <f t="shared" si="153"/>
        <v>2.7400000000000001E-2</v>
      </c>
      <c r="I281" s="13">
        <f t="shared" si="156"/>
        <v>2.1600000000000001E-2</v>
      </c>
      <c r="J281">
        <v>-0.31</v>
      </c>
      <c r="K281">
        <f t="shared" si="135"/>
        <v>99.69</v>
      </c>
      <c r="L281" s="29">
        <f t="shared" si="136"/>
        <v>-3.0000000000000001E-3</v>
      </c>
      <c r="M281">
        <v>1.1399999999999999</v>
      </c>
      <c r="N281">
        <f t="shared" si="137"/>
        <v>101.14</v>
      </c>
      <c r="O281" s="13">
        <f t="shared" si="138"/>
        <v>-2.7000000000000001E-3</v>
      </c>
      <c r="P281">
        <v>73.099999999999994</v>
      </c>
      <c r="Q281">
        <f t="shared" si="139"/>
        <v>72.867000000000004</v>
      </c>
      <c r="R281" s="13">
        <f t="shared" si="140"/>
        <v>3.3999999999999998E-3</v>
      </c>
      <c r="S281">
        <v>105</v>
      </c>
      <c r="T281">
        <f t="shared" si="141"/>
        <v>105.8</v>
      </c>
      <c r="U281" s="13">
        <f t="shared" si="142"/>
        <v>-8.9999999999999993E-3</v>
      </c>
      <c r="V281">
        <v>181702</v>
      </c>
      <c r="W281" s="18">
        <f t="shared" si="143"/>
        <v>180723</v>
      </c>
      <c r="X281" s="38">
        <f t="shared" si="144"/>
        <v>-1.1000000000000001E-3</v>
      </c>
      <c r="Y281" s="29">
        <f t="shared" si="145"/>
        <v>2.9999999999999997E-4</v>
      </c>
      <c r="Z281">
        <v>49.188299999999998</v>
      </c>
      <c r="AA281" s="18">
        <f t="shared" si="146"/>
        <v>47.81</v>
      </c>
      <c r="AB281" s="38">
        <f t="shared" si="147"/>
        <v>9.06E-2</v>
      </c>
      <c r="AC281" s="13">
        <f t="shared" si="148"/>
        <v>3.3000000000000002E-2</v>
      </c>
      <c r="AD281" s="30">
        <f t="shared" si="154"/>
        <v>114.66</v>
      </c>
      <c r="AE281" s="11">
        <f t="shared" si="157"/>
        <v>3</v>
      </c>
      <c r="AF281" s="31">
        <f t="shared" si="149"/>
        <v>123.93</v>
      </c>
    </row>
    <row r="282" spans="1:32" x14ac:dyDescent="0.25">
      <c r="A282" s="5">
        <v>34819</v>
      </c>
      <c r="B282" s="10">
        <v>92.5</v>
      </c>
      <c r="C282" s="18">
        <f t="shared" si="150"/>
        <v>92</v>
      </c>
      <c r="D282" s="38">
        <f t="shared" si="151"/>
        <v>-4.3E-3</v>
      </c>
      <c r="E282" s="29">
        <f t="shared" si="152"/>
        <v>-1.7600000000000001E-2</v>
      </c>
      <c r="F282">
        <v>645296</v>
      </c>
      <c r="G282">
        <f t="shared" si="155"/>
        <v>644107</v>
      </c>
      <c r="H282" s="38">
        <f t="shared" si="153"/>
        <v>3.4799999999999998E-2</v>
      </c>
      <c r="I282" s="13">
        <f t="shared" si="156"/>
        <v>2.7799999999999998E-2</v>
      </c>
      <c r="J282">
        <v>-0.02</v>
      </c>
      <c r="K282">
        <f t="shared" si="135"/>
        <v>99.98</v>
      </c>
      <c r="L282" s="29">
        <f t="shared" si="136"/>
        <v>-1.8E-3</v>
      </c>
      <c r="M282">
        <v>1.53</v>
      </c>
      <c r="N282">
        <f t="shared" si="137"/>
        <v>101.53</v>
      </c>
      <c r="O282" s="13">
        <f t="shared" si="138"/>
        <v>-1.9E-3</v>
      </c>
      <c r="P282">
        <v>72.88</v>
      </c>
      <c r="Q282">
        <f t="shared" si="139"/>
        <v>72.632999999999996</v>
      </c>
      <c r="R282" s="13">
        <f t="shared" si="140"/>
        <v>3.5999999999999999E-3</v>
      </c>
      <c r="S282">
        <v>105.9</v>
      </c>
      <c r="T282">
        <f t="shared" si="141"/>
        <v>107.233</v>
      </c>
      <c r="U282" s="13">
        <f t="shared" si="142"/>
        <v>2.8E-3</v>
      </c>
      <c r="V282">
        <v>180996</v>
      </c>
      <c r="W282" s="18">
        <f t="shared" si="143"/>
        <v>180964</v>
      </c>
      <c r="X282" s="38">
        <f t="shared" si="144"/>
        <v>5.3E-3</v>
      </c>
      <c r="Y282" s="29">
        <f t="shared" si="145"/>
        <v>4.0000000000000002E-4</v>
      </c>
      <c r="Z282">
        <v>47.754840000000002</v>
      </c>
      <c r="AA282" s="18">
        <f t="shared" si="146"/>
        <v>46.61</v>
      </c>
      <c r="AB282" s="38">
        <f t="shared" si="147"/>
        <v>9.0800000000000006E-2</v>
      </c>
      <c r="AC282" s="13">
        <f t="shared" si="148"/>
        <v>2.7300000000000001E-2</v>
      </c>
      <c r="AD282" s="30">
        <f t="shared" si="154"/>
        <v>124.79</v>
      </c>
      <c r="AE282" s="11">
        <f t="shared" si="157"/>
        <v>3</v>
      </c>
      <c r="AF282" s="31">
        <f t="shared" si="149"/>
        <v>135.44</v>
      </c>
    </row>
    <row r="283" spans="1:32" x14ac:dyDescent="0.25">
      <c r="A283" s="5">
        <v>34789</v>
      </c>
      <c r="B283" s="10">
        <v>90.3</v>
      </c>
      <c r="C283" s="18">
        <f t="shared" si="150"/>
        <v>91.5</v>
      </c>
      <c r="D283" s="38">
        <f t="shared" si="151"/>
        <v>-1.1000000000000001E-3</v>
      </c>
      <c r="E283" s="29">
        <f t="shared" si="152"/>
        <v>-9.4000000000000004E-3</v>
      </c>
      <c r="F283">
        <v>644674</v>
      </c>
      <c r="G283">
        <f t="shared" si="155"/>
        <v>639598</v>
      </c>
      <c r="H283" s="38">
        <f t="shared" si="153"/>
        <v>3.7400000000000003E-2</v>
      </c>
      <c r="I283" s="13">
        <f t="shared" si="156"/>
        <v>2.8000000000000001E-2</v>
      </c>
      <c r="J283">
        <v>0.31</v>
      </c>
      <c r="K283">
        <f t="shared" si="135"/>
        <v>100.31</v>
      </c>
      <c r="L283" s="29">
        <f t="shared" si="136"/>
        <v>-1.1999999999999999E-3</v>
      </c>
      <c r="M283">
        <v>1.62</v>
      </c>
      <c r="N283">
        <f t="shared" si="137"/>
        <v>101.62</v>
      </c>
      <c r="O283" s="13">
        <f t="shared" si="138"/>
        <v>-1.6999999999999999E-3</v>
      </c>
      <c r="P283">
        <v>72.62</v>
      </c>
      <c r="Q283">
        <f t="shared" si="139"/>
        <v>72.387</v>
      </c>
      <c r="R283" s="13">
        <f t="shared" si="140"/>
        <v>3.7000000000000002E-3</v>
      </c>
      <c r="S283">
        <v>106.5</v>
      </c>
      <c r="T283">
        <f t="shared" si="141"/>
        <v>109.267</v>
      </c>
      <c r="U283" s="13">
        <f t="shared" si="142"/>
        <v>1.6899999999999998E-2</v>
      </c>
      <c r="V283">
        <v>179472</v>
      </c>
      <c r="W283" s="18">
        <f t="shared" si="143"/>
        <v>181129</v>
      </c>
      <c r="X283" s="38">
        <f t="shared" si="144"/>
        <v>1.26E-2</v>
      </c>
      <c r="Y283" s="29">
        <f t="shared" si="145"/>
        <v>-1.5E-3</v>
      </c>
      <c r="Z283">
        <v>46.480080000000001</v>
      </c>
      <c r="AA283" s="18">
        <f t="shared" si="146"/>
        <v>45.65</v>
      </c>
      <c r="AB283" s="38">
        <f t="shared" si="147"/>
        <v>9.6000000000000002E-2</v>
      </c>
      <c r="AC283" s="13">
        <f t="shared" si="148"/>
        <v>2.3699999999999999E-2</v>
      </c>
      <c r="AD283" s="30">
        <f t="shared" si="154"/>
        <v>132.33000000000001</v>
      </c>
      <c r="AE283" s="11">
        <f t="shared" si="157"/>
        <v>3</v>
      </c>
      <c r="AF283" s="31">
        <f t="shared" si="149"/>
        <v>144.96</v>
      </c>
    </row>
    <row r="284" spans="1:32" x14ac:dyDescent="0.25">
      <c r="A284" s="5">
        <v>34758</v>
      </c>
      <c r="B284" s="10">
        <v>95.1</v>
      </c>
      <c r="C284" s="18">
        <f t="shared" si="150"/>
        <v>95.7</v>
      </c>
      <c r="D284" s="38">
        <f t="shared" si="151"/>
        <v>5.16E-2</v>
      </c>
      <c r="E284" s="29">
        <f t="shared" si="152"/>
        <v>1.34E-2</v>
      </c>
      <c r="F284">
        <v>642350</v>
      </c>
      <c r="G284">
        <f t="shared" si="155"/>
        <v>634044</v>
      </c>
      <c r="H284" s="38">
        <f t="shared" si="153"/>
        <v>3.6700000000000003E-2</v>
      </c>
      <c r="I284" s="13">
        <f t="shared" si="156"/>
        <v>2.64E-2</v>
      </c>
      <c r="J284">
        <v>0.66</v>
      </c>
      <c r="K284">
        <f t="shared" si="135"/>
        <v>100.66</v>
      </c>
      <c r="L284" s="29">
        <f t="shared" si="136"/>
        <v>2.9999999999999997E-4</v>
      </c>
      <c r="M284">
        <v>1.97</v>
      </c>
      <c r="N284">
        <f t="shared" si="137"/>
        <v>101.97</v>
      </c>
      <c r="O284" s="13">
        <f t="shared" si="138"/>
        <v>-2.9999999999999997E-4</v>
      </c>
      <c r="P284">
        <v>72.400000000000006</v>
      </c>
      <c r="Q284">
        <f t="shared" si="139"/>
        <v>72.12</v>
      </c>
      <c r="R284" s="13">
        <f t="shared" si="140"/>
        <v>3.7000000000000002E-3</v>
      </c>
      <c r="S284">
        <v>109.3</v>
      </c>
      <c r="T284">
        <f t="shared" si="141"/>
        <v>108.733</v>
      </c>
      <c r="U284" s="13">
        <f t="shared" si="142"/>
        <v>1.6500000000000001E-2</v>
      </c>
      <c r="V284">
        <v>182423</v>
      </c>
      <c r="W284" s="18">
        <f t="shared" si="143"/>
        <v>181537</v>
      </c>
      <c r="X284" s="38">
        <f t="shared" si="144"/>
        <v>2.5899999999999999E-2</v>
      </c>
      <c r="Y284" s="29">
        <f t="shared" si="145"/>
        <v>5.1000000000000004E-3</v>
      </c>
      <c r="Z284">
        <v>45.603090000000002</v>
      </c>
      <c r="AA284" s="18">
        <f t="shared" si="146"/>
        <v>44.8</v>
      </c>
      <c r="AB284" s="38">
        <f t="shared" si="147"/>
        <v>9.9900000000000003E-2</v>
      </c>
      <c r="AC284" s="13">
        <f t="shared" si="148"/>
        <v>2.6499999999999999E-2</v>
      </c>
      <c r="AD284" s="30">
        <f t="shared" si="154"/>
        <v>149.19</v>
      </c>
      <c r="AE284" s="11">
        <f t="shared" si="157"/>
        <v>3</v>
      </c>
      <c r="AF284" s="31">
        <f t="shared" si="149"/>
        <v>148.43</v>
      </c>
    </row>
    <row r="285" spans="1:32" x14ac:dyDescent="0.25">
      <c r="A285" s="5">
        <v>34730</v>
      </c>
      <c r="B285" s="10">
        <v>97.6</v>
      </c>
      <c r="C285" s="18">
        <f t="shared" si="150"/>
        <v>97</v>
      </c>
      <c r="D285" s="38">
        <f t="shared" si="151"/>
        <v>8.2600000000000007E-2</v>
      </c>
      <c r="E285" s="29">
        <f t="shared" si="152"/>
        <v>1.6500000000000001E-2</v>
      </c>
      <c r="F285">
        <v>631771</v>
      </c>
      <c r="G285">
        <f t="shared" si="155"/>
        <v>626548</v>
      </c>
      <c r="H285" s="38">
        <f t="shared" si="153"/>
        <v>3.5299999999999998E-2</v>
      </c>
      <c r="I285" s="13">
        <f t="shared" si="156"/>
        <v>2.6499999999999999E-2</v>
      </c>
      <c r="J285">
        <v>0.88</v>
      </c>
      <c r="K285">
        <f t="shared" si="135"/>
        <v>100.88</v>
      </c>
      <c r="L285" s="29">
        <f t="shared" si="136"/>
        <v>5.9999999999999995E-4</v>
      </c>
      <c r="M285">
        <v>2.1</v>
      </c>
      <c r="N285">
        <f t="shared" si="137"/>
        <v>102.1</v>
      </c>
      <c r="O285" s="13">
        <f t="shared" si="138"/>
        <v>2.0000000000000001E-4</v>
      </c>
      <c r="P285">
        <v>72.14</v>
      </c>
      <c r="Q285">
        <f t="shared" si="139"/>
        <v>71.852999999999994</v>
      </c>
      <c r="R285" s="13">
        <f t="shared" si="140"/>
        <v>3.7000000000000002E-3</v>
      </c>
      <c r="S285">
        <v>112</v>
      </c>
      <c r="T285">
        <f t="shared" si="141"/>
        <v>106.333</v>
      </c>
      <c r="U285" s="13">
        <f t="shared" si="142"/>
        <v>1.8E-3</v>
      </c>
      <c r="V285">
        <v>181492</v>
      </c>
      <c r="W285" s="18">
        <f t="shared" si="143"/>
        <v>180919</v>
      </c>
      <c r="X285" s="38">
        <f t="shared" si="144"/>
        <v>3.1099999999999999E-2</v>
      </c>
      <c r="Y285" s="29">
        <f t="shared" si="145"/>
        <v>5.8999999999999999E-3</v>
      </c>
      <c r="Z285">
        <v>44.871220000000001</v>
      </c>
      <c r="AA285" s="18">
        <f t="shared" si="146"/>
        <v>43.84</v>
      </c>
      <c r="AB285" s="38">
        <f t="shared" si="147"/>
        <v>9.5200000000000007E-2</v>
      </c>
      <c r="AC285" s="13">
        <f t="shared" si="148"/>
        <v>3.1800000000000002E-2</v>
      </c>
      <c r="AD285" s="30">
        <f t="shared" si="154"/>
        <v>153.36000000000001</v>
      </c>
      <c r="AE285" s="11">
        <f t="shared" si="157"/>
        <v>3</v>
      </c>
      <c r="AF285" s="31">
        <f t="shared" si="149"/>
        <v>143.51</v>
      </c>
    </row>
    <row r="286" spans="1:32" x14ac:dyDescent="0.25">
      <c r="A286" s="5">
        <v>34699</v>
      </c>
      <c r="B286" s="10">
        <v>95.1</v>
      </c>
      <c r="C286" s="18">
        <f t="shared" si="150"/>
        <v>94.2</v>
      </c>
      <c r="D286" s="38">
        <f t="shared" si="151"/>
        <v>2.8400000000000002E-2</v>
      </c>
      <c r="E286" s="29">
        <f t="shared" si="152"/>
        <v>9.4000000000000004E-3</v>
      </c>
      <c r="F286">
        <v>628011</v>
      </c>
      <c r="G286">
        <f t="shared" si="155"/>
        <v>622451</v>
      </c>
      <c r="H286" s="38">
        <f t="shared" si="153"/>
        <v>3.6299999999999999E-2</v>
      </c>
      <c r="I286" s="13">
        <f t="shared" si="156"/>
        <v>2.75E-2</v>
      </c>
      <c r="J286">
        <v>0.71</v>
      </c>
      <c r="K286">
        <f t="shared" si="135"/>
        <v>100.71</v>
      </c>
      <c r="L286" s="29">
        <f t="shared" si="136"/>
        <v>4.0000000000000002E-4</v>
      </c>
      <c r="M286">
        <v>2.14</v>
      </c>
      <c r="N286">
        <f t="shared" si="137"/>
        <v>102.14</v>
      </c>
      <c r="O286" s="13">
        <f t="shared" si="138"/>
        <v>-8.0000000000000004E-4</v>
      </c>
      <c r="P286">
        <v>71.819999999999993</v>
      </c>
      <c r="Q286">
        <f t="shared" si="139"/>
        <v>71.582999999999998</v>
      </c>
      <c r="R286" s="13">
        <f t="shared" si="140"/>
        <v>3.7000000000000002E-3</v>
      </c>
      <c r="S286">
        <v>104.9</v>
      </c>
      <c r="T286">
        <f t="shared" si="141"/>
        <v>103.867</v>
      </c>
      <c r="U286" s="13">
        <f t="shared" si="142"/>
        <v>-6.8999999999999999E-3</v>
      </c>
      <c r="V286">
        <v>180695</v>
      </c>
      <c r="W286" s="18">
        <f t="shared" si="143"/>
        <v>180013</v>
      </c>
      <c r="X286" s="38">
        <f t="shared" si="144"/>
        <v>3.5700000000000003E-2</v>
      </c>
      <c r="Y286" s="29">
        <f t="shared" si="145"/>
        <v>8.3000000000000001E-3</v>
      </c>
      <c r="Z286">
        <v>43.918439999999997</v>
      </c>
      <c r="AA286" s="18">
        <f t="shared" si="146"/>
        <v>42.73</v>
      </c>
      <c r="AB286" s="38">
        <f t="shared" si="147"/>
        <v>8.3099999999999993E-2</v>
      </c>
      <c r="AC286" s="13">
        <f t="shared" si="148"/>
        <v>3.3300000000000003E-2</v>
      </c>
      <c r="AD286" s="30">
        <f t="shared" si="154"/>
        <v>142.74</v>
      </c>
      <c r="AE286" s="11">
        <f t="shared" si="157"/>
        <v>3</v>
      </c>
      <c r="AF286" s="31">
        <f t="shared" si="149"/>
        <v>136.88999999999999</v>
      </c>
    </row>
    <row r="287" spans="1:32" x14ac:dyDescent="0.25">
      <c r="A287" s="5">
        <v>34668</v>
      </c>
      <c r="B287" s="10">
        <v>91.6</v>
      </c>
      <c r="C287" s="18">
        <f t="shared" si="150"/>
        <v>91.9</v>
      </c>
      <c r="D287" s="38">
        <f t="shared" si="151"/>
        <v>-9.7000000000000003E-3</v>
      </c>
      <c r="E287" s="29">
        <f t="shared" si="152"/>
        <v>3.3E-3</v>
      </c>
      <c r="F287">
        <v>619861</v>
      </c>
      <c r="G287">
        <f t="shared" si="155"/>
        <v>616545</v>
      </c>
      <c r="H287" s="38">
        <f t="shared" si="153"/>
        <v>3.2099999999999997E-2</v>
      </c>
      <c r="I287" s="13">
        <f t="shared" si="156"/>
        <v>2.52E-2</v>
      </c>
      <c r="J287">
        <v>0.78</v>
      </c>
      <c r="K287">
        <f t="shared" si="135"/>
        <v>100.78</v>
      </c>
      <c r="L287" s="29">
        <f t="shared" si="136"/>
        <v>4.0000000000000002E-4</v>
      </c>
      <c r="M287">
        <v>2.06</v>
      </c>
      <c r="N287">
        <f t="shared" si="137"/>
        <v>102.06</v>
      </c>
      <c r="O287" s="13">
        <f t="shared" si="138"/>
        <v>-2.9999999999999997E-4</v>
      </c>
      <c r="P287">
        <v>71.599999999999994</v>
      </c>
      <c r="Q287">
        <f t="shared" si="139"/>
        <v>71.326999999999998</v>
      </c>
      <c r="R287" s="13">
        <f t="shared" si="140"/>
        <v>3.8E-3</v>
      </c>
      <c r="S287">
        <v>102.1</v>
      </c>
      <c r="T287">
        <f t="shared" si="141"/>
        <v>103.56699999999999</v>
      </c>
      <c r="U287" s="13">
        <f t="shared" si="142"/>
        <v>-8.3000000000000001E-3</v>
      </c>
      <c r="V287">
        <v>180569</v>
      </c>
      <c r="W287" s="18">
        <f t="shared" si="143"/>
        <v>178878</v>
      </c>
      <c r="X287" s="38">
        <f t="shared" si="144"/>
        <v>3.2500000000000001E-2</v>
      </c>
      <c r="Y287" s="29">
        <f t="shared" si="145"/>
        <v>8.8999999999999999E-3</v>
      </c>
      <c r="Z287">
        <v>42.722450000000002</v>
      </c>
      <c r="AA287" s="18">
        <f t="shared" si="146"/>
        <v>41.65</v>
      </c>
      <c r="AB287" s="38">
        <f t="shared" si="147"/>
        <v>7.2300000000000003E-2</v>
      </c>
      <c r="AC287" s="13">
        <f t="shared" si="148"/>
        <v>2.9000000000000001E-2</v>
      </c>
      <c r="AD287" s="30">
        <f t="shared" si="154"/>
        <v>134.41999999999999</v>
      </c>
      <c r="AE287" s="11">
        <f t="shared" si="157"/>
        <v>3</v>
      </c>
      <c r="AF287" s="31">
        <f t="shared" si="149"/>
        <v>133.4</v>
      </c>
    </row>
    <row r="288" spans="1:32" x14ac:dyDescent="0.25">
      <c r="A288" s="5">
        <v>34638</v>
      </c>
      <c r="B288" s="10">
        <v>92.7</v>
      </c>
      <c r="C288" s="18">
        <f t="shared" si="150"/>
        <v>92.4</v>
      </c>
      <c r="D288" s="38">
        <f t="shared" si="151"/>
        <v>1.1000000000000001E-3</v>
      </c>
      <c r="E288" s="29">
        <f t="shared" si="152"/>
        <v>1.03E-2</v>
      </c>
      <c r="F288">
        <v>619481</v>
      </c>
      <c r="G288">
        <f t="shared" si="155"/>
        <v>611617</v>
      </c>
      <c r="H288" s="38">
        <f t="shared" si="153"/>
        <v>3.0599999999999999E-2</v>
      </c>
      <c r="I288" s="13">
        <f t="shared" si="156"/>
        <v>2.18E-2</v>
      </c>
      <c r="J288">
        <v>0.55000000000000004</v>
      </c>
      <c r="K288">
        <f t="shared" si="135"/>
        <v>100.55</v>
      </c>
      <c r="L288" s="29">
        <f t="shared" si="136"/>
        <v>-8.0000000000000004E-4</v>
      </c>
      <c r="M288">
        <v>2.0499999999999998</v>
      </c>
      <c r="N288">
        <f t="shared" si="137"/>
        <v>102.05</v>
      </c>
      <c r="O288" s="13">
        <f t="shared" si="138"/>
        <v>-2.9999999999999997E-4</v>
      </c>
      <c r="P288">
        <v>71.33</v>
      </c>
      <c r="Q288">
        <f t="shared" si="139"/>
        <v>71.057000000000002</v>
      </c>
      <c r="R288" s="13">
        <f t="shared" si="140"/>
        <v>3.8E-3</v>
      </c>
      <c r="S288">
        <v>104.6</v>
      </c>
      <c r="T288">
        <f t="shared" si="141"/>
        <v>105.767</v>
      </c>
      <c r="U288" s="13">
        <f t="shared" si="142"/>
        <v>1.1999999999999999E-3</v>
      </c>
      <c r="V288">
        <v>178776</v>
      </c>
      <c r="W288" s="18">
        <f t="shared" si="143"/>
        <v>176955</v>
      </c>
      <c r="X288" s="38">
        <f t="shared" si="144"/>
        <v>2.4400000000000002E-2</v>
      </c>
      <c r="Y288" s="29">
        <f t="shared" si="145"/>
        <v>9.1999999999999998E-3</v>
      </c>
      <c r="Z288">
        <v>41.563630000000003</v>
      </c>
      <c r="AA288" s="18">
        <f t="shared" si="146"/>
        <v>40.729999999999997</v>
      </c>
      <c r="AB288" s="38">
        <f t="shared" si="147"/>
        <v>6.93E-2</v>
      </c>
      <c r="AC288" s="13">
        <f t="shared" si="148"/>
        <v>2.2700000000000001E-2</v>
      </c>
      <c r="AD288" s="30">
        <f t="shared" si="154"/>
        <v>133.51</v>
      </c>
      <c r="AE288" s="11">
        <f t="shared" si="157"/>
        <v>3</v>
      </c>
      <c r="AF288" s="31">
        <f t="shared" si="149"/>
        <v>131.63999999999999</v>
      </c>
    </row>
    <row r="289" spans="1:32" x14ac:dyDescent="0.25">
      <c r="A289" s="5">
        <v>34607</v>
      </c>
      <c r="B289" s="10">
        <v>91.5</v>
      </c>
      <c r="C289" s="18">
        <f t="shared" si="150"/>
        <v>91.6</v>
      </c>
      <c r="D289" s="38">
        <f t="shared" si="151"/>
        <v>-3.3E-3</v>
      </c>
      <c r="E289" s="29">
        <f t="shared" si="152"/>
        <v>0</v>
      </c>
      <c r="F289">
        <v>610294</v>
      </c>
      <c r="G289">
        <f t="shared" si="155"/>
        <v>605182</v>
      </c>
      <c r="H289" s="38">
        <f t="shared" si="153"/>
        <v>2.69E-2</v>
      </c>
      <c r="I289" s="13">
        <f t="shared" si="156"/>
        <v>1.95E-2</v>
      </c>
      <c r="J289">
        <v>0.64</v>
      </c>
      <c r="K289">
        <f t="shared" si="135"/>
        <v>100.64</v>
      </c>
      <c r="L289" s="29">
        <f t="shared" si="136"/>
        <v>-1E-4</v>
      </c>
      <c r="M289">
        <v>2.38</v>
      </c>
      <c r="N289">
        <f t="shared" si="137"/>
        <v>102.38</v>
      </c>
      <c r="O289" s="13">
        <f t="shared" si="138"/>
        <v>1.1000000000000001E-3</v>
      </c>
      <c r="P289">
        <v>71.05</v>
      </c>
      <c r="Q289">
        <f t="shared" si="139"/>
        <v>70.793000000000006</v>
      </c>
      <c r="R289" s="13">
        <f t="shared" si="140"/>
        <v>3.8999999999999998E-3</v>
      </c>
      <c r="S289">
        <v>104</v>
      </c>
      <c r="T289">
        <f t="shared" si="141"/>
        <v>106.033</v>
      </c>
      <c r="U289" s="13">
        <f t="shared" si="142"/>
        <v>-8.0000000000000004E-4</v>
      </c>
      <c r="V289">
        <v>177289</v>
      </c>
      <c r="W289" s="18">
        <f t="shared" si="143"/>
        <v>175466</v>
      </c>
      <c r="X289" s="38">
        <f t="shared" si="144"/>
        <v>2.1100000000000001E-2</v>
      </c>
      <c r="Y289" s="29">
        <f t="shared" si="145"/>
        <v>6.0000000000000001E-3</v>
      </c>
      <c r="Z289">
        <v>40.650509999999997</v>
      </c>
      <c r="AA289" s="18">
        <f t="shared" si="146"/>
        <v>40.03</v>
      </c>
      <c r="AB289" s="38">
        <f t="shared" si="147"/>
        <v>7.46E-2</v>
      </c>
      <c r="AC289" s="13">
        <f t="shared" si="148"/>
        <v>1.8599999999999998E-2</v>
      </c>
      <c r="AD289" s="30">
        <f t="shared" si="154"/>
        <v>132.26</v>
      </c>
      <c r="AE289" s="11">
        <f t="shared" si="157"/>
        <v>3</v>
      </c>
      <c r="AF289" s="31">
        <f t="shared" si="149"/>
        <v>130.38</v>
      </c>
    </row>
    <row r="290" spans="1:32" x14ac:dyDescent="0.25">
      <c r="A290" s="5">
        <v>34577</v>
      </c>
      <c r="B290" s="10">
        <v>91.7</v>
      </c>
      <c r="C290" s="18">
        <f t="shared" si="150"/>
        <v>91</v>
      </c>
      <c r="D290" s="38">
        <f t="shared" si="151"/>
        <v>-2.6700000000000002E-2</v>
      </c>
      <c r="E290" s="29">
        <f t="shared" si="152"/>
        <v>-6.6E-3</v>
      </c>
      <c r="F290">
        <v>605075</v>
      </c>
      <c r="G290">
        <f t="shared" si="155"/>
        <v>600655</v>
      </c>
      <c r="H290" s="38">
        <f t="shared" si="153"/>
        <v>2.98E-2</v>
      </c>
      <c r="I290" s="13">
        <f t="shared" si="156"/>
        <v>2.1700000000000001E-2</v>
      </c>
      <c r="J290">
        <v>0.55000000000000004</v>
      </c>
      <c r="K290">
        <f t="shared" si="135"/>
        <v>100.55</v>
      </c>
      <c r="L290" s="29">
        <f t="shared" si="136"/>
        <v>-1E-4</v>
      </c>
      <c r="M290">
        <v>2.14</v>
      </c>
      <c r="N290">
        <f t="shared" si="137"/>
        <v>102.14</v>
      </c>
      <c r="O290" s="13">
        <f t="shared" si="138"/>
        <v>2.0000000000000001E-4</v>
      </c>
      <c r="P290">
        <v>70.790000000000006</v>
      </c>
      <c r="Q290">
        <f t="shared" si="139"/>
        <v>70.52</v>
      </c>
      <c r="R290" s="13">
        <f t="shared" si="140"/>
        <v>3.8E-3</v>
      </c>
      <c r="S290">
        <v>108.7</v>
      </c>
      <c r="T290">
        <f t="shared" si="141"/>
        <v>106.2</v>
      </c>
      <c r="U290" s="13">
        <f t="shared" si="142"/>
        <v>2.8999999999999998E-3</v>
      </c>
      <c r="V290">
        <v>174801</v>
      </c>
      <c r="W290" s="18">
        <f t="shared" si="143"/>
        <v>173816</v>
      </c>
      <c r="X290" s="38">
        <f t="shared" si="144"/>
        <v>2.2599999999999999E-2</v>
      </c>
      <c r="Y290" s="29">
        <f t="shared" si="145"/>
        <v>2.8999999999999998E-3</v>
      </c>
      <c r="Z290">
        <v>39.981169999999999</v>
      </c>
      <c r="AA290" s="18">
        <f t="shared" si="146"/>
        <v>39.450000000000003</v>
      </c>
      <c r="AB290" s="38">
        <f t="shared" si="147"/>
        <v>8.14E-2</v>
      </c>
      <c r="AC290" s="13">
        <f t="shared" si="148"/>
        <v>1.9099999999999999E-2</v>
      </c>
      <c r="AD290" s="30">
        <f t="shared" si="154"/>
        <v>129.13999999999999</v>
      </c>
      <c r="AE290" s="11">
        <f t="shared" si="157"/>
        <v>3</v>
      </c>
      <c r="AF290" s="31">
        <f t="shared" si="149"/>
        <v>133.94999999999999</v>
      </c>
    </row>
    <row r="291" spans="1:32" x14ac:dyDescent="0.25">
      <c r="A291" s="5">
        <v>34546</v>
      </c>
      <c r="B291" s="10">
        <v>89</v>
      </c>
      <c r="C291" s="18">
        <f t="shared" si="150"/>
        <v>89.6</v>
      </c>
      <c r="D291" s="38">
        <f t="shared" si="151"/>
        <v>-3.4500000000000003E-2</v>
      </c>
      <c r="E291" s="29">
        <f t="shared" si="152"/>
        <v>-9.7999999999999997E-3</v>
      </c>
      <c r="F291">
        <v>600178</v>
      </c>
      <c r="G291">
        <f t="shared" si="155"/>
        <v>597358</v>
      </c>
      <c r="H291" s="38">
        <f t="shared" si="153"/>
        <v>3.04E-2</v>
      </c>
      <c r="I291" s="13">
        <f t="shared" si="156"/>
        <v>2.3900000000000001E-2</v>
      </c>
      <c r="J291">
        <v>0.63</v>
      </c>
      <c r="K291">
        <f t="shared" si="135"/>
        <v>100.63</v>
      </c>
      <c r="L291" s="29">
        <f t="shared" si="136"/>
        <v>6.9999999999999999E-4</v>
      </c>
      <c r="M291">
        <v>2.15</v>
      </c>
      <c r="N291">
        <f t="shared" si="137"/>
        <v>102.15</v>
      </c>
      <c r="O291" s="13">
        <f t="shared" si="138"/>
        <v>6.9999999999999999E-4</v>
      </c>
      <c r="P291">
        <v>70.540000000000006</v>
      </c>
      <c r="Q291">
        <f t="shared" si="139"/>
        <v>70.25</v>
      </c>
      <c r="R291" s="13">
        <f t="shared" si="140"/>
        <v>3.5999999999999999E-3</v>
      </c>
      <c r="S291">
        <v>105.4</v>
      </c>
      <c r="T291">
        <f t="shared" si="141"/>
        <v>105.4</v>
      </c>
      <c r="U291" s="13">
        <f t="shared" si="142"/>
        <v>-1.6999999999999999E-3</v>
      </c>
      <c r="V291">
        <v>174307</v>
      </c>
      <c r="W291" s="18">
        <f t="shared" si="143"/>
        <v>173249</v>
      </c>
      <c r="X291" s="38">
        <f t="shared" si="144"/>
        <v>2.87E-2</v>
      </c>
      <c r="Y291" s="29">
        <f t="shared" si="145"/>
        <v>6.7999999999999996E-3</v>
      </c>
      <c r="Z291">
        <v>39.459879999999998</v>
      </c>
      <c r="AA291" s="18">
        <f t="shared" si="146"/>
        <v>38.840000000000003</v>
      </c>
      <c r="AB291" s="38">
        <f t="shared" si="147"/>
        <v>8.2500000000000004E-2</v>
      </c>
      <c r="AC291" s="13">
        <f t="shared" si="148"/>
        <v>2.3699999999999999E-2</v>
      </c>
      <c r="AD291" s="30">
        <f t="shared" si="154"/>
        <v>129.72999999999999</v>
      </c>
      <c r="AE291" s="11">
        <f t="shared" si="157"/>
        <v>3</v>
      </c>
      <c r="AF291" s="31">
        <f t="shared" si="149"/>
        <v>139.75</v>
      </c>
    </row>
    <row r="292" spans="1:32" x14ac:dyDescent="0.25">
      <c r="A292" s="5">
        <v>34515</v>
      </c>
      <c r="B292" s="10">
        <v>91.2</v>
      </c>
      <c r="C292" s="18">
        <f t="shared" si="150"/>
        <v>91.6</v>
      </c>
      <c r="D292" s="38">
        <f t="shared" si="151"/>
        <v>5.8999999999999997E-2</v>
      </c>
      <c r="E292" s="29">
        <f t="shared" si="152"/>
        <v>-1.1000000000000001E-3</v>
      </c>
      <c r="F292">
        <v>596712</v>
      </c>
      <c r="G292">
        <f t="shared" si="155"/>
        <v>593451</v>
      </c>
      <c r="H292" s="38">
        <f t="shared" si="153"/>
        <v>2.8000000000000001E-2</v>
      </c>
      <c r="I292" s="13">
        <f t="shared" si="156"/>
        <v>2.23E-2</v>
      </c>
      <c r="J292">
        <v>0.88</v>
      </c>
      <c r="K292">
        <f t="shared" si="135"/>
        <v>100.88</v>
      </c>
      <c r="L292" s="29">
        <f t="shared" si="136"/>
        <v>1.1000000000000001E-3</v>
      </c>
      <c r="M292">
        <v>2.0499999999999998</v>
      </c>
      <c r="N292">
        <f t="shared" si="137"/>
        <v>102.05</v>
      </c>
      <c r="O292" s="13">
        <f t="shared" si="138"/>
        <v>4.0000000000000002E-4</v>
      </c>
      <c r="P292">
        <v>70.23</v>
      </c>
      <c r="Q292">
        <f t="shared" si="139"/>
        <v>69.972999999999999</v>
      </c>
      <c r="R292" s="13">
        <f t="shared" si="140"/>
        <v>3.3E-3</v>
      </c>
      <c r="S292">
        <v>104.5</v>
      </c>
      <c r="T292">
        <f t="shared" si="141"/>
        <v>106.3</v>
      </c>
      <c r="U292" s="13">
        <f t="shared" si="142"/>
        <v>2.7000000000000001E-3</v>
      </c>
      <c r="V292">
        <v>172340</v>
      </c>
      <c r="W292" s="18">
        <f t="shared" si="143"/>
        <v>172738</v>
      </c>
      <c r="X292" s="38">
        <f t="shared" si="144"/>
        <v>3.1899999999999998E-2</v>
      </c>
      <c r="Y292" s="29">
        <f t="shared" si="145"/>
        <v>7.1000000000000004E-3</v>
      </c>
      <c r="Z292">
        <v>38.914580000000001</v>
      </c>
      <c r="AA292" s="18">
        <f t="shared" si="146"/>
        <v>38.090000000000003</v>
      </c>
      <c r="AB292" s="38">
        <f t="shared" si="147"/>
        <v>7.6300000000000007E-2</v>
      </c>
      <c r="AC292" s="13">
        <f t="shared" si="148"/>
        <v>2.81E-2</v>
      </c>
      <c r="AD292" s="30">
        <f t="shared" si="154"/>
        <v>142.99</v>
      </c>
      <c r="AE292" s="11">
        <f t="shared" si="157"/>
        <v>3</v>
      </c>
      <c r="AF292" s="31">
        <f t="shared" si="149"/>
        <v>144.57</v>
      </c>
    </row>
    <row r="293" spans="1:32" x14ac:dyDescent="0.25">
      <c r="A293" s="5">
        <v>34485</v>
      </c>
      <c r="B293" s="10">
        <v>92.8</v>
      </c>
      <c r="C293" s="18">
        <f t="shared" si="150"/>
        <v>92.8</v>
      </c>
      <c r="D293" s="38">
        <f t="shared" si="151"/>
        <v>0.13730000000000001</v>
      </c>
      <c r="E293" s="29">
        <f t="shared" si="152"/>
        <v>-2.5000000000000001E-3</v>
      </c>
      <c r="F293">
        <v>595183</v>
      </c>
      <c r="G293">
        <f t="shared" si="155"/>
        <v>589321</v>
      </c>
      <c r="H293" s="38">
        <f t="shared" si="153"/>
        <v>2.4299999999999999E-2</v>
      </c>
      <c r="I293" s="13">
        <f t="shared" si="156"/>
        <v>1.7299999999999999E-2</v>
      </c>
      <c r="J293">
        <v>0.69</v>
      </c>
      <c r="K293">
        <f t="shared" si="135"/>
        <v>100.69</v>
      </c>
      <c r="L293" s="29">
        <f t="shared" si="136"/>
        <v>2.9999999999999997E-4</v>
      </c>
      <c r="M293">
        <v>2.09</v>
      </c>
      <c r="N293">
        <f t="shared" si="137"/>
        <v>102.09</v>
      </c>
      <c r="O293" s="13">
        <f t="shared" si="138"/>
        <v>5.0000000000000001E-4</v>
      </c>
      <c r="P293">
        <v>69.98</v>
      </c>
      <c r="Q293">
        <f t="shared" si="139"/>
        <v>69.727000000000004</v>
      </c>
      <c r="R293" s="13">
        <f t="shared" si="140"/>
        <v>3.3E-3</v>
      </c>
      <c r="S293">
        <v>106.3</v>
      </c>
      <c r="T293">
        <f t="shared" si="141"/>
        <v>105.267</v>
      </c>
      <c r="U293" s="13">
        <f t="shared" si="142"/>
        <v>-2.0999999999999999E-3</v>
      </c>
      <c r="V293">
        <v>173099</v>
      </c>
      <c r="W293" s="18">
        <f t="shared" si="143"/>
        <v>171842</v>
      </c>
      <c r="X293" s="38">
        <f t="shared" si="144"/>
        <v>3.2300000000000002E-2</v>
      </c>
      <c r="Y293" s="29">
        <f t="shared" si="145"/>
        <v>7.4000000000000003E-3</v>
      </c>
      <c r="Z293">
        <v>38.151350000000001</v>
      </c>
      <c r="AA293" s="18">
        <f t="shared" si="146"/>
        <v>37.25</v>
      </c>
      <c r="AB293" s="38">
        <f t="shared" si="147"/>
        <v>6.7000000000000004E-2</v>
      </c>
      <c r="AC293" s="13">
        <f t="shared" si="148"/>
        <v>2.7300000000000001E-2</v>
      </c>
      <c r="AD293" s="30">
        <f t="shared" si="154"/>
        <v>146.54</v>
      </c>
      <c r="AE293" s="11">
        <f t="shared" si="157"/>
        <v>3</v>
      </c>
      <c r="AF293" s="31">
        <f t="shared" si="149"/>
        <v>146.54</v>
      </c>
    </row>
    <row r="294" spans="1:32" x14ac:dyDescent="0.25">
      <c r="A294" s="5">
        <v>34454</v>
      </c>
      <c r="B294" s="10">
        <v>92.6</v>
      </c>
      <c r="C294" s="18">
        <f t="shared" si="150"/>
        <v>92.3</v>
      </c>
      <c r="D294" s="38">
        <f t="shared" si="151"/>
        <v>0.13250000000000001</v>
      </c>
      <c r="E294" s="29">
        <f t="shared" si="152"/>
        <v>-1.8E-3</v>
      </c>
      <c r="F294">
        <v>588458</v>
      </c>
      <c r="G294">
        <f t="shared" si="155"/>
        <v>583299</v>
      </c>
      <c r="H294" s="38">
        <f t="shared" si="153"/>
        <v>2.0299999999999999E-2</v>
      </c>
      <c r="I294" s="13">
        <f t="shared" si="156"/>
        <v>1.3899999999999999E-2</v>
      </c>
      <c r="J294">
        <v>0.59</v>
      </c>
      <c r="K294">
        <f t="shared" si="135"/>
        <v>100.59</v>
      </c>
      <c r="L294" s="29">
        <f t="shared" si="136"/>
        <v>2.0000000000000001E-4</v>
      </c>
      <c r="M294">
        <v>1.94</v>
      </c>
      <c r="N294">
        <f t="shared" si="137"/>
        <v>101.94</v>
      </c>
      <c r="O294" s="13">
        <f t="shared" si="138"/>
        <v>-1.1000000000000001E-3</v>
      </c>
      <c r="P294">
        <v>69.709999999999994</v>
      </c>
      <c r="Q294">
        <f t="shared" si="139"/>
        <v>69.503</v>
      </c>
      <c r="R294" s="13">
        <f t="shared" si="140"/>
        <v>3.3E-3</v>
      </c>
      <c r="S294">
        <v>108.1</v>
      </c>
      <c r="T294">
        <f t="shared" si="141"/>
        <v>105.93300000000001</v>
      </c>
      <c r="U294" s="13">
        <f t="shared" si="142"/>
        <v>1.0699999999999999E-2</v>
      </c>
      <c r="V294">
        <v>172775</v>
      </c>
      <c r="W294" s="18">
        <f t="shared" si="143"/>
        <v>169977</v>
      </c>
      <c r="X294" s="38">
        <f t="shared" si="144"/>
        <v>3.1E-2</v>
      </c>
      <c r="Y294" s="29">
        <f t="shared" si="145"/>
        <v>9.1999999999999998E-3</v>
      </c>
      <c r="Z294">
        <v>37.210639999999998</v>
      </c>
      <c r="AA294" s="18">
        <f t="shared" si="146"/>
        <v>36.479999999999997</v>
      </c>
      <c r="AB294" s="38">
        <f t="shared" si="147"/>
        <v>6.08E-2</v>
      </c>
      <c r="AC294" s="13">
        <f t="shared" si="148"/>
        <v>2.1899999999999999E-2</v>
      </c>
      <c r="AD294" s="30">
        <f t="shared" si="154"/>
        <v>144.18</v>
      </c>
      <c r="AE294" s="11">
        <f t="shared" si="157"/>
        <v>3</v>
      </c>
      <c r="AF294" s="31">
        <f t="shared" si="149"/>
        <v>149.97999999999999</v>
      </c>
    </row>
    <row r="295" spans="1:32" x14ac:dyDescent="0.25">
      <c r="A295" s="5">
        <v>34424</v>
      </c>
      <c r="B295" s="10">
        <v>91.5</v>
      </c>
      <c r="C295" s="18">
        <f t="shared" si="150"/>
        <v>91.9</v>
      </c>
      <c r="D295" s="38">
        <f t="shared" si="151"/>
        <v>0.1812</v>
      </c>
      <c r="E295" s="29">
        <f t="shared" si="152"/>
        <v>1.9800000000000002E-2</v>
      </c>
      <c r="F295">
        <v>584321</v>
      </c>
      <c r="G295">
        <f t="shared" si="155"/>
        <v>579714</v>
      </c>
      <c r="H295" s="38">
        <f t="shared" si="153"/>
        <v>2.0400000000000001E-2</v>
      </c>
      <c r="I295" s="13">
        <f t="shared" si="156"/>
        <v>1.5100000000000001E-2</v>
      </c>
      <c r="J295">
        <v>0.35</v>
      </c>
      <c r="K295">
        <f t="shared" si="135"/>
        <v>100.35</v>
      </c>
      <c r="L295" s="29">
        <f t="shared" si="136"/>
        <v>0</v>
      </c>
      <c r="M295">
        <v>1.94</v>
      </c>
      <c r="N295">
        <f t="shared" si="137"/>
        <v>101.94</v>
      </c>
      <c r="O295" s="13">
        <f t="shared" si="138"/>
        <v>-5.0000000000000001E-4</v>
      </c>
      <c r="P295">
        <v>69.489999999999995</v>
      </c>
      <c r="Q295">
        <f t="shared" si="139"/>
        <v>69.28</v>
      </c>
      <c r="R295" s="13">
        <f t="shared" si="140"/>
        <v>3.3E-3</v>
      </c>
      <c r="S295">
        <v>101.4</v>
      </c>
      <c r="T295">
        <f t="shared" si="141"/>
        <v>105.43300000000001</v>
      </c>
      <c r="U295" s="13">
        <f t="shared" si="142"/>
        <v>1.78E-2</v>
      </c>
      <c r="V295">
        <v>169652</v>
      </c>
      <c r="W295" s="18">
        <f t="shared" si="143"/>
        <v>168419</v>
      </c>
      <c r="X295" s="38">
        <f t="shared" si="144"/>
        <v>3.0099999999999998E-2</v>
      </c>
      <c r="Y295" s="29">
        <f t="shared" si="145"/>
        <v>7.4000000000000003E-3</v>
      </c>
      <c r="Z295">
        <v>36.39</v>
      </c>
      <c r="AA295" s="18">
        <f t="shared" si="146"/>
        <v>35.880000000000003</v>
      </c>
      <c r="AB295" s="38">
        <f t="shared" si="147"/>
        <v>5.8999999999999997E-2</v>
      </c>
      <c r="AC295" s="13">
        <f t="shared" si="148"/>
        <v>1.7299999999999999E-2</v>
      </c>
      <c r="AD295" s="30">
        <f t="shared" si="154"/>
        <v>148.91</v>
      </c>
      <c r="AE295" s="11">
        <f t="shared" si="157"/>
        <v>3</v>
      </c>
      <c r="AF295" s="31">
        <f t="shared" si="149"/>
        <v>153.06</v>
      </c>
    </row>
    <row r="296" spans="1:32" x14ac:dyDescent="0.25">
      <c r="A296" s="5">
        <v>34393</v>
      </c>
      <c r="B296" s="10">
        <v>93.2</v>
      </c>
      <c r="C296" s="18">
        <f t="shared" si="150"/>
        <v>93.5</v>
      </c>
      <c r="D296" s="38">
        <f t="shared" si="151"/>
        <v>0.21110000000000001</v>
      </c>
      <c r="E296" s="29">
        <f t="shared" si="152"/>
        <v>4.5600000000000002E-2</v>
      </c>
      <c r="F296">
        <v>577117</v>
      </c>
      <c r="G296">
        <f t="shared" si="155"/>
        <v>577282</v>
      </c>
      <c r="H296" s="38">
        <f t="shared" si="153"/>
        <v>1.9199999999999998E-2</v>
      </c>
      <c r="I296" s="13">
        <f t="shared" si="156"/>
        <v>1.6E-2</v>
      </c>
      <c r="J296">
        <v>0.43</v>
      </c>
      <c r="K296">
        <f t="shared" si="135"/>
        <v>100.43</v>
      </c>
      <c r="L296" s="29">
        <f t="shared" si="136"/>
        <v>5.9999999999999995E-4</v>
      </c>
      <c r="M296">
        <v>1.93</v>
      </c>
      <c r="N296">
        <f t="shared" si="137"/>
        <v>101.93</v>
      </c>
      <c r="O296" s="13">
        <f t="shared" si="138"/>
        <v>6.9999999999999999E-4</v>
      </c>
      <c r="P296">
        <v>69.31</v>
      </c>
      <c r="Q296">
        <f t="shared" si="139"/>
        <v>69.040000000000006</v>
      </c>
      <c r="R296" s="13">
        <f t="shared" si="140"/>
        <v>3.0999999999999999E-3</v>
      </c>
      <c r="S296">
        <v>108.3</v>
      </c>
      <c r="T296">
        <f t="shared" si="141"/>
        <v>105.93300000000001</v>
      </c>
      <c r="U296" s="13">
        <f t="shared" si="142"/>
        <v>2.86E-2</v>
      </c>
      <c r="V296">
        <v>167504</v>
      </c>
      <c r="W296" s="18">
        <f t="shared" si="143"/>
        <v>167399</v>
      </c>
      <c r="X296" s="38">
        <f t="shared" si="144"/>
        <v>2.7799999999999998E-2</v>
      </c>
      <c r="Y296" s="29">
        <f t="shared" si="145"/>
        <v>6.4000000000000003E-3</v>
      </c>
      <c r="Z296">
        <v>35.834560000000003</v>
      </c>
      <c r="AA296" s="18">
        <f t="shared" si="146"/>
        <v>35.39</v>
      </c>
      <c r="AB296" s="38">
        <f t="shared" si="147"/>
        <v>5.8900000000000001E-2</v>
      </c>
      <c r="AC296" s="13">
        <f t="shared" si="148"/>
        <v>1.6899999999999998E-2</v>
      </c>
      <c r="AD296" s="30">
        <f t="shared" si="154"/>
        <v>156.85</v>
      </c>
      <c r="AE296" s="11">
        <f t="shared" si="157"/>
        <v>3</v>
      </c>
      <c r="AF296" s="31">
        <f t="shared" si="149"/>
        <v>147.22</v>
      </c>
    </row>
    <row r="297" spans="1:32" x14ac:dyDescent="0.25">
      <c r="A297" s="5">
        <v>34365</v>
      </c>
      <c r="B297" s="10">
        <v>94.3</v>
      </c>
      <c r="C297" s="18">
        <f t="shared" si="150"/>
        <v>92.8</v>
      </c>
      <c r="D297" s="38">
        <f t="shared" si="151"/>
        <v>0.18820000000000001</v>
      </c>
      <c r="E297" s="29">
        <f t="shared" si="152"/>
        <v>4.53E-2</v>
      </c>
      <c r="F297">
        <v>577704</v>
      </c>
      <c r="G297">
        <f t="shared" si="155"/>
        <v>575358</v>
      </c>
      <c r="H297" s="38">
        <f t="shared" si="153"/>
        <v>1.47E-2</v>
      </c>
      <c r="I297" s="13">
        <f t="shared" si="156"/>
        <v>1.2E-2</v>
      </c>
      <c r="J297">
        <v>0.56000000000000005</v>
      </c>
      <c r="K297">
        <f t="shared" si="135"/>
        <v>100.56</v>
      </c>
      <c r="L297" s="29">
        <f t="shared" si="136"/>
        <v>1.4E-3</v>
      </c>
      <c r="M297">
        <v>2.27</v>
      </c>
      <c r="N297">
        <f t="shared" si="137"/>
        <v>102.27</v>
      </c>
      <c r="O297" s="13">
        <f t="shared" si="138"/>
        <v>8.9999999999999998E-4</v>
      </c>
      <c r="P297">
        <v>69.040000000000006</v>
      </c>
      <c r="Q297">
        <f t="shared" si="139"/>
        <v>68.81</v>
      </c>
      <c r="R297" s="13">
        <f t="shared" si="140"/>
        <v>3.0000000000000001E-3</v>
      </c>
      <c r="S297">
        <v>106.6</v>
      </c>
      <c r="T297">
        <f t="shared" si="141"/>
        <v>102.56699999999999</v>
      </c>
      <c r="U297" s="13">
        <f t="shared" si="142"/>
        <v>2.12E-2</v>
      </c>
      <c r="V297">
        <v>168101</v>
      </c>
      <c r="W297" s="18">
        <f t="shared" si="143"/>
        <v>166468</v>
      </c>
      <c r="X297" s="38">
        <f t="shared" si="144"/>
        <v>2.87E-2</v>
      </c>
      <c r="Y297" s="29">
        <f t="shared" si="145"/>
        <v>8.5000000000000006E-3</v>
      </c>
      <c r="Z297">
        <v>35.402569999999997</v>
      </c>
      <c r="AA297" s="18">
        <f t="shared" si="146"/>
        <v>34.909999999999997</v>
      </c>
      <c r="AB297" s="38">
        <f t="shared" si="147"/>
        <v>5.6599999999999998E-2</v>
      </c>
      <c r="AC297" s="13">
        <f t="shared" si="148"/>
        <v>1.8599999999999998E-2</v>
      </c>
      <c r="AD297" s="30">
        <f t="shared" si="154"/>
        <v>153.43</v>
      </c>
      <c r="AE297" s="11">
        <f t="shared" si="157"/>
        <v>3</v>
      </c>
      <c r="AF297" s="31">
        <f t="shared" si="149"/>
        <v>133.24</v>
      </c>
    </row>
    <row r="298" spans="1:32" x14ac:dyDescent="0.25">
      <c r="A298" s="5">
        <v>34334</v>
      </c>
      <c r="B298" s="10">
        <v>88.2</v>
      </c>
      <c r="C298" s="18">
        <f t="shared" si="150"/>
        <v>86.5</v>
      </c>
      <c r="D298" s="38">
        <f t="shared" si="151"/>
        <v>6.5299999999999997E-2</v>
      </c>
      <c r="E298" s="29">
        <f t="shared" si="152"/>
        <v>3.61E-2</v>
      </c>
      <c r="F298">
        <v>577026</v>
      </c>
      <c r="G298">
        <f t="shared" si="155"/>
        <v>571674</v>
      </c>
      <c r="H298" s="38">
        <f t="shared" si="153"/>
        <v>1.14E-2</v>
      </c>
      <c r="I298" s="13">
        <f t="shared" si="156"/>
        <v>6.6E-3</v>
      </c>
      <c r="J298">
        <v>0.5</v>
      </c>
      <c r="K298">
        <f t="shared" si="135"/>
        <v>100.5</v>
      </c>
      <c r="L298" s="29">
        <f t="shared" si="136"/>
        <v>1.2999999999999999E-3</v>
      </c>
      <c r="M298">
        <v>2.08</v>
      </c>
      <c r="N298">
        <f t="shared" si="137"/>
        <v>102.08</v>
      </c>
      <c r="O298" s="13">
        <f t="shared" si="138"/>
        <v>4.0000000000000002E-4</v>
      </c>
      <c r="P298">
        <v>68.77</v>
      </c>
      <c r="Q298">
        <f t="shared" si="139"/>
        <v>68.596999999999994</v>
      </c>
      <c r="R298" s="13">
        <f t="shared" si="140"/>
        <v>3.0000000000000001E-3</v>
      </c>
      <c r="S298">
        <v>102.9</v>
      </c>
      <c r="T298">
        <f t="shared" si="141"/>
        <v>99.933000000000007</v>
      </c>
      <c r="U298" s="13">
        <f t="shared" si="142"/>
        <v>1.5299999999999999E-2</v>
      </c>
      <c r="V298">
        <v>166593</v>
      </c>
      <c r="W298" s="18">
        <f t="shared" si="143"/>
        <v>164863</v>
      </c>
      <c r="X298" s="38">
        <f t="shared" si="144"/>
        <v>2.2700000000000001E-2</v>
      </c>
      <c r="Y298" s="29">
        <f t="shared" si="145"/>
        <v>5.7999999999999996E-3</v>
      </c>
      <c r="Z298">
        <v>34.937649999999998</v>
      </c>
      <c r="AA298" s="18">
        <f t="shared" si="146"/>
        <v>34.39</v>
      </c>
      <c r="AB298" s="38">
        <f t="shared" si="147"/>
        <v>5.2299999999999999E-2</v>
      </c>
      <c r="AC298" s="13">
        <f t="shared" si="148"/>
        <v>1.9199999999999998E-2</v>
      </c>
      <c r="AD298" s="30">
        <f t="shared" si="154"/>
        <v>131.37</v>
      </c>
      <c r="AE298" s="11">
        <f t="shared" si="157"/>
        <v>3</v>
      </c>
      <c r="AF298" s="31">
        <f t="shared" si="149"/>
        <v>118.53</v>
      </c>
    </row>
    <row r="299" spans="1:32" x14ac:dyDescent="0.25">
      <c r="A299" s="5">
        <v>34303</v>
      </c>
      <c r="B299" s="10">
        <v>81.2</v>
      </c>
      <c r="C299" s="18">
        <f t="shared" si="150"/>
        <v>81.599999999999994</v>
      </c>
      <c r="D299" s="38">
        <f t="shared" si="151"/>
        <v>0</v>
      </c>
      <c r="E299" s="29">
        <f t="shared" si="152"/>
        <v>1.8599999999999998E-2</v>
      </c>
      <c r="F299">
        <v>571344</v>
      </c>
      <c r="G299">
        <f t="shared" si="155"/>
        <v>568107</v>
      </c>
      <c r="H299" s="38">
        <f t="shared" si="153"/>
        <v>1.18E-2</v>
      </c>
      <c r="I299" s="13">
        <f t="shared" si="156"/>
        <v>7.0000000000000001E-3</v>
      </c>
      <c r="J299">
        <v>0.33</v>
      </c>
      <c r="K299">
        <f t="shared" si="135"/>
        <v>100.33</v>
      </c>
      <c r="L299" s="29">
        <f t="shared" si="136"/>
        <v>5.9999999999999995E-4</v>
      </c>
      <c r="M299">
        <v>1.73</v>
      </c>
      <c r="N299">
        <f t="shared" si="137"/>
        <v>101.73</v>
      </c>
      <c r="O299" s="13">
        <f t="shared" si="138"/>
        <v>-5.9999999999999995E-4</v>
      </c>
      <c r="P299">
        <v>68.62</v>
      </c>
      <c r="Q299">
        <f t="shared" si="139"/>
        <v>68.406999999999996</v>
      </c>
      <c r="R299" s="13">
        <f t="shared" si="140"/>
        <v>3.0999999999999999E-3</v>
      </c>
      <c r="S299">
        <v>98.2</v>
      </c>
      <c r="T299">
        <f t="shared" si="141"/>
        <v>97.367000000000004</v>
      </c>
      <c r="U299" s="13">
        <f t="shared" si="142"/>
        <v>2.3999999999999998E-3</v>
      </c>
      <c r="V299">
        <v>164711</v>
      </c>
      <c r="W299" s="18">
        <f t="shared" si="143"/>
        <v>163496</v>
      </c>
      <c r="X299" s="38">
        <f t="shared" si="144"/>
        <v>2.23E-2</v>
      </c>
      <c r="Y299" s="29">
        <f t="shared" si="145"/>
        <v>7.0000000000000001E-3</v>
      </c>
      <c r="Z299">
        <v>34.393799999999999</v>
      </c>
      <c r="AA299" s="18">
        <f t="shared" si="146"/>
        <v>33.880000000000003</v>
      </c>
      <c r="AB299" s="38">
        <f t="shared" si="147"/>
        <v>4.7600000000000003E-2</v>
      </c>
      <c r="AC299" s="13">
        <f t="shared" si="148"/>
        <v>1.7399999999999999E-2</v>
      </c>
      <c r="AD299" s="30">
        <f t="shared" si="154"/>
        <v>114.93</v>
      </c>
      <c r="AE299" s="11">
        <f t="shared" si="157"/>
        <v>3</v>
      </c>
      <c r="AF299" s="31">
        <f t="shared" si="149"/>
        <v>107.16</v>
      </c>
    </row>
    <row r="300" spans="1:32" x14ac:dyDescent="0.25">
      <c r="A300" s="5">
        <v>34273</v>
      </c>
      <c r="B300" s="10">
        <v>82.7</v>
      </c>
      <c r="C300" s="18">
        <f t="shared" si="150"/>
        <v>81.5</v>
      </c>
      <c r="D300" s="38">
        <f t="shared" si="151"/>
        <v>-4.9000000000000002E-2</v>
      </c>
      <c r="E300" s="29">
        <f t="shared" si="152"/>
        <v>1.46E-2</v>
      </c>
      <c r="F300">
        <v>566653</v>
      </c>
      <c r="G300">
        <f t="shared" si="155"/>
        <v>566429</v>
      </c>
      <c r="H300" s="38">
        <f t="shared" si="153"/>
        <v>1.4999999999999999E-2</v>
      </c>
      <c r="I300" s="13">
        <f t="shared" si="156"/>
        <v>1.2500000000000001E-2</v>
      </c>
      <c r="J300">
        <v>0.17</v>
      </c>
      <c r="K300">
        <f t="shared" si="135"/>
        <v>100.17</v>
      </c>
      <c r="L300" s="29">
        <f t="shared" si="136"/>
        <v>8.0000000000000004E-4</v>
      </c>
      <c r="M300">
        <v>2.0099999999999998</v>
      </c>
      <c r="N300">
        <f t="shared" si="137"/>
        <v>102.01</v>
      </c>
      <c r="O300" s="13">
        <f t="shared" si="138"/>
        <v>1.1999999999999999E-3</v>
      </c>
      <c r="P300">
        <v>68.400000000000006</v>
      </c>
      <c r="Q300">
        <f t="shared" si="139"/>
        <v>68.19</v>
      </c>
      <c r="R300" s="13">
        <f t="shared" si="140"/>
        <v>3.0000000000000001E-3</v>
      </c>
      <c r="S300">
        <v>98.7</v>
      </c>
      <c r="T300">
        <f t="shared" si="141"/>
        <v>96.332999999999998</v>
      </c>
      <c r="U300" s="13">
        <f t="shared" si="142"/>
        <v>-5.3E-3</v>
      </c>
      <c r="V300">
        <v>163285</v>
      </c>
      <c r="W300" s="18">
        <f t="shared" si="143"/>
        <v>162869</v>
      </c>
      <c r="X300" s="38">
        <f t="shared" si="144"/>
        <v>0.03</v>
      </c>
      <c r="Y300" s="29">
        <f t="shared" si="145"/>
        <v>4.1000000000000003E-3</v>
      </c>
      <c r="Z300">
        <v>33.850560000000002</v>
      </c>
      <c r="AA300" s="18">
        <f t="shared" si="146"/>
        <v>33.42</v>
      </c>
      <c r="AB300" s="38">
        <f t="shared" si="147"/>
        <v>4.2700000000000002E-2</v>
      </c>
      <c r="AC300" s="13">
        <f t="shared" si="148"/>
        <v>1.49E-2</v>
      </c>
      <c r="AD300" s="30">
        <f t="shared" si="154"/>
        <v>109.29</v>
      </c>
      <c r="AE300" s="11">
        <f t="shared" si="157"/>
        <v>3</v>
      </c>
      <c r="AF300" s="31">
        <f t="shared" si="149"/>
        <v>100.32</v>
      </c>
    </row>
    <row r="301" spans="1:32" x14ac:dyDescent="0.25">
      <c r="A301" s="5">
        <v>34242</v>
      </c>
      <c r="B301" s="10">
        <v>77.900000000000006</v>
      </c>
      <c r="C301" s="18">
        <f t="shared" si="150"/>
        <v>77.8</v>
      </c>
      <c r="D301" s="38">
        <f t="shared" si="151"/>
        <v>-9.64E-2</v>
      </c>
      <c r="E301" s="29">
        <f t="shared" si="152"/>
        <v>-1.44E-2</v>
      </c>
      <c r="F301">
        <v>566323</v>
      </c>
      <c r="G301">
        <f t="shared" si="155"/>
        <v>567047</v>
      </c>
      <c r="H301" s="38">
        <f t="shared" si="153"/>
        <v>1.7299999999999999E-2</v>
      </c>
      <c r="I301" s="13">
        <f t="shared" si="156"/>
        <v>1.5100000000000001E-2</v>
      </c>
      <c r="J301">
        <v>-0.01</v>
      </c>
      <c r="K301">
        <f t="shared" si="135"/>
        <v>99.99</v>
      </c>
      <c r="L301" s="29">
        <f t="shared" si="136"/>
        <v>0</v>
      </c>
      <c r="M301">
        <v>1.97</v>
      </c>
      <c r="N301">
        <f t="shared" si="137"/>
        <v>101.97</v>
      </c>
      <c r="O301" s="13">
        <f t="shared" si="138"/>
        <v>1.5E-3</v>
      </c>
      <c r="P301">
        <v>68.2</v>
      </c>
      <c r="Q301">
        <f t="shared" si="139"/>
        <v>67.98</v>
      </c>
      <c r="R301" s="13">
        <f t="shared" si="140"/>
        <v>2.8E-3</v>
      </c>
      <c r="S301">
        <v>95.2</v>
      </c>
      <c r="T301">
        <f t="shared" si="141"/>
        <v>95.5</v>
      </c>
      <c r="U301" s="13">
        <f t="shared" si="142"/>
        <v>-1.23E-2</v>
      </c>
      <c r="V301">
        <v>162491</v>
      </c>
      <c r="W301" s="18">
        <f t="shared" si="143"/>
        <v>161831</v>
      </c>
      <c r="X301" s="38">
        <f t="shared" si="144"/>
        <v>3.2800000000000003E-2</v>
      </c>
      <c r="Y301" s="29">
        <f t="shared" si="145"/>
        <v>5.4000000000000003E-3</v>
      </c>
      <c r="Z301">
        <v>33.392560000000003</v>
      </c>
      <c r="AA301" s="18">
        <f t="shared" si="146"/>
        <v>33.04</v>
      </c>
      <c r="AB301" s="38">
        <f t="shared" si="147"/>
        <v>3.7699999999999997E-2</v>
      </c>
      <c r="AC301" s="13">
        <f t="shared" si="148"/>
        <v>1.3599999999999999E-2</v>
      </c>
      <c r="AD301" s="30">
        <f t="shared" si="154"/>
        <v>97.25</v>
      </c>
      <c r="AE301" s="11">
        <f t="shared" si="157"/>
        <v>3</v>
      </c>
      <c r="AF301" s="31">
        <f t="shared" si="149"/>
        <v>93.64</v>
      </c>
    </row>
    <row r="302" spans="1:32" x14ac:dyDescent="0.25">
      <c r="A302" s="5">
        <v>34212</v>
      </c>
      <c r="B302" s="10">
        <v>77.3</v>
      </c>
      <c r="C302" s="18">
        <f t="shared" si="150"/>
        <v>77.2</v>
      </c>
      <c r="D302" s="38">
        <f t="shared" si="151"/>
        <v>-0.1157</v>
      </c>
      <c r="E302" s="29">
        <f t="shared" si="152"/>
        <v>-1.83E-2</v>
      </c>
      <c r="F302">
        <v>566310</v>
      </c>
      <c r="G302">
        <f t="shared" si="155"/>
        <v>565244</v>
      </c>
      <c r="H302" s="38">
        <f t="shared" si="153"/>
        <v>1.5800000000000002E-2</v>
      </c>
      <c r="I302" s="13">
        <f t="shared" si="156"/>
        <v>1.1599999999999999E-2</v>
      </c>
      <c r="J302">
        <v>-0.02</v>
      </c>
      <c r="K302">
        <f t="shared" si="135"/>
        <v>99.98</v>
      </c>
      <c r="L302" s="29">
        <f t="shared" si="136"/>
        <v>-1E-4</v>
      </c>
      <c r="M302">
        <v>1.91</v>
      </c>
      <c r="N302">
        <f t="shared" si="137"/>
        <v>101.91</v>
      </c>
      <c r="O302" s="13">
        <f t="shared" si="138"/>
        <v>5.0000000000000001E-4</v>
      </c>
      <c r="P302">
        <v>67.97</v>
      </c>
      <c r="Q302">
        <f t="shared" si="139"/>
        <v>67.772999999999996</v>
      </c>
      <c r="R302" s="13">
        <f t="shared" si="140"/>
        <v>2.7000000000000001E-3</v>
      </c>
      <c r="S302">
        <v>95.1</v>
      </c>
      <c r="T302">
        <f t="shared" si="141"/>
        <v>96.667000000000002</v>
      </c>
      <c r="U302" s="13">
        <f t="shared" si="142"/>
        <v>-1.14E-2</v>
      </c>
      <c r="V302">
        <v>162832</v>
      </c>
      <c r="W302" s="18">
        <f t="shared" si="143"/>
        <v>161209</v>
      </c>
      <c r="X302" s="38">
        <f t="shared" si="144"/>
        <v>3.2099999999999997E-2</v>
      </c>
      <c r="Y302" s="29">
        <f t="shared" si="145"/>
        <v>1.2699999999999999E-2</v>
      </c>
      <c r="Z302">
        <v>33.031419999999997</v>
      </c>
      <c r="AA302" s="18">
        <f t="shared" si="146"/>
        <v>32.68</v>
      </c>
      <c r="AB302" s="38">
        <f t="shared" si="147"/>
        <v>3.1199999999999999E-2</v>
      </c>
      <c r="AC302" s="13">
        <f t="shared" si="148"/>
        <v>1.32E-2</v>
      </c>
      <c r="AD302" s="30">
        <f t="shared" si="154"/>
        <v>94.43</v>
      </c>
      <c r="AE302" s="11">
        <f t="shared" si="157"/>
        <v>3</v>
      </c>
      <c r="AF302" s="31">
        <f t="shared" si="149"/>
        <v>92.47</v>
      </c>
    </row>
    <row r="303" spans="1:32" x14ac:dyDescent="0.25">
      <c r="A303" s="5">
        <v>34181</v>
      </c>
      <c r="B303" s="10">
        <v>77</v>
      </c>
      <c r="C303" s="18">
        <f t="shared" si="150"/>
        <v>78.099999999999994</v>
      </c>
      <c r="D303" s="38">
        <f t="shared" si="151"/>
        <v>-0.1293</v>
      </c>
      <c r="E303" s="29">
        <f t="shared" si="152"/>
        <v>-3.0599999999999999E-2</v>
      </c>
      <c r="F303">
        <v>568507</v>
      </c>
      <c r="G303">
        <f t="shared" si="155"/>
        <v>561461</v>
      </c>
      <c r="H303" s="38">
        <f t="shared" si="153"/>
        <v>1.3899999999999999E-2</v>
      </c>
      <c r="I303" s="13">
        <f t="shared" si="156"/>
        <v>8.3999999999999995E-3</v>
      </c>
      <c r="J303">
        <v>0.08</v>
      </c>
      <c r="K303">
        <f t="shared" si="135"/>
        <v>100.08</v>
      </c>
      <c r="L303" s="29">
        <f t="shared" si="136"/>
        <v>-8.0000000000000004E-4</v>
      </c>
      <c r="M303">
        <v>1.64</v>
      </c>
      <c r="N303">
        <f t="shared" si="137"/>
        <v>101.64</v>
      </c>
      <c r="O303" s="13">
        <f t="shared" si="138"/>
        <v>-2.0000000000000001E-4</v>
      </c>
      <c r="P303">
        <v>67.77</v>
      </c>
      <c r="Q303">
        <f t="shared" si="139"/>
        <v>67.582999999999998</v>
      </c>
      <c r="R303" s="13">
        <f t="shared" si="140"/>
        <v>2.7000000000000001E-3</v>
      </c>
      <c r="S303">
        <v>96.2</v>
      </c>
      <c r="T303">
        <f t="shared" si="141"/>
        <v>97.867000000000004</v>
      </c>
      <c r="U303" s="13">
        <f t="shared" si="142"/>
        <v>-4.4000000000000003E-3</v>
      </c>
      <c r="V303">
        <v>160171</v>
      </c>
      <c r="W303" s="18">
        <f t="shared" si="143"/>
        <v>159930</v>
      </c>
      <c r="X303" s="38">
        <f t="shared" si="144"/>
        <v>2.23E-2</v>
      </c>
      <c r="Y303" s="29">
        <f t="shared" si="145"/>
        <v>6.1999999999999998E-3</v>
      </c>
      <c r="Z303">
        <v>32.690739999999998</v>
      </c>
      <c r="AA303" s="18">
        <f t="shared" si="146"/>
        <v>32.340000000000003</v>
      </c>
      <c r="AB303" s="38">
        <f t="shared" si="147"/>
        <v>2.47E-2</v>
      </c>
      <c r="AC303" s="13">
        <f t="shared" si="148"/>
        <v>1.17E-2</v>
      </c>
      <c r="AD303" s="30">
        <f t="shared" si="154"/>
        <v>89.23</v>
      </c>
      <c r="AE303" s="11">
        <f t="shared" si="157"/>
        <v>3</v>
      </c>
      <c r="AF303" s="31">
        <f t="shared" si="149"/>
        <v>96.34</v>
      </c>
    </row>
    <row r="304" spans="1:32" x14ac:dyDescent="0.25">
      <c r="A304" s="5">
        <v>34150</v>
      </c>
      <c r="B304" s="10">
        <v>81.5</v>
      </c>
      <c r="C304" s="18">
        <f t="shared" si="150"/>
        <v>81.2</v>
      </c>
      <c r="D304" s="38">
        <f t="shared" si="151"/>
        <v>-9.3700000000000006E-2</v>
      </c>
      <c r="E304" s="29">
        <f t="shared" si="152"/>
        <v>-1.9300000000000001E-2</v>
      </c>
      <c r="F304">
        <v>560916</v>
      </c>
      <c r="G304">
        <f t="shared" si="155"/>
        <v>558071</v>
      </c>
      <c r="H304" s="38">
        <f t="shared" si="153"/>
        <v>1.5599999999999999E-2</v>
      </c>
      <c r="I304" s="13">
        <f t="shared" si="156"/>
        <v>1.0999999999999999E-2</v>
      </c>
      <c r="J304">
        <v>-0.13</v>
      </c>
      <c r="K304">
        <f t="shared" si="135"/>
        <v>99.87</v>
      </c>
      <c r="L304" s="29">
        <f t="shared" si="136"/>
        <v>-1.1999999999999999E-3</v>
      </c>
      <c r="M304">
        <v>1.52</v>
      </c>
      <c r="N304">
        <f t="shared" si="137"/>
        <v>101.52</v>
      </c>
      <c r="O304" s="13">
        <f t="shared" si="138"/>
        <v>-2.0999999999999999E-3</v>
      </c>
      <c r="P304">
        <v>67.58</v>
      </c>
      <c r="Q304">
        <f t="shared" si="139"/>
        <v>67.42</v>
      </c>
      <c r="R304" s="13">
        <f t="shared" si="140"/>
        <v>3.0999999999999999E-3</v>
      </c>
      <c r="S304">
        <v>98.7</v>
      </c>
      <c r="T304">
        <f t="shared" si="141"/>
        <v>99.1</v>
      </c>
      <c r="U304" s="13">
        <f t="shared" si="142"/>
        <v>1.1999999999999999E-3</v>
      </c>
      <c r="V304">
        <v>160624</v>
      </c>
      <c r="W304" s="18">
        <f t="shared" si="143"/>
        <v>158131</v>
      </c>
      <c r="X304" s="38">
        <f t="shared" si="144"/>
        <v>1.66E-2</v>
      </c>
      <c r="Y304" s="29">
        <f t="shared" si="145"/>
        <v>4.8999999999999998E-3</v>
      </c>
      <c r="Z304">
        <v>32.32105</v>
      </c>
      <c r="AA304" s="18">
        <f t="shared" si="146"/>
        <v>32.049999999999997</v>
      </c>
      <c r="AB304" s="38">
        <f t="shared" si="147"/>
        <v>2.01E-2</v>
      </c>
      <c r="AC304" s="13">
        <f t="shared" si="148"/>
        <v>8.8000000000000005E-3</v>
      </c>
      <c r="AD304" s="30">
        <f t="shared" si="154"/>
        <v>93.74</v>
      </c>
      <c r="AE304" s="11">
        <f t="shared" si="157"/>
        <v>3</v>
      </c>
      <c r="AF304" s="31">
        <f t="shared" si="149"/>
        <v>108.58</v>
      </c>
    </row>
    <row r="305" spans="1:32" x14ac:dyDescent="0.25">
      <c r="A305" s="5">
        <v>34120</v>
      </c>
      <c r="B305" s="10">
        <v>80.3</v>
      </c>
      <c r="C305" s="18">
        <f t="shared" si="150"/>
        <v>81.599999999999994</v>
      </c>
      <c r="D305" s="38">
        <f t="shared" si="151"/>
        <v>-8.5000000000000006E-3</v>
      </c>
      <c r="E305" s="29">
        <f t="shared" si="152"/>
        <v>-2.1999999999999999E-2</v>
      </c>
      <c r="F305">
        <v>554961</v>
      </c>
      <c r="G305">
        <f t="shared" si="155"/>
        <v>557377</v>
      </c>
      <c r="H305" s="38">
        <f t="shared" si="153"/>
        <v>1.77E-2</v>
      </c>
      <c r="I305" s="13">
        <f t="shared" si="156"/>
        <v>1.5100000000000001E-2</v>
      </c>
      <c r="J305">
        <v>-0.02</v>
      </c>
      <c r="K305">
        <f t="shared" si="135"/>
        <v>99.98</v>
      </c>
      <c r="L305" s="29">
        <f t="shared" si="136"/>
        <v>-8.9999999999999998E-4</v>
      </c>
      <c r="M305">
        <v>1.75</v>
      </c>
      <c r="N305">
        <f t="shared" si="137"/>
        <v>101.75</v>
      </c>
      <c r="O305" s="13">
        <f t="shared" si="138"/>
        <v>-2.9999999999999997E-4</v>
      </c>
      <c r="P305">
        <v>67.400000000000006</v>
      </c>
      <c r="Q305">
        <f t="shared" si="139"/>
        <v>67.233000000000004</v>
      </c>
      <c r="R305" s="13">
        <f t="shared" si="140"/>
        <v>3.0000000000000001E-3</v>
      </c>
      <c r="S305">
        <v>98.7</v>
      </c>
      <c r="T305">
        <f t="shared" si="141"/>
        <v>100.06699999999999</v>
      </c>
      <c r="U305" s="13">
        <f t="shared" si="142"/>
        <v>1.38E-2</v>
      </c>
      <c r="V305">
        <v>158996</v>
      </c>
      <c r="W305" s="18">
        <f t="shared" si="143"/>
        <v>156687</v>
      </c>
      <c r="X305" s="38">
        <f t="shared" si="144"/>
        <v>1.5900000000000001E-2</v>
      </c>
      <c r="Y305" s="29">
        <f t="shared" si="145"/>
        <v>5.5999999999999999E-3</v>
      </c>
      <c r="Z305">
        <v>32.016730000000003</v>
      </c>
      <c r="AA305" s="18">
        <f t="shared" si="146"/>
        <v>31.84</v>
      </c>
      <c r="AB305" s="38">
        <f t="shared" si="147"/>
        <v>1.9199999999999998E-2</v>
      </c>
      <c r="AC305" s="13">
        <f t="shared" si="148"/>
        <v>6.1999999999999998E-3</v>
      </c>
      <c r="AD305" s="30">
        <f t="shared" si="154"/>
        <v>106.04</v>
      </c>
      <c r="AE305" s="11">
        <f t="shared" si="157"/>
        <v>3</v>
      </c>
      <c r="AF305" s="31">
        <f t="shared" si="149"/>
        <v>121.1</v>
      </c>
    </row>
    <row r="306" spans="1:32" x14ac:dyDescent="0.25">
      <c r="A306" s="5">
        <v>34089</v>
      </c>
      <c r="B306" s="10">
        <v>85.6</v>
      </c>
      <c r="C306" s="18">
        <f t="shared" si="150"/>
        <v>85.7</v>
      </c>
      <c r="D306" s="38">
        <f t="shared" si="151"/>
        <v>0.15970000000000001</v>
      </c>
      <c r="E306" s="29">
        <f t="shared" si="152"/>
        <v>-1.52E-2</v>
      </c>
      <c r="F306">
        <v>558337</v>
      </c>
      <c r="G306">
        <f t="shared" si="155"/>
        <v>556448</v>
      </c>
      <c r="H306" s="38">
        <f t="shared" si="153"/>
        <v>2.1499999999999998E-2</v>
      </c>
      <c r="I306" s="13">
        <f t="shared" si="156"/>
        <v>1.6299999999999999E-2</v>
      </c>
      <c r="J306">
        <v>0.01</v>
      </c>
      <c r="K306">
        <f t="shared" si="135"/>
        <v>100.01</v>
      </c>
      <c r="L306" s="29">
        <f t="shared" si="136"/>
        <v>-2.9999999999999997E-4</v>
      </c>
      <c r="M306">
        <v>1.69</v>
      </c>
      <c r="N306">
        <f t="shared" si="137"/>
        <v>101.69</v>
      </c>
      <c r="O306" s="13">
        <f t="shared" si="138"/>
        <v>-1.6999999999999999E-3</v>
      </c>
      <c r="P306">
        <v>67.28</v>
      </c>
      <c r="Q306">
        <f t="shared" si="139"/>
        <v>67.03</v>
      </c>
      <c r="R306" s="13">
        <f t="shared" si="140"/>
        <v>2.8999999999999998E-3</v>
      </c>
      <c r="S306">
        <v>99.9</v>
      </c>
      <c r="T306">
        <f t="shared" si="141"/>
        <v>99.167000000000002</v>
      </c>
      <c r="U306" s="13">
        <f t="shared" si="142"/>
        <v>1.04E-2</v>
      </c>
      <c r="V306">
        <v>154774</v>
      </c>
      <c r="W306" s="18">
        <f t="shared" si="143"/>
        <v>156197</v>
      </c>
      <c r="X306" s="38">
        <f t="shared" si="144"/>
        <v>1.9199999999999998E-2</v>
      </c>
      <c r="Y306" s="29">
        <f t="shared" si="145"/>
        <v>1.9E-3</v>
      </c>
      <c r="Z306">
        <v>31.821960000000001</v>
      </c>
      <c r="AA306" s="18">
        <f t="shared" si="146"/>
        <v>31.69</v>
      </c>
      <c r="AB306" s="38">
        <f t="shared" si="147"/>
        <v>2.23E-2</v>
      </c>
      <c r="AC306" s="13">
        <f t="shared" si="148"/>
        <v>5.1000000000000004E-3</v>
      </c>
      <c r="AD306" s="30">
        <f t="shared" si="154"/>
        <v>125.95</v>
      </c>
      <c r="AE306" s="11">
        <f t="shared" si="157"/>
        <v>3</v>
      </c>
      <c r="AF306" s="31">
        <f t="shared" si="149"/>
        <v>129.97999999999999</v>
      </c>
    </row>
    <row r="307" spans="1:32" x14ac:dyDescent="0.25">
      <c r="A307" s="5">
        <v>34059</v>
      </c>
      <c r="B307" s="10">
        <v>85.9</v>
      </c>
      <c r="C307" s="18">
        <f t="shared" si="150"/>
        <v>86.1</v>
      </c>
      <c r="D307" s="38">
        <f t="shared" si="151"/>
        <v>0.13739999999999999</v>
      </c>
      <c r="E307" s="29">
        <f t="shared" si="152"/>
        <v>-1.3100000000000001E-2</v>
      </c>
      <c r="F307">
        <v>558834</v>
      </c>
      <c r="G307">
        <f t="shared" si="155"/>
        <v>553771</v>
      </c>
      <c r="H307" s="38">
        <f t="shared" si="153"/>
        <v>1.7100000000000001E-2</v>
      </c>
      <c r="I307" s="13">
        <f t="shared" si="156"/>
        <v>1.2999999999999999E-2</v>
      </c>
      <c r="J307">
        <v>0.39</v>
      </c>
      <c r="K307">
        <f t="shared" si="135"/>
        <v>100.39</v>
      </c>
      <c r="L307" s="29">
        <f t="shared" si="136"/>
        <v>1.4E-3</v>
      </c>
      <c r="M307">
        <v>2.17</v>
      </c>
      <c r="N307">
        <f t="shared" si="137"/>
        <v>102.17</v>
      </c>
      <c r="O307" s="13">
        <f t="shared" si="138"/>
        <v>1.4E-3</v>
      </c>
      <c r="P307">
        <v>67.02</v>
      </c>
      <c r="Q307">
        <f t="shared" si="139"/>
        <v>66.8</v>
      </c>
      <c r="R307" s="13">
        <f t="shared" si="140"/>
        <v>2.3999999999999998E-3</v>
      </c>
      <c r="S307">
        <v>101.6</v>
      </c>
      <c r="T307">
        <f t="shared" si="141"/>
        <v>98.733000000000004</v>
      </c>
      <c r="U307" s="13">
        <f t="shared" si="142"/>
        <v>2.8199999999999999E-2</v>
      </c>
      <c r="V307">
        <v>156292</v>
      </c>
      <c r="W307" s="18">
        <f t="shared" si="143"/>
        <v>156440</v>
      </c>
      <c r="X307" s="38">
        <f t="shared" si="144"/>
        <v>2.64E-2</v>
      </c>
      <c r="Y307" s="29">
        <f t="shared" si="145"/>
        <v>4.4000000000000003E-3</v>
      </c>
      <c r="Z307">
        <v>31.6813</v>
      </c>
      <c r="AA307" s="18">
        <f t="shared" si="146"/>
        <v>31.56</v>
      </c>
      <c r="AB307" s="38">
        <f t="shared" si="147"/>
        <v>2.63E-2</v>
      </c>
      <c r="AC307" s="13">
        <f t="shared" si="148"/>
        <v>5.3E-3</v>
      </c>
      <c r="AD307" s="30">
        <f t="shared" si="154"/>
        <v>131.31</v>
      </c>
      <c r="AE307" s="11">
        <f t="shared" si="157"/>
        <v>3</v>
      </c>
      <c r="AF307" s="31">
        <f t="shared" si="149"/>
        <v>135.19</v>
      </c>
    </row>
    <row r="308" spans="1:32" x14ac:dyDescent="0.25">
      <c r="A308" s="5">
        <v>34028</v>
      </c>
      <c r="B308" s="10">
        <v>86.6</v>
      </c>
      <c r="C308" s="18">
        <f t="shared" si="150"/>
        <v>87.3</v>
      </c>
      <c r="D308" s="38">
        <f t="shared" si="151"/>
        <v>0.1457</v>
      </c>
      <c r="E308" s="29">
        <f t="shared" si="152"/>
        <v>1.9099999999999999E-2</v>
      </c>
      <c r="F308">
        <v>552172</v>
      </c>
      <c r="G308">
        <f t="shared" si="155"/>
        <v>549507</v>
      </c>
      <c r="H308" s="38">
        <f t="shared" si="153"/>
        <v>1.2500000000000001E-2</v>
      </c>
      <c r="I308" s="13">
        <f t="shared" si="156"/>
        <v>9.2999999999999992E-3</v>
      </c>
      <c r="J308">
        <v>0.36</v>
      </c>
      <c r="K308">
        <f t="shared" si="135"/>
        <v>100.36</v>
      </c>
      <c r="L308" s="29">
        <f t="shared" si="136"/>
        <v>1.1999999999999999E-3</v>
      </c>
      <c r="M308">
        <v>1.84</v>
      </c>
      <c r="N308">
        <f t="shared" si="137"/>
        <v>101.84</v>
      </c>
      <c r="O308" s="13">
        <f t="shared" si="138"/>
        <v>2.9999999999999997E-4</v>
      </c>
      <c r="P308">
        <v>66.790000000000006</v>
      </c>
      <c r="Q308">
        <f t="shared" si="139"/>
        <v>66.626999999999995</v>
      </c>
      <c r="R308" s="13">
        <f t="shared" si="140"/>
        <v>2.3999999999999998E-3</v>
      </c>
      <c r="S308">
        <v>96</v>
      </c>
      <c r="T308">
        <f t="shared" si="141"/>
        <v>96</v>
      </c>
      <c r="U308" s="13">
        <f t="shared" si="142"/>
        <v>2.5100000000000001E-2</v>
      </c>
      <c r="V308">
        <v>157525</v>
      </c>
      <c r="W308" s="18">
        <f t="shared" si="143"/>
        <v>155545</v>
      </c>
      <c r="X308" s="38">
        <f t="shared" si="144"/>
        <v>2.6800000000000001E-2</v>
      </c>
      <c r="Y308" s="29">
        <f t="shared" si="145"/>
        <v>8.0000000000000002E-3</v>
      </c>
      <c r="Z308">
        <v>31.55791</v>
      </c>
      <c r="AA308" s="18">
        <f t="shared" si="146"/>
        <v>31.42</v>
      </c>
      <c r="AB308" s="38">
        <f t="shared" si="147"/>
        <v>2.8799999999999999E-2</v>
      </c>
      <c r="AC308" s="13">
        <f t="shared" si="148"/>
        <v>6.8999999999999999E-3</v>
      </c>
      <c r="AD308" s="30">
        <f t="shared" si="154"/>
        <v>132.69</v>
      </c>
      <c r="AE308" s="11">
        <f t="shared" si="157"/>
        <v>3</v>
      </c>
      <c r="AF308" s="31">
        <f t="shared" si="149"/>
        <v>134.19999999999999</v>
      </c>
    </row>
    <row r="309" spans="1:32" x14ac:dyDescent="0.25">
      <c r="A309" s="5">
        <v>34000</v>
      </c>
      <c r="B309" s="10">
        <v>89.3</v>
      </c>
      <c r="C309" s="18">
        <f t="shared" si="150"/>
        <v>89.7</v>
      </c>
      <c r="D309" s="38">
        <f t="shared" si="151"/>
        <v>0.15590000000000001</v>
      </c>
      <c r="E309" s="29">
        <f t="shared" si="152"/>
        <v>6.4299999999999996E-2</v>
      </c>
      <c r="F309">
        <v>550307</v>
      </c>
      <c r="G309">
        <f t="shared" si="155"/>
        <v>547697</v>
      </c>
      <c r="H309" s="38">
        <f t="shared" si="153"/>
        <v>1.21E-2</v>
      </c>
      <c r="I309" s="13">
        <f t="shared" si="156"/>
        <v>7.9000000000000008E-3</v>
      </c>
      <c r="J309">
        <v>0.33</v>
      </c>
      <c r="K309">
        <f t="shared" si="135"/>
        <v>100.33</v>
      </c>
      <c r="L309" s="29">
        <f t="shared" si="136"/>
        <v>1.1000000000000001E-3</v>
      </c>
      <c r="M309">
        <v>2.2200000000000002</v>
      </c>
      <c r="N309">
        <f t="shared" si="137"/>
        <v>102.22</v>
      </c>
      <c r="O309" s="13">
        <f t="shared" si="138"/>
        <v>2.7000000000000001E-3</v>
      </c>
      <c r="P309">
        <v>66.59</v>
      </c>
      <c r="Q309">
        <f t="shared" si="139"/>
        <v>66.453000000000003</v>
      </c>
      <c r="R309" s="13">
        <f t="shared" si="140"/>
        <v>2.2000000000000001E-3</v>
      </c>
      <c r="S309">
        <v>98.6</v>
      </c>
      <c r="T309">
        <f t="shared" si="141"/>
        <v>96.132999999999996</v>
      </c>
      <c r="U309" s="13">
        <f t="shared" si="142"/>
        <v>3.9399999999999998E-2</v>
      </c>
      <c r="V309">
        <v>155504</v>
      </c>
      <c r="W309" s="18">
        <f t="shared" si="143"/>
        <v>154229</v>
      </c>
      <c r="X309" s="38">
        <f t="shared" si="144"/>
        <v>2.4299999999999999E-2</v>
      </c>
      <c r="Y309" s="29">
        <f t="shared" si="145"/>
        <v>7.3000000000000001E-3</v>
      </c>
      <c r="Z309">
        <v>31.444009999999999</v>
      </c>
      <c r="AA309" s="18">
        <f t="shared" si="146"/>
        <v>31.24</v>
      </c>
      <c r="AB309" s="38">
        <f t="shared" si="147"/>
        <v>3.0700000000000002E-2</v>
      </c>
      <c r="AC309" s="13">
        <f t="shared" si="148"/>
        <v>9.2999999999999992E-3</v>
      </c>
      <c r="AD309" s="30">
        <f t="shared" si="154"/>
        <v>141.56</v>
      </c>
      <c r="AE309" s="11">
        <f t="shared" si="157"/>
        <v>3</v>
      </c>
      <c r="AF309" s="31">
        <f t="shared" si="149"/>
        <v>127.21</v>
      </c>
    </row>
    <row r="310" spans="1:32" x14ac:dyDescent="0.25">
      <c r="A310" s="5">
        <v>33969</v>
      </c>
      <c r="B310" s="10">
        <v>91</v>
      </c>
      <c r="C310" s="18">
        <f t="shared" si="150"/>
        <v>89.6</v>
      </c>
      <c r="D310" s="38">
        <f t="shared" si="151"/>
        <v>0.1186</v>
      </c>
      <c r="E310" s="29">
        <f t="shared" si="152"/>
        <v>5.9900000000000002E-2</v>
      </c>
      <c r="F310">
        <v>546043</v>
      </c>
      <c r="G310">
        <f t="shared" si="155"/>
        <v>544716</v>
      </c>
      <c r="H310" s="38">
        <f t="shared" si="153"/>
        <v>1.4E-2</v>
      </c>
      <c r="I310" s="13">
        <f t="shared" si="156"/>
        <v>0.01</v>
      </c>
      <c r="J310">
        <v>0.14000000000000001</v>
      </c>
      <c r="K310">
        <f t="shared" si="135"/>
        <v>100.14</v>
      </c>
      <c r="L310" s="29">
        <f t="shared" si="136"/>
        <v>1E-4</v>
      </c>
      <c r="M310">
        <v>1.73</v>
      </c>
      <c r="N310">
        <f t="shared" si="137"/>
        <v>101.73</v>
      </c>
      <c r="O310" s="13">
        <f t="shared" si="138"/>
        <v>1.6000000000000001E-3</v>
      </c>
      <c r="P310">
        <v>66.5</v>
      </c>
      <c r="Q310">
        <f t="shared" si="139"/>
        <v>66.313000000000002</v>
      </c>
      <c r="R310" s="13">
        <f t="shared" si="140"/>
        <v>2.0999999999999999E-3</v>
      </c>
      <c r="S310">
        <v>93.4</v>
      </c>
      <c r="T310">
        <f t="shared" si="141"/>
        <v>90.766999999999996</v>
      </c>
      <c r="U310" s="13">
        <f t="shared" si="142"/>
        <v>9.1000000000000004E-3</v>
      </c>
      <c r="V310">
        <v>153605</v>
      </c>
      <c r="W310" s="18">
        <f t="shared" si="143"/>
        <v>153259</v>
      </c>
      <c r="X310" s="38">
        <f t="shared" si="144"/>
        <v>2.2499999999999999E-2</v>
      </c>
      <c r="Y310" s="29">
        <f t="shared" si="145"/>
        <v>4.5999999999999999E-3</v>
      </c>
      <c r="Z310">
        <v>31.272539999999999</v>
      </c>
      <c r="AA310" s="18">
        <f t="shared" si="146"/>
        <v>31</v>
      </c>
      <c r="AB310" s="38">
        <f t="shared" si="147"/>
        <v>3.4000000000000002E-2</v>
      </c>
      <c r="AC310" s="13">
        <f t="shared" si="148"/>
        <v>1.03E-2</v>
      </c>
      <c r="AD310" s="30">
        <f t="shared" si="154"/>
        <v>128.35</v>
      </c>
      <c r="AE310" s="11">
        <f t="shared" si="157"/>
        <v>3</v>
      </c>
      <c r="AF310" s="31">
        <f t="shared" si="149"/>
        <v>111.03</v>
      </c>
    </row>
    <row r="311" spans="1:32" x14ac:dyDescent="0.25">
      <c r="A311" s="5">
        <v>33938</v>
      </c>
      <c r="B311" s="10">
        <v>85.3</v>
      </c>
      <c r="C311" s="18">
        <f t="shared" si="150"/>
        <v>82.3</v>
      </c>
      <c r="D311" s="38">
        <f t="shared" si="151"/>
        <v>4.5699999999999998E-2</v>
      </c>
      <c r="E311" s="29">
        <f t="shared" si="152"/>
        <v>2.7E-2</v>
      </c>
      <c r="F311">
        <v>546740</v>
      </c>
      <c r="G311">
        <f t="shared" si="155"/>
        <v>544443</v>
      </c>
      <c r="H311" s="38">
        <f t="shared" si="153"/>
        <v>2.0299999999999999E-2</v>
      </c>
      <c r="I311" s="13">
        <f t="shared" si="156"/>
        <v>1.5299999999999999E-2</v>
      </c>
      <c r="J311">
        <v>-0.16</v>
      </c>
      <c r="K311">
        <f t="shared" si="135"/>
        <v>99.84</v>
      </c>
      <c r="L311" s="29">
        <f t="shared" si="136"/>
        <v>-5.0000000000000001E-4</v>
      </c>
      <c r="M311">
        <v>1.75</v>
      </c>
      <c r="N311">
        <f t="shared" si="137"/>
        <v>101.75</v>
      </c>
      <c r="O311" s="13">
        <f t="shared" si="138"/>
        <v>2.0999999999999999E-3</v>
      </c>
      <c r="P311">
        <v>66.27</v>
      </c>
      <c r="Q311">
        <f t="shared" si="139"/>
        <v>66.153000000000006</v>
      </c>
      <c r="R311" s="13">
        <f t="shared" si="140"/>
        <v>1.8E-3</v>
      </c>
      <c r="S311">
        <v>96.4</v>
      </c>
      <c r="T311">
        <f t="shared" si="141"/>
        <v>89.066999999999993</v>
      </c>
      <c r="U311" s="13">
        <f t="shared" si="142"/>
        <v>-6.3E-3</v>
      </c>
      <c r="V311">
        <v>153577</v>
      </c>
      <c r="W311" s="18">
        <f t="shared" si="143"/>
        <v>152412</v>
      </c>
      <c r="X311" s="38">
        <f t="shared" si="144"/>
        <v>2.3099999999999999E-2</v>
      </c>
      <c r="Y311" s="29">
        <f t="shared" si="145"/>
        <v>6.1999999999999998E-3</v>
      </c>
      <c r="Z311">
        <v>31.006699999999999</v>
      </c>
      <c r="AA311" s="18">
        <f t="shared" si="146"/>
        <v>30.75</v>
      </c>
      <c r="AB311" s="38">
        <f t="shared" si="147"/>
        <v>4.2000000000000003E-2</v>
      </c>
      <c r="AC311" s="13">
        <f t="shared" si="148"/>
        <v>9.1999999999999998E-3</v>
      </c>
      <c r="AD311" s="30">
        <f t="shared" si="154"/>
        <v>111.73</v>
      </c>
      <c r="AE311" s="11">
        <f t="shared" si="157"/>
        <v>3</v>
      </c>
      <c r="AF311" s="31">
        <f t="shared" si="149"/>
        <v>103.14</v>
      </c>
    </row>
    <row r="312" spans="1:32" x14ac:dyDescent="0.25">
      <c r="A312" s="5">
        <v>33908</v>
      </c>
      <c r="B312" s="10">
        <v>73.3</v>
      </c>
      <c r="C312" s="18">
        <f t="shared" si="150"/>
        <v>73.900000000000006</v>
      </c>
      <c r="D312" s="38">
        <f t="shared" si="151"/>
        <v>-3.9E-2</v>
      </c>
      <c r="E312" s="29">
        <f t="shared" si="152"/>
        <v>-1.61E-2</v>
      </c>
      <c r="F312">
        <v>541365</v>
      </c>
      <c r="G312">
        <f t="shared" si="155"/>
        <v>542698</v>
      </c>
      <c r="H312" s="38">
        <f t="shared" si="153"/>
        <v>2.76E-2</v>
      </c>
      <c r="I312" s="13">
        <f t="shared" si="156"/>
        <v>2.0799999999999999E-2</v>
      </c>
      <c r="J312">
        <v>-0.12</v>
      </c>
      <c r="K312">
        <f t="shared" si="135"/>
        <v>99.88</v>
      </c>
      <c r="L312" s="29">
        <f t="shared" si="136"/>
        <v>-8.9999999999999998E-4</v>
      </c>
      <c r="M312">
        <v>1.39</v>
      </c>
      <c r="N312">
        <f t="shared" si="137"/>
        <v>101.39</v>
      </c>
      <c r="O312" s="13">
        <f t="shared" si="138"/>
        <v>5.0000000000000001E-4</v>
      </c>
      <c r="P312">
        <v>66.17</v>
      </c>
      <c r="Q312">
        <f t="shared" si="139"/>
        <v>66.02</v>
      </c>
      <c r="R312" s="13">
        <f t="shared" si="140"/>
        <v>1.6999999999999999E-3</v>
      </c>
      <c r="S312">
        <v>82.5</v>
      </c>
      <c r="T312">
        <f t="shared" si="141"/>
        <v>85.667000000000002</v>
      </c>
      <c r="U312" s="13">
        <f t="shared" si="142"/>
        <v>-2.52E-2</v>
      </c>
      <c r="V312">
        <v>152595</v>
      </c>
      <c r="W312" s="18">
        <f t="shared" si="143"/>
        <v>151489</v>
      </c>
      <c r="X312" s="38">
        <f t="shared" si="144"/>
        <v>2.3699999999999999E-2</v>
      </c>
      <c r="Y312" s="29">
        <f t="shared" si="145"/>
        <v>6.0000000000000001E-3</v>
      </c>
      <c r="Z312">
        <v>30.72852</v>
      </c>
      <c r="AA312" s="18">
        <f t="shared" si="146"/>
        <v>30.54</v>
      </c>
      <c r="AB312" s="38">
        <f t="shared" si="147"/>
        <v>5.57E-2</v>
      </c>
      <c r="AC312" s="13">
        <f t="shared" si="148"/>
        <v>9.1999999999999998E-3</v>
      </c>
      <c r="AD312" s="30">
        <f t="shared" si="154"/>
        <v>93.02</v>
      </c>
      <c r="AE312" s="11">
        <f t="shared" si="157"/>
        <v>3</v>
      </c>
      <c r="AF312" s="31">
        <f t="shared" si="149"/>
        <v>105.23</v>
      </c>
    </row>
    <row r="313" spans="1:32" x14ac:dyDescent="0.25">
      <c r="A313" s="5">
        <v>33877</v>
      </c>
      <c r="B313" s="10">
        <v>75.599999999999994</v>
      </c>
      <c r="C313" s="18">
        <f t="shared" si="150"/>
        <v>75.7</v>
      </c>
      <c r="D313" s="38">
        <f t="shared" si="151"/>
        <v>2.0199999999999999E-2</v>
      </c>
      <c r="E313" s="29">
        <f t="shared" si="152"/>
        <v>-1.8800000000000001E-2</v>
      </c>
      <c r="F313">
        <v>545225</v>
      </c>
      <c r="G313">
        <f t="shared" si="155"/>
        <v>541158</v>
      </c>
      <c r="H313" s="38">
        <f t="shared" si="153"/>
        <v>3.49E-2</v>
      </c>
      <c r="I313" s="13">
        <f t="shared" si="156"/>
        <v>2.5999999999999999E-2</v>
      </c>
      <c r="J313">
        <v>-0.12</v>
      </c>
      <c r="K313">
        <f t="shared" si="135"/>
        <v>99.88</v>
      </c>
      <c r="L313" s="29">
        <f t="shared" si="136"/>
        <v>-1E-3</v>
      </c>
      <c r="M313">
        <v>1.23</v>
      </c>
      <c r="N313">
        <f t="shared" si="137"/>
        <v>101.23</v>
      </c>
      <c r="O313" s="13">
        <f t="shared" si="138"/>
        <v>-2.9999999999999997E-4</v>
      </c>
      <c r="P313">
        <v>66.02</v>
      </c>
      <c r="Q313">
        <f t="shared" si="139"/>
        <v>65.893000000000001</v>
      </c>
      <c r="R313" s="13">
        <f t="shared" si="140"/>
        <v>1.6000000000000001E-3</v>
      </c>
      <c r="S313">
        <v>88.3</v>
      </c>
      <c r="T313">
        <f t="shared" si="141"/>
        <v>88.367000000000004</v>
      </c>
      <c r="U313" s="13">
        <f t="shared" si="142"/>
        <v>-1.15E-2</v>
      </c>
      <c r="V313">
        <v>151064</v>
      </c>
      <c r="W313" s="18">
        <f t="shared" si="143"/>
        <v>150565</v>
      </c>
      <c r="X313" s="38">
        <f t="shared" si="144"/>
        <v>2.1499999999999998E-2</v>
      </c>
      <c r="Y313" s="29">
        <f t="shared" si="145"/>
        <v>5.0000000000000001E-3</v>
      </c>
      <c r="Z313">
        <v>30.524429999999999</v>
      </c>
      <c r="AA313" s="18">
        <f t="shared" si="146"/>
        <v>30.31</v>
      </c>
      <c r="AB313" s="38">
        <f t="shared" si="147"/>
        <v>7.0300000000000001E-2</v>
      </c>
      <c r="AC313" s="13">
        <f t="shared" si="148"/>
        <v>1.26E-2</v>
      </c>
      <c r="AD313" s="30">
        <f t="shared" si="154"/>
        <v>104.67</v>
      </c>
      <c r="AE313" s="11">
        <f t="shared" si="157"/>
        <v>3</v>
      </c>
      <c r="AF313" s="31">
        <f t="shared" si="149"/>
        <v>116.11</v>
      </c>
    </row>
    <row r="314" spans="1:32" x14ac:dyDescent="0.25">
      <c r="A314" s="5">
        <v>33847</v>
      </c>
      <c r="B314" s="10">
        <v>76.099999999999994</v>
      </c>
      <c r="C314" s="18">
        <f t="shared" si="150"/>
        <v>76.2</v>
      </c>
      <c r="D314" s="38">
        <f t="shared" si="151"/>
        <v>0.1076</v>
      </c>
      <c r="E314" s="29">
        <f t="shared" si="152"/>
        <v>-1.06E-2</v>
      </c>
      <c r="F314">
        <v>541503</v>
      </c>
      <c r="G314">
        <f t="shared" si="155"/>
        <v>537197</v>
      </c>
      <c r="H314" s="38">
        <f t="shared" si="153"/>
        <v>3.78E-2</v>
      </c>
      <c r="I314" s="13">
        <v>0</v>
      </c>
      <c r="J314">
        <v>0.09</v>
      </c>
      <c r="K314">
        <f t="shared" si="135"/>
        <v>100.09</v>
      </c>
      <c r="L314" s="29">
        <f t="shared" si="136"/>
        <v>0</v>
      </c>
      <c r="M314">
        <v>1.1100000000000001</v>
      </c>
      <c r="N314">
        <f t="shared" si="137"/>
        <v>101.11</v>
      </c>
      <c r="O314" s="13">
        <f t="shared" si="138"/>
        <v>-2.9999999999999997E-4</v>
      </c>
      <c r="P314">
        <v>65.87</v>
      </c>
      <c r="Q314">
        <f t="shared" si="139"/>
        <v>65.790000000000006</v>
      </c>
      <c r="R314" s="13">
        <f t="shared" si="140"/>
        <v>1.5E-3</v>
      </c>
      <c r="S314">
        <v>86.2</v>
      </c>
      <c r="T314">
        <f t="shared" si="141"/>
        <v>90.733000000000004</v>
      </c>
      <c r="U314" s="13">
        <f t="shared" si="142"/>
        <v>9.9000000000000008E-3</v>
      </c>
      <c r="V314">
        <v>150809</v>
      </c>
      <c r="W314" s="18">
        <f t="shared" si="143"/>
        <v>149882</v>
      </c>
      <c r="X314" s="38">
        <f t="shared" si="144"/>
        <v>1.9599999999999999E-2</v>
      </c>
      <c r="Y314" s="29">
        <f t="shared" si="145"/>
        <v>6.7000000000000002E-3</v>
      </c>
      <c r="Z314">
        <v>30.352920000000001</v>
      </c>
      <c r="AA314" s="18">
        <f t="shared" si="146"/>
        <v>29.98</v>
      </c>
      <c r="AB314" s="38">
        <f t="shared" si="147"/>
        <v>8.1100000000000005E-2</v>
      </c>
      <c r="AC314" s="13">
        <f t="shared" si="148"/>
        <v>1.9E-2</v>
      </c>
      <c r="AD314" s="30">
        <f t="shared" si="154"/>
        <v>118.01</v>
      </c>
      <c r="AE314" s="11">
        <f t="shared" si="157"/>
        <v>3</v>
      </c>
      <c r="AF314" s="31">
        <f t="shared" si="149"/>
        <v>125.62</v>
      </c>
    </row>
    <row r="315" spans="1:32" x14ac:dyDescent="0.25">
      <c r="A315" s="5">
        <v>33816</v>
      </c>
      <c r="B315" s="10">
        <v>76.599999999999994</v>
      </c>
      <c r="C315" s="18">
        <f t="shared" si="150"/>
        <v>77.599999999999994</v>
      </c>
      <c r="D315" s="38">
        <f t="shared" si="151"/>
        <v>0.12790000000000001</v>
      </c>
      <c r="E315" s="29">
        <f t="shared" si="152"/>
        <v>3.0000000000000001E-3</v>
      </c>
      <c r="F315">
        <v>536747</v>
      </c>
      <c r="G315">
        <f t="shared" si="155"/>
        <v>533609</v>
      </c>
      <c r="H315" s="38">
        <f t="shared" si="153"/>
        <v>3.6400000000000002E-2</v>
      </c>
      <c r="I315" s="13">
        <v>0</v>
      </c>
      <c r="J315">
        <v>0.05</v>
      </c>
      <c r="K315">
        <f t="shared" si="135"/>
        <v>100.05</v>
      </c>
      <c r="L315" s="29">
        <f t="shared" si="136"/>
        <v>1.2999999999999999E-3</v>
      </c>
      <c r="M315">
        <v>1.25</v>
      </c>
      <c r="N315">
        <f t="shared" si="137"/>
        <v>101.25</v>
      </c>
      <c r="O315" s="13">
        <f t="shared" si="138"/>
        <v>5.0000000000000001E-4</v>
      </c>
      <c r="P315">
        <v>65.790000000000006</v>
      </c>
      <c r="Q315">
        <f t="shared" si="139"/>
        <v>65.692999999999998</v>
      </c>
      <c r="R315" s="13">
        <f t="shared" si="140"/>
        <v>1.4E-3</v>
      </c>
      <c r="S315">
        <v>90.6</v>
      </c>
      <c r="T315">
        <f t="shared" si="141"/>
        <v>92.5</v>
      </c>
      <c r="U315" s="13">
        <f t="shared" si="142"/>
        <v>3.1899999999999998E-2</v>
      </c>
      <c r="V315">
        <v>149821</v>
      </c>
      <c r="W315" s="18">
        <f t="shared" si="143"/>
        <v>148973</v>
      </c>
      <c r="X315" s="38">
        <f t="shared" si="144"/>
        <v>1.32E-2</v>
      </c>
      <c r="Y315" s="29">
        <f t="shared" si="145"/>
        <v>4.3E-3</v>
      </c>
      <c r="Z315">
        <v>30.03959</v>
      </c>
      <c r="AA315" s="18">
        <f t="shared" si="146"/>
        <v>29.51</v>
      </c>
      <c r="AB315" s="38">
        <f t="shared" si="147"/>
        <v>8.3699999999999997E-2</v>
      </c>
      <c r="AC315" s="13">
        <f t="shared" si="148"/>
        <v>2.46E-2</v>
      </c>
      <c r="AD315" s="30">
        <f t="shared" si="154"/>
        <v>125.65</v>
      </c>
      <c r="AE315" s="11">
        <f t="shared" si="157"/>
        <v>3</v>
      </c>
      <c r="AF315" s="31">
        <f t="shared" si="149"/>
        <v>129.38999999999999</v>
      </c>
    </row>
    <row r="316" spans="1:32" x14ac:dyDescent="0.25">
      <c r="A316" s="5">
        <v>33785</v>
      </c>
      <c r="B316" s="10">
        <v>80.400000000000006</v>
      </c>
      <c r="C316" s="18">
        <f t="shared" si="150"/>
        <v>80.099999999999994</v>
      </c>
      <c r="D316" s="38">
        <f t="shared" si="151"/>
        <v>0.16420000000000001</v>
      </c>
      <c r="E316" s="29">
        <f t="shared" si="152"/>
        <v>2.5700000000000001E-2</v>
      </c>
      <c r="F316">
        <v>533340</v>
      </c>
      <c r="G316">
        <f t="shared" si="155"/>
        <v>528139</v>
      </c>
      <c r="H316" s="38">
        <f t="shared" si="153"/>
        <v>3.1199999999999999E-2</v>
      </c>
      <c r="I316" s="13">
        <v>0</v>
      </c>
      <c r="J316">
        <v>0.26</v>
      </c>
      <c r="K316">
        <f t="shared" si="135"/>
        <v>100.26</v>
      </c>
      <c r="L316" s="29">
        <f t="shared" si="136"/>
        <v>2.3999999999999998E-3</v>
      </c>
      <c r="M316">
        <v>1.31</v>
      </c>
      <c r="N316">
        <f t="shared" si="137"/>
        <v>101.31</v>
      </c>
      <c r="O316" s="13">
        <f t="shared" si="138"/>
        <v>1.1999999999999999E-3</v>
      </c>
      <c r="P316">
        <v>65.709999999999994</v>
      </c>
      <c r="Q316">
        <f t="shared" si="139"/>
        <v>65.587000000000003</v>
      </c>
      <c r="R316" s="13">
        <f t="shared" si="140"/>
        <v>1.1000000000000001E-3</v>
      </c>
      <c r="S316">
        <v>95.4</v>
      </c>
      <c r="T316">
        <f t="shared" si="141"/>
        <v>91.533000000000001</v>
      </c>
      <c r="U316" s="13">
        <f t="shared" si="142"/>
        <v>3.8699999999999998E-2</v>
      </c>
      <c r="V316">
        <v>149015</v>
      </c>
      <c r="W316" s="18">
        <f t="shared" si="143"/>
        <v>147976</v>
      </c>
      <c r="X316" s="38">
        <f t="shared" si="144"/>
        <v>7.1999999999999998E-3</v>
      </c>
      <c r="Y316" s="29">
        <f t="shared" si="145"/>
        <v>3.5999999999999999E-3</v>
      </c>
      <c r="Z316">
        <v>29.552679999999999</v>
      </c>
      <c r="AA316" s="18">
        <f t="shared" si="146"/>
        <v>28.93</v>
      </c>
      <c r="AB316" s="38">
        <f t="shared" si="147"/>
        <v>7.7499999999999999E-2</v>
      </c>
      <c r="AC316" s="13">
        <f t="shared" si="148"/>
        <v>2.7300000000000001E-2</v>
      </c>
      <c r="AD316" s="30">
        <f t="shared" si="154"/>
        <v>133.19</v>
      </c>
      <c r="AE316" s="11">
        <f t="shared" si="157"/>
        <v>3</v>
      </c>
      <c r="AF316" s="31">
        <f t="shared" si="149"/>
        <v>127.32</v>
      </c>
    </row>
    <row r="317" spans="1:32" x14ac:dyDescent="0.25">
      <c r="A317" s="5">
        <v>33755</v>
      </c>
      <c r="B317" s="10">
        <v>79.2</v>
      </c>
      <c r="C317" s="18">
        <f t="shared" si="150"/>
        <v>78.7</v>
      </c>
      <c r="D317" s="38">
        <f t="shared" si="151"/>
        <v>0.16420000000000001</v>
      </c>
      <c r="E317" s="29">
        <f t="shared" si="152"/>
        <v>4.4999999999999998E-2</v>
      </c>
      <c r="F317">
        <v>530741</v>
      </c>
      <c r="G317">
        <f t="shared" si="155"/>
        <v>522897</v>
      </c>
      <c r="H317" s="38">
        <f t="shared" si="153"/>
        <v>2.64E-2</v>
      </c>
      <c r="I317" s="13">
        <v>0</v>
      </c>
      <c r="J317">
        <v>0.28999999999999998</v>
      </c>
      <c r="K317">
        <f t="shared" si="135"/>
        <v>100.29</v>
      </c>
      <c r="L317" s="29">
        <f t="shared" si="136"/>
        <v>2.5000000000000001E-3</v>
      </c>
      <c r="M317">
        <v>1.19</v>
      </c>
      <c r="N317">
        <f t="shared" si="137"/>
        <v>101.19</v>
      </c>
      <c r="O317" s="13">
        <f t="shared" si="138"/>
        <v>1.5E-3</v>
      </c>
      <c r="P317">
        <v>65.58</v>
      </c>
      <c r="Q317">
        <f t="shared" si="139"/>
        <v>65.5</v>
      </c>
      <c r="R317" s="13">
        <f t="shared" si="140"/>
        <v>8.9999999999999998E-4</v>
      </c>
      <c r="S317">
        <v>91.5</v>
      </c>
      <c r="T317">
        <f t="shared" si="141"/>
        <v>88.033000000000001</v>
      </c>
      <c r="U317" s="13">
        <f t="shared" si="142"/>
        <v>3.4200000000000001E-2</v>
      </c>
      <c r="V317">
        <v>148082</v>
      </c>
      <c r="W317" s="18">
        <f t="shared" si="143"/>
        <v>147394</v>
      </c>
      <c r="X317" s="38">
        <f t="shared" si="144"/>
        <v>3.3E-3</v>
      </c>
      <c r="Y317" s="29">
        <f t="shared" si="145"/>
        <v>2E-3</v>
      </c>
      <c r="Z317">
        <v>28.949159999999999</v>
      </c>
      <c r="AA317" s="18">
        <f t="shared" si="146"/>
        <v>28.32</v>
      </c>
      <c r="AB317" s="38">
        <f t="shared" si="147"/>
        <v>6.5500000000000003E-2</v>
      </c>
      <c r="AC317" s="13">
        <f t="shared" si="148"/>
        <v>2.6800000000000001E-2</v>
      </c>
      <c r="AD317" s="30">
        <f t="shared" si="154"/>
        <v>129.33000000000001</v>
      </c>
      <c r="AE317" s="11">
        <f t="shared" si="157"/>
        <v>3</v>
      </c>
      <c r="AF317" s="31">
        <f t="shared" si="149"/>
        <v>118.86</v>
      </c>
    </row>
    <row r="318" spans="1:32" x14ac:dyDescent="0.25">
      <c r="A318" s="5">
        <v>33724</v>
      </c>
      <c r="B318" s="10">
        <v>77.2</v>
      </c>
      <c r="C318" s="18">
        <f t="shared" si="150"/>
        <v>76.900000000000006</v>
      </c>
      <c r="D318" s="38">
        <f t="shared" si="151"/>
        <v>0.16420000000000001</v>
      </c>
      <c r="E318" s="29">
        <f t="shared" si="152"/>
        <v>3.8199999999999998E-2</v>
      </c>
      <c r="F318">
        <v>520336</v>
      </c>
      <c r="G318">
        <f t="shared" si="155"/>
        <v>517614</v>
      </c>
      <c r="H318" s="38">
        <f t="shared" si="153"/>
        <v>2.64E-2</v>
      </c>
      <c r="I318" s="13">
        <v>0</v>
      </c>
      <c r="J318">
        <v>7.0000000000000007E-2</v>
      </c>
      <c r="K318">
        <f t="shared" si="135"/>
        <v>100.07</v>
      </c>
      <c r="L318" s="29">
        <f t="shared" si="136"/>
        <v>2E-3</v>
      </c>
      <c r="M318">
        <v>1.0900000000000001</v>
      </c>
      <c r="N318">
        <f t="shared" si="137"/>
        <v>101.09</v>
      </c>
      <c r="O318" s="13">
        <f t="shared" si="138"/>
        <v>1.5E-3</v>
      </c>
      <c r="P318">
        <v>65.47</v>
      </c>
      <c r="Q318">
        <f t="shared" si="139"/>
        <v>65.42</v>
      </c>
      <c r="R318" s="13">
        <f t="shared" si="140"/>
        <v>6.9999999999999999E-4</v>
      </c>
      <c r="S318">
        <v>87.7</v>
      </c>
      <c r="T318">
        <f t="shared" si="141"/>
        <v>84.1</v>
      </c>
      <c r="U318" s="13">
        <f t="shared" si="142"/>
        <v>1.77E-2</v>
      </c>
      <c r="V318">
        <v>146831</v>
      </c>
      <c r="W318" s="18">
        <f t="shared" si="143"/>
        <v>147005</v>
      </c>
      <c r="X318" s="38">
        <f t="shared" si="144"/>
        <v>5.9999999999999995E-4</v>
      </c>
      <c r="Y318" s="29">
        <f t="shared" si="145"/>
        <v>-1E-4</v>
      </c>
      <c r="Z318">
        <v>28.299469999999999</v>
      </c>
      <c r="AA318" s="18">
        <f t="shared" si="146"/>
        <v>27.73</v>
      </c>
      <c r="AB318" s="38">
        <f t="shared" si="147"/>
        <v>5.0799999999999998E-2</v>
      </c>
      <c r="AC318" s="13">
        <f t="shared" si="148"/>
        <v>2.3599999999999999E-2</v>
      </c>
      <c r="AD318" s="30">
        <f t="shared" si="154"/>
        <v>119.44</v>
      </c>
      <c r="AE318" s="11">
        <f t="shared" si="157"/>
        <v>3</v>
      </c>
      <c r="AF318" s="31">
        <f t="shared" si="149"/>
        <v>113.63</v>
      </c>
    </row>
    <row r="319" spans="1:32" x14ac:dyDescent="0.25">
      <c r="A319" s="5">
        <v>33694</v>
      </c>
      <c r="B319" s="10">
        <v>76</v>
      </c>
      <c r="C319" s="18">
        <f t="shared" si="150"/>
        <v>74.2</v>
      </c>
      <c r="D319" s="38">
        <f t="shared" si="151"/>
        <v>0.16420000000000001</v>
      </c>
      <c r="E319" s="29">
        <f t="shared" si="152"/>
        <v>2.6200000000000001E-2</v>
      </c>
      <c r="F319">
        <v>517614</v>
      </c>
      <c r="G319">
        <f t="shared" si="155"/>
        <v>514892</v>
      </c>
      <c r="H319" s="38">
        <f t="shared" si="153"/>
        <v>2.64E-2</v>
      </c>
      <c r="I319" s="13">
        <v>0</v>
      </c>
      <c r="J319">
        <v>-0.49</v>
      </c>
      <c r="K319">
        <f t="shared" si="135"/>
        <v>99.51</v>
      </c>
      <c r="L319" s="29">
        <f t="shared" si="136"/>
        <v>5.9999999999999995E-4</v>
      </c>
      <c r="M319">
        <v>0.94</v>
      </c>
      <c r="N319">
        <f t="shared" si="137"/>
        <v>100.94</v>
      </c>
      <c r="O319" s="13">
        <f t="shared" si="138"/>
        <v>8.0000000000000004E-4</v>
      </c>
      <c r="P319">
        <v>65.45</v>
      </c>
      <c r="Q319">
        <f t="shared" si="139"/>
        <v>65.376999999999995</v>
      </c>
      <c r="R319" s="13">
        <f t="shared" si="140"/>
        <v>4.0000000000000002E-4</v>
      </c>
      <c r="S319">
        <v>84.9</v>
      </c>
      <c r="T319">
        <f t="shared" si="141"/>
        <v>81.7</v>
      </c>
      <c r="U319" s="13">
        <f t="shared" si="142"/>
        <v>8.2000000000000007E-3</v>
      </c>
      <c r="V319">
        <v>147270</v>
      </c>
      <c r="W319" s="18">
        <f t="shared" si="143"/>
        <v>147032</v>
      </c>
      <c r="X319" s="38">
        <f t="shared" si="144"/>
        <v>5.9999999999999995E-4</v>
      </c>
      <c r="Y319" s="29">
        <f t="shared" si="145"/>
        <v>5.9999999999999995E-4</v>
      </c>
      <c r="Z319">
        <v>27.698740000000001</v>
      </c>
      <c r="AA319" s="18">
        <f t="shared" si="146"/>
        <v>27.23</v>
      </c>
      <c r="AB319" s="38">
        <f t="shared" si="147"/>
        <v>3.9300000000000002E-2</v>
      </c>
      <c r="AC319" s="13">
        <f t="shared" si="148"/>
        <v>1.8599999999999998E-2</v>
      </c>
      <c r="AD319" s="30">
        <f t="shared" si="154"/>
        <v>107.81</v>
      </c>
      <c r="AE319" s="11">
        <f t="shared" si="157"/>
        <v>3</v>
      </c>
      <c r="AF319" s="31">
        <f t="shared" si="149"/>
        <v>107.81</v>
      </c>
    </row>
    <row r="320" spans="1:32" ht="15" customHeight="1" x14ac:dyDescent="0.25">
      <c r="A320" s="5">
        <v>33663</v>
      </c>
      <c r="B320" s="10">
        <v>68.8</v>
      </c>
      <c r="C320" s="18">
        <f t="shared" si="150"/>
        <v>68.8</v>
      </c>
      <c r="D320" s="38">
        <f>IF(ISERROR(ROUND((C320/#REF!)-1,4)),D319,ROUND((C320/#REF!)-1,4))</f>
        <v>0.16420000000000001</v>
      </c>
      <c r="F320">
        <v>514892</v>
      </c>
      <c r="G320">
        <f t="shared" si="155"/>
        <v>512170</v>
      </c>
      <c r="H320" s="38">
        <f t="shared" si="153"/>
        <v>2.64E-2</v>
      </c>
      <c r="J320">
        <v>-0.71</v>
      </c>
      <c r="K320">
        <f t="shared" si="135"/>
        <v>99.29</v>
      </c>
      <c r="L320" s="29"/>
      <c r="M320">
        <v>0.75</v>
      </c>
      <c r="N320">
        <f t="shared" si="137"/>
        <v>100.75</v>
      </c>
      <c r="O320" s="13">
        <f t="shared" si="138"/>
        <v>5.0000000000000001E-4</v>
      </c>
      <c r="P320">
        <v>65.34</v>
      </c>
      <c r="Q320">
        <f t="shared" si="139"/>
        <v>65.319999999999993</v>
      </c>
      <c r="R320" s="13">
        <f t="shared" si="140"/>
        <v>2.9999999999999997E-4</v>
      </c>
      <c r="S320">
        <v>79.7</v>
      </c>
      <c r="T320">
        <f t="shared" si="141"/>
        <v>79.632999999999996</v>
      </c>
      <c r="U320" s="13">
        <f t="shared" si="142"/>
        <v>-1.2999999999999999E-3</v>
      </c>
      <c r="V320">
        <v>146913</v>
      </c>
      <c r="W320" s="18">
        <f t="shared" si="143"/>
        <v>146913</v>
      </c>
      <c r="X320" s="38">
        <f t="shared" si="144"/>
        <v>5.9999999999999995E-4</v>
      </c>
      <c r="Y320" s="29"/>
      <c r="Z320">
        <v>27.197130000000001</v>
      </c>
      <c r="AA320" s="18">
        <f t="shared" si="146"/>
        <v>26.85</v>
      </c>
      <c r="AB320" s="38">
        <f t="shared" si="147"/>
        <v>2.8299999999999999E-2</v>
      </c>
      <c r="AC320" s="13">
        <f t="shared" si="148"/>
        <v>1.3299999999999999E-2</v>
      </c>
    </row>
    <row r="321" spans="1:29" ht="15" customHeight="1" x14ac:dyDescent="0.25">
      <c r="A321" s="5">
        <v>33634</v>
      </c>
      <c r="B321" s="10">
        <v>68.8</v>
      </c>
      <c r="C321" s="18">
        <f t="shared" si="150"/>
        <v>68.8</v>
      </c>
      <c r="D321" s="38">
        <f>IF(ISERROR(ROUND((C321/#REF!)-1,4)),D320,ROUND((C321/#REF!)-1,4))</f>
        <v>0.16420000000000001</v>
      </c>
      <c r="F321">
        <v>512170</v>
      </c>
      <c r="G321">
        <f t="shared" si="155"/>
        <v>509448</v>
      </c>
      <c r="H321" s="38">
        <f t="shared" si="153"/>
        <v>2.64E-2</v>
      </c>
      <c r="J321">
        <v>-0.71</v>
      </c>
      <c r="K321">
        <f t="shared" si="135"/>
        <v>99.29</v>
      </c>
      <c r="M321">
        <v>0.65</v>
      </c>
      <c r="N321">
        <f t="shared" si="137"/>
        <v>100.65</v>
      </c>
      <c r="P321">
        <v>65.34</v>
      </c>
      <c r="Q321">
        <f t="shared" si="139"/>
        <v>65.28</v>
      </c>
      <c r="S321">
        <v>80.5</v>
      </c>
      <c r="T321">
        <f t="shared" si="141"/>
        <v>79.832999999999998</v>
      </c>
      <c r="V321">
        <v>146913</v>
      </c>
      <c r="W321" s="18">
        <f t="shared" si="143"/>
        <v>146913</v>
      </c>
      <c r="X321" s="38">
        <f t="shared" si="144"/>
        <v>5.9999999999999995E-4</v>
      </c>
      <c r="Z321">
        <v>26.797139999999999</v>
      </c>
      <c r="AA321" s="18">
        <f t="shared" si="146"/>
        <v>26.58</v>
      </c>
      <c r="AB321" s="38">
        <f t="shared" si="147"/>
        <v>2.23E-2</v>
      </c>
      <c r="AC321" s="13">
        <f t="shared" si="148"/>
        <v>9.4000000000000004E-3</v>
      </c>
    </row>
    <row r="322" spans="1:29" ht="15" customHeight="1" x14ac:dyDescent="0.25">
      <c r="B322" s="10">
        <v>68.8</v>
      </c>
      <c r="C322" s="18">
        <f t="shared" si="150"/>
        <v>68.8</v>
      </c>
      <c r="D322" s="38">
        <f>IF(ISERROR(ROUND((C322/#REF!)-1,4)),D321,ROUND((C322/#REF!)-1,4))</f>
        <v>0.16420000000000001</v>
      </c>
      <c r="F322">
        <v>509448</v>
      </c>
      <c r="G322"/>
      <c r="H322" s="38">
        <f>IF(ISERROR(ROUND((G322/#REF!)-1,4)),H321,ROUND((G322/#REF!)-1,4))</f>
        <v>2.64E-2</v>
      </c>
      <c r="J322">
        <v>-0.71</v>
      </c>
      <c r="K322">
        <f t="shared" si="135"/>
        <v>99.29</v>
      </c>
      <c r="M322">
        <v>0.64</v>
      </c>
      <c r="N322"/>
      <c r="P322">
        <v>65.28</v>
      </c>
      <c r="Q322"/>
      <c r="S322">
        <v>78.7</v>
      </c>
      <c r="T322"/>
      <c r="V322">
        <v>146913</v>
      </c>
      <c r="W322" s="18">
        <f t="shared" si="143"/>
        <v>146913</v>
      </c>
      <c r="X322" s="38">
        <f>IF(ISERROR(ROUND((W322/#REF!)-1,4)),X321,ROUND((W322/#REF!)-1,4))</f>
        <v>5.9999999999999995E-4</v>
      </c>
      <c r="Z322">
        <v>26.551739999999999</v>
      </c>
      <c r="AA322" s="18">
        <f t="shared" si="146"/>
        <v>26.39</v>
      </c>
      <c r="AB322" s="38">
        <f>IF(ISERROR(ROUND((AA322/#REF!)-1,4)),AB321,ROUND((AA322/#REF!)-1,4))</f>
        <v>2.23E-2</v>
      </c>
      <c r="AC322" s="13">
        <f t="shared" si="148"/>
        <v>8.6E-3</v>
      </c>
    </row>
    <row r="323" spans="1:29" ht="15" customHeight="1" x14ac:dyDescent="0.25">
      <c r="D323" s="38">
        <f>IF(ISERROR(ROUND((C323/#REF!)-1,4)),D322,ROUND((C323/#REF!)-1,4))</f>
        <v>0.16420000000000001</v>
      </c>
      <c r="F323">
        <v>506726</v>
      </c>
      <c r="G323"/>
      <c r="H323" s="38">
        <f>IF(ISERROR(ROUND((G323/#REF!)-1,4)),H322,ROUND((G323/#REF!)-1,4))</f>
        <v>2.64E-2</v>
      </c>
      <c r="M323">
        <v>0.75</v>
      </c>
      <c r="N323"/>
      <c r="P323">
        <v>65.22</v>
      </c>
      <c r="Q323"/>
      <c r="S323">
        <v>80.3</v>
      </c>
      <c r="T323"/>
      <c r="X323" s="38">
        <f>IF(ISERROR(ROUND((W323/#REF!)-1,4)),X322,ROUND((W323/#REF!)-1,4))</f>
        <v>5.9999999999999995E-4</v>
      </c>
      <c r="Z323">
        <v>26.394729999999999</v>
      </c>
      <c r="AA323" s="18">
        <f t="shared" si="146"/>
        <v>26.2</v>
      </c>
      <c r="AB323" s="38">
        <f>IF(ISERROR(ROUND((AA323/#REF!)-1,4)),AB322,ROUND((AA323/#REF!)-1,4))</f>
        <v>2.23E-2</v>
      </c>
      <c r="AC323" s="13">
        <f>ROUND((AVERAGE(Z323,Z323:Z325)-AVERAGE(Z324:Z325))/AVERAGE(Z324:Z325),4)</f>
        <v>5.4999999999999997E-3</v>
      </c>
    </row>
    <row r="324" spans="1:29" ht="15" customHeight="1" x14ac:dyDescent="0.25">
      <c r="D324" s="38">
        <f>IF(ISERROR(ROUND((C324/#REF!)-1,4)),D323,ROUND((C324/#REF!)-1,4))</f>
        <v>0.16420000000000001</v>
      </c>
      <c r="F324">
        <v>504004</v>
      </c>
      <c r="G324"/>
      <c r="H324" s="38">
        <f>IF(ISERROR(ROUND((G324/#REF!)-1,4)),H323,ROUND((G324/#REF!)-1,4))</f>
        <v>2.64E-2</v>
      </c>
      <c r="M324">
        <v>0.88</v>
      </c>
      <c r="P324">
        <v>65.150000000000006</v>
      </c>
      <c r="X324" s="38">
        <f>IF(ISERROR(ROUND((W324/#REF!)-1,4)),X323,ROUND((W324/#REF!)-1,4))</f>
        <v>5.9999999999999995E-4</v>
      </c>
      <c r="Z324">
        <v>26.214469999999999</v>
      </c>
      <c r="AA324" s="18">
        <f>ROUND(AVERAGE(Z324:Z325),2)</f>
        <v>26.11</v>
      </c>
      <c r="AB324" s="38">
        <f>IF(ISERROR(ROUND((AA324/#REF!)-1,4)),AB323,ROUND((AA324/#REF!)-1,4))</f>
        <v>2.23E-2</v>
      </c>
      <c r="AC324" s="13">
        <f>ROUND((AVERAGE(Z324,Z324:Z325)-AVERAGE(Z325:Z325))/AVERAGE(Z325:Z325),4)</f>
        <v>5.4999999999999997E-3</v>
      </c>
    </row>
    <row r="325" spans="1:29" ht="15" customHeight="1" x14ac:dyDescent="0.25">
      <c r="D325" s="38">
        <f>IF(ISERROR(ROUND((C325/#REF!)-1,4)),D324,ROUND((C325/#REF!)-1,4))</f>
        <v>0.16420000000000001</v>
      </c>
      <c r="F325">
        <v>501282</v>
      </c>
      <c r="G325"/>
      <c r="H325" s="38">
        <f>IF(ISERROR(ROUND((G325/#REF!)-1,4)),H324,ROUND((G325/#REF!)-1,4))</f>
        <v>2.64E-2</v>
      </c>
      <c r="M325">
        <v>0.84</v>
      </c>
      <c r="P325">
        <v>65.11</v>
      </c>
      <c r="X325" s="38">
        <f>IF(ISERROR(ROUND((W325/#REF!)-1,4)),X324,ROUND((W325/#REF!)-1,4))</f>
        <v>5.9999999999999995E-4</v>
      </c>
      <c r="Z325">
        <v>25.999230000000001</v>
      </c>
      <c r="AA325" s="18">
        <f>ROUND(AVERAGE(Z325:Z325),2)</f>
        <v>26</v>
      </c>
      <c r="AB325" s="38">
        <f>IF(ISERROR(ROUND((AA325/#REF!)-1,4)),AB324,ROUND((AA325/#REF!)-1,4))</f>
        <v>2.23E-2</v>
      </c>
      <c r="AC325" s="13" t="e">
        <f>ROUND((AVERAGE(Z325,Z325:Z325)-AVERAGE(#REF!))/AVERAGE(#REF!),4)</f>
        <v>#REF!</v>
      </c>
    </row>
  </sheetData>
  <autoFilter ref="A2:AF325" xr:uid="{00000000-0009-0000-0000-000003000000}"/>
  <mergeCells count="8">
    <mergeCell ref="V1:Y1"/>
    <mergeCell ref="Z1:AC1"/>
    <mergeCell ref="B1:E1"/>
    <mergeCell ref="F1:I1"/>
    <mergeCell ref="J1:L1"/>
    <mergeCell ref="M1:O1"/>
    <mergeCell ref="P1:R1"/>
    <mergeCell ref="S1:U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344"/>
  <sheetViews>
    <sheetView workbookViewId="0">
      <pane xSplit="1" ySplit="2" topLeftCell="L3" activePane="bottomRight" state="frozen"/>
      <selection pane="topRight" activeCell="B1" sqref="B1"/>
      <selection pane="bottomLeft" activeCell="A2" sqref="A2"/>
      <selection pane="bottomRight" activeCell="Q23" sqref="Q23"/>
    </sheetView>
  </sheetViews>
  <sheetFormatPr defaultRowHeight="15" x14ac:dyDescent="0.25"/>
  <cols>
    <col min="1" max="1" width="9.7109375" bestFit="1" customWidth="1"/>
    <col min="2" max="2" width="10.85546875" bestFit="1" customWidth="1"/>
    <col min="3" max="4" width="10.85546875" customWidth="1"/>
    <col min="5" max="5" width="13.140625" customWidth="1"/>
    <col min="6" max="18" width="13.42578125" customWidth="1"/>
    <col min="19" max="19" width="14" customWidth="1"/>
    <col min="20" max="20" width="11" customWidth="1"/>
    <col min="21" max="21" width="10" customWidth="1"/>
    <col min="22" max="22" width="12.28515625" bestFit="1" customWidth="1"/>
    <col min="23" max="26" width="12.28515625" customWidth="1"/>
    <col min="27" max="27" width="21" bestFit="1" customWidth="1"/>
    <col min="28" max="29" width="21" customWidth="1"/>
  </cols>
  <sheetData>
    <row r="1" spans="1:29" ht="18" thickBot="1" x14ac:dyDescent="0.35">
      <c r="B1" s="32" t="s">
        <v>71</v>
      </c>
      <c r="C1" s="61" t="s">
        <v>25</v>
      </c>
      <c r="D1" s="62"/>
      <c r="E1" s="61" t="s">
        <v>26</v>
      </c>
      <c r="F1" s="62"/>
      <c r="G1" s="61" t="s">
        <v>27</v>
      </c>
      <c r="H1" s="62"/>
      <c r="I1" s="61" t="s">
        <v>28</v>
      </c>
      <c r="J1" s="62"/>
      <c r="K1" s="61" t="s">
        <v>29</v>
      </c>
      <c r="L1" s="62"/>
      <c r="M1" s="61" t="s">
        <v>203</v>
      </c>
      <c r="N1" s="61"/>
      <c r="O1" s="62"/>
      <c r="P1" s="61" t="s">
        <v>174</v>
      </c>
      <c r="Q1" s="62"/>
      <c r="R1" s="61" t="s">
        <v>183</v>
      </c>
      <c r="S1" s="62"/>
      <c r="T1" s="61" t="s">
        <v>175</v>
      </c>
      <c r="U1" s="62"/>
      <c r="V1" s="61" t="s">
        <v>77</v>
      </c>
      <c r="W1" s="61"/>
      <c r="X1" s="61"/>
      <c r="Y1" s="61"/>
      <c r="Z1" s="46" t="s">
        <v>193</v>
      </c>
      <c r="AA1" s="46" t="s">
        <v>192</v>
      </c>
      <c r="AB1" s="32" t="s">
        <v>176</v>
      </c>
      <c r="AC1" s="32" t="s">
        <v>177</v>
      </c>
    </row>
    <row r="2" spans="1:29" ht="16.5" thickTop="1" thickBot="1" x14ac:dyDescent="0.3">
      <c r="A2" t="s">
        <v>79</v>
      </c>
      <c r="B2" s="33" t="s">
        <v>0</v>
      </c>
      <c r="C2" s="33" t="s">
        <v>80</v>
      </c>
      <c r="D2" s="33" t="s">
        <v>36</v>
      </c>
      <c r="E2" s="33" t="s">
        <v>178</v>
      </c>
      <c r="F2" s="33" t="s">
        <v>179</v>
      </c>
      <c r="G2" s="33" t="s">
        <v>80</v>
      </c>
      <c r="H2" s="33" t="s">
        <v>36</v>
      </c>
      <c r="I2" s="33" t="s">
        <v>80</v>
      </c>
      <c r="J2" s="33" t="s">
        <v>36</v>
      </c>
      <c r="K2" s="33" t="s">
        <v>80</v>
      </c>
      <c r="L2" s="33" t="s">
        <v>36</v>
      </c>
      <c r="M2" s="33" t="s">
        <v>204</v>
      </c>
      <c r="N2" s="33" t="s">
        <v>205</v>
      </c>
      <c r="O2" s="33" t="s">
        <v>206</v>
      </c>
      <c r="P2" s="33" t="s">
        <v>80</v>
      </c>
      <c r="Q2" s="33" t="s">
        <v>36</v>
      </c>
      <c r="R2" s="33" t="s">
        <v>184</v>
      </c>
      <c r="S2" s="33" t="s">
        <v>36</v>
      </c>
      <c r="T2" s="33" t="s">
        <v>80</v>
      </c>
      <c r="U2" s="33" t="s">
        <v>36</v>
      </c>
      <c r="V2" s="33" t="s">
        <v>180</v>
      </c>
      <c r="W2" s="33" t="s">
        <v>181</v>
      </c>
      <c r="X2" s="33" t="s">
        <v>182</v>
      </c>
      <c r="Y2" s="33" t="s">
        <v>191</v>
      </c>
      <c r="Z2" s="33" t="s">
        <v>193</v>
      </c>
      <c r="AA2" s="33" t="s">
        <v>192</v>
      </c>
      <c r="AB2" s="33" t="s">
        <v>9</v>
      </c>
      <c r="AC2" s="33" t="s">
        <v>177</v>
      </c>
    </row>
    <row r="3" spans="1:29" x14ac:dyDescent="0.25">
      <c r="A3" s="34">
        <v>43252</v>
      </c>
      <c r="B3" s="34">
        <f t="shared" ref="B3:B4" si="0">EOMONTH(A3+40,0)</f>
        <v>43312</v>
      </c>
      <c r="C3">
        <v>17572.400000000001</v>
      </c>
      <c r="D3" s="13">
        <f t="shared" ref="D3:D4" si="1">ROUND((C3-C4)/C4,4)</f>
        <v>4.1000000000000003E-3</v>
      </c>
      <c r="E3">
        <v>4.54</v>
      </c>
      <c r="F3">
        <v>4.0199999999999996</v>
      </c>
      <c r="G3">
        <v>5.7</v>
      </c>
      <c r="H3" s="13">
        <f t="shared" ref="H3" si="2">ROUND((AVERAGE(G3:G6)-AVERAGE(G4:G7))/AVERAGE(G4:G7),4)</f>
        <v>1.4200000000000001E-2</v>
      </c>
      <c r="I3" s="21">
        <v>1173</v>
      </c>
      <c r="J3" s="13">
        <f>ROUND((AVERAGE(I3:I7)-AVERAGE(I4:I8))/AVERAGE(I4:I8),4)</f>
        <v>-2.52E-2</v>
      </c>
      <c r="K3" s="21">
        <v>5380000</v>
      </c>
      <c r="L3" s="13">
        <f>ROUND((AVERAGE(K3:K7)-AVERAGE(K4:K8))/AVERAGE(K4:K8),4)</f>
        <v>0</v>
      </c>
      <c r="M3">
        <v>631</v>
      </c>
      <c r="N3">
        <f>ROUND(AVERAGE(M3:M8),0)</f>
        <v>658</v>
      </c>
      <c r="O3" s="13">
        <f>ROUND((N3/N12)-1,4)</f>
        <v>0.1077</v>
      </c>
      <c r="P3">
        <v>302100</v>
      </c>
      <c r="Q3" s="13">
        <f>ROUND((AVERAGE(P3:P7)-AVERAGE(P4:P8))/AVERAGE(P4:P8),4)</f>
        <v>-1.54E-2</v>
      </c>
      <c r="R3">
        <v>202.18</v>
      </c>
      <c r="S3" s="13">
        <f t="shared" ref="S3:S4" si="3">ROUND((AVERAGE(R3:R6)-AVERAGE(R4:R7))/AVERAGE(R4:R7),4)</f>
        <v>4.3E-3</v>
      </c>
      <c r="T3" s="21">
        <v>68</v>
      </c>
      <c r="U3" s="13">
        <f t="shared" ref="U3:U4" si="4">ROUND((T3-T4)/T4,4)</f>
        <v>0</v>
      </c>
      <c r="V3" s="6">
        <f t="shared" ref="V3" si="5">ROUND(AVERAGE(T3:T6)-AVERAGE(T4:T9),2)</f>
        <v>-1.42</v>
      </c>
      <c r="W3" s="44">
        <f t="shared" ref="W3" si="6">ROUND(PMT((E3*0.01)/12,360,R3*1000)*-1,2)</f>
        <v>1029.23</v>
      </c>
      <c r="X3" s="15">
        <f t="shared" ref="X3" si="7">ROUND(W3/C3,5)</f>
        <v>5.8569999999999997E-2</v>
      </c>
      <c r="Y3" s="13">
        <f t="shared" ref="Y3" si="8">ROUND(((R3*1000)*0.2)/C3,4)</f>
        <v>2.3010999999999999</v>
      </c>
      <c r="Z3" s="6">
        <f>ROUND((T3)+(V3*1.45)+(S3*2000)+(Q3*400)-(G3*2)+(H3*100)+(L3*400)+(I3/25)+(J3*300)+(K3/100000)+(N3/100)+(O3*100),2)</f>
        <v>168.91</v>
      </c>
      <c r="AA3" s="6">
        <f>ROUND(((2.5-Y3)*100)+(((0.0775-X4)*100)*20),2)</f>
        <v>56.61</v>
      </c>
      <c r="AB3" s="6">
        <f>ROUND((Z3*0.65)+(AA3*0.35),2)</f>
        <v>129.61000000000001</v>
      </c>
      <c r="AC3" s="6">
        <f>IF(ROUND(AVERAGE(AB3:AB5),2)&lt;0,0,ROUND(AVERAGE(AB3:AB5),2))</f>
        <v>135.31</v>
      </c>
    </row>
    <row r="4" spans="1:29" x14ac:dyDescent="0.25">
      <c r="A4" s="34">
        <v>43221</v>
      </c>
      <c r="B4" s="34">
        <f t="shared" si="0"/>
        <v>43281</v>
      </c>
      <c r="C4">
        <v>17500.7</v>
      </c>
      <c r="D4" s="13">
        <f t="shared" si="1"/>
        <v>3.8E-3</v>
      </c>
      <c r="E4">
        <v>4.62</v>
      </c>
      <c r="F4">
        <v>4.07</v>
      </c>
      <c r="G4">
        <v>5.2</v>
      </c>
      <c r="H4" s="13">
        <f t="shared" ref="H4" si="9">ROUND((AVERAGE(G4:G7)-AVERAGE(G5:G8))/AVERAGE(G5:G8),4)</f>
        <v>-1.4E-2</v>
      </c>
      <c r="I4">
        <v>1350</v>
      </c>
      <c r="J4" s="13">
        <f>ROUND((AVERAGE(I4:I8)-AVERAGE(I5:I9))/AVERAGE(I5:I9),4)</f>
        <v>2.2200000000000001E-2</v>
      </c>
      <c r="K4" s="21">
        <v>5430000</v>
      </c>
      <c r="L4" s="13">
        <f>ROUND((AVERAGE(K4:K8)-AVERAGE(K5:K9))/AVERAGE(K5:K9),4)</f>
        <v>-5.1000000000000004E-3</v>
      </c>
      <c r="M4">
        <v>689</v>
      </c>
      <c r="N4">
        <f>ROUND(AVERAGE(M4:M9),0)</f>
        <v>659</v>
      </c>
      <c r="O4" s="13">
        <f>ROUND((N4/N13)-1,4)</f>
        <v>0.1076</v>
      </c>
      <c r="P4">
        <v>313000</v>
      </c>
      <c r="Q4" s="13">
        <f>ROUND((AVERAGE(P4:P8)-AVERAGE(P5:P9))/AVERAGE(P5:P9),4)</f>
        <v>-1.84E-2</v>
      </c>
      <c r="R4">
        <v>201.41</v>
      </c>
      <c r="S4" s="13">
        <f t="shared" si="3"/>
        <v>4.7999999999999996E-3</v>
      </c>
      <c r="T4" s="21">
        <v>68</v>
      </c>
      <c r="U4" s="13">
        <f t="shared" si="4"/>
        <v>-2.86E-2</v>
      </c>
      <c r="V4" s="6">
        <f t="shared" ref="V4" si="10">ROUND(AVERAGE(T4:T7)-AVERAGE(T5:T10),2)</f>
        <v>-1.92</v>
      </c>
      <c r="W4" s="44">
        <f t="shared" ref="W4" si="11">ROUND(PMT((E4*0.01)/12,360,R4*1000)*-1,2)</f>
        <v>1034.93</v>
      </c>
      <c r="X4" s="15">
        <f t="shared" ref="X4" si="12">ROUND(W4/C4,5)</f>
        <v>5.9139999999999998E-2</v>
      </c>
      <c r="Y4" s="13">
        <f t="shared" ref="Y4" si="13">ROUND(((R4*1000)*0.2)/C4,4)</f>
        <v>2.3016999999999999</v>
      </c>
      <c r="Z4" s="6">
        <f>ROUND((T4)+(V4*1.45)+(S4*2000)+(Q4*400)-(G4*2)+(H4*100)+(L4*400)+(I4/25)+(J4*300)+(K4/100000)+(N4/100)+(O4*100),2)</f>
        <v>185.93</v>
      </c>
      <c r="AA4" s="6">
        <f>ROUND(((2.5-Y4)*100)+(((0.0775-X5)*100)*20),2)</f>
        <v>55.89</v>
      </c>
      <c r="AB4" s="6">
        <f>ROUND((Z4*0.65)+(AA4*0.35),2)</f>
        <v>140.41999999999999</v>
      </c>
      <c r="AC4" s="6">
        <f>IF(ROUND(AVERAGE(AB4:AB6),2)&lt;0,0,ROUND(AVERAGE(AB4:AB6),2))</f>
        <v>143.06</v>
      </c>
    </row>
    <row r="5" spans="1:29" x14ac:dyDescent="0.25">
      <c r="A5" s="34">
        <v>43191</v>
      </c>
      <c r="B5" s="34">
        <f t="shared" ref="B5:B69" si="14">EOMONTH(A5+40,0)</f>
        <v>43251</v>
      </c>
      <c r="C5">
        <v>17434.8</v>
      </c>
      <c r="D5" s="13">
        <f t="shared" ref="D5" si="15">ROUND((C5-C6)/C6,4)</f>
        <v>2.8999999999999998E-3</v>
      </c>
      <c r="E5">
        <v>4.66</v>
      </c>
      <c r="F5">
        <v>4.1500000000000004</v>
      </c>
      <c r="G5">
        <v>5.4</v>
      </c>
      <c r="H5" s="13">
        <f t="shared" ref="H5" si="16">ROUND((AVERAGE(G5:G8)-AVERAGE(G6:G9))/AVERAGE(G6:G9),4)</f>
        <v>-4.5999999999999999E-3</v>
      </c>
      <c r="I5">
        <v>1287</v>
      </c>
      <c r="J5" s="13">
        <f>ROUND((AVERAGE(I5:I9)-AVERAGE(I6:I10))/AVERAGE(I6:I10),4)</f>
        <v>-1.9E-3</v>
      </c>
      <c r="K5" s="21">
        <v>5460000</v>
      </c>
      <c r="L5" s="13">
        <f>ROUND((AVERAGE(K5:K9)-AVERAGE(K6:K10))/AVERAGE(K6:K10),4)</f>
        <v>-1.15E-2</v>
      </c>
      <c r="M5">
        <v>662</v>
      </c>
      <c r="N5">
        <f>ROUND(AVERAGE(M5:M10),0)</f>
        <v>662</v>
      </c>
      <c r="O5" s="13">
        <f>ROUND((N5/N14)-1,4)</f>
        <v>9.4200000000000006E-2</v>
      </c>
      <c r="P5">
        <v>312400</v>
      </c>
      <c r="Q5" s="13">
        <f>ROUND((AVERAGE(P5:P9)-AVERAGE(P6:P10))/AVERAGE(P6:P10),4)</f>
        <v>-1.8499999999999999E-2</v>
      </c>
      <c r="R5">
        <v>200.85</v>
      </c>
      <c r="S5" s="13">
        <f t="shared" ref="S5" si="17">ROUND((AVERAGE(R5:R8)-AVERAGE(R6:R9))/AVERAGE(R6:R9),4)</f>
        <v>5.7000000000000002E-3</v>
      </c>
      <c r="T5" s="21">
        <v>70</v>
      </c>
      <c r="U5" s="13">
        <f t="shared" ref="U5" si="18">ROUND((T5-T6)/T6,4)</f>
        <v>1.4500000000000001E-2</v>
      </c>
      <c r="V5" s="6">
        <f t="shared" ref="V5" si="19">ROUND(AVERAGE(T5:T8)-AVERAGE(T6:T11),2)</f>
        <v>-0.92</v>
      </c>
      <c r="W5" s="44">
        <f t="shared" ref="W5" si="20">ROUND(PMT((E5*0.01)/12,360,R5*1000)*-1,2)</f>
        <v>1036.8599999999999</v>
      </c>
      <c r="X5" s="15">
        <f t="shared" ref="X5" si="21">ROUND(W5/C5,5)</f>
        <v>5.9470000000000002E-2</v>
      </c>
      <c r="Y5" s="13">
        <f t="shared" ref="Y5:Y69" si="22">ROUND(((R5*1000)*0.2)/C5,4)</f>
        <v>2.3039999999999998</v>
      </c>
      <c r="Z5" s="6">
        <f>ROUND((T5)+(V5*1.45)+(S5*2000)+(Q5*400)-(G5*2)+(H5*100)+(L5*400)+(I5/25)+(J5*300)+(K5/100000)+(N5/100)+(O5*100),2)</f>
        <v>178.36</v>
      </c>
      <c r="AA5" s="6">
        <f>ROUND(((2.5-Y5)*100)+(((0.0775-X6)*100)*20),2)</f>
        <v>57.08</v>
      </c>
      <c r="AB5" s="6">
        <f>ROUND((Z5*0.65)+(AA5*0.35),2)</f>
        <v>135.91</v>
      </c>
      <c r="AC5" s="6">
        <f>IF(ROUND(AVERAGE(AB5:AB7),2)&lt;0,0,ROUND(AVERAGE(AB5:AB7),2))</f>
        <v>147.28</v>
      </c>
    </row>
    <row r="6" spans="1:29" x14ac:dyDescent="0.25">
      <c r="A6" s="34">
        <v>43160</v>
      </c>
      <c r="B6" s="34">
        <f t="shared" si="14"/>
        <v>43220</v>
      </c>
      <c r="C6">
        <v>17383.7</v>
      </c>
      <c r="D6" s="13">
        <f t="shared" ref="D6:D69" si="23">ROUND((C6-C7)/C7,4)</f>
        <v>4.0000000000000001E-3</v>
      </c>
      <c r="E6">
        <v>4.58</v>
      </c>
      <c r="F6">
        <v>4.0199999999999996</v>
      </c>
      <c r="G6">
        <v>5.2</v>
      </c>
      <c r="H6" s="13">
        <f t="shared" ref="H6:H69" si="24">ROUND((AVERAGE(G6:G9)-AVERAGE(G7:G10))/AVERAGE(G7:G10),4)</f>
        <v>1.89E-2</v>
      </c>
      <c r="I6">
        <v>1319</v>
      </c>
      <c r="J6" s="13">
        <f t="shared" ref="J6:J69" si="25">ROUND((AVERAGE(I6:I10)-AVERAGE(I7:I11))/AVERAGE(I7:I11),4)</f>
        <v>9.1000000000000004E-3</v>
      </c>
      <c r="K6" s="21">
        <v>5600000</v>
      </c>
      <c r="L6" s="13">
        <f t="shared" ref="L6:L69" si="26">ROUND((AVERAGE(K6:K10)-AVERAGE(K7:K11))/AVERAGE(K7:K11),4)</f>
        <v>4.3E-3</v>
      </c>
      <c r="M6">
        <v>672</v>
      </c>
      <c r="N6">
        <f t="shared" ref="N6:N69" si="27">ROUND(AVERAGE(M6:M11),0)</f>
        <v>655</v>
      </c>
      <c r="O6" s="13">
        <f t="shared" ref="O6:O69" si="28">ROUND((N6/N15)-1,4)</f>
        <v>7.0300000000000001E-2</v>
      </c>
      <c r="P6">
        <v>337200</v>
      </c>
      <c r="Q6" s="13">
        <f t="shared" ref="Q6:Q69" si="29">ROUND((AVERAGE(P6:P10)-AVERAGE(P7:P11))/AVERAGE(P7:P11),4)</f>
        <v>1.0699999999999999E-2</v>
      </c>
      <c r="R6">
        <v>199.71599999999901</v>
      </c>
      <c r="S6" s="13">
        <f t="shared" ref="S6:S69" si="30">ROUND((AVERAGE(R6:R9)-AVERAGE(R7:R10))/AVERAGE(R7:R10),4)</f>
        <v>5.8999999999999999E-3</v>
      </c>
      <c r="T6" s="21">
        <v>69</v>
      </c>
      <c r="U6" s="13">
        <f t="shared" ref="U6:U69" si="31">ROUND((T6-T7)/T7,4)</f>
        <v>-1.43E-2</v>
      </c>
      <c r="V6" s="6">
        <f t="shared" ref="V6:V69" si="32">ROUND(AVERAGE(T6:T9)-AVERAGE(T7:T12),2)</f>
        <v>-0.25</v>
      </c>
      <c r="W6" s="44">
        <f t="shared" ref="W6:W69" si="33">ROUND(PMT((E6*0.01)/12,360,R6*1000)*-1,2)</f>
        <v>1021.45</v>
      </c>
      <c r="X6" s="15">
        <f t="shared" ref="X6:X69" si="34">ROUND(W6/C6,5)</f>
        <v>5.876E-2</v>
      </c>
      <c r="Y6" s="13">
        <f t="shared" si="22"/>
        <v>2.2976999999999999</v>
      </c>
      <c r="Z6" s="6">
        <f t="shared" ref="Z6:Z69" si="35">ROUND((T6)+(V6*1.45)+(S6*2000)+(Q6*400)-(G6*2)+(H6*100)+(L6*400)+(I6/25)+(J6*300)+(K6/100000)+(N6/100)+(O6*100),2)</f>
        <v>203</v>
      </c>
      <c r="AA6" s="6">
        <f t="shared" ref="AA6:AA69" si="36">ROUND(((2.5-Y6)*100)+(((0.0775-X7)*100)*20),2)</f>
        <v>59.75</v>
      </c>
      <c r="AB6" s="6">
        <f t="shared" ref="AB6:AB69" si="37">ROUND((Z6*0.65)+(AA6*0.35),2)</f>
        <v>152.86000000000001</v>
      </c>
      <c r="AC6" s="6">
        <f t="shared" ref="AC6:AC69" si="38">IF(ROUND(AVERAGE(AB6:AB8),2)&lt;0,0,ROUND(AVERAGE(AB6:AB8),2))</f>
        <v>155.09</v>
      </c>
    </row>
    <row r="7" spans="1:29" x14ac:dyDescent="0.25">
      <c r="A7" s="34">
        <v>43132</v>
      </c>
      <c r="B7" s="34">
        <f t="shared" si="14"/>
        <v>43190</v>
      </c>
      <c r="C7">
        <v>17315.3</v>
      </c>
      <c r="D7" s="13">
        <f t="shared" si="23"/>
        <v>3.3E-3</v>
      </c>
      <c r="E7">
        <v>4.4400000000000004</v>
      </c>
      <c r="F7">
        <v>3.9</v>
      </c>
      <c r="G7">
        <v>5.4</v>
      </c>
      <c r="H7" s="13">
        <f t="shared" si="24"/>
        <v>-9.2999999999999992E-3</v>
      </c>
      <c r="I7">
        <v>1295</v>
      </c>
      <c r="J7" s="13">
        <f t="shared" si="25"/>
        <v>2.1700000000000001E-2</v>
      </c>
      <c r="K7" s="21">
        <v>5540000</v>
      </c>
      <c r="L7" s="13">
        <f t="shared" si="26"/>
        <v>5.4000000000000003E-3</v>
      </c>
      <c r="M7">
        <v>659</v>
      </c>
      <c r="N7">
        <f t="shared" si="27"/>
        <v>649</v>
      </c>
      <c r="O7" s="13">
        <f t="shared" si="28"/>
        <v>8.1699999999999995E-2</v>
      </c>
      <c r="P7">
        <v>325800</v>
      </c>
      <c r="Q7" s="13">
        <f t="shared" si="29"/>
        <v>-3.3999999999999998E-3</v>
      </c>
      <c r="R7">
        <v>198.71299999999999</v>
      </c>
      <c r="S7" s="13">
        <f t="shared" si="30"/>
        <v>6.1999999999999998E-3</v>
      </c>
      <c r="T7" s="21">
        <v>70</v>
      </c>
      <c r="U7" s="13">
        <f t="shared" si="31"/>
        <v>-2.7799999999999998E-2</v>
      </c>
      <c r="V7" s="6">
        <f t="shared" si="32"/>
        <v>2</v>
      </c>
      <c r="W7" s="44">
        <f t="shared" si="33"/>
        <v>999.78</v>
      </c>
      <c r="X7" s="15">
        <f t="shared" si="34"/>
        <v>5.774E-2</v>
      </c>
      <c r="Y7" s="13">
        <f t="shared" si="22"/>
        <v>2.2951999999999999</v>
      </c>
      <c r="Z7" s="6">
        <f t="shared" si="35"/>
        <v>202.74</v>
      </c>
      <c r="AA7" s="6">
        <f t="shared" si="36"/>
        <v>60.82</v>
      </c>
      <c r="AB7" s="6">
        <f t="shared" si="37"/>
        <v>153.07</v>
      </c>
      <c r="AC7" s="6">
        <f t="shared" si="38"/>
        <v>155.28</v>
      </c>
    </row>
    <row r="8" spans="1:29" x14ac:dyDescent="0.25">
      <c r="A8" s="34">
        <v>43101</v>
      </c>
      <c r="B8" s="34">
        <f t="shared" si="14"/>
        <v>43159</v>
      </c>
      <c r="C8">
        <v>17257.5</v>
      </c>
      <c r="D8" s="13">
        <f t="shared" si="23"/>
        <v>5.4000000000000003E-3</v>
      </c>
      <c r="E8">
        <v>4.4000000000000004</v>
      </c>
      <c r="F8">
        <v>3.85</v>
      </c>
      <c r="G8">
        <v>5.5</v>
      </c>
      <c r="H8" s="13">
        <f t="shared" si="24"/>
        <v>9.4000000000000004E-3</v>
      </c>
      <c r="I8">
        <v>1339</v>
      </c>
      <c r="J8" s="13">
        <f t="shared" si="25"/>
        <v>2.7400000000000001E-2</v>
      </c>
      <c r="K8" s="21">
        <v>5380000</v>
      </c>
      <c r="L8" s="13">
        <f t="shared" si="26"/>
        <v>1.1000000000000001E-3</v>
      </c>
      <c r="M8">
        <v>633</v>
      </c>
      <c r="N8">
        <f t="shared" si="27"/>
        <v>632</v>
      </c>
      <c r="O8" s="13">
        <f t="shared" si="28"/>
        <v>6.4000000000000001E-2</v>
      </c>
      <c r="P8">
        <v>326900</v>
      </c>
      <c r="Q8" s="13">
        <f t="shared" si="29"/>
        <v>7.7000000000000002E-3</v>
      </c>
      <c r="R8">
        <v>197.58199999999999</v>
      </c>
      <c r="S8" s="13">
        <f t="shared" si="30"/>
        <v>6.3E-3</v>
      </c>
      <c r="T8" s="21">
        <v>72</v>
      </c>
      <c r="U8" s="13">
        <f t="shared" si="31"/>
        <v>0</v>
      </c>
      <c r="V8" s="6">
        <f t="shared" si="32"/>
        <v>2.67</v>
      </c>
      <c r="W8" s="44">
        <f t="shared" si="33"/>
        <v>989.41</v>
      </c>
      <c r="X8" s="15">
        <f t="shared" si="34"/>
        <v>5.7329999999999999E-2</v>
      </c>
      <c r="Y8" s="13">
        <f t="shared" si="22"/>
        <v>2.2898000000000001</v>
      </c>
      <c r="Z8" s="6">
        <f t="shared" si="35"/>
        <v>210.23</v>
      </c>
      <c r="AA8" s="6">
        <f t="shared" si="36"/>
        <v>64.84</v>
      </c>
      <c r="AB8" s="6">
        <f t="shared" si="37"/>
        <v>159.34</v>
      </c>
      <c r="AC8" s="6">
        <f t="shared" si="38"/>
        <v>158.47999999999999</v>
      </c>
    </row>
    <row r="9" spans="1:29" x14ac:dyDescent="0.25">
      <c r="A9" s="34">
        <v>43070</v>
      </c>
      <c r="B9" s="34">
        <f t="shared" si="14"/>
        <v>43131</v>
      </c>
      <c r="C9">
        <v>17164.599999999999</v>
      </c>
      <c r="D9" s="13">
        <f t="shared" si="23"/>
        <v>3.7000000000000002E-3</v>
      </c>
      <c r="E9">
        <v>4.1500000000000004</v>
      </c>
      <c r="F9">
        <v>3.62</v>
      </c>
      <c r="G9">
        <v>5.5</v>
      </c>
      <c r="H9" s="13">
        <f t="shared" si="24"/>
        <v>-2.3E-2</v>
      </c>
      <c r="I9">
        <v>1207</v>
      </c>
      <c r="J9" s="13">
        <f t="shared" si="25"/>
        <v>3.5999999999999999E-3</v>
      </c>
      <c r="K9" s="21">
        <v>5570000</v>
      </c>
      <c r="L9" s="13">
        <f t="shared" si="26"/>
        <v>4.7000000000000002E-3</v>
      </c>
      <c r="M9">
        <v>636</v>
      </c>
      <c r="N9">
        <f t="shared" si="27"/>
        <v>620</v>
      </c>
      <c r="O9" s="13">
        <f t="shared" si="28"/>
        <v>4.9099999999999998E-2</v>
      </c>
      <c r="P9">
        <v>343300</v>
      </c>
      <c r="Q9" s="13">
        <f t="shared" si="29"/>
        <v>1.2500000000000001E-2</v>
      </c>
      <c r="R9">
        <v>196.30599999999899</v>
      </c>
      <c r="S9" s="13">
        <f t="shared" si="30"/>
        <v>6.7999999999999996E-3</v>
      </c>
      <c r="T9" s="21">
        <v>72</v>
      </c>
      <c r="U9" s="13">
        <f t="shared" si="31"/>
        <v>-2.7E-2</v>
      </c>
      <c r="V9" s="6">
        <f t="shared" si="32"/>
        <v>3</v>
      </c>
      <c r="W9" s="44">
        <f t="shared" si="33"/>
        <v>954.25</v>
      </c>
      <c r="X9" s="15">
        <f t="shared" si="34"/>
        <v>5.5590000000000001E-2</v>
      </c>
      <c r="Y9" s="13">
        <f t="shared" si="22"/>
        <v>2.2873000000000001</v>
      </c>
      <c r="Z9" s="6">
        <f t="shared" si="35"/>
        <v>199.7</v>
      </c>
      <c r="AA9" s="6">
        <f t="shared" si="36"/>
        <v>67.489999999999995</v>
      </c>
      <c r="AB9" s="6">
        <f t="shared" si="37"/>
        <v>153.43</v>
      </c>
      <c r="AC9" s="6">
        <f t="shared" si="38"/>
        <v>154.93</v>
      </c>
    </row>
    <row r="10" spans="1:29" x14ac:dyDescent="0.25">
      <c r="A10" s="34">
        <v>43040</v>
      </c>
      <c r="B10" s="34">
        <f t="shared" si="14"/>
        <v>43100</v>
      </c>
      <c r="C10">
        <v>17101.2</v>
      </c>
      <c r="D10" s="13">
        <f t="shared" si="23"/>
        <v>3.3999999999999998E-3</v>
      </c>
      <c r="E10">
        <v>3.99</v>
      </c>
      <c r="F10">
        <v>3.44</v>
      </c>
      <c r="G10">
        <v>4.8</v>
      </c>
      <c r="H10" s="13">
        <f t="shared" si="24"/>
        <v>-4.82E-2</v>
      </c>
      <c r="I10">
        <v>1299</v>
      </c>
      <c r="J10" s="13">
        <f t="shared" si="25"/>
        <v>1.37E-2</v>
      </c>
      <c r="K10" s="21">
        <v>5780000</v>
      </c>
      <c r="L10" s="13">
        <f t="shared" si="26"/>
        <v>9.9000000000000008E-3</v>
      </c>
      <c r="M10">
        <v>712</v>
      </c>
      <c r="N10">
        <f t="shared" si="27"/>
        <v>616</v>
      </c>
      <c r="O10" s="13">
        <f t="shared" si="28"/>
        <v>6.5699999999999995E-2</v>
      </c>
      <c r="P10">
        <v>343400</v>
      </c>
      <c r="Q10" s="13">
        <f t="shared" si="29"/>
        <v>1.7600000000000001E-2</v>
      </c>
      <c r="R10">
        <v>195.04900000000001</v>
      </c>
      <c r="S10" s="13">
        <f t="shared" si="30"/>
        <v>6.1000000000000004E-3</v>
      </c>
      <c r="T10" s="21">
        <v>74</v>
      </c>
      <c r="U10" s="13">
        <f t="shared" si="31"/>
        <v>5.7099999999999998E-2</v>
      </c>
      <c r="V10" s="6">
        <f t="shared" si="32"/>
        <v>2.33</v>
      </c>
      <c r="W10" s="44">
        <f t="shared" si="33"/>
        <v>930.07</v>
      </c>
      <c r="X10" s="15">
        <f t="shared" si="34"/>
        <v>5.4390000000000001E-2</v>
      </c>
      <c r="Y10" s="13">
        <f t="shared" si="22"/>
        <v>2.2810999999999999</v>
      </c>
      <c r="Z10" s="6">
        <f t="shared" si="35"/>
        <v>212.76</v>
      </c>
      <c r="AA10" s="6">
        <f t="shared" si="36"/>
        <v>69.61</v>
      </c>
      <c r="AB10" s="6">
        <f t="shared" si="37"/>
        <v>162.66</v>
      </c>
      <c r="AC10" s="6">
        <f t="shared" si="38"/>
        <v>150.55000000000001</v>
      </c>
    </row>
    <row r="11" spans="1:29" x14ac:dyDescent="0.25">
      <c r="A11" s="34">
        <v>43009</v>
      </c>
      <c r="B11" s="34">
        <f t="shared" si="14"/>
        <v>43069</v>
      </c>
      <c r="C11">
        <v>17043.3</v>
      </c>
      <c r="D11" s="13">
        <f t="shared" si="23"/>
        <v>4.0000000000000001E-3</v>
      </c>
      <c r="E11">
        <v>3.9</v>
      </c>
      <c r="F11">
        <v>3.3</v>
      </c>
      <c r="G11">
        <v>5.6</v>
      </c>
      <c r="H11" s="13">
        <f t="shared" si="24"/>
        <v>1.3299999999999999E-2</v>
      </c>
      <c r="I11">
        <v>1261</v>
      </c>
      <c r="J11" s="13">
        <f t="shared" si="25"/>
        <v>2.2499999999999999E-2</v>
      </c>
      <c r="K11" s="21">
        <v>5480000</v>
      </c>
      <c r="L11" s="13">
        <f t="shared" si="26"/>
        <v>-5.1000000000000004E-3</v>
      </c>
      <c r="M11">
        <v>618</v>
      </c>
      <c r="N11">
        <f t="shared" si="27"/>
        <v>598</v>
      </c>
      <c r="O11" s="13">
        <f t="shared" si="28"/>
        <v>4.9099999999999998E-2</v>
      </c>
      <c r="P11">
        <v>319500</v>
      </c>
      <c r="Q11" s="13">
        <f t="shared" si="29"/>
        <v>-2.5999999999999999E-3</v>
      </c>
      <c r="R11">
        <v>193.83199999999999</v>
      </c>
      <c r="S11" s="13">
        <f t="shared" si="30"/>
        <v>5.0000000000000001E-3</v>
      </c>
      <c r="T11" s="21">
        <v>70</v>
      </c>
      <c r="U11" s="13">
        <f t="shared" si="31"/>
        <v>2.9399999999999999E-2</v>
      </c>
      <c r="V11" s="6">
        <f t="shared" si="32"/>
        <v>0.83</v>
      </c>
      <c r="W11" s="44">
        <f t="shared" si="33"/>
        <v>914.24</v>
      </c>
      <c r="X11" s="15">
        <f t="shared" si="34"/>
        <v>5.364E-2</v>
      </c>
      <c r="Y11" s="13">
        <f t="shared" si="22"/>
        <v>2.2746</v>
      </c>
      <c r="Z11" s="6">
        <f t="shared" si="35"/>
        <v>191.13</v>
      </c>
      <c r="AA11" s="6">
        <f t="shared" si="36"/>
        <v>69.94</v>
      </c>
      <c r="AB11" s="6">
        <f t="shared" si="37"/>
        <v>148.71</v>
      </c>
      <c r="AC11" s="6">
        <f t="shared" si="38"/>
        <v>139.28</v>
      </c>
    </row>
    <row r="12" spans="1:29" x14ac:dyDescent="0.25">
      <c r="A12" s="34">
        <v>42979</v>
      </c>
      <c r="B12" s="34">
        <f t="shared" si="14"/>
        <v>43039</v>
      </c>
      <c r="C12">
        <v>16974.900000000001</v>
      </c>
      <c r="D12" s="13">
        <f t="shared" si="23"/>
        <v>4.8999999999999998E-3</v>
      </c>
      <c r="E12">
        <v>3.94</v>
      </c>
      <c r="F12">
        <v>3.25</v>
      </c>
      <c r="G12">
        <v>5.3</v>
      </c>
      <c r="H12" s="13">
        <f t="shared" si="24"/>
        <v>-4.4000000000000003E-3</v>
      </c>
      <c r="I12">
        <v>1159</v>
      </c>
      <c r="J12" s="13">
        <f t="shared" si="25"/>
        <v>8.9999999999999998E-4</v>
      </c>
      <c r="K12" s="21">
        <v>5390000</v>
      </c>
      <c r="L12" s="13">
        <f t="shared" si="26"/>
        <v>-6.4999999999999997E-3</v>
      </c>
      <c r="M12">
        <v>637</v>
      </c>
      <c r="N12">
        <f t="shared" si="27"/>
        <v>594</v>
      </c>
      <c r="O12" s="13">
        <f t="shared" si="28"/>
        <v>3.1300000000000001E-2</v>
      </c>
      <c r="P12">
        <v>331500</v>
      </c>
      <c r="Q12" s="13">
        <f t="shared" si="29"/>
        <v>1.29E-2</v>
      </c>
      <c r="R12">
        <v>192.67599999999999</v>
      </c>
      <c r="S12" s="13">
        <f t="shared" si="30"/>
        <v>4.4000000000000003E-3</v>
      </c>
      <c r="T12" s="21">
        <v>68</v>
      </c>
      <c r="U12" s="13">
        <f t="shared" si="31"/>
        <v>6.25E-2</v>
      </c>
      <c r="V12" s="6">
        <f t="shared" si="32"/>
        <v>-0.67</v>
      </c>
      <c r="W12" s="44">
        <f t="shared" si="33"/>
        <v>913.21</v>
      </c>
      <c r="X12" s="15">
        <f t="shared" si="34"/>
        <v>5.3800000000000001E-2</v>
      </c>
      <c r="Y12" s="13">
        <f t="shared" si="22"/>
        <v>2.2700999999999998</v>
      </c>
      <c r="Z12" s="6">
        <f t="shared" si="35"/>
        <v>176.95</v>
      </c>
      <c r="AA12" s="6">
        <f t="shared" si="36"/>
        <v>72.19</v>
      </c>
      <c r="AB12" s="6">
        <f t="shared" si="37"/>
        <v>140.28</v>
      </c>
      <c r="AC12" s="6">
        <f t="shared" si="38"/>
        <v>137.02000000000001</v>
      </c>
    </row>
    <row r="13" spans="1:29" x14ac:dyDescent="0.25">
      <c r="A13" s="34">
        <v>42948</v>
      </c>
      <c r="B13" s="34">
        <f t="shared" si="14"/>
        <v>43008</v>
      </c>
      <c r="C13">
        <v>16891.8</v>
      </c>
      <c r="D13" s="13">
        <f t="shared" si="23"/>
        <v>4.4000000000000003E-3</v>
      </c>
      <c r="E13">
        <v>3.83</v>
      </c>
      <c r="F13">
        <v>3.13</v>
      </c>
      <c r="G13">
        <v>6</v>
      </c>
      <c r="H13" s="13">
        <f t="shared" si="24"/>
        <v>2.7300000000000001E-2</v>
      </c>
      <c r="I13">
        <v>1172</v>
      </c>
      <c r="J13" s="13">
        <f t="shared" si="25"/>
        <v>-2.8999999999999998E-3</v>
      </c>
      <c r="K13" s="21">
        <v>5350000</v>
      </c>
      <c r="L13" s="13">
        <f t="shared" si="26"/>
        <v>-1.29E-2</v>
      </c>
      <c r="M13">
        <v>558</v>
      </c>
      <c r="N13">
        <f t="shared" si="27"/>
        <v>595</v>
      </c>
      <c r="O13" s="13">
        <f t="shared" si="28"/>
        <v>2.76E-2</v>
      </c>
      <c r="P13">
        <v>314200</v>
      </c>
      <c r="Q13" s="13">
        <f t="shared" si="29"/>
        <v>-4.7000000000000002E-3</v>
      </c>
      <c r="R13">
        <v>191.08500000000001</v>
      </c>
      <c r="S13" s="13">
        <f t="shared" si="30"/>
        <v>3.2000000000000002E-3</v>
      </c>
      <c r="T13" s="21">
        <v>64</v>
      </c>
      <c r="U13" s="13">
        <f t="shared" si="31"/>
        <v>-5.8799999999999998E-2</v>
      </c>
      <c r="V13" s="6">
        <f t="shared" si="32"/>
        <v>-2.33</v>
      </c>
      <c r="W13" s="44">
        <f t="shared" si="33"/>
        <v>893.64</v>
      </c>
      <c r="X13" s="15">
        <f t="shared" si="34"/>
        <v>5.2900000000000003E-2</v>
      </c>
      <c r="Y13" s="13">
        <f t="shared" si="22"/>
        <v>2.2625000000000002</v>
      </c>
      <c r="Z13" s="6">
        <f t="shared" si="35"/>
        <v>158.93</v>
      </c>
      <c r="AA13" s="6">
        <f t="shared" si="36"/>
        <v>73.010000000000005</v>
      </c>
      <c r="AB13" s="6">
        <f t="shared" si="37"/>
        <v>128.86000000000001</v>
      </c>
      <c r="AC13" s="6">
        <f t="shared" si="38"/>
        <v>136.11000000000001</v>
      </c>
    </row>
    <row r="14" spans="1:29" x14ac:dyDescent="0.25">
      <c r="A14" s="34">
        <v>42917</v>
      </c>
      <c r="B14" s="34">
        <f t="shared" si="14"/>
        <v>42978</v>
      </c>
      <c r="C14">
        <v>16818.599999999999</v>
      </c>
      <c r="D14" s="13">
        <f t="shared" si="23"/>
        <v>4.1000000000000003E-3</v>
      </c>
      <c r="E14">
        <v>3.82</v>
      </c>
      <c r="F14">
        <v>3.12</v>
      </c>
      <c r="G14">
        <v>5.9</v>
      </c>
      <c r="H14" s="13">
        <f t="shared" si="24"/>
        <v>4.2700000000000002E-2</v>
      </c>
      <c r="I14">
        <v>1185</v>
      </c>
      <c r="J14" s="13">
        <f t="shared" si="25"/>
        <v>-1.72E-2</v>
      </c>
      <c r="K14" s="21">
        <v>5440000</v>
      </c>
      <c r="L14" s="13">
        <f t="shared" si="26"/>
        <v>-1.4E-3</v>
      </c>
      <c r="M14">
        <v>556</v>
      </c>
      <c r="N14">
        <f t="shared" si="27"/>
        <v>605</v>
      </c>
      <c r="O14" s="13">
        <f t="shared" si="28"/>
        <v>4.8500000000000001E-2</v>
      </c>
      <c r="P14">
        <v>322900</v>
      </c>
      <c r="Q14" s="13">
        <f t="shared" si="29"/>
        <v>1.5900000000000001E-2</v>
      </c>
      <c r="R14">
        <v>190.38</v>
      </c>
      <c r="S14" s="13">
        <f t="shared" si="30"/>
        <v>3.3E-3</v>
      </c>
      <c r="T14" s="21">
        <v>68</v>
      </c>
      <c r="U14" s="13">
        <f t="shared" si="31"/>
        <v>6.25E-2</v>
      </c>
      <c r="V14" s="6">
        <f t="shared" si="32"/>
        <v>-0.33</v>
      </c>
      <c r="W14" s="44">
        <f t="shared" si="33"/>
        <v>889.26</v>
      </c>
      <c r="X14" s="15">
        <f t="shared" si="34"/>
        <v>5.287E-2</v>
      </c>
      <c r="Y14" s="13">
        <f t="shared" si="22"/>
        <v>2.2639</v>
      </c>
      <c r="Z14" s="6">
        <f t="shared" si="35"/>
        <v>179.93</v>
      </c>
      <c r="AA14" s="6">
        <f t="shared" si="36"/>
        <v>71.349999999999994</v>
      </c>
      <c r="AB14" s="6">
        <f t="shared" si="37"/>
        <v>141.93</v>
      </c>
      <c r="AC14" s="6">
        <f t="shared" si="38"/>
        <v>138.72999999999999</v>
      </c>
    </row>
    <row r="15" spans="1:29" x14ac:dyDescent="0.25">
      <c r="A15" s="34">
        <v>42887</v>
      </c>
      <c r="B15" s="34">
        <f t="shared" si="14"/>
        <v>42947</v>
      </c>
      <c r="C15">
        <v>16750.400000000001</v>
      </c>
      <c r="D15" s="13">
        <f t="shared" si="23"/>
        <v>8.0000000000000004E-4</v>
      </c>
      <c r="E15">
        <v>3.92</v>
      </c>
      <c r="F15">
        <v>3.2</v>
      </c>
      <c r="G15">
        <v>5.3</v>
      </c>
      <c r="H15" s="13">
        <f t="shared" si="24"/>
        <v>9.5999999999999992E-3</v>
      </c>
      <c r="I15">
        <v>1217</v>
      </c>
      <c r="J15" s="13">
        <f t="shared" si="25"/>
        <v>-3.2000000000000002E-3</v>
      </c>
      <c r="K15" s="21">
        <v>5510000</v>
      </c>
      <c r="L15" s="13">
        <f t="shared" si="26"/>
        <v>-6.4000000000000003E-3</v>
      </c>
      <c r="M15">
        <v>616</v>
      </c>
      <c r="N15">
        <f t="shared" si="27"/>
        <v>612</v>
      </c>
      <c r="O15" s="13">
        <f t="shared" si="28"/>
        <v>6.25E-2</v>
      </c>
      <c r="P15">
        <v>315200</v>
      </c>
      <c r="Q15" s="13">
        <f t="shared" si="29"/>
        <v>0</v>
      </c>
      <c r="R15">
        <v>190.00799999999899</v>
      </c>
      <c r="S15" s="13">
        <f t="shared" si="30"/>
        <v>3.5999999999999999E-3</v>
      </c>
      <c r="T15" s="21">
        <v>64</v>
      </c>
      <c r="U15" s="13">
        <f t="shared" si="31"/>
        <v>-3.0300000000000001E-2</v>
      </c>
      <c r="V15" s="6">
        <f t="shared" si="32"/>
        <v>-0.83</v>
      </c>
      <c r="W15" s="44">
        <f t="shared" si="33"/>
        <v>898.39</v>
      </c>
      <c r="X15" s="15">
        <f t="shared" si="34"/>
        <v>5.3629999999999997E-2</v>
      </c>
      <c r="Y15" s="13">
        <f t="shared" si="22"/>
        <v>2.2686999999999999</v>
      </c>
      <c r="Z15" s="6">
        <f t="shared" si="35"/>
        <v>172.99</v>
      </c>
      <c r="AA15" s="6">
        <f t="shared" si="36"/>
        <v>71.69</v>
      </c>
      <c r="AB15" s="6">
        <f t="shared" si="37"/>
        <v>137.54</v>
      </c>
      <c r="AC15" s="6">
        <f t="shared" si="38"/>
        <v>139.08000000000001</v>
      </c>
    </row>
    <row r="16" spans="1:29" x14ac:dyDescent="0.25">
      <c r="A16" s="34">
        <v>42856</v>
      </c>
      <c r="B16" s="34">
        <f t="shared" si="14"/>
        <v>42916</v>
      </c>
      <c r="C16">
        <v>16737.5</v>
      </c>
      <c r="D16" s="13">
        <f t="shared" si="23"/>
        <v>3.7000000000000002E-3</v>
      </c>
      <c r="E16">
        <v>3.88</v>
      </c>
      <c r="F16">
        <v>3.17</v>
      </c>
      <c r="G16">
        <v>5.4</v>
      </c>
      <c r="H16" s="13">
        <f t="shared" si="24"/>
        <v>9.7000000000000003E-3</v>
      </c>
      <c r="I16">
        <v>1129</v>
      </c>
      <c r="J16" s="13">
        <f t="shared" si="25"/>
        <v>-2.2700000000000001E-2</v>
      </c>
      <c r="K16" s="21">
        <v>5620000</v>
      </c>
      <c r="L16" s="13">
        <f t="shared" si="26"/>
        <v>3.8999999999999998E-3</v>
      </c>
      <c r="M16">
        <v>604</v>
      </c>
      <c r="N16">
        <f t="shared" si="27"/>
        <v>600</v>
      </c>
      <c r="O16" s="13">
        <f t="shared" si="28"/>
        <v>5.0799999999999998E-2</v>
      </c>
      <c r="P16">
        <v>323600</v>
      </c>
      <c r="Q16" s="13">
        <f t="shared" si="29"/>
        <v>-2.2000000000000001E-3</v>
      </c>
      <c r="R16">
        <v>189.303</v>
      </c>
      <c r="S16" s="13">
        <f t="shared" si="30"/>
        <v>4.4000000000000003E-3</v>
      </c>
      <c r="T16" s="21">
        <v>66</v>
      </c>
      <c r="U16" s="13">
        <f t="shared" si="31"/>
        <v>-5.7099999999999998E-2</v>
      </c>
      <c r="V16" s="6">
        <f t="shared" si="32"/>
        <v>0.42</v>
      </c>
      <c r="W16" s="44">
        <f t="shared" si="33"/>
        <v>890.71</v>
      </c>
      <c r="X16" s="15">
        <f t="shared" si="34"/>
        <v>5.3220000000000003E-2</v>
      </c>
      <c r="Y16" s="13">
        <f t="shared" si="22"/>
        <v>2.262</v>
      </c>
      <c r="Z16" s="6">
        <f t="shared" si="35"/>
        <v>171.89</v>
      </c>
      <c r="AA16" s="6">
        <f t="shared" si="36"/>
        <v>71.44</v>
      </c>
      <c r="AB16" s="6">
        <f t="shared" si="37"/>
        <v>136.72999999999999</v>
      </c>
      <c r="AC16" s="6">
        <f t="shared" si="38"/>
        <v>142.61000000000001</v>
      </c>
    </row>
    <row r="17" spans="1:29" x14ac:dyDescent="0.25">
      <c r="A17" s="34">
        <v>42826</v>
      </c>
      <c r="B17" s="34">
        <f t="shared" si="14"/>
        <v>42886</v>
      </c>
      <c r="C17">
        <v>16675.599999999999</v>
      </c>
      <c r="D17" s="13">
        <f t="shared" si="23"/>
        <v>6.9999999999999999E-4</v>
      </c>
      <c r="E17">
        <v>3.95</v>
      </c>
      <c r="F17">
        <v>3.19</v>
      </c>
      <c r="G17">
        <v>5.4</v>
      </c>
      <c r="H17" s="13">
        <f t="shared" si="24"/>
        <v>-9.5999999999999992E-3</v>
      </c>
      <c r="I17">
        <v>1154</v>
      </c>
      <c r="J17" s="13">
        <f t="shared" si="25"/>
        <v>8.0000000000000004E-4</v>
      </c>
      <c r="K17">
        <v>5570000</v>
      </c>
      <c r="L17" s="13">
        <f t="shared" si="26"/>
        <v>-1.1000000000000001E-3</v>
      </c>
      <c r="M17">
        <v>593</v>
      </c>
      <c r="N17">
        <f t="shared" si="27"/>
        <v>594</v>
      </c>
      <c r="O17" s="13">
        <f t="shared" si="28"/>
        <v>5.3199999999999997E-2</v>
      </c>
      <c r="P17">
        <v>311100</v>
      </c>
      <c r="Q17" s="13">
        <f t="shared" si="29"/>
        <v>-2.5000000000000001E-3</v>
      </c>
      <c r="R17">
        <v>188.648</v>
      </c>
      <c r="S17" s="13">
        <f t="shared" si="30"/>
        <v>4.8999999999999998E-3</v>
      </c>
      <c r="T17">
        <v>70</v>
      </c>
      <c r="U17" s="13">
        <f t="shared" si="31"/>
        <v>2.9399999999999999E-2</v>
      </c>
      <c r="V17" s="6">
        <f t="shared" si="32"/>
        <v>1.33</v>
      </c>
      <c r="W17" s="44">
        <f t="shared" si="33"/>
        <v>895.21</v>
      </c>
      <c r="X17" s="15">
        <f t="shared" si="34"/>
        <v>5.3679999999999999E-2</v>
      </c>
      <c r="Y17" s="13">
        <f t="shared" si="22"/>
        <v>2.2625999999999999</v>
      </c>
      <c r="Z17" s="6">
        <f t="shared" si="35"/>
        <v>181.89</v>
      </c>
      <c r="AA17" s="6">
        <f t="shared" si="36"/>
        <v>70.7</v>
      </c>
      <c r="AB17" s="6">
        <f t="shared" si="37"/>
        <v>142.97</v>
      </c>
      <c r="AC17" s="6">
        <f t="shared" si="38"/>
        <v>149.11000000000001</v>
      </c>
    </row>
    <row r="18" spans="1:29" x14ac:dyDescent="0.25">
      <c r="A18" s="34">
        <v>42795</v>
      </c>
      <c r="B18" s="34">
        <f t="shared" si="14"/>
        <v>42855</v>
      </c>
      <c r="C18">
        <v>16664.2</v>
      </c>
      <c r="D18" s="13">
        <f t="shared" si="23"/>
        <v>2.8999999999999998E-3</v>
      </c>
      <c r="E18">
        <v>4.03</v>
      </c>
      <c r="F18">
        <v>3.27</v>
      </c>
      <c r="G18">
        <v>5</v>
      </c>
      <c r="H18" s="13">
        <f t="shared" si="24"/>
        <v>-4.7999999999999996E-3</v>
      </c>
      <c r="I18">
        <v>1189</v>
      </c>
      <c r="J18" s="13">
        <f t="shared" si="25"/>
        <v>-2.2200000000000001E-2</v>
      </c>
      <c r="K18">
        <v>5710000</v>
      </c>
      <c r="L18" s="13">
        <f t="shared" si="26"/>
        <v>6.4999999999999997E-3</v>
      </c>
      <c r="M18">
        <v>643</v>
      </c>
      <c r="N18">
        <f t="shared" si="27"/>
        <v>591</v>
      </c>
      <c r="O18" s="13">
        <f t="shared" si="28"/>
        <v>8.4400000000000003E-2</v>
      </c>
      <c r="P18">
        <v>321700</v>
      </c>
      <c r="Q18" s="13">
        <f t="shared" si="29"/>
        <v>1.21E-2</v>
      </c>
      <c r="R18">
        <v>187.863</v>
      </c>
      <c r="S18" s="13">
        <f t="shared" si="30"/>
        <v>5.4000000000000003E-3</v>
      </c>
      <c r="T18">
        <v>68</v>
      </c>
      <c r="U18" s="13">
        <f t="shared" si="31"/>
        <v>-4.2299999999999997E-2</v>
      </c>
      <c r="V18" s="6">
        <f t="shared" si="32"/>
        <v>1.42</v>
      </c>
      <c r="W18" s="44">
        <f t="shared" si="33"/>
        <v>900.14</v>
      </c>
      <c r="X18" s="15">
        <f t="shared" si="34"/>
        <v>5.4019999999999999E-2</v>
      </c>
      <c r="Y18" s="13">
        <f t="shared" si="22"/>
        <v>2.2547000000000001</v>
      </c>
      <c r="Z18" s="6">
        <f t="shared" si="35"/>
        <v>190.17</v>
      </c>
      <c r="AA18" s="6">
        <f t="shared" si="36"/>
        <v>70.069999999999993</v>
      </c>
      <c r="AB18" s="6">
        <f t="shared" si="37"/>
        <v>148.13999999999999</v>
      </c>
      <c r="AC18" s="6">
        <f t="shared" si="38"/>
        <v>153.21</v>
      </c>
    </row>
    <row r="19" spans="1:29" x14ac:dyDescent="0.25">
      <c r="A19" s="34">
        <v>42767</v>
      </c>
      <c r="B19" s="34">
        <f t="shared" si="14"/>
        <v>42825</v>
      </c>
      <c r="C19">
        <v>16615.599999999999</v>
      </c>
      <c r="D19" s="13">
        <f t="shared" si="23"/>
        <v>5.0000000000000001E-3</v>
      </c>
      <c r="E19">
        <v>4.1399999999999997</v>
      </c>
      <c r="F19">
        <v>3.39</v>
      </c>
      <c r="G19">
        <v>5.0999999999999996</v>
      </c>
      <c r="H19" s="13">
        <f t="shared" si="24"/>
        <v>-4.7000000000000002E-3</v>
      </c>
      <c r="I19">
        <v>1288</v>
      </c>
      <c r="J19" s="13">
        <f t="shared" si="25"/>
        <v>3.7400000000000003E-2</v>
      </c>
      <c r="K19">
        <v>5480000</v>
      </c>
      <c r="L19" s="13">
        <f t="shared" si="26"/>
        <v>4.0000000000000002E-4</v>
      </c>
      <c r="M19">
        <v>618</v>
      </c>
      <c r="N19">
        <f t="shared" si="27"/>
        <v>578</v>
      </c>
      <c r="O19" s="13">
        <f t="shared" si="28"/>
        <v>7.0400000000000004E-2</v>
      </c>
      <c r="P19">
        <v>298000</v>
      </c>
      <c r="Q19" s="13">
        <f t="shared" si="29"/>
        <v>-1.0699999999999999E-2</v>
      </c>
      <c r="R19">
        <v>187.315</v>
      </c>
      <c r="S19" s="13">
        <f t="shared" si="30"/>
        <v>6.1000000000000004E-3</v>
      </c>
      <c r="T19">
        <v>71</v>
      </c>
      <c r="U19" s="13">
        <f t="shared" si="31"/>
        <v>9.2299999999999993E-2</v>
      </c>
      <c r="V19" s="6">
        <f t="shared" si="32"/>
        <v>2.67</v>
      </c>
      <c r="W19" s="44">
        <f t="shared" si="33"/>
        <v>909.45</v>
      </c>
      <c r="X19" s="15">
        <f t="shared" si="34"/>
        <v>5.4730000000000001E-2</v>
      </c>
      <c r="Y19" s="13">
        <f t="shared" si="22"/>
        <v>2.2547000000000001</v>
      </c>
      <c r="Z19" s="6">
        <f t="shared" si="35"/>
        <v>202.64</v>
      </c>
      <c r="AA19" s="6">
        <f t="shared" si="36"/>
        <v>70.010000000000005</v>
      </c>
      <c r="AB19" s="6">
        <f t="shared" si="37"/>
        <v>156.22</v>
      </c>
      <c r="AC19" s="6">
        <f t="shared" si="38"/>
        <v>157.31</v>
      </c>
    </row>
    <row r="20" spans="1:29" x14ac:dyDescent="0.25">
      <c r="A20" s="34">
        <v>42736</v>
      </c>
      <c r="B20" s="34">
        <f t="shared" si="14"/>
        <v>42794</v>
      </c>
      <c r="C20">
        <v>16533.400000000001</v>
      </c>
      <c r="D20" s="13">
        <f t="shared" si="23"/>
        <v>7.1999999999999998E-3</v>
      </c>
      <c r="E20">
        <v>4.16</v>
      </c>
      <c r="F20">
        <v>3.37</v>
      </c>
      <c r="G20">
        <v>5.2</v>
      </c>
      <c r="H20" s="13">
        <f t="shared" si="24"/>
        <v>4.7999999999999996E-3</v>
      </c>
      <c r="I20">
        <v>1236</v>
      </c>
      <c r="J20" s="13">
        <f t="shared" si="25"/>
        <v>1.21E-2</v>
      </c>
      <c r="K20">
        <v>5690000</v>
      </c>
      <c r="L20" s="13">
        <f t="shared" si="26"/>
        <v>1.2800000000000001E-2</v>
      </c>
      <c r="M20">
        <v>596</v>
      </c>
      <c r="N20">
        <f t="shared" si="27"/>
        <v>570</v>
      </c>
      <c r="O20" s="13">
        <f t="shared" si="28"/>
        <v>7.3400000000000007E-2</v>
      </c>
      <c r="P20">
        <v>315200</v>
      </c>
      <c r="Q20" s="13">
        <f t="shared" si="29"/>
        <v>1.0500000000000001E-2</v>
      </c>
      <c r="R20">
        <v>186.029</v>
      </c>
      <c r="S20" s="13">
        <f t="shared" si="30"/>
        <v>5.7000000000000002E-3</v>
      </c>
      <c r="T20">
        <v>65</v>
      </c>
      <c r="U20" s="13">
        <f t="shared" si="31"/>
        <v>-2.9899999999999999E-2</v>
      </c>
      <c r="V20" s="6">
        <f t="shared" si="32"/>
        <v>1.67</v>
      </c>
      <c r="W20" s="44">
        <f t="shared" si="33"/>
        <v>905.38</v>
      </c>
      <c r="X20" s="15">
        <f t="shared" si="34"/>
        <v>5.4760000000000003E-2</v>
      </c>
      <c r="Y20" s="13">
        <f t="shared" si="22"/>
        <v>2.2503000000000002</v>
      </c>
      <c r="Z20" s="6">
        <f t="shared" si="35"/>
        <v>201.23</v>
      </c>
      <c r="AA20" s="6">
        <f t="shared" si="36"/>
        <v>69.89</v>
      </c>
      <c r="AB20" s="6">
        <f t="shared" si="37"/>
        <v>155.26</v>
      </c>
      <c r="AC20" s="6">
        <f t="shared" si="38"/>
        <v>157.38999999999999</v>
      </c>
    </row>
    <row r="21" spans="1:29" x14ac:dyDescent="0.25">
      <c r="A21" s="34">
        <v>42705</v>
      </c>
      <c r="B21" s="34">
        <f t="shared" si="14"/>
        <v>42766</v>
      </c>
      <c r="C21">
        <v>16414.7</v>
      </c>
      <c r="D21" s="13">
        <f t="shared" si="23"/>
        <v>4.1999999999999997E-3</v>
      </c>
      <c r="E21">
        <v>4.1900000000000004</v>
      </c>
      <c r="F21">
        <v>3.4</v>
      </c>
      <c r="G21">
        <v>5.6</v>
      </c>
      <c r="H21" s="13">
        <f t="shared" si="24"/>
        <v>2.4400000000000002E-2</v>
      </c>
      <c r="I21">
        <v>1268</v>
      </c>
      <c r="J21" s="13">
        <f t="shared" si="25"/>
        <v>7.6E-3</v>
      </c>
      <c r="K21">
        <v>5510000</v>
      </c>
      <c r="L21" s="13">
        <f t="shared" si="26"/>
        <v>6.6E-3</v>
      </c>
      <c r="M21">
        <v>546</v>
      </c>
      <c r="N21">
        <f t="shared" si="27"/>
        <v>576</v>
      </c>
      <c r="O21" s="13">
        <f t="shared" si="28"/>
        <v>0.1163</v>
      </c>
      <c r="P21">
        <v>327000</v>
      </c>
      <c r="Q21" s="13">
        <f t="shared" si="29"/>
        <v>1.9400000000000001E-2</v>
      </c>
      <c r="R21">
        <v>184.97799999999901</v>
      </c>
      <c r="S21" s="13">
        <f t="shared" si="30"/>
        <v>6.1000000000000004E-3</v>
      </c>
      <c r="T21">
        <v>67</v>
      </c>
      <c r="U21" s="13">
        <f t="shared" si="31"/>
        <v>-2.9000000000000001E-2</v>
      </c>
      <c r="V21" s="6">
        <f t="shared" si="32"/>
        <v>2.67</v>
      </c>
      <c r="W21" s="44">
        <f t="shared" si="33"/>
        <v>903.49</v>
      </c>
      <c r="X21" s="15">
        <f t="shared" si="34"/>
        <v>5.5039999999999999E-2</v>
      </c>
      <c r="Y21" s="13">
        <f t="shared" si="22"/>
        <v>2.2538</v>
      </c>
      <c r="Z21" s="6">
        <f t="shared" si="35"/>
        <v>210.2</v>
      </c>
      <c r="AA21" s="6">
        <f t="shared" si="36"/>
        <v>68.02</v>
      </c>
      <c r="AB21" s="6">
        <f t="shared" si="37"/>
        <v>160.44</v>
      </c>
      <c r="AC21" s="6">
        <f t="shared" si="38"/>
        <v>159.99</v>
      </c>
    </row>
    <row r="22" spans="1:29" x14ac:dyDescent="0.25">
      <c r="A22" s="34">
        <v>42675</v>
      </c>
      <c r="B22" s="34">
        <f t="shared" si="14"/>
        <v>42735</v>
      </c>
      <c r="C22">
        <v>16346</v>
      </c>
      <c r="D22" s="13">
        <f t="shared" si="23"/>
        <v>3.2000000000000002E-3</v>
      </c>
      <c r="E22">
        <v>4.32</v>
      </c>
      <c r="F22">
        <v>3.55</v>
      </c>
      <c r="G22">
        <v>5.0999999999999996</v>
      </c>
      <c r="H22" s="13">
        <f t="shared" si="24"/>
        <v>3.0200000000000001E-2</v>
      </c>
      <c r="I22">
        <v>1149</v>
      </c>
      <c r="J22" s="13">
        <f t="shared" si="25"/>
        <v>-6.8999999999999999E-3</v>
      </c>
      <c r="K22">
        <v>5600000</v>
      </c>
      <c r="L22" s="13">
        <f t="shared" si="26"/>
        <v>4.4000000000000003E-3</v>
      </c>
      <c r="M22">
        <v>568</v>
      </c>
      <c r="N22">
        <f t="shared" si="27"/>
        <v>579</v>
      </c>
      <c r="O22" s="13">
        <f t="shared" si="28"/>
        <v>0.15110000000000001</v>
      </c>
      <c r="P22">
        <v>315000</v>
      </c>
      <c r="Q22" s="13">
        <f t="shared" si="29"/>
        <v>2.5000000000000001E-3</v>
      </c>
      <c r="R22">
        <v>183.87700000000001</v>
      </c>
      <c r="S22" s="13">
        <f t="shared" si="30"/>
        <v>5.4999999999999997E-3</v>
      </c>
      <c r="T22">
        <v>69</v>
      </c>
      <c r="U22" s="13">
        <f t="shared" si="31"/>
        <v>9.5200000000000007E-2</v>
      </c>
      <c r="V22" s="6">
        <f t="shared" si="32"/>
        <v>3.67</v>
      </c>
      <c r="W22" s="44">
        <f t="shared" si="33"/>
        <v>912.12</v>
      </c>
      <c r="X22" s="15">
        <f t="shared" si="34"/>
        <v>5.5800000000000002E-2</v>
      </c>
      <c r="Y22" s="13">
        <f t="shared" si="22"/>
        <v>2.2498</v>
      </c>
      <c r="Z22" s="6">
        <f t="shared" si="35"/>
        <v>201.69</v>
      </c>
      <c r="AA22" s="6">
        <f t="shared" si="36"/>
        <v>72.48</v>
      </c>
      <c r="AB22" s="6">
        <f t="shared" si="37"/>
        <v>156.47</v>
      </c>
      <c r="AC22" s="6">
        <f t="shared" si="38"/>
        <v>153.93</v>
      </c>
    </row>
    <row r="23" spans="1:29" x14ac:dyDescent="0.25">
      <c r="A23" s="34">
        <v>42644</v>
      </c>
      <c r="B23" s="34">
        <f t="shared" si="14"/>
        <v>42704</v>
      </c>
      <c r="C23">
        <v>16294.6</v>
      </c>
      <c r="D23" s="13">
        <f t="shared" si="23"/>
        <v>4.1999999999999997E-3</v>
      </c>
      <c r="E23">
        <v>4.03</v>
      </c>
      <c r="F23">
        <v>3.25</v>
      </c>
      <c r="G23">
        <v>5.2</v>
      </c>
      <c r="H23" s="13">
        <f t="shared" si="24"/>
        <v>0</v>
      </c>
      <c r="I23">
        <v>1328</v>
      </c>
      <c r="J23" s="13">
        <f t="shared" si="25"/>
        <v>3.6299999999999999E-2</v>
      </c>
      <c r="K23">
        <v>5530000</v>
      </c>
      <c r="L23" s="13">
        <f t="shared" si="26"/>
        <v>2.2000000000000001E-3</v>
      </c>
      <c r="M23">
        <v>573</v>
      </c>
      <c r="N23">
        <f t="shared" si="27"/>
        <v>577</v>
      </c>
      <c r="O23" s="13">
        <f t="shared" si="28"/>
        <v>0.1517</v>
      </c>
      <c r="P23">
        <v>302800</v>
      </c>
      <c r="Q23" s="13">
        <f t="shared" si="29"/>
        <v>5.0000000000000001E-3</v>
      </c>
      <c r="R23">
        <v>182.85</v>
      </c>
      <c r="S23" s="13">
        <f t="shared" si="30"/>
        <v>4.4999999999999997E-3</v>
      </c>
      <c r="T23">
        <v>63</v>
      </c>
      <c r="U23" s="13">
        <f t="shared" si="31"/>
        <v>0</v>
      </c>
      <c r="V23" s="6">
        <f t="shared" si="32"/>
        <v>2</v>
      </c>
      <c r="W23" s="44">
        <f t="shared" si="33"/>
        <v>876.12</v>
      </c>
      <c r="X23" s="15">
        <f t="shared" si="34"/>
        <v>5.3769999999999998E-2</v>
      </c>
      <c r="Y23" s="13">
        <f t="shared" si="22"/>
        <v>2.2443</v>
      </c>
      <c r="Z23" s="6">
        <f t="shared" si="35"/>
        <v>207.63</v>
      </c>
      <c r="AA23" s="6">
        <f t="shared" si="36"/>
        <v>80.290000000000006</v>
      </c>
      <c r="AB23" s="6">
        <f t="shared" si="37"/>
        <v>163.06</v>
      </c>
      <c r="AC23" s="6">
        <f t="shared" si="38"/>
        <v>151.72</v>
      </c>
    </row>
    <row r="24" spans="1:29" x14ac:dyDescent="0.25">
      <c r="A24" s="34">
        <v>42614</v>
      </c>
      <c r="B24" s="34">
        <f t="shared" si="14"/>
        <v>42674</v>
      </c>
      <c r="C24">
        <v>16226.6</v>
      </c>
      <c r="D24" s="13">
        <f t="shared" si="23"/>
        <v>4.0000000000000001E-3</v>
      </c>
      <c r="E24">
        <v>3.47</v>
      </c>
      <c r="F24">
        <v>2.78</v>
      </c>
      <c r="G24">
        <v>5.0999999999999996</v>
      </c>
      <c r="H24" s="13">
        <f t="shared" si="24"/>
        <v>-5.0000000000000001E-3</v>
      </c>
      <c r="I24">
        <v>1062</v>
      </c>
      <c r="J24" s="13">
        <f t="shared" si="25"/>
        <v>-1.7399999999999999E-2</v>
      </c>
      <c r="K24">
        <v>5470000</v>
      </c>
      <c r="L24" s="13">
        <f t="shared" si="26"/>
        <v>-4.0000000000000002E-4</v>
      </c>
      <c r="M24">
        <v>566</v>
      </c>
      <c r="N24">
        <f t="shared" si="27"/>
        <v>576</v>
      </c>
      <c r="O24" s="13">
        <f t="shared" si="28"/>
        <v>0.159</v>
      </c>
      <c r="P24">
        <v>314800</v>
      </c>
      <c r="Q24" s="13">
        <f t="shared" si="29"/>
        <v>-2.3E-3</v>
      </c>
      <c r="R24">
        <v>181.84700000000001</v>
      </c>
      <c r="S24" s="13">
        <f t="shared" si="30"/>
        <v>3.8999999999999998E-3</v>
      </c>
      <c r="T24">
        <v>63</v>
      </c>
      <c r="U24" s="13">
        <f t="shared" si="31"/>
        <v>-3.0800000000000001E-2</v>
      </c>
      <c r="V24" s="6">
        <f t="shared" si="32"/>
        <v>1.58</v>
      </c>
      <c r="W24" s="44">
        <f t="shared" si="33"/>
        <v>813.53</v>
      </c>
      <c r="X24" s="15">
        <f t="shared" si="34"/>
        <v>5.0139999999999997E-2</v>
      </c>
      <c r="Y24" s="13">
        <f t="shared" si="22"/>
        <v>2.2412999999999998</v>
      </c>
      <c r="Z24" s="6">
        <f t="shared" si="35"/>
        <v>174.93</v>
      </c>
      <c r="AA24" s="6">
        <f t="shared" si="36"/>
        <v>81.55</v>
      </c>
      <c r="AB24" s="6">
        <f t="shared" si="37"/>
        <v>142.25</v>
      </c>
      <c r="AC24" s="6">
        <f t="shared" si="38"/>
        <v>144.93</v>
      </c>
    </row>
    <row r="25" spans="1:29" x14ac:dyDescent="0.25">
      <c r="A25" s="34">
        <v>42583</v>
      </c>
      <c r="B25" s="34">
        <f t="shared" si="14"/>
        <v>42643</v>
      </c>
      <c r="C25">
        <v>16161.8</v>
      </c>
      <c r="D25" s="13">
        <f t="shared" si="23"/>
        <v>2.3999999999999998E-3</v>
      </c>
      <c r="E25">
        <v>3.42</v>
      </c>
      <c r="F25">
        <v>2.72</v>
      </c>
      <c r="G25">
        <v>5.0999999999999996</v>
      </c>
      <c r="H25" s="13">
        <f t="shared" si="24"/>
        <v>0</v>
      </c>
      <c r="I25">
        <v>1164</v>
      </c>
      <c r="J25" s="13">
        <f t="shared" si="25"/>
        <v>6.1999999999999998E-3</v>
      </c>
      <c r="K25">
        <v>5340000</v>
      </c>
      <c r="L25" s="13">
        <f t="shared" si="26"/>
        <v>-1.8E-3</v>
      </c>
      <c r="M25">
        <v>572</v>
      </c>
      <c r="N25">
        <f t="shared" si="27"/>
        <v>571</v>
      </c>
      <c r="O25" s="13">
        <f t="shared" si="28"/>
        <v>0.17249999999999999</v>
      </c>
      <c r="P25">
        <v>298900</v>
      </c>
      <c r="Q25" s="13">
        <f t="shared" si="29"/>
        <v>-2.8E-3</v>
      </c>
      <c r="R25">
        <v>180.52599999999899</v>
      </c>
      <c r="S25" s="13">
        <f t="shared" si="30"/>
        <v>2.8E-3</v>
      </c>
      <c r="T25">
        <v>65</v>
      </c>
      <c r="U25" s="13">
        <f t="shared" si="31"/>
        <v>0.1017</v>
      </c>
      <c r="V25" s="6">
        <f t="shared" si="32"/>
        <v>2</v>
      </c>
      <c r="W25" s="44">
        <f t="shared" si="33"/>
        <v>802.6</v>
      </c>
      <c r="X25" s="15">
        <f t="shared" si="34"/>
        <v>4.9660000000000003E-2</v>
      </c>
      <c r="Y25" s="13">
        <f t="shared" si="22"/>
        <v>2.234</v>
      </c>
      <c r="Z25" s="6">
        <f t="shared" si="35"/>
        <v>186.24</v>
      </c>
      <c r="AA25" s="6">
        <f t="shared" si="36"/>
        <v>82.26</v>
      </c>
      <c r="AB25" s="6">
        <f t="shared" si="37"/>
        <v>149.85</v>
      </c>
      <c r="AC25" s="6">
        <f t="shared" si="38"/>
        <v>145.91999999999999</v>
      </c>
    </row>
    <row r="26" spans="1:29" x14ac:dyDescent="0.25">
      <c r="A26" s="34">
        <v>42552</v>
      </c>
      <c r="B26" s="34">
        <f t="shared" si="14"/>
        <v>42613</v>
      </c>
      <c r="C26">
        <v>16123.5</v>
      </c>
      <c r="D26" s="13">
        <f t="shared" si="23"/>
        <v>4.0000000000000001E-3</v>
      </c>
      <c r="E26">
        <v>3.43</v>
      </c>
      <c r="F26">
        <v>2.74</v>
      </c>
      <c r="G26">
        <v>4.5</v>
      </c>
      <c r="H26" s="13">
        <f t="shared" si="24"/>
        <v>-4.7600000000000003E-2</v>
      </c>
      <c r="I26">
        <v>1223</v>
      </c>
      <c r="J26" s="13">
        <f t="shared" si="25"/>
        <v>2.3999999999999998E-3</v>
      </c>
      <c r="K26">
        <v>5330000</v>
      </c>
      <c r="L26" s="13">
        <f t="shared" si="26"/>
        <v>4.7999999999999996E-3</v>
      </c>
      <c r="M26">
        <v>632</v>
      </c>
      <c r="N26">
        <f t="shared" si="27"/>
        <v>564</v>
      </c>
      <c r="O26" s="13">
        <f t="shared" si="28"/>
        <v>0.15809999999999999</v>
      </c>
      <c r="P26">
        <v>297400</v>
      </c>
      <c r="Q26" s="13">
        <f t="shared" si="29"/>
        <v>-5.4999999999999997E-3</v>
      </c>
      <c r="R26">
        <v>179.92</v>
      </c>
      <c r="S26" s="13">
        <f t="shared" si="30"/>
        <v>2.8E-3</v>
      </c>
      <c r="T26">
        <v>59</v>
      </c>
      <c r="U26" s="13">
        <f t="shared" si="31"/>
        <v>1.72E-2</v>
      </c>
      <c r="V26" s="6">
        <f t="shared" si="32"/>
        <v>0.42</v>
      </c>
      <c r="W26" s="44">
        <f t="shared" si="33"/>
        <v>800.91</v>
      </c>
      <c r="X26" s="15">
        <f t="shared" si="34"/>
        <v>4.9669999999999999E-2</v>
      </c>
      <c r="Y26" s="13">
        <f t="shared" si="22"/>
        <v>2.2317999999999998</v>
      </c>
      <c r="Z26" s="6">
        <f t="shared" si="35"/>
        <v>175.56</v>
      </c>
      <c r="AA26" s="6">
        <f t="shared" si="36"/>
        <v>81.62</v>
      </c>
      <c r="AB26" s="6">
        <f t="shared" si="37"/>
        <v>142.68</v>
      </c>
      <c r="AC26" s="6">
        <f t="shared" si="38"/>
        <v>141.36000000000001</v>
      </c>
    </row>
    <row r="27" spans="1:29" x14ac:dyDescent="0.25">
      <c r="A27" s="34">
        <v>42522</v>
      </c>
      <c r="B27" s="34">
        <f t="shared" si="14"/>
        <v>42582</v>
      </c>
      <c r="C27">
        <v>16059</v>
      </c>
      <c r="D27" s="13">
        <f t="shared" si="23"/>
        <v>2E-3</v>
      </c>
      <c r="E27">
        <v>3.48</v>
      </c>
      <c r="F27">
        <v>2.78</v>
      </c>
      <c r="G27">
        <v>5.2</v>
      </c>
      <c r="H27" s="13">
        <f t="shared" si="24"/>
        <v>-1.41E-2</v>
      </c>
      <c r="I27">
        <v>1190</v>
      </c>
      <c r="J27" s="13">
        <f t="shared" si="25"/>
        <v>1.17E-2</v>
      </c>
      <c r="K27">
        <v>5480000</v>
      </c>
      <c r="L27" s="13">
        <f t="shared" si="26"/>
        <v>0</v>
      </c>
      <c r="M27">
        <v>560</v>
      </c>
      <c r="N27">
        <f t="shared" si="27"/>
        <v>545</v>
      </c>
      <c r="O27" s="13">
        <f t="shared" si="28"/>
        <v>0.1077</v>
      </c>
      <c r="P27">
        <v>311200</v>
      </c>
      <c r="Q27" s="13">
        <f t="shared" si="29"/>
        <v>1.5100000000000001E-2</v>
      </c>
      <c r="R27">
        <v>179.61599999999899</v>
      </c>
      <c r="S27" s="13">
        <f t="shared" si="30"/>
        <v>2.8999999999999998E-3</v>
      </c>
      <c r="T27">
        <v>58</v>
      </c>
      <c r="U27" s="13">
        <f t="shared" si="31"/>
        <v>-3.3300000000000003E-2</v>
      </c>
      <c r="V27" s="6">
        <f t="shared" si="32"/>
        <v>-0.33</v>
      </c>
      <c r="W27" s="44">
        <f t="shared" si="33"/>
        <v>804.55</v>
      </c>
      <c r="X27" s="15">
        <f t="shared" si="34"/>
        <v>5.0099999999999999E-2</v>
      </c>
      <c r="Y27" s="13">
        <f t="shared" si="22"/>
        <v>2.2370000000000001</v>
      </c>
      <c r="Z27" s="6">
        <f t="shared" si="35"/>
        <v>179.68</v>
      </c>
      <c r="AA27" s="6">
        <f t="shared" si="36"/>
        <v>81.22</v>
      </c>
      <c r="AB27" s="6">
        <f t="shared" si="37"/>
        <v>145.22</v>
      </c>
      <c r="AC27" s="6">
        <f t="shared" si="38"/>
        <v>141.11000000000001</v>
      </c>
    </row>
    <row r="28" spans="1:29" x14ac:dyDescent="0.25">
      <c r="A28" s="34">
        <v>42491</v>
      </c>
      <c r="B28" s="34">
        <f t="shared" si="14"/>
        <v>42551</v>
      </c>
      <c r="C28">
        <v>16027.1</v>
      </c>
      <c r="D28" s="13">
        <f t="shared" si="23"/>
        <v>1.1000000000000001E-3</v>
      </c>
      <c r="E28">
        <v>3.48</v>
      </c>
      <c r="F28">
        <v>2.78</v>
      </c>
      <c r="G28">
        <v>5.2</v>
      </c>
      <c r="H28" s="13">
        <f t="shared" si="24"/>
        <v>-1.3899999999999999E-2</v>
      </c>
      <c r="I28">
        <v>1119</v>
      </c>
      <c r="J28" s="13">
        <f t="shared" si="25"/>
        <v>-3.3E-3</v>
      </c>
      <c r="K28">
        <v>5470000</v>
      </c>
      <c r="L28" s="13">
        <f t="shared" si="26"/>
        <v>6.9999999999999999E-4</v>
      </c>
      <c r="M28">
        <v>558</v>
      </c>
      <c r="N28">
        <f t="shared" si="27"/>
        <v>540</v>
      </c>
      <c r="O28" s="13">
        <f t="shared" si="28"/>
        <v>8.6499999999999994E-2</v>
      </c>
      <c r="P28">
        <v>295200</v>
      </c>
      <c r="Q28" s="13">
        <f t="shared" si="29"/>
        <v>-1.2999999999999999E-3</v>
      </c>
      <c r="R28">
        <v>179.03899999999999</v>
      </c>
      <c r="S28" s="13">
        <f t="shared" si="30"/>
        <v>3.3E-3</v>
      </c>
      <c r="T28">
        <v>60</v>
      </c>
      <c r="U28" s="13">
        <f t="shared" si="31"/>
        <v>3.4500000000000003E-2</v>
      </c>
      <c r="V28" s="6">
        <f t="shared" si="32"/>
        <v>-0.33</v>
      </c>
      <c r="W28" s="44">
        <f t="shared" si="33"/>
        <v>801.97</v>
      </c>
      <c r="X28" s="15">
        <f t="shared" si="34"/>
        <v>5.0040000000000001E-2</v>
      </c>
      <c r="Y28" s="13">
        <f t="shared" si="22"/>
        <v>2.2342</v>
      </c>
      <c r="Z28" s="6">
        <f t="shared" si="35"/>
        <v>166.61</v>
      </c>
      <c r="AA28" s="6">
        <f t="shared" si="36"/>
        <v>79.7</v>
      </c>
      <c r="AB28" s="6">
        <f t="shared" si="37"/>
        <v>136.19</v>
      </c>
      <c r="AC28" s="6">
        <f t="shared" si="38"/>
        <v>137.94</v>
      </c>
    </row>
    <row r="29" spans="1:29" x14ac:dyDescent="0.25">
      <c r="A29" s="34">
        <v>42461</v>
      </c>
      <c r="B29" s="34">
        <f t="shared" si="14"/>
        <v>42521</v>
      </c>
      <c r="C29">
        <v>16008.7</v>
      </c>
      <c r="D29" s="13">
        <f t="shared" si="23"/>
        <v>2.0999999999999999E-3</v>
      </c>
      <c r="E29">
        <v>3.64</v>
      </c>
      <c r="F29">
        <v>2.89</v>
      </c>
      <c r="G29">
        <v>5.0999999999999996</v>
      </c>
      <c r="H29" s="13">
        <f t="shared" si="24"/>
        <v>-4.5999999999999999E-3</v>
      </c>
      <c r="I29">
        <v>1164</v>
      </c>
      <c r="J29" s="13">
        <f t="shared" si="25"/>
        <v>-2.0999999999999999E-3</v>
      </c>
      <c r="K29">
        <v>5480000</v>
      </c>
      <c r="L29" s="13">
        <f t="shared" si="26"/>
        <v>2.35E-2</v>
      </c>
      <c r="M29">
        <v>566</v>
      </c>
      <c r="N29">
        <f t="shared" si="27"/>
        <v>531</v>
      </c>
      <c r="O29" s="13">
        <f t="shared" si="28"/>
        <v>5.57E-2</v>
      </c>
      <c r="P29">
        <v>318300</v>
      </c>
      <c r="Q29" s="13">
        <f t="shared" si="29"/>
        <v>3.8E-3</v>
      </c>
      <c r="R29">
        <v>178.49599999999899</v>
      </c>
      <c r="S29" s="13">
        <f t="shared" si="30"/>
        <v>3.8E-3</v>
      </c>
      <c r="T29">
        <v>58</v>
      </c>
      <c r="U29" s="13">
        <f t="shared" si="31"/>
        <v>0</v>
      </c>
      <c r="V29" s="6">
        <f t="shared" si="32"/>
        <v>-1.5</v>
      </c>
      <c r="W29" s="44">
        <f t="shared" si="33"/>
        <v>815.54</v>
      </c>
      <c r="X29" s="15">
        <f t="shared" si="34"/>
        <v>5.0939999999999999E-2</v>
      </c>
      <c r="Y29" s="13">
        <f t="shared" si="22"/>
        <v>2.23</v>
      </c>
      <c r="Z29" s="6">
        <f t="shared" si="35"/>
        <v>175.3</v>
      </c>
      <c r="AA29" s="6">
        <f t="shared" si="36"/>
        <v>79.959999999999994</v>
      </c>
      <c r="AB29" s="6">
        <f t="shared" si="37"/>
        <v>141.93</v>
      </c>
      <c r="AC29" s="6">
        <f t="shared" si="38"/>
        <v>135.9</v>
      </c>
    </row>
    <row r="30" spans="1:29" x14ac:dyDescent="0.25">
      <c r="A30" s="34">
        <v>42430</v>
      </c>
      <c r="B30" s="34">
        <f t="shared" si="14"/>
        <v>42490</v>
      </c>
      <c r="C30">
        <v>15974.7</v>
      </c>
      <c r="D30" s="13">
        <f t="shared" si="23"/>
        <v>2.7000000000000001E-3</v>
      </c>
      <c r="E30">
        <v>3.66</v>
      </c>
      <c r="F30">
        <v>2.89</v>
      </c>
      <c r="G30">
        <v>5.5</v>
      </c>
      <c r="H30" s="13">
        <f t="shared" si="24"/>
        <v>4.5999999999999999E-3</v>
      </c>
      <c r="I30">
        <v>1128</v>
      </c>
      <c r="J30" s="13">
        <f t="shared" si="25"/>
        <v>1.21E-2</v>
      </c>
      <c r="K30">
        <v>5390000</v>
      </c>
      <c r="L30" s="13">
        <f t="shared" si="26"/>
        <v>3.8E-3</v>
      </c>
      <c r="M30">
        <v>538</v>
      </c>
      <c r="N30">
        <f t="shared" si="27"/>
        <v>516</v>
      </c>
      <c r="O30" s="13">
        <f t="shared" si="28"/>
        <v>1.78E-2</v>
      </c>
      <c r="P30">
        <v>303200</v>
      </c>
      <c r="Q30" s="13">
        <f t="shared" si="29"/>
        <v>3.5000000000000001E-3</v>
      </c>
      <c r="R30">
        <v>177.95</v>
      </c>
      <c r="S30" s="13">
        <f t="shared" si="30"/>
        <v>4.4000000000000003E-3</v>
      </c>
      <c r="T30">
        <v>58</v>
      </c>
      <c r="U30" s="13">
        <f t="shared" si="31"/>
        <v>0</v>
      </c>
      <c r="V30" s="6">
        <f t="shared" si="32"/>
        <v>-1.92</v>
      </c>
      <c r="W30" s="44">
        <f t="shared" si="33"/>
        <v>815.05</v>
      </c>
      <c r="X30" s="15">
        <f t="shared" si="34"/>
        <v>5.1020000000000003E-2</v>
      </c>
      <c r="Y30" s="13">
        <f t="shared" si="22"/>
        <v>2.2279</v>
      </c>
      <c r="Z30" s="6">
        <f t="shared" si="35"/>
        <v>165.99</v>
      </c>
      <c r="AA30" s="6">
        <f t="shared" si="36"/>
        <v>79.47</v>
      </c>
      <c r="AB30" s="6">
        <f t="shared" si="37"/>
        <v>135.71</v>
      </c>
      <c r="AC30" s="6">
        <f t="shared" si="38"/>
        <v>132.69999999999999</v>
      </c>
    </row>
    <row r="31" spans="1:29" x14ac:dyDescent="0.25">
      <c r="A31" s="34">
        <v>42401</v>
      </c>
      <c r="B31" s="34">
        <f t="shared" si="14"/>
        <v>42460</v>
      </c>
      <c r="C31">
        <v>15931.2</v>
      </c>
      <c r="D31" s="13">
        <f t="shared" si="23"/>
        <v>-2.0000000000000001E-4</v>
      </c>
      <c r="E31">
        <v>3.71</v>
      </c>
      <c r="F31">
        <v>2.98</v>
      </c>
      <c r="G31">
        <v>5.5</v>
      </c>
      <c r="H31" s="13">
        <f t="shared" si="24"/>
        <v>-4.5999999999999999E-3</v>
      </c>
      <c r="I31">
        <v>1209</v>
      </c>
      <c r="J31" s="13">
        <f t="shared" si="25"/>
        <v>0</v>
      </c>
      <c r="K31">
        <v>5200000</v>
      </c>
      <c r="L31" s="13">
        <f t="shared" si="26"/>
        <v>-8.9999999999999993E-3</v>
      </c>
      <c r="M31">
        <v>527</v>
      </c>
      <c r="N31">
        <f t="shared" si="27"/>
        <v>503</v>
      </c>
      <c r="O31" s="13">
        <f t="shared" si="28"/>
        <v>-1.37E-2</v>
      </c>
      <c r="P31">
        <v>305800</v>
      </c>
      <c r="Q31" s="13">
        <f t="shared" si="29"/>
        <v>4.1999999999999997E-3</v>
      </c>
      <c r="R31">
        <v>177.57499999999999</v>
      </c>
      <c r="S31" s="13">
        <f t="shared" si="30"/>
        <v>5.3E-3</v>
      </c>
      <c r="T31">
        <v>58</v>
      </c>
      <c r="U31" s="13">
        <f t="shared" si="31"/>
        <v>0</v>
      </c>
      <c r="V31" s="6">
        <f t="shared" si="32"/>
        <v>-1.92</v>
      </c>
      <c r="W31" s="44">
        <f t="shared" si="33"/>
        <v>818.35</v>
      </c>
      <c r="X31" s="15">
        <f t="shared" si="34"/>
        <v>5.1369999999999999E-2</v>
      </c>
      <c r="Y31" s="13">
        <f t="shared" si="22"/>
        <v>2.2292999999999998</v>
      </c>
      <c r="Z31" s="6">
        <f t="shared" si="35"/>
        <v>156.46</v>
      </c>
      <c r="AA31" s="6">
        <f t="shared" si="36"/>
        <v>80.989999999999995</v>
      </c>
      <c r="AB31" s="6">
        <f t="shared" si="37"/>
        <v>130.05000000000001</v>
      </c>
      <c r="AC31" s="6">
        <f t="shared" si="38"/>
        <v>133.31</v>
      </c>
    </row>
    <row r="32" spans="1:29" x14ac:dyDescent="0.25">
      <c r="A32" s="34">
        <v>42370</v>
      </c>
      <c r="B32" s="34">
        <f t="shared" si="14"/>
        <v>42429</v>
      </c>
      <c r="C32">
        <v>15933.8</v>
      </c>
      <c r="D32" s="13">
        <f t="shared" si="23"/>
        <v>2.2000000000000001E-3</v>
      </c>
      <c r="E32">
        <v>3.62</v>
      </c>
      <c r="F32">
        <v>2.93</v>
      </c>
      <c r="G32">
        <v>5.5</v>
      </c>
      <c r="H32" s="13">
        <f t="shared" si="24"/>
        <v>-1.3599999999999999E-2</v>
      </c>
      <c r="I32">
        <v>1123</v>
      </c>
      <c r="J32" s="13">
        <f t="shared" si="25"/>
        <v>-1.9E-3</v>
      </c>
      <c r="K32">
        <v>5480000</v>
      </c>
      <c r="L32" s="13">
        <f t="shared" si="26"/>
        <v>7.1999999999999998E-3</v>
      </c>
      <c r="M32">
        <v>519</v>
      </c>
      <c r="N32">
        <f t="shared" si="27"/>
        <v>501</v>
      </c>
      <c r="O32" s="13">
        <f t="shared" si="28"/>
        <v>2E-3</v>
      </c>
      <c r="P32">
        <v>288400</v>
      </c>
      <c r="Q32" s="13">
        <f t="shared" si="29"/>
        <v>-3.0999999999999999E-3</v>
      </c>
      <c r="R32">
        <v>176.70400000000001</v>
      </c>
      <c r="S32" s="13">
        <f t="shared" si="30"/>
        <v>5.4000000000000003E-3</v>
      </c>
      <c r="T32">
        <v>58</v>
      </c>
      <c r="U32" s="13">
        <f t="shared" si="31"/>
        <v>-4.9200000000000001E-2</v>
      </c>
      <c r="V32" s="6">
        <f t="shared" si="32"/>
        <v>-1.42</v>
      </c>
      <c r="W32" s="44">
        <f t="shared" si="33"/>
        <v>805.36</v>
      </c>
      <c r="X32" s="15">
        <f t="shared" si="34"/>
        <v>5.0540000000000002E-2</v>
      </c>
      <c r="Y32" s="13">
        <f t="shared" si="22"/>
        <v>2.218</v>
      </c>
      <c r="Z32" s="6">
        <f t="shared" si="35"/>
        <v>160.38</v>
      </c>
      <c r="AA32" s="6">
        <f t="shared" si="36"/>
        <v>80.260000000000005</v>
      </c>
      <c r="AB32" s="6">
        <f t="shared" si="37"/>
        <v>132.34</v>
      </c>
      <c r="AC32" s="6">
        <f t="shared" si="38"/>
        <v>133.72999999999999</v>
      </c>
    </row>
    <row r="33" spans="1:29" x14ac:dyDescent="0.25">
      <c r="A33" s="34">
        <v>42339</v>
      </c>
      <c r="B33" s="34">
        <f t="shared" si="14"/>
        <v>42400</v>
      </c>
      <c r="C33">
        <v>15898.9</v>
      </c>
      <c r="D33" s="13">
        <f t="shared" si="23"/>
        <v>2E-3</v>
      </c>
      <c r="E33">
        <v>3.79</v>
      </c>
      <c r="F33">
        <v>3.07</v>
      </c>
      <c r="G33">
        <v>5.2</v>
      </c>
      <c r="H33" s="13">
        <f t="shared" si="24"/>
        <v>4.5999999999999999E-3</v>
      </c>
      <c r="I33">
        <v>1138</v>
      </c>
      <c r="J33" s="13">
        <f t="shared" si="25"/>
        <v>-2.9999999999999997E-4</v>
      </c>
      <c r="K33">
        <v>5450000</v>
      </c>
      <c r="L33" s="13">
        <f t="shared" si="26"/>
        <v>-1.1000000000000001E-3</v>
      </c>
      <c r="M33">
        <v>534</v>
      </c>
      <c r="N33">
        <f t="shared" si="27"/>
        <v>497</v>
      </c>
      <c r="O33" s="13">
        <f t="shared" si="28"/>
        <v>4.0000000000000001E-3</v>
      </c>
      <c r="P33">
        <v>297100</v>
      </c>
      <c r="Q33" s="13">
        <f t="shared" si="29"/>
        <v>3.2000000000000002E-3</v>
      </c>
      <c r="R33">
        <v>175.839</v>
      </c>
      <c r="S33" s="13">
        <f t="shared" si="30"/>
        <v>5.7000000000000002E-3</v>
      </c>
      <c r="T33">
        <v>61</v>
      </c>
      <c r="U33" s="13">
        <f t="shared" si="31"/>
        <v>1.67E-2</v>
      </c>
      <c r="V33" s="6">
        <f t="shared" si="32"/>
        <v>0.5</v>
      </c>
      <c r="W33" s="44">
        <f t="shared" si="33"/>
        <v>818.33</v>
      </c>
      <c r="X33" s="15">
        <f t="shared" si="34"/>
        <v>5.1470000000000002E-2</v>
      </c>
      <c r="Y33" s="13">
        <f t="shared" si="22"/>
        <v>2.2120000000000002</v>
      </c>
      <c r="Z33" s="6">
        <f t="shared" si="35"/>
        <v>169.33</v>
      </c>
      <c r="AA33" s="6">
        <f t="shared" si="36"/>
        <v>78.459999999999994</v>
      </c>
      <c r="AB33" s="6">
        <f t="shared" si="37"/>
        <v>137.53</v>
      </c>
      <c r="AC33" s="6">
        <f t="shared" si="38"/>
        <v>135.96</v>
      </c>
    </row>
    <row r="34" spans="1:29" x14ac:dyDescent="0.25">
      <c r="A34" s="34">
        <v>42309</v>
      </c>
      <c r="B34" s="34">
        <f t="shared" si="14"/>
        <v>42369</v>
      </c>
      <c r="C34">
        <v>15866.7</v>
      </c>
      <c r="D34" s="13">
        <f t="shared" si="23"/>
        <v>-8.9999999999999998E-4</v>
      </c>
      <c r="E34">
        <v>4.01</v>
      </c>
      <c r="F34">
        <v>3.24</v>
      </c>
      <c r="G34">
        <v>5.4</v>
      </c>
      <c r="H34" s="13">
        <f t="shared" si="24"/>
        <v>9.1999999999999998E-3</v>
      </c>
      <c r="I34">
        <v>1176</v>
      </c>
      <c r="J34" s="13">
        <f t="shared" si="25"/>
        <v>-4.4000000000000003E-3</v>
      </c>
      <c r="K34">
        <v>4860000</v>
      </c>
      <c r="L34" s="13">
        <f t="shared" si="26"/>
        <v>-2.0400000000000001E-2</v>
      </c>
      <c r="M34">
        <v>504</v>
      </c>
      <c r="N34">
        <f t="shared" si="27"/>
        <v>487</v>
      </c>
      <c r="O34" s="13">
        <f t="shared" si="28"/>
        <v>-8.0999999999999996E-3</v>
      </c>
      <c r="P34">
        <v>312600</v>
      </c>
      <c r="Q34" s="13">
        <f t="shared" si="29"/>
        <v>1.8700000000000001E-2</v>
      </c>
      <c r="R34">
        <v>174.83500000000001</v>
      </c>
      <c r="S34" s="13">
        <f t="shared" si="30"/>
        <v>5.0000000000000001E-3</v>
      </c>
      <c r="T34">
        <v>60</v>
      </c>
      <c r="U34" s="13">
        <f t="shared" si="31"/>
        <v>-3.2300000000000002E-2</v>
      </c>
      <c r="V34" s="6">
        <f t="shared" si="32"/>
        <v>0.5</v>
      </c>
      <c r="W34" s="44">
        <f t="shared" si="33"/>
        <v>835.7</v>
      </c>
      <c r="X34" s="15">
        <f t="shared" si="34"/>
        <v>5.2670000000000002E-2</v>
      </c>
      <c r="Y34" s="13">
        <f t="shared" si="22"/>
        <v>2.2038000000000002</v>
      </c>
      <c r="Z34" s="6">
        <f t="shared" si="35"/>
        <v>158.55000000000001</v>
      </c>
      <c r="AA34" s="6">
        <f t="shared" si="36"/>
        <v>80.739999999999995</v>
      </c>
      <c r="AB34" s="6">
        <f t="shared" si="37"/>
        <v>131.32</v>
      </c>
      <c r="AC34" s="6">
        <f t="shared" si="38"/>
        <v>141.46</v>
      </c>
    </row>
    <row r="35" spans="1:29" x14ac:dyDescent="0.25">
      <c r="A35" s="34">
        <v>42278</v>
      </c>
      <c r="B35" s="34">
        <f t="shared" si="14"/>
        <v>42338</v>
      </c>
      <c r="C35">
        <v>15880.8</v>
      </c>
      <c r="D35" s="13">
        <f t="shared" si="23"/>
        <v>1.1000000000000001E-3</v>
      </c>
      <c r="E35">
        <v>3.95</v>
      </c>
      <c r="F35">
        <v>3.18</v>
      </c>
      <c r="G35">
        <v>5.6</v>
      </c>
      <c r="H35" s="13">
        <f t="shared" si="24"/>
        <v>9.2999999999999992E-3</v>
      </c>
      <c r="I35">
        <v>1059</v>
      </c>
      <c r="J35" s="13">
        <f t="shared" si="25"/>
        <v>-1.1999999999999999E-3</v>
      </c>
      <c r="K35">
        <v>5290000</v>
      </c>
      <c r="L35" s="13">
        <f t="shared" si="26"/>
        <v>0</v>
      </c>
      <c r="M35">
        <v>476</v>
      </c>
      <c r="N35">
        <f t="shared" si="27"/>
        <v>487</v>
      </c>
      <c r="O35" s="13">
        <f t="shared" si="28"/>
        <v>2.53E-2</v>
      </c>
      <c r="P35">
        <v>298000</v>
      </c>
      <c r="Q35" s="13">
        <f t="shared" si="29"/>
        <v>7.1999999999999998E-3</v>
      </c>
      <c r="R35">
        <v>173.82400000000001</v>
      </c>
      <c r="S35" s="13">
        <f t="shared" si="30"/>
        <v>4.1000000000000003E-3</v>
      </c>
      <c r="T35">
        <v>62</v>
      </c>
      <c r="U35" s="13">
        <f t="shared" si="31"/>
        <v>-4.6199999999999998E-2</v>
      </c>
      <c r="V35" s="6">
        <f t="shared" si="32"/>
        <v>2.08</v>
      </c>
      <c r="W35" s="44">
        <f t="shared" si="33"/>
        <v>824.86</v>
      </c>
      <c r="X35" s="15">
        <f t="shared" si="34"/>
        <v>5.194E-2</v>
      </c>
      <c r="Y35" s="13">
        <f t="shared" si="22"/>
        <v>2.1890999999999998</v>
      </c>
      <c r="Z35" s="6">
        <f t="shared" si="35"/>
        <v>168.13</v>
      </c>
      <c r="AA35" s="6">
        <f t="shared" si="36"/>
        <v>84.99</v>
      </c>
      <c r="AB35" s="6">
        <f t="shared" si="37"/>
        <v>139.03</v>
      </c>
      <c r="AC35" s="6">
        <f t="shared" si="38"/>
        <v>148.66</v>
      </c>
    </row>
    <row r="36" spans="1:29" x14ac:dyDescent="0.25">
      <c r="A36" s="34">
        <v>42248</v>
      </c>
      <c r="B36" s="34">
        <f t="shared" si="14"/>
        <v>42308</v>
      </c>
      <c r="C36">
        <v>15862.9</v>
      </c>
      <c r="D36" s="13">
        <f t="shared" si="23"/>
        <v>4.0000000000000002E-4</v>
      </c>
      <c r="E36">
        <v>3.76</v>
      </c>
      <c r="F36">
        <v>2.98</v>
      </c>
      <c r="G36">
        <v>5.8</v>
      </c>
      <c r="H36" s="13">
        <f t="shared" si="24"/>
        <v>3.8600000000000002E-2</v>
      </c>
      <c r="I36">
        <v>1209</v>
      </c>
      <c r="J36" s="13">
        <f t="shared" si="25"/>
        <v>1.6000000000000001E-3</v>
      </c>
      <c r="K36">
        <v>5440000</v>
      </c>
      <c r="L36" s="13">
        <f t="shared" si="26"/>
        <v>1.1299999999999999E-2</v>
      </c>
      <c r="M36">
        <v>456</v>
      </c>
      <c r="N36">
        <f t="shared" si="27"/>
        <v>492</v>
      </c>
      <c r="O36" s="13">
        <f t="shared" si="28"/>
        <v>8.1299999999999997E-2</v>
      </c>
      <c r="P36">
        <v>299500</v>
      </c>
      <c r="Q36" s="13">
        <f t="shared" si="29"/>
        <v>3.3999999999999998E-3</v>
      </c>
      <c r="R36">
        <v>172.92699999999999</v>
      </c>
      <c r="S36" s="13">
        <f t="shared" si="30"/>
        <v>3.5999999999999999E-3</v>
      </c>
      <c r="T36">
        <v>65</v>
      </c>
      <c r="U36" s="13">
        <f t="shared" si="31"/>
        <v>6.5600000000000006E-2</v>
      </c>
      <c r="V36" s="6">
        <f t="shared" si="32"/>
        <v>3.08</v>
      </c>
      <c r="W36" s="44">
        <f t="shared" si="33"/>
        <v>801.83</v>
      </c>
      <c r="X36" s="15">
        <f t="shared" si="34"/>
        <v>5.0549999999999998E-2</v>
      </c>
      <c r="Y36" s="13">
        <f t="shared" si="22"/>
        <v>2.1802999999999999</v>
      </c>
      <c r="Z36" s="6">
        <f t="shared" si="35"/>
        <v>191.1</v>
      </c>
      <c r="AA36" s="6">
        <f t="shared" si="36"/>
        <v>85.19</v>
      </c>
      <c r="AB36" s="6">
        <f t="shared" si="37"/>
        <v>154.03</v>
      </c>
      <c r="AC36" s="6">
        <f t="shared" si="38"/>
        <v>156.25</v>
      </c>
    </row>
    <row r="37" spans="1:29" x14ac:dyDescent="0.25">
      <c r="A37" s="34">
        <v>42217</v>
      </c>
      <c r="B37" s="34">
        <f t="shared" si="14"/>
        <v>42277</v>
      </c>
      <c r="C37">
        <v>15857.3</v>
      </c>
      <c r="D37" s="13">
        <f t="shared" si="23"/>
        <v>3.0999999999999999E-3</v>
      </c>
      <c r="E37">
        <v>3.86</v>
      </c>
      <c r="F37">
        <v>3.08</v>
      </c>
      <c r="G37">
        <v>5.0999999999999996</v>
      </c>
      <c r="H37" s="13">
        <f t="shared" si="24"/>
        <v>9.7999999999999997E-3</v>
      </c>
      <c r="I37">
        <v>1134</v>
      </c>
      <c r="J37" s="13">
        <f t="shared" si="25"/>
        <v>2.87E-2</v>
      </c>
      <c r="K37">
        <v>5290000</v>
      </c>
      <c r="L37" s="13">
        <f t="shared" si="26"/>
        <v>1.5E-3</v>
      </c>
      <c r="M37">
        <v>515</v>
      </c>
      <c r="N37">
        <f t="shared" si="27"/>
        <v>497</v>
      </c>
      <c r="O37" s="13">
        <f t="shared" si="28"/>
        <v>0.12189999999999999</v>
      </c>
      <c r="P37">
        <v>293000</v>
      </c>
      <c r="Q37" s="13">
        <f t="shared" si="29"/>
        <v>4.4000000000000003E-3</v>
      </c>
      <c r="R37">
        <v>171.916</v>
      </c>
      <c r="S37" s="13">
        <f t="shared" si="30"/>
        <v>2.8E-3</v>
      </c>
      <c r="T37">
        <v>61</v>
      </c>
      <c r="U37" s="13">
        <f t="shared" si="31"/>
        <v>0</v>
      </c>
      <c r="V37" s="6">
        <f t="shared" si="32"/>
        <v>3.33</v>
      </c>
      <c r="W37" s="44">
        <f t="shared" si="33"/>
        <v>806.94</v>
      </c>
      <c r="X37" s="15">
        <f t="shared" si="34"/>
        <v>5.0889999999999998E-2</v>
      </c>
      <c r="Y37" s="13">
        <f t="shared" si="22"/>
        <v>2.1682999999999999</v>
      </c>
      <c r="Z37" s="6">
        <f t="shared" si="35"/>
        <v>188.6</v>
      </c>
      <c r="AA37" s="6">
        <f t="shared" si="36"/>
        <v>86.65</v>
      </c>
      <c r="AB37" s="6">
        <f t="shared" si="37"/>
        <v>152.91999999999999</v>
      </c>
      <c r="AC37" s="6">
        <f t="shared" si="38"/>
        <v>157.77000000000001</v>
      </c>
    </row>
    <row r="38" spans="1:29" x14ac:dyDescent="0.25">
      <c r="A38" s="34">
        <v>42186</v>
      </c>
      <c r="B38" s="34">
        <f t="shared" si="14"/>
        <v>42247</v>
      </c>
      <c r="C38">
        <v>15808.6</v>
      </c>
      <c r="D38" s="13">
        <f t="shared" si="23"/>
        <v>3.3E-3</v>
      </c>
      <c r="E38">
        <v>3.84</v>
      </c>
      <c r="F38">
        <v>3.06</v>
      </c>
      <c r="G38">
        <v>5.2</v>
      </c>
      <c r="H38" s="13">
        <f t="shared" si="24"/>
        <v>4.8999999999999998E-3</v>
      </c>
      <c r="I38">
        <v>1140</v>
      </c>
      <c r="J38" s="13">
        <f t="shared" si="25"/>
        <v>4.7500000000000001E-2</v>
      </c>
      <c r="K38">
        <v>5480000</v>
      </c>
      <c r="L38" s="13">
        <f t="shared" si="26"/>
        <v>1.9599999999999999E-2</v>
      </c>
      <c r="M38">
        <v>498</v>
      </c>
      <c r="N38">
        <f t="shared" si="27"/>
        <v>503</v>
      </c>
      <c r="O38" s="13">
        <f t="shared" si="28"/>
        <v>0.13289999999999999</v>
      </c>
      <c r="P38">
        <v>292300</v>
      </c>
      <c r="Q38" s="13">
        <f t="shared" si="29"/>
        <v>4.0000000000000001E-3</v>
      </c>
      <c r="R38">
        <v>171.35900000000001</v>
      </c>
      <c r="S38" s="13">
        <f t="shared" si="30"/>
        <v>3.0000000000000001E-3</v>
      </c>
      <c r="T38">
        <v>61</v>
      </c>
      <c r="U38" s="13">
        <f t="shared" si="31"/>
        <v>1.67E-2</v>
      </c>
      <c r="V38" s="6">
        <f t="shared" si="32"/>
        <v>2.58</v>
      </c>
      <c r="W38" s="44">
        <f t="shared" si="33"/>
        <v>802.37</v>
      </c>
      <c r="X38" s="15">
        <f t="shared" si="34"/>
        <v>5.076E-2</v>
      </c>
      <c r="Y38" s="13">
        <f t="shared" si="22"/>
        <v>2.1678999999999999</v>
      </c>
      <c r="Z38" s="6">
        <f t="shared" si="35"/>
        <v>203.24</v>
      </c>
      <c r="AA38" s="6">
        <f t="shared" si="36"/>
        <v>84.83</v>
      </c>
      <c r="AB38" s="6">
        <f t="shared" si="37"/>
        <v>161.80000000000001</v>
      </c>
      <c r="AC38" s="6">
        <f t="shared" si="38"/>
        <v>155.55000000000001</v>
      </c>
    </row>
    <row r="39" spans="1:29" x14ac:dyDescent="0.25">
      <c r="A39" s="34">
        <v>42156</v>
      </c>
      <c r="B39" s="34">
        <f t="shared" si="14"/>
        <v>42216</v>
      </c>
      <c r="C39">
        <v>15756.7</v>
      </c>
      <c r="D39" s="13">
        <f t="shared" si="23"/>
        <v>4.1999999999999997E-3</v>
      </c>
      <c r="E39">
        <v>3.98</v>
      </c>
      <c r="F39">
        <v>3.17</v>
      </c>
      <c r="G39">
        <v>5.4</v>
      </c>
      <c r="H39" s="13">
        <f t="shared" si="24"/>
        <v>4.6199999999999998E-2</v>
      </c>
      <c r="I39">
        <v>1201</v>
      </c>
      <c r="J39" s="13">
        <f t="shared" si="25"/>
        <v>1.9099999999999999E-2</v>
      </c>
      <c r="K39">
        <v>5410000</v>
      </c>
      <c r="L39" s="13">
        <f t="shared" si="26"/>
        <v>1.8800000000000001E-2</v>
      </c>
      <c r="M39">
        <v>474</v>
      </c>
      <c r="N39">
        <f t="shared" si="27"/>
        <v>507</v>
      </c>
      <c r="O39" s="13">
        <f t="shared" si="28"/>
        <v>0.1736</v>
      </c>
      <c r="P39">
        <v>285100</v>
      </c>
      <c r="Q39" s="13">
        <f t="shared" si="29"/>
        <v>-4.7999999999999996E-3</v>
      </c>
      <c r="R39">
        <v>171.005</v>
      </c>
      <c r="S39" s="13">
        <f t="shared" si="30"/>
        <v>3.2000000000000002E-3</v>
      </c>
      <c r="T39">
        <v>60</v>
      </c>
      <c r="U39" s="13">
        <f t="shared" si="31"/>
        <v>0</v>
      </c>
      <c r="V39" s="6">
        <f t="shared" si="32"/>
        <v>1.83</v>
      </c>
      <c r="W39" s="44">
        <f t="shared" si="33"/>
        <v>814.43</v>
      </c>
      <c r="X39" s="15">
        <f t="shared" si="34"/>
        <v>5.169E-2</v>
      </c>
      <c r="Y39" s="13">
        <f t="shared" si="22"/>
        <v>2.1705999999999999</v>
      </c>
      <c r="Z39" s="6">
        <f t="shared" si="35"/>
        <v>198.77</v>
      </c>
      <c r="AA39" s="6">
        <f t="shared" si="36"/>
        <v>83.96</v>
      </c>
      <c r="AB39" s="6">
        <f t="shared" si="37"/>
        <v>158.59</v>
      </c>
      <c r="AC39" s="6">
        <f t="shared" si="38"/>
        <v>151.88</v>
      </c>
    </row>
    <row r="40" spans="1:29" x14ac:dyDescent="0.25">
      <c r="A40" s="34">
        <v>42125</v>
      </c>
      <c r="B40" s="34">
        <f t="shared" si="14"/>
        <v>42185</v>
      </c>
      <c r="C40">
        <v>15691.1</v>
      </c>
      <c r="D40" s="13">
        <f t="shared" si="23"/>
        <v>6.0000000000000001E-3</v>
      </c>
      <c r="E40">
        <v>4.0199999999999996</v>
      </c>
      <c r="F40">
        <v>3.21</v>
      </c>
      <c r="G40">
        <v>5</v>
      </c>
      <c r="H40" s="13">
        <f t="shared" si="24"/>
        <v>1.5599999999999999E-2</v>
      </c>
      <c r="I40">
        <v>1066</v>
      </c>
      <c r="J40" s="13">
        <f t="shared" si="25"/>
        <v>-2.8999999999999998E-3</v>
      </c>
      <c r="K40">
        <v>5290000</v>
      </c>
      <c r="L40" s="13">
        <f t="shared" si="26"/>
        <v>8.6999999999999994E-3</v>
      </c>
      <c r="M40">
        <v>504</v>
      </c>
      <c r="N40">
        <f t="shared" si="27"/>
        <v>510</v>
      </c>
      <c r="O40" s="13">
        <f t="shared" si="28"/>
        <v>0.20849999999999999</v>
      </c>
      <c r="P40">
        <v>287500</v>
      </c>
      <c r="Q40" s="13">
        <f t="shared" si="29"/>
        <v>-9.5999999999999992E-3</v>
      </c>
      <c r="R40">
        <v>170.46299999999999</v>
      </c>
      <c r="S40" s="13">
        <f t="shared" si="30"/>
        <v>3.5000000000000001E-3</v>
      </c>
      <c r="T40">
        <v>60</v>
      </c>
      <c r="U40" s="13">
        <f t="shared" si="31"/>
        <v>0.1111</v>
      </c>
      <c r="V40" s="6">
        <f t="shared" si="32"/>
        <v>0.17</v>
      </c>
      <c r="W40" s="44">
        <f t="shared" si="33"/>
        <v>815.78</v>
      </c>
      <c r="X40" s="15">
        <f t="shared" si="34"/>
        <v>5.1990000000000001E-2</v>
      </c>
      <c r="Y40" s="13">
        <f t="shared" si="22"/>
        <v>2.1726999999999999</v>
      </c>
      <c r="Z40" s="6">
        <f t="shared" si="35"/>
        <v>179.07</v>
      </c>
      <c r="AA40" s="6">
        <f t="shared" si="36"/>
        <v>85.29</v>
      </c>
      <c r="AB40" s="6">
        <f t="shared" si="37"/>
        <v>146.25</v>
      </c>
      <c r="AC40" s="6">
        <f t="shared" si="38"/>
        <v>142.61000000000001</v>
      </c>
    </row>
    <row r="41" spans="1:29" x14ac:dyDescent="0.25">
      <c r="A41" s="34">
        <v>42095</v>
      </c>
      <c r="B41" s="34">
        <f t="shared" si="14"/>
        <v>42155</v>
      </c>
      <c r="C41">
        <v>15597.4</v>
      </c>
      <c r="D41" s="13">
        <f t="shared" si="23"/>
        <v>6.0000000000000001E-3</v>
      </c>
      <c r="E41">
        <v>3.87</v>
      </c>
      <c r="F41">
        <v>3.11</v>
      </c>
      <c r="G41">
        <v>4.9000000000000004</v>
      </c>
      <c r="H41" s="13">
        <f t="shared" si="24"/>
        <v>-1.03E-2</v>
      </c>
      <c r="I41">
        <v>1200</v>
      </c>
      <c r="J41" s="13">
        <f t="shared" si="25"/>
        <v>4.0899999999999999E-2</v>
      </c>
      <c r="K41">
        <v>5140000</v>
      </c>
      <c r="L41" s="13">
        <f t="shared" si="26"/>
        <v>4.0000000000000001E-3</v>
      </c>
      <c r="M41">
        <v>503</v>
      </c>
      <c r="N41">
        <f t="shared" si="27"/>
        <v>500</v>
      </c>
      <c r="O41" s="13">
        <f t="shared" si="28"/>
        <v>0.19620000000000001</v>
      </c>
      <c r="P41">
        <v>294500</v>
      </c>
      <c r="Q41" s="13">
        <f t="shared" si="29"/>
        <v>-2.5999999999999999E-3</v>
      </c>
      <c r="R41">
        <v>169.988</v>
      </c>
      <c r="S41" s="13">
        <f t="shared" si="30"/>
        <v>3.8999999999999998E-3</v>
      </c>
      <c r="T41">
        <v>54</v>
      </c>
      <c r="U41" s="13">
        <f t="shared" si="31"/>
        <v>-3.5700000000000003E-2</v>
      </c>
      <c r="V41" s="6">
        <f t="shared" si="32"/>
        <v>-1.75</v>
      </c>
      <c r="W41" s="44">
        <f t="shared" si="33"/>
        <v>798.86</v>
      </c>
      <c r="X41" s="15">
        <f t="shared" si="34"/>
        <v>5.1220000000000002E-2</v>
      </c>
      <c r="Y41" s="13">
        <f t="shared" si="22"/>
        <v>2.1797</v>
      </c>
      <c r="Z41" s="6">
        <f t="shared" si="35"/>
        <v>185.28</v>
      </c>
      <c r="AA41" s="6">
        <f t="shared" si="36"/>
        <v>86.75</v>
      </c>
      <c r="AB41" s="6">
        <f t="shared" si="37"/>
        <v>150.79</v>
      </c>
      <c r="AC41" s="6">
        <f t="shared" si="38"/>
        <v>136.37</v>
      </c>
    </row>
    <row r="42" spans="1:29" x14ac:dyDescent="0.25">
      <c r="A42" s="34">
        <v>42064</v>
      </c>
      <c r="B42" s="34">
        <f t="shared" si="14"/>
        <v>42124</v>
      </c>
      <c r="C42">
        <v>15504.8</v>
      </c>
      <c r="D42" s="13">
        <f t="shared" si="23"/>
        <v>8.9999999999999998E-4</v>
      </c>
      <c r="E42">
        <v>3.68</v>
      </c>
      <c r="F42">
        <v>2.94</v>
      </c>
      <c r="G42">
        <v>5.0999999999999996</v>
      </c>
      <c r="H42" s="13">
        <f t="shared" si="24"/>
        <v>-0.03</v>
      </c>
      <c r="I42">
        <v>974</v>
      </c>
      <c r="J42" s="13">
        <f t="shared" si="25"/>
        <v>-2.3300000000000001E-2</v>
      </c>
      <c r="K42">
        <v>5250000</v>
      </c>
      <c r="L42" s="13">
        <f t="shared" si="26"/>
        <v>4.4000000000000003E-3</v>
      </c>
      <c r="M42">
        <v>485</v>
      </c>
      <c r="N42">
        <f t="shared" si="27"/>
        <v>495</v>
      </c>
      <c r="O42" s="13">
        <f t="shared" si="28"/>
        <v>0.16470000000000001</v>
      </c>
      <c r="P42">
        <v>286600</v>
      </c>
      <c r="Q42" s="13">
        <f t="shared" si="29"/>
        <v>-7.0000000000000001E-3</v>
      </c>
      <c r="R42">
        <v>169.303</v>
      </c>
      <c r="S42" s="13">
        <f t="shared" si="30"/>
        <v>4.0000000000000001E-3</v>
      </c>
      <c r="T42">
        <v>56</v>
      </c>
      <c r="U42" s="13">
        <f t="shared" si="31"/>
        <v>7.6899999999999996E-2</v>
      </c>
      <c r="V42" s="6">
        <f t="shared" si="32"/>
        <v>-0.67</v>
      </c>
      <c r="W42" s="44">
        <f t="shared" si="33"/>
        <v>777.36</v>
      </c>
      <c r="X42" s="15">
        <f t="shared" si="34"/>
        <v>5.0139999999999997E-2</v>
      </c>
      <c r="Y42" s="13">
        <f t="shared" si="22"/>
        <v>2.1839</v>
      </c>
      <c r="Z42" s="6">
        <f t="shared" si="35"/>
        <v>154.68</v>
      </c>
      <c r="AA42" s="6">
        <f t="shared" si="36"/>
        <v>86.43</v>
      </c>
      <c r="AB42" s="6">
        <f t="shared" si="37"/>
        <v>130.79</v>
      </c>
      <c r="AC42" s="6">
        <f t="shared" si="38"/>
        <v>132.59</v>
      </c>
    </row>
    <row r="43" spans="1:29" x14ac:dyDescent="0.25">
      <c r="A43" s="34">
        <v>42036</v>
      </c>
      <c r="B43" s="34">
        <f t="shared" si="14"/>
        <v>42094</v>
      </c>
      <c r="C43">
        <v>15491.6</v>
      </c>
      <c r="D43" s="13">
        <f t="shared" si="23"/>
        <v>4.7999999999999996E-3</v>
      </c>
      <c r="E43">
        <v>3.69</v>
      </c>
      <c r="F43">
        <v>2.97</v>
      </c>
      <c r="G43">
        <v>4.5</v>
      </c>
      <c r="H43" s="13">
        <f t="shared" si="24"/>
        <v>-3.85E-2</v>
      </c>
      <c r="I43">
        <v>887</v>
      </c>
      <c r="J43" s="13">
        <f t="shared" si="25"/>
        <v>-2.1299999999999999E-2</v>
      </c>
      <c r="K43">
        <v>4970000</v>
      </c>
      <c r="L43" s="13">
        <f t="shared" si="26"/>
        <v>-2.3999999999999998E-3</v>
      </c>
      <c r="M43">
        <v>556</v>
      </c>
      <c r="N43">
        <f t="shared" si="27"/>
        <v>491</v>
      </c>
      <c r="O43" s="13">
        <f t="shared" si="28"/>
        <v>0.1472</v>
      </c>
      <c r="P43">
        <v>286600</v>
      </c>
      <c r="Q43" s="13">
        <f t="shared" si="29"/>
        <v>1.7299999999999999E-2</v>
      </c>
      <c r="R43">
        <v>168.804</v>
      </c>
      <c r="S43" s="13">
        <f t="shared" si="30"/>
        <v>4.3E-3</v>
      </c>
      <c r="T43">
        <v>52</v>
      </c>
      <c r="U43" s="13">
        <f t="shared" si="31"/>
        <v>-5.45E-2</v>
      </c>
      <c r="V43" s="6">
        <f t="shared" si="32"/>
        <v>-1.33</v>
      </c>
      <c r="W43" s="44">
        <f t="shared" si="33"/>
        <v>776.02</v>
      </c>
      <c r="X43" s="15">
        <f t="shared" si="34"/>
        <v>5.0090000000000003E-2</v>
      </c>
      <c r="Y43" s="13">
        <f t="shared" si="22"/>
        <v>2.1793</v>
      </c>
      <c r="Z43" s="6">
        <f t="shared" si="35"/>
        <v>150.19999999999999</v>
      </c>
      <c r="AA43" s="6">
        <f t="shared" si="36"/>
        <v>85.45</v>
      </c>
      <c r="AB43" s="6">
        <f t="shared" si="37"/>
        <v>127.54</v>
      </c>
      <c r="AC43" s="6">
        <f t="shared" si="38"/>
        <v>134.61000000000001</v>
      </c>
    </row>
    <row r="44" spans="1:29" x14ac:dyDescent="0.25">
      <c r="A44" s="34">
        <v>42005</v>
      </c>
      <c r="B44" s="34">
        <f t="shared" si="14"/>
        <v>42063</v>
      </c>
      <c r="C44">
        <v>15417.4</v>
      </c>
      <c r="D44" s="13">
        <f t="shared" si="23"/>
        <v>3.3E-3</v>
      </c>
      <c r="E44">
        <v>3.8</v>
      </c>
      <c r="F44">
        <v>3.07</v>
      </c>
      <c r="G44">
        <v>4.7</v>
      </c>
      <c r="H44" s="13">
        <f t="shared" si="24"/>
        <v>-2.8000000000000001E-2</v>
      </c>
      <c r="I44">
        <v>1101</v>
      </c>
      <c r="J44" s="13">
        <f t="shared" si="25"/>
        <v>2.2700000000000001E-2</v>
      </c>
      <c r="K44">
        <v>4930000</v>
      </c>
      <c r="L44" s="13">
        <f t="shared" si="26"/>
        <v>-1.1999999999999999E-3</v>
      </c>
      <c r="M44">
        <v>522</v>
      </c>
      <c r="N44">
        <f t="shared" si="27"/>
        <v>475</v>
      </c>
      <c r="O44" s="13">
        <f t="shared" si="28"/>
        <v>0.1124</v>
      </c>
      <c r="P44">
        <v>292000</v>
      </c>
      <c r="Q44" s="13">
        <f t="shared" si="29"/>
        <v>2.0000000000000001E-4</v>
      </c>
      <c r="R44">
        <v>168.12799999999999</v>
      </c>
      <c r="S44" s="13">
        <f t="shared" si="30"/>
        <v>4.4000000000000003E-3</v>
      </c>
      <c r="T44">
        <v>55</v>
      </c>
      <c r="U44" s="13">
        <f t="shared" si="31"/>
        <v>-3.5099999999999999E-2</v>
      </c>
      <c r="V44" s="6">
        <f t="shared" si="32"/>
        <v>0.17</v>
      </c>
      <c r="W44" s="44">
        <f t="shared" si="33"/>
        <v>783.4</v>
      </c>
      <c r="X44" s="15">
        <f t="shared" si="34"/>
        <v>5.0810000000000001E-2</v>
      </c>
      <c r="Y44" s="13">
        <f t="shared" si="22"/>
        <v>2.181</v>
      </c>
      <c r="Z44" s="6">
        <f t="shared" si="35"/>
        <v>167.59</v>
      </c>
      <c r="AA44" s="6">
        <f t="shared" si="36"/>
        <v>87.12</v>
      </c>
      <c r="AB44" s="6">
        <f t="shared" si="37"/>
        <v>139.43</v>
      </c>
      <c r="AC44" s="6">
        <f t="shared" si="38"/>
        <v>136.86000000000001</v>
      </c>
    </row>
    <row r="45" spans="1:29" x14ac:dyDescent="0.25">
      <c r="A45" s="34">
        <v>41974</v>
      </c>
      <c r="B45" s="34">
        <f t="shared" si="14"/>
        <v>42035</v>
      </c>
      <c r="C45">
        <v>15366</v>
      </c>
      <c r="D45" s="13">
        <f t="shared" si="23"/>
        <v>4.4000000000000003E-3</v>
      </c>
      <c r="E45">
        <v>3.66</v>
      </c>
      <c r="F45">
        <v>2.98</v>
      </c>
      <c r="G45">
        <v>5.0999999999999996</v>
      </c>
      <c r="H45" s="13">
        <f t="shared" si="24"/>
        <v>-1.83E-2</v>
      </c>
      <c r="I45">
        <v>1081</v>
      </c>
      <c r="J45" s="13">
        <f t="shared" si="25"/>
        <v>-8.0000000000000004E-4</v>
      </c>
      <c r="K45">
        <v>5070000</v>
      </c>
      <c r="L45" s="13">
        <f t="shared" si="26"/>
        <v>3.2000000000000002E-3</v>
      </c>
      <c r="M45">
        <v>488</v>
      </c>
      <c r="N45">
        <f t="shared" si="27"/>
        <v>455</v>
      </c>
      <c r="O45" s="13">
        <f t="shared" si="28"/>
        <v>4.8399999999999999E-2</v>
      </c>
      <c r="P45">
        <v>301500</v>
      </c>
      <c r="Q45" s="13">
        <f t="shared" si="29"/>
        <v>1.4800000000000001E-2</v>
      </c>
      <c r="R45">
        <v>167.37299999999999</v>
      </c>
      <c r="S45" s="13">
        <f t="shared" si="30"/>
        <v>4.4000000000000003E-3</v>
      </c>
      <c r="T45">
        <v>57</v>
      </c>
      <c r="U45" s="13">
        <f t="shared" si="31"/>
        <v>-1.72E-2</v>
      </c>
      <c r="V45" s="6">
        <f t="shared" si="32"/>
        <v>0.57999999999999996</v>
      </c>
      <c r="W45" s="44">
        <f t="shared" si="33"/>
        <v>766.61</v>
      </c>
      <c r="X45" s="15">
        <f t="shared" si="34"/>
        <v>4.9889999999999997E-2</v>
      </c>
      <c r="Y45" s="13">
        <f t="shared" si="22"/>
        <v>2.1785000000000001</v>
      </c>
      <c r="Z45" s="6">
        <f t="shared" si="35"/>
        <v>164.9</v>
      </c>
      <c r="AA45" s="6">
        <f t="shared" si="36"/>
        <v>84.77</v>
      </c>
      <c r="AB45" s="6">
        <f t="shared" si="37"/>
        <v>136.85</v>
      </c>
      <c r="AC45" s="6">
        <f t="shared" si="38"/>
        <v>138.19</v>
      </c>
    </row>
    <row r="46" spans="1:29" x14ac:dyDescent="0.25">
      <c r="A46" s="34">
        <v>41944</v>
      </c>
      <c r="B46" s="34">
        <f t="shared" si="14"/>
        <v>42004</v>
      </c>
      <c r="C46">
        <v>15298.3</v>
      </c>
      <c r="D46" s="13">
        <f t="shared" si="23"/>
        <v>4.1000000000000003E-3</v>
      </c>
      <c r="E46">
        <v>3.87</v>
      </c>
      <c r="F46">
        <v>3.15</v>
      </c>
      <c r="G46">
        <v>5.7</v>
      </c>
      <c r="H46" s="13">
        <f t="shared" si="24"/>
        <v>-1.7999999999999999E-2</v>
      </c>
      <c r="I46">
        <v>994</v>
      </c>
      <c r="J46" s="13">
        <f t="shared" si="25"/>
        <v>1.2999999999999999E-2</v>
      </c>
      <c r="K46">
        <v>5040000</v>
      </c>
      <c r="L46" s="13">
        <f t="shared" si="26"/>
        <v>2.8E-3</v>
      </c>
      <c r="M46">
        <v>444</v>
      </c>
      <c r="N46">
        <f t="shared" si="27"/>
        <v>443</v>
      </c>
      <c r="O46" s="13">
        <f t="shared" si="28"/>
        <v>2.3099999999999999E-2</v>
      </c>
      <c r="P46">
        <v>298300</v>
      </c>
      <c r="Q46" s="13">
        <f t="shared" si="29"/>
        <v>8.0000000000000002E-3</v>
      </c>
      <c r="R46">
        <v>166.65099999999899</v>
      </c>
      <c r="S46" s="13">
        <f t="shared" si="30"/>
        <v>4.0000000000000001E-3</v>
      </c>
      <c r="T46">
        <v>58</v>
      </c>
      <c r="U46" s="13">
        <f t="shared" si="31"/>
        <v>0</v>
      </c>
      <c r="V46" s="6">
        <f t="shared" si="32"/>
        <v>2.58</v>
      </c>
      <c r="W46" s="44">
        <f t="shared" si="33"/>
        <v>783.18</v>
      </c>
      <c r="X46" s="15">
        <f t="shared" si="34"/>
        <v>5.1189999999999999E-2</v>
      </c>
      <c r="Y46" s="13">
        <f t="shared" si="22"/>
        <v>2.1787000000000001</v>
      </c>
      <c r="Z46" s="6">
        <f t="shared" si="35"/>
        <v>161.66</v>
      </c>
      <c r="AA46" s="6">
        <f t="shared" si="36"/>
        <v>83.53</v>
      </c>
      <c r="AB46" s="6">
        <f t="shared" si="37"/>
        <v>134.31</v>
      </c>
      <c r="AC46" s="6">
        <f t="shared" si="38"/>
        <v>135.04</v>
      </c>
    </row>
    <row r="47" spans="1:29" x14ac:dyDescent="0.25">
      <c r="A47" s="34">
        <v>41913</v>
      </c>
      <c r="B47" s="34">
        <f t="shared" si="14"/>
        <v>41973</v>
      </c>
      <c r="C47">
        <v>15236.4</v>
      </c>
      <c r="D47" s="13">
        <f t="shared" si="23"/>
        <v>4.0000000000000001E-3</v>
      </c>
      <c r="E47">
        <v>3.97</v>
      </c>
      <c r="F47">
        <v>3.17</v>
      </c>
      <c r="G47">
        <v>5.3</v>
      </c>
      <c r="H47" s="13">
        <f t="shared" si="24"/>
        <v>-1.77E-2</v>
      </c>
      <c r="I47">
        <v>1094</v>
      </c>
      <c r="J47" s="13">
        <f t="shared" si="25"/>
        <v>2.1499999999999998E-2</v>
      </c>
      <c r="K47">
        <v>5140000</v>
      </c>
      <c r="L47" s="13">
        <f t="shared" si="26"/>
        <v>9.7000000000000003E-3</v>
      </c>
      <c r="M47">
        <v>472</v>
      </c>
      <c r="N47">
        <f t="shared" si="27"/>
        <v>444</v>
      </c>
      <c r="O47" s="13">
        <f t="shared" si="28"/>
        <v>4.4699999999999997E-2</v>
      </c>
      <c r="P47">
        <v>297000</v>
      </c>
      <c r="Q47" s="13">
        <f t="shared" si="29"/>
        <v>8.0999999999999996E-3</v>
      </c>
      <c r="R47">
        <v>165.90199999999999</v>
      </c>
      <c r="S47" s="13">
        <f t="shared" si="30"/>
        <v>3.3E-3</v>
      </c>
      <c r="T47">
        <v>58</v>
      </c>
      <c r="U47" s="13">
        <f t="shared" si="31"/>
        <v>7.4099999999999999E-2</v>
      </c>
      <c r="V47" s="6">
        <f t="shared" si="32"/>
        <v>4</v>
      </c>
      <c r="W47" s="44">
        <f t="shared" si="33"/>
        <v>789.17</v>
      </c>
      <c r="X47" s="15">
        <f t="shared" si="34"/>
        <v>5.1799999999999999E-2</v>
      </c>
      <c r="Y47" s="13">
        <f t="shared" si="22"/>
        <v>2.1777000000000002</v>
      </c>
      <c r="Z47" s="6">
        <f t="shared" si="35"/>
        <v>175.67</v>
      </c>
      <c r="AA47" s="6">
        <f t="shared" si="36"/>
        <v>83.53</v>
      </c>
      <c r="AB47" s="6">
        <f t="shared" si="37"/>
        <v>143.41999999999999</v>
      </c>
      <c r="AC47" s="6">
        <f t="shared" si="38"/>
        <v>134.25</v>
      </c>
    </row>
    <row r="48" spans="1:29" x14ac:dyDescent="0.25">
      <c r="A48" s="34">
        <v>41883</v>
      </c>
      <c r="B48" s="34">
        <f t="shared" si="14"/>
        <v>41943</v>
      </c>
      <c r="C48">
        <v>15175.5</v>
      </c>
      <c r="D48" s="13">
        <f t="shared" si="23"/>
        <v>3.5000000000000001E-3</v>
      </c>
      <c r="E48">
        <v>3.98</v>
      </c>
      <c r="F48">
        <v>3.13</v>
      </c>
      <c r="G48">
        <v>5.3</v>
      </c>
      <c r="H48" s="13">
        <f t="shared" si="24"/>
        <v>8.8999999999999999E-3</v>
      </c>
      <c r="I48">
        <v>999</v>
      </c>
      <c r="J48" s="13">
        <f t="shared" si="25"/>
        <v>-7.7999999999999996E-3</v>
      </c>
      <c r="K48">
        <v>5030000</v>
      </c>
      <c r="L48" s="13">
        <f t="shared" si="26"/>
        <v>1.0200000000000001E-2</v>
      </c>
      <c r="M48">
        <v>466</v>
      </c>
      <c r="N48">
        <f t="shared" si="27"/>
        <v>432</v>
      </c>
      <c r="O48" s="13">
        <f t="shared" si="28"/>
        <v>4.3499999999999997E-2</v>
      </c>
      <c r="P48">
        <v>261500</v>
      </c>
      <c r="Q48" s="13">
        <f t="shared" si="29"/>
        <v>-9.1999999999999998E-3</v>
      </c>
      <c r="R48">
        <v>165.214</v>
      </c>
      <c r="S48" s="13">
        <f t="shared" si="30"/>
        <v>2.5999999999999999E-3</v>
      </c>
      <c r="T48">
        <v>54</v>
      </c>
      <c r="U48" s="13">
        <f t="shared" si="31"/>
        <v>-8.4699999999999998E-2</v>
      </c>
      <c r="V48" s="6">
        <f t="shared" si="32"/>
        <v>4.08</v>
      </c>
      <c r="W48" s="44">
        <f t="shared" si="33"/>
        <v>786.85</v>
      </c>
      <c r="X48" s="15">
        <f t="shared" si="34"/>
        <v>5.185E-2</v>
      </c>
      <c r="Y48" s="13">
        <f t="shared" si="22"/>
        <v>2.1774</v>
      </c>
      <c r="Z48" s="6">
        <f t="shared" si="35"/>
        <v>152.4</v>
      </c>
      <c r="AA48" s="6">
        <f t="shared" si="36"/>
        <v>80.900000000000006</v>
      </c>
      <c r="AB48" s="6">
        <f t="shared" si="37"/>
        <v>127.38</v>
      </c>
      <c r="AC48" s="6">
        <f t="shared" si="38"/>
        <v>132.22</v>
      </c>
    </row>
    <row r="49" spans="1:29" x14ac:dyDescent="0.25">
      <c r="A49" s="34">
        <v>41852</v>
      </c>
      <c r="B49" s="34">
        <f t="shared" si="14"/>
        <v>41912</v>
      </c>
      <c r="C49">
        <v>15123.1</v>
      </c>
      <c r="D49" s="13">
        <f t="shared" si="23"/>
        <v>5.1999999999999998E-3</v>
      </c>
      <c r="E49">
        <v>4.2</v>
      </c>
      <c r="F49">
        <v>3.36</v>
      </c>
      <c r="G49">
        <v>5.5</v>
      </c>
      <c r="H49" s="13">
        <f t="shared" si="24"/>
        <v>-8.8000000000000005E-3</v>
      </c>
      <c r="I49">
        <v>984</v>
      </c>
      <c r="J49" s="13">
        <f t="shared" si="25"/>
        <v>2.2000000000000001E-3</v>
      </c>
      <c r="K49">
        <v>4960000</v>
      </c>
      <c r="L49" s="13">
        <f t="shared" si="26"/>
        <v>8.9999999999999993E-3</v>
      </c>
      <c r="M49">
        <v>455</v>
      </c>
      <c r="N49">
        <f t="shared" si="27"/>
        <v>422</v>
      </c>
      <c r="O49" s="13">
        <f t="shared" si="28"/>
        <v>4.7999999999999996E-3</v>
      </c>
      <c r="P49">
        <v>291700</v>
      </c>
      <c r="Q49" s="13">
        <f t="shared" si="29"/>
        <v>6.7000000000000002E-3</v>
      </c>
      <c r="R49">
        <v>164.45400000000001</v>
      </c>
      <c r="S49" s="13">
        <f t="shared" si="30"/>
        <v>1.9E-3</v>
      </c>
      <c r="T49">
        <v>59</v>
      </c>
      <c r="U49" s="13">
        <f t="shared" si="31"/>
        <v>7.2700000000000001E-2</v>
      </c>
      <c r="V49" s="6">
        <f t="shared" si="32"/>
        <v>5</v>
      </c>
      <c r="W49" s="44">
        <f t="shared" si="33"/>
        <v>804.21</v>
      </c>
      <c r="X49" s="15">
        <f t="shared" si="34"/>
        <v>5.3179999999999998E-2</v>
      </c>
      <c r="Y49" s="13">
        <f t="shared" si="22"/>
        <v>2.1749000000000001</v>
      </c>
      <c r="Z49" s="6">
        <f t="shared" si="35"/>
        <v>158.77000000000001</v>
      </c>
      <c r="AA49" s="6">
        <f t="shared" si="36"/>
        <v>82.15</v>
      </c>
      <c r="AB49" s="6">
        <f t="shared" si="37"/>
        <v>131.94999999999999</v>
      </c>
      <c r="AC49" s="6">
        <f t="shared" si="38"/>
        <v>132.12</v>
      </c>
    </row>
    <row r="50" spans="1:29" x14ac:dyDescent="0.25">
      <c r="A50" s="34">
        <v>41821</v>
      </c>
      <c r="B50" s="34">
        <f t="shared" si="14"/>
        <v>41882</v>
      </c>
      <c r="C50">
        <v>15044.6</v>
      </c>
      <c r="D50" s="13">
        <f t="shared" si="23"/>
        <v>5.4000000000000003E-3</v>
      </c>
      <c r="E50">
        <v>4.0999999999999996</v>
      </c>
      <c r="F50">
        <v>3.25</v>
      </c>
      <c r="G50">
        <v>6.1</v>
      </c>
      <c r="H50" s="13">
        <f t="shared" si="24"/>
        <v>2.2599999999999999E-2</v>
      </c>
      <c r="I50">
        <v>1085</v>
      </c>
      <c r="J50" s="13">
        <f t="shared" si="25"/>
        <v>2.81E-2</v>
      </c>
      <c r="K50">
        <v>4990000</v>
      </c>
      <c r="L50" s="13">
        <f t="shared" si="26"/>
        <v>1.12E-2</v>
      </c>
      <c r="M50">
        <v>402</v>
      </c>
      <c r="N50">
        <f t="shared" si="27"/>
        <v>418</v>
      </c>
      <c r="O50" s="13">
        <f t="shared" si="28"/>
        <v>2.3999999999999998E-3</v>
      </c>
      <c r="P50">
        <v>280400</v>
      </c>
      <c r="Q50" s="13">
        <f t="shared" si="29"/>
        <v>8.6E-3</v>
      </c>
      <c r="R50">
        <v>164.011</v>
      </c>
      <c r="S50" s="13">
        <f t="shared" si="30"/>
        <v>2.0999999999999999E-3</v>
      </c>
      <c r="T50">
        <v>55</v>
      </c>
      <c r="U50" s="13">
        <f t="shared" si="31"/>
        <v>3.7699999999999997E-2</v>
      </c>
      <c r="V50" s="6">
        <f t="shared" si="32"/>
        <v>3</v>
      </c>
      <c r="W50" s="44">
        <f t="shared" si="33"/>
        <v>792.5</v>
      </c>
      <c r="X50" s="15">
        <f t="shared" si="34"/>
        <v>5.2679999999999998E-2</v>
      </c>
      <c r="Y50" s="13">
        <f t="shared" si="22"/>
        <v>2.1802999999999999</v>
      </c>
      <c r="Z50" s="6">
        <f t="shared" si="35"/>
        <v>167.68</v>
      </c>
      <c r="AA50" s="6">
        <f t="shared" si="36"/>
        <v>80.97</v>
      </c>
      <c r="AB50" s="6">
        <f t="shared" si="37"/>
        <v>137.33000000000001</v>
      </c>
      <c r="AC50" s="6">
        <f t="shared" si="38"/>
        <v>127.32</v>
      </c>
    </row>
    <row r="51" spans="1:29" x14ac:dyDescent="0.25">
      <c r="A51" s="34">
        <v>41791</v>
      </c>
      <c r="B51" s="34">
        <f t="shared" si="14"/>
        <v>41851</v>
      </c>
      <c r="C51">
        <v>14963.1</v>
      </c>
      <c r="D51" s="13">
        <f t="shared" si="23"/>
        <v>5.1999999999999998E-3</v>
      </c>
      <c r="E51">
        <v>4.12</v>
      </c>
      <c r="F51">
        <v>3.23</v>
      </c>
      <c r="G51">
        <v>5.7</v>
      </c>
      <c r="H51" s="13">
        <f t="shared" si="24"/>
        <v>1.84E-2</v>
      </c>
      <c r="I51">
        <v>928</v>
      </c>
      <c r="J51" s="13">
        <f t="shared" si="25"/>
        <v>5.4000000000000003E-3</v>
      </c>
      <c r="K51">
        <v>4970000</v>
      </c>
      <c r="L51" s="13">
        <f t="shared" si="26"/>
        <v>9.5999999999999992E-3</v>
      </c>
      <c r="M51">
        <v>416</v>
      </c>
      <c r="N51">
        <f t="shared" si="27"/>
        <v>425</v>
      </c>
      <c r="O51" s="13">
        <f t="shared" si="28"/>
        <v>2.1600000000000001E-2</v>
      </c>
      <c r="P51">
        <v>287000</v>
      </c>
      <c r="Q51" s="13">
        <f t="shared" si="29"/>
        <v>1.2500000000000001E-2</v>
      </c>
      <c r="R51">
        <v>163.73099999999999</v>
      </c>
      <c r="S51" s="13">
        <f t="shared" si="30"/>
        <v>2.5999999999999999E-3</v>
      </c>
      <c r="T51">
        <v>53</v>
      </c>
      <c r="U51" s="13">
        <f t="shared" si="31"/>
        <v>8.1600000000000006E-2</v>
      </c>
      <c r="V51" s="6">
        <f t="shared" si="32"/>
        <v>0.25</v>
      </c>
      <c r="W51" s="44">
        <f t="shared" si="33"/>
        <v>793.05</v>
      </c>
      <c r="X51" s="15">
        <f t="shared" si="34"/>
        <v>5.2999999999999999E-2</v>
      </c>
      <c r="Y51" s="13">
        <f t="shared" si="22"/>
        <v>2.1884999999999999</v>
      </c>
      <c r="Z51" s="6">
        <f t="shared" si="35"/>
        <v>152.69</v>
      </c>
      <c r="AA51" s="6">
        <f t="shared" si="36"/>
        <v>79.510000000000005</v>
      </c>
      <c r="AB51" s="6">
        <f t="shared" si="37"/>
        <v>127.08</v>
      </c>
      <c r="AC51" s="6">
        <f t="shared" si="38"/>
        <v>117.13</v>
      </c>
    </row>
    <row r="52" spans="1:29" x14ac:dyDescent="0.25">
      <c r="A52" s="34">
        <v>41760</v>
      </c>
      <c r="B52" s="34">
        <f t="shared" si="14"/>
        <v>41820</v>
      </c>
      <c r="C52">
        <v>14885.3</v>
      </c>
      <c r="D52" s="13">
        <f t="shared" si="23"/>
        <v>3.8E-3</v>
      </c>
      <c r="E52">
        <v>4.1399999999999997</v>
      </c>
      <c r="F52">
        <v>3.22</v>
      </c>
      <c r="G52">
        <v>5.0999999999999996</v>
      </c>
      <c r="H52" s="13">
        <f t="shared" si="24"/>
        <v>0</v>
      </c>
      <c r="I52">
        <v>987</v>
      </c>
      <c r="J52" s="13">
        <f t="shared" si="25"/>
        <v>-4.7000000000000002E-3</v>
      </c>
      <c r="K52">
        <v>4900000</v>
      </c>
      <c r="L52" s="13">
        <f t="shared" si="26"/>
        <v>1.6999999999999999E-3</v>
      </c>
      <c r="M52">
        <v>452</v>
      </c>
      <c r="N52">
        <f t="shared" si="27"/>
        <v>428</v>
      </c>
      <c r="O52" s="13">
        <f t="shared" si="28"/>
        <v>1.18E-2</v>
      </c>
      <c r="P52">
        <v>285600</v>
      </c>
      <c r="Q52" s="13">
        <f t="shared" si="29"/>
        <v>7.4000000000000003E-3</v>
      </c>
      <c r="R52">
        <v>163.482</v>
      </c>
      <c r="S52" s="13">
        <f t="shared" si="30"/>
        <v>3.8E-3</v>
      </c>
      <c r="T52">
        <v>49</v>
      </c>
      <c r="U52" s="13">
        <f t="shared" si="31"/>
        <v>8.8900000000000007E-2</v>
      </c>
      <c r="V52" s="6">
        <f t="shared" si="32"/>
        <v>-2.83</v>
      </c>
      <c r="W52" s="44">
        <f t="shared" si="33"/>
        <v>793.74</v>
      </c>
      <c r="X52" s="15">
        <f t="shared" si="34"/>
        <v>5.3319999999999999E-2</v>
      </c>
      <c r="Y52" s="13">
        <f t="shared" si="22"/>
        <v>2.1966000000000001</v>
      </c>
      <c r="Z52" s="6">
        <f t="shared" si="35"/>
        <v>138.47</v>
      </c>
      <c r="AA52" s="6">
        <f t="shared" si="36"/>
        <v>78.739999999999995</v>
      </c>
      <c r="AB52" s="6">
        <f t="shared" si="37"/>
        <v>117.56</v>
      </c>
      <c r="AC52" s="6">
        <f t="shared" si="38"/>
        <v>112.57</v>
      </c>
    </row>
    <row r="53" spans="1:29" x14ac:dyDescent="0.25">
      <c r="A53" s="34">
        <v>41730</v>
      </c>
      <c r="B53" s="34">
        <f t="shared" si="14"/>
        <v>41790</v>
      </c>
      <c r="C53">
        <v>14829</v>
      </c>
      <c r="D53" s="13">
        <f t="shared" si="23"/>
        <v>3.8E-3</v>
      </c>
      <c r="E53">
        <v>4.12</v>
      </c>
      <c r="F53">
        <v>3.21</v>
      </c>
      <c r="G53">
        <v>5.7</v>
      </c>
      <c r="H53" s="13">
        <f t="shared" si="24"/>
        <v>2.8400000000000002E-2</v>
      </c>
      <c r="I53">
        <v>1038</v>
      </c>
      <c r="J53" s="13">
        <f t="shared" si="25"/>
        <v>-1.34E-2</v>
      </c>
      <c r="K53">
        <v>4780000</v>
      </c>
      <c r="L53" s="13">
        <f t="shared" si="26"/>
        <v>-5.7999999999999996E-3</v>
      </c>
      <c r="M53">
        <v>400</v>
      </c>
      <c r="N53">
        <f t="shared" si="27"/>
        <v>427</v>
      </c>
      <c r="O53" s="13">
        <f t="shared" si="28"/>
        <v>-1.61E-2</v>
      </c>
      <c r="P53">
        <v>274500</v>
      </c>
      <c r="Q53" s="13">
        <f t="shared" si="29"/>
        <v>-1.9E-3</v>
      </c>
      <c r="R53">
        <v>163.18799999999999</v>
      </c>
      <c r="S53" s="13">
        <f t="shared" si="30"/>
        <v>4.7999999999999996E-3</v>
      </c>
      <c r="T53">
        <v>45</v>
      </c>
      <c r="U53" s="13">
        <f t="shared" si="31"/>
        <v>-2.1700000000000001E-2</v>
      </c>
      <c r="V53" s="6">
        <f t="shared" si="32"/>
        <v>-5.08</v>
      </c>
      <c r="W53" s="44">
        <f t="shared" si="33"/>
        <v>790.42</v>
      </c>
      <c r="X53" s="15">
        <f t="shared" si="34"/>
        <v>5.33E-2</v>
      </c>
      <c r="Y53" s="13">
        <f t="shared" si="22"/>
        <v>2.2008999999999999</v>
      </c>
      <c r="Z53" s="6">
        <f t="shared" si="35"/>
        <v>123.55</v>
      </c>
      <c r="AA53" s="6">
        <f t="shared" si="36"/>
        <v>75.569999999999993</v>
      </c>
      <c r="AB53" s="6">
        <f t="shared" si="37"/>
        <v>106.76</v>
      </c>
      <c r="AC53" s="6">
        <f t="shared" si="38"/>
        <v>110.71</v>
      </c>
    </row>
    <row r="54" spans="1:29" x14ac:dyDescent="0.25">
      <c r="A54" s="34">
        <v>41699</v>
      </c>
      <c r="B54" s="34">
        <f t="shared" si="14"/>
        <v>41759</v>
      </c>
      <c r="C54">
        <v>14772.2</v>
      </c>
      <c r="D54" s="13">
        <f t="shared" si="23"/>
        <v>7.7999999999999996E-3</v>
      </c>
      <c r="E54">
        <v>4.33</v>
      </c>
      <c r="F54">
        <v>3.39</v>
      </c>
      <c r="G54">
        <v>5.6</v>
      </c>
      <c r="H54" s="13">
        <f t="shared" si="24"/>
        <v>2.93E-2</v>
      </c>
      <c r="I54">
        <v>973</v>
      </c>
      <c r="J54" s="13">
        <f t="shared" si="25"/>
        <v>1.06E-2</v>
      </c>
      <c r="K54">
        <v>4740000</v>
      </c>
      <c r="L54" s="13">
        <f t="shared" si="26"/>
        <v>-1.24E-2</v>
      </c>
      <c r="M54">
        <v>409</v>
      </c>
      <c r="N54">
        <f t="shared" si="27"/>
        <v>434</v>
      </c>
      <c r="O54" s="13">
        <f t="shared" si="28"/>
        <v>-2.69E-2</v>
      </c>
      <c r="P54">
        <v>282300</v>
      </c>
      <c r="Q54" s="13">
        <f t="shared" si="29"/>
        <v>1.3299999999999999E-2</v>
      </c>
      <c r="R54">
        <v>162.62899999999999</v>
      </c>
      <c r="S54" s="13">
        <f t="shared" si="30"/>
        <v>5.3E-3</v>
      </c>
      <c r="T54">
        <v>46</v>
      </c>
      <c r="U54" s="13">
        <f t="shared" si="31"/>
        <v>0</v>
      </c>
      <c r="V54" s="6">
        <f t="shared" si="32"/>
        <v>-3.67</v>
      </c>
      <c r="W54" s="44">
        <f t="shared" si="33"/>
        <v>807.67</v>
      </c>
      <c r="X54" s="15">
        <f t="shared" si="34"/>
        <v>5.4670000000000003E-2</v>
      </c>
      <c r="Y54" s="13">
        <f t="shared" si="22"/>
        <v>2.2018</v>
      </c>
      <c r="Z54" s="6">
        <f t="shared" si="35"/>
        <v>134.52000000000001</v>
      </c>
      <c r="AA54" s="6">
        <f t="shared" si="36"/>
        <v>74.12</v>
      </c>
      <c r="AB54" s="6">
        <f t="shared" si="37"/>
        <v>113.38</v>
      </c>
      <c r="AC54" s="6">
        <f t="shared" si="38"/>
        <v>111.01</v>
      </c>
    </row>
    <row r="55" spans="1:29" x14ac:dyDescent="0.25">
      <c r="A55" s="34">
        <v>41671</v>
      </c>
      <c r="B55" s="34">
        <f t="shared" si="14"/>
        <v>41729</v>
      </c>
      <c r="C55">
        <v>14657.9</v>
      </c>
      <c r="D55" s="13">
        <f t="shared" si="23"/>
        <v>7.4000000000000003E-3</v>
      </c>
      <c r="E55">
        <v>4.4000000000000004</v>
      </c>
      <c r="F55">
        <v>3.42</v>
      </c>
      <c r="G55">
        <v>5.3</v>
      </c>
      <c r="H55" s="13">
        <f t="shared" si="24"/>
        <v>1.9900000000000001E-2</v>
      </c>
      <c r="I55">
        <v>948</v>
      </c>
      <c r="J55" s="13">
        <f t="shared" si="25"/>
        <v>1.83E-2</v>
      </c>
      <c r="K55">
        <v>4720000</v>
      </c>
      <c r="L55" s="13">
        <f t="shared" si="26"/>
        <v>-1.7000000000000001E-2</v>
      </c>
      <c r="M55">
        <v>429</v>
      </c>
      <c r="N55">
        <f t="shared" si="27"/>
        <v>433</v>
      </c>
      <c r="O55" s="13">
        <f t="shared" si="28"/>
        <v>-2.3E-3</v>
      </c>
      <c r="P55">
        <v>268400</v>
      </c>
      <c r="Q55" s="13">
        <f t="shared" si="29"/>
        <v>-1E-3</v>
      </c>
      <c r="R55">
        <v>162.02099999999999</v>
      </c>
      <c r="S55" s="13">
        <f t="shared" si="30"/>
        <v>5.8999999999999999E-3</v>
      </c>
      <c r="T55">
        <v>46</v>
      </c>
      <c r="U55" s="13">
        <f t="shared" si="31"/>
        <v>0</v>
      </c>
      <c r="V55" s="6">
        <f t="shared" si="32"/>
        <v>-2.75</v>
      </c>
      <c r="W55" s="44">
        <f t="shared" si="33"/>
        <v>811.34</v>
      </c>
      <c r="X55" s="15">
        <f t="shared" si="34"/>
        <v>5.5350000000000003E-2</v>
      </c>
      <c r="Y55" s="13">
        <f t="shared" si="22"/>
        <v>2.2107000000000001</v>
      </c>
      <c r="Z55" s="6">
        <f t="shared" si="35"/>
        <v>132.71</v>
      </c>
      <c r="AA55" s="6">
        <f t="shared" si="36"/>
        <v>73.47</v>
      </c>
      <c r="AB55" s="6">
        <f t="shared" si="37"/>
        <v>111.98</v>
      </c>
      <c r="AC55" s="6">
        <f t="shared" si="38"/>
        <v>115.21</v>
      </c>
    </row>
    <row r="56" spans="1:29" x14ac:dyDescent="0.25">
      <c r="A56" s="34">
        <v>41640</v>
      </c>
      <c r="B56" s="34">
        <f t="shared" si="14"/>
        <v>41698</v>
      </c>
      <c r="C56">
        <v>14550.4</v>
      </c>
      <c r="D56" s="13">
        <f t="shared" si="23"/>
        <v>8.0000000000000002E-3</v>
      </c>
      <c r="E56">
        <v>4.37</v>
      </c>
      <c r="F56">
        <v>3.39</v>
      </c>
      <c r="G56">
        <v>5.0999999999999996</v>
      </c>
      <c r="H56" s="13">
        <f t="shared" si="24"/>
        <v>-1.95E-2</v>
      </c>
      <c r="I56">
        <v>902</v>
      </c>
      <c r="J56" s="13">
        <f t="shared" si="25"/>
        <v>8.0000000000000004E-4</v>
      </c>
      <c r="K56">
        <v>4740000</v>
      </c>
      <c r="L56" s="13">
        <f t="shared" si="26"/>
        <v>-2.06E-2</v>
      </c>
      <c r="M56">
        <v>445</v>
      </c>
      <c r="N56">
        <f t="shared" si="27"/>
        <v>425</v>
      </c>
      <c r="O56" s="13">
        <f t="shared" si="28"/>
        <v>-7.0000000000000001E-3</v>
      </c>
      <c r="P56">
        <v>269800</v>
      </c>
      <c r="Q56" s="13">
        <f t="shared" si="29"/>
        <v>1.0800000000000001E-2</v>
      </c>
      <c r="R56">
        <v>161.03799999999899</v>
      </c>
      <c r="S56" s="13">
        <f t="shared" si="30"/>
        <v>6.4000000000000003E-3</v>
      </c>
      <c r="T56">
        <v>46</v>
      </c>
      <c r="U56" s="13">
        <f t="shared" si="31"/>
        <v>-0.17860000000000001</v>
      </c>
      <c r="V56" s="6">
        <f t="shared" si="32"/>
        <v>-2.75</v>
      </c>
      <c r="W56" s="44">
        <f t="shared" si="33"/>
        <v>803.56</v>
      </c>
      <c r="X56" s="15">
        <f t="shared" si="34"/>
        <v>5.5230000000000001E-2</v>
      </c>
      <c r="Y56" s="13">
        <f t="shared" si="22"/>
        <v>2.2134999999999998</v>
      </c>
      <c r="Z56" s="6">
        <f t="shared" si="35"/>
        <v>126.01</v>
      </c>
      <c r="AA56" s="6">
        <f t="shared" si="36"/>
        <v>73.61</v>
      </c>
      <c r="AB56" s="6">
        <f t="shared" si="37"/>
        <v>107.67</v>
      </c>
      <c r="AC56" s="6">
        <f t="shared" si="38"/>
        <v>126.06</v>
      </c>
    </row>
    <row r="57" spans="1:29" x14ac:dyDescent="0.25">
      <c r="A57" s="34">
        <v>41609</v>
      </c>
      <c r="B57" s="34">
        <f t="shared" si="14"/>
        <v>41670</v>
      </c>
      <c r="C57">
        <v>14434.6</v>
      </c>
      <c r="D57" s="13">
        <f t="shared" si="23"/>
        <v>5.5999999999999999E-3</v>
      </c>
      <c r="E57">
        <v>4.32</v>
      </c>
      <c r="F57">
        <v>3.4</v>
      </c>
      <c r="G57">
        <v>5.0999999999999996</v>
      </c>
      <c r="H57" s="13">
        <f t="shared" si="24"/>
        <v>-1.9099999999999999E-2</v>
      </c>
      <c r="I57">
        <v>1010</v>
      </c>
      <c r="J57" s="13">
        <f t="shared" si="25"/>
        <v>2.5499999999999998E-2</v>
      </c>
      <c r="K57">
        <v>4860000</v>
      </c>
      <c r="L57" s="13">
        <f t="shared" si="26"/>
        <v>-1.6E-2</v>
      </c>
      <c r="M57">
        <v>433</v>
      </c>
      <c r="N57">
        <f t="shared" si="27"/>
        <v>414</v>
      </c>
      <c r="O57" s="13">
        <f t="shared" si="28"/>
        <v>0</v>
      </c>
      <c r="P57">
        <v>275500</v>
      </c>
      <c r="Q57" s="13">
        <f t="shared" si="29"/>
        <v>0.01</v>
      </c>
      <c r="R57">
        <v>160.09700000000001</v>
      </c>
      <c r="S57" s="13">
        <f t="shared" si="30"/>
        <v>7.1999999999999998E-3</v>
      </c>
      <c r="T57">
        <v>56</v>
      </c>
      <c r="U57" s="13">
        <f t="shared" si="31"/>
        <v>-1.7500000000000002E-2</v>
      </c>
      <c r="V57" s="6">
        <f t="shared" si="32"/>
        <v>-0.75</v>
      </c>
      <c r="W57" s="44">
        <f t="shared" si="33"/>
        <v>794.16</v>
      </c>
      <c r="X57" s="15">
        <f t="shared" si="34"/>
        <v>5.5019999999999999E-2</v>
      </c>
      <c r="Y57" s="13">
        <f t="shared" si="22"/>
        <v>2.2181999999999999</v>
      </c>
      <c r="Z57" s="6">
        <f t="shared" si="35"/>
        <v>155.59</v>
      </c>
      <c r="AA57" s="6">
        <f t="shared" si="36"/>
        <v>71.02</v>
      </c>
      <c r="AB57" s="6">
        <f t="shared" si="37"/>
        <v>125.99</v>
      </c>
      <c r="AC57" s="6">
        <f t="shared" si="38"/>
        <v>134.93</v>
      </c>
    </row>
    <row r="58" spans="1:29" x14ac:dyDescent="0.25">
      <c r="A58" s="34">
        <v>41579</v>
      </c>
      <c r="B58" s="34">
        <f t="shared" si="14"/>
        <v>41639</v>
      </c>
      <c r="C58">
        <v>14354.2</v>
      </c>
      <c r="D58" s="13">
        <f t="shared" si="23"/>
        <v>5.1999999999999998E-3</v>
      </c>
      <c r="E58">
        <v>4.4800000000000004</v>
      </c>
      <c r="F58">
        <v>3.52</v>
      </c>
      <c r="G58">
        <v>5</v>
      </c>
      <c r="H58" s="13">
        <f t="shared" si="24"/>
        <v>-1.8800000000000001E-2</v>
      </c>
      <c r="I58">
        <v>1104</v>
      </c>
      <c r="J58" s="13">
        <f t="shared" si="25"/>
        <v>5.7000000000000002E-2</v>
      </c>
      <c r="K58">
        <v>4920000</v>
      </c>
      <c r="L58" s="13">
        <f t="shared" si="26"/>
        <v>-7.4000000000000003E-3</v>
      </c>
      <c r="M58">
        <v>446</v>
      </c>
      <c r="N58">
        <f t="shared" si="27"/>
        <v>420</v>
      </c>
      <c r="O58" s="13">
        <f t="shared" si="28"/>
        <v>3.6999999999999998E-2</v>
      </c>
      <c r="P58">
        <v>277100</v>
      </c>
      <c r="Q58" s="13">
        <f t="shared" si="29"/>
        <v>1.32E-2</v>
      </c>
      <c r="R58">
        <v>159.25299999999999</v>
      </c>
      <c r="S58" s="13">
        <f t="shared" si="30"/>
        <v>8.0999999999999996E-3</v>
      </c>
      <c r="T58">
        <v>57</v>
      </c>
      <c r="U58" s="13">
        <f t="shared" si="31"/>
        <v>5.5599999999999997E-2</v>
      </c>
      <c r="V58" s="6">
        <f t="shared" si="32"/>
        <v>0.5</v>
      </c>
      <c r="W58" s="44">
        <f t="shared" si="33"/>
        <v>805.02</v>
      </c>
      <c r="X58" s="15">
        <f t="shared" si="34"/>
        <v>5.6079999999999998E-2</v>
      </c>
      <c r="Y58" s="13">
        <f t="shared" si="22"/>
        <v>2.2189000000000001</v>
      </c>
      <c r="Z58" s="6">
        <f t="shared" si="35"/>
        <v>182.73</v>
      </c>
      <c r="AA58" s="6">
        <f t="shared" si="36"/>
        <v>73.569999999999993</v>
      </c>
      <c r="AB58" s="6">
        <f t="shared" si="37"/>
        <v>144.52000000000001</v>
      </c>
      <c r="AC58" s="6">
        <f t="shared" si="38"/>
        <v>139.33000000000001</v>
      </c>
    </row>
    <row r="59" spans="1:29" x14ac:dyDescent="0.25">
      <c r="A59" s="34">
        <v>41548</v>
      </c>
      <c r="B59" s="34">
        <f t="shared" si="14"/>
        <v>41608</v>
      </c>
      <c r="C59">
        <v>14279.6</v>
      </c>
      <c r="D59" s="13">
        <f t="shared" si="23"/>
        <v>-5.0000000000000001E-4</v>
      </c>
      <c r="E59">
        <v>4.29</v>
      </c>
      <c r="F59">
        <v>3.3</v>
      </c>
      <c r="G59">
        <v>4.9000000000000004</v>
      </c>
      <c r="H59" s="13">
        <f t="shared" si="24"/>
        <v>3.9E-2</v>
      </c>
      <c r="I59">
        <v>921</v>
      </c>
      <c r="J59" s="13">
        <f t="shared" si="25"/>
        <v>2.0000000000000001E-4</v>
      </c>
      <c r="K59">
        <v>5040000</v>
      </c>
      <c r="L59" s="13">
        <f t="shared" si="26"/>
        <v>-3.8999999999999998E-3</v>
      </c>
      <c r="M59">
        <v>444</v>
      </c>
      <c r="N59">
        <f t="shared" si="27"/>
        <v>417</v>
      </c>
      <c r="O59" s="13">
        <f t="shared" si="28"/>
        <v>6.1100000000000002E-2</v>
      </c>
      <c r="P59">
        <v>264300</v>
      </c>
      <c r="Q59" s="13">
        <f t="shared" si="29"/>
        <v>5.0000000000000001E-4</v>
      </c>
      <c r="R59">
        <v>158.232</v>
      </c>
      <c r="S59" s="13">
        <f t="shared" si="30"/>
        <v>8.6E-3</v>
      </c>
      <c r="T59">
        <v>54</v>
      </c>
      <c r="U59" s="13">
        <f t="shared" si="31"/>
        <v>0</v>
      </c>
      <c r="V59" s="6">
        <f t="shared" si="32"/>
        <v>2.42</v>
      </c>
      <c r="W59" s="44">
        <f t="shared" si="33"/>
        <v>782.12</v>
      </c>
      <c r="X59" s="15">
        <f t="shared" si="34"/>
        <v>5.4769999999999999E-2</v>
      </c>
      <c r="Y59" s="13">
        <f t="shared" si="22"/>
        <v>2.2162000000000002</v>
      </c>
      <c r="Z59" s="6">
        <f t="shared" si="35"/>
        <v>165.03</v>
      </c>
      <c r="AA59" s="6">
        <f t="shared" si="36"/>
        <v>77.2</v>
      </c>
      <c r="AB59" s="6">
        <f t="shared" si="37"/>
        <v>134.29</v>
      </c>
      <c r="AC59" s="6">
        <f t="shared" si="38"/>
        <v>139.43</v>
      </c>
    </row>
    <row r="60" spans="1:29" x14ac:dyDescent="0.25">
      <c r="A60" s="34">
        <v>41518</v>
      </c>
      <c r="B60" s="34">
        <f t="shared" si="14"/>
        <v>41578</v>
      </c>
      <c r="C60">
        <v>14287.2</v>
      </c>
      <c r="D60" s="13">
        <f t="shared" si="23"/>
        <v>4.1999999999999997E-3</v>
      </c>
      <c r="E60">
        <v>4.0999999999999996</v>
      </c>
      <c r="F60">
        <v>3.2</v>
      </c>
      <c r="G60">
        <v>5.5</v>
      </c>
      <c r="H60" s="13">
        <f t="shared" si="24"/>
        <v>5.1299999999999998E-2</v>
      </c>
      <c r="I60">
        <v>860</v>
      </c>
      <c r="J60" s="13">
        <f t="shared" si="25"/>
        <v>7.7999999999999996E-3</v>
      </c>
      <c r="K60">
        <v>5140000</v>
      </c>
      <c r="L60" s="13">
        <f t="shared" si="26"/>
        <v>1.9E-3</v>
      </c>
      <c r="M60">
        <v>403</v>
      </c>
      <c r="N60">
        <f t="shared" si="27"/>
        <v>416</v>
      </c>
      <c r="O60" s="13">
        <f t="shared" si="28"/>
        <v>9.4700000000000006E-2</v>
      </c>
      <c r="P60">
        <v>269800</v>
      </c>
      <c r="Q60" s="13">
        <f t="shared" si="29"/>
        <v>-7.1999999999999998E-3</v>
      </c>
      <c r="R60">
        <v>156.971</v>
      </c>
      <c r="S60" s="13">
        <f t="shared" si="30"/>
        <v>8.8000000000000005E-3</v>
      </c>
      <c r="T60">
        <v>54</v>
      </c>
      <c r="U60" s="13">
        <f t="shared" si="31"/>
        <v>-5.2600000000000001E-2</v>
      </c>
      <c r="V60" s="6">
        <f t="shared" si="32"/>
        <v>5.08</v>
      </c>
      <c r="W60" s="44">
        <f t="shared" si="33"/>
        <v>758.48</v>
      </c>
      <c r="X60" s="15">
        <f t="shared" si="34"/>
        <v>5.3089999999999998E-2</v>
      </c>
      <c r="Y60" s="13">
        <f t="shared" si="22"/>
        <v>2.1974</v>
      </c>
      <c r="Z60" s="6">
        <f t="shared" si="35"/>
        <v>172.75</v>
      </c>
      <c r="AA60" s="6">
        <f t="shared" si="36"/>
        <v>76.8</v>
      </c>
      <c r="AB60" s="6">
        <f t="shared" si="37"/>
        <v>139.16999999999999</v>
      </c>
      <c r="AC60" s="6">
        <f t="shared" si="38"/>
        <v>145.44</v>
      </c>
    </row>
    <row r="61" spans="1:29" x14ac:dyDescent="0.25">
      <c r="A61" s="34">
        <v>41487</v>
      </c>
      <c r="B61" s="34">
        <f t="shared" si="14"/>
        <v>41547</v>
      </c>
      <c r="C61">
        <v>14227.8</v>
      </c>
      <c r="D61" s="13">
        <f t="shared" si="23"/>
        <v>3.3E-3</v>
      </c>
      <c r="E61">
        <v>4.32</v>
      </c>
      <c r="F61">
        <v>3.37</v>
      </c>
      <c r="G61">
        <v>5.5</v>
      </c>
      <c r="H61" s="13">
        <f t="shared" si="24"/>
        <v>6.5600000000000006E-2</v>
      </c>
      <c r="I61">
        <v>898</v>
      </c>
      <c r="J61" s="13">
        <f t="shared" si="25"/>
        <v>-2.2499999999999999E-2</v>
      </c>
      <c r="K61">
        <v>5260000</v>
      </c>
      <c r="L61" s="13">
        <f t="shared" si="26"/>
        <v>7.4000000000000003E-3</v>
      </c>
      <c r="M61">
        <v>381</v>
      </c>
      <c r="N61">
        <f t="shared" si="27"/>
        <v>423</v>
      </c>
      <c r="O61" s="13">
        <f t="shared" si="28"/>
        <v>0.13400000000000001</v>
      </c>
      <c r="P61">
        <v>255300</v>
      </c>
      <c r="Q61" s="13">
        <f t="shared" si="29"/>
        <v>-1.6999999999999999E-3</v>
      </c>
      <c r="R61">
        <v>155.55600000000001</v>
      </c>
      <c r="S61" s="13">
        <f t="shared" si="30"/>
        <v>9.1000000000000004E-3</v>
      </c>
      <c r="T61">
        <v>57</v>
      </c>
      <c r="U61" s="13">
        <f t="shared" si="31"/>
        <v>-1.72E-2</v>
      </c>
      <c r="V61" s="6">
        <f t="shared" si="32"/>
        <v>6.5</v>
      </c>
      <c r="W61" s="44">
        <f t="shared" si="33"/>
        <v>771.63</v>
      </c>
      <c r="X61" s="15">
        <f t="shared" si="34"/>
        <v>5.423E-2</v>
      </c>
      <c r="Y61" s="13">
        <f t="shared" si="22"/>
        <v>2.1865999999999999</v>
      </c>
      <c r="Z61" s="6">
        <f t="shared" si="35"/>
        <v>181.87</v>
      </c>
      <c r="AA61" s="6">
        <f t="shared" si="36"/>
        <v>76.02</v>
      </c>
      <c r="AB61" s="6">
        <f t="shared" si="37"/>
        <v>144.82</v>
      </c>
      <c r="AC61" s="6">
        <f t="shared" si="38"/>
        <v>148.38</v>
      </c>
    </row>
    <row r="62" spans="1:29" x14ac:dyDescent="0.25">
      <c r="A62" s="34">
        <v>41456</v>
      </c>
      <c r="B62" s="34">
        <f t="shared" si="14"/>
        <v>41517</v>
      </c>
      <c r="C62">
        <v>14181</v>
      </c>
      <c r="D62" s="13">
        <f t="shared" si="23"/>
        <v>-8.9999999999999998E-4</v>
      </c>
      <c r="E62">
        <v>4.51</v>
      </c>
      <c r="F62">
        <v>3.54</v>
      </c>
      <c r="G62">
        <v>5.4</v>
      </c>
      <c r="H62" s="13">
        <f t="shared" si="24"/>
        <v>7.6499999999999999E-2</v>
      </c>
      <c r="I62">
        <v>891</v>
      </c>
      <c r="J62" s="13">
        <f t="shared" si="25"/>
        <v>-1.7299999999999999E-2</v>
      </c>
      <c r="K62">
        <v>5270000</v>
      </c>
      <c r="L62" s="13">
        <f t="shared" si="26"/>
        <v>8.2000000000000007E-3</v>
      </c>
      <c r="M62">
        <v>375</v>
      </c>
      <c r="N62">
        <f t="shared" si="27"/>
        <v>434</v>
      </c>
      <c r="O62" s="13">
        <f t="shared" si="28"/>
        <v>0.17299999999999999</v>
      </c>
      <c r="P62">
        <v>262200</v>
      </c>
      <c r="Q62" s="13">
        <f t="shared" si="29"/>
        <v>-2.2000000000000001E-3</v>
      </c>
      <c r="R62">
        <v>154.19</v>
      </c>
      <c r="S62" s="13">
        <f t="shared" si="30"/>
        <v>1.06E-2</v>
      </c>
      <c r="T62">
        <v>58</v>
      </c>
      <c r="U62" s="13">
        <f t="shared" si="31"/>
        <v>3.5700000000000003E-2</v>
      </c>
      <c r="V62" s="6">
        <f t="shared" si="32"/>
        <v>5.25</v>
      </c>
      <c r="W62" s="44">
        <f t="shared" si="33"/>
        <v>782.17</v>
      </c>
      <c r="X62" s="15">
        <f t="shared" si="34"/>
        <v>5.5160000000000001E-2</v>
      </c>
      <c r="Y62" s="13">
        <f t="shared" si="22"/>
        <v>2.1745999999999999</v>
      </c>
      <c r="Z62" s="6">
        <f t="shared" si="35"/>
        <v>190.85</v>
      </c>
      <c r="AA62" s="6">
        <f t="shared" si="36"/>
        <v>80.8</v>
      </c>
      <c r="AB62" s="6">
        <f t="shared" si="37"/>
        <v>152.33000000000001</v>
      </c>
      <c r="AC62" s="6">
        <f t="shared" si="38"/>
        <v>149.61000000000001</v>
      </c>
    </row>
    <row r="63" spans="1:29" x14ac:dyDescent="0.25">
      <c r="A63" s="34">
        <v>41426</v>
      </c>
      <c r="B63" s="34">
        <f t="shared" si="14"/>
        <v>41486</v>
      </c>
      <c r="C63">
        <v>14193.1</v>
      </c>
      <c r="D63" s="13">
        <f t="shared" si="23"/>
        <v>3.0000000000000001E-3</v>
      </c>
      <c r="E63">
        <v>4.3099999999999996</v>
      </c>
      <c r="F63">
        <v>3.39</v>
      </c>
      <c r="G63">
        <v>4.0999999999999996</v>
      </c>
      <c r="H63" s="13">
        <f t="shared" si="24"/>
        <v>-5.7999999999999996E-3</v>
      </c>
      <c r="I63">
        <v>852</v>
      </c>
      <c r="J63" s="13">
        <f t="shared" si="25"/>
        <v>-7.7999999999999996E-3</v>
      </c>
      <c r="K63">
        <v>5110000</v>
      </c>
      <c r="L63" s="13">
        <f t="shared" si="26"/>
        <v>5.1000000000000004E-3</v>
      </c>
      <c r="M63">
        <v>470</v>
      </c>
      <c r="N63">
        <f t="shared" si="27"/>
        <v>446</v>
      </c>
      <c r="O63" s="13">
        <f t="shared" si="28"/>
        <v>0.2087</v>
      </c>
      <c r="P63">
        <v>259800</v>
      </c>
      <c r="Q63" s="13">
        <f t="shared" si="29"/>
        <v>6.3E-3</v>
      </c>
      <c r="R63">
        <v>152.88299999999899</v>
      </c>
      <c r="S63" s="13">
        <f t="shared" si="30"/>
        <v>1.01E-2</v>
      </c>
      <c r="T63">
        <v>56</v>
      </c>
      <c r="U63" s="13">
        <f t="shared" si="31"/>
        <v>9.8000000000000004E-2</v>
      </c>
      <c r="V63" s="6">
        <f t="shared" si="32"/>
        <v>2.5</v>
      </c>
      <c r="W63" s="44">
        <f t="shared" si="33"/>
        <v>757.47</v>
      </c>
      <c r="X63" s="15">
        <f t="shared" si="34"/>
        <v>5.3370000000000001E-2</v>
      </c>
      <c r="Y63" s="13">
        <f t="shared" si="22"/>
        <v>2.1543000000000001</v>
      </c>
      <c r="Z63" s="6">
        <f t="shared" si="35"/>
        <v>183.78</v>
      </c>
      <c r="AA63" s="6">
        <f t="shared" si="36"/>
        <v>81.55</v>
      </c>
      <c r="AB63" s="6">
        <f t="shared" si="37"/>
        <v>148</v>
      </c>
      <c r="AC63" s="6">
        <f t="shared" si="38"/>
        <v>147.06</v>
      </c>
    </row>
    <row r="64" spans="1:29" x14ac:dyDescent="0.25">
      <c r="A64" s="34">
        <v>41395</v>
      </c>
      <c r="B64" s="34">
        <f t="shared" si="14"/>
        <v>41455</v>
      </c>
      <c r="C64">
        <v>14150.7</v>
      </c>
      <c r="D64" s="13">
        <f t="shared" si="23"/>
        <v>6.4000000000000003E-3</v>
      </c>
      <c r="E64">
        <v>4.46</v>
      </c>
      <c r="F64">
        <v>3.5</v>
      </c>
      <c r="G64">
        <v>4.5</v>
      </c>
      <c r="H64" s="13">
        <f t="shared" si="24"/>
        <v>3.0099999999999998E-2</v>
      </c>
      <c r="I64">
        <v>920</v>
      </c>
      <c r="J64" s="13">
        <f t="shared" si="25"/>
        <v>-1.2E-2</v>
      </c>
      <c r="K64">
        <v>5140000</v>
      </c>
      <c r="L64" s="13">
        <f t="shared" si="26"/>
        <v>9.5999999999999992E-3</v>
      </c>
      <c r="M64">
        <v>428</v>
      </c>
      <c r="N64">
        <f t="shared" si="27"/>
        <v>434</v>
      </c>
      <c r="O64" s="13">
        <f t="shared" si="28"/>
        <v>0.1923</v>
      </c>
      <c r="P64">
        <v>263700</v>
      </c>
      <c r="Q64" s="13">
        <f t="shared" si="29"/>
        <v>4.1000000000000003E-3</v>
      </c>
      <c r="R64">
        <v>151.559</v>
      </c>
      <c r="S64" s="13">
        <f t="shared" si="30"/>
        <v>1.0200000000000001E-2</v>
      </c>
      <c r="T64">
        <v>51</v>
      </c>
      <c r="U64" s="13">
        <f t="shared" si="31"/>
        <v>0.15909999999999999</v>
      </c>
      <c r="V64" s="6">
        <f t="shared" si="32"/>
        <v>0.17</v>
      </c>
      <c r="W64" s="44">
        <f t="shared" si="33"/>
        <v>764.33</v>
      </c>
      <c r="X64" s="15">
        <f t="shared" si="34"/>
        <v>5.4010000000000002E-2</v>
      </c>
      <c r="Y64" s="13">
        <f t="shared" si="22"/>
        <v>2.1421000000000001</v>
      </c>
      <c r="Z64" s="6">
        <f t="shared" si="35"/>
        <v>179.31</v>
      </c>
      <c r="AA64" s="6">
        <f t="shared" si="36"/>
        <v>91.25</v>
      </c>
      <c r="AB64" s="6">
        <f t="shared" si="37"/>
        <v>148.49</v>
      </c>
      <c r="AC64" s="6">
        <f t="shared" si="38"/>
        <v>145.47999999999999</v>
      </c>
    </row>
    <row r="65" spans="1:29" x14ac:dyDescent="0.25">
      <c r="A65" s="34">
        <v>41365</v>
      </c>
      <c r="B65" s="34">
        <f t="shared" si="14"/>
        <v>41425</v>
      </c>
      <c r="C65">
        <v>14061.1</v>
      </c>
      <c r="D65" s="13">
        <f t="shared" si="23"/>
        <v>3.8999999999999998E-3</v>
      </c>
      <c r="E65">
        <v>3.81</v>
      </c>
      <c r="F65">
        <v>2.98</v>
      </c>
      <c r="G65">
        <v>4.3</v>
      </c>
      <c r="H65" s="13">
        <f t="shared" si="24"/>
        <v>-1.1900000000000001E-2</v>
      </c>
      <c r="I65">
        <v>826</v>
      </c>
      <c r="J65" s="13">
        <f t="shared" si="25"/>
        <v>-1.5E-3</v>
      </c>
      <c r="K65">
        <v>5090000</v>
      </c>
      <c r="L65" s="13">
        <f t="shared" si="26"/>
        <v>5.1999999999999998E-3</v>
      </c>
      <c r="M65">
        <v>441</v>
      </c>
      <c r="N65">
        <f t="shared" si="27"/>
        <v>428</v>
      </c>
      <c r="O65" s="13">
        <f t="shared" si="28"/>
        <v>0.18229999999999999</v>
      </c>
      <c r="P65">
        <v>279300</v>
      </c>
      <c r="Q65" s="13">
        <f t="shared" si="29"/>
        <v>2.69E-2</v>
      </c>
      <c r="R65">
        <v>150.006</v>
      </c>
      <c r="S65" s="13">
        <f t="shared" si="30"/>
        <v>9.2999999999999992E-3</v>
      </c>
      <c r="T65">
        <v>44</v>
      </c>
      <c r="U65" s="13">
        <f t="shared" si="31"/>
        <v>7.3200000000000001E-2</v>
      </c>
      <c r="V65" s="6">
        <f t="shared" si="32"/>
        <v>-1.25</v>
      </c>
      <c r="W65" s="44">
        <f t="shared" si="33"/>
        <v>699.82</v>
      </c>
      <c r="X65" s="15">
        <f t="shared" si="34"/>
        <v>4.9770000000000002E-2</v>
      </c>
      <c r="Y65" s="13">
        <f t="shared" si="22"/>
        <v>2.1335999999999999</v>
      </c>
      <c r="Z65" s="6">
        <f t="shared" si="35"/>
        <v>169.84</v>
      </c>
      <c r="AA65" s="6">
        <f t="shared" si="36"/>
        <v>98.02</v>
      </c>
      <c r="AB65" s="6">
        <f t="shared" si="37"/>
        <v>144.69999999999999</v>
      </c>
      <c r="AC65" s="6">
        <f t="shared" si="38"/>
        <v>145.13999999999999</v>
      </c>
    </row>
    <row r="66" spans="1:29" x14ac:dyDescent="0.25">
      <c r="A66" s="34">
        <v>41334</v>
      </c>
      <c r="B66" s="34">
        <f t="shared" si="14"/>
        <v>41394</v>
      </c>
      <c r="C66">
        <v>14006.2</v>
      </c>
      <c r="D66" s="13">
        <f t="shared" si="23"/>
        <v>8.9999999999999998E-4</v>
      </c>
      <c r="E66">
        <v>3.4</v>
      </c>
      <c r="F66">
        <v>2.61</v>
      </c>
      <c r="G66">
        <v>4.0999999999999996</v>
      </c>
      <c r="H66" s="13">
        <f t="shared" si="24"/>
        <v>-2.8899999999999999E-2</v>
      </c>
      <c r="I66">
        <v>999</v>
      </c>
      <c r="J66" s="13">
        <f t="shared" si="25"/>
        <v>1.83E-2</v>
      </c>
      <c r="K66">
        <v>5070000</v>
      </c>
      <c r="L66" s="13">
        <f t="shared" si="26"/>
        <v>9.7000000000000003E-3</v>
      </c>
      <c r="M66">
        <v>444</v>
      </c>
      <c r="N66">
        <f t="shared" si="27"/>
        <v>414</v>
      </c>
      <c r="O66" s="13">
        <f t="shared" si="28"/>
        <v>0.15970000000000001</v>
      </c>
      <c r="P66">
        <v>257500</v>
      </c>
      <c r="Q66" s="13">
        <f t="shared" si="29"/>
        <v>8.0999999999999996E-3</v>
      </c>
      <c r="R66">
        <v>147.827</v>
      </c>
      <c r="S66" s="13">
        <f t="shared" si="30"/>
        <v>7.3000000000000001E-3</v>
      </c>
      <c r="T66">
        <v>41</v>
      </c>
      <c r="U66" s="13">
        <f t="shared" si="31"/>
        <v>-6.8199999999999997E-2</v>
      </c>
      <c r="V66" s="6">
        <f t="shared" si="32"/>
        <v>-0.5</v>
      </c>
      <c r="W66" s="44">
        <f t="shared" si="33"/>
        <v>655.59</v>
      </c>
      <c r="X66" s="15">
        <f t="shared" si="34"/>
        <v>4.6809999999999997E-2</v>
      </c>
      <c r="Y66" s="13">
        <f t="shared" si="22"/>
        <v>2.1109</v>
      </c>
      <c r="Z66" s="6">
        <f t="shared" si="35"/>
        <v>167.17</v>
      </c>
      <c r="AA66" s="6">
        <f t="shared" si="36"/>
        <v>98.83</v>
      </c>
      <c r="AB66" s="6">
        <f t="shared" si="37"/>
        <v>143.25</v>
      </c>
      <c r="AC66" s="6">
        <f t="shared" si="38"/>
        <v>145.4</v>
      </c>
    </row>
    <row r="67" spans="1:29" x14ac:dyDescent="0.25">
      <c r="A67" s="34">
        <v>41306</v>
      </c>
      <c r="B67" s="34">
        <f t="shared" si="14"/>
        <v>41364</v>
      </c>
      <c r="C67">
        <v>13994.1</v>
      </c>
      <c r="D67" s="13">
        <f t="shared" si="23"/>
        <v>-6.9999999999999999E-4</v>
      </c>
      <c r="E67">
        <v>3.57</v>
      </c>
      <c r="F67">
        <v>2.76</v>
      </c>
      <c r="G67">
        <v>4.2</v>
      </c>
      <c r="H67" s="13">
        <f t="shared" si="24"/>
        <v>-3.8899999999999997E-2</v>
      </c>
      <c r="I67">
        <v>970</v>
      </c>
      <c r="J67" s="13">
        <f t="shared" si="25"/>
        <v>2.76E-2</v>
      </c>
      <c r="K67">
        <v>5060000</v>
      </c>
      <c r="L67" s="13">
        <f t="shared" si="26"/>
        <v>1.15E-2</v>
      </c>
      <c r="M67">
        <v>447</v>
      </c>
      <c r="N67">
        <f t="shared" si="27"/>
        <v>405</v>
      </c>
      <c r="O67" s="13">
        <f t="shared" si="28"/>
        <v>0.14729999999999999</v>
      </c>
      <c r="P67">
        <v>265100</v>
      </c>
      <c r="Q67" s="13">
        <f t="shared" si="29"/>
        <v>8.3999999999999995E-3</v>
      </c>
      <c r="R67">
        <v>146.86099999999999</v>
      </c>
      <c r="S67" s="13">
        <f t="shared" si="30"/>
        <v>6.7999999999999996E-3</v>
      </c>
      <c r="T67">
        <v>44</v>
      </c>
      <c r="U67" s="13">
        <f t="shared" si="31"/>
        <v>-4.3499999999999997E-2</v>
      </c>
      <c r="V67" s="6">
        <f t="shared" si="32"/>
        <v>1.67</v>
      </c>
      <c r="W67" s="44">
        <f t="shared" si="33"/>
        <v>665.22</v>
      </c>
      <c r="X67" s="15">
        <f t="shared" si="34"/>
        <v>4.7539999999999999E-2</v>
      </c>
      <c r="Y67" s="13">
        <f t="shared" si="22"/>
        <v>2.0989</v>
      </c>
      <c r="Z67" s="6">
        <f t="shared" si="35"/>
        <v>172.15</v>
      </c>
      <c r="AA67" s="6">
        <f t="shared" si="36"/>
        <v>101.67</v>
      </c>
      <c r="AB67" s="6">
        <f t="shared" si="37"/>
        <v>147.47999999999999</v>
      </c>
      <c r="AC67" s="6">
        <f t="shared" si="38"/>
        <v>152.07</v>
      </c>
    </row>
    <row r="68" spans="1:29" x14ac:dyDescent="0.25">
      <c r="A68" s="34">
        <v>41275</v>
      </c>
      <c r="B68" s="34">
        <f t="shared" si="14"/>
        <v>41333</v>
      </c>
      <c r="C68">
        <v>14003.4</v>
      </c>
      <c r="D68" s="13">
        <f t="shared" si="23"/>
        <v>-4.7500000000000001E-2</v>
      </c>
      <c r="E68">
        <v>3.51</v>
      </c>
      <c r="F68">
        <v>2.76</v>
      </c>
      <c r="G68">
        <v>4</v>
      </c>
      <c r="H68" s="13">
        <f t="shared" si="24"/>
        <v>-2.7E-2</v>
      </c>
      <c r="I68">
        <v>888</v>
      </c>
      <c r="J68" s="13">
        <f t="shared" si="25"/>
        <v>3.1E-2</v>
      </c>
      <c r="K68">
        <v>4980000</v>
      </c>
      <c r="L68" s="13">
        <f t="shared" si="26"/>
        <v>5.7999999999999996E-3</v>
      </c>
      <c r="M68">
        <v>446</v>
      </c>
      <c r="N68">
        <f t="shared" si="27"/>
        <v>393</v>
      </c>
      <c r="O68" s="13">
        <f t="shared" si="28"/>
        <v>0.1358</v>
      </c>
      <c r="P68">
        <v>251500</v>
      </c>
      <c r="Q68" s="13">
        <f t="shared" si="29"/>
        <v>-1.4E-3</v>
      </c>
      <c r="R68">
        <v>145.51900000000001</v>
      </c>
      <c r="S68" s="13">
        <f t="shared" si="30"/>
        <v>5.5999999999999999E-3</v>
      </c>
      <c r="T68">
        <v>46</v>
      </c>
      <c r="U68" s="13">
        <f t="shared" si="31"/>
        <v>-2.1299999999999999E-2</v>
      </c>
      <c r="V68" s="6">
        <f t="shared" si="32"/>
        <v>3.42</v>
      </c>
      <c r="W68" s="44">
        <f t="shared" si="33"/>
        <v>654.26</v>
      </c>
      <c r="X68" s="15">
        <f t="shared" si="34"/>
        <v>4.6719999999999998E-2</v>
      </c>
      <c r="Y68" s="13">
        <f t="shared" si="22"/>
        <v>2.0783</v>
      </c>
      <c r="Z68" s="6">
        <f t="shared" si="35"/>
        <v>165.35</v>
      </c>
      <c r="AA68" s="6">
        <f t="shared" si="36"/>
        <v>108.51</v>
      </c>
      <c r="AB68" s="6">
        <f t="shared" si="37"/>
        <v>145.46</v>
      </c>
      <c r="AC68" s="6">
        <f t="shared" si="38"/>
        <v>155.71</v>
      </c>
    </row>
    <row r="69" spans="1:29" x14ac:dyDescent="0.25">
      <c r="A69" s="34">
        <v>41244</v>
      </c>
      <c r="B69" s="34">
        <f t="shared" si="14"/>
        <v>41305</v>
      </c>
      <c r="C69">
        <v>14701.1</v>
      </c>
      <c r="D69" s="13">
        <f t="shared" si="23"/>
        <v>2.5499999999999998E-2</v>
      </c>
      <c r="E69">
        <v>3.53</v>
      </c>
      <c r="F69">
        <v>2.81</v>
      </c>
      <c r="G69">
        <v>4.5</v>
      </c>
      <c r="H69" s="13">
        <f t="shared" si="24"/>
        <v>-5.4000000000000003E-3</v>
      </c>
      <c r="I69">
        <v>976</v>
      </c>
      <c r="J69" s="13">
        <f t="shared" si="25"/>
        <v>5.7700000000000001E-2</v>
      </c>
      <c r="K69">
        <v>4900000</v>
      </c>
      <c r="L69" s="13">
        <f t="shared" si="26"/>
        <v>1.2500000000000001E-2</v>
      </c>
      <c r="M69">
        <v>399</v>
      </c>
      <c r="N69">
        <f t="shared" si="27"/>
        <v>380</v>
      </c>
      <c r="O69" s="13">
        <f t="shared" si="28"/>
        <v>0.1176</v>
      </c>
      <c r="P69">
        <v>258300</v>
      </c>
      <c r="Q69" s="13">
        <f t="shared" si="29"/>
        <v>1.6899999999999998E-2</v>
      </c>
      <c r="R69">
        <v>144.596</v>
      </c>
      <c r="S69" s="13">
        <f t="shared" si="30"/>
        <v>5.1999999999999998E-3</v>
      </c>
      <c r="T69">
        <v>47</v>
      </c>
      <c r="U69" s="13">
        <f t="shared" si="31"/>
        <v>0</v>
      </c>
      <c r="V69" s="6">
        <f t="shared" si="32"/>
        <v>4.17</v>
      </c>
      <c r="W69" s="44">
        <f t="shared" si="33"/>
        <v>651.72</v>
      </c>
      <c r="X69" s="15">
        <f t="shared" si="34"/>
        <v>4.4330000000000001E-2</v>
      </c>
      <c r="Y69" s="13">
        <f t="shared" si="22"/>
        <v>1.9671000000000001</v>
      </c>
      <c r="Z69" s="6">
        <f t="shared" si="35"/>
        <v>186.58</v>
      </c>
      <c r="AA69" s="6">
        <f t="shared" si="36"/>
        <v>119.99</v>
      </c>
      <c r="AB69" s="6">
        <f t="shared" si="37"/>
        <v>163.27000000000001</v>
      </c>
      <c r="AC69" s="6">
        <f t="shared" si="38"/>
        <v>159.56</v>
      </c>
    </row>
    <row r="70" spans="1:29" x14ac:dyDescent="0.25">
      <c r="A70" s="34">
        <v>41214</v>
      </c>
      <c r="B70" s="34">
        <f t="shared" ref="B70:B133" si="39">EOMONTH(A70+40,0)</f>
        <v>41274</v>
      </c>
      <c r="C70">
        <v>14335.4</v>
      </c>
      <c r="D70" s="13">
        <f t="shared" ref="D70:D133" si="40">ROUND((C70-C71)/C71,4)</f>
        <v>1.37E-2</v>
      </c>
      <c r="E70">
        <v>3.35</v>
      </c>
      <c r="F70">
        <v>2.65</v>
      </c>
      <c r="G70">
        <v>4.5999999999999996</v>
      </c>
      <c r="H70" s="13">
        <f t="shared" ref="H70:H133" si="41">ROUND((AVERAGE(G70:G73)-AVERAGE(G71:G74))/AVERAGE(G71:G74),4)</f>
        <v>0</v>
      </c>
      <c r="I70">
        <v>833</v>
      </c>
      <c r="J70" s="13">
        <f t="shared" ref="J70:J133" si="42">ROUND((AVERAGE(I70:I74)-AVERAGE(I71:I75))/AVERAGE(I71:I75),4)</f>
        <v>1.89E-2</v>
      </c>
      <c r="K70">
        <v>4960000</v>
      </c>
      <c r="L70" s="13">
        <f t="shared" ref="L70:L133" si="43">ROUND((AVERAGE(K70:K74)-AVERAGE(K71:K75))/AVERAGE(K71:K75),4)</f>
        <v>4.48E-2</v>
      </c>
      <c r="M70">
        <v>392</v>
      </c>
      <c r="N70">
        <f t="shared" ref="N70:N133" si="44">ROUND(AVERAGE(M70:M75),0)</f>
        <v>373</v>
      </c>
      <c r="O70" s="13">
        <f t="shared" ref="O70:O133" si="45">ROUND((N70/N79)-1,4)</f>
        <v>0.1235</v>
      </c>
      <c r="P70">
        <v>245000</v>
      </c>
      <c r="Q70" s="13">
        <f t="shared" ref="Q70:Q133" si="46">ROUND((AVERAGE(P70:P74)-AVERAGE(P71:P75))/AVERAGE(P71:P75),4)</f>
        <v>1.01E-2</v>
      </c>
      <c r="R70">
        <v>143.60900000000001</v>
      </c>
      <c r="S70" s="13">
        <f t="shared" ref="S70:S133" si="47">ROUND((AVERAGE(R70:R73)-AVERAGE(R71:R74))/AVERAGE(R71:R74),4)</f>
        <v>4.4999999999999997E-3</v>
      </c>
      <c r="T70">
        <v>47</v>
      </c>
      <c r="U70" s="13">
        <f t="shared" ref="U70:U133" si="48">ROUND((T70-T71)/T71,4)</f>
        <v>4.4400000000000002E-2</v>
      </c>
      <c r="V70" s="6">
        <f t="shared" ref="V70:V133" si="49">ROUND(AVERAGE(T70:T73)-AVERAGE(T71:T76),2)</f>
        <v>5.42</v>
      </c>
      <c r="W70" s="44">
        <f t="shared" ref="W70:W133" si="50">ROUND(PMT((E70*0.01)/12,360,R70*1000)*-1,2)</f>
        <v>632.9</v>
      </c>
      <c r="X70" s="15">
        <f t="shared" ref="X70:X133" si="51">ROUND(W70/C70,5)</f>
        <v>4.4150000000000002E-2</v>
      </c>
      <c r="Y70" s="13">
        <f t="shared" ref="Y70:Y133" si="52">ROUND(((R70*1000)*0.2)/C70,4)</f>
        <v>2.0036</v>
      </c>
      <c r="Z70" s="6">
        <f t="shared" ref="Z70:Z133" si="53">ROUND((T70)+(V70*1.45)+(S70*2000)+(Q70*400)-(G70*2)+(H70*100)+(L70*400)+(I70/25)+(J70*300)+(K70/100000)+(N70/100)+(O70*100),2)</f>
        <v>181.29</v>
      </c>
      <c r="AA70" s="6">
        <f t="shared" ref="AA70:AA133" si="54">ROUND(((2.5-Y70)*100)+(((0.0775-X71)*100)*20),2)</f>
        <v>115.9</v>
      </c>
      <c r="AB70" s="6">
        <f t="shared" ref="AB70:AB133" si="55">ROUND((Z70*0.65)+(AA70*0.35),2)</f>
        <v>158.4</v>
      </c>
      <c r="AC70" s="6">
        <f t="shared" ref="AC70:AC133" si="56">IF(ROUND(AVERAGE(AB70:AB72),2)&lt;0,0,ROUND(AVERAGE(AB70:AB72),2))</f>
        <v>155.32</v>
      </c>
    </row>
    <row r="71" spans="1:29" x14ac:dyDescent="0.25">
      <c r="A71" s="34">
        <v>41183</v>
      </c>
      <c r="B71" s="34">
        <f t="shared" si="39"/>
        <v>41243</v>
      </c>
      <c r="C71">
        <v>14141.4</v>
      </c>
      <c r="D71" s="13">
        <f t="shared" si="40"/>
        <v>1.03E-2</v>
      </c>
      <c r="E71">
        <v>3.32</v>
      </c>
      <c r="F71">
        <v>2.64</v>
      </c>
      <c r="G71">
        <v>4.9000000000000004</v>
      </c>
      <c r="H71" s="13">
        <f t="shared" si="41"/>
        <v>5.4000000000000003E-3</v>
      </c>
      <c r="I71">
        <v>915</v>
      </c>
      <c r="J71" s="13">
        <f t="shared" si="42"/>
        <v>5.4399999999999997E-2</v>
      </c>
      <c r="K71">
        <v>4830000</v>
      </c>
      <c r="L71" s="13">
        <f t="shared" si="43"/>
        <v>1.06E-2</v>
      </c>
      <c r="M71">
        <v>358</v>
      </c>
      <c r="N71">
        <f t="shared" si="44"/>
        <v>370</v>
      </c>
      <c r="O71" s="13">
        <f t="shared" si="45"/>
        <v>0.15260000000000001</v>
      </c>
      <c r="P71">
        <v>247200</v>
      </c>
      <c r="Q71" s="13">
        <f t="shared" si="46"/>
        <v>6.6E-3</v>
      </c>
      <c r="R71">
        <v>142.91399999999999</v>
      </c>
      <c r="S71" s="13">
        <f t="shared" si="47"/>
        <v>4.8999999999999998E-3</v>
      </c>
      <c r="T71">
        <v>45</v>
      </c>
      <c r="U71" s="13">
        <f t="shared" si="48"/>
        <v>9.7600000000000006E-2</v>
      </c>
      <c r="V71" s="6">
        <f t="shared" si="49"/>
        <v>5.75</v>
      </c>
      <c r="W71" s="44">
        <f t="shared" si="50"/>
        <v>627.47</v>
      </c>
      <c r="X71" s="15">
        <f t="shared" si="51"/>
        <v>4.437E-2</v>
      </c>
      <c r="Y71" s="13">
        <f t="shared" si="52"/>
        <v>2.0211999999999999</v>
      </c>
      <c r="Z71" s="6">
        <f t="shared" si="53"/>
        <v>180.94</v>
      </c>
      <c r="AA71" s="6">
        <f t="shared" si="54"/>
        <v>112.6</v>
      </c>
      <c r="AB71" s="6">
        <f t="shared" si="55"/>
        <v>157.02000000000001</v>
      </c>
      <c r="AC71" s="6">
        <f t="shared" si="56"/>
        <v>151.37</v>
      </c>
    </row>
    <row r="72" spans="1:29" x14ac:dyDescent="0.25">
      <c r="A72" s="34">
        <v>41153</v>
      </c>
      <c r="B72" s="34">
        <f t="shared" si="39"/>
        <v>41213</v>
      </c>
      <c r="C72">
        <v>13996.6</v>
      </c>
      <c r="D72" s="13">
        <f t="shared" si="40"/>
        <v>8.6E-3</v>
      </c>
      <c r="E72">
        <v>3.41</v>
      </c>
      <c r="F72">
        <v>2.72</v>
      </c>
      <c r="G72">
        <v>4.5</v>
      </c>
      <c r="H72" s="13">
        <f t="shared" si="41"/>
        <v>-1.0699999999999999E-2</v>
      </c>
      <c r="I72">
        <v>847</v>
      </c>
      <c r="J72" s="13">
        <f t="shared" si="42"/>
        <v>2.53E-2</v>
      </c>
      <c r="K72">
        <v>4780000</v>
      </c>
      <c r="L72" s="13">
        <f t="shared" si="43"/>
        <v>1.11E-2</v>
      </c>
      <c r="M72">
        <v>385</v>
      </c>
      <c r="N72">
        <f t="shared" si="44"/>
        <v>369</v>
      </c>
      <c r="O72" s="13">
        <f t="shared" si="45"/>
        <v>0.17519999999999999</v>
      </c>
      <c r="P72">
        <v>254600</v>
      </c>
      <c r="Q72" s="13">
        <f t="shared" si="46"/>
        <v>1.52E-2</v>
      </c>
      <c r="R72">
        <v>142.28100000000001</v>
      </c>
      <c r="S72" s="13">
        <f t="shared" si="47"/>
        <v>5.4999999999999997E-3</v>
      </c>
      <c r="T72">
        <v>41</v>
      </c>
      <c r="U72" s="13">
        <f t="shared" si="48"/>
        <v>2.5000000000000001E-2</v>
      </c>
      <c r="V72" s="6">
        <f t="shared" si="49"/>
        <v>6.08</v>
      </c>
      <c r="W72" s="44">
        <f t="shared" si="50"/>
        <v>631.78</v>
      </c>
      <c r="X72" s="15">
        <f t="shared" si="51"/>
        <v>4.514E-2</v>
      </c>
      <c r="Y72" s="13">
        <f t="shared" si="52"/>
        <v>2.0331000000000001</v>
      </c>
      <c r="Z72" s="6">
        <f t="shared" si="53"/>
        <v>171.75</v>
      </c>
      <c r="AA72" s="6">
        <f t="shared" si="54"/>
        <v>111.15</v>
      </c>
      <c r="AB72" s="6">
        <f t="shared" si="55"/>
        <v>150.54</v>
      </c>
      <c r="AC72" s="6">
        <f t="shared" si="56"/>
        <v>144.44999999999999</v>
      </c>
    </row>
    <row r="73" spans="1:29" x14ac:dyDescent="0.25">
      <c r="A73" s="34">
        <v>41122</v>
      </c>
      <c r="B73" s="34">
        <f t="shared" si="39"/>
        <v>41182</v>
      </c>
      <c r="C73">
        <v>13877</v>
      </c>
      <c r="D73" s="13">
        <f t="shared" si="40"/>
        <v>2.9999999999999997E-4</v>
      </c>
      <c r="E73">
        <v>3.4</v>
      </c>
      <c r="F73">
        <v>2.73</v>
      </c>
      <c r="G73">
        <v>4.5999999999999996</v>
      </c>
      <c r="H73" s="13">
        <f t="shared" si="41"/>
        <v>-1.5800000000000002E-2</v>
      </c>
      <c r="I73">
        <v>754</v>
      </c>
      <c r="J73" s="13">
        <f t="shared" si="42"/>
        <v>1.6199999999999999E-2</v>
      </c>
      <c r="K73">
        <v>4840000</v>
      </c>
      <c r="L73" s="13">
        <f t="shared" si="43"/>
        <v>1.72E-2</v>
      </c>
      <c r="M73">
        <v>375</v>
      </c>
      <c r="N73">
        <f t="shared" si="44"/>
        <v>364</v>
      </c>
      <c r="O73" s="13">
        <f t="shared" si="45"/>
        <v>0.1857</v>
      </c>
      <c r="P73">
        <v>253200</v>
      </c>
      <c r="Q73" s="13">
        <f t="shared" si="46"/>
        <v>1.1299999999999999E-2</v>
      </c>
      <c r="R73">
        <v>141.65600000000001</v>
      </c>
      <c r="S73" s="13">
        <f t="shared" si="47"/>
        <v>6.7000000000000002E-3</v>
      </c>
      <c r="T73">
        <v>40</v>
      </c>
      <c r="U73" s="13">
        <f t="shared" si="48"/>
        <v>8.1100000000000005E-2</v>
      </c>
      <c r="V73" s="6">
        <f t="shared" si="49"/>
        <v>5.08</v>
      </c>
      <c r="W73" s="44">
        <f t="shared" si="50"/>
        <v>628.22</v>
      </c>
      <c r="X73" s="15">
        <f t="shared" si="51"/>
        <v>4.5269999999999998E-2</v>
      </c>
      <c r="Y73" s="13">
        <f t="shared" si="52"/>
        <v>2.0415999999999999</v>
      </c>
      <c r="Z73" s="6">
        <f t="shared" si="53"/>
        <v>167.02</v>
      </c>
      <c r="AA73" s="6">
        <f t="shared" si="54"/>
        <v>108.52</v>
      </c>
      <c r="AB73" s="6">
        <f t="shared" si="55"/>
        <v>146.55000000000001</v>
      </c>
      <c r="AC73" s="6">
        <f t="shared" si="56"/>
        <v>135.26</v>
      </c>
    </row>
    <row r="74" spans="1:29" x14ac:dyDescent="0.25">
      <c r="A74" s="34">
        <v>41091</v>
      </c>
      <c r="B74" s="34">
        <f t="shared" si="39"/>
        <v>41152</v>
      </c>
      <c r="C74">
        <v>13872.7</v>
      </c>
      <c r="D74" s="13">
        <f t="shared" si="40"/>
        <v>-5.7999999999999996E-3</v>
      </c>
      <c r="E74">
        <v>3.59</v>
      </c>
      <c r="F74">
        <v>2.86</v>
      </c>
      <c r="G74">
        <v>4.5999999999999996</v>
      </c>
      <c r="H74" s="13">
        <f t="shared" si="41"/>
        <v>-1.55E-2</v>
      </c>
      <c r="I74">
        <v>740</v>
      </c>
      <c r="J74" s="13">
        <f t="shared" si="42"/>
        <v>0.01</v>
      </c>
      <c r="K74">
        <v>4600000</v>
      </c>
      <c r="L74" s="13">
        <f t="shared" si="43"/>
        <v>3.5999999999999999E-3</v>
      </c>
      <c r="M74">
        <v>369</v>
      </c>
      <c r="N74">
        <f t="shared" si="44"/>
        <v>362</v>
      </c>
      <c r="O74" s="13">
        <f t="shared" si="45"/>
        <v>0.1908</v>
      </c>
      <c r="P74">
        <v>237400</v>
      </c>
      <c r="Q74" s="13">
        <f t="shared" si="46"/>
        <v>-2.0999999999999999E-3</v>
      </c>
      <c r="R74">
        <v>141.03399999999999</v>
      </c>
      <c r="S74" s="13">
        <f t="shared" si="47"/>
        <v>8.0999999999999996E-3</v>
      </c>
      <c r="T74">
        <v>37</v>
      </c>
      <c r="U74" s="13">
        <f t="shared" si="48"/>
        <v>5.7099999999999998E-2</v>
      </c>
      <c r="V74" s="6">
        <f t="shared" si="49"/>
        <v>3.58</v>
      </c>
      <c r="W74" s="44">
        <f t="shared" si="50"/>
        <v>640.41</v>
      </c>
      <c r="X74" s="15">
        <f t="shared" si="51"/>
        <v>4.616E-2</v>
      </c>
      <c r="Y74" s="13">
        <f t="shared" si="52"/>
        <v>2.0333000000000001</v>
      </c>
      <c r="Z74" s="6">
        <f t="shared" si="53"/>
        <v>149.54</v>
      </c>
      <c r="AA74" s="6">
        <f t="shared" si="54"/>
        <v>111.57</v>
      </c>
      <c r="AB74" s="6">
        <f t="shared" si="55"/>
        <v>136.25</v>
      </c>
      <c r="AC74" s="6">
        <f t="shared" si="56"/>
        <v>128.91999999999999</v>
      </c>
    </row>
    <row r="75" spans="1:29" x14ac:dyDescent="0.25">
      <c r="A75" s="34">
        <v>41061</v>
      </c>
      <c r="B75" s="34">
        <f t="shared" si="39"/>
        <v>41121</v>
      </c>
      <c r="C75">
        <v>13953.2</v>
      </c>
      <c r="D75" s="13">
        <f t="shared" si="40"/>
        <v>8.0000000000000004E-4</v>
      </c>
      <c r="E75">
        <v>3.49</v>
      </c>
      <c r="F75">
        <v>2.8</v>
      </c>
      <c r="G75">
        <v>4.8</v>
      </c>
      <c r="H75" s="13">
        <f t="shared" si="41"/>
        <v>0</v>
      </c>
      <c r="I75">
        <v>757</v>
      </c>
      <c r="J75" s="13">
        <f t="shared" si="42"/>
        <v>9.4999999999999998E-3</v>
      </c>
      <c r="K75">
        <v>3930000</v>
      </c>
      <c r="L75" s="13">
        <f t="shared" si="43"/>
        <v>-2.5700000000000001E-2</v>
      </c>
      <c r="M75">
        <v>360</v>
      </c>
      <c r="N75">
        <f t="shared" si="44"/>
        <v>357</v>
      </c>
      <c r="O75" s="13">
        <f t="shared" si="45"/>
        <v>0.1782</v>
      </c>
      <c r="P75">
        <v>232600</v>
      </c>
      <c r="Q75" s="13">
        <f t="shared" si="46"/>
        <v>9.2999999999999992E-3</v>
      </c>
      <c r="R75">
        <v>140.16800000000001</v>
      </c>
      <c r="S75" s="13">
        <f t="shared" si="47"/>
        <v>6.4999999999999997E-3</v>
      </c>
      <c r="T75">
        <v>35</v>
      </c>
      <c r="U75" s="13">
        <f t="shared" si="48"/>
        <v>0.2069</v>
      </c>
      <c r="V75" s="6">
        <f t="shared" si="49"/>
        <v>2</v>
      </c>
      <c r="W75" s="44">
        <f t="shared" si="50"/>
        <v>628.63</v>
      </c>
      <c r="X75" s="15">
        <f t="shared" si="51"/>
        <v>4.505E-2</v>
      </c>
      <c r="Y75" s="13">
        <f t="shared" si="52"/>
        <v>2.0091000000000001</v>
      </c>
      <c r="Z75" s="6">
        <f t="shared" si="53"/>
        <v>128.56</v>
      </c>
      <c r="AA75" s="6">
        <f t="shared" si="54"/>
        <v>112.65</v>
      </c>
      <c r="AB75" s="6">
        <f t="shared" si="55"/>
        <v>122.99</v>
      </c>
      <c r="AC75" s="6">
        <f t="shared" si="56"/>
        <v>125.51</v>
      </c>
    </row>
    <row r="76" spans="1:29" x14ac:dyDescent="0.25">
      <c r="A76" s="34">
        <v>41030</v>
      </c>
      <c r="B76" s="34">
        <f t="shared" si="39"/>
        <v>41090</v>
      </c>
      <c r="C76">
        <v>13941.5</v>
      </c>
      <c r="D76" s="13">
        <f t="shared" si="40"/>
        <v>-2.9999999999999997E-4</v>
      </c>
      <c r="E76">
        <v>3.66</v>
      </c>
      <c r="F76">
        <v>2.94</v>
      </c>
      <c r="G76">
        <v>4.7</v>
      </c>
      <c r="H76" s="13">
        <f t="shared" si="41"/>
        <v>-3.0200000000000001E-2</v>
      </c>
      <c r="I76">
        <v>708</v>
      </c>
      <c r="J76" s="13">
        <f t="shared" si="42"/>
        <v>3.8999999999999998E-3</v>
      </c>
      <c r="K76">
        <v>4590000</v>
      </c>
      <c r="L76" s="13">
        <f t="shared" si="43"/>
        <v>9.7999999999999997E-3</v>
      </c>
      <c r="M76">
        <v>370</v>
      </c>
      <c r="N76">
        <f t="shared" si="44"/>
        <v>353</v>
      </c>
      <c r="O76" s="13">
        <f t="shared" si="45"/>
        <v>0.16889999999999999</v>
      </c>
      <c r="P76">
        <v>239200</v>
      </c>
      <c r="Q76" s="13">
        <f t="shared" si="46"/>
        <v>1.78E-2</v>
      </c>
      <c r="R76">
        <v>139.173</v>
      </c>
      <c r="S76" s="13">
        <f t="shared" si="47"/>
        <v>4.5999999999999999E-3</v>
      </c>
      <c r="T76">
        <v>29</v>
      </c>
      <c r="U76" s="13">
        <f t="shared" si="48"/>
        <v>3.5700000000000003E-2</v>
      </c>
      <c r="V76" s="6">
        <f t="shared" si="49"/>
        <v>1.58</v>
      </c>
      <c r="W76" s="44">
        <f t="shared" si="50"/>
        <v>637.45000000000005</v>
      </c>
      <c r="X76" s="15">
        <f t="shared" si="51"/>
        <v>4.5719999999999997E-2</v>
      </c>
      <c r="Y76" s="13">
        <f t="shared" si="52"/>
        <v>1.9964999999999999</v>
      </c>
      <c r="Z76" s="6">
        <f t="shared" si="53"/>
        <v>134.91999999999999</v>
      </c>
      <c r="AA76" s="6">
        <f t="shared" si="54"/>
        <v>113.75</v>
      </c>
      <c r="AB76" s="6">
        <f t="shared" si="55"/>
        <v>127.51</v>
      </c>
      <c r="AC76" s="6">
        <f t="shared" si="56"/>
        <v>122.57</v>
      </c>
    </row>
    <row r="77" spans="1:29" x14ac:dyDescent="0.25">
      <c r="A77" s="34">
        <v>41000</v>
      </c>
      <c r="B77" s="34">
        <f t="shared" si="39"/>
        <v>41060</v>
      </c>
      <c r="C77">
        <v>13945.8</v>
      </c>
      <c r="D77" s="13">
        <f t="shared" si="40"/>
        <v>5.1000000000000004E-3</v>
      </c>
      <c r="E77">
        <v>3.75</v>
      </c>
      <c r="F77">
        <v>2.97</v>
      </c>
      <c r="G77">
        <v>4.9000000000000004</v>
      </c>
      <c r="H77" s="13">
        <f t="shared" si="41"/>
        <v>-1.9699999999999999E-2</v>
      </c>
      <c r="I77">
        <v>753</v>
      </c>
      <c r="J77" s="13">
        <f t="shared" si="42"/>
        <v>1.1900000000000001E-2</v>
      </c>
      <c r="K77">
        <v>4530000</v>
      </c>
      <c r="L77" s="13">
        <f t="shared" si="43"/>
        <v>5.7999999999999996E-3</v>
      </c>
      <c r="M77">
        <v>354</v>
      </c>
      <c r="N77">
        <f t="shared" si="44"/>
        <v>346</v>
      </c>
      <c r="O77" s="13">
        <f t="shared" si="45"/>
        <v>0.16500000000000001</v>
      </c>
      <c r="P77">
        <v>236400</v>
      </c>
      <c r="Q77" s="13">
        <f t="shared" si="46"/>
        <v>1.95E-2</v>
      </c>
      <c r="R77">
        <v>137.922</v>
      </c>
      <c r="S77" s="13">
        <f t="shared" si="47"/>
        <v>1.4E-3</v>
      </c>
      <c r="T77">
        <v>28</v>
      </c>
      <c r="U77" s="13">
        <f t="shared" si="48"/>
        <v>0.16669999999999999</v>
      </c>
      <c r="V77" s="6">
        <f t="shared" si="49"/>
        <v>2.83</v>
      </c>
      <c r="W77" s="44">
        <f t="shared" si="50"/>
        <v>638.74</v>
      </c>
      <c r="X77" s="15">
        <f t="shared" si="51"/>
        <v>4.58E-2</v>
      </c>
      <c r="Y77" s="13">
        <f t="shared" si="52"/>
        <v>1.978</v>
      </c>
      <c r="Z77" s="6">
        <f t="shared" si="53"/>
        <v>132.19999999999999</v>
      </c>
      <c r="AA77" s="6">
        <f t="shared" si="54"/>
        <v>114.58</v>
      </c>
      <c r="AB77" s="6">
        <f t="shared" si="55"/>
        <v>126.03</v>
      </c>
      <c r="AC77" s="6">
        <f t="shared" si="56"/>
        <v>118.14</v>
      </c>
    </row>
    <row r="78" spans="1:29" x14ac:dyDescent="0.25">
      <c r="A78" s="34">
        <v>40969</v>
      </c>
      <c r="B78" s="34">
        <f t="shared" si="39"/>
        <v>41029</v>
      </c>
      <c r="C78">
        <v>13874.9</v>
      </c>
      <c r="D78" s="13">
        <f t="shared" si="40"/>
        <v>5.4999999999999997E-3</v>
      </c>
      <c r="E78">
        <v>3.88</v>
      </c>
      <c r="F78">
        <v>3.12</v>
      </c>
      <c r="G78">
        <v>4.9000000000000004</v>
      </c>
      <c r="H78" s="13">
        <f t="shared" si="41"/>
        <v>-3.7900000000000003E-2</v>
      </c>
      <c r="I78">
        <v>695</v>
      </c>
      <c r="J78" s="13">
        <f t="shared" si="42"/>
        <v>2.47E-2</v>
      </c>
      <c r="K78">
        <v>4460000</v>
      </c>
      <c r="L78" s="13">
        <f t="shared" si="43"/>
        <v>5.0000000000000001E-3</v>
      </c>
      <c r="M78">
        <v>354</v>
      </c>
      <c r="N78">
        <f t="shared" si="44"/>
        <v>340</v>
      </c>
      <c r="O78" s="13">
        <f t="shared" si="45"/>
        <v>0.1371</v>
      </c>
      <c r="P78">
        <v>239800</v>
      </c>
      <c r="Q78" s="13">
        <f t="shared" si="46"/>
        <v>1.34E-2</v>
      </c>
      <c r="R78">
        <v>136.548</v>
      </c>
      <c r="S78" s="13">
        <f t="shared" si="47"/>
        <v>-2.5000000000000001E-3</v>
      </c>
      <c r="T78">
        <v>24</v>
      </c>
      <c r="U78" s="13">
        <f t="shared" si="48"/>
        <v>-0.1429</v>
      </c>
      <c r="V78" s="6">
        <f t="shared" si="49"/>
        <v>3.25</v>
      </c>
      <c r="W78" s="44">
        <f t="shared" si="50"/>
        <v>642.49</v>
      </c>
      <c r="X78" s="15">
        <f t="shared" si="51"/>
        <v>4.6309999999999997E-2</v>
      </c>
      <c r="Y78" s="13">
        <f t="shared" si="52"/>
        <v>1.9682999999999999</v>
      </c>
      <c r="Z78" s="6">
        <f t="shared" si="53"/>
        <v>114.4</v>
      </c>
      <c r="AA78" s="6">
        <f t="shared" si="54"/>
        <v>113.77</v>
      </c>
      <c r="AB78" s="6">
        <f t="shared" si="55"/>
        <v>114.18</v>
      </c>
      <c r="AC78" s="6">
        <f t="shared" si="56"/>
        <v>112.68</v>
      </c>
    </row>
    <row r="79" spans="1:29" x14ac:dyDescent="0.25">
      <c r="A79" s="34">
        <v>40940</v>
      </c>
      <c r="B79" s="34">
        <f t="shared" si="39"/>
        <v>40999</v>
      </c>
      <c r="C79">
        <v>13799.6</v>
      </c>
      <c r="D79" s="13">
        <f t="shared" si="40"/>
        <v>8.6E-3</v>
      </c>
      <c r="E79">
        <v>3.99</v>
      </c>
      <c r="F79">
        <v>3.23</v>
      </c>
      <c r="G79">
        <v>4.8</v>
      </c>
      <c r="H79" s="13">
        <f t="shared" si="41"/>
        <v>-5.3800000000000001E-2</v>
      </c>
      <c r="I79">
        <v>704</v>
      </c>
      <c r="J79" s="13">
        <f t="shared" si="42"/>
        <v>1.5900000000000001E-2</v>
      </c>
      <c r="K79">
        <v>4520000</v>
      </c>
      <c r="L79" s="13">
        <f t="shared" si="43"/>
        <v>8.2000000000000007E-3</v>
      </c>
      <c r="M79">
        <v>366</v>
      </c>
      <c r="N79">
        <f t="shared" si="44"/>
        <v>332</v>
      </c>
      <c r="O79" s="13">
        <f t="shared" si="45"/>
        <v>9.5699999999999993E-2</v>
      </c>
      <c r="P79">
        <v>239900</v>
      </c>
      <c r="Q79" s="13">
        <f t="shared" si="46"/>
        <v>2.0899999999999998E-2</v>
      </c>
      <c r="R79">
        <v>136.60299999999901</v>
      </c>
      <c r="S79" s="13">
        <f t="shared" si="47"/>
        <v>-3.7000000000000002E-3</v>
      </c>
      <c r="T79">
        <v>28</v>
      </c>
      <c r="U79" s="13">
        <f t="shared" si="48"/>
        <v>0</v>
      </c>
      <c r="V79" s="6">
        <f t="shared" si="49"/>
        <v>4.83</v>
      </c>
      <c r="W79" s="44">
        <f t="shared" si="50"/>
        <v>651.38</v>
      </c>
      <c r="X79" s="15">
        <f t="shared" si="51"/>
        <v>4.7199999999999999E-2</v>
      </c>
      <c r="Y79" s="13">
        <f t="shared" si="52"/>
        <v>1.9798</v>
      </c>
      <c r="Z79" s="6">
        <f t="shared" si="53"/>
        <v>115.28</v>
      </c>
      <c r="AA79" s="6">
        <f t="shared" si="54"/>
        <v>112.22</v>
      </c>
      <c r="AB79" s="6">
        <f t="shared" si="55"/>
        <v>114.21</v>
      </c>
      <c r="AC79" s="6">
        <f t="shared" si="56"/>
        <v>107</v>
      </c>
    </row>
    <row r="80" spans="1:29" x14ac:dyDescent="0.25">
      <c r="A80" s="34">
        <v>40909</v>
      </c>
      <c r="B80" s="34">
        <f t="shared" si="39"/>
        <v>40968</v>
      </c>
      <c r="C80">
        <v>13682.5</v>
      </c>
      <c r="D80" s="13">
        <f t="shared" si="40"/>
        <v>8.0999999999999996E-3</v>
      </c>
      <c r="E80">
        <v>3.95</v>
      </c>
      <c r="F80">
        <v>3.19</v>
      </c>
      <c r="G80">
        <v>5.3</v>
      </c>
      <c r="H80" s="13">
        <f t="shared" si="41"/>
        <v>-4.2900000000000001E-2</v>
      </c>
      <c r="I80">
        <v>723</v>
      </c>
      <c r="J80" s="13">
        <f t="shared" si="42"/>
        <v>4.2500000000000003E-2</v>
      </c>
      <c r="K80">
        <v>4510000</v>
      </c>
      <c r="L80" s="13">
        <f t="shared" si="43"/>
        <v>4.5999999999999999E-3</v>
      </c>
      <c r="M80">
        <v>335</v>
      </c>
      <c r="N80">
        <f t="shared" si="44"/>
        <v>321</v>
      </c>
      <c r="O80" s="13">
        <f t="shared" si="45"/>
        <v>7.0000000000000007E-2</v>
      </c>
      <c r="P80">
        <v>221700</v>
      </c>
      <c r="Q80" s="13">
        <f t="shared" si="46"/>
        <v>1.9E-3</v>
      </c>
      <c r="R80">
        <v>136.65899999999999</v>
      </c>
      <c r="S80" s="13">
        <f t="shared" si="47"/>
        <v>-4.7999999999999996E-3</v>
      </c>
      <c r="T80">
        <v>28</v>
      </c>
      <c r="U80" s="13">
        <f t="shared" si="48"/>
        <v>0.12</v>
      </c>
      <c r="V80" s="6">
        <f t="shared" si="49"/>
        <v>4.75</v>
      </c>
      <c r="W80" s="44">
        <f t="shared" si="50"/>
        <v>648.5</v>
      </c>
      <c r="X80" s="15">
        <f t="shared" si="51"/>
        <v>4.7399999999999998E-2</v>
      </c>
      <c r="Y80" s="13">
        <f t="shared" si="52"/>
        <v>1.9976</v>
      </c>
      <c r="Z80" s="6">
        <f t="shared" si="53"/>
        <v>109.98</v>
      </c>
      <c r="AA80" s="6">
        <f t="shared" si="54"/>
        <v>109</v>
      </c>
      <c r="AB80" s="6">
        <f t="shared" si="55"/>
        <v>109.64</v>
      </c>
      <c r="AC80" s="6">
        <f t="shared" si="56"/>
        <v>99.13</v>
      </c>
    </row>
    <row r="81" spans="1:29" x14ac:dyDescent="0.25">
      <c r="A81" s="34">
        <v>40878</v>
      </c>
      <c r="B81" s="34">
        <f t="shared" si="39"/>
        <v>40939</v>
      </c>
      <c r="C81">
        <v>13572.4</v>
      </c>
      <c r="D81" s="13">
        <f t="shared" si="40"/>
        <v>9.5999999999999992E-3</v>
      </c>
      <c r="E81">
        <v>3.98</v>
      </c>
      <c r="F81">
        <v>3.24</v>
      </c>
      <c r="G81">
        <v>5.3</v>
      </c>
      <c r="H81" s="13">
        <f t="shared" si="41"/>
        <v>-4.9000000000000002E-2</v>
      </c>
      <c r="I81">
        <v>694</v>
      </c>
      <c r="J81" s="13">
        <f t="shared" si="42"/>
        <v>2.23E-2</v>
      </c>
      <c r="K81">
        <v>4370000</v>
      </c>
      <c r="L81" s="13">
        <f t="shared" si="43"/>
        <v>1.0200000000000001E-2</v>
      </c>
      <c r="M81">
        <v>341</v>
      </c>
      <c r="N81">
        <f t="shared" si="44"/>
        <v>314</v>
      </c>
      <c r="O81" s="13">
        <f t="shared" si="45"/>
        <v>5.7200000000000001E-2</v>
      </c>
      <c r="P81">
        <v>218600</v>
      </c>
      <c r="Q81" s="13">
        <f t="shared" si="46"/>
        <v>-1.0200000000000001E-2</v>
      </c>
      <c r="R81">
        <v>137.13499999999999</v>
      </c>
      <c r="S81" s="13">
        <f t="shared" si="47"/>
        <v>-4.5999999999999999E-3</v>
      </c>
      <c r="T81">
        <v>25</v>
      </c>
      <c r="U81" s="13">
        <f t="shared" si="48"/>
        <v>0.1905</v>
      </c>
      <c r="V81" s="6">
        <f t="shared" si="49"/>
        <v>3.67</v>
      </c>
      <c r="W81" s="44">
        <f t="shared" si="50"/>
        <v>653.12</v>
      </c>
      <c r="X81" s="15">
        <f t="shared" si="51"/>
        <v>4.8120000000000003E-2</v>
      </c>
      <c r="Y81" s="13">
        <f t="shared" si="52"/>
        <v>2.0207999999999999</v>
      </c>
      <c r="Z81" s="6">
        <f t="shared" si="53"/>
        <v>92.63</v>
      </c>
      <c r="AA81" s="6">
        <f t="shared" si="54"/>
        <v>105.54</v>
      </c>
      <c r="AB81" s="6">
        <f t="shared" si="55"/>
        <v>97.15</v>
      </c>
      <c r="AC81" s="6">
        <f t="shared" si="56"/>
        <v>92.16</v>
      </c>
    </row>
    <row r="82" spans="1:29" x14ac:dyDescent="0.25">
      <c r="A82" s="34">
        <v>40848</v>
      </c>
      <c r="B82" s="34">
        <f t="shared" si="39"/>
        <v>40908</v>
      </c>
      <c r="C82">
        <v>13442.9</v>
      </c>
      <c r="D82" s="13">
        <f t="shared" si="40"/>
        <v>1.5E-3</v>
      </c>
      <c r="E82">
        <v>3.95</v>
      </c>
      <c r="F82">
        <v>3.24</v>
      </c>
      <c r="G82">
        <v>5.7</v>
      </c>
      <c r="H82" s="13">
        <f t="shared" si="41"/>
        <v>-3.9199999999999999E-2</v>
      </c>
      <c r="I82">
        <v>711</v>
      </c>
      <c r="J82" s="13">
        <f t="shared" si="42"/>
        <v>3.3500000000000002E-2</v>
      </c>
      <c r="K82">
        <v>4400000</v>
      </c>
      <c r="L82" s="13">
        <f t="shared" si="43"/>
        <v>9.7999999999999997E-3</v>
      </c>
      <c r="M82">
        <v>328</v>
      </c>
      <c r="N82">
        <f t="shared" si="44"/>
        <v>307</v>
      </c>
      <c r="O82" s="13">
        <f t="shared" si="45"/>
        <v>2.3300000000000001E-2</v>
      </c>
      <c r="P82">
        <v>214300</v>
      </c>
      <c r="Q82" s="13">
        <f t="shared" si="46"/>
        <v>-2.29E-2</v>
      </c>
      <c r="R82">
        <v>137.93600000000001</v>
      </c>
      <c r="S82" s="13">
        <f t="shared" si="47"/>
        <v>-3.3999999999999998E-3</v>
      </c>
      <c r="T82">
        <v>21</v>
      </c>
      <c r="U82" s="13">
        <f t="shared" si="48"/>
        <v>0.1053</v>
      </c>
      <c r="V82" s="6">
        <f t="shared" si="49"/>
        <v>2.25</v>
      </c>
      <c r="W82" s="44">
        <f t="shared" si="50"/>
        <v>654.55999999999995</v>
      </c>
      <c r="X82" s="15">
        <f t="shared" si="51"/>
        <v>4.8689999999999997E-2</v>
      </c>
      <c r="Y82" s="13">
        <f t="shared" si="52"/>
        <v>2.0522</v>
      </c>
      <c r="Z82" s="6">
        <f t="shared" si="53"/>
        <v>84.79</v>
      </c>
      <c r="AA82" s="6">
        <f t="shared" si="54"/>
        <v>101.4</v>
      </c>
      <c r="AB82" s="6">
        <f t="shared" si="55"/>
        <v>90.6</v>
      </c>
      <c r="AC82" s="6">
        <f t="shared" si="56"/>
        <v>89.82</v>
      </c>
    </row>
    <row r="83" spans="1:29" x14ac:dyDescent="0.25">
      <c r="A83" s="34">
        <v>40817</v>
      </c>
      <c r="B83" s="34">
        <f t="shared" si="39"/>
        <v>40877</v>
      </c>
      <c r="C83">
        <v>13423.3</v>
      </c>
      <c r="D83" s="13">
        <f t="shared" si="40"/>
        <v>1.2999999999999999E-3</v>
      </c>
      <c r="E83">
        <v>3.98</v>
      </c>
      <c r="F83">
        <v>3.3</v>
      </c>
      <c r="G83">
        <v>6</v>
      </c>
      <c r="H83" s="13">
        <f t="shared" si="41"/>
        <v>-2.3E-2</v>
      </c>
      <c r="I83">
        <v>610</v>
      </c>
      <c r="J83" s="13">
        <f t="shared" si="42"/>
        <v>1.6199999999999999E-2</v>
      </c>
      <c r="K83">
        <v>4350000</v>
      </c>
      <c r="L83" s="13">
        <f t="shared" si="43"/>
        <v>1.04E-2</v>
      </c>
      <c r="M83">
        <v>316</v>
      </c>
      <c r="N83">
        <f t="shared" si="44"/>
        <v>304</v>
      </c>
      <c r="O83" s="13">
        <f t="shared" si="45"/>
        <v>6.6E-3</v>
      </c>
      <c r="P83">
        <v>224800</v>
      </c>
      <c r="Q83" s="13">
        <f t="shared" si="46"/>
        <v>2.5000000000000001E-3</v>
      </c>
      <c r="R83">
        <v>138.65199999999999</v>
      </c>
      <c r="S83" s="13">
        <f t="shared" si="47"/>
        <v>-2.2000000000000001E-3</v>
      </c>
      <c r="T83">
        <v>19</v>
      </c>
      <c r="U83" s="13">
        <f t="shared" si="48"/>
        <v>0.1176</v>
      </c>
      <c r="V83" s="6">
        <f t="shared" si="49"/>
        <v>1.25</v>
      </c>
      <c r="W83" s="44">
        <f t="shared" si="50"/>
        <v>660.35</v>
      </c>
      <c r="X83" s="15">
        <f t="shared" si="51"/>
        <v>4.9189999999999998E-2</v>
      </c>
      <c r="Y83" s="13">
        <f t="shared" si="52"/>
        <v>2.0657999999999999</v>
      </c>
      <c r="Z83" s="6">
        <f t="shared" si="53"/>
        <v>83.73</v>
      </c>
      <c r="AA83" s="6">
        <f t="shared" si="54"/>
        <v>98.02</v>
      </c>
      <c r="AB83" s="6">
        <f t="shared" si="55"/>
        <v>88.73</v>
      </c>
      <c r="AC83" s="6">
        <f t="shared" si="56"/>
        <v>86.28</v>
      </c>
    </row>
    <row r="84" spans="1:29" x14ac:dyDescent="0.25">
      <c r="A84" s="34">
        <v>40787</v>
      </c>
      <c r="B84" s="34">
        <f t="shared" si="39"/>
        <v>40847</v>
      </c>
      <c r="C84">
        <v>13406.1</v>
      </c>
      <c r="D84" s="13">
        <f t="shared" si="40"/>
        <v>-2.0000000000000001E-4</v>
      </c>
      <c r="E84">
        <v>4.0999999999999996</v>
      </c>
      <c r="F84">
        <v>3.38</v>
      </c>
      <c r="G84">
        <v>6.3</v>
      </c>
      <c r="H84" s="13">
        <f t="shared" si="41"/>
        <v>-1.14E-2</v>
      </c>
      <c r="I84">
        <v>650</v>
      </c>
      <c r="J84" s="13">
        <f t="shared" si="42"/>
        <v>3.2800000000000003E-2</v>
      </c>
      <c r="K84">
        <v>4340000</v>
      </c>
      <c r="L84" s="13">
        <f t="shared" si="43"/>
        <v>8.9999999999999993E-3</v>
      </c>
      <c r="M84">
        <v>304</v>
      </c>
      <c r="N84">
        <f t="shared" si="44"/>
        <v>303</v>
      </c>
      <c r="O84" s="13">
        <f t="shared" si="45"/>
        <v>1.6799999999999999E-2</v>
      </c>
      <c r="P84">
        <v>217000</v>
      </c>
      <c r="Q84" s="13">
        <f t="shared" si="46"/>
        <v>-6.7999999999999996E-3</v>
      </c>
      <c r="R84">
        <v>139.291</v>
      </c>
      <c r="S84" s="13">
        <f t="shared" si="47"/>
        <v>-1.2999999999999999E-3</v>
      </c>
      <c r="T84">
        <v>17</v>
      </c>
      <c r="U84" s="13">
        <f t="shared" si="48"/>
        <v>0.21429999999999999</v>
      </c>
      <c r="V84" s="6">
        <f t="shared" si="49"/>
        <v>0.42</v>
      </c>
      <c r="W84" s="44">
        <f t="shared" si="50"/>
        <v>673.05</v>
      </c>
      <c r="X84" s="15">
        <f t="shared" si="51"/>
        <v>5.0200000000000002E-2</v>
      </c>
      <c r="Y84" s="13">
        <f t="shared" si="52"/>
        <v>2.0779999999999998</v>
      </c>
      <c r="Z84" s="6">
        <f t="shared" si="53"/>
        <v>86.1</v>
      </c>
      <c r="AA84" s="6">
        <f t="shared" si="54"/>
        <v>97.6</v>
      </c>
      <c r="AB84" s="6">
        <f t="shared" si="55"/>
        <v>90.13</v>
      </c>
      <c r="AC84" s="6">
        <f t="shared" si="56"/>
        <v>84.93</v>
      </c>
    </row>
    <row r="85" spans="1:29" x14ac:dyDescent="0.25">
      <c r="A85" s="34">
        <v>40756</v>
      </c>
      <c r="B85" s="34">
        <f t="shared" si="39"/>
        <v>40816</v>
      </c>
      <c r="C85">
        <v>13409</v>
      </c>
      <c r="D85" s="13">
        <f t="shared" si="40"/>
        <v>1.2999999999999999E-3</v>
      </c>
      <c r="E85">
        <v>4.01</v>
      </c>
      <c r="F85">
        <v>3.28</v>
      </c>
      <c r="G85">
        <v>6.5</v>
      </c>
      <c r="H85" s="13">
        <f t="shared" si="41"/>
        <v>-7.4999999999999997E-3</v>
      </c>
      <c r="I85">
        <v>585</v>
      </c>
      <c r="J85" s="13">
        <f t="shared" si="42"/>
        <v>-5.1000000000000004E-3</v>
      </c>
      <c r="K85">
        <v>4410000</v>
      </c>
      <c r="L85" s="13">
        <f t="shared" si="43"/>
        <v>8.0999999999999996E-3</v>
      </c>
      <c r="M85">
        <v>299</v>
      </c>
      <c r="N85">
        <f t="shared" si="44"/>
        <v>302</v>
      </c>
      <c r="O85" s="13">
        <f t="shared" si="45"/>
        <v>2.7199999999999998E-2</v>
      </c>
      <c r="P85">
        <v>219600</v>
      </c>
      <c r="Q85" s="13">
        <f t="shared" si="46"/>
        <v>-8.0000000000000004E-4</v>
      </c>
      <c r="R85">
        <v>139.71299999999999</v>
      </c>
      <c r="S85" s="13">
        <f t="shared" si="47"/>
        <v>-5.0000000000000001E-4</v>
      </c>
      <c r="T85">
        <v>14</v>
      </c>
      <c r="U85" s="13">
        <f t="shared" si="48"/>
        <v>-6.6699999999999995E-2</v>
      </c>
      <c r="V85" s="6">
        <f t="shared" si="49"/>
        <v>-1.08</v>
      </c>
      <c r="W85" s="44">
        <f t="shared" si="50"/>
        <v>667.82</v>
      </c>
      <c r="X85" s="15">
        <f t="shared" si="51"/>
        <v>4.9799999999999997E-2</v>
      </c>
      <c r="Y85" s="13">
        <f t="shared" si="52"/>
        <v>2.0838999999999999</v>
      </c>
      <c r="Z85" s="6">
        <f t="shared" si="53"/>
        <v>72.31</v>
      </c>
      <c r="AA85" s="6">
        <f t="shared" si="54"/>
        <v>94.23</v>
      </c>
      <c r="AB85" s="6">
        <f t="shared" si="55"/>
        <v>79.98</v>
      </c>
      <c r="AC85" s="6">
        <f t="shared" si="56"/>
        <v>75.25</v>
      </c>
    </row>
    <row r="86" spans="1:29" x14ac:dyDescent="0.25">
      <c r="A86" s="34">
        <v>40725</v>
      </c>
      <c r="B86" s="34">
        <f t="shared" si="39"/>
        <v>40786</v>
      </c>
      <c r="C86">
        <v>13391</v>
      </c>
      <c r="D86" s="13">
        <f t="shared" si="40"/>
        <v>5.3E-3</v>
      </c>
      <c r="E86">
        <v>4.22</v>
      </c>
      <c r="F86">
        <v>3.44</v>
      </c>
      <c r="G86">
        <v>6.7</v>
      </c>
      <c r="H86" s="13">
        <f t="shared" si="41"/>
        <v>-1.8499999999999999E-2</v>
      </c>
      <c r="I86">
        <v>623</v>
      </c>
      <c r="J86" s="13">
        <f t="shared" si="42"/>
        <v>3.73E-2</v>
      </c>
      <c r="K86">
        <v>4150000</v>
      </c>
      <c r="L86" s="13">
        <f t="shared" si="43"/>
        <v>0</v>
      </c>
      <c r="M86">
        <v>296</v>
      </c>
      <c r="N86">
        <f t="shared" si="44"/>
        <v>297</v>
      </c>
      <c r="O86" s="13">
        <f t="shared" si="45"/>
        <v>1.37E-2</v>
      </c>
      <c r="P86">
        <v>229900</v>
      </c>
      <c r="Q86" s="13">
        <f t="shared" si="46"/>
        <v>8.6999999999999994E-3</v>
      </c>
      <c r="R86">
        <v>139.84399999999999</v>
      </c>
      <c r="S86" s="13">
        <f t="shared" si="47"/>
        <v>-8.9999999999999998E-4</v>
      </c>
      <c r="T86">
        <v>15</v>
      </c>
      <c r="U86" s="13">
        <f t="shared" si="48"/>
        <v>0</v>
      </c>
      <c r="V86" s="6">
        <f t="shared" si="49"/>
        <v>-0.75</v>
      </c>
      <c r="W86" s="44">
        <f t="shared" si="50"/>
        <v>685.49</v>
      </c>
      <c r="X86" s="15">
        <f t="shared" si="51"/>
        <v>5.1189999999999999E-2</v>
      </c>
      <c r="Y86" s="13">
        <f t="shared" si="52"/>
        <v>2.0886</v>
      </c>
      <c r="Z86" s="6">
        <f t="shared" si="53"/>
        <v>82.29</v>
      </c>
      <c r="AA86" s="6">
        <f t="shared" si="54"/>
        <v>89.08</v>
      </c>
      <c r="AB86" s="6">
        <f t="shared" si="55"/>
        <v>84.67</v>
      </c>
      <c r="AC86" s="6">
        <f t="shared" si="56"/>
        <v>67.62</v>
      </c>
    </row>
    <row r="87" spans="1:29" x14ac:dyDescent="0.25">
      <c r="A87" s="34">
        <v>40695</v>
      </c>
      <c r="B87" s="34">
        <f t="shared" si="39"/>
        <v>40755</v>
      </c>
      <c r="C87">
        <v>13319.9</v>
      </c>
      <c r="D87" s="13">
        <f t="shared" si="40"/>
        <v>4.8999999999999998E-3</v>
      </c>
      <c r="E87">
        <v>4.55</v>
      </c>
      <c r="F87">
        <v>3.66</v>
      </c>
      <c r="G87">
        <v>6.6</v>
      </c>
      <c r="H87" s="13">
        <f t="shared" si="41"/>
        <v>-5.2400000000000002E-2</v>
      </c>
      <c r="I87">
        <v>608</v>
      </c>
      <c r="J87" s="13">
        <f t="shared" si="42"/>
        <v>-7.7000000000000002E-3</v>
      </c>
      <c r="K87">
        <v>4190000</v>
      </c>
      <c r="L87" s="13">
        <f t="shared" si="43"/>
        <v>-1.23E-2</v>
      </c>
      <c r="M87">
        <v>301</v>
      </c>
      <c r="N87">
        <f t="shared" si="44"/>
        <v>299</v>
      </c>
      <c r="O87" s="13">
        <f t="shared" si="45"/>
        <v>-5.0799999999999998E-2</v>
      </c>
      <c r="P87">
        <v>240200</v>
      </c>
      <c r="Q87" s="13">
        <f t="shared" si="46"/>
        <v>1E-4</v>
      </c>
      <c r="R87">
        <v>139.88999999999999</v>
      </c>
      <c r="S87" s="13">
        <f t="shared" si="47"/>
        <v>-2.8999999999999998E-3</v>
      </c>
      <c r="T87">
        <v>15</v>
      </c>
      <c r="U87" s="13">
        <f t="shared" si="48"/>
        <v>0.15379999999999999</v>
      </c>
      <c r="V87" s="6">
        <f t="shared" si="49"/>
        <v>-0.67</v>
      </c>
      <c r="W87" s="44">
        <f t="shared" si="50"/>
        <v>712.96</v>
      </c>
      <c r="X87" s="15">
        <f t="shared" si="51"/>
        <v>5.3530000000000001E-2</v>
      </c>
      <c r="Y87" s="13">
        <f t="shared" si="52"/>
        <v>2.1004999999999998</v>
      </c>
      <c r="Z87" s="6">
        <f t="shared" si="53"/>
        <v>46.73</v>
      </c>
      <c r="AA87" s="6">
        <f t="shared" si="54"/>
        <v>87.79</v>
      </c>
      <c r="AB87" s="6">
        <f t="shared" si="55"/>
        <v>61.1</v>
      </c>
      <c r="AC87" s="6">
        <f t="shared" si="56"/>
        <v>61</v>
      </c>
    </row>
    <row r="88" spans="1:29" x14ac:dyDescent="0.25">
      <c r="A88" s="34">
        <v>40664</v>
      </c>
      <c r="B88" s="34">
        <f t="shared" si="39"/>
        <v>40724</v>
      </c>
      <c r="C88">
        <v>13255.6</v>
      </c>
      <c r="D88" s="13">
        <f t="shared" si="40"/>
        <v>2.2000000000000001E-3</v>
      </c>
      <c r="E88">
        <v>4.51</v>
      </c>
      <c r="F88">
        <v>3.69</v>
      </c>
      <c r="G88">
        <v>6.6</v>
      </c>
      <c r="H88" s="13">
        <f t="shared" si="41"/>
        <v>-2.3900000000000001E-2</v>
      </c>
      <c r="I88">
        <v>561</v>
      </c>
      <c r="J88" s="13">
        <f t="shared" si="42"/>
        <v>7.7000000000000002E-3</v>
      </c>
      <c r="K88">
        <v>4130000</v>
      </c>
      <c r="L88" s="13">
        <f t="shared" si="43"/>
        <v>-6.6E-3</v>
      </c>
      <c r="M88">
        <v>305</v>
      </c>
      <c r="N88">
        <f t="shared" si="44"/>
        <v>303</v>
      </c>
      <c r="O88" s="13">
        <f t="shared" si="45"/>
        <v>-7.0599999999999996E-2</v>
      </c>
      <c r="P88">
        <v>222000</v>
      </c>
      <c r="Q88" s="13">
        <f t="shared" si="46"/>
        <v>-1.67E-2</v>
      </c>
      <c r="R88">
        <v>140.001</v>
      </c>
      <c r="S88" s="13">
        <f t="shared" si="47"/>
        <v>-3.5999999999999999E-3</v>
      </c>
      <c r="T88">
        <v>13</v>
      </c>
      <c r="U88" s="13">
        <f t="shared" si="48"/>
        <v>-0.1875</v>
      </c>
      <c r="V88" s="6">
        <f t="shared" si="49"/>
        <v>-0.67</v>
      </c>
      <c r="W88" s="44">
        <f t="shared" si="50"/>
        <v>710.2</v>
      </c>
      <c r="X88" s="15">
        <f t="shared" si="51"/>
        <v>5.3580000000000003E-2</v>
      </c>
      <c r="Y88" s="13">
        <f t="shared" si="52"/>
        <v>2.1122999999999998</v>
      </c>
      <c r="Z88" s="6">
        <f t="shared" si="53"/>
        <v>41.94</v>
      </c>
      <c r="AA88" s="6">
        <f t="shared" si="54"/>
        <v>85.25</v>
      </c>
      <c r="AB88" s="6">
        <f t="shared" si="55"/>
        <v>57.1</v>
      </c>
      <c r="AC88" s="6">
        <f t="shared" si="56"/>
        <v>64.209999999999994</v>
      </c>
    </row>
    <row r="89" spans="1:29" x14ac:dyDescent="0.25">
      <c r="A89" s="34">
        <v>40634</v>
      </c>
      <c r="B89" s="34">
        <f t="shared" si="39"/>
        <v>40694</v>
      </c>
      <c r="C89">
        <v>13226.3</v>
      </c>
      <c r="D89" s="13">
        <f t="shared" si="40"/>
        <v>2.3999999999999998E-3</v>
      </c>
      <c r="E89">
        <v>4.5999999999999996</v>
      </c>
      <c r="F89">
        <v>3.78</v>
      </c>
      <c r="G89">
        <v>6.7</v>
      </c>
      <c r="H89" s="13">
        <f t="shared" si="41"/>
        <v>-1.01E-2</v>
      </c>
      <c r="I89">
        <v>554</v>
      </c>
      <c r="J89" s="13">
        <f t="shared" si="42"/>
        <v>3.2000000000000002E-3</v>
      </c>
      <c r="K89">
        <v>4150000</v>
      </c>
      <c r="L89" s="13">
        <f t="shared" si="43"/>
        <v>6.1999999999999998E-3</v>
      </c>
      <c r="M89">
        <v>310</v>
      </c>
      <c r="N89">
        <f t="shared" si="44"/>
        <v>300</v>
      </c>
      <c r="O89" s="13">
        <f t="shared" si="45"/>
        <v>-0.1045</v>
      </c>
      <c r="P89">
        <v>224700</v>
      </c>
      <c r="Q89" s="13">
        <f t="shared" si="46"/>
        <v>4.4999999999999997E-3</v>
      </c>
      <c r="R89">
        <v>139.988</v>
      </c>
      <c r="S89" s="13">
        <f t="shared" si="47"/>
        <v>-3.8E-3</v>
      </c>
      <c r="T89">
        <v>16</v>
      </c>
      <c r="U89" s="13">
        <f t="shared" si="48"/>
        <v>0</v>
      </c>
      <c r="V89" s="6">
        <f t="shared" si="49"/>
        <v>0.08</v>
      </c>
      <c r="W89" s="44">
        <f t="shared" si="50"/>
        <v>717.64</v>
      </c>
      <c r="X89" s="15">
        <f t="shared" si="51"/>
        <v>5.4260000000000003E-2</v>
      </c>
      <c r="Y89" s="13">
        <f t="shared" si="52"/>
        <v>2.1168</v>
      </c>
      <c r="Z89" s="6">
        <f t="shared" si="53"/>
        <v>55.56</v>
      </c>
      <c r="AA89" s="6">
        <f t="shared" si="54"/>
        <v>81.94</v>
      </c>
      <c r="AB89" s="6">
        <f t="shared" si="55"/>
        <v>64.790000000000006</v>
      </c>
      <c r="AC89" s="6">
        <f t="shared" si="56"/>
        <v>62.95</v>
      </c>
    </row>
    <row r="90" spans="1:29" x14ac:dyDescent="0.25">
      <c r="A90" s="34">
        <v>40603</v>
      </c>
      <c r="B90" s="34">
        <f t="shared" si="39"/>
        <v>40663</v>
      </c>
      <c r="C90">
        <v>13194.2</v>
      </c>
      <c r="D90" s="13">
        <f t="shared" si="40"/>
        <v>1.4E-3</v>
      </c>
      <c r="E90">
        <v>4.78</v>
      </c>
      <c r="F90">
        <v>3.97</v>
      </c>
      <c r="G90">
        <v>7.2</v>
      </c>
      <c r="H90" s="13">
        <f t="shared" si="41"/>
        <v>-3.27E-2</v>
      </c>
      <c r="I90">
        <v>600</v>
      </c>
      <c r="J90" s="13">
        <f t="shared" si="42"/>
        <v>2.0500000000000001E-2</v>
      </c>
      <c r="K90">
        <v>4240000</v>
      </c>
      <c r="L90" s="13">
        <f t="shared" si="43"/>
        <v>1.9800000000000002E-2</v>
      </c>
      <c r="M90">
        <v>300</v>
      </c>
      <c r="N90">
        <f t="shared" si="44"/>
        <v>297</v>
      </c>
      <c r="O90" s="13">
        <f t="shared" si="45"/>
        <v>-0.1391</v>
      </c>
      <c r="P90">
        <v>220500</v>
      </c>
      <c r="Q90" s="13">
        <f t="shared" si="46"/>
        <v>1.4500000000000001E-2</v>
      </c>
      <c r="R90">
        <v>140.36600000000001</v>
      </c>
      <c r="S90" s="13">
        <f t="shared" si="47"/>
        <v>-3.8E-3</v>
      </c>
      <c r="T90">
        <v>16</v>
      </c>
      <c r="U90" s="13">
        <f t="shared" si="48"/>
        <v>-5.8799999999999998E-2</v>
      </c>
      <c r="V90" s="6">
        <f t="shared" si="49"/>
        <v>0.25</v>
      </c>
      <c r="W90" s="44">
        <f t="shared" si="50"/>
        <v>734.76</v>
      </c>
      <c r="X90" s="15">
        <f t="shared" si="51"/>
        <v>5.5690000000000003E-2</v>
      </c>
      <c r="Y90" s="13">
        <f t="shared" si="52"/>
        <v>2.1276999999999999</v>
      </c>
      <c r="Z90" s="6">
        <f t="shared" si="53"/>
        <v>66.42</v>
      </c>
      <c r="AA90" s="6">
        <f t="shared" si="54"/>
        <v>78.75</v>
      </c>
      <c r="AB90" s="6">
        <f t="shared" si="55"/>
        <v>70.739999999999995</v>
      </c>
      <c r="AC90" s="6">
        <f t="shared" si="56"/>
        <v>65.88</v>
      </c>
    </row>
    <row r="91" spans="1:29" x14ac:dyDescent="0.25">
      <c r="A91" s="34">
        <v>40575</v>
      </c>
      <c r="B91" s="34">
        <f t="shared" si="39"/>
        <v>40633</v>
      </c>
      <c r="C91">
        <v>13176.1</v>
      </c>
      <c r="D91" s="13">
        <f t="shared" si="40"/>
        <v>5.4999999999999997E-3</v>
      </c>
      <c r="E91">
        <v>4.8600000000000003</v>
      </c>
      <c r="F91">
        <v>4.09</v>
      </c>
      <c r="G91">
        <v>8.1</v>
      </c>
      <c r="H91" s="13">
        <f t="shared" si="41"/>
        <v>-3.3E-3</v>
      </c>
      <c r="I91">
        <v>517</v>
      </c>
      <c r="J91" s="13">
        <f t="shared" si="42"/>
        <v>-2.7E-2</v>
      </c>
      <c r="K91">
        <v>4150000</v>
      </c>
      <c r="L91" s="13">
        <f t="shared" si="43"/>
        <v>1.52E-2</v>
      </c>
      <c r="M91">
        <v>270</v>
      </c>
      <c r="N91">
        <f t="shared" si="44"/>
        <v>300</v>
      </c>
      <c r="O91" s="13">
        <f t="shared" si="45"/>
        <v>-0.15010000000000001</v>
      </c>
      <c r="P91">
        <v>220100</v>
      </c>
      <c r="Q91" s="13">
        <f t="shared" si="46"/>
        <v>-7.0000000000000001E-3</v>
      </c>
      <c r="R91">
        <v>141.52500000000001</v>
      </c>
      <c r="S91" s="13">
        <f t="shared" si="47"/>
        <v>-2.5999999999999999E-3</v>
      </c>
      <c r="T91">
        <v>17</v>
      </c>
      <c r="U91" s="13">
        <f t="shared" si="48"/>
        <v>6.25E-2</v>
      </c>
      <c r="V91" s="6">
        <f t="shared" si="49"/>
        <v>0.92</v>
      </c>
      <c r="W91" s="44">
        <f t="shared" si="50"/>
        <v>747.67</v>
      </c>
      <c r="X91" s="15">
        <f t="shared" si="51"/>
        <v>5.6739999999999999E-2</v>
      </c>
      <c r="Y91" s="13">
        <f t="shared" si="52"/>
        <v>2.1482000000000001</v>
      </c>
      <c r="Z91" s="6">
        <f t="shared" si="53"/>
        <v>41.95</v>
      </c>
      <c r="AA91" s="6">
        <f t="shared" si="54"/>
        <v>74.459999999999994</v>
      </c>
      <c r="AB91" s="6">
        <f t="shared" si="55"/>
        <v>53.33</v>
      </c>
      <c r="AC91" s="6">
        <f t="shared" si="56"/>
        <v>64.17</v>
      </c>
    </row>
    <row r="92" spans="1:29" x14ac:dyDescent="0.25">
      <c r="A92" s="34">
        <v>40544</v>
      </c>
      <c r="B92" s="34">
        <f t="shared" si="39"/>
        <v>40602</v>
      </c>
      <c r="C92">
        <v>13104.4</v>
      </c>
      <c r="D92" s="13">
        <f t="shared" si="40"/>
        <v>1.5800000000000002E-2</v>
      </c>
      <c r="E92">
        <v>4.95</v>
      </c>
      <c r="F92">
        <v>4.22</v>
      </c>
      <c r="G92">
        <v>7.3</v>
      </c>
      <c r="H92" s="13">
        <f t="shared" si="41"/>
        <v>-9.7000000000000003E-3</v>
      </c>
      <c r="I92">
        <v>630</v>
      </c>
      <c r="J92" s="13">
        <f t="shared" si="42"/>
        <v>1.0999999999999999E-2</v>
      </c>
      <c r="K92">
        <v>4450000</v>
      </c>
      <c r="L92" s="13">
        <f t="shared" si="43"/>
        <v>3.9199999999999999E-2</v>
      </c>
      <c r="M92">
        <v>307</v>
      </c>
      <c r="N92">
        <f t="shared" si="44"/>
        <v>302</v>
      </c>
      <c r="O92" s="13">
        <f t="shared" si="45"/>
        <v>-0.18160000000000001</v>
      </c>
      <c r="P92">
        <v>240100</v>
      </c>
      <c r="Q92" s="13">
        <f t="shared" si="46"/>
        <v>1.21E-2</v>
      </c>
      <c r="R92">
        <v>142.053</v>
      </c>
      <c r="S92" s="13">
        <f t="shared" si="47"/>
        <v>-3.2000000000000002E-3</v>
      </c>
      <c r="T92">
        <v>16</v>
      </c>
      <c r="U92" s="13">
        <f t="shared" si="48"/>
        <v>0</v>
      </c>
      <c r="V92" s="6">
        <f t="shared" si="49"/>
        <v>1.17</v>
      </c>
      <c r="W92" s="44">
        <f t="shared" si="50"/>
        <v>758.24</v>
      </c>
      <c r="X92" s="15">
        <f t="shared" si="51"/>
        <v>5.7860000000000002E-2</v>
      </c>
      <c r="Y92" s="13">
        <f t="shared" si="52"/>
        <v>2.1680000000000001</v>
      </c>
      <c r="Z92" s="6">
        <f t="shared" si="53"/>
        <v>74.11</v>
      </c>
      <c r="AA92" s="6">
        <f t="shared" si="54"/>
        <v>72.56</v>
      </c>
      <c r="AB92" s="6">
        <f t="shared" si="55"/>
        <v>73.569999999999993</v>
      </c>
      <c r="AC92" s="6">
        <f t="shared" si="56"/>
        <v>59.87</v>
      </c>
    </row>
    <row r="93" spans="1:29" x14ac:dyDescent="0.25">
      <c r="A93" s="34">
        <v>40513</v>
      </c>
      <c r="B93" s="34">
        <f t="shared" si="39"/>
        <v>40574</v>
      </c>
      <c r="C93">
        <v>12900.2</v>
      </c>
      <c r="D93" s="13">
        <f t="shared" si="40"/>
        <v>9.4000000000000004E-3</v>
      </c>
      <c r="E93">
        <v>4.8</v>
      </c>
      <c r="F93">
        <v>4.09</v>
      </c>
      <c r="G93">
        <v>7</v>
      </c>
      <c r="H93" s="13">
        <f t="shared" si="41"/>
        <v>-5.4899999999999997E-2</v>
      </c>
      <c r="I93">
        <v>539</v>
      </c>
      <c r="J93" s="13">
        <f t="shared" si="42"/>
        <v>-2.5000000000000001E-3</v>
      </c>
      <c r="K93">
        <v>4270000</v>
      </c>
      <c r="L93" s="13">
        <f t="shared" si="43"/>
        <v>4.36E-2</v>
      </c>
      <c r="M93">
        <v>326</v>
      </c>
      <c r="N93">
        <f t="shared" si="44"/>
        <v>298</v>
      </c>
      <c r="O93" s="13">
        <f t="shared" si="45"/>
        <v>-0.18129999999999999</v>
      </c>
      <c r="P93">
        <v>241200</v>
      </c>
      <c r="Q93" s="13">
        <f t="shared" si="46"/>
        <v>2.6700000000000002E-2</v>
      </c>
      <c r="R93">
        <v>142.161</v>
      </c>
      <c r="S93" s="13">
        <f t="shared" si="47"/>
        <v>-4.8999999999999998E-3</v>
      </c>
      <c r="T93">
        <v>16</v>
      </c>
      <c r="U93" s="13">
        <f t="shared" si="48"/>
        <v>0</v>
      </c>
      <c r="V93" s="6">
        <f t="shared" si="49"/>
        <v>1.25</v>
      </c>
      <c r="W93" s="44">
        <f t="shared" si="50"/>
        <v>745.87</v>
      </c>
      <c r="X93" s="15">
        <f t="shared" si="51"/>
        <v>5.7820000000000003E-2</v>
      </c>
      <c r="Y93" s="13">
        <f t="shared" si="52"/>
        <v>2.2040000000000002</v>
      </c>
      <c r="Z93" s="6">
        <f t="shared" si="53"/>
        <v>65</v>
      </c>
      <c r="AA93" s="6">
        <f t="shared" si="54"/>
        <v>66.78</v>
      </c>
      <c r="AB93" s="6">
        <f t="shared" si="55"/>
        <v>65.62</v>
      </c>
      <c r="AC93" s="6">
        <f t="shared" si="56"/>
        <v>41.6</v>
      </c>
    </row>
    <row r="94" spans="1:29" x14ac:dyDescent="0.25">
      <c r="A94" s="34">
        <v>40483</v>
      </c>
      <c r="B94" s="34">
        <f t="shared" si="39"/>
        <v>40543</v>
      </c>
      <c r="C94">
        <v>12780</v>
      </c>
      <c r="D94" s="13">
        <f t="shared" si="40"/>
        <v>4.3E-3</v>
      </c>
      <c r="E94">
        <v>4.8600000000000003</v>
      </c>
      <c r="F94">
        <v>4.2</v>
      </c>
      <c r="G94">
        <v>8.1999999999999993</v>
      </c>
      <c r="H94" s="13">
        <f t="shared" si="41"/>
        <v>-2.0899999999999998E-2</v>
      </c>
      <c r="I94">
        <v>545</v>
      </c>
      <c r="J94" s="13">
        <f t="shared" si="42"/>
        <v>3.2000000000000002E-3</v>
      </c>
      <c r="K94">
        <v>4020000</v>
      </c>
      <c r="L94" s="13">
        <f t="shared" si="43"/>
        <v>-2.23E-2</v>
      </c>
      <c r="M94">
        <v>287</v>
      </c>
      <c r="N94">
        <f t="shared" si="44"/>
        <v>294</v>
      </c>
      <c r="O94" s="13">
        <f t="shared" si="45"/>
        <v>-0.19450000000000001</v>
      </c>
      <c r="P94">
        <v>219600</v>
      </c>
      <c r="Q94" s="13">
        <f t="shared" si="46"/>
        <v>1E-4</v>
      </c>
      <c r="R94">
        <v>142.51300000000001</v>
      </c>
      <c r="S94" s="13">
        <f t="shared" si="47"/>
        <v>-5.4999999999999997E-3</v>
      </c>
      <c r="T94">
        <v>16</v>
      </c>
      <c r="U94" s="13">
        <f t="shared" si="48"/>
        <v>0</v>
      </c>
      <c r="V94" s="6">
        <f t="shared" si="49"/>
        <v>0.5</v>
      </c>
      <c r="W94" s="44">
        <f t="shared" si="50"/>
        <v>752.89</v>
      </c>
      <c r="X94" s="15">
        <f t="shared" si="51"/>
        <v>5.8909999999999997E-2</v>
      </c>
      <c r="Y94" s="13">
        <f t="shared" si="52"/>
        <v>2.2303000000000002</v>
      </c>
      <c r="Z94" s="6">
        <f t="shared" si="53"/>
        <v>24.81</v>
      </c>
      <c r="AA94" s="6">
        <f t="shared" si="54"/>
        <v>69.430000000000007</v>
      </c>
      <c r="AB94" s="6">
        <f t="shared" si="55"/>
        <v>40.43</v>
      </c>
      <c r="AC94" s="6">
        <f t="shared" si="56"/>
        <v>28.99</v>
      </c>
    </row>
    <row r="95" spans="1:29" x14ac:dyDescent="0.25">
      <c r="A95" s="34">
        <v>40452</v>
      </c>
      <c r="B95" s="34">
        <f t="shared" si="39"/>
        <v>40512</v>
      </c>
      <c r="C95">
        <v>12725.5</v>
      </c>
      <c r="D95" s="13">
        <f t="shared" si="40"/>
        <v>4.8999999999999998E-3</v>
      </c>
      <c r="E95">
        <v>4.4000000000000004</v>
      </c>
      <c r="F95">
        <v>3.77</v>
      </c>
      <c r="G95">
        <v>8.1999999999999993</v>
      </c>
      <c r="H95" s="13">
        <f t="shared" si="41"/>
        <v>-3.0000000000000001E-3</v>
      </c>
      <c r="I95">
        <v>543</v>
      </c>
      <c r="J95" s="13">
        <f t="shared" si="42"/>
        <v>-1.4E-2</v>
      </c>
      <c r="K95">
        <v>3830000</v>
      </c>
      <c r="L95" s="13">
        <f t="shared" si="43"/>
        <v>-5.1700000000000003E-2</v>
      </c>
      <c r="M95">
        <v>291</v>
      </c>
      <c r="N95">
        <f t="shared" si="44"/>
        <v>293</v>
      </c>
      <c r="O95" s="13">
        <f t="shared" si="45"/>
        <v>-0.22689999999999999</v>
      </c>
      <c r="P95">
        <v>204200</v>
      </c>
      <c r="Q95" s="13">
        <f t="shared" si="46"/>
        <v>-2.3599999999999999E-2</v>
      </c>
      <c r="R95">
        <v>142.99299999999999</v>
      </c>
      <c r="S95" s="13">
        <f t="shared" si="47"/>
        <v>-5.7999999999999996E-3</v>
      </c>
      <c r="T95">
        <v>16</v>
      </c>
      <c r="U95" s="13">
        <f t="shared" si="48"/>
        <v>6.6699999999999995E-2</v>
      </c>
      <c r="V95" s="6">
        <f t="shared" si="49"/>
        <v>-1.25</v>
      </c>
      <c r="W95" s="44">
        <f t="shared" si="50"/>
        <v>716.05</v>
      </c>
      <c r="X95" s="15">
        <f t="shared" si="51"/>
        <v>5.6270000000000001E-2</v>
      </c>
      <c r="Y95" s="13">
        <f t="shared" si="52"/>
        <v>2.2473000000000001</v>
      </c>
      <c r="Z95" s="6">
        <f t="shared" si="53"/>
        <v>-8.17</v>
      </c>
      <c r="AA95" s="6">
        <f t="shared" si="54"/>
        <v>68.75</v>
      </c>
      <c r="AB95" s="6">
        <f t="shared" si="55"/>
        <v>18.75</v>
      </c>
      <c r="AC95" s="6">
        <f t="shared" si="56"/>
        <v>28.02</v>
      </c>
    </row>
    <row r="96" spans="1:29" x14ac:dyDescent="0.25">
      <c r="A96" s="34">
        <v>40422</v>
      </c>
      <c r="B96" s="34">
        <f t="shared" si="39"/>
        <v>40482</v>
      </c>
      <c r="C96">
        <v>12663.7</v>
      </c>
      <c r="D96" s="13">
        <f t="shared" si="40"/>
        <v>8.0000000000000004E-4</v>
      </c>
      <c r="E96">
        <v>4.2300000000000004</v>
      </c>
      <c r="F96">
        <v>3.66</v>
      </c>
      <c r="G96">
        <v>7.6</v>
      </c>
      <c r="H96" s="13">
        <f t="shared" si="41"/>
        <v>-4.82E-2</v>
      </c>
      <c r="I96">
        <v>594</v>
      </c>
      <c r="J96" s="13">
        <f t="shared" si="42"/>
        <v>-3.15E-2</v>
      </c>
      <c r="K96">
        <v>3840000</v>
      </c>
      <c r="L96" s="13">
        <f t="shared" si="43"/>
        <v>-4.6100000000000002E-2</v>
      </c>
      <c r="M96">
        <v>317</v>
      </c>
      <c r="N96">
        <f t="shared" si="44"/>
        <v>315</v>
      </c>
      <c r="O96" s="13">
        <f t="shared" si="45"/>
        <v>-0.1923</v>
      </c>
      <c r="P96">
        <v>228000</v>
      </c>
      <c r="Q96" s="13">
        <f t="shared" si="46"/>
        <v>1.7999999999999999E-2</v>
      </c>
      <c r="R96">
        <v>143.886</v>
      </c>
      <c r="S96" s="13">
        <f t="shared" si="47"/>
        <v>-4.3E-3</v>
      </c>
      <c r="T96">
        <v>15</v>
      </c>
      <c r="U96" s="13">
        <f t="shared" si="48"/>
        <v>0.15379999999999999</v>
      </c>
      <c r="V96" s="6">
        <f t="shared" si="49"/>
        <v>-2.42</v>
      </c>
      <c r="W96" s="44">
        <f t="shared" si="50"/>
        <v>706.15</v>
      </c>
      <c r="X96" s="15">
        <f t="shared" si="51"/>
        <v>5.5759999999999997E-2</v>
      </c>
      <c r="Y96" s="13">
        <f t="shared" si="52"/>
        <v>2.2724000000000002</v>
      </c>
      <c r="Z96" s="6">
        <f t="shared" si="53"/>
        <v>8.26</v>
      </c>
      <c r="AA96" s="6">
        <f t="shared" si="54"/>
        <v>64.099999999999994</v>
      </c>
      <c r="AB96" s="6">
        <f t="shared" si="55"/>
        <v>27.8</v>
      </c>
      <c r="AC96" s="6">
        <f t="shared" si="56"/>
        <v>32.57</v>
      </c>
    </row>
    <row r="97" spans="1:29" x14ac:dyDescent="0.25">
      <c r="A97" s="34">
        <v>40391</v>
      </c>
      <c r="B97" s="34">
        <f t="shared" si="39"/>
        <v>40451</v>
      </c>
      <c r="C97">
        <v>12653.7</v>
      </c>
      <c r="D97" s="13">
        <f t="shared" si="40"/>
        <v>5.0000000000000001E-3</v>
      </c>
      <c r="E97">
        <v>4.32</v>
      </c>
      <c r="F97">
        <v>3.75</v>
      </c>
      <c r="G97">
        <v>8.8000000000000007</v>
      </c>
      <c r="H97" s="13">
        <f t="shared" si="41"/>
        <v>7.9500000000000001E-2</v>
      </c>
      <c r="I97">
        <v>599</v>
      </c>
      <c r="J97" s="13">
        <f t="shared" si="42"/>
        <v>-1.24E-2</v>
      </c>
      <c r="K97">
        <v>3680000</v>
      </c>
      <c r="L97" s="13">
        <f t="shared" si="43"/>
        <v>-3.6700000000000003E-2</v>
      </c>
      <c r="M97">
        <v>282</v>
      </c>
      <c r="N97">
        <f t="shared" si="44"/>
        <v>326</v>
      </c>
      <c r="O97" s="13">
        <f t="shared" si="45"/>
        <v>-0.17879999999999999</v>
      </c>
      <c r="P97">
        <v>226600</v>
      </c>
      <c r="Q97" s="13">
        <f t="shared" si="46"/>
        <v>1.6000000000000001E-3</v>
      </c>
      <c r="R97">
        <v>144.96700000000001</v>
      </c>
      <c r="S97" s="13">
        <f t="shared" si="47"/>
        <v>-1.5E-3</v>
      </c>
      <c r="T97">
        <v>13</v>
      </c>
      <c r="U97" s="13">
        <f t="shared" si="48"/>
        <v>0</v>
      </c>
      <c r="V97" s="6">
        <f t="shared" si="49"/>
        <v>-2.5</v>
      </c>
      <c r="W97" s="44">
        <f t="shared" si="50"/>
        <v>719.1</v>
      </c>
      <c r="X97" s="15">
        <f t="shared" si="51"/>
        <v>5.6829999999999999E-2</v>
      </c>
      <c r="Y97" s="13">
        <f t="shared" si="52"/>
        <v>2.2913000000000001</v>
      </c>
      <c r="Z97" s="6">
        <f t="shared" si="53"/>
        <v>25.11</v>
      </c>
      <c r="AA97" s="6">
        <f t="shared" si="54"/>
        <v>60.53</v>
      </c>
      <c r="AB97" s="6">
        <f t="shared" si="55"/>
        <v>37.51</v>
      </c>
      <c r="AC97" s="6">
        <f t="shared" si="56"/>
        <v>40.19</v>
      </c>
    </row>
    <row r="98" spans="1:29" x14ac:dyDescent="0.25">
      <c r="A98" s="34">
        <v>40360</v>
      </c>
      <c r="B98" s="34">
        <f t="shared" si="39"/>
        <v>40421</v>
      </c>
      <c r="C98">
        <v>12590.6</v>
      </c>
      <c r="D98" s="13">
        <f t="shared" si="40"/>
        <v>3.8E-3</v>
      </c>
      <c r="E98">
        <v>4.3600000000000003</v>
      </c>
      <c r="F98">
        <v>3.86</v>
      </c>
      <c r="G98">
        <v>8.9</v>
      </c>
      <c r="H98" s="13">
        <f t="shared" si="41"/>
        <v>5.8299999999999998E-2</v>
      </c>
      <c r="I98">
        <v>546</v>
      </c>
      <c r="J98" s="13">
        <f t="shared" si="42"/>
        <v>-1.9E-2</v>
      </c>
      <c r="K98">
        <v>3450000</v>
      </c>
      <c r="L98" s="13">
        <f t="shared" si="43"/>
        <v>-3.5799999999999998E-2</v>
      </c>
      <c r="M98">
        <v>283</v>
      </c>
      <c r="N98">
        <f t="shared" si="44"/>
        <v>335</v>
      </c>
      <c r="O98" s="13">
        <f t="shared" si="45"/>
        <v>-0.15620000000000001</v>
      </c>
      <c r="P98">
        <v>212100</v>
      </c>
      <c r="Q98" s="13">
        <f t="shared" si="46"/>
        <v>-8.8999999999999999E-3</v>
      </c>
      <c r="R98">
        <v>145.69799999999901</v>
      </c>
      <c r="S98" s="13">
        <f t="shared" si="47"/>
        <v>1E-4</v>
      </c>
      <c r="T98">
        <v>13</v>
      </c>
      <c r="U98" s="13">
        <f t="shared" si="48"/>
        <v>-7.1400000000000005E-2</v>
      </c>
      <c r="V98" s="6">
        <f t="shared" si="49"/>
        <v>-0.92</v>
      </c>
      <c r="W98" s="44">
        <f t="shared" si="50"/>
        <v>726.16</v>
      </c>
      <c r="X98" s="15">
        <f t="shared" si="51"/>
        <v>5.7669999999999999E-2</v>
      </c>
      <c r="Y98" s="13">
        <f t="shared" si="52"/>
        <v>2.3144</v>
      </c>
      <c r="Z98" s="6">
        <f t="shared" si="53"/>
        <v>20.39</v>
      </c>
      <c r="AA98" s="6">
        <f t="shared" si="54"/>
        <v>54.74</v>
      </c>
      <c r="AB98" s="6">
        <f t="shared" si="55"/>
        <v>32.409999999999997</v>
      </c>
      <c r="AC98" s="6">
        <f t="shared" si="56"/>
        <v>49.58</v>
      </c>
    </row>
    <row r="99" spans="1:29" x14ac:dyDescent="0.25">
      <c r="A99" s="34">
        <v>40330</v>
      </c>
      <c r="B99" s="34">
        <f t="shared" si="39"/>
        <v>40390</v>
      </c>
      <c r="C99">
        <v>12542.8</v>
      </c>
      <c r="D99" s="13">
        <f t="shared" si="40"/>
        <v>1.6999999999999999E-3</v>
      </c>
      <c r="E99">
        <v>4.54</v>
      </c>
      <c r="F99">
        <v>4</v>
      </c>
      <c r="G99">
        <v>8.3000000000000007</v>
      </c>
      <c r="H99" s="13">
        <f t="shared" si="41"/>
        <v>0</v>
      </c>
      <c r="I99">
        <v>536</v>
      </c>
      <c r="J99" s="13">
        <f t="shared" si="42"/>
        <v>-2.5000000000000001E-2</v>
      </c>
      <c r="K99">
        <v>4450000</v>
      </c>
      <c r="L99" s="13">
        <f t="shared" si="43"/>
        <v>1.15E-2</v>
      </c>
      <c r="M99">
        <v>305</v>
      </c>
      <c r="N99">
        <f t="shared" si="44"/>
        <v>345</v>
      </c>
      <c r="O99" s="13">
        <f t="shared" si="45"/>
        <v>-0.1085</v>
      </c>
      <c r="P99">
        <v>219500</v>
      </c>
      <c r="Q99" s="13">
        <f t="shared" si="46"/>
        <v>1.1999999999999999E-3</v>
      </c>
      <c r="R99">
        <v>146.374</v>
      </c>
      <c r="S99" s="13">
        <f t="shared" si="47"/>
        <v>-1.6999999999999999E-3</v>
      </c>
      <c r="T99">
        <v>14</v>
      </c>
      <c r="U99" s="13">
        <f t="shared" si="48"/>
        <v>-0.125</v>
      </c>
      <c r="V99" s="6">
        <f t="shared" si="49"/>
        <v>0.42</v>
      </c>
      <c r="W99" s="44">
        <f t="shared" si="50"/>
        <v>745.14</v>
      </c>
      <c r="X99" s="15">
        <f t="shared" si="51"/>
        <v>5.9409999999999998E-2</v>
      </c>
      <c r="Y99" s="13">
        <f t="shared" si="52"/>
        <v>2.3340000000000001</v>
      </c>
      <c r="Z99" s="6">
        <f t="shared" si="53"/>
        <v>50.73</v>
      </c>
      <c r="AA99" s="6">
        <f t="shared" si="54"/>
        <v>50.46</v>
      </c>
      <c r="AB99" s="6">
        <f t="shared" si="55"/>
        <v>50.64</v>
      </c>
      <c r="AC99" s="6">
        <f t="shared" si="56"/>
        <v>59.65</v>
      </c>
    </row>
    <row r="100" spans="1:29" x14ac:dyDescent="0.25">
      <c r="A100" s="34">
        <v>40299</v>
      </c>
      <c r="B100" s="34">
        <f t="shared" si="39"/>
        <v>40359</v>
      </c>
      <c r="C100">
        <v>12520.9</v>
      </c>
      <c r="D100" s="13">
        <f t="shared" si="40"/>
        <v>8.6E-3</v>
      </c>
      <c r="E100">
        <v>4.6900000000000004</v>
      </c>
      <c r="F100">
        <v>4.13</v>
      </c>
      <c r="G100">
        <v>9.3000000000000007</v>
      </c>
      <c r="H100" s="13">
        <f t="shared" si="41"/>
        <v>4.0399999999999998E-2</v>
      </c>
      <c r="I100">
        <v>583</v>
      </c>
      <c r="J100" s="13">
        <f t="shared" si="42"/>
        <v>5.9999999999999995E-4</v>
      </c>
      <c r="K100">
        <v>4880000</v>
      </c>
      <c r="L100" s="13">
        <f t="shared" si="43"/>
        <v>1.5699999999999999E-2</v>
      </c>
      <c r="M100">
        <v>280</v>
      </c>
      <c r="N100">
        <f t="shared" si="44"/>
        <v>353</v>
      </c>
      <c r="O100" s="13">
        <f t="shared" si="45"/>
        <v>-6.8599999999999994E-2</v>
      </c>
      <c r="P100">
        <v>230500</v>
      </c>
      <c r="Q100" s="13">
        <f t="shared" si="46"/>
        <v>7.1999999999999998E-3</v>
      </c>
      <c r="R100">
        <v>146.38800000000001</v>
      </c>
      <c r="S100" s="13">
        <f t="shared" si="47"/>
        <v>-2.7000000000000001E-3</v>
      </c>
      <c r="T100">
        <v>16</v>
      </c>
      <c r="U100" s="13">
        <f t="shared" si="48"/>
        <v>-0.2727</v>
      </c>
      <c r="V100" s="6">
        <f t="shared" si="49"/>
        <v>0.67</v>
      </c>
      <c r="W100" s="44">
        <f t="shared" si="50"/>
        <v>758.34</v>
      </c>
      <c r="X100" s="15">
        <f t="shared" si="51"/>
        <v>6.0569999999999999E-2</v>
      </c>
      <c r="Y100" s="13">
        <f t="shared" si="52"/>
        <v>2.3382999999999998</v>
      </c>
      <c r="Z100" s="6">
        <f t="shared" si="53"/>
        <v>75.14</v>
      </c>
      <c r="AA100" s="6">
        <f t="shared" si="54"/>
        <v>48.17</v>
      </c>
      <c r="AB100" s="6">
        <f t="shared" si="55"/>
        <v>65.7</v>
      </c>
      <c r="AC100" s="6">
        <f t="shared" si="56"/>
        <v>64.069999999999993</v>
      </c>
    </row>
    <row r="101" spans="1:29" x14ac:dyDescent="0.25">
      <c r="A101" s="34">
        <v>40269</v>
      </c>
      <c r="B101" s="34">
        <f t="shared" si="39"/>
        <v>40329</v>
      </c>
      <c r="C101">
        <v>12414.3</v>
      </c>
      <c r="D101" s="13">
        <f t="shared" si="40"/>
        <v>8.6E-3</v>
      </c>
      <c r="E101">
        <v>4.78</v>
      </c>
      <c r="F101">
        <v>4.21</v>
      </c>
      <c r="G101">
        <v>6.2</v>
      </c>
      <c r="H101" s="13">
        <f t="shared" si="41"/>
        <v>-5.7099999999999998E-2</v>
      </c>
      <c r="I101">
        <v>687</v>
      </c>
      <c r="J101" s="13">
        <f t="shared" si="42"/>
        <v>3.27E-2</v>
      </c>
      <c r="K101">
        <v>4820000</v>
      </c>
      <c r="L101" s="13">
        <f t="shared" si="43"/>
        <v>-2.4500000000000001E-2</v>
      </c>
      <c r="M101">
        <v>422</v>
      </c>
      <c r="N101">
        <f t="shared" si="44"/>
        <v>369</v>
      </c>
      <c r="O101" s="13">
        <f t="shared" si="45"/>
        <v>-5.4000000000000003E-3</v>
      </c>
      <c r="P101">
        <v>208300</v>
      </c>
      <c r="Q101" s="13">
        <f t="shared" si="46"/>
        <v>-9.4999999999999998E-3</v>
      </c>
      <c r="R101">
        <v>145.85900000000001</v>
      </c>
      <c r="S101" s="13">
        <f t="shared" si="47"/>
        <v>-3.8999999999999998E-3</v>
      </c>
      <c r="T101">
        <v>22</v>
      </c>
      <c r="U101" s="13">
        <f t="shared" si="48"/>
        <v>0.15790000000000001</v>
      </c>
      <c r="V101" s="6">
        <f t="shared" si="49"/>
        <v>1.75</v>
      </c>
      <c r="W101" s="44">
        <f t="shared" si="50"/>
        <v>763.51</v>
      </c>
      <c r="X101" s="15">
        <f t="shared" si="51"/>
        <v>6.1499999999999999E-2</v>
      </c>
      <c r="Y101" s="13">
        <f t="shared" si="52"/>
        <v>2.3498999999999999</v>
      </c>
      <c r="Z101" s="6">
        <f t="shared" si="53"/>
        <v>73.67</v>
      </c>
      <c r="AA101" s="6">
        <f t="shared" si="54"/>
        <v>42.11</v>
      </c>
      <c r="AB101" s="6">
        <f t="shared" si="55"/>
        <v>62.62</v>
      </c>
      <c r="AC101" s="6">
        <f t="shared" si="56"/>
        <v>61.16</v>
      </c>
    </row>
    <row r="102" spans="1:29" x14ac:dyDescent="0.25">
      <c r="A102" s="34">
        <v>40238</v>
      </c>
      <c r="B102" s="34">
        <f t="shared" si="39"/>
        <v>40298</v>
      </c>
      <c r="C102">
        <v>12308.6</v>
      </c>
      <c r="D102" s="13">
        <f t="shared" si="40"/>
        <v>4.4000000000000003E-3</v>
      </c>
      <c r="E102">
        <v>5.0599999999999996</v>
      </c>
      <c r="F102">
        <v>4.3899999999999997</v>
      </c>
      <c r="G102">
        <v>7.1</v>
      </c>
      <c r="H102" s="13">
        <f t="shared" si="41"/>
        <v>-1.5599999999999999E-2</v>
      </c>
      <c r="I102">
        <v>636</v>
      </c>
      <c r="J102" s="13">
        <f t="shared" si="42"/>
        <v>3.49E-2</v>
      </c>
      <c r="K102">
        <v>4490000</v>
      </c>
      <c r="L102" s="13">
        <f t="shared" si="43"/>
        <v>-2.1000000000000001E-2</v>
      </c>
      <c r="M102">
        <v>381</v>
      </c>
      <c r="N102">
        <f t="shared" si="44"/>
        <v>364</v>
      </c>
      <c r="O102" s="13">
        <f t="shared" si="45"/>
        <v>1.3899999999999999E-2</v>
      </c>
      <c r="P102">
        <v>224800</v>
      </c>
      <c r="Q102" s="13">
        <f t="shared" si="46"/>
        <v>8.8000000000000005E-3</v>
      </c>
      <c r="R102">
        <v>145.642</v>
      </c>
      <c r="S102" s="13">
        <f t="shared" si="47"/>
        <v>-3.8E-3</v>
      </c>
      <c r="T102">
        <v>19</v>
      </c>
      <c r="U102" s="13">
        <f t="shared" si="48"/>
        <v>0.26669999999999999</v>
      </c>
      <c r="V102" s="6">
        <f t="shared" si="49"/>
        <v>0.33</v>
      </c>
      <c r="W102" s="44">
        <f t="shared" si="50"/>
        <v>787.19</v>
      </c>
      <c r="X102" s="15">
        <f t="shared" si="51"/>
        <v>6.3950000000000007E-2</v>
      </c>
      <c r="Y102" s="13">
        <f t="shared" si="52"/>
        <v>2.3664999999999998</v>
      </c>
      <c r="Z102" s="6">
        <f t="shared" si="53"/>
        <v>77.08</v>
      </c>
      <c r="AA102" s="6">
        <f t="shared" si="54"/>
        <v>39.369999999999997</v>
      </c>
      <c r="AB102" s="6">
        <f t="shared" si="55"/>
        <v>63.88</v>
      </c>
      <c r="AC102" s="6">
        <f t="shared" si="56"/>
        <v>61.34</v>
      </c>
    </row>
    <row r="103" spans="1:29" x14ac:dyDescent="0.25">
      <c r="A103" s="34">
        <v>40210</v>
      </c>
      <c r="B103" s="34">
        <f t="shared" si="39"/>
        <v>40268</v>
      </c>
      <c r="C103">
        <v>12254.8</v>
      </c>
      <c r="D103" s="13">
        <f t="shared" si="40"/>
        <v>-8.0000000000000004E-4</v>
      </c>
      <c r="E103">
        <v>4.99</v>
      </c>
      <c r="F103">
        <v>4.34</v>
      </c>
      <c r="G103">
        <v>8.3000000000000007</v>
      </c>
      <c r="H103" s="13">
        <f t="shared" si="41"/>
        <v>2.8899999999999999E-2</v>
      </c>
      <c r="I103">
        <v>604</v>
      </c>
      <c r="J103" s="13">
        <f t="shared" si="42"/>
        <v>6.4999999999999997E-3</v>
      </c>
      <c r="K103">
        <v>4270000</v>
      </c>
      <c r="L103" s="13">
        <f t="shared" si="43"/>
        <v>-1.3100000000000001E-2</v>
      </c>
      <c r="M103">
        <v>336</v>
      </c>
      <c r="N103">
        <f t="shared" si="44"/>
        <v>365</v>
      </c>
      <c r="O103" s="13">
        <f t="shared" si="45"/>
        <v>2.53E-2</v>
      </c>
      <c r="P103">
        <v>221900</v>
      </c>
      <c r="Q103" s="13">
        <f t="shared" si="46"/>
        <v>4.8999999999999998E-3</v>
      </c>
      <c r="R103">
        <v>147.39400000000001</v>
      </c>
      <c r="S103" s="13">
        <f t="shared" si="47"/>
        <v>-1.1000000000000001E-3</v>
      </c>
      <c r="T103">
        <v>15</v>
      </c>
      <c r="U103" s="13">
        <f t="shared" si="48"/>
        <v>-0.1176</v>
      </c>
      <c r="V103" s="6">
        <f t="shared" si="49"/>
        <v>-1.08</v>
      </c>
      <c r="W103" s="44">
        <f t="shared" si="50"/>
        <v>790.34</v>
      </c>
      <c r="X103" s="15">
        <f t="shared" si="51"/>
        <v>6.4490000000000006E-2</v>
      </c>
      <c r="Y103" s="13">
        <f t="shared" si="52"/>
        <v>2.4055</v>
      </c>
      <c r="Z103" s="6">
        <f t="shared" si="53"/>
        <v>69.23</v>
      </c>
      <c r="AA103" s="6">
        <f t="shared" si="54"/>
        <v>34.19</v>
      </c>
      <c r="AB103" s="6">
        <f t="shared" si="55"/>
        <v>56.97</v>
      </c>
      <c r="AC103" s="6">
        <f t="shared" si="56"/>
        <v>61.15</v>
      </c>
    </row>
    <row r="104" spans="1:29" x14ac:dyDescent="0.25">
      <c r="A104" s="34">
        <v>40179</v>
      </c>
      <c r="B104" s="34">
        <f t="shared" si="39"/>
        <v>40237</v>
      </c>
      <c r="C104">
        <v>12264.2</v>
      </c>
      <c r="D104" s="13">
        <f t="shared" si="40"/>
        <v>6.0000000000000001E-3</v>
      </c>
      <c r="E104">
        <v>5.05</v>
      </c>
      <c r="F104">
        <v>4.4000000000000004</v>
      </c>
      <c r="G104">
        <v>8.1</v>
      </c>
      <c r="H104" s="13">
        <f t="shared" si="41"/>
        <v>9.7000000000000003E-3</v>
      </c>
      <c r="I104">
        <v>614</v>
      </c>
      <c r="J104" s="13">
        <f t="shared" si="42"/>
        <v>9.7000000000000003E-3</v>
      </c>
      <c r="K104">
        <v>4190000</v>
      </c>
      <c r="L104" s="13">
        <f t="shared" si="43"/>
        <v>-8.8000000000000005E-3</v>
      </c>
      <c r="M104">
        <v>345</v>
      </c>
      <c r="N104">
        <f t="shared" si="44"/>
        <v>379</v>
      </c>
      <c r="O104" s="13">
        <f t="shared" si="45"/>
        <v>5.8700000000000002E-2</v>
      </c>
      <c r="P104">
        <v>218200</v>
      </c>
      <c r="Q104" s="13">
        <f t="shared" si="46"/>
        <v>1.03E-2</v>
      </c>
      <c r="R104">
        <v>147.94399999999999</v>
      </c>
      <c r="S104" s="13">
        <f t="shared" si="47"/>
        <v>-5.9999999999999995E-4</v>
      </c>
      <c r="T104">
        <v>17</v>
      </c>
      <c r="U104" s="13">
        <f t="shared" si="48"/>
        <v>0.1333</v>
      </c>
      <c r="V104" s="6">
        <f t="shared" si="49"/>
        <v>-0.75</v>
      </c>
      <c r="W104" s="44">
        <f t="shared" si="50"/>
        <v>798.72</v>
      </c>
      <c r="X104" s="15">
        <f t="shared" si="51"/>
        <v>6.5129999999999993E-2</v>
      </c>
      <c r="Y104" s="13">
        <f t="shared" si="52"/>
        <v>2.4125999999999999</v>
      </c>
      <c r="Z104" s="6">
        <f t="shared" si="53"/>
        <v>79.11</v>
      </c>
      <c r="AA104" s="6">
        <f t="shared" si="54"/>
        <v>33.56</v>
      </c>
      <c r="AB104" s="6">
        <f t="shared" si="55"/>
        <v>63.17</v>
      </c>
      <c r="AC104" s="6">
        <f t="shared" si="56"/>
        <v>69.459999999999994</v>
      </c>
    </row>
    <row r="105" spans="1:29" x14ac:dyDescent="0.25">
      <c r="A105" s="34">
        <v>40148</v>
      </c>
      <c r="B105" s="34">
        <f t="shared" si="39"/>
        <v>40209</v>
      </c>
      <c r="C105">
        <v>12190.6</v>
      </c>
      <c r="D105" s="13">
        <f t="shared" si="40"/>
        <v>5.4999999999999997E-3</v>
      </c>
      <c r="E105">
        <v>4.9800000000000004</v>
      </c>
      <c r="F105">
        <v>4.3899999999999997</v>
      </c>
      <c r="G105">
        <v>8</v>
      </c>
      <c r="H105" s="13">
        <f t="shared" si="41"/>
        <v>1.6500000000000001E-2</v>
      </c>
      <c r="I105">
        <v>581</v>
      </c>
      <c r="J105" s="13">
        <f t="shared" si="42"/>
        <v>-4.4999999999999997E-3</v>
      </c>
      <c r="K105">
        <v>4530000</v>
      </c>
      <c r="L105" s="13">
        <f t="shared" si="43"/>
        <v>8.8999999999999999E-3</v>
      </c>
      <c r="M105">
        <v>352</v>
      </c>
      <c r="N105">
        <f t="shared" si="44"/>
        <v>390</v>
      </c>
      <c r="O105" s="13">
        <f t="shared" si="45"/>
        <v>5.9799999999999999E-2</v>
      </c>
      <c r="P105">
        <v>222600</v>
      </c>
      <c r="Q105" s="13">
        <f t="shared" si="46"/>
        <v>7.7999999999999996E-3</v>
      </c>
      <c r="R105">
        <v>148.14699999999999</v>
      </c>
      <c r="S105" s="13">
        <f t="shared" si="47"/>
        <v>-5.0000000000000001E-4</v>
      </c>
      <c r="T105">
        <v>15</v>
      </c>
      <c r="U105" s="13">
        <f t="shared" si="48"/>
        <v>-6.25E-2</v>
      </c>
      <c r="V105" s="6">
        <f t="shared" si="49"/>
        <v>-1.08</v>
      </c>
      <c r="W105" s="44">
        <f t="shared" si="50"/>
        <v>793.48</v>
      </c>
      <c r="X105" s="15">
        <f t="shared" si="51"/>
        <v>6.5089999999999995E-2</v>
      </c>
      <c r="Y105" s="13">
        <f t="shared" si="52"/>
        <v>2.4304999999999999</v>
      </c>
      <c r="Z105" s="6">
        <f t="shared" si="53"/>
        <v>81.83</v>
      </c>
      <c r="AA105" s="6">
        <f t="shared" si="54"/>
        <v>28.91</v>
      </c>
      <c r="AB105" s="6">
        <f t="shared" si="55"/>
        <v>63.31</v>
      </c>
      <c r="AC105" s="6">
        <f t="shared" si="56"/>
        <v>71.400000000000006</v>
      </c>
    </row>
    <row r="106" spans="1:29" x14ac:dyDescent="0.25">
      <c r="A106" s="34">
        <v>40118</v>
      </c>
      <c r="B106" s="34">
        <f t="shared" si="39"/>
        <v>40178</v>
      </c>
      <c r="C106">
        <v>12123.7</v>
      </c>
      <c r="D106" s="13">
        <f t="shared" si="40"/>
        <v>5.1000000000000004E-3</v>
      </c>
      <c r="E106">
        <v>5.14</v>
      </c>
      <c r="F106">
        <v>4.54</v>
      </c>
      <c r="G106">
        <v>7.6</v>
      </c>
      <c r="H106" s="13">
        <f t="shared" si="41"/>
        <v>-9.7999999999999997E-3</v>
      </c>
      <c r="I106">
        <v>588</v>
      </c>
      <c r="J106" s="13">
        <f t="shared" si="42"/>
        <v>1E-3</v>
      </c>
      <c r="K106">
        <v>5380000</v>
      </c>
      <c r="L106" s="13">
        <f t="shared" si="43"/>
        <v>5.6300000000000003E-2</v>
      </c>
      <c r="M106">
        <v>375</v>
      </c>
      <c r="N106">
        <f t="shared" si="44"/>
        <v>397</v>
      </c>
      <c r="O106" s="13">
        <f t="shared" si="45"/>
        <v>3.6600000000000001E-2</v>
      </c>
      <c r="P106">
        <v>218800</v>
      </c>
      <c r="Q106" s="13">
        <f t="shared" si="46"/>
        <v>3.8E-3</v>
      </c>
      <c r="R106">
        <v>147.86000000000001</v>
      </c>
      <c r="S106" s="13">
        <f t="shared" si="47"/>
        <v>-4.0000000000000002E-4</v>
      </c>
      <c r="T106">
        <v>16</v>
      </c>
      <c r="U106" s="13">
        <f t="shared" si="48"/>
        <v>-5.8799999999999998E-2</v>
      </c>
      <c r="V106" s="6">
        <f t="shared" si="49"/>
        <v>0.08</v>
      </c>
      <c r="W106" s="44">
        <f t="shared" si="50"/>
        <v>806.44</v>
      </c>
      <c r="X106" s="15">
        <f t="shared" si="51"/>
        <v>6.6519999999999996E-2</v>
      </c>
      <c r="Y106" s="13">
        <f t="shared" si="52"/>
        <v>2.4392</v>
      </c>
      <c r="Z106" s="6">
        <f t="shared" si="53"/>
        <v>108.43</v>
      </c>
      <c r="AA106" s="6">
        <f t="shared" si="54"/>
        <v>32.6</v>
      </c>
      <c r="AB106" s="6">
        <f t="shared" si="55"/>
        <v>81.89</v>
      </c>
      <c r="AC106" s="6">
        <f t="shared" si="56"/>
        <v>72.37</v>
      </c>
    </row>
    <row r="107" spans="1:29" x14ac:dyDescent="0.25">
      <c r="A107" s="34">
        <v>40087</v>
      </c>
      <c r="B107" s="34">
        <f t="shared" si="39"/>
        <v>40147</v>
      </c>
      <c r="C107">
        <v>12061.6</v>
      </c>
      <c r="D107" s="13">
        <f t="shared" si="40"/>
        <v>-4.0000000000000002E-4</v>
      </c>
      <c r="E107">
        <v>4.78</v>
      </c>
      <c r="F107">
        <v>4.29</v>
      </c>
      <c r="G107">
        <v>7.4</v>
      </c>
      <c r="H107" s="13">
        <f t="shared" si="41"/>
        <v>-3.4700000000000002E-2</v>
      </c>
      <c r="I107">
        <v>534</v>
      </c>
      <c r="J107" s="13">
        <f t="shared" si="42"/>
        <v>-2.0999999999999999E-3</v>
      </c>
      <c r="K107">
        <v>4980000</v>
      </c>
      <c r="L107" s="13">
        <f t="shared" si="43"/>
        <v>4.53E-2</v>
      </c>
      <c r="M107">
        <v>396</v>
      </c>
      <c r="N107">
        <f t="shared" si="44"/>
        <v>397</v>
      </c>
      <c r="O107" s="13">
        <f t="shared" si="45"/>
        <v>7.6E-3</v>
      </c>
      <c r="P107">
        <v>215100</v>
      </c>
      <c r="Q107" s="13">
        <f t="shared" si="46"/>
        <v>-6.7000000000000002E-3</v>
      </c>
      <c r="R107">
        <v>148.03299999999999</v>
      </c>
      <c r="S107" s="13">
        <f t="shared" si="47"/>
        <v>5.0000000000000001E-4</v>
      </c>
      <c r="T107">
        <v>17</v>
      </c>
      <c r="U107" s="13">
        <f t="shared" si="48"/>
        <v>0</v>
      </c>
      <c r="V107" s="6">
        <f t="shared" si="49"/>
        <v>0.75</v>
      </c>
      <c r="W107" s="44">
        <f t="shared" si="50"/>
        <v>774.89</v>
      </c>
      <c r="X107" s="15">
        <f t="shared" si="51"/>
        <v>6.4240000000000005E-2</v>
      </c>
      <c r="Y107" s="13">
        <f t="shared" si="52"/>
        <v>2.4546000000000001</v>
      </c>
      <c r="Z107" s="6">
        <f t="shared" si="53"/>
        <v>91.52</v>
      </c>
      <c r="AA107" s="6">
        <f t="shared" si="54"/>
        <v>27.14</v>
      </c>
      <c r="AB107" s="6">
        <f t="shared" si="55"/>
        <v>68.989999999999995</v>
      </c>
      <c r="AC107" s="6">
        <f t="shared" si="56"/>
        <v>64.08</v>
      </c>
    </row>
    <row r="108" spans="1:29" x14ac:dyDescent="0.25">
      <c r="A108" s="34">
        <v>40057</v>
      </c>
      <c r="B108" s="34">
        <f t="shared" si="39"/>
        <v>40117</v>
      </c>
      <c r="C108">
        <v>12066.4</v>
      </c>
      <c r="D108" s="13">
        <f t="shared" si="40"/>
        <v>3.2000000000000002E-3</v>
      </c>
      <c r="E108">
        <v>5.03</v>
      </c>
      <c r="F108">
        <v>4.46</v>
      </c>
      <c r="G108">
        <v>7.8</v>
      </c>
      <c r="H108" s="13">
        <f t="shared" si="41"/>
        <v>-4.5199999999999997E-2</v>
      </c>
      <c r="I108">
        <v>585</v>
      </c>
      <c r="J108" s="13">
        <f t="shared" si="42"/>
        <v>3.8399999999999997E-2</v>
      </c>
      <c r="K108">
        <v>4580000</v>
      </c>
      <c r="L108" s="13">
        <f t="shared" si="43"/>
        <v>2.93E-2</v>
      </c>
      <c r="M108">
        <v>386</v>
      </c>
      <c r="N108">
        <f t="shared" si="44"/>
        <v>387</v>
      </c>
      <c r="O108" s="13">
        <f t="shared" si="45"/>
        <v>-7.1900000000000006E-2</v>
      </c>
      <c r="P108">
        <v>216600</v>
      </c>
      <c r="Q108" s="13">
        <f t="shared" si="46"/>
        <v>-2.3999999999999998E-3</v>
      </c>
      <c r="R108">
        <v>148.28700000000001</v>
      </c>
      <c r="S108" s="13">
        <f t="shared" si="47"/>
        <v>5.0000000000000001E-4</v>
      </c>
      <c r="T108">
        <v>17</v>
      </c>
      <c r="U108" s="13">
        <f t="shared" si="48"/>
        <v>-0.1053</v>
      </c>
      <c r="V108" s="6">
        <f t="shared" si="49"/>
        <v>1.25</v>
      </c>
      <c r="W108" s="44">
        <f t="shared" si="50"/>
        <v>798.76</v>
      </c>
      <c r="X108" s="15">
        <f t="shared" si="51"/>
        <v>6.6199999999999995E-2</v>
      </c>
      <c r="Y108" s="13">
        <f t="shared" si="52"/>
        <v>2.4578000000000002</v>
      </c>
      <c r="Z108" s="6">
        <f t="shared" si="53"/>
        <v>87.85</v>
      </c>
      <c r="AA108" s="6">
        <f t="shared" si="54"/>
        <v>26.12</v>
      </c>
      <c r="AB108" s="6">
        <f t="shared" si="55"/>
        <v>66.239999999999995</v>
      </c>
      <c r="AC108" s="6">
        <f t="shared" si="56"/>
        <v>55.77</v>
      </c>
    </row>
    <row r="109" spans="1:29" x14ac:dyDescent="0.25">
      <c r="A109" s="34">
        <v>40026</v>
      </c>
      <c r="B109" s="34">
        <f t="shared" si="39"/>
        <v>40086</v>
      </c>
      <c r="C109">
        <v>12027.4</v>
      </c>
      <c r="D109" s="13">
        <f t="shared" si="40"/>
        <v>5.0000000000000001E-4</v>
      </c>
      <c r="E109">
        <v>5.04</v>
      </c>
      <c r="F109">
        <v>4.46</v>
      </c>
      <c r="G109">
        <v>7.5</v>
      </c>
      <c r="H109" s="13">
        <f t="shared" si="41"/>
        <v>-8.7900000000000006E-2</v>
      </c>
      <c r="I109">
        <v>586</v>
      </c>
      <c r="J109" s="13">
        <f t="shared" si="42"/>
        <v>0.03</v>
      </c>
      <c r="K109">
        <v>4400000</v>
      </c>
      <c r="L109" s="13">
        <f t="shared" si="43"/>
        <v>2.2599999999999999E-2</v>
      </c>
      <c r="M109">
        <v>418</v>
      </c>
      <c r="N109">
        <f t="shared" si="44"/>
        <v>379</v>
      </c>
      <c r="O109" s="13">
        <f t="shared" si="45"/>
        <v>-0.13070000000000001</v>
      </c>
      <c r="P109">
        <v>207100</v>
      </c>
      <c r="Q109" s="13">
        <f t="shared" si="46"/>
        <v>1.9E-3</v>
      </c>
      <c r="R109">
        <v>148.42400000000001</v>
      </c>
      <c r="S109" s="13">
        <f t="shared" si="47"/>
        <v>-4.0000000000000002E-4</v>
      </c>
      <c r="T109">
        <v>19</v>
      </c>
      <c r="U109" s="13">
        <f t="shared" si="48"/>
        <v>5.5599999999999997E-2</v>
      </c>
      <c r="V109" s="6">
        <f t="shared" si="49"/>
        <v>2.42</v>
      </c>
      <c r="W109" s="44">
        <f t="shared" si="50"/>
        <v>800.4</v>
      </c>
      <c r="X109" s="15">
        <f t="shared" si="51"/>
        <v>6.6549999999999998E-2</v>
      </c>
      <c r="Y109" s="13">
        <f t="shared" si="52"/>
        <v>2.4681000000000002</v>
      </c>
      <c r="Z109" s="6">
        <f t="shared" si="53"/>
        <v>74.88</v>
      </c>
      <c r="AA109" s="6">
        <f t="shared" si="54"/>
        <v>23.79</v>
      </c>
      <c r="AB109" s="6">
        <f t="shared" si="55"/>
        <v>57</v>
      </c>
      <c r="AC109" s="6">
        <f t="shared" si="56"/>
        <v>47.22</v>
      </c>
    </row>
    <row r="110" spans="1:29" x14ac:dyDescent="0.25">
      <c r="A110" s="34">
        <v>39995</v>
      </c>
      <c r="B110" s="34">
        <f t="shared" si="39"/>
        <v>40056</v>
      </c>
      <c r="C110">
        <v>12021.2</v>
      </c>
      <c r="D110" s="13">
        <f t="shared" si="40"/>
        <v>-3.8999999999999998E-3</v>
      </c>
      <c r="E110">
        <v>5.14</v>
      </c>
      <c r="F110">
        <v>4.58</v>
      </c>
      <c r="G110">
        <v>7.9</v>
      </c>
      <c r="H110" s="13">
        <f t="shared" si="41"/>
        <v>-7.85E-2</v>
      </c>
      <c r="I110">
        <v>594</v>
      </c>
      <c r="J110" s="13">
        <f t="shared" si="42"/>
        <v>4.4999999999999997E-3</v>
      </c>
      <c r="K110">
        <v>4320000</v>
      </c>
      <c r="L110" s="13">
        <f t="shared" si="43"/>
        <v>1.8499999999999999E-2</v>
      </c>
      <c r="M110">
        <v>411</v>
      </c>
      <c r="N110">
        <f t="shared" si="44"/>
        <v>371</v>
      </c>
      <c r="O110" s="13">
        <f t="shared" si="45"/>
        <v>-0.18459999999999999</v>
      </c>
      <c r="P110">
        <v>214200</v>
      </c>
      <c r="Q110" s="13">
        <f t="shared" si="46"/>
        <v>4.1999999999999997E-3</v>
      </c>
      <c r="R110">
        <v>148.10399999999899</v>
      </c>
      <c r="S110" s="13">
        <f t="shared" si="47"/>
        <v>-3.2000000000000002E-3</v>
      </c>
      <c r="T110">
        <v>18</v>
      </c>
      <c r="U110" s="13">
        <f t="shared" si="48"/>
        <v>5.8799999999999998E-2</v>
      </c>
      <c r="V110" s="6">
        <f t="shared" si="49"/>
        <v>3.17</v>
      </c>
      <c r="W110" s="44">
        <f t="shared" si="50"/>
        <v>807.77</v>
      </c>
      <c r="X110" s="15">
        <f t="shared" si="51"/>
        <v>6.7199999999999996E-2</v>
      </c>
      <c r="Y110" s="13">
        <f t="shared" si="52"/>
        <v>2.464</v>
      </c>
      <c r="Z110" s="6">
        <f t="shared" si="53"/>
        <v>55.19</v>
      </c>
      <c r="AA110" s="6">
        <f t="shared" si="54"/>
        <v>23.42</v>
      </c>
      <c r="AB110" s="6">
        <f t="shared" si="55"/>
        <v>44.07</v>
      </c>
      <c r="AC110" s="6">
        <f t="shared" si="56"/>
        <v>33.29</v>
      </c>
    </row>
    <row r="111" spans="1:29" x14ac:dyDescent="0.25">
      <c r="A111" s="34">
        <v>39965</v>
      </c>
      <c r="B111" s="34">
        <f t="shared" si="39"/>
        <v>40025</v>
      </c>
      <c r="C111">
        <v>12068.4</v>
      </c>
      <c r="D111" s="13">
        <f t="shared" si="40"/>
        <v>-9.7000000000000003E-3</v>
      </c>
      <c r="E111">
        <v>5.25</v>
      </c>
      <c r="F111">
        <v>4.6900000000000004</v>
      </c>
      <c r="G111">
        <v>8.5</v>
      </c>
      <c r="H111" s="13">
        <f t="shared" si="41"/>
        <v>-4.82E-2</v>
      </c>
      <c r="I111">
        <v>585</v>
      </c>
      <c r="J111" s="13">
        <f t="shared" si="42"/>
        <v>3.6600000000000001E-2</v>
      </c>
      <c r="K111">
        <v>4120000</v>
      </c>
      <c r="L111" s="13">
        <f t="shared" si="43"/>
        <v>1.4200000000000001E-2</v>
      </c>
      <c r="M111">
        <v>393</v>
      </c>
      <c r="N111">
        <f t="shared" si="44"/>
        <v>359</v>
      </c>
      <c r="O111" s="13">
        <f t="shared" si="45"/>
        <v>-0.2505</v>
      </c>
      <c r="P111">
        <v>214700</v>
      </c>
      <c r="Q111" s="13">
        <f t="shared" si="46"/>
        <v>5.7000000000000002E-3</v>
      </c>
      <c r="R111">
        <v>147.71100000000001</v>
      </c>
      <c r="S111" s="13">
        <f t="shared" si="47"/>
        <v>-6.4000000000000003E-3</v>
      </c>
      <c r="T111">
        <v>17</v>
      </c>
      <c r="U111" s="13">
        <f t="shared" si="48"/>
        <v>0.1333</v>
      </c>
      <c r="V111" s="6">
        <f t="shared" si="49"/>
        <v>3.67</v>
      </c>
      <c r="W111" s="44">
        <f t="shared" si="50"/>
        <v>815.67</v>
      </c>
      <c r="X111" s="15">
        <f t="shared" si="51"/>
        <v>6.7589999999999997E-2</v>
      </c>
      <c r="Y111" s="13">
        <f t="shared" si="52"/>
        <v>2.4479000000000002</v>
      </c>
      <c r="Z111" s="6">
        <f t="shared" si="53"/>
        <v>49.78</v>
      </c>
      <c r="AA111" s="6">
        <f t="shared" si="54"/>
        <v>23.55</v>
      </c>
      <c r="AB111" s="6">
        <f t="shared" si="55"/>
        <v>40.6</v>
      </c>
      <c r="AC111" s="6">
        <f t="shared" si="56"/>
        <v>18.940000000000001</v>
      </c>
    </row>
    <row r="112" spans="1:29" x14ac:dyDescent="0.25">
      <c r="A112" s="34">
        <v>39934</v>
      </c>
      <c r="B112" s="34">
        <f t="shared" si="39"/>
        <v>39994</v>
      </c>
      <c r="C112">
        <v>12187.1</v>
      </c>
      <c r="D112" s="13">
        <f t="shared" si="40"/>
        <v>1.61E-2</v>
      </c>
      <c r="E112">
        <v>5.42</v>
      </c>
      <c r="F112">
        <v>4.87</v>
      </c>
      <c r="G112">
        <v>9.3000000000000007</v>
      </c>
      <c r="H112" s="13">
        <f t="shared" si="41"/>
        <v>-6.5299999999999997E-2</v>
      </c>
      <c r="I112">
        <v>540</v>
      </c>
      <c r="J112" s="13">
        <f t="shared" si="42"/>
        <v>-7.6E-3</v>
      </c>
      <c r="K112">
        <v>4010000</v>
      </c>
      <c r="L112" s="13">
        <f t="shared" si="43"/>
        <v>0</v>
      </c>
      <c r="M112">
        <v>376</v>
      </c>
      <c r="N112">
        <f t="shared" si="44"/>
        <v>356</v>
      </c>
      <c r="O112" s="13">
        <f t="shared" si="45"/>
        <v>-0.2823</v>
      </c>
      <c r="P112">
        <v>222300</v>
      </c>
      <c r="Q112" s="13">
        <f t="shared" si="46"/>
        <v>-6.7999999999999996E-3</v>
      </c>
      <c r="R112">
        <v>147.964</v>
      </c>
      <c r="S112" s="13">
        <f t="shared" si="47"/>
        <v>-9.4000000000000004E-3</v>
      </c>
      <c r="T112">
        <v>15</v>
      </c>
      <c r="U112" s="13">
        <f t="shared" si="48"/>
        <v>-6.25E-2</v>
      </c>
      <c r="V112" s="6">
        <f t="shared" si="49"/>
        <v>2.67</v>
      </c>
      <c r="W112" s="44">
        <f t="shared" si="50"/>
        <v>832.71</v>
      </c>
      <c r="X112" s="15">
        <f t="shared" si="51"/>
        <v>6.8330000000000002E-2</v>
      </c>
      <c r="Y112" s="13">
        <f t="shared" si="52"/>
        <v>2.4281999999999999</v>
      </c>
      <c r="Z112" s="6">
        <f t="shared" si="53"/>
        <v>6.97</v>
      </c>
      <c r="AA112" s="6">
        <f t="shared" si="54"/>
        <v>30.46</v>
      </c>
      <c r="AB112" s="6">
        <f t="shared" si="55"/>
        <v>15.19</v>
      </c>
      <c r="AC112" s="6">
        <f t="shared" si="56"/>
        <v>0</v>
      </c>
    </row>
    <row r="113" spans="1:29" x14ac:dyDescent="0.25">
      <c r="A113" s="34">
        <v>39904</v>
      </c>
      <c r="B113" s="34">
        <f t="shared" si="39"/>
        <v>39964</v>
      </c>
      <c r="C113">
        <v>11994.1</v>
      </c>
      <c r="D113" s="13">
        <f t="shared" si="40"/>
        <v>6.1999999999999998E-3</v>
      </c>
      <c r="E113">
        <v>4.91</v>
      </c>
      <c r="F113">
        <v>4.53</v>
      </c>
      <c r="G113">
        <v>10.7</v>
      </c>
      <c r="H113" s="13">
        <f t="shared" si="41"/>
        <v>-1.11E-2</v>
      </c>
      <c r="I113">
        <v>478</v>
      </c>
      <c r="J113" s="13">
        <f t="shared" si="42"/>
        <v>-6.2399999999999997E-2</v>
      </c>
      <c r="K113">
        <v>3970000</v>
      </c>
      <c r="L113" s="13">
        <f t="shared" si="43"/>
        <v>1.03E-2</v>
      </c>
      <c r="M113">
        <v>337</v>
      </c>
      <c r="N113">
        <f t="shared" si="44"/>
        <v>358</v>
      </c>
      <c r="O113" s="13">
        <f t="shared" si="45"/>
        <v>-0.31419999999999998</v>
      </c>
      <c r="P113">
        <v>219200</v>
      </c>
      <c r="Q113" s="13">
        <f t="shared" si="46"/>
        <v>-2.2000000000000001E-3</v>
      </c>
      <c r="R113">
        <v>148.67599999999999</v>
      </c>
      <c r="S113" s="13">
        <f t="shared" si="47"/>
        <v>-1.2200000000000001E-2</v>
      </c>
      <c r="T113">
        <v>16</v>
      </c>
      <c r="U113" s="13">
        <f t="shared" si="48"/>
        <v>0.1429</v>
      </c>
      <c r="V113" s="6">
        <f t="shared" si="49"/>
        <v>2.33</v>
      </c>
      <c r="W113" s="44">
        <f t="shared" si="50"/>
        <v>789.97</v>
      </c>
      <c r="X113" s="15">
        <f t="shared" si="51"/>
        <v>6.5860000000000002E-2</v>
      </c>
      <c r="Y113" s="13">
        <f t="shared" si="52"/>
        <v>2.4792000000000001</v>
      </c>
      <c r="Z113" s="6">
        <f t="shared" si="53"/>
        <v>-12.03</v>
      </c>
      <c r="AA113" s="6">
        <f t="shared" si="54"/>
        <v>25.32</v>
      </c>
      <c r="AB113" s="6">
        <f t="shared" si="55"/>
        <v>1.04</v>
      </c>
      <c r="AC113" s="6">
        <f t="shared" si="56"/>
        <v>0</v>
      </c>
    </row>
    <row r="114" spans="1:29" x14ac:dyDescent="0.25">
      <c r="A114" s="34">
        <v>39873</v>
      </c>
      <c r="B114" s="34">
        <f t="shared" si="39"/>
        <v>39933</v>
      </c>
      <c r="C114">
        <v>11920</v>
      </c>
      <c r="D114" s="13">
        <f t="shared" si="40"/>
        <v>-3.5999999999999999E-3</v>
      </c>
      <c r="E114">
        <v>4.78</v>
      </c>
      <c r="F114">
        <v>4.4800000000000004</v>
      </c>
      <c r="G114">
        <v>11</v>
      </c>
      <c r="H114" s="13">
        <f t="shared" si="41"/>
        <v>-8.8000000000000005E-3</v>
      </c>
      <c r="I114">
        <v>505</v>
      </c>
      <c r="J114" s="13">
        <f t="shared" si="42"/>
        <v>-8.8900000000000007E-2</v>
      </c>
      <c r="K114">
        <v>3940000</v>
      </c>
      <c r="L114" s="13">
        <f t="shared" si="43"/>
        <v>-7.6E-3</v>
      </c>
      <c r="M114">
        <v>339</v>
      </c>
      <c r="N114">
        <f t="shared" si="44"/>
        <v>368</v>
      </c>
      <c r="O114" s="13">
        <f t="shared" si="45"/>
        <v>-0.32719999999999999</v>
      </c>
      <c r="P114">
        <v>205100</v>
      </c>
      <c r="Q114" s="13">
        <f t="shared" si="46"/>
        <v>-7.4999999999999997E-3</v>
      </c>
      <c r="R114">
        <v>150.03</v>
      </c>
      <c r="S114" s="13">
        <f t="shared" si="47"/>
        <v>-1.34E-2</v>
      </c>
      <c r="T114">
        <v>14</v>
      </c>
      <c r="U114" s="13">
        <f t="shared" si="48"/>
        <v>0.55559999999999998</v>
      </c>
      <c r="V114" s="6">
        <f t="shared" si="49"/>
        <v>0.33</v>
      </c>
      <c r="W114" s="44">
        <f t="shared" si="50"/>
        <v>785.34</v>
      </c>
      <c r="X114" s="15">
        <f t="shared" si="51"/>
        <v>6.5879999999999994E-2</v>
      </c>
      <c r="Y114" s="13">
        <f t="shared" si="52"/>
        <v>2.5173000000000001</v>
      </c>
      <c r="Z114" s="6">
        <f t="shared" si="53"/>
        <v>-37.35</v>
      </c>
      <c r="AA114" s="6">
        <f t="shared" si="54"/>
        <v>19.61</v>
      </c>
      <c r="AB114" s="6">
        <f t="shared" si="55"/>
        <v>-17.41</v>
      </c>
      <c r="AC114" s="6">
        <f t="shared" si="56"/>
        <v>0</v>
      </c>
    </row>
    <row r="115" spans="1:29" x14ac:dyDescent="0.25">
      <c r="A115" s="34">
        <v>39845</v>
      </c>
      <c r="B115" s="34">
        <f t="shared" si="39"/>
        <v>39903</v>
      </c>
      <c r="C115">
        <v>11963.4</v>
      </c>
      <c r="D115" s="13">
        <f t="shared" si="40"/>
        <v>-1.01E-2</v>
      </c>
      <c r="E115">
        <v>4.8499999999999996</v>
      </c>
      <c r="F115">
        <v>4.58</v>
      </c>
      <c r="G115">
        <v>10.5</v>
      </c>
      <c r="H115" s="13">
        <f t="shared" si="41"/>
        <v>-2.3699999999999999E-2</v>
      </c>
      <c r="I115">
        <v>582</v>
      </c>
      <c r="J115" s="13">
        <f t="shared" si="42"/>
        <v>-7.2099999999999997E-2</v>
      </c>
      <c r="K115">
        <v>3950000</v>
      </c>
      <c r="L115" s="13">
        <f t="shared" si="43"/>
        <v>-1.6E-2</v>
      </c>
      <c r="M115">
        <v>372</v>
      </c>
      <c r="N115">
        <f t="shared" si="44"/>
        <v>383</v>
      </c>
      <c r="O115" s="13">
        <f t="shared" si="45"/>
        <v>-0.32690000000000002</v>
      </c>
      <c r="P115">
        <v>209700</v>
      </c>
      <c r="Q115" s="13">
        <f t="shared" si="46"/>
        <v>-1.41E-2</v>
      </c>
      <c r="R115">
        <v>151.51599999999999</v>
      </c>
      <c r="S115" s="13">
        <f t="shared" si="47"/>
        <v>-1.4E-2</v>
      </c>
      <c r="T115">
        <v>9</v>
      </c>
      <c r="U115" s="13">
        <f t="shared" si="48"/>
        <v>0</v>
      </c>
      <c r="V115" s="6">
        <f t="shared" si="49"/>
        <v>-2.25</v>
      </c>
      <c r="W115" s="44">
        <f t="shared" si="50"/>
        <v>799.54</v>
      </c>
      <c r="X115" s="15">
        <f t="shared" si="51"/>
        <v>6.6830000000000001E-2</v>
      </c>
      <c r="Y115" s="13">
        <f t="shared" si="52"/>
        <v>2.5329999999999999</v>
      </c>
      <c r="Z115" s="6">
        <f t="shared" si="53"/>
        <v>-45.38</v>
      </c>
      <c r="AA115" s="6">
        <f t="shared" si="54"/>
        <v>14.14</v>
      </c>
      <c r="AB115" s="6">
        <f t="shared" si="55"/>
        <v>-24.55</v>
      </c>
      <c r="AC115" s="6">
        <f t="shared" si="56"/>
        <v>0</v>
      </c>
    </row>
    <row r="116" spans="1:29" x14ac:dyDescent="0.25">
      <c r="A116" s="34">
        <v>39814</v>
      </c>
      <c r="B116" s="34">
        <f t="shared" si="39"/>
        <v>39872</v>
      </c>
      <c r="C116">
        <v>12085.5</v>
      </c>
      <c r="D116" s="13">
        <f t="shared" si="40"/>
        <v>-1.11E-2</v>
      </c>
      <c r="E116">
        <v>5.07</v>
      </c>
      <c r="F116">
        <v>4.68</v>
      </c>
      <c r="G116">
        <v>12.2</v>
      </c>
      <c r="H116" s="13">
        <f t="shared" si="41"/>
        <v>2.8799999999999999E-2</v>
      </c>
      <c r="I116">
        <v>490</v>
      </c>
      <c r="J116" s="13">
        <f t="shared" si="42"/>
        <v>-9.69E-2</v>
      </c>
      <c r="K116">
        <v>3840000</v>
      </c>
      <c r="L116" s="13">
        <f t="shared" si="43"/>
        <v>-1.72E-2</v>
      </c>
      <c r="M116">
        <v>336</v>
      </c>
      <c r="N116">
        <f t="shared" si="44"/>
        <v>394</v>
      </c>
      <c r="O116" s="13">
        <f t="shared" si="45"/>
        <v>-0.33450000000000002</v>
      </c>
      <c r="P116">
        <v>208600</v>
      </c>
      <c r="Q116" s="13">
        <f t="shared" si="46"/>
        <v>-1.12E-2</v>
      </c>
      <c r="R116">
        <v>153.62299999999999</v>
      </c>
      <c r="S116" s="13">
        <f t="shared" si="47"/>
        <v>-1.32E-2</v>
      </c>
      <c r="T116">
        <v>9</v>
      </c>
      <c r="U116" s="13">
        <f t="shared" si="48"/>
        <v>0.125</v>
      </c>
      <c r="V116" s="6">
        <f t="shared" si="49"/>
        <v>-3.42</v>
      </c>
      <c r="W116" s="44">
        <f t="shared" si="50"/>
        <v>831.27</v>
      </c>
      <c r="X116" s="15">
        <f t="shared" si="51"/>
        <v>6.8779999999999994E-2</v>
      </c>
      <c r="Y116" s="13">
        <f t="shared" si="52"/>
        <v>2.5423</v>
      </c>
      <c r="Z116" s="6">
        <f t="shared" si="53"/>
        <v>-55.82</v>
      </c>
      <c r="AA116" s="6">
        <f t="shared" si="54"/>
        <v>12.03</v>
      </c>
      <c r="AB116" s="6">
        <f t="shared" si="55"/>
        <v>-32.07</v>
      </c>
      <c r="AC116" s="6">
        <f t="shared" si="56"/>
        <v>0</v>
      </c>
    </row>
    <row r="117" spans="1:29" x14ac:dyDescent="0.25">
      <c r="A117" s="34">
        <v>39783</v>
      </c>
      <c r="B117" s="34">
        <f t="shared" si="39"/>
        <v>39844</v>
      </c>
      <c r="C117">
        <v>12221.4</v>
      </c>
      <c r="D117" s="13">
        <f t="shared" si="40"/>
        <v>-1.2200000000000001E-2</v>
      </c>
      <c r="E117">
        <v>5.0999999999999996</v>
      </c>
      <c r="F117">
        <v>4.8</v>
      </c>
      <c r="G117">
        <v>11.2</v>
      </c>
      <c r="H117" s="13">
        <f t="shared" si="41"/>
        <v>-2.2000000000000001E-3</v>
      </c>
      <c r="I117">
        <v>560</v>
      </c>
      <c r="J117" s="13">
        <f t="shared" si="42"/>
        <v>-9.0399999999999994E-2</v>
      </c>
      <c r="K117">
        <v>4010000</v>
      </c>
      <c r="L117" s="13">
        <f t="shared" si="43"/>
        <v>-6.7999999999999996E-3</v>
      </c>
      <c r="M117">
        <v>377</v>
      </c>
      <c r="N117">
        <f t="shared" si="44"/>
        <v>417</v>
      </c>
      <c r="O117" s="13">
        <f t="shared" si="45"/>
        <v>-0.33169999999999999</v>
      </c>
      <c r="P117">
        <v>229600</v>
      </c>
      <c r="Q117" s="13">
        <f t="shared" si="46"/>
        <v>-6.8999999999999999E-3</v>
      </c>
      <c r="R117">
        <v>156.14699999999999</v>
      </c>
      <c r="S117" s="13">
        <f t="shared" si="47"/>
        <v>-1.15E-2</v>
      </c>
      <c r="T117">
        <v>8</v>
      </c>
      <c r="U117" s="13">
        <f t="shared" si="48"/>
        <v>-0.1111</v>
      </c>
      <c r="V117" s="6">
        <f t="shared" si="49"/>
        <v>-3.5</v>
      </c>
      <c r="W117" s="44">
        <f t="shared" si="50"/>
        <v>847.8</v>
      </c>
      <c r="X117" s="15">
        <f t="shared" si="51"/>
        <v>6.9370000000000001E-2</v>
      </c>
      <c r="Y117" s="13">
        <f t="shared" si="52"/>
        <v>2.5552999999999999</v>
      </c>
      <c r="Z117" s="6">
        <f t="shared" si="53"/>
        <v>-41.8</v>
      </c>
      <c r="AA117" s="6">
        <f t="shared" si="54"/>
        <v>10.49</v>
      </c>
      <c r="AB117" s="6">
        <f t="shared" si="55"/>
        <v>-23.5</v>
      </c>
      <c r="AC117" s="6">
        <f t="shared" si="56"/>
        <v>0</v>
      </c>
    </row>
    <row r="118" spans="1:29" x14ac:dyDescent="0.25">
      <c r="A118" s="34">
        <v>39753</v>
      </c>
      <c r="B118" s="34">
        <f t="shared" si="39"/>
        <v>39813</v>
      </c>
      <c r="C118">
        <v>12372</v>
      </c>
      <c r="D118" s="13">
        <f t="shared" si="40"/>
        <v>-5.4000000000000003E-3</v>
      </c>
      <c r="E118">
        <v>5.0999999999999996</v>
      </c>
      <c r="F118">
        <v>4.83</v>
      </c>
      <c r="G118">
        <v>11.4</v>
      </c>
      <c r="H118" s="13">
        <f t="shared" si="41"/>
        <v>2.0299999999999999E-2</v>
      </c>
      <c r="I118">
        <v>652</v>
      </c>
      <c r="J118" s="13">
        <f t="shared" si="42"/>
        <v>-8.9300000000000004E-2</v>
      </c>
      <c r="K118">
        <v>3770000</v>
      </c>
      <c r="L118" s="13">
        <f t="shared" si="43"/>
        <v>-1.54E-2</v>
      </c>
      <c r="M118">
        <v>389</v>
      </c>
      <c r="N118">
        <f t="shared" si="44"/>
        <v>436</v>
      </c>
      <c r="O118" s="13">
        <f t="shared" si="45"/>
        <v>-0.32819999999999999</v>
      </c>
      <c r="P118">
        <v>221600</v>
      </c>
      <c r="Q118" s="13">
        <f t="shared" si="46"/>
        <v>-1.12E-2</v>
      </c>
      <c r="R118">
        <v>158.33600000000001</v>
      </c>
      <c r="S118" s="13">
        <f t="shared" si="47"/>
        <v>-1.03E-2</v>
      </c>
      <c r="T118">
        <v>9</v>
      </c>
      <c r="U118" s="13">
        <f t="shared" si="48"/>
        <v>0</v>
      </c>
      <c r="V118" s="6">
        <f t="shared" si="49"/>
        <v>-2.75</v>
      </c>
      <c r="W118" s="44">
        <f t="shared" si="50"/>
        <v>859.68</v>
      </c>
      <c r="X118" s="15">
        <f t="shared" si="51"/>
        <v>6.9489999999999996E-2</v>
      </c>
      <c r="Y118" s="13">
        <f t="shared" si="52"/>
        <v>2.5596000000000001</v>
      </c>
      <c r="Z118" s="6">
        <f t="shared" si="53"/>
        <v>-38.47</v>
      </c>
      <c r="AA118" s="6">
        <f t="shared" si="54"/>
        <v>-5.0199999999999996</v>
      </c>
      <c r="AB118" s="6">
        <f t="shared" si="55"/>
        <v>-26.76</v>
      </c>
      <c r="AC118" s="6">
        <f t="shared" si="56"/>
        <v>0</v>
      </c>
    </row>
    <row r="119" spans="1:29" x14ac:dyDescent="0.25">
      <c r="A119" s="34">
        <v>39722</v>
      </c>
      <c r="B119" s="34">
        <f t="shared" si="39"/>
        <v>39782</v>
      </c>
      <c r="C119">
        <v>12438.7</v>
      </c>
      <c r="D119" s="13">
        <f t="shared" si="40"/>
        <v>-1.2999999999999999E-3</v>
      </c>
      <c r="E119">
        <v>5.97</v>
      </c>
      <c r="F119">
        <v>5.74</v>
      </c>
      <c r="G119">
        <v>11.6</v>
      </c>
      <c r="H119" s="13">
        <f t="shared" si="41"/>
        <v>2.07E-2</v>
      </c>
      <c r="I119">
        <v>777</v>
      </c>
      <c r="J119" s="13">
        <f t="shared" si="42"/>
        <v>-4.2599999999999999E-2</v>
      </c>
      <c r="K119">
        <v>4090000</v>
      </c>
      <c r="L119" s="13">
        <f t="shared" si="43"/>
        <v>-2.3999999999999998E-3</v>
      </c>
      <c r="M119">
        <v>393</v>
      </c>
      <c r="N119">
        <f t="shared" si="44"/>
        <v>455</v>
      </c>
      <c r="O119" s="13">
        <f t="shared" si="45"/>
        <v>-0.31780000000000003</v>
      </c>
      <c r="P119">
        <v>213200</v>
      </c>
      <c r="Q119" s="13">
        <f t="shared" si="46"/>
        <v>-1.4E-2</v>
      </c>
      <c r="R119">
        <v>160.32299999999901</v>
      </c>
      <c r="S119" s="13">
        <f t="shared" si="47"/>
        <v>-9.7000000000000003E-3</v>
      </c>
      <c r="T119">
        <v>9</v>
      </c>
      <c r="U119" s="13">
        <f t="shared" si="48"/>
        <v>-0.35709999999999997</v>
      </c>
      <c r="V119" s="6">
        <f t="shared" si="49"/>
        <v>-2.67</v>
      </c>
      <c r="W119" s="44">
        <f t="shared" si="50"/>
        <v>958.13</v>
      </c>
      <c r="X119" s="15">
        <f t="shared" si="51"/>
        <v>7.7030000000000001E-2</v>
      </c>
      <c r="Y119" s="13">
        <f t="shared" si="52"/>
        <v>2.5777999999999999</v>
      </c>
      <c r="Z119" s="6">
        <f t="shared" si="53"/>
        <v>-9.99</v>
      </c>
      <c r="AA119" s="6">
        <f t="shared" si="54"/>
        <v>-16.54</v>
      </c>
      <c r="AB119" s="6">
        <f t="shared" si="55"/>
        <v>-12.28</v>
      </c>
      <c r="AC119" s="6">
        <f t="shared" si="56"/>
        <v>0</v>
      </c>
    </row>
    <row r="120" spans="1:29" x14ac:dyDescent="0.25">
      <c r="A120" s="34">
        <v>39692</v>
      </c>
      <c r="B120" s="34">
        <f t="shared" si="39"/>
        <v>39752</v>
      </c>
      <c r="C120">
        <v>12454.6</v>
      </c>
      <c r="D120" s="13">
        <f t="shared" si="40"/>
        <v>2.0999999999999999E-3</v>
      </c>
      <c r="E120">
        <v>6.46</v>
      </c>
      <c r="F120">
        <v>6.19</v>
      </c>
      <c r="G120">
        <v>10.9</v>
      </c>
      <c r="H120" s="13">
        <f t="shared" si="41"/>
        <v>4.5999999999999999E-3</v>
      </c>
      <c r="I120">
        <v>820</v>
      </c>
      <c r="J120" s="13">
        <f t="shared" si="42"/>
        <v>-4.02E-2</v>
      </c>
      <c r="K120">
        <v>4270000</v>
      </c>
      <c r="L120" s="13">
        <f t="shared" si="43"/>
        <v>7.7000000000000002E-3</v>
      </c>
      <c r="M120">
        <v>433</v>
      </c>
      <c r="N120">
        <f t="shared" si="44"/>
        <v>479</v>
      </c>
      <c r="O120" s="13">
        <f t="shared" si="45"/>
        <v>-0.30780000000000002</v>
      </c>
      <c r="P120">
        <v>225200</v>
      </c>
      <c r="Q120" s="13">
        <f t="shared" si="46"/>
        <v>-1.8100000000000002E-2</v>
      </c>
      <c r="R120">
        <v>162.00799999999899</v>
      </c>
      <c r="S120" s="13">
        <f t="shared" si="47"/>
        <v>-9.4999999999999998E-3</v>
      </c>
      <c r="T120">
        <v>14</v>
      </c>
      <c r="U120" s="13">
        <f t="shared" si="48"/>
        <v>-0.17649999999999999</v>
      </c>
      <c r="V120" s="6">
        <f t="shared" si="49"/>
        <v>-1.92</v>
      </c>
      <c r="W120" s="44">
        <f t="shared" si="50"/>
        <v>1019.74</v>
      </c>
      <c r="X120" s="15">
        <f t="shared" si="51"/>
        <v>8.1879999999999994E-2</v>
      </c>
      <c r="Y120" s="13">
        <f t="shared" si="52"/>
        <v>2.6015999999999999</v>
      </c>
      <c r="Z120" s="6">
        <f t="shared" si="53"/>
        <v>4.17</v>
      </c>
      <c r="AA120" s="6">
        <f t="shared" si="54"/>
        <v>-14.52</v>
      </c>
      <c r="AB120" s="6">
        <f t="shared" si="55"/>
        <v>-2.37</v>
      </c>
      <c r="AC120" s="6">
        <f t="shared" si="56"/>
        <v>0</v>
      </c>
    </row>
    <row r="121" spans="1:29" x14ac:dyDescent="0.25">
      <c r="A121" s="34">
        <v>39661</v>
      </c>
      <c r="B121" s="34">
        <f t="shared" si="39"/>
        <v>39721</v>
      </c>
      <c r="C121">
        <v>12428.1</v>
      </c>
      <c r="D121" s="13">
        <f t="shared" si="40"/>
        <v>-7.1999999999999998E-3</v>
      </c>
      <c r="E121">
        <v>6.09</v>
      </c>
      <c r="F121">
        <v>5.77</v>
      </c>
      <c r="G121">
        <v>11.3</v>
      </c>
      <c r="H121" s="13">
        <f t="shared" si="41"/>
        <v>2.3699999999999999E-2</v>
      </c>
      <c r="I121">
        <v>844</v>
      </c>
      <c r="J121" s="13">
        <f t="shared" si="42"/>
        <v>-3.2500000000000001E-2</v>
      </c>
      <c r="K121">
        <v>4190000</v>
      </c>
      <c r="L121" s="13">
        <f t="shared" si="43"/>
        <v>1.5E-3</v>
      </c>
      <c r="M121">
        <v>435</v>
      </c>
      <c r="N121">
        <f t="shared" si="44"/>
        <v>496</v>
      </c>
      <c r="O121" s="13">
        <f t="shared" si="45"/>
        <v>-0.31209999999999999</v>
      </c>
      <c r="P121">
        <v>221000</v>
      </c>
      <c r="Q121" s="13">
        <f t="shared" si="46"/>
        <v>-7.1000000000000004E-3</v>
      </c>
      <c r="R121">
        <v>163.58600000000001</v>
      </c>
      <c r="S121" s="13">
        <f t="shared" si="47"/>
        <v>-9.7000000000000003E-3</v>
      </c>
      <c r="T121">
        <v>17</v>
      </c>
      <c r="U121" s="13">
        <f t="shared" si="48"/>
        <v>6.25E-2</v>
      </c>
      <c r="V121" s="6">
        <f t="shared" si="49"/>
        <v>-1.42</v>
      </c>
      <c r="W121" s="44">
        <f t="shared" si="50"/>
        <v>990.27</v>
      </c>
      <c r="X121" s="15">
        <f t="shared" si="51"/>
        <v>7.9680000000000001E-2</v>
      </c>
      <c r="Y121" s="13">
        <f t="shared" si="52"/>
        <v>2.6324999999999998</v>
      </c>
      <c r="Z121" s="6">
        <f t="shared" si="53"/>
        <v>12.73</v>
      </c>
      <c r="AA121" s="6">
        <f t="shared" si="54"/>
        <v>-23.17</v>
      </c>
      <c r="AB121" s="6">
        <f t="shared" si="55"/>
        <v>0.16</v>
      </c>
      <c r="AC121" s="6">
        <f t="shared" si="56"/>
        <v>4.37</v>
      </c>
    </row>
    <row r="122" spans="1:29" x14ac:dyDescent="0.25">
      <c r="A122" s="34">
        <v>39630</v>
      </c>
      <c r="B122" s="34">
        <f t="shared" si="39"/>
        <v>39691</v>
      </c>
      <c r="C122">
        <v>12518.8</v>
      </c>
      <c r="D122" s="13">
        <f t="shared" si="40"/>
        <v>-1.23E-2</v>
      </c>
      <c r="E122">
        <v>6.4</v>
      </c>
      <c r="F122">
        <v>5.93</v>
      </c>
      <c r="G122">
        <v>10.5</v>
      </c>
      <c r="H122" s="13">
        <f t="shared" si="41"/>
        <v>0</v>
      </c>
      <c r="I122">
        <v>923</v>
      </c>
      <c r="J122" s="13">
        <f t="shared" si="42"/>
        <v>-3.5000000000000003E-2</v>
      </c>
      <c r="K122">
        <v>4150000</v>
      </c>
      <c r="L122" s="13">
        <f t="shared" si="43"/>
        <v>1.5E-3</v>
      </c>
      <c r="M122">
        <v>477</v>
      </c>
      <c r="N122">
        <f t="shared" si="44"/>
        <v>522</v>
      </c>
      <c r="O122" s="13">
        <f t="shared" si="45"/>
        <v>-0.30769999999999997</v>
      </c>
      <c r="P122">
        <v>237300</v>
      </c>
      <c r="Q122" s="13">
        <f t="shared" si="46"/>
        <v>-6.7999999999999996E-3</v>
      </c>
      <c r="R122">
        <v>165.029</v>
      </c>
      <c r="S122" s="13">
        <f t="shared" si="47"/>
        <v>-9.5999999999999992E-3</v>
      </c>
      <c r="T122">
        <v>16</v>
      </c>
      <c r="U122" s="13">
        <f t="shared" si="48"/>
        <v>0</v>
      </c>
      <c r="V122" s="6">
        <f t="shared" si="49"/>
        <v>-1.58</v>
      </c>
      <c r="W122" s="44">
        <f t="shared" si="50"/>
        <v>1032.27</v>
      </c>
      <c r="X122" s="15">
        <f t="shared" si="51"/>
        <v>8.2460000000000006E-2</v>
      </c>
      <c r="Y122" s="13">
        <f t="shared" si="52"/>
        <v>2.6364999999999998</v>
      </c>
      <c r="Z122" s="6">
        <f t="shared" si="53"/>
        <v>13.76</v>
      </c>
      <c r="AA122" s="6">
        <f t="shared" si="54"/>
        <v>-25.23</v>
      </c>
      <c r="AB122" s="6">
        <f t="shared" si="55"/>
        <v>0.11</v>
      </c>
      <c r="AC122" s="6">
        <f t="shared" si="56"/>
        <v>8.43</v>
      </c>
    </row>
    <row r="123" spans="1:29" x14ac:dyDescent="0.25">
      <c r="A123" s="34">
        <v>39600</v>
      </c>
      <c r="B123" s="34">
        <f t="shared" si="39"/>
        <v>39660</v>
      </c>
      <c r="C123">
        <v>12675</v>
      </c>
      <c r="D123" s="13">
        <f t="shared" si="40"/>
        <v>-1.8200000000000001E-2</v>
      </c>
      <c r="E123">
        <v>6.52</v>
      </c>
      <c r="F123">
        <v>6.07</v>
      </c>
      <c r="G123">
        <v>10.7</v>
      </c>
      <c r="H123" s="13">
        <f t="shared" si="41"/>
        <v>2.4299999999999999E-2</v>
      </c>
      <c r="I123">
        <v>1046</v>
      </c>
      <c r="J123" s="13">
        <f t="shared" si="42"/>
        <v>-7.3000000000000001E-3</v>
      </c>
      <c r="K123">
        <v>4090000</v>
      </c>
      <c r="L123" s="13">
        <f t="shared" si="43"/>
        <v>-3.8999999999999998E-3</v>
      </c>
      <c r="M123">
        <v>487</v>
      </c>
      <c r="N123">
        <f t="shared" si="44"/>
        <v>547</v>
      </c>
      <c r="O123" s="13">
        <f t="shared" si="45"/>
        <v>-0.29959999999999998</v>
      </c>
      <c r="P123">
        <v>234300</v>
      </c>
      <c r="Q123" s="13">
        <f t="shared" si="46"/>
        <v>1.6000000000000001E-3</v>
      </c>
      <c r="R123">
        <v>166.667</v>
      </c>
      <c r="S123" s="13">
        <f t="shared" si="47"/>
        <v>-9.4999999999999998E-3</v>
      </c>
      <c r="T123">
        <v>16</v>
      </c>
      <c r="U123" s="13">
        <f t="shared" si="48"/>
        <v>-0.1111</v>
      </c>
      <c r="V123" s="6">
        <f t="shared" si="49"/>
        <v>-1.08</v>
      </c>
      <c r="W123" s="44">
        <f t="shared" si="50"/>
        <v>1055.6400000000001</v>
      </c>
      <c r="X123" s="15">
        <f t="shared" si="51"/>
        <v>8.3290000000000003E-2</v>
      </c>
      <c r="Y123" s="13">
        <f t="shared" si="52"/>
        <v>2.6299000000000001</v>
      </c>
      <c r="Z123" s="6">
        <f t="shared" si="53"/>
        <v>31.6</v>
      </c>
      <c r="AA123" s="6">
        <f t="shared" si="54"/>
        <v>-21.97</v>
      </c>
      <c r="AB123" s="6">
        <f t="shared" si="55"/>
        <v>12.85</v>
      </c>
      <c r="AC123" s="6">
        <f t="shared" si="56"/>
        <v>10</v>
      </c>
    </row>
    <row r="124" spans="1:29" x14ac:dyDescent="0.25">
      <c r="A124" s="34">
        <v>39569</v>
      </c>
      <c r="B124" s="34">
        <f t="shared" si="39"/>
        <v>39629</v>
      </c>
      <c r="C124">
        <v>12910.1</v>
      </c>
      <c r="D124" s="13">
        <f t="shared" si="40"/>
        <v>4.5999999999999999E-2</v>
      </c>
      <c r="E124">
        <v>6.45</v>
      </c>
      <c r="F124">
        <v>6.04</v>
      </c>
      <c r="G124">
        <v>10.7</v>
      </c>
      <c r="H124" s="13">
        <f t="shared" si="41"/>
        <v>3.5200000000000002E-2</v>
      </c>
      <c r="I124">
        <v>973</v>
      </c>
      <c r="J124" s="13">
        <f t="shared" si="42"/>
        <v>-1.2200000000000001E-2</v>
      </c>
      <c r="K124">
        <v>4140000</v>
      </c>
      <c r="L124" s="13">
        <f t="shared" si="43"/>
        <v>-1.29E-2</v>
      </c>
      <c r="M124">
        <v>504</v>
      </c>
      <c r="N124">
        <f t="shared" si="44"/>
        <v>569</v>
      </c>
      <c r="O124" s="13">
        <f t="shared" si="45"/>
        <v>-0.29320000000000002</v>
      </c>
      <c r="P124">
        <v>229300</v>
      </c>
      <c r="Q124" s="13">
        <f t="shared" si="46"/>
        <v>1.4E-3</v>
      </c>
      <c r="R124">
        <v>168.345</v>
      </c>
      <c r="S124" s="13">
        <f t="shared" si="47"/>
        <v>-8.6999999999999994E-3</v>
      </c>
      <c r="T124">
        <v>18</v>
      </c>
      <c r="U124" s="13">
        <f t="shared" si="48"/>
        <v>-5.2600000000000001E-2</v>
      </c>
      <c r="V124" s="6">
        <f t="shared" si="49"/>
        <v>-0.08</v>
      </c>
      <c r="W124" s="44">
        <f t="shared" si="50"/>
        <v>1058.53</v>
      </c>
      <c r="X124" s="15">
        <f t="shared" si="51"/>
        <v>8.1989999999999993E-2</v>
      </c>
      <c r="Y124" s="13">
        <f t="shared" si="52"/>
        <v>2.6080000000000001</v>
      </c>
      <c r="Z124" s="6">
        <f t="shared" si="53"/>
        <v>31.03</v>
      </c>
      <c r="AA124" s="6">
        <f t="shared" si="54"/>
        <v>-22.44</v>
      </c>
      <c r="AB124" s="6">
        <f t="shared" si="55"/>
        <v>12.32</v>
      </c>
      <c r="AC124" s="6">
        <f t="shared" si="56"/>
        <v>7.62</v>
      </c>
    </row>
    <row r="125" spans="1:29" x14ac:dyDescent="0.25">
      <c r="A125" s="34">
        <v>39539</v>
      </c>
      <c r="B125" s="34">
        <f t="shared" si="39"/>
        <v>39599</v>
      </c>
      <c r="C125">
        <v>12342.8</v>
      </c>
      <c r="D125" s="13">
        <f t="shared" si="40"/>
        <v>-1E-3</v>
      </c>
      <c r="E125">
        <v>6.08</v>
      </c>
      <c r="F125">
        <v>5.66</v>
      </c>
      <c r="G125">
        <v>10.3</v>
      </c>
      <c r="H125" s="13">
        <f t="shared" si="41"/>
        <v>1.7899999999999999E-2</v>
      </c>
      <c r="I125">
        <v>1013</v>
      </c>
      <c r="J125" s="13">
        <f t="shared" si="42"/>
        <v>-3.39E-2</v>
      </c>
      <c r="K125">
        <v>4110000</v>
      </c>
      <c r="L125" s="13">
        <f t="shared" si="43"/>
        <v>-1.6400000000000001E-2</v>
      </c>
      <c r="M125">
        <v>536</v>
      </c>
      <c r="N125">
        <f t="shared" si="44"/>
        <v>592</v>
      </c>
      <c r="O125" s="13">
        <f t="shared" si="45"/>
        <v>-0.28420000000000001</v>
      </c>
      <c r="P125">
        <v>246400</v>
      </c>
      <c r="Q125" s="13">
        <f t="shared" si="46"/>
        <v>-2.3E-3</v>
      </c>
      <c r="R125">
        <v>170.065</v>
      </c>
      <c r="S125" s="13">
        <f t="shared" si="47"/>
        <v>-7.3000000000000001E-3</v>
      </c>
      <c r="T125">
        <v>19</v>
      </c>
      <c r="U125" s="13">
        <f t="shared" si="48"/>
        <v>-0.05</v>
      </c>
      <c r="V125" s="6">
        <f t="shared" si="49"/>
        <v>0.42</v>
      </c>
      <c r="W125" s="44">
        <f t="shared" si="50"/>
        <v>1028.3900000000001</v>
      </c>
      <c r="X125" s="15">
        <f t="shared" si="51"/>
        <v>8.3320000000000005E-2</v>
      </c>
      <c r="Y125" s="13">
        <f t="shared" si="52"/>
        <v>2.7557</v>
      </c>
      <c r="Z125" s="6">
        <f t="shared" si="53"/>
        <v>27.67</v>
      </c>
      <c r="AA125" s="6">
        <f t="shared" si="54"/>
        <v>-37.590000000000003</v>
      </c>
      <c r="AB125" s="6">
        <f t="shared" si="55"/>
        <v>4.83</v>
      </c>
      <c r="AC125" s="6">
        <f t="shared" si="56"/>
        <v>7.55</v>
      </c>
    </row>
    <row r="126" spans="1:29" x14ac:dyDescent="0.25">
      <c r="A126" s="34">
        <v>39508</v>
      </c>
      <c r="B126" s="34">
        <f t="shared" si="39"/>
        <v>39568</v>
      </c>
      <c r="C126">
        <v>12355.4</v>
      </c>
      <c r="D126" s="13">
        <f t="shared" si="40"/>
        <v>3.5999999999999999E-3</v>
      </c>
      <c r="E126">
        <v>6.03</v>
      </c>
      <c r="F126">
        <v>5.62</v>
      </c>
      <c r="G126">
        <v>10.5</v>
      </c>
      <c r="H126" s="13">
        <f t="shared" si="41"/>
        <v>2.8899999999999999E-2</v>
      </c>
      <c r="I126">
        <v>1005</v>
      </c>
      <c r="J126" s="13">
        <f t="shared" si="42"/>
        <v>-4.5600000000000002E-2</v>
      </c>
      <c r="K126">
        <v>4160000</v>
      </c>
      <c r="L126" s="13">
        <f t="shared" si="43"/>
        <v>-1.2500000000000001E-2</v>
      </c>
      <c r="M126">
        <v>535</v>
      </c>
      <c r="N126">
        <f t="shared" si="44"/>
        <v>624</v>
      </c>
      <c r="O126" s="13">
        <f t="shared" si="45"/>
        <v>-0.26240000000000002</v>
      </c>
      <c r="P126">
        <v>229300</v>
      </c>
      <c r="Q126" s="13">
        <f t="shared" si="46"/>
        <v>-4.1999999999999997E-3</v>
      </c>
      <c r="R126">
        <v>171.554</v>
      </c>
      <c r="S126" s="13">
        <f t="shared" si="47"/>
        <v>-7.3000000000000001E-3</v>
      </c>
      <c r="T126">
        <v>20</v>
      </c>
      <c r="U126" s="13">
        <f t="shared" si="48"/>
        <v>0</v>
      </c>
      <c r="V126" s="6">
        <f t="shared" si="49"/>
        <v>0.57999999999999996</v>
      </c>
      <c r="W126" s="44">
        <f t="shared" si="50"/>
        <v>1031.8599999999999</v>
      </c>
      <c r="X126" s="15">
        <f t="shared" si="51"/>
        <v>8.3510000000000001E-2</v>
      </c>
      <c r="Y126" s="13">
        <f t="shared" si="52"/>
        <v>2.7770000000000001</v>
      </c>
      <c r="Z126" s="6">
        <f t="shared" si="53"/>
        <v>29.57</v>
      </c>
      <c r="AA126" s="6">
        <f t="shared" si="54"/>
        <v>-38.64</v>
      </c>
      <c r="AB126" s="6">
        <f t="shared" si="55"/>
        <v>5.7</v>
      </c>
      <c r="AC126" s="6">
        <f t="shared" si="56"/>
        <v>7.13</v>
      </c>
    </row>
    <row r="127" spans="1:29" x14ac:dyDescent="0.25">
      <c r="A127" s="34">
        <v>39479</v>
      </c>
      <c r="B127" s="34">
        <f t="shared" si="39"/>
        <v>39538</v>
      </c>
      <c r="C127">
        <v>12311</v>
      </c>
      <c r="D127" s="13">
        <f t="shared" si="40"/>
        <v>2.5999999999999999E-3</v>
      </c>
      <c r="E127">
        <v>5.85</v>
      </c>
      <c r="F127">
        <v>5.34</v>
      </c>
      <c r="G127">
        <v>9.6999999999999993</v>
      </c>
      <c r="H127" s="13">
        <f t="shared" si="41"/>
        <v>3.2599999999999997E-2</v>
      </c>
      <c r="I127">
        <v>1103</v>
      </c>
      <c r="J127" s="13">
        <f t="shared" si="42"/>
        <v>-1.3899999999999999E-2</v>
      </c>
      <c r="K127">
        <v>4120000</v>
      </c>
      <c r="L127" s="13">
        <f t="shared" si="43"/>
        <v>-2.0899999999999998E-2</v>
      </c>
      <c r="M127">
        <v>593</v>
      </c>
      <c r="N127">
        <f t="shared" si="44"/>
        <v>649</v>
      </c>
      <c r="O127" s="13">
        <f t="shared" si="45"/>
        <v>-0.26250000000000001</v>
      </c>
      <c r="P127">
        <v>245300</v>
      </c>
      <c r="Q127" s="13">
        <f t="shared" si="46"/>
        <v>4.1999999999999997E-3</v>
      </c>
      <c r="R127">
        <v>173.143</v>
      </c>
      <c r="S127" s="13">
        <f t="shared" si="47"/>
        <v>-6.3E-3</v>
      </c>
      <c r="T127">
        <v>20</v>
      </c>
      <c r="U127" s="13">
        <f t="shared" si="48"/>
        <v>0</v>
      </c>
      <c r="V127" s="6">
        <f t="shared" si="49"/>
        <v>0.08</v>
      </c>
      <c r="W127" s="44">
        <f t="shared" si="50"/>
        <v>1021.44</v>
      </c>
      <c r="X127" s="15">
        <f t="shared" si="51"/>
        <v>8.2970000000000002E-2</v>
      </c>
      <c r="Y127" s="13">
        <f t="shared" si="52"/>
        <v>2.8128000000000002</v>
      </c>
      <c r="Z127" s="6">
        <f t="shared" si="53"/>
        <v>46.09</v>
      </c>
      <c r="AA127" s="6">
        <f t="shared" si="54"/>
        <v>-50.96</v>
      </c>
      <c r="AB127" s="6">
        <f t="shared" si="55"/>
        <v>12.12</v>
      </c>
      <c r="AC127" s="6">
        <f t="shared" si="56"/>
        <v>3.38</v>
      </c>
    </row>
    <row r="128" spans="1:29" x14ac:dyDescent="0.25">
      <c r="A128" s="34">
        <v>39448</v>
      </c>
      <c r="B128" s="34">
        <f t="shared" si="39"/>
        <v>39507</v>
      </c>
      <c r="C128">
        <v>12278.6</v>
      </c>
      <c r="D128" s="13">
        <f t="shared" si="40"/>
        <v>3.5000000000000001E-3</v>
      </c>
      <c r="E128">
        <v>6.24</v>
      </c>
      <c r="F128">
        <v>5.72</v>
      </c>
      <c r="G128">
        <v>9.3000000000000007</v>
      </c>
      <c r="H128" s="13">
        <f t="shared" si="41"/>
        <v>2.7000000000000001E-3</v>
      </c>
      <c r="I128">
        <v>1084</v>
      </c>
      <c r="J128" s="13">
        <f t="shared" si="42"/>
        <v>-4.0899999999999999E-2</v>
      </c>
      <c r="K128">
        <v>4170000</v>
      </c>
      <c r="L128" s="13">
        <f t="shared" si="43"/>
        <v>-3.0800000000000001E-2</v>
      </c>
      <c r="M128">
        <v>627</v>
      </c>
      <c r="N128">
        <f t="shared" si="44"/>
        <v>667</v>
      </c>
      <c r="O128" s="13">
        <f t="shared" si="45"/>
        <v>-0.2646</v>
      </c>
      <c r="P128">
        <v>232400</v>
      </c>
      <c r="Q128" s="13">
        <f t="shared" si="46"/>
        <v>-3.5000000000000001E-3</v>
      </c>
      <c r="R128">
        <v>174.351</v>
      </c>
      <c r="S128" s="13">
        <f t="shared" si="47"/>
        <v>-5.3E-3</v>
      </c>
      <c r="T128">
        <v>20</v>
      </c>
      <c r="U128" s="13">
        <f t="shared" si="48"/>
        <v>5.2600000000000001E-2</v>
      </c>
      <c r="V128" s="6">
        <f t="shared" si="49"/>
        <v>-0.5</v>
      </c>
      <c r="W128" s="44">
        <f t="shared" si="50"/>
        <v>1072.3800000000001</v>
      </c>
      <c r="X128" s="15">
        <f t="shared" si="51"/>
        <v>8.7340000000000001E-2</v>
      </c>
      <c r="Y128" s="13">
        <f t="shared" si="52"/>
        <v>2.8399000000000001</v>
      </c>
      <c r="Z128" s="6">
        <f t="shared" si="53"/>
        <v>29.63</v>
      </c>
      <c r="AA128" s="6">
        <f t="shared" si="54"/>
        <v>-44.79</v>
      </c>
      <c r="AB128" s="6">
        <f t="shared" si="55"/>
        <v>3.58</v>
      </c>
      <c r="AC128" s="6">
        <f t="shared" si="56"/>
        <v>1.9</v>
      </c>
    </row>
    <row r="129" spans="1:29" x14ac:dyDescent="0.25">
      <c r="A129" s="34">
        <v>39417</v>
      </c>
      <c r="B129" s="34">
        <f t="shared" si="39"/>
        <v>39478</v>
      </c>
      <c r="C129">
        <v>12235.9</v>
      </c>
      <c r="D129" s="13">
        <f t="shared" si="40"/>
        <v>6.1000000000000004E-3</v>
      </c>
      <c r="E129">
        <v>5.68</v>
      </c>
      <c r="F129">
        <v>5.17</v>
      </c>
      <c r="G129">
        <v>9.6</v>
      </c>
      <c r="H129" s="13">
        <f t="shared" si="41"/>
        <v>1.0999999999999999E-2</v>
      </c>
      <c r="I129">
        <v>1037</v>
      </c>
      <c r="J129" s="13">
        <f t="shared" si="42"/>
        <v>-5.0099999999999999E-2</v>
      </c>
      <c r="K129">
        <v>4410000</v>
      </c>
      <c r="L129" s="13">
        <f t="shared" si="43"/>
        <v>-2.8199999999999999E-2</v>
      </c>
      <c r="M129">
        <v>619</v>
      </c>
      <c r="N129">
        <f t="shared" si="44"/>
        <v>692</v>
      </c>
      <c r="O129" s="13">
        <f t="shared" si="45"/>
        <v>-0.2445</v>
      </c>
      <c r="P129">
        <v>227700</v>
      </c>
      <c r="Q129" s="13">
        <f t="shared" si="46"/>
        <v>-1.5299999999999999E-2</v>
      </c>
      <c r="R129">
        <v>175.15799999999999</v>
      </c>
      <c r="S129" s="13">
        <f t="shared" si="47"/>
        <v>-5.5999999999999999E-3</v>
      </c>
      <c r="T129">
        <v>19</v>
      </c>
      <c r="U129" s="13">
        <f t="shared" si="48"/>
        <v>5.5599999999999997E-2</v>
      </c>
      <c r="V129" s="6">
        <f t="shared" si="49"/>
        <v>-1.58</v>
      </c>
      <c r="W129" s="44">
        <f t="shared" si="50"/>
        <v>1014.4</v>
      </c>
      <c r="X129" s="15">
        <f t="shared" si="51"/>
        <v>8.2900000000000001E-2</v>
      </c>
      <c r="Y129" s="13">
        <f t="shared" si="52"/>
        <v>2.863</v>
      </c>
      <c r="Z129" s="6">
        <f t="shared" si="53"/>
        <v>23.03</v>
      </c>
      <c r="AA129" s="6">
        <f t="shared" si="54"/>
        <v>-58.64</v>
      </c>
      <c r="AB129" s="6">
        <f t="shared" si="55"/>
        <v>-5.55</v>
      </c>
      <c r="AC129" s="6">
        <f t="shared" si="56"/>
        <v>1.42</v>
      </c>
    </row>
    <row r="130" spans="1:29" x14ac:dyDescent="0.25">
      <c r="A130" s="34">
        <v>39387</v>
      </c>
      <c r="B130" s="34">
        <f t="shared" si="39"/>
        <v>39447</v>
      </c>
      <c r="C130">
        <v>12161.6</v>
      </c>
      <c r="D130" s="13">
        <f t="shared" si="40"/>
        <v>4.3E-3</v>
      </c>
      <c r="E130">
        <v>6.17</v>
      </c>
      <c r="F130">
        <v>5.79</v>
      </c>
      <c r="G130">
        <v>9.4</v>
      </c>
      <c r="H130" s="13">
        <f t="shared" si="41"/>
        <v>3.1199999999999999E-2</v>
      </c>
      <c r="I130">
        <v>1197</v>
      </c>
      <c r="J130" s="13">
        <f t="shared" si="42"/>
        <v>-3.8199999999999998E-2</v>
      </c>
      <c r="K130">
        <v>4460000</v>
      </c>
      <c r="L130" s="13">
        <f t="shared" si="43"/>
        <v>-2.7400000000000001E-2</v>
      </c>
      <c r="M130">
        <v>641</v>
      </c>
      <c r="N130">
        <f t="shared" si="44"/>
        <v>721</v>
      </c>
      <c r="O130" s="13">
        <f t="shared" si="45"/>
        <v>-0.23780000000000001</v>
      </c>
      <c r="P130">
        <v>249100</v>
      </c>
      <c r="Q130" s="13">
        <f t="shared" si="46"/>
        <v>1.14E-2</v>
      </c>
      <c r="R130">
        <v>176.63499999999999</v>
      </c>
      <c r="S130" s="13">
        <f t="shared" si="47"/>
        <v>-5.1000000000000004E-3</v>
      </c>
      <c r="T130">
        <v>18</v>
      </c>
      <c r="U130" s="13">
        <f t="shared" si="48"/>
        <v>-5.2600000000000001E-2</v>
      </c>
      <c r="V130" s="6">
        <f t="shared" si="49"/>
        <v>-3</v>
      </c>
      <c r="W130" s="44">
        <f t="shared" si="50"/>
        <v>1078.4000000000001</v>
      </c>
      <c r="X130" s="15">
        <f t="shared" si="51"/>
        <v>8.8669999999999999E-2</v>
      </c>
      <c r="Y130" s="13">
        <f t="shared" si="52"/>
        <v>2.9047999999999998</v>
      </c>
      <c r="Z130" s="6">
        <f t="shared" si="53"/>
        <v>45.82</v>
      </c>
      <c r="AA130" s="6">
        <f t="shared" si="54"/>
        <v>-63.2</v>
      </c>
      <c r="AB130" s="6">
        <f t="shared" si="55"/>
        <v>7.66</v>
      </c>
      <c r="AC130" s="6">
        <f t="shared" si="56"/>
        <v>2.83</v>
      </c>
    </row>
    <row r="131" spans="1:29" x14ac:dyDescent="0.25">
      <c r="A131" s="34">
        <v>39356</v>
      </c>
      <c r="B131" s="34">
        <f t="shared" si="39"/>
        <v>39416</v>
      </c>
      <c r="C131">
        <v>12109.7</v>
      </c>
      <c r="D131" s="13">
        <f t="shared" si="40"/>
        <v>8.9999999999999998E-4</v>
      </c>
      <c r="E131">
        <v>6.1</v>
      </c>
      <c r="F131">
        <v>5.73</v>
      </c>
      <c r="G131">
        <v>8.5</v>
      </c>
      <c r="H131" s="13">
        <f t="shared" si="41"/>
        <v>8.6E-3</v>
      </c>
      <c r="I131">
        <v>1264</v>
      </c>
      <c r="J131" s="13">
        <f t="shared" si="42"/>
        <v>-2.24E-2</v>
      </c>
      <c r="K131">
        <v>4430000</v>
      </c>
      <c r="L131" s="13">
        <f t="shared" si="43"/>
        <v>-3.3700000000000001E-2</v>
      </c>
      <c r="M131">
        <v>727</v>
      </c>
      <c r="N131">
        <f t="shared" si="44"/>
        <v>754</v>
      </c>
      <c r="O131" s="13">
        <f t="shared" si="45"/>
        <v>-0.23139999999999999</v>
      </c>
      <c r="P131">
        <v>234300</v>
      </c>
      <c r="Q131" s="13">
        <f t="shared" si="46"/>
        <v>-8.8999999999999999E-3</v>
      </c>
      <c r="R131">
        <v>177.56799999999899</v>
      </c>
      <c r="S131" s="13">
        <f t="shared" si="47"/>
        <v>-5.5999999999999999E-3</v>
      </c>
      <c r="T131">
        <v>19</v>
      </c>
      <c r="U131" s="13">
        <f t="shared" si="48"/>
        <v>0</v>
      </c>
      <c r="V131" s="6">
        <f t="shared" si="49"/>
        <v>-3.83</v>
      </c>
      <c r="W131" s="44">
        <f t="shared" si="50"/>
        <v>1076.05</v>
      </c>
      <c r="X131" s="15">
        <f t="shared" si="51"/>
        <v>8.8859999999999995E-2</v>
      </c>
      <c r="Y131" s="13">
        <f t="shared" si="52"/>
        <v>2.9327000000000001</v>
      </c>
      <c r="Z131" s="6">
        <f t="shared" si="53"/>
        <v>41.61</v>
      </c>
      <c r="AA131" s="6">
        <f t="shared" si="54"/>
        <v>-71.11</v>
      </c>
      <c r="AB131" s="6">
        <f t="shared" si="55"/>
        <v>2.16</v>
      </c>
      <c r="AC131" s="6">
        <f t="shared" si="56"/>
        <v>1.9</v>
      </c>
    </row>
    <row r="132" spans="1:29" x14ac:dyDescent="0.25">
      <c r="A132" s="34">
        <v>39326</v>
      </c>
      <c r="B132" s="34">
        <f t="shared" si="39"/>
        <v>39386</v>
      </c>
      <c r="C132">
        <v>12098.9</v>
      </c>
      <c r="D132" s="13">
        <f t="shared" si="40"/>
        <v>5.8999999999999999E-3</v>
      </c>
      <c r="E132">
        <v>6.33</v>
      </c>
      <c r="F132">
        <v>5.99</v>
      </c>
      <c r="G132">
        <v>9.1999999999999993</v>
      </c>
      <c r="H132" s="13">
        <f t="shared" si="41"/>
        <v>4.1799999999999997E-2</v>
      </c>
      <c r="I132">
        <v>1183</v>
      </c>
      <c r="J132" s="13">
        <f t="shared" si="42"/>
        <v>-4.36E-2</v>
      </c>
      <c r="K132">
        <v>4580000</v>
      </c>
      <c r="L132" s="13">
        <f t="shared" si="43"/>
        <v>-2.7699999999999999E-2</v>
      </c>
      <c r="M132">
        <v>686</v>
      </c>
      <c r="N132">
        <f t="shared" si="44"/>
        <v>781</v>
      </c>
      <c r="O132" s="13">
        <f t="shared" si="45"/>
        <v>-0.2135</v>
      </c>
      <c r="P132">
        <v>240300</v>
      </c>
      <c r="Q132" s="13">
        <f t="shared" si="46"/>
        <v>-1.8E-3</v>
      </c>
      <c r="R132">
        <v>178.13</v>
      </c>
      <c r="S132" s="13">
        <f t="shared" si="47"/>
        <v>-6.7000000000000002E-3</v>
      </c>
      <c r="T132">
        <v>19</v>
      </c>
      <c r="U132" s="13">
        <f t="shared" si="48"/>
        <v>-0.05</v>
      </c>
      <c r="V132" s="6">
        <f t="shared" si="49"/>
        <v>-4.92</v>
      </c>
      <c r="W132" s="44">
        <f t="shared" si="50"/>
        <v>1106.06</v>
      </c>
      <c r="X132" s="15">
        <f t="shared" si="51"/>
        <v>9.1420000000000001E-2</v>
      </c>
      <c r="Y132" s="13">
        <f t="shared" si="52"/>
        <v>2.9445999999999999</v>
      </c>
      <c r="Z132" s="6">
        <f t="shared" si="53"/>
        <v>38.950000000000003</v>
      </c>
      <c r="AA132" s="6">
        <f t="shared" si="54"/>
        <v>-76.14</v>
      </c>
      <c r="AB132" s="6">
        <f t="shared" si="55"/>
        <v>-1.33</v>
      </c>
      <c r="AC132" s="6">
        <f t="shared" si="56"/>
        <v>4.42</v>
      </c>
    </row>
    <row r="133" spans="1:29" x14ac:dyDescent="0.25">
      <c r="A133" s="34">
        <v>39295</v>
      </c>
      <c r="B133" s="34">
        <f t="shared" si="39"/>
        <v>39355</v>
      </c>
      <c r="C133">
        <v>12028.5</v>
      </c>
      <c r="D133" s="13">
        <f t="shared" si="40"/>
        <v>8.9999999999999998E-4</v>
      </c>
      <c r="E133">
        <v>6.42</v>
      </c>
      <c r="F133">
        <v>6.09</v>
      </c>
      <c r="G133">
        <v>9.1999999999999993</v>
      </c>
      <c r="H133" s="13">
        <f t="shared" si="41"/>
        <v>5.6800000000000003E-2</v>
      </c>
      <c r="I133">
        <v>1330</v>
      </c>
      <c r="J133" s="13">
        <f t="shared" si="42"/>
        <v>-2.29E-2</v>
      </c>
      <c r="K133">
        <v>4870000</v>
      </c>
      <c r="L133" s="13">
        <f t="shared" si="43"/>
        <v>-2.2499999999999999E-2</v>
      </c>
      <c r="M133">
        <v>699</v>
      </c>
      <c r="N133">
        <f t="shared" si="44"/>
        <v>805</v>
      </c>
      <c r="O133" s="13">
        <f t="shared" si="45"/>
        <v>-0.19980000000000001</v>
      </c>
      <c r="P133">
        <v>236500</v>
      </c>
      <c r="Q133" s="13">
        <f t="shared" si="46"/>
        <v>-2.12E-2</v>
      </c>
      <c r="R133">
        <v>179.124</v>
      </c>
      <c r="S133" s="13">
        <f t="shared" si="47"/>
        <v>-6.8999999999999999E-3</v>
      </c>
      <c r="T133">
        <v>20</v>
      </c>
      <c r="U133" s="13">
        <f t="shared" si="48"/>
        <v>-9.0899999999999995E-2</v>
      </c>
      <c r="V133" s="6">
        <f t="shared" si="49"/>
        <v>-5.33</v>
      </c>
      <c r="W133" s="44">
        <f t="shared" si="50"/>
        <v>1122.78</v>
      </c>
      <c r="X133" s="15">
        <f t="shared" si="51"/>
        <v>9.3340000000000006E-2</v>
      </c>
      <c r="Y133" s="13">
        <f t="shared" si="52"/>
        <v>2.9782999999999999</v>
      </c>
      <c r="Z133" s="6">
        <f t="shared" si="53"/>
        <v>51.37</v>
      </c>
      <c r="AA133" s="6">
        <f t="shared" si="54"/>
        <v>-81.47</v>
      </c>
      <c r="AB133" s="6">
        <f t="shared" si="55"/>
        <v>4.88</v>
      </c>
      <c r="AC133" s="6">
        <f t="shared" si="56"/>
        <v>10.85</v>
      </c>
    </row>
    <row r="134" spans="1:29" x14ac:dyDescent="0.25">
      <c r="A134" s="34">
        <v>39264</v>
      </c>
      <c r="B134" s="34">
        <f t="shared" ref="B134:B197" si="57">EOMONTH(A134+40,0)</f>
        <v>39325</v>
      </c>
      <c r="C134">
        <v>12017.6</v>
      </c>
      <c r="D134" s="13">
        <f t="shared" ref="D134:D197" si="58">ROUND((C134-C135)/C135,4)</f>
        <v>2.0999999999999999E-3</v>
      </c>
      <c r="E134">
        <v>6.45</v>
      </c>
      <c r="F134">
        <v>6.12</v>
      </c>
      <c r="G134">
        <v>8.3000000000000007</v>
      </c>
      <c r="H134" s="13">
        <f t="shared" ref="H134:H197" si="59">ROUND((AVERAGE(G134:G137)-AVERAGE(G135:G138))/AVERAGE(G135:G138),4)</f>
        <v>1.2800000000000001E-2</v>
      </c>
      <c r="I134">
        <v>1354</v>
      </c>
      <c r="J134" s="13">
        <f t="shared" ref="J134:J197" si="60">ROUND((AVERAGE(I134:I138)-AVERAGE(I135:I139))/AVERAGE(I135:I139),4)</f>
        <v>-1.72E-2</v>
      </c>
      <c r="K134">
        <v>5070000</v>
      </c>
      <c r="L134" s="13">
        <f t="shared" ref="L134:L197" si="61">ROUND((AVERAGE(K134:K138)-AVERAGE(K135:K139))/AVERAGE(K135:K139),4)</f>
        <v>-2.6700000000000002E-2</v>
      </c>
      <c r="M134">
        <v>778</v>
      </c>
      <c r="N134">
        <f t="shared" ref="N134:N197" si="62">ROUND(AVERAGE(M134:M139),0)</f>
        <v>827</v>
      </c>
      <c r="O134" s="13">
        <f t="shared" ref="O134:O197" si="63">ROUND((N134/N143)-1,4)</f>
        <v>-0.18920000000000001</v>
      </c>
      <c r="P134">
        <v>246200</v>
      </c>
      <c r="Q134" s="13">
        <f t="shared" ref="Q134:Q197" si="64">ROUND((AVERAGE(P134:P138)-AVERAGE(P135:P139))/AVERAGE(P135:P139),4)</f>
        <v>-3.7000000000000002E-3</v>
      </c>
      <c r="R134">
        <v>180.262</v>
      </c>
      <c r="S134" s="13">
        <f t="shared" ref="S134:S197" si="65">ROUND((AVERAGE(R134:R137)-AVERAGE(R135:R138))/AVERAGE(R135:R138),4)</f>
        <v>-5.8999999999999999E-3</v>
      </c>
      <c r="T134">
        <v>22</v>
      </c>
      <c r="U134" s="13">
        <f t="shared" ref="U134:U197" si="66">ROUND((T134-T135)/T135,4)</f>
        <v>-8.3299999999999999E-2</v>
      </c>
      <c r="V134" s="6">
        <f t="shared" ref="V134:V197" si="67">ROUND(AVERAGE(T134:T137)-AVERAGE(T135:T140),2)</f>
        <v>-5.67</v>
      </c>
      <c r="W134" s="44">
        <f t="shared" ref="W134:W197" si="68">ROUND(PMT((E134*0.01)/12,360,R134*1000)*-1,2)</f>
        <v>1133.46</v>
      </c>
      <c r="X134" s="15">
        <f t="shared" ref="X134:X197" si="69">ROUND(W134/C134,5)</f>
        <v>9.4320000000000001E-2</v>
      </c>
      <c r="Y134" s="13">
        <f t="shared" ref="Y134:Y197" si="70">ROUND(((R134*1000)*0.2)/C134,4)</f>
        <v>3</v>
      </c>
      <c r="Z134" s="6">
        <f t="shared" ref="Z134:Z197" si="71">ROUND((T134)+(V134*1.45)+(S134*2000)+(Q134*400)-(G134*2)+(H134*100)+(L134*400)+(I134/25)+(J134*300)+(K134/100000)+(N134/100)+(O134*100),2)</f>
        <v>63.55</v>
      </c>
      <c r="AA134" s="6">
        <f t="shared" ref="AA134:AA197" si="72">ROUND(((2.5-Y134)*100)+(((0.0775-X135)*100)*20),2)</f>
        <v>-90.24</v>
      </c>
      <c r="AB134" s="6">
        <f t="shared" ref="AB134:AB197" si="73">ROUND((Z134*0.65)+(AA134*0.35),2)</f>
        <v>9.7200000000000006</v>
      </c>
      <c r="AC134" s="6">
        <f t="shared" ref="AC134:AC197" si="74">IF(ROUND(AVERAGE(AB134:AB136),2)&lt;0,0,ROUND(AVERAGE(AB134:AB136),2))</f>
        <v>16.329999999999998</v>
      </c>
    </row>
    <row r="135" spans="1:29" x14ac:dyDescent="0.25">
      <c r="A135" s="34">
        <v>39234</v>
      </c>
      <c r="B135" s="34">
        <f t="shared" si="57"/>
        <v>39294</v>
      </c>
      <c r="C135">
        <v>11992.7</v>
      </c>
      <c r="D135" s="13">
        <f t="shared" si="58"/>
        <v>8.0000000000000004E-4</v>
      </c>
      <c r="E135">
        <v>6.69</v>
      </c>
      <c r="F135">
        <v>6.37</v>
      </c>
      <c r="G135">
        <v>8.1999999999999993</v>
      </c>
      <c r="H135" s="13">
        <f t="shared" si="59"/>
        <v>9.7000000000000003E-3</v>
      </c>
      <c r="I135">
        <v>1448</v>
      </c>
      <c r="J135" s="13">
        <f t="shared" si="60"/>
        <v>5.4000000000000003E-3</v>
      </c>
      <c r="K135">
        <v>5120000</v>
      </c>
      <c r="L135" s="13">
        <f t="shared" si="61"/>
        <v>-2.2499999999999999E-2</v>
      </c>
      <c r="M135">
        <v>793</v>
      </c>
      <c r="N135">
        <f t="shared" si="62"/>
        <v>846</v>
      </c>
      <c r="O135" s="13">
        <f t="shared" si="63"/>
        <v>-0.1943</v>
      </c>
      <c r="P135">
        <v>235500</v>
      </c>
      <c r="Q135" s="13">
        <f t="shared" si="64"/>
        <v>-1.5100000000000001E-2</v>
      </c>
      <c r="R135">
        <v>181.608</v>
      </c>
      <c r="S135" s="13">
        <f t="shared" si="65"/>
        <v>-4.0000000000000001E-3</v>
      </c>
      <c r="T135">
        <v>24</v>
      </c>
      <c r="U135" s="13">
        <f t="shared" si="66"/>
        <v>-0.1429</v>
      </c>
      <c r="V135" s="6">
        <f t="shared" si="67"/>
        <v>-4.75</v>
      </c>
      <c r="W135" s="44">
        <f t="shared" si="68"/>
        <v>1170.67</v>
      </c>
      <c r="X135" s="15">
        <f t="shared" si="69"/>
        <v>9.7619999999999998E-2</v>
      </c>
      <c r="Y135" s="13">
        <f t="shared" si="70"/>
        <v>3.0286</v>
      </c>
      <c r="Z135" s="6">
        <f t="shared" si="71"/>
        <v>78.41</v>
      </c>
      <c r="AA135" s="6">
        <f t="shared" si="72"/>
        <v>-94.36</v>
      </c>
      <c r="AB135" s="6">
        <f t="shared" si="73"/>
        <v>17.940000000000001</v>
      </c>
      <c r="AC135" s="6">
        <f t="shared" si="74"/>
        <v>25.97</v>
      </c>
    </row>
    <row r="136" spans="1:29" x14ac:dyDescent="0.25">
      <c r="A136" s="34">
        <v>39203</v>
      </c>
      <c r="B136" s="34">
        <f t="shared" si="57"/>
        <v>39263</v>
      </c>
      <c r="C136">
        <v>11982.7</v>
      </c>
      <c r="D136" s="13">
        <f t="shared" si="58"/>
        <v>2.3E-3</v>
      </c>
      <c r="E136">
        <v>6.67</v>
      </c>
      <c r="F136">
        <v>6.34</v>
      </c>
      <c r="G136">
        <v>7.8</v>
      </c>
      <c r="H136" s="13">
        <f t="shared" si="59"/>
        <v>1.9699999999999999E-2</v>
      </c>
      <c r="I136">
        <v>1415</v>
      </c>
      <c r="J136" s="13">
        <f t="shared" si="60"/>
        <v>-3.1099999999999999E-2</v>
      </c>
      <c r="K136">
        <v>5270000</v>
      </c>
      <c r="L136" s="13">
        <f t="shared" si="61"/>
        <v>-3.9399999999999998E-2</v>
      </c>
      <c r="M136">
        <v>842</v>
      </c>
      <c r="N136">
        <f t="shared" si="62"/>
        <v>880</v>
      </c>
      <c r="O136" s="13">
        <f t="shared" si="63"/>
        <v>-0.17530000000000001</v>
      </c>
      <c r="P136">
        <v>245000</v>
      </c>
      <c r="Q136" s="13">
        <f t="shared" si="64"/>
        <v>2.0000000000000001E-4</v>
      </c>
      <c r="R136">
        <v>183.017</v>
      </c>
      <c r="S136" s="13">
        <f t="shared" si="65"/>
        <v>-1.5E-3</v>
      </c>
      <c r="T136">
        <v>28</v>
      </c>
      <c r="U136" s="13">
        <f t="shared" si="66"/>
        <v>-6.6699999999999995E-2</v>
      </c>
      <c r="V136" s="6">
        <f t="shared" si="67"/>
        <v>-2.58</v>
      </c>
      <c r="W136" s="44">
        <f t="shared" si="68"/>
        <v>1177.33</v>
      </c>
      <c r="X136" s="15">
        <f t="shared" si="69"/>
        <v>9.8250000000000004E-2</v>
      </c>
      <c r="Y136" s="13">
        <f t="shared" si="70"/>
        <v>3.0547</v>
      </c>
      <c r="Z136" s="6">
        <f t="shared" si="71"/>
        <v>83.19</v>
      </c>
      <c r="AA136" s="6">
        <f t="shared" si="72"/>
        <v>-93.57</v>
      </c>
      <c r="AB136" s="6">
        <f t="shared" si="73"/>
        <v>21.32</v>
      </c>
      <c r="AC136" s="6">
        <f t="shared" si="74"/>
        <v>36.270000000000003</v>
      </c>
    </row>
    <row r="137" spans="1:29" x14ac:dyDescent="0.25">
      <c r="A137" s="34">
        <v>39173</v>
      </c>
      <c r="B137" s="34">
        <f t="shared" si="57"/>
        <v>39233</v>
      </c>
      <c r="C137">
        <v>11955.5</v>
      </c>
      <c r="D137" s="13">
        <f t="shared" si="58"/>
        <v>2.3999999999999998E-3</v>
      </c>
      <c r="E137">
        <v>6.42</v>
      </c>
      <c r="F137">
        <v>6.12</v>
      </c>
      <c r="G137">
        <v>7.4</v>
      </c>
      <c r="H137" s="13">
        <f t="shared" si="59"/>
        <v>3.0499999999999999E-2</v>
      </c>
      <c r="I137">
        <v>1490</v>
      </c>
      <c r="J137" s="13">
        <f t="shared" si="60"/>
        <v>-1.0500000000000001E-2</v>
      </c>
      <c r="K137">
        <v>5290000</v>
      </c>
      <c r="L137" s="13">
        <f t="shared" si="61"/>
        <v>-3.5299999999999998E-2</v>
      </c>
      <c r="M137">
        <v>887</v>
      </c>
      <c r="N137">
        <f t="shared" si="62"/>
        <v>907</v>
      </c>
      <c r="O137" s="13">
        <f t="shared" si="63"/>
        <v>-0.15310000000000001</v>
      </c>
      <c r="P137">
        <v>242500</v>
      </c>
      <c r="Q137" s="13">
        <f t="shared" si="64"/>
        <v>1.9E-3</v>
      </c>
      <c r="R137">
        <v>184.15700000000001</v>
      </c>
      <c r="S137" s="13">
        <f t="shared" si="65"/>
        <v>6.9999999999999999E-4</v>
      </c>
      <c r="T137">
        <v>30</v>
      </c>
      <c r="U137" s="13">
        <f t="shared" si="66"/>
        <v>-9.0899999999999995E-2</v>
      </c>
      <c r="V137" s="6">
        <f t="shared" si="67"/>
        <v>-0.33</v>
      </c>
      <c r="W137" s="44">
        <f t="shared" si="68"/>
        <v>1154.33</v>
      </c>
      <c r="X137" s="15">
        <f t="shared" si="69"/>
        <v>9.6549999999999997E-2</v>
      </c>
      <c r="Y137" s="13">
        <f t="shared" si="70"/>
        <v>3.0807000000000002</v>
      </c>
      <c r="Z137" s="6">
        <f t="shared" si="71"/>
        <v>108.92</v>
      </c>
      <c r="AA137" s="6">
        <f t="shared" si="72"/>
        <v>-91.85</v>
      </c>
      <c r="AB137" s="6">
        <f t="shared" si="73"/>
        <v>38.65</v>
      </c>
      <c r="AC137" s="6">
        <f t="shared" si="74"/>
        <v>46.35</v>
      </c>
    </row>
    <row r="138" spans="1:29" x14ac:dyDescent="0.25">
      <c r="A138" s="34">
        <v>39142</v>
      </c>
      <c r="B138" s="34">
        <f t="shared" si="57"/>
        <v>39202</v>
      </c>
      <c r="C138">
        <v>11927.2</v>
      </c>
      <c r="D138" s="13">
        <f t="shared" si="58"/>
        <v>7.4999999999999997E-3</v>
      </c>
      <c r="E138">
        <v>6.16</v>
      </c>
      <c r="F138">
        <v>5.87</v>
      </c>
      <c r="G138">
        <v>7.9</v>
      </c>
      <c r="H138" s="13">
        <f t="shared" si="59"/>
        <v>4.6100000000000002E-2</v>
      </c>
      <c r="I138">
        <v>1495</v>
      </c>
      <c r="J138" s="13">
        <f t="shared" si="60"/>
        <v>5.0000000000000001E-4</v>
      </c>
      <c r="K138">
        <v>5460000</v>
      </c>
      <c r="L138" s="13">
        <f t="shared" si="61"/>
        <v>-2.9399999999999999E-2</v>
      </c>
      <c r="M138">
        <v>833</v>
      </c>
      <c r="N138">
        <f t="shared" si="62"/>
        <v>916</v>
      </c>
      <c r="O138" s="13">
        <f t="shared" si="63"/>
        <v>-0.17180000000000001</v>
      </c>
      <c r="P138">
        <v>262600</v>
      </c>
      <c r="Q138" s="13">
        <f t="shared" si="64"/>
        <v>9.7999999999999997E-3</v>
      </c>
      <c r="R138">
        <v>184.602</v>
      </c>
      <c r="S138" s="13">
        <f t="shared" si="65"/>
        <v>1.9E-3</v>
      </c>
      <c r="T138">
        <v>33</v>
      </c>
      <c r="U138" s="13">
        <f t="shared" si="66"/>
        <v>-8.3299999999999999E-2</v>
      </c>
      <c r="V138" s="6">
        <f t="shared" si="67"/>
        <v>1.25</v>
      </c>
      <c r="W138" s="44">
        <f t="shared" si="68"/>
        <v>1125.8399999999999</v>
      </c>
      <c r="X138" s="15">
        <f t="shared" si="69"/>
        <v>9.4390000000000002E-2</v>
      </c>
      <c r="Y138" s="13">
        <f t="shared" si="70"/>
        <v>3.0954999999999999</v>
      </c>
      <c r="Z138" s="6">
        <f t="shared" si="71"/>
        <v>126.11</v>
      </c>
      <c r="AA138" s="6">
        <f t="shared" si="72"/>
        <v>-94.67</v>
      </c>
      <c r="AB138" s="6">
        <f t="shared" si="73"/>
        <v>48.84</v>
      </c>
      <c r="AC138" s="6">
        <f t="shared" si="74"/>
        <v>49.65</v>
      </c>
    </row>
    <row r="139" spans="1:29" x14ac:dyDescent="0.25">
      <c r="A139" s="34">
        <v>39114</v>
      </c>
      <c r="B139" s="34">
        <f t="shared" si="57"/>
        <v>39172</v>
      </c>
      <c r="C139">
        <v>11838.3</v>
      </c>
      <c r="D139" s="13">
        <f t="shared" si="58"/>
        <v>8.0000000000000002E-3</v>
      </c>
      <c r="E139">
        <v>6.16</v>
      </c>
      <c r="F139">
        <v>5.86</v>
      </c>
      <c r="G139">
        <v>7.9</v>
      </c>
      <c r="H139" s="13">
        <f t="shared" si="59"/>
        <v>2.1700000000000001E-2</v>
      </c>
      <c r="I139">
        <v>1480</v>
      </c>
      <c r="J139" s="13">
        <f t="shared" si="60"/>
        <v>-3.0599999999999999E-2</v>
      </c>
      <c r="K139">
        <v>5790000</v>
      </c>
      <c r="L139" s="13">
        <f t="shared" si="61"/>
        <v>-1.5699999999999999E-2</v>
      </c>
      <c r="M139">
        <v>828</v>
      </c>
      <c r="N139">
        <f t="shared" si="62"/>
        <v>946</v>
      </c>
      <c r="O139" s="13">
        <f t="shared" si="63"/>
        <v>-0.16500000000000001</v>
      </c>
      <c r="P139">
        <v>250800</v>
      </c>
      <c r="Q139" s="13">
        <f t="shared" si="64"/>
        <v>1.9800000000000002E-2</v>
      </c>
      <c r="R139">
        <v>184.52099999999999</v>
      </c>
      <c r="S139" s="13">
        <f t="shared" si="65"/>
        <v>2.3E-3</v>
      </c>
      <c r="T139">
        <v>36</v>
      </c>
      <c r="U139" s="13">
        <f t="shared" si="66"/>
        <v>-7.6899999999999996E-2</v>
      </c>
      <c r="V139" s="6">
        <f t="shared" si="67"/>
        <v>2.25</v>
      </c>
      <c r="W139" s="44">
        <f t="shared" si="68"/>
        <v>1125.3499999999999</v>
      </c>
      <c r="X139" s="15">
        <f t="shared" si="69"/>
        <v>9.5060000000000006E-2</v>
      </c>
      <c r="Y139" s="13">
        <f t="shared" si="70"/>
        <v>3.1173999999999999</v>
      </c>
      <c r="Z139" s="6">
        <f t="shared" si="71"/>
        <v>132.75</v>
      </c>
      <c r="AA139" s="6">
        <f t="shared" si="72"/>
        <v>-99.2</v>
      </c>
      <c r="AB139" s="6">
        <f t="shared" si="73"/>
        <v>51.57</v>
      </c>
      <c r="AC139" s="6">
        <f t="shared" si="74"/>
        <v>52.91</v>
      </c>
    </row>
    <row r="140" spans="1:29" x14ac:dyDescent="0.25">
      <c r="A140" s="34">
        <v>39083</v>
      </c>
      <c r="B140" s="34">
        <f t="shared" si="57"/>
        <v>39141</v>
      </c>
      <c r="C140">
        <v>11744.7</v>
      </c>
      <c r="D140" s="13">
        <f t="shared" si="58"/>
        <v>6.3E-3</v>
      </c>
      <c r="E140">
        <v>6.22</v>
      </c>
      <c r="F140">
        <v>5.97</v>
      </c>
      <c r="G140">
        <v>7.2</v>
      </c>
      <c r="H140" s="13">
        <f t="shared" si="59"/>
        <v>1.8499999999999999E-2</v>
      </c>
      <c r="I140">
        <v>1409</v>
      </c>
      <c r="J140" s="13">
        <f t="shared" si="60"/>
        <v>-2.98E-2</v>
      </c>
      <c r="K140">
        <v>5740000</v>
      </c>
      <c r="L140" s="13">
        <f t="shared" si="61"/>
        <v>-1.89E-2</v>
      </c>
      <c r="M140">
        <v>891</v>
      </c>
      <c r="N140">
        <f t="shared" si="62"/>
        <v>981</v>
      </c>
      <c r="O140" s="13">
        <f t="shared" si="63"/>
        <v>-0.15060000000000001</v>
      </c>
      <c r="P140">
        <v>254400</v>
      </c>
      <c r="Q140" s="13">
        <f t="shared" si="64"/>
        <v>8.6999999999999994E-3</v>
      </c>
      <c r="R140">
        <v>184.143</v>
      </c>
      <c r="S140" s="13">
        <f t="shared" si="65"/>
        <v>2.0999999999999999E-3</v>
      </c>
      <c r="T140">
        <v>39</v>
      </c>
      <c r="U140" s="13">
        <f t="shared" si="66"/>
        <v>0.1143</v>
      </c>
      <c r="V140" s="6">
        <f t="shared" si="67"/>
        <v>2.5</v>
      </c>
      <c r="W140" s="44">
        <f t="shared" si="68"/>
        <v>1130.21</v>
      </c>
      <c r="X140" s="15">
        <f t="shared" si="69"/>
        <v>9.6229999999999996E-2</v>
      </c>
      <c r="Y140" s="13">
        <f t="shared" si="70"/>
        <v>3.1358000000000001</v>
      </c>
      <c r="Z140" s="6">
        <f t="shared" si="71"/>
        <v>129.77000000000001</v>
      </c>
      <c r="AA140" s="6">
        <f t="shared" si="72"/>
        <v>-102.32</v>
      </c>
      <c r="AB140" s="6">
        <f t="shared" si="73"/>
        <v>48.54</v>
      </c>
      <c r="AC140" s="6">
        <f t="shared" si="74"/>
        <v>49.58</v>
      </c>
    </row>
    <row r="141" spans="1:29" x14ac:dyDescent="0.25">
      <c r="A141" s="34">
        <v>39052</v>
      </c>
      <c r="B141" s="34">
        <f t="shared" si="57"/>
        <v>39113</v>
      </c>
      <c r="C141">
        <v>11671.2</v>
      </c>
      <c r="D141" s="13">
        <f t="shared" si="58"/>
        <v>8.6999999999999994E-3</v>
      </c>
      <c r="E141">
        <v>6.25</v>
      </c>
      <c r="F141">
        <v>5.98</v>
      </c>
      <c r="G141">
        <v>6.5</v>
      </c>
      <c r="H141" s="13">
        <f t="shared" si="59"/>
        <v>-7.3000000000000001E-3</v>
      </c>
      <c r="I141">
        <v>1649</v>
      </c>
      <c r="J141" s="13">
        <f t="shared" si="60"/>
        <v>-1.0800000000000001E-2</v>
      </c>
      <c r="K141">
        <v>6400000</v>
      </c>
      <c r="L141" s="13">
        <f t="shared" si="61"/>
        <v>2.5000000000000001E-3</v>
      </c>
      <c r="M141">
        <v>998</v>
      </c>
      <c r="N141">
        <f t="shared" si="62"/>
        <v>993</v>
      </c>
      <c r="O141" s="13">
        <f t="shared" si="63"/>
        <v>-0.16550000000000001</v>
      </c>
      <c r="P141">
        <v>244700</v>
      </c>
      <c r="Q141" s="13">
        <f t="shared" si="64"/>
        <v>5.4999999999999997E-3</v>
      </c>
      <c r="R141">
        <v>183.614</v>
      </c>
      <c r="S141" s="13">
        <f t="shared" si="65"/>
        <v>6.9999999999999999E-4</v>
      </c>
      <c r="T141">
        <v>35</v>
      </c>
      <c r="U141" s="13">
        <f t="shared" si="66"/>
        <v>6.0600000000000001E-2</v>
      </c>
      <c r="V141" s="6">
        <f t="shared" si="67"/>
        <v>-0.17</v>
      </c>
      <c r="W141" s="44">
        <f t="shared" si="68"/>
        <v>1130.54</v>
      </c>
      <c r="X141" s="15">
        <f t="shared" si="69"/>
        <v>9.6869999999999998E-2</v>
      </c>
      <c r="Y141" s="13">
        <f t="shared" si="70"/>
        <v>3.1463999999999999</v>
      </c>
      <c r="Z141" s="6">
        <f t="shared" si="71"/>
        <v>145.72</v>
      </c>
      <c r="AA141" s="6">
        <f t="shared" si="72"/>
        <v>-103.18</v>
      </c>
      <c r="AB141" s="6">
        <f t="shared" si="73"/>
        <v>58.61</v>
      </c>
      <c r="AC141" s="6">
        <f t="shared" si="74"/>
        <v>44.76</v>
      </c>
    </row>
    <row r="142" spans="1:29" x14ac:dyDescent="0.25">
      <c r="A142" s="34">
        <v>39022</v>
      </c>
      <c r="B142" s="34">
        <f t="shared" si="57"/>
        <v>39082</v>
      </c>
      <c r="C142">
        <v>11570.4</v>
      </c>
      <c r="D142" s="13">
        <f t="shared" si="58"/>
        <v>5.1999999999999998E-3</v>
      </c>
      <c r="E142">
        <v>6.18</v>
      </c>
      <c r="F142">
        <v>5.93</v>
      </c>
      <c r="G142">
        <v>6.6</v>
      </c>
      <c r="H142" s="13">
        <f t="shared" si="59"/>
        <v>-2.5000000000000001E-2</v>
      </c>
      <c r="I142">
        <v>1570</v>
      </c>
      <c r="J142" s="13">
        <f t="shared" si="60"/>
        <v>-2.76E-2</v>
      </c>
      <c r="K142">
        <v>6340000</v>
      </c>
      <c r="L142" s="13">
        <f t="shared" si="61"/>
        <v>-4.4000000000000003E-3</v>
      </c>
      <c r="M142">
        <v>1003</v>
      </c>
      <c r="N142">
        <f t="shared" si="62"/>
        <v>1006</v>
      </c>
      <c r="O142" s="13">
        <f t="shared" si="63"/>
        <v>-0.16930000000000001</v>
      </c>
      <c r="P142">
        <v>240100</v>
      </c>
      <c r="Q142" s="13">
        <f t="shared" si="64"/>
        <v>-2.5999999999999999E-3</v>
      </c>
      <c r="R142">
        <v>183.20599999999999</v>
      </c>
      <c r="S142" s="13">
        <f t="shared" si="65"/>
        <v>-4.0000000000000002E-4</v>
      </c>
      <c r="T142">
        <v>33</v>
      </c>
      <c r="U142" s="13">
        <f t="shared" si="66"/>
        <v>0</v>
      </c>
      <c r="V142" s="6">
        <f t="shared" si="67"/>
        <v>-2.92</v>
      </c>
      <c r="W142" s="44">
        <f t="shared" si="68"/>
        <v>1119.7</v>
      </c>
      <c r="X142" s="15">
        <f t="shared" si="69"/>
        <v>9.6769999999999995E-2</v>
      </c>
      <c r="Y142" s="13">
        <f t="shared" si="70"/>
        <v>3.1667999999999998</v>
      </c>
      <c r="Z142" s="6">
        <f t="shared" si="71"/>
        <v>120.52</v>
      </c>
      <c r="AA142" s="6">
        <f t="shared" si="72"/>
        <v>-105</v>
      </c>
      <c r="AB142" s="6">
        <f t="shared" si="73"/>
        <v>41.59</v>
      </c>
      <c r="AC142" s="6">
        <f t="shared" si="74"/>
        <v>36.090000000000003</v>
      </c>
    </row>
    <row r="143" spans="1:29" x14ac:dyDescent="0.25">
      <c r="A143" s="34">
        <v>38991</v>
      </c>
      <c r="B143" s="34">
        <f t="shared" si="57"/>
        <v>39051</v>
      </c>
      <c r="C143">
        <v>11510.1</v>
      </c>
      <c r="D143" s="13">
        <f t="shared" si="58"/>
        <v>3.3999999999999998E-3</v>
      </c>
      <c r="E143">
        <v>6.14</v>
      </c>
      <c r="F143">
        <v>5.87</v>
      </c>
      <c r="G143">
        <v>7.3</v>
      </c>
      <c r="H143" s="13">
        <f t="shared" si="59"/>
        <v>3.6999999999999998E-2</v>
      </c>
      <c r="I143">
        <v>1491</v>
      </c>
      <c r="J143" s="13">
        <f t="shared" si="60"/>
        <v>-5.0999999999999997E-2</v>
      </c>
      <c r="K143">
        <v>6360000</v>
      </c>
      <c r="L143" s="13">
        <f t="shared" si="61"/>
        <v>-6.8999999999999999E-3</v>
      </c>
      <c r="M143">
        <v>941</v>
      </c>
      <c r="N143">
        <f t="shared" si="62"/>
        <v>1020</v>
      </c>
      <c r="O143" s="13">
        <f t="shared" si="63"/>
        <v>-0.18010000000000001</v>
      </c>
      <c r="P143">
        <v>250400</v>
      </c>
      <c r="Q143" s="13">
        <f t="shared" si="64"/>
        <v>1.03E-2</v>
      </c>
      <c r="R143">
        <v>182.80699999999999</v>
      </c>
      <c r="S143" s="13">
        <f t="shared" si="65"/>
        <v>-1.8E-3</v>
      </c>
      <c r="T143">
        <v>33</v>
      </c>
      <c r="U143" s="13">
        <f t="shared" si="66"/>
        <v>6.4500000000000002E-2</v>
      </c>
      <c r="V143" s="6">
        <f t="shared" si="67"/>
        <v>-5.08</v>
      </c>
      <c r="W143" s="44">
        <f t="shared" si="68"/>
        <v>1112.53</v>
      </c>
      <c r="X143" s="15">
        <f t="shared" si="69"/>
        <v>9.6659999999999996E-2</v>
      </c>
      <c r="Y143" s="13">
        <f t="shared" si="70"/>
        <v>3.1764999999999999</v>
      </c>
      <c r="Z143" s="6">
        <f t="shared" si="71"/>
        <v>112.62</v>
      </c>
      <c r="AA143" s="6">
        <f t="shared" si="72"/>
        <v>-111.81</v>
      </c>
      <c r="AB143" s="6">
        <f t="shared" si="73"/>
        <v>34.07</v>
      </c>
      <c r="AC143" s="6">
        <f t="shared" si="74"/>
        <v>32.57</v>
      </c>
    </row>
    <row r="144" spans="1:29" x14ac:dyDescent="0.25">
      <c r="A144" s="34">
        <v>38961</v>
      </c>
      <c r="B144" s="34">
        <f t="shared" si="57"/>
        <v>39021</v>
      </c>
      <c r="C144">
        <v>11470.7</v>
      </c>
      <c r="D144" s="13">
        <f t="shared" si="58"/>
        <v>4.1000000000000003E-3</v>
      </c>
      <c r="E144">
        <v>6.4</v>
      </c>
      <c r="F144">
        <v>6.1</v>
      </c>
      <c r="G144">
        <v>6.7</v>
      </c>
      <c r="H144" s="13">
        <f t="shared" si="59"/>
        <v>1.89E-2</v>
      </c>
      <c r="I144">
        <v>1720</v>
      </c>
      <c r="J144" s="13">
        <f t="shared" si="60"/>
        <v>-1.1299999999999999E-2</v>
      </c>
      <c r="K144">
        <v>6280000</v>
      </c>
      <c r="L144" s="13">
        <f t="shared" si="61"/>
        <v>-1.2999999999999999E-2</v>
      </c>
      <c r="M144">
        <v>1016</v>
      </c>
      <c r="N144">
        <f t="shared" si="62"/>
        <v>1050</v>
      </c>
      <c r="O144" s="13">
        <f t="shared" si="63"/>
        <v>-0.1797</v>
      </c>
      <c r="P144">
        <v>226700</v>
      </c>
      <c r="Q144" s="13">
        <f t="shared" si="64"/>
        <v>-2.4799999999999999E-2</v>
      </c>
      <c r="R144">
        <v>182.608</v>
      </c>
      <c r="S144" s="13">
        <f t="shared" si="65"/>
        <v>-2.3E-3</v>
      </c>
      <c r="T144">
        <v>31</v>
      </c>
      <c r="U144" s="13">
        <f t="shared" si="66"/>
        <v>3.3300000000000003E-2</v>
      </c>
      <c r="V144" s="6">
        <f t="shared" si="67"/>
        <v>-6.92</v>
      </c>
      <c r="W144" s="44">
        <f t="shared" si="68"/>
        <v>1142.22</v>
      </c>
      <c r="X144" s="15">
        <f t="shared" si="69"/>
        <v>9.9580000000000002E-2</v>
      </c>
      <c r="Y144" s="13">
        <f t="shared" si="70"/>
        <v>3.1839</v>
      </c>
      <c r="Z144" s="6">
        <f t="shared" si="71"/>
        <v>110.48</v>
      </c>
      <c r="AA144" s="6">
        <f t="shared" si="72"/>
        <v>-111.99</v>
      </c>
      <c r="AB144" s="6">
        <f t="shared" si="73"/>
        <v>32.619999999999997</v>
      </c>
      <c r="AC144" s="6">
        <f t="shared" si="74"/>
        <v>31.75</v>
      </c>
    </row>
    <row r="145" spans="1:29" x14ac:dyDescent="0.25">
      <c r="A145" s="34">
        <v>38930</v>
      </c>
      <c r="B145" s="34">
        <f t="shared" si="57"/>
        <v>38990</v>
      </c>
      <c r="C145">
        <v>11424</v>
      </c>
      <c r="D145" s="13">
        <f t="shared" si="58"/>
        <v>2.7000000000000001E-3</v>
      </c>
      <c r="E145">
        <v>6.31</v>
      </c>
      <c r="F145">
        <v>5.98</v>
      </c>
      <c r="G145">
        <v>6.7</v>
      </c>
      <c r="H145" s="13">
        <f t="shared" si="59"/>
        <v>1.5299999999999999E-2</v>
      </c>
      <c r="I145">
        <v>1650</v>
      </c>
      <c r="J145" s="13">
        <f t="shared" si="60"/>
        <v>-3.44E-2</v>
      </c>
      <c r="K145">
        <v>6340000</v>
      </c>
      <c r="L145" s="13">
        <f t="shared" si="61"/>
        <v>-1.49E-2</v>
      </c>
      <c r="M145">
        <v>1035</v>
      </c>
      <c r="N145">
        <f t="shared" si="62"/>
        <v>1067</v>
      </c>
      <c r="O145" s="13">
        <f t="shared" si="63"/>
        <v>-0.1696</v>
      </c>
      <c r="P145">
        <v>243900</v>
      </c>
      <c r="Q145" s="13">
        <f t="shared" si="64"/>
        <v>4.1999999999999997E-3</v>
      </c>
      <c r="R145">
        <v>183.07599999999999</v>
      </c>
      <c r="S145" s="13">
        <f t="shared" si="65"/>
        <v>-1.8E-3</v>
      </c>
      <c r="T145">
        <v>30</v>
      </c>
      <c r="U145" s="13">
        <f t="shared" si="66"/>
        <v>-9.0899999999999995E-2</v>
      </c>
      <c r="V145" s="6">
        <f t="shared" si="67"/>
        <v>-8.17</v>
      </c>
      <c r="W145" s="44">
        <f t="shared" si="68"/>
        <v>1134.3800000000001</v>
      </c>
      <c r="X145" s="15">
        <f t="shared" si="69"/>
        <v>9.9299999999999999E-2</v>
      </c>
      <c r="Y145" s="13">
        <f t="shared" si="70"/>
        <v>3.2050999999999998</v>
      </c>
      <c r="Z145" s="6">
        <f t="shared" si="71"/>
        <v>111.19</v>
      </c>
      <c r="AA145" s="6">
        <f t="shared" si="72"/>
        <v>-117.85</v>
      </c>
      <c r="AB145" s="6">
        <f t="shared" si="73"/>
        <v>31.03</v>
      </c>
      <c r="AC145" s="6">
        <f t="shared" si="74"/>
        <v>35.799999999999997</v>
      </c>
    </row>
    <row r="146" spans="1:29" x14ac:dyDescent="0.25">
      <c r="A146" s="34">
        <v>38899</v>
      </c>
      <c r="B146" s="34">
        <f t="shared" si="57"/>
        <v>38960</v>
      </c>
      <c r="C146">
        <v>11393.4</v>
      </c>
      <c r="D146" s="13">
        <f t="shared" si="58"/>
        <v>2.3999999999999998E-3</v>
      </c>
      <c r="E146">
        <v>6.44</v>
      </c>
      <c r="F146">
        <v>6.14</v>
      </c>
      <c r="G146">
        <v>7.3</v>
      </c>
      <c r="H146" s="13">
        <f t="shared" si="59"/>
        <v>5.67E-2</v>
      </c>
      <c r="I146">
        <v>1737</v>
      </c>
      <c r="J146" s="13">
        <f t="shared" si="60"/>
        <v>-3.9600000000000003E-2</v>
      </c>
      <c r="K146">
        <v>6320000</v>
      </c>
      <c r="L146" s="13">
        <f t="shared" si="61"/>
        <v>-1.5599999999999999E-2</v>
      </c>
      <c r="M146">
        <v>965</v>
      </c>
      <c r="N146">
        <f t="shared" si="62"/>
        <v>1071</v>
      </c>
      <c r="O146" s="13">
        <f t="shared" si="63"/>
        <v>-0.17419999999999999</v>
      </c>
      <c r="P146">
        <v>238100</v>
      </c>
      <c r="Q146" s="13">
        <f t="shared" si="64"/>
        <v>-1.03E-2</v>
      </c>
      <c r="R146">
        <v>183.512</v>
      </c>
      <c r="S146" s="13">
        <f t="shared" si="65"/>
        <v>2.9999999999999997E-4</v>
      </c>
      <c r="T146">
        <v>33</v>
      </c>
      <c r="U146" s="13">
        <f t="shared" si="66"/>
        <v>-0.15379999999999999</v>
      </c>
      <c r="V146" s="6">
        <f t="shared" si="67"/>
        <v>-8</v>
      </c>
      <c r="W146" s="44">
        <f t="shared" si="68"/>
        <v>1152.69</v>
      </c>
      <c r="X146" s="15">
        <f t="shared" si="69"/>
        <v>0.10117</v>
      </c>
      <c r="Y146" s="13">
        <f t="shared" si="70"/>
        <v>3.2214</v>
      </c>
      <c r="Z146" s="6">
        <f t="shared" si="71"/>
        <v>116.8</v>
      </c>
      <c r="AA146" s="6">
        <f t="shared" si="72"/>
        <v>-126.66</v>
      </c>
      <c r="AB146" s="6">
        <f t="shared" si="73"/>
        <v>31.59</v>
      </c>
      <c r="AC146" s="6">
        <f t="shared" si="74"/>
        <v>47.69</v>
      </c>
    </row>
    <row r="147" spans="1:29" x14ac:dyDescent="0.25">
      <c r="A147" s="34">
        <v>38869</v>
      </c>
      <c r="B147" s="34">
        <f t="shared" si="57"/>
        <v>38929</v>
      </c>
      <c r="C147">
        <v>11366.6</v>
      </c>
      <c r="D147" s="13">
        <f t="shared" si="58"/>
        <v>4.7000000000000002E-3</v>
      </c>
      <c r="E147">
        <v>6.72</v>
      </c>
      <c r="F147">
        <v>6.34</v>
      </c>
      <c r="G147">
        <v>6.3</v>
      </c>
      <c r="H147" s="13">
        <f t="shared" si="59"/>
        <v>8.2000000000000007E-3</v>
      </c>
      <c r="I147">
        <v>1802</v>
      </c>
      <c r="J147" s="13">
        <f t="shared" si="60"/>
        <v>-4.65E-2</v>
      </c>
      <c r="K147">
        <v>6480000</v>
      </c>
      <c r="L147" s="13">
        <f t="shared" si="61"/>
        <v>-7.1000000000000004E-3</v>
      </c>
      <c r="M147">
        <v>1074</v>
      </c>
      <c r="N147">
        <f t="shared" si="62"/>
        <v>1106</v>
      </c>
      <c r="O147" s="13">
        <f t="shared" si="63"/>
        <v>-0.13930000000000001</v>
      </c>
      <c r="P147">
        <v>243200</v>
      </c>
      <c r="Q147" s="13">
        <f t="shared" si="64"/>
        <v>-1.4E-3</v>
      </c>
      <c r="R147">
        <v>184.15799999999999</v>
      </c>
      <c r="S147" s="13">
        <f t="shared" si="65"/>
        <v>2.5000000000000001E-3</v>
      </c>
      <c r="T147">
        <v>39</v>
      </c>
      <c r="U147" s="13">
        <f t="shared" si="66"/>
        <v>-7.1400000000000005E-2</v>
      </c>
      <c r="V147" s="6">
        <f t="shared" si="67"/>
        <v>-6.5</v>
      </c>
      <c r="W147" s="44">
        <f t="shared" si="68"/>
        <v>1190.78</v>
      </c>
      <c r="X147" s="15">
        <f t="shared" si="69"/>
        <v>0.10476000000000001</v>
      </c>
      <c r="Y147" s="13">
        <f t="shared" si="70"/>
        <v>3.2403</v>
      </c>
      <c r="Z147" s="6">
        <f t="shared" si="71"/>
        <v>139.46</v>
      </c>
      <c r="AA147" s="6">
        <f t="shared" si="72"/>
        <v>-131.03</v>
      </c>
      <c r="AB147" s="6">
        <f t="shared" si="73"/>
        <v>44.79</v>
      </c>
      <c r="AC147" s="6">
        <f t="shared" si="74"/>
        <v>60.92</v>
      </c>
    </row>
    <row r="148" spans="1:29" x14ac:dyDescent="0.25">
      <c r="A148" s="34">
        <v>38838</v>
      </c>
      <c r="B148" s="34">
        <f t="shared" si="57"/>
        <v>38898</v>
      </c>
      <c r="C148">
        <v>11313.6</v>
      </c>
      <c r="D148" s="13">
        <f t="shared" si="58"/>
        <v>1.9E-3</v>
      </c>
      <c r="E148">
        <v>6.78</v>
      </c>
      <c r="F148">
        <v>6.43</v>
      </c>
      <c r="G148">
        <v>6.2</v>
      </c>
      <c r="H148" s="13">
        <f t="shared" si="59"/>
        <v>3.8100000000000002E-2</v>
      </c>
      <c r="I148">
        <v>1942</v>
      </c>
      <c r="J148" s="13">
        <f t="shared" si="60"/>
        <v>-5.1000000000000004E-3</v>
      </c>
      <c r="K148">
        <v>6580000</v>
      </c>
      <c r="L148" s="13">
        <f t="shared" si="61"/>
        <v>-7.7000000000000002E-3</v>
      </c>
      <c r="M148">
        <v>1086</v>
      </c>
      <c r="N148">
        <f t="shared" si="62"/>
        <v>1133</v>
      </c>
      <c r="O148" s="13">
        <f t="shared" si="63"/>
        <v>-0.1278</v>
      </c>
      <c r="P148">
        <v>238200</v>
      </c>
      <c r="Q148" s="13">
        <f t="shared" si="64"/>
        <v>-2.9999999999999997E-4</v>
      </c>
      <c r="R148">
        <v>184.33099999999999</v>
      </c>
      <c r="S148" s="13">
        <f t="shared" si="65"/>
        <v>4.7000000000000002E-3</v>
      </c>
      <c r="T148">
        <v>42</v>
      </c>
      <c r="U148" s="13">
        <f t="shared" si="66"/>
        <v>-8.6999999999999994E-2</v>
      </c>
      <c r="V148" s="6">
        <f t="shared" si="67"/>
        <v>-5.25</v>
      </c>
      <c r="W148" s="44">
        <f t="shared" si="68"/>
        <v>1199.25</v>
      </c>
      <c r="X148" s="15">
        <f t="shared" si="69"/>
        <v>0.106</v>
      </c>
      <c r="Y148" s="13">
        <f t="shared" si="70"/>
        <v>3.2585999999999999</v>
      </c>
      <c r="Z148" s="6">
        <f t="shared" si="71"/>
        <v>172.5</v>
      </c>
      <c r="AA148" s="6">
        <f t="shared" si="72"/>
        <v>-129.84</v>
      </c>
      <c r="AB148" s="6">
        <f t="shared" si="73"/>
        <v>66.680000000000007</v>
      </c>
      <c r="AC148" s="6">
        <f t="shared" si="74"/>
        <v>74.069999999999993</v>
      </c>
    </row>
    <row r="149" spans="1:29" x14ac:dyDescent="0.25">
      <c r="A149" s="34">
        <v>38808</v>
      </c>
      <c r="B149" s="34">
        <f t="shared" si="57"/>
        <v>38868</v>
      </c>
      <c r="C149">
        <v>11291.8</v>
      </c>
      <c r="D149" s="13">
        <f t="shared" si="58"/>
        <v>4.5999999999999999E-3</v>
      </c>
      <c r="E149">
        <v>6.62</v>
      </c>
      <c r="F149">
        <v>6.23</v>
      </c>
      <c r="G149">
        <v>6.3</v>
      </c>
      <c r="H149" s="13">
        <f t="shared" si="59"/>
        <v>6.3100000000000003E-2</v>
      </c>
      <c r="I149">
        <v>1821</v>
      </c>
      <c r="J149" s="13">
        <f t="shared" si="60"/>
        <v>-3.1E-2</v>
      </c>
      <c r="K149">
        <v>6700000</v>
      </c>
      <c r="L149" s="13">
        <f t="shared" si="61"/>
        <v>-9.5999999999999992E-3</v>
      </c>
      <c r="M149">
        <v>1123</v>
      </c>
      <c r="N149">
        <f t="shared" si="62"/>
        <v>1155</v>
      </c>
      <c r="O149" s="13">
        <f t="shared" si="63"/>
        <v>-0.1176</v>
      </c>
      <c r="P149">
        <v>257000</v>
      </c>
      <c r="Q149" s="13">
        <f t="shared" si="64"/>
        <v>1.5800000000000002E-2</v>
      </c>
      <c r="R149">
        <v>184.369</v>
      </c>
      <c r="S149" s="13">
        <f t="shared" si="65"/>
        <v>6.4999999999999997E-3</v>
      </c>
      <c r="T149">
        <v>46</v>
      </c>
      <c r="U149" s="13">
        <f t="shared" si="66"/>
        <v>-9.8000000000000004E-2</v>
      </c>
      <c r="V149" s="6">
        <f t="shared" si="67"/>
        <v>-4.25</v>
      </c>
      <c r="W149" s="44">
        <f t="shared" si="68"/>
        <v>1179.93</v>
      </c>
      <c r="X149" s="15">
        <f t="shared" si="69"/>
        <v>0.10449</v>
      </c>
      <c r="Y149" s="13">
        <f t="shared" si="70"/>
        <v>3.2654999999999998</v>
      </c>
      <c r="Z149" s="6">
        <f t="shared" si="71"/>
        <v>179.36</v>
      </c>
      <c r="AA149" s="6">
        <f t="shared" si="72"/>
        <v>-129.41</v>
      </c>
      <c r="AB149" s="6">
        <f t="shared" si="73"/>
        <v>71.290000000000006</v>
      </c>
      <c r="AC149" s="6">
        <f t="shared" si="74"/>
        <v>84.91</v>
      </c>
    </row>
    <row r="150" spans="1:29" x14ac:dyDescent="0.25">
      <c r="A150" s="34">
        <v>38777</v>
      </c>
      <c r="B150" s="34">
        <f t="shared" si="57"/>
        <v>38837</v>
      </c>
      <c r="C150">
        <v>11239.7</v>
      </c>
      <c r="D150" s="13">
        <f t="shared" si="58"/>
        <v>4.3E-3</v>
      </c>
      <c r="E150">
        <v>6.58</v>
      </c>
      <c r="F150">
        <v>6.21</v>
      </c>
      <c r="G150">
        <v>5.9</v>
      </c>
      <c r="H150" s="13">
        <f t="shared" si="59"/>
        <v>4.2299999999999997E-2</v>
      </c>
      <c r="I150">
        <v>1969</v>
      </c>
      <c r="J150" s="13">
        <f t="shared" si="60"/>
        <v>-9.1000000000000004E-3</v>
      </c>
      <c r="K150">
        <v>6830000</v>
      </c>
      <c r="L150" s="13">
        <f t="shared" si="61"/>
        <v>-7.7999999999999996E-3</v>
      </c>
      <c r="M150">
        <v>1116</v>
      </c>
      <c r="N150">
        <f t="shared" si="62"/>
        <v>1190</v>
      </c>
      <c r="O150" s="13">
        <f t="shared" si="63"/>
        <v>-6.8900000000000003E-2</v>
      </c>
      <c r="P150">
        <v>238800</v>
      </c>
      <c r="Q150" s="13">
        <f t="shared" si="64"/>
        <v>-4.1999999999999997E-3</v>
      </c>
      <c r="R150">
        <v>183.28899999999999</v>
      </c>
      <c r="S150" s="13">
        <f t="shared" si="65"/>
        <v>7.3000000000000001E-3</v>
      </c>
      <c r="T150">
        <v>51</v>
      </c>
      <c r="U150" s="13">
        <f t="shared" si="66"/>
        <v>-5.5599999999999997E-2</v>
      </c>
      <c r="V150" s="6">
        <f t="shared" si="67"/>
        <v>-4.33</v>
      </c>
      <c r="W150" s="44">
        <f t="shared" si="68"/>
        <v>1168.17</v>
      </c>
      <c r="X150" s="15">
        <f t="shared" si="69"/>
        <v>0.10392999999999999</v>
      </c>
      <c r="Y150" s="13">
        <f t="shared" si="70"/>
        <v>3.2614999999999998</v>
      </c>
      <c r="Z150" s="6">
        <f t="shared" si="71"/>
        <v>196.29</v>
      </c>
      <c r="AA150" s="6">
        <f t="shared" si="72"/>
        <v>-123.87</v>
      </c>
      <c r="AB150" s="6">
        <f t="shared" si="73"/>
        <v>84.23</v>
      </c>
      <c r="AC150" s="6">
        <f t="shared" si="74"/>
        <v>97.18</v>
      </c>
    </row>
    <row r="151" spans="1:29" x14ac:dyDescent="0.25">
      <c r="A151" s="34">
        <v>38749</v>
      </c>
      <c r="B151" s="34">
        <f t="shared" si="57"/>
        <v>38807</v>
      </c>
      <c r="C151">
        <v>11192</v>
      </c>
      <c r="D151" s="13">
        <f t="shared" si="58"/>
        <v>4.8999999999999998E-3</v>
      </c>
      <c r="E151">
        <v>6.35</v>
      </c>
      <c r="F151">
        <v>6</v>
      </c>
      <c r="G151">
        <v>6.1</v>
      </c>
      <c r="H151" s="13">
        <f t="shared" si="59"/>
        <v>8.1199999999999994E-2</v>
      </c>
      <c r="I151">
        <v>2119</v>
      </c>
      <c r="J151" s="13">
        <f t="shared" si="60"/>
        <v>-3.0000000000000001E-3</v>
      </c>
      <c r="K151">
        <v>6840000</v>
      </c>
      <c r="L151" s="13">
        <f t="shared" si="61"/>
        <v>-1.17E-2</v>
      </c>
      <c r="M151">
        <v>1061</v>
      </c>
      <c r="N151">
        <f t="shared" si="62"/>
        <v>1211</v>
      </c>
      <c r="O151" s="13">
        <f t="shared" si="63"/>
        <v>-4.87E-2</v>
      </c>
      <c r="P151">
        <v>250800</v>
      </c>
      <c r="Q151" s="13">
        <f t="shared" si="64"/>
        <v>8.6E-3</v>
      </c>
      <c r="R151">
        <v>182.322</v>
      </c>
      <c r="S151" s="13">
        <f t="shared" si="65"/>
        <v>8.2000000000000007E-3</v>
      </c>
      <c r="T151">
        <v>54</v>
      </c>
      <c r="U151" s="13">
        <f t="shared" si="66"/>
        <v>-3.5700000000000003E-2</v>
      </c>
      <c r="V151" s="6">
        <f t="shared" si="67"/>
        <v>-4.67</v>
      </c>
      <c r="W151" s="44">
        <f t="shared" si="68"/>
        <v>1134.47</v>
      </c>
      <c r="X151" s="15">
        <f t="shared" si="69"/>
        <v>0.10136000000000001</v>
      </c>
      <c r="Y151" s="13">
        <f t="shared" si="70"/>
        <v>3.2581000000000002</v>
      </c>
      <c r="Z151" s="6">
        <f t="shared" si="71"/>
        <v>217.81</v>
      </c>
      <c r="AA151" s="6">
        <f t="shared" si="72"/>
        <v>-121.05</v>
      </c>
      <c r="AB151" s="6">
        <f t="shared" si="73"/>
        <v>99.21</v>
      </c>
      <c r="AC151" s="6">
        <f t="shared" si="74"/>
        <v>103.07</v>
      </c>
    </row>
    <row r="152" spans="1:29" x14ac:dyDescent="0.25">
      <c r="A152" s="34">
        <v>38718</v>
      </c>
      <c r="B152" s="34">
        <f t="shared" si="57"/>
        <v>38776</v>
      </c>
      <c r="C152">
        <v>11136.9</v>
      </c>
      <c r="D152" s="13">
        <f t="shared" si="58"/>
        <v>1.7100000000000001E-2</v>
      </c>
      <c r="E152">
        <v>6.26</v>
      </c>
      <c r="F152">
        <v>5.89</v>
      </c>
      <c r="G152">
        <v>5.3</v>
      </c>
      <c r="H152" s="13">
        <f t="shared" si="59"/>
        <v>3.1399999999999997E-2</v>
      </c>
      <c r="I152">
        <v>2273</v>
      </c>
      <c r="J152" s="13">
        <f t="shared" si="60"/>
        <v>1.7000000000000001E-2</v>
      </c>
      <c r="K152">
        <v>6720000</v>
      </c>
      <c r="L152" s="13">
        <f t="shared" si="61"/>
        <v>-1.44E-2</v>
      </c>
      <c r="M152">
        <v>1174</v>
      </c>
      <c r="N152">
        <f t="shared" si="62"/>
        <v>1244</v>
      </c>
      <c r="O152" s="13">
        <f t="shared" si="63"/>
        <v>-8.8000000000000005E-3</v>
      </c>
      <c r="P152">
        <v>244900</v>
      </c>
      <c r="Q152" s="13">
        <f t="shared" si="64"/>
        <v>4.0000000000000001E-3</v>
      </c>
      <c r="R152">
        <v>180.91200000000001</v>
      </c>
      <c r="S152" s="13">
        <f t="shared" si="65"/>
        <v>9.1000000000000004E-3</v>
      </c>
      <c r="T152">
        <v>56</v>
      </c>
      <c r="U152" s="13">
        <f t="shared" si="66"/>
        <v>-1.7500000000000002E-2</v>
      </c>
      <c r="V152" s="6">
        <f t="shared" si="67"/>
        <v>-4.75</v>
      </c>
      <c r="W152" s="44">
        <f t="shared" si="68"/>
        <v>1115.08</v>
      </c>
      <c r="X152" s="15">
        <f t="shared" si="69"/>
        <v>0.10012</v>
      </c>
      <c r="Y152" s="13">
        <f t="shared" si="70"/>
        <v>3.2488999999999999</v>
      </c>
      <c r="Z152" s="6">
        <f t="shared" si="71"/>
        <v>230.47</v>
      </c>
      <c r="AA152" s="6">
        <f t="shared" si="72"/>
        <v>-119.19</v>
      </c>
      <c r="AB152" s="6">
        <f t="shared" si="73"/>
        <v>108.09</v>
      </c>
      <c r="AC152" s="6">
        <f t="shared" si="74"/>
        <v>107.95</v>
      </c>
    </row>
    <row r="153" spans="1:29" x14ac:dyDescent="0.25">
      <c r="A153" s="34">
        <v>38687</v>
      </c>
      <c r="B153" s="34">
        <f t="shared" si="57"/>
        <v>38748</v>
      </c>
      <c r="C153">
        <v>10949.7</v>
      </c>
      <c r="D153" s="13">
        <f t="shared" si="58"/>
        <v>5.4000000000000003E-3</v>
      </c>
      <c r="E153">
        <v>6.12</v>
      </c>
      <c r="F153">
        <v>5.7</v>
      </c>
      <c r="G153">
        <v>4.9000000000000004</v>
      </c>
      <c r="H153" s="13">
        <f t="shared" si="59"/>
        <v>2.1399999999999999E-2</v>
      </c>
      <c r="I153">
        <v>1994</v>
      </c>
      <c r="J153" s="13">
        <f t="shared" si="60"/>
        <v>-5.7000000000000002E-3</v>
      </c>
      <c r="K153">
        <v>6840000</v>
      </c>
      <c r="L153" s="13">
        <f t="shared" si="61"/>
        <v>-8.3999999999999995E-3</v>
      </c>
      <c r="M153">
        <v>1239</v>
      </c>
      <c r="N153">
        <f t="shared" si="62"/>
        <v>1280</v>
      </c>
      <c r="O153" s="13">
        <f t="shared" si="63"/>
        <v>1.35E-2</v>
      </c>
      <c r="P153">
        <v>238600</v>
      </c>
      <c r="Q153" s="13">
        <f t="shared" si="64"/>
        <v>7.9000000000000008E-3</v>
      </c>
      <c r="R153">
        <v>179.68299999999999</v>
      </c>
      <c r="S153" s="13">
        <f t="shared" si="65"/>
        <v>9.7000000000000003E-3</v>
      </c>
      <c r="T153">
        <v>57</v>
      </c>
      <c r="U153" s="13">
        <f t="shared" si="66"/>
        <v>0</v>
      </c>
      <c r="V153" s="6">
        <f t="shared" si="67"/>
        <v>-3.92</v>
      </c>
      <c r="W153" s="44">
        <f t="shared" si="68"/>
        <v>1091.19</v>
      </c>
      <c r="X153" s="15">
        <f t="shared" si="69"/>
        <v>9.9650000000000002E-2</v>
      </c>
      <c r="Y153" s="13">
        <f t="shared" si="70"/>
        <v>3.282</v>
      </c>
      <c r="Z153" s="6">
        <f t="shared" si="71"/>
        <v>223.46</v>
      </c>
      <c r="AA153" s="6">
        <f t="shared" si="72"/>
        <v>-123.86</v>
      </c>
      <c r="AB153" s="6">
        <f t="shared" si="73"/>
        <v>101.9</v>
      </c>
      <c r="AC153" s="6">
        <f t="shared" si="74"/>
        <v>111.83</v>
      </c>
    </row>
    <row r="154" spans="1:29" x14ac:dyDescent="0.25">
      <c r="A154" s="34">
        <v>38657</v>
      </c>
      <c r="B154" s="34">
        <f t="shared" si="57"/>
        <v>38717</v>
      </c>
      <c r="C154">
        <v>10890.4</v>
      </c>
      <c r="D154" s="13">
        <f t="shared" si="58"/>
        <v>6.3E-3</v>
      </c>
      <c r="E154">
        <v>6.22</v>
      </c>
      <c r="F154">
        <v>5.76</v>
      </c>
      <c r="G154">
        <v>5</v>
      </c>
      <c r="H154" s="13">
        <f t="shared" si="59"/>
        <v>4.4699999999999997E-2</v>
      </c>
      <c r="I154">
        <v>2147</v>
      </c>
      <c r="J154" s="13">
        <f t="shared" si="60"/>
        <v>7.6E-3</v>
      </c>
      <c r="K154">
        <v>7030000</v>
      </c>
      <c r="L154" s="13">
        <f t="shared" si="61"/>
        <v>-4.1999999999999997E-3</v>
      </c>
      <c r="M154">
        <v>1214</v>
      </c>
      <c r="N154">
        <f t="shared" si="62"/>
        <v>1285</v>
      </c>
      <c r="O154" s="13">
        <f t="shared" si="63"/>
        <v>3.3000000000000002E-2</v>
      </c>
      <c r="P154">
        <v>237900</v>
      </c>
      <c r="Q154" s="13">
        <f t="shared" si="64"/>
        <v>0.01</v>
      </c>
      <c r="R154">
        <v>178.029</v>
      </c>
      <c r="S154" s="13">
        <f t="shared" si="65"/>
        <v>9.7999999999999997E-3</v>
      </c>
      <c r="T154">
        <v>57</v>
      </c>
      <c r="U154" s="13">
        <f t="shared" si="66"/>
        <v>-6.5600000000000006E-2</v>
      </c>
      <c r="V154" s="6">
        <f t="shared" si="67"/>
        <v>-4.42</v>
      </c>
      <c r="W154" s="44">
        <f t="shared" si="68"/>
        <v>1092.68</v>
      </c>
      <c r="X154" s="15">
        <f t="shared" si="69"/>
        <v>0.10033</v>
      </c>
      <c r="Y154" s="13">
        <f t="shared" si="70"/>
        <v>3.2694999999999999</v>
      </c>
      <c r="Z154" s="6">
        <f t="shared" si="71"/>
        <v>241.59</v>
      </c>
      <c r="AA154" s="6">
        <f t="shared" si="72"/>
        <v>-123.35</v>
      </c>
      <c r="AB154" s="6">
        <f t="shared" si="73"/>
        <v>113.86</v>
      </c>
      <c r="AC154" s="6">
        <f t="shared" si="74"/>
        <v>121.96</v>
      </c>
    </row>
    <row r="155" spans="1:29" x14ac:dyDescent="0.25">
      <c r="A155" s="34">
        <v>38626</v>
      </c>
      <c r="B155" s="34">
        <f t="shared" si="57"/>
        <v>38686</v>
      </c>
      <c r="C155">
        <v>10822.7</v>
      </c>
      <c r="D155" s="13">
        <f t="shared" si="58"/>
        <v>8.8999999999999999E-3</v>
      </c>
      <c r="E155">
        <v>6.28</v>
      </c>
      <c r="F155">
        <v>5.81</v>
      </c>
      <c r="G155">
        <v>4.5</v>
      </c>
      <c r="H155" s="13">
        <f t="shared" si="59"/>
        <v>1.1299999999999999E-2</v>
      </c>
      <c r="I155">
        <v>2065</v>
      </c>
      <c r="J155" s="13">
        <f t="shared" si="60"/>
        <v>3.8E-3</v>
      </c>
      <c r="K155">
        <v>7100000</v>
      </c>
      <c r="L155" s="13">
        <f t="shared" si="61"/>
        <v>5.9999999999999995E-4</v>
      </c>
      <c r="M155">
        <v>1336</v>
      </c>
      <c r="N155">
        <f t="shared" si="62"/>
        <v>1297</v>
      </c>
      <c r="O155" s="13">
        <f t="shared" si="63"/>
        <v>6.3100000000000003E-2</v>
      </c>
      <c r="P155">
        <v>243900</v>
      </c>
      <c r="Q155" s="13">
        <f t="shared" si="64"/>
        <v>1.34E-2</v>
      </c>
      <c r="R155">
        <v>176.43799999999999</v>
      </c>
      <c r="S155" s="13">
        <f t="shared" si="65"/>
        <v>1.03E-2</v>
      </c>
      <c r="T155">
        <v>61</v>
      </c>
      <c r="U155" s="13">
        <f t="shared" si="66"/>
        <v>-0.10290000000000001</v>
      </c>
      <c r="V155" s="6">
        <f t="shared" si="67"/>
        <v>-3.42</v>
      </c>
      <c r="W155" s="44">
        <f t="shared" si="68"/>
        <v>1089.8</v>
      </c>
      <c r="X155" s="15">
        <f t="shared" si="69"/>
        <v>0.1007</v>
      </c>
      <c r="Y155" s="13">
        <f t="shared" si="70"/>
        <v>3.2605</v>
      </c>
      <c r="Z155" s="6">
        <f t="shared" si="71"/>
        <v>248.39</v>
      </c>
      <c r="AA155" s="6">
        <f t="shared" si="72"/>
        <v>-119.19</v>
      </c>
      <c r="AB155" s="6">
        <f t="shared" si="73"/>
        <v>119.74</v>
      </c>
      <c r="AC155" s="6">
        <f t="shared" si="74"/>
        <v>129.6</v>
      </c>
    </row>
    <row r="156" spans="1:29" x14ac:dyDescent="0.25">
      <c r="A156" s="34">
        <v>38596</v>
      </c>
      <c r="B156" s="34">
        <f t="shared" si="57"/>
        <v>38656</v>
      </c>
      <c r="C156">
        <v>10727</v>
      </c>
      <c r="D156" s="13">
        <f t="shared" si="58"/>
        <v>6.4999999999999997E-3</v>
      </c>
      <c r="E156">
        <v>6.15</v>
      </c>
      <c r="F156">
        <v>5.69</v>
      </c>
      <c r="G156">
        <v>4.7</v>
      </c>
      <c r="H156" s="13">
        <f t="shared" si="59"/>
        <v>2.9100000000000001E-2</v>
      </c>
      <c r="I156">
        <v>2151</v>
      </c>
      <c r="J156" s="13">
        <f t="shared" si="60"/>
        <v>8.6999999999999994E-3</v>
      </c>
      <c r="K156">
        <v>7250000</v>
      </c>
      <c r="L156" s="13">
        <f t="shared" si="61"/>
        <v>3.5999999999999999E-3</v>
      </c>
      <c r="M156">
        <v>1244</v>
      </c>
      <c r="N156">
        <f t="shared" si="62"/>
        <v>1285</v>
      </c>
      <c r="O156" s="13">
        <f t="shared" si="63"/>
        <v>6.9900000000000004E-2</v>
      </c>
      <c r="P156">
        <v>240400</v>
      </c>
      <c r="Q156" s="13">
        <f t="shared" si="64"/>
        <v>3.5000000000000001E-3</v>
      </c>
      <c r="R156">
        <v>174.44499999999999</v>
      </c>
      <c r="S156" s="13">
        <f t="shared" si="65"/>
        <v>1.0200000000000001E-2</v>
      </c>
      <c r="T156">
        <v>68</v>
      </c>
      <c r="U156" s="13">
        <f t="shared" si="66"/>
        <v>4.6199999999999998E-2</v>
      </c>
      <c r="V156" s="6">
        <f t="shared" si="67"/>
        <v>-1</v>
      </c>
      <c r="W156" s="44">
        <f t="shared" si="68"/>
        <v>1062.77</v>
      </c>
      <c r="X156" s="15">
        <f t="shared" si="69"/>
        <v>9.9070000000000005E-2</v>
      </c>
      <c r="Y156" s="13">
        <f t="shared" si="70"/>
        <v>3.2524000000000002</v>
      </c>
      <c r="Z156" s="6">
        <f t="shared" si="71"/>
        <v>264.29000000000002</v>
      </c>
      <c r="AA156" s="6">
        <f t="shared" si="72"/>
        <v>-112.84</v>
      </c>
      <c r="AB156" s="6">
        <f t="shared" si="73"/>
        <v>132.29</v>
      </c>
      <c r="AC156" s="6">
        <f t="shared" si="74"/>
        <v>132.41999999999999</v>
      </c>
    </row>
    <row r="157" spans="1:29" x14ac:dyDescent="0.25">
      <c r="A157" s="34">
        <v>38565</v>
      </c>
      <c r="B157" s="34">
        <f t="shared" si="57"/>
        <v>38625</v>
      </c>
      <c r="C157">
        <v>10658.1</v>
      </c>
      <c r="D157" s="13">
        <f t="shared" si="58"/>
        <v>5.4999999999999997E-3</v>
      </c>
      <c r="E157">
        <v>5.91</v>
      </c>
      <c r="F157">
        <v>5.48</v>
      </c>
      <c r="G157">
        <v>4.5</v>
      </c>
      <c r="H157" s="13">
        <f t="shared" si="59"/>
        <v>1.18E-2</v>
      </c>
      <c r="I157">
        <v>2095</v>
      </c>
      <c r="J157" s="13">
        <f t="shared" si="60"/>
        <v>2.29E-2</v>
      </c>
      <c r="K157">
        <v>7230000</v>
      </c>
      <c r="L157" s="13">
        <f t="shared" si="61"/>
        <v>7.6E-3</v>
      </c>
      <c r="M157">
        <v>1255</v>
      </c>
      <c r="N157">
        <f t="shared" si="62"/>
        <v>1299</v>
      </c>
      <c r="O157" s="13">
        <f t="shared" si="63"/>
        <v>9.1600000000000001E-2</v>
      </c>
      <c r="P157">
        <v>240100</v>
      </c>
      <c r="Q157" s="13">
        <f t="shared" si="64"/>
        <v>9.4000000000000004E-3</v>
      </c>
      <c r="R157">
        <v>172.85900000000001</v>
      </c>
      <c r="S157" s="13">
        <f t="shared" si="65"/>
        <v>1.04E-2</v>
      </c>
      <c r="T157">
        <v>65</v>
      </c>
      <c r="U157" s="13">
        <f t="shared" si="66"/>
        <v>-2.9899999999999999E-2</v>
      </c>
      <c r="V157" s="6">
        <f t="shared" si="67"/>
        <v>-0.83</v>
      </c>
      <c r="W157" s="44">
        <f t="shared" si="68"/>
        <v>1026.4000000000001</v>
      </c>
      <c r="X157" s="15">
        <f t="shared" si="69"/>
        <v>9.6299999999999997E-2</v>
      </c>
      <c r="Y157" s="13">
        <f t="shared" si="70"/>
        <v>3.2437</v>
      </c>
      <c r="Z157" s="6">
        <f t="shared" si="71"/>
        <v>268.7</v>
      </c>
      <c r="AA157" s="6">
        <f t="shared" si="72"/>
        <v>-108.27</v>
      </c>
      <c r="AB157" s="6">
        <f t="shared" si="73"/>
        <v>136.76</v>
      </c>
      <c r="AC157" s="6">
        <f t="shared" si="74"/>
        <v>133.51</v>
      </c>
    </row>
    <row r="158" spans="1:29" x14ac:dyDescent="0.25">
      <c r="A158" s="34">
        <v>38534</v>
      </c>
      <c r="B158" s="34">
        <f t="shared" si="57"/>
        <v>38595</v>
      </c>
      <c r="C158">
        <v>10599.9</v>
      </c>
      <c r="D158" s="13">
        <f t="shared" si="58"/>
        <v>5.1000000000000004E-3</v>
      </c>
      <c r="E158">
        <v>5.77</v>
      </c>
      <c r="F158">
        <v>5.35</v>
      </c>
      <c r="G158">
        <v>4.2</v>
      </c>
      <c r="H158" s="13">
        <f t="shared" si="59"/>
        <v>5.8999999999999999E-3</v>
      </c>
      <c r="I158">
        <v>2054</v>
      </c>
      <c r="J158" s="13">
        <f t="shared" si="60"/>
        <v>-1.4999999999999999E-2</v>
      </c>
      <c r="K158">
        <v>7140000</v>
      </c>
      <c r="L158" s="13">
        <f t="shared" si="61"/>
        <v>7.4000000000000003E-3</v>
      </c>
      <c r="M158">
        <v>1389</v>
      </c>
      <c r="N158">
        <f t="shared" si="62"/>
        <v>1309</v>
      </c>
      <c r="O158" s="13">
        <f t="shared" si="63"/>
        <v>8.9899999999999994E-2</v>
      </c>
      <c r="P158">
        <v>229200</v>
      </c>
      <c r="Q158" s="13">
        <f t="shared" si="64"/>
        <v>-7.0000000000000001E-3</v>
      </c>
      <c r="R158">
        <v>171.18899999999999</v>
      </c>
      <c r="S158" s="13">
        <f t="shared" si="65"/>
        <v>1.18E-2</v>
      </c>
      <c r="T158">
        <v>67</v>
      </c>
      <c r="U158" s="13">
        <f t="shared" si="66"/>
        <v>-4.2900000000000001E-2</v>
      </c>
      <c r="V158" s="6">
        <f t="shared" si="67"/>
        <v>0.08</v>
      </c>
      <c r="W158" s="44">
        <f t="shared" si="68"/>
        <v>1001.19</v>
      </c>
      <c r="X158" s="15">
        <f t="shared" si="69"/>
        <v>9.4450000000000006E-2</v>
      </c>
      <c r="Y158" s="13">
        <f t="shared" si="70"/>
        <v>3.23</v>
      </c>
      <c r="Z158" s="6">
        <f t="shared" si="71"/>
        <v>254.21</v>
      </c>
      <c r="AA158" s="6">
        <f t="shared" si="72"/>
        <v>-105.82</v>
      </c>
      <c r="AB158" s="6">
        <f t="shared" si="73"/>
        <v>128.19999999999999</v>
      </c>
      <c r="AC158" s="6">
        <f t="shared" si="74"/>
        <v>133.11000000000001</v>
      </c>
    </row>
    <row r="159" spans="1:29" x14ac:dyDescent="0.25">
      <c r="A159" s="34">
        <v>38504</v>
      </c>
      <c r="B159" s="34">
        <f t="shared" si="57"/>
        <v>38564</v>
      </c>
      <c r="C159">
        <v>10546.6</v>
      </c>
      <c r="D159" s="13">
        <f t="shared" si="58"/>
        <v>3.3E-3</v>
      </c>
      <c r="E159">
        <v>5.77</v>
      </c>
      <c r="F159">
        <v>5.34</v>
      </c>
      <c r="G159">
        <v>4.3</v>
      </c>
      <c r="H159" s="13">
        <f t="shared" si="59"/>
        <v>0</v>
      </c>
      <c r="I159">
        <v>2068</v>
      </c>
      <c r="J159" s="13">
        <f t="shared" si="60"/>
        <v>-7.4000000000000003E-3</v>
      </c>
      <c r="K159">
        <v>7180000</v>
      </c>
      <c r="L159" s="13">
        <f t="shared" si="61"/>
        <v>2.3E-3</v>
      </c>
      <c r="M159">
        <v>1274</v>
      </c>
      <c r="N159">
        <f t="shared" si="62"/>
        <v>1278</v>
      </c>
      <c r="O159" s="13">
        <f t="shared" si="63"/>
        <v>8.2100000000000006E-2</v>
      </c>
      <c r="P159">
        <v>226100</v>
      </c>
      <c r="Q159" s="13">
        <f t="shared" si="64"/>
        <v>2.5999999999999999E-3</v>
      </c>
      <c r="R159">
        <v>169.34899999999999</v>
      </c>
      <c r="S159" s="13">
        <f t="shared" si="65"/>
        <v>1.2200000000000001E-2</v>
      </c>
      <c r="T159">
        <v>70</v>
      </c>
      <c r="U159" s="13">
        <f t="shared" si="66"/>
        <v>-2.7799999999999998E-2</v>
      </c>
      <c r="V159" s="6">
        <f t="shared" si="67"/>
        <v>0.08</v>
      </c>
      <c r="W159" s="44">
        <f t="shared" si="68"/>
        <v>990.43</v>
      </c>
      <c r="X159" s="15">
        <f t="shared" si="69"/>
        <v>9.3909999999999993E-2</v>
      </c>
      <c r="Y159" s="13">
        <f t="shared" si="70"/>
        <v>3.2113999999999998</v>
      </c>
      <c r="Z159" s="6">
        <f t="shared" si="71"/>
        <v>261.17</v>
      </c>
      <c r="AA159" s="6">
        <f t="shared" si="72"/>
        <v>-97.7</v>
      </c>
      <c r="AB159" s="6">
        <f t="shared" si="73"/>
        <v>135.57</v>
      </c>
      <c r="AC159" s="6">
        <f t="shared" si="74"/>
        <v>138.47999999999999</v>
      </c>
    </row>
    <row r="160" spans="1:29" x14ac:dyDescent="0.25">
      <c r="A160" s="34">
        <v>38473</v>
      </c>
      <c r="B160" s="34">
        <f t="shared" si="57"/>
        <v>38533</v>
      </c>
      <c r="C160">
        <v>10511.5</v>
      </c>
      <c r="D160" s="13">
        <f t="shared" si="58"/>
        <v>5.1999999999999998E-3</v>
      </c>
      <c r="E160">
        <v>5.53</v>
      </c>
      <c r="F160">
        <v>5.12</v>
      </c>
      <c r="G160">
        <v>4.2</v>
      </c>
      <c r="H160" s="13">
        <f t="shared" si="59"/>
        <v>-1.17E-2</v>
      </c>
      <c r="I160">
        <v>2025</v>
      </c>
      <c r="J160" s="13">
        <f t="shared" si="60"/>
        <v>-1.6000000000000001E-3</v>
      </c>
      <c r="K160">
        <v>7080000</v>
      </c>
      <c r="L160" s="13">
        <f t="shared" si="61"/>
        <v>5.4000000000000003E-3</v>
      </c>
      <c r="M160">
        <v>1286</v>
      </c>
      <c r="N160">
        <f t="shared" si="62"/>
        <v>1273</v>
      </c>
      <c r="O160" s="13">
        <f t="shared" si="63"/>
        <v>6.88E-2</v>
      </c>
      <c r="P160">
        <v>228300</v>
      </c>
      <c r="Q160" s="13">
        <f t="shared" si="64"/>
        <v>-1.1000000000000001E-3</v>
      </c>
      <c r="R160">
        <v>167.50200000000001</v>
      </c>
      <c r="S160" s="13">
        <f t="shared" si="65"/>
        <v>1.26E-2</v>
      </c>
      <c r="T160">
        <v>72</v>
      </c>
      <c r="U160" s="13">
        <f t="shared" si="66"/>
        <v>2.86E-2</v>
      </c>
      <c r="V160" s="6">
        <f t="shared" si="67"/>
        <v>0.25</v>
      </c>
      <c r="W160" s="44">
        <f t="shared" si="68"/>
        <v>954.21</v>
      </c>
      <c r="X160" s="15">
        <f t="shared" si="69"/>
        <v>9.078E-2</v>
      </c>
      <c r="Y160" s="13">
        <f t="shared" si="70"/>
        <v>3.1869999999999998</v>
      </c>
      <c r="Z160" s="6">
        <f t="shared" si="71"/>
        <v>260.64</v>
      </c>
      <c r="AA160" s="6">
        <f t="shared" si="72"/>
        <v>-96.76</v>
      </c>
      <c r="AB160" s="6">
        <f t="shared" si="73"/>
        <v>135.55000000000001</v>
      </c>
      <c r="AC160" s="6">
        <f t="shared" si="74"/>
        <v>133.41</v>
      </c>
    </row>
    <row r="161" spans="1:29" x14ac:dyDescent="0.25">
      <c r="A161" s="34">
        <v>38443</v>
      </c>
      <c r="B161" s="34">
        <f t="shared" si="57"/>
        <v>38503</v>
      </c>
      <c r="C161">
        <v>10457.5</v>
      </c>
      <c r="D161" s="13">
        <f t="shared" si="58"/>
        <v>6.1000000000000004E-3</v>
      </c>
      <c r="E161">
        <v>5.65</v>
      </c>
      <c r="F161">
        <v>5.21</v>
      </c>
      <c r="G161">
        <v>4.3</v>
      </c>
      <c r="H161" s="13">
        <f t="shared" si="59"/>
        <v>1.18E-2</v>
      </c>
      <c r="I161">
        <v>2061</v>
      </c>
      <c r="J161" s="13">
        <f t="shared" si="60"/>
        <v>2.7799999999999998E-2</v>
      </c>
      <c r="K161">
        <v>7120000</v>
      </c>
      <c r="L161" s="13">
        <f t="shared" si="61"/>
        <v>4.5999999999999999E-3</v>
      </c>
      <c r="M161">
        <v>1260</v>
      </c>
      <c r="N161">
        <f t="shared" si="62"/>
        <v>1255</v>
      </c>
      <c r="O161" s="13">
        <f t="shared" si="63"/>
        <v>5.6399999999999999E-2</v>
      </c>
      <c r="P161">
        <v>236300</v>
      </c>
      <c r="Q161" s="13">
        <f t="shared" si="64"/>
        <v>1.03E-2</v>
      </c>
      <c r="R161">
        <v>165.82</v>
      </c>
      <c r="S161" s="13">
        <f t="shared" si="65"/>
        <v>1.29E-2</v>
      </c>
      <c r="T161">
        <v>70</v>
      </c>
      <c r="U161" s="13">
        <f t="shared" si="66"/>
        <v>4.48E-2</v>
      </c>
      <c r="V161" s="6">
        <f t="shared" si="67"/>
        <v>-0.5</v>
      </c>
      <c r="W161" s="44">
        <f t="shared" si="68"/>
        <v>957.17</v>
      </c>
      <c r="X161" s="15">
        <f t="shared" si="69"/>
        <v>9.153E-2</v>
      </c>
      <c r="Y161" s="13">
        <f t="shared" si="70"/>
        <v>3.1713</v>
      </c>
      <c r="Z161" s="6">
        <f t="shared" si="71"/>
        <v>273.79000000000002</v>
      </c>
      <c r="AA161" s="6">
        <f t="shared" si="72"/>
        <v>-96.15</v>
      </c>
      <c r="AB161" s="6">
        <f t="shared" si="73"/>
        <v>144.31</v>
      </c>
      <c r="AC161" s="6">
        <f t="shared" si="74"/>
        <v>139.16</v>
      </c>
    </row>
    <row r="162" spans="1:29" x14ac:dyDescent="0.25">
      <c r="A162" s="34">
        <v>38412</v>
      </c>
      <c r="B162" s="34">
        <f t="shared" si="57"/>
        <v>38472</v>
      </c>
      <c r="C162">
        <v>10393.9</v>
      </c>
      <c r="D162" s="13">
        <f t="shared" si="58"/>
        <v>6.1999999999999998E-3</v>
      </c>
      <c r="E162">
        <v>5.78</v>
      </c>
      <c r="F162">
        <v>5.33</v>
      </c>
      <c r="G162">
        <v>4.0999999999999996</v>
      </c>
      <c r="H162" s="13">
        <f t="shared" si="59"/>
        <v>-1.17E-2</v>
      </c>
      <c r="I162">
        <v>1864</v>
      </c>
      <c r="J162" s="13">
        <f t="shared" si="60"/>
        <v>-2.0299999999999999E-2</v>
      </c>
      <c r="K162">
        <v>6960000</v>
      </c>
      <c r="L162" s="13">
        <f t="shared" si="61"/>
        <v>3.2000000000000002E-3</v>
      </c>
      <c r="M162">
        <v>1328</v>
      </c>
      <c r="N162">
        <f t="shared" si="62"/>
        <v>1263</v>
      </c>
      <c r="O162" s="13">
        <f t="shared" si="63"/>
        <v>5.16E-2</v>
      </c>
      <c r="P162">
        <v>229300</v>
      </c>
      <c r="Q162" s="13">
        <f t="shared" si="64"/>
        <v>1E-4</v>
      </c>
      <c r="R162">
        <v>163.35</v>
      </c>
      <c r="S162" s="13">
        <f t="shared" si="65"/>
        <v>1.2E-2</v>
      </c>
      <c r="T162">
        <v>67</v>
      </c>
      <c r="U162" s="13">
        <f t="shared" si="66"/>
        <v>-4.2900000000000001E-2</v>
      </c>
      <c r="V162" s="6">
        <f t="shared" si="67"/>
        <v>-0.83</v>
      </c>
      <c r="W162" s="44">
        <f t="shared" si="68"/>
        <v>956.38</v>
      </c>
      <c r="X162" s="15">
        <f t="shared" si="69"/>
        <v>9.2009999999999995E-2</v>
      </c>
      <c r="Y162" s="13">
        <f t="shared" si="70"/>
        <v>3.1432000000000002</v>
      </c>
      <c r="Z162" s="6">
        <f t="shared" si="71"/>
        <v>237.61</v>
      </c>
      <c r="AA162" s="6">
        <f t="shared" si="72"/>
        <v>-97.36</v>
      </c>
      <c r="AB162" s="6">
        <f t="shared" si="73"/>
        <v>120.37</v>
      </c>
      <c r="AC162" s="6">
        <f t="shared" si="74"/>
        <v>140.11000000000001</v>
      </c>
    </row>
    <row r="163" spans="1:29" x14ac:dyDescent="0.25">
      <c r="A163" s="34">
        <v>38384</v>
      </c>
      <c r="B163" s="34">
        <f t="shared" si="57"/>
        <v>38442</v>
      </c>
      <c r="C163">
        <v>10329.4</v>
      </c>
      <c r="D163" s="13">
        <f t="shared" si="58"/>
        <v>3.5999999999999999E-3</v>
      </c>
      <c r="E163">
        <v>6.04</v>
      </c>
      <c r="F163">
        <v>5.58</v>
      </c>
      <c r="G163">
        <v>4.3</v>
      </c>
      <c r="H163" s="13">
        <f t="shared" si="59"/>
        <v>2.4E-2</v>
      </c>
      <c r="I163">
        <v>2207</v>
      </c>
      <c r="J163" s="13">
        <f t="shared" si="60"/>
        <v>3.04E-2</v>
      </c>
      <c r="K163">
        <v>6880000</v>
      </c>
      <c r="L163" s="13">
        <f t="shared" si="61"/>
        <v>5.7999999999999996E-3</v>
      </c>
      <c r="M163">
        <v>1319</v>
      </c>
      <c r="N163">
        <f t="shared" si="62"/>
        <v>1244</v>
      </c>
      <c r="O163" s="13">
        <f t="shared" si="63"/>
        <v>4.2700000000000002E-2</v>
      </c>
      <c r="P163">
        <v>237300</v>
      </c>
      <c r="Q163" s="13">
        <f t="shared" si="64"/>
        <v>2.3E-2</v>
      </c>
      <c r="R163">
        <v>161.292</v>
      </c>
      <c r="S163" s="13">
        <f t="shared" si="65"/>
        <v>1.1299999999999999E-2</v>
      </c>
      <c r="T163">
        <v>70</v>
      </c>
      <c r="U163" s="13">
        <f t="shared" si="66"/>
        <v>1.4500000000000001E-2</v>
      </c>
      <c r="V163" s="6">
        <f t="shared" si="67"/>
        <v>0.67</v>
      </c>
      <c r="W163" s="44">
        <f t="shared" si="68"/>
        <v>971.18</v>
      </c>
      <c r="X163" s="15">
        <f t="shared" si="69"/>
        <v>9.4020000000000006E-2</v>
      </c>
      <c r="Y163" s="13">
        <f t="shared" si="70"/>
        <v>3.1230000000000002</v>
      </c>
      <c r="Z163" s="6">
        <f t="shared" si="71"/>
        <v>281.8</v>
      </c>
      <c r="AA163" s="6">
        <f t="shared" si="72"/>
        <v>-86.8</v>
      </c>
      <c r="AB163" s="6">
        <f t="shared" si="73"/>
        <v>152.79</v>
      </c>
      <c r="AC163" s="6">
        <f t="shared" si="74"/>
        <v>147.1</v>
      </c>
    </row>
    <row r="164" spans="1:29" x14ac:dyDescent="0.25">
      <c r="A164" s="34">
        <v>38353</v>
      </c>
      <c r="B164" s="34">
        <f t="shared" si="57"/>
        <v>38411</v>
      </c>
      <c r="C164">
        <v>10292.1</v>
      </c>
      <c r="D164" s="13">
        <f t="shared" si="58"/>
        <v>-2.5000000000000001E-2</v>
      </c>
      <c r="E164">
        <v>5.69</v>
      </c>
      <c r="F164">
        <v>5.22</v>
      </c>
      <c r="G164">
        <v>4.4000000000000004</v>
      </c>
      <c r="H164" s="13">
        <f t="shared" si="59"/>
        <v>1.83E-2</v>
      </c>
      <c r="I164">
        <v>2144</v>
      </c>
      <c r="J164" s="13">
        <f t="shared" si="60"/>
        <v>1.2200000000000001E-2</v>
      </c>
      <c r="K164">
        <v>7100000</v>
      </c>
      <c r="L164" s="13">
        <f t="shared" si="61"/>
        <v>1.17E-2</v>
      </c>
      <c r="M164">
        <v>1203</v>
      </c>
      <c r="N164">
        <f t="shared" si="62"/>
        <v>1220</v>
      </c>
      <c r="O164" s="13">
        <f t="shared" si="63"/>
        <v>4.4499999999999998E-2</v>
      </c>
      <c r="P164">
        <v>223100</v>
      </c>
      <c r="Q164" s="13">
        <f t="shared" si="64"/>
        <v>4.4999999999999997E-3</v>
      </c>
      <c r="R164">
        <v>159.33199999999999</v>
      </c>
      <c r="S164" s="13">
        <f t="shared" si="65"/>
        <v>1.0800000000000001E-2</v>
      </c>
      <c r="T164">
        <v>69</v>
      </c>
      <c r="U164" s="13">
        <f t="shared" si="66"/>
        <v>-1.43E-2</v>
      </c>
      <c r="V164" s="6">
        <f t="shared" si="67"/>
        <v>0.5</v>
      </c>
      <c r="W164" s="44">
        <f t="shared" si="68"/>
        <v>923.75</v>
      </c>
      <c r="X164" s="15">
        <f t="shared" si="69"/>
        <v>8.9749999999999996E-2</v>
      </c>
      <c r="Y164" s="13">
        <f t="shared" si="70"/>
        <v>3.0962000000000001</v>
      </c>
      <c r="Z164" s="6">
        <f t="shared" si="71"/>
        <v>267.91000000000003</v>
      </c>
      <c r="AA164" s="6">
        <f t="shared" si="72"/>
        <v>-77.08</v>
      </c>
      <c r="AB164" s="6">
        <f t="shared" si="73"/>
        <v>147.16</v>
      </c>
      <c r="AC164" s="6">
        <f t="shared" si="74"/>
        <v>139.51</v>
      </c>
    </row>
    <row r="165" spans="1:29" x14ac:dyDescent="0.25">
      <c r="A165" s="34">
        <v>38322</v>
      </c>
      <c r="B165" s="34">
        <f t="shared" si="57"/>
        <v>38383</v>
      </c>
      <c r="C165">
        <v>10556.1</v>
      </c>
      <c r="D165" s="13">
        <f t="shared" si="58"/>
        <v>3.4700000000000002E-2</v>
      </c>
      <c r="E165">
        <v>5.66</v>
      </c>
      <c r="F165">
        <v>5.14</v>
      </c>
      <c r="G165">
        <v>4.0999999999999996</v>
      </c>
      <c r="H165" s="13">
        <f t="shared" si="59"/>
        <v>-1.2E-2</v>
      </c>
      <c r="I165">
        <v>2042</v>
      </c>
      <c r="J165" s="13">
        <f t="shared" si="60"/>
        <v>4.1000000000000003E-3</v>
      </c>
      <c r="K165">
        <v>6890000</v>
      </c>
      <c r="L165" s="13">
        <f t="shared" si="61"/>
        <v>2.0999999999999999E-3</v>
      </c>
      <c r="M165">
        <v>1242</v>
      </c>
      <c r="N165">
        <f t="shared" si="62"/>
        <v>1201</v>
      </c>
      <c r="O165" s="13">
        <f t="shared" si="63"/>
        <v>3.4500000000000003E-2</v>
      </c>
      <c r="P165">
        <v>229600</v>
      </c>
      <c r="Q165" s="13">
        <f t="shared" si="64"/>
        <v>1.5699999999999999E-2</v>
      </c>
      <c r="R165">
        <v>157.52799999999999</v>
      </c>
      <c r="S165" s="13">
        <f t="shared" si="65"/>
        <v>1.01E-2</v>
      </c>
      <c r="T165">
        <v>70</v>
      </c>
      <c r="U165" s="13">
        <f t="shared" si="66"/>
        <v>-1.41E-2</v>
      </c>
      <c r="V165" s="6">
        <f t="shared" si="67"/>
        <v>1</v>
      </c>
      <c r="W165" s="44">
        <f t="shared" si="68"/>
        <v>910.3</v>
      </c>
      <c r="X165" s="15">
        <f t="shared" si="69"/>
        <v>8.6230000000000001E-2</v>
      </c>
      <c r="Y165" s="13">
        <f t="shared" si="70"/>
        <v>2.9845999999999999</v>
      </c>
      <c r="Z165" s="6">
        <f t="shared" si="71"/>
        <v>256.64</v>
      </c>
      <c r="AA165" s="6">
        <f t="shared" si="72"/>
        <v>-72.8</v>
      </c>
      <c r="AB165" s="6">
        <f t="shared" si="73"/>
        <v>141.34</v>
      </c>
      <c r="AC165" s="6">
        <f t="shared" si="74"/>
        <v>138.62</v>
      </c>
    </row>
    <row r="166" spans="1:29" x14ac:dyDescent="0.25">
      <c r="A166" s="34">
        <v>38292</v>
      </c>
      <c r="B166" s="34">
        <f t="shared" si="57"/>
        <v>38352</v>
      </c>
      <c r="C166">
        <v>10202</v>
      </c>
      <c r="D166" s="13">
        <f t="shared" si="58"/>
        <v>1.8E-3</v>
      </c>
      <c r="E166">
        <v>5.81</v>
      </c>
      <c r="F166">
        <v>5.23</v>
      </c>
      <c r="G166">
        <v>4.3</v>
      </c>
      <c r="H166" s="13">
        <f t="shared" si="59"/>
        <v>-1.1900000000000001E-2</v>
      </c>
      <c r="I166">
        <v>1782</v>
      </c>
      <c r="J166" s="13">
        <f t="shared" si="60"/>
        <v>-4.7000000000000002E-3</v>
      </c>
      <c r="K166">
        <v>6960000</v>
      </c>
      <c r="L166" s="13">
        <f t="shared" si="61"/>
        <v>5.9999999999999995E-4</v>
      </c>
      <c r="M166">
        <v>1179</v>
      </c>
      <c r="N166">
        <f t="shared" si="62"/>
        <v>1190</v>
      </c>
      <c r="O166" s="13">
        <f t="shared" si="63"/>
        <v>4.6600000000000003E-2</v>
      </c>
      <c r="P166">
        <v>224500</v>
      </c>
      <c r="Q166" s="13">
        <f t="shared" si="64"/>
        <v>8.0999999999999996E-3</v>
      </c>
      <c r="R166">
        <v>155.75</v>
      </c>
      <c r="S166" s="13">
        <f t="shared" si="65"/>
        <v>9.7000000000000003E-3</v>
      </c>
      <c r="T166">
        <v>71</v>
      </c>
      <c r="U166" s="13">
        <f t="shared" si="66"/>
        <v>1.43E-2</v>
      </c>
      <c r="V166" s="6">
        <f t="shared" si="67"/>
        <v>0.75</v>
      </c>
      <c r="W166" s="44">
        <f t="shared" si="68"/>
        <v>914.86</v>
      </c>
      <c r="X166" s="15">
        <f t="shared" si="69"/>
        <v>8.967E-2</v>
      </c>
      <c r="Y166" s="13">
        <f t="shared" si="70"/>
        <v>3.0533000000000001</v>
      </c>
      <c r="Z166" s="6">
        <f t="shared" si="71"/>
        <v>241.21</v>
      </c>
      <c r="AA166" s="6">
        <f t="shared" si="72"/>
        <v>-76.45</v>
      </c>
      <c r="AB166" s="6">
        <f t="shared" si="73"/>
        <v>130.03</v>
      </c>
      <c r="AC166" s="6">
        <f t="shared" si="74"/>
        <v>133.77000000000001</v>
      </c>
    </row>
    <row r="167" spans="1:29" x14ac:dyDescent="0.25">
      <c r="A167" s="34">
        <v>38261</v>
      </c>
      <c r="B167" s="34">
        <f t="shared" si="57"/>
        <v>38321</v>
      </c>
      <c r="C167">
        <v>10184.1</v>
      </c>
      <c r="D167" s="13">
        <f t="shared" si="58"/>
        <v>5.1999999999999998E-3</v>
      </c>
      <c r="E167">
        <v>5.72</v>
      </c>
      <c r="F167">
        <v>5.15</v>
      </c>
      <c r="G167">
        <v>3.9</v>
      </c>
      <c r="H167" s="13">
        <f t="shared" si="59"/>
        <v>0</v>
      </c>
      <c r="I167">
        <v>2072</v>
      </c>
      <c r="J167" s="13">
        <f t="shared" si="60"/>
        <v>9.2999999999999992E-3</v>
      </c>
      <c r="K167">
        <v>6850000</v>
      </c>
      <c r="L167" s="13">
        <f t="shared" si="61"/>
        <v>0</v>
      </c>
      <c r="M167">
        <v>1305</v>
      </c>
      <c r="N167">
        <f t="shared" si="62"/>
        <v>1201</v>
      </c>
      <c r="O167" s="13">
        <f t="shared" si="63"/>
        <v>4.8899999999999999E-2</v>
      </c>
      <c r="P167">
        <v>229200</v>
      </c>
      <c r="Q167" s="13">
        <f t="shared" si="64"/>
        <v>1.6400000000000001E-2</v>
      </c>
      <c r="R167">
        <v>154.179</v>
      </c>
      <c r="S167" s="13">
        <f t="shared" si="65"/>
        <v>0.01</v>
      </c>
      <c r="T167">
        <v>70</v>
      </c>
      <c r="U167" s="13">
        <f t="shared" si="66"/>
        <v>1.4500000000000001E-2</v>
      </c>
      <c r="V167" s="6">
        <f t="shared" si="67"/>
        <v>0.67</v>
      </c>
      <c r="W167" s="44">
        <f t="shared" si="68"/>
        <v>896.81</v>
      </c>
      <c r="X167" s="15">
        <f t="shared" si="69"/>
        <v>8.8059999999999999E-2</v>
      </c>
      <c r="Y167" s="13">
        <f t="shared" si="70"/>
        <v>3.0278</v>
      </c>
      <c r="Z167" s="6">
        <f t="shared" si="71"/>
        <v>260.8</v>
      </c>
      <c r="AA167" s="6">
        <f t="shared" si="72"/>
        <v>-71.52</v>
      </c>
      <c r="AB167" s="6">
        <f t="shared" si="73"/>
        <v>144.49</v>
      </c>
      <c r="AC167" s="6">
        <f t="shared" si="74"/>
        <v>136.1</v>
      </c>
    </row>
    <row r="168" spans="1:29" x14ac:dyDescent="0.25">
      <c r="A168" s="34">
        <v>38231</v>
      </c>
      <c r="B168" s="34">
        <f t="shared" si="57"/>
        <v>38291</v>
      </c>
      <c r="C168">
        <v>10131.5</v>
      </c>
      <c r="D168" s="13">
        <f t="shared" si="58"/>
        <v>3.3E-3</v>
      </c>
      <c r="E168">
        <v>5.64</v>
      </c>
      <c r="F168">
        <v>5.01</v>
      </c>
      <c r="G168">
        <v>4.0999999999999996</v>
      </c>
      <c r="H168" s="13">
        <f t="shared" si="59"/>
        <v>1.8200000000000001E-2</v>
      </c>
      <c r="I168">
        <v>1905</v>
      </c>
      <c r="J168" s="13">
        <f t="shared" si="60"/>
        <v>-0.01</v>
      </c>
      <c r="K168">
        <v>6680000</v>
      </c>
      <c r="L168" s="13">
        <f t="shared" si="61"/>
        <v>-1.5E-3</v>
      </c>
      <c r="M168">
        <v>1214</v>
      </c>
      <c r="N168">
        <f t="shared" si="62"/>
        <v>1181</v>
      </c>
      <c r="O168" s="13">
        <f t="shared" si="63"/>
        <v>3.1399999999999997E-2</v>
      </c>
      <c r="P168">
        <v>211600</v>
      </c>
      <c r="Q168" s="13">
        <f t="shared" si="64"/>
        <v>-9.9000000000000008E-3</v>
      </c>
      <c r="R168">
        <v>152.63499999999999</v>
      </c>
      <c r="S168" s="13">
        <f t="shared" si="65"/>
        <v>1.01E-2</v>
      </c>
      <c r="T168">
        <v>69</v>
      </c>
      <c r="U168" s="13">
        <f t="shared" si="66"/>
        <v>2.9899999999999999E-2</v>
      </c>
      <c r="V168" s="6">
        <f t="shared" si="67"/>
        <v>-0.08</v>
      </c>
      <c r="W168" s="44">
        <f t="shared" si="68"/>
        <v>880.1</v>
      </c>
      <c r="X168" s="15">
        <f t="shared" si="69"/>
        <v>8.6870000000000003E-2</v>
      </c>
      <c r="Y168" s="13">
        <f t="shared" si="70"/>
        <v>3.0131000000000001</v>
      </c>
      <c r="Z168" s="6">
        <f t="shared" si="71"/>
        <v>233.09</v>
      </c>
      <c r="AA168" s="6">
        <f t="shared" si="72"/>
        <v>-70.650000000000006</v>
      </c>
      <c r="AB168" s="6">
        <f t="shared" si="73"/>
        <v>126.78</v>
      </c>
      <c r="AC168" s="6">
        <f t="shared" si="74"/>
        <v>136.16</v>
      </c>
    </row>
    <row r="169" spans="1:29" x14ac:dyDescent="0.25">
      <c r="A169" s="34">
        <v>38200</v>
      </c>
      <c r="B169" s="34">
        <f t="shared" si="57"/>
        <v>38260</v>
      </c>
      <c r="C169">
        <v>10098.6</v>
      </c>
      <c r="D169" s="13">
        <f t="shared" si="58"/>
        <v>4.4000000000000003E-3</v>
      </c>
      <c r="E169">
        <v>5.72</v>
      </c>
      <c r="F169">
        <v>5.12</v>
      </c>
      <c r="G169">
        <v>4.3</v>
      </c>
      <c r="H169" s="13">
        <f t="shared" si="59"/>
        <v>1.8499999999999999E-2</v>
      </c>
      <c r="I169">
        <v>2024</v>
      </c>
      <c r="J169" s="13">
        <f t="shared" si="60"/>
        <v>2.5999999999999999E-3</v>
      </c>
      <c r="K169">
        <v>6700000</v>
      </c>
      <c r="L169" s="13">
        <f t="shared" si="61"/>
        <v>1.1999999999999999E-3</v>
      </c>
      <c r="M169">
        <v>1175</v>
      </c>
      <c r="N169">
        <f t="shared" si="62"/>
        <v>1191</v>
      </c>
      <c r="O169" s="13">
        <f t="shared" si="63"/>
        <v>3.0300000000000001E-2</v>
      </c>
      <c r="P169">
        <v>218100</v>
      </c>
      <c r="Q169" s="13">
        <f t="shared" si="64"/>
        <v>7.9000000000000008E-3</v>
      </c>
      <c r="R169">
        <v>151.33699999999999</v>
      </c>
      <c r="S169" s="13">
        <f t="shared" si="65"/>
        <v>1.06E-2</v>
      </c>
      <c r="T169">
        <v>67</v>
      </c>
      <c r="U169" s="13">
        <f t="shared" si="66"/>
        <v>-4.2900000000000001E-2</v>
      </c>
      <c r="V169" s="6">
        <f t="shared" si="67"/>
        <v>-0.17</v>
      </c>
      <c r="W169" s="44">
        <f t="shared" si="68"/>
        <v>880.28</v>
      </c>
      <c r="X169" s="15">
        <f t="shared" si="69"/>
        <v>8.7169999999999997E-2</v>
      </c>
      <c r="Y169" s="13">
        <f t="shared" si="70"/>
        <v>2.9971999999999999</v>
      </c>
      <c r="Z169" s="6">
        <f t="shared" si="71"/>
        <v>248.52</v>
      </c>
      <c r="AA169" s="6">
        <f t="shared" si="72"/>
        <v>-70</v>
      </c>
      <c r="AB169" s="6">
        <f t="shared" si="73"/>
        <v>137.04</v>
      </c>
      <c r="AC169" s="6">
        <f t="shared" si="74"/>
        <v>140.32</v>
      </c>
    </row>
    <row r="170" spans="1:29" x14ac:dyDescent="0.25">
      <c r="A170" s="34">
        <v>38169</v>
      </c>
      <c r="B170" s="34">
        <f t="shared" si="57"/>
        <v>38230</v>
      </c>
      <c r="C170">
        <v>10054.1</v>
      </c>
      <c r="D170" s="13">
        <f t="shared" si="58"/>
        <v>4.4000000000000003E-3</v>
      </c>
      <c r="E170">
        <v>5.82</v>
      </c>
      <c r="F170">
        <v>5.21</v>
      </c>
      <c r="G170">
        <v>4.5</v>
      </c>
      <c r="H170" s="13">
        <f t="shared" si="59"/>
        <v>5.8799999999999998E-2</v>
      </c>
      <c r="I170">
        <v>2002</v>
      </c>
      <c r="J170" s="13">
        <f t="shared" si="60"/>
        <v>1.6199999999999999E-2</v>
      </c>
      <c r="K170">
        <v>6820000</v>
      </c>
      <c r="L170" s="13">
        <f t="shared" si="61"/>
        <v>1.2200000000000001E-2</v>
      </c>
      <c r="M170">
        <v>1088</v>
      </c>
      <c r="N170">
        <f t="shared" si="62"/>
        <v>1188</v>
      </c>
      <c r="O170" s="13">
        <f t="shared" si="63"/>
        <v>3.04E-2</v>
      </c>
      <c r="P170">
        <v>212400</v>
      </c>
      <c r="Q170" s="13">
        <f t="shared" si="64"/>
        <v>-6.7000000000000002E-3</v>
      </c>
      <c r="R170">
        <v>149.85</v>
      </c>
      <c r="S170" s="13">
        <f t="shared" si="65"/>
        <v>1.14E-2</v>
      </c>
      <c r="T170">
        <v>70</v>
      </c>
      <c r="U170" s="13">
        <f t="shared" si="66"/>
        <v>4.48E-2</v>
      </c>
      <c r="V170" s="6">
        <f t="shared" si="67"/>
        <v>1</v>
      </c>
      <c r="W170" s="44">
        <f t="shared" si="68"/>
        <v>881.16</v>
      </c>
      <c r="X170" s="15">
        <f t="shared" si="69"/>
        <v>8.7639999999999996E-2</v>
      </c>
      <c r="Y170" s="13">
        <f t="shared" si="70"/>
        <v>2.9809000000000001</v>
      </c>
      <c r="Z170" s="6">
        <f t="shared" si="71"/>
        <v>261.39</v>
      </c>
      <c r="AA170" s="6">
        <f t="shared" si="72"/>
        <v>-72.13</v>
      </c>
      <c r="AB170" s="6">
        <f t="shared" si="73"/>
        <v>144.66</v>
      </c>
      <c r="AC170" s="6">
        <f t="shared" si="74"/>
        <v>142.36000000000001</v>
      </c>
    </row>
    <row r="171" spans="1:29" x14ac:dyDescent="0.25">
      <c r="A171" s="34">
        <v>38139</v>
      </c>
      <c r="B171" s="34">
        <f t="shared" si="57"/>
        <v>38199</v>
      </c>
      <c r="C171">
        <v>10010.299999999999</v>
      </c>
      <c r="D171" s="13">
        <f t="shared" si="58"/>
        <v>4.1000000000000003E-3</v>
      </c>
      <c r="E171">
        <v>6.08</v>
      </c>
      <c r="F171">
        <v>5.49</v>
      </c>
      <c r="G171">
        <v>3.9</v>
      </c>
      <c r="H171" s="13">
        <f t="shared" si="59"/>
        <v>1.32E-2</v>
      </c>
      <c r="I171">
        <v>1828</v>
      </c>
      <c r="J171" s="13">
        <f t="shared" si="60"/>
        <v>-8.5000000000000006E-3</v>
      </c>
      <c r="K171">
        <v>6940000</v>
      </c>
      <c r="L171" s="13">
        <f t="shared" si="61"/>
        <v>2.1600000000000001E-2</v>
      </c>
      <c r="M171">
        <v>1180</v>
      </c>
      <c r="N171">
        <f t="shared" si="62"/>
        <v>1201</v>
      </c>
      <c r="O171" s="13">
        <f t="shared" si="63"/>
        <v>6.1899999999999997E-2</v>
      </c>
      <c r="P171">
        <v>215700</v>
      </c>
      <c r="Q171" s="13">
        <f t="shared" si="64"/>
        <v>5.7999999999999996E-3</v>
      </c>
      <c r="R171">
        <v>148.18600000000001</v>
      </c>
      <c r="S171" s="13">
        <f t="shared" si="65"/>
        <v>1.1299999999999999E-2</v>
      </c>
      <c r="T171">
        <v>67</v>
      </c>
      <c r="U171" s="13">
        <f t="shared" si="66"/>
        <v>-1.47E-2</v>
      </c>
      <c r="V171" s="6">
        <f t="shared" si="67"/>
        <v>0.57999999999999996</v>
      </c>
      <c r="W171" s="44">
        <f t="shared" si="68"/>
        <v>896.09</v>
      </c>
      <c r="X171" s="15">
        <f t="shared" si="69"/>
        <v>8.9520000000000002E-2</v>
      </c>
      <c r="Y171" s="13">
        <f t="shared" si="70"/>
        <v>2.9607000000000001</v>
      </c>
      <c r="Z171" s="6">
        <f t="shared" si="71"/>
        <v>253.09</v>
      </c>
      <c r="AA171" s="6">
        <f t="shared" si="72"/>
        <v>-72.150000000000006</v>
      </c>
      <c r="AB171" s="6">
        <f t="shared" si="73"/>
        <v>139.26</v>
      </c>
      <c r="AC171" s="6">
        <f t="shared" si="74"/>
        <v>143.37</v>
      </c>
    </row>
    <row r="172" spans="1:29" x14ac:dyDescent="0.25">
      <c r="A172" s="34">
        <v>38108</v>
      </c>
      <c r="B172" s="34">
        <f t="shared" si="57"/>
        <v>38168</v>
      </c>
      <c r="C172">
        <v>9969.6</v>
      </c>
      <c r="D172" s="13">
        <f t="shared" si="58"/>
        <v>8.9999999999999993E-3</v>
      </c>
      <c r="E172">
        <v>6.25</v>
      </c>
      <c r="F172">
        <v>5.64</v>
      </c>
      <c r="G172">
        <v>3.8</v>
      </c>
      <c r="H172" s="13">
        <f t="shared" si="59"/>
        <v>0</v>
      </c>
      <c r="I172">
        <v>1981</v>
      </c>
      <c r="J172" s="13">
        <f t="shared" si="60"/>
        <v>-7.7000000000000002E-3</v>
      </c>
      <c r="K172">
        <v>6850000</v>
      </c>
      <c r="L172" s="13">
        <f t="shared" si="61"/>
        <v>1.11E-2</v>
      </c>
      <c r="M172">
        <v>1241</v>
      </c>
      <c r="N172">
        <f t="shared" si="62"/>
        <v>1193</v>
      </c>
      <c r="O172" s="13">
        <f t="shared" si="63"/>
        <v>7.5700000000000003E-2</v>
      </c>
      <c r="P172">
        <v>211700</v>
      </c>
      <c r="Q172" s="13">
        <f t="shared" si="64"/>
        <v>1.49E-2</v>
      </c>
      <c r="R172">
        <v>146.595</v>
      </c>
      <c r="S172" s="13">
        <f t="shared" si="65"/>
        <v>1.1299999999999999E-2</v>
      </c>
      <c r="T172">
        <v>68</v>
      </c>
      <c r="U172" s="13">
        <f t="shared" si="66"/>
        <v>-1.4500000000000001E-2</v>
      </c>
      <c r="V172" s="6">
        <f t="shared" si="67"/>
        <v>0.17</v>
      </c>
      <c r="W172" s="44">
        <f t="shared" si="68"/>
        <v>902.61</v>
      </c>
      <c r="X172" s="15">
        <f t="shared" si="69"/>
        <v>9.0539999999999995E-2</v>
      </c>
      <c r="Y172" s="13">
        <f t="shared" si="70"/>
        <v>2.9407999999999999</v>
      </c>
      <c r="Z172" s="6">
        <f t="shared" si="71"/>
        <v>258.58</v>
      </c>
      <c r="AA172" s="6">
        <f t="shared" si="72"/>
        <v>-71.2</v>
      </c>
      <c r="AB172" s="6">
        <f t="shared" si="73"/>
        <v>143.16</v>
      </c>
      <c r="AC172" s="6">
        <f t="shared" si="74"/>
        <v>147.26</v>
      </c>
    </row>
    <row r="173" spans="1:29" x14ac:dyDescent="0.25">
      <c r="A173" s="34">
        <v>38078</v>
      </c>
      <c r="B173" s="34">
        <f t="shared" si="57"/>
        <v>38138</v>
      </c>
      <c r="C173">
        <v>9880.9</v>
      </c>
      <c r="D173" s="13">
        <f t="shared" si="58"/>
        <v>5.7999999999999996E-3</v>
      </c>
      <c r="E173">
        <v>6.32</v>
      </c>
      <c r="F173">
        <v>5.69</v>
      </c>
      <c r="G173">
        <v>4</v>
      </c>
      <c r="H173" s="13">
        <f t="shared" si="59"/>
        <v>0</v>
      </c>
      <c r="I173">
        <v>2003</v>
      </c>
      <c r="J173" s="13">
        <f t="shared" si="60"/>
        <v>-8.0999999999999996E-3</v>
      </c>
      <c r="K173">
        <v>6730000</v>
      </c>
      <c r="L173" s="13">
        <f t="shared" si="61"/>
        <v>1.5599999999999999E-2</v>
      </c>
      <c r="M173">
        <v>1186</v>
      </c>
      <c r="N173">
        <f t="shared" si="62"/>
        <v>1168</v>
      </c>
      <c r="O173" s="13">
        <f t="shared" si="63"/>
        <v>9.7699999999999995E-2</v>
      </c>
      <c r="P173">
        <v>222300</v>
      </c>
      <c r="Q173" s="13">
        <f t="shared" si="64"/>
        <v>1.46E-2</v>
      </c>
      <c r="R173">
        <v>145.065</v>
      </c>
      <c r="S173" s="13">
        <f t="shared" si="65"/>
        <v>1.11E-2</v>
      </c>
      <c r="T173">
        <v>69</v>
      </c>
      <c r="U173" s="13">
        <f t="shared" si="66"/>
        <v>0</v>
      </c>
      <c r="V173" s="6">
        <f t="shared" si="67"/>
        <v>-0.17</v>
      </c>
      <c r="W173" s="44">
        <f t="shared" si="68"/>
        <v>899.8</v>
      </c>
      <c r="X173" s="15">
        <f t="shared" si="69"/>
        <v>9.1060000000000002E-2</v>
      </c>
      <c r="Y173" s="13">
        <f t="shared" si="70"/>
        <v>2.9363000000000001</v>
      </c>
      <c r="Z173" s="6">
        <f t="shared" si="71"/>
        <v>261.47000000000003</v>
      </c>
      <c r="AA173" s="6">
        <f t="shared" si="72"/>
        <v>-63.59</v>
      </c>
      <c r="AB173" s="6">
        <f t="shared" si="73"/>
        <v>147.69999999999999</v>
      </c>
      <c r="AC173" s="6">
        <f t="shared" si="74"/>
        <v>146.66</v>
      </c>
    </row>
    <row r="174" spans="1:29" x14ac:dyDescent="0.25">
      <c r="A174" s="34">
        <v>38047</v>
      </c>
      <c r="B174" s="34">
        <f t="shared" si="57"/>
        <v>38107</v>
      </c>
      <c r="C174">
        <v>9824.2000000000007</v>
      </c>
      <c r="D174" s="13">
        <f t="shared" si="58"/>
        <v>5.3E-3</v>
      </c>
      <c r="E174">
        <v>6.01</v>
      </c>
      <c r="F174">
        <v>5.35</v>
      </c>
      <c r="G174">
        <v>3.6</v>
      </c>
      <c r="H174" s="13">
        <f t="shared" si="59"/>
        <v>-3.2099999999999997E-2</v>
      </c>
      <c r="I174">
        <v>1998</v>
      </c>
      <c r="J174" s="13">
        <f t="shared" si="60"/>
        <v>3.0999999999999999E-3</v>
      </c>
      <c r="K174">
        <v>6660000</v>
      </c>
      <c r="L174" s="13">
        <f t="shared" si="61"/>
        <v>8.5000000000000006E-3</v>
      </c>
      <c r="M174">
        <v>1276</v>
      </c>
      <c r="N174">
        <f t="shared" si="62"/>
        <v>1161</v>
      </c>
      <c r="O174" s="13">
        <f t="shared" si="63"/>
        <v>0.1207</v>
      </c>
      <c r="P174">
        <v>209600</v>
      </c>
      <c r="Q174" s="13">
        <f t="shared" si="64"/>
        <v>1.5100000000000001E-2</v>
      </c>
      <c r="R174">
        <v>143.196</v>
      </c>
      <c r="S174" s="13">
        <f t="shared" si="65"/>
        <v>1.01E-2</v>
      </c>
      <c r="T174">
        <v>69</v>
      </c>
      <c r="U174" s="13">
        <f t="shared" si="66"/>
        <v>4.5499999999999999E-2</v>
      </c>
      <c r="V174" s="6">
        <f t="shared" si="67"/>
        <v>-0.42</v>
      </c>
      <c r="W174" s="44">
        <f t="shared" si="68"/>
        <v>859.45</v>
      </c>
      <c r="X174" s="15">
        <f t="shared" si="69"/>
        <v>8.7480000000000002E-2</v>
      </c>
      <c r="Y174" s="13">
        <f t="shared" si="70"/>
        <v>2.9152</v>
      </c>
      <c r="Z174" s="6">
        <f t="shared" si="71"/>
        <v>258.75</v>
      </c>
      <c r="AA174" s="6">
        <f t="shared" si="72"/>
        <v>-49.3</v>
      </c>
      <c r="AB174" s="6">
        <f t="shared" si="73"/>
        <v>150.93</v>
      </c>
      <c r="AC174" s="6">
        <f t="shared" si="74"/>
        <v>145.51</v>
      </c>
    </row>
    <row r="175" spans="1:29" x14ac:dyDescent="0.25">
      <c r="A175" s="34">
        <v>38018</v>
      </c>
      <c r="B175" s="34">
        <f t="shared" si="57"/>
        <v>38077</v>
      </c>
      <c r="C175">
        <v>9772.2999999999993</v>
      </c>
      <c r="D175" s="13">
        <f t="shared" si="58"/>
        <v>3.5999999999999999E-3</v>
      </c>
      <c r="E175">
        <v>5.4</v>
      </c>
      <c r="F175">
        <v>4.7</v>
      </c>
      <c r="G175">
        <v>3.7</v>
      </c>
      <c r="H175" s="13">
        <f t="shared" si="59"/>
        <v>-6.4000000000000003E-3</v>
      </c>
      <c r="I175">
        <v>1846</v>
      </c>
      <c r="J175" s="13">
        <f t="shared" si="60"/>
        <v>-9.2999999999999992E-3</v>
      </c>
      <c r="K175">
        <v>6410000</v>
      </c>
      <c r="L175" s="13">
        <f t="shared" si="61"/>
        <v>-5.3E-3</v>
      </c>
      <c r="M175">
        <v>1159</v>
      </c>
      <c r="N175">
        <f t="shared" si="62"/>
        <v>1137</v>
      </c>
      <c r="O175" s="13">
        <f t="shared" si="63"/>
        <v>0.1235</v>
      </c>
      <c r="P175">
        <v>219600</v>
      </c>
      <c r="Q175" s="13">
        <f t="shared" si="64"/>
        <v>2.76E-2</v>
      </c>
      <c r="R175">
        <v>141.65100000000001</v>
      </c>
      <c r="S175" s="13">
        <f t="shared" si="65"/>
        <v>9.7000000000000003E-3</v>
      </c>
      <c r="T175">
        <v>66</v>
      </c>
      <c r="U175" s="13">
        <f t="shared" si="66"/>
        <v>0</v>
      </c>
      <c r="V175" s="6">
        <f t="shared" si="67"/>
        <v>-0.57999999999999996</v>
      </c>
      <c r="W175" s="44">
        <f t="shared" si="68"/>
        <v>795.41</v>
      </c>
      <c r="X175" s="15">
        <f t="shared" si="69"/>
        <v>8.1390000000000004E-2</v>
      </c>
      <c r="Y175" s="13">
        <f t="shared" si="70"/>
        <v>2.899</v>
      </c>
      <c r="Z175" s="6">
        <f t="shared" si="71"/>
        <v>244.31</v>
      </c>
      <c r="AA175" s="6">
        <f t="shared" si="72"/>
        <v>-49.84</v>
      </c>
      <c r="AB175" s="6">
        <f t="shared" si="73"/>
        <v>141.36000000000001</v>
      </c>
      <c r="AC175" s="6">
        <f t="shared" si="74"/>
        <v>147.29</v>
      </c>
    </row>
    <row r="176" spans="1:29" x14ac:dyDescent="0.25">
      <c r="A176" s="34">
        <v>37987</v>
      </c>
      <c r="B176" s="34">
        <f t="shared" si="57"/>
        <v>38046</v>
      </c>
      <c r="C176">
        <v>9737.2000000000007</v>
      </c>
      <c r="D176" s="13">
        <f t="shared" si="58"/>
        <v>1.8E-3</v>
      </c>
      <c r="E176">
        <v>5.58</v>
      </c>
      <c r="F176">
        <v>4.8899999999999997</v>
      </c>
      <c r="G176">
        <v>3.8</v>
      </c>
      <c r="H176" s="13">
        <f t="shared" si="59"/>
        <v>0</v>
      </c>
      <c r="I176">
        <v>1911</v>
      </c>
      <c r="J176" s="13">
        <f t="shared" si="60"/>
        <v>7.9000000000000008E-3</v>
      </c>
      <c r="K176">
        <v>6230000</v>
      </c>
      <c r="L176" s="13">
        <f t="shared" si="61"/>
        <v>-8.9999999999999993E-3</v>
      </c>
      <c r="M176">
        <v>1165</v>
      </c>
      <c r="N176">
        <f t="shared" si="62"/>
        <v>1145</v>
      </c>
      <c r="O176" s="13">
        <f t="shared" si="63"/>
        <v>0.1416</v>
      </c>
      <c r="P176">
        <v>209500</v>
      </c>
      <c r="Q176" s="13">
        <f t="shared" si="64"/>
        <v>1.9400000000000001E-2</v>
      </c>
      <c r="R176">
        <v>140.18100000000001</v>
      </c>
      <c r="S176" s="13">
        <f t="shared" si="65"/>
        <v>9.4999999999999998E-3</v>
      </c>
      <c r="T176">
        <v>66</v>
      </c>
      <c r="U176" s="13">
        <f t="shared" si="66"/>
        <v>-2.9399999999999999E-2</v>
      </c>
      <c r="V176" s="6">
        <f t="shared" si="67"/>
        <v>-0.25</v>
      </c>
      <c r="W176" s="44">
        <f t="shared" si="68"/>
        <v>802.98</v>
      </c>
      <c r="X176" s="15">
        <f t="shared" si="69"/>
        <v>8.2470000000000002E-2</v>
      </c>
      <c r="Y176" s="13">
        <f t="shared" si="70"/>
        <v>2.8793000000000002</v>
      </c>
      <c r="Z176" s="6">
        <f t="shared" si="71"/>
        <v>247.92</v>
      </c>
      <c r="AA176" s="6">
        <f t="shared" si="72"/>
        <v>-48.33</v>
      </c>
      <c r="AB176" s="6">
        <f t="shared" si="73"/>
        <v>144.22999999999999</v>
      </c>
      <c r="AC176" s="6">
        <f t="shared" si="74"/>
        <v>154.31</v>
      </c>
    </row>
    <row r="177" spans="1:29" x14ac:dyDescent="0.25">
      <c r="A177" s="34">
        <v>37956</v>
      </c>
      <c r="B177" s="34">
        <f t="shared" si="57"/>
        <v>38017</v>
      </c>
      <c r="C177">
        <v>9719.2999999999993</v>
      </c>
      <c r="D177" s="13">
        <f t="shared" si="58"/>
        <v>3.2000000000000002E-3</v>
      </c>
      <c r="E177">
        <v>5.68</v>
      </c>
      <c r="F177">
        <v>4.97</v>
      </c>
      <c r="G177">
        <v>4</v>
      </c>
      <c r="H177" s="13">
        <f t="shared" si="59"/>
        <v>3.2899999999999999E-2</v>
      </c>
      <c r="I177">
        <v>2057</v>
      </c>
      <c r="J177" s="13">
        <f t="shared" si="60"/>
        <v>1.6500000000000001E-2</v>
      </c>
      <c r="K177">
        <v>6490000</v>
      </c>
      <c r="L177" s="13">
        <f t="shared" si="61"/>
        <v>6.8999999999999999E-3</v>
      </c>
      <c r="M177">
        <v>1129</v>
      </c>
      <c r="N177">
        <f t="shared" si="62"/>
        <v>1145</v>
      </c>
      <c r="O177" s="13">
        <f t="shared" si="63"/>
        <v>0.14269999999999999</v>
      </c>
      <c r="P177">
        <v>196000</v>
      </c>
      <c r="Q177" s="13">
        <f t="shared" si="64"/>
        <v>6.0000000000000001E-3</v>
      </c>
      <c r="R177">
        <v>138.79599999999999</v>
      </c>
      <c r="S177" s="13">
        <f t="shared" si="65"/>
        <v>9.2999999999999992E-3</v>
      </c>
      <c r="T177">
        <v>68</v>
      </c>
      <c r="U177" s="13">
        <f t="shared" si="66"/>
        <v>-1.4500000000000001E-2</v>
      </c>
      <c r="V177" s="6">
        <f t="shared" si="67"/>
        <v>1</v>
      </c>
      <c r="W177" s="44">
        <f t="shared" si="68"/>
        <v>803.81</v>
      </c>
      <c r="X177" s="15">
        <f t="shared" si="69"/>
        <v>8.2699999999999996E-2</v>
      </c>
      <c r="Y177" s="13">
        <f t="shared" si="70"/>
        <v>2.8561000000000001</v>
      </c>
      <c r="Z177" s="6">
        <f t="shared" si="71"/>
        <v>266.35000000000002</v>
      </c>
      <c r="AA177" s="6">
        <f t="shared" si="72"/>
        <v>-48.11</v>
      </c>
      <c r="AB177" s="6">
        <f t="shared" si="73"/>
        <v>156.29</v>
      </c>
      <c r="AC177" s="6">
        <f t="shared" si="74"/>
        <v>157.63999999999999</v>
      </c>
    </row>
    <row r="178" spans="1:29" x14ac:dyDescent="0.25">
      <c r="A178" s="34">
        <v>37926</v>
      </c>
      <c r="B178" s="34">
        <f t="shared" si="57"/>
        <v>37986</v>
      </c>
      <c r="C178">
        <v>9688</v>
      </c>
      <c r="D178" s="13">
        <f t="shared" si="58"/>
        <v>7.3000000000000001E-3</v>
      </c>
      <c r="E178">
        <v>5.85</v>
      </c>
      <c r="F178">
        <v>5.15</v>
      </c>
      <c r="G178">
        <v>4.0999999999999996</v>
      </c>
      <c r="H178" s="13">
        <f t="shared" si="59"/>
        <v>3.4000000000000002E-2</v>
      </c>
      <c r="I178">
        <v>2083</v>
      </c>
      <c r="J178" s="13">
        <f t="shared" si="60"/>
        <v>2.2700000000000001E-2</v>
      </c>
      <c r="K178">
        <v>6230000</v>
      </c>
      <c r="L178" s="13">
        <f t="shared" si="61"/>
        <v>9.1000000000000004E-3</v>
      </c>
      <c r="M178">
        <v>1093</v>
      </c>
      <c r="N178">
        <f t="shared" si="62"/>
        <v>1156</v>
      </c>
      <c r="O178" s="13">
        <f t="shared" si="63"/>
        <v>0.14460000000000001</v>
      </c>
      <c r="P178">
        <v>207100</v>
      </c>
      <c r="Q178" s="13">
        <f t="shared" si="64"/>
        <v>2.01E-2</v>
      </c>
      <c r="R178">
        <v>137.53299999999999</v>
      </c>
      <c r="S178" s="13">
        <f t="shared" si="65"/>
        <v>9.1000000000000004E-3</v>
      </c>
      <c r="T178">
        <v>69</v>
      </c>
      <c r="U178" s="13">
        <f t="shared" si="66"/>
        <v>1.47E-2</v>
      </c>
      <c r="V178" s="6">
        <f t="shared" si="67"/>
        <v>1.75</v>
      </c>
      <c r="W178" s="44">
        <f t="shared" si="68"/>
        <v>811.36</v>
      </c>
      <c r="X178" s="15">
        <f t="shared" si="69"/>
        <v>8.3750000000000005E-2</v>
      </c>
      <c r="Y178" s="13">
        <f t="shared" si="70"/>
        <v>2.8391999999999999</v>
      </c>
      <c r="Z178" s="6">
        <f t="shared" si="71"/>
        <v>275.07</v>
      </c>
      <c r="AA178" s="6">
        <f t="shared" si="72"/>
        <v>-46.84</v>
      </c>
      <c r="AB178" s="6">
        <f t="shared" si="73"/>
        <v>162.4</v>
      </c>
      <c r="AC178" s="6">
        <f t="shared" si="74"/>
        <v>158.62</v>
      </c>
    </row>
    <row r="179" spans="1:29" x14ac:dyDescent="0.25">
      <c r="A179" s="34">
        <v>37895</v>
      </c>
      <c r="B179" s="34">
        <f t="shared" si="57"/>
        <v>37955</v>
      </c>
      <c r="C179">
        <v>9617.7999999999993</v>
      </c>
      <c r="D179" s="13">
        <f t="shared" si="58"/>
        <v>3.8999999999999998E-3</v>
      </c>
      <c r="E179">
        <v>5.89</v>
      </c>
      <c r="F179">
        <v>5.22</v>
      </c>
      <c r="G179">
        <v>3.8</v>
      </c>
      <c r="H179" s="13">
        <f t="shared" si="59"/>
        <v>2.0799999999999999E-2</v>
      </c>
      <c r="I179">
        <v>1967</v>
      </c>
      <c r="J179" s="13">
        <f t="shared" si="60"/>
        <v>2.3300000000000001E-2</v>
      </c>
      <c r="K179">
        <v>6390000</v>
      </c>
      <c r="L179" s="13">
        <f t="shared" si="61"/>
        <v>1.44E-2</v>
      </c>
      <c r="M179">
        <v>1144</v>
      </c>
      <c r="N179">
        <f t="shared" si="62"/>
        <v>1153</v>
      </c>
      <c r="O179" s="13">
        <f t="shared" si="63"/>
        <v>0.12709999999999999</v>
      </c>
      <c r="P179">
        <v>194100</v>
      </c>
      <c r="Q179" s="13">
        <f t="shared" si="64"/>
        <v>-1.5E-3</v>
      </c>
      <c r="R179">
        <v>136.29399999999899</v>
      </c>
      <c r="S179" s="13">
        <f t="shared" si="65"/>
        <v>8.5000000000000006E-3</v>
      </c>
      <c r="T179">
        <v>68</v>
      </c>
      <c r="U179" s="13">
        <f t="shared" si="66"/>
        <v>-1.4500000000000001E-2</v>
      </c>
      <c r="V179" s="6">
        <f t="shared" si="67"/>
        <v>2.58</v>
      </c>
      <c r="W179" s="44">
        <f t="shared" si="68"/>
        <v>807.54</v>
      </c>
      <c r="X179" s="15">
        <f t="shared" si="69"/>
        <v>8.3960000000000007E-2</v>
      </c>
      <c r="Y179" s="13">
        <f t="shared" si="70"/>
        <v>2.8342000000000001</v>
      </c>
      <c r="Z179" s="6">
        <f t="shared" si="71"/>
        <v>262.19</v>
      </c>
      <c r="AA179" s="6">
        <f t="shared" si="72"/>
        <v>-46.26</v>
      </c>
      <c r="AB179" s="6">
        <f t="shared" si="73"/>
        <v>154.22999999999999</v>
      </c>
      <c r="AC179" s="6">
        <f t="shared" si="74"/>
        <v>153.33000000000001</v>
      </c>
    </row>
    <row r="180" spans="1:29" x14ac:dyDescent="0.25">
      <c r="A180" s="34">
        <v>37865</v>
      </c>
      <c r="B180" s="34">
        <f t="shared" si="57"/>
        <v>37925</v>
      </c>
      <c r="C180">
        <v>9580.9</v>
      </c>
      <c r="D180" s="13">
        <f t="shared" si="58"/>
        <v>3.8E-3</v>
      </c>
      <c r="E180">
        <v>5.94</v>
      </c>
      <c r="F180">
        <v>5.26</v>
      </c>
      <c r="G180">
        <v>3.8</v>
      </c>
      <c r="H180" s="13">
        <f t="shared" si="59"/>
        <v>-6.8999999999999999E-3</v>
      </c>
      <c r="I180">
        <v>1939</v>
      </c>
      <c r="J180" s="13">
        <f t="shared" si="60"/>
        <v>3.2899999999999999E-2</v>
      </c>
      <c r="K180">
        <v>6580000</v>
      </c>
      <c r="L180" s="13">
        <f t="shared" si="61"/>
        <v>2.4299999999999999E-2</v>
      </c>
      <c r="M180">
        <v>1131</v>
      </c>
      <c r="N180">
        <f t="shared" si="62"/>
        <v>1131</v>
      </c>
      <c r="O180" s="13">
        <f t="shared" si="63"/>
        <v>0.1143</v>
      </c>
      <c r="P180">
        <v>192000</v>
      </c>
      <c r="Q180" s="13">
        <f t="shared" si="64"/>
        <v>2.5999999999999999E-3</v>
      </c>
      <c r="R180">
        <v>134.96799999999999</v>
      </c>
      <c r="S180" s="13">
        <f t="shared" si="65"/>
        <v>7.7000000000000002E-3</v>
      </c>
      <c r="T180">
        <v>69</v>
      </c>
      <c r="U180" s="13">
        <f t="shared" si="66"/>
        <v>2.9899999999999999E-2</v>
      </c>
      <c r="V180" s="6">
        <f t="shared" si="67"/>
        <v>4.17</v>
      </c>
      <c r="W180" s="44">
        <f t="shared" si="68"/>
        <v>804</v>
      </c>
      <c r="X180" s="15">
        <f t="shared" si="69"/>
        <v>8.3919999999999995E-2</v>
      </c>
      <c r="Y180" s="13">
        <f t="shared" si="70"/>
        <v>2.8174000000000001</v>
      </c>
      <c r="Z180" s="6">
        <f t="shared" si="71"/>
        <v>268.89</v>
      </c>
      <c r="AA180" s="6">
        <f t="shared" si="72"/>
        <v>-44.44</v>
      </c>
      <c r="AB180" s="6">
        <f t="shared" si="73"/>
        <v>159.22</v>
      </c>
      <c r="AC180" s="6">
        <f t="shared" si="74"/>
        <v>150.24</v>
      </c>
    </row>
    <row r="181" spans="1:29" x14ac:dyDescent="0.25">
      <c r="A181" s="34">
        <v>37834</v>
      </c>
      <c r="B181" s="34">
        <f t="shared" si="57"/>
        <v>37894</v>
      </c>
      <c r="C181">
        <v>9544.5</v>
      </c>
      <c r="D181" s="13">
        <f t="shared" si="58"/>
        <v>4.4999999999999997E-3</v>
      </c>
      <c r="E181">
        <v>5.98</v>
      </c>
      <c r="F181">
        <v>5.3</v>
      </c>
      <c r="G181">
        <v>3.5</v>
      </c>
      <c r="H181" s="13">
        <f t="shared" si="59"/>
        <v>-3.9699999999999999E-2</v>
      </c>
      <c r="I181">
        <v>1833</v>
      </c>
      <c r="J181" s="13">
        <f t="shared" si="60"/>
        <v>1.2E-2</v>
      </c>
      <c r="K181">
        <v>6520000</v>
      </c>
      <c r="L181" s="13">
        <f t="shared" si="61"/>
        <v>2.2100000000000002E-2</v>
      </c>
      <c r="M181">
        <v>1206</v>
      </c>
      <c r="N181">
        <f t="shared" si="62"/>
        <v>1109</v>
      </c>
      <c r="O181" s="13">
        <f t="shared" si="63"/>
        <v>0.109</v>
      </c>
      <c r="P181">
        <v>190500</v>
      </c>
      <c r="Q181" s="13">
        <f t="shared" si="64"/>
        <v>5.7000000000000002E-3</v>
      </c>
      <c r="R181">
        <v>133.77500000000001</v>
      </c>
      <c r="S181" s="13">
        <f t="shared" si="65"/>
        <v>6.8999999999999999E-3</v>
      </c>
      <c r="T181">
        <v>67</v>
      </c>
      <c r="U181" s="13">
        <f t="shared" si="66"/>
        <v>0</v>
      </c>
      <c r="V181" s="6">
        <f t="shared" si="67"/>
        <v>4.5</v>
      </c>
      <c r="W181" s="44">
        <f t="shared" si="68"/>
        <v>800.33</v>
      </c>
      <c r="X181" s="15">
        <f t="shared" si="69"/>
        <v>8.3849999999999994E-2</v>
      </c>
      <c r="Y181" s="13">
        <f t="shared" si="70"/>
        <v>2.8031999999999999</v>
      </c>
      <c r="Z181" s="6">
        <f t="shared" si="71"/>
        <v>251.59</v>
      </c>
      <c r="AA181" s="6">
        <f t="shared" si="72"/>
        <v>-48.52</v>
      </c>
      <c r="AB181" s="6">
        <f t="shared" si="73"/>
        <v>146.55000000000001</v>
      </c>
      <c r="AC181" s="6">
        <f t="shared" si="74"/>
        <v>141.28</v>
      </c>
    </row>
    <row r="182" spans="1:29" x14ac:dyDescent="0.25">
      <c r="A182" s="34">
        <v>37803</v>
      </c>
      <c r="B182" s="34">
        <f t="shared" si="57"/>
        <v>37864</v>
      </c>
      <c r="C182">
        <v>9501.2999999999993</v>
      </c>
      <c r="D182" s="13">
        <f t="shared" si="58"/>
        <v>3.8E-3</v>
      </c>
      <c r="E182">
        <v>6.32</v>
      </c>
      <c r="F182">
        <v>5.66</v>
      </c>
      <c r="G182">
        <v>3.6</v>
      </c>
      <c r="H182" s="13">
        <f t="shared" si="59"/>
        <v>-3.2099999999999997E-2</v>
      </c>
      <c r="I182">
        <v>1897</v>
      </c>
      <c r="J182" s="13">
        <f t="shared" si="60"/>
        <v>3.1099999999999999E-2</v>
      </c>
      <c r="K182">
        <v>6270000</v>
      </c>
      <c r="L182" s="13">
        <f t="shared" si="61"/>
        <v>8.3999999999999995E-3</v>
      </c>
      <c r="M182">
        <v>1168</v>
      </c>
      <c r="N182">
        <f t="shared" si="62"/>
        <v>1064</v>
      </c>
      <c r="O182" s="13">
        <f t="shared" si="63"/>
        <v>7.1499999999999994E-2</v>
      </c>
      <c r="P182">
        <v>190200</v>
      </c>
      <c r="Q182" s="13">
        <f t="shared" si="64"/>
        <v>3.3999999999999998E-3</v>
      </c>
      <c r="R182">
        <v>132.65</v>
      </c>
      <c r="S182" s="13">
        <f t="shared" si="65"/>
        <v>6.3E-3</v>
      </c>
      <c r="T182">
        <v>67</v>
      </c>
      <c r="U182" s="13">
        <f t="shared" si="66"/>
        <v>3.0800000000000001E-2</v>
      </c>
      <c r="V182" s="6">
        <f t="shared" si="67"/>
        <v>3.42</v>
      </c>
      <c r="W182" s="44">
        <f t="shared" si="68"/>
        <v>822.8</v>
      </c>
      <c r="X182" s="15">
        <f t="shared" si="69"/>
        <v>8.6599999999999996E-2</v>
      </c>
      <c r="Y182" s="13">
        <f t="shared" si="70"/>
        <v>2.7921999999999998</v>
      </c>
      <c r="Z182" s="6">
        <f t="shared" si="71"/>
        <v>244.57</v>
      </c>
      <c r="AA182" s="6">
        <f t="shared" si="72"/>
        <v>-40.04</v>
      </c>
      <c r="AB182" s="6">
        <f t="shared" si="73"/>
        <v>144.96</v>
      </c>
      <c r="AC182" s="6">
        <f t="shared" si="74"/>
        <v>134.21</v>
      </c>
    </row>
    <row r="183" spans="1:29" x14ac:dyDescent="0.25">
      <c r="A183" s="34">
        <v>37773</v>
      </c>
      <c r="B183" s="34">
        <f t="shared" si="57"/>
        <v>37833</v>
      </c>
      <c r="C183">
        <v>9465.6</v>
      </c>
      <c r="D183" s="13">
        <f t="shared" si="58"/>
        <v>4.4999999999999997E-3</v>
      </c>
      <c r="E183">
        <v>5.94</v>
      </c>
      <c r="F183">
        <v>5.27</v>
      </c>
      <c r="G183">
        <v>3.5</v>
      </c>
      <c r="H183" s="13">
        <f t="shared" si="59"/>
        <v>-6.0199999999999997E-2</v>
      </c>
      <c r="I183">
        <v>1867</v>
      </c>
      <c r="J183" s="13">
        <f t="shared" si="60"/>
        <v>1.6000000000000001E-3</v>
      </c>
      <c r="K183">
        <v>5940000</v>
      </c>
      <c r="L183" s="13">
        <f t="shared" si="61"/>
        <v>-3.0000000000000001E-3</v>
      </c>
      <c r="M183">
        <v>1193</v>
      </c>
      <c r="N183">
        <f t="shared" si="62"/>
        <v>1036</v>
      </c>
      <c r="O183" s="13">
        <f t="shared" si="63"/>
        <v>5.6099999999999997E-2</v>
      </c>
      <c r="P183">
        <v>187900</v>
      </c>
      <c r="Q183" s="13">
        <f t="shared" si="64"/>
        <v>6.6E-3</v>
      </c>
      <c r="R183">
        <v>131.73699999999999</v>
      </c>
      <c r="S183" s="13">
        <f t="shared" si="65"/>
        <v>6.3E-3</v>
      </c>
      <c r="T183">
        <v>65</v>
      </c>
      <c r="U183" s="13">
        <f t="shared" si="66"/>
        <v>3.1699999999999999E-2</v>
      </c>
      <c r="V183" s="6">
        <f t="shared" si="67"/>
        <v>0.92</v>
      </c>
      <c r="W183" s="44">
        <f t="shared" si="68"/>
        <v>784.76</v>
      </c>
      <c r="X183" s="15">
        <f t="shared" si="69"/>
        <v>8.2909999999999998E-2</v>
      </c>
      <c r="Y183" s="13">
        <f t="shared" si="70"/>
        <v>2.7835000000000001</v>
      </c>
      <c r="Z183" s="6">
        <f t="shared" si="71"/>
        <v>217.88</v>
      </c>
      <c r="AA183" s="6">
        <f t="shared" si="72"/>
        <v>-26.57</v>
      </c>
      <c r="AB183" s="6">
        <f t="shared" si="73"/>
        <v>132.32</v>
      </c>
      <c r="AC183" s="6">
        <f t="shared" si="74"/>
        <v>126.1</v>
      </c>
    </row>
    <row r="184" spans="1:29" x14ac:dyDescent="0.25">
      <c r="A184" s="34">
        <v>37742</v>
      </c>
      <c r="B184" s="34">
        <f t="shared" si="57"/>
        <v>37802</v>
      </c>
      <c r="C184">
        <v>9423.2000000000007</v>
      </c>
      <c r="D184" s="13">
        <f t="shared" si="58"/>
        <v>6.3E-3</v>
      </c>
      <c r="E184">
        <v>5.24</v>
      </c>
      <c r="F184">
        <v>4.63</v>
      </c>
      <c r="G184">
        <v>3.9</v>
      </c>
      <c r="H184" s="13">
        <f t="shared" si="59"/>
        <v>-6.0000000000000001E-3</v>
      </c>
      <c r="I184">
        <v>1751</v>
      </c>
      <c r="J184" s="13">
        <f t="shared" si="60"/>
        <v>-4.3E-3</v>
      </c>
      <c r="K184">
        <v>5940000</v>
      </c>
      <c r="L184" s="13">
        <f t="shared" si="61"/>
        <v>-1E-3</v>
      </c>
      <c r="M184">
        <v>1078</v>
      </c>
      <c r="N184">
        <f t="shared" si="62"/>
        <v>1012</v>
      </c>
      <c r="O184" s="13">
        <f t="shared" si="63"/>
        <v>5.3100000000000001E-2</v>
      </c>
      <c r="P184">
        <v>195500</v>
      </c>
      <c r="Q184" s="13">
        <f t="shared" si="64"/>
        <v>-2.2000000000000001E-3</v>
      </c>
      <c r="R184">
        <v>130.887</v>
      </c>
      <c r="S184" s="13">
        <f t="shared" si="65"/>
        <v>6.3E-3</v>
      </c>
      <c r="T184">
        <v>63</v>
      </c>
      <c r="U184" s="13">
        <f t="shared" si="66"/>
        <v>0.05</v>
      </c>
      <c r="V184" s="6">
        <f t="shared" si="67"/>
        <v>-1.33</v>
      </c>
      <c r="W184" s="44">
        <f t="shared" si="68"/>
        <v>721.95</v>
      </c>
      <c r="X184" s="15">
        <f t="shared" si="69"/>
        <v>7.6609999999999998E-2</v>
      </c>
      <c r="Y184" s="13">
        <f t="shared" si="70"/>
        <v>2.778</v>
      </c>
      <c r="Z184" s="6">
        <f t="shared" si="71"/>
        <v>207.57</v>
      </c>
      <c r="AA184" s="6">
        <f t="shared" si="72"/>
        <v>-27.32</v>
      </c>
      <c r="AB184" s="6">
        <f t="shared" si="73"/>
        <v>125.36</v>
      </c>
      <c r="AC184" s="6">
        <f t="shared" si="74"/>
        <v>122.55</v>
      </c>
    </row>
    <row r="185" spans="1:29" x14ac:dyDescent="0.25">
      <c r="A185" s="34">
        <v>37712</v>
      </c>
      <c r="B185" s="34">
        <f t="shared" si="57"/>
        <v>37772</v>
      </c>
      <c r="C185">
        <v>9364.6</v>
      </c>
      <c r="D185" s="13">
        <f t="shared" si="58"/>
        <v>2.0999999999999999E-3</v>
      </c>
      <c r="E185">
        <v>5.31</v>
      </c>
      <c r="F185">
        <v>4.7300000000000004</v>
      </c>
      <c r="G185">
        <v>4.0999999999999996</v>
      </c>
      <c r="H185" s="13">
        <f t="shared" si="59"/>
        <v>6.0000000000000001E-3</v>
      </c>
      <c r="I185">
        <v>1643</v>
      </c>
      <c r="J185" s="13">
        <f t="shared" si="60"/>
        <v>-1.26E-2</v>
      </c>
      <c r="K185">
        <v>5840000</v>
      </c>
      <c r="L185" s="13">
        <f t="shared" si="61"/>
        <v>3.7000000000000002E-3</v>
      </c>
      <c r="M185">
        <v>1012</v>
      </c>
      <c r="N185">
        <f t="shared" si="62"/>
        <v>1003</v>
      </c>
      <c r="O185" s="13">
        <f t="shared" si="63"/>
        <v>5.5800000000000002E-2</v>
      </c>
      <c r="P185">
        <v>189500</v>
      </c>
      <c r="Q185" s="13">
        <f t="shared" si="64"/>
        <v>8.8999999999999999E-3</v>
      </c>
      <c r="R185">
        <v>130.15199999999999</v>
      </c>
      <c r="S185" s="13">
        <f t="shared" si="65"/>
        <v>6.7999999999999996E-3</v>
      </c>
      <c r="T185">
        <v>60</v>
      </c>
      <c r="U185" s="13">
        <f t="shared" si="66"/>
        <v>9.0899999999999995E-2</v>
      </c>
      <c r="V185" s="6">
        <f t="shared" si="67"/>
        <v>-1.67</v>
      </c>
      <c r="W185" s="44">
        <f t="shared" si="68"/>
        <v>723.55</v>
      </c>
      <c r="X185" s="15">
        <f t="shared" si="69"/>
        <v>7.7259999999999995E-2</v>
      </c>
      <c r="Y185" s="13">
        <f t="shared" si="70"/>
        <v>2.7797000000000001</v>
      </c>
      <c r="Z185" s="6">
        <f t="shared" si="71"/>
        <v>204.57</v>
      </c>
      <c r="AA185" s="6">
        <f t="shared" si="72"/>
        <v>-35.25</v>
      </c>
      <c r="AB185" s="6">
        <f t="shared" si="73"/>
        <v>120.63</v>
      </c>
      <c r="AC185" s="6">
        <f t="shared" si="74"/>
        <v>122.67</v>
      </c>
    </row>
    <row r="186" spans="1:29" x14ac:dyDescent="0.25">
      <c r="A186" s="34">
        <v>37681</v>
      </c>
      <c r="B186" s="34">
        <f t="shared" si="57"/>
        <v>37741</v>
      </c>
      <c r="C186">
        <v>9344.6</v>
      </c>
      <c r="D186" s="13">
        <f t="shared" si="58"/>
        <v>4.1999999999999997E-3</v>
      </c>
      <c r="E186">
        <v>5.79</v>
      </c>
      <c r="F186">
        <v>5.12</v>
      </c>
      <c r="G186">
        <v>4.0999999999999996</v>
      </c>
      <c r="H186" s="13">
        <f t="shared" si="59"/>
        <v>6.1000000000000004E-3</v>
      </c>
      <c r="I186">
        <v>1726</v>
      </c>
      <c r="J186" s="13">
        <f t="shared" si="60"/>
        <v>8.9999999999999993E-3</v>
      </c>
      <c r="K186">
        <v>5860000</v>
      </c>
      <c r="L186" s="13">
        <f t="shared" si="61"/>
        <v>6.1000000000000004E-3</v>
      </c>
      <c r="M186">
        <v>999</v>
      </c>
      <c r="N186">
        <f t="shared" si="62"/>
        <v>1002</v>
      </c>
      <c r="O186" s="13">
        <f t="shared" si="63"/>
        <v>6.9400000000000003E-2</v>
      </c>
      <c r="P186">
        <v>185100</v>
      </c>
      <c r="Q186" s="13">
        <f t="shared" si="64"/>
        <v>-4.4000000000000003E-3</v>
      </c>
      <c r="R186">
        <v>129.357</v>
      </c>
      <c r="S186" s="13">
        <f t="shared" si="65"/>
        <v>7.1000000000000004E-3</v>
      </c>
      <c r="T186">
        <v>55</v>
      </c>
      <c r="U186" s="13">
        <f t="shared" si="66"/>
        <v>-1.7899999999999999E-2</v>
      </c>
      <c r="V186" s="6">
        <f t="shared" si="67"/>
        <v>-2.17</v>
      </c>
      <c r="W186" s="44">
        <f t="shared" si="68"/>
        <v>758.18</v>
      </c>
      <c r="X186" s="15">
        <f t="shared" si="69"/>
        <v>8.1140000000000004E-2</v>
      </c>
      <c r="Y186" s="13">
        <f t="shared" si="70"/>
        <v>2.7686000000000002</v>
      </c>
      <c r="Z186" s="6">
        <f t="shared" si="71"/>
        <v>206.44</v>
      </c>
      <c r="AA186" s="6">
        <f t="shared" si="72"/>
        <v>-35.799999999999997</v>
      </c>
      <c r="AB186" s="6">
        <f t="shared" si="73"/>
        <v>121.66</v>
      </c>
      <c r="AC186" s="6">
        <f t="shared" si="74"/>
        <v>132.04</v>
      </c>
    </row>
    <row r="187" spans="1:29" x14ac:dyDescent="0.25">
      <c r="A187" s="34">
        <v>37653</v>
      </c>
      <c r="B187" s="34">
        <f t="shared" si="57"/>
        <v>37711</v>
      </c>
      <c r="C187">
        <v>9305.6</v>
      </c>
      <c r="D187" s="13">
        <f t="shared" si="58"/>
        <v>1.1000000000000001E-3</v>
      </c>
      <c r="E187">
        <v>5.91</v>
      </c>
      <c r="F187">
        <v>5.21</v>
      </c>
      <c r="G187">
        <v>4.5</v>
      </c>
      <c r="H187" s="13">
        <f t="shared" si="59"/>
        <v>3.1300000000000001E-2</v>
      </c>
      <c r="I187">
        <v>1629</v>
      </c>
      <c r="J187" s="13">
        <f t="shared" si="60"/>
        <v>-1.9800000000000002E-2</v>
      </c>
      <c r="K187">
        <v>6020000</v>
      </c>
      <c r="L187" s="13">
        <f t="shared" si="61"/>
        <v>1.7299999999999999E-2</v>
      </c>
      <c r="M187">
        <v>936</v>
      </c>
      <c r="N187">
        <f t="shared" si="62"/>
        <v>1010</v>
      </c>
      <c r="O187" s="13">
        <f t="shared" si="63"/>
        <v>7.3300000000000004E-2</v>
      </c>
      <c r="P187">
        <v>187000</v>
      </c>
      <c r="Q187" s="13">
        <f t="shared" si="64"/>
        <v>1.0200000000000001E-2</v>
      </c>
      <c r="R187">
        <v>128.46199999999999</v>
      </c>
      <c r="S187" s="13">
        <f t="shared" si="65"/>
        <v>7.3000000000000001E-3</v>
      </c>
      <c r="T187">
        <v>56</v>
      </c>
      <c r="U187" s="13">
        <f t="shared" si="66"/>
        <v>-0.1111</v>
      </c>
      <c r="V187" s="6">
        <f t="shared" si="67"/>
        <v>-1.33</v>
      </c>
      <c r="W187" s="44">
        <f t="shared" si="68"/>
        <v>762.78</v>
      </c>
      <c r="X187" s="15">
        <f t="shared" si="69"/>
        <v>8.1970000000000001E-2</v>
      </c>
      <c r="Y187" s="13">
        <f t="shared" si="70"/>
        <v>2.7610000000000001</v>
      </c>
      <c r="Z187" s="6">
        <f t="shared" si="71"/>
        <v>210.65</v>
      </c>
      <c r="AA187" s="6">
        <f t="shared" si="72"/>
        <v>-32.04</v>
      </c>
      <c r="AB187" s="6">
        <f t="shared" si="73"/>
        <v>125.71</v>
      </c>
      <c r="AC187" s="6">
        <f t="shared" si="74"/>
        <v>141.13999999999999</v>
      </c>
    </row>
    <row r="188" spans="1:29" x14ac:dyDescent="0.25">
      <c r="A188" s="34">
        <v>37622</v>
      </c>
      <c r="B188" s="34">
        <f t="shared" si="57"/>
        <v>37680</v>
      </c>
      <c r="C188">
        <v>9295.1</v>
      </c>
      <c r="D188" s="13">
        <f t="shared" si="58"/>
        <v>8.0000000000000004E-4</v>
      </c>
      <c r="E188">
        <v>5.79</v>
      </c>
      <c r="F188">
        <v>5.14</v>
      </c>
      <c r="G188">
        <v>4</v>
      </c>
      <c r="H188" s="13">
        <f t="shared" si="59"/>
        <v>6.3E-3</v>
      </c>
      <c r="I188">
        <v>1853</v>
      </c>
      <c r="J188" s="13">
        <f t="shared" si="60"/>
        <v>2.5499999999999998E-2</v>
      </c>
      <c r="K188">
        <v>6030000</v>
      </c>
      <c r="L188" s="13">
        <f t="shared" si="61"/>
        <v>2.3699999999999999E-2</v>
      </c>
      <c r="M188">
        <v>999</v>
      </c>
      <c r="N188">
        <f t="shared" si="62"/>
        <v>1023</v>
      </c>
      <c r="O188" s="13">
        <f t="shared" si="63"/>
        <v>9.7600000000000006E-2</v>
      </c>
      <c r="P188">
        <v>181700</v>
      </c>
      <c r="Q188" s="13">
        <f t="shared" si="64"/>
        <v>3.0000000000000001E-3</v>
      </c>
      <c r="R188">
        <v>127.616</v>
      </c>
      <c r="S188" s="13">
        <f t="shared" si="65"/>
        <v>7.6E-3</v>
      </c>
      <c r="T188">
        <v>63</v>
      </c>
      <c r="U188" s="13">
        <f t="shared" si="66"/>
        <v>1.61E-2</v>
      </c>
      <c r="V188" s="6">
        <f t="shared" si="67"/>
        <v>1.5</v>
      </c>
      <c r="W188" s="44">
        <f t="shared" si="68"/>
        <v>747.98</v>
      </c>
      <c r="X188" s="15">
        <f t="shared" si="69"/>
        <v>8.047E-2</v>
      </c>
      <c r="Y188" s="13">
        <f t="shared" si="70"/>
        <v>2.7458999999999998</v>
      </c>
      <c r="Z188" s="6">
        <f t="shared" si="71"/>
        <v>245.75</v>
      </c>
      <c r="AA188" s="6">
        <f t="shared" si="72"/>
        <v>-31.37</v>
      </c>
      <c r="AB188" s="6">
        <f t="shared" si="73"/>
        <v>148.76</v>
      </c>
      <c r="AC188" s="6">
        <f t="shared" si="74"/>
        <v>143.24</v>
      </c>
    </row>
    <row r="189" spans="1:29" x14ac:dyDescent="0.25">
      <c r="A189" s="34">
        <v>37591</v>
      </c>
      <c r="B189" s="34">
        <f t="shared" si="57"/>
        <v>37652</v>
      </c>
      <c r="C189">
        <v>9287.7999999999993</v>
      </c>
      <c r="D189" s="13">
        <f t="shared" si="58"/>
        <v>3.7000000000000002E-3</v>
      </c>
      <c r="E189">
        <v>5.9</v>
      </c>
      <c r="F189">
        <v>5.28</v>
      </c>
      <c r="G189">
        <v>4</v>
      </c>
      <c r="H189" s="13">
        <f t="shared" si="59"/>
        <v>0</v>
      </c>
      <c r="I189">
        <v>1788</v>
      </c>
      <c r="J189" s="13">
        <f t="shared" si="60"/>
        <v>1.5699999999999999E-2</v>
      </c>
      <c r="K189">
        <v>5970000</v>
      </c>
      <c r="L189" s="13">
        <f t="shared" si="61"/>
        <v>2.0199999999999999E-2</v>
      </c>
      <c r="M189">
        <v>1048</v>
      </c>
      <c r="N189">
        <f t="shared" si="62"/>
        <v>1015</v>
      </c>
      <c r="O189" s="13">
        <f t="shared" si="63"/>
        <v>0.1021</v>
      </c>
      <c r="P189">
        <v>197600</v>
      </c>
      <c r="Q189" s="13">
        <f t="shared" si="64"/>
        <v>2.4400000000000002E-2</v>
      </c>
      <c r="R189">
        <v>126.66500000000001</v>
      </c>
      <c r="S189" s="13">
        <f t="shared" si="65"/>
        <v>7.6E-3</v>
      </c>
      <c r="T189">
        <v>62</v>
      </c>
      <c r="U189" s="13">
        <f t="shared" si="66"/>
        <v>-1.5900000000000001E-2</v>
      </c>
      <c r="V189" s="6">
        <f t="shared" si="67"/>
        <v>1.17</v>
      </c>
      <c r="W189" s="44">
        <f t="shared" si="68"/>
        <v>751.3</v>
      </c>
      <c r="X189" s="15">
        <f t="shared" si="69"/>
        <v>8.0890000000000004E-2</v>
      </c>
      <c r="Y189" s="13">
        <f t="shared" si="70"/>
        <v>2.7275999999999998</v>
      </c>
      <c r="Z189" s="6">
        <f t="shared" si="71"/>
        <v>245.03</v>
      </c>
      <c r="AA189" s="6">
        <f t="shared" si="72"/>
        <v>-29.46</v>
      </c>
      <c r="AB189" s="6">
        <f t="shared" si="73"/>
        <v>148.96</v>
      </c>
      <c r="AC189" s="6">
        <f t="shared" si="74"/>
        <v>136.08000000000001</v>
      </c>
    </row>
    <row r="190" spans="1:29" x14ac:dyDescent="0.25">
      <c r="A190" s="34">
        <v>37561</v>
      </c>
      <c r="B190" s="34">
        <f t="shared" si="57"/>
        <v>37621</v>
      </c>
      <c r="C190">
        <v>9253.9</v>
      </c>
      <c r="D190" s="13">
        <f t="shared" si="58"/>
        <v>3.3999999999999998E-3</v>
      </c>
      <c r="E190">
        <v>5.93</v>
      </c>
      <c r="F190">
        <v>5.32</v>
      </c>
      <c r="G190">
        <v>4</v>
      </c>
      <c r="H190" s="13">
        <f t="shared" si="59"/>
        <v>-1.24E-2</v>
      </c>
      <c r="I190">
        <v>1753</v>
      </c>
      <c r="J190" s="13">
        <f t="shared" si="60"/>
        <v>4.3E-3</v>
      </c>
      <c r="K190">
        <v>5730000</v>
      </c>
      <c r="L190" s="13">
        <f t="shared" si="61"/>
        <v>8.0000000000000002E-3</v>
      </c>
      <c r="M190">
        <v>1024</v>
      </c>
      <c r="N190">
        <f t="shared" si="62"/>
        <v>1000</v>
      </c>
      <c r="O190" s="13">
        <f t="shared" si="63"/>
        <v>0.10009999999999999</v>
      </c>
      <c r="P190">
        <v>181200</v>
      </c>
      <c r="Q190" s="13">
        <f t="shared" si="64"/>
        <v>-1.03E-2</v>
      </c>
      <c r="R190">
        <v>125.732999999999</v>
      </c>
      <c r="S190" s="13">
        <f t="shared" si="65"/>
        <v>7.9000000000000008E-3</v>
      </c>
      <c r="T190">
        <v>63</v>
      </c>
      <c r="U190" s="13">
        <f t="shared" si="66"/>
        <v>1.61E-2</v>
      </c>
      <c r="V190" s="6">
        <f t="shared" si="67"/>
        <v>1.75</v>
      </c>
      <c r="W190" s="44">
        <f t="shared" si="68"/>
        <v>748.18</v>
      </c>
      <c r="X190" s="15">
        <f t="shared" si="69"/>
        <v>8.0850000000000005E-2</v>
      </c>
      <c r="Y190" s="13">
        <f t="shared" si="70"/>
        <v>2.7174</v>
      </c>
      <c r="Z190" s="6">
        <f t="shared" si="71"/>
        <v>219.9</v>
      </c>
      <c r="AA190" s="6">
        <f t="shared" si="72"/>
        <v>-31.24</v>
      </c>
      <c r="AB190" s="6">
        <f t="shared" si="73"/>
        <v>132</v>
      </c>
      <c r="AC190" s="6">
        <f t="shared" si="74"/>
        <v>130.62</v>
      </c>
    </row>
    <row r="191" spans="1:29" x14ac:dyDescent="0.25">
      <c r="A191" s="34">
        <v>37530</v>
      </c>
      <c r="B191" s="34">
        <f t="shared" si="57"/>
        <v>37590</v>
      </c>
      <c r="C191">
        <v>9222.7000000000007</v>
      </c>
      <c r="D191" s="13">
        <f t="shared" si="58"/>
        <v>3.7000000000000002E-3</v>
      </c>
      <c r="E191">
        <v>6.13</v>
      </c>
      <c r="F191">
        <v>5.57</v>
      </c>
      <c r="G191">
        <v>4</v>
      </c>
      <c r="H191" s="13">
        <f t="shared" si="59"/>
        <v>-1.23E-2</v>
      </c>
      <c r="I191">
        <v>1648</v>
      </c>
      <c r="J191" s="13">
        <f t="shared" si="60"/>
        <v>-1.35E-2</v>
      </c>
      <c r="K191">
        <v>5680000</v>
      </c>
      <c r="L191" s="13">
        <f t="shared" si="61"/>
        <v>2.5999999999999999E-3</v>
      </c>
      <c r="M191">
        <v>1006</v>
      </c>
      <c r="N191">
        <f t="shared" si="62"/>
        <v>993</v>
      </c>
      <c r="O191" s="13">
        <f t="shared" si="63"/>
        <v>0.10829999999999999</v>
      </c>
      <c r="P191">
        <v>189200</v>
      </c>
      <c r="Q191" s="13">
        <f t="shared" si="64"/>
        <v>9.1000000000000004E-3</v>
      </c>
      <c r="R191">
        <v>124.777999999999</v>
      </c>
      <c r="S191" s="13">
        <f t="shared" si="65"/>
        <v>8.3000000000000001E-3</v>
      </c>
      <c r="T191">
        <v>62</v>
      </c>
      <c r="U191" s="13">
        <f t="shared" si="66"/>
        <v>1.6400000000000001E-2</v>
      </c>
      <c r="V191" s="6">
        <f t="shared" si="67"/>
        <v>-0.08</v>
      </c>
      <c r="W191" s="44">
        <f t="shared" si="68"/>
        <v>758.57</v>
      </c>
      <c r="X191" s="15">
        <f t="shared" si="69"/>
        <v>8.2250000000000004E-2</v>
      </c>
      <c r="Y191" s="13">
        <f t="shared" si="70"/>
        <v>2.7059000000000002</v>
      </c>
      <c r="Z191" s="6">
        <f t="shared" si="71"/>
        <v>213.36</v>
      </c>
      <c r="AA191" s="6">
        <f t="shared" si="72"/>
        <v>-32.590000000000003</v>
      </c>
      <c r="AB191" s="6">
        <f t="shared" si="73"/>
        <v>127.28</v>
      </c>
      <c r="AC191" s="6">
        <f t="shared" si="74"/>
        <v>127.34</v>
      </c>
    </row>
    <row r="192" spans="1:29" x14ac:dyDescent="0.25">
      <c r="A192" s="34">
        <v>37500</v>
      </c>
      <c r="B192" s="34">
        <f t="shared" si="57"/>
        <v>37560</v>
      </c>
      <c r="C192">
        <v>9189</v>
      </c>
      <c r="D192" s="13">
        <f t="shared" si="58"/>
        <v>1.8E-3</v>
      </c>
      <c r="E192">
        <v>6.31</v>
      </c>
      <c r="F192">
        <v>5.7</v>
      </c>
      <c r="G192">
        <v>3.9</v>
      </c>
      <c r="H192" s="13">
        <f t="shared" si="59"/>
        <v>-6.1000000000000004E-3</v>
      </c>
      <c r="I192">
        <v>1804</v>
      </c>
      <c r="J192" s="13">
        <f t="shared" si="60"/>
        <v>2.5399999999999999E-2</v>
      </c>
      <c r="K192">
        <v>5520000</v>
      </c>
      <c r="L192" s="13">
        <f t="shared" si="61"/>
        <v>-5.4000000000000003E-3</v>
      </c>
      <c r="M192">
        <v>1044</v>
      </c>
      <c r="N192">
        <f t="shared" si="62"/>
        <v>981</v>
      </c>
      <c r="O192" s="13">
        <f t="shared" si="63"/>
        <v>9.4899999999999998E-2</v>
      </c>
      <c r="P192">
        <v>177500</v>
      </c>
      <c r="Q192" s="13">
        <f t="shared" si="64"/>
        <v>-1.0500000000000001E-2</v>
      </c>
      <c r="R192">
        <v>123.831</v>
      </c>
      <c r="S192" s="13">
        <f t="shared" si="65"/>
        <v>8.6999999999999994E-3</v>
      </c>
      <c r="T192">
        <v>61</v>
      </c>
      <c r="U192" s="13">
        <f t="shared" si="66"/>
        <v>-3.1699999999999999E-2</v>
      </c>
      <c r="V192" s="6">
        <f t="shared" si="67"/>
        <v>-0.33</v>
      </c>
      <c r="W192" s="44">
        <f t="shared" si="68"/>
        <v>767.29</v>
      </c>
      <c r="X192" s="15">
        <f t="shared" si="69"/>
        <v>8.3500000000000005E-2</v>
      </c>
      <c r="Y192" s="13">
        <f t="shared" si="70"/>
        <v>2.6951999999999998</v>
      </c>
      <c r="Z192" s="6">
        <f t="shared" si="71"/>
        <v>217.43</v>
      </c>
      <c r="AA192" s="6">
        <f t="shared" si="72"/>
        <v>-25</v>
      </c>
      <c r="AB192" s="6">
        <f t="shared" si="73"/>
        <v>132.58000000000001</v>
      </c>
      <c r="AC192" s="6">
        <f t="shared" si="74"/>
        <v>121.29</v>
      </c>
    </row>
    <row r="193" spans="1:29" x14ac:dyDescent="0.25">
      <c r="A193" s="34">
        <v>37469</v>
      </c>
      <c r="B193" s="34">
        <f t="shared" si="57"/>
        <v>37529</v>
      </c>
      <c r="C193">
        <v>9172.4</v>
      </c>
      <c r="D193" s="13">
        <f t="shared" si="58"/>
        <v>1.1000000000000001E-3</v>
      </c>
      <c r="E193">
        <v>5.99</v>
      </c>
      <c r="F193">
        <v>5.41</v>
      </c>
      <c r="G193">
        <v>4</v>
      </c>
      <c r="H193" s="13">
        <f t="shared" si="59"/>
        <v>-1.7999999999999999E-2</v>
      </c>
      <c r="I193">
        <v>1633</v>
      </c>
      <c r="J193" s="13">
        <f t="shared" si="60"/>
        <v>-1.1000000000000001E-3</v>
      </c>
      <c r="K193">
        <v>5360000</v>
      </c>
      <c r="L193" s="13">
        <f t="shared" si="61"/>
        <v>-9.7000000000000003E-3</v>
      </c>
      <c r="M193">
        <v>1014</v>
      </c>
      <c r="N193">
        <f t="shared" si="62"/>
        <v>961</v>
      </c>
      <c r="O193" s="13">
        <f t="shared" si="63"/>
        <v>9.3299999999999994E-2</v>
      </c>
      <c r="P193">
        <v>178900</v>
      </c>
      <c r="Q193" s="13">
        <f t="shared" si="64"/>
        <v>-4.8999999999999998E-3</v>
      </c>
      <c r="R193">
        <v>122.887999999999</v>
      </c>
      <c r="S193" s="13">
        <f t="shared" si="65"/>
        <v>8.6999999999999994E-3</v>
      </c>
      <c r="T193">
        <v>63</v>
      </c>
      <c r="U193" s="13">
        <f t="shared" si="66"/>
        <v>0.14549999999999999</v>
      </c>
      <c r="V193" s="6">
        <f t="shared" si="67"/>
        <v>-0.17</v>
      </c>
      <c r="W193" s="44">
        <f t="shared" si="68"/>
        <v>735.99</v>
      </c>
      <c r="X193" s="15">
        <f t="shared" si="69"/>
        <v>8.0240000000000006E-2</v>
      </c>
      <c r="Y193" s="13">
        <f t="shared" si="70"/>
        <v>2.6795</v>
      </c>
      <c r="Z193" s="6">
        <f t="shared" si="71"/>
        <v>202.04</v>
      </c>
      <c r="AA193" s="6">
        <f t="shared" si="72"/>
        <v>-26.15</v>
      </c>
      <c r="AB193" s="6">
        <f t="shared" si="73"/>
        <v>122.17</v>
      </c>
      <c r="AC193" s="6">
        <f t="shared" si="74"/>
        <v>119.17</v>
      </c>
    </row>
    <row r="194" spans="1:29" x14ac:dyDescent="0.25">
      <c r="A194" s="34">
        <v>37438</v>
      </c>
      <c r="B194" s="34">
        <f t="shared" si="57"/>
        <v>37499</v>
      </c>
      <c r="C194">
        <v>9161.9</v>
      </c>
      <c r="D194" s="13">
        <f t="shared" si="58"/>
        <v>-1.5E-3</v>
      </c>
      <c r="E194">
        <v>6.22</v>
      </c>
      <c r="F194">
        <v>5.64</v>
      </c>
      <c r="G194">
        <v>4.2</v>
      </c>
      <c r="H194" s="13">
        <f t="shared" si="59"/>
        <v>6.0000000000000001E-3</v>
      </c>
      <c r="I194">
        <v>1655</v>
      </c>
      <c r="J194" s="13">
        <f t="shared" si="60"/>
        <v>-2.0400000000000001E-2</v>
      </c>
      <c r="K194">
        <v>5410000</v>
      </c>
      <c r="L194" s="13">
        <f t="shared" si="61"/>
        <v>-1.7299999999999999E-2</v>
      </c>
      <c r="M194">
        <v>956</v>
      </c>
      <c r="N194">
        <f t="shared" si="62"/>
        <v>950</v>
      </c>
      <c r="O194" s="13">
        <f t="shared" si="63"/>
        <v>8.8200000000000001E-2</v>
      </c>
      <c r="P194">
        <v>175600</v>
      </c>
      <c r="Q194" s="13">
        <f t="shared" si="64"/>
        <v>-1.66E-2</v>
      </c>
      <c r="R194">
        <v>121.81399999999999</v>
      </c>
      <c r="S194" s="13">
        <f t="shared" si="65"/>
        <v>8.3000000000000001E-3</v>
      </c>
      <c r="T194">
        <v>55</v>
      </c>
      <c r="U194" s="13">
        <f t="shared" si="66"/>
        <v>-9.8400000000000001E-2</v>
      </c>
      <c r="V194" s="6">
        <f t="shared" si="67"/>
        <v>-1.17</v>
      </c>
      <c r="W194" s="44">
        <f t="shared" si="68"/>
        <v>747.65</v>
      </c>
      <c r="X194" s="15">
        <f t="shared" si="69"/>
        <v>8.1600000000000006E-2</v>
      </c>
      <c r="Y194" s="13">
        <f t="shared" si="70"/>
        <v>2.6591</v>
      </c>
      <c r="Z194" s="6">
        <f t="shared" si="71"/>
        <v>181.04</v>
      </c>
      <c r="AA194" s="6">
        <f t="shared" si="72"/>
        <v>-24.47</v>
      </c>
      <c r="AB194" s="6">
        <f t="shared" si="73"/>
        <v>109.11</v>
      </c>
      <c r="AC194" s="6">
        <f t="shared" si="74"/>
        <v>122.85</v>
      </c>
    </row>
    <row r="195" spans="1:29" x14ac:dyDescent="0.25">
      <c r="A195" s="34">
        <v>37408</v>
      </c>
      <c r="B195" s="34">
        <f t="shared" si="57"/>
        <v>37468</v>
      </c>
      <c r="C195">
        <v>9175.7999999999993</v>
      </c>
      <c r="D195" s="13">
        <f t="shared" si="58"/>
        <v>3.0000000000000001E-3</v>
      </c>
      <c r="E195">
        <v>6.34</v>
      </c>
      <c r="F195">
        <v>5.76</v>
      </c>
      <c r="G195">
        <v>4.2</v>
      </c>
      <c r="H195" s="13">
        <f t="shared" si="59"/>
        <v>1.2200000000000001E-2</v>
      </c>
      <c r="I195">
        <v>1717</v>
      </c>
      <c r="J195" s="13">
        <f t="shared" si="60"/>
        <v>2.2000000000000001E-3</v>
      </c>
      <c r="K195">
        <v>5510000</v>
      </c>
      <c r="L195" s="13">
        <f t="shared" si="61"/>
        <v>-1.2200000000000001E-2</v>
      </c>
      <c r="M195">
        <v>957</v>
      </c>
      <c r="N195">
        <f t="shared" si="62"/>
        <v>937</v>
      </c>
      <c r="O195" s="13">
        <f t="shared" si="63"/>
        <v>6.6000000000000003E-2</v>
      </c>
      <c r="P195">
        <v>190600</v>
      </c>
      <c r="Q195" s="13">
        <f t="shared" si="64"/>
        <v>3.8E-3</v>
      </c>
      <c r="R195">
        <v>120.726</v>
      </c>
      <c r="S195" s="13">
        <f t="shared" si="65"/>
        <v>7.6E-3</v>
      </c>
      <c r="T195">
        <v>61</v>
      </c>
      <c r="U195" s="13">
        <f t="shared" si="66"/>
        <v>0</v>
      </c>
      <c r="V195" s="6">
        <f t="shared" si="67"/>
        <v>0.83</v>
      </c>
      <c r="W195" s="44">
        <f t="shared" si="68"/>
        <v>750.41</v>
      </c>
      <c r="X195" s="15">
        <f t="shared" si="69"/>
        <v>8.1780000000000005E-2</v>
      </c>
      <c r="Y195" s="13">
        <f t="shared" si="70"/>
        <v>2.6314000000000002</v>
      </c>
      <c r="Z195" s="6">
        <f t="shared" si="71"/>
        <v>207.27</v>
      </c>
      <c r="AA195" s="6">
        <f t="shared" si="72"/>
        <v>-24.28</v>
      </c>
      <c r="AB195" s="6">
        <f t="shared" si="73"/>
        <v>126.23</v>
      </c>
      <c r="AC195" s="6">
        <f t="shared" si="74"/>
        <v>130.9</v>
      </c>
    </row>
    <row r="196" spans="1:29" x14ac:dyDescent="0.25">
      <c r="A196" s="34">
        <v>37377</v>
      </c>
      <c r="B196" s="34">
        <f t="shared" si="57"/>
        <v>37437</v>
      </c>
      <c r="C196">
        <v>9148.5</v>
      </c>
      <c r="D196" s="13">
        <f t="shared" si="58"/>
        <v>2.8999999999999998E-3</v>
      </c>
      <c r="E196">
        <v>6.55</v>
      </c>
      <c r="F196">
        <v>5.99</v>
      </c>
      <c r="G196">
        <v>4</v>
      </c>
      <c r="H196" s="13">
        <f t="shared" si="59"/>
        <v>-1.2E-2</v>
      </c>
      <c r="I196">
        <v>1764</v>
      </c>
      <c r="J196" s="13">
        <f t="shared" si="60"/>
        <v>2.35E-2</v>
      </c>
      <c r="K196">
        <v>5610000</v>
      </c>
      <c r="L196" s="13">
        <f t="shared" si="61"/>
        <v>4.1999999999999997E-3</v>
      </c>
      <c r="M196">
        <v>978</v>
      </c>
      <c r="N196">
        <f t="shared" si="62"/>
        <v>941</v>
      </c>
      <c r="O196" s="13">
        <f t="shared" si="63"/>
        <v>5.2600000000000001E-2</v>
      </c>
      <c r="P196">
        <v>181000</v>
      </c>
      <c r="Q196" s="13">
        <f t="shared" si="64"/>
        <v>8.9999999999999998E-4</v>
      </c>
      <c r="R196">
        <v>119.613999999999</v>
      </c>
      <c r="S196" s="13">
        <f t="shared" si="65"/>
        <v>6.7000000000000002E-3</v>
      </c>
      <c r="T196">
        <v>61</v>
      </c>
      <c r="U196" s="13">
        <f t="shared" si="66"/>
        <v>0</v>
      </c>
      <c r="V196" s="6">
        <f t="shared" si="67"/>
        <v>2.08</v>
      </c>
      <c r="W196" s="44">
        <f t="shared" si="68"/>
        <v>759.98</v>
      </c>
      <c r="X196" s="15">
        <f t="shared" si="69"/>
        <v>8.3070000000000005E-2</v>
      </c>
      <c r="Y196" s="13">
        <f t="shared" si="70"/>
        <v>2.6149</v>
      </c>
      <c r="Z196" s="6">
        <f t="shared" si="71"/>
        <v>218.64</v>
      </c>
      <c r="AA196" s="6">
        <f t="shared" si="72"/>
        <v>-25.45</v>
      </c>
      <c r="AB196" s="6">
        <f t="shared" si="73"/>
        <v>133.21</v>
      </c>
      <c r="AC196" s="6">
        <f t="shared" si="74"/>
        <v>132.41999999999999</v>
      </c>
    </row>
    <row r="197" spans="1:29" x14ac:dyDescent="0.25">
      <c r="A197" s="34">
        <v>37347</v>
      </c>
      <c r="B197" s="34">
        <f t="shared" si="57"/>
        <v>37407</v>
      </c>
      <c r="C197">
        <v>9122.2000000000007</v>
      </c>
      <c r="D197" s="13">
        <f t="shared" si="58"/>
        <v>5.7999999999999996E-3</v>
      </c>
      <c r="E197">
        <v>6.76</v>
      </c>
      <c r="F197">
        <v>6.22</v>
      </c>
      <c r="G197">
        <v>4.3</v>
      </c>
      <c r="H197" s="13">
        <f t="shared" si="59"/>
        <v>3.1099999999999999E-2</v>
      </c>
      <c r="I197">
        <v>1592</v>
      </c>
      <c r="J197" s="13">
        <f t="shared" si="60"/>
        <v>-1.1999999999999999E-3</v>
      </c>
      <c r="K197">
        <v>5670000</v>
      </c>
      <c r="L197" s="13">
        <f t="shared" si="61"/>
        <v>1.5299999999999999E-2</v>
      </c>
      <c r="M197">
        <v>936</v>
      </c>
      <c r="N197">
        <f t="shared" si="62"/>
        <v>932</v>
      </c>
      <c r="O197" s="13">
        <f t="shared" si="63"/>
        <v>2.4199999999999999E-2</v>
      </c>
      <c r="P197">
        <v>187100</v>
      </c>
      <c r="Q197" s="13">
        <f t="shared" si="64"/>
        <v>2.0899999999999998E-2</v>
      </c>
      <c r="R197">
        <v>118.691</v>
      </c>
      <c r="S197" s="13">
        <f t="shared" si="65"/>
        <v>6.1000000000000004E-3</v>
      </c>
      <c r="T197">
        <v>61</v>
      </c>
      <c r="U197" s="13">
        <f t="shared" si="66"/>
        <v>0</v>
      </c>
      <c r="V197" s="6">
        <f t="shared" si="67"/>
        <v>3.5</v>
      </c>
      <c r="W197" s="44">
        <f t="shared" si="68"/>
        <v>770.62</v>
      </c>
      <c r="X197" s="15">
        <f t="shared" si="69"/>
        <v>8.448E-2</v>
      </c>
      <c r="Y197" s="13">
        <f t="shared" si="70"/>
        <v>2.6021999999999998</v>
      </c>
      <c r="Z197" s="6">
        <f t="shared" si="71"/>
        <v>219.03</v>
      </c>
      <c r="AA197" s="6">
        <f t="shared" si="72"/>
        <v>-26.02</v>
      </c>
      <c r="AB197" s="6">
        <f t="shared" si="73"/>
        <v>133.26</v>
      </c>
      <c r="AC197" s="6">
        <f t="shared" si="74"/>
        <v>136.44</v>
      </c>
    </row>
    <row r="198" spans="1:29" x14ac:dyDescent="0.25">
      <c r="A198" s="34">
        <v>37316</v>
      </c>
      <c r="B198" s="34">
        <f t="shared" ref="B198:B261" si="75">EOMONTH(A198+40,0)</f>
        <v>37376</v>
      </c>
      <c r="C198">
        <v>9069.9</v>
      </c>
      <c r="D198" s="13">
        <f t="shared" ref="D198:D261" si="76">ROUND((C198-C199)/C199,4)</f>
        <v>1.5E-3</v>
      </c>
      <c r="E198">
        <v>6.88</v>
      </c>
      <c r="F198">
        <v>6.35</v>
      </c>
      <c r="G198">
        <v>4.0999999999999996</v>
      </c>
      <c r="H198" s="13">
        <f t="shared" ref="H198:H261" si="77">ROUND((AVERAGE(G198:G201)-AVERAGE(G199:G202))/AVERAGE(G199:G202),4)</f>
        <v>0</v>
      </c>
      <c r="I198">
        <v>1642</v>
      </c>
      <c r="J198" s="13">
        <f t="shared" ref="J198:J261" si="78">ROUND((AVERAGE(I198:I202)-AVERAGE(I199:I203))/AVERAGE(I199:I203),4)</f>
        <v>1.24E-2</v>
      </c>
      <c r="K198">
        <v>5630000</v>
      </c>
      <c r="L198" s="13">
        <f t="shared" ref="L198:L261" si="79">ROUND((AVERAGE(K198:K202)-AVERAGE(K199:K203))/AVERAGE(K199:K203),4)</f>
        <v>1.37E-2</v>
      </c>
      <c r="M198">
        <v>923</v>
      </c>
      <c r="N198">
        <f t="shared" ref="N198:N261" si="80">ROUND(AVERAGE(M198:M203),0)</f>
        <v>921</v>
      </c>
      <c r="O198" s="13">
        <f t="shared" ref="O198:O261" si="81">ROUND((N198/N207)-1,4)</f>
        <v>2.2000000000000001E-3</v>
      </c>
      <c r="P198">
        <v>183400</v>
      </c>
      <c r="Q198" s="13">
        <f t="shared" ref="Q198:Q261" si="82">ROUND((AVERAGE(P198:P202)-AVERAGE(P199:P203))/AVERAGE(P199:P203),4)</f>
        <v>1.35E-2</v>
      </c>
      <c r="R198">
        <v>117.84699999999999</v>
      </c>
      <c r="S198" s="13">
        <f t="shared" ref="S198:S261" si="83">ROUND((AVERAGE(R198:R201)-AVERAGE(R199:R202))/AVERAGE(R199:R202),4)</f>
        <v>5.4999999999999997E-3</v>
      </c>
      <c r="T198">
        <v>61</v>
      </c>
      <c r="U198" s="13">
        <f t="shared" ref="U198:U261" si="84">ROUND((T198-T199)/T199,4)</f>
        <v>-1.61E-2</v>
      </c>
      <c r="V198" s="6">
        <f t="shared" ref="V198:V250" si="85">ROUND(AVERAGE(T198:T201)-AVERAGE(T199:T204),2)</f>
        <v>5.25</v>
      </c>
      <c r="W198" s="44">
        <f t="shared" ref="W198:W255" si="86">ROUND(PMT((E198*0.01)/12,360,R198*1000)*-1,2)</f>
        <v>774.56</v>
      </c>
      <c r="X198" s="15">
        <f t="shared" ref="X198:X255" si="87">ROUND(W198/C198,5)</f>
        <v>8.5400000000000004E-2</v>
      </c>
      <c r="Y198" s="13">
        <f t="shared" ref="Y198:Y261" si="88">ROUND(((R198*1000)*0.2)/C198,4)</f>
        <v>2.5985999999999998</v>
      </c>
      <c r="Z198" s="6">
        <f t="shared" ref="Z198:Z261" si="89">ROUND((T198)+(V198*1.45)+(S198*2000)+(Q198*400)-(G198*2)+(H198*100)+(L198*400)+(I198/25)+(J198*300)+(K198/100000)+(N198/100)+(O198*100),2)</f>
        <v>217.42</v>
      </c>
      <c r="AA198" s="6">
        <f t="shared" ref="AA198:AA261" si="90">ROUND(((2.5-Y198)*100)+(((0.0775-X199)*100)*20),2)</f>
        <v>-30.12</v>
      </c>
      <c r="AB198" s="6">
        <f t="shared" ref="AB198:AB261" si="91">ROUND((Z198*0.65)+(AA198*0.35),2)</f>
        <v>130.78</v>
      </c>
      <c r="AC198" s="6">
        <f t="shared" ref="AC198:AC261" si="92">IF(ROUND(AVERAGE(AB198:AB200),2)&lt;0,0,ROUND(AVERAGE(AB198:AB200),2))</f>
        <v>134.68</v>
      </c>
    </row>
    <row r="199" spans="1:29" x14ac:dyDescent="0.25">
      <c r="A199" s="34">
        <v>37288</v>
      </c>
      <c r="B199" s="34">
        <f t="shared" si="75"/>
        <v>37346</v>
      </c>
      <c r="C199">
        <v>9056.6</v>
      </c>
      <c r="D199" s="13">
        <f t="shared" si="76"/>
        <v>1.1000000000000001E-3</v>
      </c>
      <c r="E199">
        <v>7.18</v>
      </c>
      <c r="F199">
        <v>6.69</v>
      </c>
      <c r="G199">
        <v>4</v>
      </c>
      <c r="H199" s="13">
        <f t="shared" si="77"/>
        <v>-1.83E-2</v>
      </c>
      <c r="I199">
        <v>1829</v>
      </c>
      <c r="J199" s="13">
        <f t="shared" si="78"/>
        <v>3.3500000000000002E-2</v>
      </c>
      <c r="K199">
        <v>5900000</v>
      </c>
      <c r="L199" s="13">
        <f t="shared" si="79"/>
        <v>1.54E-2</v>
      </c>
      <c r="M199">
        <v>948</v>
      </c>
      <c r="N199">
        <f t="shared" si="80"/>
        <v>909</v>
      </c>
      <c r="O199" s="13">
        <f t="shared" si="81"/>
        <v>-2.8799999999999999E-2</v>
      </c>
      <c r="P199">
        <v>191100</v>
      </c>
      <c r="Q199" s="13">
        <f t="shared" si="82"/>
        <v>2.8299999999999999E-2</v>
      </c>
      <c r="R199">
        <v>117.146</v>
      </c>
      <c r="S199" s="13">
        <f t="shared" si="83"/>
        <v>5.0000000000000001E-3</v>
      </c>
      <c r="T199">
        <v>62</v>
      </c>
      <c r="U199" s="13">
        <f t="shared" si="84"/>
        <v>6.9000000000000006E-2</v>
      </c>
      <c r="V199" s="6">
        <f t="shared" si="85"/>
        <v>4.92</v>
      </c>
      <c r="W199" s="44">
        <f t="shared" si="86"/>
        <v>793.59</v>
      </c>
      <c r="X199" s="15">
        <f t="shared" si="87"/>
        <v>8.763E-2</v>
      </c>
      <c r="Y199" s="13">
        <f t="shared" si="88"/>
        <v>2.5870000000000002</v>
      </c>
      <c r="Z199" s="6">
        <f t="shared" si="89"/>
        <v>235.2</v>
      </c>
      <c r="AA199" s="6">
        <f t="shared" si="90"/>
        <v>-21.7</v>
      </c>
      <c r="AB199" s="6">
        <f t="shared" si="91"/>
        <v>145.29</v>
      </c>
      <c r="AC199" s="6">
        <f t="shared" si="92"/>
        <v>126.49</v>
      </c>
    </row>
    <row r="200" spans="1:29" x14ac:dyDescent="0.25">
      <c r="A200" s="34">
        <v>37257</v>
      </c>
      <c r="B200" s="34">
        <f t="shared" si="75"/>
        <v>37315</v>
      </c>
      <c r="C200">
        <v>9046.9</v>
      </c>
      <c r="D200" s="13">
        <f t="shared" si="76"/>
        <v>1.8E-3</v>
      </c>
      <c r="E200">
        <v>6.81</v>
      </c>
      <c r="F200">
        <v>6.28</v>
      </c>
      <c r="G200">
        <v>4.2</v>
      </c>
      <c r="H200" s="13">
        <f t="shared" si="77"/>
        <v>-1.2E-2</v>
      </c>
      <c r="I200">
        <v>1698</v>
      </c>
      <c r="J200" s="13">
        <f t="shared" si="78"/>
        <v>1.67E-2</v>
      </c>
      <c r="K200">
        <v>5860000</v>
      </c>
      <c r="L200" s="13">
        <f t="shared" si="79"/>
        <v>1.6E-2</v>
      </c>
      <c r="M200">
        <v>880</v>
      </c>
      <c r="N200">
        <f t="shared" si="80"/>
        <v>896</v>
      </c>
      <c r="O200" s="13">
        <f t="shared" si="81"/>
        <v>-4.1700000000000001E-2</v>
      </c>
      <c r="P200">
        <v>187100</v>
      </c>
      <c r="Q200" s="13">
        <f t="shared" si="82"/>
        <v>1.5599999999999999E-2</v>
      </c>
      <c r="R200">
        <v>116.447</v>
      </c>
      <c r="S200" s="13">
        <f t="shared" si="83"/>
        <v>4.8999999999999998E-3</v>
      </c>
      <c r="T200">
        <v>58</v>
      </c>
      <c r="U200" s="13">
        <f t="shared" si="84"/>
        <v>0</v>
      </c>
      <c r="V200" s="6">
        <f t="shared" si="85"/>
        <v>1.25</v>
      </c>
      <c r="W200" s="44">
        <f t="shared" si="86"/>
        <v>759.92</v>
      </c>
      <c r="X200" s="15">
        <f t="shared" si="87"/>
        <v>8.4000000000000005E-2</v>
      </c>
      <c r="Y200" s="13">
        <f t="shared" si="88"/>
        <v>2.5743</v>
      </c>
      <c r="Z200" s="6">
        <f t="shared" si="89"/>
        <v>208.97</v>
      </c>
      <c r="AA200" s="6">
        <f t="shared" si="90"/>
        <v>-22.43</v>
      </c>
      <c r="AB200" s="6">
        <f t="shared" si="91"/>
        <v>127.98</v>
      </c>
      <c r="AC200" s="6">
        <f t="shared" si="92"/>
        <v>111.48</v>
      </c>
    </row>
    <row r="201" spans="1:29" x14ac:dyDescent="0.25">
      <c r="A201" s="34">
        <v>37226</v>
      </c>
      <c r="B201" s="34">
        <f t="shared" si="75"/>
        <v>37287</v>
      </c>
      <c r="C201">
        <v>9031</v>
      </c>
      <c r="D201" s="13">
        <f t="shared" si="76"/>
        <v>8.0000000000000004E-4</v>
      </c>
      <c r="E201">
        <v>6.96</v>
      </c>
      <c r="F201">
        <v>6.44</v>
      </c>
      <c r="G201">
        <v>3.8</v>
      </c>
      <c r="H201" s="13">
        <f t="shared" si="77"/>
        <v>-3.49E-2</v>
      </c>
      <c r="I201">
        <v>1568</v>
      </c>
      <c r="J201" s="13">
        <f t="shared" si="78"/>
        <v>-1.2800000000000001E-2</v>
      </c>
      <c r="K201">
        <v>5490000</v>
      </c>
      <c r="L201" s="13">
        <f t="shared" si="79"/>
        <v>2.2000000000000001E-3</v>
      </c>
      <c r="M201">
        <v>979</v>
      </c>
      <c r="N201">
        <f t="shared" si="80"/>
        <v>896</v>
      </c>
      <c r="O201" s="13">
        <f t="shared" si="81"/>
        <v>-4.58E-2</v>
      </c>
      <c r="P201">
        <v>180200</v>
      </c>
      <c r="Q201" s="13">
        <f t="shared" si="82"/>
        <v>6.1000000000000004E-3</v>
      </c>
      <c r="R201">
        <v>115.855</v>
      </c>
      <c r="S201" s="13">
        <f t="shared" si="83"/>
        <v>5.1999999999999998E-3</v>
      </c>
      <c r="T201">
        <v>58</v>
      </c>
      <c r="U201" s="13">
        <f t="shared" si="84"/>
        <v>5.45E-2</v>
      </c>
      <c r="V201" s="6">
        <f t="shared" si="85"/>
        <v>-1.58</v>
      </c>
      <c r="W201" s="44">
        <f t="shared" si="86"/>
        <v>767.68</v>
      </c>
      <c r="X201" s="15">
        <f t="shared" si="87"/>
        <v>8.5000000000000006E-2</v>
      </c>
      <c r="Y201" s="13">
        <f t="shared" si="88"/>
        <v>2.5657000000000001</v>
      </c>
      <c r="Z201" s="6">
        <f t="shared" si="89"/>
        <v>176.5</v>
      </c>
      <c r="AA201" s="6">
        <f t="shared" si="90"/>
        <v>-24.35</v>
      </c>
      <c r="AB201" s="6">
        <f t="shared" si="91"/>
        <v>106.2</v>
      </c>
      <c r="AC201" s="6">
        <f t="shared" si="92"/>
        <v>101.88</v>
      </c>
    </row>
    <row r="202" spans="1:29" x14ac:dyDescent="0.25">
      <c r="A202" s="34">
        <v>37196</v>
      </c>
      <c r="B202" s="34">
        <f t="shared" si="75"/>
        <v>37256</v>
      </c>
      <c r="C202">
        <v>9023.9</v>
      </c>
      <c r="D202" s="13">
        <f t="shared" si="76"/>
        <v>6.9999999999999999E-4</v>
      </c>
      <c r="E202">
        <v>7.16</v>
      </c>
      <c r="F202">
        <v>6.65</v>
      </c>
      <c r="G202">
        <v>4.0999999999999996</v>
      </c>
      <c r="H202" s="13">
        <f t="shared" si="77"/>
        <v>-5.7999999999999996E-3</v>
      </c>
      <c r="I202">
        <v>1602</v>
      </c>
      <c r="J202" s="13">
        <f t="shared" si="78"/>
        <v>-4.3E-3</v>
      </c>
      <c r="K202">
        <v>5240000</v>
      </c>
      <c r="L202" s="13">
        <f t="shared" si="79"/>
        <v>-1.1000000000000001E-3</v>
      </c>
      <c r="M202">
        <v>924</v>
      </c>
      <c r="N202">
        <f t="shared" si="80"/>
        <v>879</v>
      </c>
      <c r="O202" s="13">
        <f t="shared" si="81"/>
        <v>-5.9900000000000002E-2</v>
      </c>
      <c r="P202">
        <v>168100</v>
      </c>
      <c r="Q202" s="13">
        <f t="shared" si="82"/>
        <v>-1.3100000000000001E-2</v>
      </c>
      <c r="R202">
        <v>115.31</v>
      </c>
      <c r="S202" s="13">
        <f t="shared" si="83"/>
        <v>5.4999999999999997E-3</v>
      </c>
      <c r="T202">
        <v>55</v>
      </c>
      <c r="U202" s="13">
        <f t="shared" si="84"/>
        <v>0.14580000000000001</v>
      </c>
      <c r="V202" s="6">
        <f t="shared" si="85"/>
        <v>-3</v>
      </c>
      <c r="W202" s="44">
        <f t="shared" si="86"/>
        <v>779.59</v>
      </c>
      <c r="X202" s="15">
        <f t="shared" si="87"/>
        <v>8.6389999999999995E-2</v>
      </c>
      <c r="Y202" s="13">
        <f t="shared" si="88"/>
        <v>2.5556999999999999</v>
      </c>
      <c r="Z202" s="6">
        <f t="shared" si="89"/>
        <v>165.18</v>
      </c>
      <c r="AA202" s="6">
        <f t="shared" si="90"/>
        <v>-20.329999999999998</v>
      </c>
      <c r="AB202" s="6">
        <f t="shared" si="91"/>
        <v>100.25</v>
      </c>
      <c r="AC202" s="6">
        <f t="shared" si="92"/>
        <v>100.13</v>
      </c>
    </row>
    <row r="203" spans="1:29" x14ac:dyDescent="0.25">
      <c r="A203" s="34">
        <v>37165</v>
      </c>
      <c r="B203" s="34">
        <f t="shared" si="75"/>
        <v>37225</v>
      </c>
      <c r="C203">
        <v>9017.2000000000007</v>
      </c>
      <c r="D203" s="13">
        <f t="shared" si="76"/>
        <v>3.3E-3</v>
      </c>
      <c r="E203">
        <v>7.02</v>
      </c>
      <c r="F203">
        <v>6.53</v>
      </c>
      <c r="G203">
        <v>4.3</v>
      </c>
      <c r="H203" s="13">
        <f t="shared" si="77"/>
        <v>5.7999999999999996E-3</v>
      </c>
      <c r="I203">
        <v>1540</v>
      </c>
      <c r="J203" s="13">
        <f t="shared" si="78"/>
        <v>-8.0999999999999996E-3</v>
      </c>
      <c r="K203">
        <v>5250000</v>
      </c>
      <c r="L203" s="13">
        <f t="shared" si="79"/>
        <v>-2.5999999999999999E-3</v>
      </c>
      <c r="M203">
        <v>871</v>
      </c>
      <c r="N203">
        <f t="shared" si="80"/>
        <v>873</v>
      </c>
      <c r="O203" s="13">
        <f t="shared" si="81"/>
        <v>-4.5900000000000003E-2</v>
      </c>
      <c r="P203">
        <v>171300</v>
      </c>
      <c r="Q203" s="13">
        <f t="shared" si="82"/>
        <v>-4.5999999999999999E-3</v>
      </c>
      <c r="R203">
        <v>114.81399999999999</v>
      </c>
      <c r="S203" s="13">
        <f t="shared" si="83"/>
        <v>5.8999999999999999E-3</v>
      </c>
      <c r="T203">
        <v>48</v>
      </c>
      <c r="U203" s="13">
        <f t="shared" si="84"/>
        <v>4.3499999999999997E-2</v>
      </c>
      <c r="V203" s="6">
        <f t="shared" si="85"/>
        <v>-3.67</v>
      </c>
      <c r="W203" s="44">
        <f t="shared" si="86"/>
        <v>765.4</v>
      </c>
      <c r="X203" s="15">
        <f t="shared" si="87"/>
        <v>8.4879999999999997E-2</v>
      </c>
      <c r="Y203" s="13">
        <f t="shared" si="88"/>
        <v>2.5466000000000002</v>
      </c>
      <c r="Z203" s="6">
        <f t="shared" si="89"/>
        <v>159.38999999999999</v>
      </c>
      <c r="AA203" s="6">
        <f t="shared" si="90"/>
        <v>-12.6</v>
      </c>
      <c r="AB203" s="6">
        <f t="shared" si="91"/>
        <v>99.19</v>
      </c>
      <c r="AC203" s="6">
        <f t="shared" si="92"/>
        <v>106.16</v>
      </c>
    </row>
    <row r="204" spans="1:29" x14ac:dyDescent="0.25">
      <c r="A204" s="34">
        <v>37135</v>
      </c>
      <c r="B204" s="34">
        <f t="shared" si="75"/>
        <v>37195</v>
      </c>
      <c r="C204">
        <v>8987.6</v>
      </c>
      <c r="D204" s="13">
        <f t="shared" si="76"/>
        <v>-1.6999999999999999E-3</v>
      </c>
      <c r="E204">
        <v>6.64</v>
      </c>
      <c r="F204">
        <v>6.13</v>
      </c>
      <c r="G204">
        <v>4.4000000000000004</v>
      </c>
      <c r="H204" s="13">
        <f t="shared" si="77"/>
        <v>2.3800000000000002E-2</v>
      </c>
      <c r="I204">
        <v>1562</v>
      </c>
      <c r="J204" s="13">
        <f t="shared" si="78"/>
        <v>-1.0699999999999999E-2</v>
      </c>
      <c r="K204">
        <v>5480000</v>
      </c>
      <c r="L204" s="13">
        <f t="shared" si="79"/>
        <v>1.1000000000000001E-3</v>
      </c>
      <c r="M204">
        <v>853</v>
      </c>
      <c r="N204">
        <f t="shared" si="80"/>
        <v>879</v>
      </c>
      <c r="O204" s="13">
        <f t="shared" si="81"/>
        <v>-3.09E-2</v>
      </c>
      <c r="P204">
        <v>166400</v>
      </c>
      <c r="Q204" s="13">
        <f t="shared" si="82"/>
        <v>-0.01</v>
      </c>
      <c r="R204">
        <v>114.17100000000001</v>
      </c>
      <c r="S204" s="13">
        <f t="shared" si="83"/>
        <v>5.5999999999999999E-3</v>
      </c>
      <c r="T204">
        <v>46</v>
      </c>
      <c r="U204" s="13">
        <f t="shared" si="84"/>
        <v>-0.1636</v>
      </c>
      <c r="V204" s="6">
        <f t="shared" si="85"/>
        <v>-3.58</v>
      </c>
      <c r="W204" s="44">
        <f t="shared" si="86"/>
        <v>732.18</v>
      </c>
      <c r="X204" s="15">
        <f t="shared" si="87"/>
        <v>8.1470000000000001E-2</v>
      </c>
      <c r="Y204" s="13">
        <f t="shared" si="88"/>
        <v>2.5406</v>
      </c>
      <c r="Z204" s="6">
        <f t="shared" si="89"/>
        <v>161.80000000000001</v>
      </c>
      <c r="AA204" s="6">
        <f t="shared" si="90"/>
        <v>-12.08</v>
      </c>
      <c r="AB204" s="6">
        <f t="shared" si="91"/>
        <v>100.94</v>
      </c>
      <c r="AC204" s="6">
        <f t="shared" si="92"/>
        <v>116.17</v>
      </c>
    </row>
    <row r="205" spans="1:29" x14ac:dyDescent="0.25">
      <c r="A205" s="34">
        <v>37104</v>
      </c>
      <c r="B205" s="34">
        <f t="shared" si="75"/>
        <v>37164</v>
      </c>
      <c r="C205">
        <v>9003.1</v>
      </c>
      <c r="D205" s="13">
        <f t="shared" si="76"/>
        <v>-1E-3</v>
      </c>
      <c r="E205">
        <v>6.72</v>
      </c>
      <c r="F205">
        <v>6.23</v>
      </c>
      <c r="G205">
        <v>4.4000000000000004</v>
      </c>
      <c r="H205" s="13">
        <f t="shared" si="77"/>
        <v>3.0700000000000002E-2</v>
      </c>
      <c r="I205">
        <v>1567</v>
      </c>
      <c r="J205" s="13">
        <f t="shared" si="78"/>
        <v>-2.8E-3</v>
      </c>
      <c r="K205">
        <v>5430000</v>
      </c>
      <c r="L205" s="13">
        <f t="shared" si="79"/>
        <v>0</v>
      </c>
      <c r="M205">
        <v>866</v>
      </c>
      <c r="N205">
        <f t="shared" si="80"/>
        <v>894</v>
      </c>
      <c r="O205" s="13">
        <f t="shared" si="81"/>
        <v>2.0500000000000001E-2</v>
      </c>
      <c r="P205">
        <v>173700</v>
      </c>
      <c r="Q205" s="13">
        <f t="shared" si="82"/>
        <v>8.5000000000000006E-3</v>
      </c>
      <c r="R205">
        <v>113.495</v>
      </c>
      <c r="S205" s="13">
        <f t="shared" si="83"/>
        <v>5.3E-3</v>
      </c>
      <c r="T205">
        <v>55</v>
      </c>
      <c r="U205" s="13">
        <f t="shared" si="84"/>
        <v>-6.7799999999999999E-2</v>
      </c>
      <c r="V205" s="6">
        <f t="shared" si="85"/>
        <v>-1.17</v>
      </c>
      <c r="W205" s="44">
        <f t="shared" si="86"/>
        <v>733.86</v>
      </c>
      <c r="X205" s="15">
        <f t="shared" si="87"/>
        <v>8.1509999999999999E-2</v>
      </c>
      <c r="Y205" s="13">
        <f t="shared" si="88"/>
        <v>2.5211999999999999</v>
      </c>
      <c r="Z205" s="6">
        <f t="shared" si="89"/>
        <v>188.7</v>
      </c>
      <c r="AA205" s="6">
        <f t="shared" si="90"/>
        <v>-12.32</v>
      </c>
      <c r="AB205" s="6">
        <f t="shared" si="91"/>
        <v>118.34</v>
      </c>
      <c r="AC205" s="6">
        <f t="shared" si="92"/>
        <v>125.81</v>
      </c>
    </row>
    <row r="206" spans="1:29" x14ac:dyDescent="0.25">
      <c r="A206" s="34">
        <v>37073</v>
      </c>
      <c r="B206" s="34">
        <f t="shared" si="75"/>
        <v>37134</v>
      </c>
      <c r="C206">
        <v>9011.7000000000007</v>
      </c>
      <c r="D206" s="13">
        <f t="shared" si="76"/>
        <v>-4.0000000000000002E-4</v>
      </c>
      <c r="E206">
        <v>6.92</v>
      </c>
      <c r="F206">
        <v>6.47</v>
      </c>
      <c r="G206">
        <v>4.2</v>
      </c>
      <c r="H206" s="13">
        <f t="shared" si="77"/>
        <v>2.52E-2</v>
      </c>
      <c r="I206">
        <v>1670</v>
      </c>
      <c r="J206" s="13">
        <f t="shared" si="78"/>
        <v>5.5999999999999999E-3</v>
      </c>
      <c r="K206">
        <v>5430000</v>
      </c>
      <c r="L206" s="13">
        <f t="shared" si="79"/>
        <v>7.4999999999999997E-3</v>
      </c>
      <c r="M206">
        <v>880</v>
      </c>
      <c r="N206">
        <f t="shared" si="80"/>
        <v>910</v>
      </c>
      <c r="O206" s="13">
        <f t="shared" si="81"/>
        <v>4.36E-2</v>
      </c>
      <c r="P206">
        <v>175000</v>
      </c>
      <c r="Q206" s="13">
        <f t="shared" si="82"/>
        <v>6.7999999999999996E-3</v>
      </c>
      <c r="R206">
        <v>112.797</v>
      </c>
      <c r="S206" s="13">
        <f t="shared" si="83"/>
        <v>5.1000000000000004E-3</v>
      </c>
      <c r="T206">
        <v>59</v>
      </c>
      <c r="U206" s="13">
        <f t="shared" si="84"/>
        <v>3.5099999999999999E-2</v>
      </c>
      <c r="V206" s="6">
        <f t="shared" si="85"/>
        <v>-0.25</v>
      </c>
      <c r="W206" s="44">
        <f t="shared" si="86"/>
        <v>744.39</v>
      </c>
      <c r="X206" s="15">
        <f t="shared" si="87"/>
        <v>8.2600000000000007E-2</v>
      </c>
      <c r="Y206" s="13">
        <f t="shared" si="88"/>
        <v>2.5032999999999999</v>
      </c>
      <c r="Z206" s="6">
        <f t="shared" si="89"/>
        <v>204.92</v>
      </c>
      <c r="AA206" s="6">
        <f t="shared" si="90"/>
        <v>-11.37</v>
      </c>
      <c r="AB206" s="6">
        <f t="shared" si="91"/>
        <v>129.22</v>
      </c>
      <c r="AC206" s="6">
        <f t="shared" si="92"/>
        <v>131.74</v>
      </c>
    </row>
    <row r="207" spans="1:29" x14ac:dyDescent="0.25">
      <c r="A207" s="34">
        <v>37043</v>
      </c>
      <c r="B207" s="34">
        <f t="shared" si="75"/>
        <v>37103</v>
      </c>
      <c r="C207">
        <v>9015.6</v>
      </c>
      <c r="D207" s="13">
        <f t="shared" si="76"/>
        <v>4.0000000000000002E-4</v>
      </c>
      <c r="E207">
        <v>7.03</v>
      </c>
      <c r="F207">
        <v>6.58</v>
      </c>
      <c r="G207">
        <v>4.2</v>
      </c>
      <c r="H207" s="13">
        <f t="shared" si="77"/>
        <v>3.2500000000000001E-2</v>
      </c>
      <c r="I207">
        <v>1636</v>
      </c>
      <c r="J207" s="13">
        <f t="shared" si="78"/>
        <v>4.4999999999999997E-3</v>
      </c>
      <c r="K207">
        <v>5270000</v>
      </c>
      <c r="L207" s="13">
        <f t="shared" si="79"/>
        <v>6.4000000000000003E-3</v>
      </c>
      <c r="M207">
        <v>882</v>
      </c>
      <c r="N207">
        <f t="shared" si="80"/>
        <v>919</v>
      </c>
      <c r="O207" s="13">
        <f t="shared" si="81"/>
        <v>7.3599999999999999E-2</v>
      </c>
      <c r="P207">
        <v>179400</v>
      </c>
      <c r="Q207" s="13">
        <f t="shared" si="82"/>
        <v>9.4000000000000004E-3</v>
      </c>
      <c r="R207">
        <v>112.163</v>
      </c>
      <c r="S207" s="13">
        <f t="shared" si="83"/>
        <v>5.1999999999999998E-3</v>
      </c>
      <c r="T207">
        <v>57</v>
      </c>
      <c r="U207" s="13">
        <f t="shared" si="84"/>
        <v>-3.39E-2</v>
      </c>
      <c r="V207" s="6">
        <f t="shared" si="85"/>
        <v>0.57999999999999996</v>
      </c>
      <c r="W207" s="44">
        <f t="shared" si="86"/>
        <v>748.48</v>
      </c>
      <c r="X207" s="15">
        <f t="shared" si="87"/>
        <v>8.3019999999999997E-2</v>
      </c>
      <c r="Y207" s="13">
        <f t="shared" si="88"/>
        <v>2.4882</v>
      </c>
      <c r="Z207" s="6">
        <f t="shared" si="89"/>
        <v>205.45</v>
      </c>
      <c r="AA207" s="6">
        <f t="shared" si="90"/>
        <v>-10.52</v>
      </c>
      <c r="AB207" s="6">
        <f t="shared" si="91"/>
        <v>129.86000000000001</v>
      </c>
      <c r="AC207" s="6">
        <f t="shared" si="92"/>
        <v>133.47999999999999</v>
      </c>
    </row>
    <row r="208" spans="1:29" x14ac:dyDescent="0.25">
      <c r="A208" s="34">
        <v>37012</v>
      </c>
      <c r="B208" s="34">
        <f t="shared" si="75"/>
        <v>37072</v>
      </c>
      <c r="C208">
        <v>9011.7000000000007</v>
      </c>
      <c r="D208" s="13">
        <f t="shared" si="76"/>
        <v>-2.0000000000000001E-4</v>
      </c>
      <c r="E208">
        <v>7.11</v>
      </c>
      <c r="F208">
        <v>6.63</v>
      </c>
      <c r="G208">
        <v>4</v>
      </c>
      <c r="H208" s="13">
        <f t="shared" si="77"/>
        <v>1.32E-2</v>
      </c>
      <c r="I208">
        <v>1605</v>
      </c>
      <c r="J208" s="13">
        <f t="shared" si="78"/>
        <v>9.1000000000000004E-3</v>
      </c>
      <c r="K208">
        <v>5320000</v>
      </c>
      <c r="L208" s="13">
        <f t="shared" si="79"/>
        <v>8.3999999999999995E-3</v>
      </c>
      <c r="M208">
        <v>885</v>
      </c>
      <c r="N208">
        <f t="shared" si="80"/>
        <v>936</v>
      </c>
      <c r="O208" s="13">
        <f t="shared" si="81"/>
        <v>9.6000000000000002E-2</v>
      </c>
      <c r="P208">
        <v>175300</v>
      </c>
      <c r="Q208" s="13">
        <f t="shared" si="82"/>
        <v>1.5800000000000002E-2</v>
      </c>
      <c r="R208">
        <v>111.652</v>
      </c>
      <c r="S208" s="13">
        <f t="shared" si="83"/>
        <v>5.7000000000000002E-3</v>
      </c>
      <c r="T208">
        <v>59</v>
      </c>
      <c r="U208" s="13">
        <f t="shared" si="84"/>
        <v>1.72E-2</v>
      </c>
      <c r="V208" s="6">
        <f t="shared" si="85"/>
        <v>1.67</v>
      </c>
      <c r="W208" s="44">
        <f t="shared" si="86"/>
        <v>751.09</v>
      </c>
      <c r="X208" s="15">
        <f t="shared" si="87"/>
        <v>8.3349999999999994E-2</v>
      </c>
      <c r="Y208" s="13">
        <f t="shared" si="88"/>
        <v>2.4779</v>
      </c>
      <c r="Z208" s="6">
        <f t="shared" si="89"/>
        <v>214.91</v>
      </c>
      <c r="AA208" s="6">
        <f t="shared" si="90"/>
        <v>-10.15</v>
      </c>
      <c r="AB208" s="6">
        <f t="shared" si="91"/>
        <v>136.13999999999999</v>
      </c>
      <c r="AC208" s="6">
        <f t="shared" si="92"/>
        <v>132.97999999999999</v>
      </c>
    </row>
    <row r="209" spans="1:29" x14ac:dyDescent="0.25">
      <c r="A209" s="34">
        <v>36982</v>
      </c>
      <c r="B209" s="34">
        <f t="shared" si="75"/>
        <v>37042</v>
      </c>
      <c r="C209">
        <v>9013.4</v>
      </c>
      <c r="D209" s="13">
        <f t="shared" si="76"/>
        <v>-5.9999999999999995E-4</v>
      </c>
      <c r="E209">
        <v>7.2</v>
      </c>
      <c r="F209">
        <v>6.76</v>
      </c>
      <c r="G209">
        <v>3.9</v>
      </c>
      <c r="H209" s="13">
        <f t="shared" si="77"/>
        <v>2.01E-2</v>
      </c>
      <c r="I209">
        <v>1649</v>
      </c>
      <c r="J209" s="13">
        <f t="shared" si="78"/>
        <v>1.24E-2</v>
      </c>
      <c r="K209">
        <v>5450000</v>
      </c>
      <c r="L209" s="13">
        <f t="shared" si="79"/>
        <v>3.8E-3</v>
      </c>
      <c r="M209">
        <v>909</v>
      </c>
      <c r="N209">
        <f t="shared" si="80"/>
        <v>935</v>
      </c>
      <c r="O209" s="13">
        <f t="shared" si="81"/>
        <v>9.2299999999999993E-2</v>
      </c>
      <c r="P209">
        <v>175200</v>
      </c>
      <c r="Q209" s="13">
        <f t="shared" si="82"/>
        <v>5.9999999999999995E-4</v>
      </c>
      <c r="R209">
        <v>111.111</v>
      </c>
      <c r="S209" s="13">
        <f t="shared" si="83"/>
        <v>6.4000000000000003E-3</v>
      </c>
      <c r="T209">
        <v>58</v>
      </c>
      <c r="U209" s="13">
        <f t="shared" si="84"/>
        <v>-1.6899999999999998E-2</v>
      </c>
      <c r="V209" s="6">
        <f t="shared" si="85"/>
        <v>0.57999999999999996</v>
      </c>
      <c r="W209" s="44">
        <f t="shared" si="86"/>
        <v>754.21</v>
      </c>
      <c r="X209" s="15">
        <f t="shared" si="87"/>
        <v>8.3680000000000004E-2</v>
      </c>
      <c r="Y209" s="13">
        <f t="shared" si="88"/>
        <v>2.4655</v>
      </c>
      <c r="Z209" s="6">
        <f t="shared" si="89"/>
        <v>210.37</v>
      </c>
      <c r="AA209" s="6">
        <f t="shared" si="90"/>
        <v>-6.57</v>
      </c>
      <c r="AB209" s="6">
        <f t="shared" si="91"/>
        <v>134.44</v>
      </c>
      <c r="AC209" s="6">
        <f t="shared" si="92"/>
        <v>130.56</v>
      </c>
    </row>
    <row r="210" spans="1:29" x14ac:dyDescent="0.25">
      <c r="A210" s="34">
        <v>36951</v>
      </c>
      <c r="B210" s="34">
        <f t="shared" si="75"/>
        <v>37011</v>
      </c>
      <c r="C210">
        <v>9018.6</v>
      </c>
      <c r="D210" s="13">
        <f t="shared" si="76"/>
        <v>3.7000000000000002E-3</v>
      </c>
      <c r="E210">
        <v>7.12</v>
      </c>
      <c r="F210">
        <v>6.63</v>
      </c>
      <c r="G210">
        <v>3.8</v>
      </c>
      <c r="H210" s="13">
        <f t="shared" si="77"/>
        <v>-2.6100000000000002E-2</v>
      </c>
      <c r="I210">
        <v>1590</v>
      </c>
      <c r="J210" s="13">
        <f t="shared" si="78"/>
        <v>5.1999999999999998E-3</v>
      </c>
      <c r="K210">
        <v>5430000</v>
      </c>
      <c r="L210" s="13">
        <f t="shared" si="79"/>
        <v>6.8999999999999999E-3</v>
      </c>
      <c r="M210">
        <v>939</v>
      </c>
      <c r="N210">
        <f t="shared" si="80"/>
        <v>939</v>
      </c>
      <c r="O210" s="13">
        <f t="shared" si="81"/>
        <v>0.1008</v>
      </c>
      <c r="P210">
        <v>166300</v>
      </c>
      <c r="Q210" s="13">
        <f t="shared" si="82"/>
        <v>-1.17E-2</v>
      </c>
      <c r="R210">
        <v>110.503999999999</v>
      </c>
      <c r="S210" s="13">
        <f t="shared" si="83"/>
        <v>7.1999999999999998E-3</v>
      </c>
      <c r="T210">
        <v>59</v>
      </c>
      <c r="U210" s="13">
        <f t="shared" si="84"/>
        <v>-1.67E-2</v>
      </c>
      <c r="V210" s="6">
        <f t="shared" si="85"/>
        <v>-1.42</v>
      </c>
      <c r="W210" s="44">
        <f t="shared" si="86"/>
        <v>744.11</v>
      </c>
      <c r="X210" s="15">
        <f t="shared" si="87"/>
        <v>8.251E-2</v>
      </c>
      <c r="Y210" s="13">
        <f t="shared" si="88"/>
        <v>2.4506000000000001</v>
      </c>
      <c r="Z210" s="6">
        <f t="shared" si="89"/>
        <v>198.14</v>
      </c>
      <c r="AA210" s="6">
        <f t="shared" si="90"/>
        <v>-1.26</v>
      </c>
      <c r="AB210" s="6">
        <f t="shared" si="91"/>
        <v>128.35</v>
      </c>
      <c r="AC210" s="6">
        <f t="shared" si="92"/>
        <v>127.65</v>
      </c>
    </row>
    <row r="211" spans="1:29" x14ac:dyDescent="0.25">
      <c r="A211" s="34">
        <v>36923</v>
      </c>
      <c r="B211" s="34">
        <f t="shared" si="75"/>
        <v>36981</v>
      </c>
      <c r="C211">
        <v>8985.7000000000007</v>
      </c>
      <c r="D211" s="13">
        <f t="shared" si="76"/>
        <v>4.3E-3</v>
      </c>
      <c r="E211">
        <v>6.91</v>
      </c>
      <c r="F211">
        <v>6.46</v>
      </c>
      <c r="G211">
        <v>3.7</v>
      </c>
      <c r="H211" s="13">
        <f t="shared" si="77"/>
        <v>-1.9199999999999998E-2</v>
      </c>
      <c r="I211">
        <v>1625</v>
      </c>
      <c r="J211" s="13">
        <f t="shared" si="78"/>
        <v>1.52E-2</v>
      </c>
      <c r="K211">
        <v>5230000</v>
      </c>
      <c r="L211" s="13">
        <f t="shared" si="79"/>
        <v>-2.3E-3</v>
      </c>
      <c r="M211">
        <v>963</v>
      </c>
      <c r="N211">
        <f t="shared" si="80"/>
        <v>935</v>
      </c>
      <c r="O211" s="13">
        <f t="shared" si="81"/>
        <v>7.8399999999999997E-2</v>
      </c>
      <c r="P211">
        <v>169100</v>
      </c>
      <c r="Q211" s="13">
        <f t="shared" si="82"/>
        <v>-2.8E-3</v>
      </c>
      <c r="R211">
        <v>109.851</v>
      </c>
      <c r="S211" s="13">
        <f t="shared" si="83"/>
        <v>7.7000000000000002E-3</v>
      </c>
      <c r="T211">
        <v>60</v>
      </c>
      <c r="U211" s="13">
        <f t="shared" si="84"/>
        <v>3.4500000000000003E-2</v>
      </c>
      <c r="V211" s="6">
        <f t="shared" si="85"/>
        <v>-1.92</v>
      </c>
      <c r="W211" s="44">
        <f t="shared" si="86"/>
        <v>724.21</v>
      </c>
      <c r="X211" s="15">
        <f t="shared" si="87"/>
        <v>8.0600000000000005E-2</v>
      </c>
      <c r="Y211" s="13">
        <f t="shared" si="88"/>
        <v>2.4449999999999998</v>
      </c>
      <c r="Z211" s="6">
        <f t="shared" si="89"/>
        <v>200.31</v>
      </c>
      <c r="AA211" s="6">
        <f t="shared" si="90"/>
        <v>-3.76</v>
      </c>
      <c r="AB211" s="6">
        <f t="shared" si="91"/>
        <v>128.88999999999999</v>
      </c>
      <c r="AC211" s="6">
        <f t="shared" si="92"/>
        <v>122.79</v>
      </c>
    </row>
    <row r="212" spans="1:29" x14ac:dyDescent="0.25">
      <c r="A212" s="34">
        <v>36892</v>
      </c>
      <c r="B212" s="34">
        <f t="shared" si="75"/>
        <v>36950</v>
      </c>
      <c r="C212">
        <v>8947.6</v>
      </c>
      <c r="D212" s="13">
        <f t="shared" si="76"/>
        <v>1.17E-2</v>
      </c>
      <c r="E212">
        <v>7.12</v>
      </c>
      <c r="F212">
        <v>6.69</v>
      </c>
      <c r="G212">
        <v>3.8</v>
      </c>
      <c r="H212" s="13">
        <f t="shared" si="77"/>
        <v>-1.2699999999999999E-2</v>
      </c>
      <c r="I212">
        <v>1600</v>
      </c>
      <c r="J212" s="13">
        <f t="shared" si="78"/>
        <v>7.7000000000000002E-3</v>
      </c>
      <c r="K212">
        <v>5100000</v>
      </c>
      <c r="L212" s="13">
        <f t="shared" si="79"/>
        <v>-2.7000000000000001E-3</v>
      </c>
      <c r="M212">
        <v>936</v>
      </c>
      <c r="N212">
        <f t="shared" si="80"/>
        <v>915</v>
      </c>
      <c r="O212" s="13">
        <f t="shared" si="81"/>
        <v>5.4100000000000002E-2</v>
      </c>
      <c r="P212">
        <v>171300</v>
      </c>
      <c r="Q212" s="13">
        <f t="shared" si="82"/>
        <v>5.4999999999999997E-3</v>
      </c>
      <c r="R212">
        <v>109.13200000000001</v>
      </c>
      <c r="S212" s="13">
        <f t="shared" si="83"/>
        <v>7.9000000000000008E-3</v>
      </c>
      <c r="T212">
        <v>58</v>
      </c>
      <c r="U212" s="13">
        <f t="shared" si="84"/>
        <v>0.1154</v>
      </c>
      <c r="V212" s="6">
        <f t="shared" si="85"/>
        <v>-1.5</v>
      </c>
      <c r="W212" s="44">
        <f t="shared" si="86"/>
        <v>734.87</v>
      </c>
      <c r="X212" s="15">
        <f t="shared" si="87"/>
        <v>8.2129999999999995E-2</v>
      </c>
      <c r="Y212" s="13">
        <f t="shared" si="88"/>
        <v>2.4394</v>
      </c>
      <c r="Z212" s="6">
        <f t="shared" si="89"/>
        <v>195.75</v>
      </c>
      <c r="AA212" s="6">
        <f t="shared" si="90"/>
        <v>-4.3600000000000003</v>
      </c>
      <c r="AB212" s="6">
        <f t="shared" si="91"/>
        <v>125.71</v>
      </c>
      <c r="AC212" s="6">
        <f t="shared" si="92"/>
        <v>121.69</v>
      </c>
    </row>
    <row r="213" spans="1:29" x14ac:dyDescent="0.25">
      <c r="A213" s="34">
        <v>36861</v>
      </c>
      <c r="B213" s="34">
        <f t="shared" si="75"/>
        <v>36922</v>
      </c>
      <c r="C213">
        <v>8843.7999999999993</v>
      </c>
      <c r="D213" s="13">
        <f t="shared" si="76"/>
        <v>3.3999999999999998E-3</v>
      </c>
      <c r="E213">
        <v>7.15</v>
      </c>
      <c r="F213">
        <v>6.7</v>
      </c>
      <c r="G213">
        <v>3.6</v>
      </c>
      <c r="H213" s="13">
        <f t="shared" si="77"/>
        <v>-4.82E-2</v>
      </c>
      <c r="I213">
        <v>1532</v>
      </c>
      <c r="J213" s="13">
        <f t="shared" si="78"/>
        <v>9.1000000000000004E-3</v>
      </c>
      <c r="K213">
        <v>5100000</v>
      </c>
      <c r="L213" s="13">
        <f t="shared" si="79"/>
        <v>-4.0000000000000002E-4</v>
      </c>
      <c r="M213">
        <v>983</v>
      </c>
      <c r="N213">
        <f t="shared" si="80"/>
        <v>907</v>
      </c>
      <c r="O213" s="13">
        <f t="shared" si="81"/>
        <v>3.8899999999999997E-2</v>
      </c>
      <c r="P213">
        <v>162000</v>
      </c>
      <c r="Q213" s="13">
        <f t="shared" si="82"/>
        <v>-8.2000000000000007E-3</v>
      </c>
      <c r="R213">
        <v>108.298999999999</v>
      </c>
      <c r="S213" s="13">
        <f t="shared" si="83"/>
        <v>7.6E-3</v>
      </c>
      <c r="T213">
        <v>52</v>
      </c>
      <c r="U213" s="13">
        <f t="shared" si="84"/>
        <v>-8.77E-2</v>
      </c>
      <c r="V213" s="6">
        <f t="shared" si="85"/>
        <v>-1.67</v>
      </c>
      <c r="W213" s="44">
        <f t="shared" si="86"/>
        <v>731.46</v>
      </c>
      <c r="X213" s="15">
        <f t="shared" si="87"/>
        <v>8.2710000000000006E-2</v>
      </c>
      <c r="Y213" s="13">
        <f t="shared" si="88"/>
        <v>2.4491999999999998</v>
      </c>
      <c r="Z213" s="6">
        <f t="shared" si="89"/>
        <v>177.29</v>
      </c>
      <c r="AA213" s="6">
        <f t="shared" si="90"/>
        <v>-4.16</v>
      </c>
      <c r="AB213" s="6">
        <f t="shared" si="91"/>
        <v>113.78</v>
      </c>
      <c r="AC213" s="6">
        <f t="shared" si="92"/>
        <v>121.21</v>
      </c>
    </row>
    <row r="214" spans="1:29" x14ac:dyDescent="0.25">
      <c r="A214" s="34">
        <v>36831</v>
      </c>
      <c r="B214" s="34">
        <f t="shared" si="75"/>
        <v>36891</v>
      </c>
      <c r="C214">
        <v>8814.1</v>
      </c>
      <c r="D214" s="13">
        <f t="shared" si="76"/>
        <v>1.1999999999999999E-3</v>
      </c>
      <c r="E214">
        <v>7.13</v>
      </c>
      <c r="F214">
        <v>6.79</v>
      </c>
      <c r="G214">
        <v>4.2</v>
      </c>
      <c r="H214" s="13">
        <f t="shared" si="77"/>
        <v>6.1000000000000004E-3</v>
      </c>
      <c r="I214">
        <v>1551</v>
      </c>
      <c r="J214" s="13">
        <f t="shared" si="78"/>
        <v>-1.1000000000000001E-3</v>
      </c>
      <c r="K214">
        <v>5350000</v>
      </c>
      <c r="L214" s="13">
        <f t="shared" si="79"/>
        <v>8.5000000000000006E-3</v>
      </c>
      <c r="M214">
        <v>880</v>
      </c>
      <c r="N214">
        <f t="shared" si="80"/>
        <v>876</v>
      </c>
      <c r="O214" s="13">
        <f t="shared" si="81"/>
        <v>1.7399999999999999E-2</v>
      </c>
      <c r="P214">
        <v>174700</v>
      </c>
      <c r="Q214" s="13">
        <f t="shared" si="82"/>
        <v>1.7299999999999999E-2</v>
      </c>
      <c r="R214">
        <v>107.381</v>
      </c>
      <c r="S214" s="13">
        <f t="shared" si="83"/>
        <v>7.0000000000000001E-3</v>
      </c>
      <c r="T214">
        <v>57</v>
      </c>
      <c r="U214" s="13">
        <f t="shared" si="84"/>
        <v>-9.5200000000000007E-2</v>
      </c>
      <c r="V214" s="6">
        <f t="shared" si="85"/>
        <v>0.17</v>
      </c>
      <c r="W214" s="44">
        <f t="shared" si="86"/>
        <v>723.81</v>
      </c>
      <c r="X214" s="15">
        <f t="shared" si="87"/>
        <v>8.2119999999999999E-2</v>
      </c>
      <c r="Y214" s="13">
        <f t="shared" si="88"/>
        <v>2.4365999999999999</v>
      </c>
      <c r="Z214" s="6">
        <f t="shared" si="89"/>
        <v>199.49</v>
      </c>
      <c r="AA214" s="6">
        <f t="shared" si="90"/>
        <v>-11.72</v>
      </c>
      <c r="AB214" s="6">
        <f t="shared" si="91"/>
        <v>125.57</v>
      </c>
      <c r="AC214" s="6">
        <f t="shared" si="92"/>
        <v>122.41</v>
      </c>
    </row>
    <row r="215" spans="1:29" x14ac:dyDescent="0.25">
      <c r="A215" s="34">
        <v>36800</v>
      </c>
      <c r="B215" s="34">
        <f t="shared" si="75"/>
        <v>36860</v>
      </c>
      <c r="C215">
        <v>8803.4</v>
      </c>
      <c r="D215" s="13">
        <f t="shared" si="76"/>
        <v>2.7000000000000001E-3</v>
      </c>
      <c r="E215">
        <v>7.73</v>
      </c>
      <c r="F215">
        <v>7.41</v>
      </c>
      <c r="G215">
        <v>4</v>
      </c>
      <c r="H215" s="13">
        <f t="shared" si="77"/>
        <v>-4.6199999999999998E-2</v>
      </c>
      <c r="I215">
        <v>1549</v>
      </c>
      <c r="J215" s="13">
        <f t="shared" si="78"/>
        <v>-3.3999999999999998E-3</v>
      </c>
      <c r="K215">
        <v>5250000</v>
      </c>
      <c r="L215" s="13">
        <f t="shared" si="79"/>
        <v>5.4000000000000003E-3</v>
      </c>
      <c r="M215">
        <v>933</v>
      </c>
      <c r="N215">
        <f t="shared" si="80"/>
        <v>872</v>
      </c>
      <c r="O215" s="13">
        <f t="shared" si="81"/>
        <v>5.7999999999999996E-3</v>
      </c>
      <c r="P215">
        <v>176300</v>
      </c>
      <c r="Q215" s="13">
        <f t="shared" si="82"/>
        <v>1.3899999999999999E-2</v>
      </c>
      <c r="R215">
        <v>106.53700000000001</v>
      </c>
      <c r="S215" s="13">
        <f t="shared" si="83"/>
        <v>6.7999999999999996E-3</v>
      </c>
      <c r="T215">
        <v>63</v>
      </c>
      <c r="U215" s="13">
        <f t="shared" si="84"/>
        <v>1.61E-2</v>
      </c>
      <c r="V215" s="6">
        <f t="shared" si="85"/>
        <v>0.92</v>
      </c>
      <c r="W215" s="44">
        <f t="shared" si="86"/>
        <v>761.77</v>
      </c>
      <c r="X215" s="15">
        <f t="shared" si="87"/>
        <v>8.6529999999999996E-2</v>
      </c>
      <c r="Y215" s="13">
        <f t="shared" si="88"/>
        <v>2.4203999999999999</v>
      </c>
      <c r="Z215" s="6">
        <f t="shared" si="89"/>
        <v>195.77</v>
      </c>
      <c r="AA215" s="6">
        <f t="shared" si="90"/>
        <v>-8.48</v>
      </c>
      <c r="AB215" s="6">
        <f t="shared" si="91"/>
        <v>124.28</v>
      </c>
      <c r="AC215" s="6">
        <f t="shared" si="92"/>
        <v>118.14</v>
      </c>
    </row>
    <row r="216" spans="1:29" x14ac:dyDescent="0.25">
      <c r="A216" s="34">
        <v>36770</v>
      </c>
      <c r="B216" s="34">
        <f t="shared" si="75"/>
        <v>36830</v>
      </c>
      <c r="C216">
        <v>8779.7000000000007</v>
      </c>
      <c r="D216" s="13">
        <f t="shared" si="76"/>
        <v>4.3E-3</v>
      </c>
      <c r="E216">
        <v>7.68</v>
      </c>
      <c r="F216">
        <v>7.36</v>
      </c>
      <c r="G216">
        <v>4</v>
      </c>
      <c r="H216" s="13">
        <f t="shared" si="77"/>
        <v>-2.2599999999999999E-2</v>
      </c>
      <c r="I216">
        <v>1507</v>
      </c>
      <c r="J216" s="13">
        <f t="shared" si="78"/>
        <v>-1.5299999999999999E-2</v>
      </c>
      <c r="K216">
        <v>5290000</v>
      </c>
      <c r="L216" s="13">
        <f t="shared" si="79"/>
        <v>3.5000000000000001E-3</v>
      </c>
      <c r="M216">
        <v>912</v>
      </c>
      <c r="N216">
        <f t="shared" si="80"/>
        <v>856</v>
      </c>
      <c r="O216" s="13">
        <f t="shared" si="81"/>
        <v>-1.72E-2</v>
      </c>
      <c r="P216">
        <v>171500</v>
      </c>
      <c r="Q216" s="13">
        <f t="shared" si="82"/>
        <v>1.0800000000000001E-2</v>
      </c>
      <c r="R216">
        <v>105.76799999999901</v>
      </c>
      <c r="S216" s="13">
        <f t="shared" si="83"/>
        <v>6.7999999999999996E-3</v>
      </c>
      <c r="T216">
        <v>62</v>
      </c>
      <c r="U216" s="13">
        <f t="shared" si="84"/>
        <v>3.3300000000000003E-2</v>
      </c>
      <c r="V216" s="6">
        <f t="shared" si="85"/>
        <v>-0.25</v>
      </c>
      <c r="W216" s="44">
        <f t="shared" si="86"/>
        <v>752.63</v>
      </c>
      <c r="X216" s="15">
        <f t="shared" si="87"/>
        <v>8.5720000000000005E-2</v>
      </c>
      <c r="Y216" s="13">
        <f t="shared" si="88"/>
        <v>2.4094000000000002</v>
      </c>
      <c r="Z216" s="6">
        <f t="shared" si="89"/>
        <v>186.13</v>
      </c>
      <c r="AA216" s="6">
        <f t="shared" si="90"/>
        <v>-10.28</v>
      </c>
      <c r="AB216" s="6">
        <f t="shared" si="91"/>
        <v>117.39</v>
      </c>
      <c r="AC216" s="6">
        <f t="shared" si="92"/>
        <v>111.79</v>
      </c>
    </row>
    <row r="217" spans="1:29" x14ac:dyDescent="0.25">
      <c r="A217" s="34">
        <v>36739</v>
      </c>
      <c r="B217" s="34">
        <f t="shared" si="75"/>
        <v>36799</v>
      </c>
      <c r="C217">
        <v>8742</v>
      </c>
      <c r="D217" s="13">
        <f t="shared" si="76"/>
        <v>4.7000000000000002E-3</v>
      </c>
      <c r="E217">
        <v>7.88</v>
      </c>
      <c r="F217">
        <v>7.53</v>
      </c>
      <c r="G217">
        <v>4.4000000000000004</v>
      </c>
      <c r="H217" s="13">
        <f t="shared" si="77"/>
        <v>0</v>
      </c>
      <c r="I217">
        <v>1541</v>
      </c>
      <c r="J217" s="13">
        <f t="shared" si="78"/>
        <v>-8.0000000000000002E-3</v>
      </c>
      <c r="K217">
        <v>5170000</v>
      </c>
      <c r="L217" s="13">
        <f t="shared" si="79"/>
        <v>-8.0000000000000004E-4</v>
      </c>
      <c r="M217">
        <v>848</v>
      </c>
      <c r="N217">
        <f t="shared" si="80"/>
        <v>854</v>
      </c>
      <c r="O217" s="13">
        <f t="shared" si="81"/>
        <v>-2.9499999999999998E-2</v>
      </c>
      <c r="P217">
        <v>166600</v>
      </c>
      <c r="Q217" s="13">
        <f t="shared" si="82"/>
        <v>1.8E-3</v>
      </c>
      <c r="R217">
        <v>105.054</v>
      </c>
      <c r="S217" s="13">
        <f t="shared" si="83"/>
        <v>7.1000000000000004E-3</v>
      </c>
      <c r="T217">
        <v>60</v>
      </c>
      <c r="U217" s="13">
        <f t="shared" si="84"/>
        <v>0</v>
      </c>
      <c r="V217" s="6">
        <f t="shared" si="85"/>
        <v>-1.92</v>
      </c>
      <c r="W217" s="44">
        <f t="shared" si="86"/>
        <v>762.08</v>
      </c>
      <c r="X217" s="15">
        <f t="shared" si="87"/>
        <v>8.7169999999999997E-2</v>
      </c>
      <c r="Y217" s="13">
        <f t="shared" si="88"/>
        <v>2.4034</v>
      </c>
      <c r="Z217" s="6">
        <f t="shared" si="89"/>
        <v>179.55</v>
      </c>
      <c r="AA217" s="6">
        <f t="shared" si="90"/>
        <v>-11.3</v>
      </c>
      <c r="AB217" s="6">
        <f t="shared" si="91"/>
        <v>112.75</v>
      </c>
      <c r="AC217" s="6">
        <f t="shared" si="92"/>
        <v>108.98</v>
      </c>
    </row>
    <row r="218" spans="1:29" x14ac:dyDescent="0.25">
      <c r="A218" s="34">
        <v>36708</v>
      </c>
      <c r="B218" s="34">
        <f t="shared" si="75"/>
        <v>36769</v>
      </c>
      <c r="C218">
        <v>8701.1</v>
      </c>
      <c r="D218" s="13">
        <f t="shared" si="76"/>
        <v>7.4000000000000003E-3</v>
      </c>
      <c r="E218">
        <v>7.99</v>
      </c>
      <c r="F218">
        <v>7.72</v>
      </c>
      <c r="G218">
        <v>4.0999999999999996</v>
      </c>
      <c r="H218" s="13">
        <f t="shared" si="77"/>
        <v>-1.12E-2</v>
      </c>
      <c r="I218">
        <v>1463</v>
      </c>
      <c r="J218" s="13">
        <f t="shared" si="78"/>
        <v>-3.3799999999999997E-2</v>
      </c>
      <c r="K218">
        <v>5110000</v>
      </c>
      <c r="L218" s="13">
        <f t="shared" si="79"/>
        <v>-2.7000000000000001E-3</v>
      </c>
      <c r="M218">
        <v>887</v>
      </c>
      <c r="N218">
        <f t="shared" si="80"/>
        <v>856</v>
      </c>
      <c r="O218" s="13">
        <f t="shared" si="81"/>
        <v>-3.1699999999999999E-2</v>
      </c>
      <c r="P218">
        <v>169000</v>
      </c>
      <c r="Q218" s="13">
        <f t="shared" si="82"/>
        <v>8.0999999999999996E-3</v>
      </c>
      <c r="R218">
        <v>104.423999999999</v>
      </c>
      <c r="S218" s="13">
        <f t="shared" si="83"/>
        <v>7.4999999999999997E-3</v>
      </c>
      <c r="T218">
        <v>60</v>
      </c>
      <c r="U218" s="13">
        <f t="shared" si="84"/>
        <v>1.6899999999999998E-2</v>
      </c>
      <c r="V218" s="6">
        <f t="shared" si="85"/>
        <v>-2.5</v>
      </c>
      <c r="W218" s="44">
        <f t="shared" si="86"/>
        <v>765.5</v>
      </c>
      <c r="X218" s="15">
        <f t="shared" si="87"/>
        <v>8.7980000000000003E-2</v>
      </c>
      <c r="Y218" s="13">
        <f t="shared" si="88"/>
        <v>2.4001999999999999</v>
      </c>
      <c r="Z218" s="6">
        <f t="shared" si="89"/>
        <v>169.09</v>
      </c>
      <c r="AA218" s="6">
        <f t="shared" si="90"/>
        <v>-13.36</v>
      </c>
      <c r="AB218" s="6">
        <f t="shared" si="91"/>
        <v>105.23</v>
      </c>
      <c r="AC218" s="6">
        <f t="shared" si="92"/>
        <v>106.38</v>
      </c>
    </row>
    <row r="219" spans="1:29" x14ac:dyDescent="0.25">
      <c r="A219" s="34">
        <v>36678</v>
      </c>
      <c r="B219" s="34">
        <f t="shared" si="75"/>
        <v>36738</v>
      </c>
      <c r="C219">
        <v>8637</v>
      </c>
      <c r="D219" s="13">
        <f t="shared" si="76"/>
        <v>5.7999999999999996E-3</v>
      </c>
      <c r="E219">
        <v>8.1300000000000008</v>
      </c>
      <c r="F219">
        <v>7.85</v>
      </c>
      <c r="G219">
        <v>4.8</v>
      </c>
      <c r="H219" s="13">
        <f t="shared" si="77"/>
        <v>2.87E-2</v>
      </c>
      <c r="I219">
        <v>1559</v>
      </c>
      <c r="J219" s="13">
        <f t="shared" si="78"/>
        <v>-9.4000000000000004E-3</v>
      </c>
      <c r="K219">
        <v>5130000</v>
      </c>
      <c r="L219" s="13">
        <f t="shared" si="79"/>
        <v>-1.5E-3</v>
      </c>
      <c r="M219">
        <v>793</v>
      </c>
      <c r="N219">
        <f t="shared" si="80"/>
        <v>853</v>
      </c>
      <c r="O219" s="13">
        <f t="shared" si="81"/>
        <v>-4.2599999999999999E-2</v>
      </c>
      <c r="P219">
        <v>160100</v>
      </c>
      <c r="Q219" s="13">
        <f t="shared" si="82"/>
        <v>-4.1999999999999997E-3</v>
      </c>
      <c r="R219">
        <v>103.678</v>
      </c>
      <c r="S219" s="13">
        <f t="shared" si="83"/>
        <v>7.7000000000000002E-3</v>
      </c>
      <c r="T219">
        <v>59</v>
      </c>
      <c r="U219" s="13">
        <f t="shared" si="84"/>
        <v>1.72E-2</v>
      </c>
      <c r="V219" s="6">
        <f t="shared" si="85"/>
        <v>-3.42</v>
      </c>
      <c r="W219" s="44">
        <f t="shared" si="86"/>
        <v>770.17</v>
      </c>
      <c r="X219" s="15">
        <f t="shared" si="87"/>
        <v>8.9169999999999999E-2</v>
      </c>
      <c r="Y219" s="13">
        <f t="shared" si="88"/>
        <v>2.4007999999999998</v>
      </c>
      <c r="Z219" s="6">
        <f t="shared" si="89"/>
        <v>175.54</v>
      </c>
      <c r="AA219" s="6">
        <f t="shared" si="90"/>
        <v>-14.68</v>
      </c>
      <c r="AB219" s="6">
        <f t="shared" si="91"/>
        <v>108.96</v>
      </c>
      <c r="AC219" s="6">
        <f t="shared" si="92"/>
        <v>109.92</v>
      </c>
    </row>
    <row r="220" spans="1:29" x14ac:dyDescent="0.25">
      <c r="A220" s="34">
        <v>36647</v>
      </c>
      <c r="B220" s="34">
        <f t="shared" si="75"/>
        <v>36707</v>
      </c>
      <c r="C220">
        <v>8586.7999999999993</v>
      </c>
      <c r="D220" s="13">
        <f t="shared" si="76"/>
        <v>4.1000000000000003E-3</v>
      </c>
      <c r="E220">
        <v>8.2200000000000006</v>
      </c>
      <c r="F220">
        <v>7.92</v>
      </c>
      <c r="G220">
        <v>4.4000000000000004</v>
      </c>
      <c r="H220" s="13">
        <f t="shared" si="77"/>
        <v>5.7999999999999996E-3</v>
      </c>
      <c r="I220">
        <v>1575</v>
      </c>
      <c r="J220" s="13">
        <f t="shared" si="78"/>
        <v>-1.6E-2</v>
      </c>
      <c r="K220">
        <v>5110000</v>
      </c>
      <c r="L220" s="13">
        <f t="shared" si="79"/>
        <v>-1.9E-3</v>
      </c>
      <c r="M220">
        <v>857</v>
      </c>
      <c r="N220">
        <f t="shared" si="80"/>
        <v>867</v>
      </c>
      <c r="O220" s="13">
        <f t="shared" si="81"/>
        <v>-3.4500000000000003E-2</v>
      </c>
      <c r="P220">
        <v>164700</v>
      </c>
      <c r="Q220" s="13">
        <f t="shared" si="82"/>
        <v>-1E-4</v>
      </c>
      <c r="R220">
        <v>102.92299999999901</v>
      </c>
      <c r="S220" s="13">
        <f t="shared" si="83"/>
        <v>7.4999999999999997E-3</v>
      </c>
      <c r="T220">
        <v>58</v>
      </c>
      <c r="U220" s="13">
        <f t="shared" si="84"/>
        <v>-7.9399999999999998E-2</v>
      </c>
      <c r="V220" s="6">
        <f t="shared" si="85"/>
        <v>-4.17</v>
      </c>
      <c r="W220" s="44">
        <f t="shared" si="86"/>
        <v>771.06</v>
      </c>
      <c r="X220" s="15">
        <f t="shared" si="87"/>
        <v>8.9800000000000005E-2</v>
      </c>
      <c r="Y220" s="13">
        <f t="shared" si="88"/>
        <v>2.3972000000000002</v>
      </c>
      <c r="Z220" s="6">
        <f t="shared" si="89"/>
        <v>172.45</v>
      </c>
      <c r="AA220" s="6">
        <f t="shared" si="90"/>
        <v>-20.420000000000002</v>
      </c>
      <c r="AB220" s="6">
        <f t="shared" si="91"/>
        <v>104.95</v>
      </c>
      <c r="AC220" s="6">
        <f t="shared" si="92"/>
        <v>113.65</v>
      </c>
    </row>
    <row r="221" spans="1:29" x14ac:dyDescent="0.25">
      <c r="A221" s="34">
        <v>36617</v>
      </c>
      <c r="B221" s="34">
        <f t="shared" si="75"/>
        <v>36677</v>
      </c>
      <c r="C221">
        <v>8551.4</v>
      </c>
      <c r="D221" s="13">
        <f t="shared" si="76"/>
        <v>4.1000000000000003E-3</v>
      </c>
      <c r="E221">
        <v>8.6199999999999992</v>
      </c>
      <c r="F221">
        <v>8.31</v>
      </c>
      <c r="G221">
        <v>4.4000000000000004</v>
      </c>
      <c r="H221" s="13">
        <f t="shared" si="77"/>
        <v>5.7999999999999996E-3</v>
      </c>
      <c r="I221">
        <v>1626</v>
      </c>
      <c r="J221" s="13">
        <f t="shared" si="78"/>
        <v>-2.5999999999999999E-3</v>
      </c>
      <c r="K221">
        <v>5200000</v>
      </c>
      <c r="L221" s="13">
        <f t="shared" si="79"/>
        <v>1.9E-3</v>
      </c>
      <c r="M221">
        <v>841</v>
      </c>
      <c r="N221">
        <f t="shared" si="80"/>
        <v>868</v>
      </c>
      <c r="O221" s="13">
        <f t="shared" si="81"/>
        <v>-2.47E-2</v>
      </c>
      <c r="P221">
        <v>162600</v>
      </c>
      <c r="Q221" s="13">
        <f t="shared" si="82"/>
        <v>-1.14E-2</v>
      </c>
      <c r="R221">
        <v>102.127</v>
      </c>
      <c r="S221" s="13">
        <f t="shared" si="83"/>
        <v>7.3000000000000001E-3</v>
      </c>
      <c r="T221">
        <v>63</v>
      </c>
      <c r="U221" s="13">
        <f t="shared" si="84"/>
        <v>0</v>
      </c>
      <c r="V221" s="6">
        <f t="shared" si="85"/>
        <v>-2.83</v>
      </c>
      <c r="W221" s="44">
        <f t="shared" si="86"/>
        <v>793.97</v>
      </c>
      <c r="X221" s="15">
        <f t="shared" si="87"/>
        <v>9.2850000000000002E-2</v>
      </c>
      <c r="Y221" s="13">
        <f t="shared" si="88"/>
        <v>2.3885000000000001</v>
      </c>
      <c r="Z221" s="6">
        <f t="shared" si="89"/>
        <v>183.95</v>
      </c>
      <c r="AA221" s="6">
        <f t="shared" si="90"/>
        <v>-10.63</v>
      </c>
      <c r="AB221" s="6">
        <f t="shared" si="91"/>
        <v>115.85</v>
      </c>
      <c r="AC221" s="6">
        <f t="shared" si="92"/>
        <v>119.96</v>
      </c>
    </row>
    <row r="222" spans="1:29" x14ac:dyDescent="0.25">
      <c r="A222" s="34">
        <v>36586</v>
      </c>
      <c r="B222" s="34">
        <f t="shared" si="75"/>
        <v>36646</v>
      </c>
      <c r="C222">
        <v>8516.9</v>
      </c>
      <c r="D222" s="13">
        <f t="shared" si="76"/>
        <v>7.0000000000000001E-3</v>
      </c>
      <c r="E222">
        <v>8.1300000000000008</v>
      </c>
      <c r="F222">
        <v>7.79</v>
      </c>
      <c r="G222">
        <v>4.3</v>
      </c>
      <c r="H222" s="13">
        <f t="shared" si="77"/>
        <v>0</v>
      </c>
      <c r="I222">
        <v>1604</v>
      </c>
      <c r="J222" s="13">
        <f t="shared" si="78"/>
        <v>-5.0000000000000001E-4</v>
      </c>
      <c r="K222">
        <v>5190000</v>
      </c>
      <c r="L222" s="13">
        <f t="shared" si="79"/>
        <v>1.9E-3</v>
      </c>
      <c r="M222">
        <v>900</v>
      </c>
      <c r="N222">
        <f t="shared" si="80"/>
        <v>873</v>
      </c>
      <c r="O222" s="13">
        <f t="shared" si="81"/>
        <v>-1.47E-2</v>
      </c>
      <c r="P222">
        <v>165100</v>
      </c>
      <c r="Q222" s="13">
        <f t="shared" si="82"/>
        <v>4.8999999999999998E-3</v>
      </c>
      <c r="R222">
        <v>101.34099999999999</v>
      </c>
      <c r="S222" s="13">
        <f t="shared" si="83"/>
        <v>7.0000000000000001E-3</v>
      </c>
      <c r="T222">
        <v>63</v>
      </c>
      <c r="U222" s="13">
        <f t="shared" si="84"/>
        <v>-1.5599999999999999E-2</v>
      </c>
      <c r="V222" s="6">
        <f t="shared" si="85"/>
        <v>-2.33</v>
      </c>
      <c r="W222" s="44">
        <f t="shared" si="86"/>
        <v>752.81</v>
      </c>
      <c r="X222" s="15">
        <f t="shared" si="87"/>
        <v>8.8389999999999996E-2</v>
      </c>
      <c r="Y222" s="13">
        <f t="shared" si="88"/>
        <v>2.3797999999999999</v>
      </c>
      <c r="Z222" s="6">
        <f t="shared" si="89"/>
        <v>190.91</v>
      </c>
      <c r="AA222" s="6">
        <f t="shared" si="90"/>
        <v>-11.28</v>
      </c>
      <c r="AB222" s="6">
        <f t="shared" si="91"/>
        <v>120.14</v>
      </c>
      <c r="AC222" s="6">
        <f t="shared" si="92"/>
        <v>122.32</v>
      </c>
    </row>
    <row r="223" spans="1:29" x14ac:dyDescent="0.25">
      <c r="A223" s="34">
        <v>36557</v>
      </c>
      <c r="B223" s="34">
        <f t="shared" si="75"/>
        <v>36616</v>
      </c>
      <c r="C223">
        <v>8458</v>
      </c>
      <c r="D223" s="13">
        <f t="shared" si="76"/>
        <v>7.3000000000000001E-3</v>
      </c>
      <c r="E223">
        <v>8.23</v>
      </c>
      <c r="F223">
        <v>7.84</v>
      </c>
      <c r="G223">
        <v>4.3</v>
      </c>
      <c r="H223" s="13">
        <f t="shared" si="77"/>
        <v>5.7999999999999996E-3</v>
      </c>
      <c r="I223">
        <v>1737</v>
      </c>
      <c r="J223" s="13">
        <f t="shared" si="78"/>
        <v>1.24E-2</v>
      </c>
      <c r="K223">
        <v>5180000</v>
      </c>
      <c r="L223" s="13">
        <f t="shared" si="79"/>
        <v>1.9E-3</v>
      </c>
      <c r="M223">
        <v>856</v>
      </c>
      <c r="N223">
        <f t="shared" si="80"/>
        <v>861</v>
      </c>
      <c r="O223" s="13">
        <f t="shared" si="81"/>
        <v>-3.2599999999999997E-2</v>
      </c>
      <c r="P223">
        <v>162400</v>
      </c>
      <c r="Q223" s="13">
        <f t="shared" si="82"/>
        <v>-1E-3</v>
      </c>
      <c r="R223">
        <v>100.556</v>
      </c>
      <c r="S223" s="13">
        <f t="shared" si="83"/>
        <v>6.7000000000000002E-3</v>
      </c>
      <c r="T223">
        <v>64</v>
      </c>
      <c r="U223" s="13">
        <f t="shared" si="84"/>
        <v>-5.8799999999999998E-2</v>
      </c>
      <c r="V223" s="6">
        <f t="shared" si="85"/>
        <v>-1.92</v>
      </c>
      <c r="W223" s="44">
        <f t="shared" si="86"/>
        <v>754.03</v>
      </c>
      <c r="X223" s="15">
        <f t="shared" si="87"/>
        <v>8.9149999999999993E-2</v>
      </c>
      <c r="Y223" s="13">
        <f t="shared" si="88"/>
        <v>2.3778000000000001</v>
      </c>
      <c r="Z223" s="6">
        <f t="shared" si="89"/>
        <v>197.31</v>
      </c>
      <c r="AA223" s="6">
        <f t="shared" si="90"/>
        <v>-12.5</v>
      </c>
      <c r="AB223" s="6">
        <f t="shared" si="91"/>
        <v>123.88</v>
      </c>
      <c r="AC223" s="6">
        <f t="shared" si="92"/>
        <v>124.92</v>
      </c>
    </row>
    <row r="224" spans="1:29" x14ac:dyDescent="0.25">
      <c r="A224" s="34">
        <v>36526</v>
      </c>
      <c r="B224" s="34">
        <f t="shared" si="75"/>
        <v>36585</v>
      </c>
      <c r="C224">
        <v>8396.7999999999993</v>
      </c>
      <c r="D224" s="13">
        <f t="shared" si="76"/>
        <v>1.29E-2</v>
      </c>
      <c r="E224">
        <v>8.31</v>
      </c>
      <c r="F224">
        <v>7.92</v>
      </c>
      <c r="G224">
        <v>4.3</v>
      </c>
      <c r="H224" s="13">
        <f t="shared" si="77"/>
        <v>-1.1599999999999999E-2</v>
      </c>
      <c r="I224">
        <v>1636</v>
      </c>
      <c r="J224" s="13">
        <f t="shared" si="78"/>
        <v>-1.5E-3</v>
      </c>
      <c r="K224">
        <v>5170000</v>
      </c>
      <c r="L224" s="13">
        <f t="shared" si="79"/>
        <v>1.9E-3</v>
      </c>
      <c r="M224">
        <v>873</v>
      </c>
      <c r="N224">
        <f t="shared" si="80"/>
        <v>867</v>
      </c>
      <c r="O224" s="13">
        <f t="shared" si="81"/>
        <v>-4.5199999999999997E-2</v>
      </c>
      <c r="P224">
        <v>163500</v>
      </c>
      <c r="Q224" s="13">
        <f t="shared" si="82"/>
        <v>1.0699999999999999E-2</v>
      </c>
      <c r="R224">
        <v>99.877999999999901</v>
      </c>
      <c r="S224" s="13">
        <f t="shared" si="83"/>
        <v>6.7000000000000002E-3</v>
      </c>
      <c r="T224">
        <v>68</v>
      </c>
      <c r="U224" s="13">
        <f t="shared" si="84"/>
        <v>-1.4500000000000001E-2</v>
      </c>
      <c r="V224" s="6">
        <f t="shared" si="85"/>
        <v>-1.08</v>
      </c>
      <c r="W224" s="44">
        <f t="shared" si="86"/>
        <v>754.57</v>
      </c>
      <c r="X224" s="15">
        <f t="shared" si="87"/>
        <v>8.9859999999999995E-2</v>
      </c>
      <c r="Y224" s="13">
        <f t="shared" si="88"/>
        <v>2.379</v>
      </c>
      <c r="Z224" s="6">
        <f t="shared" si="89"/>
        <v>195.95</v>
      </c>
      <c r="AA224" s="6">
        <f t="shared" si="90"/>
        <v>-12.68</v>
      </c>
      <c r="AB224" s="6">
        <f t="shared" si="91"/>
        <v>122.93</v>
      </c>
      <c r="AC224" s="6">
        <f t="shared" si="92"/>
        <v>127.6</v>
      </c>
    </row>
    <row r="225" spans="1:29" x14ac:dyDescent="0.25">
      <c r="A225" s="34">
        <v>36495</v>
      </c>
      <c r="B225" s="34">
        <f t="shared" si="75"/>
        <v>36556</v>
      </c>
      <c r="C225">
        <v>8289.7000000000007</v>
      </c>
      <c r="D225" s="13">
        <f t="shared" si="76"/>
        <v>1.09E-2</v>
      </c>
      <c r="E225">
        <v>8.25</v>
      </c>
      <c r="F225">
        <v>7.84</v>
      </c>
      <c r="G225">
        <v>4.3</v>
      </c>
      <c r="H225" s="13">
        <f t="shared" si="77"/>
        <v>1.7600000000000001E-2</v>
      </c>
      <c r="I225">
        <v>1708</v>
      </c>
      <c r="J225" s="13">
        <f t="shared" si="78"/>
        <v>4.7999999999999996E-3</v>
      </c>
      <c r="K225">
        <v>5160000</v>
      </c>
      <c r="L225" s="13">
        <f t="shared" si="79"/>
        <v>1.9E-3</v>
      </c>
      <c r="M225">
        <v>873</v>
      </c>
      <c r="N225">
        <f t="shared" si="80"/>
        <v>871</v>
      </c>
      <c r="O225" s="13">
        <f t="shared" si="81"/>
        <v>-3.6499999999999998E-2</v>
      </c>
      <c r="P225">
        <v>164800</v>
      </c>
      <c r="Q225" s="13">
        <f t="shared" si="82"/>
        <v>8.2000000000000007E-3</v>
      </c>
      <c r="R225">
        <v>99.191999999999993</v>
      </c>
      <c r="S225" s="13">
        <f t="shared" si="83"/>
        <v>6.6E-3</v>
      </c>
      <c r="T225">
        <v>69</v>
      </c>
      <c r="U225" s="13">
        <f t="shared" si="84"/>
        <v>-1.43E-2</v>
      </c>
      <c r="V225" s="6">
        <f t="shared" si="85"/>
        <v>-1.83</v>
      </c>
      <c r="W225" s="44">
        <f t="shared" si="86"/>
        <v>745.2</v>
      </c>
      <c r="X225" s="15">
        <f t="shared" si="87"/>
        <v>8.9889999999999998E-2</v>
      </c>
      <c r="Y225" s="13">
        <f t="shared" si="88"/>
        <v>2.3931</v>
      </c>
      <c r="Z225" s="6">
        <f t="shared" si="89"/>
        <v>203.17</v>
      </c>
      <c r="AA225" s="6">
        <f t="shared" si="90"/>
        <v>-11.71</v>
      </c>
      <c r="AB225" s="6">
        <f t="shared" si="91"/>
        <v>127.96</v>
      </c>
      <c r="AC225" s="6">
        <f t="shared" si="92"/>
        <v>128.36000000000001</v>
      </c>
    </row>
    <row r="226" spans="1:29" x14ac:dyDescent="0.25">
      <c r="A226" s="34">
        <v>36465</v>
      </c>
      <c r="B226" s="34">
        <f t="shared" si="75"/>
        <v>36525</v>
      </c>
      <c r="C226">
        <v>8200.2000000000007</v>
      </c>
      <c r="D226" s="13">
        <f t="shared" si="76"/>
        <v>8.3999999999999995E-3</v>
      </c>
      <c r="E226">
        <v>8.06</v>
      </c>
      <c r="F226">
        <v>7.66</v>
      </c>
      <c r="G226">
        <v>4.3</v>
      </c>
      <c r="H226" s="13">
        <f t="shared" si="77"/>
        <v>1.7999999999999999E-2</v>
      </c>
      <c r="I226">
        <v>1648</v>
      </c>
      <c r="J226" s="13">
        <f t="shared" si="78"/>
        <v>1.0999999999999999E-2</v>
      </c>
      <c r="K226">
        <v>5150000</v>
      </c>
      <c r="L226" s="13">
        <f t="shared" si="79"/>
        <v>2E-3</v>
      </c>
      <c r="M226">
        <v>863</v>
      </c>
      <c r="N226">
        <f t="shared" si="80"/>
        <v>880</v>
      </c>
      <c r="O226" s="13">
        <f t="shared" si="81"/>
        <v>-2.6499999999999999E-2</v>
      </c>
      <c r="P226">
        <v>172000</v>
      </c>
      <c r="Q226" s="13">
        <f t="shared" si="82"/>
        <v>1.5900000000000001E-2</v>
      </c>
      <c r="R226">
        <v>98.56</v>
      </c>
      <c r="S226" s="13">
        <f t="shared" si="83"/>
        <v>6.6E-3</v>
      </c>
      <c r="T226">
        <v>70</v>
      </c>
      <c r="U226" s="13">
        <f t="shared" si="84"/>
        <v>0</v>
      </c>
      <c r="V226" s="6">
        <f t="shared" si="85"/>
        <v>-2.25</v>
      </c>
      <c r="W226" s="44">
        <f t="shared" si="86"/>
        <v>727.33</v>
      </c>
      <c r="X226" s="15">
        <f t="shared" si="87"/>
        <v>8.8700000000000001E-2</v>
      </c>
      <c r="Y226" s="13">
        <f t="shared" si="88"/>
        <v>2.4037999999999999</v>
      </c>
      <c r="Z226" s="6">
        <f t="shared" si="89"/>
        <v>207.17</v>
      </c>
      <c r="AA226" s="6">
        <f t="shared" si="90"/>
        <v>-7.86</v>
      </c>
      <c r="AB226" s="6">
        <f t="shared" si="91"/>
        <v>131.91</v>
      </c>
      <c r="AC226" s="6">
        <f t="shared" si="92"/>
        <v>128.74</v>
      </c>
    </row>
    <row r="227" spans="1:29" x14ac:dyDescent="0.25">
      <c r="A227" s="34">
        <v>36434</v>
      </c>
      <c r="B227" s="34">
        <f t="shared" si="75"/>
        <v>36494</v>
      </c>
      <c r="C227">
        <v>8132.2</v>
      </c>
      <c r="D227" s="13">
        <f t="shared" si="76"/>
        <v>8.3000000000000001E-3</v>
      </c>
      <c r="E227">
        <v>7.75</v>
      </c>
      <c r="F227">
        <v>7.36</v>
      </c>
      <c r="G227">
        <v>4.2</v>
      </c>
      <c r="H227" s="13">
        <f t="shared" si="77"/>
        <v>1.83E-2</v>
      </c>
      <c r="I227">
        <v>1608</v>
      </c>
      <c r="J227" s="13">
        <f t="shared" si="78"/>
        <v>-4.0000000000000002E-4</v>
      </c>
      <c r="K227">
        <v>5140000</v>
      </c>
      <c r="L227" s="13">
        <f t="shared" si="79"/>
        <v>2E-3</v>
      </c>
      <c r="M227">
        <v>872</v>
      </c>
      <c r="N227">
        <f t="shared" si="80"/>
        <v>884</v>
      </c>
      <c r="O227" s="13">
        <f t="shared" si="81"/>
        <v>-2.2100000000000002E-2</v>
      </c>
      <c r="P227">
        <v>161100</v>
      </c>
      <c r="Q227" s="13">
        <f t="shared" si="82"/>
        <v>8.5000000000000006E-3</v>
      </c>
      <c r="R227">
        <v>97.897000000000006</v>
      </c>
      <c r="S227" s="13">
        <f t="shared" si="83"/>
        <v>6.4999999999999997E-3</v>
      </c>
      <c r="T227">
        <v>70</v>
      </c>
      <c r="U227" s="13">
        <f t="shared" si="84"/>
        <v>1.4500000000000001E-2</v>
      </c>
      <c r="V227" s="6">
        <f t="shared" si="85"/>
        <v>-2.58</v>
      </c>
      <c r="W227" s="44">
        <f t="shared" si="86"/>
        <v>701.35</v>
      </c>
      <c r="X227" s="15">
        <f t="shared" si="87"/>
        <v>8.6239999999999997E-2</v>
      </c>
      <c r="Y227" s="13">
        <f t="shared" si="88"/>
        <v>2.4076</v>
      </c>
      <c r="Z227" s="6">
        <f t="shared" si="89"/>
        <v>199.12</v>
      </c>
      <c r="AA227" s="6">
        <f t="shared" si="90"/>
        <v>-12.04</v>
      </c>
      <c r="AB227" s="6">
        <f t="shared" si="91"/>
        <v>125.21</v>
      </c>
      <c r="AC227" s="6">
        <f t="shared" si="92"/>
        <v>127.29</v>
      </c>
    </row>
    <row r="228" spans="1:29" x14ac:dyDescent="0.25">
      <c r="A228" s="34">
        <v>36404</v>
      </c>
      <c r="B228" s="34">
        <f t="shared" si="75"/>
        <v>36464</v>
      </c>
      <c r="C228">
        <v>8065.3</v>
      </c>
      <c r="D228" s="13">
        <f t="shared" si="76"/>
        <v>3.5000000000000001E-3</v>
      </c>
      <c r="E228">
        <v>7.96</v>
      </c>
      <c r="F228">
        <v>7.57</v>
      </c>
      <c r="G228">
        <v>4.5</v>
      </c>
      <c r="H228" s="13">
        <f t="shared" si="77"/>
        <v>3.1399999999999997E-2</v>
      </c>
      <c r="I228">
        <v>1635</v>
      </c>
      <c r="J228" s="13">
        <f t="shared" si="78"/>
        <v>1.0200000000000001E-2</v>
      </c>
      <c r="K228">
        <v>5130000</v>
      </c>
      <c r="L228" s="13">
        <f t="shared" si="79"/>
        <v>2E-3</v>
      </c>
      <c r="M228">
        <v>826</v>
      </c>
      <c r="N228">
        <f t="shared" si="80"/>
        <v>891</v>
      </c>
      <c r="O228" s="13">
        <f t="shared" si="81"/>
        <v>-1.44E-2</v>
      </c>
      <c r="P228">
        <v>163200</v>
      </c>
      <c r="Q228" s="13">
        <f t="shared" si="82"/>
        <v>4.1999999999999997E-3</v>
      </c>
      <c r="R228">
        <v>97.251999999999995</v>
      </c>
      <c r="S228" s="13">
        <f t="shared" si="83"/>
        <v>6.4000000000000003E-3</v>
      </c>
      <c r="T228">
        <v>69</v>
      </c>
      <c r="U228" s="13">
        <f t="shared" si="84"/>
        <v>-4.1700000000000001E-2</v>
      </c>
      <c r="V228" s="6">
        <f t="shared" si="85"/>
        <v>-1.67</v>
      </c>
      <c r="W228" s="44">
        <f t="shared" si="86"/>
        <v>710.89</v>
      </c>
      <c r="X228" s="15">
        <f t="shared" si="87"/>
        <v>8.8139999999999996E-2</v>
      </c>
      <c r="Y228" s="13">
        <f t="shared" si="88"/>
        <v>2.4116</v>
      </c>
      <c r="Z228" s="6">
        <f t="shared" si="89"/>
        <v>203.23</v>
      </c>
      <c r="AA228" s="6">
        <f t="shared" si="90"/>
        <v>-8.58</v>
      </c>
      <c r="AB228" s="6">
        <f t="shared" si="91"/>
        <v>129.1</v>
      </c>
      <c r="AC228" s="6">
        <f t="shared" si="92"/>
        <v>129.22999999999999</v>
      </c>
    </row>
    <row r="229" spans="1:29" x14ac:dyDescent="0.25">
      <c r="A229" s="34">
        <v>36373</v>
      </c>
      <c r="B229" s="34">
        <f t="shared" si="75"/>
        <v>36433</v>
      </c>
      <c r="C229">
        <v>8036.9</v>
      </c>
      <c r="D229" s="13">
        <f t="shared" si="76"/>
        <v>6.6E-3</v>
      </c>
      <c r="E229">
        <v>7.76</v>
      </c>
      <c r="F229">
        <v>7.4</v>
      </c>
      <c r="G229">
        <v>4</v>
      </c>
      <c r="H229" s="13">
        <f t="shared" si="77"/>
        <v>6.3E-3</v>
      </c>
      <c r="I229">
        <v>1648</v>
      </c>
      <c r="J229" s="13">
        <f t="shared" si="78"/>
        <v>-7.7000000000000002E-3</v>
      </c>
      <c r="K229">
        <v>5120000</v>
      </c>
      <c r="L229" s="13">
        <f t="shared" si="79"/>
        <v>2E-3</v>
      </c>
      <c r="M229">
        <v>893</v>
      </c>
      <c r="N229">
        <f t="shared" si="80"/>
        <v>898</v>
      </c>
      <c r="O229" s="13">
        <f t="shared" si="81"/>
        <v>-2.2000000000000001E-3</v>
      </c>
      <c r="P229">
        <v>154800</v>
      </c>
      <c r="Q229" s="13">
        <f t="shared" si="82"/>
        <v>-3.2000000000000002E-3</v>
      </c>
      <c r="R229">
        <v>96.622999999999905</v>
      </c>
      <c r="S229" s="13">
        <f t="shared" si="83"/>
        <v>6.1999999999999998E-3</v>
      </c>
      <c r="T229">
        <v>72</v>
      </c>
      <c r="U229" s="13">
        <f t="shared" si="84"/>
        <v>0</v>
      </c>
      <c r="V229" s="6">
        <f t="shared" si="85"/>
        <v>0.5</v>
      </c>
      <c r="W229" s="44">
        <f t="shared" si="86"/>
        <v>692.89</v>
      </c>
      <c r="X229" s="15">
        <f t="shared" si="87"/>
        <v>8.6209999999999995E-2</v>
      </c>
      <c r="Y229" s="13">
        <f t="shared" si="88"/>
        <v>2.4045000000000001</v>
      </c>
      <c r="Z229" s="6">
        <f t="shared" si="89"/>
        <v>200.85</v>
      </c>
      <c r="AA229" s="6">
        <f t="shared" si="90"/>
        <v>-8.57</v>
      </c>
      <c r="AB229" s="6">
        <f t="shared" si="91"/>
        <v>127.55</v>
      </c>
      <c r="AC229" s="6">
        <f t="shared" si="92"/>
        <v>129.01</v>
      </c>
    </row>
    <row r="230" spans="1:29" x14ac:dyDescent="0.25">
      <c r="A230" s="34">
        <v>36342</v>
      </c>
      <c r="B230" s="34">
        <f t="shared" si="75"/>
        <v>36403</v>
      </c>
      <c r="C230">
        <v>7984.2</v>
      </c>
      <c r="D230" s="13">
        <f t="shared" si="76"/>
        <v>4.4999999999999997E-3</v>
      </c>
      <c r="E230">
        <v>7.8</v>
      </c>
      <c r="F230">
        <v>7.43</v>
      </c>
      <c r="G230">
        <v>4</v>
      </c>
      <c r="H230" s="13">
        <f t="shared" si="77"/>
        <v>-6.3E-3</v>
      </c>
      <c r="I230">
        <v>1669</v>
      </c>
      <c r="J230" s="13">
        <f t="shared" si="78"/>
        <v>-1E-4</v>
      </c>
      <c r="K230">
        <v>5110000</v>
      </c>
      <c r="L230" s="13">
        <f t="shared" si="79"/>
        <v>2E-3</v>
      </c>
      <c r="M230">
        <v>900</v>
      </c>
      <c r="N230">
        <f t="shared" si="80"/>
        <v>890</v>
      </c>
      <c r="O230" s="13">
        <f t="shared" si="81"/>
        <v>9.1000000000000004E-3</v>
      </c>
      <c r="P230">
        <v>158200</v>
      </c>
      <c r="Q230" s="13">
        <f t="shared" si="82"/>
        <v>-2.3E-3</v>
      </c>
      <c r="R230">
        <v>96.007000000000005</v>
      </c>
      <c r="S230" s="13">
        <f t="shared" si="83"/>
        <v>6.1000000000000004E-3</v>
      </c>
      <c r="T230">
        <v>72</v>
      </c>
      <c r="U230" s="13">
        <f t="shared" si="84"/>
        <v>-0.04</v>
      </c>
      <c r="V230" s="6">
        <f t="shared" si="85"/>
        <v>1.42</v>
      </c>
      <c r="W230" s="44">
        <f t="shared" si="86"/>
        <v>691.13</v>
      </c>
      <c r="X230" s="15">
        <f t="shared" si="87"/>
        <v>8.6559999999999998E-2</v>
      </c>
      <c r="Y230" s="13">
        <f t="shared" si="88"/>
        <v>2.4049</v>
      </c>
      <c r="Z230" s="6">
        <f t="shared" si="89"/>
        <v>205.15</v>
      </c>
      <c r="AA230" s="6">
        <f t="shared" si="90"/>
        <v>-6.59</v>
      </c>
      <c r="AB230" s="6">
        <f t="shared" si="91"/>
        <v>131.04</v>
      </c>
      <c r="AC230" s="6">
        <f t="shared" si="92"/>
        <v>130.69999999999999</v>
      </c>
    </row>
    <row r="231" spans="1:29" x14ac:dyDescent="0.25">
      <c r="A231" s="34">
        <v>36312</v>
      </c>
      <c r="B231" s="34">
        <f t="shared" si="75"/>
        <v>36372</v>
      </c>
      <c r="C231">
        <v>7948.6</v>
      </c>
      <c r="D231" s="13">
        <f t="shared" si="76"/>
        <v>3.8999999999999998E-3</v>
      </c>
      <c r="E231">
        <v>7.7</v>
      </c>
      <c r="F231">
        <v>7.29</v>
      </c>
      <c r="G231">
        <v>3.9</v>
      </c>
      <c r="H231" s="13">
        <f t="shared" si="77"/>
        <v>-6.1999999999999998E-3</v>
      </c>
      <c r="I231">
        <v>1559</v>
      </c>
      <c r="J231" s="13">
        <f t="shared" si="78"/>
        <v>-2.2800000000000001E-2</v>
      </c>
      <c r="K231">
        <v>5100000</v>
      </c>
      <c r="L231" s="13">
        <f t="shared" si="79"/>
        <v>2E-3</v>
      </c>
      <c r="M231">
        <v>923</v>
      </c>
      <c r="N231">
        <f t="shared" si="80"/>
        <v>886</v>
      </c>
      <c r="O231" s="13">
        <f t="shared" si="81"/>
        <v>1.03E-2</v>
      </c>
      <c r="P231">
        <v>159300</v>
      </c>
      <c r="Q231" s="13">
        <f t="shared" si="82"/>
        <v>7.9000000000000008E-3</v>
      </c>
      <c r="R231">
        <v>95.377999999999901</v>
      </c>
      <c r="S231" s="13">
        <f t="shared" si="83"/>
        <v>5.7000000000000002E-3</v>
      </c>
      <c r="T231">
        <v>75</v>
      </c>
      <c r="U231" s="13">
        <f t="shared" si="84"/>
        <v>-2.5999999999999999E-2</v>
      </c>
      <c r="V231" s="6">
        <f t="shared" si="85"/>
        <v>1.17</v>
      </c>
      <c r="W231" s="44">
        <f t="shared" si="86"/>
        <v>680.01</v>
      </c>
      <c r="X231" s="15">
        <f t="shared" si="87"/>
        <v>8.5550000000000001E-2</v>
      </c>
      <c r="Y231" s="13">
        <f t="shared" si="88"/>
        <v>2.3999000000000001</v>
      </c>
      <c r="Z231" s="6">
        <f t="shared" si="89"/>
        <v>200.05</v>
      </c>
      <c r="AA231" s="6">
        <f t="shared" si="90"/>
        <v>-4.59</v>
      </c>
      <c r="AB231" s="6">
        <f t="shared" si="91"/>
        <v>128.43</v>
      </c>
      <c r="AC231" s="6">
        <f t="shared" si="92"/>
        <v>132.11000000000001</v>
      </c>
    </row>
    <row r="232" spans="1:29" x14ac:dyDescent="0.25">
      <c r="A232" s="34">
        <v>36281</v>
      </c>
      <c r="B232" s="34">
        <f t="shared" si="75"/>
        <v>36341</v>
      </c>
      <c r="C232">
        <v>7918</v>
      </c>
      <c r="D232" s="13">
        <f t="shared" si="76"/>
        <v>3.0000000000000001E-3</v>
      </c>
      <c r="E232">
        <v>7.63</v>
      </c>
      <c r="F232">
        <v>7.28</v>
      </c>
      <c r="G232">
        <v>4</v>
      </c>
      <c r="H232" s="13">
        <f t="shared" si="77"/>
        <v>6.3E-3</v>
      </c>
      <c r="I232">
        <v>1611</v>
      </c>
      <c r="J232" s="13">
        <f t="shared" si="78"/>
        <v>-2.1399999999999999E-2</v>
      </c>
      <c r="K232">
        <v>5090000</v>
      </c>
      <c r="L232" s="13">
        <f t="shared" si="79"/>
        <v>2E-3</v>
      </c>
      <c r="M232">
        <v>888</v>
      </c>
      <c r="N232">
        <f t="shared" si="80"/>
        <v>890</v>
      </c>
      <c r="O232" s="13">
        <f t="shared" si="81"/>
        <v>2.06E-2</v>
      </c>
      <c r="P232">
        <v>154400</v>
      </c>
      <c r="Q232" s="13">
        <f t="shared" si="82"/>
        <v>2.3999999999999998E-3</v>
      </c>
      <c r="R232">
        <v>94.817999999999998</v>
      </c>
      <c r="S232" s="13">
        <f t="shared" si="83"/>
        <v>5.5999999999999999E-3</v>
      </c>
      <c r="T232">
        <v>77</v>
      </c>
      <c r="U232" s="13">
        <f t="shared" si="84"/>
        <v>2.6700000000000002E-2</v>
      </c>
      <c r="V232" s="6">
        <f t="shared" si="85"/>
        <v>0</v>
      </c>
      <c r="W232" s="44">
        <f t="shared" si="86"/>
        <v>671.44</v>
      </c>
      <c r="X232" s="15">
        <f t="shared" si="87"/>
        <v>8.48E-2</v>
      </c>
      <c r="Y232" s="13">
        <f t="shared" si="88"/>
        <v>2.395</v>
      </c>
      <c r="Z232" s="6">
        <f t="shared" si="89"/>
        <v>202.47</v>
      </c>
      <c r="AA232" s="6">
        <f t="shared" si="90"/>
        <v>2.94</v>
      </c>
      <c r="AB232" s="6">
        <f t="shared" si="91"/>
        <v>132.63</v>
      </c>
      <c r="AC232" s="6">
        <f t="shared" si="92"/>
        <v>135.38999999999999</v>
      </c>
    </row>
    <row r="233" spans="1:29" x14ac:dyDescent="0.25">
      <c r="A233" s="34">
        <v>36251</v>
      </c>
      <c r="B233" s="34">
        <f t="shared" si="75"/>
        <v>36311</v>
      </c>
      <c r="C233">
        <v>7894.6</v>
      </c>
      <c r="D233" s="13">
        <f t="shared" si="76"/>
        <v>2.8999999999999998E-3</v>
      </c>
      <c r="E233">
        <v>7.23</v>
      </c>
      <c r="F233">
        <v>6.84</v>
      </c>
      <c r="G233">
        <v>3.9</v>
      </c>
      <c r="H233" s="13">
        <f t="shared" si="77"/>
        <v>6.3E-3</v>
      </c>
      <c r="I233">
        <v>1553</v>
      </c>
      <c r="J233" s="13">
        <f t="shared" si="78"/>
        <v>-1.2500000000000001E-2</v>
      </c>
      <c r="K233">
        <v>5080000</v>
      </c>
      <c r="L233" s="13">
        <f t="shared" si="79"/>
        <v>2E-3</v>
      </c>
      <c r="M233">
        <v>918</v>
      </c>
      <c r="N233">
        <f t="shared" si="80"/>
        <v>908</v>
      </c>
      <c r="O233" s="13">
        <f t="shared" si="81"/>
        <v>3.6499999999999998E-2</v>
      </c>
      <c r="P233">
        <v>159900</v>
      </c>
      <c r="Q233" s="13">
        <f t="shared" si="82"/>
        <v>1.15E-2</v>
      </c>
      <c r="R233">
        <v>94.25</v>
      </c>
      <c r="S233" s="13">
        <f t="shared" si="83"/>
        <v>5.4000000000000003E-3</v>
      </c>
      <c r="T233">
        <v>75</v>
      </c>
      <c r="U233" s="13">
        <f t="shared" si="84"/>
        <v>5.6300000000000003E-2</v>
      </c>
      <c r="V233" s="6">
        <f t="shared" si="85"/>
        <v>-1.83</v>
      </c>
      <c r="W233" s="44">
        <f t="shared" si="86"/>
        <v>641.66999999999996</v>
      </c>
      <c r="X233" s="15">
        <f t="shared" si="87"/>
        <v>8.1280000000000005E-2</v>
      </c>
      <c r="Y233" s="13">
        <f t="shared" si="88"/>
        <v>2.3877000000000002</v>
      </c>
      <c r="Z233" s="6">
        <f t="shared" si="89"/>
        <v>203.28</v>
      </c>
      <c r="AA233" s="6">
        <f t="shared" si="90"/>
        <v>8.9499999999999993</v>
      </c>
      <c r="AB233" s="6">
        <f t="shared" si="91"/>
        <v>135.26</v>
      </c>
      <c r="AC233" s="6">
        <f t="shared" si="92"/>
        <v>138.46</v>
      </c>
    </row>
    <row r="234" spans="1:29" x14ac:dyDescent="0.25">
      <c r="A234" s="34">
        <v>36220</v>
      </c>
      <c r="B234" s="34">
        <f t="shared" si="75"/>
        <v>36280</v>
      </c>
      <c r="C234">
        <v>7871.7</v>
      </c>
      <c r="D234" s="13">
        <f t="shared" si="76"/>
        <v>2.0999999999999999E-3</v>
      </c>
      <c r="E234">
        <v>6.93</v>
      </c>
      <c r="F234">
        <v>6.55</v>
      </c>
      <c r="G234">
        <v>4.0999999999999996</v>
      </c>
      <c r="H234" s="13">
        <f t="shared" si="77"/>
        <v>3.95E-2</v>
      </c>
      <c r="I234">
        <v>1710</v>
      </c>
      <c r="J234" s="13">
        <f t="shared" si="78"/>
        <v>-5.9999999999999995E-4</v>
      </c>
      <c r="K234">
        <v>5070000</v>
      </c>
      <c r="L234" s="13">
        <f t="shared" si="79"/>
        <v>2E-3</v>
      </c>
      <c r="M234">
        <v>863</v>
      </c>
      <c r="N234">
        <f t="shared" si="80"/>
        <v>904</v>
      </c>
      <c r="O234" s="13">
        <f t="shared" si="81"/>
        <v>3.3099999999999997E-2</v>
      </c>
      <c r="P234">
        <v>157300</v>
      </c>
      <c r="Q234" s="13">
        <f t="shared" si="82"/>
        <v>3.5999999999999999E-3</v>
      </c>
      <c r="R234">
        <v>93.706000000000003</v>
      </c>
      <c r="S234" s="13">
        <f t="shared" si="83"/>
        <v>5.3E-3</v>
      </c>
      <c r="T234">
        <v>71</v>
      </c>
      <c r="U234" s="13">
        <f t="shared" si="84"/>
        <v>0</v>
      </c>
      <c r="V234" s="6">
        <f t="shared" si="85"/>
        <v>-2.17</v>
      </c>
      <c r="W234" s="44">
        <f t="shared" si="86"/>
        <v>619.03</v>
      </c>
      <c r="X234" s="15">
        <f t="shared" si="87"/>
        <v>7.8640000000000002E-2</v>
      </c>
      <c r="Y234" s="13">
        <f t="shared" si="88"/>
        <v>2.3807999999999998</v>
      </c>
      <c r="Z234" s="6">
        <f t="shared" si="89"/>
        <v>207.71</v>
      </c>
      <c r="AA234" s="6">
        <f t="shared" si="90"/>
        <v>9.3000000000000007</v>
      </c>
      <c r="AB234" s="6">
        <f t="shared" si="91"/>
        <v>138.27000000000001</v>
      </c>
      <c r="AC234" s="6">
        <f t="shared" si="92"/>
        <v>141.47</v>
      </c>
    </row>
    <row r="235" spans="1:29" x14ac:dyDescent="0.25">
      <c r="A235" s="34">
        <v>36192</v>
      </c>
      <c r="B235" s="34">
        <f t="shared" si="75"/>
        <v>36250</v>
      </c>
      <c r="C235">
        <v>7855.3</v>
      </c>
      <c r="D235" s="13">
        <f t="shared" si="76"/>
        <v>3.8E-3</v>
      </c>
      <c r="E235">
        <v>6.98</v>
      </c>
      <c r="F235">
        <v>6.61</v>
      </c>
      <c r="G235">
        <v>4</v>
      </c>
      <c r="H235" s="13">
        <f t="shared" si="77"/>
        <v>0</v>
      </c>
      <c r="I235">
        <v>1670</v>
      </c>
      <c r="J235" s="13">
        <f t="shared" si="78"/>
        <v>1.04E-2</v>
      </c>
      <c r="K235">
        <v>5060000</v>
      </c>
      <c r="L235" s="13">
        <f t="shared" si="79"/>
        <v>2E-3</v>
      </c>
      <c r="M235">
        <v>848</v>
      </c>
      <c r="N235">
        <f t="shared" si="80"/>
        <v>904</v>
      </c>
      <c r="O235" s="13">
        <f t="shared" si="81"/>
        <v>5.9799999999999999E-2</v>
      </c>
      <c r="P235">
        <v>160000</v>
      </c>
      <c r="Q235" s="13">
        <f t="shared" si="82"/>
        <v>6.4999999999999997E-3</v>
      </c>
      <c r="R235">
        <v>93.242000000000004</v>
      </c>
      <c r="S235" s="13">
        <f t="shared" si="83"/>
        <v>5.3E-3</v>
      </c>
      <c r="T235">
        <v>71</v>
      </c>
      <c r="U235" s="13">
        <f t="shared" si="84"/>
        <v>0</v>
      </c>
      <c r="V235" s="6">
        <f t="shared" si="85"/>
        <v>-0.42</v>
      </c>
      <c r="W235" s="44">
        <f t="shared" si="86"/>
        <v>619.09</v>
      </c>
      <c r="X235" s="15">
        <f t="shared" si="87"/>
        <v>7.8810000000000005E-2</v>
      </c>
      <c r="Y235" s="13">
        <f t="shared" si="88"/>
        <v>2.3740000000000001</v>
      </c>
      <c r="Z235" s="6">
        <f t="shared" si="89"/>
        <v>211.93</v>
      </c>
      <c r="AA235" s="6">
        <f t="shared" si="90"/>
        <v>11.66</v>
      </c>
      <c r="AB235" s="6">
        <f t="shared" si="91"/>
        <v>141.84</v>
      </c>
      <c r="AC235" s="6">
        <f t="shared" si="92"/>
        <v>145.38999999999999</v>
      </c>
    </row>
    <row r="236" spans="1:29" x14ac:dyDescent="0.25">
      <c r="A236" s="34">
        <v>36161</v>
      </c>
      <c r="B236" s="34">
        <f t="shared" si="75"/>
        <v>36219</v>
      </c>
      <c r="C236">
        <v>7825.6</v>
      </c>
      <c r="D236" s="13">
        <f t="shared" si="76"/>
        <v>4.1000000000000003E-3</v>
      </c>
      <c r="E236">
        <v>6.89</v>
      </c>
      <c r="F236">
        <v>6.51</v>
      </c>
      <c r="G236">
        <v>3.9</v>
      </c>
      <c r="H236" s="13">
        <f t="shared" si="77"/>
        <v>-1.2999999999999999E-2</v>
      </c>
      <c r="I236">
        <v>1748</v>
      </c>
      <c r="J236" s="13">
        <f t="shared" si="78"/>
        <v>1.6E-2</v>
      </c>
      <c r="K236">
        <v>5050000</v>
      </c>
      <c r="L236" s="13">
        <f t="shared" si="79"/>
        <v>2E-3</v>
      </c>
      <c r="M236">
        <v>875</v>
      </c>
      <c r="N236">
        <f t="shared" si="80"/>
        <v>904</v>
      </c>
      <c r="O236" s="13">
        <f t="shared" si="81"/>
        <v>6.3500000000000001E-2</v>
      </c>
      <c r="P236">
        <v>153100</v>
      </c>
      <c r="Q236" s="13">
        <f t="shared" si="82"/>
        <v>-2.3E-3</v>
      </c>
      <c r="R236">
        <v>92.736999999999995</v>
      </c>
      <c r="S236" s="13">
        <f t="shared" si="83"/>
        <v>5.1999999999999998E-3</v>
      </c>
      <c r="T236">
        <v>71</v>
      </c>
      <c r="U236" s="13">
        <f t="shared" si="84"/>
        <v>-5.33E-2</v>
      </c>
      <c r="V236" s="6">
        <f t="shared" si="85"/>
        <v>0.92</v>
      </c>
      <c r="W236" s="44">
        <f t="shared" si="86"/>
        <v>610.15</v>
      </c>
      <c r="X236" s="15">
        <f t="shared" si="87"/>
        <v>7.7969999999999998E-2</v>
      </c>
      <c r="Y236" s="13">
        <f t="shared" si="88"/>
        <v>2.3700999999999999</v>
      </c>
      <c r="Z236" s="6">
        <f t="shared" si="89"/>
        <v>214.12</v>
      </c>
      <c r="AA236" s="6">
        <f t="shared" si="90"/>
        <v>14.63</v>
      </c>
      <c r="AB236" s="6">
        <f t="shared" si="91"/>
        <v>144.30000000000001</v>
      </c>
      <c r="AC236" s="6">
        <f t="shared" si="92"/>
        <v>147.06</v>
      </c>
    </row>
    <row r="237" spans="1:29" x14ac:dyDescent="0.25">
      <c r="A237" s="34">
        <v>36130</v>
      </c>
      <c r="B237" s="34">
        <f t="shared" si="75"/>
        <v>36191</v>
      </c>
      <c r="C237">
        <v>7793.5</v>
      </c>
      <c r="D237" s="13">
        <f t="shared" si="76"/>
        <v>3.5000000000000001E-3</v>
      </c>
      <c r="E237">
        <v>6.74</v>
      </c>
      <c r="F237">
        <v>6.37</v>
      </c>
      <c r="G237">
        <v>3.8</v>
      </c>
      <c r="H237" s="13">
        <f t="shared" si="77"/>
        <v>-1.9099999999999999E-2</v>
      </c>
      <c r="I237">
        <v>1792</v>
      </c>
      <c r="J237" s="13">
        <f t="shared" si="78"/>
        <v>1.14E-2</v>
      </c>
      <c r="K237">
        <v>5040000</v>
      </c>
      <c r="L237" s="13">
        <f t="shared" si="79"/>
        <v>2E-3</v>
      </c>
      <c r="M237">
        <v>949</v>
      </c>
      <c r="N237">
        <f t="shared" si="80"/>
        <v>904</v>
      </c>
      <c r="O237" s="13">
        <f t="shared" si="81"/>
        <v>7.7499999999999999E-2</v>
      </c>
      <c r="P237">
        <v>152500</v>
      </c>
      <c r="Q237" s="13">
        <f t="shared" si="82"/>
        <v>3.3999999999999998E-3</v>
      </c>
      <c r="R237">
        <v>92.227000000000004</v>
      </c>
      <c r="S237" s="13">
        <f t="shared" si="83"/>
        <v>5.1999999999999998E-3</v>
      </c>
      <c r="T237">
        <v>75</v>
      </c>
      <c r="U237" s="13">
        <f t="shared" si="84"/>
        <v>-3.85E-2</v>
      </c>
      <c r="V237" s="6">
        <f t="shared" si="85"/>
        <v>2.08</v>
      </c>
      <c r="W237" s="44">
        <f t="shared" si="86"/>
        <v>597.57000000000005</v>
      </c>
      <c r="X237" s="15">
        <f t="shared" si="87"/>
        <v>7.6679999999999998E-2</v>
      </c>
      <c r="Y237" s="13">
        <f t="shared" si="88"/>
        <v>2.3668</v>
      </c>
      <c r="Z237" s="6">
        <f t="shared" si="89"/>
        <v>223.36</v>
      </c>
      <c r="AA237" s="6">
        <f t="shared" si="90"/>
        <v>13.82</v>
      </c>
      <c r="AB237" s="6">
        <f t="shared" si="91"/>
        <v>150.02000000000001</v>
      </c>
      <c r="AC237" s="6">
        <f t="shared" si="92"/>
        <v>149.72</v>
      </c>
    </row>
    <row r="238" spans="1:29" x14ac:dyDescent="0.25">
      <c r="A238" s="34">
        <v>36100</v>
      </c>
      <c r="B238" s="34">
        <f t="shared" si="75"/>
        <v>36160</v>
      </c>
      <c r="C238">
        <v>7766.6</v>
      </c>
      <c r="D238" s="13">
        <f t="shared" si="76"/>
        <v>4.8999999999999998E-3</v>
      </c>
      <c r="E238">
        <v>6.83</v>
      </c>
      <c r="F238">
        <v>6.48</v>
      </c>
      <c r="G238">
        <v>3.5</v>
      </c>
      <c r="H238" s="13">
        <f t="shared" si="77"/>
        <v>-3.09E-2</v>
      </c>
      <c r="I238">
        <v>1660</v>
      </c>
      <c r="J238" s="13">
        <f t="shared" si="78"/>
        <v>2.3E-3</v>
      </c>
      <c r="K238">
        <v>5030000</v>
      </c>
      <c r="L238" s="13">
        <f t="shared" si="79"/>
        <v>2E-3</v>
      </c>
      <c r="M238">
        <v>995</v>
      </c>
      <c r="N238">
        <f t="shared" si="80"/>
        <v>900</v>
      </c>
      <c r="O238" s="13">
        <f t="shared" si="81"/>
        <v>7.2700000000000001E-2</v>
      </c>
      <c r="P238">
        <v>151000</v>
      </c>
      <c r="Q238" s="13">
        <f t="shared" si="82"/>
        <v>3.8999999999999998E-3</v>
      </c>
      <c r="R238">
        <v>91.747</v>
      </c>
      <c r="S238" s="13">
        <f t="shared" si="83"/>
        <v>5.1999999999999998E-3</v>
      </c>
      <c r="T238">
        <v>78</v>
      </c>
      <c r="U238" s="13">
        <f t="shared" si="84"/>
        <v>1.2999999999999999E-2</v>
      </c>
      <c r="V238" s="6">
        <f t="shared" si="85"/>
        <v>2.42</v>
      </c>
      <c r="W238" s="44">
        <f t="shared" si="86"/>
        <v>599.96</v>
      </c>
      <c r="X238" s="15">
        <f t="shared" si="87"/>
        <v>7.7249999999999999E-2</v>
      </c>
      <c r="Y238" s="13">
        <f t="shared" si="88"/>
        <v>2.3626</v>
      </c>
      <c r="Z238" s="6">
        <f t="shared" si="89"/>
        <v>217.84</v>
      </c>
      <c r="AA238" s="6">
        <f t="shared" si="90"/>
        <v>15.04</v>
      </c>
      <c r="AB238" s="6">
        <f t="shared" si="91"/>
        <v>146.86000000000001</v>
      </c>
      <c r="AC238" s="6">
        <f t="shared" si="92"/>
        <v>148.37</v>
      </c>
    </row>
    <row r="239" spans="1:29" x14ac:dyDescent="0.25">
      <c r="A239" s="34">
        <v>36069</v>
      </c>
      <c r="B239" s="34">
        <f t="shared" si="75"/>
        <v>36129</v>
      </c>
      <c r="C239">
        <v>7728.5</v>
      </c>
      <c r="D239" s="13">
        <f t="shared" si="76"/>
        <v>4.1000000000000003E-3</v>
      </c>
      <c r="E239">
        <v>6.78</v>
      </c>
      <c r="F239">
        <v>6.44</v>
      </c>
      <c r="G239">
        <v>4</v>
      </c>
      <c r="H239" s="13">
        <f t="shared" si="77"/>
        <v>1.2500000000000001E-2</v>
      </c>
      <c r="I239">
        <v>1715</v>
      </c>
      <c r="J239" s="13">
        <f t="shared" si="78"/>
        <v>2.2200000000000001E-2</v>
      </c>
      <c r="K239">
        <v>5020000</v>
      </c>
      <c r="L239" s="13">
        <f t="shared" si="79"/>
        <v>2E-3</v>
      </c>
      <c r="M239">
        <v>893</v>
      </c>
      <c r="N239">
        <f t="shared" si="80"/>
        <v>882</v>
      </c>
      <c r="O239" s="13">
        <f t="shared" si="81"/>
        <v>6.1400000000000003E-2</v>
      </c>
      <c r="P239">
        <v>154500</v>
      </c>
      <c r="Q239" s="13">
        <f t="shared" si="82"/>
        <v>1.6999999999999999E-3</v>
      </c>
      <c r="R239">
        <v>91.29</v>
      </c>
      <c r="S239" s="13">
        <f t="shared" si="83"/>
        <v>5.3E-3</v>
      </c>
      <c r="T239">
        <v>77</v>
      </c>
      <c r="U239" s="13">
        <f t="shared" si="84"/>
        <v>5.4800000000000001E-2</v>
      </c>
      <c r="V239" s="6">
        <f t="shared" si="85"/>
        <v>2.58</v>
      </c>
      <c r="W239" s="44">
        <f t="shared" si="86"/>
        <v>593.92999999999995</v>
      </c>
      <c r="X239" s="15">
        <f t="shared" si="87"/>
        <v>7.6850000000000002E-2</v>
      </c>
      <c r="Y239" s="13">
        <f t="shared" si="88"/>
        <v>2.3624000000000001</v>
      </c>
      <c r="Z239" s="6">
        <f t="shared" si="89"/>
        <v>226.49</v>
      </c>
      <c r="AA239" s="6">
        <f t="shared" si="90"/>
        <v>14.44</v>
      </c>
      <c r="AB239" s="6">
        <f t="shared" si="91"/>
        <v>152.27000000000001</v>
      </c>
      <c r="AC239" s="6">
        <f t="shared" si="92"/>
        <v>146.63999999999999</v>
      </c>
    </row>
    <row r="240" spans="1:29" x14ac:dyDescent="0.25">
      <c r="A240" s="34">
        <v>36039</v>
      </c>
      <c r="B240" s="34">
        <f t="shared" si="75"/>
        <v>36099</v>
      </c>
      <c r="C240">
        <v>7696.6</v>
      </c>
      <c r="D240" s="13">
        <f t="shared" si="76"/>
        <v>3.0000000000000001E-3</v>
      </c>
      <c r="E240">
        <v>6.83</v>
      </c>
      <c r="F240">
        <v>6.48</v>
      </c>
      <c r="G240">
        <v>4.0999999999999996</v>
      </c>
      <c r="H240" s="13">
        <f t="shared" si="77"/>
        <v>1.2699999999999999E-2</v>
      </c>
      <c r="I240">
        <v>1582</v>
      </c>
      <c r="J240" s="13">
        <f t="shared" si="78"/>
        <v>5.1999999999999998E-3</v>
      </c>
      <c r="K240">
        <v>5010000</v>
      </c>
      <c r="L240" s="13">
        <f t="shared" si="79"/>
        <v>2E-3</v>
      </c>
      <c r="M240">
        <v>864</v>
      </c>
      <c r="N240">
        <f t="shared" si="80"/>
        <v>877</v>
      </c>
      <c r="O240" s="13">
        <f t="shared" si="81"/>
        <v>6.9500000000000006E-2</v>
      </c>
      <c r="P240">
        <v>155000</v>
      </c>
      <c r="Q240" s="13">
        <f t="shared" si="82"/>
        <v>9.2999999999999992E-3</v>
      </c>
      <c r="R240">
        <v>90.816999999999993</v>
      </c>
      <c r="S240" s="13">
        <f t="shared" si="83"/>
        <v>5.3E-3</v>
      </c>
      <c r="T240">
        <v>73</v>
      </c>
      <c r="U240" s="13">
        <f t="shared" si="84"/>
        <v>2.8199999999999999E-2</v>
      </c>
      <c r="V240" s="6">
        <f t="shared" si="85"/>
        <v>2.08</v>
      </c>
      <c r="W240" s="44">
        <f t="shared" si="86"/>
        <v>593.87</v>
      </c>
      <c r="X240" s="15">
        <f t="shared" si="87"/>
        <v>7.7160000000000006E-2</v>
      </c>
      <c r="Y240" s="13">
        <f t="shared" si="88"/>
        <v>2.3599000000000001</v>
      </c>
      <c r="Z240" s="6">
        <f t="shared" si="89"/>
        <v>214.87</v>
      </c>
      <c r="AA240" s="6">
        <f t="shared" si="90"/>
        <v>18.010000000000002</v>
      </c>
      <c r="AB240" s="6">
        <f t="shared" si="91"/>
        <v>145.97</v>
      </c>
      <c r="AC240" s="6">
        <f t="shared" si="92"/>
        <v>144.02000000000001</v>
      </c>
    </row>
    <row r="241" spans="1:29" x14ac:dyDescent="0.25">
      <c r="A241" s="34">
        <v>36008</v>
      </c>
      <c r="B241" s="34">
        <f t="shared" si="75"/>
        <v>36068</v>
      </c>
      <c r="C241">
        <v>7673.9</v>
      </c>
      <c r="D241" s="13">
        <f t="shared" si="76"/>
        <v>5.1999999999999998E-3</v>
      </c>
      <c r="E241">
        <v>6.64</v>
      </c>
      <c r="F241">
        <v>6.32</v>
      </c>
      <c r="G241">
        <v>4.0999999999999996</v>
      </c>
      <c r="H241" s="13">
        <f t="shared" si="77"/>
        <v>6.4000000000000003E-3</v>
      </c>
      <c r="I241">
        <v>1614</v>
      </c>
      <c r="J241" s="13">
        <f t="shared" si="78"/>
        <v>5.8999999999999999E-3</v>
      </c>
      <c r="K241">
        <v>5000000</v>
      </c>
      <c r="L241" s="13">
        <f t="shared" si="79"/>
        <v>2E-3</v>
      </c>
      <c r="M241">
        <v>846</v>
      </c>
      <c r="N241">
        <f t="shared" si="80"/>
        <v>872</v>
      </c>
      <c r="O241" s="13">
        <f t="shared" si="81"/>
        <v>6.3399999999999998E-2</v>
      </c>
      <c r="P241">
        <v>154900</v>
      </c>
      <c r="Q241" s="13">
        <f t="shared" si="82"/>
        <v>2.8999999999999998E-3</v>
      </c>
      <c r="R241">
        <v>90.341999999999999</v>
      </c>
      <c r="S241" s="13">
        <f t="shared" si="83"/>
        <v>5.1999999999999998E-3</v>
      </c>
      <c r="T241">
        <v>71</v>
      </c>
      <c r="U241" s="13">
        <f t="shared" si="84"/>
        <v>-1.3899999999999999E-2</v>
      </c>
      <c r="V241" s="6">
        <f t="shared" si="85"/>
        <v>2.17</v>
      </c>
      <c r="W241" s="44">
        <f t="shared" si="86"/>
        <v>579.37</v>
      </c>
      <c r="X241" s="15">
        <f t="shared" si="87"/>
        <v>7.5499999999999998E-2</v>
      </c>
      <c r="Y241" s="13">
        <f t="shared" si="88"/>
        <v>2.3544999999999998</v>
      </c>
      <c r="Z241" s="6">
        <f t="shared" si="89"/>
        <v>210.34</v>
      </c>
      <c r="AA241" s="6">
        <f t="shared" si="90"/>
        <v>14.15</v>
      </c>
      <c r="AB241" s="6">
        <f t="shared" si="91"/>
        <v>141.66999999999999</v>
      </c>
      <c r="AC241" s="6">
        <f t="shared" si="92"/>
        <v>143.93</v>
      </c>
    </row>
    <row r="242" spans="1:29" x14ac:dyDescent="0.25">
      <c r="A242" s="34">
        <v>35977</v>
      </c>
      <c r="B242" s="34">
        <f t="shared" si="75"/>
        <v>36038</v>
      </c>
      <c r="C242">
        <v>7633.9</v>
      </c>
      <c r="D242" s="13">
        <f t="shared" si="76"/>
        <v>4.3E-3</v>
      </c>
      <c r="E242">
        <v>6.92</v>
      </c>
      <c r="F242">
        <v>6.61</v>
      </c>
      <c r="G242">
        <v>4</v>
      </c>
      <c r="H242" s="13">
        <f t="shared" si="77"/>
        <v>-6.3E-3</v>
      </c>
      <c r="I242">
        <v>1698</v>
      </c>
      <c r="J242" s="13">
        <f t="shared" si="78"/>
        <v>1.4500000000000001E-2</v>
      </c>
      <c r="K242">
        <v>4990000</v>
      </c>
      <c r="L242" s="13">
        <f t="shared" si="79"/>
        <v>2E-3</v>
      </c>
      <c r="M242">
        <v>876</v>
      </c>
      <c r="N242">
        <f t="shared" si="80"/>
        <v>876</v>
      </c>
      <c r="O242" s="13">
        <f t="shared" si="81"/>
        <v>9.2299999999999993E-2</v>
      </c>
      <c r="P242">
        <v>149900</v>
      </c>
      <c r="Q242" s="13">
        <f t="shared" si="82"/>
        <v>-8.0000000000000002E-3</v>
      </c>
      <c r="R242">
        <v>89.876000000000005</v>
      </c>
      <c r="S242" s="13">
        <f t="shared" si="83"/>
        <v>5.1999999999999998E-3</v>
      </c>
      <c r="T242">
        <v>72</v>
      </c>
      <c r="U242" s="13">
        <f t="shared" si="84"/>
        <v>1.41E-2</v>
      </c>
      <c r="V242" s="6">
        <f t="shared" si="85"/>
        <v>2.33</v>
      </c>
      <c r="W242" s="44">
        <f t="shared" si="86"/>
        <v>593.13</v>
      </c>
      <c r="X242" s="15">
        <f t="shared" si="87"/>
        <v>7.7700000000000005E-2</v>
      </c>
      <c r="Y242" s="13">
        <f t="shared" si="88"/>
        <v>2.3546999999999998</v>
      </c>
      <c r="Z242" s="6">
        <f t="shared" si="89"/>
        <v>214.91</v>
      </c>
      <c r="AA242" s="6">
        <f t="shared" si="90"/>
        <v>13.51</v>
      </c>
      <c r="AB242" s="6">
        <f t="shared" si="91"/>
        <v>144.41999999999999</v>
      </c>
      <c r="AC242" s="6">
        <f t="shared" si="92"/>
        <v>143.12</v>
      </c>
    </row>
    <row r="243" spans="1:29" x14ac:dyDescent="0.25">
      <c r="A243" s="34">
        <v>35947</v>
      </c>
      <c r="B243" s="34">
        <f t="shared" si="75"/>
        <v>36007</v>
      </c>
      <c r="C243">
        <v>7601</v>
      </c>
      <c r="D243" s="13">
        <f t="shared" si="76"/>
        <v>4.8999999999999998E-3</v>
      </c>
      <c r="E243">
        <v>6.97</v>
      </c>
      <c r="F243">
        <v>6.64</v>
      </c>
      <c r="G243">
        <v>3.8</v>
      </c>
      <c r="H243" s="13">
        <f t="shared" si="77"/>
        <v>-6.3E-3</v>
      </c>
      <c r="I243">
        <v>1641</v>
      </c>
      <c r="J243" s="13">
        <f t="shared" si="78"/>
        <v>1.4999999999999999E-2</v>
      </c>
      <c r="K243">
        <v>4980000</v>
      </c>
      <c r="L243" s="13">
        <f t="shared" si="79"/>
        <v>2E-3</v>
      </c>
      <c r="M243">
        <v>923</v>
      </c>
      <c r="N243">
        <f t="shared" si="80"/>
        <v>875</v>
      </c>
      <c r="O243" s="13">
        <f t="shared" si="81"/>
        <v>0.10340000000000001</v>
      </c>
      <c r="P243">
        <v>148000</v>
      </c>
      <c r="Q243" s="13">
        <f t="shared" si="82"/>
        <v>0</v>
      </c>
      <c r="R243">
        <v>89.396000000000001</v>
      </c>
      <c r="S243" s="13">
        <f t="shared" si="83"/>
        <v>4.8999999999999998E-3</v>
      </c>
      <c r="T243">
        <v>71</v>
      </c>
      <c r="U243" s="13">
        <f t="shared" si="84"/>
        <v>1.43E-2</v>
      </c>
      <c r="V243" s="6">
        <f t="shared" si="85"/>
        <v>2.92</v>
      </c>
      <c r="W243" s="44">
        <f t="shared" si="86"/>
        <v>592.95000000000005</v>
      </c>
      <c r="X243" s="15">
        <f t="shared" si="87"/>
        <v>7.8009999999999996E-2</v>
      </c>
      <c r="Y243" s="13">
        <f t="shared" si="88"/>
        <v>2.3521999999999998</v>
      </c>
      <c r="Z243" s="6">
        <f t="shared" si="89"/>
        <v>216.63</v>
      </c>
      <c r="AA243" s="6">
        <f t="shared" si="90"/>
        <v>14</v>
      </c>
      <c r="AB243" s="6">
        <f t="shared" si="91"/>
        <v>145.71</v>
      </c>
      <c r="AC243" s="6">
        <f t="shared" si="92"/>
        <v>140.25</v>
      </c>
    </row>
    <row r="244" spans="1:29" x14ac:dyDescent="0.25">
      <c r="A244" s="34">
        <v>35916</v>
      </c>
      <c r="B244" s="34">
        <f t="shared" si="75"/>
        <v>35976</v>
      </c>
      <c r="C244">
        <v>7563.6</v>
      </c>
      <c r="D244" s="13">
        <f t="shared" si="76"/>
        <v>6.0000000000000001E-3</v>
      </c>
      <c r="E244">
        <v>6.96</v>
      </c>
      <c r="F244">
        <v>6.64</v>
      </c>
      <c r="G244">
        <v>3.9</v>
      </c>
      <c r="H244" s="13">
        <f t="shared" si="77"/>
        <v>-6.1999999999999998E-3</v>
      </c>
      <c r="I244">
        <v>1536</v>
      </c>
      <c r="J244" s="13">
        <f t="shared" si="78"/>
        <v>-3.8999999999999998E-3</v>
      </c>
      <c r="K244">
        <v>4970000</v>
      </c>
      <c r="L244" s="13">
        <f t="shared" si="79"/>
        <v>2E-3</v>
      </c>
      <c r="M244">
        <v>887</v>
      </c>
      <c r="N244">
        <f t="shared" si="80"/>
        <v>853</v>
      </c>
      <c r="O244" s="13">
        <f t="shared" si="81"/>
        <v>7.8399999999999997E-2</v>
      </c>
      <c r="P244">
        <v>153200</v>
      </c>
      <c r="Q244" s="13">
        <f t="shared" si="82"/>
        <v>9.7000000000000003E-3</v>
      </c>
      <c r="R244">
        <v>88.911000000000001</v>
      </c>
      <c r="S244" s="13">
        <f t="shared" si="83"/>
        <v>5.1000000000000004E-3</v>
      </c>
      <c r="T244">
        <v>70</v>
      </c>
      <c r="U244" s="13">
        <f t="shared" si="84"/>
        <v>4.48E-2</v>
      </c>
      <c r="V244" s="6">
        <f t="shared" si="85"/>
        <v>3.33</v>
      </c>
      <c r="W244" s="44">
        <f t="shared" si="86"/>
        <v>589.14</v>
      </c>
      <c r="X244" s="15">
        <f t="shared" si="87"/>
        <v>7.7890000000000001E-2</v>
      </c>
      <c r="Y244" s="13">
        <f t="shared" si="88"/>
        <v>2.351</v>
      </c>
      <c r="Z244" s="6">
        <f t="shared" si="89"/>
        <v>207.63</v>
      </c>
      <c r="AA244" s="6">
        <f t="shared" si="90"/>
        <v>12.22</v>
      </c>
      <c r="AB244" s="6">
        <f t="shared" si="91"/>
        <v>139.24</v>
      </c>
      <c r="AC244" s="6">
        <f t="shared" si="92"/>
        <v>138.63</v>
      </c>
    </row>
    <row r="245" spans="1:29" x14ac:dyDescent="0.25">
      <c r="A245" s="34">
        <v>35886</v>
      </c>
      <c r="B245" s="34">
        <f t="shared" si="75"/>
        <v>35946</v>
      </c>
      <c r="C245">
        <v>7518.6</v>
      </c>
      <c r="D245" s="13">
        <f t="shared" si="76"/>
        <v>5.0000000000000001E-3</v>
      </c>
      <c r="E245">
        <v>7.07</v>
      </c>
      <c r="F245">
        <v>6.72</v>
      </c>
      <c r="G245">
        <v>4</v>
      </c>
      <c r="H245" s="13">
        <f t="shared" si="77"/>
        <v>-2.4400000000000002E-2</v>
      </c>
      <c r="I245">
        <v>1540</v>
      </c>
      <c r="J245" s="13">
        <f t="shared" si="78"/>
        <v>3.8999999999999998E-3</v>
      </c>
      <c r="K245">
        <v>4960000</v>
      </c>
      <c r="L245" s="13">
        <f t="shared" si="79"/>
        <v>2E-3</v>
      </c>
      <c r="M245">
        <v>866</v>
      </c>
      <c r="N245">
        <f t="shared" si="80"/>
        <v>850</v>
      </c>
      <c r="O245" s="13">
        <f t="shared" si="81"/>
        <v>7.7299999999999994E-2</v>
      </c>
      <c r="P245">
        <v>148000</v>
      </c>
      <c r="Q245" s="13">
        <f t="shared" si="82"/>
        <v>4.0000000000000001E-3</v>
      </c>
      <c r="R245">
        <v>88.475999999999999</v>
      </c>
      <c r="S245" s="13">
        <f t="shared" si="83"/>
        <v>5.1999999999999998E-3</v>
      </c>
      <c r="T245">
        <v>67</v>
      </c>
      <c r="U245" s="13">
        <f t="shared" si="84"/>
        <v>0</v>
      </c>
      <c r="V245" s="6">
        <f t="shared" si="85"/>
        <v>3.58</v>
      </c>
      <c r="W245" s="44">
        <f t="shared" si="86"/>
        <v>592.79999999999995</v>
      </c>
      <c r="X245" s="15">
        <f t="shared" si="87"/>
        <v>7.8839999999999993E-2</v>
      </c>
      <c r="Y245" s="13">
        <f t="shared" si="88"/>
        <v>2.3534999999999999</v>
      </c>
      <c r="Z245" s="6">
        <f t="shared" si="89"/>
        <v>203.15</v>
      </c>
      <c r="AA245" s="6">
        <f t="shared" si="90"/>
        <v>10.69</v>
      </c>
      <c r="AB245" s="6">
        <f t="shared" si="91"/>
        <v>135.79</v>
      </c>
      <c r="AC245" s="6">
        <f t="shared" si="92"/>
        <v>137.69</v>
      </c>
    </row>
    <row r="246" spans="1:29" x14ac:dyDescent="0.25">
      <c r="A246" s="34">
        <v>35855</v>
      </c>
      <c r="B246" s="34">
        <f t="shared" si="75"/>
        <v>35915</v>
      </c>
      <c r="C246">
        <v>7481.4</v>
      </c>
      <c r="D246" s="13">
        <f t="shared" si="76"/>
        <v>6.3E-3</v>
      </c>
      <c r="E246">
        <v>7.15</v>
      </c>
      <c r="F246">
        <v>6.78</v>
      </c>
      <c r="G246">
        <v>4.0999999999999996</v>
      </c>
      <c r="H246" s="13">
        <f t="shared" si="77"/>
        <v>1.23E-2</v>
      </c>
      <c r="I246">
        <v>1567</v>
      </c>
      <c r="J246" s="13">
        <f t="shared" si="78"/>
        <v>6.1000000000000004E-3</v>
      </c>
      <c r="K246">
        <v>4950000</v>
      </c>
      <c r="L246" s="13">
        <f t="shared" si="79"/>
        <v>2E-3</v>
      </c>
      <c r="M246">
        <v>836</v>
      </c>
      <c r="N246">
        <f t="shared" si="80"/>
        <v>839</v>
      </c>
      <c r="O246" s="13">
        <f t="shared" si="81"/>
        <v>5.8000000000000003E-2</v>
      </c>
      <c r="P246">
        <v>152700</v>
      </c>
      <c r="Q246" s="13">
        <f t="shared" si="82"/>
        <v>1.52E-2</v>
      </c>
      <c r="R246">
        <v>88.040999999999997</v>
      </c>
      <c r="S246" s="13">
        <f t="shared" si="83"/>
        <v>5.4000000000000003E-3</v>
      </c>
      <c r="T246">
        <v>67</v>
      </c>
      <c r="U246" s="13">
        <f t="shared" si="84"/>
        <v>1.52E-2</v>
      </c>
      <c r="V246" s="6">
        <f t="shared" si="85"/>
        <v>3.17</v>
      </c>
      <c r="W246" s="44">
        <f t="shared" si="86"/>
        <v>594.63</v>
      </c>
      <c r="X246" s="15">
        <f t="shared" si="87"/>
        <v>7.9479999999999995E-2</v>
      </c>
      <c r="Y246" s="13">
        <f t="shared" si="88"/>
        <v>2.3536000000000001</v>
      </c>
      <c r="Z246" s="6">
        <f t="shared" si="89"/>
        <v>210.51</v>
      </c>
      <c r="AA246" s="6">
        <f t="shared" si="90"/>
        <v>11.5</v>
      </c>
      <c r="AB246" s="6">
        <f t="shared" si="91"/>
        <v>140.86000000000001</v>
      </c>
      <c r="AC246" s="6">
        <f t="shared" si="92"/>
        <v>136.54</v>
      </c>
    </row>
    <row r="247" spans="1:29" x14ac:dyDescent="0.25">
      <c r="A247" s="34">
        <v>35827</v>
      </c>
      <c r="B247" s="34">
        <f t="shared" si="75"/>
        <v>35885</v>
      </c>
      <c r="C247">
        <v>7434.5</v>
      </c>
      <c r="D247" s="13">
        <f t="shared" si="76"/>
        <v>6.3E-3</v>
      </c>
      <c r="E247">
        <v>7.08</v>
      </c>
      <c r="F247">
        <v>6.69</v>
      </c>
      <c r="G247">
        <v>3.9</v>
      </c>
      <c r="H247" s="13">
        <f t="shared" si="77"/>
        <v>-2.41E-2</v>
      </c>
      <c r="I247">
        <v>1584</v>
      </c>
      <c r="J247" s="13">
        <f t="shared" si="78"/>
        <v>5.0000000000000001E-3</v>
      </c>
      <c r="K247">
        <v>4940000</v>
      </c>
      <c r="L247" s="13">
        <f t="shared" si="79"/>
        <v>2E-3</v>
      </c>
      <c r="M247">
        <v>866</v>
      </c>
      <c r="N247">
        <f t="shared" si="80"/>
        <v>839</v>
      </c>
      <c r="O247" s="13">
        <f t="shared" si="81"/>
        <v>5.5300000000000002E-2</v>
      </c>
      <c r="P247">
        <v>156000</v>
      </c>
      <c r="Q247" s="13">
        <f t="shared" si="82"/>
        <v>1.3299999999999999E-2</v>
      </c>
      <c r="R247">
        <v>87.650999999999996</v>
      </c>
      <c r="S247" s="13">
        <f t="shared" si="83"/>
        <v>5.1000000000000004E-3</v>
      </c>
      <c r="T247">
        <v>66</v>
      </c>
      <c r="U247" s="13">
        <f t="shared" si="84"/>
        <v>1.54E-2</v>
      </c>
      <c r="V247" s="6">
        <f t="shared" si="85"/>
        <v>2.58</v>
      </c>
      <c r="W247" s="44">
        <f t="shared" si="86"/>
        <v>587.86</v>
      </c>
      <c r="X247" s="15">
        <f t="shared" si="87"/>
        <v>7.9070000000000001E-2</v>
      </c>
      <c r="Y247" s="13">
        <f t="shared" si="88"/>
        <v>2.3580000000000001</v>
      </c>
      <c r="Z247" s="6">
        <f t="shared" si="89"/>
        <v>204.03</v>
      </c>
      <c r="AA247" s="6">
        <f t="shared" si="90"/>
        <v>10.86</v>
      </c>
      <c r="AB247" s="6">
        <f t="shared" si="91"/>
        <v>136.41999999999999</v>
      </c>
      <c r="AC247" s="6">
        <f t="shared" si="92"/>
        <v>132.1</v>
      </c>
    </row>
    <row r="248" spans="1:29" x14ac:dyDescent="0.25">
      <c r="A248" s="34">
        <v>35796</v>
      </c>
      <c r="B248" s="34">
        <f t="shared" si="75"/>
        <v>35854</v>
      </c>
      <c r="C248">
        <v>7387.7</v>
      </c>
      <c r="D248" s="13">
        <f t="shared" si="76"/>
        <v>9.4000000000000004E-3</v>
      </c>
      <c r="E248">
        <v>7.09</v>
      </c>
      <c r="F248">
        <v>6.69</v>
      </c>
      <c r="G248">
        <v>4</v>
      </c>
      <c r="H248" s="13">
        <f t="shared" si="77"/>
        <v>-1.1900000000000001E-2</v>
      </c>
      <c r="I248">
        <v>1525</v>
      </c>
      <c r="J248" s="13">
        <f t="shared" si="78"/>
        <v>1.7899999999999999E-2</v>
      </c>
      <c r="K248">
        <v>4930000</v>
      </c>
      <c r="L248" s="13">
        <f t="shared" si="79"/>
        <v>2E-3</v>
      </c>
      <c r="M248">
        <v>872</v>
      </c>
      <c r="N248">
        <f t="shared" si="80"/>
        <v>831</v>
      </c>
      <c r="O248" s="13">
        <f t="shared" si="81"/>
        <v>4.2700000000000002E-2</v>
      </c>
      <c r="P248">
        <v>148000</v>
      </c>
      <c r="Q248" s="13">
        <f t="shared" si="82"/>
        <v>5.4999999999999997E-3</v>
      </c>
      <c r="R248">
        <v>87.122</v>
      </c>
      <c r="S248" s="13">
        <f t="shared" si="83"/>
        <v>4.4000000000000003E-3</v>
      </c>
      <c r="T248">
        <v>65</v>
      </c>
      <c r="U248" s="13">
        <f t="shared" si="84"/>
        <v>8.3299999999999999E-2</v>
      </c>
      <c r="V248" s="6">
        <f t="shared" si="85"/>
        <v>1.75</v>
      </c>
      <c r="W248" s="44">
        <f t="shared" si="86"/>
        <v>584.9</v>
      </c>
      <c r="X248" s="15">
        <f t="shared" si="87"/>
        <v>7.9170000000000004E-2</v>
      </c>
      <c r="Y248" s="13">
        <f t="shared" si="88"/>
        <v>2.3586</v>
      </c>
      <c r="Z248" s="6">
        <f t="shared" si="89"/>
        <v>198.4</v>
      </c>
      <c r="AA248" s="6">
        <f t="shared" si="90"/>
        <v>9.66</v>
      </c>
      <c r="AB248" s="6">
        <f t="shared" si="91"/>
        <v>132.34</v>
      </c>
      <c r="AC248" s="6">
        <f t="shared" si="92"/>
        <v>126.81</v>
      </c>
    </row>
    <row r="249" spans="1:29" x14ac:dyDescent="0.25">
      <c r="A249" s="34">
        <v>35765</v>
      </c>
      <c r="B249" s="34">
        <f t="shared" si="75"/>
        <v>35826</v>
      </c>
      <c r="C249">
        <v>7318.6</v>
      </c>
      <c r="D249" s="13">
        <f t="shared" si="76"/>
        <v>5.7999999999999996E-3</v>
      </c>
      <c r="E249">
        <v>7.12</v>
      </c>
      <c r="F249">
        <v>6.7</v>
      </c>
      <c r="G249">
        <v>4.4000000000000004</v>
      </c>
      <c r="H249" s="13">
        <f t="shared" si="77"/>
        <v>6.0000000000000001E-3</v>
      </c>
      <c r="I249">
        <v>1566</v>
      </c>
      <c r="J249" s="13">
        <f t="shared" si="78"/>
        <v>1.7399999999999999E-2</v>
      </c>
      <c r="K249">
        <v>4920000</v>
      </c>
      <c r="L249" s="13">
        <f t="shared" si="79"/>
        <v>2E-3</v>
      </c>
      <c r="M249">
        <v>793</v>
      </c>
      <c r="N249">
        <f t="shared" si="80"/>
        <v>820</v>
      </c>
      <c r="O249" s="13">
        <f t="shared" si="81"/>
        <v>3.4000000000000002E-2</v>
      </c>
      <c r="P249">
        <v>145900</v>
      </c>
      <c r="Q249" s="13">
        <f t="shared" si="82"/>
        <v>0</v>
      </c>
      <c r="R249">
        <v>86.662999999999997</v>
      </c>
      <c r="S249" s="13">
        <f t="shared" si="83"/>
        <v>3.8E-3</v>
      </c>
      <c r="T249">
        <v>60</v>
      </c>
      <c r="U249" s="13">
        <f t="shared" si="84"/>
        <v>0</v>
      </c>
      <c r="V249" s="6">
        <f t="shared" si="85"/>
        <v>1.08</v>
      </c>
      <c r="W249" s="44">
        <f t="shared" si="86"/>
        <v>583.57000000000005</v>
      </c>
      <c r="X249" s="15">
        <f t="shared" si="87"/>
        <v>7.9740000000000005E-2</v>
      </c>
      <c r="Y249" s="13">
        <f t="shared" si="88"/>
        <v>2.3683000000000001</v>
      </c>
      <c r="Z249" s="6">
        <f t="shared" si="89"/>
        <v>190.43</v>
      </c>
      <c r="AA249" s="6">
        <f t="shared" si="90"/>
        <v>10.73</v>
      </c>
      <c r="AB249" s="6">
        <f t="shared" si="91"/>
        <v>127.54</v>
      </c>
      <c r="AC249" s="6">
        <f t="shared" si="92"/>
        <v>122.2</v>
      </c>
    </row>
    <row r="250" spans="1:29" x14ac:dyDescent="0.25">
      <c r="A250" s="34">
        <v>35735</v>
      </c>
      <c r="B250" s="34">
        <f t="shared" si="75"/>
        <v>35795</v>
      </c>
      <c r="C250">
        <v>7276.1</v>
      </c>
      <c r="D250" s="13">
        <f t="shared" si="76"/>
        <v>7.1999999999999998E-3</v>
      </c>
      <c r="E250">
        <v>6.99</v>
      </c>
      <c r="F250">
        <v>6.57</v>
      </c>
      <c r="G250">
        <v>3.9</v>
      </c>
      <c r="H250" s="13">
        <f t="shared" si="77"/>
        <v>-2.9100000000000001E-2</v>
      </c>
      <c r="I250">
        <v>1510</v>
      </c>
      <c r="J250" s="13">
        <f t="shared" si="78"/>
        <v>2.2000000000000001E-3</v>
      </c>
      <c r="K250">
        <v>4910000</v>
      </c>
      <c r="L250" s="13">
        <f t="shared" si="79"/>
        <v>2E-3</v>
      </c>
      <c r="M250">
        <v>864</v>
      </c>
      <c r="N250">
        <f t="shared" si="80"/>
        <v>820</v>
      </c>
      <c r="O250" s="13">
        <f t="shared" si="81"/>
        <v>4.7300000000000002E-2</v>
      </c>
      <c r="P250">
        <v>145000</v>
      </c>
      <c r="Q250" s="13">
        <f t="shared" si="82"/>
        <v>0</v>
      </c>
      <c r="R250">
        <v>86.177999999999997</v>
      </c>
      <c r="S250" s="13">
        <f t="shared" si="83"/>
        <v>3.0999999999999999E-3</v>
      </c>
      <c r="T250">
        <v>60</v>
      </c>
      <c r="U250" s="13">
        <f t="shared" si="84"/>
        <v>3.4500000000000003E-2</v>
      </c>
      <c r="V250" s="6">
        <f t="shared" si="85"/>
        <v>1.5</v>
      </c>
      <c r="W250" s="44">
        <f t="shared" si="86"/>
        <v>572.77</v>
      </c>
      <c r="X250" s="15">
        <f t="shared" si="87"/>
        <v>7.8719999999999998E-2</v>
      </c>
      <c r="Y250" s="13">
        <f t="shared" si="88"/>
        <v>2.3687999999999998</v>
      </c>
      <c r="Z250" s="6">
        <f t="shared" si="89"/>
        <v>181.56</v>
      </c>
      <c r="AA250" s="6">
        <f t="shared" si="90"/>
        <v>7.22</v>
      </c>
      <c r="AB250" s="6">
        <f t="shared" si="91"/>
        <v>120.54</v>
      </c>
      <c r="AC250" s="6">
        <f t="shared" si="92"/>
        <v>118.71</v>
      </c>
    </row>
    <row r="251" spans="1:29" x14ac:dyDescent="0.25">
      <c r="A251" s="34">
        <v>35704</v>
      </c>
      <c r="B251" s="34">
        <f t="shared" si="75"/>
        <v>35764</v>
      </c>
      <c r="C251">
        <v>7224.3</v>
      </c>
      <c r="D251" s="13">
        <f t="shared" si="76"/>
        <v>6.6E-3</v>
      </c>
      <c r="E251">
        <v>7.17</v>
      </c>
      <c r="F251">
        <v>6.73</v>
      </c>
      <c r="G251">
        <v>4.3</v>
      </c>
      <c r="H251" s="13">
        <f t="shared" si="77"/>
        <v>-5.7999999999999996E-3</v>
      </c>
      <c r="I251">
        <v>1520</v>
      </c>
      <c r="J251" s="13">
        <f t="shared" si="78"/>
        <v>1.0699999999999999E-2</v>
      </c>
      <c r="K251">
        <v>4900000</v>
      </c>
      <c r="L251" s="13">
        <f t="shared" si="79"/>
        <v>2.0999999999999999E-3</v>
      </c>
      <c r="M251">
        <v>800</v>
      </c>
      <c r="N251">
        <f t="shared" si="80"/>
        <v>802</v>
      </c>
      <c r="O251" s="13">
        <f t="shared" si="81"/>
        <v>1.9099999999999999E-2</v>
      </c>
      <c r="P251">
        <v>141500</v>
      </c>
      <c r="Q251" s="13">
        <f t="shared" si="82"/>
        <v>6.9999999999999999E-4</v>
      </c>
      <c r="R251">
        <v>85.882000000000005</v>
      </c>
      <c r="S251" s="13">
        <f t="shared" si="83"/>
        <v>2.8999999999999998E-3</v>
      </c>
      <c r="T251">
        <v>58</v>
      </c>
      <c r="U251" s="13">
        <f t="shared" si="84"/>
        <v>-1.6899999999999998E-2</v>
      </c>
      <c r="V251" s="6">
        <f>ROUND(T251-AVERAGE(T252:T256),2)</f>
        <v>0.6</v>
      </c>
      <c r="W251" s="44">
        <f t="shared" si="86"/>
        <v>581.21</v>
      </c>
      <c r="X251" s="15">
        <f t="shared" si="87"/>
        <v>8.0449999999999994E-2</v>
      </c>
      <c r="Y251" s="13">
        <f t="shared" si="88"/>
        <v>2.3776000000000002</v>
      </c>
      <c r="Z251" s="6">
        <f t="shared" si="89"/>
        <v>179.55</v>
      </c>
      <c r="AA251" s="6">
        <f t="shared" si="90"/>
        <v>5.16</v>
      </c>
      <c r="AB251" s="6">
        <f t="shared" si="91"/>
        <v>118.51</v>
      </c>
      <c r="AC251" s="6">
        <f t="shared" si="92"/>
        <v>114.78</v>
      </c>
    </row>
    <row r="252" spans="1:29" x14ac:dyDescent="0.25">
      <c r="A252" s="34">
        <v>35674</v>
      </c>
      <c r="B252" s="34">
        <f t="shared" si="75"/>
        <v>35734</v>
      </c>
      <c r="C252">
        <v>7177.1</v>
      </c>
      <c r="D252" s="13">
        <f t="shared" si="76"/>
        <v>5.4000000000000003E-3</v>
      </c>
      <c r="E252">
        <v>7.21</v>
      </c>
      <c r="F252">
        <v>6.76</v>
      </c>
      <c r="G252">
        <v>4.2</v>
      </c>
      <c r="H252" s="13">
        <f t="shared" si="77"/>
        <v>-2.2599999999999999E-2</v>
      </c>
      <c r="I252">
        <v>1546</v>
      </c>
      <c r="J252" s="13">
        <f t="shared" si="78"/>
        <v>7.4000000000000003E-3</v>
      </c>
      <c r="K252">
        <v>4890000</v>
      </c>
      <c r="L252" s="13">
        <f t="shared" si="79"/>
        <v>2.0999999999999999E-3</v>
      </c>
      <c r="M252">
        <v>840</v>
      </c>
      <c r="N252">
        <f t="shared" si="80"/>
        <v>793</v>
      </c>
      <c r="O252" s="13">
        <f t="shared" si="81"/>
        <v>2.06E-2</v>
      </c>
      <c r="P252">
        <v>146300</v>
      </c>
      <c r="Q252" s="13">
        <f t="shared" si="82"/>
        <v>-5.1000000000000004E-3</v>
      </c>
      <c r="R252">
        <v>85.605000000000004</v>
      </c>
      <c r="S252" s="13">
        <f t="shared" si="83"/>
        <v>2.8E-3</v>
      </c>
      <c r="T252">
        <v>59</v>
      </c>
      <c r="U252" s="13">
        <f t="shared" si="84"/>
        <v>0</v>
      </c>
      <c r="V252" s="6">
        <f>ROUND(T252-AVERAGE(T253:T256),2)</f>
        <v>2</v>
      </c>
      <c r="W252" s="44">
        <f t="shared" si="86"/>
        <v>581.66</v>
      </c>
      <c r="X252" s="15">
        <f t="shared" si="87"/>
        <v>8.1040000000000001E-2</v>
      </c>
      <c r="Y252" s="13">
        <f t="shared" si="88"/>
        <v>2.3855</v>
      </c>
      <c r="Z252" s="6">
        <f t="shared" si="89"/>
        <v>178.59</v>
      </c>
      <c r="AA252" s="6">
        <f t="shared" si="90"/>
        <v>2.81</v>
      </c>
      <c r="AB252" s="6">
        <f t="shared" si="91"/>
        <v>117.07</v>
      </c>
      <c r="AC252" s="6">
        <f t="shared" si="92"/>
        <v>113.67</v>
      </c>
    </row>
    <row r="253" spans="1:29" x14ac:dyDescent="0.25">
      <c r="A253" s="34">
        <v>35643</v>
      </c>
      <c r="B253" s="34">
        <f t="shared" si="75"/>
        <v>35703</v>
      </c>
      <c r="C253">
        <v>7138.2</v>
      </c>
      <c r="D253" s="13">
        <f t="shared" si="76"/>
        <v>6.7000000000000002E-3</v>
      </c>
      <c r="E253">
        <v>7.28</v>
      </c>
      <c r="F253">
        <v>6.86</v>
      </c>
      <c r="G253">
        <v>4.3</v>
      </c>
      <c r="H253" s="13">
        <f t="shared" si="77"/>
        <v>-2.2100000000000002E-2</v>
      </c>
      <c r="I253">
        <v>1390</v>
      </c>
      <c r="J253" s="13">
        <f t="shared" si="78"/>
        <v>-9.1999999999999998E-3</v>
      </c>
      <c r="K253">
        <v>4880000</v>
      </c>
      <c r="L253" s="13">
        <f t="shared" si="79"/>
        <v>2.0999999999999999E-3</v>
      </c>
      <c r="M253">
        <v>815</v>
      </c>
      <c r="N253">
        <f t="shared" si="80"/>
        <v>791</v>
      </c>
      <c r="O253" s="13">
        <f t="shared" si="81"/>
        <v>3.6700000000000003E-2</v>
      </c>
      <c r="P253">
        <v>144000</v>
      </c>
      <c r="Q253" s="13">
        <f t="shared" si="82"/>
        <v>-5.4999999999999997E-3</v>
      </c>
      <c r="R253">
        <v>85.364999999999995</v>
      </c>
      <c r="S253" s="13">
        <f t="shared" si="83"/>
        <v>2.5999999999999999E-3</v>
      </c>
      <c r="T253">
        <v>59</v>
      </c>
      <c r="U253" s="13">
        <f t="shared" si="84"/>
        <v>1.72E-2</v>
      </c>
      <c r="V253" s="6">
        <f>ROUND(T253-AVERAGE(T254:T256),2)</f>
        <v>2.67</v>
      </c>
      <c r="W253" s="44">
        <f t="shared" si="86"/>
        <v>584.08000000000004</v>
      </c>
      <c r="X253" s="15">
        <f t="shared" si="87"/>
        <v>8.1820000000000004E-2</v>
      </c>
      <c r="Y253" s="13">
        <f t="shared" si="88"/>
        <v>2.3917999999999999</v>
      </c>
      <c r="Z253" s="6">
        <f t="shared" si="89"/>
        <v>169.12</v>
      </c>
      <c r="AA253" s="6">
        <f t="shared" si="90"/>
        <v>-3.36</v>
      </c>
      <c r="AB253" s="6">
        <f t="shared" si="91"/>
        <v>108.75</v>
      </c>
      <c r="AC253" s="6">
        <f t="shared" si="92"/>
        <v>112.24</v>
      </c>
    </row>
    <row r="254" spans="1:29" x14ac:dyDescent="0.25">
      <c r="A254" s="34">
        <v>35612</v>
      </c>
      <c r="B254" s="34">
        <f t="shared" si="75"/>
        <v>35673</v>
      </c>
      <c r="C254">
        <v>7090.6</v>
      </c>
      <c r="D254" s="13">
        <f t="shared" si="76"/>
        <v>5.1000000000000004E-3</v>
      </c>
      <c r="E254">
        <v>7.58</v>
      </c>
      <c r="F254">
        <v>7.12</v>
      </c>
      <c r="G254">
        <v>4.4000000000000004</v>
      </c>
      <c r="H254" s="13">
        <f t="shared" si="77"/>
        <v>1.6899999999999998E-2</v>
      </c>
      <c r="I254">
        <v>1437</v>
      </c>
      <c r="J254" s="13">
        <f t="shared" si="78"/>
        <v>-6.6E-3</v>
      </c>
      <c r="K254">
        <v>4870000</v>
      </c>
      <c r="L254" s="13">
        <f t="shared" si="79"/>
        <v>2.0999999999999999E-3</v>
      </c>
      <c r="M254">
        <v>805</v>
      </c>
      <c r="N254">
        <f t="shared" si="80"/>
        <v>789</v>
      </c>
      <c r="O254" s="13">
        <f t="shared" si="81"/>
        <v>3.95E-2</v>
      </c>
      <c r="P254">
        <v>145900</v>
      </c>
      <c r="Q254" s="13">
        <f t="shared" si="82"/>
        <v>4.0000000000000001E-3</v>
      </c>
      <c r="R254">
        <v>85.113999999999905</v>
      </c>
      <c r="S254" s="13">
        <f t="shared" si="83"/>
        <v>2.7000000000000001E-3</v>
      </c>
      <c r="T254">
        <v>58</v>
      </c>
      <c r="U254" s="13">
        <f t="shared" si="84"/>
        <v>5.45E-2</v>
      </c>
      <c r="V254" s="6">
        <f>ROUND(T254-AVERAGE(T255:T256),2)</f>
        <v>2.5</v>
      </c>
      <c r="W254" s="44">
        <f t="shared" si="86"/>
        <v>599.79999999999995</v>
      </c>
      <c r="X254" s="15">
        <f t="shared" si="87"/>
        <v>8.4589999999999999E-2</v>
      </c>
      <c r="Y254" s="13">
        <f t="shared" si="88"/>
        <v>2.4007999999999998</v>
      </c>
      <c r="Z254" s="6">
        <f t="shared" si="89"/>
        <v>178.4</v>
      </c>
      <c r="AA254" s="6">
        <f t="shared" si="90"/>
        <v>-2.2000000000000002</v>
      </c>
      <c r="AB254" s="6">
        <f t="shared" si="91"/>
        <v>115.19</v>
      </c>
      <c r="AC254" s="6">
        <f t="shared" si="92"/>
        <v>112.36</v>
      </c>
    </row>
    <row r="255" spans="1:29" x14ac:dyDescent="0.25">
      <c r="A255" s="34">
        <v>35582</v>
      </c>
      <c r="B255" s="34">
        <f t="shared" si="75"/>
        <v>35642</v>
      </c>
      <c r="C255">
        <v>7054.9</v>
      </c>
      <c r="D255" s="13">
        <f t="shared" si="76"/>
        <v>4.8999999999999998E-3</v>
      </c>
      <c r="E255">
        <v>7.43</v>
      </c>
      <c r="F255">
        <v>6.98</v>
      </c>
      <c r="G255">
        <v>4.4000000000000004</v>
      </c>
      <c r="H255" s="13">
        <f t="shared" si="77"/>
        <v>-5.5999999999999999E-3</v>
      </c>
      <c r="I255">
        <v>1494</v>
      </c>
      <c r="J255" s="13">
        <f t="shared" si="78"/>
        <v>1.9199999999999998E-2</v>
      </c>
      <c r="K255">
        <v>4860000</v>
      </c>
      <c r="L255" s="13">
        <f t="shared" si="79"/>
        <v>2.0999999999999999E-3</v>
      </c>
      <c r="M255">
        <v>793</v>
      </c>
      <c r="N255">
        <f t="shared" si="80"/>
        <v>793</v>
      </c>
      <c r="O255" s="13">
        <f t="shared" si="81"/>
        <v>4.07E-2</v>
      </c>
      <c r="P255">
        <v>145000</v>
      </c>
      <c r="Q255" s="13">
        <f t="shared" si="82"/>
        <v>0</v>
      </c>
      <c r="R255">
        <v>84.896000000000001</v>
      </c>
      <c r="S255" s="13">
        <f t="shared" si="83"/>
        <v>2.7000000000000001E-3</v>
      </c>
      <c r="T255">
        <v>55</v>
      </c>
      <c r="U255" s="13">
        <f t="shared" si="84"/>
        <v>-1.7899999999999999E-2</v>
      </c>
      <c r="V255" s="6">
        <f>ROUND(T255-AVERAGE(T256:T256),2)</f>
        <v>-1</v>
      </c>
      <c r="W255" s="44">
        <f t="shared" si="86"/>
        <v>589.54</v>
      </c>
      <c r="X255" s="15">
        <f t="shared" si="87"/>
        <v>8.3559999999999995E-2</v>
      </c>
      <c r="Y255" s="13">
        <f t="shared" si="88"/>
        <v>2.4066999999999998</v>
      </c>
      <c r="Z255" s="6">
        <f t="shared" si="89"/>
        <v>176.55</v>
      </c>
      <c r="AA255" s="6">
        <f t="shared" si="90"/>
        <v>-5.63</v>
      </c>
      <c r="AB255" s="6">
        <f t="shared" si="91"/>
        <v>112.79</v>
      </c>
      <c r="AC255" s="6">
        <f t="shared" si="92"/>
        <v>110.57</v>
      </c>
    </row>
    <row r="256" spans="1:29" x14ac:dyDescent="0.25">
      <c r="A256" s="34">
        <v>35551</v>
      </c>
      <c r="B256" s="34">
        <f t="shared" si="75"/>
        <v>35611</v>
      </c>
      <c r="C256">
        <v>7020.4</v>
      </c>
      <c r="D256" s="13">
        <f t="shared" si="76"/>
        <v>4.1000000000000003E-3</v>
      </c>
      <c r="E256">
        <v>7.58</v>
      </c>
      <c r="F256">
        <v>7.13</v>
      </c>
      <c r="G256">
        <v>4.5999999999999996</v>
      </c>
      <c r="H256" s="13">
        <f t="shared" si="77"/>
        <v>-5.5999999999999999E-3</v>
      </c>
      <c r="I256">
        <v>1442</v>
      </c>
      <c r="J256" s="13">
        <f t="shared" si="78"/>
        <v>1.01E-2</v>
      </c>
      <c r="K256">
        <v>4850000</v>
      </c>
      <c r="L256" s="13">
        <f t="shared" si="79"/>
        <v>2.0999999999999999E-3</v>
      </c>
      <c r="M256">
        <v>760</v>
      </c>
      <c r="N256">
        <f t="shared" si="80"/>
        <v>795</v>
      </c>
      <c r="O256" s="13">
        <f t="shared" si="81"/>
        <v>5.5800000000000002E-2</v>
      </c>
      <c r="P256">
        <v>141000</v>
      </c>
      <c r="Q256" s="13">
        <f t="shared" si="82"/>
        <v>-5.3E-3</v>
      </c>
      <c r="R256">
        <v>84.653999999999996</v>
      </c>
      <c r="S256" s="13">
        <f t="shared" si="83"/>
        <v>2.7000000000000001E-3</v>
      </c>
      <c r="T256">
        <v>56</v>
      </c>
      <c r="U256" s="13">
        <f t="shared" si="84"/>
        <v>1.8200000000000001E-2</v>
      </c>
      <c r="V256" s="6">
        <f t="shared" ref="V256:V319" si="93">ROUND(T256-AVERAGE(T257:T257),2)</f>
        <v>1</v>
      </c>
      <c r="W256" s="44">
        <f t="shared" ref="W256:W319" si="94">ROUND(PMT((E256*0.01)/12,360,R256*1000)*-1,2)</f>
        <v>596.55999999999995</v>
      </c>
      <c r="X256" s="15">
        <f t="shared" ref="X256:X319" si="95">ROUND(W256/C256,5)</f>
        <v>8.498E-2</v>
      </c>
      <c r="Y256" s="13">
        <f t="shared" si="88"/>
        <v>2.4117000000000002</v>
      </c>
      <c r="Z256" s="6">
        <f t="shared" si="89"/>
        <v>174.55</v>
      </c>
      <c r="AA256" s="6">
        <f t="shared" si="90"/>
        <v>-12.49</v>
      </c>
      <c r="AB256" s="6">
        <f t="shared" si="91"/>
        <v>109.09</v>
      </c>
      <c r="AC256" s="6">
        <f t="shared" si="92"/>
        <v>109.16</v>
      </c>
    </row>
    <row r="257" spans="1:29" x14ac:dyDescent="0.25">
      <c r="A257" s="34">
        <v>35521</v>
      </c>
      <c r="B257" s="34">
        <f t="shared" si="75"/>
        <v>35581</v>
      </c>
      <c r="C257">
        <v>6991.4</v>
      </c>
      <c r="D257" s="13">
        <f t="shared" si="76"/>
        <v>1.8E-3</v>
      </c>
      <c r="E257">
        <v>7.94</v>
      </c>
      <c r="F257">
        <v>7.47</v>
      </c>
      <c r="G257">
        <v>4.7</v>
      </c>
      <c r="H257" s="13">
        <f t="shared" si="77"/>
        <v>-1.6400000000000001E-2</v>
      </c>
      <c r="I257">
        <v>1492</v>
      </c>
      <c r="J257" s="13">
        <f t="shared" si="78"/>
        <v>4.0000000000000002E-4</v>
      </c>
      <c r="K257">
        <v>4840000</v>
      </c>
      <c r="L257" s="13">
        <f t="shared" si="79"/>
        <v>2.0999999999999999E-3</v>
      </c>
      <c r="M257">
        <v>744</v>
      </c>
      <c r="N257">
        <f t="shared" si="80"/>
        <v>797</v>
      </c>
      <c r="O257" s="13">
        <f t="shared" si="81"/>
        <v>7.1199999999999999E-2</v>
      </c>
      <c r="P257">
        <v>150000</v>
      </c>
      <c r="Q257" s="13">
        <f t="shared" si="82"/>
        <v>8.9999999999999993E-3</v>
      </c>
      <c r="R257">
        <v>84.477000000000004</v>
      </c>
      <c r="S257" s="13">
        <f t="shared" si="83"/>
        <v>2.7000000000000001E-3</v>
      </c>
      <c r="T257">
        <v>55</v>
      </c>
      <c r="U257" s="13">
        <f t="shared" si="84"/>
        <v>0</v>
      </c>
      <c r="V257" s="6">
        <f t="shared" si="93"/>
        <v>0</v>
      </c>
      <c r="W257" s="44">
        <f t="shared" si="94"/>
        <v>616.33000000000004</v>
      </c>
      <c r="X257" s="15">
        <f t="shared" si="95"/>
        <v>8.8160000000000002E-2</v>
      </c>
      <c r="Y257" s="13">
        <f t="shared" si="88"/>
        <v>2.4165999999999999</v>
      </c>
      <c r="Z257" s="6">
        <f t="shared" si="89"/>
        <v>177.09</v>
      </c>
      <c r="AA257" s="6">
        <f t="shared" si="90"/>
        <v>-15.08</v>
      </c>
      <c r="AB257" s="6">
        <f t="shared" si="91"/>
        <v>109.83</v>
      </c>
      <c r="AC257" s="6">
        <f t="shared" si="92"/>
        <v>108.69</v>
      </c>
    </row>
    <row r="258" spans="1:29" x14ac:dyDescent="0.25">
      <c r="A258" s="34">
        <v>35490</v>
      </c>
      <c r="B258" s="34">
        <f t="shared" si="75"/>
        <v>35550</v>
      </c>
      <c r="C258">
        <v>6978.7</v>
      </c>
      <c r="D258" s="13">
        <f t="shared" si="76"/>
        <v>5.8999999999999999E-3</v>
      </c>
      <c r="E258">
        <v>8.08</v>
      </c>
      <c r="F258">
        <v>7.62</v>
      </c>
      <c r="G258">
        <v>4.0999999999999996</v>
      </c>
      <c r="H258" s="13">
        <f t="shared" si="77"/>
        <v>-5.67E-2</v>
      </c>
      <c r="I258">
        <v>1457</v>
      </c>
      <c r="J258" s="13">
        <f t="shared" si="78"/>
        <v>9.1999999999999998E-3</v>
      </c>
      <c r="K258">
        <v>4830000</v>
      </c>
      <c r="L258" s="13">
        <f t="shared" si="79"/>
        <v>2.0999999999999999E-3</v>
      </c>
      <c r="M258">
        <v>831</v>
      </c>
      <c r="N258">
        <f t="shared" si="80"/>
        <v>793</v>
      </c>
      <c r="O258" s="13">
        <f t="shared" si="81"/>
        <v>7.8899999999999998E-2</v>
      </c>
      <c r="P258">
        <v>148000</v>
      </c>
      <c r="Q258" s="13">
        <f t="shared" si="82"/>
        <v>5.7999999999999996E-3</v>
      </c>
      <c r="R258">
        <v>84.207999999999998</v>
      </c>
      <c r="S258" s="13">
        <f t="shared" si="83"/>
        <v>2.3999999999999998E-3</v>
      </c>
      <c r="T258">
        <v>55</v>
      </c>
      <c r="U258" s="13">
        <f t="shared" si="84"/>
        <v>0</v>
      </c>
      <c r="V258" s="6">
        <f t="shared" si="93"/>
        <v>0</v>
      </c>
      <c r="W258" s="44">
        <f t="shared" si="94"/>
        <v>622.59</v>
      </c>
      <c r="X258" s="15">
        <f t="shared" si="95"/>
        <v>8.9209999999999998E-2</v>
      </c>
      <c r="Y258" s="13">
        <f t="shared" si="88"/>
        <v>2.4133</v>
      </c>
      <c r="Z258" s="6">
        <f t="shared" si="89"/>
        <v>174.25</v>
      </c>
      <c r="AA258" s="6">
        <f t="shared" si="90"/>
        <v>-13.47</v>
      </c>
      <c r="AB258" s="6">
        <f t="shared" si="91"/>
        <v>108.55</v>
      </c>
      <c r="AC258" s="6">
        <f t="shared" si="92"/>
        <v>105.83</v>
      </c>
    </row>
    <row r="259" spans="1:29" x14ac:dyDescent="0.25">
      <c r="A259" s="34">
        <v>35462</v>
      </c>
      <c r="B259" s="34">
        <f t="shared" si="75"/>
        <v>35520</v>
      </c>
      <c r="C259">
        <v>6938.1</v>
      </c>
      <c r="D259" s="13">
        <f t="shared" si="76"/>
        <v>5.3E-3</v>
      </c>
      <c r="E259">
        <v>7.97</v>
      </c>
      <c r="F259">
        <v>7.48</v>
      </c>
      <c r="G259">
        <v>4.5</v>
      </c>
      <c r="H259" s="13">
        <f t="shared" si="77"/>
        <v>-5.3699999999999998E-2</v>
      </c>
      <c r="I259">
        <v>1486</v>
      </c>
      <c r="J259" s="13">
        <f t="shared" si="78"/>
        <v>1.6000000000000001E-3</v>
      </c>
      <c r="K259">
        <v>4820000</v>
      </c>
      <c r="L259" s="13">
        <f t="shared" si="79"/>
        <v>2.0999999999999999E-3</v>
      </c>
      <c r="M259">
        <v>801</v>
      </c>
      <c r="N259">
        <f t="shared" si="80"/>
        <v>783</v>
      </c>
      <c r="O259" s="13">
        <f t="shared" si="81"/>
        <v>6.8199999999999997E-2</v>
      </c>
      <c r="P259">
        <v>143000</v>
      </c>
      <c r="Q259" s="13">
        <f t="shared" si="82"/>
        <v>5.5999999999999999E-3</v>
      </c>
      <c r="R259">
        <v>83.983999999999995</v>
      </c>
      <c r="S259" s="13">
        <f t="shared" si="83"/>
        <v>2.0999999999999999E-3</v>
      </c>
      <c r="T259">
        <v>55</v>
      </c>
      <c r="U259" s="13">
        <f t="shared" si="84"/>
        <v>0</v>
      </c>
      <c r="V259" s="6">
        <f t="shared" si="93"/>
        <v>0</v>
      </c>
      <c r="W259" s="44">
        <f t="shared" si="94"/>
        <v>614.49</v>
      </c>
      <c r="X259" s="15">
        <f t="shared" si="95"/>
        <v>8.8569999999999996E-2</v>
      </c>
      <c r="Y259" s="13">
        <f t="shared" si="88"/>
        <v>2.4209999999999998</v>
      </c>
      <c r="Z259" s="6">
        <f t="shared" si="89"/>
        <v>170.68</v>
      </c>
      <c r="AA259" s="6">
        <f t="shared" si="90"/>
        <v>-9.3000000000000007</v>
      </c>
      <c r="AB259" s="6">
        <f t="shared" si="91"/>
        <v>107.69</v>
      </c>
      <c r="AC259" s="6">
        <f t="shared" si="92"/>
        <v>104.08</v>
      </c>
    </row>
    <row r="260" spans="1:29" x14ac:dyDescent="0.25">
      <c r="A260" s="34">
        <v>35431</v>
      </c>
      <c r="B260" s="34">
        <f t="shared" si="75"/>
        <v>35489</v>
      </c>
      <c r="C260">
        <v>6901.2</v>
      </c>
      <c r="D260" s="13">
        <f t="shared" si="76"/>
        <v>7.1999999999999998E-3</v>
      </c>
      <c r="E260">
        <v>7.65</v>
      </c>
      <c r="F260">
        <v>7.15</v>
      </c>
      <c r="G260">
        <v>4.7</v>
      </c>
      <c r="H260" s="13">
        <f t="shared" si="77"/>
        <v>-2.3800000000000002E-2</v>
      </c>
      <c r="I260">
        <v>1355</v>
      </c>
      <c r="J260" s="13">
        <f t="shared" si="78"/>
        <v>-2.7699999999999999E-2</v>
      </c>
      <c r="K260">
        <v>4810000</v>
      </c>
      <c r="L260" s="13">
        <f t="shared" si="79"/>
        <v>2.0999999999999999E-3</v>
      </c>
      <c r="M260">
        <v>830</v>
      </c>
      <c r="N260">
        <f t="shared" si="80"/>
        <v>787</v>
      </c>
      <c r="O260" s="13">
        <f t="shared" si="81"/>
        <v>9.4600000000000004E-2</v>
      </c>
      <c r="P260">
        <v>145000</v>
      </c>
      <c r="Q260" s="13">
        <f t="shared" si="82"/>
        <v>1.1299999999999999E-2</v>
      </c>
      <c r="R260">
        <v>83.747999999999905</v>
      </c>
      <c r="S260" s="13">
        <f t="shared" si="83"/>
        <v>1.9E-3</v>
      </c>
      <c r="T260">
        <v>55</v>
      </c>
      <c r="U260" s="13">
        <f t="shared" si="84"/>
        <v>0</v>
      </c>
      <c r="V260" s="6">
        <f t="shared" si="93"/>
        <v>0</v>
      </c>
      <c r="W260" s="44">
        <f t="shared" si="94"/>
        <v>594.20000000000005</v>
      </c>
      <c r="X260" s="15">
        <f t="shared" si="95"/>
        <v>8.6099999999999996E-2</v>
      </c>
      <c r="Y260" s="13">
        <f t="shared" si="88"/>
        <v>2.4270999999999998</v>
      </c>
      <c r="Z260" s="6">
        <f t="shared" si="89"/>
        <v>163.69999999999999</v>
      </c>
      <c r="AA260" s="6">
        <f t="shared" si="90"/>
        <v>-14.69</v>
      </c>
      <c r="AB260" s="6">
        <f t="shared" si="91"/>
        <v>101.26</v>
      </c>
      <c r="AC260" s="6">
        <f t="shared" si="92"/>
        <v>104.33</v>
      </c>
    </row>
    <row r="261" spans="1:29" x14ac:dyDescent="0.25">
      <c r="A261" s="34">
        <v>35400</v>
      </c>
      <c r="B261" s="34">
        <f t="shared" si="75"/>
        <v>35461</v>
      </c>
      <c r="C261">
        <v>6852.1</v>
      </c>
      <c r="D261" s="13">
        <f t="shared" si="76"/>
        <v>5.1000000000000004E-3</v>
      </c>
      <c r="E261">
        <v>7.88</v>
      </c>
      <c r="F261">
        <v>7.38</v>
      </c>
      <c r="G261">
        <v>5</v>
      </c>
      <c r="H261" s="13">
        <f t="shared" si="77"/>
        <v>0</v>
      </c>
      <c r="I261">
        <v>1370</v>
      </c>
      <c r="J261" s="13">
        <f t="shared" si="78"/>
        <v>-1.38E-2</v>
      </c>
      <c r="K261">
        <v>4800000</v>
      </c>
      <c r="L261" s="13">
        <f t="shared" si="79"/>
        <v>2.0999999999999999E-3</v>
      </c>
      <c r="M261">
        <v>805</v>
      </c>
      <c r="N261">
        <f t="shared" si="80"/>
        <v>777</v>
      </c>
      <c r="O261" s="13">
        <f t="shared" si="81"/>
        <v>9.1300000000000006E-2</v>
      </c>
      <c r="P261">
        <v>144900</v>
      </c>
      <c r="Q261" s="13">
        <f t="shared" si="82"/>
        <v>1E-3</v>
      </c>
      <c r="R261">
        <v>83.581000000000003</v>
      </c>
      <c r="S261" s="13">
        <f t="shared" si="83"/>
        <v>1.9E-3</v>
      </c>
      <c r="T261">
        <v>55</v>
      </c>
      <c r="U261" s="13">
        <f t="shared" si="84"/>
        <v>0</v>
      </c>
      <c r="V261" s="6">
        <f t="shared" si="93"/>
        <v>0</v>
      </c>
      <c r="W261" s="44">
        <f t="shared" si="94"/>
        <v>606.30999999999995</v>
      </c>
      <c r="X261" s="15">
        <f t="shared" si="95"/>
        <v>8.8489999999999999E-2</v>
      </c>
      <c r="Y261" s="13">
        <f t="shared" si="88"/>
        <v>2.4396</v>
      </c>
      <c r="Z261" s="6">
        <f t="shared" si="89"/>
        <v>165.6</v>
      </c>
      <c r="AA261" s="6">
        <f t="shared" si="90"/>
        <v>-12.4</v>
      </c>
      <c r="AB261" s="6">
        <f t="shared" si="91"/>
        <v>103.3</v>
      </c>
      <c r="AC261" s="6">
        <f t="shared" si="92"/>
        <v>104.58</v>
      </c>
    </row>
    <row r="262" spans="1:29" x14ac:dyDescent="0.25">
      <c r="A262" s="34">
        <v>35370</v>
      </c>
      <c r="B262" s="34">
        <f t="shared" ref="B262:B321" si="96">EOMONTH(A262+40,0)</f>
        <v>35430</v>
      </c>
      <c r="C262">
        <v>6817.2</v>
      </c>
      <c r="D262" s="13">
        <f t="shared" ref="D262:D325" si="97">ROUND((C262-C263)/C263,4)</f>
        <v>5.0000000000000001E-3</v>
      </c>
      <c r="E262">
        <v>7.64</v>
      </c>
      <c r="F262">
        <v>7.16</v>
      </c>
      <c r="G262">
        <v>5.2</v>
      </c>
      <c r="H262" s="13">
        <f t="shared" ref="H262:H325" si="98">ROUND((AVERAGE(G262:G265)-AVERAGE(G263:G266))/AVERAGE(G263:G266),4)</f>
        <v>-2.3300000000000001E-2</v>
      </c>
      <c r="I262">
        <v>1489</v>
      </c>
      <c r="J262" s="13">
        <f t="shared" ref="J262:J325" si="99">ROUND((AVERAGE(I262:I266)-AVERAGE(I263:I267))/AVERAGE(I263:I267),4)</f>
        <v>3.0000000000000001E-3</v>
      </c>
      <c r="K262">
        <v>4790000</v>
      </c>
      <c r="L262" s="13">
        <f t="shared" ref="L262:L320" si="100">ROUND((AVERAGE(K262:K266)-AVERAGE(K263:K267))/AVERAGE(K263:K267),4)</f>
        <v>2.0999999999999999E-3</v>
      </c>
      <c r="M262">
        <v>771</v>
      </c>
      <c r="N262">
        <f t="shared" ref="N262:N325" si="101">ROUND(AVERAGE(M262:M267),0)</f>
        <v>763</v>
      </c>
      <c r="O262" s="13">
        <f t="shared" ref="O262:O325" si="102">ROUND((N262/N271)-1,4)</f>
        <v>8.2299999999999998E-2</v>
      </c>
      <c r="P262">
        <v>143500</v>
      </c>
      <c r="Q262" s="13">
        <f t="shared" ref="Q262:Q325" si="103">ROUND((AVERAGE(P262:P266)-AVERAGE(P263:P267))/AVERAGE(P263:P267),4)</f>
        <v>5.0000000000000001E-3</v>
      </c>
      <c r="R262">
        <v>83.406000000000006</v>
      </c>
      <c r="S262" s="13">
        <f t="shared" ref="S262:S325" si="104">ROUND((AVERAGE(R262:R265)-AVERAGE(R263:R266))/AVERAGE(R263:R266),4)</f>
        <v>1.9E-3</v>
      </c>
      <c r="T262">
        <v>55</v>
      </c>
      <c r="U262" s="13">
        <f t="shared" ref="U262:U320" si="105">ROUND((T262-T263)/T263,4)</f>
        <v>0</v>
      </c>
      <c r="V262" s="6">
        <f t="shared" si="93"/>
        <v>0</v>
      </c>
      <c r="W262" s="44">
        <f t="shared" si="94"/>
        <v>591.20000000000005</v>
      </c>
      <c r="X262" s="15">
        <f t="shared" si="95"/>
        <v>8.6720000000000005E-2</v>
      </c>
      <c r="Y262" s="13">
        <f t="shared" ref="Y262:Y296" si="106">ROUND(((R262*1000)*0.2)/C262,4)</f>
        <v>2.4468999999999999</v>
      </c>
      <c r="Z262" s="6">
        <f t="shared" ref="Z262:Z324" si="107">ROUND((T262)+(V262*1.45)+(S262*2000)+(Q262*400)-(G262*2)+(H262*100)+(L262*400)+(I262/25)+(J262*300)+(K262/100000)+(N262/100)+(O262*100),2)</f>
        <v>173.13</v>
      </c>
      <c r="AA262" s="6">
        <f t="shared" ref="AA262:AA321" si="108">ROUND(((2.5-Y262)*100)+(((0.0775-X263)*100)*20),2)</f>
        <v>-11.73</v>
      </c>
      <c r="AB262" s="6">
        <f t="shared" ref="AB262:AB324" si="109">ROUND((Z262*0.65)+(AA262*0.35),2)</f>
        <v>108.43</v>
      </c>
      <c r="AC262" s="6">
        <f t="shared" ref="AC262:AC322" si="110">IF(ROUND(AVERAGE(AB262:AB264),2)&lt;0,0,ROUND(AVERAGE(AB262:AB264),2))</f>
        <v>103.44</v>
      </c>
    </row>
    <row r="263" spans="1:29" x14ac:dyDescent="0.25">
      <c r="A263" s="34">
        <v>35339</v>
      </c>
      <c r="B263" s="34">
        <f t="shared" si="96"/>
        <v>35399</v>
      </c>
      <c r="C263">
        <v>6783</v>
      </c>
      <c r="D263" s="13">
        <f t="shared" si="97"/>
        <v>3.2000000000000002E-3</v>
      </c>
      <c r="E263">
        <v>7.52</v>
      </c>
      <c r="F263">
        <v>7.04</v>
      </c>
      <c r="G263">
        <v>5.6</v>
      </c>
      <c r="H263" s="13">
        <f t="shared" si="98"/>
        <v>-1.83E-2</v>
      </c>
      <c r="I263">
        <v>1392</v>
      </c>
      <c r="J263" s="13">
        <f t="shared" si="99"/>
        <v>-1.4999999999999999E-2</v>
      </c>
      <c r="K263">
        <v>4780000</v>
      </c>
      <c r="L263" s="13">
        <f t="shared" si="100"/>
        <v>2.0999999999999999E-3</v>
      </c>
      <c r="M263">
        <v>720</v>
      </c>
      <c r="N263">
        <f t="shared" si="101"/>
        <v>759</v>
      </c>
      <c r="O263" s="13">
        <f t="shared" si="102"/>
        <v>9.3700000000000006E-2</v>
      </c>
      <c r="P263">
        <v>143800</v>
      </c>
      <c r="Q263" s="13">
        <f t="shared" si="103"/>
        <v>1.0500000000000001E-2</v>
      </c>
      <c r="R263">
        <v>83.286000000000001</v>
      </c>
      <c r="S263" s="13">
        <f t="shared" si="104"/>
        <v>2E-3</v>
      </c>
      <c r="T263">
        <v>55</v>
      </c>
      <c r="U263" s="13">
        <f t="shared" si="105"/>
        <v>0</v>
      </c>
      <c r="V263" s="6">
        <f t="shared" si="93"/>
        <v>0</v>
      </c>
      <c r="W263" s="44">
        <f t="shared" si="94"/>
        <v>583.49</v>
      </c>
      <c r="X263" s="15">
        <f t="shared" si="95"/>
        <v>8.6019999999999999E-2</v>
      </c>
      <c r="Y263" s="13">
        <f t="shared" si="106"/>
        <v>2.4557000000000002</v>
      </c>
      <c r="Z263" s="6">
        <f t="shared" si="107"/>
        <v>166.95</v>
      </c>
      <c r="AA263" s="6">
        <f t="shared" si="108"/>
        <v>-18.59</v>
      </c>
      <c r="AB263" s="6">
        <f t="shared" si="109"/>
        <v>102.01</v>
      </c>
      <c r="AC263" s="6">
        <f t="shared" si="110"/>
        <v>102.46</v>
      </c>
    </row>
    <row r="264" spans="1:29" x14ac:dyDescent="0.25">
      <c r="A264" s="34">
        <v>35309</v>
      </c>
      <c r="B264" s="34">
        <f t="shared" si="96"/>
        <v>35369</v>
      </c>
      <c r="C264">
        <v>6761.1</v>
      </c>
      <c r="D264" s="13">
        <f t="shared" si="97"/>
        <v>5.7000000000000002E-3</v>
      </c>
      <c r="E264">
        <v>7.86</v>
      </c>
      <c r="F264">
        <v>7.37</v>
      </c>
      <c r="G264">
        <v>5.2</v>
      </c>
      <c r="H264" s="13">
        <f t="shared" si="98"/>
        <v>-3.1E-2</v>
      </c>
      <c r="I264">
        <v>1475</v>
      </c>
      <c r="J264" s="13">
        <f t="shared" si="99"/>
        <v>-5.4999999999999997E-3</v>
      </c>
      <c r="K264">
        <v>4770000</v>
      </c>
      <c r="L264" s="13">
        <f t="shared" si="100"/>
        <v>2.0999999999999999E-3</v>
      </c>
      <c r="M264">
        <v>770</v>
      </c>
      <c r="N264">
        <f t="shared" si="101"/>
        <v>762</v>
      </c>
      <c r="O264" s="13">
        <f t="shared" si="102"/>
        <v>8.5500000000000007E-2</v>
      </c>
      <c r="P264">
        <v>139000</v>
      </c>
      <c r="Q264" s="13">
        <f t="shared" si="103"/>
        <v>-1.4E-3</v>
      </c>
      <c r="R264">
        <v>83.116</v>
      </c>
      <c r="S264" s="13">
        <f t="shared" si="104"/>
        <v>2E-3</v>
      </c>
      <c r="T264">
        <v>55</v>
      </c>
      <c r="U264" s="13">
        <f t="shared" si="105"/>
        <v>0</v>
      </c>
      <c r="V264" s="6">
        <f t="shared" si="93"/>
        <v>0</v>
      </c>
      <c r="W264" s="44">
        <f t="shared" si="94"/>
        <v>601.78</v>
      </c>
      <c r="X264" s="15">
        <f t="shared" si="95"/>
        <v>8.9010000000000006E-2</v>
      </c>
      <c r="Y264" s="13">
        <f t="shared" si="106"/>
        <v>2.4586999999999999</v>
      </c>
      <c r="Z264" s="6">
        <f t="shared" si="107"/>
        <v>167</v>
      </c>
      <c r="AA264" s="6">
        <f t="shared" si="108"/>
        <v>-24.73</v>
      </c>
      <c r="AB264" s="6">
        <f t="shared" si="109"/>
        <v>99.89</v>
      </c>
      <c r="AC264" s="6">
        <f t="shared" si="110"/>
        <v>101.77</v>
      </c>
    </row>
    <row r="265" spans="1:29" x14ac:dyDescent="0.25">
      <c r="A265" s="34">
        <v>35278</v>
      </c>
      <c r="B265" s="34">
        <f t="shared" si="96"/>
        <v>35338</v>
      </c>
      <c r="C265">
        <v>6722.5</v>
      </c>
      <c r="D265" s="13">
        <f t="shared" si="97"/>
        <v>4.3E-3</v>
      </c>
      <c r="E265">
        <v>8.16</v>
      </c>
      <c r="F265">
        <v>7.68</v>
      </c>
      <c r="G265">
        <v>5</v>
      </c>
      <c r="H265" s="13">
        <f t="shared" si="98"/>
        <v>-4.24E-2</v>
      </c>
      <c r="I265">
        <v>1557</v>
      </c>
      <c r="J265" s="13">
        <f t="shared" si="99"/>
        <v>1.7999999999999999E-2</v>
      </c>
      <c r="K265">
        <v>4760000</v>
      </c>
      <c r="L265" s="13">
        <f t="shared" si="100"/>
        <v>2.0999999999999999E-3</v>
      </c>
      <c r="M265">
        <v>826</v>
      </c>
      <c r="N265">
        <f t="shared" si="101"/>
        <v>753</v>
      </c>
      <c r="O265" s="13">
        <f t="shared" si="102"/>
        <v>6.8099999999999994E-2</v>
      </c>
      <c r="P265">
        <v>137000</v>
      </c>
      <c r="Q265" s="13">
        <f t="shared" si="103"/>
        <v>0</v>
      </c>
      <c r="R265">
        <v>82.956999999999994</v>
      </c>
      <c r="S265" s="13">
        <f t="shared" si="104"/>
        <v>2.2000000000000001E-3</v>
      </c>
      <c r="T265">
        <v>55</v>
      </c>
      <c r="U265" s="13">
        <f t="shared" si="105"/>
        <v>0</v>
      </c>
      <c r="V265" s="6">
        <f t="shared" si="93"/>
        <v>0</v>
      </c>
      <c r="W265" s="44">
        <f t="shared" si="94"/>
        <v>617.99</v>
      </c>
      <c r="X265" s="15">
        <f t="shared" si="95"/>
        <v>9.1929999999999998E-2</v>
      </c>
      <c r="Y265" s="13">
        <f t="shared" si="106"/>
        <v>2.468</v>
      </c>
      <c r="Z265" s="6">
        <f t="shared" si="107"/>
        <v>175.62</v>
      </c>
      <c r="AA265" s="6">
        <f t="shared" si="108"/>
        <v>-24.82</v>
      </c>
      <c r="AB265" s="6">
        <f t="shared" si="109"/>
        <v>105.47</v>
      </c>
      <c r="AC265" s="6">
        <f t="shared" si="110"/>
        <v>103.17</v>
      </c>
    </row>
    <row r="266" spans="1:29" x14ac:dyDescent="0.25">
      <c r="A266" s="34">
        <v>35247</v>
      </c>
      <c r="B266" s="34">
        <f t="shared" si="96"/>
        <v>35308</v>
      </c>
      <c r="C266">
        <v>6694</v>
      </c>
      <c r="D266" s="13">
        <f t="shared" si="97"/>
        <v>1E-4</v>
      </c>
      <c r="E266">
        <v>8.09</v>
      </c>
      <c r="F266">
        <v>7.6</v>
      </c>
      <c r="G266">
        <v>5.7</v>
      </c>
      <c r="H266" s="13">
        <f t="shared" si="98"/>
        <v>-2.07E-2</v>
      </c>
      <c r="I266">
        <v>1472</v>
      </c>
      <c r="J266" s="13">
        <f t="shared" si="99"/>
        <v>-2.5999999999999999E-3</v>
      </c>
      <c r="K266">
        <v>4750000</v>
      </c>
      <c r="L266" s="13">
        <f t="shared" si="100"/>
        <v>2.0999999999999999E-3</v>
      </c>
      <c r="M266">
        <v>770</v>
      </c>
      <c r="N266">
        <f t="shared" si="101"/>
        <v>744</v>
      </c>
      <c r="O266" s="13">
        <f t="shared" si="102"/>
        <v>5.2299999999999999E-2</v>
      </c>
      <c r="P266">
        <v>144200</v>
      </c>
      <c r="Q266" s="13">
        <f t="shared" si="103"/>
        <v>6.8999999999999999E-3</v>
      </c>
      <c r="R266">
        <v>82.777999999999906</v>
      </c>
      <c r="S266" s="13">
        <f t="shared" si="104"/>
        <v>2.3999999999999998E-3</v>
      </c>
      <c r="T266">
        <v>55</v>
      </c>
      <c r="U266" s="13">
        <f t="shared" si="105"/>
        <v>0</v>
      </c>
      <c r="V266" s="6">
        <f t="shared" si="93"/>
        <v>0</v>
      </c>
      <c r="W266" s="44">
        <f t="shared" si="94"/>
        <v>612.6</v>
      </c>
      <c r="X266" s="15">
        <f t="shared" si="95"/>
        <v>9.1509999999999994E-2</v>
      </c>
      <c r="Y266" s="13">
        <f t="shared" si="106"/>
        <v>2.4731999999999998</v>
      </c>
      <c r="Z266" s="6">
        <f t="shared" si="107"/>
        <v>168.2</v>
      </c>
      <c r="AA266" s="6">
        <f t="shared" si="108"/>
        <v>-26.78</v>
      </c>
      <c r="AB266" s="6">
        <f t="shared" si="109"/>
        <v>99.96</v>
      </c>
      <c r="AC266" s="6">
        <f t="shared" si="110"/>
        <v>101.76</v>
      </c>
    </row>
    <row r="267" spans="1:29" x14ac:dyDescent="0.25">
      <c r="A267" s="34">
        <v>35217</v>
      </c>
      <c r="B267" s="34">
        <f t="shared" si="96"/>
        <v>35277</v>
      </c>
      <c r="C267">
        <v>6693</v>
      </c>
      <c r="D267" s="13">
        <f t="shared" si="97"/>
        <v>6.7000000000000002E-3</v>
      </c>
      <c r="E267">
        <v>8.19</v>
      </c>
      <c r="F267">
        <v>7.71</v>
      </c>
      <c r="G267">
        <v>6</v>
      </c>
      <c r="H267" s="13">
        <f t="shared" si="98"/>
        <v>2.9899999999999999E-2</v>
      </c>
      <c r="I267">
        <v>1467</v>
      </c>
      <c r="J267" s="13">
        <f t="shared" si="99"/>
        <v>0</v>
      </c>
      <c r="K267">
        <v>4740000</v>
      </c>
      <c r="L267" s="13">
        <f t="shared" si="100"/>
        <v>2.0999999999999999E-3</v>
      </c>
      <c r="M267">
        <v>721</v>
      </c>
      <c r="N267">
        <f t="shared" si="101"/>
        <v>735</v>
      </c>
      <c r="O267" s="13">
        <f t="shared" si="102"/>
        <v>5.91E-2</v>
      </c>
      <c r="P267">
        <v>140000</v>
      </c>
      <c r="Q267" s="13">
        <f t="shared" si="103"/>
        <v>1.18E-2</v>
      </c>
      <c r="R267">
        <v>82.632000000000005</v>
      </c>
      <c r="S267" s="13">
        <f t="shared" si="104"/>
        <v>2.3999999999999998E-3</v>
      </c>
      <c r="T267">
        <v>55</v>
      </c>
      <c r="U267" s="13">
        <f t="shared" si="105"/>
        <v>0</v>
      </c>
      <c r="V267" s="6">
        <f t="shared" si="93"/>
        <v>0</v>
      </c>
      <c r="W267" s="44">
        <f t="shared" si="94"/>
        <v>617.29999999999995</v>
      </c>
      <c r="X267" s="15">
        <f t="shared" si="95"/>
        <v>9.2230000000000006E-2</v>
      </c>
      <c r="Y267" s="13">
        <f t="shared" si="106"/>
        <v>2.4691999999999998</v>
      </c>
      <c r="Z267" s="6">
        <f t="shared" si="107"/>
        <v>175.69</v>
      </c>
      <c r="AA267" s="6">
        <f t="shared" si="108"/>
        <v>-28.94</v>
      </c>
      <c r="AB267" s="6">
        <f t="shared" si="109"/>
        <v>104.07</v>
      </c>
      <c r="AC267" s="6">
        <f t="shared" si="110"/>
        <v>103.2</v>
      </c>
    </row>
    <row r="268" spans="1:29" x14ac:dyDescent="0.25">
      <c r="A268" s="34">
        <v>35186</v>
      </c>
      <c r="B268" s="34">
        <f t="shared" si="96"/>
        <v>35246</v>
      </c>
      <c r="C268">
        <v>6648.4</v>
      </c>
      <c r="D268" s="13">
        <f t="shared" si="97"/>
        <v>6.1000000000000004E-3</v>
      </c>
      <c r="E268">
        <v>8.2899999999999991</v>
      </c>
      <c r="F268">
        <v>7.82</v>
      </c>
      <c r="G268">
        <v>5.9</v>
      </c>
      <c r="H268" s="13">
        <f t="shared" si="98"/>
        <v>-2.0899999999999998E-2</v>
      </c>
      <c r="I268">
        <v>1504</v>
      </c>
      <c r="J268" s="13">
        <f t="shared" si="99"/>
        <v>0.01</v>
      </c>
      <c r="K268">
        <v>4730000</v>
      </c>
      <c r="L268" s="13">
        <f t="shared" si="100"/>
        <v>2.0999999999999999E-3</v>
      </c>
      <c r="M268">
        <v>746</v>
      </c>
      <c r="N268">
        <f t="shared" si="101"/>
        <v>733</v>
      </c>
      <c r="O268" s="13">
        <f t="shared" si="102"/>
        <v>7.1599999999999997E-2</v>
      </c>
      <c r="P268">
        <v>136500</v>
      </c>
      <c r="Q268" s="13">
        <f t="shared" si="103"/>
        <v>-3.0999999999999999E-3</v>
      </c>
      <c r="R268">
        <v>82.444000000000003</v>
      </c>
      <c r="S268" s="13">
        <f t="shared" si="104"/>
        <v>2.0999999999999999E-3</v>
      </c>
      <c r="T268">
        <v>55</v>
      </c>
      <c r="U268" s="13">
        <f t="shared" si="105"/>
        <v>0</v>
      </c>
      <c r="V268" s="6">
        <f t="shared" si="93"/>
        <v>0</v>
      </c>
      <c r="W268" s="44">
        <f t="shared" si="94"/>
        <v>621.69000000000005</v>
      </c>
      <c r="X268" s="15">
        <f t="shared" si="95"/>
        <v>9.3509999999999996E-2</v>
      </c>
      <c r="Y268" s="13">
        <f t="shared" si="106"/>
        <v>2.4801000000000002</v>
      </c>
      <c r="Z268" s="6">
        <f t="shared" si="107"/>
        <v>169.86</v>
      </c>
      <c r="AA268" s="6">
        <f t="shared" si="108"/>
        <v>-26.13</v>
      </c>
      <c r="AB268" s="6">
        <f t="shared" si="109"/>
        <v>101.26</v>
      </c>
      <c r="AC268" s="6">
        <f t="shared" si="110"/>
        <v>102.71</v>
      </c>
    </row>
    <row r="269" spans="1:29" x14ac:dyDescent="0.25">
      <c r="A269" s="34">
        <v>35156</v>
      </c>
      <c r="B269" s="34">
        <f t="shared" si="96"/>
        <v>35216</v>
      </c>
      <c r="C269">
        <v>6608.1</v>
      </c>
      <c r="D269" s="13">
        <f t="shared" si="97"/>
        <v>5.7000000000000002E-3</v>
      </c>
      <c r="E269">
        <v>8.0299999999999994</v>
      </c>
      <c r="F269">
        <v>7.54</v>
      </c>
      <c r="G269">
        <v>6</v>
      </c>
      <c r="H269" s="13">
        <f t="shared" si="98"/>
        <v>-1.6500000000000001E-2</v>
      </c>
      <c r="I269">
        <v>1516</v>
      </c>
      <c r="J269" s="13">
        <f t="shared" si="99"/>
        <v>8.8000000000000005E-3</v>
      </c>
      <c r="K269">
        <v>4720000</v>
      </c>
      <c r="L269" s="13">
        <f t="shared" si="100"/>
        <v>2.0999999999999999E-3</v>
      </c>
      <c r="M269">
        <v>736</v>
      </c>
      <c r="N269">
        <f t="shared" si="101"/>
        <v>719</v>
      </c>
      <c r="O269" s="13">
        <f t="shared" si="102"/>
        <v>8.9399999999999993E-2</v>
      </c>
      <c r="P269">
        <v>140000</v>
      </c>
      <c r="Q269" s="13">
        <f t="shared" si="103"/>
        <v>4.4000000000000003E-3</v>
      </c>
      <c r="R269">
        <v>82.217999999999904</v>
      </c>
      <c r="S269" s="13">
        <f t="shared" si="104"/>
        <v>1.8E-3</v>
      </c>
      <c r="T269">
        <v>55</v>
      </c>
      <c r="U269" s="13">
        <f t="shared" si="105"/>
        <v>0</v>
      </c>
      <c r="V269" s="6">
        <f t="shared" si="93"/>
        <v>0</v>
      </c>
      <c r="W269" s="44">
        <f t="shared" si="94"/>
        <v>605.01</v>
      </c>
      <c r="X269" s="15">
        <f t="shared" si="95"/>
        <v>9.1560000000000002E-2</v>
      </c>
      <c r="Y269" s="13">
        <f t="shared" si="106"/>
        <v>2.4883999999999999</v>
      </c>
      <c r="Z269" s="6">
        <f t="shared" si="107"/>
        <v>174.16</v>
      </c>
      <c r="AA269" s="6">
        <f t="shared" si="108"/>
        <v>-25.54</v>
      </c>
      <c r="AB269" s="6">
        <f t="shared" si="109"/>
        <v>104.27</v>
      </c>
      <c r="AC269" s="6">
        <f t="shared" si="110"/>
        <v>106.22</v>
      </c>
    </row>
    <row r="270" spans="1:29" x14ac:dyDescent="0.25">
      <c r="A270" s="34">
        <v>35125</v>
      </c>
      <c r="B270" s="34">
        <f t="shared" si="96"/>
        <v>35185</v>
      </c>
      <c r="C270">
        <v>6570.9</v>
      </c>
      <c r="D270" s="13">
        <f t="shared" si="97"/>
        <v>6.6E-3</v>
      </c>
      <c r="E270">
        <v>7.92</v>
      </c>
      <c r="F270">
        <v>7.43</v>
      </c>
      <c r="G270">
        <v>6.2</v>
      </c>
      <c r="H270" s="13">
        <f t="shared" si="98"/>
        <v>-2.41E-2</v>
      </c>
      <c r="I270">
        <v>1424</v>
      </c>
      <c r="J270" s="13">
        <f t="shared" si="99"/>
        <v>7.6E-3</v>
      </c>
      <c r="K270">
        <v>4710000</v>
      </c>
      <c r="L270" s="13">
        <f t="shared" si="100"/>
        <v>2.0999999999999999E-3</v>
      </c>
      <c r="M270">
        <v>721</v>
      </c>
      <c r="N270">
        <f t="shared" si="101"/>
        <v>712</v>
      </c>
      <c r="O270" s="13">
        <f t="shared" si="102"/>
        <v>0.1177</v>
      </c>
      <c r="P270">
        <v>137000</v>
      </c>
      <c r="Q270" s="13">
        <f t="shared" si="103"/>
        <v>2.5999999999999999E-3</v>
      </c>
      <c r="R270">
        <v>81.980999999999995</v>
      </c>
      <c r="S270" s="13">
        <f t="shared" si="104"/>
        <v>1.5E-3</v>
      </c>
      <c r="T270">
        <v>55</v>
      </c>
      <c r="U270" s="13">
        <f t="shared" si="105"/>
        <v>0</v>
      </c>
      <c r="V270" s="6">
        <f t="shared" si="93"/>
        <v>0</v>
      </c>
      <c r="W270" s="44">
        <f t="shared" si="94"/>
        <v>596.98</v>
      </c>
      <c r="X270" s="15">
        <f t="shared" si="95"/>
        <v>9.085E-2</v>
      </c>
      <c r="Y270" s="13">
        <f t="shared" si="106"/>
        <v>2.4952999999999999</v>
      </c>
      <c r="Z270" s="6">
        <f t="shared" si="107"/>
        <v>170.3</v>
      </c>
      <c r="AA270" s="6">
        <f t="shared" si="108"/>
        <v>-23.17</v>
      </c>
      <c r="AB270" s="6">
        <f t="shared" si="109"/>
        <v>102.59</v>
      </c>
      <c r="AC270" s="6">
        <f t="shared" si="110"/>
        <v>106.93</v>
      </c>
    </row>
    <row r="271" spans="1:29" x14ac:dyDescent="0.25">
      <c r="A271" s="34">
        <v>35096</v>
      </c>
      <c r="B271" s="34">
        <f t="shared" si="96"/>
        <v>35155</v>
      </c>
      <c r="C271">
        <v>6528.1</v>
      </c>
      <c r="D271" s="13">
        <f t="shared" si="97"/>
        <v>9.9000000000000008E-3</v>
      </c>
      <c r="E271">
        <v>7.69</v>
      </c>
      <c r="F271">
        <v>7.19</v>
      </c>
      <c r="G271">
        <v>5.3</v>
      </c>
      <c r="H271" s="13">
        <f t="shared" si="98"/>
        <v>-3.8600000000000002E-2</v>
      </c>
      <c r="I271">
        <v>1491</v>
      </c>
      <c r="J271" s="13">
        <f t="shared" si="99"/>
        <v>1.72E-2</v>
      </c>
      <c r="K271">
        <v>4700000</v>
      </c>
      <c r="L271" s="13">
        <f t="shared" si="100"/>
        <v>2.0999999999999999E-3</v>
      </c>
      <c r="M271">
        <v>769</v>
      </c>
      <c r="N271">
        <f t="shared" si="101"/>
        <v>705</v>
      </c>
      <c r="O271" s="13">
        <f t="shared" si="102"/>
        <v>0.1353</v>
      </c>
      <c r="P271">
        <v>139400</v>
      </c>
      <c r="Q271" s="13">
        <f t="shared" si="103"/>
        <v>1.4E-2</v>
      </c>
      <c r="R271">
        <v>81.858999999999995</v>
      </c>
      <c r="S271" s="13">
        <f t="shared" si="104"/>
        <v>1.6000000000000001E-3</v>
      </c>
      <c r="T271">
        <v>55</v>
      </c>
      <c r="U271" s="13">
        <f t="shared" si="105"/>
        <v>0</v>
      </c>
      <c r="V271" s="6">
        <f t="shared" si="93"/>
        <v>0</v>
      </c>
      <c r="W271" s="44">
        <f t="shared" si="94"/>
        <v>583.05999999999995</v>
      </c>
      <c r="X271" s="15">
        <f t="shared" si="95"/>
        <v>8.9319999999999997E-2</v>
      </c>
      <c r="Y271" s="13">
        <f t="shared" si="106"/>
        <v>2.5078999999999998</v>
      </c>
      <c r="Z271" s="6">
        <f t="shared" si="107"/>
        <v>182.56</v>
      </c>
      <c r="AA271" s="6">
        <f t="shared" si="108"/>
        <v>-19.57</v>
      </c>
      <c r="AB271" s="6">
        <f t="shared" si="109"/>
        <v>111.81</v>
      </c>
      <c r="AC271" s="6">
        <f t="shared" si="110"/>
        <v>108.04</v>
      </c>
    </row>
    <row r="272" spans="1:29" x14ac:dyDescent="0.25">
      <c r="A272" s="34">
        <v>35065</v>
      </c>
      <c r="B272" s="34">
        <f t="shared" si="96"/>
        <v>35124</v>
      </c>
      <c r="C272">
        <v>6463.8</v>
      </c>
      <c r="D272" s="13">
        <f t="shared" si="97"/>
        <v>5.7000000000000002E-3</v>
      </c>
      <c r="E272">
        <v>7.32</v>
      </c>
      <c r="F272">
        <v>6.77</v>
      </c>
      <c r="G272">
        <v>6.4</v>
      </c>
      <c r="H272" s="13">
        <f t="shared" si="98"/>
        <v>3.8999999999999998E-3</v>
      </c>
      <c r="I272">
        <v>1467</v>
      </c>
      <c r="J272" s="13">
        <f t="shared" si="99"/>
        <v>7.1999999999999998E-3</v>
      </c>
      <c r="K272">
        <v>4690000</v>
      </c>
      <c r="L272" s="13">
        <f t="shared" si="100"/>
        <v>2.0999999999999999E-3</v>
      </c>
      <c r="M272">
        <v>714</v>
      </c>
      <c r="N272">
        <f t="shared" si="101"/>
        <v>694</v>
      </c>
      <c r="O272" s="13">
        <f t="shared" si="102"/>
        <v>0.12659999999999999</v>
      </c>
      <c r="P272">
        <v>131900</v>
      </c>
      <c r="Q272" s="13">
        <f t="shared" si="103"/>
        <v>-4.4000000000000003E-3</v>
      </c>
      <c r="R272">
        <v>81.760999999999996</v>
      </c>
      <c r="S272" s="13">
        <f t="shared" si="104"/>
        <v>1.9E-3</v>
      </c>
      <c r="T272">
        <v>55</v>
      </c>
      <c r="U272" s="13">
        <f t="shared" si="105"/>
        <v>0</v>
      </c>
      <c r="V272" s="6">
        <f t="shared" si="93"/>
        <v>0</v>
      </c>
      <c r="W272" s="44">
        <f t="shared" si="94"/>
        <v>561.64</v>
      </c>
      <c r="X272" s="15">
        <f t="shared" si="95"/>
        <v>8.6889999999999995E-2</v>
      </c>
      <c r="Y272" s="13">
        <f t="shared" si="106"/>
        <v>2.5297999999999998</v>
      </c>
      <c r="Z272" s="6">
        <f t="shared" si="107"/>
        <v>172.81</v>
      </c>
      <c r="AA272" s="6">
        <f t="shared" si="108"/>
        <v>-17</v>
      </c>
      <c r="AB272" s="6">
        <f t="shared" si="109"/>
        <v>106.38</v>
      </c>
      <c r="AC272" s="6">
        <f t="shared" si="110"/>
        <v>107.42</v>
      </c>
    </row>
    <row r="273" spans="1:29" x14ac:dyDescent="0.25">
      <c r="A273" s="34">
        <v>35034</v>
      </c>
      <c r="B273" s="34">
        <f t="shared" si="96"/>
        <v>35095</v>
      </c>
      <c r="C273">
        <v>6427.4</v>
      </c>
      <c r="D273" s="13">
        <f t="shared" si="97"/>
        <v>3.8E-3</v>
      </c>
      <c r="E273">
        <v>7</v>
      </c>
      <c r="F273">
        <v>6.5</v>
      </c>
      <c r="G273">
        <v>6.4</v>
      </c>
      <c r="H273" s="13">
        <f t="shared" si="98"/>
        <v>1.18E-2</v>
      </c>
      <c r="I273">
        <v>1431</v>
      </c>
      <c r="J273" s="13">
        <f t="shared" si="99"/>
        <v>-4.1999999999999997E-3</v>
      </c>
      <c r="K273">
        <v>4680000</v>
      </c>
      <c r="L273" s="13">
        <f t="shared" si="100"/>
        <v>2.2000000000000001E-3</v>
      </c>
      <c r="M273">
        <v>709</v>
      </c>
      <c r="N273">
        <f t="shared" si="101"/>
        <v>702</v>
      </c>
      <c r="O273" s="13">
        <f t="shared" si="102"/>
        <v>0.1108</v>
      </c>
      <c r="P273">
        <v>138600</v>
      </c>
      <c r="Q273" s="13">
        <f t="shared" si="103"/>
        <v>1.14E-2</v>
      </c>
      <c r="R273">
        <v>81.643000000000001</v>
      </c>
      <c r="S273" s="13">
        <f t="shared" si="104"/>
        <v>2.0999999999999999E-3</v>
      </c>
      <c r="T273">
        <v>55</v>
      </c>
      <c r="U273" s="13">
        <f t="shared" si="105"/>
        <v>0</v>
      </c>
      <c r="V273" s="6">
        <f t="shared" si="93"/>
        <v>0</v>
      </c>
      <c r="W273" s="44">
        <f t="shared" si="94"/>
        <v>543.16999999999996</v>
      </c>
      <c r="X273" s="15">
        <f t="shared" si="95"/>
        <v>8.4510000000000002E-2</v>
      </c>
      <c r="Y273" s="13">
        <f t="shared" si="106"/>
        <v>2.5405000000000002</v>
      </c>
      <c r="Z273" s="6">
        <f t="shared" si="107"/>
        <v>173.9</v>
      </c>
      <c r="AA273" s="6">
        <f t="shared" si="108"/>
        <v>-20.309999999999999</v>
      </c>
      <c r="AB273" s="6">
        <f t="shared" si="109"/>
        <v>105.93</v>
      </c>
      <c r="AC273" s="6">
        <f t="shared" si="110"/>
        <v>105.21</v>
      </c>
    </row>
    <row r="274" spans="1:29" x14ac:dyDescent="0.25">
      <c r="A274" s="34">
        <v>35004</v>
      </c>
      <c r="B274" s="34">
        <f t="shared" si="96"/>
        <v>35064</v>
      </c>
      <c r="C274">
        <v>6403.1</v>
      </c>
      <c r="D274" s="13">
        <f t="shared" si="97"/>
        <v>3.3E-3</v>
      </c>
      <c r="E274">
        <v>7.11</v>
      </c>
      <c r="F274">
        <v>6.65</v>
      </c>
      <c r="G274">
        <v>6.8</v>
      </c>
      <c r="H274" s="13">
        <f t="shared" si="98"/>
        <v>4.9399999999999999E-2</v>
      </c>
      <c r="I274">
        <v>1452</v>
      </c>
      <c r="J274" s="13">
        <f t="shared" si="99"/>
        <v>2.4799999999999999E-2</v>
      </c>
      <c r="K274">
        <v>4670000</v>
      </c>
      <c r="L274" s="13">
        <f t="shared" si="100"/>
        <v>2.2000000000000001E-3</v>
      </c>
      <c r="M274">
        <v>664</v>
      </c>
      <c r="N274">
        <f t="shared" si="101"/>
        <v>705</v>
      </c>
      <c r="O274" s="13">
        <f t="shared" si="102"/>
        <v>9.8100000000000007E-2</v>
      </c>
      <c r="P274">
        <v>137000</v>
      </c>
      <c r="Q274" s="13">
        <f t="shared" si="103"/>
        <v>5.0000000000000001E-3</v>
      </c>
      <c r="R274">
        <v>81.503999999999905</v>
      </c>
      <c r="S274" s="13">
        <f t="shared" si="104"/>
        <v>2.2000000000000001E-3</v>
      </c>
      <c r="T274">
        <v>55</v>
      </c>
      <c r="U274" s="13">
        <f t="shared" si="105"/>
        <v>0</v>
      </c>
      <c r="V274" s="6">
        <f t="shared" si="93"/>
        <v>0</v>
      </c>
      <c r="W274" s="44">
        <f t="shared" si="94"/>
        <v>548.28</v>
      </c>
      <c r="X274" s="15">
        <f t="shared" si="95"/>
        <v>8.5629999999999998E-2</v>
      </c>
      <c r="Y274" s="13">
        <f t="shared" si="106"/>
        <v>2.5457999999999998</v>
      </c>
      <c r="Z274" s="6">
        <f t="shared" si="107"/>
        <v>182.7</v>
      </c>
      <c r="AA274" s="6">
        <f t="shared" si="108"/>
        <v>-25.16</v>
      </c>
      <c r="AB274" s="6">
        <f t="shared" si="109"/>
        <v>109.95</v>
      </c>
      <c r="AC274" s="6">
        <f t="shared" si="110"/>
        <v>101.29</v>
      </c>
    </row>
    <row r="275" spans="1:29" x14ac:dyDescent="0.25">
      <c r="A275" s="34">
        <v>34973</v>
      </c>
      <c r="B275" s="34">
        <f t="shared" si="96"/>
        <v>35033</v>
      </c>
      <c r="C275">
        <v>6382.3</v>
      </c>
      <c r="D275" s="13">
        <f t="shared" si="97"/>
        <v>4.1000000000000003E-3</v>
      </c>
      <c r="E275">
        <v>7.35</v>
      </c>
      <c r="F275">
        <v>6.85</v>
      </c>
      <c r="G275">
        <v>6.3</v>
      </c>
      <c r="H275" s="13">
        <f t="shared" si="98"/>
        <v>2.1000000000000001E-2</v>
      </c>
      <c r="I275">
        <v>1369</v>
      </c>
      <c r="J275" s="13">
        <f t="shared" si="99"/>
        <v>8.0000000000000002E-3</v>
      </c>
      <c r="K275">
        <v>4660000</v>
      </c>
      <c r="L275" s="13">
        <f t="shared" si="100"/>
        <v>2.2000000000000001E-3</v>
      </c>
      <c r="M275">
        <v>696</v>
      </c>
      <c r="N275">
        <f t="shared" si="101"/>
        <v>707</v>
      </c>
      <c r="O275" s="13">
        <f t="shared" si="102"/>
        <v>7.4499999999999997E-2</v>
      </c>
      <c r="P275">
        <v>135200</v>
      </c>
      <c r="Q275" s="13">
        <f t="shared" si="103"/>
        <v>2E-3</v>
      </c>
      <c r="R275">
        <v>81.326999999999998</v>
      </c>
      <c r="S275" s="13">
        <f t="shared" si="104"/>
        <v>1.9E-3</v>
      </c>
      <c r="T275">
        <v>55</v>
      </c>
      <c r="U275" s="13">
        <f t="shared" si="105"/>
        <v>0</v>
      </c>
      <c r="V275" s="6">
        <f t="shared" si="93"/>
        <v>0</v>
      </c>
      <c r="W275" s="44">
        <f t="shared" si="94"/>
        <v>560.32000000000005</v>
      </c>
      <c r="X275" s="15">
        <f t="shared" si="95"/>
        <v>8.7790000000000007E-2</v>
      </c>
      <c r="Y275" s="13">
        <f t="shared" si="106"/>
        <v>2.5485000000000002</v>
      </c>
      <c r="Z275" s="6">
        <f t="shared" si="107"/>
        <v>168.26</v>
      </c>
      <c r="AA275" s="6">
        <f t="shared" si="108"/>
        <v>-27.47</v>
      </c>
      <c r="AB275" s="6">
        <f t="shared" si="109"/>
        <v>99.75</v>
      </c>
      <c r="AC275" s="6">
        <f t="shared" si="110"/>
        <v>96.73</v>
      </c>
    </row>
    <row r="276" spans="1:29" x14ac:dyDescent="0.25">
      <c r="A276" s="34">
        <v>34943</v>
      </c>
      <c r="B276" s="34">
        <f t="shared" si="96"/>
        <v>35003</v>
      </c>
      <c r="C276">
        <v>6356.2</v>
      </c>
      <c r="D276" s="13">
        <f t="shared" si="97"/>
        <v>4.5999999999999999E-3</v>
      </c>
      <c r="E276">
        <v>7.45</v>
      </c>
      <c r="F276">
        <v>7.01</v>
      </c>
      <c r="G276">
        <v>6.3</v>
      </c>
      <c r="H276" s="13">
        <f t="shared" si="98"/>
        <v>0</v>
      </c>
      <c r="I276">
        <v>1369</v>
      </c>
      <c r="J276" s="13">
        <f t="shared" si="99"/>
        <v>1.5100000000000001E-2</v>
      </c>
      <c r="K276">
        <v>4650000</v>
      </c>
      <c r="L276" s="13">
        <f t="shared" si="100"/>
        <v>2.2000000000000001E-3</v>
      </c>
      <c r="M276">
        <v>678</v>
      </c>
      <c r="N276">
        <f t="shared" si="101"/>
        <v>694</v>
      </c>
      <c r="O276" s="13">
        <f t="shared" si="102"/>
        <v>5.3100000000000001E-2</v>
      </c>
      <c r="P276">
        <v>130000</v>
      </c>
      <c r="Q276" s="13">
        <f t="shared" si="103"/>
        <v>-6.0000000000000001E-3</v>
      </c>
      <c r="R276">
        <v>81.128999999999905</v>
      </c>
      <c r="S276" s="13">
        <f t="shared" si="104"/>
        <v>1.4E-3</v>
      </c>
      <c r="T276">
        <v>55</v>
      </c>
      <c r="U276" s="13">
        <f t="shared" si="105"/>
        <v>0</v>
      </c>
      <c r="V276" s="6">
        <f t="shared" si="93"/>
        <v>0</v>
      </c>
      <c r="W276" s="44">
        <f t="shared" si="94"/>
        <v>564.49</v>
      </c>
      <c r="X276" s="15">
        <f t="shared" si="95"/>
        <v>8.881E-2</v>
      </c>
      <c r="Y276" s="13">
        <f t="shared" si="106"/>
        <v>2.5528</v>
      </c>
      <c r="Z276" s="6">
        <f t="shared" si="107"/>
        <v>161.72</v>
      </c>
      <c r="AA276" s="6">
        <f t="shared" si="108"/>
        <v>-31.32</v>
      </c>
      <c r="AB276" s="6">
        <f t="shared" si="109"/>
        <v>94.16</v>
      </c>
      <c r="AC276" s="6">
        <f t="shared" si="110"/>
        <v>93.16</v>
      </c>
    </row>
    <row r="277" spans="1:29" x14ac:dyDescent="0.25">
      <c r="A277" s="34">
        <v>34912</v>
      </c>
      <c r="B277" s="34">
        <f t="shared" si="96"/>
        <v>34972</v>
      </c>
      <c r="C277">
        <v>6327.2</v>
      </c>
      <c r="D277" s="13">
        <f t="shared" si="97"/>
        <v>3.5999999999999999E-3</v>
      </c>
      <c r="E277">
        <v>7.62</v>
      </c>
      <c r="F277">
        <v>7.16</v>
      </c>
      <c r="G277">
        <v>6.1</v>
      </c>
      <c r="H277" s="13">
        <f t="shared" si="98"/>
        <v>-2.46E-2</v>
      </c>
      <c r="I277">
        <v>1416</v>
      </c>
      <c r="J277" s="13">
        <f t="shared" si="99"/>
        <v>2.5399999999999999E-2</v>
      </c>
      <c r="K277">
        <v>4640000</v>
      </c>
      <c r="L277" s="13">
        <f t="shared" si="100"/>
        <v>2.2000000000000001E-3</v>
      </c>
      <c r="M277">
        <v>701</v>
      </c>
      <c r="N277">
        <f t="shared" si="101"/>
        <v>684</v>
      </c>
      <c r="O277" s="13">
        <f t="shared" si="102"/>
        <v>4.1099999999999998E-2</v>
      </c>
      <c r="P277">
        <v>134900</v>
      </c>
      <c r="Q277" s="13">
        <f t="shared" si="103"/>
        <v>7.4000000000000003E-3</v>
      </c>
      <c r="R277">
        <v>80.956000000000003</v>
      </c>
      <c r="S277" s="13">
        <f t="shared" si="104"/>
        <v>1.1000000000000001E-3</v>
      </c>
      <c r="T277">
        <v>55</v>
      </c>
      <c r="U277" s="13">
        <f t="shared" si="105"/>
        <v>0</v>
      </c>
      <c r="V277" s="6">
        <f t="shared" si="93"/>
        <v>0</v>
      </c>
      <c r="W277" s="44">
        <f t="shared" si="94"/>
        <v>572.72</v>
      </c>
      <c r="X277" s="15">
        <f t="shared" si="95"/>
        <v>9.0520000000000003E-2</v>
      </c>
      <c r="Y277" s="13">
        <f t="shared" si="106"/>
        <v>2.5590000000000002</v>
      </c>
      <c r="Z277" s="6">
        <f t="shared" si="107"/>
        <v>167.99</v>
      </c>
      <c r="AA277" s="6">
        <f t="shared" si="108"/>
        <v>-36.86</v>
      </c>
      <c r="AB277" s="6">
        <f t="shared" si="109"/>
        <v>96.29</v>
      </c>
      <c r="AC277" s="6">
        <f t="shared" si="110"/>
        <v>87.87</v>
      </c>
    </row>
    <row r="278" spans="1:29" x14ac:dyDescent="0.25">
      <c r="A278" s="34">
        <v>34881</v>
      </c>
      <c r="B278" s="34">
        <f t="shared" si="96"/>
        <v>34942</v>
      </c>
      <c r="C278">
        <v>6304.3</v>
      </c>
      <c r="D278" s="13">
        <f t="shared" si="97"/>
        <v>4.7000000000000002E-3</v>
      </c>
      <c r="E278">
        <v>7.88</v>
      </c>
      <c r="F278">
        <v>7.39</v>
      </c>
      <c r="G278">
        <v>5.6</v>
      </c>
      <c r="H278" s="13">
        <f t="shared" si="98"/>
        <v>-4.6899999999999997E-2</v>
      </c>
      <c r="I278">
        <v>1461</v>
      </c>
      <c r="J278" s="13">
        <f t="shared" si="99"/>
        <v>2.2599999999999999E-2</v>
      </c>
      <c r="K278">
        <v>4630000</v>
      </c>
      <c r="L278" s="13">
        <f t="shared" si="100"/>
        <v>2.2000000000000001E-3</v>
      </c>
      <c r="M278">
        <v>765</v>
      </c>
      <c r="N278">
        <f t="shared" si="101"/>
        <v>660</v>
      </c>
      <c r="O278" s="13">
        <f t="shared" si="102"/>
        <v>-7.4999999999999997E-3</v>
      </c>
      <c r="P278">
        <v>131000</v>
      </c>
      <c r="Q278" s="13">
        <f t="shared" si="103"/>
        <v>-6.0000000000000001E-3</v>
      </c>
      <c r="R278">
        <v>80.805000000000007</v>
      </c>
      <c r="S278" s="13">
        <f t="shared" si="104"/>
        <v>8.0000000000000004E-4</v>
      </c>
      <c r="T278">
        <v>55</v>
      </c>
      <c r="U278" s="13">
        <f t="shared" si="105"/>
        <v>0</v>
      </c>
      <c r="V278" s="6">
        <f t="shared" si="93"/>
        <v>0</v>
      </c>
      <c r="W278" s="44">
        <f t="shared" si="94"/>
        <v>586.16999999999996</v>
      </c>
      <c r="X278" s="15">
        <f t="shared" si="95"/>
        <v>9.2979999999999993E-2</v>
      </c>
      <c r="Y278" s="13">
        <f t="shared" si="106"/>
        <v>2.5634999999999999</v>
      </c>
      <c r="Z278" s="6">
        <f t="shared" si="107"/>
        <v>156.56</v>
      </c>
      <c r="AA278" s="6">
        <f t="shared" si="108"/>
        <v>-36.369999999999997</v>
      </c>
      <c r="AB278" s="6">
        <f t="shared" si="109"/>
        <v>89.03</v>
      </c>
      <c r="AC278" s="6">
        <f t="shared" si="110"/>
        <v>80.08</v>
      </c>
    </row>
    <row r="279" spans="1:29" x14ac:dyDescent="0.25">
      <c r="A279" s="34">
        <v>34851</v>
      </c>
      <c r="B279" s="34">
        <f t="shared" si="96"/>
        <v>34911</v>
      </c>
      <c r="C279">
        <v>6275.1</v>
      </c>
      <c r="D279" s="13">
        <f t="shared" si="97"/>
        <v>4.7000000000000002E-3</v>
      </c>
      <c r="E279">
        <v>7.79</v>
      </c>
      <c r="F279">
        <v>7.27</v>
      </c>
      <c r="G279">
        <v>5.8</v>
      </c>
      <c r="H279" s="13">
        <f t="shared" si="98"/>
        <v>-5.5399999999999998E-2</v>
      </c>
      <c r="I279">
        <v>1281</v>
      </c>
      <c r="J279" s="13">
        <f t="shared" si="99"/>
        <v>-1.9199999999999998E-2</v>
      </c>
      <c r="K279">
        <v>4620000</v>
      </c>
      <c r="L279" s="13">
        <f t="shared" si="100"/>
        <v>2.2000000000000001E-3</v>
      </c>
      <c r="M279">
        <v>725</v>
      </c>
      <c r="N279">
        <f t="shared" si="101"/>
        <v>637</v>
      </c>
      <c r="O279" s="13">
        <f t="shared" si="102"/>
        <v>-3.6299999999999999E-2</v>
      </c>
      <c r="P279">
        <v>133700</v>
      </c>
      <c r="Q279" s="13">
        <f t="shared" si="103"/>
        <v>8.8000000000000005E-3</v>
      </c>
      <c r="R279">
        <v>80.722999999999999</v>
      </c>
      <c r="S279" s="13">
        <f t="shared" si="104"/>
        <v>8.9999999999999998E-4</v>
      </c>
      <c r="T279">
        <v>55</v>
      </c>
      <c r="U279" s="13">
        <f t="shared" si="105"/>
        <v>0</v>
      </c>
      <c r="V279" s="6">
        <f t="shared" si="93"/>
        <v>0</v>
      </c>
      <c r="W279" s="44">
        <f t="shared" si="94"/>
        <v>580.54</v>
      </c>
      <c r="X279" s="15">
        <f t="shared" si="95"/>
        <v>9.2509999999999995E-2</v>
      </c>
      <c r="Y279" s="13">
        <f t="shared" si="106"/>
        <v>2.5728</v>
      </c>
      <c r="Z279" s="6">
        <f t="shared" si="107"/>
        <v>138.47999999999999</v>
      </c>
      <c r="AA279" s="6">
        <f t="shared" si="108"/>
        <v>-33.46</v>
      </c>
      <c r="AB279" s="6">
        <f t="shared" si="109"/>
        <v>78.3</v>
      </c>
      <c r="AC279" s="6">
        <f t="shared" si="110"/>
        <v>73.14</v>
      </c>
    </row>
    <row r="280" spans="1:29" x14ac:dyDescent="0.25">
      <c r="A280" s="34">
        <v>34820</v>
      </c>
      <c r="B280" s="34">
        <f t="shared" si="96"/>
        <v>34880</v>
      </c>
      <c r="C280">
        <v>6245.8</v>
      </c>
      <c r="D280" s="13">
        <f t="shared" si="97"/>
        <v>2.3E-3</v>
      </c>
      <c r="E280">
        <v>7.53</v>
      </c>
      <c r="F280">
        <v>7.03</v>
      </c>
      <c r="G280">
        <v>6.3</v>
      </c>
      <c r="H280" s="13">
        <f t="shared" si="98"/>
        <v>-1.8100000000000002E-2</v>
      </c>
      <c r="I280">
        <v>1314</v>
      </c>
      <c r="J280" s="13">
        <f t="shared" si="99"/>
        <v>-2.1100000000000001E-2</v>
      </c>
      <c r="K280">
        <v>4610000</v>
      </c>
      <c r="L280" s="13">
        <f t="shared" si="100"/>
        <v>2.2000000000000001E-3</v>
      </c>
      <c r="M280">
        <v>674</v>
      </c>
      <c r="N280">
        <f t="shared" si="101"/>
        <v>621</v>
      </c>
      <c r="O280" s="13">
        <f t="shared" si="102"/>
        <v>-7.7299999999999994E-2</v>
      </c>
      <c r="P280">
        <v>133900</v>
      </c>
      <c r="Q280" s="13">
        <f t="shared" si="103"/>
        <v>-1.6999999999999999E-3</v>
      </c>
      <c r="R280">
        <v>80.680000000000007</v>
      </c>
      <c r="S280" s="13">
        <f t="shared" si="104"/>
        <v>1.1999999999999999E-3</v>
      </c>
      <c r="T280">
        <v>55</v>
      </c>
      <c r="U280" s="13">
        <f t="shared" si="105"/>
        <v>0</v>
      </c>
      <c r="V280" s="6">
        <f t="shared" si="93"/>
        <v>0</v>
      </c>
      <c r="W280" s="44">
        <f t="shared" si="94"/>
        <v>565.78</v>
      </c>
      <c r="X280" s="15">
        <f t="shared" si="95"/>
        <v>9.0590000000000004E-2</v>
      </c>
      <c r="Y280" s="13">
        <f t="shared" si="106"/>
        <v>2.5834999999999999</v>
      </c>
      <c r="Z280" s="6">
        <f t="shared" si="107"/>
        <v>134</v>
      </c>
      <c r="AA280" s="6">
        <f t="shared" si="108"/>
        <v>-40.51</v>
      </c>
      <c r="AB280" s="6">
        <f t="shared" si="109"/>
        <v>72.92</v>
      </c>
      <c r="AC280" s="6">
        <f t="shared" si="110"/>
        <v>69.77</v>
      </c>
    </row>
    <row r="281" spans="1:29" x14ac:dyDescent="0.25">
      <c r="A281" s="34">
        <v>34790</v>
      </c>
      <c r="B281" s="34">
        <f t="shared" si="96"/>
        <v>34850</v>
      </c>
      <c r="C281">
        <v>6231.3</v>
      </c>
      <c r="D281" s="13">
        <f t="shared" si="97"/>
        <v>3.8E-3</v>
      </c>
      <c r="E281">
        <v>7.85</v>
      </c>
      <c r="F281">
        <v>7.4</v>
      </c>
      <c r="G281">
        <v>6.7</v>
      </c>
      <c r="H281" s="13">
        <f t="shared" si="98"/>
        <v>3.5999999999999999E-3</v>
      </c>
      <c r="I281">
        <v>1267</v>
      </c>
      <c r="J281" s="13">
        <f t="shared" si="99"/>
        <v>-3.5200000000000002E-2</v>
      </c>
      <c r="K281">
        <v>4600000</v>
      </c>
      <c r="L281" s="13">
        <f t="shared" si="100"/>
        <v>2.2000000000000001E-3</v>
      </c>
      <c r="M281">
        <v>621</v>
      </c>
      <c r="N281">
        <f t="shared" si="101"/>
        <v>616</v>
      </c>
      <c r="O281" s="13">
        <f t="shared" si="102"/>
        <v>-9.1399999999999995E-2</v>
      </c>
      <c r="P281">
        <v>134000</v>
      </c>
      <c r="Q281" s="13">
        <f t="shared" si="103"/>
        <v>6.1999999999999998E-3</v>
      </c>
      <c r="R281">
        <v>80.616</v>
      </c>
      <c r="S281" s="13">
        <f t="shared" si="104"/>
        <v>1.4E-3</v>
      </c>
      <c r="T281">
        <v>55</v>
      </c>
      <c r="U281" s="13">
        <f t="shared" si="105"/>
        <v>0</v>
      </c>
      <c r="V281" s="6">
        <f t="shared" si="93"/>
        <v>0</v>
      </c>
      <c r="W281" s="44">
        <f t="shared" si="94"/>
        <v>583.12</v>
      </c>
      <c r="X281" s="15">
        <f t="shared" si="95"/>
        <v>9.3579999999999997E-2</v>
      </c>
      <c r="Y281" s="13">
        <f t="shared" si="106"/>
        <v>2.5874999999999999</v>
      </c>
      <c r="Z281" s="6">
        <f t="shared" si="107"/>
        <v>131.26</v>
      </c>
      <c r="AA281" s="6">
        <f t="shared" si="108"/>
        <v>-48.89</v>
      </c>
      <c r="AB281" s="6">
        <f t="shared" si="109"/>
        <v>68.209999999999994</v>
      </c>
      <c r="AC281" s="6">
        <f t="shared" si="110"/>
        <v>69.53</v>
      </c>
    </row>
    <row r="282" spans="1:29" x14ac:dyDescent="0.25">
      <c r="A282" s="34">
        <v>34759</v>
      </c>
      <c r="B282" s="34">
        <f t="shared" si="96"/>
        <v>34819</v>
      </c>
      <c r="C282">
        <v>6207.6</v>
      </c>
      <c r="D282" s="13">
        <f t="shared" si="97"/>
        <v>4.4000000000000003E-3</v>
      </c>
      <c r="E282">
        <v>8.26</v>
      </c>
      <c r="F282">
        <v>7.8</v>
      </c>
      <c r="G282">
        <v>6.8</v>
      </c>
      <c r="H282" s="13">
        <f t="shared" si="98"/>
        <v>1.8499999999999999E-2</v>
      </c>
      <c r="I282">
        <v>1249</v>
      </c>
      <c r="J282" s="13">
        <f t="shared" si="99"/>
        <v>-2.8199999999999999E-2</v>
      </c>
      <c r="K282">
        <v>4590000</v>
      </c>
      <c r="L282" s="13">
        <f t="shared" si="100"/>
        <v>2.2000000000000001E-3</v>
      </c>
      <c r="M282">
        <v>616</v>
      </c>
      <c r="N282">
        <f t="shared" si="101"/>
        <v>632</v>
      </c>
      <c r="O282" s="13">
        <f t="shared" si="102"/>
        <v>-6.5100000000000005E-2</v>
      </c>
      <c r="P282">
        <v>130000</v>
      </c>
      <c r="Q282" s="13">
        <f t="shared" si="103"/>
        <v>-3.0000000000000001E-3</v>
      </c>
      <c r="R282">
        <v>80.546000000000006</v>
      </c>
      <c r="S282" s="13">
        <f t="shared" si="104"/>
        <v>1.5E-3</v>
      </c>
      <c r="T282">
        <v>55</v>
      </c>
      <c r="U282" s="13">
        <f t="shared" si="105"/>
        <v>0</v>
      </c>
      <c r="V282" s="6">
        <f t="shared" si="93"/>
        <v>0</v>
      </c>
      <c r="W282" s="44">
        <f t="shared" si="94"/>
        <v>605.67999999999995</v>
      </c>
      <c r="X282" s="15">
        <f t="shared" si="95"/>
        <v>9.7570000000000004E-2</v>
      </c>
      <c r="Y282" s="13">
        <f t="shared" si="106"/>
        <v>2.5951</v>
      </c>
      <c r="Z282" s="6">
        <f t="shared" si="107"/>
        <v>133.13999999999999</v>
      </c>
      <c r="AA282" s="6">
        <f t="shared" si="108"/>
        <v>-52.45</v>
      </c>
      <c r="AB282" s="6">
        <f t="shared" si="109"/>
        <v>68.180000000000007</v>
      </c>
      <c r="AC282" s="6">
        <f t="shared" si="110"/>
        <v>69.8</v>
      </c>
    </row>
    <row r="283" spans="1:29" x14ac:dyDescent="0.25">
      <c r="A283" s="34">
        <v>34731</v>
      </c>
      <c r="B283" s="34">
        <f t="shared" si="96"/>
        <v>34789</v>
      </c>
      <c r="C283">
        <v>6180.4</v>
      </c>
      <c r="D283" s="13">
        <f t="shared" si="97"/>
        <v>4.0000000000000001E-3</v>
      </c>
      <c r="E283">
        <v>8.3800000000000008</v>
      </c>
      <c r="F283">
        <v>7.96</v>
      </c>
      <c r="G283">
        <v>7.3</v>
      </c>
      <c r="H283" s="13">
        <f t="shared" si="98"/>
        <v>6.7199999999999996E-2</v>
      </c>
      <c r="I283">
        <v>1316</v>
      </c>
      <c r="J283" s="13">
        <f t="shared" si="99"/>
        <v>-2.1700000000000001E-2</v>
      </c>
      <c r="K283">
        <v>4580000</v>
      </c>
      <c r="L283" s="13">
        <f t="shared" si="100"/>
        <v>2.2000000000000001E-3</v>
      </c>
      <c r="M283">
        <v>559</v>
      </c>
      <c r="N283">
        <f t="shared" si="101"/>
        <v>642</v>
      </c>
      <c r="O283" s="13">
        <f t="shared" si="102"/>
        <v>-9.3200000000000005E-2</v>
      </c>
      <c r="P283">
        <v>135000</v>
      </c>
      <c r="Q283" s="13">
        <f t="shared" si="103"/>
        <v>8.0999999999999996E-3</v>
      </c>
      <c r="R283">
        <v>80.436999999999998</v>
      </c>
      <c r="S283" s="13">
        <f t="shared" si="104"/>
        <v>1.6000000000000001E-3</v>
      </c>
      <c r="T283">
        <v>55</v>
      </c>
      <c r="U283" s="13">
        <f t="shared" si="105"/>
        <v>0</v>
      </c>
      <c r="V283" s="6">
        <f t="shared" si="93"/>
        <v>0</v>
      </c>
      <c r="W283" s="44">
        <f t="shared" si="94"/>
        <v>611.66</v>
      </c>
      <c r="X283" s="15">
        <f t="shared" si="95"/>
        <v>9.8970000000000002E-2</v>
      </c>
      <c r="Y283" s="13">
        <f t="shared" si="106"/>
        <v>2.6030000000000002</v>
      </c>
      <c r="Z283" s="6">
        <f t="shared" si="107"/>
        <v>143.47</v>
      </c>
      <c r="AA283" s="6">
        <f t="shared" si="108"/>
        <v>-60.2</v>
      </c>
      <c r="AB283" s="6">
        <f t="shared" si="109"/>
        <v>72.19</v>
      </c>
      <c r="AC283" s="6">
        <f t="shared" si="110"/>
        <v>72.599999999999994</v>
      </c>
    </row>
    <row r="284" spans="1:29" x14ac:dyDescent="0.25">
      <c r="A284" s="34">
        <v>34700</v>
      </c>
      <c r="B284" s="34">
        <f t="shared" si="96"/>
        <v>34758</v>
      </c>
      <c r="C284">
        <v>6155.5</v>
      </c>
      <c r="D284" s="13">
        <f t="shared" si="97"/>
        <v>6.7000000000000002E-3</v>
      </c>
      <c r="E284">
        <v>8.73</v>
      </c>
      <c r="F284">
        <v>8.34</v>
      </c>
      <c r="G284">
        <v>6.8</v>
      </c>
      <c r="H284" s="13">
        <f t="shared" si="98"/>
        <v>3.27E-2</v>
      </c>
      <c r="I284">
        <v>1407</v>
      </c>
      <c r="J284" s="13">
        <f t="shared" si="99"/>
        <v>-5.8999999999999999E-3</v>
      </c>
      <c r="K284">
        <v>4570000</v>
      </c>
      <c r="L284" s="13">
        <f t="shared" si="100"/>
        <v>2.2000000000000001E-3</v>
      </c>
      <c r="M284">
        <v>626</v>
      </c>
      <c r="N284">
        <f t="shared" si="101"/>
        <v>658</v>
      </c>
      <c r="O284" s="13">
        <f t="shared" si="102"/>
        <v>-8.7400000000000005E-2</v>
      </c>
      <c r="P284">
        <v>127900</v>
      </c>
      <c r="Q284" s="13">
        <f t="shared" si="103"/>
        <v>-8.2000000000000007E-3</v>
      </c>
      <c r="R284">
        <v>80.305999999999997</v>
      </c>
      <c r="S284" s="13">
        <f t="shared" si="104"/>
        <v>1.6000000000000001E-3</v>
      </c>
      <c r="T284">
        <v>55</v>
      </c>
      <c r="U284" s="13">
        <f t="shared" si="105"/>
        <v>0</v>
      </c>
      <c r="V284" s="6">
        <f t="shared" si="93"/>
        <v>0</v>
      </c>
      <c r="W284" s="44">
        <f t="shared" si="94"/>
        <v>630.62</v>
      </c>
      <c r="X284" s="15">
        <f t="shared" si="95"/>
        <v>0.10245</v>
      </c>
      <c r="Y284" s="13">
        <f t="shared" si="106"/>
        <v>2.6092</v>
      </c>
      <c r="Z284" s="6">
        <f t="shared" si="107"/>
        <v>143.52000000000001</v>
      </c>
      <c r="AA284" s="6">
        <f t="shared" si="108"/>
        <v>-69.34</v>
      </c>
      <c r="AB284" s="6">
        <f t="shared" si="109"/>
        <v>69.02</v>
      </c>
      <c r="AC284" s="6">
        <f t="shared" si="110"/>
        <v>72.989999999999995</v>
      </c>
    </row>
    <row r="285" spans="1:29" x14ac:dyDescent="0.25">
      <c r="A285" s="34">
        <v>34669</v>
      </c>
      <c r="B285" s="34">
        <f t="shared" si="96"/>
        <v>34730</v>
      </c>
      <c r="C285">
        <v>6114.7</v>
      </c>
      <c r="D285" s="13">
        <f t="shared" si="97"/>
        <v>5.4000000000000003E-3</v>
      </c>
      <c r="E285">
        <v>9.1300000000000008</v>
      </c>
      <c r="F285">
        <v>8.76</v>
      </c>
      <c r="G285">
        <v>6.6</v>
      </c>
      <c r="H285" s="13">
        <f t="shared" si="98"/>
        <v>2.0799999999999999E-2</v>
      </c>
      <c r="I285">
        <v>1455</v>
      </c>
      <c r="J285" s="13">
        <f t="shared" si="99"/>
        <v>2.2000000000000001E-3</v>
      </c>
      <c r="K285">
        <v>4560000</v>
      </c>
      <c r="L285" s="13">
        <f t="shared" si="100"/>
        <v>2.2000000000000001E-3</v>
      </c>
      <c r="M285">
        <v>629</v>
      </c>
      <c r="N285">
        <f t="shared" si="101"/>
        <v>659</v>
      </c>
      <c r="O285" s="13">
        <f t="shared" si="102"/>
        <v>-8.8499999999999995E-2</v>
      </c>
      <c r="P285">
        <v>135000</v>
      </c>
      <c r="Q285" s="13">
        <f t="shared" si="103"/>
        <v>1.6299999999999999E-2</v>
      </c>
      <c r="R285">
        <v>80.16</v>
      </c>
      <c r="S285" s="13">
        <f t="shared" si="104"/>
        <v>1.6999999999999999E-3</v>
      </c>
      <c r="T285">
        <v>55</v>
      </c>
      <c r="U285" s="13">
        <f t="shared" si="105"/>
        <v>0</v>
      </c>
      <c r="V285" s="6">
        <f t="shared" si="93"/>
        <v>0</v>
      </c>
      <c r="W285" s="44">
        <f t="shared" si="94"/>
        <v>652.5</v>
      </c>
      <c r="X285" s="15">
        <f t="shared" si="95"/>
        <v>0.10671</v>
      </c>
      <c r="Y285" s="13">
        <f t="shared" si="106"/>
        <v>2.6219000000000001</v>
      </c>
      <c r="Z285" s="6">
        <f t="shared" si="107"/>
        <v>156.88</v>
      </c>
      <c r="AA285" s="6">
        <f t="shared" si="108"/>
        <v>-72.489999999999995</v>
      </c>
      <c r="AB285" s="6">
        <f t="shared" si="109"/>
        <v>76.599999999999994</v>
      </c>
      <c r="AC285" s="6">
        <f t="shared" si="110"/>
        <v>73.61</v>
      </c>
    </row>
    <row r="286" spans="1:29" x14ac:dyDescent="0.25">
      <c r="A286" s="34">
        <v>34639</v>
      </c>
      <c r="B286" s="34">
        <f t="shared" si="96"/>
        <v>34699</v>
      </c>
      <c r="C286">
        <v>6081.8</v>
      </c>
      <c r="D286" s="13">
        <f t="shared" si="97"/>
        <v>1.6999999999999999E-3</v>
      </c>
      <c r="E286">
        <v>9.18</v>
      </c>
      <c r="F286">
        <v>8.81</v>
      </c>
      <c r="G286">
        <v>6.3</v>
      </c>
      <c r="H286" s="13">
        <f t="shared" si="98"/>
        <v>0</v>
      </c>
      <c r="I286">
        <v>1511</v>
      </c>
      <c r="J286" s="13">
        <f t="shared" si="99"/>
        <v>1.41E-2</v>
      </c>
      <c r="K286">
        <v>4550000</v>
      </c>
      <c r="L286" s="13">
        <f t="shared" si="100"/>
        <v>2.2000000000000001E-3</v>
      </c>
      <c r="M286">
        <v>646</v>
      </c>
      <c r="N286">
        <f t="shared" si="101"/>
        <v>657</v>
      </c>
      <c r="O286" s="13">
        <f t="shared" si="102"/>
        <v>-8.6199999999999999E-2</v>
      </c>
      <c r="P286">
        <v>129900</v>
      </c>
      <c r="Q286" s="13">
        <f t="shared" si="103"/>
        <v>-5.4999999999999997E-3</v>
      </c>
      <c r="R286">
        <v>80.073999999999998</v>
      </c>
      <c r="S286" s="13">
        <f t="shared" si="104"/>
        <v>2E-3</v>
      </c>
      <c r="T286">
        <v>55</v>
      </c>
      <c r="U286" s="13">
        <f t="shared" si="105"/>
        <v>0</v>
      </c>
      <c r="V286" s="6">
        <f t="shared" si="93"/>
        <v>0</v>
      </c>
      <c r="W286" s="44">
        <f t="shared" si="94"/>
        <v>654.69000000000005</v>
      </c>
      <c r="X286" s="15">
        <f t="shared" si="95"/>
        <v>0.10765</v>
      </c>
      <c r="Y286" s="13">
        <f t="shared" si="106"/>
        <v>2.6332</v>
      </c>
      <c r="Z286" s="6">
        <f t="shared" si="107"/>
        <v>153.19999999999999</v>
      </c>
      <c r="AA286" s="6">
        <f t="shared" si="108"/>
        <v>-74.92</v>
      </c>
      <c r="AB286" s="6">
        <f t="shared" si="109"/>
        <v>73.36</v>
      </c>
      <c r="AC286" s="6">
        <f t="shared" si="110"/>
        <v>73.400000000000006</v>
      </c>
    </row>
    <row r="287" spans="1:29" x14ac:dyDescent="0.25">
      <c r="A287" s="34">
        <v>34608</v>
      </c>
      <c r="B287" s="34">
        <f t="shared" si="96"/>
        <v>34668</v>
      </c>
      <c r="C287">
        <v>6071.6</v>
      </c>
      <c r="D287" s="13">
        <f t="shared" si="97"/>
        <v>1.0699999999999999E-2</v>
      </c>
      <c r="E287">
        <v>9.25</v>
      </c>
      <c r="F287">
        <v>8.77</v>
      </c>
      <c r="G287">
        <v>5.6</v>
      </c>
      <c r="H287" s="13">
        <f t="shared" si="98"/>
        <v>-2.4400000000000002E-2</v>
      </c>
      <c r="I287">
        <v>1450</v>
      </c>
      <c r="J287" s="13">
        <f t="shared" si="99"/>
        <v>-1.04E-2</v>
      </c>
      <c r="K287">
        <v>4540000</v>
      </c>
      <c r="L287" s="13">
        <f t="shared" si="100"/>
        <v>2.2000000000000001E-3</v>
      </c>
      <c r="M287">
        <v>715</v>
      </c>
      <c r="N287">
        <f t="shared" si="101"/>
        <v>665</v>
      </c>
      <c r="O287" s="13">
        <f t="shared" si="102"/>
        <v>-6.7299999999999999E-2</v>
      </c>
      <c r="P287">
        <v>132000</v>
      </c>
      <c r="Q287" s="13">
        <f t="shared" si="103"/>
        <v>3.2000000000000002E-3</v>
      </c>
      <c r="R287">
        <v>79.927999999999997</v>
      </c>
      <c r="S287" s="13">
        <f t="shared" si="104"/>
        <v>2.2000000000000001E-3</v>
      </c>
      <c r="T287">
        <v>55</v>
      </c>
      <c r="U287" s="13">
        <f t="shared" si="105"/>
        <v>0</v>
      </c>
      <c r="V287" s="6">
        <f t="shared" si="93"/>
        <v>0</v>
      </c>
      <c r="W287" s="44">
        <f t="shared" si="94"/>
        <v>657.55</v>
      </c>
      <c r="X287" s="15">
        <f t="shared" si="95"/>
        <v>0.10829999999999999</v>
      </c>
      <c r="Y287" s="13">
        <f t="shared" si="106"/>
        <v>2.6328</v>
      </c>
      <c r="Z287" s="6">
        <f t="shared" si="107"/>
        <v>148.12</v>
      </c>
      <c r="AA287" s="6">
        <f t="shared" si="108"/>
        <v>-72.599999999999994</v>
      </c>
      <c r="AB287" s="6">
        <f t="shared" si="109"/>
        <v>70.87</v>
      </c>
      <c r="AC287" s="6">
        <f t="shared" si="110"/>
        <v>74.73</v>
      </c>
    </row>
    <row r="288" spans="1:29" x14ac:dyDescent="0.25">
      <c r="A288" s="34">
        <v>34578</v>
      </c>
      <c r="B288" s="34">
        <f t="shared" si="96"/>
        <v>34638</v>
      </c>
      <c r="C288">
        <v>6007.6</v>
      </c>
      <c r="D288" s="13">
        <f t="shared" si="97"/>
        <v>5.4999999999999997E-3</v>
      </c>
      <c r="E288">
        <v>9.0299999999999994</v>
      </c>
      <c r="F288">
        <v>8.4700000000000006</v>
      </c>
      <c r="G288">
        <v>6</v>
      </c>
      <c r="H288" s="13">
        <f t="shared" si="98"/>
        <v>2.93E-2</v>
      </c>
      <c r="I288">
        <v>1474</v>
      </c>
      <c r="J288" s="13">
        <f t="shared" si="99"/>
        <v>1.1999999999999999E-3</v>
      </c>
      <c r="K288">
        <v>4530000</v>
      </c>
      <c r="L288" s="13">
        <f t="shared" si="100"/>
        <v>2.2000000000000001E-3</v>
      </c>
      <c r="M288">
        <v>677</v>
      </c>
      <c r="N288">
        <f t="shared" si="101"/>
        <v>661</v>
      </c>
      <c r="O288" s="13">
        <f t="shared" si="102"/>
        <v>-8.0699999999999994E-2</v>
      </c>
      <c r="P288">
        <v>129700</v>
      </c>
      <c r="Q288" s="13">
        <f t="shared" si="103"/>
        <v>1.1000000000000001E-3</v>
      </c>
      <c r="R288">
        <v>79.793000000000006</v>
      </c>
      <c r="S288" s="13">
        <f t="shared" si="104"/>
        <v>2.5000000000000001E-3</v>
      </c>
      <c r="T288">
        <v>55</v>
      </c>
      <c r="U288" s="13">
        <f t="shared" si="105"/>
        <v>0</v>
      </c>
      <c r="V288" s="6">
        <f t="shared" si="93"/>
        <v>0</v>
      </c>
      <c r="W288" s="44">
        <f t="shared" si="94"/>
        <v>643.76</v>
      </c>
      <c r="X288" s="15">
        <f t="shared" si="95"/>
        <v>0.10716000000000001</v>
      </c>
      <c r="Y288" s="13">
        <f t="shared" si="106"/>
        <v>2.6564000000000001</v>
      </c>
      <c r="Z288" s="6">
        <f t="shared" si="107"/>
        <v>155.41</v>
      </c>
      <c r="AA288" s="6">
        <f t="shared" si="108"/>
        <v>-71.599999999999994</v>
      </c>
      <c r="AB288" s="6">
        <f t="shared" si="109"/>
        <v>75.959999999999994</v>
      </c>
      <c r="AC288" s="6">
        <f t="shared" si="110"/>
        <v>79.13</v>
      </c>
    </row>
    <row r="289" spans="1:29" x14ac:dyDescent="0.25">
      <c r="A289" s="34">
        <v>34547</v>
      </c>
      <c r="B289" s="34">
        <f t="shared" si="96"/>
        <v>34607</v>
      </c>
      <c r="C289">
        <v>5974.8</v>
      </c>
      <c r="D289" s="13">
        <f t="shared" si="97"/>
        <v>3.7000000000000002E-3</v>
      </c>
      <c r="E289">
        <v>8.82</v>
      </c>
      <c r="F289">
        <v>8.31</v>
      </c>
      <c r="G289">
        <v>6.1</v>
      </c>
      <c r="H289" s="13">
        <f t="shared" si="98"/>
        <v>3.9100000000000003E-2</v>
      </c>
      <c r="I289">
        <v>1450</v>
      </c>
      <c r="J289" s="13">
        <f t="shared" si="99"/>
        <v>-1.54E-2</v>
      </c>
      <c r="K289">
        <v>4520000</v>
      </c>
      <c r="L289" s="13">
        <f t="shared" si="100"/>
        <v>2.2000000000000001E-3</v>
      </c>
      <c r="M289">
        <v>656</v>
      </c>
      <c r="N289">
        <f t="shared" si="101"/>
        <v>673</v>
      </c>
      <c r="O289" s="13">
        <f t="shared" si="102"/>
        <v>-2.75E-2</v>
      </c>
      <c r="P289">
        <v>133300</v>
      </c>
      <c r="Q289" s="13">
        <f t="shared" si="103"/>
        <v>1.5E-3</v>
      </c>
      <c r="R289">
        <v>79.606999999999999</v>
      </c>
      <c r="S289" s="13">
        <f t="shared" si="104"/>
        <v>2.3999999999999998E-3</v>
      </c>
      <c r="T289">
        <v>55</v>
      </c>
      <c r="U289" s="13">
        <f t="shared" si="105"/>
        <v>0</v>
      </c>
      <c r="V289" s="6">
        <f t="shared" si="93"/>
        <v>0</v>
      </c>
      <c r="W289" s="44">
        <f t="shared" si="94"/>
        <v>630.25</v>
      </c>
      <c r="X289" s="15">
        <f t="shared" si="95"/>
        <v>0.10548</v>
      </c>
      <c r="Y289" s="13">
        <f t="shared" si="106"/>
        <v>2.6648000000000001</v>
      </c>
      <c r="Z289" s="6">
        <f t="shared" si="107"/>
        <v>155.55000000000001</v>
      </c>
      <c r="AA289" s="6">
        <f t="shared" si="108"/>
        <v>-67.84</v>
      </c>
      <c r="AB289" s="6">
        <f t="shared" si="109"/>
        <v>77.36</v>
      </c>
      <c r="AC289" s="6">
        <f t="shared" si="110"/>
        <v>83.49</v>
      </c>
    </row>
    <row r="290" spans="1:29" x14ac:dyDescent="0.25">
      <c r="A290" s="34">
        <v>34516</v>
      </c>
      <c r="B290" s="34">
        <f t="shared" si="96"/>
        <v>34577</v>
      </c>
      <c r="C290">
        <v>5952.6</v>
      </c>
      <c r="D290" s="13">
        <f t="shared" si="97"/>
        <v>4.7999999999999996E-3</v>
      </c>
      <c r="E290">
        <v>8.56</v>
      </c>
      <c r="F290">
        <v>8.0500000000000007</v>
      </c>
      <c r="G290">
        <v>6.3</v>
      </c>
      <c r="H290" s="13">
        <f t="shared" si="98"/>
        <v>6.9800000000000001E-2</v>
      </c>
      <c r="I290">
        <v>1439</v>
      </c>
      <c r="J290" s="13">
        <f t="shared" si="99"/>
        <v>1.4E-2</v>
      </c>
      <c r="K290">
        <v>4510000</v>
      </c>
      <c r="L290" s="13">
        <f t="shared" si="100"/>
        <v>2.2000000000000001E-3</v>
      </c>
      <c r="M290">
        <v>628</v>
      </c>
      <c r="N290">
        <f t="shared" si="101"/>
        <v>678</v>
      </c>
      <c r="O290" s="13">
        <f t="shared" si="102"/>
        <v>1.4999999999999999E-2</v>
      </c>
      <c r="P290">
        <v>124400</v>
      </c>
      <c r="Q290" s="13">
        <f t="shared" si="103"/>
        <v>-8.3999999999999995E-3</v>
      </c>
      <c r="R290">
        <v>79.435000000000002</v>
      </c>
      <c r="S290" s="13">
        <f t="shared" si="104"/>
        <v>2.2000000000000001E-3</v>
      </c>
      <c r="T290">
        <v>55</v>
      </c>
      <c r="U290" s="13">
        <f t="shared" si="105"/>
        <v>0</v>
      </c>
      <c r="V290" s="6">
        <f t="shared" si="93"/>
        <v>0</v>
      </c>
      <c r="W290" s="44">
        <f t="shared" si="94"/>
        <v>614.16999999999996</v>
      </c>
      <c r="X290" s="15">
        <f t="shared" si="95"/>
        <v>0.10317999999999999</v>
      </c>
      <c r="Y290" s="13">
        <f t="shared" si="106"/>
        <v>2.6688999999999998</v>
      </c>
      <c r="Z290" s="6">
        <f t="shared" si="107"/>
        <v>166.44</v>
      </c>
      <c r="AA290" s="6">
        <f t="shared" si="108"/>
        <v>-68.91</v>
      </c>
      <c r="AB290" s="6">
        <f t="shared" si="109"/>
        <v>84.07</v>
      </c>
      <c r="AC290" s="6">
        <f t="shared" si="110"/>
        <v>86.97</v>
      </c>
    </row>
    <row r="291" spans="1:29" x14ac:dyDescent="0.25">
      <c r="A291" s="34">
        <v>34486</v>
      </c>
      <c r="B291" s="34">
        <f t="shared" si="96"/>
        <v>34546</v>
      </c>
      <c r="C291">
        <v>5923.9</v>
      </c>
      <c r="D291" s="13">
        <f t="shared" si="97"/>
        <v>1.1000000000000001E-3</v>
      </c>
      <c r="E291">
        <v>8.57</v>
      </c>
      <c r="F291">
        <v>8.09</v>
      </c>
      <c r="G291">
        <v>6.2</v>
      </c>
      <c r="H291" s="13">
        <f t="shared" si="98"/>
        <v>5.91E-2</v>
      </c>
      <c r="I291">
        <v>1409</v>
      </c>
      <c r="J291" s="13">
        <f t="shared" si="99"/>
        <v>1.9099999999999999E-2</v>
      </c>
      <c r="K291">
        <v>4500000</v>
      </c>
      <c r="L291" s="13">
        <f t="shared" si="100"/>
        <v>2.2000000000000001E-3</v>
      </c>
      <c r="M291">
        <v>621</v>
      </c>
      <c r="N291">
        <f t="shared" si="101"/>
        <v>676</v>
      </c>
      <c r="O291" s="13">
        <f t="shared" si="102"/>
        <v>1.2E-2</v>
      </c>
      <c r="P291">
        <v>133500</v>
      </c>
      <c r="Q291" s="13">
        <f t="shared" si="103"/>
        <v>1.1599999999999999E-2</v>
      </c>
      <c r="R291">
        <v>79.231999999999999</v>
      </c>
      <c r="S291" s="13">
        <f t="shared" si="104"/>
        <v>2E-3</v>
      </c>
      <c r="T291">
        <v>55</v>
      </c>
      <c r="U291" s="13">
        <f t="shared" si="105"/>
        <v>0</v>
      </c>
      <c r="V291" s="6">
        <f t="shared" si="93"/>
        <v>0</v>
      </c>
      <c r="W291" s="44">
        <f t="shared" si="94"/>
        <v>613.16</v>
      </c>
      <c r="X291" s="15">
        <f t="shared" si="95"/>
        <v>0.10351</v>
      </c>
      <c r="Y291" s="13">
        <f t="shared" si="106"/>
        <v>2.6749999999999998</v>
      </c>
      <c r="Z291" s="6">
        <f t="shared" si="107"/>
        <v>173.08</v>
      </c>
      <c r="AA291" s="6">
        <f t="shared" si="108"/>
        <v>-67.040000000000006</v>
      </c>
      <c r="AB291" s="6">
        <f t="shared" si="109"/>
        <v>89.04</v>
      </c>
      <c r="AC291" s="6">
        <f t="shared" si="110"/>
        <v>90.13</v>
      </c>
    </row>
    <row r="292" spans="1:29" x14ac:dyDescent="0.25">
      <c r="A292" s="34">
        <v>34455</v>
      </c>
      <c r="B292" s="34">
        <f t="shared" si="96"/>
        <v>34515</v>
      </c>
      <c r="C292">
        <v>5917.5</v>
      </c>
      <c r="D292" s="13">
        <f t="shared" si="97"/>
        <v>3.5000000000000001E-3</v>
      </c>
      <c r="E292">
        <v>8.4600000000000009</v>
      </c>
      <c r="F292">
        <v>8</v>
      </c>
      <c r="G292">
        <v>5.3</v>
      </c>
      <c r="H292" s="13">
        <f t="shared" si="98"/>
        <v>-2.87E-2</v>
      </c>
      <c r="I292">
        <v>1526</v>
      </c>
      <c r="J292" s="13">
        <f t="shared" si="99"/>
        <v>-1E-3</v>
      </c>
      <c r="K292">
        <v>4490000</v>
      </c>
      <c r="L292" s="13">
        <f t="shared" si="100"/>
        <v>2.2000000000000001E-3</v>
      </c>
      <c r="M292">
        <v>691</v>
      </c>
      <c r="N292">
        <f t="shared" si="101"/>
        <v>708</v>
      </c>
      <c r="O292" s="13">
        <f t="shared" si="102"/>
        <v>9.4299999999999995E-2</v>
      </c>
      <c r="P292">
        <v>129900</v>
      </c>
      <c r="Q292" s="13">
        <f t="shared" si="103"/>
        <v>7.6E-3</v>
      </c>
      <c r="R292">
        <v>78.997</v>
      </c>
      <c r="S292" s="13">
        <f t="shared" si="104"/>
        <v>2.0999999999999999E-3</v>
      </c>
      <c r="T292">
        <v>55</v>
      </c>
      <c r="U292" s="13">
        <f t="shared" si="105"/>
        <v>0</v>
      </c>
      <c r="V292" s="6">
        <f t="shared" si="93"/>
        <v>0</v>
      </c>
      <c r="W292" s="44">
        <f t="shared" si="94"/>
        <v>605.17999999999995</v>
      </c>
      <c r="X292" s="15">
        <f t="shared" si="95"/>
        <v>0.10227</v>
      </c>
      <c r="Y292" s="13">
        <f t="shared" si="106"/>
        <v>2.6699000000000002</v>
      </c>
      <c r="Z292" s="6">
        <f t="shared" si="107"/>
        <v>171.8</v>
      </c>
      <c r="AA292" s="6">
        <f t="shared" si="108"/>
        <v>-68.23</v>
      </c>
      <c r="AB292" s="6">
        <f t="shared" si="109"/>
        <v>87.79</v>
      </c>
      <c r="AC292" s="6">
        <f t="shared" si="110"/>
        <v>95.21</v>
      </c>
    </row>
    <row r="293" spans="1:29" x14ac:dyDescent="0.25">
      <c r="A293" s="34">
        <v>34425</v>
      </c>
      <c r="B293" s="34">
        <f t="shared" si="96"/>
        <v>34485</v>
      </c>
      <c r="C293">
        <v>5896.8</v>
      </c>
      <c r="D293" s="13">
        <f t="shared" si="97"/>
        <v>1.0500000000000001E-2</v>
      </c>
      <c r="E293">
        <v>8.5299999999999994</v>
      </c>
      <c r="F293">
        <v>7.99</v>
      </c>
      <c r="G293">
        <v>5.2</v>
      </c>
      <c r="H293" s="13">
        <f t="shared" si="98"/>
        <v>3.4700000000000002E-2</v>
      </c>
      <c r="I293">
        <v>1465</v>
      </c>
      <c r="J293" s="13">
        <f t="shared" si="99"/>
        <v>1.26E-2</v>
      </c>
      <c r="K293">
        <v>4480000</v>
      </c>
      <c r="L293" s="13">
        <f t="shared" si="100"/>
        <v>2.2000000000000001E-3</v>
      </c>
      <c r="M293">
        <v>692</v>
      </c>
      <c r="N293">
        <f t="shared" si="101"/>
        <v>721</v>
      </c>
      <c r="O293" s="13">
        <f t="shared" si="102"/>
        <v>0.12659999999999999</v>
      </c>
      <c r="P293">
        <v>129000</v>
      </c>
      <c r="Q293" s="13">
        <f t="shared" si="103"/>
        <v>-1.6000000000000001E-3</v>
      </c>
      <c r="R293">
        <v>78.863</v>
      </c>
      <c r="S293" s="13">
        <f t="shared" si="104"/>
        <v>2.2000000000000001E-3</v>
      </c>
      <c r="T293">
        <v>55</v>
      </c>
      <c r="U293" s="13">
        <f t="shared" si="105"/>
        <v>0</v>
      </c>
      <c r="V293" s="6">
        <f t="shared" si="93"/>
        <v>0</v>
      </c>
      <c r="W293" s="44">
        <f t="shared" si="94"/>
        <v>608.07000000000005</v>
      </c>
      <c r="X293" s="15">
        <f t="shared" si="95"/>
        <v>0.10312</v>
      </c>
      <c r="Y293" s="13">
        <f t="shared" si="106"/>
        <v>2.6747999999999998</v>
      </c>
      <c r="Z293" s="6">
        <f t="shared" si="107"/>
        <v>179.76</v>
      </c>
      <c r="AA293" s="6">
        <f t="shared" si="108"/>
        <v>-66.540000000000006</v>
      </c>
      <c r="AB293" s="6">
        <f t="shared" si="109"/>
        <v>93.56</v>
      </c>
      <c r="AC293" s="6">
        <f t="shared" si="110"/>
        <v>96.85</v>
      </c>
    </row>
    <row r="294" spans="1:29" x14ac:dyDescent="0.25">
      <c r="A294" s="34">
        <v>34394</v>
      </c>
      <c r="B294" s="34">
        <f t="shared" si="96"/>
        <v>34454</v>
      </c>
      <c r="C294">
        <v>5835.5</v>
      </c>
      <c r="D294" s="13">
        <f t="shared" si="97"/>
        <v>5.4999999999999997E-3</v>
      </c>
      <c r="E294">
        <v>8.32</v>
      </c>
      <c r="F294">
        <v>7.85</v>
      </c>
      <c r="G294">
        <v>4.8</v>
      </c>
      <c r="H294" s="13">
        <f t="shared" si="98"/>
        <v>0</v>
      </c>
      <c r="I294">
        <v>1564</v>
      </c>
      <c r="J294" s="13">
        <f t="shared" si="99"/>
        <v>2.4899999999999999E-2</v>
      </c>
      <c r="K294">
        <v>4470000</v>
      </c>
      <c r="L294" s="13">
        <f t="shared" si="100"/>
        <v>2.3E-3</v>
      </c>
      <c r="M294">
        <v>747</v>
      </c>
      <c r="N294">
        <f t="shared" si="101"/>
        <v>723</v>
      </c>
      <c r="O294" s="13">
        <f t="shared" si="102"/>
        <v>0.14760000000000001</v>
      </c>
      <c r="P294">
        <v>132300</v>
      </c>
      <c r="Q294" s="13">
        <f t="shared" si="103"/>
        <v>1.15E-2</v>
      </c>
      <c r="R294">
        <v>78.736000000000004</v>
      </c>
      <c r="S294" s="13">
        <f t="shared" si="104"/>
        <v>2.5000000000000001E-3</v>
      </c>
      <c r="T294">
        <v>55</v>
      </c>
      <c r="U294" s="13">
        <f t="shared" si="105"/>
        <v>0</v>
      </c>
      <c r="V294" s="6">
        <f t="shared" si="93"/>
        <v>0</v>
      </c>
      <c r="W294" s="44">
        <f t="shared" si="94"/>
        <v>595.4</v>
      </c>
      <c r="X294" s="15">
        <f t="shared" si="95"/>
        <v>0.10203</v>
      </c>
      <c r="Y294" s="13">
        <f t="shared" si="106"/>
        <v>2.6985000000000001</v>
      </c>
      <c r="Z294" s="6">
        <f t="shared" si="107"/>
        <v>192.64</v>
      </c>
      <c r="AA294" s="6">
        <f t="shared" si="108"/>
        <v>-59.83</v>
      </c>
      <c r="AB294" s="6">
        <f t="shared" si="109"/>
        <v>104.28</v>
      </c>
      <c r="AC294" s="6">
        <f t="shared" si="110"/>
        <v>97.3</v>
      </c>
    </row>
    <row r="295" spans="1:29" x14ac:dyDescent="0.25">
      <c r="A295" s="34">
        <v>34366</v>
      </c>
      <c r="B295" s="34">
        <f t="shared" si="96"/>
        <v>34424</v>
      </c>
      <c r="C295">
        <v>5803.8</v>
      </c>
      <c r="D295" s="13">
        <f t="shared" si="97"/>
        <v>3.3E-3</v>
      </c>
      <c r="E295">
        <v>7.8</v>
      </c>
      <c r="F295">
        <v>7.3</v>
      </c>
      <c r="G295">
        <v>5</v>
      </c>
      <c r="H295" s="13">
        <f t="shared" si="98"/>
        <v>0</v>
      </c>
      <c r="I295">
        <v>1337</v>
      </c>
      <c r="J295" s="13">
        <f t="shared" si="99"/>
        <v>-8.9999999999999998E-4</v>
      </c>
      <c r="K295">
        <v>4460000</v>
      </c>
      <c r="L295" s="13">
        <f t="shared" si="100"/>
        <v>2.3E-3</v>
      </c>
      <c r="M295">
        <v>686</v>
      </c>
      <c r="N295">
        <f t="shared" si="101"/>
        <v>719</v>
      </c>
      <c r="O295" s="13">
        <f t="shared" si="102"/>
        <v>0.14130000000000001</v>
      </c>
      <c r="P295">
        <v>129900</v>
      </c>
      <c r="Q295" s="13">
        <f t="shared" si="103"/>
        <v>8.0000000000000004E-4</v>
      </c>
      <c r="R295">
        <v>78.597999999999999</v>
      </c>
      <c r="S295" s="13">
        <f t="shared" si="104"/>
        <v>2.5999999999999999E-3</v>
      </c>
      <c r="T295">
        <v>55</v>
      </c>
      <c r="U295" s="13">
        <f t="shared" si="105"/>
        <v>0</v>
      </c>
      <c r="V295" s="6">
        <f t="shared" si="93"/>
        <v>0</v>
      </c>
      <c r="W295" s="44">
        <f t="shared" si="94"/>
        <v>565.79999999999995</v>
      </c>
      <c r="X295" s="15">
        <f t="shared" si="95"/>
        <v>9.7489999999999993E-2</v>
      </c>
      <c r="Y295" s="13">
        <f t="shared" si="106"/>
        <v>2.7084999999999999</v>
      </c>
      <c r="Z295" s="6">
        <f t="shared" si="107"/>
        <v>170.57</v>
      </c>
      <c r="AA295" s="6">
        <f t="shared" si="108"/>
        <v>-51.91</v>
      </c>
      <c r="AB295" s="6">
        <f t="shared" si="109"/>
        <v>92.7</v>
      </c>
      <c r="AC295" s="6">
        <f t="shared" si="110"/>
        <v>98.45</v>
      </c>
    </row>
    <row r="296" spans="1:29" x14ac:dyDescent="0.25">
      <c r="A296" s="34">
        <v>34335</v>
      </c>
      <c r="B296" s="34">
        <f t="shared" si="96"/>
        <v>34393</v>
      </c>
      <c r="C296">
        <v>5784.5</v>
      </c>
      <c r="D296" s="13">
        <f t="shared" si="97"/>
        <v>-1.9400000000000001E-2</v>
      </c>
      <c r="E296">
        <v>7.32</v>
      </c>
      <c r="F296">
        <v>6.8</v>
      </c>
      <c r="G296">
        <v>5.9</v>
      </c>
      <c r="H296" s="13">
        <f t="shared" si="98"/>
        <v>5.21E-2</v>
      </c>
      <c r="I296">
        <v>1272</v>
      </c>
      <c r="J296" s="13">
        <f t="shared" si="99"/>
        <v>-4.0000000000000001E-3</v>
      </c>
      <c r="K296">
        <v>4450000</v>
      </c>
      <c r="L296" s="13">
        <f t="shared" si="100"/>
        <v>2.3E-3</v>
      </c>
      <c r="M296">
        <v>619</v>
      </c>
      <c r="N296">
        <f t="shared" si="101"/>
        <v>713</v>
      </c>
      <c r="O296" s="13">
        <f t="shared" si="102"/>
        <v>0.13539999999999999</v>
      </c>
      <c r="P296">
        <v>126000</v>
      </c>
      <c r="Q296" s="13">
        <f t="shared" si="103"/>
        <v>-8.9999999999999998E-4</v>
      </c>
      <c r="R296">
        <v>78.334999999999994</v>
      </c>
      <c r="S296" s="13">
        <f t="shared" si="104"/>
        <v>2.3E-3</v>
      </c>
      <c r="T296">
        <v>55</v>
      </c>
      <c r="U296" s="13">
        <f t="shared" si="105"/>
        <v>0</v>
      </c>
      <c r="V296" s="6">
        <f t="shared" si="93"/>
        <v>0</v>
      </c>
      <c r="W296" s="44">
        <f t="shared" si="94"/>
        <v>538.11</v>
      </c>
      <c r="X296" s="15">
        <f t="shared" si="95"/>
        <v>9.3030000000000002E-2</v>
      </c>
      <c r="Y296" s="13">
        <f t="shared" si="106"/>
        <v>2.7084000000000001</v>
      </c>
      <c r="Z296" s="6">
        <f t="shared" si="107"/>
        <v>168.42</v>
      </c>
      <c r="AA296" s="6">
        <f t="shared" si="108"/>
        <v>-41.6</v>
      </c>
      <c r="AB296" s="6">
        <f t="shared" si="109"/>
        <v>94.91</v>
      </c>
      <c r="AC296" s="6">
        <f t="shared" si="110"/>
        <v>98.57</v>
      </c>
    </row>
    <row r="297" spans="1:29" x14ac:dyDescent="0.25">
      <c r="A297" s="34">
        <v>34304</v>
      </c>
      <c r="B297" s="34">
        <f t="shared" si="96"/>
        <v>34365</v>
      </c>
      <c r="C297">
        <v>5899.1</v>
      </c>
      <c r="D297" s="13">
        <f t="shared" si="97"/>
        <v>3.5000000000000003E-2</v>
      </c>
      <c r="E297">
        <v>6.97</v>
      </c>
      <c r="F297">
        <v>6.47</v>
      </c>
      <c r="G297">
        <v>4.5</v>
      </c>
      <c r="H297" s="13">
        <f t="shared" si="98"/>
        <v>-4.9500000000000002E-2</v>
      </c>
      <c r="I297">
        <v>1533</v>
      </c>
      <c r="J297" s="13">
        <f t="shared" si="99"/>
        <v>4.19E-2</v>
      </c>
      <c r="K297">
        <v>4440000</v>
      </c>
      <c r="L297" s="13">
        <f t="shared" si="100"/>
        <v>2.3E-3</v>
      </c>
      <c r="M297">
        <v>812</v>
      </c>
      <c r="N297">
        <f t="shared" si="101"/>
        <v>719</v>
      </c>
      <c r="O297" s="13">
        <f t="shared" si="102"/>
        <v>0.1691</v>
      </c>
      <c r="P297">
        <v>125000</v>
      </c>
      <c r="Q297" s="13">
        <f t="shared" si="103"/>
        <v>1.6999999999999999E-3</v>
      </c>
      <c r="R297">
        <v>78.161999999999907</v>
      </c>
      <c r="S297" s="13">
        <f t="shared" si="104"/>
        <v>2.3E-3</v>
      </c>
      <c r="T297">
        <v>55</v>
      </c>
      <c r="U297" s="13">
        <f t="shared" si="105"/>
        <v>0</v>
      </c>
      <c r="V297" s="6">
        <f t="shared" si="93"/>
        <v>0</v>
      </c>
      <c r="W297" s="44">
        <f t="shared" si="94"/>
        <v>518.44000000000005</v>
      </c>
      <c r="X297" s="15">
        <f t="shared" si="95"/>
        <v>8.788E-2</v>
      </c>
      <c r="Y297" s="13">
        <f t="shared" ref="Y297:Y320" si="111">ROUND(((R297*1000)*0.2)/C297,4)</f>
        <v>2.65</v>
      </c>
      <c r="Z297" s="6">
        <f t="shared" si="107"/>
        <v>189.64</v>
      </c>
      <c r="AA297" s="6">
        <f t="shared" si="108"/>
        <v>-44.38</v>
      </c>
      <c r="AB297" s="6">
        <f t="shared" si="109"/>
        <v>107.73</v>
      </c>
      <c r="AC297" s="6">
        <f t="shared" si="110"/>
        <v>97.23</v>
      </c>
    </row>
    <row r="298" spans="1:29" x14ac:dyDescent="0.25">
      <c r="A298" s="34">
        <v>34274</v>
      </c>
      <c r="B298" s="34">
        <f t="shared" si="96"/>
        <v>34334</v>
      </c>
      <c r="C298">
        <v>5699.6</v>
      </c>
      <c r="D298" s="13">
        <f t="shared" si="97"/>
        <v>4.4999999999999997E-3</v>
      </c>
      <c r="E298">
        <v>7.13</v>
      </c>
      <c r="F298">
        <v>6.63</v>
      </c>
      <c r="G298">
        <v>4.8</v>
      </c>
      <c r="H298" s="13">
        <f t="shared" si="98"/>
        <v>-2.4199999999999999E-2</v>
      </c>
      <c r="I298">
        <v>1376</v>
      </c>
      <c r="J298" s="13">
        <f t="shared" si="99"/>
        <v>1.46E-2</v>
      </c>
      <c r="K298">
        <v>4430000</v>
      </c>
      <c r="L298" s="13">
        <f t="shared" si="100"/>
        <v>2.3E-3</v>
      </c>
      <c r="M298">
        <v>769</v>
      </c>
      <c r="N298">
        <f t="shared" si="101"/>
        <v>692</v>
      </c>
      <c r="O298" s="13">
        <f t="shared" si="102"/>
        <v>0.1108</v>
      </c>
      <c r="P298">
        <v>130000</v>
      </c>
      <c r="Q298" s="13">
        <f t="shared" si="103"/>
        <v>8.6999999999999994E-3</v>
      </c>
      <c r="R298">
        <v>77.948999999999998</v>
      </c>
      <c r="S298" s="13">
        <f t="shared" si="104"/>
        <v>2.3E-3</v>
      </c>
      <c r="T298">
        <v>55</v>
      </c>
      <c r="U298" s="13">
        <f t="shared" si="105"/>
        <v>0</v>
      </c>
      <c r="V298" s="6">
        <f t="shared" si="93"/>
        <v>0</v>
      </c>
      <c r="W298" s="44">
        <f t="shared" si="94"/>
        <v>525.41999999999996</v>
      </c>
      <c r="X298" s="15">
        <f t="shared" si="95"/>
        <v>9.2189999999999994E-2</v>
      </c>
      <c r="Y298" s="13">
        <f t="shared" si="111"/>
        <v>2.7351999999999999</v>
      </c>
      <c r="Z298" s="6">
        <f t="shared" si="107"/>
        <v>173.7</v>
      </c>
      <c r="AA298" s="6">
        <f t="shared" si="108"/>
        <v>-56.7</v>
      </c>
      <c r="AB298" s="6">
        <f t="shared" si="109"/>
        <v>93.06</v>
      </c>
      <c r="AC298" s="6">
        <f t="shared" si="110"/>
        <v>91.24</v>
      </c>
    </row>
    <row r="299" spans="1:29" x14ac:dyDescent="0.25">
      <c r="A299" s="34">
        <v>34243</v>
      </c>
      <c r="B299" s="34">
        <f t="shared" si="96"/>
        <v>34303</v>
      </c>
      <c r="C299">
        <v>5674.3</v>
      </c>
      <c r="D299" s="13">
        <f t="shared" si="97"/>
        <v>-1.1000000000000001E-3</v>
      </c>
      <c r="E299">
        <v>7.31</v>
      </c>
      <c r="F299">
        <v>6.84</v>
      </c>
      <c r="G299">
        <v>5</v>
      </c>
      <c r="H299" s="13">
        <f t="shared" si="98"/>
        <v>-9.5999999999999992E-3</v>
      </c>
      <c r="I299">
        <v>1392</v>
      </c>
      <c r="J299" s="13">
        <f t="shared" si="99"/>
        <v>2.0500000000000001E-2</v>
      </c>
      <c r="K299">
        <v>4420000</v>
      </c>
      <c r="L299" s="13">
        <f t="shared" si="100"/>
        <v>2.3E-3</v>
      </c>
      <c r="M299">
        <v>704</v>
      </c>
      <c r="N299">
        <f t="shared" si="101"/>
        <v>668</v>
      </c>
      <c r="O299" s="13">
        <f t="shared" si="102"/>
        <v>6.3700000000000007E-2</v>
      </c>
      <c r="P299">
        <v>125000</v>
      </c>
      <c r="Q299" s="13">
        <f t="shared" si="103"/>
        <v>-7.7000000000000002E-3</v>
      </c>
      <c r="R299">
        <v>77.798999999999893</v>
      </c>
      <c r="S299" s="13">
        <f t="shared" si="104"/>
        <v>2.5000000000000001E-3</v>
      </c>
      <c r="T299">
        <v>55</v>
      </c>
      <c r="U299" s="13">
        <f t="shared" si="105"/>
        <v>0</v>
      </c>
      <c r="V299" s="6">
        <f t="shared" si="93"/>
        <v>0</v>
      </c>
      <c r="W299" s="44">
        <f t="shared" si="94"/>
        <v>533.9</v>
      </c>
      <c r="X299" s="15">
        <f t="shared" si="95"/>
        <v>9.4089999999999993E-2</v>
      </c>
      <c r="Y299" s="13">
        <f t="shared" si="111"/>
        <v>2.7422</v>
      </c>
      <c r="Z299" s="6">
        <f t="shared" si="107"/>
        <v>165.96</v>
      </c>
      <c r="AA299" s="6">
        <f t="shared" si="108"/>
        <v>-48.48</v>
      </c>
      <c r="AB299" s="6">
        <f t="shared" si="109"/>
        <v>90.91</v>
      </c>
      <c r="AC299" s="6">
        <f t="shared" si="110"/>
        <v>91.47</v>
      </c>
    </row>
    <row r="300" spans="1:29" x14ac:dyDescent="0.25">
      <c r="A300" s="34">
        <v>34213</v>
      </c>
      <c r="B300" s="34">
        <f t="shared" si="96"/>
        <v>34273</v>
      </c>
      <c r="C300">
        <v>5680.3</v>
      </c>
      <c r="D300" s="13">
        <f t="shared" si="97"/>
        <v>-1.1999999999999999E-3</v>
      </c>
      <c r="E300">
        <v>6.86</v>
      </c>
      <c r="F300">
        <v>6.4</v>
      </c>
      <c r="G300">
        <v>4.9000000000000004</v>
      </c>
      <c r="H300" s="13">
        <f t="shared" si="98"/>
        <v>-1.8800000000000001E-2</v>
      </c>
      <c r="I300">
        <v>1343</v>
      </c>
      <c r="J300" s="13">
        <f t="shared" si="99"/>
        <v>1.34E-2</v>
      </c>
      <c r="K300">
        <v>4410000</v>
      </c>
      <c r="L300" s="13">
        <f t="shared" si="100"/>
        <v>2.3E-3</v>
      </c>
      <c r="M300">
        <v>726</v>
      </c>
      <c r="N300">
        <f t="shared" si="101"/>
        <v>668</v>
      </c>
      <c r="O300" s="13">
        <f t="shared" si="102"/>
        <v>5.5300000000000002E-2</v>
      </c>
      <c r="P300">
        <v>129400</v>
      </c>
      <c r="Q300" s="13">
        <f t="shared" si="103"/>
        <v>3.8E-3</v>
      </c>
      <c r="R300">
        <v>77.616</v>
      </c>
      <c r="S300" s="13">
        <f t="shared" si="104"/>
        <v>2.2000000000000001E-3</v>
      </c>
      <c r="T300">
        <v>55</v>
      </c>
      <c r="U300" s="13">
        <f t="shared" si="105"/>
        <v>0</v>
      </c>
      <c r="V300" s="6">
        <f t="shared" si="93"/>
        <v>0</v>
      </c>
      <c r="W300" s="44">
        <f t="shared" si="94"/>
        <v>509.1</v>
      </c>
      <c r="X300" s="15">
        <f t="shared" si="95"/>
        <v>8.9630000000000001E-2</v>
      </c>
      <c r="Y300" s="13">
        <f t="shared" si="111"/>
        <v>2.7328000000000001</v>
      </c>
      <c r="Z300" s="6">
        <f t="shared" si="107"/>
        <v>164.21</v>
      </c>
      <c r="AA300" s="6">
        <f t="shared" si="108"/>
        <v>-48.54</v>
      </c>
      <c r="AB300" s="6">
        <f t="shared" si="109"/>
        <v>89.75</v>
      </c>
      <c r="AC300" s="6">
        <f t="shared" si="110"/>
        <v>87.53</v>
      </c>
    </row>
    <row r="301" spans="1:29" x14ac:dyDescent="0.25">
      <c r="A301" s="34">
        <v>34182</v>
      </c>
      <c r="B301" s="34">
        <f t="shared" si="96"/>
        <v>34242</v>
      </c>
      <c r="C301">
        <v>5687.2</v>
      </c>
      <c r="D301" s="13">
        <f t="shared" si="97"/>
        <v>3.8999999999999998E-3</v>
      </c>
      <c r="E301">
        <v>6.95</v>
      </c>
      <c r="F301">
        <v>6.47</v>
      </c>
      <c r="G301">
        <v>5.5</v>
      </c>
      <c r="H301" s="13">
        <f t="shared" si="98"/>
        <v>3.9E-2</v>
      </c>
      <c r="I301">
        <v>1300</v>
      </c>
      <c r="J301" s="13">
        <f t="shared" si="99"/>
        <v>3.5400000000000001E-2</v>
      </c>
      <c r="K301">
        <v>4400000</v>
      </c>
      <c r="L301" s="13">
        <f t="shared" si="100"/>
        <v>2.3E-3</v>
      </c>
      <c r="M301">
        <v>645</v>
      </c>
      <c r="N301">
        <f t="shared" si="101"/>
        <v>647</v>
      </c>
      <c r="O301" s="13">
        <f t="shared" si="102"/>
        <v>3.6900000000000002E-2</v>
      </c>
      <c r="P301">
        <v>126600</v>
      </c>
      <c r="Q301" s="13">
        <f t="shared" si="103"/>
        <v>2.5000000000000001E-3</v>
      </c>
      <c r="R301">
        <v>77.433000000000007</v>
      </c>
      <c r="S301" s="13">
        <f t="shared" si="104"/>
        <v>1.8E-3</v>
      </c>
      <c r="T301">
        <v>55</v>
      </c>
      <c r="U301" s="13">
        <f t="shared" si="105"/>
        <v>0</v>
      </c>
      <c r="V301" s="6">
        <f t="shared" si="93"/>
        <v>0</v>
      </c>
      <c r="W301" s="44">
        <f t="shared" si="94"/>
        <v>512.57000000000005</v>
      </c>
      <c r="X301" s="15">
        <f t="shared" si="95"/>
        <v>9.0130000000000002E-2</v>
      </c>
      <c r="Y301" s="13">
        <f t="shared" si="111"/>
        <v>2.7231000000000001</v>
      </c>
      <c r="Z301" s="6">
        <f t="shared" si="107"/>
        <v>170.2</v>
      </c>
      <c r="AA301" s="6">
        <f t="shared" si="108"/>
        <v>-48.19</v>
      </c>
      <c r="AB301" s="6">
        <f t="shared" si="109"/>
        <v>93.76</v>
      </c>
      <c r="AC301" s="6">
        <f t="shared" si="110"/>
        <v>85.79</v>
      </c>
    </row>
    <row r="302" spans="1:29" x14ac:dyDescent="0.25">
      <c r="A302" s="34">
        <v>34151</v>
      </c>
      <c r="B302" s="34">
        <f t="shared" si="96"/>
        <v>34212</v>
      </c>
      <c r="C302">
        <v>5665.2</v>
      </c>
      <c r="D302" s="13">
        <f t="shared" si="97"/>
        <v>4.7999999999999996E-3</v>
      </c>
      <c r="E302">
        <v>6.97</v>
      </c>
      <c r="F302">
        <v>6.49</v>
      </c>
      <c r="G302">
        <v>5.3</v>
      </c>
      <c r="H302" s="13">
        <f t="shared" si="98"/>
        <v>-4.8999999999999998E-3</v>
      </c>
      <c r="I302">
        <v>1254</v>
      </c>
      <c r="J302" s="13">
        <f t="shared" si="99"/>
        <v>7.1999999999999998E-3</v>
      </c>
      <c r="K302">
        <v>4390000</v>
      </c>
      <c r="L302" s="13">
        <f t="shared" si="100"/>
        <v>2.3E-3</v>
      </c>
      <c r="M302">
        <v>655</v>
      </c>
      <c r="N302">
        <f t="shared" si="101"/>
        <v>640</v>
      </c>
      <c r="O302" s="13">
        <f t="shared" si="102"/>
        <v>4.2299999999999997E-2</v>
      </c>
      <c r="P302">
        <v>123900</v>
      </c>
      <c r="Q302" s="13">
        <f t="shared" si="103"/>
        <v>-8.6999999999999994E-3</v>
      </c>
      <c r="R302">
        <v>77.245000000000005</v>
      </c>
      <c r="S302" s="13">
        <f t="shared" si="104"/>
        <v>1.2999999999999999E-3</v>
      </c>
      <c r="T302">
        <v>55</v>
      </c>
      <c r="U302" s="13">
        <f t="shared" si="105"/>
        <v>0</v>
      </c>
      <c r="V302" s="6">
        <f t="shared" si="93"/>
        <v>0</v>
      </c>
      <c r="W302" s="44">
        <f t="shared" si="94"/>
        <v>512.36</v>
      </c>
      <c r="X302" s="15">
        <f t="shared" si="95"/>
        <v>9.0440000000000006E-2</v>
      </c>
      <c r="Y302" s="13">
        <f t="shared" si="111"/>
        <v>2.7269999999999999</v>
      </c>
      <c r="Z302" s="6">
        <f t="shared" si="107"/>
        <v>150.80000000000001</v>
      </c>
      <c r="AA302" s="6">
        <f t="shared" si="108"/>
        <v>-54.14</v>
      </c>
      <c r="AB302" s="6">
        <f t="shared" si="109"/>
        <v>79.069999999999993</v>
      </c>
      <c r="AC302" s="6">
        <f t="shared" si="110"/>
        <v>82.06</v>
      </c>
    </row>
    <row r="303" spans="1:29" x14ac:dyDescent="0.25">
      <c r="A303" s="34">
        <v>34121</v>
      </c>
      <c r="B303" s="34">
        <f t="shared" si="96"/>
        <v>34181</v>
      </c>
      <c r="C303">
        <v>5637.9</v>
      </c>
      <c r="D303" s="13">
        <f t="shared" si="97"/>
        <v>-8.9999999999999998E-4</v>
      </c>
      <c r="E303">
        <v>7.25</v>
      </c>
      <c r="F303">
        <v>6.75</v>
      </c>
      <c r="G303">
        <v>5.2</v>
      </c>
      <c r="H303" s="13">
        <f t="shared" si="98"/>
        <v>-4.7999999999999996E-3</v>
      </c>
      <c r="I303">
        <v>1280</v>
      </c>
      <c r="J303" s="13">
        <f t="shared" si="99"/>
        <v>1.1599999999999999E-2</v>
      </c>
      <c r="K303">
        <v>4380000</v>
      </c>
      <c r="L303" s="13">
        <f t="shared" si="100"/>
        <v>2.3E-3</v>
      </c>
      <c r="M303">
        <v>653</v>
      </c>
      <c r="N303">
        <f t="shared" si="101"/>
        <v>630</v>
      </c>
      <c r="O303" s="13">
        <f t="shared" si="102"/>
        <v>4.65E-2</v>
      </c>
      <c r="P303">
        <v>124500</v>
      </c>
      <c r="Q303" s="13">
        <f t="shared" si="103"/>
        <v>1.03E-2</v>
      </c>
      <c r="R303">
        <v>77.039000000000001</v>
      </c>
      <c r="S303" s="13">
        <f t="shared" si="104"/>
        <v>8.0000000000000004E-4</v>
      </c>
      <c r="T303">
        <v>55</v>
      </c>
      <c r="U303" s="13">
        <f t="shared" si="105"/>
        <v>0</v>
      </c>
      <c r="V303" s="6">
        <f t="shared" si="93"/>
        <v>0</v>
      </c>
      <c r="W303" s="44">
        <f t="shared" si="94"/>
        <v>525.54</v>
      </c>
      <c r="X303" s="15">
        <f t="shared" si="95"/>
        <v>9.3219999999999997E-2</v>
      </c>
      <c r="Y303" s="13">
        <f t="shared" si="111"/>
        <v>2.7328999999999999</v>
      </c>
      <c r="Z303" s="6">
        <f t="shared" si="107"/>
        <v>160.19</v>
      </c>
      <c r="AA303" s="6">
        <f t="shared" si="108"/>
        <v>-55.99</v>
      </c>
      <c r="AB303" s="6">
        <f t="shared" si="109"/>
        <v>84.53</v>
      </c>
      <c r="AC303" s="6">
        <f t="shared" si="110"/>
        <v>82.41</v>
      </c>
    </row>
    <row r="304" spans="1:29" x14ac:dyDescent="0.25">
      <c r="A304" s="34">
        <v>34090</v>
      </c>
      <c r="B304" s="34">
        <f t="shared" si="96"/>
        <v>34150</v>
      </c>
      <c r="C304">
        <v>5642.8</v>
      </c>
      <c r="D304" s="13">
        <f t="shared" si="97"/>
        <v>2.8999999999999998E-3</v>
      </c>
      <c r="E304">
        <v>7.34</v>
      </c>
      <c r="F304">
        <v>6.84</v>
      </c>
      <c r="G304">
        <v>5.3</v>
      </c>
      <c r="H304" s="13">
        <f t="shared" si="98"/>
        <v>-4.7999999999999996E-3</v>
      </c>
      <c r="I304">
        <v>1260</v>
      </c>
      <c r="J304" s="13">
        <f t="shared" si="99"/>
        <v>5.4999999999999997E-3</v>
      </c>
      <c r="K304">
        <v>4370000</v>
      </c>
      <c r="L304" s="13">
        <f t="shared" si="100"/>
        <v>2.3E-3</v>
      </c>
      <c r="M304">
        <v>626</v>
      </c>
      <c r="N304">
        <f t="shared" si="101"/>
        <v>630</v>
      </c>
      <c r="O304" s="13">
        <f t="shared" si="102"/>
        <v>7.6899999999999996E-2</v>
      </c>
      <c r="P304">
        <v>129900</v>
      </c>
      <c r="Q304" s="13">
        <f t="shared" si="103"/>
        <v>6.1999999999999998E-3</v>
      </c>
      <c r="R304">
        <v>76.938999999999993</v>
      </c>
      <c r="S304" s="13">
        <f t="shared" si="104"/>
        <v>8.0000000000000004E-4</v>
      </c>
      <c r="T304">
        <v>55</v>
      </c>
      <c r="U304" s="13">
        <f t="shared" si="105"/>
        <v>0</v>
      </c>
      <c r="V304" s="6">
        <f t="shared" si="93"/>
        <v>0</v>
      </c>
      <c r="W304" s="44">
        <f t="shared" si="94"/>
        <v>529.55999999999995</v>
      </c>
      <c r="X304" s="15">
        <f t="shared" si="95"/>
        <v>9.3850000000000003E-2</v>
      </c>
      <c r="Y304" s="13">
        <f t="shared" si="111"/>
        <v>2.7269999999999999</v>
      </c>
      <c r="Z304" s="6">
        <f t="shared" si="107"/>
        <v>158.66</v>
      </c>
      <c r="AA304" s="6">
        <f t="shared" si="108"/>
        <v>-58.74</v>
      </c>
      <c r="AB304" s="6">
        <f t="shared" si="109"/>
        <v>82.57</v>
      </c>
      <c r="AC304" s="6">
        <f t="shared" si="110"/>
        <v>76.430000000000007</v>
      </c>
    </row>
    <row r="305" spans="1:29" x14ac:dyDescent="0.25">
      <c r="A305" s="34">
        <v>34060</v>
      </c>
      <c r="B305" s="34">
        <f t="shared" si="96"/>
        <v>34120</v>
      </c>
      <c r="C305">
        <v>5626.7</v>
      </c>
      <c r="D305" s="13">
        <f t="shared" si="97"/>
        <v>1.0200000000000001E-2</v>
      </c>
      <c r="E305">
        <v>7.5</v>
      </c>
      <c r="F305">
        <v>6.99</v>
      </c>
      <c r="G305">
        <v>4.7</v>
      </c>
      <c r="H305" s="13">
        <f t="shared" si="98"/>
        <v>-1.4200000000000001E-2</v>
      </c>
      <c r="I305">
        <v>1258</v>
      </c>
      <c r="J305" s="13">
        <f t="shared" si="99"/>
        <v>7.4000000000000003E-3</v>
      </c>
      <c r="K305">
        <v>4360000</v>
      </c>
      <c r="L305" s="13">
        <f t="shared" si="100"/>
        <v>2.3E-3</v>
      </c>
      <c r="M305">
        <v>701</v>
      </c>
      <c r="N305">
        <f t="shared" si="101"/>
        <v>628</v>
      </c>
      <c r="O305" s="13">
        <f t="shared" si="102"/>
        <v>7.17E-2</v>
      </c>
      <c r="P305">
        <v>127000</v>
      </c>
      <c r="Q305" s="13">
        <f t="shared" si="103"/>
        <v>-3.0000000000000001E-3</v>
      </c>
      <c r="R305">
        <v>76.870999999999995</v>
      </c>
      <c r="S305" s="13">
        <f t="shared" si="104"/>
        <v>1E-3</v>
      </c>
      <c r="T305">
        <v>55</v>
      </c>
      <c r="U305" s="13">
        <f t="shared" si="105"/>
        <v>0</v>
      </c>
      <c r="V305" s="6">
        <f t="shared" si="93"/>
        <v>0</v>
      </c>
      <c r="W305" s="44">
        <f t="shared" si="94"/>
        <v>537.49</v>
      </c>
      <c r="X305" s="15">
        <f t="shared" si="95"/>
        <v>9.5519999999999994E-2</v>
      </c>
      <c r="Y305" s="13">
        <f t="shared" si="111"/>
        <v>2.7324000000000002</v>
      </c>
      <c r="Z305" s="6">
        <f t="shared" si="107"/>
        <v>155.49</v>
      </c>
      <c r="AA305" s="6">
        <f t="shared" si="108"/>
        <v>-59.84</v>
      </c>
      <c r="AB305" s="6">
        <f t="shared" si="109"/>
        <v>80.12</v>
      </c>
      <c r="AC305" s="6">
        <f t="shared" si="110"/>
        <v>76.33</v>
      </c>
    </row>
    <row r="306" spans="1:29" x14ac:dyDescent="0.25">
      <c r="A306" s="34">
        <v>34029</v>
      </c>
      <c r="B306" s="34">
        <f t="shared" si="96"/>
        <v>34089</v>
      </c>
      <c r="C306">
        <v>5569.9</v>
      </c>
      <c r="D306" s="13">
        <f t="shared" si="97"/>
        <v>-5.9999999999999995E-4</v>
      </c>
      <c r="E306">
        <v>7.43</v>
      </c>
      <c r="F306">
        <v>6.91</v>
      </c>
      <c r="G306">
        <v>5.4</v>
      </c>
      <c r="H306" s="13">
        <f t="shared" si="98"/>
        <v>0</v>
      </c>
      <c r="I306">
        <v>1083</v>
      </c>
      <c r="J306" s="13">
        <f t="shared" si="99"/>
        <v>-2.64E-2</v>
      </c>
      <c r="K306">
        <v>4350000</v>
      </c>
      <c r="L306" s="13">
        <f t="shared" si="100"/>
        <v>2.3E-3</v>
      </c>
      <c r="M306">
        <v>602</v>
      </c>
      <c r="N306">
        <f t="shared" si="101"/>
        <v>615</v>
      </c>
      <c r="O306" s="13">
        <f t="shared" si="102"/>
        <v>3.5400000000000001E-2</v>
      </c>
      <c r="P306">
        <v>125000</v>
      </c>
      <c r="Q306" s="13">
        <f t="shared" si="103"/>
        <v>0</v>
      </c>
      <c r="R306">
        <v>76.841999999999999</v>
      </c>
      <c r="S306" s="13">
        <f t="shared" si="104"/>
        <v>1.5E-3</v>
      </c>
      <c r="T306">
        <v>55</v>
      </c>
      <c r="U306" s="13">
        <f t="shared" si="105"/>
        <v>0</v>
      </c>
      <c r="V306" s="6">
        <f t="shared" si="93"/>
        <v>0</v>
      </c>
      <c r="W306" s="44">
        <f t="shared" si="94"/>
        <v>533.61</v>
      </c>
      <c r="X306" s="15">
        <f t="shared" si="95"/>
        <v>9.5799999999999996E-2</v>
      </c>
      <c r="Y306" s="13">
        <f t="shared" si="111"/>
        <v>2.7591999999999999</v>
      </c>
      <c r="Z306" s="6">
        <f t="shared" si="107"/>
        <v>136.71</v>
      </c>
      <c r="AA306" s="6">
        <f t="shared" si="108"/>
        <v>-63.6</v>
      </c>
      <c r="AB306" s="6">
        <f t="shared" si="109"/>
        <v>66.599999999999994</v>
      </c>
      <c r="AC306" s="6">
        <f t="shared" si="110"/>
        <v>74.31</v>
      </c>
    </row>
    <row r="307" spans="1:29" x14ac:dyDescent="0.25">
      <c r="A307" s="34">
        <v>34001</v>
      </c>
      <c r="B307" s="34">
        <f t="shared" si="96"/>
        <v>34059</v>
      </c>
      <c r="C307">
        <v>5573</v>
      </c>
      <c r="D307" s="13">
        <f t="shared" si="97"/>
        <v>6.1000000000000004E-3</v>
      </c>
      <c r="E307">
        <v>7.5</v>
      </c>
      <c r="F307">
        <v>7.01</v>
      </c>
      <c r="G307">
        <v>5.3</v>
      </c>
      <c r="H307" s="13">
        <f t="shared" si="98"/>
        <v>9.5999999999999992E-3</v>
      </c>
      <c r="I307">
        <v>1210</v>
      </c>
      <c r="J307" s="13">
        <f t="shared" si="99"/>
        <v>3.8999999999999998E-3</v>
      </c>
      <c r="K307">
        <v>4340000</v>
      </c>
      <c r="L307" s="13">
        <f t="shared" si="100"/>
        <v>2.3E-3</v>
      </c>
      <c r="M307">
        <v>604</v>
      </c>
      <c r="N307">
        <f t="shared" si="101"/>
        <v>623</v>
      </c>
      <c r="O307" s="13">
        <f t="shared" si="102"/>
        <v>5.9499999999999997E-2</v>
      </c>
      <c r="P307">
        <v>129400</v>
      </c>
      <c r="Q307" s="13">
        <f t="shared" si="103"/>
        <v>1.6E-2</v>
      </c>
      <c r="R307">
        <v>76.787999999999997</v>
      </c>
      <c r="S307" s="13">
        <f t="shared" si="104"/>
        <v>1.8E-3</v>
      </c>
      <c r="T307">
        <v>55</v>
      </c>
      <c r="U307" s="13">
        <f t="shared" si="105"/>
        <v>0</v>
      </c>
      <c r="V307" s="6">
        <f t="shared" si="93"/>
        <v>0</v>
      </c>
      <c r="W307" s="44">
        <f t="shared" si="94"/>
        <v>536.91</v>
      </c>
      <c r="X307" s="15">
        <f t="shared" si="95"/>
        <v>9.6339999999999995E-2</v>
      </c>
      <c r="Y307" s="13">
        <f t="shared" si="111"/>
        <v>2.7557</v>
      </c>
      <c r="Z307" s="6">
        <f t="shared" si="107"/>
        <v>161.43</v>
      </c>
      <c r="AA307" s="6">
        <f t="shared" si="108"/>
        <v>-64.73</v>
      </c>
      <c r="AB307" s="6">
        <f t="shared" si="109"/>
        <v>82.27</v>
      </c>
      <c r="AC307" s="6">
        <f t="shared" si="110"/>
        <v>78.97</v>
      </c>
    </row>
    <row r="308" spans="1:29" x14ac:dyDescent="0.25">
      <c r="A308" s="34">
        <v>33970</v>
      </c>
      <c r="B308" s="34">
        <f t="shared" si="96"/>
        <v>34028</v>
      </c>
      <c r="C308">
        <v>5539.2</v>
      </c>
      <c r="D308" s="13">
        <f t="shared" si="97"/>
        <v>-2.5100000000000001E-2</v>
      </c>
      <c r="E308">
        <v>7.53</v>
      </c>
      <c r="F308">
        <v>7.02</v>
      </c>
      <c r="G308">
        <v>5.4</v>
      </c>
      <c r="H308" s="13">
        <f t="shared" si="98"/>
        <v>1.95E-2</v>
      </c>
      <c r="I308">
        <v>1210</v>
      </c>
      <c r="J308" s="13">
        <f t="shared" si="99"/>
        <v>-2.5999999999999999E-3</v>
      </c>
      <c r="K308">
        <v>4330000</v>
      </c>
      <c r="L308" s="13">
        <f t="shared" si="100"/>
        <v>2.3E-3</v>
      </c>
      <c r="M308">
        <v>596</v>
      </c>
      <c r="N308">
        <f t="shared" si="101"/>
        <v>628</v>
      </c>
      <c r="O308" s="13">
        <f t="shared" si="102"/>
        <v>6.2600000000000003E-2</v>
      </c>
      <c r="P308">
        <v>118000</v>
      </c>
      <c r="Q308" s="13">
        <f t="shared" si="103"/>
        <v>-8.8000000000000005E-3</v>
      </c>
      <c r="R308">
        <v>76.680000000000007</v>
      </c>
      <c r="S308" s="13">
        <f t="shared" si="104"/>
        <v>1.5E-3</v>
      </c>
      <c r="T308">
        <v>55</v>
      </c>
      <c r="U308" s="13">
        <f t="shared" si="105"/>
        <v>0</v>
      </c>
      <c r="V308" s="6">
        <f t="shared" si="93"/>
        <v>0</v>
      </c>
      <c r="W308" s="44">
        <f t="shared" si="94"/>
        <v>537.73</v>
      </c>
      <c r="X308" s="15">
        <f t="shared" si="95"/>
        <v>9.708E-2</v>
      </c>
      <c r="Y308" s="13">
        <f t="shared" si="111"/>
        <v>2.7686000000000002</v>
      </c>
      <c r="Z308" s="6">
        <f t="shared" si="107"/>
        <v>150.01</v>
      </c>
      <c r="AA308" s="6">
        <f t="shared" si="108"/>
        <v>-67</v>
      </c>
      <c r="AB308" s="6">
        <f t="shared" si="109"/>
        <v>74.06</v>
      </c>
      <c r="AC308" s="6">
        <f t="shared" si="110"/>
        <v>75.94</v>
      </c>
    </row>
    <row r="309" spans="1:29" x14ac:dyDescent="0.25">
      <c r="A309" s="34">
        <v>33939</v>
      </c>
      <c r="B309" s="34">
        <f t="shared" si="96"/>
        <v>34000</v>
      </c>
      <c r="C309">
        <v>5682.1</v>
      </c>
      <c r="D309" s="13">
        <f t="shared" si="97"/>
        <v>3.8300000000000001E-2</v>
      </c>
      <c r="E309">
        <v>7.86</v>
      </c>
      <c r="F309">
        <v>7.37</v>
      </c>
      <c r="G309">
        <v>5</v>
      </c>
      <c r="H309" s="13">
        <f t="shared" si="98"/>
        <v>-9.7000000000000003E-3</v>
      </c>
      <c r="I309">
        <v>1227</v>
      </c>
      <c r="J309" s="13">
        <f t="shared" si="99"/>
        <v>1.46E-2</v>
      </c>
      <c r="K309">
        <v>4320000</v>
      </c>
      <c r="L309" s="13">
        <f t="shared" si="100"/>
        <v>2.3E-3</v>
      </c>
      <c r="M309">
        <v>650</v>
      </c>
      <c r="N309">
        <f t="shared" si="101"/>
        <v>633</v>
      </c>
      <c r="O309" s="13">
        <f t="shared" si="102"/>
        <v>7.6499999999999999E-2</v>
      </c>
      <c r="P309">
        <v>126000</v>
      </c>
      <c r="Q309" s="13">
        <f t="shared" si="103"/>
        <v>1.2999999999999999E-2</v>
      </c>
      <c r="R309">
        <v>76.572000000000003</v>
      </c>
      <c r="S309" s="13">
        <f t="shared" si="104"/>
        <v>1E-3</v>
      </c>
      <c r="T309">
        <v>55</v>
      </c>
      <c r="U309" s="13">
        <f t="shared" si="105"/>
        <v>0</v>
      </c>
      <c r="V309" s="6">
        <f t="shared" si="93"/>
        <v>0</v>
      </c>
      <c r="W309" s="44">
        <f t="shared" si="94"/>
        <v>554.4</v>
      </c>
      <c r="X309" s="15">
        <f t="shared" si="95"/>
        <v>9.7570000000000004E-2</v>
      </c>
      <c r="Y309" s="13">
        <f t="shared" si="111"/>
        <v>2.6951999999999998</v>
      </c>
      <c r="Z309" s="6">
        <f t="shared" si="107"/>
        <v>162.79</v>
      </c>
      <c r="AA309" s="6">
        <f t="shared" si="108"/>
        <v>-72.08</v>
      </c>
      <c r="AB309" s="6">
        <f t="shared" si="109"/>
        <v>80.59</v>
      </c>
      <c r="AC309" s="6">
        <f t="shared" si="110"/>
        <v>76.33</v>
      </c>
    </row>
    <row r="310" spans="1:29" x14ac:dyDescent="0.25">
      <c r="A310" s="34">
        <v>33909</v>
      </c>
      <c r="B310" s="34">
        <f t="shared" si="96"/>
        <v>33969</v>
      </c>
      <c r="C310">
        <v>5472.7</v>
      </c>
      <c r="D310" s="13">
        <f t="shared" si="97"/>
        <v>4.1000000000000003E-3</v>
      </c>
      <c r="E310">
        <v>8.14</v>
      </c>
      <c r="F310">
        <v>7.68</v>
      </c>
      <c r="G310">
        <v>5.4</v>
      </c>
      <c r="H310" s="13">
        <f t="shared" si="98"/>
        <v>4.8999999999999998E-3</v>
      </c>
      <c r="I310">
        <v>1214</v>
      </c>
      <c r="J310" s="13">
        <f t="shared" si="99"/>
        <v>1.1599999999999999E-2</v>
      </c>
      <c r="K310">
        <v>4310000</v>
      </c>
      <c r="L310" s="13">
        <f t="shared" si="100"/>
        <v>2.3E-3</v>
      </c>
      <c r="M310">
        <v>614</v>
      </c>
      <c r="N310">
        <f t="shared" si="101"/>
        <v>624</v>
      </c>
      <c r="O310" s="13">
        <f t="shared" si="102"/>
        <v>8.1500000000000003E-2</v>
      </c>
      <c r="P310">
        <v>128900</v>
      </c>
      <c r="Q310" s="13">
        <f t="shared" si="103"/>
        <v>7.1999999999999998E-3</v>
      </c>
      <c r="R310">
        <v>76.382000000000005</v>
      </c>
      <c r="S310" s="13">
        <f t="shared" si="104"/>
        <v>2.0000000000000001E-4</v>
      </c>
      <c r="T310">
        <v>55</v>
      </c>
      <c r="U310" s="13">
        <f t="shared" si="105"/>
        <v>0</v>
      </c>
      <c r="V310" s="6">
        <f t="shared" si="93"/>
        <v>0</v>
      </c>
      <c r="W310" s="44">
        <f t="shared" si="94"/>
        <v>567.94000000000005</v>
      </c>
      <c r="X310" s="15">
        <f t="shared" si="95"/>
        <v>0.10378</v>
      </c>
      <c r="Y310" s="13">
        <f t="shared" si="111"/>
        <v>2.7913999999999999</v>
      </c>
      <c r="Z310" s="6">
        <f t="shared" si="107"/>
        <v>158.41999999999999</v>
      </c>
      <c r="AA310" s="6">
        <f t="shared" si="108"/>
        <v>-85.12</v>
      </c>
      <c r="AB310" s="6">
        <f t="shared" si="109"/>
        <v>73.180000000000007</v>
      </c>
      <c r="AC310" s="6">
        <f t="shared" si="110"/>
        <v>73.72</v>
      </c>
    </row>
    <row r="311" spans="1:29" x14ac:dyDescent="0.25">
      <c r="A311" s="34">
        <v>33878</v>
      </c>
      <c r="B311" s="34">
        <f t="shared" si="96"/>
        <v>33938</v>
      </c>
      <c r="C311">
        <v>5450.1</v>
      </c>
      <c r="D311" s="13">
        <f t="shared" si="97"/>
        <v>-1.4E-3</v>
      </c>
      <c r="E311">
        <v>8.2899999999999991</v>
      </c>
      <c r="F311">
        <v>7.81</v>
      </c>
      <c r="G311">
        <v>5.0999999999999996</v>
      </c>
      <c r="H311" s="13">
        <f t="shared" si="98"/>
        <v>-2.3699999999999999E-2</v>
      </c>
      <c r="I311">
        <v>1244</v>
      </c>
      <c r="J311" s="13">
        <f t="shared" si="99"/>
        <v>5.1000000000000004E-3</v>
      </c>
      <c r="K311">
        <v>4300000</v>
      </c>
      <c r="L311" s="13">
        <f t="shared" si="100"/>
        <v>2.3E-3</v>
      </c>
      <c r="M311">
        <v>621</v>
      </c>
      <c r="N311">
        <f t="shared" si="101"/>
        <v>614</v>
      </c>
      <c r="O311" s="13">
        <f t="shared" si="102"/>
        <v>0.1004</v>
      </c>
      <c r="P311">
        <v>125000</v>
      </c>
      <c r="Q311" s="13">
        <f t="shared" si="103"/>
        <v>2.01E-2</v>
      </c>
      <c r="R311">
        <v>76.241</v>
      </c>
      <c r="S311" s="13">
        <f t="shared" si="104"/>
        <v>-5.0000000000000001E-4</v>
      </c>
      <c r="T311">
        <v>55</v>
      </c>
      <c r="U311" s="13">
        <f t="shared" si="105"/>
        <v>0</v>
      </c>
      <c r="V311" s="6">
        <f t="shared" si="93"/>
        <v>0</v>
      </c>
      <c r="W311" s="44">
        <f t="shared" si="94"/>
        <v>574.91999999999996</v>
      </c>
      <c r="X311" s="15">
        <f t="shared" si="95"/>
        <v>0.10549</v>
      </c>
      <c r="Y311" s="13">
        <f t="shared" si="111"/>
        <v>2.7978000000000001</v>
      </c>
      <c r="Z311" s="6">
        <f t="shared" si="107"/>
        <v>160.86000000000001</v>
      </c>
      <c r="AA311" s="6">
        <f t="shared" si="108"/>
        <v>-83.86</v>
      </c>
      <c r="AB311" s="6">
        <f t="shared" si="109"/>
        <v>75.209999999999994</v>
      </c>
      <c r="AC311" s="6">
        <f t="shared" si="110"/>
        <v>72.489999999999995</v>
      </c>
    </row>
    <row r="312" spans="1:29" x14ac:dyDescent="0.25">
      <c r="A312" s="34">
        <v>33848</v>
      </c>
      <c r="B312" s="34">
        <f t="shared" si="96"/>
        <v>33908</v>
      </c>
      <c r="C312">
        <v>5457.7</v>
      </c>
      <c r="D312" s="13">
        <f t="shared" si="97"/>
        <v>-2.2000000000000001E-3</v>
      </c>
      <c r="E312">
        <v>8.2100000000000009</v>
      </c>
      <c r="F312">
        <v>7.68</v>
      </c>
      <c r="G312">
        <v>5</v>
      </c>
      <c r="H312" s="13">
        <f t="shared" si="98"/>
        <v>-4.5199999999999997E-2</v>
      </c>
      <c r="I312">
        <v>1186</v>
      </c>
      <c r="J312" s="13">
        <f t="shared" si="99"/>
        <v>1.49E-2</v>
      </c>
      <c r="K312">
        <v>4290000</v>
      </c>
      <c r="L312" s="13">
        <f t="shared" si="100"/>
        <v>2.3E-3</v>
      </c>
      <c r="M312">
        <v>650</v>
      </c>
      <c r="N312">
        <f t="shared" si="101"/>
        <v>602</v>
      </c>
      <c r="O312" s="13">
        <f t="shared" si="102"/>
        <v>0.1358</v>
      </c>
      <c r="P312">
        <v>119500</v>
      </c>
      <c r="Q312" s="13">
        <f t="shared" si="103"/>
        <v>-8.0000000000000004E-4</v>
      </c>
      <c r="R312">
        <v>76.233000000000004</v>
      </c>
      <c r="S312" s="13">
        <f t="shared" si="104"/>
        <v>-4.0000000000000002E-4</v>
      </c>
      <c r="T312">
        <v>55</v>
      </c>
      <c r="U312" s="13">
        <f t="shared" si="105"/>
        <v>0</v>
      </c>
      <c r="V312" s="6">
        <f t="shared" si="93"/>
        <v>0</v>
      </c>
      <c r="W312" s="44">
        <f t="shared" si="94"/>
        <v>570.57000000000005</v>
      </c>
      <c r="X312" s="15">
        <f t="shared" si="95"/>
        <v>0.10453999999999999</v>
      </c>
      <c r="Y312" s="13">
        <f t="shared" si="111"/>
        <v>2.7936000000000001</v>
      </c>
      <c r="Z312" s="6">
        <f t="shared" si="107"/>
        <v>154.69</v>
      </c>
      <c r="AA312" s="6">
        <f t="shared" si="108"/>
        <v>-79.38</v>
      </c>
      <c r="AB312" s="6">
        <f t="shared" si="109"/>
        <v>72.77</v>
      </c>
      <c r="AC312" s="6">
        <f t="shared" si="110"/>
        <v>69.42</v>
      </c>
    </row>
    <row r="313" spans="1:29" x14ac:dyDescent="0.25">
      <c r="A313" s="34">
        <v>33817</v>
      </c>
      <c r="B313" s="34">
        <f t="shared" si="96"/>
        <v>33877</v>
      </c>
      <c r="C313">
        <v>5469.7</v>
      </c>
      <c r="D313" s="13">
        <f t="shared" si="97"/>
        <v>5.1999999999999998E-3</v>
      </c>
      <c r="E313">
        <v>8.02</v>
      </c>
      <c r="F313">
        <v>7.48</v>
      </c>
      <c r="G313">
        <v>5.2</v>
      </c>
      <c r="H313" s="13">
        <f t="shared" si="98"/>
        <v>-3.9100000000000003E-2</v>
      </c>
      <c r="I313">
        <v>1226</v>
      </c>
      <c r="J313" s="13">
        <f t="shared" si="99"/>
        <v>-1.2E-2</v>
      </c>
      <c r="K313">
        <v>4280000</v>
      </c>
      <c r="L313" s="13">
        <f t="shared" si="100"/>
        <v>2.3999999999999998E-3</v>
      </c>
      <c r="M313">
        <v>636</v>
      </c>
      <c r="N313">
        <f t="shared" si="101"/>
        <v>585</v>
      </c>
      <c r="O313" s="13">
        <f t="shared" si="102"/>
        <v>0.11849999999999999</v>
      </c>
      <c r="P313">
        <v>123500</v>
      </c>
      <c r="Q313" s="13">
        <f t="shared" si="103"/>
        <v>5.8999999999999999E-3</v>
      </c>
      <c r="R313">
        <v>76.266999999999996</v>
      </c>
      <c r="S313" s="13">
        <f t="shared" si="104"/>
        <v>0</v>
      </c>
      <c r="T313">
        <v>55</v>
      </c>
      <c r="U313" s="13">
        <f t="shared" si="105"/>
        <v>0</v>
      </c>
      <c r="V313" s="6">
        <f t="shared" si="93"/>
        <v>0</v>
      </c>
      <c r="W313" s="44">
        <f t="shared" si="94"/>
        <v>560.67999999999995</v>
      </c>
      <c r="X313" s="15">
        <f t="shared" si="95"/>
        <v>0.10251</v>
      </c>
      <c r="Y313" s="13">
        <f t="shared" si="111"/>
        <v>2.7887</v>
      </c>
      <c r="Z313" s="6">
        <f t="shared" si="107"/>
        <v>149.94999999999999</v>
      </c>
      <c r="AA313" s="6">
        <f t="shared" si="108"/>
        <v>-79.930000000000007</v>
      </c>
      <c r="AB313" s="6">
        <f t="shared" si="109"/>
        <v>69.489999999999995</v>
      </c>
      <c r="AC313" s="6">
        <f t="shared" si="110"/>
        <v>69.430000000000007</v>
      </c>
    </row>
    <row r="314" spans="1:29" x14ac:dyDescent="0.25">
      <c r="A314" s="34">
        <v>33786</v>
      </c>
      <c r="B314" s="34">
        <f t="shared" si="96"/>
        <v>33847</v>
      </c>
      <c r="C314">
        <v>5441.3</v>
      </c>
      <c r="D314" s="13">
        <f t="shared" si="97"/>
        <v>2.5000000000000001E-3</v>
      </c>
      <c r="E314">
        <v>8.01</v>
      </c>
      <c r="F314">
        <v>7.51</v>
      </c>
      <c r="G314">
        <v>5.3</v>
      </c>
      <c r="H314" s="13">
        <f t="shared" si="98"/>
        <v>-3.3599999999999998E-2</v>
      </c>
      <c r="I314">
        <v>1139</v>
      </c>
      <c r="J314" s="13">
        <f t="shared" si="99"/>
        <v>-1.8499999999999999E-2</v>
      </c>
      <c r="K314">
        <v>4270000</v>
      </c>
      <c r="L314" s="13">
        <f t="shared" si="100"/>
        <v>2.3999999999999998E-3</v>
      </c>
      <c r="M314">
        <v>627</v>
      </c>
      <c r="N314">
        <f t="shared" si="101"/>
        <v>586</v>
      </c>
      <c r="O314" s="13">
        <f t="shared" si="102"/>
        <v>0.1401</v>
      </c>
      <c r="P314">
        <v>118000</v>
      </c>
      <c r="Q314" s="13">
        <f t="shared" si="103"/>
        <v>1.2999999999999999E-3</v>
      </c>
      <c r="R314">
        <v>76.331999999999994</v>
      </c>
      <c r="S314" s="13">
        <f t="shared" si="104"/>
        <v>5.9999999999999995E-4</v>
      </c>
      <c r="T314">
        <v>55</v>
      </c>
      <c r="U314" s="13">
        <f t="shared" si="105"/>
        <v>0</v>
      </c>
      <c r="V314" s="6">
        <f t="shared" si="93"/>
        <v>0</v>
      </c>
      <c r="W314" s="44">
        <f t="shared" si="94"/>
        <v>560.63</v>
      </c>
      <c r="X314" s="15">
        <f t="shared" si="95"/>
        <v>0.10303</v>
      </c>
      <c r="Y314" s="13">
        <f t="shared" si="111"/>
        <v>2.8056999999999999</v>
      </c>
      <c r="Z314" s="6">
        <f t="shared" si="107"/>
        <v>146.30000000000001</v>
      </c>
      <c r="AA314" s="6">
        <f t="shared" si="108"/>
        <v>-83.11</v>
      </c>
      <c r="AB314" s="6">
        <f t="shared" si="109"/>
        <v>66.010000000000005</v>
      </c>
      <c r="AC314" s="6">
        <f t="shared" si="110"/>
        <v>69.78</v>
      </c>
    </row>
    <row r="315" spans="1:29" x14ac:dyDescent="0.25">
      <c r="A315" s="34">
        <v>33756</v>
      </c>
      <c r="B315" s="34">
        <f t="shared" si="96"/>
        <v>33816</v>
      </c>
      <c r="C315">
        <v>5427.8</v>
      </c>
      <c r="D315" s="13">
        <f t="shared" si="97"/>
        <v>6.0000000000000001E-3</v>
      </c>
      <c r="E315">
        <v>8.0500000000000007</v>
      </c>
      <c r="F315">
        <v>7.6</v>
      </c>
      <c r="G315">
        <v>5.6</v>
      </c>
      <c r="H315" s="13">
        <f t="shared" si="98"/>
        <v>3.0300000000000001E-2</v>
      </c>
      <c r="I315">
        <v>1145</v>
      </c>
      <c r="J315" s="13">
        <f t="shared" si="99"/>
        <v>-5.1000000000000004E-3</v>
      </c>
      <c r="K315">
        <v>4260000</v>
      </c>
      <c r="L315" s="13">
        <f t="shared" si="100"/>
        <v>2.3999999999999998E-3</v>
      </c>
      <c r="M315">
        <v>596</v>
      </c>
      <c r="N315">
        <f t="shared" si="101"/>
        <v>594</v>
      </c>
      <c r="O315" s="13">
        <f t="shared" si="102"/>
        <v>0.16239999999999999</v>
      </c>
      <c r="P315">
        <v>124500</v>
      </c>
      <c r="Q315" s="13">
        <f t="shared" si="103"/>
        <v>7.6E-3</v>
      </c>
      <c r="R315">
        <v>76.396000000000001</v>
      </c>
      <c r="S315" s="13">
        <f t="shared" si="104"/>
        <v>1E-3</v>
      </c>
      <c r="T315">
        <v>55</v>
      </c>
      <c r="U315" s="13">
        <f t="shared" si="105"/>
        <v>0</v>
      </c>
      <c r="V315" s="6">
        <f t="shared" si="93"/>
        <v>0</v>
      </c>
      <c r="W315" s="44">
        <f t="shared" si="94"/>
        <v>563.23</v>
      </c>
      <c r="X315" s="15">
        <f t="shared" si="95"/>
        <v>0.10377</v>
      </c>
      <c r="Y315" s="13">
        <f t="shared" si="111"/>
        <v>2.8149999999999999</v>
      </c>
      <c r="Z315" s="6">
        <f t="shared" si="107"/>
        <v>161.88</v>
      </c>
      <c r="AA315" s="6">
        <f t="shared" si="108"/>
        <v>-92.68</v>
      </c>
      <c r="AB315" s="6">
        <f t="shared" si="109"/>
        <v>72.78</v>
      </c>
      <c r="AC315" s="6">
        <f t="shared" si="110"/>
        <v>68.709999999999994</v>
      </c>
    </row>
    <row r="316" spans="1:29" x14ac:dyDescent="0.25">
      <c r="A316" s="34">
        <v>33725</v>
      </c>
      <c r="B316" s="34">
        <f t="shared" si="96"/>
        <v>33785</v>
      </c>
      <c r="C316">
        <v>5395.6</v>
      </c>
      <c r="D316" s="13">
        <f t="shared" si="97"/>
        <v>6.7000000000000002E-3</v>
      </c>
      <c r="E316">
        <v>8.43</v>
      </c>
      <c r="F316">
        <v>7.98</v>
      </c>
      <c r="G316">
        <v>6</v>
      </c>
      <c r="H316" s="13">
        <f t="shared" si="98"/>
        <v>3.5900000000000001E-2</v>
      </c>
      <c r="I316">
        <v>1214</v>
      </c>
      <c r="J316" s="13">
        <f t="shared" si="99"/>
        <v>2.29E-2</v>
      </c>
      <c r="K316">
        <v>4250000</v>
      </c>
      <c r="L316" s="13">
        <f t="shared" si="100"/>
        <v>2.3999999999999998E-3</v>
      </c>
      <c r="M316">
        <v>554</v>
      </c>
      <c r="N316">
        <f t="shared" si="101"/>
        <v>588</v>
      </c>
      <c r="O316" s="13">
        <f t="shared" si="102"/>
        <v>0.14399999999999999</v>
      </c>
      <c r="P316">
        <v>113000</v>
      </c>
      <c r="Q316" s="13">
        <f t="shared" si="103"/>
        <v>-1.4999999999999999E-2</v>
      </c>
      <c r="R316">
        <v>76.343000000000004</v>
      </c>
      <c r="S316" s="13">
        <f t="shared" si="104"/>
        <v>1E-3</v>
      </c>
      <c r="T316">
        <v>55</v>
      </c>
      <c r="U316" s="13">
        <f t="shared" si="105"/>
        <v>0</v>
      </c>
      <c r="V316" s="6">
        <f t="shared" si="93"/>
        <v>0</v>
      </c>
      <c r="W316" s="44">
        <f t="shared" si="94"/>
        <v>583.23</v>
      </c>
      <c r="X316" s="15">
        <f t="shared" si="95"/>
        <v>0.10809000000000001</v>
      </c>
      <c r="Y316" s="13">
        <f t="shared" si="111"/>
        <v>2.8298000000000001</v>
      </c>
      <c r="Z316" s="6">
        <f t="shared" si="107"/>
        <v>161.76</v>
      </c>
      <c r="AA316" s="6">
        <f t="shared" si="108"/>
        <v>-98.84</v>
      </c>
      <c r="AB316" s="6">
        <f t="shared" si="109"/>
        <v>70.55</v>
      </c>
      <c r="AC316" s="6">
        <f t="shared" si="110"/>
        <v>69.05</v>
      </c>
    </row>
    <row r="317" spans="1:29" x14ac:dyDescent="0.25">
      <c r="A317" s="34">
        <v>33695</v>
      </c>
      <c r="B317" s="34">
        <f t="shared" si="96"/>
        <v>33755</v>
      </c>
      <c r="C317">
        <v>5359.8</v>
      </c>
      <c r="D317" s="13">
        <f t="shared" si="97"/>
        <v>6.4000000000000003E-3</v>
      </c>
      <c r="E317">
        <v>8.6</v>
      </c>
      <c r="F317">
        <v>8.2100000000000009</v>
      </c>
      <c r="G317">
        <v>6.1</v>
      </c>
      <c r="H317" s="13">
        <f t="shared" si="98"/>
        <v>-4.4999999999999997E-3</v>
      </c>
      <c r="I317">
        <v>1099</v>
      </c>
      <c r="J317" s="13">
        <f t="shared" si="99"/>
        <v>-6.9999999999999999E-4</v>
      </c>
      <c r="K317">
        <v>4240000</v>
      </c>
      <c r="L317" s="13">
        <f t="shared" si="100"/>
        <v>1.1999999999999999E-3</v>
      </c>
      <c r="M317">
        <v>546</v>
      </c>
      <c r="N317">
        <f t="shared" si="101"/>
        <v>591</v>
      </c>
      <c r="O317" s="13">
        <f t="shared" si="102"/>
        <v>0.16569999999999999</v>
      </c>
      <c r="P317">
        <v>120000</v>
      </c>
      <c r="Q317" s="13">
        <f t="shared" si="103"/>
        <v>2.5000000000000001E-3</v>
      </c>
      <c r="R317">
        <v>76.274000000000001</v>
      </c>
      <c r="S317" s="13">
        <f t="shared" si="104"/>
        <v>8.0000000000000004E-4</v>
      </c>
      <c r="T317">
        <v>55</v>
      </c>
      <c r="U317" s="13">
        <f t="shared" si="105"/>
        <v>0</v>
      </c>
      <c r="V317" s="6">
        <f t="shared" si="93"/>
        <v>0</v>
      </c>
      <c r="W317" s="44">
        <f t="shared" si="94"/>
        <v>591.9</v>
      </c>
      <c r="X317" s="15">
        <f t="shared" si="95"/>
        <v>0.11043</v>
      </c>
      <c r="Y317" s="13">
        <f t="shared" si="111"/>
        <v>2.8462000000000001</v>
      </c>
      <c r="Z317" s="6">
        <f t="shared" si="107"/>
        <v>154.06</v>
      </c>
      <c r="AA317" s="6">
        <f t="shared" si="108"/>
        <v>-106.66</v>
      </c>
      <c r="AB317" s="6">
        <f t="shared" si="109"/>
        <v>62.81</v>
      </c>
      <c r="AC317" s="6">
        <f t="shared" si="110"/>
        <v>68.77</v>
      </c>
    </row>
    <row r="318" spans="1:29" x14ac:dyDescent="0.25">
      <c r="A318" s="34">
        <v>33664</v>
      </c>
      <c r="B318" s="34">
        <f t="shared" si="96"/>
        <v>33724</v>
      </c>
      <c r="C318">
        <v>5325.5</v>
      </c>
      <c r="D318" s="13">
        <f t="shared" si="97"/>
        <v>4.1000000000000003E-3</v>
      </c>
      <c r="E318">
        <v>8.85</v>
      </c>
      <c r="F318">
        <v>8.49</v>
      </c>
      <c r="G318">
        <v>6.1</v>
      </c>
      <c r="H318" s="13">
        <f t="shared" si="98"/>
        <v>-4.4000000000000003E-3</v>
      </c>
      <c r="I318">
        <v>1297</v>
      </c>
      <c r="J318" s="13">
        <f t="shared" si="99"/>
        <v>3.8300000000000001E-2</v>
      </c>
      <c r="K318">
        <v>4230000</v>
      </c>
      <c r="L318" s="13">
        <f t="shared" si="100"/>
        <v>1.1999999999999999E-3</v>
      </c>
      <c r="M318">
        <v>553</v>
      </c>
      <c r="N318">
        <f t="shared" si="101"/>
        <v>588</v>
      </c>
      <c r="O318" s="13">
        <f t="shared" si="102"/>
        <v>0.20250000000000001</v>
      </c>
      <c r="P318">
        <v>120000</v>
      </c>
      <c r="Q318" s="13">
        <f t="shared" si="103"/>
        <v>-4.3E-3</v>
      </c>
      <c r="R318">
        <v>76.152000000000001</v>
      </c>
      <c r="S318" s="13">
        <f t="shared" si="104"/>
        <v>2.9999999999999997E-4</v>
      </c>
      <c r="T318">
        <v>55</v>
      </c>
      <c r="U318" s="13">
        <f t="shared" si="105"/>
        <v>0</v>
      </c>
      <c r="V318" s="6">
        <f t="shared" si="93"/>
        <v>0</v>
      </c>
      <c r="W318" s="44">
        <f t="shared" si="94"/>
        <v>604.54</v>
      </c>
      <c r="X318" s="15">
        <f t="shared" si="95"/>
        <v>0.11352</v>
      </c>
      <c r="Y318" s="13">
        <f t="shared" si="111"/>
        <v>2.8599000000000001</v>
      </c>
      <c r="Z318" s="6">
        <f t="shared" si="107"/>
        <v>173.52</v>
      </c>
      <c r="AA318" s="6">
        <f t="shared" si="108"/>
        <v>-111.43</v>
      </c>
      <c r="AB318" s="6">
        <f t="shared" si="109"/>
        <v>73.790000000000006</v>
      </c>
      <c r="AC318" s="6">
        <f t="shared" si="110"/>
        <v>68.66</v>
      </c>
    </row>
    <row r="319" spans="1:29" x14ac:dyDescent="0.25">
      <c r="A319" s="34">
        <v>33635</v>
      </c>
      <c r="B319" s="34">
        <f t="shared" si="96"/>
        <v>33694</v>
      </c>
      <c r="C319">
        <v>5303.8</v>
      </c>
      <c r="D319" s="13">
        <f t="shared" si="97"/>
        <v>7.4999999999999997E-3</v>
      </c>
      <c r="E319">
        <v>8.98</v>
      </c>
      <c r="F319">
        <v>8.6300000000000008</v>
      </c>
      <c r="G319">
        <v>4.9000000000000004</v>
      </c>
      <c r="H319" s="13">
        <f t="shared" si="98"/>
        <v>-7.4099999999999999E-2</v>
      </c>
      <c r="I319">
        <v>1250</v>
      </c>
      <c r="J319" s="13">
        <f t="shared" si="99"/>
        <v>4.3099999999999999E-2</v>
      </c>
      <c r="K319">
        <v>4220000</v>
      </c>
      <c r="L319" s="13">
        <f t="shared" si="100"/>
        <v>1.1999999999999999E-3</v>
      </c>
      <c r="M319">
        <v>639</v>
      </c>
      <c r="N319">
        <f t="shared" si="101"/>
        <v>577</v>
      </c>
      <c r="O319" s="13">
        <f t="shared" si="102"/>
        <v>0.2021</v>
      </c>
      <c r="P319">
        <v>117200</v>
      </c>
      <c r="Q319" s="13">
        <f t="shared" si="103"/>
        <v>-4.5999999999999999E-3</v>
      </c>
      <c r="R319">
        <v>76.082999999999998</v>
      </c>
      <c r="S319" s="13">
        <f t="shared" si="104"/>
        <v>-2.9999999999999997E-4</v>
      </c>
      <c r="T319">
        <v>55</v>
      </c>
      <c r="U319" s="13">
        <f t="shared" si="105"/>
        <v>0</v>
      </c>
      <c r="V319" s="6">
        <f t="shared" si="93"/>
        <v>0</v>
      </c>
      <c r="W319" s="44">
        <f t="shared" si="94"/>
        <v>611.09</v>
      </c>
      <c r="X319" s="15">
        <f t="shared" si="95"/>
        <v>0.11522</v>
      </c>
      <c r="Y319" s="13">
        <f t="shared" si="111"/>
        <v>2.8690000000000002</v>
      </c>
      <c r="Z319" s="6">
        <f t="shared" si="107"/>
        <v>166.94</v>
      </c>
      <c r="AA319" s="6">
        <f t="shared" si="108"/>
        <v>-110.84</v>
      </c>
      <c r="AB319" s="6">
        <f t="shared" si="109"/>
        <v>69.72</v>
      </c>
      <c r="AC319" s="6">
        <f t="shared" si="110"/>
        <v>89.23</v>
      </c>
    </row>
    <row r="320" spans="1:29" x14ac:dyDescent="0.25">
      <c r="A320" s="34">
        <v>33604</v>
      </c>
      <c r="B320" s="34">
        <f t="shared" si="96"/>
        <v>33663</v>
      </c>
      <c r="C320">
        <v>5264.2</v>
      </c>
      <c r="D320" s="13">
        <f t="shared" si="97"/>
        <v>6.4000000000000003E-3</v>
      </c>
      <c r="E320">
        <v>8.83</v>
      </c>
      <c r="F320">
        <v>8.44</v>
      </c>
      <c r="G320">
        <v>5.2</v>
      </c>
      <c r="H320" s="13">
        <f t="shared" si="98"/>
        <v>-8.3000000000000004E-2</v>
      </c>
      <c r="I320">
        <v>1176</v>
      </c>
      <c r="J320" s="13">
        <f t="shared" si="99"/>
        <v>2.3800000000000002E-2</v>
      </c>
      <c r="K320">
        <v>4210000</v>
      </c>
      <c r="L320" s="13">
        <f t="shared" si="100"/>
        <v>1.1999999999999999E-3</v>
      </c>
      <c r="M320">
        <v>676</v>
      </c>
      <c r="N320">
        <f t="shared" si="101"/>
        <v>558</v>
      </c>
      <c r="O320" s="13">
        <f t="shared" si="102"/>
        <v>0.1822</v>
      </c>
      <c r="P320">
        <v>120000</v>
      </c>
      <c r="Q320" s="13">
        <f t="shared" si="103"/>
        <v>-1.2999999999999999E-3</v>
      </c>
      <c r="R320">
        <v>76.045000000000002</v>
      </c>
      <c r="S320" s="13">
        <f t="shared" si="104"/>
        <v>-2.0000000000000001E-4</v>
      </c>
      <c r="T320">
        <v>55</v>
      </c>
      <c r="U320" s="13">
        <f t="shared" si="105"/>
        <v>0</v>
      </c>
      <c r="V320" s="6">
        <f t="shared" ref="V320" si="112">ROUND(T320-AVERAGE(T321:T321),2)</f>
        <v>0</v>
      </c>
      <c r="W320" s="44">
        <f t="shared" ref="W320:W321" si="113">ROUND(PMT((E320*0.01)/12,360,R320*1000)*-1,2)</f>
        <v>602.6</v>
      </c>
      <c r="X320" s="15">
        <f t="shared" ref="X320:X321" si="114">ROUND(W320/C320,5)</f>
        <v>0.11447</v>
      </c>
      <c r="Y320" s="13">
        <f t="shared" si="111"/>
        <v>2.8891</v>
      </c>
      <c r="Z320" s="6">
        <f t="shared" si="107"/>
        <v>155.94</v>
      </c>
      <c r="AA320" s="6">
        <f t="shared" si="108"/>
        <v>-111.13</v>
      </c>
      <c r="AB320" s="6">
        <f t="shared" si="109"/>
        <v>62.47</v>
      </c>
      <c r="AC320" s="6">
        <f t="shared" si="110"/>
        <v>77.760000000000005</v>
      </c>
    </row>
    <row r="321" spans="1:29" x14ac:dyDescent="0.25">
      <c r="A321" s="34">
        <v>33573</v>
      </c>
      <c r="B321" s="34">
        <f t="shared" si="96"/>
        <v>33634</v>
      </c>
      <c r="C321">
        <v>5230.8999999999996</v>
      </c>
      <c r="D321" s="13">
        <f t="shared" si="97"/>
        <v>1.11E-2</v>
      </c>
      <c r="E321">
        <v>8.68</v>
      </c>
      <c r="F321">
        <v>8.2799999999999994</v>
      </c>
      <c r="G321">
        <v>6.2</v>
      </c>
      <c r="H321" s="13">
        <f t="shared" si="98"/>
        <v>-2.2100000000000002E-2</v>
      </c>
      <c r="I321">
        <v>1079</v>
      </c>
      <c r="J321" s="13">
        <f t="shared" si="99"/>
        <v>3.0000000000000001E-3</v>
      </c>
      <c r="K321">
        <v>4200000</v>
      </c>
      <c r="L321" s="13">
        <v>0</v>
      </c>
      <c r="M321">
        <v>558</v>
      </c>
      <c r="N321">
        <f t="shared" si="101"/>
        <v>530</v>
      </c>
      <c r="O321" s="13">
        <f t="shared" si="102"/>
        <v>0.14219999999999999</v>
      </c>
      <c r="P321">
        <v>122000</v>
      </c>
      <c r="Q321" s="13">
        <f t="shared" si="103"/>
        <v>3.3E-3</v>
      </c>
      <c r="R321">
        <v>76.025999999999996</v>
      </c>
      <c r="S321" s="13">
        <f t="shared" si="104"/>
        <v>-2.0000000000000001E-4</v>
      </c>
      <c r="T321">
        <v>55</v>
      </c>
      <c r="U321" s="13">
        <v>0</v>
      </c>
      <c r="V321" s="6">
        <v>0</v>
      </c>
      <c r="W321" s="44">
        <f t="shared" si="113"/>
        <v>594.29999999999995</v>
      </c>
      <c r="X321" s="15">
        <f t="shared" si="114"/>
        <v>0.11361</v>
      </c>
      <c r="Y321" s="13">
        <f>ROUND(((R321*1000)*0.2)/C321,4)</f>
        <v>2.9068000000000001</v>
      </c>
      <c r="Z321" s="6">
        <f t="shared" si="107"/>
        <v>146.88999999999999</v>
      </c>
      <c r="AA321" s="6">
        <f t="shared" si="108"/>
        <v>114.32</v>
      </c>
      <c r="AB321" s="6">
        <f t="shared" si="109"/>
        <v>135.49</v>
      </c>
      <c r="AC321" s="6">
        <f t="shared" si="110"/>
        <v>70.94</v>
      </c>
    </row>
    <row r="322" spans="1:29" x14ac:dyDescent="0.25">
      <c r="C322">
        <v>5173.7</v>
      </c>
      <c r="D322" s="13">
        <f t="shared" si="97"/>
        <v>3.8999999999999998E-3</v>
      </c>
      <c r="E322">
        <v>8.35</v>
      </c>
      <c r="F322">
        <v>7.9</v>
      </c>
      <c r="G322">
        <v>6.2</v>
      </c>
      <c r="H322" s="13">
        <f t="shared" si="98"/>
        <v>-3.2099999999999997E-2</v>
      </c>
      <c r="I322">
        <v>1103</v>
      </c>
      <c r="J322" s="13">
        <f t="shared" si="99"/>
        <v>1.2800000000000001E-2</v>
      </c>
      <c r="M322">
        <v>575</v>
      </c>
      <c r="N322">
        <f t="shared" si="101"/>
        <v>523</v>
      </c>
      <c r="O322" s="13">
        <f t="shared" si="102"/>
        <v>0.1648</v>
      </c>
      <c r="P322">
        <v>118500</v>
      </c>
      <c r="Q322" s="13">
        <f t="shared" si="103"/>
        <v>-8.0000000000000004E-4</v>
      </c>
      <c r="R322">
        <v>76.072000000000003</v>
      </c>
      <c r="S322" s="13">
        <f t="shared" si="104"/>
        <v>2.9999999999999997E-4</v>
      </c>
      <c r="Z322" s="6">
        <f t="shared" si="107"/>
        <v>54.34</v>
      </c>
      <c r="AB322" s="6">
        <f t="shared" si="109"/>
        <v>35.32</v>
      </c>
      <c r="AC322" s="6">
        <f t="shared" si="110"/>
        <v>35.78</v>
      </c>
    </row>
    <row r="323" spans="1:29" x14ac:dyDescent="0.25">
      <c r="C323">
        <v>5153.5</v>
      </c>
      <c r="D323" s="13">
        <f t="shared" si="97"/>
        <v>3.3E-3</v>
      </c>
      <c r="E323">
        <v>8.6999999999999993</v>
      </c>
      <c r="F323">
        <v>8.2899999999999991</v>
      </c>
      <c r="G323">
        <v>6.7</v>
      </c>
      <c r="H323" s="13">
        <f t="shared" si="98"/>
        <v>-1.06E-2</v>
      </c>
      <c r="I323">
        <v>1079</v>
      </c>
      <c r="J323" s="13">
        <f t="shared" si="99"/>
        <v>1.61E-2</v>
      </c>
      <c r="M323">
        <v>524</v>
      </c>
      <c r="N323">
        <f t="shared" si="101"/>
        <v>514</v>
      </c>
      <c r="O323" s="13">
        <f t="shared" si="102"/>
        <v>0.18709999999999999</v>
      </c>
      <c r="P323">
        <v>122600</v>
      </c>
      <c r="Q323" s="13">
        <f t="shared" si="103"/>
        <v>1.11E-2</v>
      </c>
      <c r="R323">
        <v>76.188000000000002</v>
      </c>
      <c r="S323" s="13">
        <f t="shared" si="104"/>
        <v>1.4E-3</v>
      </c>
      <c r="Z323" s="6">
        <f t="shared" si="107"/>
        <v>64.62</v>
      </c>
      <c r="AB323" s="6">
        <f t="shared" si="109"/>
        <v>42</v>
      </c>
    </row>
    <row r="324" spans="1:29" x14ac:dyDescent="0.25">
      <c r="C324">
        <v>5136.8</v>
      </c>
      <c r="D324" s="13">
        <f t="shared" si="97"/>
        <v>6.6E-3</v>
      </c>
      <c r="E324">
        <v>8.91</v>
      </c>
      <c r="F324">
        <v>8.51</v>
      </c>
      <c r="G324">
        <v>7.4</v>
      </c>
      <c r="H324" s="13">
        <f t="shared" si="98"/>
        <v>1.43E-2</v>
      </c>
      <c r="I324">
        <v>1015</v>
      </c>
      <c r="J324" s="13">
        <f t="shared" si="99"/>
        <v>2.7000000000000001E-3</v>
      </c>
      <c r="M324">
        <v>487</v>
      </c>
      <c r="N324">
        <f t="shared" si="101"/>
        <v>511</v>
      </c>
      <c r="O324" s="13">
        <f t="shared" si="102"/>
        <v>0.1013</v>
      </c>
      <c r="P324">
        <v>120000</v>
      </c>
      <c r="Q324" s="13">
        <f t="shared" si="103"/>
        <v>-1.6999999999999999E-3</v>
      </c>
      <c r="R324">
        <v>76.100999999999999</v>
      </c>
      <c r="S324" s="13">
        <f t="shared" si="104"/>
        <v>1.8E-3</v>
      </c>
      <c r="Z324" s="6">
        <f t="shared" si="107"/>
        <v>46.2</v>
      </c>
      <c r="AB324" s="6">
        <f t="shared" si="109"/>
        <v>30.03</v>
      </c>
    </row>
    <row r="325" spans="1:29" x14ac:dyDescent="0.25">
      <c r="C325">
        <v>5103.2</v>
      </c>
      <c r="D325" s="13">
        <f t="shared" si="97"/>
        <v>4.3E-3</v>
      </c>
      <c r="E325">
        <v>8.92</v>
      </c>
      <c r="F325">
        <v>8.59</v>
      </c>
      <c r="G325">
        <v>6.8</v>
      </c>
      <c r="H325" s="13">
        <f t="shared" si="98"/>
        <v>-1.7600000000000001E-2</v>
      </c>
      <c r="I325">
        <v>1049</v>
      </c>
      <c r="J325" s="13">
        <f t="shared" si="99"/>
        <v>2.5499999999999998E-2</v>
      </c>
      <c r="M325">
        <v>526</v>
      </c>
      <c r="N325">
        <f t="shared" si="101"/>
        <v>514</v>
      </c>
      <c r="O325" s="13" t="e">
        <f t="shared" si="102"/>
        <v>#DIV/0!</v>
      </c>
      <c r="P325">
        <v>120800</v>
      </c>
      <c r="Q325" s="13">
        <f t="shared" si="103"/>
        <v>-2.8E-3</v>
      </c>
      <c r="R325">
        <v>76.073999999999998</v>
      </c>
      <c r="S325" s="13">
        <f t="shared" si="104"/>
        <v>1.6999999999999999E-3</v>
      </c>
    </row>
    <row r="326" spans="1:29" x14ac:dyDescent="0.25">
      <c r="C326">
        <v>5081.2</v>
      </c>
      <c r="D326" s="13">
        <f t="shared" ref="D326:D331" si="115">ROUND((C326-C327)/C327,4)</f>
        <v>-6.9999999999999999E-4</v>
      </c>
      <c r="E326">
        <v>9.15</v>
      </c>
      <c r="G326">
        <v>7.1</v>
      </c>
      <c r="H326" s="13">
        <f t="shared" ref="H326:H333" si="116">ROUND((AVERAGE(G326:G329)-AVERAGE(G327:G330))/AVERAGE(G327:G330),4)</f>
        <v>-7.0000000000000001E-3</v>
      </c>
      <c r="I326">
        <v>1063</v>
      </c>
      <c r="J326" s="13">
        <f t="shared" ref="J326:J333" si="117">ROUND((AVERAGE(I326:I330)-AVERAGE(I327:I331))/AVERAGE(I327:I331),4)</f>
        <v>1.9900000000000001E-2</v>
      </c>
      <c r="M326">
        <v>511</v>
      </c>
      <c r="N326">
        <f t="shared" ref="N326:N333" si="118">ROUND(AVERAGE(M326:M331),0)</f>
        <v>507</v>
      </c>
      <c r="O326" s="13" t="e">
        <f t="shared" ref="O326:O333" si="119">ROUND((N326/N335)-1,4)</f>
        <v>#DIV/0!</v>
      </c>
      <c r="P326">
        <v>120000</v>
      </c>
      <c r="Q326" s="13">
        <f t="shared" ref="Q326:Q333" si="120">ROUND((AVERAGE(P326:P330)-AVERAGE(P327:P331))/AVERAGE(P327:P331),4)</f>
        <v>2.0000000000000001E-4</v>
      </c>
      <c r="R326">
        <v>75.992000000000004</v>
      </c>
      <c r="S326" s="13">
        <f t="shared" ref="S326:S331" si="121">ROUND((AVERAGE(R326:R329)-AVERAGE(R327:R330))/AVERAGE(R327:R330),4)</f>
        <v>8.9999999999999998E-4</v>
      </c>
    </row>
    <row r="327" spans="1:29" x14ac:dyDescent="0.25">
      <c r="C327">
        <v>5084.7</v>
      </c>
      <c r="D327" s="13">
        <f t="shared" si="115"/>
        <v>7.0000000000000001E-3</v>
      </c>
      <c r="E327">
        <v>9.5</v>
      </c>
      <c r="G327">
        <v>7</v>
      </c>
      <c r="H327" s="13">
        <f t="shared" si="116"/>
        <v>-3.0499999999999999E-2</v>
      </c>
      <c r="I327">
        <v>1036</v>
      </c>
      <c r="J327" s="13">
        <f t="shared" si="117"/>
        <v>5.0799999999999998E-2</v>
      </c>
      <c r="M327">
        <v>516</v>
      </c>
      <c r="N327">
        <f t="shared" si="118"/>
        <v>489</v>
      </c>
      <c r="O327" s="13" t="e">
        <f t="shared" si="119"/>
        <v>#DIV/0!</v>
      </c>
      <c r="P327">
        <v>119000</v>
      </c>
      <c r="Q327" s="13">
        <f t="shared" si="120"/>
        <v>1.8E-3</v>
      </c>
      <c r="R327">
        <v>75.763000000000005</v>
      </c>
      <c r="S327" s="13">
        <f t="shared" si="121"/>
        <v>-5.0000000000000001E-4</v>
      </c>
    </row>
    <row r="328" spans="1:29" x14ac:dyDescent="0.25">
      <c r="C328">
        <v>5049.5</v>
      </c>
      <c r="D328" s="13">
        <f t="shared" si="115"/>
        <v>4.3E-3</v>
      </c>
      <c r="E328">
        <v>9.67</v>
      </c>
      <c r="G328">
        <v>7</v>
      </c>
      <c r="H328" s="13">
        <f t="shared" si="116"/>
        <v>-7.5200000000000003E-2</v>
      </c>
      <c r="I328">
        <v>996</v>
      </c>
      <c r="J328" s="13">
        <f t="shared" si="117"/>
        <v>5.7999999999999996E-3</v>
      </c>
      <c r="M328">
        <v>517</v>
      </c>
      <c r="N328">
        <f t="shared" si="118"/>
        <v>480</v>
      </c>
      <c r="O328" s="13" t="e">
        <f t="shared" si="119"/>
        <v>#DIV/0!</v>
      </c>
      <c r="P328">
        <v>116000</v>
      </c>
      <c r="Q328" s="13">
        <f t="shared" si="120"/>
        <v>-1.8100000000000002E-2</v>
      </c>
      <c r="R328">
        <v>75.561999999999998</v>
      </c>
      <c r="S328" s="13">
        <f t="shared" si="121"/>
        <v>-2E-3</v>
      </c>
    </row>
    <row r="329" spans="1:29" x14ac:dyDescent="0.25">
      <c r="C329">
        <v>5028</v>
      </c>
      <c r="D329" s="13">
        <f t="shared" si="115"/>
        <v>5.5999999999999999E-3</v>
      </c>
      <c r="E329">
        <v>9.4499999999999993</v>
      </c>
      <c r="G329">
        <v>7.3</v>
      </c>
      <c r="H329" s="13">
        <f t="shared" si="116"/>
        <v>-3.6299999999999999E-2</v>
      </c>
      <c r="I329">
        <v>1001</v>
      </c>
      <c r="J329" s="13">
        <f t="shared" si="117"/>
        <v>1.9199999999999998E-2</v>
      </c>
      <c r="M329">
        <v>508</v>
      </c>
      <c r="N329">
        <f t="shared" si="118"/>
        <v>472</v>
      </c>
      <c r="O329" s="13" t="e">
        <f t="shared" si="119"/>
        <v>#DIV/0!</v>
      </c>
      <c r="P329">
        <v>121000</v>
      </c>
      <c r="Q329" s="13">
        <f t="shared" si="120"/>
        <v>-1.4E-3</v>
      </c>
      <c r="R329">
        <v>75.572000000000003</v>
      </c>
      <c r="S329" s="13">
        <f t="shared" si="121"/>
        <v>-1.1999999999999999E-3</v>
      </c>
    </row>
    <row r="330" spans="1:29" x14ac:dyDescent="0.25">
      <c r="C330">
        <v>4999.8999999999996</v>
      </c>
      <c r="D330" s="13">
        <f t="shared" si="115"/>
        <v>1.6000000000000001E-3</v>
      </c>
      <c r="E330">
        <v>9.5299999999999994</v>
      </c>
      <c r="G330">
        <v>7.3</v>
      </c>
      <c r="H330" s="13">
        <f t="shared" si="116"/>
        <v>-3.78E-2</v>
      </c>
      <c r="I330">
        <v>921</v>
      </c>
      <c r="J330" s="13">
        <f t="shared" si="117"/>
        <v>2.8E-3</v>
      </c>
      <c r="M330">
        <v>507</v>
      </c>
      <c r="N330">
        <f t="shared" si="118"/>
        <v>464</v>
      </c>
      <c r="O330" s="13" t="e">
        <f t="shared" si="119"/>
        <v>#DIV/0!</v>
      </c>
      <c r="P330">
        <v>122500</v>
      </c>
      <c r="Q330" s="13">
        <f t="shared" si="120"/>
        <v>1.9E-3</v>
      </c>
      <c r="R330">
        <v>75.733999999999995</v>
      </c>
      <c r="S330" s="13">
        <f t="shared" si="121"/>
        <v>-1.4E-3</v>
      </c>
    </row>
    <row r="331" spans="1:29" x14ac:dyDescent="0.25">
      <c r="C331">
        <v>4991.7</v>
      </c>
      <c r="D331" s="13">
        <f t="shared" si="115"/>
        <v>1.1999999999999999E-3</v>
      </c>
      <c r="E331">
        <v>9.52</v>
      </c>
      <c r="G331">
        <v>7.9</v>
      </c>
      <c r="H331" s="13">
        <f t="shared" si="116"/>
        <v>-3.9100000000000003E-2</v>
      </c>
      <c r="I331">
        <v>965</v>
      </c>
      <c r="J331" s="13">
        <f t="shared" si="117"/>
        <v>3.0700000000000002E-2</v>
      </c>
      <c r="M331">
        <v>482</v>
      </c>
      <c r="N331">
        <f t="shared" si="118"/>
        <v>449</v>
      </c>
      <c r="O331" s="13" t="e">
        <f t="shared" si="119"/>
        <v>#DIV/0!</v>
      </c>
      <c r="P331">
        <v>119900</v>
      </c>
      <c r="Q331" s="13">
        <f t="shared" si="120"/>
        <v>-6.8999999999999999E-3</v>
      </c>
      <c r="R331">
        <v>75.91</v>
      </c>
      <c r="S331" s="13">
        <f t="shared" si="121"/>
        <v>-1.8E-3</v>
      </c>
    </row>
    <row r="332" spans="1:29" x14ac:dyDescent="0.25">
      <c r="C332">
        <v>4985.8</v>
      </c>
      <c r="D332" s="13">
        <v>0</v>
      </c>
      <c r="E332">
        <v>9.2899999999999991</v>
      </c>
      <c r="G332">
        <v>9.4</v>
      </c>
      <c r="H332" s="13">
        <f t="shared" si="116"/>
        <v>5.2900000000000003E-2</v>
      </c>
      <c r="I332">
        <v>798</v>
      </c>
      <c r="J332" s="13">
        <f t="shared" si="117"/>
        <v>-8.8200000000000001E-2</v>
      </c>
      <c r="M332">
        <v>401</v>
      </c>
      <c r="N332">
        <f t="shared" si="118"/>
        <v>433</v>
      </c>
      <c r="O332" s="13" t="e">
        <f t="shared" si="119"/>
        <v>#DIV/0!</v>
      </c>
      <c r="P332">
        <v>117900</v>
      </c>
      <c r="Q332" s="13">
        <f t="shared" si="120"/>
        <v>-3.5799999999999998E-2</v>
      </c>
      <c r="R332">
        <v>76.180000000000007</v>
      </c>
    </row>
    <row r="333" spans="1:29" x14ac:dyDescent="0.25">
      <c r="C333">
        <v>5000.3999999999996</v>
      </c>
      <c r="E333">
        <v>9.61</v>
      </c>
      <c r="G333">
        <v>8.5</v>
      </c>
      <c r="H333" s="13" t="e">
        <f t="shared" si="116"/>
        <v>#DIV/0!</v>
      </c>
      <c r="I333">
        <v>969</v>
      </c>
      <c r="J333" s="13" t="e">
        <f t="shared" si="117"/>
        <v>#DIV/0!</v>
      </c>
      <c r="M333">
        <v>464</v>
      </c>
      <c r="N333">
        <f t="shared" si="118"/>
        <v>464</v>
      </c>
      <c r="O333" s="13" t="e">
        <f t="shared" si="119"/>
        <v>#DIV/0!</v>
      </c>
      <c r="P333">
        <v>127000</v>
      </c>
      <c r="Q333" s="13" t="e">
        <f t="shared" si="120"/>
        <v>#DIV/0!</v>
      </c>
    </row>
    <row r="334" spans="1:29" x14ac:dyDescent="0.25">
      <c r="C334">
        <v>4970.7</v>
      </c>
    </row>
    <row r="335" spans="1:29" x14ac:dyDescent="0.25">
      <c r="C335">
        <v>4964.6000000000004</v>
      </c>
    </row>
    <row r="336" spans="1:29" x14ac:dyDescent="0.25">
      <c r="C336">
        <v>4977.5</v>
      </c>
    </row>
    <row r="337" spans="3:3" x14ac:dyDescent="0.25">
      <c r="C337">
        <v>4949.5</v>
      </c>
    </row>
    <row r="338" spans="3:3" x14ac:dyDescent="0.25">
      <c r="C338">
        <v>4948.5</v>
      </c>
    </row>
    <row r="339" spans="3:3" x14ac:dyDescent="0.25">
      <c r="C339">
        <v>4920.3</v>
      </c>
    </row>
    <row r="340" spans="3:3" x14ac:dyDescent="0.25">
      <c r="C340">
        <v>4891.2</v>
      </c>
    </row>
    <row r="341" spans="3:3" x14ac:dyDescent="0.25">
      <c r="C341">
        <v>4886.1000000000004</v>
      </c>
    </row>
    <row r="342" spans="3:3" x14ac:dyDescent="0.25">
      <c r="C342">
        <v>4845.6000000000004</v>
      </c>
    </row>
    <row r="343" spans="3:3" x14ac:dyDescent="0.25">
      <c r="C343">
        <v>4823.2</v>
      </c>
    </row>
    <row r="344" spans="3:3" x14ac:dyDescent="0.25">
      <c r="C344">
        <v>4787.7</v>
      </c>
    </row>
  </sheetData>
  <autoFilter ref="A2:AC259" xr:uid="{00000000-0009-0000-0000-000004000000}"/>
  <mergeCells count="10">
    <mergeCell ref="V1:Y1"/>
    <mergeCell ref="R1:S1"/>
    <mergeCell ref="T1:U1"/>
    <mergeCell ref="C1:D1"/>
    <mergeCell ref="E1:F1"/>
    <mergeCell ref="G1:H1"/>
    <mergeCell ref="I1:J1"/>
    <mergeCell ref="K1:L1"/>
    <mergeCell ref="P1:Q1"/>
    <mergeCell ref="M1: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33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4" sqref="B4"/>
    </sheetView>
  </sheetViews>
  <sheetFormatPr defaultColWidth="15.140625" defaultRowHeight="15" customHeight="1" x14ac:dyDescent="0.25"/>
  <cols>
    <col min="1" max="1" width="11.140625" style="11" customWidth="1"/>
    <col min="2" max="3" width="13.42578125" style="11" customWidth="1"/>
    <col min="4" max="4" width="13.5703125" style="11" customWidth="1"/>
    <col min="5" max="5" width="20.140625" style="11" customWidth="1"/>
    <col min="6" max="6" width="10" style="11" bestFit="1" customWidth="1"/>
    <col min="7" max="7" width="13.42578125" style="11" bestFit="1" customWidth="1"/>
    <col min="8" max="8" width="17.7109375" style="11" customWidth="1"/>
    <col min="9" max="9" width="12.7109375" style="11" bestFit="1" customWidth="1"/>
    <col min="10" max="14" width="17.7109375" style="11" customWidth="1"/>
    <col min="15" max="15" width="22.5703125" style="11" bestFit="1" customWidth="1"/>
    <col min="16" max="16384" width="15.140625" style="11"/>
  </cols>
  <sheetData>
    <row r="1" spans="1:16" ht="18" customHeight="1" thickBot="1" x14ac:dyDescent="0.35">
      <c r="A1" s="1"/>
      <c r="B1" s="59" t="s">
        <v>21</v>
      </c>
      <c r="C1" s="59"/>
      <c r="D1" s="59" t="s">
        <v>146</v>
      </c>
      <c r="E1" s="59"/>
      <c r="F1" s="59" t="s">
        <v>147</v>
      </c>
      <c r="G1" s="59"/>
      <c r="H1" s="59" t="s">
        <v>148</v>
      </c>
      <c r="I1" s="59"/>
      <c r="J1" s="59"/>
      <c r="K1" s="59"/>
      <c r="L1" s="59" t="s">
        <v>149</v>
      </c>
      <c r="M1" s="59"/>
      <c r="N1" s="59"/>
      <c r="O1" s="28" t="s">
        <v>150</v>
      </c>
      <c r="P1" s="28" t="s">
        <v>151</v>
      </c>
    </row>
    <row r="2" spans="1:16" ht="16.5" customHeight="1" thickTop="1" thickBot="1" x14ac:dyDescent="0.3">
      <c r="A2" s="3" t="s">
        <v>0</v>
      </c>
      <c r="B2" s="4" t="s">
        <v>152</v>
      </c>
      <c r="C2" s="4" t="s">
        <v>153</v>
      </c>
      <c r="D2" s="4" t="s">
        <v>9</v>
      </c>
      <c r="E2" s="4" t="s">
        <v>154</v>
      </c>
      <c r="F2" s="4" t="s">
        <v>9</v>
      </c>
      <c r="G2" s="4" t="s">
        <v>155</v>
      </c>
      <c r="H2" s="4" t="s">
        <v>156</v>
      </c>
      <c r="I2" s="4" t="s">
        <v>154</v>
      </c>
      <c r="J2" s="4" t="s">
        <v>157</v>
      </c>
      <c r="K2" s="4" t="s">
        <v>36</v>
      </c>
      <c r="L2" s="4" t="s">
        <v>158</v>
      </c>
      <c r="M2" s="4" t="s">
        <v>159</v>
      </c>
      <c r="N2" s="4" t="s">
        <v>160</v>
      </c>
      <c r="O2" s="4" t="s">
        <v>150</v>
      </c>
      <c r="P2" s="4" t="s">
        <v>151</v>
      </c>
    </row>
    <row r="3" spans="1:16" ht="16.5" customHeight="1" x14ac:dyDescent="0.25">
      <c r="A3" s="5">
        <v>43312</v>
      </c>
      <c r="B3" s="18">
        <v>58.2</v>
      </c>
      <c r="C3" s="42">
        <f t="shared" ref="C3" si="0">ROUND((AVERAGE(B3:B5)-AVERAGE(B4:B6))/AVERAGE(B4:B6),4)</f>
        <v>5.1000000000000004E-3</v>
      </c>
      <c r="D3" s="18">
        <v>25.7</v>
      </c>
      <c r="E3" s="18">
        <f t="shared" ref="E3:E4" si="1">ROUND(AVERAGE(D3:D5),2)</f>
        <v>26.67</v>
      </c>
      <c r="F3" s="18">
        <v>77.900000000000006</v>
      </c>
      <c r="G3" s="42">
        <f t="shared" ref="G3:G4" si="2">ROUND((AVERAGE(F3:F5)-AVERAGE(F4:F6))/AVERAGE(F4:F6),4)</f>
        <v>-4.0000000000000002E-4</v>
      </c>
      <c r="H3" s="18">
        <v>120.22</v>
      </c>
      <c r="I3" s="18">
        <f t="shared" ref="I3" si="3">ROUND(AVERAGE(H3:H5),2)</f>
        <v>119.67</v>
      </c>
      <c r="J3" s="38">
        <f t="shared" ref="J3" si="4">ROUND(I3/I7,4)-1</f>
        <v>5.2000000000000934E-3</v>
      </c>
      <c r="K3" s="42">
        <f t="shared" ref="K3" si="5">ROUND((I3-I4)/I4,4)</f>
        <v>-5.1000000000000004E-3</v>
      </c>
      <c r="L3" s="18">
        <v>107.71</v>
      </c>
      <c r="M3" s="42">
        <f t="shared" ref="M3" si="6">ROUND((AVERAGE(L3:L5)-AVERAGE(L4:L6))/AVERAGE(L4:L6),4)</f>
        <v>1.6999999999999999E-3</v>
      </c>
      <c r="N3" s="43">
        <f t="shared" ref="N3" si="7">ROUND((L3-L15)/L15,5)</f>
        <v>3.7960000000000001E-2</v>
      </c>
      <c r="O3" s="30">
        <f t="shared" ref="O3:O8" si="8">ROUND(((B3*2.25)+(F3/1.5)+(G3*500)+(N3*400)+(M3*500)+(J3*300)+(C3*500)+(K3*600)+(E3*0.25))/2.05,2)</f>
        <v>100.7</v>
      </c>
      <c r="P3" s="31">
        <f t="shared" ref="P3" si="9">IF(ROUND(AVERAGE(O3:O5),2)&lt;0,0,ROUND(AVERAGE(O3:O5),2))</f>
        <v>103.5</v>
      </c>
    </row>
    <row r="4" spans="1:16" ht="16.5" customHeight="1" x14ac:dyDescent="0.25">
      <c r="A4" s="5">
        <v>43281</v>
      </c>
      <c r="B4" s="18">
        <v>60.2</v>
      </c>
      <c r="C4" s="42">
        <f t="shared" ref="C4" si="10">ROUND((AVERAGE(B4:B6)-AVERAGE(B5:B7))/AVERAGE(B5:B7),4)</f>
        <v>5.1000000000000004E-3</v>
      </c>
      <c r="D4" s="18">
        <v>19.899999999999999</v>
      </c>
      <c r="E4" s="18">
        <f t="shared" si="1"/>
        <v>25.83</v>
      </c>
      <c r="F4" s="18">
        <v>77.900000000000006</v>
      </c>
      <c r="G4" s="42">
        <f t="shared" si="2"/>
        <v>8.9999999999999998E-4</v>
      </c>
      <c r="H4">
        <v>117.4</v>
      </c>
      <c r="I4" s="18">
        <f t="shared" ref="I4" si="11">ROUND(AVERAGE(H4:H6),2)</f>
        <v>120.28</v>
      </c>
      <c r="J4" s="38">
        <f t="shared" ref="J4" si="12">ROUND(I4/I8,4)-1</f>
        <v>2.0399999999999974E-2</v>
      </c>
      <c r="K4" s="42">
        <f t="shared" ref="K4" si="13">ROUND((I4-I5)/I5,4)</f>
        <v>-1.03E-2</v>
      </c>
      <c r="L4">
        <v>107.3</v>
      </c>
      <c r="M4" s="42">
        <f t="shared" ref="M4" si="14">ROUND((AVERAGE(L4:L6)-AVERAGE(L5:L7))/AVERAGE(L5:L7),4)</f>
        <v>2.5000000000000001E-3</v>
      </c>
      <c r="N4" s="43">
        <f t="shared" ref="N4" si="15">ROUND((L4-L16)/L16,5)</f>
        <v>3.4590000000000003E-2</v>
      </c>
      <c r="O4" s="30">
        <f t="shared" si="8"/>
        <v>103.35</v>
      </c>
      <c r="P4" s="31">
        <f t="shared" ref="P4" si="16">IF(ROUND(AVERAGE(O4:O6),2)&lt;0,0,ROUND(AVERAGE(O4:O6),2))</f>
        <v>104.85</v>
      </c>
    </row>
    <row r="5" spans="1:16" ht="16.5" customHeight="1" x14ac:dyDescent="0.25">
      <c r="A5" s="5">
        <v>43251</v>
      </c>
      <c r="B5" s="18">
        <v>58.7</v>
      </c>
      <c r="C5" s="42">
        <f t="shared" ref="C5" si="17">ROUND((AVERAGE(B5:B7)-AVERAGE(B6:B8))/AVERAGE(B6:B8),4)</f>
        <v>-1.18E-2</v>
      </c>
      <c r="D5" s="18">
        <v>34.4</v>
      </c>
      <c r="E5" s="18">
        <f t="shared" ref="E5" si="18">ROUND(AVERAGE(D5:D7),2)</f>
        <v>26.63</v>
      </c>
      <c r="F5" s="18">
        <v>78</v>
      </c>
      <c r="G5" s="42">
        <f t="shared" ref="G5" si="19">ROUND((AVERAGE(F5:F7)-AVERAGE(F6:F8))/AVERAGE(F6:F8),4)</f>
        <v>2.0999999999999999E-3</v>
      </c>
      <c r="H5">
        <v>121.4</v>
      </c>
      <c r="I5" s="18">
        <f t="shared" ref="I5" si="20">ROUND(AVERAGE(H5:H7),2)</f>
        <v>121.53</v>
      </c>
      <c r="J5" s="38">
        <f t="shared" ref="J5" si="21">ROUND(I5/I9,4)-1</f>
        <v>3.0499999999999972E-2</v>
      </c>
      <c r="K5" s="42">
        <f t="shared" ref="K5" si="22">ROUND((I5-I6)/I6,4)</f>
        <v>1.01E-2</v>
      </c>
      <c r="L5">
        <v>107.39</v>
      </c>
      <c r="M5" s="42">
        <f t="shared" ref="M5" si="23">ROUND((AVERAGE(L5:L7)-AVERAGE(L6:L8))/AVERAGE(L6:L8),4)</f>
        <v>5.8999999999999999E-3</v>
      </c>
      <c r="N5" s="43">
        <f t="shared" ref="N5" si="24">ROUND((L5-L17)/L17,5)</f>
        <v>3.5439999999999999E-2</v>
      </c>
      <c r="O5" s="30">
        <f t="shared" si="8"/>
        <v>106.45</v>
      </c>
      <c r="P5" s="31">
        <f t="shared" ref="P5" si="25">IF(ROUND(AVERAGE(O5:O7),2)&lt;0,0,ROUND(AVERAGE(O5:O7),2))</f>
        <v>106.34</v>
      </c>
    </row>
    <row r="6" spans="1:16" ht="16.5" customHeight="1" x14ac:dyDescent="0.25">
      <c r="A6" s="5">
        <v>43220</v>
      </c>
      <c r="B6" s="18">
        <v>57.3</v>
      </c>
      <c r="C6" s="42">
        <f t="shared" ref="C6:C69" si="26">ROUND((AVERAGE(B6:B8)-AVERAGE(B7:B9))/AVERAGE(B7:B9),4)</f>
        <v>-0.01</v>
      </c>
      <c r="D6" s="18">
        <v>23.2</v>
      </c>
      <c r="E6" s="18">
        <f t="shared" ref="E6:E69" si="27">ROUND(AVERAGE(D6:D8),2)</f>
        <v>23.77</v>
      </c>
      <c r="F6" s="18">
        <v>78</v>
      </c>
      <c r="G6" s="42">
        <f t="shared" ref="G6:G69" si="28">ROUND((AVERAGE(F6:F8)-AVERAGE(F7:F9))/AVERAGE(F7:F9),4)</f>
        <v>4.0000000000000002E-4</v>
      </c>
      <c r="H6">
        <v>122.04</v>
      </c>
      <c r="I6" s="18">
        <f t="shared" ref="I6:I69" si="29">ROUND(AVERAGE(H6:H8),2)</f>
        <v>120.32</v>
      </c>
      <c r="J6" s="38">
        <f t="shared" ref="J6:J69" si="30">ROUND(I6/I10,4)-1</f>
        <v>2.2399999999999975E-2</v>
      </c>
      <c r="K6" s="42">
        <f t="shared" ref="K6:K69" si="31">ROUND((I6-I7)/I7,4)</f>
        <v>1.0699999999999999E-2</v>
      </c>
      <c r="L6">
        <v>107.16</v>
      </c>
      <c r="M6" s="42">
        <f t="shared" ref="M6:M69" si="32">ROUND((AVERAGE(L6:L8)-AVERAGE(L7:L9))/AVERAGE(L7:L9),4)</f>
        <v>4.4999999999999997E-3</v>
      </c>
      <c r="N6" s="43">
        <f t="shared" ref="N6:N69" si="33">ROUND((L6-L18)/L18,5)</f>
        <v>4.3189999999999999E-2</v>
      </c>
      <c r="O6" s="30">
        <f t="shared" si="8"/>
        <v>104.75</v>
      </c>
      <c r="P6" s="31">
        <f t="shared" ref="P6:P69" si="34">IF(ROUND(AVERAGE(O6:O8),2)&lt;0,0,ROUND(AVERAGE(O6:O8),2))</f>
        <v>105.79</v>
      </c>
    </row>
    <row r="7" spans="1:16" ht="16.5" customHeight="1" x14ac:dyDescent="0.25">
      <c r="A7" s="5">
        <v>43190</v>
      </c>
      <c r="B7" s="18">
        <v>59.3</v>
      </c>
      <c r="C7" s="42">
        <f t="shared" si="26"/>
        <v>-2.2000000000000001E-3</v>
      </c>
      <c r="D7" s="18">
        <v>22.3</v>
      </c>
      <c r="E7" s="18">
        <f t="shared" si="27"/>
        <v>23.43</v>
      </c>
      <c r="F7" s="18">
        <v>77.7</v>
      </c>
      <c r="G7" s="42">
        <f t="shared" si="28"/>
        <v>2.5999999999999999E-3</v>
      </c>
      <c r="H7">
        <v>121.1464</v>
      </c>
      <c r="I7" s="18">
        <f t="shared" si="29"/>
        <v>119.05</v>
      </c>
      <c r="J7" s="38">
        <f t="shared" si="30"/>
        <v>1.5800000000000036E-2</v>
      </c>
      <c r="K7" s="42">
        <f t="shared" si="31"/>
        <v>0.01</v>
      </c>
      <c r="L7">
        <v>106.51090000000001</v>
      </c>
      <c r="M7" s="42">
        <f t="shared" si="32"/>
        <v>3.8999999999999998E-3</v>
      </c>
      <c r="N7" s="43">
        <f t="shared" si="33"/>
        <v>4.2619999999999998E-2</v>
      </c>
      <c r="O7" s="30">
        <f t="shared" si="8"/>
        <v>107.81</v>
      </c>
      <c r="P7" s="31">
        <f t="shared" si="34"/>
        <v>105.49</v>
      </c>
    </row>
    <row r="8" spans="1:16" ht="16.5" customHeight="1" x14ac:dyDescent="0.25">
      <c r="A8" s="5">
        <v>43159</v>
      </c>
      <c r="B8" s="18">
        <v>60.8</v>
      </c>
      <c r="C8" s="42">
        <f t="shared" si="26"/>
        <v>1.47E-2</v>
      </c>
      <c r="D8" s="18">
        <v>25.8</v>
      </c>
      <c r="E8" s="18">
        <f t="shared" si="27"/>
        <v>24.73</v>
      </c>
      <c r="F8" s="18">
        <v>77.5</v>
      </c>
      <c r="G8" s="42">
        <f t="shared" si="28"/>
        <v>2.2000000000000001E-3</v>
      </c>
      <c r="H8">
        <v>117.77679999999999</v>
      </c>
      <c r="I8" s="18">
        <f t="shared" si="29"/>
        <v>117.87</v>
      </c>
      <c r="J8" s="38">
        <f t="shared" si="30"/>
        <v>1.21E-2</v>
      </c>
      <c r="K8" s="42">
        <f t="shared" si="31"/>
        <v>-5.0000000000000001E-4</v>
      </c>
      <c r="L8">
        <v>105.5132</v>
      </c>
      <c r="M8" s="42">
        <f t="shared" si="32"/>
        <v>2.3E-3</v>
      </c>
      <c r="N8" s="43">
        <f t="shared" si="33"/>
        <v>1.8259999999999998E-2</v>
      </c>
      <c r="O8" s="30">
        <f t="shared" si="8"/>
        <v>104.82</v>
      </c>
      <c r="P8" s="31">
        <f t="shared" si="34"/>
        <v>103.36</v>
      </c>
    </row>
    <row r="9" spans="1:16" ht="16.5" customHeight="1" x14ac:dyDescent="0.25">
      <c r="A9" s="5">
        <v>43131</v>
      </c>
      <c r="B9" s="18">
        <v>59.1</v>
      </c>
      <c r="C9" s="42">
        <f t="shared" si="26"/>
        <v>2.3E-3</v>
      </c>
      <c r="D9" s="18">
        <v>22.2</v>
      </c>
      <c r="E9" s="18">
        <f t="shared" si="27"/>
        <v>23.7</v>
      </c>
      <c r="F9" s="18">
        <v>77.900000000000006</v>
      </c>
      <c r="G9" s="42">
        <f t="shared" si="28"/>
        <v>8.3000000000000001E-3</v>
      </c>
      <c r="H9">
        <v>118.239</v>
      </c>
      <c r="I9" s="18">
        <f t="shared" si="29"/>
        <v>117.93</v>
      </c>
      <c r="J9" s="38">
        <f t="shared" si="30"/>
        <v>1.2799999999999923E-2</v>
      </c>
      <c r="K9" s="42">
        <f t="shared" si="31"/>
        <v>2.0999999999999999E-3</v>
      </c>
      <c r="L9">
        <v>105.7214</v>
      </c>
      <c r="M9" s="42">
        <f t="shared" si="32"/>
        <v>8.0999999999999996E-3</v>
      </c>
      <c r="N9" s="43">
        <f t="shared" si="33"/>
        <v>1.8929999999999999E-2</v>
      </c>
      <c r="O9" s="30">
        <f t="shared" ref="O9:O72" si="35">ROUND(((B9*2.25)+(F9/1.5)+(G9*500)+(N9*400)+(M9*500)+(J9*300)+(C9*500)+(K9*600)+(E9*0.25))/2.05,2)</f>
        <v>103.83</v>
      </c>
      <c r="P9" s="31">
        <f t="shared" si="34"/>
        <v>100.55</v>
      </c>
    </row>
    <row r="10" spans="1:16" ht="16.5" customHeight="1" x14ac:dyDescent="0.25">
      <c r="A10" s="5">
        <v>43100</v>
      </c>
      <c r="B10" s="18">
        <v>59.7</v>
      </c>
      <c r="C10" s="42">
        <f t="shared" si="26"/>
        <v>-6.1999999999999998E-3</v>
      </c>
      <c r="D10" s="18">
        <v>26.2</v>
      </c>
      <c r="E10" s="18">
        <f t="shared" si="27"/>
        <v>25.6</v>
      </c>
      <c r="F10" s="18">
        <v>77.099999999999994</v>
      </c>
      <c r="G10" s="42">
        <f t="shared" si="28"/>
        <v>4.4000000000000003E-3</v>
      </c>
      <c r="H10">
        <v>117.59180000000001</v>
      </c>
      <c r="I10" s="18">
        <f t="shared" si="29"/>
        <v>117.68</v>
      </c>
      <c r="J10" s="38">
        <f t="shared" si="30"/>
        <v>7.2000000000000952E-3</v>
      </c>
      <c r="K10" s="42">
        <f t="shared" si="31"/>
        <v>4.1000000000000003E-3</v>
      </c>
      <c r="L10">
        <v>105.2726</v>
      </c>
      <c r="M10" s="42">
        <f t="shared" si="32"/>
        <v>6.7000000000000002E-3</v>
      </c>
      <c r="N10" s="43">
        <f t="shared" si="33"/>
        <v>2.1770000000000001E-2</v>
      </c>
      <c r="O10" s="30">
        <f t="shared" si="35"/>
        <v>101.42</v>
      </c>
      <c r="P10" s="31">
        <f t="shared" si="34"/>
        <v>97.03</v>
      </c>
    </row>
    <row r="11" spans="1:16" ht="16.5" customHeight="1" x14ac:dyDescent="0.25">
      <c r="A11" s="5">
        <v>43069</v>
      </c>
      <c r="B11" s="18">
        <v>58.2</v>
      </c>
      <c r="C11" s="42">
        <f t="shared" si="26"/>
        <v>-3.3999999999999998E-3</v>
      </c>
      <c r="D11" s="18">
        <v>22.7</v>
      </c>
      <c r="E11" s="18">
        <f t="shared" si="27"/>
        <v>24.8</v>
      </c>
      <c r="F11" s="18">
        <v>77</v>
      </c>
      <c r="G11" s="42">
        <f t="shared" si="28"/>
        <v>1.2999999999999999E-3</v>
      </c>
      <c r="H11">
        <v>117.9697</v>
      </c>
      <c r="I11" s="18">
        <f t="shared" si="29"/>
        <v>117.2</v>
      </c>
      <c r="J11" s="38">
        <f t="shared" si="30"/>
        <v>-5.3999999999999604E-3</v>
      </c>
      <c r="K11" s="42">
        <f t="shared" si="31"/>
        <v>6.4000000000000003E-3</v>
      </c>
      <c r="L11">
        <v>104.78700000000001</v>
      </c>
      <c r="M11" s="42">
        <f t="shared" si="32"/>
        <v>3.8E-3</v>
      </c>
      <c r="N11" s="43">
        <f t="shared" si="33"/>
        <v>1.5219999999999999E-2</v>
      </c>
      <c r="O11" s="30">
        <f t="shared" si="35"/>
        <v>96.41</v>
      </c>
      <c r="P11" s="31">
        <f t="shared" si="34"/>
        <v>94.7</v>
      </c>
    </row>
    <row r="12" spans="1:16" ht="16.5" customHeight="1" x14ac:dyDescent="0.25">
      <c r="A12" s="5">
        <v>43039</v>
      </c>
      <c r="B12" s="18">
        <v>58.7</v>
      </c>
      <c r="C12" s="42">
        <f t="shared" si="26"/>
        <v>1.3599999999999999E-2</v>
      </c>
      <c r="D12" s="18">
        <v>27.9</v>
      </c>
      <c r="E12" s="18">
        <f t="shared" si="27"/>
        <v>23.53</v>
      </c>
      <c r="F12" s="18">
        <v>76</v>
      </c>
      <c r="G12" s="42">
        <f t="shared" si="28"/>
        <v>-2.5999999999999999E-3</v>
      </c>
      <c r="H12">
        <v>117.4817</v>
      </c>
      <c r="I12" s="18">
        <f t="shared" si="29"/>
        <v>116.46</v>
      </c>
      <c r="J12" s="38">
        <f t="shared" si="30"/>
        <v>-9.4999999999999529E-3</v>
      </c>
      <c r="K12" s="42">
        <f t="shared" si="31"/>
        <v>2.0000000000000001E-4</v>
      </c>
      <c r="L12">
        <v>103.176</v>
      </c>
      <c r="M12" s="42">
        <f t="shared" si="32"/>
        <v>-1.9E-3</v>
      </c>
      <c r="N12" s="43">
        <f t="shared" si="33"/>
        <v>1.81E-3</v>
      </c>
      <c r="O12" s="30">
        <f t="shared" si="35"/>
        <v>93.25</v>
      </c>
      <c r="P12" s="31">
        <f t="shared" si="34"/>
        <v>93.82</v>
      </c>
    </row>
    <row r="13" spans="1:16" ht="16.5" customHeight="1" x14ac:dyDescent="0.25">
      <c r="A13" s="5">
        <v>43008</v>
      </c>
      <c r="B13" s="1">
        <v>60.8</v>
      </c>
      <c r="C13" s="42">
        <f t="shared" si="26"/>
        <v>1.7399999999999999E-2</v>
      </c>
      <c r="D13" s="18">
        <v>23.8</v>
      </c>
      <c r="E13" s="18">
        <f t="shared" si="27"/>
        <v>20.73</v>
      </c>
      <c r="F13" s="18">
        <v>76.099999999999994</v>
      </c>
      <c r="G13" s="42">
        <f t="shared" si="28"/>
        <v>-2.2000000000000001E-3</v>
      </c>
      <c r="H13">
        <v>116.1566</v>
      </c>
      <c r="I13" s="18">
        <f t="shared" si="29"/>
        <v>116.44</v>
      </c>
      <c r="J13" s="38">
        <f t="shared" si="30"/>
        <v>-1.3299999999999979E-2</v>
      </c>
      <c r="K13" s="42">
        <f t="shared" si="31"/>
        <v>-3.3999999999999998E-3</v>
      </c>
      <c r="L13">
        <v>103.1956</v>
      </c>
      <c r="M13" s="42">
        <f t="shared" si="32"/>
        <v>-1.6999999999999999E-3</v>
      </c>
      <c r="N13" s="43">
        <f t="shared" si="33"/>
        <v>4.8000000000000001E-4</v>
      </c>
      <c r="O13" s="30">
        <f t="shared" si="35"/>
        <v>94.45</v>
      </c>
      <c r="P13" s="31">
        <f t="shared" si="34"/>
        <v>93.69</v>
      </c>
    </row>
    <row r="14" spans="1:16" ht="16.5" customHeight="1" x14ac:dyDescent="0.25">
      <c r="A14" s="5">
        <v>42978</v>
      </c>
      <c r="B14" s="1">
        <v>58.8</v>
      </c>
      <c r="C14" s="42">
        <f t="shared" si="26"/>
        <v>2.3099999999999999E-2</v>
      </c>
      <c r="D14" s="18">
        <v>18.899999999999999</v>
      </c>
      <c r="E14" s="18">
        <f t="shared" si="27"/>
        <v>22</v>
      </c>
      <c r="F14" s="18">
        <v>76.7</v>
      </c>
      <c r="G14" s="42">
        <f t="shared" si="28"/>
        <v>0</v>
      </c>
      <c r="H14">
        <v>115.73139999999999</v>
      </c>
      <c r="I14" s="18">
        <f t="shared" si="29"/>
        <v>116.84</v>
      </c>
      <c r="J14" s="38">
        <f t="shared" si="30"/>
        <v>-1.529999999999998E-2</v>
      </c>
      <c r="K14" s="42">
        <f t="shared" si="31"/>
        <v>-8.5000000000000006E-3</v>
      </c>
      <c r="L14">
        <v>103.6206</v>
      </c>
      <c r="M14" s="42">
        <f t="shared" si="32"/>
        <v>-2.9999999999999997E-4</v>
      </c>
      <c r="N14" s="43">
        <f t="shared" si="33"/>
        <v>3.9100000000000003E-3</v>
      </c>
      <c r="O14" s="30">
        <f t="shared" si="35"/>
        <v>93.76</v>
      </c>
      <c r="P14" s="31">
        <f t="shared" si="34"/>
        <v>92.93</v>
      </c>
    </row>
    <row r="15" spans="1:16" ht="16.5" customHeight="1" x14ac:dyDescent="0.25">
      <c r="A15" s="5">
        <v>42947</v>
      </c>
      <c r="B15" s="1">
        <v>56.3</v>
      </c>
      <c r="C15" s="42">
        <f t="shared" si="26"/>
        <v>8.9999999999999993E-3</v>
      </c>
      <c r="D15" s="18">
        <v>19.5</v>
      </c>
      <c r="E15" s="18">
        <f t="shared" si="27"/>
        <v>28.63</v>
      </c>
      <c r="F15" s="18">
        <v>76.599999999999994</v>
      </c>
      <c r="G15" s="42">
        <f t="shared" si="28"/>
        <v>1.6999999999999999E-3</v>
      </c>
      <c r="H15">
        <v>117.4271</v>
      </c>
      <c r="I15" s="18">
        <f t="shared" si="29"/>
        <v>117.84</v>
      </c>
      <c r="J15" s="38">
        <f t="shared" si="30"/>
        <v>-1.8100000000000005E-2</v>
      </c>
      <c r="K15" s="42">
        <f t="shared" si="31"/>
        <v>2.2000000000000001E-3</v>
      </c>
      <c r="L15">
        <v>103.771</v>
      </c>
      <c r="M15" s="42">
        <f t="shared" si="32"/>
        <v>3.3999999999999998E-3</v>
      </c>
      <c r="N15" s="43">
        <f t="shared" si="33"/>
        <v>6.2700000000000004E-3</v>
      </c>
      <c r="O15" s="30">
        <f t="shared" si="35"/>
        <v>92.85</v>
      </c>
      <c r="P15" s="31">
        <f t="shared" si="34"/>
        <v>89.36</v>
      </c>
    </row>
    <row r="16" spans="1:16" ht="16.5" customHeight="1" x14ac:dyDescent="0.25">
      <c r="A16" s="5">
        <v>42916</v>
      </c>
      <c r="B16" s="1">
        <v>57.8</v>
      </c>
      <c r="C16" s="42">
        <f t="shared" si="26"/>
        <v>3.5999999999999999E-3</v>
      </c>
      <c r="D16" s="18">
        <v>27.6</v>
      </c>
      <c r="E16" s="18">
        <f t="shared" si="27"/>
        <v>29.47</v>
      </c>
      <c r="F16" s="18">
        <v>76.599999999999994</v>
      </c>
      <c r="G16" s="42">
        <f t="shared" si="28"/>
        <v>3.0999999999999999E-3</v>
      </c>
      <c r="H16">
        <v>117.3548</v>
      </c>
      <c r="I16" s="18">
        <f t="shared" si="29"/>
        <v>117.58</v>
      </c>
      <c r="J16" s="38">
        <f t="shared" si="30"/>
        <v>-2.300000000000002E-2</v>
      </c>
      <c r="K16" s="42">
        <f t="shared" si="31"/>
        <v>-3.5999999999999999E-3</v>
      </c>
      <c r="L16">
        <v>103.71210000000001</v>
      </c>
      <c r="M16" s="42">
        <f t="shared" si="32"/>
        <v>5.0000000000000001E-3</v>
      </c>
      <c r="N16" s="43">
        <f t="shared" si="33"/>
        <v>9.3100000000000006E-3</v>
      </c>
      <c r="O16" s="30">
        <f t="shared" si="35"/>
        <v>92.19</v>
      </c>
      <c r="P16" s="31">
        <f t="shared" si="34"/>
        <v>85.74</v>
      </c>
    </row>
    <row r="17" spans="1:16" ht="16.5" customHeight="1" x14ac:dyDescent="0.25">
      <c r="A17" s="5">
        <v>42886</v>
      </c>
      <c r="B17" s="1">
        <v>54.9</v>
      </c>
      <c r="C17" s="42">
        <f t="shared" si="26"/>
        <v>-1.6500000000000001E-2</v>
      </c>
      <c r="D17">
        <v>38.799999999999997</v>
      </c>
      <c r="E17" s="18">
        <f t="shared" si="27"/>
        <v>31.2</v>
      </c>
      <c r="F17" s="18">
        <v>76.7</v>
      </c>
      <c r="G17" s="42">
        <f t="shared" si="28"/>
        <v>3.5000000000000001E-3</v>
      </c>
      <c r="H17">
        <v>118.72629999999999</v>
      </c>
      <c r="I17" s="18">
        <f t="shared" si="29"/>
        <v>118.01</v>
      </c>
      <c r="J17" s="38">
        <f t="shared" si="30"/>
        <v>-1.9599999999999951E-2</v>
      </c>
      <c r="K17" s="42">
        <f t="shared" si="31"/>
        <v>-5.4999999999999997E-3</v>
      </c>
      <c r="L17">
        <v>103.7148</v>
      </c>
      <c r="M17" s="42">
        <f t="shared" si="32"/>
        <v>2.9999999999999997E-4</v>
      </c>
      <c r="N17" s="43">
        <f t="shared" si="33"/>
        <v>8.2199999999999999E-3</v>
      </c>
      <c r="O17" s="30">
        <f t="shared" si="35"/>
        <v>83.03</v>
      </c>
      <c r="P17" s="31">
        <f t="shared" si="34"/>
        <v>85.84</v>
      </c>
    </row>
    <row r="18" spans="1:16" ht="16.5" customHeight="1" x14ac:dyDescent="0.25">
      <c r="A18" s="5">
        <v>42855</v>
      </c>
      <c r="B18" s="1">
        <v>54.8</v>
      </c>
      <c r="C18" s="42">
        <f t="shared" si="26"/>
        <v>-7.0000000000000001E-3</v>
      </c>
      <c r="D18">
        <v>22</v>
      </c>
      <c r="E18" s="18">
        <f t="shared" si="27"/>
        <v>32.700000000000003</v>
      </c>
      <c r="F18">
        <v>76.2</v>
      </c>
      <c r="G18" s="42">
        <f t="shared" si="28"/>
        <v>8.9999999999999998E-4</v>
      </c>
      <c r="H18">
        <v>116.65940000000001</v>
      </c>
      <c r="I18" s="18">
        <f t="shared" si="29"/>
        <v>118.66</v>
      </c>
      <c r="J18" s="38">
        <f t="shared" si="30"/>
        <v>-1.1700000000000044E-2</v>
      </c>
      <c r="K18" s="42">
        <f t="shared" si="31"/>
        <v>-1.12E-2</v>
      </c>
      <c r="L18">
        <v>102.7236</v>
      </c>
      <c r="M18" s="42">
        <f t="shared" si="32"/>
        <v>-3.3E-3</v>
      </c>
      <c r="N18" s="43">
        <f t="shared" si="33"/>
        <v>1.92E-3</v>
      </c>
      <c r="O18" s="30">
        <f t="shared" si="35"/>
        <v>82.01</v>
      </c>
      <c r="P18" s="31">
        <f t="shared" si="34"/>
        <v>91.49</v>
      </c>
    </row>
    <row r="19" spans="1:16" ht="16.5" customHeight="1" x14ac:dyDescent="0.25">
      <c r="A19" s="5">
        <v>42825</v>
      </c>
      <c r="B19" s="1">
        <v>57.2</v>
      </c>
      <c r="C19" s="42">
        <f t="shared" si="26"/>
        <v>1.61E-2</v>
      </c>
      <c r="D19">
        <v>32.799999999999997</v>
      </c>
      <c r="E19" s="18">
        <f t="shared" si="27"/>
        <v>33.229999999999997</v>
      </c>
      <c r="F19">
        <v>75.900000000000006</v>
      </c>
      <c r="G19" s="42">
        <f t="shared" si="28"/>
        <v>1.2999999999999999E-3</v>
      </c>
      <c r="H19">
        <v>118.6395</v>
      </c>
      <c r="I19" s="18">
        <f t="shared" si="29"/>
        <v>120.01</v>
      </c>
      <c r="J19" s="38">
        <f t="shared" si="30"/>
        <v>2.0999999999999908E-3</v>
      </c>
      <c r="K19" s="42">
        <f t="shared" si="31"/>
        <v>-2.8E-3</v>
      </c>
      <c r="L19">
        <v>102.1574</v>
      </c>
      <c r="M19" s="42">
        <f t="shared" si="32"/>
        <v>-2.8E-3</v>
      </c>
      <c r="N19" s="43">
        <f t="shared" si="33"/>
        <v>-1.076E-2</v>
      </c>
      <c r="O19" s="30">
        <f t="shared" si="35"/>
        <v>92.47</v>
      </c>
      <c r="P19" s="31">
        <f t="shared" si="34"/>
        <v>97.54</v>
      </c>
    </row>
    <row r="20" spans="1:16" x14ac:dyDescent="0.25">
      <c r="A20" s="5">
        <v>42794</v>
      </c>
      <c r="B20" s="1">
        <v>57.7</v>
      </c>
      <c r="C20" s="42">
        <f t="shared" si="26"/>
        <v>2.5600000000000001E-2</v>
      </c>
      <c r="D20">
        <v>43.3</v>
      </c>
      <c r="E20" s="18">
        <f t="shared" si="27"/>
        <v>28.87</v>
      </c>
      <c r="F20">
        <v>75.900000000000006</v>
      </c>
      <c r="G20" s="42">
        <f t="shared" si="28"/>
        <v>4.0000000000000002E-4</v>
      </c>
      <c r="H20">
        <v>120.69370000000001</v>
      </c>
      <c r="I20" s="18">
        <f t="shared" si="29"/>
        <v>120.35</v>
      </c>
      <c r="J20" s="38">
        <f t="shared" si="30"/>
        <v>1.0999999999999899E-2</v>
      </c>
      <c r="K20" s="42">
        <f t="shared" si="31"/>
        <v>-2.0000000000000001E-4</v>
      </c>
      <c r="L20">
        <v>103.621</v>
      </c>
      <c r="M20" s="42">
        <f t="shared" si="32"/>
        <v>1.2999999999999999E-3</v>
      </c>
      <c r="N20" s="43">
        <f t="shared" si="33"/>
        <v>1.34E-3</v>
      </c>
      <c r="O20" s="30">
        <f t="shared" si="35"/>
        <v>100</v>
      </c>
      <c r="P20" s="31">
        <f t="shared" si="34"/>
        <v>97.89</v>
      </c>
    </row>
    <row r="21" spans="1:16" x14ac:dyDescent="0.25">
      <c r="A21" s="5">
        <v>42766</v>
      </c>
      <c r="B21" s="1">
        <v>56</v>
      </c>
      <c r="C21" s="42">
        <f t="shared" si="26"/>
        <v>2.5600000000000001E-2</v>
      </c>
      <c r="D21">
        <v>23.6</v>
      </c>
      <c r="E21" s="18">
        <f t="shared" si="27"/>
        <v>17.329999999999998</v>
      </c>
      <c r="F21">
        <v>76</v>
      </c>
      <c r="G21" s="42">
        <f t="shared" si="28"/>
        <v>1.8E-3</v>
      </c>
      <c r="H21">
        <v>120.68470000000001</v>
      </c>
      <c r="I21" s="18">
        <f t="shared" si="29"/>
        <v>120.37</v>
      </c>
      <c r="J21" s="38">
        <f t="shared" si="30"/>
        <v>1.540000000000008E-2</v>
      </c>
      <c r="K21" s="42">
        <f t="shared" si="31"/>
        <v>2.5000000000000001E-3</v>
      </c>
      <c r="L21">
        <v>103.7574</v>
      </c>
      <c r="M21" s="42">
        <f t="shared" si="32"/>
        <v>2.5000000000000001E-3</v>
      </c>
      <c r="N21" s="43">
        <f t="shared" si="33"/>
        <v>8.1600000000000006E-3</v>
      </c>
      <c r="O21" s="30">
        <f t="shared" si="35"/>
        <v>100.16</v>
      </c>
      <c r="P21" s="31">
        <f t="shared" si="34"/>
        <v>96.03</v>
      </c>
    </row>
    <row r="22" spans="1:16" x14ac:dyDescent="0.25">
      <c r="A22" s="5">
        <v>42735</v>
      </c>
      <c r="B22" s="1">
        <v>54.5</v>
      </c>
      <c r="C22" s="42">
        <f t="shared" si="26"/>
        <v>1.9099999999999999E-2</v>
      </c>
      <c r="D22">
        <v>19.7</v>
      </c>
      <c r="E22" s="18">
        <f t="shared" si="27"/>
        <v>13.17</v>
      </c>
      <c r="F22">
        <v>75.599999999999994</v>
      </c>
      <c r="G22" s="42">
        <f t="shared" si="28"/>
        <v>-8.9999999999999998E-4</v>
      </c>
      <c r="H22">
        <v>119.6639</v>
      </c>
      <c r="I22" s="18">
        <f t="shared" si="29"/>
        <v>120.07</v>
      </c>
      <c r="J22" s="38">
        <f t="shared" si="30"/>
        <v>2.1200000000000108E-2</v>
      </c>
      <c r="K22" s="42">
        <f t="shared" si="31"/>
        <v>2.5999999999999999E-3</v>
      </c>
      <c r="L22">
        <v>103.03</v>
      </c>
      <c r="M22" s="42">
        <f t="shared" si="32"/>
        <v>-4.0000000000000002E-4</v>
      </c>
      <c r="N22" s="43">
        <f t="shared" si="33"/>
        <v>-3.5400000000000002E-3</v>
      </c>
      <c r="O22" s="30">
        <f t="shared" si="35"/>
        <v>93.52</v>
      </c>
      <c r="P22" s="31">
        <f t="shared" si="34"/>
        <v>90.33</v>
      </c>
    </row>
    <row r="23" spans="1:16" x14ac:dyDescent="0.25">
      <c r="A23" s="5">
        <v>42704</v>
      </c>
      <c r="B23" s="1">
        <v>53.5</v>
      </c>
      <c r="C23" s="42">
        <f t="shared" si="26"/>
        <v>2.6800000000000001E-2</v>
      </c>
      <c r="D23">
        <v>8.6999999999999993</v>
      </c>
      <c r="E23" s="18">
        <f t="shared" si="27"/>
        <v>10.47</v>
      </c>
      <c r="F23">
        <v>75.8</v>
      </c>
      <c r="G23" s="42">
        <f t="shared" si="28"/>
        <v>-4.0000000000000002E-4</v>
      </c>
      <c r="H23">
        <v>120.74720000000001</v>
      </c>
      <c r="I23" s="18">
        <f t="shared" si="29"/>
        <v>119.76</v>
      </c>
      <c r="J23" s="38">
        <f t="shared" si="30"/>
        <v>2.079999999999993E-2</v>
      </c>
      <c r="K23" s="42">
        <f t="shared" si="31"/>
        <v>6.0000000000000001E-3</v>
      </c>
      <c r="L23">
        <v>103.2162</v>
      </c>
      <c r="M23" s="42">
        <f t="shared" si="32"/>
        <v>0</v>
      </c>
      <c r="N23" s="43">
        <f t="shared" si="33"/>
        <v>-7.5799999999999999E-3</v>
      </c>
      <c r="O23" s="30">
        <f t="shared" si="35"/>
        <v>94.41</v>
      </c>
      <c r="P23" s="31">
        <f t="shared" si="34"/>
        <v>86.1</v>
      </c>
    </row>
    <row r="24" spans="1:16" x14ac:dyDescent="0.25">
      <c r="A24" s="5">
        <v>42674</v>
      </c>
      <c r="B24" s="1">
        <v>51.9</v>
      </c>
      <c r="C24" s="42">
        <f t="shared" si="26"/>
        <v>-4.5999999999999999E-3</v>
      </c>
      <c r="D24">
        <v>11.1</v>
      </c>
      <c r="E24" s="18">
        <f t="shared" si="27"/>
        <v>9</v>
      </c>
      <c r="F24">
        <v>75.599999999999994</v>
      </c>
      <c r="G24" s="42">
        <f t="shared" si="28"/>
        <v>-8.9999999999999998E-4</v>
      </c>
      <c r="H24">
        <v>119.8104</v>
      </c>
      <c r="I24" s="18">
        <f t="shared" si="29"/>
        <v>119.04</v>
      </c>
      <c r="J24" s="38">
        <f t="shared" si="30"/>
        <v>1.9700000000000051E-2</v>
      </c>
      <c r="K24" s="42">
        <f t="shared" si="31"/>
        <v>4.1999999999999997E-3</v>
      </c>
      <c r="L24">
        <v>102.9898</v>
      </c>
      <c r="M24" s="42">
        <f t="shared" si="32"/>
        <v>-4.0000000000000002E-4</v>
      </c>
      <c r="N24" s="43">
        <f t="shared" si="33"/>
        <v>-1.1650000000000001E-2</v>
      </c>
      <c r="O24" s="30">
        <f t="shared" si="35"/>
        <v>83.05</v>
      </c>
      <c r="P24" s="31">
        <f t="shared" si="34"/>
        <v>79.73</v>
      </c>
    </row>
    <row r="25" spans="1:16" x14ac:dyDescent="0.25">
      <c r="A25" s="5">
        <v>42643</v>
      </c>
      <c r="B25" s="1">
        <v>51.5</v>
      </c>
      <c r="C25" s="42">
        <f t="shared" si="26"/>
        <v>-1.0999999999999999E-2</v>
      </c>
      <c r="D25">
        <v>11.6</v>
      </c>
      <c r="E25" s="18">
        <f t="shared" si="27"/>
        <v>5</v>
      </c>
      <c r="F25">
        <v>75.8</v>
      </c>
      <c r="G25" s="42">
        <f t="shared" si="28"/>
        <v>8.9999999999999998E-4</v>
      </c>
      <c r="H25">
        <v>118.7283</v>
      </c>
      <c r="I25" s="18">
        <f t="shared" si="29"/>
        <v>118.54</v>
      </c>
      <c r="J25" s="38">
        <f t="shared" si="30"/>
        <v>9.300000000000086E-3</v>
      </c>
      <c r="K25" s="42">
        <f t="shared" si="31"/>
        <v>8.2000000000000007E-3</v>
      </c>
      <c r="L25">
        <v>103.1459</v>
      </c>
      <c r="M25" s="42">
        <f t="shared" si="32"/>
        <v>1.2999999999999999E-3</v>
      </c>
      <c r="N25" s="43">
        <f t="shared" si="33"/>
        <v>-1.304E-2</v>
      </c>
      <c r="O25" s="30">
        <f t="shared" si="35"/>
        <v>80.849999999999994</v>
      </c>
      <c r="P25" s="31">
        <f t="shared" si="34"/>
        <v>80.7</v>
      </c>
    </row>
    <row r="26" spans="1:16" x14ac:dyDescent="0.25">
      <c r="A26" s="5">
        <v>42613</v>
      </c>
      <c r="B26" s="1">
        <v>49.4</v>
      </c>
      <c r="C26" s="42">
        <f t="shared" si="26"/>
        <v>-1.21E-2</v>
      </c>
      <c r="D26">
        <v>4.3</v>
      </c>
      <c r="E26" s="18">
        <f t="shared" si="27"/>
        <v>2.5</v>
      </c>
      <c r="F26">
        <v>75.900000000000006</v>
      </c>
      <c r="G26" s="42">
        <f t="shared" si="28"/>
        <v>1.2999999999999999E-3</v>
      </c>
      <c r="H26">
        <v>118.5917</v>
      </c>
      <c r="I26" s="18">
        <f t="shared" si="29"/>
        <v>117.58</v>
      </c>
      <c r="J26" s="38">
        <f t="shared" si="30"/>
        <v>1.6000000000000458E-3</v>
      </c>
      <c r="K26" s="42">
        <f t="shared" si="31"/>
        <v>2.2000000000000001E-3</v>
      </c>
      <c r="L26">
        <v>103.21729999999999</v>
      </c>
      <c r="M26" s="42">
        <f t="shared" si="32"/>
        <v>1.1000000000000001E-3</v>
      </c>
      <c r="N26" s="43">
        <f t="shared" si="33"/>
        <v>-1.242E-2</v>
      </c>
      <c r="O26" s="30">
        <f t="shared" si="35"/>
        <v>75.3</v>
      </c>
      <c r="P26" s="31">
        <f t="shared" si="34"/>
        <v>80.37</v>
      </c>
    </row>
    <row r="27" spans="1:16" x14ac:dyDescent="0.25">
      <c r="A27" s="5">
        <v>42582</v>
      </c>
      <c r="B27" s="1">
        <v>52.6</v>
      </c>
      <c r="C27" s="42">
        <f t="shared" si="26"/>
        <v>1.1599999999999999E-2</v>
      </c>
      <c r="D27">
        <v>-0.9</v>
      </c>
      <c r="E27" s="18">
        <f t="shared" si="27"/>
        <v>0.56999999999999995</v>
      </c>
      <c r="F27">
        <v>75.8</v>
      </c>
      <c r="G27" s="42">
        <f t="shared" si="28"/>
        <v>1.8E-3</v>
      </c>
      <c r="H27">
        <v>118.3085</v>
      </c>
      <c r="I27" s="18">
        <f t="shared" si="29"/>
        <v>117.32</v>
      </c>
      <c r="J27" s="38">
        <f t="shared" si="30"/>
        <v>-4.9999999999994493E-4</v>
      </c>
      <c r="K27" s="42">
        <f t="shared" si="31"/>
        <v>5.0000000000000001E-3</v>
      </c>
      <c r="L27">
        <v>103.1249</v>
      </c>
      <c r="M27" s="42">
        <f t="shared" si="32"/>
        <v>1.9E-3</v>
      </c>
      <c r="N27" s="43">
        <f t="shared" si="33"/>
        <v>-8.3400000000000002E-3</v>
      </c>
      <c r="O27" s="30">
        <f t="shared" si="35"/>
        <v>85.95</v>
      </c>
      <c r="P27" s="31">
        <f t="shared" si="34"/>
        <v>82.29</v>
      </c>
    </row>
    <row r="28" spans="1:16" x14ac:dyDescent="0.25">
      <c r="A28" s="5">
        <v>42551</v>
      </c>
      <c r="B28" s="1">
        <v>53.2</v>
      </c>
      <c r="C28" s="42">
        <f t="shared" si="26"/>
        <v>9.1000000000000004E-3</v>
      </c>
      <c r="D28">
        <v>4.0999999999999996</v>
      </c>
      <c r="E28" s="18">
        <f t="shared" si="27"/>
        <v>0.47</v>
      </c>
      <c r="F28">
        <v>75.599999999999994</v>
      </c>
      <c r="G28" s="42">
        <f t="shared" si="28"/>
        <v>-1.2999999999999999E-3</v>
      </c>
      <c r="H28">
        <v>115.8365</v>
      </c>
      <c r="I28" s="18">
        <f t="shared" si="29"/>
        <v>116.74</v>
      </c>
      <c r="J28" s="38">
        <f t="shared" si="30"/>
        <v>-3.9999999999995595E-4</v>
      </c>
      <c r="K28" s="42">
        <f t="shared" si="31"/>
        <v>-6.0000000000000001E-3</v>
      </c>
      <c r="L28">
        <v>102.7552</v>
      </c>
      <c r="M28" s="42">
        <f t="shared" si="32"/>
        <v>-1.6999999999999999E-3</v>
      </c>
      <c r="N28" s="43">
        <f t="shared" si="33"/>
        <v>-1.4659999999999999E-2</v>
      </c>
      <c r="O28" s="30">
        <f t="shared" si="35"/>
        <v>79.849999999999994</v>
      </c>
      <c r="P28" s="31">
        <f t="shared" si="34"/>
        <v>80.510000000000005</v>
      </c>
    </row>
    <row r="29" spans="1:16" x14ac:dyDescent="0.25">
      <c r="A29" s="5">
        <v>42521</v>
      </c>
      <c r="B29" s="1">
        <v>51.3</v>
      </c>
      <c r="C29" s="42">
        <f t="shared" si="26"/>
        <v>1.18E-2</v>
      </c>
      <c r="D29">
        <v>-1.5</v>
      </c>
      <c r="E29" s="18">
        <f t="shared" si="27"/>
        <v>2.63</v>
      </c>
      <c r="F29">
        <v>75.599999999999994</v>
      </c>
      <c r="G29" s="42">
        <f t="shared" si="28"/>
        <v>-2.2000000000000001E-3</v>
      </c>
      <c r="H29">
        <v>117.807</v>
      </c>
      <c r="I29" s="18">
        <f t="shared" si="29"/>
        <v>117.45</v>
      </c>
      <c r="J29" s="38">
        <f t="shared" si="30"/>
        <v>8.1999999999999851E-3</v>
      </c>
      <c r="K29" s="42">
        <f t="shared" si="31"/>
        <v>5.0000000000000001E-4</v>
      </c>
      <c r="L29">
        <v>102.86969999999999</v>
      </c>
      <c r="M29" s="42">
        <f t="shared" si="32"/>
        <v>-2E-3</v>
      </c>
      <c r="N29" s="43">
        <f t="shared" si="33"/>
        <v>-1.7129999999999999E-2</v>
      </c>
      <c r="O29" s="30">
        <f t="shared" si="35"/>
        <v>81.069999999999993</v>
      </c>
      <c r="P29" s="31">
        <f t="shared" si="34"/>
        <v>82.63</v>
      </c>
    </row>
    <row r="30" spans="1:16" x14ac:dyDescent="0.25">
      <c r="A30" s="5">
        <v>42490</v>
      </c>
      <c r="B30" s="1">
        <v>50.8</v>
      </c>
      <c r="C30" s="42">
        <f t="shared" si="26"/>
        <v>1.7399999999999999E-2</v>
      </c>
      <c r="D30">
        <v>-1.2</v>
      </c>
      <c r="E30" s="18">
        <f t="shared" si="27"/>
        <v>1.87</v>
      </c>
      <c r="F30">
        <v>75.400000000000006</v>
      </c>
      <c r="G30" s="42">
        <f t="shared" si="28"/>
        <v>-8.9999999999999998E-4</v>
      </c>
      <c r="H30">
        <v>116.587</v>
      </c>
      <c r="I30" s="18">
        <f t="shared" si="29"/>
        <v>117.39</v>
      </c>
      <c r="J30" s="38">
        <f t="shared" si="30"/>
        <v>7.6000000000000512E-3</v>
      </c>
      <c r="K30" s="42">
        <f t="shared" si="31"/>
        <v>1E-4</v>
      </c>
      <c r="L30">
        <v>102.52630000000001</v>
      </c>
      <c r="M30" s="42">
        <f t="shared" si="32"/>
        <v>-1.2999999999999999E-3</v>
      </c>
      <c r="N30" s="43">
        <f t="shared" si="33"/>
        <v>-2.4250000000000001E-2</v>
      </c>
      <c r="O30" s="30">
        <f t="shared" si="35"/>
        <v>80.62</v>
      </c>
      <c r="P30" s="31">
        <f t="shared" si="34"/>
        <v>80.790000000000006</v>
      </c>
    </row>
    <row r="31" spans="1:16" x14ac:dyDescent="0.25">
      <c r="A31" s="5">
        <v>42460</v>
      </c>
      <c r="B31" s="1">
        <v>51.8</v>
      </c>
      <c r="C31" s="42">
        <f t="shared" si="26"/>
        <v>2.6100000000000002E-2</v>
      </c>
      <c r="D31">
        <v>10.6</v>
      </c>
      <c r="E31" s="18">
        <f t="shared" si="27"/>
        <v>0.5</v>
      </c>
      <c r="F31">
        <v>75.900000000000006</v>
      </c>
      <c r="G31" s="42">
        <f t="shared" si="28"/>
        <v>-4.0000000000000002E-4</v>
      </c>
      <c r="H31">
        <v>117.9483</v>
      </c>
      <c r="I31" s="18">
        <f t="shared" si="29"/>
        <v>117.38</v>
      </c>
      <c r="J31" s="38">
        <f t="shared" si="30"/>
        <v>6.4999999999999503E-3</v>
      </c>
      <c r="K31" s="42">
        <f t="shared" si="31"/>
        <v>5.1000000000000004E-3</v>
      </c>
      <c r="L31">
        <v>103.2685</v>
      </c>
      <c r="M31" s="42">
        <f t="shared" si="32"/>
        <v>-4.0000000000000002E-4</v>
      </c>
      <c r="N31" s="43">
        <f t="shared" si="33"/>
        <v>-2.052E-2</v>
      </c>
      <c r="O31" s="30">
        <f t="shared" si="35"/>
        <v>86.21</v>
      </c>
      <c r="P31" s="31">
        <f t="shared" si="34"/>
        <v>76.040000000000006</v>
      </c>
    </row>
    <row r="32" spans="1:16" x14ac:dyDescent="0.25">
      <c r="A32" s="5">
        <v>42429</v>
      </c>
      <c r="B32" s="1">
        <v>49.5</v>
      </c>
      <c r="C32" s="42">
        <f t="shared" si="26"/>
        <v>7.6E-3</v>
      </c>
      <c r="D32">
        <v>-3.8</v>
      </c>
      <c r="E32" s="18">
        <f t="shared" si="27"/>
        <v>-6.8</v>
      </c>
      <c r="F32">
        <v>76.099999999999994</v>
      </c>
      <c r="G32" s="42">
        <f t="shared" si="28"/>
        <v>-1.2999999999999999E-3</v>
      </c>
      <c r="H32">
        <v>117.6237</v>
      </c>
      <c r="I32" s="18">
        <f t="shared" si="29"/>
        <v>116.79</v>
      </c>
      <c r="J32" s="38">
        <f t="shared" si="30"/>
        <v>-4.3999999999999595E-3</v>
      </c>
      <c r="K32" s="42">
        <f t="shared" si="31"/>
        <v>2.5999999999999999E-3</v>
      </c>
      <c r="L32">
        <v>103.48220000000001</v>
      </c>
      <c r="M32" s="42">
        <f t="shared" si="32"/>
        <v>-1.6999999999999999E-3</v>
      </c>
      <c r="N32" s="43">
        <f t="shared" si="33"/>
        <v>-2.019E-2</v>
      </c>
      <c r="O32" s="30">
        <f t="shared" si="35"/>
        <v>75.55</v>
      </c>
      <c r="P32" s="31">
        <f t="shared" si="34"/>
        <v>69.010000000000005</v>
      </c>
    </row>
    <row r="33" spans="1:16" x14ac:dyDescent="0.25">
      <c r="A33" s="5">
        <v>42400</v>
      </c>
      <c r="B33" s="1">
        <v>48.2</v>
      </c>
      <c r="C33" s="42">
        <f t="shared" si="26"/>
        <v>-8.2000000000000007E-3</v>
      </c>
      <c r="D33">
        <v>-5.3</v>
      </c>
      <c r="E33" s="18">
        <f t="shared" si="27"/>
        <v>-6.97</v>
      </c>
      <c r="F33">
        <v>75.599999999999994</v>
      </c>
      <c r="G33" s="42">
        <f t="shared" si="28"/>
        <v>-3.8999999999999998E-3</v>
      </c>
      <c r="H33">
        <v>116.5556</v>
      </c>
      <c r="I33" s="18">
        <f t="shared" si="29"/>
        <v>116.49</v>
      </c>
      <c r="J33" s="38">
        <f t="shared" si="30"/>
        <v>3.9999999999995595E-4</v>
      </c>
      <c r="K33" s="42">
        <f t="shared" si="31"/>
        <v>-1E-4</v>
      </c>
      <c r="L33">
        <v>102.9179</v>
      </c>
      <c r="M33" s="42">
        <f t="shared" si="32"/>
        <v>-4.1000000000000003E-3</v>
      </c>
      <c r="N33" s="43">
        <f t="shared" si="33"/>
        <v>-3.2539999999999999E-2</v>
      </c>
      <c r="O33" s="30">
        <f t="shared" si="35"/>
        <v>66.37</v>
      </c>
      <c r="P33" s="31">
        <f t="shared" si="34"/>
        <v>66.89</v>
      </c>
    </row>
    <row r="34" spans="1:16" x14ac:dyDescent="0.25">
      <c r="A34" s="5">
        <v>42369</v>
      </c>
      <c r="B34" s="1">
        <v>48</v>
      </c>
      <c r="C34" s="42">
        <f t="shared" si="26"/>
        <v>-1.49E-2</v>
      </c>
      <c r="D34">
        <v>-11.3</v>
      </c>
      <c r="E34" s="18">
        <f t="shared" si="27"/>
        <v>-6.83</v>
      </c>
      <c r="F34">
        <v>76</v>
      </c>
      <c r="G34" s="42">
        <f t="shared" si="28"/>
        <v>-3.5000000000000001E-3</v>
      </c>
      <c r="H34">
        <v>116.1891</v>
      </c>
      <c r="I34" s="18">
        <f t="shared" si="29"/>
        <v>116.5</v>
      </c>
      <c r="J34" s="38">
        <f t="shared" si="30"/>
        <v>5.9999999999993392E-4</v>
      </c>
      <c r="K34" s="42">
        <f t="shared" si="31"/>
        <v>-1E-3</v>
      </c>
      <c r="L34">
        <v>103.3965</v>
      </c>
      <c r="M34" s="42">
        <f t="shared" si="32"/>
        <v>-3.5999999999999999E-3</v>
      </c>
      <c r="N34" s="43">
        <f t="shared" si="33"/>
        <v>-3.0169999999999999E-2</v>
      </c>
      <c r="O34" s="30">
        <f t="shared" si="35"/>
        <v>65.11</v>
      </c>
      <c r="P34" s="31">
        <f t="shared" si="34"/>
        <v>70.19</v>
      </c>
    </row>
    <row r="35" spans="1:16" x14ac:dyDescent="0.25">
      <c r="A35" s="5">
        <v>42338</v>
      </c>
      <c r="B35" s="1">
        <v>48.4</v>
      </c>
      <c r="C35" s="42">
        <f t="shared" si="26"/>
        <v>-1.7899999999999999E-2</v>
      </c>
      <c r="D35">
        <v>-4.3</v>
      </c>
      <c r="E35" s="18">
        <f t="shared" si="27"/>
        <v>-4.67</v>
      </c>
      <c r="F35">
        <v>76.400000000000006</v>
      </c>
      <c r="G35" s="42">
        <f t="shared" si="28"/>
        <v>-1.6999999999999999E-3</v>
      </c>
      <c r="H35">
        <v>116.7191</v>
      </c>
      <c r="I35" s="18">
        <f t="shared" si="29"/>
        <v>116.62</v>
      </c>
      <c r="J35" s="38">
        <f t="shared" si="30"/>
        <v>1.3500000000000068E-2</v>
      </c>
      <c r="K35" s="42">
        <f t="shared" si="31"/>
        <v>-5.8999999999999999E-3</v>
      </c>
      <c r="L35">
        <v>104.00449999999999</v>
      </c>
      <c r="M35" s="42">
        <f t="shared" si="32"/>
        <v>-1.6000000000000001E-3</v>
      </c>
      <c r="N35" s="43">
        <f t="shared" si="33"/>
        <v>-1.6879999999999999E-2</v>
      </c>
      <c r="O35" s="30">
        <f t="shared" si="35"/>
        <v>69.180000000000007</v>
      </c>
      <c r="P35" s="31">
        <f t="shared" si="34"/>
        <v>74.47</v>
      </c>
    </row>
    <row r="36" spans="1:16" x14ac:dyDescent="0.25">
      <c r="A36" s="5">
        <v>42308</v>
      </c>
      <c r="B36" s="1">
        <v>49.4</v>
      </c>
      <c r="C36" s="42">
        <f t="shared" si="26"/>
        <v>-2.1399999999999999E-2</v>
      </c>
      <c r="D36">
        <v>-4.9000000000000004</v>
      </c>
      <c r="E36" s="18">
        <f t="shared" si="27"/>
        <v>-1.43</v>
      </c>
      <c r="F36">
        <v>76.5</v>
      </c>
      <c r="G36" s="42">
        <f t="shared" si="28"/>
        <v>0</v>
      </c>
      <c r="H36">
        <v>116.578</v>
      </c>
      <c r="I36" s="18">
        <f t="shared" si="29"/>
        <v>117.31</v>
      </c>
      <c r="J36" s="38">
        <f t="shared" si="30"/>
        <v>2.079999999999993E-2</v>
      </c>
      <c r="K36" s="42">
        <f t="shared" si="31"/>
        <v>7.4999999999999997E-3</v>
      </c>
      <c r="L36">
        <v>104.2038</v>
      </c>
      <c r="M36" s="42">
        <f t="shared" si="32"/>
        <v>6.9999999999999999E-4</v>
      </c>
      <c r="N36" s="43">
        <f t="shared" si="33"/>
        <v>-1.4460000000000001E-2</v>
      </c>
      <c r="O36" s="30">
        <f t="shared" si="35"/>
        <v>76.290000000000006</v>
      </c>
      <c r="P36" s="31">
        <f t="shared" si="34"/>
        <v>79.900000000000006</v>
      </c>
    </row>
    <row r="37" spans="1:16" x14ac:dyDescent="0.25">
      <c r="A37" s="5">
        <v>42277</v>
      </c>
      <c r="B37" s="1">
        <v>50.2</v>
      </c>
      <c r="C37" s="42">
        <f t="shared" si="26"/>
        <v>-2.1000000000000001E-2</v>
      </c>
      <c r="D37">
        <v>-4.8</v>
      </c>
      <c r="E37" s="18">
        <f t="shared" si="27"/>
        <v>1.17</v>
      </c>
      <c r="F37">
        <v>76.8</v>
      </c>
      <c r="G37" s="42">
        <f t="shared" si="28"/>
        <v>0</v>
      </c>
      <c r="H37">
        <v>116.55880000000001</v>
      </c>
      <c r="I37" s="18">
        <f t="shared" si="29"/>
        <v>116.44</v>
      </c>
      <c r="J37" s="38">
        <f t="shared" si="30"/>
        <v>2.970000000000006E-2</v>
      </c>
      <c r="K37" s="42">
        <f t="shared" si="31"/>
        <v>1E-4</v>
      </c>
      <c r="L37">
        <v>104.5091</v>
      </c>
      <c r="M37" s="42">
        <f t="shared" si="32"/>
        <v>6.9999999999999999E-4</v>
      </c>
      <c r="N37" s="43">
        <f t="shared" si="33"/>
        <v>-8.6899999999999998E-3</v>
      </c>
      <c r="O37" s="30">
        <f t="shared" si="35"/>
        <v>77.94</v>
      </c>
      <c r="P37" s="31">
        <f t="shared" si="34"/>
        <v>82.61</v>
      </c>
    </row>
    <row r="38" spans="1:16" x14ac:dyDescent="0.25">
      <c r="A38" s="5">
        <v>42247</v>
      </c>
      <c r="B38" s="1">
        <v>51.1</v>
      </c>
      <c r="C38" s="42">
        <f t="shared" si="26"/>
        <v>-1.0699999999999999E-2</v>
      </c>
      <c r="D38">
        <v>5.4</v>
      </c>
      <c r="E38" s="18">
        <f t="shared" si="27"/>
        <v>5.47</v>
      </c>
      <c r="F38">
        <v>76.8</v>
      </c>
      <c r="G38" s="42">
        <f t="shared" si="28"/>
        <v>-1.2999999999999999E-3</v>
      </c>
      <c r="H38">
        <v>118.7868</v>
      </c>
      <c r="I38" s="18">
        <f t="shared" si="29"/>
        <v>116.43</v>
      </c>
      <c r="J38" s="38">
        <f t="shared" si="30"/>
        <v>3.5199999999999898E-2</v>
      </c>
      <c r="K38" s="42">
        <f t="shared" si="31"/>
        <v>1.18E-2</v>
      </c>
      <c r="L38">
        <v>104.515</v>
      </c>
      <c r="M38" s="42">
        <f t="shared" si="32"/>
        <v>-5.0000000000000001E-4</v>
      </c>
      <c r="N38" s="43">
        <f t="shared" si="33"/>
        <v>-9.2599999999999991E-3</v>
      </c>
      <c r="O38" s="30">
        <f t="shared" si="35"/>
        <v>85.48</v>
      </c>
      <c r="P38" s="31">
        <f t="shared" si="34"/>
        <v>86.88</v>
      </c>
    </row>
    <row r="39" spans="1:16" x14ac:dyDescent="0.25">
      <c r="A39" s="5">
        <v>42216</v>
      </c>
      <c r="B39" s="1">
        <v>52.7</v>
      </c>
      <c r="C39" s="42">
        <f t="shared" si="26"/>
        <v>7.6E-3</v>
      </c>
      <c r="D39">
        <v>2.9</v>
      </c>
      <c r="E39" s="18">
        <f t="shared" si="27"/>
        <v>6.4</v>
      </c>
      <c r="F39">
        <v>76.5</v>
      </c>
      <c r="G39" s="42">
        <f t="shared" si="28"/>
        <v>-4.3E-3</v>
      </c>
      <c r="H39">
        <v>113.9661</v>
      </c>
      <c r="I39" s="18">
        <f t="shared" si="29"/>
        <v>115.07</v>
      </c>
      <c r="J39" s="38">
        <f t="shared" si="30"/>
        <v>2.2399999999999975E-2</v>
      </c>
      <c r="K39" s="42">
        <f t="shared" si="31"/>
        <v>1.2999999999999999E-3</v>
      </c>
      <c r="L39">
        <v>103.9927</v>
      </c>
      <c r="M39" s="42">
        <f t="shared" si="32"/>
        <v>-3.3999999999999998E-3</v>
      </c>
      <c r="N39" s="43">
        <f t="shared" si="33"/>
        <v>-1.4E-2</v>
      </c>
      <c r="O39" s="30">
        <f t="shared" si="35"/>
        <v>84.4</v>
      </c>
      <c r="P39" s="31">
        <f t="shared" si="34"/>
        <v>86.3</v>
      </c>
    </row>
    <row r="40" spans="1:16" x14ac:dyDescent="0.25">
      <c r="A40" s="5">
        <v>42185</v>
      </c>
      <c r="B40" s="1">
        <v>53.5</v>
      </c>
      <c r="C40" s="42">
        <f t="shared" si="26"/>
        <v>1.2800000000000001E-2</v>
      </c>
      <c r="D40">
        <v>8.1</v>
      </c>
      <c r="E40" s="18">
        <f t="shared" si="27"/>
        <v>8.9</v>
      </c>
      <c r="F40">
        <v>76.8</v>
      </c>
      <c r="G40" s="42">
        <f t="shared" si="28"/>
        <v>-4.7000000000000002E-3</v>
      </c>
      <c r="H40">
        <v>116.5324</v>
      </c>
      <c r="I40" s="18">
        <f t="shared" si="29"/>
        <v>114.92</v>
      </c>
      <c r="J40" s="38">
        <f t="shared" si="30"/>
        <v>1.089999999999991E-2</v>
      </c>
      <c r="K40" s="42">
        <f t="shared" si="31"/>
        <v>1.6299999999999999E-2</v>
      </c>
      <c r="L40">
        <v>104.2843</v>
      </c>
      <c r="M40" s="42">
        <f t="shared" si="32"/>
        <v>-3.5999999999999999E-3</v>
      </c>
      <c r="N40" s="43">
        <f t="shared" si="33"/>
        <v>-7.5700000000000003E-3</v>
      </c>
      <c r="O40" s="30">
        <f t="shared" si="35"/>
        <v>90.77</v>
      </c>
      <c r="P40" s="31">
        <f t="shared" si="34"/>
        <v>84.48</v>
      </c>
    </row>
    <row r="41" spans="1:16" x14ac:dyDescent="0.25">
      <c r="A41" s="5">
        <v>42155</v>
      </c>
      <c r="B41" s="1">
        <v>52.8</v>
      </c>
      <c r="C41" s="42">
        <f t="shared" si="26"/>
        <v>-5.9999999999999995E-4</v>
      </c>
      <c r="D41">
        <v>8.1999999999999993</v>
      </c>
      <c r="E41" s="18">
        <f t="shared" si="27"/>
        <v>9.07</v>
      </c>
      <c r="F41">
        <v>77.099999999999994</v>
      </c>
      <c r="G41" s="42">
        <f t="shared" si="28"/>
        <v>-4.3E-3</v>
      </c>
      <c r="H41">
        <v>114.7013</v>
      </c>
      <c r="I41" s="18">
        <f t="shared" si="29"/>
        <v>113.08</v>
      </c>
      <c r="J41" s="38">
        <f t="shared" si="30"/>
        <v>1.2000000000000899E-3</v>
      </c>
      <c r="K41" s="42">
        <f t="shared" si="31"/>
        <v>5.4000000000000003E-3</v>
      </c>
      <c r="L41">
        <v>104.66240000000001</v>
      </c>
      <c r="M41" s="42">
        <f t="shared" si="32"/>
        <v>-3.0000000000000001E-3</v>
      </c>
      <c r="N41" s="43">
        <f t="shared" si="33"/>
        <v>-1.1299999999999999E-3</v>
      </c>
      <c r="O41" s="30">
        <f t="shared" si="35"/>
        <v>83.74</v>
      </c>
      <c r="P41" s="31">
        <f t="shared" si="34"/>
        <v>80.3</v>
      </c>
    </row>
    <row r="42" spans="1:16" x14ac:dyDescent="0.25">
      <c r="A42" s="5">
        <v>42124</v>
      </c>
      <c r="B42" s="1">
        <v>51.5</v>
      </c>
      <c r="C42" s="42">
        <f t="shared" si="26"/>
        <v>-1.2699999999999999E-2</v>
      </c>
      <c r="D42">
        <v>10.4</v>
      </c>
      <c r="E42" s="18">
        <f t="shared" si="27"/>
        <v>10.5</v>
      </c>
      <c r="F42">
        <v>77.5</v>
      </c>
      <c r="G42" s="42">
        <f t="shared" si="28"/>
        <v>-5.4999999999999997E-3</v>
      </c>
      <c r="H42">
        <v>113.5137</v>
      </c>
      <c r="I42" s="18">
        <f t="shared" si="29"/>
        <v>112.47</v>
      </c>
      <c r="J42" s="38">
        <f t="shared" si="30"/>
        <v>4.0000000000000036E-3</v>
      </c>
      <c r="K42" s="42">
        <f t="shared" si="31"/>
        <v>-6.9999999999999999E-4</v>
      </c>
      <c r="L42">
        <v>105.0745</v>
      </c>
      <c r="M42" s="42">
        <f t="shared" si="32"/>
        <v>-4.1000000000000003E-3</v>
      </c>
      <c r="N42" s="43">
        <f t="shared" si="33"/>
        <v>4.9699999999999996E-3</v>
      </c>
      <c r="O42" s="30">
        <f t="shared" si="35"/>
        <v>78.92</v>
      </c>
      <c r="P42" s="31">
        <f t="shared" si="34"/>
        <v>81.739999999999995</v>
      </c>
    </row>
    <row r="43" spans="1:16" x14ac:dyDescent="0.25">
      <c r="A43" s="5">
        <v>42094</v>
      </c>
      <c r="B43" s="1">
        <v>51.5</v>
      </c>
      <c r="C43" s="42">
        <f t="shared" si="26"/>
        <v>-2.23E-2</v>
      </c>
      <c r="D43">
        <v>8.6</v>
      </c>
      <c r="E43" s="18">
        <f t="shared" si="27"/>
        <v>11.2</v>
      </c>
      <c r="F43">
        <v>77.900000000000006</v>
      </c>
      <c r="G43" s="42">
        <f t="shared" si="28"/>
        <v>-5.4999999999999997E-3</v>
      </c>
      <c r="H43">
        <v>111.0322</v>
      </c>
      <c r="I43" s="18">
        <f t="shared" si="29"/>
        <v>112.55</v>
      </c>
      <c r="J43" s="38">
        <f t="shared" si="30"/>
        <v>1.4999999999999902E-2</v>
      </c>
      <c r="K43" s="42">
        <f t="shared" si="31"/>
        <v>-9.9000000000000008E-3</v>
      </c>
      <c r="L43">
        <v>105.43210000000001</v>
      </c>
      <c r="M43" s="42">
        <f t="shared" si="32"/>
        <v>-3.7000000000000002E-3</v>
      </c>
      <c r="N43" s="43">
        <f t="shared" si="33"/>
        <v>1.7399999999999999E-2</v>
      </c>
      <c r="O43" s="30">
        <f t="shared" si="35"/>
        <v>78.23</v>
      </c>
      <c r="P43" s="31">
        <f t="shared" si="34"/>
        <v>85.98</v>
      </c>
    </row>
    <row r="44" spans="1:16" x14ac:dyDescent="0.25">
      <c r="A44" s="5">
        <v>42063</v>
      </c>
      <c r="B44" s="1">
        <v>52.9</v>
      </c>
      <c r="C44" s="42">
        <f t="shared" si="26"/>
        <v>-2.8299999999999999E-2</v>
      </c>
      <c r="D44">
        <v>12.5</v>
      </c>
      <c r="E44" s="18">
        <f t="shared" si="27"/>
        <v>15.1</v>
      </c>
      <c r="F44">
        <v>78.099999999999994</v>
      </c>
      <c r="G44" s="42">
        <f t="shared" si="28"/>
        <v>-2.5000000000000001E-3</v>
      </c>
      <c r="H44">
        <v>112.8536</v>
      </c>
      <c r="I44" s="18">
        <f t="shared" si="29"/>
        <v>113.68</v>
      </c>
      <c r="J44" s="38">
        <f t="shared" si="30"/>
        <v>1.8799999999999928E-2</v>
      </c>
      <c r="K44" s="42">
        <f t="shared" si="31"/>
        <v>6.6E-3</v>
      </c>
      <c r="L44">
        <v>105.6148</v>
      </c>
      <c r="M44" s="42">
        <f t="shared" si="32"/>
        <v>-5.0000000000000001E-4</v>
      </c>
      <c r="N44" s="43">
        <f t="shared" si="33"/>
        <v>2.9319999999999999E-2</v>
      </c>
      <c r="O44" s="30">
        <f t="shared" si="35"/>
        <v>88.07</v>
      </c>
      <c r="P44" s="31">
        <f t="shared" si="34"/>
        <v>93.26</v>
      </c>
    </row>
    <row r="45" spans="1:16" x14ac:dyDescent="0.25">
      <c r="A45" s="5">
        <v>42035</v>
      </c>
      <c r="B45" s="1">
        <v>53.5</v>
      </c>
      <c r="C45" s="42">
        <f t="shared" si="26"/>
        <v>-2.58E-2</v>
      </c>
      <c r="D45">
        <v>12.5</v>
      </c>
      <c r="E45" s="18">
        <f t="shared" si="27"/>
        <v>22.53</v>
      </c>
      <c r="F45">
        <v>78.8</v>
      </c>
      <c r="G45" s="42">
        <f t="shared" si="28"/>
        <v>0</v>
      </c>
      <c r="H45">
        <v>113.761</v>
      </c>
      <c r="I45" s="18">
        <f t="shared" si="29"/>
        <v>112.94</v>
      </c>
      <c r="J45" s="38">
        <f t="shared" si="30"/>
        <v>1.1900000000000022E-2</v>
      </c>
      <c r="K45" s="42">
        <f t="shared" si="31"/>
        <v>8.2000000000000007E-3</v>
      </c>
      <c r="L45">
        <v>106.3797</v>
      </c>
      <c r="M45" s="42">
        <f t="shared" si="32"/>
        <v>2E-3</v>
      </c>
      <c r="N45" s="43">
        <f t="shared" si="33"/>
        <v>3.1829999999999997E-2</v>
      </c>
      <c r="O45" s="30">
        <f t="shared" si="35"/>
        <v>91.64</v>
      </c>
      <c r="P45" s="31">
        <f t="shared" si="34"/>
        <v>96.01</v>
      </c>
    </row>
    <row r="46" spans="1:16" x14ac:dyDescent="0.25">
      <c r="A46" s="5">
        <v>42004</v>
      </c>
      <c r="B46" s="1">
        <v>55.1</v>
      </c>
      <c r="C46" s="42">
        <f t="shared" si="26"/>
        <v>-5.7999999999999996E-3</v>
      </c>
      <c r="D46">
        <v>20.3</v>
      </c>
      <c r="E46" s="18">
        <f t="shared" si="27"/>
        <v>24.27</v>
      </c>
      <c r="F46">
        <v>79.2</v>
      </c>
      <c r="G46" s="42">
        <f t="shared" si="28"/>
        <v>2.0999999999999999E-3</v>
      </c>
      <c r="H46">
        <v>114.4211</v>
      </c>
      <c r="I46" s="18">
        <f t="shared" si="29"/>
        <v>112.02</v>
      </c>
      <c r="J46" s="38">
        <f t="shared" si="30"/>
        <v>4.4999999999999485E-3</v>
      </c>
      <c r="K46" s="42">
        <f t="shared" si="31"/>
        <v>1.0200000000000001E-2</v>
      </c>
      <c r="L46">
        <v>106.6134</v>
      </c>
      <c r="M46" s="42">
        <f t="shared" si="32"/>
        <v>3.7000000000000002E-3</v>
      </c>
      <c r="N46" s="43">
        <f t="shared" si="33"/>
        <v>3.7010000000000001E-2</v>
      </c>
      <c r="O46" s="30">
        <f t="shared" si="35"/>
        <v>100.06</v>
      </c>
      <c r="P46" s="31">
        <f t="shared" si="34"/>
        <v>99.44</v>
      </c>
    </row>
    <row r="47" spans="1:16" x14ac:dyDescent="0.25">
      <c r="A47" s="5">
        <v>41973</v>
      </c>
      <c r="B47" s="1">
        <v>57.6</v>
      </c>
      <c r="C47" s="42">
        <f t="shared" si="26"/>
        <v>-2.8999999999999998E-3</v>
      </c>
      <c r="D47">
        <v>34.799999999999997</v>
      </c>
      <c r="E47" s="18">
        <f t="shared" si="27"/>
        <v>24.3</v>
      </c>
      <c r="F47">
        <v>78.7</v>
      </c>
      <c r="G47" s="42">
        <f t="shared" si="28"/>
        <v>-8.0000000000000004E-4</v>
      </c>
      <c r="H47">
        <v>110.6508</v>
      </c>
      <c r="I47" s="18">
        <f t="shared" si="29"/>
        <v>110.89</v>
      </c>
      <c r="J47" s="38">
        <f t="shared" si="30"/>
        <v>4.9999999999998934E-3</v>
      </c>
      <c r="K47" s="42">
        <f t="shared" si="31"/>
        <v>-6.1999999999999998E-3</v>
      </c>
      <c r="L47">
        <v>105.7898</v>
      </c>
      <c r="M47" s="42">
        <f t="shared" si="32"/>
        <v>8.9999999999999998E-4</v>
      </c>
      <c r="N47" s="43">
        <f t="shared" si="33"/>
        <v>3.2370000000000003E-2</v>
      </c>
      <c r="O47" s="30">
        <f t="shared" si="35"/>
        <v>96.33</v>
      </c>
      <c r="P47" s="31">
        <f t="shared" si="34"/>
        <v>99.45</v>
      </c>
    </row>
    <row r="48" spans="1:16" x14ac:dyDescent="0.25">
      <c r="A48" s="5">
        <v>41943</v>
      </c>
      <c r="B48" s="1">
        <v>57.9</v>
      </c>
      <c r="C48" s="42">
        <f t="shared" si="26"/>
        <v>8.8000000000000005E-3</v>
      </c>
      <c r="D48">
        <v>17.7</v>
      </c>
      <c r="E48" s="18">
        <f t="shared" si="27"/>
        <v>20.37</v>
      </c>
      <c r="F48">
        <v>78.8</v>
      </c>
      <c r="G48" s="42">
        <f t="shared" si="28"/>
        <v>-8.0000000000000004E-4</v>
      </c>
      <c r="H48">
        <v>110.9954</v>
      </c>
      <c r="I48" s="18">
        <f t="shared" si="29"/>
        <v>111.58</v>
      </c>
      <c r="J48" s="38">
        <f t="shared" si="30"/>
        <v>1.4999999999999902E-2</v>
      </c>
      <c r="K48" s="42">
        <f t="shared" si="31"/>
        <v>-2.9999999999999997E-4</v>
      </c>
      <c r="L48">
        <v>105.7329</v>
      </c>
      <c r="M48" s="42">
        <f t="shared" si="32"/>
        <v>8.0000000000000004E-4</v>
      </c>
      <c r="N48" s="43">
        <f t="shared" si="33"/>
        <v>3.083E-2</v>
      </c>
      <c r="O48" s="30">
        <f t="shared" si="35"/>
        <v>101.93</v>
      </c>
      <c r="P48" s="31">
        <f t="shared" si="34"/>
        <v>104.66</v>
      </c>
    </row>
    <row r="49" spans="1:16" x14ac:dyDescent="0.25">
      <c r="A49" s="5">
        <v>41912</v>
      </c>
      <c r="B49" s="1">
        <v>56.1</v>
      </c>
      <c r="C49" s="42">
        <f t="shared" si="26"/>
        <v>2.3999999999999998E-3</v>
      </c>
      <c r="D49">
        <v>20.399999999999999</v>
      </c>
      <c r="E49" s="18">
        <f t="shared" si="27"/>
        <v>21.37</v>
      </c>
      <c r="F49">
        <v>78.7</v>
      </c>
      <c r="G49" s="42">
        <f t="shared" si="28"/>
        <v>-4.0000000000000002E-4</v>
      </c>
      <c r="H49">
        <v>111.02079999999999</v>
      </c>
      <c r="I49" s="18">
        <f t="shared" si="29"/>
        <v>111.61</v>
      </c>
      <c r="J49" s="38">
        <f t="shared" si="30"/>
        <v>2.0100000000000007E-2</v>
      </c>
      <c r="K49" s="42">
        <f t="shared" si="31"/>
        <v>8.0000000000000004E-4</v>
      </c>
      <c r="L49">
        <v>105.425</v>
      </c>
      <c r="M49" s="42">
        <f t="shared" si="32"/>
        <v>1.1000000000000001E-3</v>
      </c>
      <c r="N49" s="43">
        <f t="shared" si="33"/>
        <v>3.2800000000000003E-2</v>
      </c>
      <c r="O49" s="30">
        <f t="shared" si="35"/>
        <v>100.1</v>
      </c>
      <c r="P49" s="31">
        <f t="shared" si="34"/>
        <v>105.28</v>
      </c>
    </row>
    <row r="50" spans="1:16" x14ac:dyDescent="0.25">
      <c r="A50" s="5">
        <v>41882</v>
      </c>
      <c r="B50" s="1">
        <v>58.1</v>
      </c>
      <c r="C50" s="42">
        <f t="shared" si="26"/>
        <v>1.49E-2</v>
      </c>
      <c r="D50">
        <v>23</v>
      </c>
      <c r="E50" s="18">
        <f t="shared" si="27"/>
        <v>19.329999999999998</v>
      </c>
      <c r="F50">
        <v>78.900000000000006</v>
      </c>
      <c r="G50" s="42">
        <f t="shared" si="28"/>
        <v>8.0000000000000004E-4</v>
      </c>
      <c r="H50">
        <v>112.71980000000001</v>
      </c>
      <c r="I50" s="18">
        <f t="shared" si="29"/>
        <v>111.52</v>
      </c>
      <c r="J50" s="38">
        <f t="shared" si="30"/>
        <v>3.1099999999999905E-2</v>
      </c>
      <c r="K50" s="42">
        <f t="shared" si="31"/>
        <v>1.0699999999999999E-2</v>
      </c>
      <c r="L50">
        <v>105.4919</v>
      </c>
      <c r="M50" s="42">
        <f t="shared" si="32"/>
        <v>2.3E-3</v>
      </c>
      <c r="N50" s="43">
        <f t="shared" si="33"/>
        <v>4.1410000000000002E-2</v>
      </c>
      <c r="O50" s="30">
        <f t="shared" si="35"/>
        <v>111.94</v>
      </c>
      <c r="P50" s="31">
        <f t="shared" si="34"/>
        <v>106.42</v>
      </c>
    </row>
    <row r="51" spans="1:16" x14ac:dyDescent="0.25">
      <c r="A51" s="5">
        <v>41851</v>
      </c>
      <c r="B51" s="1">
        <v>56.4</v>
      </c>
      <c r="C51" s="42">
        <f t="shared" si="26"/>
        <v>6.6E-3</v>
      </c>
      <c r="D51">
        <v>20.7</v>
      </c>
      <c r="E51" s="18">
        <f t="shared" si="27"/>
        <v>18.100000000000001</v>
      </c>
      <c r="F51">
        <v>79</v>
      </c>
      <c r="G51" s="42">
        <f t="shared" si="28"/>
        <v>1.6999999999999999E-3</v>
      </c>
      <c r="H51">
        <v>111.10420000000001</v>
      </c>
      <c r="I51" s="18">
        <f t="shared" si="29"/>
        <v>110.34</v>
      </c>
      <c r="J51" s="38">
        <f t="shared" si="30"/>
        <v>2.2599999999999953E-2</v>
      </c>
      <c r="K51" s="42">
        <f t="shared" si="31"/>
        <v>3.7000000000000002E-3</v>
      </c>
      <c r="L51">
        <v>105.46980000000001</v>
      </c>
      <c r="M51" s="42">
        <f t="shared" si="32"/>
        <v>2.8999999999999998E-3</v>
      </c>
      <c r="N51" s="43">
        <f t="shared" si="33"/>
        <v>3.5310000000000001E-2</v>
      </c>
      <c r="O51" s="30">
        <f t="shared" si="35"/>
        <v>103.81</v>
      </c>
      <c r="P51" s="31">
        <f t="shared" si="34"/>
        <v>103.88</v>
      </c>
    </row>
    <row r="52" spans="1:16" x14ac:dyDescent="0.25">
      <c r="A52" s="5">
        <v>41820</v>
      </c>
      <c r="B52" s="1">
        <v>55.7</v>
      </c>
      <c r="C52" s="42">
        <f t="shared" si="26"/>
        <v>7.9000000000000008E-3</v>
      </c>
      <c r="D52">
        <v>14.3</v>
      </c>
      <c r="E52" s="18">
        <f t="shared" si="27"/>
        <v>17.03</v>
      </c>
      <c r="F52">
        <v>78.8</v>
      </c>
      <c r="G52" s="42">
        <f t="shared" si="28"/>
        <v>3.3999999999999998E-3</v>
      </c>
      <c r="H52">
        <v>110.73350000000001</v>
      </c>
      <c r="I52" s="18">
        <f t="shared" si="29"/>
        <v>109.93</v>
      </c>
      <c r="J52" s="38">
        <f t="shared" si="30"/>
        <v>1.980000000000004E-2</v>
      </c>
      <c r="K52" s="42">
        <f t="shared" si="31"/>
        <v>4.7999999999999996E-3</v>
      </c>
      <c r="L52">
        <v>105.07989999999999</v>
      </c>
      <c r="M52" s="42">
        <f t="shared" si="32"/>
        <v>4.5999999999999999E-3</v>
      </c>
      <c r="N52" s="43">
        <f t="shared" si="33"/>
        <v>3.3320000000000002E-2</v>
      </c>
      <c r="O52" s="30">
        <f t="shared" si="35"/>
        <v>103.52</v>
      </c>
      <c r="P52" s="31">
        <f t="shared" si="34"/>
        <v>103.3</v>
      </c>
    </row>
    <row r="53" spans="1:16" x14ac:dyDescent="0.25">
      <c r="A53" s="5">
        <v>41790</v>
      </c>
      <c r="B53" s="1">
        <v>55.6</v>
      </c>
      <c r="C53" s="42">
        <f t="shared" si="26"/>
        <v>7.9000000000000008E-3</v>
      </c>
      <c r="D53">
        <v>19.3</v>
      </c>
      <c r="E53" s="18">
        <f t="shared" si="27"/>
        <v>16.73</v>
      </c>
      <c r="F53">
        <v>78.7</v>
      </c>
      <c r="G53" s="42">
        <f t="shared" si="28"/>
        <v>6.0000000000000001E-3</v>
      </c>
      <c r="H53">
        <v>109.1733</v>
      </c>
      <c r="I53" s="18">
        <f t="shared" si="29"/>
        <v>109.41</v>
      </c>
      <c r="J53" s="38">
        <f t="shared" si="30"/>
        <v>8.1999999999999851E-3</v>
      </c>
      <c r="K53" s="42">
        <f t="shared" si="31"/>
        <v>1.1599999999999999E-2</v>
      </c>
      <c r="L53">
        <v>104.7807</v>
      </c>
      <c r="M53" s="42">
        <f t="shared" si="32"/>
        <v>7.0000000000000001E-3</v>
      </c>
      <c r="N53" s="43">
        <f t="shared" si="33"/>
        <v>3.049E-2</v>
      </c>
      <c r="O53" s="30">
        <f t="shared" si="35"/>
        <v>104.3</v>
      </c>
      <c r="P53" s="31">
        <f t="shared" si="34"/>
        <v>98.72</v>
      </c>
    </row>
    <row r="54" spans="1:16" x14ac:dyDescent="0.25">
      <c r="A54" s="5">
        <v>41759</v>
      </c>
      <c r="B54" s="1">
        <v>55.3</v>
      </c>
      <c r="C54" s="42">
        <f t="shared" si="26"/>
        <v>2.5000000000000001E-2</v>
      </c>
      <c r="D54">
        <v>17.5</v>
      </c>
      <c r="E54" s="18">
        <f t="shared" si="27"/>
        <v>11.4</v>
      </c>
      <c r="F54">
        <v>78.599999999999994</v>
      </c>
      <c r="G54" s="42">
        <f t="shared" si="28"/>
        <v>3.3999999999999998E-3</v>
      </c>
      <c r="H54">
        <v>109.8952</v>
      </c>
      <c r="I54" s="18">
        <f t="shared" si="29"/>
        <v>108.16</v>
      </c>
      <c r="J54" s="38">
        <f t="shared" si="30"/>
        <v>2.1999999999999797E-3</v>
      </c>
      <c r="K54" s="42">
        <f t="shared" si="31"/>
        <v>2.3999999999999998E-3</v>
      </c>
      <c r="L54">
        <v>104.55459999999999</v>
      </c>
      <c r="M54" s="42">
        <f t="shared" si="32"/>
        <v>4.7000000000000002E-3</v>
      </c>
      <c r="N54" s="43">
        <f t="shared" si="33"/>
        <v>2.734E-2</v>
      </c>
      <c r="O54" s="30">
        <f t="shared" si="35"/>
        <v>102.08</v>
      </c>
      <c r="P54" s="31">
        <f t="shared" si="34"/>
        <v>92.7</v>
      </c>
    </row>
    <row r="55" spans="1:16" x14ac:dyDescent="0.25">
      <c r="A55" s="5">
        <v>41729</v>
      </c>
      <c r="B55" s="1">
        <v>54.4</v>
      </c>
      <c r="C55" s="42">
        <f t="shared" si="26"/>
        <v>-1.2999999999999999E-2</v>
      </c>
      <c r="D55">
        <v>13.4</v>
      </c>
      <c r="E55" s="18">
        <f t="shared" si="27"/>
        <v>10.53</v>
      </c>
      <c r="F55">
        <v>78</v>
      </c>
      <c r="G55" s="42">
        <f t="shared" si="28"/>
        <v>1.6999999999999999E-3</v>
      </c>
      <c r="H55">
        <v>109.1562</v>
      </c>
      <c r="I55" s="18">
        <f t="shared" si="29"/>
        <v>107.9</v>
      </c>
      <c r="J55" s="38">
        <f t="shared" si="30"/>
        <v>7.6000000000000512E-3</v>
      </c>
      <c r="K55" s="42">
        <f t="shared" si="31"/>
        <v>8.9999999999999998E-4</v>
      </c>
      <c r="L55">
        <v>103.6292</v>
      </c>
      <c r="M55" s="42">
        <f t="shared" si="32"/>
        <v>2.7000000000000001E-3</v>
      </c>
      <c r="N55" s="43">
        <f t="shared" si="33"/>
        <v>2.1309999999999999E-2</v>
      </c>
      <c r="O55" s="30">
        <f t="shared" si="35"/>
        <v>89.79</v>
      </c>
      <c r="P55" s="31">
        <f t="shared" si="34"/>
        <v>87.38</v>
      </c>
    </row>
    <row r="56" spans="1:16" x14ac:dyDescent="0.25">
      <c r="A56" s="5">
        <v>41698</v>
      </c>
      <c r="B56" s="1">
        <v>54.3</v>
      </c>
      <c r="C56" s="42">
        <f t="shared" si="26"/>
        <v>-1.6400000000000001E-2</v>
      </c>
      <c r="D56">
        <v>3.3</v>
      </c>
      <c r="E56" s="18">
        <f t="shared" si="27"/>
        <v>7.13</v>
      </c>
      <c r="F56">
        <v>77.3</v>
      </c>
      <c r="G56" s="42">
        <f t="shared" si="28"/>
        <v>-4.0000000000000002E-4</v>
      </c>
      <c r="H56">
        <v>105.42659999999999</v>
      </c>
      <c r="I56" s="18">
        <f t="shared" si="29"/>
        <v>107.8</v>
      </c>
      <c r="J56" s="38">
        <f t="shared" si="30"/>
        <v>2.2100000000000009E-2</v>
      </c>
      <c r="K56" s="42">
        <f t="shared" si="31"/>
        <v>-6.6E-3</v>
      </c>
      <c r="L56">
        <v>102.6063</v>
      </c>
      <c r="M56" s="42">
        <f t="shared" si="32"/>
        <v>4.0000000000000002E-4</v>
      </c>
      <c r="N56" s="43">
        <f t="shared" si="33"/>
        <v>1.6959999999999999E-2</v>
      </c>
      <c r="O56" s="30">
        <f t="shared" si="35"/>
        <v>86.22</v>
      </c>
      <c r="P56" s="31">
        <f t="shared" si="34"/>
        <v>91.08</v>
      </c>
    </row>
    <row r="57" spans="1:16" x14ac:dyDescent="0.25">
      <c r="A57" s="5">
        <v>41670</v>
      </c>
      <c r="B57" s="1">
        <v>51.3</v>
      </c>
      <c r="C57" s="42">
        <f t="shared" si="26"/>
        <v>-3.1199999999999999E-2</v>
      </c>
      <c r="D57">
        <v>14.9</v>
      </c>
      <c r="E57" s="18">
        <f t="shared" si="27"/>
        <v>7.5</v>
      </c>
      <c r="F57">
        <v>77.8</v>
      </c>
      <c r="G57" s="42">
        <f t="shared" si="28"/>
        <v>8.9999999999999998E-4</v>
      </c>
      <c r="H57">
        <v>109.1315</v>
      </c>
      <c r="I57" s="18">
        <f t="shared" si="29"/>
        <v>108.52</v>
      </c>
      <c r="J57" s="38">
        <f t="shared" si="30"/>
        <v>3.3199999999999896E-2</v>
      </c>
      <c r="K57" s="42">
        <f t="shared" si="31"/>
        <v>5.5999999999999999E-3</v>
      </c>
      <c r="L57">
        <v>103.0979</v>
      </c>
      <c r="M57" s="42">
        <f t="shared" si="32"/>
        <v>1.6999999999999999E-3</v>
      </c>
      <c r="N57" s="43">
        <f t="shared" si="33"/>
        <v>2.0990000000000002E-2</v>
      </c>
      <c r="O57" s="30">
        <f t="shared" si="35"/>
        <v>86.14</v>
      </c>
      <c r="P57" s="31">
        <f t="shared" si="34"/>
        <v>96.91</v>
      </c>
    </row>
    <row r="58" spans="1:16" x14ac:dyDescent="0.25">
      <c r="A58" s="5">
        <v>41639</v>
      </c>
      <c r="B58" s="1">
        <v>56.5</v>
      </c>
      <c r="C58" s="42">
        <f t="shared" si="26"/>
        <v>2.8999999999999998E-3</v>
      </c>
      <c r="D58">
        <v>3.2</v>
      </c>
      <c r="E58" s="18">
        <f t="shared" si="27"/>
        <v>6.83</v>
      </c>
      <c r="F58">
        <v>77.599999999999994</v>
      </c>
      <c r="G58" s="42">
        <f t="shared" si="28"/>
        <v>1.2999999999999999E-3</v>
      </c>
      <c r="H58">
        <v>108.8503</v>
      </c>
      <c r="I58" s="18">
        <f t="shared" si="29"/>
        <v>107.92</v>
      </c>
      <c r="J58" s="38">
        <f t="shared" si="30"/>
        <v>3.2999999999999918E-2</v>
      </c>
      <c r="K58" s="42">
        <f t="shared" si="31"/>
        <v>7.7999999999999996E-3</v>
      </c>
      <c r="L58">
        <v>102.8086</v>
      </c>
      <c r="M58" s="42">
        <f t="shared" si="32"/>
        <v>2.3999999999999998E-3</v>
      </c>
      <c r="N58" s="43">
        <f t="shared" si="33"/>
        <v>2.094E-2</v>
      </c>
      <c r="O58" s="30">
        <f t="shared" si="35"/>
        <v>100.89</v>
      </c>
      <c r="P58" s="31">
        <f t="shared" si="34"/>
        <v>101.58</v>
      </c>
    </row>
    <row r="59" spans="1:16" x14ac:dyDescent="0.25">
      <c r="A59" s="5">
        <v>41608</v>
      </c>
      <c r="B59" s="1">
        <v>57</v>
      </c>
      <c r="C59" s="42">
        <f t="shared" si="26"/>
        <v>4.1000000000000003E-3</v>
      </c>
      <c r="D59">
        <v>4.4000000000000004</v>
      </c>
      <c r="E59" s="18">
        <f t="shared" si="27"/>
        <v>12.17</v>
      </c>
      <c r="F59">
        <v>77.400000000000006</v>
      </c>
      <c r="G59" s="42">
        <f t="shared" si="28"/>
        <v>3.0000000000000001E-3</v>
      </c>
      <c r="H59">
        <v>107.56780000000001</v>
      </c>
      <c r="I59" s="18">
        <f t="shared" si="29"/>
        <v>107.09</v>
      </c>
      <c r="J59" s="38">
        <f t="shared" si="30"/>
        <v>1.980000000000004E-2</v>
      </c>
      <c r="K59" s="42">
        <f t="shared" si="31"/>
        <v>1.54E-2</v>
      </c>
      <c r="L59">
        <v>102.47280000000001</v>
      </c>
      <c r="M59" s="42">
        <f t="shared" si="32"/>
        <v>3.8E-3</v>
      </c>
      <c r="N59" s="43">
        <f t="shared" si="33"/>
        <v>2.2620000000000001E-2</v>
      </c>
      <c r="O59" s="30">
        <f t="shared" si="35"/>
        <v>103.69</v>
      </c>
      <c r="P59" s="31">
        <f t="shared" si="34"/>
        <v>101.62</v>
      </c>
    </row>
    <row r="60" spans="1:16" x14ac:dyDescent="0.25">
      <c r="A60" s="5">
        <v>41578</v>
      </c>
      <c r="B60" s="1">
        <v>56.6</v>
      </c>
      <c r="C60" s="42">
        <f t="shared" si="26"/>
        <v>1.0200000000000001E-2</v>
      </c>
      <c r="D60">
        <v>12.9</v>
      </c>
      <c r="E60" s="18">
        <f t="shared" si="27"/>
        <v>13.5</v>
      </c>
      <c r="F60">
        <v>77.599999999999994</v>
      </c>
      <c r="G60" s="42">
        <f t="shared" si="28"/>
        <v>1.6999999999999999E-3</v>
      </c>
      <c r="H60">
        <v>107.34350000000001</v>
      </c>
      <c r="I60" s="18">
        <f t="shared" si="29"/>
        <v>105.47</v>
      </c>
      <c r="J60" s="38">
        <f t="shared" si="30"/>
        <v>8.799999999999919E-3</v>
      </c>
      <c r="K60" s="42">
        <f t="shared" si="31"/>
        <v>4.1999999999999997E-3</v>
      </c>
      <c r="L60">
        <v>102.5705</v>
      </c>
      <c r="M60" s="42">
        <f t="shared" si="32"/>
        <v>2.3E-3</v>
      </c>
      <c r="N60" s="43">
        <f t="shared" si="33"/>
        <v>2.6589999999999999E-2</v>
      </c>
      <c r="O60" s="30">
        <f t="shared" si="35"/>
        <v>100.17</v>
      </c>
      <c r="P60" s="31">
        <f t="shared" si="34"/>
        <v>100.17</v>
      </c>
    </row>
    <row r="61" spans="1:16" x14ac:dyDescent="0.25">
      <c r="A61" s="5">
        <v>41547</v>
      </c>
      <c r="B61" s="1">
        <v>56</v>
      </c>
      <c r="C61" s="42">
        <f t="shared" si="26"/>
        <v>2.1399999999999999E-2</v>
      </c>
      <c r="D61">
        <v>19.2</v>
      </c>
      <c r="E61" s="18">
        <f t="shared" si="27"/>
        <v>14.5</v>
      </c>
      <c r="F61">
        <v>77.3</v>
      </c>
      <c r="G61" s="42">
        <f t="shared" si="28"/>
        <v>4.0000000000000002E-4</v>
      </c>
      <c r="H61">
        <v>106.3694</v>
      </c>
      <c r="I61" s="18">
        <f t="shared" si="29"/>
        <v>105.03</v>
      </c>
      <c r="J61" s="38">
        <f t="shared" si="30"/>
        <v>8.0999999999999961E-3</v>
      </c>
      <c r="K61" s="42">
        <f t="shared" si="31"/>
        <v>5.4000000000000003E-3</v>
      </c>
      <c r="L61">
        <v>102.0772</v>
      </c>
      <c r="M61" s="42">
        <f t="shared" si="32"/>
        <v>1.2999999999999999E-3</v>
      </c>
      <c r="N61" s="43">
        <f t="shared" si="33"/>
        <v>2.1659999999999999E-2</v>
      </c>
      <c r="O61" s="30">
        <f t="shared" si="35"/>
        <v>101</v>
      </c>
      <c r="P61" s="31">
        <f t="shared" si="34"/>
        <v>101.05</v>
      </c>
    </row>
    <row r="62" spans="1:16" x14ac:dyDescent="0.25">
      <c r="A62" s="5">
        <v>41517</v>
      </c>
      <c r="B62" s="1">
        <v>56.3</v>
      </c>
      <c r="C62" s="42">
        <f t="shared" si="26"/>
        <v>0.04</v>
      </c>
      <c r="D62">
        <v>8.4</v>
      </c>
      <c r="E62" s="18">
        <f t="shared" si="27"/>
        <v>12.4</v>
      </c>
      <c r="F62">
        <v>76.7</v>
      </c>
      <c r="G62" s="42">
        <f t="shared" si="28"/>
        <v>-2.5999999999999999E-3</v>
      </c>
      <c r="H62">
        <v>102.70869999999999</v>
      </c>
      <c r="I62" s="18">
        <f t="shared" si="29"/>
        <v>104.47</v>
      </c>
      <c r="J62" s="38">
        <f t="shared" si="30"/>
        <v>1.2599999999999945E-2</v>
      </c>
      <c r="K62" s="42">
        <f t="shared" si="31"/>
        <v>-5.1000000000000004E-3</v>
      </c>
      <c r="L62">
        <v>101.297</v>
      </c>
      <c r="M62" s="42">
        <f t="shared" si="32"/>
        <v>-1.2999999999999999E-3</v>
      </c>
      <c r="N62" s="43">
        <f t="shared" si="33"/>
        <v>9.9000000000000008E-3</v>
      </c>
      <c r="O62" s="30">
        <f t="shared" si="35"/>
        <v>99.34</v>
      </c>
      <c r="P62" s="31">
        <f t="shared" si="34"/>
        <v>98.83</v>
      </c>
    </row>
    <row r="63" spans="1:16" x14ac:dyDescent="0.25">
      <c r="A63" s="5">
        <v>41486</v>
      </c>
      <c r="B63" s="1">
        <v>54.9</v>
      </c>
      <c r="C63" s="42">
        <f t="shared" si="26"/>
        <v>3.2099999999999997E-2</v>
      </c>
      <c r="D63">
        <v>15.9</v>
      </c>
      <c r="E63" s="18">
        <f t="shared" si="27"/>
        <v>9.77</v>
      </c>
      <c r="F63">
        <v>77.2</v>
      </c>
      <c r="G63" s="42">
        <f t="shared" si="28"/>
        <v>-1.2999999999999999E-3</v>
      </c>
      <c r="H63">
        <v>106.0009</v>
      </c>
      <c r="I63" s="18">
        <f t="shared" si="29"/>
        <v>105.01</v>
      </c>
      <c r="J63" s="38">
        <f t="shared" si="30"/>
        <v>2.6499999999999968E-2</v>
      </c>
      <c r="K63" s="42">
        <f t="shared" si="31"/>
        <v>4.4000000000000003E-3</v>
      </c>
      <c r="L63">
        <v>101.873</v>
      </c>
      <c r="M63" s="42">
        <f t="shared" si="32"/>
        <v>2.9999999999999997E-4</v>
      </c>
      <c r="N63" s="43">
        <f t="shared" si="33"/>
        <v>1.804E-2</v>
      </c>
      <c r="O63" s="30">
        <f t="shared" si="35"/>
        <v>102.82</v>
      </c>
      <c r="P63" s="31">
        <f t="shared" si="34"/>
        <v>95.3</v>
      </c>
    </row>
    <row r="64" spans="1:16" x14ac:dyDescent="0.25">
      <c r="A64" s="5">
        <v>41455</v>
      </c>
      <c r="B64" s="1">
        <v>52.5</v>
      </c>
      <c r="C64" s="42">
        <f t="shared" si="26"/>
        <v>6.6E-3</v>
      </c>
      <c r="D64">
        <v>12.9</v>
      </c>
      <c r="E64" s="18">
        <f t="shared" si="27"/>
        <v>4.67</v>
      </c>
      <c r="F64">
        <v>77.2</v>
      </c>
      <c r="G64" s="42">
        <f t="shared" si="28"/>
        <v>-4.0000000000000002E-4</v>
      </c>
      <c r="H64">
        <v>104.69629999999999</v>
      </c>
      <c r="I64" s="18">
        <f t="shared" si="29"/>
        <v>104.55</v>
      </c>
      <c r="J64" s="38">
        <f t="shared" si="30"/>
        <v>3.4899999999999931E-2</v>
      </c>
      <c r="K64" s="42">
        <f t="shared" si="31"/>
        <v>3.5000000000000001E-3</v>
      </c>
      <c r="L64">
        <v>101.69159999999999</v>
      </c>
      <c r="M64" s="42">
        <f t="shared" si="32"/>
        <v>6.9999999999999999E-4</v>
      </c>
      <c r="N64" s="43">
        <f t="shared" si="33"/>
        <v>1.653E-2</v>
      </c>
      <c r="O64" s="30">
        <f t="shared" si="35"/>
        <v>94.34</v>
      </c>
      <c r="P64" s="31">
        <f t="shared" si="34"/>
        <v>91.61</v>
      </c>
    </row>
    <row r="65" spans="1:16" x14ac:dyDescent="0.25">
      <c r="A65" s="5">
        <v>41425</v>
      </c>
      <c r="B65" s="1">
        <v>50</v>
      </c>
      <c r="C65" s="42">
        <f t="shared" si="26"/>
        <v>-2.01E-2</v>
      </c>
      <c r="D65">
        <v>0.5</v>
      </c>
      <c r="E65" s="18">
        <f t="shared" si="27"/>
        <v>1.1299999999999999</v>
      </c>
      <c r="F65">
        <v>77.3</v>
      </c>
      <c r="G65" s="42">
        <f t="shared" si="28"/>
        <v>1.2999999999999999E-3</v>
      </c>
      <c r="H65">
        <v>104.3443</v>
      </c>
      <c r="I65" s="18">
        <f t="shared" si="29"/>
        <v>104.19</v>
      </c>
      <c r="J65" s="38">
        <f t="shared" si="30"/>
        <v>4.170000000000007E-2</v>
      </c>
      <c r="K65" s="42">
        <f t="shared" si="31"/>
        <v>9.9000000000000008E-3</v>
      </c>
      <c r="L65">
        <v>101.6802</v>
      </c>
      <c r="M65" s="42">
        <f t="shared" si="32"/>
        <v>2.5999999999999999E-3</v>
      </c>
      <c r="N65" s="43">
        <f t="shared" si="33"/>
        <v>1.8200000000000001E-2</v>
      </c>
      <c r="O65" s="30">
        <f t="shared" si="35"/>
        <v>88.75</v>
      </c>
      <c r="P65" s="31">
        <f t="shared" si="34"/>
        <v>92.47</v>
      </c>
    </row>
    <row r="66" spans="1:16" x14ac:dyDescent="0.25">
      <c r="A66" s="5">
        <v>41394</v>
      </c>
      <c r="B66" s="1">
        <v>50</v>
      </c>
      <c r="C66" s="42">
        <f t="shared" si="26"/>
        <v>-1.47E-2</v>
      </c>
      <c r="D66">
        <v>0.6</v>
      </c>
      <c r="E66" s="18">
        <f t="shared" si="27"/>
        <v>-0.63</v>
      </c>
      <c r="F66">
        <v>77.5</v>
      </c>
      <c r="G66" s="42">
        <f t="shared" si="28"/>
        <v>1.2999999999999999E-3</v>
      </c>
      <c r="H66">
        <v>104.60680000000001</v>
      </c>
      <c r="I66" s="18">
        <f t="shared" si="29"/>
        <v>103.17</v>
      </c>
      <c r="J66" s="38">
        <f t="shared" si="30"/>
        <v>4.4799999999999951E-2</v>
      </c>
      <c r="K66" s="42">
        <f t="shared" si="31"/>
        <v>8.5000000000000006E-3</v>
      </c>
      <c r="L66">
        <v>101.77200000000001</v>
      </c>
      <c r="M66" s="42">
        <f t="shared" si="32"/>
        <v>2.5999999999999999E-3</v>
      </c>
      <c r="N66" s="43">
        <f t="shared" si="33"/>
        <v>2.7300000000000001E-2</v>
      </c>
      <c r="O66" s="30">
        <f t="shared" si="35"/>
        <v>91.74</v>
      </c>
      <c r="P66" s="31">
        <f t="shared" si="34"/>
        <v>95.71</v>
      </c>
    </row>
    <row r="67" spans="1:16" x14ac:dyDescent="0.25">
      <c r="A67" s="5">
        <v>41364</v>
      </c>
      <c r="B67" s="1">
        <v>51.5</v>
      </c>
      <c r="C67" s="42">
        <f t="shared" si="26"/>
        <v>7.1000000000000004E-3</v>
      </c>
      <c r="D67">
        <v>2.2999999999999998</v>
      </c>
      <c r="E67" s="18">
        <f t="shared" si="27"/>
        <v>-1.37</v>
      </c>
      <c r="F67">
        <v>77.3</v>
      </c>
      <c r="G67" s="42">
        <f t="shared" si="28"/>
        <v>8.9999999999999998E-4</v>
      </c>
      <c r="H67">
        <v>103.61790000000001</v>
      </c>
      <c r="I67" s="18">
        <f t="shared" si="29"/>
        <v>102.3</v>
      </c>
      <c r="J67" s="38">
        <f t="shared" si="30"/>
        <v>3.7800000000000056E-2</v>
      </c>
      <c r="K67" s="42">
        <f t="shared" si="31"/>
        <v>1.2699999999999999E-2</v>
      </c>
      <c r="L67">
        <v>101.4671</v>
      </c>
      <c r="M67" s="42">
        <f t="shared" si="32"/>
        <v>2.5000000000000001E-3</v>
      </c>
      <c r="N67" s="43">
        <f t="shared" si="33"/>
        <v>1.8519999999999998E-2</v>
      </c>
      <c r="O67" s="30">
        <f t="shared" si="35"/>
        <v>96.92</v>
      </c>
      <c r="P67" s="31">
        <f t="shared" si="34"/>
        <v>96.45</v>
      </c>
    </row>
    <row r="68" spans="1:16" x14ac:dyDescent="0.25">
      <c r="A68" s="5">
        <v>41333</v>
      </c>
      <c r="B68" s="1">
        <v>53.1</v>
      </c>
      <c r="C68" s="42">
        <f t="shared" si="26"/>
        <v>2.3699999999999999E-2</v>
      </c>
      <c r="D68">
        <v>-4.8</v>
      </c>
      <c r="E68" s="18">
        <f t="shared" si="27"/>
        <v>-1.33</v>
      </c>
      <c r="F68">
        <v>77</v>
      </c>
      <c r="G68" s="42">
        <f t="shared" si="28"/>
        <v>4.0000000000000002E-4</v>
      </c>
      <c r="H68">
        <v>101.2791</v>
      </c>
      <c r="I68" s="18">
        <f t="shared" si="29"/>
        <v>101.02</v>
      </c>
      <c r="J68" s="38">
        <f t="shared" si="30"/>
        <v>1.9600000000000062E-2</v>
      </c>
      <c r="K68" s="42">
        <f t="shared" si="31"/>
        <v>0.01</v>
      </c>
      <c r="L68">
        <v>100.8955</v>
      </c>
      <c r="M68" s="42">
        <f t="shared" si="32"/>
        <v>2.3E-3</v>
      </c>
      <c r="N68" s="43">
        <f t="shared" si="33"/>
        <v>1.5800000000000002E-2</v>
      </c>
      <c r="O68" s="30">
        <f t="shared" si="35"/>
        <v>98.48</v>
      </c>
      <c r="P68" s="31">
        <f t="shared" si="34"/>
        <v>91.41</v>
      </c>
    </row>
    <row r="69" spans="1:16" x14ac:dyDescent="0.25">
      <c r="A69" s="5">
        <v>41305</v>
      </c>
      <c r="B69" s="1">
        <v>52.3</v>
      </c>
      <c r="C69" s="42">
        <f t="shared" si="26"/>
        <v>7.3000000000000001E-3</v>
      </c>
      <c r="D69">
        <v>-1.6</v>
      </c>
      <c r="E69" s="18">
        <f t="shared" si="27"/>
        <v>-3.27</v>
      </c>
      <c r="F69">
        <v>77.2</v>
      </c>
      <c r="G69" s="42">
        <f t="shared" si="28"/>
        <v>1.6999999999999999E-3</v>
      </c>
      <c r="H69">
        <v>102.0057</v>
      </c>
      <c r="I69" s="18">
        <f t="shared" si="29"/>
        <v>100.02</v>
      </c>
      <c r="J69" s="38">
        <f t="shared" si="30"/>
        <v>3.5000000000000586E-3</v>
      </c>
      <c r="K69" s="42">
        <f t="shared" si="31"/>
        <v>1.29E-2</v>
      </c>
      <c r="L69">
        <v>100.9782</v>
      </c>
      <c r="M69" s="42">
        <f t="shared" si="32"/>
        <v>3.5000000000000001E-3</v>
      </c>
      <c r="N69" s="43">
        <f t="shared" si="33"/>
        <v>2.316E-2</v>
      </c>
      <c r="O69" s="30">
        <f t="shared" si="35"/>
        <v>93.96</v>
      </c>
      <c r="P69" s="31">
        <f t="shared" si="34"/>
        <v>83.81</v>
      </c>
    </row>
    <row r="70" spans="1:16" x14ac:dyDescent="0.25">
      <c r="A70" s="5">
        <v>41274</v>
      </c>
      <c r="B70" s="1">
        <v>50.4</v>
      </c>
      <c r="C70" s="42">
        <f t="shared" ref="C70:C133" si="36">ROUND((AVERAGE(B70:B72)-AVERAGE(B71:B73))/AVERAGE(B71:B73),4)</f>
        <v>-1.18E-2</v>
      </c>
      <c r="D70">
        <v>2.4</v>
      </c>
      <c r="E70" s="18">
        <f t="shared" ref="E70:E133" si="37">ROUND(AVERAGE(D70:D72),2)</f>
        <v>-3.13</v>
      </c>
      <c r="F70">
        <v>77.099999999999994</v>
      </c>
      <c r="G70" s="42">
        <f t="shared" ref="G70:G133" si="38">ROUND((AVERAGE(F70:F72)-AVERAGE(F71:F73))/AVERAGE(F71:F73),4)</f>
        <v>8.9999999999999998E-4</v>
      </c>
      <c r="H70">
        <v>99.778899999999993</v>
      </c>
      <c r="I70" s="18">
        <f t="shared" ref="I70:I133" si="39">ROUND(AVERAGE(H70:H72),2)</f>
        <v>98.75</v>
      </c>
      <c r="J70" s="38">
        <f t="shared" ref="J70:J133" si="40">ROUND(I70/I74,4)-1</f>
        <v>-1.1499999999999955E-2</v>
      </c>
      <c r="K70" s="42">
        <f t="shared" ref="K70:K133" si="41">ROUND((I70-I71)/I71,4)</f>
        <v>1.8E-3</v>
      </c>
      <c r="L70">
        <v>100.7003</v>
      </c>
      <c r="M70" s="42">
        <f t="shared" ref="M70:M133" si="42">ROUND((AVERAGE(L70:L72)-AVERAGE(L71:L73))/AVERAGE(L71:L73),4)</f>
        <v>2.5999999999999999E-3</v>
      </c>
      <c r="N70" s="43">
        <f t="shared" ref="N70:N133" si="43">ROUND((L70-L82)/L82,5)</f>
        <v>2.5479999999999999E-2</v>
      </c>
      <c r="O70" s="30">
        <f t="shared" si="35"/>
        <v>81.8</v>
      </c>
      <c r="P70" s="31">
        <f t="shared" ref="P70:P133" si="44">IF(ROUND(AVERAGE(O70:O72),2)&lt;0,0,ROUND(AVERAGE(O70:O72),2))</f>
        <v>80</v>
      </c>
    </row>
    <row r="71" spans="1:16" x14ac:dyDescent="0.25">
      <c r="A71" s="5">
        <v>41243</v>
      </c>
      <c r="B71" s="1">
        <v>49.5</v>
      </c>
      <c r="C71" s="42">
        <f t="shared" si="36"/>
        <v>-1.04E-2</v>
      </c>
      <c r="D71">
        <v>-10.6</v>
      </c>
      <c r="E71" s="18">
        <f t="shared" si="37"/>
        <v>-4.2300000000000004</v>
      </c>
      <c r="F71">
        <v>76.900000000000006</v>
      </c>
      <c r="G71" s="42">
        <f t="shared" si="38"/>
        <v>-1.6999999999999999E-3</v>
      </c>
      <c r="H71">
        <v>98.279799999999994</v>
      </c>
      <c r="I71" s="18">
        <f t="shared" si="39"/>
        <v>98.57</v>
      </c>
      <c r="J71" s="38">
        <f t="shared" si="40"/>
        <v>-1.6199999999999992E-2</v>
      </c>
      <c r="K71" s="42">
        <f t="shared" si="41"/>
        <v>-5.1000000000000004E-3</v>
      </c>
      <c r="L71">
        <v>100.2063</v>
      </c>
      <c r="M71" s="42">
        <f t="shared" si="42"/>
        <v>-2.9999999999999997E-4</v>
      </c>
      <c r="N71" s="43">
        <f t="shared" si="43"/>
        <v>1.916E-2</v>
      </c>
      <c r="O71" s="30">
        <f t="shared" si="35"/>
        <v>75.67</v>
      </c>
      <c r="P71" s="31">
        <f t="shared" si="44"/>
        <v>81.239999999999995</v>
      </c>
    </row>
    <row r="72" spans="1:16" x14ac:dyDescent="0.25">
      <c r="A72" s="5">
        <v>41213</v>
      </c>
      <c r="B72" s="1">
        <v>51.2</v>
      </c>
      <c r="C72" s="42">
        <f t="shared" si="36"/>
        <v>3.8999999999999998E-3</v>
      </c>
      <c r="D72">
        <v>-1.2</v>
      </c>
      <c r="E72" s="18">
        <f t="shared" si="37"/>
        <v>-1.47</v>
      </c>
      <c r="F72">
        <v>76.8</v>
      </c>
      <c r="G72" s="42">
        <f t="shared" si="38"/>
        <v>-2.2000000000000001E-3</v>
      </c>
      <c r="H72">
        <v>98.2059</v>
      </c>
      <c r="I72" s="18">
        <f t="shared" si="39"/>
        <v>99.08</v>
      </c>
      <c r="J72" s="38">
        <f t="shared" si="40"/>
        <v>-1.0800000000000032E-2</v>
      </c>
      <c r="K72" s="42">
        <f t="shared" si="41"/>
        <v>-5.8999999999999999E-3</v>
      </c>
      <c r="L72">
        <v>99.913799999999995</v>
      </c>
      <c r="M72" s="42">
        <f t="shared" si="42"/>
        <v>-5.0000000000000001E-4</v>
      </c>
      <c r="N72" s="43">
        <f t="shared" si="43"/>
        <v>2.3400000000000001E-2</v>
      </c>
      <c r="O72" s="30">
        <f t="shared" si="35"/>
        <v>82.54</v>
      </c>
      <c r="P72" s="31">
        <f t="shared" si="44"/>
        <v>83.16</v>
      </c>
    </row>
    <row r="73" spans="1:16" x14ac:dyDescent="0.25">
      <c r="A73" s="5">
        <v>41182</v>
      </c>
      <c r="B73" s="1">
        <v>52.2</v>
      </c>
      <c r="C73" s="42">
        <f t="shared" si="36"/>
        <v>7.9000000000000008E-3</v>
      </c>
      <c r="D73">
        <v>-0.9</v>
      </c>
      <c r="E73" s="18">
        <f t="shared" si="37"/>
        <v>-5.27</v>
      </c>
      <c r="F73">
        <v>76.900000000000006</v>
      </c>
      <c r="G73" s="42">
        <f t="shared" si="38"/>
        <v>-2.2000000000000001E-3</v>
      </c>
      <c r="H73">
        <v>99.210400000000007</v>
      </c>
      <c r="I73" s="18">
        <f t="shared" si="39"/>
        <v>99.67</v>
      </c>
      <c r="J73" s="38">
        <f t="shared" si="40"/>
        <v>-8.0999999999999961E-3</v>
      </c>
      <c r="K73" s="42">
        <f t="shared" si="41"/>
        <v>-2.3E-3</v>
      </c>
      <c r="L73">
        <v>99.913200000000003</v>
      </c>
      <c r="M73" s="42">
        <f t="shared" si="42"/>
        <v>-4.0000000000000002E-4</v>
      </c>
      <c r="N73" s="43">
        <f t="shared" si="43"/>
        <v>2.2620000000000001E-2</v>
      </c>
      <c r="O73" s="30">
        <f t="shared" ref="O73:O136" si="45">ROUND(((B73*2.25)+(F73/1.5)+(G73*500)+(N73*400)+(M73*500)+(J73*300)+(C73*500)+(K73*600)+(E73*0.25))/2.05,2)</f>
        <v>85.51</v>
      </c>
      <c r="P73" s="31">
        <f t="shared" si="44"/>
        <v>83.19</v>
      </c>
    </row>
    <row r="74" spans="1:16" x14ac:dyDescent="0.25">
      <c r="A74" s="5">
        <v>41152</v>
      </c>
      <c r="B74" s="1">
        <v>51.1</v>
      </c>
      <c r="C74" s="42">
        <f t="shared" si="36"/>
        <v>-1.3599999999999999E-2</v>
      </c>
      <c r="D74">
        <v>-2.2999999999999998</v>
      </c>
      <c r="E74" s="18">
        <f t="shared" si="37"/>
        <v>-9.1</v>
      </c>
      <c r="F74">
        <v>77.3</v>
      </c>
      <c r="G74" s="42">
        <f t="shared" si="38"/>
        <v>-4.0000000000000002E-4</v>
      </c>
      <c r="H74">
        <v>99.810400000000001</v>
      </c>
      <c r="I74" s="18">
        <f t="shared" si="39"/>
        <v>99.9</v>
      </c>
      <c r="J74" s="38">
        <f t="shared" si="40"/>
        <v>-8.0000000000000071E-3</v>
      </c>
      <c r="K74" s="42">
        <f t="shared" si="41"/>
        <v>-2.8999999999999998E-3</v>
      </c>
      <c r="L74">
        <v>100.304</v>
      </c>
      <c r="M74" s="42">
        <f t="shared" si="42"/>
        <v>1.5E-3</v>
      </c>
      <c r="N74" s="43">
        <f t="shared" si="43"/>
        <v>3.2660000000000002E-2</v>
      </c>
      <c r="O74" s="30">
        <f t="shared" si="45"/>
        <v>81.42</v>
      </c>
      <c r="P74" s="31">
        <f t="shared" si="44"/>
        <v>83.09</v>
      </c>
    </row>
    <row r="75" spans="1:16" x14ac:dyDescent="0.25">
      <c r="A75" s="5">
        <v>41121</v>
      </c>
      <c r="B75" s="1">
        <v>50.6</v>
      </c>
      <c r="C75" s="42">
        <f t="shared" si="36"/>
        <v>-1.9599999999999999E-2</v>
      </c>
      <c r="D75">
        <v>-12.6</v>
      </c>
      <c r="E75" s="18">
        <f t="shared" si="37"/>
        <v>-8.57</v>
      </c>
      <c r="F75">
        <v>77.3</v>
      </c>
      <c r="G75" s="42">
        <f t="shared" si="38"/>
        <v>1.6999999999999999E-3</v>
      </c>
      <c r="H75">
        <v>99.998599999999996</v>
      </c>
      <c r="I75" s="18">
        <f t="shared" si="39"/>
        <v>100.19</v>
      </c>
      <c r="J75" s="38">
        <f t="shared" si="40"/>
        <v>-2.0000000000000018E-3</v>
      </c>
      <c r="K75" s="42">
        <f t="shared" si="41"/>
        <v>2.9999999999999997E-4</v>
      </c>
      <c r="L75">
        <v>100.0677</v>
      </c>
      <c r="M75" s="42">
        <f t="shared" si="42"/>
        <v>3.3E-3</v>
      </c>
      <c r="N75" s="43">
        <f t="shared" si="43"/>
        <v>3.4669999999999999E-2</v>
      </c>
      <c r="O75" s="30">
        <f t="shared" si="45"/>
        <v>82.63</v>
      </c>
      <c r="P75" s="31">
        <f t="shared" si="44"/>
        <v>87.46</v>
      </c>
    </row>
    <row r="76" spans="1:16" x14ac:dyDescent="0.25">
      <c r="A76" s="5">
        <v>41090</v>
      </c>
      <c r="B76" s="1">
        <v>51</v>
      </c>
      <c r="C76" s="42">
        <f t="shared" si="36"/>
        <v>-1.2500000000000001E-2</v>
      </c>
      <c r="D76">
        <v>-12.4</v>
      </c>
      <c r="E76" s="18">
        <f t="shared" si="37"/>
        <v>-2.5</v>
      </c>
      <c r="F76">
        <v>77.400000000000006</v>
      </c>
      <c r="G76" s="42">
        <f t="shared" si="38"/>
        <v>-4.0000000000000002E-4</v>
      </c>
      <c r="H76">
        <v>99.894499999999994</v>
      </c>
      <c r="I76" s="18">
        <f t="shared" si="39"/>
        <v>100.16</v>
      </c>
      <c r="J76" s="38">
        <f t="shared" si="40"/>
        <v>6.3999999999999613E-3</v>
      </c>
      <c r="K76" s="42">
        <f t="shared" si="41"/>
        <v>-3.2000000000000002E-3</v>
      </c>
      <c r="L76">
        <v>100.0384</v>
      </c>
      <c r="M76" s="42">
        <f t="shared" si="42"/>
        <v>1.4E-3</v>
      </c>
      <c r="N76" s="43">
        <f t="shared" si="43"/>
        <v>3.6810000000000002E-2</v>
      </c>
      <c r="O76" s="30">
        <f t="shared" si="45"/>
        <v>85.22</v>
      </c>
      <c r="P76" s="31">
        <f t="shared" si="44"/>
        <v>91.65</v>
      </c>
    </row>
    <row r="77" spans="1:16" x14ac:dyDescent="0.25">
      <c r="A77" s="5">
        <v>41060</v>
      </c>
      <c r="B77" s="1">
        <v>53.2</v>
      </c>
      <c r="C77" s="42">
        <f t="shared" si="36"/>
        <v>5.0000000000000001E-3</v>
      </c>
      <c r="D77">
        <v>-0.7</v>
      </c>
      <c r="E77" s="18">
        <f t="shared" si="37"/>
        <v>4.5999999999999996</v>
      </c>
      <c r="F77">
        <v>77.400000000000006</v>
      </c>
      <c r="G77" s="42">
        <f t="shared" si="38"/>
        <v>0</v>
      </c>
      <c r="H77">
        <v>100.679</v>
      </c>
      <c r="I77" s="18">
        <f t="shared" si="39"/>
        <v>100.48</v>
      </c>
      <c r="J77" s="38">
        <f t="shared" si="40"/>
        <v>1.4699999999999935E-2</v>
      </c>
      <c r="K77" s="42">
        <f t="shared" si="41"/>
        <v>-2.3E-3</v>
      </c>
      <c r="L77">
        <v>99.8626</v>
      </c>
      <c r="M77" s="42">
        <f t="shared" si="42"/>
        <v>1.8E-3</v>
      </c>
      <c r="N77" s="43">
        <f t="shared" si="43"/>
        <v>3.7289999999999997E-2</v>
      </c>
      <c r="O77" s="30">
        <f t="shared" si="45"/>
        <v>94.53</v>
      </c>
      <c r="P77" s="31">
        <f t="shared" si="44"/>
        <v>96.23</v>
      </c>
    </row>
    <row r="78" spans="1:16" x14ac:dyDescent="0.25">
      <c r="A78" s="5">
        <v>41029</v>
      </c>
      <c r="B78" s="1">
        <v>53.7</v>
      </c>
      <c r="C78" s="42">
        <f t="shared" si="36"/>
        <v>5.7000000000000002E-3</v>
      </c>
      <c r="D78">
        <v>5.6</v>
      </c>
      <c r="E78" s="18">
        <f t="shared" si="37"/>
        <v>8.4</v>
      </c>
      <c r="F78">
        <v>76.900000000000006</v>
      </c>
      <c r="G78" s="42">
        <f t="shared" si="38"/>
        <v>-4.0000000000000002E-4</v>
      </c>
      <c r="H78">
        <v>99.893199999999993</v>
      </c>
      <c r="I78" s="18">
        <f t="shared" si="39"/>
        <v>100.71</v>
      </c>
      <c r="J78" s="38">
        <f t="shared" si="40"/>
        <v>1.9099999999999895E-2</v>
      </c>
      <c r="K78" s="42">
        <f t="shared" si="41"/>
        <v>3.2000000000000002E-3</v>
      </c>
      <c r="L78">
        <v>99.067400000000006</v>
      </c>
      <c r="M78" s="42">
        <f t="shared" si="42"/>
        <v>1.2999999999999999E-3</v>
      </c>
      <c r="N78" s="43">
        <f t="shared" si="43"/>
        <v>2.5069999999999999E-2</v>
      </c>
      <c r="O78" s="30">
        <f t="shared" si="45"/>
        <v>95.2</v>
      </c>
      <c r="P78" s="31">
        <f t="shared" si="44"/>
        <v>96.53</v>
      </c>
    </row>
    <row r="79" spans="1:16" x14ac:dyDescent="0.25">
      <c r="A79" s="5">
        <v>40999</v>
      </c>
      <c r="B79" s="1">
        <v>53</v>
      </c>
      <c r="C79" s="42">
        <f t="shared" si="36"/>
        <v>-5.9999999999999995E-4</v>
      </c>
      <c r="D79">
        <v>8.9</v>
      </c>
      <c r="E79" s="18">
        <f t="shared" si="37"/>
        <v>9</v>
      </c>
      <c r="F79">
        <v>77.5</v>
      </c>
      <c r="G79" s="42">
        <f t="shared" si="38"/>
        <v>3.0000000000000001E-3</v>
      </c>
      <c r="H79">
        <v>100.86190000000001</v>
      </c>
      <c r="I79" s="18">
        <f t="shared" si="39"/>
        <v>100.39</v>
      </c>
      <c r="J79" s="38">
        <f t="shared" si="40"/>
        <v>1.5300000000000091E-2</v>
      </c>
      <c r="K79" s="42">
        <f t="shared" si="41"/>
        <v>8.6999999999999994E-3</v>
      </c>
      <c r="L79">
        <v>99.621700000000004</v>
      </c>
      <c r="M79" s="42">
        <f t="shared" si="42"/>
        <v>4.7999999999999996E-3</v>
      </c>
      <c r="N79" s="43">
        <f t="shared" si="43"/>
        <v>4.0719999999999999E-2</v>
      </c>
      <c r="O79" s="30">
        <f t="shared" si="45"/>
        <v>98.96</v>
      </c>
      <c r="P79" s="31">
        <f t="shared" si="44"/>
        <v>96.38</v>
      </c>
    </row>
    <row r="80" spans="1:16" x14ac:dyDescent="0.25">
      <c r="A80" s="5">
        <v>40968</v>
      </c>
      <c r="B80" s="1">
        <v>52.4</v>
      </c>
      <c r="C80" s="42">
        <f t="shared" si="36"/>
        <v>1.9E-3</v>
      </c>
      <c r="D80">
        <v>10.7</v>
      </c>
      <c r="E80" s="18">
        <f t="shared" si="37"/>
        <v>6.83</v>
      </c>
      <c r="F80">
        <v>77.400000000000006</v>
      </c>
      <c r="G80" s="42">
        <f t="shared" si="38"/>
        <v>1.6999999999999999E-3</v>
      </c>
      <c r="H80">
        <v>101.3817</v>
      </c>
      <c r="I80" s="18">
        <f t="shared" si="39"/>
        <v>99.52</v>
      </c>
      <c r="J80" s="38">
        <f t="shared" si="40"/>
        <v>1.5700000000000047E-2</v>
      </c>
      <c r="K80" s="42">
        <f t="shared" si="41"/>
        <v>5.0000000000000001E-3</v>
      </c>
      <c r="L80">
        <v>99.326400000000007</v>
      </c>
      <c r="M80" s="42">
        <f t="shared" si="42"/>
        <v>3.3999999999999998E-3</v>
      </c>
      <c r="N80" s="43">
        <f t="shared" si="43"/>
        <v>3.3090000000000001E-2</v>
      </c>
      <c r="O80" s="30">
        <f t="shared" si="45"/>
        <v>95.44</v>
      </c>
      <c r="P80" s="31">
        <f t="shared" si="44"/>
        <v>94.54</v>
      </c>
    </row>
    <row r="81" spans="1:16" x14ac:dyDescent="0.25">
      <c r="A81" s="5">
        <v>40939</v>
      </c>
      <c r="B81" s="1">
        <v>52.8</v>
      </c>
      <c r="C81" s="42">
        <f t="shared" si="36"/>
        <v>6.4000000000000003E-3</v>
      </c>
      <c r="D81">
        <v>7.4</v>
      </c>
      <c r="E81" s="18">
        <f t="shared" si="37"/>
        <v>4.5999999999999996</v>
      </c>
      <c r="F81">
        <v>77</v>
      </c>
      <c r="G81" s="42">
        <f t="shared" si="38"/>
        <v>2.2000000000000001E-3</v>
      </c>
      <c r="H81">
        <v>98.925899999999999</v>
      </c>
      <c r="I81" s="18">
        <f t="shared" si="39"/>
        <v>99.02</v>
      </c>
      <c r="J81" s="38">
        <f t="shared" si="40"/>
        <v>1.8299999999999983E-2</v>
      </c>
      <c r="K81" s="42">
        <f t="shared" si="41"/>
        <v>2E-3</v>
      </c>
      <c r="L81">
        <v>98.692300000000003</v>
      </c>
      <c r="M81" s="42">
        <f t="shared" si="42"/>
        <v>3.5999999999999999E-3</v>
      </c>
      <c r="N81" s="43">
        <f t="shared" si="43"/>
        <v>2.5430000000000001E-2</v>
      </c>
      <c r="O81" s="30">
        <f t="shared" si="45"/>
        <v>94.75</v>
      </c>
      <c r="P81" s="31">
        <f t="shared" si="44"/>
        <v>94.49</v>
      </c>
    </row>
    <row r="82" spans="1:16" x14ac:dyDescent="0.25">
      <c r="A82" s="5">
        <v>40908</v>
      </c>
      <c r="B82" s="1">
        <v>53.1</v>
      </c>
      <c r="C82" s="42">
        <f t="shared" si="36"/>
        <v>1.9E-3</v>
      </c>
      <c r="D82">
        <v>2.4</v>
      </c>
      <c r="E82" s="18">
        <f t="shared" si="37"/>
        <v>4.2</v>
      </c>
      <c r="F82">
        <v>76.8</v>
      </c>
      <c r="G82" s="42">
        <f t="shared" si="38"/>
        <v>4.0000000000000002E-4</v>
      </c>
      <c r="H82">
        <v>98.250200000000007</v>
      </c>
      <c r="I82" s="18">
        <f t="shared" si="39"/>
        <v>98.82</v>
      </c>
      <c r="J82" s="38">
        <f t="shared" si="40"/>
        <v>2.1700000000000053E-2</v>
      </c>
      <c r="K82" s="42">
        <f t="shared" si="41"/>
        <v>-5.9999999999999995E-4</v>
      </c>
      <c r="L82">
        <v>98.197900000000004</v>
      </c>
      <c r="M82" s="42">
        <f t="shared" si="42"/>
        <v>1.6999999999999999E-3</v>
      </c>
      <c r="N82" s="43">
        <f t="shared" si="43"/>
        <v>2.9149999999999999E-2</v>
      </c>
      <c r="O82" s="30">
        <f t="shared" si="45"/>
        <v>93.43</v>
      </c>
      <c r="P82" s="31">
        <f t="shared" si="44"/>
        <v>92.08</v>
      </c>
    </row>
    <row r="83" spans="1:16" x14ac:dyDescent="0.25">
      <c r="A83" s="5">
        <v>40877</v>
      </c>
      <c r="B83" s="1">
        <v>52.1</v>
      </c>
      <c r="C83" s="42">
        <f t="shared" si="36"/>
        <v>-5.7000000000000002E-3</v>
      </c>
      <c r="D83">
        <v>4</v>
      </c>
      <c r="E83" s="18">
        <f t="shared" si="37"/>
        <v>-0.43</v>
      </c>
      <c r="F83">
        <v>77</v>
      </c>
      <c r="G83" s="42">
        <f t="shared" si="38"/>
        <v>3.0999999999999999E-3</v>
      </c>
      <c r="H83">
        <v>99.898700000000005</v>
      </c>
      <c r="I83" s="18">
        <f t="shared" si="39"/>
        <v>98.88</v>
      </c>
      <c r="J83" s="38">
        <f t="shared" si="40"/>
        <v>2.750000000000008E-2</v>
      </c>
      <c r="K83" s="42">
        <f t="shared" si="41"/>
        <v>9.1999999999999998E-3</v>
      </c>
      <c r="L83">
        <v>98.322400000000002</v>
      </c>
      <c r="M83" s="42">
        <f t="shared" si="42"/>
        <v>4.1000000000000003E-3</v>
      </c>
      <c r="N83" s="43">
        <f t="shared" si="43"/>
        <v>3.0870000000000002E-2</v>
      </c>
      <c r="O83" s="30">
        <f t="shared" si="45"/>
        <v>95.28</v>
      </c>
      <c r="P83" s="31">
        <f t="shared" si="44"/>
        <v>88.89</v>
      </c>
    </row>
    <row r="84" spans="1:16" x14ac:dyDescent="0.25">
      <c r="A84" s="5">
        <v>40847</v>
      </c>
      <c r="B84" s="1">
        <v>51.8</v>
      </c>
      <c r="C84" s="42">
        <f t="shared" si="36"/>
        <v>-6.8999999999999999E-3</v>
      </c>
      <c r="D84">
        <v>6.2</v>
      </c>
      <c r="E84" s="18">
        <f t="shared" si="37"/>
        <v>-8.23</v>
      </c>
      <c r="F84">
        <v>76.5</v>
      </c>
      <c r="G84" s="42">
        <f t="shared" si="38"/>
        <v>1.6999999999999999E-3</v>
      </c>
      <c r="H84">
        <v>98.325800000000001</v>
      </c>
      <c r="I84" s="18">
        <f t="shared" si="39"/>
        <v>97.98</v>
      </c>
      <c r="J84" s="38">
        <f t="shared" si="40"/>
        <v>6.5999999999999392E-3</v>
      </c>
      <c r="K84" s="42">
        <f t="shared" si="41"/>
        <v>7.6E-3</v>
      </c>
      <c r="L84">
        <v>97.628799999999998</v>
      </c>
      <c r="M84" s="42">
        <f t="shared" si="42"/>
        <v>3.0999999999999999E-3</v>
      </c>
      <c r="N84" s="43">
        <f t="shared" si="43"/>
        <v>2.1149999999999999E-2</v>
      </c>
      <c r="O84" s="30">
        <f t="shared" si="45"/>
        <v>87.53</v>
      </c>
      <c r="P84" s="31">
        <f t="shared" si="44"/>
        <v>86.21</v>
      </c>
    </row>
    <row r="85" spans="1:16" x14ac:dyDescent="0.25">
      <c r="A85" s="5">
        <v>40816</v>
      </c>
      <c r="B85" s="1">
        <v>52.8</v>
      </c>
      <c r="C85" s="42">
        <f t="shared" si="36"/>
        <v>-2.3400000000000001E-2</v>
      </c>
      <c r="D85">
        <v>-11.5</v>
      </c>
      <c r="E85" s="18">
        <f t="shared" si="37"/>
        <v>-7.9</v>
      </c>
      <c r="F85">
        <v>76.7</v>
      </c>
      <c r="G85" s="42">
        <f t="shared" si="38"/>
        <v>3.5000000000000001E-3</v>
      </c>
      <c r="H85">
        <v>98.4131</v>
      </c>
      <c r="I85" s="18">
        <f t="shared" si="39"/>
        <v>97.24</v>
      </c>
      <c r="J85" s="38">
        <f t="shared" si="40"/>
        <v>-4.4999999999999485E-3</v>
      </c>
      <c r="K85" s="42">
        <f t="shared" si="41"/>
        <v>5.4000000000000003E-3</v>
      </c>
      <c r="L85">
        <v>97.702699999999993</v>
      </c>
      <c r="M85" s="42">
        <f t="shared" si="42"/>
        <v>4.1999999999999997E-3</v>
      </c>
      <c r="N85" s="43">
        <f t="shared" si="43"/>
        <v>2.4799999999999999E-2</v>
      </c>
      <c r="O85" s="30">
        <f t="shared" si="45"/>
        <v>83.86</v>
      </c>
      <c r="P85" s="31">
        <f t="shared" si="44"/>
        <v>82.5</v>
      </c>
    </row>
    <row r="86" spans="1:16" x14ac:dyDescent="0.25">
      <c r="A86" s="5">
        <v>40786</v>
      </c>
      <c r="B86" s="1">
        <v>53</v>
      </c>
      <c r="C86" s="42">
        <f t="shared" si="36"/>
        <v>-4.3E-3</v>
      </c>
      <c r="D86">
        <v>-19.399999999999999</v>
      </c>
      <c r="E86" s="18">
        <f t="shared" si="37"/>
        <v>-4.17</v>
      </c>
      <c r="F86">
        <v>76.3</v>
      </c>
      <c r="G86" s="42">
        <f t="shared" si="38"/>
        <v>2.2000000000000001E-3</v>
      </c>
      <c r="H86">
        <v>97.189599999999999</v>
      </c>
      <c r="I86" s="18">
        <f t="shared" si="39"/>
        <v>96.72</v>
      </c>
      <c r="J86" s="38">
        <f t="shared" si="40"/>
        <v>-1.0000000000000009E-2</v>
      </c>
      <c r="K86" s="42">
        <f t="shared" si="41"/>
        <v>5.1000000000000004E-3</v>
      </c>
      <c r="L86">
        <v>97.131699999999995</v>
      </c>
      <c r="M86" s="42">
        <f t="shared" si="42"/>
        <v>3.0000000000000001E-3</v>
      </c>
      <c r="N86" s="43">
        <f t="shared" si="43"/>
        <v>2.307E-2</v>
      </c>
      <c r="O86" s="30">
        <f t="shared" si="45"/>
        <v>87.23</v>
      </c>
      <c r="P86" s="31">
        <f t="shared" si="44"/>
        <v>85.38</v>
      </c>
    </row>
    <row r="87" spans="1:16" x14ac:dyDescent="0.25">
      <c r="A87" s="5">
        <v>40755</v>
      </c>
      <c r="B87" s="1">
        <v>52.9</v>
      </c>
      <c r="C87" s="42">
        <f t="shared" si="36"/>
        <v>-3.5499999999999997E-2</v>
      </c>
      <c r="D87">
        <v>7.2</v>
      </c>
      <c r="E87" s="18">
        <f t="shared" si="37"/>
        <v>4.37</v>
      </c>
      <c r="F87">
        <v>76.099999999999994</v>
      </c>
      <c r="G87" s="42">
        <f t="shared" si="38"/>
        <v>0</v>
      </c>
      <c r="H87">
        <v>96.120500000000007</v>
      </c>
      <c r="I87" s="18">
        <f t="shared" si="39"/>
        <v>96.23</v>
      </c>
      <c r="J87" s="38">
        <f t="shared" si="40"/>
        <v>3.1000000000001027E-3</v>
      </c>
      <c r="K87" s="42">
        <f t="shared" si="41"/>
        <v>-1.14E-2</v>
      </c>
      <c r="L87">
        <v>96.715000000000003</v>
      </c>
      <c r="M87" s="42">
        <f t="shared" si="42"/>
        <v>2.0000000000000001E-4</v>
      </c>
      <c r="N87" s="43">
        <f t="shared" si="43"/>
        <v>2.3380000000000001E-2</v>
      </c>
      <c r="O87" s="30">
        <f t="shared" si="45"/>
        <v>76.41</v>
      </c>
      <c r="P87" s="31">
        <f t="shared" si="44"/>
        <v>86.16</v>
      </c>
    </row>
    <row r="88" spans="1:16" x14ac:dyDescent="0.25">
      <c r="A88" s="5">
        <v>40724</v>
      </c>
      <c r="B88" s="1">
        <v>56.6</v>
      </c>
      <c r="C88" s="42">
        <f t="shared" si="36"/>
        <v>-1.46E-2</v>
      </c>
      <c r="D88">
        <v>-0.3</v>
      </c>
      <c r="E88" s="18">
        <f t="shared" si="37"/>
        <v>6.27</v>
      </c>
      <c r="F88">
        <v>75.900000000000006</v>
      </c>
      <c r="G88" s="42">
        <f t="shared" si="38"/>
        <v>2.2000000000000001E-3</v>
      </c>
      <c r="H88">
        <v>96.859899999999996</v>
      </c>
      <c r="I88" s="18">
        <f t="shared" si="39"/>
        <v>97.34</v>
      </c>
      <c r="J88" s="38">
        <f t="shared" si="40"/>
        <v>2.6399999999999979E-2</v>
      </c>
      <c r="K88" s="42">
        <f t="shared" si="41"/>
        <v>-3.5000000000000001E-3</v>
      </c>
      <c r="L88">
        <v>96.487099999999998</v>
      </c>
      <c r="M88" s="42">
        <f t="shared" si="42"/>
        <v>2.5999999999999999E-3</v>
      </c>
      <c r="N88" s="43">
        <f t="shared" si="43"/>
        <v>2.2929999999999999E-2</v>
      </c>
      <c r="O88" s="30">
        <f t="shared" si="45"/>
        <v>92.49</v>
      </c>
      <c r="P88" s="31">
        <f t="shared" si="44"/>
        <v>97.63</v>
      </c>
    </row>
    <row r="89" spans="1:16" x14ac:dyDescent="0.25">
      <c r="A89" s="5">
        <v>40694</v>
      </c>
      <c r="B89" s="1">
        <v>53.7</v>
      </c>
      <c r="C89" s="42">
        <f t="shared" si="36"/>
        <v>-3.1600000000000003E-2</v>
      </c>
      <c r="D89">
        <v>6.2</v>
      </c>
      <c r="E89" s="18">
        <f t="shared" si="37"/>
        <v>18.53</v>
      </c>
      <c r="F89">
        <v>75.8</v>
      </c>
      <c r="G89" s="42">
        <f t="shared" si="38"/>
        <v>4.0000000000000002E-4</v>
      </c>
      <c r="H89">
        <v>95.7119</v>
      </c>
      <c r="I89" s="18">
        <f t="shared" si="39"/>
        <v>97.68</v>
      </c>
      <c r="J89" s="38">
        <f t="shared" si="40"/>
        <v>2.9199999999999893E-2</v>
      </c>
      <c r="K89" s="42">
        <f t="shared" si="41"/>
        <v>-2.0000000000000001E-4</v>
      </c>
      <c r="L89">
        <v>96.2727</v>
      </c>
      <c r="M89" s="42">
        <f t="shared" si="42"/>
        <v>4.0000000000000002E-4</v>
      </c>
      <c r="N89" s="43">
        <f t="shared" si="43"/>
        <v>3.5990000000000001E-2</v>
      </c>
      <c r="O89" s="30">
        <f t="shared" si="45"/>
        <v>89.57</v>
      </c>
      <c r="P89" s="31">
        <f t="shared" si="44"/>
        <v>102.63</v>
      </c>
    </row>
    <row r="90" spans="1:16" x14ac:dyDescent="0.25">
      <c r="A90" s="5">
        <v>40663</v>
      </c>
      <c r="B90" s="1">
        <v>58.9</v>
      </c>
      <c r="C90" s="42">
        <f t="shared" si="36"/>
        <v>-5.9999999999999995E-4</v>
      </c>
      <c r="D90">
        <v>12.9</v>
      </c>
      <c r="E90" s="18">
        <f t="shared" si="37"/>
        <v>26.13</v>
      </c>
      <c r="F90">
        <v>76.099999999999994</v>
      </c>
      <c r="G90" s="42">
        <f t="shared" si="38"/>
        <v>1.8E-3</v>
      </c>
      <c r="H90">
        <v>99.4559</v>
      </c>
      <c r="I90" s="18">
        <f t="shared" si="39"/>
        <v>97.7</v>
      </c>
      <c r="J90" s="38">
        <f t="shared" si="40"/>
        <v>2.4199999999999999E-2</v>
      </c>
      <c r="K90" s="42">
        <f t="shared" si="41"/>
        <v>1.8499999999999999E-2</v>
      </c>
      <c r="L90">
        <v>96.644499999999994</v>
      </c>
      <c r="M90" s="42">
        <f t="shared" si="42"/>
        <v>1.4E-3</v>
      </c>
      <c r="N90" s="43">
        <f t="shared" si="43"/>
        <v>4.4359999999999997E-2</v>
      </c>
      <c r="O90" s="30">
        <f t="shared" si="45"/>
        <v>110.83</v>
      </c>
      <c r="P90" s="31">
        <f t="shared" si="44"/>
        <v>107.22</v>
      </c>
    </row>
    <row r="91" spans="1:16" x14ac:dyDescent="0.25">
      <c r="A91" s="5">
        <v>40633</v>
      </c>
      <c r="B91" s="1">
        <v>59.1</v>
      </c>
      <c r="C91" s="42">
        <f t="shared" si="36"/>
        <v>9.1000000000000004E-3</v>
      </c>
      <c r="D91">
        <v>36.5</v>
      </c>
      <c r="E91" s="18">
        <f t="shared" si="37"/>
        <v>27.33</v>
      </c>
      <c r="F91">
        <v>75.400000000000006</v>
      </c>
      <c r="G91" s="42">
        <f t="shared" si="38"/>
        <v>1.8E-3</v>
      </c>
      <c r="H91">
        <v>97.871399999999994</v>
      </c>
      <c r="I91" s="18">
        <f t="shared" si="39"/>
        <v>95.93</v>
      </c>
      <c r="J91" s="38">
        <f t="shared" si="40"/>
        <v>2.3999999999999577E-3</v>
      </c>
      <c r="K91" s="42">
        <f t="shared" si="41"/>
        <v>1.15E-2</v>
      </c>
      <c r="L91">
        <v>95.723500000000001</v>
      </c>
      <c r="M91" s="42">
        <f t="shared" si="42"/>
        <v>1.1000000000000001E-3</v>
      </c>
      <c r="N91" s="43">
        <f t="shared" si="43"/>
        <v>4.1619999999999997E-2</v>
      </c>
      <c r="O91" s="30">
        <f t="shared" si="45"/>
        <v>107.48</v>
      </c>
      <c r="P91" s="31">
        <f t="shared" si="44"/>
        <v>104.85</v>
      </c>
    </row>
    <row r="92" spans="1:16" x14ac:dyDescent="0.25">
      <c r="A92" s="5">
        <v>40602</v>
      </c>
      <c r="B92" s="1">
        <v>59.3</v>
      </c>
      <c r="C92" s="42">
        <f t="shared" si="36"/>
        <v>9.7999999999999997E-3</v>
      </c>
      <c r="D92">
        <v>29</v>
      </c>
      <c r="E92" s="18">
        <f t="shared" si="37"/>
        <v>20.329999999999998</v>
      </c>
      <c r="F92">
        <v>75.7</v>
      </c>
      <c r="G92" s="42">
        <f t="shared" si="38"/>
        <v>3.5000000000000001E-3</v>
      </c>
      <c r="H92">
        <v>95.773899999999998</v>
      </c>
      <c r="I92" s="18">
        <f t="shared" si="39"/>
        <v>94.84</v>
      </c>
      <c r="J92" s="38">
        <f t="shared" si="40"/>
        <v>-1.5700000000000047E-2</v>
      </c>
      <c r="K92" s="42">
        <f t="shared" si="41"/>
        <v>-6.9999999999999999E-4</v>
      </c>
      <c r="L92">
        <v>96.145399999999995</v>
      </c>
      <c r="M92" s="42">
        <f t="shared" si="42"/>
        <v>2.7000000000000001E-3</v>
      </c>
      <c r="N92" s="43">
        <f t="shared" si="43"/>
        <v>5.0040000000000001E-2</v>
      </c>
      <c r="O92" s="30">
        <f t="shared" si="45"/>
        <v>103.35</v>
      </c>
      <c r="P92" s="31">
        <f t="shared" si="44"/>
        <v>102.42</v>
      </c>
    </row>
    <row r="93" spans="1:16" x14ac:dyDescent="0.25">
      <c r="A93" s="5">
        <v>40574</v>
      </c>
      <c r="B93" s="1">
        <v>59</v>
      </c>
      <c r="C93" s="42">
        <f t="shared" si="36"/>
        <v>7.4999999999999997E-3</v>
      </c>
      <c r="D93">
        <v>16.5</v>
      </c>
      <c r="E93" s="18">
        <f t="shared" si="37"/>
        <v>17.07</v>
      </c>
      <c r="F93">
        <v>75.7</v>
      </c>
      <c r="G93" s="42">
        <f t="shared" si="38"/>
        <v>3.0999999999999999E-3</v>
      </c>
      <c r="H93">
        <v>94.130200000000002</v>
      </c>
      <c r="I93" s="18">
        <f t="shared" si="39"/>
        <v>94.91</v>
      </c>
      <c r="J93" s="38">
        <f t="shared" si="40"/>
        <v>-1.1800000000000033E-2</v>
      </c>
      <c r="K93" s="42">
        <f t="shared" si="41"/>
        <v>-5.0000000000000001E-3</v>
      </c>
      <c r="L93">
        <v>96.244399999999999</v>
      </c>
      <c r="M93" s="42">
        <f t="shared" si="42"/>
        <v>2.2000000000000001E-3</v>
      </c>
      <c r="N93" s="43">
        <f t="shared" si="43"/>
        <v>6.3159999999999994E-2</v>
      </c>
      <c r="O93" s="30">
        <f t="shared" si="45"/>
        <v>103.71</v>
      </c>
      <c r="P93" s="31">
        <f t="shared" si="44"/>
        <v>101.74</v>
      </c>
    </row>
    <row r="94" spans="1:16" x14ac:dyDescent="0.25">
      <c r="A94" s="5">
        <v>40543</v>
      </c>
      <c r="B94" s="1">
        <v>57.5</v>
      </c>
      <c r="C94" s="42">
        <f t="shared" si="36"/>
        <v>7.0000000000000001E-3</v>
      </c>
      <c r="D94">
        <v>15.5</v>
      </c>
      <c r="E94" s="18">
        <f t="shared" si="37"/>
        <v>11.67</v>
      </c>
      <c r="F94">
        <v>75</v>
      </c>
      <c r="G94" s="42">
        <f t="shared" si="38"/>
        <v>1.2999999999999999E-3</v>
      </c>
      <c r="H94">
        <v>94.615300000000005</v>
      </c>
      <c r="I94" s="18">
        <f t="shared" si="39"/>
        <v>95.39</v>
      </c>
      <c r="J94" s="38">
        <f t="shared" si="40"/>
        <v>-6.7000000000000393E-3</v>
      </c>
      <c r="K94" s="42">
        <f t="shared" si="41"/>
        <v>-3.2000000000000002E-3</v>
      </c>
      <c r="L94">
        <v>95.416300000000007</v>
      </c>
      <c r="M94" s="42">
        <f t="shared" si="42"/>
        <v>2.9999999999999997E-4</v>
      </c>
      <c r="N94" s="43">
        <f t="shared" si="43"/>
        <v>5.688E-2</v>
      </c>
      <c r="O94" s="30">
        <f t="shared" si="45"/>
        <v>100.2</v>
      </c>
      <c r="P94" s="31">
        <f t="shared" si="44"/>
        <v>104.2</v>
      </c>
    </row>
    <row r="95" spans="1:16" x14ac:dyDescent="0.25">
      <c r="A95" s="5">
        <v>40512</v>
      </c>
      <c r="B95" s="1">
        <v>57.6</v>
      </c>
      <c r="C95" s="42">
        <f t="shared" si="36"/>
        <v>-2.3E-3</v>
      </c>
      <c r="D95">
        <v>19.2</v>
      </c>
      <c r="E95" s="18">
        <f t="shared" si="37"/>
        <v>7.83</v>
      </c>
      <c r="F95">
        <v>74.900000000000006</v>
      </c>
      <c r="G95" s="42">
        <f t="shared" si="38"/>
        <v>2.7000000000000001E-3</v>
      </c>
      <c r="H95">
        <v>95.975800000000007</v>
      </c>
      <c r="I95" s="18">
        <f t="shared" si="39"/>
        <v>95.7</v>
      </c>
      <c r="J95" s="38">
        <f t="shared" si="40"/>
        <v>1.6599999999999948E-2</v>
      </c>
      <c r="K95" s="42">
        <f t="shared" si="41"/>
        <v>-6.7000000000000002E-3</v>
      </c>
      <c r="L95">
        <v>95.378500000000003</v>
      </c>
      <c r="M95" s="42">
        <f t="shared" si="42"/>
        <v>1.5E-3</v>
      </c>
      <c r="N95" s="43">
        <f t="shared" si="43"/>
        <v>6.0780000000000001E-2</v>
      </c>
      <c r="O95" s="30">
        <f t="shared" si="45"/>
        <v>101.32</v>
      </c>
      <c r="P95" s="31">
        <f t="shared" si="44"/>
        <v>107.46</v>
      </c>
    </row>
    <row r="96" spans="1:16" x14ac:dyDescent="0.25">
      <c r="A96" s="5">
        <v>40482</v>
      </c>
      <c r="B96" s="1">
        <v>57.7</v>
      </c>
      <c r="C96" s="42">
        <f t="shared" si="36"/>
        <v>7.6E-3</v>
      </c>
      <c r="D96">
        <v>0.3</v>
      </c>
      <c r="E96" s="18">
        <f t="shared" si="37"/>
        <v>2.67</v>
      </c>
      <c r="F96">
        <v>75</v>
      </c>
      <c r="G96" s="42">
        <f t="shared" si="38"/>
        <v>5.4000000000000003E-3</v>
      </c>
      <c r="H96">
        <v>95.571799999999996</v>
      </c>
      <c r="I96" s="18">
        <f t="shared" si="39"/>
        <v>96.35</v>
      </c>
      <c r="J96" s="38">
        <f t="shared" si="40"/>
        <v>3.3900000000000041E-2</v>
      </c>
      <c r="K96" s="42">
        <f t="shared" si="41"/>
        <v>3.2000000000000002E-3</v>
      </c>
      <c r="L96">
        <v>95.606300000000005</v>
      </c>
      <c r="M96" s="42">
        <f t="shared" si="42"/>
        <v>3.8999999999999998E-3</v>
      </c>
      <c r="N96" s="43">
        <f t="shared" si="43"/>
        <v>6.676E-2</v>
      </c>
      <c r="O96" s="30">
        <f t="shared" si="45"/>
        <v>111.09</v>
      </c>
      <c r="P96" s="31">
        <f t="shared" si="44"/>
        <v>113.99</v>
      </c>
    </row>
    <row r="97" spans="1:16" x14ac:dyDescent="0.25">
      <c r="A97" s="5">
        <v>40451</v>
      </c>
      <c r="B97" s="1">
        <v>56.3</v>
      </c>
      <c r="C97" s="42">
        <f t="shared" si="36"/>
        <v>-5.9999999999999995E-4</v>
      </c>
      <c r="D97">
        <v>4</v>
      </c>
      <c r="E97" s="18">
        <f t="shared" si="37"/>
        <v>5.17</v>
      </c>
      <c r="F97">
        <v>74.7</v>
      </c>
      <c r="G97" s="42">
        <f t="shared" si="38"/>
        <v>5.4000000000000003E-3</v>
      </c>
      <c r="H97">
        <v>95.562399999999997</v>
      </c>
      <c r="I97" s="18">
        <f t="shared" si="39"/>
        <v>96.04</v>
      </c>
      <c r="J97" s="38">
        <f t="shared" si="40"/>
        <v>4.8899999999999944E-2</v>
      </c>
      <c r="K97" s="42">
        <f t="shared" si="41"/>
        <v>1E-4</v>
      </c>
      <c r="L97">
        <v>95.338499999999996</v>
      </c>
      <c r="M97" s="42">
        <f t="shared" si="42"/>
        <v>3.5999999999999999E-3</v>
      </c>
      <c r="N97" s="43">
        <f t="shared" si="43"/>
        <v>7.1779999999999997E-2</v>
      </c>
      <c r="O97" s="30">
        <f t="shared" si="45"/>
        <v>109.96</v>
      </c>
      <c r="P97" s="31">
        <f t="shared" si="44"/>
        <v>114.8</v>
      </c>
    </row>
    <row r="98" spans="1:16" x14ac:dyDescent="0.25">
      <c r="A98" s="5">
        <v>40421</v>
      </c>
      <c r="B98" s="1">
        <v>58</v>
      </c>
      <c r="C98" s="42">
        <f t="shared" si="36"/>
        <v>-1.8E-3</v>
      </c>
      <c r="D98">
        <v>3.7</v>
      </c>
      <c r="E98" s="18">
        <f t="shared" si="37"/>
        <v>8.8699999999999992</v>
      </c>
      <c r="F98">
        <v>74.3</v>
      </c>
      <c r="G98" s="42">
        <f t="shared" si="38"/>
        <v>9.1000000000000004E-3</v>
      </c>
      <c r="H98">
        <v>97.912400000000005</v>
      </c>
      <c r="I98" s="18">
        <f t="shared" si="39"/>
        <v>96.03</v>
      </c>
      <c r="J98" s="38">
        <f t="shared" si="40"/>
        <v>4.8999999999999932E-2</v>
      </c>
      <c r="K98" s="42">
        <f t="shared" si="41"/>
        <v>2.01E-2</v>
      </c>
      <c r="L98">
        <v>94.941699999999997</v>
      </c>
      <c r="M98" s="42">
        <f t="shared" si="42"/>
        <v>7.1000000000000004E-3</v>
      </c>
      <c r="N98" s="43">
        <f t="shared" si="43"/>
        <v>7.9119999999999996E-2</v>
      </c>
      <c r="O98" s="30">
        <f t="shared" si="45"/>
        <v>120.91</v>
      </c>
      <c r="P98" s="31">
        <f t="shared" si="44"/>
        <v>115.62</v>
      </c>
    </row>
    <row r="99" spans="1:16" x14ac:dyDescent="0.25">
      <c r="A99" s="5">
        <v>40390</v>
      </c>
      <c r="B99" s="1">
        <v>56.4</v>
      </c>
      <c r="C99" s="42">
        <f t="shared" si="36"/>
        <v>-9.7999999999999997E-3</v>
      </c>
      <c r="D99">
        <v>7.8</v>
      </c>
      <c r="E99" s="18">
        <f t="shared" si="37"/>
        <v>15.03</v>
      </c>
      <c r="F99">
        <v>73.8</v>
      </c>
      <c r="G99" s="42">
        <f t="shared" si="38"/>
        <v>9.1999999999999998E-3</v>
      </c>
      <c r="H99">
        <v>94.649600000000007</v>
      </c>
      <c r="I99" s="18">
        <f t="shared" si="39"/>
        <v>94.14</v>
      </c>
      <c r="J99" s="38">
        <f t="shared" si="40"/>
        <v>3.1300000000000106E-2</v>
      </c>
      <c r="K99" s="42">
        <f t="shared" si="41"/>
        <v>1.0200000000000001E-2</v>
      </c>
      <c r="L99">
        <v>94.505600000000001</v>
      </c>
      <c r="M99" s="42">
        <f t="shared" si="42"/>
        <v>7.0000000000000001E-3</v>
      </c>
      <c r="N99" s="43">
        <f t="shared" si="43"/>
        <v>8.5459999999999994E-2</v>
      </c>
      <c r="O99" s="30">
        <f t="shared" si="45"/>
        <v>113.54</v>
      </c>
      <c r="P99" s="31">
        <f t="shared" si="44"/>
        <v>111.01</v>
      </c>
    </row>
    <row r="100" spans="1:16" x14ac:dyDescent="0.25">
      <c r="A100" s="5">
        <v>40359</v>
      </c>
      <c r="B100" s="1">
        <v>56.4</v>
      </c>
      <c r="C100" s="42">
        <f t="shared" si="36"/>
        <v>-1.37E-2</v>
      </c>
      <c r="D100">
        <v>15.1</v>
      </c>
      <c r="E100" s="18">
        <f t="shared" si="37"/>
        <v>17.77</v>
      </c>
      <c r="F100">
        <v>73.5</v>
      </c>
      <c r="G100" s="42">
        <f t="shared" si="38"/>
        <v>1.0699999999999999E-2</v>
      </c>
      <c r="H100">
        <v>95.524900000000002</v>
      </c>
      <c r="I100" s="18">
        <f t="shared" si="39"/>
        <v>93.19</v>
      </c>
      <c r="J100" s="38">
        <f t="shared" si="40"/>
        <v>1.6899999999999915E-2</v>
      </c>
      <c r="K100" s="42">
        <f t="shared" si="41"/>
        <v>1.78E-2</v>
      </c>
      <c r="L100">
        <v>94.324399999999997</v>
      </c>
      <c r="M100" s="42">
        <f t="shared" si="42"/>
        <v>8.6999999999999994E-3</v>
      </c>
      <c r="N100" s="43">
        <f t="shared" si="43"/>
        <v>7.8700000000000006E-2</v>
      </c>
      <c r="O100" s="30">
        <f t="shared" si="45"/>
        <v>112.4</v>
      </c>
      <c r="P100" s="31">
        <f t="shared" si="44"/>
        <v>107.49</v>
      </c>
    </row>
    <row r="101" spans="1:16" x14ac:dyDescent="0.25">
      <c r="A101" s="5">
        <v>40329</v>
      </c>
      <c r="B101" s="1">
        <v>58.3</v>
      </c>
      <c r="C101" s="42">
        <f t="shared" si="36"/>
        <v>1.4500000000000001E-2</v>
      </c>
      <c r="D101">
        <v>22.2</v>
      </c>
      <c r="E101" s="18">
        <f t="shared" si="37"/>
        <v>17.5</v>
      </c>
      <c r="F101">
        <v>72.3</v>
      </c>
      <c r="G101" s="42">
        <f t="shared" si="38"/>
        <v>7.0000000000000001E-3</v>
      </c>
      <c r="H101">
        <v>92.24</v>
      </c>
      <c r="I101" s="18">
        <f t="shared" si="39"/>
        <v>91.56</v>
      </c>
      <c r="J101" s="38">
        <f t="shared" si="40"/>
        <v>6.2999999999999723E-3</v>
      </c>
      <c r="K101" s="42">
        <f t="shared" si="41"/>
        <v>2.0000000000000001E-4</v>
      </c>
      <c r="L101">
        <v>92.927999999999997</v>
      </c>
      <c r="M101" s="42">
        <f t="shared" si="42"/>
        <v>4.8999999999999998E-3</v>
      </c>
      <c r="N101" s="43">
        <f t="shared" si="43"/>
        <v>5.1369999999999999E-2</v>
      </c>
      <c r="O101" s="30">
        <f t="shared" si="45"/>
        <v>107.08</v>
      </c>
      <c r="P101" s="31">
        <f t="shared" si="44"/>
        <v>103.9</v>
      </c>
    </row>
    <row r="102" spans="1:16" x14ac:dyDescent="0.25">
      <c r="A102" s="5">
        <v>40298</v>
      </c>
      <c r="B102" s="1">
        <v>58.1</v>
      </c>
      <c r="C102" s="42">
        <f t="shared" si="36"/>
        <v>5.1999999999999998E-3</v>
      </c>
      <c r="D102">
        <v>16</v>
      </c>
      <c r="E102" s="18">
        <f t="shared" si="37"/>
        <v>14.77</v>
      </c>
      <c r="F102">
        <v>71.8</v>
      </c>
      <c r="G102" s="42">
        <f t="shared" si="38"/>
        <v>9.4000000000000004E-3</v>
      </c>
      <c r="H102">
        <v>91.807500000000005</v>
      </c>
      <c r="I102" s="18">
        <f t="shared" si="39"/>
        <v>91.54</v>
      </c>
      <c r="J102" s="38">
        <f t="shared" si="40"/>
        <v>3.9000000000000146E-3</v>
      </c>
      <c r="K102" s="42">
        <f t="shared" si="41"/>
        <v>2.8E-3</v>
      </c>
      <c r="L102">
        <v>92.539400000000001</v>
      </c>
      <c r="M102" s="42">
        <f t="shared" si="42"/>
        <v>7.3000000000000001E-3</v>
      </c>
      <c r="N102" s="43">
        <f t="shared" si="43"/>
        <v>3.7539999999999997E-2</v>
      </c>
      <c r="O102" s="30">
        <f t="shared" si="45"/>
        <v>102.98</v>
      </c>
      <c r="P102" s="31">
        <f t="shared" si="44"/>
        <v>101.21</v>
      </c>
    </row>
    <row r="103" spans="1:16" x14ac:dyDescent="0.25">
      <c r="A103" s="5">
        <v>40268</v>
      </c>
      <c r="B103" s="1">
        <v>58.8</v>
      </c>
      <c r="C103" s="42">
        <f t="shared" si="36"/>
        <v>2.0799999999999999E-2</v>
      </c>
      <c r="D103">
        <v>14.3</v>
      </c>
      <c r="E103" s="18">
        <f t="shared" si="37"/>
        <v>13.73</v>
      </c>
      <c r="F103">
        <v>71.2</v>
      </c>
      <c r="G103" s="42">
        <f t="shared" si="38"/>
        <v>8.0999999999999996E-3</v>
      </c>
      <c r="H103">
        <v>90.638400000000004</v>
      </c>
      <c r="I103" s="18">
        <f t="shared" si="39"/>
        <v>91.28</v>
      </c>
      <c r="J103" s="38">
        <f t="shared" si="40"/>
        <v>1.5099999999999891E-2</v>
      </c>
      <c r="K103" s="42">
        <f t="shared" si="41"/>
        <v>-3.8999999999999998E-3</v>
      </c>
      <c r="L103">
        <v>91.898799999999994</v>
      </c>
      <c r="M103" s="42">
        <f t="shared" si="42"/>
        <v>5.8999999999999999E-3</v>
      </c>
      <c r="N103" s="43">
        <f t="shared" si="43"/>
        <v>1.3899999999999999E-2</v>
      </c>
      <c r="O103" s="30">
        <f t="shared" si="45"/>
        <v>101.63</v>
      </c>
      <c r="P103" s="31">
        <f t="shared" si="44"/>
        <v>98.59</v>
      </c>
    </row>
    <row r="104" spans="1:16" x14ac:dyDescent="0.25">
      <c r="A104" s="5">
        <v>40237</v>
      </c>
      <c r="B104" s="1">
        <v>55.8</v>
      </c>
      <c r="C104" s="42">
        <f t="shared" si="36"/>
        <v>8.3999999999999995E-3</v>
      </c>
      <c r="D104">
        <v>14</v>
      </c>
      <c r="E104" s="18">
        <f t="shared" si="37"/>
        <v>14.5</v>
      </c>
      <c r="F104">
        <v>70.8</v>
      </c>
      <c r="G104" s="42">
        <f t="shared" si="38"/>
        <v>8.2000000000000007E-3</v>
      </c>
      <c r="H104">
        <v>92.161500000000004</v>
      </c>
      <c r="I104" s="18">
        <f t="shared" si="39"/>
        <v>91.64</v>
      </c>
      <c r="J104" s="38">
        <f t="shared" si="40"/>
        <v>3.1900000000000039E-2</v>
      </c>
      <c r="K104" s="42">
        <f t="shared" si="41"/>
        <v>7.1000000000000004E-3</v>
      </c>
      <c r="L104">
        <v>91.563599999999994</v>
      </c>
      <c r="M104" s="42">
        <f t="shared" si="42"/>
        <v>6.1000000000000004E-3</v>
      </c>
      <c r="N104" s="43">
        <f t="shared" si="43"/>
        <v>3.64E-3</v>
      </c>
      <c r="O104" s="30">
        <f t="shared" si="45"/>
        <v>99.03</v>
      </c>
      <c r="P104" s="31">
        <f t="shared" si="44"/>
        <v>97.12</v>
      </c>
    </row>
    <row r="105" spans="1:16" x14ac:dyDescent="0.25">
      <c r="A105" s="5">
        <v>40209</v>
      </c>
      <c r="B105" s="1">
        <v>57.2</v>
      </c>
      <c r="C105" s="42">
        <f t="shared" si="36"/>
        <v>7.1999999999999998E-3</v>
      </c>
      <c r="D105">
        <v>12.9</v>
      </c>
      <c r="E105" s="18">
        <f t="shared" si="37"/>
        <v>14.97</v>
      </c>
      <c r="F105">
        <v>69.8</v>
      </c>
      <c r="G105" s="42">
        <f t="shared" si="38"/>
        <v>4.7999999999999996E-3</v>
      </c>
      <c r="H105">
        <v>91.042199999999994</v>
      </c>
      <c r="I105" s="18">
        <f t="shared" si="39"/>
        <v>90.99</v>
      </c>
      <c r="J105" s="38">
        <f t="shared" si="40"/>
        <v>7.360000000000011E-2</v>
      </c>
      <c r="K105" s="42">
        <f t="shared" si="41"/>
        <v>-2.0999999999999999E-3</v>
      </c>
      <c r="L105">
        <v>90.526499999999999</v>
      </c>
      <c r="M105" s="42">
        <f t="shared" si="42"/>
        <v>3.3E-3</v>
      </c>
      <c r="N105" s="43">
        <f t="shared" si="43"/>
        <v>-3.1220000000000001E-2</v>
      </c>
      <c r="O105" s="30">
        <f t="shared" si="45"/>
        <v>95.1</v>
      </c>
      <c r="P105" s="31">
        <f t="shared" si="44"/>
        <v>95.32</v>
      </c>
    </row>
    <row r="106" spans="1:16" x14ac:dyDescent="0.25">
      <c r="A106" s="5">
        <v>40178</v>
      </c>
      <c r="B106" s="1">
        <v>55.3</v>
      </c>
      <c r="C106" s="42">
        <f t="shared" si="36"/>
        <v>5.4999999999999997E-3</v>
      </c>
      <c r="D106">
        <v>16.600000000000001</v>
      </c>
      <c r="E106" s="18">
        <f t="shared" si="37"/>
        <v>14.87</v>
      </c>
      <c r="F106">
        <v>69.5</v>
      </c>
      <c r="G106" s="42">
        <f t="shared" si="38"/>
        <v>6.3E-3</v>
      </c>
      <c r="H106">
        <v>91.721999999999994</v>
      </c>
      <c r="I106" s="18">
        <f t="shared" si="39"/>
        <v>91.18</v>
      </c>
      <c r="J106" s="38">
        <f t="shared" si="40"/>
        <v>0.10990000000000011</v>
      </c>
      <c r="K106" s="42">
        <f t="shared" si="41"/>
        <v>1.4E-2</v>
      </c>
      <c r="L106">
        <v>90.281099999999995</v>
      </c>
      <c r="M106" s="42">
        <f t="shared" si="42"/>
        <v>4.8999999999999998E-3</v>
      </c>
      <c r="N106" s="43">
        <f t="shared" si="43"/>
        <v>-6.2109999999999999E-2</v>
      </c>
      <c r="O106" s="30">
        <f t="shared" si="45"/>
        <v>97.24</v>
      </c>
      <c r="P106" s="31">
        <f t="shared" si="44"/>
        <v>100.63</v>
      </c>
    </row>
    <row r="107" spans="1:16" x14ac:dyDescent="0.25">
      <c r="A107" s="5">
        <v>40147</v>
      </c>
      <c r="B107" s="1">
        <v>54.4</v>
      </c>
      <c r="C107" s="42">
        <f t="shared" si="36"/>
        <v>5.4999999999999997E-3</v>
      </c>
      <c r="D107">
        <v>15.4</v>
      </c>
      <c r="E107" s="18">
        <f t="shared" si="37"/>
        <v>14.3</v>
      </c>
      <c r="F107">
        <v>69.099999999999994</v>
      </c>
      <c r="G107" s="42">
        <f t="shared" si="38"/>
        <v>8.3000000000000001E-3</v>
      </c>
      <c r="H107">
        <v>90.194599999999994</v>
      </c>
      <c r="I107" s="18">
        <f t="shared" si="39"/>
        <v>89.92</v>
      </c>
      <c r="J107" s="38">
        <f t="shared" si="40"/>
        <v>0.10919999999999996</v>
      </c>
      <c r="K107" s="42">
        <f t="shared" si="41"/>
        <v>1.2500000000000001E-2</v>
      </c>
      <c r="L107">
        <v>89.913600000000002</v>
      </c>
      <c r="M107" s="42">
        <f t="shared" si="42"/>
        <v>7.3000000000000001E-3</v>
      </c>
      <c r="N107" s="43">
        <f t="shared" si="43"/>
        <v>-7.739E-2</v>
      </c>
      <c r="O107" s="30">
        <f t="shared" si="45"/>
        <v>93.61</v>
      </c>
      <c r="P107" s="31">
        <f t="shared" si="44"/>
        <v>97.42</v>
      </c>
    </row>
    <row r="108" spans="1:16" x14ac:dyDescent="0.25">
      <c r="A108" s="5">
        <v>40117</v>
      </c>
      <c r="B108" s="1">
        <v>56</v>
      </c>
      <c r="C108" s="42">
        <f t="shared" si="36"/>
        <v>3.8699999999999998E-2</v>
      </c>
      <c r="D108">
        <v>12.6</v>
      </c>
      <c r="E108" s="18">
        <f t="shared" si="37"/>
        <v>12.13</v>
      </c>
      <c r="F108">
        <v>68.8</v>
      </c>
      <c r="G108" s="42">
        <f t="shared" si="38"/>
        <v>1.04E-2</v>
      </c>
      <c r="H108">
        <v>91.611199999999997</v>
      </c>
      <c r="I108" s="18">
        <f t="shared" si="39"/>
        <v>88.81</v>
      </c>
      <c r="J108" s="38">
        <f t="shared" si="40"/>
        <v>7.7499999999999902E-2</v>
      </c>
      <c r="K108" s="42">
        <f t="shared" si="41"/>
        <v>4.7899999999999998E-2</v>
      </c>
      <c r="L108">
        <v>89.622900000000001</v>
      </c>
      <c r="M108" s="42">
        <f t="shared" si="42"/>
        <v>9.7000000000000003E-3</v>
      </c>
      <c r="N108" s="43">
        <f t="shared" si="43"/>
        <v>-7.1690000000000004E-2</v>
      </c>
      <c r="O108" s="30">
        <f t="shared" si="45"/>
        <v>111.03</v>
      </c>
      <c r="P108" s="31">
        <f t="shared" si="44"/>
        <v>91.42</v>
      </c>
    </row>
    <row r="109" spans="1:16" x14ac:dyDescent="0.25">
      <c r="A109" s="5">
        <v>40086</v>
      </c>
      <c r="B109" s="1">
        <v>54.4</v>
      </c>
      <c r="C109" s="42">
        <f t="shared" si="36"/>
        <v>5.7599999999999998E-2</v>
      </c>
      <c r="D109">
        <v>14.9</v>
      </c>
      <c r="E109" s="18">
        <f t="shared" si="37"/>
        <v>5.73</v>
      </c>
      <c r="F109">
        <v>68.2</v>
      </c>
      <c r="G109" s="42">
        <f t="shared" si="38"/>
        <v>6.0000000000000001E-3</v>
      </c>
      <c r="H109">
        <v>87.965699999999998</v>
      </c>
      <c r="I109" s="18">
        <f t="shared" si="39"/>
        <v>84.75</v>
      </c>
      <c r="J109" s="38">
        <f t="shared" si="40"/>
        <v>1.330000000000009E-2</v>
      </c>
      <c r="K109" s="42">
        <f t="shared" si="41"/>
        <v>3.1600000000000003E-2</v>
      </c>
      <c r="L109">
        <v>88.953400000000002</v>
      </c>
      <c r="M109" s="42">
        <f t="shared" si="42"/>
        <v>5.7999999999999996E-3</v>
      </c>
      <c r="N109" s="43">
        <f t="shared" si="43"/>
        <v>-0.11829000000000001</v>
      </c>
      <c r="O109" s="30">
        <f t="shared" si="45"/>
        <v>87.63</v>
      </c>
      <c r="P109" s="31">
        <f t="shared" si="44"/>
        <v>70.42</v>
      </c>
    </row>
    <row r="110" spans="1:16" x14ac:dyDescent="0.25">
      <c r="A110" s="5">
        <v>40056</v>
      </c>
      <c r="B110" s="1">
        <v>53.5</v>
      </c>
      <c r="C110" s="42">
        <f t="shared" si="36"/>
        <v>8.5900000000000004E-2</v>
      </c>
      <c r="D110">
        <v>8.9</v>
      </c>
      <c r="E110" s="18">
        <f t="shared" si="37"/>
        <v>0.87</v>
      </c>
      <c r="F110">
        <v>67.400000000000006</v>
      </c>
      <c r="G110" s="42">
        <f t="shared" si="38"/>
        <v>-1.5E-3</v>
      </c>
      <c r="H110">
        <v>86.862899999999996</v>
      </c>
      <c r="I110" s="18">
        <f t="shared" si="39"/>
        <v>82.15</v>
      </c>
      <c r="J110" s="38">
        <f t="shared" si="40"/>
        <v>-1.21E-2</v>
      </c>
      <c r="K110" s="42">
        <f t="shared" si="41"/>
        <v>1.3299999999999999E-2</v>
      </c>
      <c r="L110">
        <v>87.980999999999995</v>
      </c>
      <c r="M110" s="42">
        <f t="shared" si="42"/>
        <v>-1.5E-3</v>
      </c>
      <c r="N110" s="43">
        <f t="shared" si="43"/>
        <v>-0.14087</v>
      </c>
      <c r="O110" s="30">
        <f t="shared" si="45"/>
        <v>75.599999999999994</v>
      </c>
      <c r="P110" s="31">
        <f t="shared" si="44"/>
        <v>53.96</v>
      </c>
    </row>
    <row r="111" spans="1:16" x14ac:dyDescent="0.25">
      <c r="A111" s="5">
        <v>40025</v>
      </c>
      <c r="B111" s="1">
        <v>49.9</v>
      </c>
      <c r="C111" s="42">
        <f t="shared" si="36"/>
        <v>8.1900000000000001E-2</v>
      </c>
      <c r="D111">
        <v>-6.6</v>
      </c>
      <c r="E111" s="18">
        <f t="shared" si="37"/>
        <v>-9.57</v>
      </c>
      <c r="F111">
        <v>66.7</v>
      </c>
      <c r="G111" s="42">
        <f t="shared" si="38"/>
        <v>-8.3999999999999995E-3</v>
      </c>
      <c r="H111">
        <v>79.427199999999999</v>
      </c>
      <c r="I111" s="18">
        <f t="shared" si="39"/>
        <v>81.069999999999993</v>
      </c>
      <c r="J111" s="38">
        <f t="shared" si="40"/>
        <v>-5.6899999999999951E-2</v>
      </c>
      <c r="K111" s="42">
        <f t="shared" si="41"/>
        <v>-1.6400000000000001E-2</v>
      </c>
      <c r="L111">
        <v>87.064999999999998</v>
      </c>
      <c r="M111" s="42">
        <f t="shared" si="42"/>
        <v>-8.0000000000000002E-3</v>
      </c>
      <c r="N111" s="43">
        <f t="shared" si="43"/>
        <v>-0.15429000000000001</v>
      </c>
      <c r="O111" s="30">
        <f t="shared" si="45"/>
        <v>48.04</v>
      </c>
      <c r="P111" s="31">
        <f t="shared" si="44"/>
        <v>37.729999999999997</v>
      </c>
    </row>
    <row r="112" spans="1:16" x14ac:dyDescent="0.25">
      <c r="A112" s="5">
        <v>39994</v>
      </c>
      <c r="B112" s="1">
        <v>45.8</v>
      </c>
      <c r="C112" s="42">
        <f t="shared" si="36"/>
        <v>8.3599999999999994E-2</v>
      </c>
      <c r="D112">
        <v>0.3</v>
      </c>
      <c r="E112" s="18">
        <f t="shared" si="37"/>
        <v>-15.8</v>
      </c>
      <c r="F112">
        <v>67</v>
      </c>
      <c r="G112" s="42">
        <f t="shared" si="38"/>
        <v>-1.2200000000000001E-2</v>
      </c>
      <c r="H112">
        <v>80.151899999999998</v>
      </c>
      <c r="I112" s="18">
        <f t="shared" si="39"/>
        <v>82.42</v>
      </c>
      <c r="J112" s="38">
        <f t="shared" si="40"/>
        <v>-8.5200000000000053E-2</v>
      </c>
      <c r="K112" s="42">
        <f t="shared" si="41"/>
        <v>-1.46E-2</v>
      </c>
      <c r="L112">
        <v>87.442400000000006</v>
      </c>
      <c r="M112" s="42">
        <f t="shared" si="42"/>
        <v>-1.1900000000000001E-2</v>
      </c>
      <c r="N112" s="43">
        <f t="shared" si="43"/>
        <v>-0.15201000000000001</v>
      </c>
      <c r="O112" s="30">
        <f t="shared" si="45"/>
        <v>38.24</v>
      </c>
      <c r="P112" s="31">
        <f t="shared" si="44"/>
        <v>22.49</v>
      </c>
    </row>
    <row r="113" spans="1:16" x14ac:dyDescent="0.25">
      <c r="A113" s="5">
        <v>39964</v>
      </c>
      <c r="B113" s="1">
        <v>41.7</v>
      </c>
      <c r="C113" s="42">
        <f t="shared" si="36"/>
        <v>5.5899999999999998E-2</v>
      </c>
      <c r="D113">
        <v>-22.4</v>
      </c>
      <c r="E113" s="18">
        <f t="shared" si="37"/>
        <v>-27.37</v>
      </c>
      <c r="F113">
        <v>67.7</v>
      </c>
      <c r="G113" s="42">
        <f t="shared" si="38"/>
        <v>-1.11E-2</v>
      </c>
      <c r="H113">
        <v>83.619600000000005</v>
      </c>
      <c r="I113" s="18">
        <f t="shared" si="39"/>
        <v>83.64</v>
      </c>
      <c r="J113" s="38">
        <f t="shared" si="40"/>
        <v>-0.129</v>
      </c>
      <c r="K113" s="42">
        <f t="shared" si="41"/>
        <v>5.7999999999999996E-3</v>
      </c>
      <c r="L113">
        <v>88.387600000000006</v>
      </c>
      <c r="M113" s="42">
        <f t="shared" si="42"/>
        <v>-1.0500000000000001E-2</v>
      </c>
      <c r="N113" s="43">
        <f t="shared" si="43"/>
        <v>-0.14717</v>
      </c>
      <c r="O113" s="30">
        <f t="shared" si="45"/>
        <v>26.92</v>
      </c>
      <c r="P113" s="31">
        <f t="shared" si="44"/>
        <v>7.11</v>
      </c>
    </row>
    <row r="114" spans="1:16" x14ac:dyDescent="0.25">
      <c r="A114" s="5">
        <v>39933</v>
      </c>
      <c r="B114" s="1">
        <v>39.5</v>
      </c>
      <c r="C114" s="42">
        <f t="shared" si="36"/>
        <v>4.3200000000000002E-2</v>
      </c>
      <c r="D114">
        <v>-25.3</v>
      </c>
      <c r="E114" s="18">
        <f t="shared" si="37"/>
        <v>-33.1</v>
      </c>
      <c r="F114">
        <v>68.400000000000006</v>
      </c>
      <c r="G114" s="42">
        <f t="shared" si="38"/>
        <v>-1.61E-2</v>
      </c>
      <c r="H114">
        <v>83.481399999999994</v>
      </c>
      <c r="I114" s="18">
        <f t="shared" si="39"/>
        <v>83.16</v>
      </c>
      <c r="J114" s="38">
        <f t="shared" si="40"/>
        <v>-0.16469999999999996</v>
      </c>
      <c r="K114" s="42">
        <f t="shared" si="41"/>
        <v>-3.2599999999999997E-2</v>
      </c>
      <c r="L114">
        <v>89.191299999999998</v>
      </c>
      <c r="M114" s="42">
        <f t="shared" si="42"/>
        <v>-1.54E-2</v>
      </c>
      <c r="N114" s="43">
        <f t="shared" si="43"/>
        <v>-0.14582000000000001</v>
      </c>
      <c r="O114" s="30">
        <f t="shared" si="45"/>
        <v>2.3199999999999998</v>
      </c>
      <c r="P114" s="31">
        <f t="shared" si="44"/>
        <v>0</v>
      </c>
    </row>
    <row r="115" spans="1:16" x14ac:dyDescent="0.25">
      <c r="A115" s="5">
        <v>39903</v>
      </c>
      <c r="B115" s="1">
        <v>36</v>
      </c>
      <c r="C115" s="42">
        <f t="shared" si="36"/>
        <v>2.8000000000000001E-2</v>
      </c>
      <c r="D115">
        <v>-34.4</v>
      </c>
      <c r="E115" s="18">
        <f t="shared" si="37"/>
        <v>-35</v>
      </c>
      <c r="F115">
        <v>69.5</v>
      </c>
      <c r="G115" s="42">
        <f t="shared" si="38"/>
        <v>-2.1299999999999999E-2</v>
      </c>
      <c r="H115">
        <v>83.815100000000001</v>
      </c>
      <c r="I115" s="18">
        <f t="shared" si="39"/>
        <v>85.96</v>
      </c>
      <c r="J115" s="38">
        <f t="shared" si="40"/>
        <v>-0.15659999999999996</v>
      </c>
      <c r="K115" s="42">
        <f t="shared" si="41"/>
        <v>-4.5900000000000003E-2</v>
      </c>
      <c r="L115">
        <v>90.638900000000007</v>
      </c>
      <c r="M115" s="42">
        <f t="shared" si="42"/>
        <v>-0.02</v>
      </c>
      <c r="N115" s="43">
        <f t="shared" si="43"/>
        <v>-0.13408</v>
      </c>
      <c r="O115" s="30">
        <f t="shared" si="45"/>
        <v>-7.91</v>
      </c>
      <c r="P115" s="31">
        <f t="shared" si="44"/>
        <v>0</v>
      </c>
    </row>
    <row r="116" spans="1:16" x14ac:dyDescent="0.25">
      <c r="A116" s="5">
        <v>39872</v>
      </c>
      <c r="B116" s="1">
        <v>35.5</v>
      </c>
      <c r="C116" s="42">
        <f t="shared" si="36"/>
        <v>-9.5999999999999992E-3</v>
      </c>
      <c r="D116">
        <v>-39.6</v>
      </c>
      <c r="E116" s="18">
        <f t="shared" si="37"/>
        <v>-36.07</v>
      </c>
      <c r="F116">
        <v>70</v>
      </c>
      <c r="G116" s="42">
        <f t="shared" si="38"/>
        <v>-2.2599999999999999E-2</v>
      </c>
      <c r="H116">
        <v>82.172200000000004</v>
      </c>
      <c r="I116" s="18">
        <f t="shared" si="39"/>
        <v>90.1</v>
      </c>
      <c r="J116" s="38">
        <f t="shared" si="40"/>
        <v>-0.13780000000000003</v>
      </c>
      <c r="K116" s="42">
        <f t="shared" si="41"/>
        <v>-6.1800000000000001E-2</v>
      </c>
      <c r="L116">
        <v>91.231700000000004</v>
      </c>
      <c r="M116" s="42">
        <f t="shared" si="42"/>
        <v>-2.1700000000000001E-2</v>
      </c>
      <c r="N116" s="43">
        <f t="shared" si="43"/>
        <v>-0.13128999999999999</v>
      </c>
      <c r="O116" s="30">
        <f t="shared" si="45"/>
        <v>-19.690000000000001</v>
      </c>
      <c r="P116" s="31">
        <f t="shared" si="44"/>
        <v>0</v>
      </c>
    </row>
    <row r="117" spans="1:16" x14ac:dyDescent="0.25">
      <c r="A117" s="5">
        <v>39844</v>
      </c>
      <c r="B117" s="1">
        <v>34.9</v>
      </c>
      <c r="C117" s="42">
        <f t="shared" si="36"/>
        <v>-3.6900000000000002E-2</v>
      </c>
      <c r="D117">
        <v>-31</v>
      </c>
      <c r="E117" s="18">
        <f t="shared" si="37"/>
        <v>-36.5</v>
      </c>
      <c r="F117">
        <v>71.8</v>
      </c>
      <c r="G117" s="42">
        <f t="shared" si="38"/>
        <v>-1.1599999999999999E-2</v>
      </c>
      <c r="H117">
        <v>91.898300000000006</v>
      </c>
      <c r="I117" s="18">
        <f t="shared" si="39"/>
        <v>96.03</v>
      </c>
      <c r="J117" s="38">
        <f t="shared" si="40"/>
        <v>-0.10409999999999997</v>
      </c>
      <c r="K117" s="42">
        <f t="shared" si="41"/>
        <v>-3.5499999999999997E-2</v>
      </c>
      <c r="L117">
        <v>93.443399999999997</v>
      </c>
      <c r="M117" s="42">
        <f t="shared" si="42"/>
        <v>-1.0699999999999999E-2</v>
      </c>
      <c r="N117" s="43">
        <f t="shared" si="43"/>
        <v>-0.11278000000000001</v>
      </c>
      <c r="O117" s="30">
        <f t="shared" si="45"/>
        <v>-4.87</v>
      </c>
      <c r="P117" s="31">
        <f t="shared" si="44"/>
        <v>0</v>
      </c>
    </row>
    <row r="118" spans="1:16" x14ac:dyDescent="0.25">
      <c r="A118" s="5">
        <v>39813</v>
      </c>
      <c r="B118" s="1">
        <v>33.1</v>
      </c>
      <c r="C118" s="42">
        <f t="shared" si="36"/>
        <v>-9.7299999999999998E-2</v>
      </c>
      <c r="D118">
        <v>-37.6</v>
      </c>
      <c r="E118" s="18">
        <f t="shared" si="37"/>
        <v>-38.67</v>
      </c>
      <c r="F118">
        <v>74.099999999999994</v>
      </c>
      <c r="G118" s="42">
        <f t="shared" si="38"/>
        <v>-1.6299999999999999E-2</v>
      </c>
      <c r="H118">
        <v>96.230099999999993</v>
      </c>
      <c r="I118" s="18">
        <f t="shared" si="39"/>
        <v>99.56</v>
      </c>
      <c r="J118" s="38">
        <f t="shared" si="40"/>
        <v>-8.9799999999999991E-2</v>
      </c>
      <c r="K118" s="42">
        <f t="shared" si="41"/>
        <v>-2.3199999999999998E-2</v>
      </c>
      <c r="L118">
        <v>96.259299999999996</v>
      </c>
      <c r="M118" s="42">
        <f t="shared" si="42"/>
        <v>-1.5699999999999999E-2</v>
      </c>
      <c r="N118" s="43">
        <f t="shared" si="43"/>
        <v>-8.6110000000000006E-2</v>
      </c>
      <c r="O118" s="30">
        <f t="shared" si="45"/>
        <v>-12.56</v>
      </c>
      <c r="P118" s="31">
        <f t="shared" si="44"/>
        <v>0</v>
      </c>
    </row>
    <row r="119" spans="1:16" x14ac:dyDescent="0.25">
      <c r="A119" s="5">
        <v>39782</v>
      </c>
      <c r="B119" s="1">
        <v>36.5</v>
      </c>
      <c r="C119" s="42">
        <f t="shared" si="36"/>
        <v>-9.5600000000000004E-2</v>
      </c>
      <c r="D119">
        <v>-40.9</v>
      </c>
      <c r="E119" s="18">
        <f t="shared" si="37"/>
        <v>-25.47</v>
      </c>
      <c r="F119">
        <v>75</v>
      </c>
      <c r="G119" s="42">
        <f t="shared" si="38"/>
        <v>-1.7299999999999999E-2</v>
      </c>
      <c r="H119">
        <v>99.972300000000004</v>
      </c>
      <c r="I119" s="18">
        <f t="shared" si="39"/>
        <v>101.92</v>
      </c>
      <c r="J119" s="38">
        <f t="shared" si="40"/>
        <v>-7.7400000000000024E-2</v>
      </c>
      <c r="K119" s="42">
        <f t="shared" si="41"/>
        <v>-2.47E-2</v>
      </c>
      <c r="L119">
        <v>97.456199999999995</v>
      </c>
      <c r="M119" s="42">
        <f t="shared" si="42"/>
        <v>-1.6500000000000001E-2</v>
      </c>
      <c r="N119" s="43">
        <f t="shared" si="43"/>
        <v>-6.9830000000000003E-2</v>
      </c>
      <c r="O119" s="30">
        <f t="shared" si="45"/>
        <v>-2.4</v>
      </c>
      <c r="P119" s="31">
        <f t="shared" si="44"/>
        <v>13.42</v>
      </c>
    </row>
    <row r="120" spans="1:16" x14ac:dyDescent="0.25">
      <c r="A120" s="5">
        <v>39752</v>
      </c>
      <c r="B120" s="1">
        <v>38.9</v>
      </c>
      <c r="C120" s="42">
        <f t="shared" si="36"/>
        <v>-7.7100000000000002E-2</v>
      </c>
      <c r="D120">
        <v>-37.5</v>
      </c>
      <c r="E120" s="18">
        <f t="shared" si="37"/>
        <v>-17.7</v>
      </c>
      <c r="F120">
        <v>74.400000000000006</v>
      </c>
      <c r="G120" s="42">
        <f t="shared" si="38"/>
        <v>-2.12E-2</v>
      </c>
      <c r="H120">
        <v>102.4837</v>
      </c>
      <c r="I120" s="18">
        <f t="shared" si="39"/>
        <v>104.5</v>
      </c>
      <c r="J120" s="38">
        <f t="shared" si="40"/>
        <v>-6.2799999999999967E-2</v>
      </c>
      <c r="K120" s="42">
        <f t="shared" si="41"/>
        <v>-2.5100000000000001E-2</v>
      </c>
      <c r="L120">
        <v>96.543899999999994</v>
      </c>
      <c r="M120" s="42">
        <f t="shared" si="42"/>
        <v>-2.0899999999999998E-2</v>
      </c>
      <c r="N120" s="43">
        <f t="shared" si="43"/>
        <v>-8.2949999999999996E-2</v>
      </c>
      <c r="O120" s="30">
        <f t="shared" si="45"/>
        <v>2.94</v>
      </c>
      <c r="P120" s="31">
        <f t="shared" si="44"/>
        <v>34.57</v>
      </c>
    </row>
    <row r="121" spans="1:16" x14ac:dyDescent="0.25">
      <c r="A121" s="5">
        <v>39721</v>
      </c>
      <c r="B121" s="1">
        <v>44.8</v>
      </c>
      <c r="C121" s="42">
        <f t="shared" si="36"/>
        <v>-3.3599999999999998E-2</v>
      </c>
      <c r="D121">
        <v>2</v>
      </c>
      <c r="E121" s="18">
        <f t="shared" si="37"/>
        <v>-10.6</v>
      </c>
      <c r="F121">
        <v>77.8</v>
      </c>
      <c r="G121" s="42">
        <f t="shared" si="38"/>
        <v>-7.1000000000000004E-3</v>
      </c>
      <c r="H121">
        <v>103.3095</v>
      </c>
      <c r="I121" s="18">
        <f t="shared" si="39"/>
        <v>107.19</v>
      </c>
      <c r="J121" s="38">
        <f t="shared" si="40"/>
        <v>-5.7599999999999985E-2</v>
      </c>
      <c r="K121" s="42">
        <f t="shared" si="41"/>
        <v>-0.02</v>
      </c>
      <c r="L121">
        <v>100.8875</v>
      </c>
      <c r="M121" s="42">
        <f t="shared" si="42"/>
        <v>-7.1999999999999998E-3</v>
      </c>
      <c r="N121" s="43">
        <f t="shared" si="43"/>
        <v>-3.8359999999999998E-2</v>
      </c>
      <c r="O121" s="30">
        <f t="shared" si="45"/>
        <v>39.729999999999997</v>
      </c>
      <c r="P121" s="31">
        <f t="shared" si="44"/>
        <v>54.61</v>
      </c>
    </row>
    <row r="122" spans="1:16" x14ac:dyDescent="0.25">
      <c r="A122" s="5">
        <v>39691</v>
      </c>
      <c r="B122" s="1">
        <v>49.2</v>
      </c>
      <c r="C122" s="42">
        <f t="shared" si="36"/>
        <v>2.7000000000000001E-3</v>
      </c>
      <c r="D122">
        <v>-17.600000000000001</v>
      </c>
      <c r="E122" s="18">
        <f t="shared" si="37"/>
        <v>-16.87</v>
      </c>
      <c r="F122">
        <v>79</v>
      </c>
      <c r="G122" s="42">
        <f t="shared" si="38"/>
        <v>-3.8E-3</v>
      </c>
      <c r="H122">
        <v>107.71680000000001</v>
      </c>
      <c r="I122" s="18">
        <f t="shared" si="39"/>
        <v>109.38</v>
      </c>
      <c r="J122" s="38">
        <f t="shared" si="40"/>
        <v>-5.5799999999999961E-2</v>
      </c>
      <c r="K122" s="42">
        <f t="shared" si="41"/>
        <v>-9.9000000000000008E-3</v>
      </c>
      <c r="L122">
        <v>102.4071</v>
      </c>
      <c r="M122" s="42">
        <f t="shared" si="42"/>
        <v>-4.0000000000000001E-3</v>
      </c>
      <c r="N122" s="43">
        <f t="shared" si="43"/>
        <v>-2.1999999999999999E-2</v>
      </c>
      <c r="O122" s="30">
        <f t="shared" si="45"/>
        <v>61.03</v>
      </c>
      <c r="P122" s="31">
        <f t="shared" si="44"/>
        <v>61.42</v>
      </c>
    </row>
    <row r="123" spans="1:16" x14ac:dyDescent="0.25">
      <c r="A123" s="5">
        <v>39660</v>
      </c>
      <c r="B123" s="1">
        <v>50</v>
      </c>
      <c r="C123" s="42">
        <f t="shared" si="36"/>
        <v>8.0999999999999996E-3</v>
      </c>
      <c r="D123">
        <v>-16.2</v>
      </c>
      <c r="E123" s="18">
        <f t="shared" si="37"/>
        <v>-16.37</v>
      </c>
      <c r="F123">
        <v>79.400000000000006</v>
      </c>
      <c r="G123" s="42">
        <f t="shared" si="38"/>
        <v>-4.1999999999999997E-3</v>
      </c>
      <c r="H123">
        <v>110.54049999999999</v>
      </c>
      <c r="I123" s="18">
        <f t="shared" si="39"/>
        <v>110.47</v>
      </c>
      <c r="J123" s="38">
        <f t="shared" si="40"/>
        <v>-6.4100000000000046E-2</v>
      </c>
      <c r="K123" s="42">
        <f t="shared" si="41"/>
        <v>-9.1999999999999998E-3</v>
      </c>
      <c r="L123">
        <v>102.94840000000001</v>
      </c>
      <c r="M123" s="42">
        <f t="shared" si="42"/>
        <v>-4.7000000000000002E-3</v>
      </c>
      <c r="N123" s="43">
        <f t="shared" si="43"/>
        <v>-1.728E-2</v>
      </c>
      <c r="O123" s="30">
        <f t="shared" si="45"/>
        <v>63.06</v>
      </c>
      <c r="P123" s="31">
        <f t="shared" si="44"/>
        <v>61.91</v>
      </c>
    </row>
    <row r="124" spans="1:16" x14ac:dyDescent="0.25">
      <c r="A124" s="5">
        <v>39629</v>
      </c>
      <c r="B124" s="1">
        <v>49.8</v>
      </c>
      <c r="C124" s="42">
        <f t="shared" si="36"/>
        <v>1.03E-2</v>
      </c>
      <c r="D124">
        <v>-16.8</v>
      </c>
      <c r="E124" s="18">
        <f t="shared" si="37"/>
        <v>-18.03</v>
      </c>
      <c r="F124">
        <v>79.5</v>
      </c>
      <c r="G124" s="42">
        <f t="shared" si="38"/>
        <v>-4.5999999999999999E-3</v>
      </c>
      <c r="H124">
        <v>109.8704</v>
      </c>
      <c r="I124" s="18">
        <f t="shared" si="39"/>
        <v>111.5</v>
      </c>
      <c r="J124" s="38">
        <f t="shared" si="40"/>
        <v>-6.4999999999999947E-2</v>
      </c>
      <c r="K124" s="42">
        <f t="shared" si="41"/>
        <v>-1.9699999999999999E-2</v>
      </c>
      <c r="L124">
        <v>103.1178</v>
      </c>
      <c r="M124" s="42">
        <f t="shared" si="42"/>
        <v>-5.0000000000000001E-3</v>
      </c>
      <c r="N124" s="43">
        <f t="shared" si="43"/>
        <v>-1.559E-2</v>
      </c>
      <c r="O124" s="30">
        <f t="shared" si="45"/>
        <v>60.16</v>
      </c>
      <c r="P124" s="31">
        <f t="shared" si="44"/>
        <v>62.19</v>
      </c>
    </row>
    <row r="125" spans="1:16" x14ac:dyDescent="0.25">
      <c r="A125" s="5">
        <v>39599</v>
      </c>
      <c r="B125" s="1">
        <v>48.8</v>
      </c>
      <c r="C125" s="42">
        <f t="shared" si="36"/>
        <v>8.3000000000000001E-3</v>
      </c>
      <c r="D125">
        <v>-16.100000000000001</v>
      </c>
      <c r="E125" s="18">
        <f t="shared" si="37"/>
        <v>-17.329999999999998</v>
      </c>
      <c r="F125">
        <v>79.900000000000006</v>
      </c>
      <c r="G125" s="42">
        <f t="shared" si="38"/>
        <v>-3.7000000000000002E-3</v>
      </c>
      <c r="H125">
        <v>111.0127</v>
      </c>
      <c r="I125" s="18">
        <f t="shared" si="39"/>
        <v>113.74</v>
      </c>
      <c r="J125" s="38">
        <f t="shared" si="40"/>
        <v>-5.259999999999998E-2</v>
      </c>
      <c r="K125" s="42">
        <f t="shared" si="41"/>
        <v>-1.8100000000000002E-2</v>
      </c>
      <c r="L125">
        <v>103.6403</v>
      </c>
      <c r="M125" s="42">
        <f t="shared" si="42"/>
        <v>-4.4000000000000003E-3</v>
      </c>
      <c r="N125" s="43">
        <f t="shared" si="43"/>
        <v>-1.0189999999999999E-2</v>
      </c>
      <c r="O125" s="30">
        <f t="shared" si="45"/>
        <v>62.5</v>
      </c>
      <c r="P125" s="31">
        <f t="shared" si="44"/>
        <v>65.75</v>
      </c>
    </row>
    <row r="126" spans="1:16" x14ac:dyDescent="0.25">
      <c r="A126" s="5">
        <v>39568</v>
      </c>
      <c r="B126" s="1">
        <v>48.8</v>
      </c>
      <c r="C126" s="42">
        <f t="shared" si="36"/>
        <v>-1.03E-2</v>
      </c>
      <c r="D126">
        <v>-21.2</v>
      </c>
      <c r="E126" s="18">
        <f t="shared" si="37"/>
        <v>-18.73</v>
      </c>
      <c r="F126">
        <v>80.400000000000006</v>
      </c>
      <c r="G126" s="42">
        <f t="shared" si="38"/>
        <v>-2.5000000000000001E-3</v>
      </c>
      <c r="H126">
        <v>113.6189</v>
      </c>
      <c r="I126" s="18">
        <f t="shared" si="39"/>
        <v>115.84</v>
      </c>
      <c r="J126" s="38">
        <f t="shared" si="40"/>
        <v>-3.4900000000000042E-2</v>
      </c>
      <c r="K126" s="42">
        <f t="shared" si="41"/>
        <v>-1.8599999999999998E-2</v>
      </c>
      <c r="L126">
        <v>104.4179</v>
      </c>
      <c r="M126" s="42">
        <f t="shared" si="42"/>
        <v>-2.8999999999999998E-3</v>
      </c>
      <c r="N126" s="43">
        <f t="shared" si="43"/>
        <v>4.4600000000000004E-3</v>
      </c>
      <c r="O126" s="30">
        <f t="shared" si="45"/>
        <v>63.91</v>
      </c>
      <c r="P126" s="31">
        <f t="shared" si="44"/>
        <v>69.05</v>
      </c>
    </row>
    <row r="127" spans="1:16" x14ac:dyDescent="0.25">
      <c r="A127" s="5">
        <v>39538</v>
      </c>
      <c r="B127" s="1">
        <v>48.3</v>
      </c>
      <c r="C127" s="42">
        <f t="shared" si="36"/>
        <v>-4.7999999999999996E-3</v>
      </c>
      <c r="D127">
        <v>-14.7</v>
      </c>
      <c r="E127" s="18">
        <f t="shared" si="37"/>
        <v>-17.8</v>
      </c>
      <c r="F127">
        <v>80.599999999999994</v>
      </c>
      <c r="G127" s="42">
        <f t="shared" si="38"/>
        <v>-1.1999999999999999E-3</v>
      </c>
      <c r="H127">
        <v>116.58669999999999</v>
      </c>
      <c r="I127" s="18">
        <f t="shared" si="39"/>
        <v>118.04</v>
      </c>
      <c r="J127" s="38">
        <f t="shared" si="40"/>
        <v>-2.0499999999999963E-2</v>
      </c>
      <c r="K127" s="42">
        <f t="shared" si="41"/>
        <v>-1.01E-2</v>
      </c>
      <c r="L127">
        <v>104.6741</v>
      </c>
      <c r="M127" s="42">
        <f t="shared" si="42"/>
        <v>-2.0999999999999999E-3</v>
      </c>
      <c r="N127" s="43">
        <f t="shared" si="43"/>
        <v>8.7500000000000008E-3</v>
      </c>
      <c r="O127" s="30">
        <f t="shared" si="45"/>
        <v>70.83</v>
      </c>
      <c r="P127" s="31">
        <f t="shared" si="44"/>
        <v>74.69</v>
      </c>
    </row>
    <row r="128" spans="1:16" x14ac:dyDescent="0.25">
      <c r="A128" s="5">
        <v>39507</v>
      </c>
      <c r="B128" s="1">
        <v>47.6</v>
      </c>
      <c r="C128" s="42">
        <f t="shared" si="36"/>
        <v>-1.9400000000000001E-2</v>
      </c>
      <c r="D128">
        <v>-20.3</v>
      </c>
      <c r="E128" s="18">
        <f t="shared" si="37"/>
        <v>-14.7</v>
      </c>
      <c r="F128">
        <v>80.8</v>
      </c>
      <c r="G128" s="42">
        <f t="shared" si="38"/>
        <v>1.1999999999999999E-3</v>
      </c>
      <c r="H128">
        <v>117.3117</v>
      </c>
      <c r="I128" s="18">
        <f t="shared" si="39"/>
        <v>119.25</v>
      </c>
      <c r="J128" s="38">
        <f t="shared" si="40"/>
        <v>-1.7100000000000004E-2</v>
      </c>
      <c r="K128" s="42">
        <f t="shared" si="41"/>
        <v>-6.7000000000000002E-3</v>
      </c>
      <c r="L128">
        <v>105.01949999999999</v>
      </c>
      <c r="M128" s="42">
        <f t="shared" si="42"/>
        <v>8.0000000000000004E-4</v>
      </c>
      <c r="N128" s="43">
        <f t="shared" si="43"/>
        <v>2.2460000000000001E-2</v>
      </c>
      <c r="O128" s="30">
        <f t="shared" si="45"/>
        <v>72.400000000000006</v>
      </c>
      <c r="P128" s="31">
        <f t="shared" si="44"/>
        <v>77.62</v>
      </c>
    </row>
    <row r="129" spans="1:16" x14ac:dyDescent="0.25">
      <c r="A129" s="5">
        <v>39478</v>
      </c>
      <c r="B129" s="1">
        <v>50.3</v>
      </c>
      <c r="C129" s="42">
        <f t="shared" si="36"/>
        <v>-5.3E-3</v>
      </c>
      <c r="D129">
        <v>-18.399999999999999</v>
      </c>
      <c r="E129" s="18">
        <f t="shared" si="37"/>
        <v>-5.7</v>
      </c>
      <c r="F129">
        <v>81</v>
      </c>
      <c r="G129" s="42">
        <f t="shared" si="38"/>
        <v>4.0000000000000002E-4</v>
      </c>
      <c r="H129">
        <v>120.2214</v>
      </c>
      <c r="I129" s="18">
        <f t="shared" si="39"/>
        <v>120.05</v>
      </c>
      <c r="J129" s="38">
        <f t="shared" si="40"/>
        <v>-1.9599999999999951E-2</v>
      </c>
      <c r="K129" s="42">
        <f t="shared" si="41"/>
        <v>2.0000000000000001E-4</v>
      </c>
      <c r="L129">
        <v>105.32129999999999</v>
      </c>
      <c r="M129" s="42">
        <f t="shared" si="42"/>
        <v>1E-4</v>
      </c>
      <c r="N129" s="43">
        <f t="shared" si="43"/>
        <v>2.0369999999999999E-2</v>
      </c>
      <c r="O129" s="30">
        <f t="shared" si="45"/>
        <v>80.849999999999994</v>
      </c>
      <c r="P129" s="31">
        <f t="shared" si="44"/>
        <v>80.8</v>
      </c>
    </row>
    <row r="130" spans="1:16" x14ac:dyDescent="0.25">
      <c r="A130" s="5">
        <v>39447</v>
      </c>
      <c r="B130" s="1">
        <v>49</v>
      </c>
      <c r="C130" s="42">
        <f t="shared" si="36"/>
        <v>-1.3100000000000001E-2</v>
      </c>
      <c r="D130">
        <v>-5.4</v>
      </c>
      <c r="E130" s="18">
        <f t="shared" si="37"/>
        <v>3.03</v>
      </c>
      <c r="F130">
        <v>80.900000000000006</v>
      </c>
      <c r="G130" s="42">
        <f t="shared" si="38"/>
        <v>8.0000000000000004E-4</v>
      </c>
      <c r="H130">
        <v>120.2139</v>
      </c>
      <c r="I130" s="18">
        <f t="shared" si="39"/>
        <v>120.03</v>
      </c>
      <c r="J130" s="38">
        <f t="shared" si="40"/>
        <v>-2.1000000000000019E-2</v>
      </c>
      <c r="K130" s="42">
        <f t="shared" si="41"/>
        <v>-4.0000000000000001E-3</v>
      </c>
      <c r="L130">
        <v>105.3295</v>
      </c>
      <c r="M130" s="42">
        <f t="shared" si="42"/>
        <v>1.2999999999999999E-3</v>
      </c>
      <c r="N130" s="43">
        <f t="shared" si="43"/>
        <v>3.1210000000000002E-2</v>
      </c>
      <c r="O130" s="30">
        <f t="shared" si="45"/>
        <v>79.62</v>
      </c>
      <c r="P130" s="31">
        <f t="shared" si="44"/>
        <v>81.8</v>
      </c>
    </row>
    <row r="131" spans="1:16" x14ac:dyDescent="0.25">
      <c r="A131" s="5">
        <v>39416</v>
      </c>
      <c r="B131" s="1">
        <v>50.5</v>
      </c>
      <c r="C131" s="42">
        <f t="shared" si="36"/>
        <v>-2.5999999999999999E-3</v>
      </c>
      <c r="D131">
        <v>6.7</v>
      </c>
      <c r="E131" s="18">
        <f t="shared" si="37"/>
        <v>7.33</v>
      </c>
      <c r="F131">
        <v>80.5</v>
      </c>
      <c r="G131" s="42">
        <f t="shared" si="38"/>
        <v>-4.0000000000000002E-4</v>
      </c>
      <c r="H131">
        <v>119.71469999999999</v>
      </c>
      <c r="I131" s="18">
        <f t="shared" si="39"/>
        <v>120.51</v>
      </c>
      <c r="J131" s="38">
        <f t="shared" si="40"/>
        <v>-1.9000000000000017E-2</v>
      </c>
      <c r="K131" s="42">
        <f t="shared" si="41"/>
        <v>-6.7000000000000002E-3</v>
      </c>
      <c r="L131">
        <v>104.77200000000001</v>
      </c>
      <c r="M131" s="42">
        <f t="shared" si="42"/>
        <v>2.0000000000000001E-4</v>
      </c>
      <c r="N131" s="43">
        <f t="shared" si="43"/>
        <v>2.487E-2</v>
      </c>
      <c r="O131" s="30">
        <f t="shared" si="45"/>
        <v>81.93</v>
      </c>
      <c r="P131" s="31">
        <f t="shared" si="44"/>
        <v>83.96</v>
      </c>
    </row>
    <row r="132" spans="1:16" x14ac:dyDescent="0.25">
      <c r="A132" s="5">
        <v>39386</v>
      </c>
      <c r="B132" s="1">
        <v>51.1</v>
      </c>
      <c r="C132" s="42">
        <f t="shared" si="36"/>
        <v>-8.3999999999999995E-3</v>
      </c>
      <c r="D132">
        <v>7.8</v>
      </c>
      <c r="E132" s="18">
        <f t="shared" si="37"/>
        <v>4.93</v>
      </c>
      <c r="F132">
        <v>80.900000000000006</v>
      </c>
      <c r="G132" s="42">
        <f t="shared" si="38"/>
        <v>8.0000000000000004E-4</v>
      </c>
      <c r="H132">
        <v>120.1562</v>
      </c>
      <c r="I132" s="18">
        <f t="shared" si="39"/>
        <v>121.32</v>
      </c>
      <c r="J132" s="38">
        <f t="shared" si="40"/>
        <v>-4.8000000000000265E-3</v>
      </c>
      <c r="K132" s="42">
        <f t="shared" si="41"/>
        <v>-9.1999999999999998E-3</v>
      </c>
      <c r="L132">
        <v>105.2764</v>
      </c>
      <c r="M132" s="42">
        <f t="shared" si="42"/>
        <v>1.6000000000000001E-3</v>
      </c>
      <c r="N132" s="43">
        <f t="shared" si="43"/>
        <v>2.9340000000000001E-2</v>
      </c>
      <c r="O132" s="30">
        <f t="shared" si="45"/>
        <v>83.86</v>
      </c>
      <c r="P132" s="31">
        <f t="shared" si="44"/>
        <v>85.99</v>
      </c>
    </row>
    <row r="133" spans="1:16" x14ac:dyDescent="0.25">
      <c r="A133" s="5">
        <v>39355</v>
      </c>
      <c r="B133" s="1">
        <v>51</v>
      </c>
      <c r="C133" s="42">
        <f t="shared" si="36"/>
        <v>-1.03E-2</v>
      </c>
      <c r="D133">
        <v>7.5</v>
      </c>
      <c r="E133" s="18">
        <f t="shared" si="37"/>
        <v>4.5999999999999996</v>
      </c>
      <c r="F133">
        <v>80.7</v>
      </c>
      <c r="G133" s="42">
        <f t="shared" si="38"/>
        <v>-4.0000000000000002E-4</v>
      </c>
      <c r="H133">
        <v>121.66419999999999</v>
      </c>
      <c r="I133" s="18">
        <f t="shared" si="39"/>
        <v>122.45</v>
      </c>
      <c r="J133" s="38">
        <f t="shared" si="40"/>
        <v>1.0199999999999987E-2</v>
      </c>
      <c r="K133" s="42">
        <f t="shared" si="41"/>
        <v>-1.2999999999999999E-3</v>
      </c>
      <c r="L133">
        <v>104.9122</v>
      </c>
      <c r="M133" s="42">
        <f t="shared" si="42"/>
        <v>5.0000000000000001E-4</v>
      </c>
      <c r="N133" s="43">
        <f t="shared" si="43"/>
        <v>2.401E-2</v>
      </c>
      <c r="O133" s="30">
        <f t="shared" si="45"/>
        <v>86.09</v>
      </c>
      <c r="P133" s="31">
        <f t="shared" si="44"/>
        <v>90.06</v>
      </c>
    </row>
    <row r="134" spans="1:16" x14ac:dyDescent="0.25">
      <c r="A134" s="5">
        <v>39325</v>
      </c>
      <c r="B134" s="1">
        <v>50.9</v>
      </c>
      <c r="C134" s="42">
        <f t="shared" ref="C134:C197" si="46">ROUND((AVERAGE(B134:B136)-AVERAGE(B135:B137))/AVERAGE(B135:B137),4)</f>
        <v>-1.0200000000000001E-2</v>
      </c>
      <c r="D134">
        <v>-0.5</v>
      </c>
      <c r="E134" s="18">
        <f t="shared" ref="E134:E197" si="47">ROUND(AVERAGE(D134:D136),2)</f>
        <v>7.87</v>
      </c>
      <c r="F134">
        <v>80.599999999999994</v>
      </c>
      <c r="G134" s="42">
        <f t="shared" ref="G134:G197" si="48">ROUND((AVERAGE(F134:F136)-AVERAGE(F135:F137))/AVERAGE(F135:F137),4)</f>
        <v>-1.6000000000000001E-3</v>
      </c>
      <c r="H134">
        <v>122.1514</v>
      </c>
      <c r="I134" s="18">
        <f t="shared" ref="I134:I197" si="49">ROUND(AVERAGE(H134:H136),2)</f>
        <v>122.61</v>
      </c>
      <c r="J134" s="38">
        <f t="shared" ref="J134:J197" si="50">ROUND(I134/I138,4)-1</f>
        <v>2.3700000000000054E-2</v>
      </c>
      <c r="K134" s="42">
        <f t="shared" ref="K134:K197" si="51">ROUND((I134-I135)/I135,4)</f>
        <v>-2E-3</v>
      </c>
      <c r="L134">
        <v>104.7111</v>
      </c>
      <c r="M134" s="42">
        <f t="shared" ref="M134:M197" si="52">ROUND((AVERAGE(L134:L136)-AVERAGE(L135:L137))/AVERAGE(L135:L137),4)</f>
        <v>0</v>
      </c>
      <c r="N134" s="43">
        <f t="shared" ref="N134:N197" si="53">ROUND((L134-L146)/L146,5)</f>
        <v>2.5579999999999999E-2</v>
      </c>
      <c r="O134" s="30">
        <f t="shared" si="45"/>
        <v>88.03</v>
      </c>
      <c r="P134" s="31">
        <f t="shared" ref="P134:P197" si="54">IF(ROUND(AVERAGE(O134:O136),2)&lt;0,0,ROUND(AVERAGE(O134:O136),2))</f>
        <v>94.37</v>
      </c>
    </row>
    <row r="135" spans="1:16" x14ac:dyDescent="0.25">
      <c r="A135" s="5">
        <v>39294</v>
      </c>
      <c r="B135" s="1">
        <v>52.4</v>
      </c>
      <c r="C135" s="42">
        <f t="shared" si="46"/>
        <v>-1.2999999999999999E-3</v>
      </c>
      <c r="D135">
        <v>6.8</v>
      </c>
      <c r="E135" s="18">
        <f t="shared" si="47"/>
        <v>9.27</v>
      </c>
      <c r="F135">
        <v>80.7</v>
      </c>
      <c r="G135" s="42">
        <f t="shared" si="48"/>
        <v>8.0000000000000004E-4</v>
      </c>
      <c r="H135">
        <v>123.5475</v>
      </c>
      <c r="I135" s="18">
        <f t="shared" si="49"/>
        <v>122.85</v>
      </c>
      <c r="J135" s="38">
        <f t="shared" si="50"/>
        <v>2.2999999999999909E-2</v>
      </c>
      <c r="K135" s="42">
        <f t="shared" si="51"/>
        <v>7.7999999999999996E-3</v>
      </c>
      <c r="L135">
        <v>104.7581</v>
      </c>
      <c r="M135" s="42">
        <f t="shared" si="52"/>
        <v>2.5999999999999999E-3</v>
      </c>
      <c r="N135" s="43">
        <f t="shared" si="53"/>
        <v>2.5729999999999999E-2</v>
      </c>
      <c r="O135" s="30">
        <f t="shared" si="45"/>
        <v>96.07</v>
      </c>
      <c r="P135" s="31">
        <f t="shared" si="54"/>
        <v>97.96</v>
      </c>
    </row>
    <row r="136" spans="1:16" x14ac:dyDescent="0.25">
      <c r="A136" s="5">
        <v>39263</v>
      </c>
      <c r="B136" s="1">
        <v>52.6</v>
      </c>
      <c r="C136" s="42">
        <f t="shared" si="46"/>
        <v>1.2200000000000001E-2</v>
      </c>
      <c r="D136">
        <v>17.3</v>
      </c>
      <c r="E136" s="18">
        <f t="shared" si="47"/>
        <v>7.97</v>
      </c>
      <c r="F136">
        <v>80.8</v>
      </c>
      <c r="G136" s="42">
        <f t="shared" si="48"/>
        <v>8.0000000000000004E-4</v>
      </c>
      <c r="H136">
        <v>122.1386</v>
      </c>
      <c r="I136" s="18">
        <f t="shared" si="49"/>
        <v>121.9</v>
      </c>
      <c r="J136" s="38">
        <f t="shared" si="50"/>
        <v>1.8299999999999983E-2</v>
      </c>
      <c r="K136" s="42">
        <f t="shared" si="51"/>
        <v>5.7000000000000002E-3</v>
      </c>
      <c r="L136">
        <v>104.75069999999999</v>
      </c>
      <c r="M136" s="42">
        <f t="shared" si="52"/>
        <v>3.2000000000000002E-3</v>
      </c>
      <c r="N136" s="43">
        <f t="shared" si="53"/>
        <v>2.9399999999999999E-2</v>
      </c>
      <c r="O136" s="30">
        <f t="shared" si="45"/>
        <v>99.01</v>
      </c>
      <c r="P136" s="31">
        <f t="shared" si="54"/>
        <v>97.52</v>
      </c>
    </row>
    <row r="137" spans="1:16" x14ac:dyDescent="0.25">
      <c r="A137" s="5">
        <v>39233</v>
      </c>
      <c r="B137" s="1">
        <v>52.5</v>
      </c>
      <c r="C137" s="42">
        <f t="shared" si="46"/>
        <v>3.8999999999999998E-3</v>
      </c>
      <c r="D137">
        <v>3.7</v>
      </c>
      <c r="E137" s="18">
        <f t="shared" si="47"/>
        <v>3.13</v>
      </c>
      <c r="F137">
        <v>81</v>
      </c>
      <c r="G137" s="42">
        <f t="shared" si="48"/>
        <v>4.5999999999999999E-3</v>
      </c>
      <c r="H137">
        <v>122.8593</v>
      </c>
      <c r="I137" s="18">
        <f t="shared" si="49"/>
        <v>121.21</v>
      </c>
      <c r="J137" s="38">
        <f t="shared" si="50"/>
        <v>1.330000000000009E-2</v>
      </c>
      <c r="K137" s="42">
        <f t="shared" si="51"/>
        <v>1.2E-2</v>
      </c>
      <c r="L137">
        <v>104.7077</v>
      </c>
      <c r="M137" s="42">
        <f t="shared" si="52"/>
        <v>6.4000000000000003E-3</v>
      </c>
      <c r="N137" s="43">
        <f t="shared" si="53"/>
        <v>2.7539999999999999E-2</v>
      </c>
      <c r="O137" s="30">
        <f t="shared" ref="O137:O200" si="55">ROUND(((B137*2.25)+(F137/1.5)+(G137*500)+(N137*400)+(M137*500)+(J137*300)+(C137*500)+(K137*600)+(E137*0.25))/2.05,2)</f>
        <v>98.81</v>
      </c>
      <c r="P137" s="31">
        <f t="shared" si="54"/>
        <v>94.24</v>
      </c>
    </row>
    <row r="138" spans="1:16" x14ac:dyDescent="0.25">
      <c r="A138" s="5">
        <v>39202</v>
      </c>
      <c r="B138" s="1">
        <v>52.6</v>
      </c>
      <c r="C138" s="42">
        <f t="shared" si="46"/>
        <v>2.0400000000000001E-2</v>
      </c>
      <c r="D138">
        <v>2.9</v>
      </c>
      <c r="E138" s="18">
        <f t="shared" si="47"/>
        <v>3.07</v>
      </c>
      <c r="F138">
        <v>80.5</v>
      </c>
      <c r="G138" s="42">
        <f t="shared" si="48"/>
        <v>0</v>
      </c>
      <c r="H138">
        <v>120.709</v>
      </c>
      <c r="I138" s="18">
        <f t="shared" si="49"/>
        <v>119.77</v>
      </c>
      <c r="J138" s="38">
        <f t="shared" si="50"/>
        <v>6.1999999999999833E-3</v>
      </c>
      <c r="K138" s="42">
        <f t="shared" si="51"/>
        <v>-2.7000000000000001E-3</v>
      </c>
      <c r="L138">
        <v>103.9538</v>
      </c>
      <c r="M138" s="42">
        <f t="shared" si="52"/>
        <v>2.3999999999999998E-3</v>
      </c>
      <c r="N138" s="43">
        <f t="shared" si="53"/>
        <v>2.453E-2</v>
      </c>
      <c r="O138" s="30">
        <f t="shared" si="55"/>
        <v>94.75</v>
      </c>
      <c r="P138" s="31">
        <f t="shared" si="54"/>
        <v>90.83</v>
      </c>
    </row>
    <row r="139" spans="1:16" x14ac:dyDescent="0.25">
      <c r="A139" s="5">
        <v>39172</v>
      </c>
      <c r="B139" s="1">
        <v>50.7</v>
      </c>
      <c r="C139" s="42">
        <f t="shared" si="46"/>
        <v>-4.5999999999999999E-3</v>
      </c>
      <c r="D139">
        <v>2.8</v>
      </c>
      <c r="E139" s="18">
        <f t="shared" si="47"/>
        <v>4.5999999999999996</v>
      </c>
      <c r="F139">
        <v>80.599999999999994</v>
      </c>
      <c r="G139" s="42">
        <f t="shared" si="48"/>
        <v>3.3E-3</v>
      </c>
      <c r="H139">
        <v>120.0577</v>
      </c>
      <c r="I139" s="18">
        <f t="shared" si="49"/>
        <v>120.09</v>
      </c>
      <c r="J139" s="38">
        <f t="shared" si="50"/>
        <v>1.9999999999997797E-4</v>
      </c>
      <c r="K139" s="42">
        <f t="shared" si="51"/>
        <v>3.2000000000000002E-3</v>
      </c>
      <c r="L139">
        <v>103.7659</v>
      </c>
      <c r="M139" s="42">
        <f t="shared" si="52"/>
        <v>5.3E-3</v>
      </c>
      <c r="N139" s="43">
        <f t="shared" si="53"/>
        <v>2.4590000000000001E-2</v>
      </c>
      <c r="O139" s="30">
        <f t="shared" si="55"/>
        <v>89.16</v>
      </c>
      <c r="P139" s="31">
        <f t="shared" si="54"/>
        <v>86.71</v>
      </c>
    </row>
    <row r="140" spans="1:16" x14ac:dyDescent="0.25">
      <c r="A140" s="5">
        <v>39141</v>
      </c>
      <c r="B140" s="1">
        <v>51.9</v>
      </c>
      <c r="C140" s="42">
        <f t="shared" si="46"/>
        <v>1.06E-2</v>
      </c>
      <c r="D140">
        <v>3.5</v>
      </c>
      <c r="E140" s="18">
        <f t="shared" si="47"/>
        <v>3.07</v>
      </c>
      <c r="F140">
        <v>79.900000000000006</v>
      </c>
      <c r="G140" s="42">
        <f t="shared" si="48"/>
        <v>-8.0000000000000004E-4</v>
      </c>
      <c r="H140">
        <v>118.5378</v>
      </c>
      <c r="I140" s="18">
        <f t="shared" si="49"/>
        <v>119.71</v>
      </c>
      <c r="J140" s="38">
        <f t="shared" si="50"/>
        <v>-4.0999999999999925E-3</v>
      </c>
      <c r="K140" s="42">
        <f t="shared" si="51"/>
        <v>8.0000000000000004E-4</v>
      </c>
      <c r="L140">
        <v>102.7129</v>
      </c>
      <c r="M140" s="42">
        <f t="shared" si="52"/>
        <v>1.6000000000000001E-3</v>
      </c>
      <c r="N140" s="43">
        <f t="shared" si="53"/>
        <v>1.464E-2</v>
      </c>
      <c r="O140" s="30">
        <f t="shared" si="55"/>
        <v>88.59</v>
      </c>
      <c r="P140" s="31">
        <f t="shared" si="54"/>
        <v>83.03</v>
      </c>
    </row>
    <row r="141" spans="1:16" x14ac:dyDescent="0.25">
      <c r="A141" s="5">
        <v>39113</v>
      </c>
      <c r="B141" s="1">
        <v>49.5</v>
      </c>
      <c r="C141" s="42">
        <f t="shared" si="46"/>
        <v>-1.24E-2</v>
      </c>
      <c r="D141">
        <v>7.5</v>
      </c>
      <c r="E141" s="18">
        <f t="shared" si="47"/>
        <v>3.4</v>
      </c>
      <c r="F141">
        <v>80.5</v>
      </c>
      <c r="G141" s="42">
        <f t="shared" si="48"/>
        <v>8.0000000000000004E-4</v>
      </c>
      <c r="H141">
        <v>121.67440000000001</v>
      </c>
      <c r="I141" s="18">
        <f t="shared" si="49"/>
        <v>119.62</v>
      </c>
      <c r="J141" s="38">
        <f t="shared" si="50"/>
        <v>-1.3599999999999945E-2</v>
      </c>
      <c r="K141" s="42">
        <f t="shared" si="51"/>
        <v>5.0000000000000001E-3</v>
      </c>
      <c r="L141">
        <v>103.2191</v>
      </c>
      <c r="M141" s="42">
        <f t="shared" si="52"/>
        <v>3.0999999999999999E-3</v>
      </c>
      <c r="N141" s="43">
        <f t="shared" si="53"/>
        <v>2.0840000000000001E-2</v>
      </c>
      <c r="O141" s="30">
        <f t="shared" si="55"/>
        <v>82.39</v>
      </c>
      <c r="P141" s="31">
        <f t="shared" si="54"/>
        <v>79.430000000000007</v>
      </c>
    </row>
    <row r="142" spans="1:16" x14ac:dyDescent="0.25">
      <c r="A142" s="5">
        <v>39082</v>
      </c>
      <c r="B142" s="1">
        <v>51.4</v>
      </c>
      <c r="C142" s="42">
        <f t="shared" si="46"/>
        <v>-5.1999999999999998E-3</v>
      </c>
      <c r="D142">
        <v>-1.8</v>
      </c>
      <c r="E142" s="18">
        <f t="shared" si="47"/>
        <v>1.67</v>
      </c>
      <c r="F142">
        <v>79.8</v>
      </c>
      <c r="G142" s="42">
        <f t="shared" si="48"/>
        <v>-3.3E-3</v>
      </c>
      <c r="H142">
        <v>118.9241</v>
      </c>
      <c r="I142" s="18">
        <f t="shared" si="49"/>
        <v>119.03</v>
      </c>
      <c r="J142" s="38">
        <f t="shared" si="50"/>
        <v>-1.8900000000000028E-2</v>
      </c>
      <c r="K142" s="42">
        <f t="shared" si="51"/>
        <v>-8.6999999999999994E-3</v>
      </c>
      <c r="L142">
        <v>102.14190000000001</v>
      </c>
      <c r="M142" s="42">
        <f t="shared" si="52"/>
        <v>-1E-3</v>
      </c>
      <c r="N142" s="43">
        <f t="shared" si="53"/>
        <v>1.6209999999999999E-2</v>
      </c>
      <c r="O142" s="30">
        <f t="shared" si="55"/>
        <v>78.099999999999994</v>
      </c>
      <c r="P142" s="31">
        <f t="shared" si="54"/>
        <v>79.52</v>
      </c>
    </row>
    <row r="143" spans="1:16" x14ac:dyDescent="0.25">
      <c r="A143" s="5">
        <v>39051</v>
      </c>
      <c r="B143" s="1">
        <v>50.3</v>
      </c>
      <c r="C143" s="42">
        <f t="shared" si="46"/>
        <v>-2.1600000000000001E-2</v>
      </c>
      <c r="D143">
        <v>4.5</v>
      </c>
      <c r="E143" s="18">
        <f t="shared" si="47"/>
        <v>2</v>
      </c>
      <c r="F143">
        <v>80.099999999999994</v>
      </c>
      <c r="G143" s="42">
        <f t="shared" si="48"/>
        <v>-1.1999999999999999E-3</v>
      </c>
      <c r="H143">
        <v>118.27</v>
      </c>
      <c r="I143" s="18">
        <f t="shared" si="49"/>
        <v>120.07</v>
      </c>
      <c r="J143" s="38">
        <f t="shared" si="50"/>
        <v>-2.2499999999999964E-2</v>
      </c>
      <c r="K143" s="42">
        <f t="shared" si="51"/>
        <v>-1.1000000000000001E-3</v>
      </c>
      <c r="L143">
        <v>102.2299</v>
      </c>
      <c r="M143" s="42">
        <f t="shared" si="52"/>
        <v>4.0000000000000002E-4</v>
      </c>
      <c r="N143" s="43">
        <f t="shared" si="53"/>
        <v>2.7490000000000001E-2</v>
      </c>
      <c r="O143" s="30">
        <f t="shared" si="55"/>
        <v>77.790000000000006</v>
      </c>
      <c r="P143" s="31">
        <f t="shared" si="54"/>
        <v>82.74</v>
      </c>
    </row>
    <row r="144" spans="1:16" x14ac:dyDescent="0.25">
      <c r="A144" s="5">
        <v>39021</v>
      </c>
      <c r="B144" s="1">
        <v>51.4</v>
      </c>
      <c r="C144" s="42">
        <f t="shared" si="46"/>
        <v>-1.01E-2</v>
      </c>
      <c r="D144">
        <v>2.2999999999999998</v>
      </c>
      <c r="E144" s="18">
        <f t="shared" si="47"/>
        <v>4.67</v>
      </c>
      <c r="F144">
        <v>80.3</v>
      </c>
      <c r="G144" s="42">
        <f t="shared" si="48"/>
        <v>-1.1999999999999999E-3</v>
      </c>
      <c r="H144">
        <v>119.8951</v>
      </c>
      <c r="I144" s="18">
        <f t="shared" si="49"/>
        <v>120.2</v>
      </c>
      <c r="J144" s="38">
        <f t="shared" si="50"/>
        <v>-2.1800000000000042E-2</v>
      </c>
      <c r="K144" s="42">
        <f t="shared" si="51"/>
        <v>-8.8000000000000005E-3</v>
      </c>
      <c r="L144">
        <v>102.2753</v>
      </c>
      <c r="M144" s="42">
        <f t="shared" si="52"/>
        <v>5.0000000000000001E-4</v>
      </c>
      <c r="N144" s="43">
        <f t="shared" si="53"/>
        <v>4.0820000000000002E-2</v>
      </c>
      <c r="O144" s="30">
        <f t="shared" si="55"/>
        <v>82.66</v>
      </c>
      <c r="P144" s="31">
        <f t="shared" si="54"/>
        <v>84.96</v>
      </c>
    </row>
    <row r="145" spans="1:16" x14ac:dyDescent="0.25">
      <c r="A145" s="5">
        <v>38990</v>
      </c>
      <c r="B145" s="1">
        <v>52.2</v>
      </c>
      <c r="C145" s="42">
        <f t="shared" si="46"/>
        <v>1.2999999999999999E-3</v>
      </c>
      <c r="D145">
        <v>-0.8</v>
      </c>
      <c r="E145" s="18">
        <f t="shared" si="47"/>
        <v>5.23</v>
      </c>
      <c r="F145">
        <v>80.599999999999994</v>
      </c>
      <c r="G145" s="42">
        <f t="shared" si="48"/>
        <v>8.0000000000000004E-4</v>
      </c>
      <c r="H145">
        <v>122.0442</v>
      </c>
      <c r="I145" s="18">
        <f t="shared" si="49"/>
        <v>121.27</v>
      </c>
      <c r="J145" s="38">
        <f t="shared" si="50"/>
        <v>-1.3000000000000012E-2</v>
      </c>
      <c r="K145" s="42">
        <f t="shared" si="51"/>
        <v>-4.0000000000000002E-4</v>
      </c>
      <c r="L145">
        <v>102.4526</v>
      </c>
      <c r="M145" s="42">
        <f t="shared" si="52"/>
        <v>2.3E-3</v>
      </c>
      <c r="N145" s="43">
        <f t="shared" si="53"/>
        <v>2.3480000000000001E-2</v>
      </c>
      <c r="O145" s="30">
        <f t="shared" si="55"/>
        <v>87.78</v>
      </c>
      <c r="P145" s="31">
        <f t="shared" si="54"/>
        <v>86.12</v>
      </c>
    </row>
    <row r="146" spans="1:16" x14ac:dyDescent="0.25">
      <c r="A146" s="5">
        <v>38960</v>
      </c>
      <c r="B146" s="1">
        <v>53.7</v>
      </c>
      <c r="C146" s="42">
        <f t="shared" si="46"/>
        <v>0</v>
      </c>
      <c r="D146">
        <v>12.5</v>
      </c>
      <c r="E146" s="18">
        <f t="shared" si="47"/>
        <v>9.4</v>
      </c>
      <c r="F146">
        <v>80.400000000000006</v>
      </c>
      <c r="G146" s="42">
        <f t="shared" si="48"/>
        <v>-1.1999999999999999E-3</v>
      </c>
      <c r="H146">
        <v>118.6596</v>
      </c>
      <c r="I146" s="18">
        <f t="shared" si="49"/>
        <v>121.32</v>
      </c>
      <c r="J146" s="38">
        <f t="shared" si="50"/>
        <v>-1.6000000000000014E-2</v>
      </c>
      <c r="K146" s="42">
        <f t="shared" si="51"/>
        <v>-1.23E-2</v>
      </c>
      <c r="L146">
        <v>102.0989</v>
      </c>
      <c r="M146" s="42">
        <f t="shared" si="52"/>
        <v>5.9999999999999995E-4</v>
      </c>
      <c r="N146" s="43">
        <f t="shared" si="53"/>
        <v>2.2009999999999998E-2</v>
      </c>
      <c r="O146" s="30">
        <f t="shared" si="55"/>
        <v>84.44</v>
      </c>
      <c r="P146" s="31">
        <f t="shared" si="54"/>
        <v>85.02</v>
      </c>
    </row>
    <row r="147" spans="1:16" x14ac:dyDescent="0.25">
      <c r="A147" s="5">
        <v>38929</v>
      </c>
      <c r="B147" s="1">
        <v>53</v>
      </c>
      <c r="C147" s="42">
        <f t="shared" si="46"/>
        <v>-1.37E-2</v>
      </c>
      <c r="D147">
        <v>4</v>
      </c>
      <c r="E147" s="18">
        <f t="shared" si="47"/>
        <v>9.8000000000000007</v>
      </c>
      <c r="F147">
        <v>80.599999999999994</v>
      </c>
      <c r="G147" s="42">
        <f t="shared" si="48"/>
        <v>8.0000000000000004E-4</v>
      </c>
      <c r="H147">
        <v>123.0943</v>
      </c>
      <c r="I147" s="18">
        <f t="shared" si="49"/>
        <v>122.83</v>
      </c>
      <c r="J147" s="38">
        <f t="shared" si="50"/>
        <v>-2.8000000000000247E-3</v>
      </c>
      <c r="K147" s="42">
        <f t="shared" si="51"/>
        <v>-4.0000000000000002E-4</v>
      </c>
      <c r="L147">
        <v>102.13039999999999</v>
      </c>
      <c r="M147" s="42">
        <f t="shared" si="52"/>
        <v>2.2000000000000001E-3</v>
      </c>
      <c r="N147" s="43">
        <f t="shared" si="53"/>
        <v>1.9029999999999998E-2</v>
      </c>
      <c r="O147" s="30">
        <f t="shared" si="55"/>
        <v>86.15</v>
      </c>
      <c r="P147" s="31">
        <f t="shared" si="54"/>
        <v>85.63</v>
      </c>
    </row>
    <row r="148" spans="1:16" x14ac:dyDescent="0.25">
      <c r="A148" s="5">
        <v>38898</v>
      </c>
      <c r="B148" s="1">
        <v>52</v>
      </c>
      <c r="C148" s="42">
        <f t="shared" si="46"/>
        <v>-1.41E-2</v>
      </c>
      <c r="D148">
        <v>11.7</v>
      </c>
      <c r="E148" s="18">
        <f t="shared" si="47"/>
        <v>13.2</v>
      </c>
      <c r="F148">
        <v>80.400000000000006</v>
      </c>
      <c r="G148" s="42">
        <f t="shared" si="48"/>
        <v>0</v>
      </c>
      <c r="H148">
        <v>122.2195</v>
      </c>
      <c r="I148" s="18">
        <f t="shared" si="49"/>
        <v>122.88</v>
      </c>
      <c r="J148" s="38">
        <f t="shared" si="50"/>
        <v>-7.7000000000000401E-3</v>
      </c>
      <c r="K148" s="42">
        <f t="shared" si="51"/>
        <v>1E-4</v>
      </c>
      <c r="L148">
        <v>101.7589</v>
      </c>
      <c r="M148" s="42">
        <f t="shared" si="52"/>
        <v>1.6000000000000001E-3</v>
      </c>
      <c r="N148" s="43">
        <f t="shared" si="53"/>
        <v>1.9470000000000001E-2</v>
      </c>
      <c r="O148" s="30">
        <f t="shared" si="55"/>
        <v>84.48</v>
      </c>
      <c r="P148" s="31">
        <f t="shared" si="54"/>
        <v>87.3</v>
      </c>
    </row>
    <row r="149" spans="1:16" x14ac:dyDescent="0.25">
      <c r="A149" s="5">
        <v>38868</v>
      </c>
      <c r="B149" s="1">
        <v>53.7</v>
      </c>
      <c r="C149" s="42">
        <f t="shared" si="46"/>
        <v>-1.2699999999999999E-2</v>
      </c>
      <c r="D149">
        <v>13.7</v>
      </c>
      <c r="E149" s="18">
        <f t="shared" si="47"/>
        <v>14.2</v>
      </c>
      <c r="F149">
        <v>80.7</v>
      </c>
      <c r="G149" s="42">
        <f t="shared" si="48"/>
        <v>8.0000000000000004E-4</v>
      </c>
      <c r="H149">
        <v>123.16419999999999</v>
      </c>
      <c r="I149" s="18">
        <f t="shared" si="49"/>
        <v>122.87</v>
      </c>
      <c r="J149" s="38">
        <f t="shared" si="50"/>
        <v>-1.1700000000000044E-2</v>
      </c>
      <c r="K149" s="42">
        <f t="shared" si="51"/>
        <v>-3.3999999999999998E-3</v>
      </c>
      <c r="L149">
        <v>101.9012</v>
      </c>
      <c r="M149" s="42">
        <f t="shared" si="52"/>
        <v>2.2000000000000001E-3</v>
      </c>
      <c r="N149" s="43">
        <f t="shared" si="53"/>
        <v>2.257E-2</v>
      </c>
      <c r="O149" s="30">
        <f t="shared" si="55"/>
        <v>86.25</v>
      </c>
      <c r="P149" s="31">
        <f t="shared" si="54"/>
        <v>88.22</v>
      </c>
    </row>
    <row r="150" spans="1:16" x14ac:dyDescent="0.25">
      <c r="A150" s="5">
        <v>38837</v>
      </c>
      <c r="B150" s="1">
        <v>55.2</v>
      </c>
      <c r="C150" s="42">
        <f t="shared" si="46"/>
        <v>1.1999999999999999E-3</v>
      </c>
      <c r="D150">
        <v>14.2</v>
      </c>
      <c r="E150" s="18">
        <f t="shared" si="47"/>
        <v>14.73</v>
      </c>
      <c r="F150">
        <v>80.400000000000006</v>
      </c>
      <c r="G150" s="42">
        <f t="shared" si="48"/>
        <v>-4.0000000000000002E-4</v>
      </c>
      <c r="H150">
        <v>123.2426</v>
      </c>
      <c r="I150" s="18">
        <f t="shared" si="49"/>
        <v>123.29</v>
      </c>
      <c r="J150" s="38">
        <f t="shared" si="50"/>
        <v>-1.319999999999999E-2</v>
      </c>
      <c r="K150" s="42">
        <f t="shared" si="51"/>
        <v>8.9999999999999998E-4</v>
      </c>
      <c r="L150">
        <v>101.46510000000001</v>
      </c>
      <c r="M150" s="42">
        <f t="shared" si="52"/>
        <v>1.1999999999999999E-3</v>
      </c>
      <c r="N150" s="43">
        <f t="shared" si="53"/>
        <v>1.9560000000000001E-2</v>
      </c>
      <c r="O150" s="30">
        <f t="shared" si="55"/>
        <v>91.16</v>
      </c>
      <c r="P150" s="31">
        <f t="shared" si="54"/>
        <v>91.35</v>
      </c>
    </row>
    <row r="151" spans="1:16" x14ac:dyDescent="0.25">
      <c r="A151" s="5">
        <v>38807</v>
      </c>
      <c r="B151" s="1">
        <v>54.3</v>
      </c>
      <c r="C151" s="42">
        <f t="shared" si="46"/>
        <v>-4.7999999999999996E-3</v>
      </c>
      <c r="D151">
        <v>14.7</v>
      </c>
      <c r="E151" s="18">
        <f t="shared" si="47"/>
        <v>11.8</v>
      </c>
      <c r="F151">
        <v>80.400000000000006</v>
      </c>
      <c r="G151" s="42">
        <f t="shared" si="48"/>
        <v>1.1999999999999999E-3</v>
      </c>
      <c r="H151">
        <v>122.2128</v>
      </c>
      <c r="I151" s="18">
        <f t="shared" si="49"/>
        <v>123.18</v>
      </c>
      <c r="J151" s="38">
        <f t="shared" si="50"/>
        <v>-8.700000000000041E-3</v>
      </c>
      <c r="K151" s="42">
        <f t="shared" si="51"/>
        <v>-5.1999999999999998E-3</v>
      </c>
      <c r="L151">
        <v>101.27549999999999</v>
      </c>
      <c r="M151" s="42">
        <f t="shared" si="52"/>
        <v>2.5000000000000001E-3</v>
      </c>
      <c r="N151" s="43">
        <f t="shared" si="53"/>
        <v>1.6070000000000001E-2</v>
      </c>
      <c r="O151" s="30">
        <f t="shared" si="55"/>
        <v>87.26</v>
      </c>
      <c r="P151" s="31">
        <f t="shared" si="54"/>
        <v>93.31</v>
      </c>
    </row>
    <row r="152" spans="1:16" x14ac:dyDescent="0.25">
      <c r="A152" s="5">
        <v>38776</v>
      </c>
      <c r="B152" s="1">
        <v>55.8</v>
      </c>
      <c r="C152" s="42">
        <f t="shared" si="46"/>
        <v>-5.4000000000000003E-3</v>
      </c>
      <c r="D152">
        <v>15.3</v>
      </c>
      <c r="E152" s="18">
        <f t="shared" si="47"/>
        <v>11.2</v>
      </c>
      <c r="F152">
        <v>80.5</v>
      </c>
      <c r="G152" s="42">
        <f t="shared" si="48"/>
        <v>4.5999999999999999E-3</v>
      </c>
      <c r="H152">
        <v>124.4127</v>
      </c>
      <c r="I152" s="18">
        <f t="shared" si="49"/>
        <v>123.83</v>
      </c>
      <c r="J152" s="38">
        <f t="shared" si="50"/>
        <v>1.6299999999999981E-2</v>
      </c>
      <c r="K152" s="42">
        <f t="shared" si="51"/>
        <v>-4.0000000000000001E-3</v>
      </c>
      <c r="L152">
        <v>101.2313</v>
      </c>
      <c r="M152" s="42">
        <f t="shared" si="52"/>
        <v>5.7999999999999996E-3</v>
      </c>
      <c r="N152" s="43">
        <f t="shared" si="53"/>
        <v>2.2519999999999998E-2</v>
      </c>
      <c r="O152" s="30">
        <f t="shared" si="55"/>
        <v>95.62</v>
      </c>
      <c r="P152" s="31">
        <f t="shared" si="54"/>
        <v>97.06</v>
      </c>
    </row>
    <row r="153" spans="1:16" x14ac:dyDescent="0.25">
      <c r="A153" s="5">
        <v>38748</v>
      </c>
      <c r="B153" s="1">
        <v>55</v>
      </c>
      <c r="C153" s="42">
        <f t="shared" si="46"/>
        <v>-1.2999999999999999E-2</v>
      </c>
      <c r="D153">
        <v>5.4</v>
      </c>
      <c r="E153" s="18">
        <f t="shared" si="47"/>
        <v>9.5299999999999994</v>
      </c>
      <c r="F153">
        <v>80.5</v>
      </c>
      <c r="G153" s="42">
        <f t="shared" si="48"/>
        <v>8.3999999999999995E-3</v>
      </c>
      <c r="H153">
        <v>122.9029</v>
      </c>
      <c r="I153" s="18">
        <f t="shared" si="49"/>
        <v>124.33</v>
      </c>
      <c r="J153" s="38">
        <f t="shared" si="50"/>
        <v>3.0799999999999939E-2</v>
      </c>
      <c r="K153" s="42">
        <f t="shared" si="51"/>
        <v>-4.8999999999999998E-3</v>
      </c>
      <c r="L153">
        <v>101.1118</v>
      </c>
      <c r="M153" s="42">
        <f t="shared" si="52"/>
        <v>9.4999999999999998E-3</v>
      </c>
      <c r="N153" s="43">
        <f t="shared" si="53"/>
        <v>2.5999999999999999E-2</v>
      </c>
      <c r="O153" s="30">
        <f t="shared" si="55"/>
        <v>97.05</v>
      </c>
      <c r="P153" s="31">
        <f t="shared" si="54"/>
        <v>101.25</v>
      </c>
    </row>
    <row r="154" spans="1:16" x14ac:dyDescent="0.25">
      <c r="A154" s="5">
        <v>38717</v>
      </c>
      <c r="B154" s="1">
        <v>55.1</v>
      </c>
      <c r="C154" s="42">
        <f t="shared" si="46"/>
        <v>-0.01</v>
      </c>
      <c r="D154">
        <v>12.9</v>
      </c>
      <c r="E154" s="18">
        <f t="shared" si="47"/>
        <v>9.33</v>
      </c>
      <c r="F154">
        <v>80.099999999999994</v>
      </c>
      <c r="G154" s="42">
        <f t="shared" si="48"/>
        <v>0</v>
      </c>
      <c r="H154">
        <v>124.1806</v>
      </c>
      <c r="I154" s="18">
        <f t="shared" si="49"/>
        <v>124.94</v>
      </c>
      <c r="J154" s="38">
        <f t="shared" si="50"/>
        <v>4.0999999999999925E-2</v>
      </c>
      <c r="K154" s="42">
        <f t="shared" si="51"/>
        <v>5.4999999999999997E-3</v>
      </c>
      <c r="L154">
        <v>100.5129</v>
      </c>
      <c r="M154" s="42">
        <f t="shared" si="52"/>
        <v>1.4E-3</v>
      </c>
      <c r="N154" s="43">
        <f t="shared" si="53"/>
        <v>2.7289999999999998E-2</v>
      </c>
      <c r="O154" s="30">
        <f t="shared" si="55"/>
        <v>98.5</v>
      </c>
      <c r="P154" s="31">
        <f t="shared" si="54"/>
        <v>102.19</v>
      </c>
    </row>
    <row r="155" spans="1:16" x14ac:dyDescent="0.25">
      <c r="A155" s="5">
        <v>38686</v>
      </c>
      <c r="B155" s="1">
        <v>56.7</v>
      </c>
      <c r="C155" s="42">
        <f t="shared" si="46"/>
        <v>2.58E-2</v>
      </c>
      <c r="D155">
        <v>10.3</v>
      </c>
      <c r="E155" s="18">
        <f t="shared" si="47"/>
        <v>7.4</v>
      </c>
      <c r="F155">
        <v>79.400000000000006</v>
      </c>
      <c r="G155" s="42">
        <f t="shared" si="48"/>
        <v>-2.8999999999999998E-3</v>
      </c>
      <c r="H155">
        <v>125.91849999999999</v>
      </c>
      <c r="I155" s="18">
        <f t="shared" si="49"/>
        <v>124.26</v>
      </c>
      <c r="J155" s="38">
        <f t="shared" si="50"/>
        <v>3.0799999999999939E-2</v>
      </c>
      <c r="K155" s="42">
        <f t="shared" si="51"/>
        <v>1.9900000000000001E-2</v>
      </c>
      <c r="L155">
        <v>99.494900000000001</v>
      </c>
      <c r="M155" s="42">
        <f t="shared" si="52"/>
        <v>-1.4E-3</v>
      </c>
      <c r="N155" s="43">
        <f t="shared" si="53"/>
        <v>1.8780000000000002E-2</v>
      </c>
      <c r="O155" s="30">
        <f t="shared" si="55"/>
        <v>108.2</v>
      </c>
      <c r="P155" s="31">
        <f t="shared" si="54"/>
        <v>103.81</v>
      </c>
    </row>
    <row r="156" spans="1:16" x14ac:dyDescent="0.25">
      <c r="A156" s="5">
        <v>38656</v>
      </c>
      <c r="B156" s="1">
        <v>57.2</v>
      </c>
      <c r="C156" s="42">
        <f t="shared" si="46"/>
        <v>2.7199999999999998E-2</v>
      </c>
      <c r="D156">
        <v>4.8</v>
      </c>
      <c r="E156" s="18">
        <f t="shared" si="47"/>
        <v>7.7</v>
      </c>
      <c r="F156">
        <v>78.5</v>
      </c>
      <c r="G156" s="42">
        <f t="shared" si="48"/>
        <v>-7.9000000000000008E-3</v>
      </c>
      <c r="H156">
        <v>124.7287</v>
      </c>
      <c r="I156" s="18">
        <f t="shared" si="49"/>
        <v>121.84</v>
      </c>
      <c r="J156" s="38">
        <f t="shared" si="50"/>
        <v>9.9000000000000199E-3</v>
      </c>
      <c r="K156" s="42">
        <f t="shared" si="51"/>
        <v>1.0200000000000001E-2</v>
      </c>
      <c r="L156">
        <v>98.264399999999995</v>
      </c>
      <c r="M156" s="42">
        <f t="shared" si="52"/>
        <v>-6.4999999999999997E-3</v>
      </c>
      <c r="N156" s="43">
        <f t="shared" si="53"/>
        <v>1.5709999999999998E-2</v>
      </c>
      <c r="O156" s="30">
        <f t="shared" si="55"/>
        <v>99.87</v>
      </c>
      <c r="P156" s="31">
        <f t="shared" si="54"/>
        <v>97.7</v>
      </c>
    </row>
    <row r="157" spans="1:16" x14ac:dyDescent="0.25">
      <c r="A157" s="5">
        <v>38625</v>
      </c>
      <c r="B157" s="1">
        <v>56.8</v>
      </c>
      <c r="C157" s="42">
        <f t="shared" si="46"/>
        <v>2.7900000000000001E-2</v>
      </c>
      <c r="D157">
        <v>7.1</v>
      </c>
      <c r="E157" s="18">
        <f t="shared" si="47"/>
        <v>8.8000000000000007</v>
      </c>
      <c r="F157">
        <v>80.099999999999994</v>
      </c>
      <c r="G157" s="42">
        <f t="shared" si="48"/>
        <v>-4.0000000000000002E-4</v>
      </c>
      <c r="H157">
        <v>122.1345</v>
      </c>
      <c r="I157" s="18">
        <f t="shared" si="49"/>
        <v>120.61</v>
      </c>
      <c r="J157" s="38">
        <f t="shared" si="50"/>
        <v>-9.7000000000000419E-3</v>
      </c>
      <c r="K157" s="42">
        <f t="shared" si="51"/>
        <v>4.8999999999999998E-3</v>
      </c>
      <c r="L157">
        <v>100.10250000000001</v>
      </c>
      <c r="M157" s="42">
        <f t="shared" si="52"/>
        <v>1E-3</v>
      </c>
      <c r="N157" s="43">
        <f t="shared" si="53"/>
        <v>3.5520000000000003E-2</v>
      </c>
      <c r="O157" s="30">
        <f t="shared" si="55"/>
        <v>103.36</v>
      </c>
      <c r="P157" s="31">
        <f t="shared" si="54"/>
        <v>95.44</v>
      </c>
    </row>
    <row r="158" spans="1:16" x14ac:dyDescent="0.25">
      <c r="A158" s="5">
        <v>38595</v>
      </c>
      <c r="B158" s="1">
        <v>52.4</v>
      </c>
      <c r="C158" s="42">
        <f t="shared" si="46"/>
        <v>1.03E-2</v>
      </c>
      <c r="D158">
        <v>11.2</v>
      </c>
      <c r="E158" s="18">
        <f t="shared" si="47"/>
        <v>6</v>
      </c>
      <c r="F158">
        <v>80.099999999999994</v>
      </c>
      <c r="G158" s="42">
        <f t="shared" si="48"/>
        <v>-4.0000000000000002E-4</v>
      </c>
      <c r="H158">
        <v>118.6478</v>
      </c>
      <c r="I158" s="18">
        <f t="shared" si="49"/>
        <v>120.02</v>
      </c>
      <c r="J158" s="38">
        <f t="shared" si="50"/>
        <v>-1.6700000000000048E-2</v>
      </c>
      <c r="K158" s="42">
        <f t="shared" si="51"/>
        <v>-4.4000000000000003E-3</v>
      </c>
      <c r="L158">
        <v>99.899699999999996</v>
      </c>
      <c r="M158" s="42">
        <f t="shared" si="52"/>
        <v>8.0000000000000004E-4</v>
      </c>
      <c r="N158" s="43">
        <f t="shared" si="53"/>
        <v>3.4259999999999999E-2</v>
      </c>
      <c r="O158" s="30">
        <f t="shared" si="55"/>
        <v>89.86</v>
      </c>
      <c r="P158" s="31">
        <f t="shared" si="54"/>
        <v>88.8</v>
      </c>
    </row>
    <row r="159" spans="1:16" x14ac:dyDescent="0.25">
      <c r="A159" s="5">
        <v>38564</v>
      </c>
      <c r="B159" s="1">
        <v>52.8</v>
      </c>
      <c r="C159" s="42">
        <f t="shared" si="46"/>
        <v>3.8999999999999998E-3</v>
      </c>
      <c r="D159">
        <v>8.1</v>
      </c>
      <c r="E159" s="18">
        <f t="shared" si="47"/>
        <v>5.37</v>
      </c>
      <c r="F159">
        <v>80.400000000000006</v>
      </c>
      <c r="G159" s="42">
        <f t="shared" si="48"/>
        <v>8.0000000000000004E-4</v>
      </c>
      <c r="H159">
        <v>121.0583</v>
      </c>
      <c r="I159" s="18">
        <f t="shared" si="49"/>
        <v>120.55</v>
      </c>
      <c r="J159" s="38">
        <f t="shared" si="50"/>
        <v>-1.3900000000000023E-2</v>
      </c>
      <c r="K159" s="42">
        <f t="shared" si="51"/>
        <v>-8.0000000000000004E-4</v>
      </c>
      <c r="L159">
        <v>100.22320000000001</v>
      </c>
      <c r="M159" s="42">
        <f t="shared" si="52"/>
        <v>2.3999999999999998E-3</v>
      </c>
      <c r="N159" s="43">
        <f t="shared" si="53"/>
        <v>4.5530000000000001E-2</v>
      </c>
      <c r="O159" s="30">
        <f t="shared" si="55"/>
        <v>93.1</v>
      </c>
      <c r="P159" s="31">
        <f t="shared" si="54"/>
        <v>87.08</v>
      </c>
    </row>
    <row r="160" spans="1:16" x14ac:dyDescent="0.25">
      <c r="A160" s="5">
        <v>38533</v>
      </c>
      <c r="B160" s="1">
        <v>52.4</v>
      </c>
      <c r="C160" s="42">
        <f t="shared" si="46"/>
        <v>-1.77E-2</v>
      </c>
      <c r="D160">
        <v>-1.3</v>
      </c>
      <c r="E160" s="18">
        <f t="shared" si="47"/>
        <v>11.1</v>
      </c>
      <c r="F160">
        <v>80.2</v>
      </c>
      <c r="G160" s="42">
        <f t="shared" si="48"/>
        <v>-8.0000000000000004E-4</v>
      </c>
      <c r="H160">
        <v>120.3557</v>
      </c>
      <c r="I160" s="18">
        <f t="shared" si="49"/>
        <v>120.65</v>
      </c>
      <c r="J160" s="38">
        <f t="shared" si="50"/>
        <v>-5.1999999999999824E-3</v>
      </c>
      <c r="K160" s="42">
        <f t="shared" si="51"/>
        <v>-9.4000000000000004E-3</v>
      </c>
      <c r="L160">
        <v>99.815799999999996</v>
      </c>
      <c r="M160" s="42">
        <f t="shared" si="52"/>
        <v>5.0000000000000001E-4</v>
      </c>
      <c r="N160" s="43">
        <f t="shared" si="53"/>
        <v>3.279E-2</v>
      </c>
      <c r="O160" s="30">
        <f t="shared" si="55"/>
        <v>83.44</v>
      </c>
      <c r="P160" s="31">
        <f t="shared" si="54"/>
        <v>85.9</v>
      </c>
    </row>
    <row r="161" spans="1:16" x14ac:dyDescent="0.25">
      <c r="A161" s="5">
        <v>38503</v>
      </c>
      <c r="B161" s="1">
        <v>50.8</v>
      </c>
      <c r="C161" s="42">
        <f t="shared" si="46"/>
        <v>-2.8899999999999999E-2</v>
      </c>
      <c r="D161">
        <v>9.3000000000000007</v>
      </c>
      <c r="E161" s="18">
        <f t="shared" si="47"/>
        <v>16.57</v>
      </c>
      <c r="F161">
        <v>80.2</v>
      </c>
      <c r="G161" s="42">
        <f t="shared" si="48"/>
        <v>1.1999999999999999E-3</v>
      </c>
      <c r="H161">
        <v>120.2312</v>
      </c>
      <c r="I161" s="18">
        <f t="shared" si="49"/>
        <v>121.79</v>
      </c>
      <c r="J161" s="38">
        <f t="shared" si="50"/>
        <v>0</v>
      </c>
      <c r="K161" s="42">
        <f t="shared" si="51"/>
        <v>-2.2000000000000001E-3</v>
      </c>
      <c r="L161">
        <v>99.651799999999994</v>
      </c>
      <c r="M161" s="42">
        <f t="shared" si="52"/>
        <v>2.2000000000000001E-3</v>
      </c>
      <c r="N161" s="43">
        <f t="shared" si="53"/>
        <v>3.95E-2</v>
      </c>
      <c r="O161" s="30">
        <f t="shared" si="55"/>
        <v>84.7</v>
      </c>
      <c r="P161" s="31">
        <f t="shared" si="54"/>
        <v>91.45</v>
      </c>
    </row>
    <row r="162" spans="1:16" x14ac:dyDescent="0.25">
      <c r="A162" s="5">
        <v>38472</v>
      </c>
      <c r="B162" s="1">
        <v>52.2</v>
      </c>
      <c r="C162" s="42">
        <f t="shared" si="46"/>
        <v>-2.75E-2</v>
      </c>
      <c r="D162">
        <v>25.3</v>
      </c>
      <c r="E162" s="18">
        <f t="shared" si="47"/>
        <v>20.5</v>
      </c>
      <c r="F162">
        <v>80.2</v>
      </c>
      <c r="G162" s="42">
        <f t="shared" si="48"/>
        <v>2.5000000000000001E-3</v>
      </c>
      <c r="H162">
        <v>121.377</v>
      </c>
      <c r="I162" s="18">
        <f t="shared" si="49"/>
        <v>122.06</v>
      </c>
      <c r="J162" s="38">
        <f t="shared" si="50"/>
        <v>7.7000000000000401E-3</v>
      </c>
      <c r="K162" s="42">
        <f t="shared" si="51"/>
        <v>-1.6000000000000001E-3</v>
      </c>
      <c r="L162">
        <v>99.518100000000004</v>
      </c>
      <c r="M162" s="42">
        <f t="shared" si="52"/>
        <v>3.3E-3</v>
      </c>
      <c r="N162" s="43">
        <f t="shared" si="53"/>
        <v>4.258E-2</v>
      </c>
      <c r="O162" s="30">
        <f t="shared" si="55"/>
        <v>89.55</v>
      </c>
      <c r="P162" s="31">
        <f t="shared" si="54"/>
        <v>95.9</v>
      </c>
    </row>
    <row r="163" spans="1:16" x14ac:dyDescent="0.25">
      <c r="A163" s="5">
        <v>38442</v>
      </c>
      <c r="B163" s="1">
        <v>55.2</v>
      </c>
      <c r="C163" s="42">
        <f t="shared" si="46"/>
        <v>-1.18E-2</v>
      </c>
      <c r="D163">
        <v>15.1</v>
      </c>
      <c r="E163" s="18">
        <f t="shared" si="47"/>
        <v>16.53</v>
      </c>
      <c r="F163">
        <v>80.400000000000006</v>
      </c>
      <c r="G163" s="42">
        <f t="shared" si="48"/>
        <v>5.4000000000000003E-3</v>
      </c>
      <c r="H163">
        <v>123.7706</v>
      </c>
      <c r="I163" s="18">
        <f t="shared" si="49"/>
        <v>122.25</v>
      </c>
      <c r="J163" s="38">
        <f t="shared" si="50"/>
        <v>9.7000000000000419E-3</v>
      </c>
      <c r="K163" s="42">
        <f t="shared" si="51"/>
        <v>8.0000000000000002E-3</v>
      </c>
      <c r="L163">
        <v>99.674099999999996</v>
      </c>
      <c r="M163" s="42">
        <f t="shared" si="52"/>
        <v>6.1999999999999998E-3</v>
      </c>
      <c r="N163" s="43">
        <f t="shared" si="53"/>
        <v>3.9109999999999999E-2</v>
      </c>
      <c r="O163" s="30">
        <f t="shared" si="55"/>
        <v>100.09</v>
      </c>
      <c r="P163" s="31">
        <f t="shared" si="54"/>
        <v>101.1</v>
      </c>
    </row>
    <row r="164" spans="1:16" x14ac:dyDescent="0.25">
      <c r="A164" s="5">
        <v>38411</v>
      </c>
      <c r="B164" s="1">
        <v>55.5</v>
      </c>
      <c r="C164" s="42">
        <f t="shared" si="46"/>
        <v>-4.1000000000000003E-3</v>
      </c>
      <c r="D164">
        <v>21.1</v>
      </c>
      <c r="E164" s="18">
        <f t="shared" si="47"/>
        <v>20</v>
      </c>
      <c r="F164">
        <v>79.900000000000006</v>
      </c>
      <c r="G164" s="42">
        <f t="shared" si="48"/>
        <v>3.8E-3</v>
      </c>
      <c r="H164">
        <v>121.0236</v>
      </c>
      <c r="I164" s="18">
        <f t="shared" si="49"/>
        <v>121.28</v>
      </c>
      <c r="J164" s="38">
        <f t="shared" si="50"/>
        <v>9.7000000000000419E-3</v>
      </c>
      <c r="K164" s="42">
        <f t="shared" si="51"/>
        <v>-4.1999999999999997E-3</v>
      </c>
      <c r="L164">
        <v>99.001999999999995</v>
      </c>
      <c r="M164" s="42">
        <f t="shared" si="52"/>
        <v>4.5999999999999999E-3</v>
      </c>
      <c r="N164" s="43">
        <f t="shared" si="53"/>
        <v>3.8370000000000001E-2</v>
      </c>
      <c r="O164" s="30">
        <f t="shared" si="55"/>
        <v>98.06</v>
      </c>
      <c r="P164" s="31">
        <f t="shared" si="54"/>
        <v>100.93</v>
      </c>
    </row>
    <row r="165" spans="1:16" x14ac:dyDescent="0.25">
      <c r="A165" s="5">
        <v>38383</v>
      </c>
      <c r="B165" s="1">
        <v>56.8</v>
      </c>
      <c r="C165" s="42">
        <f t="shared" si="46"/>
        <v>2.8999999999999998E-3</v>
      </c>
      <c r="D165">
        <v>13.4</v>
      </c>
      <c r="E165" s="18">
        <f t="shared" si="47"/>
        <v>19.37</v>
      </c>
      <c r="F165">
        <v>79.599999999999994</v>
      </c>
      <c r="G165" s="42">
        <f t="shared" si="48"/>
        <v>5.8999999999999999E-3</v>
      </c>
      <c r="H165">
        <v>121.9504</v>
      </c>
      <c r="I165" s="18">
        <f t="shared" si="49"/>
        <v>121.79</v>
      </c>
      <c r="J165" s="38">
        <f t="shared" si="50"/>
        <v>1.6100000000000003E-2</v>
      </c>
      <c r="K165" s="42">
        <f t="shared" si="51"/>
        <v>5.4000000000000003E-3</v>
      </c>
      <c r="L165">
        <v>98.549499999999995</v>
      </c>
      <c r="M165" s="42">
        <f t="shared" si="52"/>
        <v>6.1999999999999998E-3</v>
      </c>
      <c r="N165" s="43">
        <f t="shared" si="53"/>
        <v>3.5680000000000003E-2</v>
      </c>
      <c r="O165" s="30">
        <f t="shared" si="55"/>
        <v>105.15</v>
      </c>
      <c r="P165" s="31">
        <f t="shared" si="54"/>
        <v>100.67</v>
      </c>
    </row>
    <row r="166" spans="1:16" x14ac:dyDescent="0.25">
      <c r="A166" s="5">
        <v>38352</v>
      </c>
      <c r="B166" s="1">
        <v>57.2</v>
      </c>
      <c r="C166" s="42">
        <f t="shared" si="46"/>
        <v>-1.1999999999999999E-3</v>
      </c>
      <c r="D166">
        <v>25.5</v>
      </c>
      <c r="E166" s="18">
        <f t="shared" si="47"/>
        <v>23.87</v>
      </c>
      <c r="F166">
        <v>79.099999999999994</v>
      </c>
      <c r="G166" s="42">
        <f t="shared" si="48"/>
        <v>3.8E-3</v>
      </c>
      <c r="H166">
        <v>120.8686</v>
      </c>
      <c r="I166" s="18">
        <f t="shared" si="49"/>
        <v>121.13</v>
      </c>
      <c r="J166" s="38">
        <f t="shared" si="50"/>
        <v>7.2000000000000952E-3</v>
      </c>
      <c r="K166" s="42">
        <f t="shared" si="51"/>
        <v>4.0000000000000002E-4</v>
      </c>
      <c r="L166">
        <v>97.842699999999994</v>
      </c>
      <c r="M166" s="42">
        <f t="shared" si="52"/>
        <v>4.0000000000000001E-3</v>
      </c>
      <c r="N166" s="43">
        <f t="shared" si="53"/>
        <v>2.7519999999999999E-2</v>
      </c>
      <c r="O166" s="30">
        <f t="shared" si="55"/>
        <v>99.57</v>
      </c>
      <c r="P166" s="31">
        <f t="shared" si="54"/>
        <v>95.41</v>
      </c>
    </row>
    <row r="167" spans="1:16" x14ac:dyDescent="0.25">
      <c r="A167" s="5">
        <v>38321</v>
      </c>
      <c r="B167" s="1">
        <v>56.2</v>
      </c>
      <c r="C167" s="42">
        <f t="shared" si="46"/>
        <v>-1.34E-2</v>
      </c>
      <c r="D167">
        <v>19.2</v>
      </c>
      <c r="E167" s="18">
        <f t="shared" si="47"/>
        <v>21.9</v>
      </c>
      <c r="F167">
        <v>79</v>
      </c>
      <c r="G167" s="42">
        <f t="shared" si="48"/>
        <v>3.8E-3</v>
      </c>
      <c r="H167">
        <v>122.5621</v>
      </c>
      <c r="I167" s="18">
        <f t="shared" si="49"/>
        <v>121.08</v>
      </c>
      <c r="J167" s="38">
        <f t="shared" si="50"/>
        <v>-2.0999999999999908E-3</v>
      </c>
      <c r="K167" s="42">
        <f t="shared" si="51"/>
        <v>8.0000000000000002E-3</v>
      </c>
      <c r="L167">
        <v>97.660399999999996</v>
      </c>
      <c r="M167" s="42">
        <f t="shared" si="52"/>
        <v>3.7000000000000002E-3</v>
      </c>
      <c r="N167" s="43">
        <f t="shared" si="53"/>
        <v>3.4049999999999997E-2</v>
      </c>
      <c r="O167" s="30">
        <f t="shared" si="55"/>
        <v>97.28</v>
      </c>
      <c r="P167" s="31">
        <f t="shared" si="54"/>
        <v>91.76</v>
      </c>
    </row>
    <row r="168" spans="1:16" x14ac:dyDescent="0.25">
      <c r="A168" s="5">
        <v>38291</v>
      </c>
      <c r="B168" s="1">
        <v>56.3</v>
      </c>
      <c r="C168" s="42">
        <f t="shared" si="46"/>
        <v>-2.0500000000000001E-2</v>
      </c>
      <c r="D168">
        <v>26.9</v>
      </c>
      <c r="E168" s="18">
        <f t="shared" si="47"/>
        <v>23.83</v>
      </c>
      <c r="F168">
        <v>78.2</v>
      </c>
      <c r="G168" s="42">
        <f t="shared" si="48"/>
        <v>3.0000000000000001E-3</v>
      </c>
      <c r="H168">
        <v>119.9498</v>
      </c>
      <c r="I168" s="18">
        <f t="shared" si="49"/>
        <v>120.12</v>
      </c>
      <c r="J168" s="38">
        <f t="shared" si="50"/>
        <v>-1.9700000000000051E-2</v>
      </c>
      <c r="K168" s="42">
        <f t="shared" si="51"/>
        <v>2.2000000000000001E-3</v>
      </c>
      <c r="L168">
        <v>96.745000000000005</v>
      </c>
      <c r="M168" s="42">
        <f t="shared" si="52"/>
        <v>3.0999999999999999E-3</v>
      </c>
      <c r="N168" s="43">
        <f t="shared" si="53"/>
        <v>2.564E-2</v>
      </c>
      <c r="O168" s="30">
        <f t="shared" si="55"/>
        <v>89.38</v>
      </c>
      <c r="P168" s="31">
        <f t="shared" si="54"/>
        <v>89.23</v>
      </c>
    </row>
    <row r="169" spans="1:16" x14ac:dyDescent="0.25">
      <c r="A169" s="5">
        <v>38260</v>
      </c>
      <c r="B169" s="1">
        <v>57.4</v>
      </c>
      <c r="C169" s="42">
        <f t="shared" si="46"/>
        <v>-1.7299999999999999E-2</v>
      </c>
      <c r="D169">
        <v>19.600000000000001</v>
      </c>
      <c r="E169" s="18">
        <f t="shared" si="47"/>
        <v>26.43</v>
      </c>
      <c r="F169">
        <v>78.2</v>
      </c>
      <c r="G169" s="42">
        <f t="shared" si="48"/>
        <v>0</v>
      </c>
      <c r="H169">
        <v>120.7165</v>
      </c>
      <c r="I169" s="18">
        <f t="shared" si="49"/>
        <v>119.86</v>
      </c>
      <c r="J169" s="38">
        <f t="shared" si="50"/>
        <v>-2.6900000000000035E-2</v>
      </c>
      <c r="K169" s="42">
        <f t="shared" si="51"/>
        <v>-3.3999999999999998E-3</v>
      </c>
      <c r="L169">
        <v>96.668700000000001</v>
      </c>
      <c r="M169" s="42">
        <f t="shared" si="52"/>
        <v>1E-4</v>
      </c>
      <c r="N169" s="43">
        <f t="shared" si="53"/>
        <v>3.1269999999999999E-2</v>
      </c>
      <c r="O169" s="30">
        <f t="shared" si="55"/>
        <v>88.63</v>
      </c>
      <c r="P169" s="31">
        <f t="shared" si="54"/>
        <v>90.63</v>
      </c>
    </row>
    <row r="170" spans="1:16" x14ac:dyDescent="0.25">
      <c r="A170" s="5">
        <v>38230</v>
      </c>
      <c r="B170" s="1">
        <v>58.5</v>
      </c>
      <c r="C170" s="42">
        <f t="shared" si="46"/>
        <v>-1.6E-2</v>
      </c>
      <c r="D170">
        <v>25</v>
      </c>
      <c r="E170" s="18">
        <f t="shared" si="47"/>
        <v>30.1</v>
      </c>
      <c r="F170">
        <v>78.099999999999994</v>
      </c>
      <c r="G170" s="42">
        <f t="shared" si="48"/>
        <v>2.5999999999999999E-3</v>
      </c>
      <c r="H170">
        <v>119.69329999999999</v>
      </c>
      <c r="I170" s="18">
        <f t="shared" si="49"/>
        <v>120.27</v>
      </c>
      <c r="J170" s="38">
        <f t="shared" si="50"/>
        <v>-2.6900000000000035E-2</v>
      </c>
      <c r="K170" s="42">
        <f t="shared" si="51"/>
        <v>-8.6999999999999994E-3</v>
      </c>
      <c r="L170">
        <v>96.590100000000007</v>
      </c>
      <c r="M170" s="42">
        <f t="shared" si="52"/>
        <v>2.5000000000000001E-3</v>
      </c>
      <c r="N170" s="43">
        <f t="shared" si="53"/>
        <v>2.8490000000000001E-2</v>
      </c>
      <c r="O170" s="30">
        <f t="shared" si="55"/>
        <v>89.69</v>
      </c>
      <c r="P170" s="31">
        <f t="shared" si="54"/>
        <v>94.65</v>
      </c>
    </row>
    <row r="171" spans="1:16" x14ac:dyDescent="0.25">
      <c r="A171" s="5">
        <v>38199</v>
      </c>
      <c r="B171" s="1">
        <v>59.9</v>
      </c>
      <c r="C171" s="42">
        <f t="shared" si="46"/>
        <v>-3.8E-3</v>
      </c>
      <c r="D171">
        <v>34.700000000000003</v>
      </c>
      <c r="E171" s="18">
        <f t="shared" si="47"/>
        <v>31.43</v>
      </c>
      <c r="F171">
        <v>77.5</v>
      </c>
      <c r="G171" s="42">
        <f t="shared" si="48"/>
        <v>1.2999999999999999E-3</v>
      </c>
      <c r="H171">
        <v>119.16670000000001</v>
      </c>
      <c r="I171" s="18">
        <f t="shared" si="49"/>
        <v>121.33</v>
      </c>
      <c r="J171" s="38">
        <f t="shared" si="50"/>
        <v>-2.0199999999999996E-2</v>
      </c>
      <c r="K171" s="42">
        <f t="shared" si="51"/>
        <v>-9.7999999999999997E-3</v>
      </c>
      <c r="L171">
        <v>95.858800000000002</v>
      </c>
      <c r="M171" s="42">
        <f t="shared" si="52"/>
        <v>1.4E-3</v>
      </c>
      <c r="N171" s="43">
        <f t="shared" si="53"/>
        <v>2.4989999999999998E-2</v>
      </c>
      <c r="O171" s="30">
        <f t="shared" si="55"/>
        <v>93.56</v>
      </c>
      <c r="P171" s="31">
        <f t="shared" si="54"/>
        <v>99.38</v>
      </c>
    </row>
    <row r="172" spans="1:16" x14ac:dyDescent="0.25">
      <c r="A172" s="5">
        <v>38168</v>
      </c>
      <c r="B172" s="1">
        <v>60.5</v>
      </c>
      <c r="C172" s="42">
        <f t="shared" si="46"/>
        <v>-5.0000000000000001E-4</v>
      </c>
      <c r="D172">
        <v>30.6</v>
      </c>
      <c r="E172" s="18">
        <f t="shared" si="47"/>
        <v>30.63</v>
      </c>
      <c r="F172">
        <v>78.2</v>
      </c>
      <c r="G172" s="42">
        <f t="shared" si="48"/>
        <v>3.0000000000000001E-3</v>
      </c>
      <c r="H172">
        <v>121.9492</v>
      </c>
      <c r="I172" s="18">
        <f t="shared" si="49"/>
        <v>122.53</v>
      </c>
      <c r="J172" s="38">
        <f t="shared" si="50"/>
        <v>-9.4999999999999529E-3</v>
      </c>
      <c r="K172" s="42">
        <f t="shared" si="51"/>
        <v>-5.1999999999999998E-3</v>
      </c>
      <c r="L172">
        <v>96.647199999999998</v>
      </c>
      <c r="M172" s="42">
        <f t="shared" si="52"/>
        <v>2.5000000000000001E-3</v>
      </c>
      <c r="N172" s="43">
        <f t="shared" si="53"/>
        <v>3.4930000000000003E-2</v>
      </c>
      <c r="O172" s="30">
        <f t="shared" si="55"/>
        <v>100.69</v>
      </c>
      <c r="P172" s="31">
        <f t="shared" si="54"/>
        <v>101.35</v>
      </c>
    </row>
    <row r="173" spans="1:16" x14ac:dyDescent="0.25">
      <c r="A173" s="5">
        <v>38138</v>
      </c>
      <c r="B173" s="1">
        <v>61.4</v>
      </c>
      <c r="C173" s="42">
        <f t="shared" si="46"/>
        <v>8.3000000000000001E-3</v>
      </c>
      <c r="D173">
        <v>29</v>
      </c>
      <c r="E173" s="18">
        <f t="shared" si="47"/>
        <v>30.3</v>
      </c>
      <c r="F173">
        <v>77.5</v>
      </c>
      <c r="G173" s="42">
        <f t="shared" si="48"/>
        <v>1.6999999999999999E-3</v>
      </c>
      <c r="H173">
        <v>122.86360000000001</v>
      </c>
      <c r="I173" s="18">
        <f t="shared" si="49"/>
        <v>123.17</v>
      </c>
      <c r="J173" s="38">
        <f t="shared" si="50"/>
        <v>3.3000000000000806E-3</v>
      </c>
      <c r="K173" s="42">
        <f t="shared" si="51"/>
        <v>-3.3999999999999998E-3</v>
      </c>
      <c r="L173">
        <v>95.865300000000005</v>
      </c>
      <c r="M173" s="42">
        <f t="shared" si="52"/>
        <v>1.8E-3</v>
      </c>
      <c r="N173" s="43">
        <f t="shared" si="53"/>
        <v>2.6759999999999999E-2</v>
      </c>
      <c r="O173" s="30">
        <f t="shared" si="55"/>
        <v>103.88</v>
      </c>
      <c r="P173" s="31">
        <f t="shared" si="54"/>
        <v>102.73</v>
      </c>
    </row>
    <row r="174" spans="1:16" x14ac:dyDescent="0.25">
      <c r="A174" s="5">
        <v>38107</v>
      </c>
      <c r="B174" s="1">
        <v>60.6</v>
      </c>
      <c r="C174" s="42">
        <f t="shared" si="46"/>
        <v>-1.1000000000000001E-3</v>
      </c>
      <c r="D174">
        <v>32.299999999999997</v>
      </c>
      <c r="E174" s="18">
        <f t="shared" si="47"/>
        <v>29.9</v>
      </c>
      <c r="F174">
        <v>77.2</v>
      </c>
      <c r="G174" s="42">
        <f t="shared" si="48"/>
        <v>1.2999999999999999E-3</v>
      </c>
      <c r="H174">
        <v>122.7748</v>
      </c>
      <c r="I174" s="18">
        <f t="shared" si="49"/>
        <v>123.59</v>
      </c>
      <c r="J174" s="38">
        <f t="shared" si="50"/>
        <v>1.0499999999999954E-2</v>
      </c>
      <c r="K174" s="42">
        <f t="shared" si="51"/>
        <v>-1.9E-3</v>
      </c>
      <c r="L174">
        <v>95.453800000000001</v>
      </c>
      <c r="M174" s="42">
        <f t="shared" si="52"/>
        <v>1E-3</v>
      </c>
      <c r="N174" s="43">
        <f t="shared" si="53"/>
        <v>1.502E-2</v>
      </c>
      <c r="O174" s="30">
        <f t="shared" si="55"/>
        <v>99.47</v>
      </c>
      <c r="P174" s="31">
        <f t="shared" si="54"/>
        <v>103.7</v>
      </c>
    </row>
    <row r="175" spans="1:16" x14ac:dyDescent="0.25">
      <c r="A175" s="5">
        <v>38077</v>
      </c>
      <c r="B175" s="1">
        <v>60.6</v>
      </c>
      <c r="C175" s="42">
        <f t="shared" si="46"/>
        <v>2.8E-3</v>
      </c>
      <c r="D175">
        <v>29.6</v>
      </c>
      <c r="E175" s="18">
        <f t="shared" si="47"/>
        <v>31.17</v>
      </c>
      <c r="F175">
        <v>77.5</v>
      </c>
      <c r="G175" s="42">
        <f t="shared" si="48"/>
        <v>2.5999999999999999E-3</v>
      </c>
      <c r="H175">
        <v>123.876</v>
      </c>
      <c r="I175" s="18">
        <f t="shared" si="49"/>
        <v>123.83</v>
      </c>
      <c r="J175" s="38">
        <f t="shared" si="50"/>
        <v>2.4999999999999911E-2</v>
      </c>
      <c r="K175" s="42">
        <f t="shared" si="51"/>
        <v>1E-3</v>
      </c>
      <c r="L175">
        <v>95.922799999999995</v>
      </c>
      <c r="M175" s="42">
        <f t="shared" si="52"/>
        <v>2.5000000000000001E-3</v>
      </c>
      <c r="N175" s="43">
        <f t="shared" si="53"/>
        <v>1.7690000000000001E-2</v>
      </c>
      <c r="O175" s="30">
        <f t="shared" si="55"/>
        <v>104.85</v>
      </c>
      <c r="P175" s="31">
        <f t="shared" si="54"/>
        <v>108.31</v>
      </c>
    </row>
    <row r="176" spans="1:16" x14ac:dyDescent="0.25">
      <c r="A176" s="5">
        <v>38046</v>
      </c>
      <c r="B176" s="1">
        <v>59.9</v>
      </c>
      <c r="C176" s="42">
        <f t="shared" si="46"/>
        <v>8.3999999999999995E-3</v>
      </c>
      <c r="D176">
        <v>27.8</v>
      </c>
      <c r="E176" s="18">
        <f t="shared" si="47"/>
        <v>30.13</v>
      </c>
      <c r="F176">
        <v>77.099999999999994</v>
      </c>
      <c r="G176" s="42">
        <f t="shared" si="48"/>
        <v>3.5000000000000001E-3</v>
      </c>
      <c r="H176">
        <v>124.12730000000001</v>
      </c>
      <c r="I176" s="18">
        <f t="shared" si="49"/>
        <v>123.71</v>
      </c>
      <c r="J176" s="38">
        <f t="shared" si="50"/>
        <v>2.3800000000000043E-2</v>
      </c>
      <c r="K176" s="42">
        <f t="shared" si="51"/>
        <v>7.7000000000000002E-3</v>
      </c>
      <c r="L176">
        <v>95.343400000000003</v>
      </c>
      <c r="M176" s="42">
        <f t="shared" si="52"/>
        <v>3.2000000000000002E-3</v>
      </c>
      <c r="N176" s="43">
        <f t="shared" si="53"/>
        <v>1.4749999999999999E-2</v>
      </c>
      <c r="O176" s="30">
        <f t="shared" si="55"/>
        <v>106.79</v>
      </c>
      <c r="P176" s="31">
        <f t="shared" si="54"/>
        <v>112.91</v>
      </c>
    </row>
    <row r="177" spans="1:16" x14ac:dyDescent="0.25">
      <c r="A177" s="5">
        <v>38017</v>
      </c>
      <c r="B177" s="1">
        <v>60.8</v>
      </c>
      <c r="C177" s="42">
        <f t="shared" si="46"/>
        <v>3.2199999999999999E-2</v>
      </c>
      <c r="D177">
        <v>36.1</v>
      </c>
      <c r="E177" s="18">
        <f t="shared" si="47"/>
        <v>29.83</v>
      </c>
      <c r="F177">
        <v>76.900000000000006</v>
      </c>
      <c r="G177" s="42">
        <f t="shared" si="48"/>
        <v>3.0999999999999999E-3</v>
      </c>
      <c r="H177">
        <v>123.4871</v>
      </c>
      <c r="I177" s="18">
        <f t="shared" si="49"/>
        <v>122.76</v>
      </c>
      <c r="J177" s="38">
        <f t="shared" si="50"/>
        <v>2.6399999999999979E-2</v>
      </c>
      <c r="K177" s="42">
        <f t="shared" si="51"/>
        <v>3.8E-3</v>
      </c>
      <c r="L177">
        <v>95.154499999999999</v>
      </c>
      <c r="M177" s="42">
        <f t="shared" si="52"/>
        <v>2.8999999999999998E-3</v>
      </c>
      <c r="N177" s="43">
        <f t="shared" si="53"/>
        <v>1.8579999999999999E-2</v>
      </c>
      <c r="O177" s="30">
        <f t="shared" si="55"/>
        <v>113.3</v>
      </c>
      <c r="P177" s="31">
        <f t="shared" si="54"/>
        <v>112.95</v>
      </c>
    </row>
    <row r="178" spans="1:16" x14ac:dyDescent="0.25">
      <c r="A178" s="5">
        <v>37986</v>
      </c>
      <c r="B178" s="1">
        <v>60.1</v>
      </c>
      <c r="C178" s="42">
        <f t="shared" si="46"/>
        <v>4.6399999999999997E-2</v>
      </c>
      <c r="D178">
        <v>26.5</v>
      </c>
      <c r="E178" s="18">
        <f t="shared" si="47"/>
        <v>27.23</v>
      </c>
      <c r="F178">
        <v>76.900000000000006</v>
      </c>
      <c r="G178" s="42">
        <f t="shared" si="48"/>
        <v>5.3E-3</v>
      </c>
      <c r="H178">
        <v>123.5213</v>
      </c>
      <c r="I178" s="18">
        <f t="shared" si="49"/>
        <v>122.3</v>
      </c>
      <c r="J178" s="38">
        <f t="shared" si="50"/>
        <v>2.7600000000000069E-2</v>
      </c>
      <c r="K178" s="42">
        <f t="shared" si="51"/>
        <v>1.23E-2</v>
      </c>
      <c r="L178">
        <v>95.222399999999993</v>
      </c>
      <c r="M178" s="42">
        <f t="shared" si="52"/>
        <v>5.3E-3</v>
      </c>
      <c r="N178" s="43">
        <f t="shared" si="53"/>
        <v>1.434E-2</v>
      </c>
      <c r="O178" s="30">
        <f t="shared" si="55"/>
        <v>118.63</v>
      </c>
      <c r="P178" s="31">
        <f t="shared" si="54"/>
        <v>110</v>
      </c>
    </row>
    <row r="179" spans="1:16" x14ac:dyDescent="0.25">
      <c r="A179" s="5">
        <v>37955</v>
      </c>
      <c r="B179" s="1">
        <v>58.4</v>
      </c>
      <c r="C179" s="42">
        <f t="shared" si="46"/>
        <v>3.2300000000000002E-2</v>
      </c>
      <c r="D179">
        <v>26.9</v>
      </c>
      <c r="E179" s="18">
        <f t="shared" si="47"/>
        <v>25.3</v>
      </c>
      <c r="F179">
        <v>76.3</v>
      </c>
      <c r="G179" s="42">
        <f t="shared" si="48"/>
        <v>2.2000000000000001E-3</v>
      </c>
      <c r="H179">
        <v>121.25700000000001</v>
      </c>
      <c r="I179" s="18">
        <f t="shared" si="49"/>
        <v>120.81</v>
      </c>
      <c r="J179" s="38">
        <f t="shared" si="50"/>
        <v>2.6899999999999924E-2</v>
      </c>
      <c r="K179" s="42">
        <f t="shared" si="51"/>
        <v>-2.0000000000000001E-4</v>
      </c>
      <c r="L179">
        <v>94.444199999999995</v>
      </c>
      <c r="M179" s="42">
        <f t="shared" si="52"/>
        <v>1.9E-3</v>
      </c>
      <c r="N179" s="43">
        <f t="shared" si="53"/>
        <v>1.1169999999999999E-2</v>
      </c>
      <c r="O179" s="30">
        <f t="shared" si="55"/>
        <v>106.93</v>
      </c>
      <c r="P179" s="31">
        <f t="shared" si="54"/>
        <v>101.81</v>
      </c>
    </row>
    <row r="180" spans="1:16" x14ac:dyDescent="0.25">
      <c r="A180" s="5">
        <v>37925</v>
      </c>
      <c r="B180" s="1">
        <v>55.2</v>
      </c>
      <c r="C180" s="42">
        <f t="shared" si="46"/>
        <v>2.6800000000000001E-2</v>
      </c>
      <c r="D180">
        <v>28.3</v>
      </c>
      <c r="E180" s="18">
        <f t="shared" si="47"/>
        <v>23.1</v>
      </c>
      <c r="F180">
        <v>76.2</v>
      </c>
      <c r="G180" s="42">
        <f t="shared" si="48"/>
        <v>3.0999999999999999E-3</v>
      </c>
      <c r="H180">
        <v>122.11839999999999</v>
      </c>
      <c r="I180" s="18">
        <f t="shared" si="49"/>
        <v>120.83</v>
      </c>
      <c r="J180" s="38">
        <f t="shared" si="50"/>
        <v>2.7099999999999902E-2</v>
      </c>
      <c r="K180" s="42">
        <f t="shared" si="51"/>
        <v>1.03E-2</v>
      </c>
      <c r="L180">
        <v>94.3262</v>
      </c>
      <c r="M180" s="42">
        <f t="shared" si="52"/>
        <v>2.8999999999999998E-3</v>
      </c>
      <c r="N180" s="43">
        <f t="shared" si="53"/>
        <v>6.5599999999999999E-3</v>
      </c>
      <c r="O180" s="30">
        <f t="shared" si="55"/>
        <v>104.44</v>
      </c>
      <c r="P180" s="31">
        <f t="shared" si="54"/>
        <v>98.39</v>
      </c>
    </row>
    <row r="181" spans="1:16" x14ac:dyDescent="0.25">
      <c r="A181" s="5">
        <v>37894</v>
      </c>
      <c r="B181" s="1">
        <v>52.4</v>
      </c>
      <c r="C181" s="42">
        <f t="shared" si="46"/>
        <v>2.2200000000000001E-2</v>
      </c>
      <c r="D181">
        <v>20.7</v>
      </c>
      <c r="E181" s="18">
        <f t="shared" si="47"/>
        <v>16.23</v>
      </c>
      <c r="F181">
        <v>75.7</v>
      </c>
      <c r="G181" s="42">
        <f t="shared" si="48"/>
        <v>1.2999999999999999E-3</v>
      </c>
      <c r="H181">
        <v>119.04819999999999</v>
      </c>
      <c r="I181" s="18">
        <f t="shared" si="49"/>
        <v>119.6</v>
      </c>
      <c r="J181" s="38">
        <f t="shared" si="50"/>
        <v>1.4499999999999957E-2</v>
      </c>
      <c r="K181" s="42">
        <f t="shared" si="51"/>
        <v>4.8999999999999998E-3</v>
      </c>
      <c r="L181">
        <v>93.737099999999998</v>
      </c>
      <c r="M181" s="42">
        <f t="shared" si="52"/>
        <v>1.2999999999999999E-3</v>
      </c>
      <c r="N181" s="43">
        <f t="shared" si="53"/>
        <v>1.72E-3</v>
      </c>
      <c r="O181" s="30">
        <f t="shared" si="55"/>
        <v>94.05</v>
      </c>
      <c r="P181" s="31">
        <f t="shared" si="54"/>
        <v>92.46</v>
      </c>
    </row>
    <row r="182" spans="1:16" x14ac:dyDescent="0.25">
      <c r="A182" s="5">
        <v>37864</v>
      </c>
      <c r="B182" s="1">
        <v>53.2</v>
      </c>
      <c r="C182" s="42">
        <f t="shared" si="46"/>
        <v>2.8199999999999999E-2</v>
      </c>
      <c r="D182">
        <v>20.3</v>
      </c>
      <c r="E182" s="18">
        <f t="shared" si="47"/>
        <v>10.57</v>
      </c>
      <c r="F182">
        <v>75.8</v>
      </c>
      <c r="G182" s="42">
        <f t="shared" si="48"/>
        <v>2.2000000000000001E-3</v>
      </c>
      <c r="H182">
        <v>121.3087</v>
      </c>
      <c r="I182" s="18">
        <f t="shared" si="49"/>
        <v>119.02</v>
      </c>
      <c r="J182" s="38">
        <f t="shared" si="50"/>
        <v>2.0000000000000018E-3</v>
      </c>
      <c r="K182" s="42">
        <f t="shared" si="51"/>
        <v>1.1599999999999999E-2</v>
      </c>
      <c r="L182">
        <v>93.914400000000001</v>
      </c>
      <c r="M182" s="42">
        <f t="shared" si="52"/>
        <v>2E-3</v>
      </c>
      <c r="N182" s="43">
        <f t="shared" si="53"/>
        <v>3.9399999999999999E-3</v>
      </c>
      <c r="O182" s="30">
        <f t="shared" si="55"/>
        <v>96.69</v>
      </c>
      <c r="P182" s="31">
        <f t="shared" si="54"/>
        <v>87.73</v>
      </c>
    </row>
    <row r="183" spans="1:16" x14ac:dyDescent="0.25">
      <c r="A183" s="5">
        <v>37833</v>
      </c>
      <c r="B183" s="1">
        <v>51</v>
      </c>
      <c r="C183" s="42">
        <f t="shared" si="46"/>
        <v>3.4000000000000002E-2</v>
      </c>
      <c r="D183">
        <v>7.7</v>
      </c>
      <c r="E183" s="18">
        <f t="shared" si="47"/>
        <v>3.6</v>
      </c>
      <c r="F183">
        <v>75.5</v>
      </c>
      <c r="G183" s="42">
        <f t="shared" si="48"/>
        <v>-1.8E-3</v>
      </c>
      <c r="H183">
        <v>118.4301</v>
      </c>
      <c r="I183" s="18">
        <f t="shared" si="49"/>
        <v>117.65</v>
      </c>
      <c r="J183" s="38">
        <f t="shared" si="50"/>
        <v>-8.600000000000052E-3</v>
      </c>
      <c r="K183" s="42">
        <f t="shared" si="51"/>
        <v>1E-4</v>
      </c>
      <c r="L183">
        <v>93.521900000000002</v>
      </c>
      <c r="M183" s="42">
        <f t="shared" si="52"/>
        <v>-1.9E-3</v>
      </c>
      <c r="N183" s="43">
        <f t="shared" si="53"/>
        <v>-2.5799999999999998E-3</v>
      </c>
      <c r="O183" s="30">
        <f t="shared" si="55"/>
        <v>86.63</v>
      </c>
      <c r="P183" s="31">
        <f t="shared" si="54"/>
        <v>80.89</v>
      </c>
    </row>
    <row r="184" spans="1:16" x14ac:dyDescent="0.25">
      <c r="A184" s="5">
        <v>37802</v>
      </c>
      <c r="B184" s="1">
        <v>49</v>
      </c>
      <c r="C184" s="42">
        <f t="shared" si="46"/>
        <v>1.9099999999999999E-2</v>
      </c>
      <c r="D184">
        <v>3.7</v>
      </c>
      <c r="E184" s="18">
        <f t="shared" si="47"/>
        <v>-1.2</v>
      </c>
      <c r="F184">
        <v>75.400000000000006</v>
      </c>
      <c r="G184" s="42">
        <f t="shared" si="48"/>
        <v>-2.5999999999999999E-3</v>
      </c>
      <c r="H184">
        <v>117.3138</v>
      </c>
      <c r="I184" s="18">
        <f t="shared" si="49"/>
        <v>117.64</v>
      </c>
      <c r="J184" s="38">
        <f t="shared" si="50"/>
        <v>-1.3700000000000045E-2</v>
      </c>
      <c r="K184" s="42">
        <f t="shared" si="51"/>
        <v>-2.0999999999999999E-3</v>
      </c>
      <c r="L184">
        <v>93.385199999999998</v>
      </c>
      <c r="M184" s="42">
        <f t="shared" si="52"/>
        <v>-3.0999999999999999E-3</v>
      </c>
      <c r="N184" s="43">
        <f t="shared" si="53"/>
        <v>5.4099999999999999E-3</v>
      </c>
      <c r="O184" s="30">
        <f t="shared" si="55"/>
        <v>79.86</v>
      </c>
      <c r="P184" s="31">
        <f t="shared" si="54"/>
        <v>76.099999999999994</v>
      </c>
    </row>
    <row r="185" spans="1:16" x14ac:dyDescent="0.25">
      <c r="A185" s="5">
        <v>37772</v>
      </c>
      <c r="B185" s="1">
        <v>49</v>
      </c>
      <c r="C185" s="42">
        <f t="shared" si="46"/>
        <v>1.4E-3</v>
      </c>
      <c r="D185">
        <v>-0.6</v>
      </c>
      <c r="E185" s="18">
        <f t="shared" si="47"/>
        <v>-3.73</v>
      </c>
      <c r="F185">
        <v>75.3</v>
      </c>
      <c r="G185" s="42">
        <f t="shared" si="48"/>
        <v>-2.2000000000000001E-3</v>
      </c>
      <c r="H185">
        <v>117.2098</v>
      </c>
      <c r="I185" s="18">
        <f t="shared" si="49"/>
        <v>117.89</v>
      </c>
      <c r="J185" s="38">
        <f t="shared" si="50"/>
        <v>-4.0999999999999925E-3</v>
      </c>
      <c r="K185" s="42">
        <f t="shared" si="51"/>
        <v>-7.4999999999999997E-3</v>
      </c>
      <c r="L185">
        <v>93.366600000000005</v>
      </c>
      <c r="M185" s="42">
        <f t="shared" si="52"/>
        <v>-2.0999999999999999E-3</v>
      </c>
      <c r="N185" s="43">
        <f t="shared" si="53"/>
        <v>9.5999999999999992E-3</v>
      </c>
      <c r="O185" s="30">
        <f t="shared" si="55"/>
        <v>76.180000000000007</v>
      </c>
      <c r="P185" s="31">
        <f t="shared" si="54"/>
        <v>74.08</v>
      </c>
    </row>
    <row r="186" spans="1:16" x14ac:dyDescent="0.25">
      <c r="A186" s="5">
        <v>37741</v>
      </c>
      <c r="B186" s="1">
        <v>46.1</v>
      </c>
      <c r="C186" s="42">
        <f t="shared" si="46"/>
        <v>-3.5499999999999997E-2</v>
      </c>
      <c r="D186">
        <v>-6.7</v>
      </c>
      <c r="E186" s="18">
        <f t="shared" si="47"/>
        <v>-4.07</v>
      </c>
      <c r="F186">
        <v>75.900000000000006</v>
      </c>
      <c r="G186" s="42">
        <f t="shared" si="48"/>
        <v>2.5999999999999999E-3</v>
      </c>
      <c r="H186">
        <v>118.38720000000001</v>
      </c>
      <c r="I186" s="18">
        <f t="shared" si="49"/>
        <v>118.78</v>
      </c>
      <c r="J186" s="38">
        <f t="shared" si="50"/>
        <v>4.0999999999999925E-3</v>
      </c>
      <c r="K186" s="42">
        <f t="shared" si="51"/>
        <v>8.9999999999999998E-4</v>
      </c>
      <c r="L186">
        <v>94.041600000000003</v>
      </c>
      <c r="M186" s="42">
        <f t="shared" si="52"/>
        <v>2.2000000000000001E-3</v>
      </c>
      <c r="N186" s="43">
        <f t="shared" si="53"/>
        <v>2.102E-2</v>
      </c>
      <c r="O186" s="30">
        <f t="shared" si="55"/>
        <v>72.260000000000005</v>
      </c>
      <c r="P186" s="31">
        <f t="shared" si="54"/>
        <v>78.489999999999995</v>
      </c>
    </row>
    <row r="187" spans="1:16" x14ac:dyDescent="0.25">
      <c r="A187" s="5">
        <v>37711</v>
      </c>
      <c r="B187" s="1">
        <v>46.3</v>
      </c>
      <c r="C187" s="42">
        <f t="shared" si="46"/>
        <v>-3.49E-2</v>
      </c>
      <c r="D187">
        <v>-3.9</v>
      </c>
      <c r="E187" s="18">
        <f t="shared" si="47"/>
        <v>0</v>
      </c>
      <c r="F187">
        <v>76</v>
      </c>
      <c r="G187" s="42">
        <f t="shared" si="48"/>
        <v>1.8E-3</v>
      </c>
      <c r="H187">
        <v>118.0638</v>
      </c>
      <c r="I187" s="18">
        <f t="shared" si="49"/>
        <v>118.67</v>
      </c>
      <c r="J187" s="38">
        <f t="shared" si="50"/>
        <v>8.999999999999897E-3</v>
      </c>
      <c r="K187" s="42">
        <f t="shared" si="51"/>
        <v>-5.1000000000000004E-3</v>
      </c>
      <c r="L187">
        <v>94.255799999999994</v>
      </c>
      <c r="M187" s="42">
        <f t="shared" si="52"/>
        <v>1.4E-3</v>
      </c>
      <c r="N187" s="43">
        <f t="shared" si="53"/>
        <v>3.1620000000000002E-2</v>
      </c>
      <c r="O187" s="30">
        <f t="shared" si="55"/>
        <v>73.790000000000006</v>
      </c>
      <c r="P187" s="31">
        <f t="shared" si="54"/>
        <v>84.78</v>
      </c>
    </row>
    <row r="188" spans="1:16" x14ac:dyDescent="0.25">
      <c r="A188" s="5">
        <v>37680</v>
      </c>
      <c r="B188" s="1">
        <v>48.8</v>
      </c>
      <c r="C188" s="42">
        <f t="shared" si="46"/>
        <v>2E-3</v>
      </c>
      <c r="D188">
        <v>-1.6</v>
      </c>
      <c r="E188" s="18">
        <f t="shared" si="47"/>
        <v>3.7</v>
      </c>
      <c r="F188">
        <v>75.8</v>
      </c>
      <c r="G188" s="42">
        <f t="shared" si="48"/>
        <v>2.2000000000000001E-3</v>
      </c>
      <c r="H188">
        <v>119.8938</v>
      </c>
      <c r="I188" s="18">
        <f t="shared" si="49"/>
        <v>119.28</v>
      </c>
      <c r="J188" s="38">
        <f t="shared" si="50"/>
        <v>9.7000000000000419E-3</v>
      </c>
      <c r="K188" s="42">
        <f t="shared" si="51"/>
        <v>7.7000000000000002E-3</v>
      </c>
      <c r="L188">
        <v>93.957099999999997</v>
      </c>
      <c r="M188" s="42">
        <f t="shared" si="52"/>
        <v>2E-3</v>
      </c>
      <c r="N188" s="43">
        <f t="shared" si="53"/>
        <v>2.8570000000000002E-2</v>
      </c>
      <c r="O188" s="30">
        <f t="shared" si="55"/>
        <v>89.42</v>
      </c>
      <c r="P188" s="31">
        <f t="shared" si="54"/>
        <v>91.25</v>
      </c>
    </row>
    <row r="189" spans="1:16" x14ac:dyDescent="0.25">
      <c r="A189" s="5">
        <v>37652</v>
      </c>
      <c r="B189" s="1">
        <v>51.3</v>
      </c>
      <c r="C189" s="42">
        <f t="shared" si="46"/>
        <v>1.54E-2</v>
      </c>
      <c r="D189">
        <v>5.5</v>
      </c>
      <c r="E189" s="18">
        <f t="shared" si="47"/>
        <v>6.7</v>
      </c>
      <c r="F189">
        <v>75.3</v>
      </c>
      <c r="G189" s="42">
        <f t="shared" si="48"/>
        <v>-8.9999999999999998E-4</v>
      </c>
      <c r="H189">
        <v>118.0527</v>
      </c>
      <c r="I189" s="18">
        <f t="shared" si="49"/>
        <v>118.37</v>
      </c>
      <c r="J189" s="38">
        <f t="shared" si="50"/>
        <v>3.1000000000001027E-3</v>
      </c>
      <c r="K189" s="42">
        <f t="shared" si="51"/>
        <v>6.9999999999999999E-4</v>
      </c>
      <c r="L189">
        <v>93.4191</v>
      </c>
      <c r="M189" s="42">
        <f t="shared" si="52"/>
        <v>-1E-3</v>
      </c>
      <c r="N189" s="43">
        <f t="shared" si="53"/>
        <v>2.8490000000000001E-2</v>
      </c>
      <c r="O189" s="30">
        <f t="shared" si="55"/>
        <v>91.12</v>
      </c>
      <c r="P189" s="31">
        <f t="shared" si="54"/>
        <v>87.97</v>
      </c>
    </row>
    <row r="190" spans="1:16" x14ac:dyDescent="0.25">
      <c r="A190" s="5">
        <v>37621</v>
      </c>
      <c r="B190" s="1">
        <v>51.6</v>
      </c>
      <c r="C190" s="42">
        <f t="shared" si="46"/>
        <v>7.4000000000000003E-3</v>
      </c>
      <c r="D190">
        <v>7.2</v>
      </c>
      <c r="E190" s="18">
        <f t="shared" si="47"/>
        <v>2.33</v>
      </c>
      <c r="F190">
        <v>75.599999999999994</v>
      </c>
      <c r="G190" s="42">
        <f t="shared" si="48"/>
        <v>8.9999999999999998E-4</v>
      </c>
      <c r="H190">
        <v>119.89530000000001</v>
      </c>
      <c r="I190" s="18">
        <f t="shared" si="49"/>
        <v>118.29</v>
      </c>
      <c r="J190" s="38">
        <f t="shared" si="50"/>
        <v>7.4000000000000732E-3</v>
      </c>
      <c r="K190" s="42">
        <f t="shared" si="51"/>
        <v>5.7999999999999996E-3</v>
      </c>
      <c r="L190">
        <v>93.875799999999998</v>
      </c>
      <c r="M190" s="42">
        <f t="shared" si="52"/>
        <v>1.1000000000000001E-3</v>
      </c>
      <c r="N190" s="43">
        <f t="shared" si="53"/>
        <v>3.4000000000000002E-2</v>
      </c>
      <c r="O190" s="30">
        <f t="shared" si="55"/>
        <v>93.21</v>
      </c>
      <c r="P190" s="31">
        <f t="shared" si="54"/>
        <v>85.75</v>
      </c>
    </row>
    <row r="191" spans="1:16" x14ac:dyDescent="0.25">
      <c r="A191" s="5">
        <v>37590</v>
      </c>
      <c r="B191" s="1">
        <v>48.5</v>
      </c>
      <c r="C191" s="42">
        <f t="shared" si="46"/>
        <v>-1.2E-2</v>
      </c>
      <c r="D191">
        <v>7.4</v>
      </c>
      <c r="E191" s="18">
        <f t="shared" si="47"/>
        <v>1.4</v>
      </c>
      <c r="F191">
        <v>75.3</v>
      </c>
      <c r="G191" s="42">
        <f t="shared" si="48"/>
        <v>-4.0000000000000002E-4</v>
      </c>
      <c r="H191">
        <v>117.15649999999999</v>
      </c>
      <c r="I191" s="18">
        <f t="shared" si="49"/>
        <v>117.61</v>
      </c>
      <c r="J191" s="38">
        <f t="shared" si="50"/>
        <v>1.0699999999999932E-2</v>
      </c>
      <c r="K191" s="42">
        <f t="shared" si="51"/>
        <v>-4.4000000000000003E-3</v>
      </c>
      <c r="L191">
        <v>93.400599999999997</v>
      </c>
      <c r="M191" s="42">
        <f t="shared" si="52"/>
        <v>-5.0000000000000001E-4</v>
      </c>
      <c r="N191" s="43">
        <f t="shared" si="53"/>
        <v>2.3359999999999999E-2</v>
      </c>
      <c r="O191" s="30">
        <f t="shared" si="55"/>
        <v>79.58</v>
      </c>
      <c r="P191" s="31">
        <f t="shared" si="54"/>
        <v>83.5</v>
      </c>
    </row>
    <row r="192" spans="1:16" x14ac:dyDescent="0.25">
      <c r="A192" s="5">
        <v>37560</v>
      </c>
      <c r="B192" s="1">
        <v>49</v>
      </c>
      <c r="C192" s="42">
        <f t="shared" si="46"/>
        <v>-7.9000000000000008E-3</v>
      </c>
      <c r="D192">
        <v>-7.6</v>
      </c>
      <c r="E192" s="18">
        <f t="shared" si="47"/>
        <v>-1.5</v>
      </c>
      <c r="F192">
        <v>75.5</v>
      </c>
      <c r="G192" s="42">
        <f t="shared" si="48"/>
        <v>-4.0000000000000002E-4</v>
      </c>
      <c r="H192">
        <v>117.8231</v>
      </c>
      <c r="I192" s="18">
        <f t="shared" si="49"/>
        <v>118.13</v>
      </c>
      <c r="J192" s="38">
        <f t="shared" si="50"/>
        <v>2.5800000000000045E-2</v>
      </c>
      <c r="K192" s="42">
        <f t="shared" si="51"/>
        <v>1E-3</v>
      </c>
      <c r="L192">
        <v>93.711600000000004</v>
      </c>
      <c r="M192" s="42">
        <f t="shared" si="52"/>
        <v>-2.0000000000000001E-4</v>
      </c>
      <c r="N192" s="43">
        <f t="shared" si="53"/>
        <v>2.2169999999999999E-2</v>
      </c>
      <c r="O192" s="30">
        <f t="shared" si="55"/>
        <v>84.47</v>
      </c>
      <c r="P192" s="31">
        <f t="shared" si="54"/>
        <v>86.79</v>
      </c>
    </row>
    <row r="193" spans="1:16" x14ac:dyDescent="0.25">
      <c r="A193" s="5">
        <v>37529</v>
      </c>
      <c r="B193" s="1">
        <v>50.5</v>
      </c>
      <c r="C193" s="42">
        <f t="shared" si="46"/>
        <v>-2.01E-2</v>
      </c>
      <c r="D193">
        <v>4.4000000000000004</v>
      </c>
      <c r="E193" s="18">
        <f t="shared" si="47"/>
        <v>3</v>
      </c>
      <c r="F193">
        <v>75.400000000000006</v>
      </c>
      <c r="G193" s="42">
        <f t="shared" si="48"/>
        <v>2.2000000000000001E-3</v>
      </c>
      <c r="H193">
        <v>117.8484</v>
      </c>
      <c r="I193" s="18">
        <f t="shared" si="49"/>
        <v>118.01</v>
      </c>
      <c r="J193" s="38">
        <f t="shared" si="50"/>
        <v>3.4799999999999942E-2</v>
      </c>
      <c r="K193" s="42">
        <f t="shared" si="51"/>
        <v>5.0000000000000001E-3</v>
      </c>
      <c r="L193">
        <v>93.576499999999996</v>
      </c>
      <c r="M193" s="42">
        <f t="shared" si="52"/>
        <v>2.5000000000000001E-3</v>
      </c>
      <c r="N193" s="43">
        <f t="shared" si="53"/>
        <v>1.711E-2</v>
      </c>
      <c r="O193" s="30">
        <f t="shared" si="55"/>
        <v>86.45</v>
      </c>
      <c r="P193" s="31">
        <f t="shared" si="54"/>
        <v>88.98</v>
      </c>
    </row>
    <row r="194" spans="1:16" x14ac:dyDescent="0.25">
      <c r="A194" s="5">
        <v>37499</v>
      </c>
      <c r="B194" s="1">
        <v>50.3</v>
      </c>
      <c r="C194" s="42">
        <f t="shared" si="46"/>
        <v>-1.78E-2</v>
      </c>
      <c r="D194">
        <v>-1.3</v>
      </c>
      <c r="E194" s="18">
        <f t="shared" si="47"/>
        <v>8.33</v>
      </c>
      <c r="F194">
        <v>75.400000000000006</v>
      </c>
      <c r="G194" s="42">
        <f t="shared" si="48"/>
        <v>3.5999999999999999E-3</v>
      </c>
      <c r="H194">
        <v>118.708</v>
      </c>
      <c r="I194" s="18">
        <f t="shared" si="49"/>
        <v>117.42</v>
      </c>
      <c r="J194" s="38">
        <f t="shared" si="50"/>
        <v>3.8999999999999924E-2</v>
      </c>
      <c r="K194" s="42">
        <f t="shared" si="51"/>
        <v>8.9999999999999993E-3</v>
      </c>
      <c r="L194">
        <v>93.546099999999996</v>
      </c>
      <c r="M194" s="42">
        <f t="shared" si="52"/>
        <v>3.8E-3</v>
      </c>
      <c r="N194" s="43">
        <f t="shared" si="53"/>
        <v>1.491E-2</v>
      </c>
      <c r="O194" s="30">
        <f t="shared" si="55"/>
        <v>89.46</v>
      </c>
      <c r="P194" s="31">
        <f t="shared" si="54"/>
        <v>92.26</v>
      </c>
    </row>
    <row r="195" spans="1:16" x14ac:dyDescent="0.25">
      <c r="A195" s="5">
        <v>37468</v>
      </c>
      <c r="B195" s="1">
        <v>50.2</v>
      </c>
      <c r="C195" s="42">
        <f t="shared" si="46"/>
        <v>-1.38E-2</v>
      </c>
      <c r="D195">
        <v>5.9</v>
      </c>
      <c r="E195" s="18">
        <f t="shared" si="47"/>
        <v>12.13</v>
      </c>
      <c r="F195">
        <v>75.599999999999994</v>
      </c>
      <c r="G195" s="42">
        <f t="shared" si="48"/>
        <v>5.4000000000000003E-3</v>
      </c>
      <c r="H195">
        <v>117.47110000000001</v>
      </c>
      <c r="I195" s="18">
        <f t="shared" si="49"/>
        <v>116.37</v>
      </c>
      <c r="J195" s="38">
        <f t="shared" si="50"/>
        <v>3.5199999999999898E-2</v>
      </c>
      <c r="K195" s="42">
        <f t="shared" si="51"/>
        <v>1.0500000000000001E-2</v>
      </c>
      <c r="L195">
        <v>93.7637</v>
      </c>
      <c r="M195" s="42">
        <f t="shared" si="52"/>
        <v>6.0000000000000001E-3</v>
      </c>
      <c r="N195" s="43">
        <f t="shared" si="53"/>
        <v>1.141E-2</v>
      </c>
      <c r="O195" s="30">
        <f t="shared" si="55"/>
        <v>91.03</v>
      </c>
      <c r="P195" s="31">
        <f t="shared" si="54"/>
        <v>94.06</v>
      </c>
    </row>
    <row r="196" spans="1:16" x14ac:dyDescent="0.25">
      <c r="A196" s="5">
        <v>37437</v>
      </c>
      <c r="B196" s="1">
        <v>53.6</v>
      </c>
      <c r="C196" s="42">
        <f t="shared" si="46"/>
        <v>7.6E-3</v>
      </c>
      <c r="D196">
        <v>20.399999999999999</v>
      </c>
      <c r="E196" s="18">
        <f t="shared" si="47"/>
        <v>14.37</v>
      </c>
      <c r="F196">
        <v>74.900000000000006</v>
      </c>
      <c r="G196" s="42">
        <f t="shared" si="48"/>
        <v>4.4999999999999997E-3</v>
      </c>
      <c r="H196">
        <v>116.0945</v>
      </c>
      <c r="I196" s="18">
        <f t="shared" si="49"/>
        <v>115.16</v>
      </c>
      <c r="J196" s="38">
        <f t="shared" si="50"/>
        <v>3.4399999999999986E-2</v>
      </c>
      <c r="K196" s="42">
        <f t="shared" si="51"/>
        <v>9.7999999999999997E-3</v>
      </c>
      <c r="L196">
        <v>92.882400000000004</v>
      </c>
      <c r="M196" s="42">
        <f t="shared" si="52"/>
        <v>5.4999999999999997E-3</v>
      </c>
      <c r="N196" s="43">
        <f t="shared" si="53"/>
        <v>-4.2700000000000004E-3</v>
      </c>
      <c r="O196" s="30">
        <f t="shared" si="55"/>
        <v>96.3</v>
      </c>
      <c r="P196" s="31">
        <f t="shared" si="54"/>
        <v>95.83</v>
      </c>
    </row>
    <row r="197" spans="1:16" x14ac:dyDescent="0.25">
      <c r="A197" s="5">
        <v>37407</v>
      </c>
      <c r="B197" s="1">
        <v>53.1</v>
      </c>
      <c r="C197" s="42">
        <f t="shared" si="46"/>
        <v>1.54E-2</v>
      </c>
      <c r="D197">
        <v>10.1</v>
      </c>
      <c r="E197" s="18">
        <f t="shared" si="47"/>
        <v>11.67</v>
      </c>
      <c r="F197">
        <v>74.599999999999994</v>
      </c>
      <c r="G197" s="42">
        <f t="shared" si="48"/>
        <v>2.7000000000000001E-3</v>
      </c>
      <c r="H197">
        <v>115.5305</v>
      </c>
      <c r="I197" s="18">
        <f t="shared" si="49"/>
        <v>114.04</v>
      </c>
      <c r="J197" s="38">
        <f t="shared" si="50"/>
        <v>3.9400000000000102E-2</v>
      </c>
      <c r="K197" s="42">
        <f t="shared" si="51"/>
        <v>9.1000000000000004E-3</v>
      </c>
      <c r="L197">
        <v>92.478999999999999</v>
      </c>
      <c r="M197" s="42">
        <f t="shared" si="52"/>
        <v>4.1000000000000003E-3</v>
      </c>
      <c r="N197" s="43">
        <f t="shared" si="53"/>
        <v>-1.52E-2</v>
      </c>
      <c r="O197" s="30">
        <f t="shared" si="55"/>
        <v>94.84</v>
      </c>
      <c r="P197" s="31">
        <f t="shared" si="54"/>
        <v>96.18</v>
      </c>
    </row>
    <row r="198" spans="1:16" x14ac:dyDescent="0.25">
      <c r="A198" s="5">
        <v>37376</v>
      </c>
      <c r="B198" s="1">
        <v>52.4</v>
      </c>
      <c r="C198" s="42">
        <f t="shared" ref="C198:C261" si="56">ROUND((AVERAGE(B198:B200)-AVERAGE(B199:B201))/AVERAGE(B199:B201),4)</f>
        <v>3.2500000000000001E-2</v>
      </c>
      <c r="D198">
        <v>12.6</v>
      </c>
      <c r="E198" s="18">
        <f t="shared" ref="E198:E261" si="57">ROUND(AVERAGE(D198:D200),2)</f>
        <v>11.97</v>
      </c>
      <c r="F198">
        <v>74.400000000000006</v>
      </c>
      <c r="G198" s="42">
        <f t="shared" ref="G198:G261" si="58">ROUND((AVERAGE(F198:F200)-AVERAGE(F199:F201))/AVERAGE(F199:F201),4)</f>
        <v>3.2000000000000002E-3</v>
      </c>
      <c r="H198">
        <v>113.8689</v>
      </c>
      <c r="I198" s="18">
        <f t="shared" ref="I198:I261" si="59">ROUND(AVERAGE(H198:H200),2)</f>
        <v>113.01</v>
      </c>
      <c r="J198" s="38">
        <f t="shared" ref="J198:J261" si="60">ROUND(I198/I202,4)-1</f>
        <v>4.0699999999999958E-2</v>
      </c>
      <c r="K198" s="42">
        <f t="shared" ref="K198:K261" si="61">ROUND((I198-I199)/I199,4)</f>
        <v>5.3E-3</v>
      </c>
      <c r="L198">
        <v>92.105400000000003</v>
      </c>
      <c r="M198" s="42">
        <f t="shared" ref="M198:M261" si="62">ROUND((AVERAGE(L198:L200)-AVERAGE(L199:L201))/AVERAGE(L199:L201),4)</f>
        <v>4.7000000000000002E-3</v>
      </c>
      <c r="N198" s="43">
        <f t="shared" ref="N198:N261" si="63">ROUND((L198-L210)/L210,5)</f>
        <v>-2.147E-2</v>
      </c>
      <c r="O198" s="30">
        <f t="shared" si="55"/>
        <v>96.34</v>
      </c>
      <c r="P198" s="31">
        <f t="shared" ref="P198:P261" si="64">IF(ROUND(AVERAGE(O198:O200),2)&lt;0,0,ROUND(AVERAGE(O198:O200),2))</f>
        <v>94.88</v>
      </c>
    </row>
    <row r="199" spans="1:16" x14ac:dyDescent="0.25">
      <c r="A199" s="5">
        <v>37346</v>
      </c>
      <c r="B199" s="1">
        <v>52.4</v>
      </c>
      <c r="C199" s="42">
        <f t="shared" si="56"/>
        <v>4.9500000000000002E-2</v>
      </c>
      <c r="D199">
        <v>12.3</v>
      </c>
      <c r="E199" s="18">
        <f t="shared" si="57"/>
        <v>11.27</v>
      </c>
      <c r="F199">
        <v>73.900000000000006</v>
      </c>
      <c r="G199" s="42">
        <f t="shared" si="58"/>
        <v>5.0000000000000001E-4</v>
      </c>
      <c r="H199">
        <v>112.7188</v>
      </c>
      <c r="I199" s="18">
        <f t="shared" si="59"/>
        <v>112.41</v>
      </c>
      <c r="J199" s="38">
        <f t="shared" si="60"/>
        <v>3.4899999999999931E-2</v>
      </c>
      <c r="K199" s="42">
        <f t="shared" si="61"/>
        <v>9.7000000000000003E-3</v>
      </c>
      <c r="L199">
        <v>91.367199999999997</v>
      </c>
      <c r="M199" s="42">
        <f t="shared" si="62"/>
        <v>2.0999999999999999E-3</v>
      </c>
      <c r="N199" s="43">
        <f t="shared" si="63"/>
        <v>-3.1809999999999998E-2</v>
      </c>
      <c r="O199" s="30">
        <f t="shared" si="55"/>
        <v>97.37</v>
      </c>
      <c r="P199" s="31">
        <f t="shared" si="64"/>
        <v>89.09</v>
      </c>
    </row>
    <row r="200" spans="1:16" x14ac:dyDescent="0.25">
      <c r="A200" s="5">
        <v>37315</v>
      </c>
      <c r="B200" s="1">
        <v>50.7</v>
      </c>
      <c r="C200" s="42">
        <f t="shared" si="56"/>
        <v>4.82E-2</v>
      </c>
      <c r="D200">
        <v>11</v>
      </c>
      <c r="E200" s="18">
        <f t="shared" si="57"/>
        <v>3.5</v>
      </c>
      <c r="F200">
        <v>74</v>
      </c>
      <c r="G200" s="42">
        <f t="shared" si="58"/>
        <v>-1.4E-3</v>
      </c>
      <c r="H200">
        <v>112.438</v>
      </c>
      <c r="I200" s="18">
        <f t="shared" si="59"/>
        <v>111.33</v>
      </c>
      <c r="J200" s="38">
        <f t="shared" si="60"/>
        <v>1.639999999999997E-2</v>
      </c>
      <c r="K200" s="42">
        <f t="shared" si="61"/>
        <v>1.47E-2</v>
      </c>
      <c r="L200">
        <v>91.347099999999998</v>
      </c>
      <c r="M200" s="42">
        <f t="shared" si="62"/>
        <v>2.9999999999999997E-4</v>
      </c>
      <c r="N200" s="43">
        <f t="shared" si="63"/>
        <v>-3.7940000000000002E-2</v>
      </c>
      <c r="O200" s="30">
        <f t="shared" si="55"/>
        <v>90.93</v>
      </c>
      <c r="P200" s="31">
        <f t="shared" si="64"/>
        <v>74.849999999999994</v>
      </c>
    </row>
    <row r="201" spans="1:16" x14ac:dyDescent="0.25">
      <c r="A201" s="5">
        <v>37287</v>
      </c>
      <c r="B201" s="1">
        <v>47.5</v>
      </c>
      <c r="C201" s="42">
        <f t="shared" si="56"/>
        <v>5.1499999999999997E-2</v>
      </c>
      <c r="D201">
        <v>10.5</v>
      </c>
      <c r="E201" s="18">
        <f t="shared" si="57"/>
        <v>-6.07</v>
      </c>
      <c r="F201">
        <v>73.7</v>
      </c>
      <c r="G201" s="42">
        <f t="shared" si="58"/>
        <v>-4.8999999999999998E-3</v>
      </c>
      <c r="H201">
        <v>112.0642</v>
      </c>
      <c r="I201" s="18">
        <f t="shared" si="59"/>
        <v>109.72</v>
      </c>
      <c r="J201" s="38">
        <f t="shared" si="60"/>
        <v>-2.2999999999999687E-3</v>
      </c>
      <c r="K201" s="42">
        <f t="shared" si="61"/>
        <v>1.04E-2</v>
      </c>
      <c r="L201">
        <v>90.831100000000006</v>
      </c>
      <c r="M201" s="42">
        <f t="shared" si="62"/>
        <v>-3.0999999999999999E-3</v>
      </c>
      <c r="N201" s="43">
        <f t="shared" si="63"/>
        <v>-4.9680000000000002E-2</v>
      </c>
      <c r="O201" s="30">
        <f t="shared" ref="O201:O264" si="65">ROUND(((B201*2.25)+(F201/1.5)+(G201*500)+(N201*400)+(M201*500)+(J201*300)+(C201*500)+(K201*600)+(E201*0.25))/2.05,2)</f>
        <v>78.98</v>
      </c>
      <c r="P201" s="31">
        <f t="shared" si="64"/>
        <v>61.41</v>
      </c>
    </row>
    <row r="202" spans="1:16" x14ac:dyDescent="0.25">
      <c r="A202" s="5">
        <v>37256</v>
      </c>
      <c r="B202" s="1">
        <v>45.3</v>
      </c>
      <c r="C202" s="42">
        <f t="shared" si="56"/>
        <v>-6.8999999999999999E-3</v>
      </c>
      <c r="D202">
        <v>-11</v>
      </c>
      <c r="E202" s="18">
        <f t="shared" si="57"/>
        <v>-17.43</v>
      </c>
      <c r="F202">
        <v>73.8</v>
      </c>
      <c r="G202" s="42">
        <f t="shared" si="58"/>
        <v>-6.1999999999999998E-3</v>
      </c>
      <c r="H202">
        <v>109.4953</v>
      </c>
      <c r="I202" s="18">
        <f t="shared" si="59"/>
        <v>108.59</v>
      </c>
      <c r="J202" s="38">
        <f t="shared" si="60"/>
        <v>-1.5900000000000025E-2</v>
      </c>
      <c r="K202" s="42">
        <f t="shared" si="61"/>
        <v>-2.9999999999999997E-4</v>
      </c>
      <c r="L202">
        <v>90.789400000000001</v>
      </c>
      <c r="M202" s="42">
        <f t="shared" si="62"/>
        <v>-4.4000000000000003E-3</v>
      </c>
      <c r="N202" s="43">
        <f t="shared" si="63"/>
        <v>-5.2690000000000001E-2</v>
      </c>
      <c r="O202" s="30">
        <f t="shared" si="65"/>
        <v>54.63</v>
      </c>
      <c r="P202" s="31">
        <f t="shared" si="64"/>
        <v>51.38</v>
      </c>
    </row>
    <row r="203" spans="1:16" x14ac:dyDescent="0.25">
      <c r="A203" s="5">
        <v>37225</v>
      </c>
      <c r="B203" s="1">
        <v>44.1</v>
      </c>
      <c r="C203" s="42">
        <f t="shared" si="56"/>
        <v>-1.6500000000000001E-2</v>
      </c>
      <c r="D203">
        <v>-17.7</v>
      </c>
      <c r="E203" s="18">
        <f t="shared" si="57"/>
        <v>-16.5</v>
      </c>
      <c r="F203">
        <v>74.3</v>
      </c>
      <c r="G203" s="42">
        <f t="shared" si="58"/>
        <v>-5.3E-3</v>
      </c>
      <c r="H203">
        <v>107.60850000000001</v>
      </c>
      <c r="I203" s="18">
        <f t="shared" si="59"/>
        <v>108.62</v>
      </c>
      <c r="J203" s="38">
        <f t="shared" si="60"/>
        <v>-1.4299999999999979E-2</v>
      </c>
      <c r="K203" s="42">
        <f t="shared" si="61"/>
        <v>-8.3000000000000001E-3</v>
      </c>
      <c r="L203">
        <v>91.268199999999993</v>
      </c>
      <c r="M203" s="42">
        <f t="shared" si="62"/>
        <v>-3.3E-3</v>
      </c>
      <c r="N203" s="43">
        <f t="shared" si="63"/>
        <v>-4.7530000000000003E-2</v>
      </c>
      <c r="O203" s="30">
        <f t="shared" si="65"/>
        <v>50.63</v>
      </c>
      <c r="P203" s="31">
        <f t="shared" si="64"/>
        <v>56.22</v>
      </c>
    </row>
    <row r="204" spans="1:16" x14ac:dyDescent="0.25">
      <c r="A204" s="5">
        <v>37195</v>
      </c>
      <c r="B204" s="1">
        <v>40.799999999999997</v>
      </c>
      <c r="C204" s="42">
        <f t="shared" si="56"/>
        <v>-1.9900000000000001E-2</v>
      </c>
      <c r="D204">
        <v>-23.6</v>
      </c>
      <c r="E204" s="18">
        <f t="shared" si="57"/>
        <v>-16.63</v>
      </c>
      <c r="F204">
        <v>74.8</v>
      </c>
      <c r="G204" s="42">
        <f t="shared" si="58"/>
        <v>-6.1999999999999998E-3</v>
      </c>
      <c r="H204">
        <v>108.6597</v>
      </c>
      <c r="I204" s="18">
        <f t="shared" si="59"/>
        <v>109.53</v>
      </c>
      <c r="J204" s="38">
        <f t="shared" si="60"/>
        <v>-5.1999999999999824E-3</v>
      </c>
      <c r="K204" s="42">
        <f t="shared" si="61"/>
        <v>-4.0000000000000001E-3</v>
      </c>
      <c r="L204">
        <v>91.679500000000004</v>
      </c>
      <c r="M204" s="42">
        <f t="shared" si="62"/>
        <v>-3.7000000000000002E-3</v>
      </c>
      <c r="N204" s="43">
        <f t="shared" si="63"/>
        <v>-4.6100000000000002E-2</v>
      </c>
      <c r="O204" s="30">
        <f t="shared" si="65"/>
        <v>48.88</v>
      </c>
      <c r="P204" s="31">
        <f t="shared" si="64"/>
        <v>64.44</v>
      </c>
    </row>
    <row r="205" spans="1:16" x14ac:dyDescent="0.25">
      <c r="A205" s="5">
        <v>37164</v>
      </c>
      <c r="B205" s="1">
        <v>46.2</v>
      </c>
      <c r="C205" s="42">
        <f t="shared" si="56"/>
        <v>2.2599999999999999E-2</v>
      </c>
      <c r="D205">
        <v>-8.1999999999999993</v>
      </c>
      <c r="E205" s="18">
        <f t="shared" si="57"/>
        <v>-12.97</v>
      </c>
      <c r="F205">
        <v>75.2</v>
      </c>
      <c r="G205" s="42">
        <f t="shared" si="58"/>
        <v>-7.0000000000000001E-3</v>
      </c>
      <c r="H205">
        <v>109.5929</v>
      </c>
      <c r="I205" s="18">
        <f t="shared" si="59"/>
        <v>109.97</v>
      </c>
      <c r="J205" s="38">
        <f t="shared" si="60"/>
        <v>9.9000000000000199E-3</v>
      </c>
      <c r="K205" s="42">
        <f t="shared" si="61"/>
        <v>-3.3999999999999998E-3</v>
      </c>
      <c r="L205">
        <v>92.002300000000005</v>
      </c>
      <c r="M205" s="42">
        <f t="shared" si="62"/>
        <v>-4.5999999999999999E-3</v>
      </c>
      <c r="N205" s="43">
        <f t="shared" si="63"/>
        <v>-3.882E-2</v>
      </c>
      <c r="O205" s="30">
        <f t="shared" si="65"/>
        <v>69.14</v>
      </c>
      <c r="P205" s="31">
        <f t="shared" si="64"/>
        <v>70.14</v>
      </c>
    </row>
    <row r="206" spans="1:16" x14ac:dyDescent="0.25">
      <c r="A206" s="5">
        <v>37134</v>
      </c>
      <c r="B206" s="1">
        <v>46.3</v>
      </c>
      <c r="C206" s="42">
        <f t="shared" si="56"/>
        <v>3.9100000000000003E-2</v>
      </c>
      <c r="D206">
        <v>-18.100000000000001</v>
      </c>
      <c r="E206" s="18">
        <f t="shared" si="57"/>
        <v>-12.57</v>
      </c>
      <c r="F206">
        <v>75.5</v>
      </c>
      <c r="G206" s="42">
        <f t="shared" si="58"/>
        <v>-9.1000000000000004E-3</v>
      </c>
      <c r="H206">
        <v>110.3374</v>
      </c>
      <c r="I206" s="18">
        <f t="shared" si="59"/>
        <v>110.34</v>
      </c>
      <c r="J206" s="38">
        <f t="shared" si="60"/>
        <v>2.1200000000000108E-2</v>
      </c>
      <c r="K206" s="42">
        <f t="shared" si="61"/>
        <v>1.2999999999999999E-3</v>
      </c>
      <c r="L206">
        <v>92.1721</v>
      </c>
      <c r="M206" s="42">
        <f t="shared" si="62"/>
        <v>-6.1999999999999998E-3</v>
      </c>
      <c r="N206" s="43">
        <f t="shared" si="63"/>
        <v>-4.011E-2</v>
      </c>
      <c r="O206" s="30">
        <f t="shared" si="65"/>
        <v>75.3</v>
      </c>
      <c r="P206" s="31">
        <f t="shared" si="64"/>
        <v>69.56</v>
      </c>
    </row>
    <row r="207" spans="1:16" x14ac:dyDescent="0.25">
      <c r="A207" s="5">
        <v>37103</v>
      </c>
      <c r="B207" s="1">
        <v>43.5</v>
      </c>
      <c r="C207" s="42">
        <f t="shared" si="56"/>
        <v>6.3E-3</v>
      </c>
      <c r="D207">
        <v>-12.6</v>
      </c>
      <c r="E207" s="18">
        <f t="shared" si="57"/>
        <v>-10.47</v>
      </c>
      <c r="F207">
        <v>76.2</v>
      </c>
      <c r="G207" s="42">
        <f t="shared" si="58"/>
        <v>-7.7000000000000002E-3</v>
      </c>
      <c r="H207">
        <v>109.9753</v>
      </c>
      <c r="I207" s="18">
        <f t="shared" si="59"/>
        <v>110.2</v>
      </c>
      <c r="J207" s="38">
        <f t="shared" si="60"/>
        <v>2.0699999999999941E-2</v>
      </c>
      <c r="K207" s="42">
        <f t="shared" si="61"/>
        <v>8.9999999999999998E-4</v>
      </c>
      <c r="L207">
        <v>92.705699999999993</v>
      </c>
      <c r="M207" s="42">
        <f t="shared" si="62"/>
        <v>-5.0000000000000001E-3</v>
      </c>
      <c r="N207" s="43">
        <f t="shared" si="63"/>
        <v>-3.5889999999999998E-2</v>
      </c>
      <c r="O207" s="30">
        <f t="shared" si="65"/>
        <v>65.98</v>
      </c>
      <c r="P207" s="31">
        <f t="shared" si="64"/>
        <v>64.41</v>
      </c>
    </row>
    <row r="208" spans="1:16" x14ac:dyDescent="0.25">
      <c r="A208" s="5">
        <v>37072</v>
      </c>
      <c r="B208" s="1">
        <v>43.2</v>
      </c>
      <c r="C208" s="42">
        <f t="shared" si="56"/>
        <v>8.0000000000000004E-4</v>
      </c>
      <c r="D208">
        <v>-7</v>
      </c>
      <c r="E208" s="18">
        <f t="shared" si="57"/>
        <v>-9.8699999999999992</v>
      </c>
      <c r="F208">
        <v>76.8</v>
      </c>
      <c r="G208" s="42">
        <f t="shared" si="58"/>
        <v>-6.7999999999999996E-3</v>
      </c>
      <c r="H208">
        <v>110.7116</v>
      </c>
      <c r="I208" s="18">
        <f t="shared" si="59"/>
        <v>110.1</v>
      </c>
      <c r="J208" s="38">
        <f t="shared" si="60"/>
        <v>7.2000000000000952E-3</v>
      </c>
      <c r="K208" s="42">
        <f t="shared" si="61"/>
        <v>1.11E-2</v>
      </c>
      <c r="L208">
        <v>93.280299999999997</v>
      </c>
      <c r="M208" s="42">
        <f t="shared" si="62"/>
        <v>-3.8999999999999998E-3</v>
      </c>
      <c r="N208" s="43">
        <f t="shared" si="63"/>
        <v>-2.903E-2</v>
      </c>
      <c r="O208" s="30">
        <f t="shared" si="65"/>
        <v>67.41</v>
      </c>
      <c r="P208" s="31">
        <f t="shared" si="64"/>
        <v>62.02</v>
      </c>
    </row>
    <row r="209" spans="1:16" x14ac:dyDescent="0.25">
      <c r="A209" s="5">
        <v>37042</v>
      </c>
      <c r="B209" s="1">
        <v>41.3</v>
      </c>
      <c r="C209" s="42">
        <f t="shared" si="56"/>
        <v>-6.3E-3</v>
      </c>
      <c r="D209">
        <v>-11.8</v>
      </c>
      <c r="E209" s="18">
        <f t="shared" si="57"/>
        <v>-14.47</v>
      </c>
      <c r="F209">
        <v>77.599999999999994</v>
      </c>
      <c r="G209" s="42">
        <f t="shared" si="58"/>
        <v>-6.4000000000000003E-3</v>
      </c>
      <c r="H209">
        <v>109.9139</v>
      </c>
      <c r="I209" s="18">
        <f t="shared" si="59"/>
        <v>108.89</v>
      </c>
      <c r="J209" s="38">
        <f t="shared" si="60"/>
        <v>-2.1800000000000042E-2</v>
      </c>
      <c r="K209" s="42">
        <f t="shared" si="61"/>
        <v>7.7999999999999996E-3</v>
      </c>
      <c r="L209">
        <v>93.906099999999995</v>
      </c>
      <c r="M209" s="42">
        <f t="shared" si="62"/>
        <v>-3.7000000000000002E-3</v>
      </c>
      <c r="N209" s="43">
        <f t="shared" si="63"/>
        <v>-2.0709999999999999E-2</v>
      </c>
      <c r="O209" s="30">
        <f t="shared" si="65"/>
        <v>59.85</v>
      </c>
      <c r="P209" s="31">
        <f t="shared" si="64"/>
        <v>56.88</v>
      </c>
    </row>
    <row r="210" spans="1:16" x14ac:dyDescent="0.25">
      <c r="A210" s="5">
        <v>37011</v>
      </c>
      <c r="B210" s="1">
        <v>42.7</v>
      </c>
      <c r="C210" s="42">
        <f t="shared" si="56"/>
        <v>3.0999999999999999E-3</v>
      </c>
      <c r="D210">
        <v>-10.8</v>
      </c>
      <c r="E210" s="18">
        <f t="shared" si="57"/>
        <v>-20.329999999999998</v>
      </c>
      <c r="F210">
        <v>78</v>
      </c>
      <c r="G210" s="42">
        <f t="shared" si="58"/>
        <v>-8.0000000000000002E-3</v>
      </c>
      <c r="H210">
        <v>109.6604</v>
      </c>
      <c r="I210" s="18">
        <f t="shared" si="59"/>
        <v>108.05</v>
      </c>
      <c r="J210" s="38">
        <f t="shared" si="60"/>
        <v>-4.4499999999999984E-2</v>
      </c>
      <c r="K210" s="42">
        <f t="shared" si="61"/>
        <v>6.9999999999999999E-4</v>
      </c>
      <c r="L210">
        <v>94.125900000000001</v>
      </c>
      <c r="M210" s="42">
        <f t="shared" si="62"/>
        <v>-5.1000000000000004E-3</v>
      </c>
      <c r="N210" s="43">
        <f t="shared" si="63"/>
        <v>-1.1259999999999999E-2</v>
      </c>
      <c r="O210" s="30">
        <f t="shared" si="65"/>
        <v>58.81</v>
      </c>
      <c r="P210" s="31">
        <f t="shared" si="64"/>
        <v>51.56</v>
      </c>
    </row>
    <row r="211" spans="1:16" x14ac:dyDescent="0.25">
      <c r="A211" s="5">
        <v>36981</v>
      </c>
      <c r="B211" s="1">
        <v>43.1</v>
      </c>
      <c r="C211" s="42">
        <f t="shared" si="56"/>
        <v>-6.1999999999999998E-3</v>
      </c>
      <c r="D211">
        <v>-20.8</v>
      </c>
      <c r="E211" s="18">
        <f t="shared" si="57"/>
        <v>-28.93</v>
      </c>
      <c r="F211">
        <v>78.400000000000006</v>
      </c>
      <c r="G211" s="42">
        <f t="shared" si="58"/>
        <v>-8.3999999999999995E-3</v>
      </c>
      <c r="H211">
        <v>107.0907</v>
      </c>
      <c r="I211" s="18">
        <f t="shared" si="59"/>
        <v>107.97</v>
      </c>
      <c r="J211" s="38">
        <f t="shared" si="60"/>
        <v>-5.4400000000000004E-2</v>
      </c>
      <c r="K211" s="42">
        <f t="shared" si="61"/>
        <v>-1.23E-2</v>
      </c>
      <c r="L211">
        <v>94.369</v>
      </c>
      <c r="M211" s="42">
        <f t="shared" si="62"/>
        <v>-5.1000000000000004E-3</v>
      </c>
      <c r="N211" s="43">
        <f t="shared" si="63"/>
        <v>-4.7400000000000003E-3</v>
      </c>
      <c r="O211" s="30">
        <f t="shared" si="65"/>
        <v>51.98</v>
      </c>
      <c r="P211" s="31">
        <f t="shared" si="64"/>
        <v>48.91</v>
      </c>
    </row>
    <row r="212" spans="1:16" x14ac:dyDescent="0.25">
      <c r="A212" s="5">
        <v>36950</v>
      </c>
      <c r="B212" s="1">
        <v>42.1</v>
      </c>
      <c r="C212" s="42">
        <f t="shared" si="56"/>
        <v>-4.7500000000000001E-2</v>
      </c>
      <c r="D212">
        <v>-29.4</v>
      </c>
      <c r="E212" s="18">
        <f t="shared" si="57"/>
        <v>-24.6</v>
      </c>
      <c r="F212">
        <v>79.099999999999994</v>
      </c>
      <c r="G212" s="42">
        <f t="shared" si="58"/>
        <v>-6.1999999999999998E-3</v>
      </c>
      <c r="H212">
        <v>107.4046</v>
      </c>
      <c r="I212" s="18">
        <f t="shared" si="59"/>
        <v>109.31</v>
      </c>
      <c r="J212" s="38">
        <f t="shared" si="60"/>
        <v>-4.610000000000003E-2</v>
      </c>
      <c r="K212" s="42">
        <f t="shared" si="61"/>
        <v>-1.8100000000000002E-2</v>
      </c>
      <c r="L212">
        <v>94.9499</v>
      </c>
      <c r="M212" s="42">
        <f t="shared" si="62"/>
        <v>-3.0000000000000001E-3</v>
      </c>
      <c r="N212" s="43">
        <f t="shared" si="63"/>
        <v>4.2700000000000004E-3</v>
      </c>
      <c r="O212" s="30">
        <f t="shared" si="65"/>
        <v>43.89</v>
      </c>
      <c r="P212" s="31">
        <f t="shared" si="64"/>
        <v>52.2</v>
      </c>
    </row>
    <row r="213" spans="1:16" x14ac:dyDescent="0.25">
      <c r="A213" s="5">
        <v>36922</v>
      </c>
      <c r="B213" s="1">
        <v>42.3</v>
      </c>
      <c r="C213" s="42">
        <f t="shared" si="56"/>
        <v>-4.5400000000000003E-2</v>
      </c>
      <c r="D213">
        <v>-36.6</v>
      </c>
      <c r="E213" s="18">
        <f t="shared" si="57"/>
        <v>-12.43</v>
      </c>
      <c r="F213">
        <v>79.900000000000006</v>
      </c>
      <c r="G213" s="42">
        <f t="shared" si="58"/>
        <v>-5.0000000000000001E-3</v>
      </c>
      <c r="H213">
        <v>109.411</v>
      </c>
      <c r="I213" s="18">
        <f t="shared" si="59"/>
        <v>111.32</v>
      </c>
      <c r="J213" s="38">
        <f t="shared" si="60"/>
        <v>-3.3299999999999996E-2</v>
      </c>
      <c r="K213" s="42">
        <f t="shared" si="61"/>
        <v>-1.5599999999999999E-2</v>
      </c>
      <c r="L213">
        <v>95.579099999999997</v>
      </c>
      <c r="M213" s="42">
        <f t="shared" si="62"/>
        <v>-1.8E-3</v>
      </c>
      <c r="N213" s="43">
        <f t="shared" si="63"/>
        <v>1.095E-2</v>
      </c>
      <c r="O213" s="30">
        <f t="shared" si="65"/>
        <v>50.86</v>
      </c>
      <c r="P213" s="31">
        <f t="shared" si="64"/>
        <v>63.31</v>
      </c>
    </row>
    <row r="214" spans="1:16" x14ac:dyDescent="0.25">
      <c r="A214" s="5">
        <v>36891</v>
      </c>
      <c r="B214" s="1">
        <v>43.9</v>
      </c>
      <c r="C214" s="42">
        <f t="shared" si="56"/>
        <v>-3.95E-2</v>
      </c>
      <c r="D214">
        <v>-7.8</v>
      </c>
      <c r="E214" s="18">
        <f t="shared" si="57"/>
        <v>0.37</v>
      </c>
      <c r="F214">
        <v>80.400000000000006</v>
      </c>
      <c r="G214" s="42">
        <f t="shared" si="58"/>
        <v>-2.8999999999999998E-3</v>
      </c>
      <c r="H214">
        <v>111.1023</v>
      </c>
      <c r="I214" s="18">
        <f t="shared" si="59"/>
        <v>113.08</v>
      </c>
      <c r="J214" s="38">
        <f t="shared" si="60"/>
        <v>-2.5000000000000022E-2</v>
      </c>
      <c r="K214" s="42">
        <f t="shared" si="61"/>
        <v>-9.5999999999999992E-3</v>
      </c>
      <c r="L214">
        <v>95.839100000000002</v>
      </c>
      <c r="M214" s="42">
        <f t="shared" si="62"/>
        <v>4.0000000000000002E-4</v>
      </c>
      <c r="N214" s="43">
        <f t="shared" si="63"/>
        <v>2.1479999999999999E-2</v>
      </c>
      <c r="O214" s="30">
        <f t="shared" si="65"/>
        <v>61.85</v>
      </c>
      <c r="P214" s="31">
        <f t="shared" si="64"/>
        <v>72.38</v>
      </c>
    </row>
    <row r="215" spans="1:16" x14ac:dyDescent="0.25">
      <c r="A215" s="5">
        <v>36860</v>
      </c>
      <c r="B215" s="1">
        <v>48.5</v>
      </c>
      <c r="C215" s="42">
        <f t="shared" si="56"/>
        <v>-9.4000000000000004E-3</v>
      </c>
      <c r="D215">
        <v>7.1</v>
      </c>
      <c r="E215" s="18">
        <f t="shared" si="57"/>
        <v>4.8</v>
      </c>
      <c r="F215">
        <v>80.599999999999994</v>
      </c>
      <c r="G215" s="42">
        <f t="shared" si="58"/>
        <v>-4.1000000000000003E-3</v>
      </c>
      <c r="H215">
        <v>113.43559999999999</v>
      </c>
      <c r="I215" s="18">
        <f t="shared" si="59"/>
        <v>114.18</v>
      </c>
      <c r="J215" s="38">
        <f t="shared" si="60"/>
        <v>-2.3199999999999998E-2</v>
      </c>
      <c r="K215" s="42">
        <f t="shared" si="61"/>
        <v>-3.5999999999999999E-3</v>
      </c>
      <c r="L215">
        <v>95.822500000000005</v>
      </c>
      <c r="M215" s="42">
        <f t="shared" si="62"/>
        <v>-6.9999999999999999E-4</v>
      </c>
      <c r="N215" s="43">
        <f t="shared" si="63"/>
        <v>2.6169999999999999E-2</v>
      </c>
      <c r="O215" s="30">
        <f t="shared" si="65"/>
        <v>77.22</v>
      </c>
      <c r="P215" s="31">
        <f t="shared" si="64"/>
        <v>78.73</v>
      </c>
    </row>
    <row r="216" spans="1:16" x14ac:dyDescent="0.25">
      <c r="A216" s="5">
        <v>36830</v>
      </c>
      <c r="B216" s="1">
        <v>48.7</v>
      </c>
      <c r="C216" s="42">
        <f t="shared" si="56"/>
        <v>-2.5000000000000001E-2</v>
      </c>
      <c r="D216">
        <v>1.8</v>
      </c>
      <c r="E216" s="18">
        <f t="shared" si="57"/>
        <v>8.1999999999999993</v>
      </c>
      <c r="F216">
        <v>81.099999999999994</v>
      </c>
      <c r="G216" s="42">
        <f t="shared" si="58"/>
        <v>-3.7000000000000002E-3</v>
      </c>
      <c r="H216">
        <v>114.705</v>
      </c>
      <c r="I216" s="18">
        <f t="shared" si="59"/>
        <v>114.59</v>
      </c>
      <c r="J216" s="38">
        <f t="shared" si="60"/>
        <v>-1.7900000000000027E-2</v>
      </c>
      <c r="K216" s="42">
        <f t="shared" si="61"/>
        <v>-4.8999999999999998E-3</v>
      </c>
      <c r="L216">
        <v>96.110500000000002</v>
      </c>
      <c r="M216" s="42">
        <f t="shared" si="62"/>
        <v>-2.0000000000000001E-4</v>
      </c>
      <c r="N216" s="43">
        <f t="shared" si="63"/>
        <v>4.2750000000000003E-2</v>
      </c>
      <c r="O216" s="30">
        <f t="shared" si="65"/>
        <v>78.06</v>
      </c>
      <c r="P216" s="31">
        <f t="shared" si="64"/>
        <v>80.400000000000006</v>
      </c>
    </row>
    <row r="217" spans="1:16" x14ac:dyDescent="0.25">
      <c r="A217" s="5">
        <v>36799</v>
      </c>
      <c r="B217" s="1">
        <v>49.7</v>
      </c>
      <c r="C217" s="42">
        <f t="shared" si="56"/>
        <v>-1.11E-2</v>
      </c>
      <c r="D217">
        <v>5.5</v>
      </c>
      <c r="E217" s="18">
        <f t="shared" si="57"/>
        <v>9.17</v>
      </c>
      <c r="F217">
        <v>81.099999999999994</v>
      </c>
      <c r="G217" s="42">
        <f t="shared" si="58"/>
        <v>-4.4999999999999997E-3</v>
      </c>
      <c r="H217">
        <v>114.4127</v>
      </c>
      <c r="I217" s="18">
        <f t="shared" si="59"/>
        <v>115.16</v>
      </c>
      <c r="J217" s="38">
        <f t="shared" si="60"/>
        <v>-1.1399999999999966E-2</v>
      </c>
      <c r="K217" s="42">
        <f t="shared" si="61"/>
        <v>-7.1000000000000004E-3</v>
      </c>
      <c r="L217">
        <v>95.718199999999996</v>
      </c>
      <c r="M217" s="42">
        <f t="shared" si="62"/>
        <v>-1.1999999999999999E-3</v>
      </c>
      <c r="N217" s="43">
        <f t="shared" si="63"/>
        <v>3.4389999999999997E-2</v>
      </c>
      <c r="O217" s="30">
        <f t="shared" si="65"/>
        <v>80.91</v>
      </c>
      <c r="P217" s="31">
        <f t="shared" si="64"/>
        <v>85.8</v>
      </c>
    </row>
    <row r="218" spans="1:16" x14ac:dyDescent="0.25">
      <c r="A218" s="5">
        <v>36769</v>
      </c>
      <c r="B218" s="1">
        <v>49.9</v>
      </c>
      <c r="C218" s="42">
        <f t="shared" si="56"/>
        <v>-2.1000000000000001E-2</v>
      </c>
      <c r="D218">
        <v>17.3</v>
      </c>
      <c r="E218" s="18">
        <f t="shared" si="57"/>
        <v>8.1999999999999993</v>
      </c>
      <c r="F218">
        <v>81.599999999999994</v>
      </c>
      <c r="G218" s="42">
        <f t="shared" si="58"/>
        <v>-2.8E-3</v>
      </c>
      <c r="H218">
        <v>114.6587</v>
      </c>
      <c r="I218" s="18">
        <f t="shared" si="59"/>
        <v>115.98</v>
      </c>
      <c r="J218" s="38">
        <f t="shared" si="60"/>
        <v>-2.0999999999999908E-3</v>
      </c>
      <c r="K218" s="42">
        <f t="shared" si="61"/>
        <v>-7.7999999999999996E-3</v>
      </c>
      <c r="L218">
        <v>96.023899999999998</v>
      </c>
      <c r="M218" s="42">
        <f t="shared" si="62"/>
        <v>5.0000000000000001E-4</v>
      </c>
      <c r="N218" s="43">
        <f t="shared" si="63"/>
        <v>4.1939999999999998E-2</v>
      </c>
      <c r="O218" s="30">
        <f t="shared" si="65"/>
        <v>82.22</v>
      </c>
      <c r="P218" s="31">
        <f t="shared" si="64"/>
        <v>89.48</v>
      </c>
    </row>
    <row r="219" spans="1:16" x14ac:dyDescent="0.25">
      <c r="A219" s="5">
        <v>36738</v>
      </c>
      <c r="B219" s="1">
        <v>52.5</v>
      </c>
      <c r="C219" s="42">
        <f t="shared" si="56"/>
        <v>-1.38E-2</v>
      </c>
      <c r="D219">
        <v>4.7</v>
      </c>
      <c r="E219" s="18">
        <f t="shared" si="57"/>
        <v>7.07</v>
      </c>
      <c r="F219">
        <v>82</v>
      </c>
      <c r="G219" s="42">
        <f t="shared" si="58"/>
        <v>0</v>
      </c>
      <c r="H219">
        <v>116.42230000000001</v>
      </c>
      <c r="I219" s="18">
        <f t="shared" si="59"/>
        <v>116.89</v>
      </c>
      <c r="J219" s="38">
        <f t="shared" si="60"/>
        <v>9.6000000000000529E-3</v>
      </c>
      <c r="K219" s="42">
        <f t="shared" si="61"/>
        <v>1.8E-3</v>
      </c>
      <c r="L219">
        <v>96.156800000000004</v>
      </c>
      <c r="M219" s="42">
        <f t="shared" si="62"/>
        <v>3.3E-3</v>
      </c>
      <c r="N219" s="43">
        <f t="shared" si="63"/>
        <v>4.9959999999999997E-2</v>
      </c>
      <c r="O219" s="30">
        <f t="shared" si="65"/>
        <v>94.27</v>
      </c>
      <c r="P219" s="31">
        <f t="shared" si="64"/>
        <v>94.67</v>
      </c>
    </row>
    <row r="220" spans="1:16" x14ac:dyDescent="0.25">
      <c r="A220" s="5">
        <v>36707</v>
      </c>
      <c r="B220" s="1">
        <v>51.4</v>
      </c>
      <c r="C220" s="42">
        <f t="shared" si="56"/>
        <v>-2.1499999999999998E-2</v>
      </c>
      <c r="D220">
        <v>2.6</v>
      </c>
      <c r="E220" s="18">
        <f t="shared" si="57"/>
        <v>8.83</v>
      </c>
      <c r="F220">
        <v>82.2</v>
      </c>
      <c r="G220" s="42">
        <f t="shared" si="58"/>
        <v>1.1999999999999999E-3</v>
      </c>
      <c r="H220">
        <v>116.8635</v>
      </c>
      <c r="I220" s="18">
        <f t="shared" si="59"/>
        <v>116.68</v>
      </c>
      <c r="J220" s="38">
        <f t="shared" si="60"/>
        <v>1.309999999999989E-2</v>
      </c>
      <c r="K220" s="42">
        <f t="shared" si="61"/>
        <v>1.6000000000000001E-3</v>
      </c>
      <c r="L220">
        <v>96.069100000000006</v>
      </c>
      <c r="M220" s="42">
        <f t="shared" si="62"/>
        <v>4.4000000000000003E-3</v>
      </c>
      <c r="N220" s="43">
        <f t="shared" si="63"/>
        <v>4.7289999999999999E-2</v>
      </c>
      <c r="O220" s="30">
        <f t="shared" si="65"/>
        <v>91.96</v>
      </c>
      <c r="P220" s="31">
        <f t="shared" si="64"/>
        <v>96.43</v>
      </c>
    </row>
    <row r="221" spans="1:16" x14ac:dyDescent="0.25">
      <c r="A221" s="5">
        <v>36677</v>
      </c>
      <c r="B221" s="1">
        <v>53.2</v>
      </c>
      <c r="C221" s="42">
        <f t="shared" si="56"/>
        <v>-1.5699999999999999E-2</v>
      </c>
      <c r="D221">
        <v>13.9</v>
      </c>
      <c r="E221" s="18">
        <f t="shared" si="57"/>
        <v>14.43</v>
      </c>
      <c r="F221">
        <v>82.3</v>
      </c>
      <c r="G221" s="42">
        <f t="shared" si="58"/>
        <v>1.1999999999999999E-3</v>
      </c>
      <c r="H221">
        <v>117.3813</v>
      </c>
      <c r="I221" s="18">
        <f t="shared" si="59"/>
        <v>116.49</v>
      </c>
      <c r="J221" s="38">
        <f t="shared" si="60"/>
        <v>1.5200000000000102E-2</v>
      </c>
      <c r="K221" s="42">
        <f t="shared" si="61"/>
        <v>2.3E-3</v>
      </c>
      <c r="L221">
        <v>95.892099999999999</v>
      </c>
      <c r="M221" s="42">
        <f t="shared" si="62"/>
        <v>4.7000000000000002E-3</v>
      </c>
      <c r="N221" s="43">
        <f t="shared" si="63"/>
        <v>5.3030000000000001E-2</v>
      </c>
      <c r="O221" s="30">
        <f t="shared" si="65"/>
        <v>97.77</v>
      </c>
      <c r="P221" s="31">
        <f t="shared" si="64"/>
        <v>98.74</v>
      </c>
    </row>
    <row r="222" spans="1:16" x14ac:dyDescent="0.25">
      <c r="A222" s="5">
        <v>36646</v>
      </c>
      <c r="B222" s="1">
        <v>54.7</v>
      </c>
      <c r="C222" s="42">
        <f t="shared" si="56"/>
        <v>-1.1900000000000001E-2</v>
      </c>
      <c r="D222">
        <v>10</v>
      </c>
      <c r="E222" s="18">
        <f t="shared" si="57"/>
        <v>14.67</v>
      </c>
      <c r="F222">
        <v>82</v>
      </c>
      <c r="G222" s="42">
        <f t="shared" si="58"/>
        <v>-8.0000000000000004E-4</v>
      </c>
      <c r="H222">
        <v>115.8082</v>
      </c>
      <c r="I222" s="18">
        <f t="shared" si="59"/>
        <v>116.22</v>
      </c>
      <c r="J222" s="38">
        <f t="shared" si="60"/>
        <v>2.1200000000000108E-2</v>
      </c>
      <c r="K222" s="42">
        <f t="shared" si="61"/>
        <v>3.8E-3</v>
      </c>
      <c r="L222">
        <v>95.198300000000003</v>
      </c>
      <c r="M222" s="42">
        <f t="shared" si="62"/>
        <v>2.3E-3</v>
      </c>
      <c r="N222" s="43">
        <f t="shared" si="63"/>
        <v>4.8079999999999998E-2</v>
      </c>
      <c r="O222" s="30">
        <f t="shared" si="65"/>
        <v>99.55</v>
      </c>
      <c r="P222" s="31">
        <f t="shared" si="64"/>
        <v>100.22</v>
      </c>
    </row>
    <row r="223" spans="1:16" x14ac:dyDescent="0.25">
      <c r="A223" s="5">
        <v>36616</v>
      </c>
      <c r="B223" s="1">
        <v>54.9</v>
      </c>
      <c r="C223" s="42">
        <f t="shared" si="56"/>
        <v>-1.7000000000000001E-2</v>
      </c>
      <c r="D223">
        <v>19.399999999999999</v>
      </c>
      <c r="E223" s="18">
        <f t="shared" si="57"/>
        <v>15.07</v>
      </c>
      <c r="F223">
        <v>81.900000000000006</v>
      </c>
      <c r="G223" s="42">
        <f t="shared" si="58"/>
        <v>0</v>
      </c>
      <c r="H223">
        <v>116.27</v>
      </c>
      <c r="I223" s="18">
        <f t="shared" si="59"/>
        <v>115.78</v>
      </c>
      <c r="J223" s="38">
        <f t="shared" si="60"/>
        <v>2.0399999999999974E-2</v>
      </c>
      <c r="K223" s="42">
        <f t="shared" si="61"/>
        <v>5.3E-3</v>
      </c>
      <c r="L223">
        <v>94.8185</v>
      </c>
      <c r="M223" s="42">
        <f t="shared" si="62"/>
        <v>3.5000000000000001E-3</v>
      </c>
      <c r="N223" s="43">
        <f t="shared" si="63"/>
        <v>4.5769999999999998E-2</v>
      </c>
      <c r="O223" s="30">
        <f t="shared" si="65"/>
        <v>98.9</v>
      </c>
      <c r="P223" s="31">
        <f t="shared" si="64"/>
        <v>103.84</v>
      </c>
    </row>
    <row r="224" spans="1:16" x14ac:dyDescent="0.25">
      <c r="A224" s="5">
        <v>36585</v>
      </c>
      <c r="B224" s="1">
        <v>55.8</v>
      </c>
      <c r="C224" s="42">
        <f t="shared" si="56"/>
        <v>-1.3299999999999999E-2</v>
      </c>
      <c r="D224">
        <v>14.6</v>
      </c>
      <c r="E224" s="18">
        <f t="shared" si="57"/>
        <v>13.33</v>
      </c>
      <c r="F224">
        <v>82</v>
      </c>
      <c r="G224" s="42">
        <f t="shared" si="58"/>
        <v>8.0000000000000004E-4</v>
      </c>
      <c r="H224">
        <v>116.5933</v>
      </c>
      <c r="I224" s="18">
        <f t="shared" si="59"/>
        <v>115.17</v>
      </c>
      <c r="J224" s="38">
        <f t="shared" si="60"/>
        <v>2.8799999999999937E-2</v>
      </c>
      <c r="K224" s="42">
        <f t="shared" si="61"/>
        <v>3.7000000000000002E-3</v>
      </c>
      <c r="L224">
        <v>94.5458</v>
      </c>
      <c r="M224" s="42">
        <f t="shared" si="62"/>
        <v>4.1000000000000003E-3</v>
      </c>
      <c r="N224" s="43">
        <f t="shared" si="63"/>
        <v>4.8300000000000003E-2</v>
      </c>
      <c r="O224" s="30">
        <f t="shared" si="65"/>
        <v>102.21</v>
      </c>
      <c r="P224" s="31">
        <f t="shared" si="64"/>
        <v>107.22</v>
      </c>
    </row>
    <row r="225" spans="1:16" x14ac:dyDescent="0.25">
      <c r="A225" s="5">
        <v>36556</v>
      </c>
      <c r="B225" s="1">
        <v>56.7</v>
      </c>
      <c r="C225" s="42">
        <f t="shared" si="56"/>
        <v>-2.8999999999999998E-3</v>
      </c>
      <c r="D225">
        <v>11.2</v>
      </c>
      <c r="E225" s="18">
        <f t="shared" si="57"/>
        <v>15.43</v>
      </c>
      <c r="F225">
        <v>82.2</v>
      </c>
      <c r="G225" s="42">
        <f t="shared" si="58"/>
        <v>4.8999999999999998E-3</v>
      </c>
      <c r="H225">
        <v>114.46769999999999</v>
      </c>
      <c r="I225" s="18">
        <f t="shared" si="59"/>
        <v>114.75</v>
      </c>
      <c r="J225" s="38">
        <f t="shared" si="60"/>
        <v>2.8699999999999948E-2</v>
      </c>
      <c r="K225" s="42">
        <f t="shared" si="61"/>
        <v>8.3000000000000001E-3</v>
      </c>
      <c r="L225">
        <v>94.5441</v>
      </c>
      <c r="M225" s="42">
        <f t="shared" si="62"/>
        <v>8.5000000000000006E-3</v>
      </c>
      <c r="N225" s="43">
        <f t="shared" si="63"/>
        <v>5.3109999999999997E-2</v>
      </c>
      <c r="O225" s="30">
        <f t="shared" si="65"/>
        <v>110.4</v>
      </c>
      <c r="P225" s="31">
        <f t="shared" si="64"/>
        <v>111.4</v>
      </c>
    </row>
    <row r="226" spans="1:16" x14ac:dyDescent="0.25">
      <c r="A226" s="5">
        <v>36525</v>
      </c>
      <c r="B226" s="1">
        <v>57.8</v>
      </c>
      <c r="C226" s="42">
        <f t="shared" si="56"/>
        <v>4.5999999999999999E-3</v>
      </c>
      <c r="D226">
        <v>14.2</v>
      </c>
      <c r="E226" s="18">
        <f t="shared" si="57"/>
        <v>17.03</v>
      </c>
      <c r="F226">
        <v>81.900000000000006</v>
      </c>
      <c r="G226" s="42">
        <f t="shared" si="58"/>
        <v>8.0000000000000004E-4</v>
      </c>
      <c r="H226">
        <v>114.4615</v>
      </c>
      <c r="I226" s="18">
        <f t="shared" si="59"/>
        <v>113.81</v>
      </c>
      <c r="J226" s="38">
        <f t="shared" si="60"/>
        <v>2.7199999999999891E-2</v>
      </c>
      <c r="K226" s="42">
        <f t="shared" si="61"/>
        <v>3.0999999999999999E-3</v>
      </c>
      <c r="L226">
        <v>93.823999999999998</v>
      </c>
      <c r="M226" s="42">
        <f t="shared" si="62"/>
        <v>4.5999999999999999E-3</v>
      </c>
      <c r="N226" s="43">
        <f t="shared" si="63"/>
        <v>4.9070000000000003E-2</v>
      </c>
      <c r="O226" s="30">
        <f t="shared" si="65"/>
        <v>109.05</v>
      </c>
      <c r="P226" s="31">
        <f t="shared" si="64"/>
        <v>110.41</v>
      </c>
    </row>
    <row r="227" spans="1:16" x14ac:dyDescent="0.25">
      <c r="A227" s="5">
        <v>36494</v>
      </c>
      <c r="B227" s="1">
        <v>58.1</v>
      </c>
      <c r="C227" s="42">
        <f t="shared" si="56"/>
        <v>1.95E-2</v>
      </c>
      <c r="D227">
        <v>20.9</v>
      </c>
      <c r="E227" s="18">
        <f t="shared" si="57"/>
        <v>16.93</v>
      </c>
      <c r="F227">
        <v>81.8</v>
      </c>
      <c r="G227" s="42">
        <f t="shared" si="58"/>
        <v>8.0000000000000004E-4</v>
      </c>
      <c r="H227">
        <v>115.3287</v>
      </c>
      <c r="I227" s="18">
        <f t="shared" si="59"/>
        <v>113.46</v>
      </c>
      <c r="J227" s="38">
        <f t="shared" si="60"/>
        <v>2.629999999999999E-2</v>
      </c>
      <c r="K227" s="42">
        <f t="shared" si="61"/>
        <v>1.35E-2</v>
      </c>
      <c r="L227">
        <v>93.378600000000006</v>
      </c>
      <c r="M227" s="42">
        <f t="shared" si="62"/>
        <v>4.4000000000000003E-3</v>
      </c>
      <c r="N227" s="43">
        <f t="shared" si="63"/>
        <v>4.3499999999999997E-2</v>
      </c>
      <c r="O227" s="30">
        <f t="shared" si="65"/>
        <v>114.75</v>
      </c>
      <c r="P227" s="31">
        <f t="shared" si="64"/>
        <v>109.36</v>
      </c>
    </row>
    <row r="228" spans="1:16" x14ac:dyDescent="0.25">
      <c r="A228" s="5">
        <v>36464</v>
      </c>
      <c r="B228" s="1">
        <v>57.2</v>
      </c>
      <c r="C228" s="42">
        <f t="shared" si="56"/>
        <v>2.18E-2</v>
      </c>
      <c r="D228">
        <v>16</v>
      </c>
      <c r="E228" s="18">
        <f t="shared" si="57"/>
        <v>14.57</v>
      </c>
      <c r="F228">
        <v>81</v>
      </c>
      <c r="G228" s="42">
        <f t="shared" si="58"/>
        <v>-1.6000000000000001E-3</v>
      </c>
      <c r="H228">
        <v>111.6537</v>
      </c>
      <c r="I228" s="18">
        <f t="shared" si="59"/>
        <v>111.95</v>
      </c>
      <c r="J228" s="38">
        <f t="shared" si="60"/>
        <v>1.7700000000000049E-2</v>
      </c>
      <c r="K228" s="42">
        <f t="shared" si="61"/>
        <v>3.5999999999999999E-3</v>
      </c>
      <c r="L228">
        <v>92.169899999999998</v>
      </c>
      <c r="M228" s="42">
        <f t="shared" si="62"/>
        <v>2.0999999999999999E-3</v>
      </c>
      <c r="N228" s="43">
        <f t="shared" si="63"/>
        <v>3.8210000000000001E-2</v>
      </c>
      <c r="O228" s="30">
        <f t="shared" si="65"/>
        <v>107.44</v>
      </c>
      <c r="P228" s="31">
        <f t="shared" si="64"/>
        <v>105.88</v>
      </c>
    </row>
    <row r="229" spans="1:16" x14ac:dyDescent="0.25">
      <c r="A229" s="5">
        <v>36433</v>
      </c>
      <c r="B229" s="1">
        <v>57</v>
      </c>
      <c r="C229" s="42">
        <f t="shared" si="56"/>
        <v>7.3000000000000001E-3</v>
      </c>
      <c r="D229">
        <v>13.9</v>
      </c>
      <c r="E229" s="18">
        <f t="shared" si="57"/>
        <v>12.5</v>
      </c>
      <c r="F229">
        <v>81.7</v>
      </c>
      <c r="G229" s="42">
        <f t="shared" si="58"/>
        <v>-4.0000000000000002E-4</v>
      </c>
      <c r="H229">
        <v>113.38720000000001</v>
      </c>
      <c r="I229" s="18">
        <f t="shared" si="59"/>
        <v>111.55</v>
      </c>
      <c r="J229" s="38">
        <f t="shared" si="60"/>
        <v>2.0199999999999996E-2</v>
      </c>
      <c r="K229" s="42">
        <f t="shared" si="61"/>
        <v>6.7999999999999996E-3</v>
      </c>
      <c r="L229">
        <v>92.536299999999997</v>
      </c>
      <c r="M229" s="42">
        <f t="shared" si="62"/>
        <v>2.8999999999999998E-3</v>
      </c>
      <c r="N229" s="43">
        <f t="shared" si="63"/>
        <v>4.0480000000000002E-2</v>
      </c>
      <c r="O229" s="30">
        <f t="shared" si="65"/>
        <v>105.89</v>
      </c>
      <c r="P229" s="31">
        <f t="shared" si="64"/>
        <v>104.13</v>
      </c>
    </row>
    <row r="230" spans="1:16" x14ac:dyDescent="0.25">
      <c r="A230" s="5">
        <v>36403</v>
      </c>
      <c r="B230" s="1">
        <v>54.8</v>
      </c>
      <c r="C230" s="42">
        <f t="shared" si="56"/>
        <v>3.0999999999999999E-3</v>
      </c>
      <c r="D230">
        <v>13.8</v>
      </c>
      <c r="E230" s="18">
        <f t="shared" si="57"/>
        <v>9.8000000000000007</v>
      </c>
      <c r="F230">
        <v>81.599999999999994</v>
      </c>
      <c r="G230" s="42">
        <f t="shared" si="58"/>
        <v>0</v>
      </c>
      <c r="H230">
        <v>110.81610000000001</v>
      </c>
      <c r="I230" s="18">
        <f t="shared" si="59"/>
        <v>110.8</v>
      </c>
      <c r="J230" s="38">
        <f t="shared" si="60"/>
        <v>1.9099999999999895E-2</v>
      </c>
      <c r="K230" s="42">
        <f t="shared" si="61"/>
        <v>2.3E-3</v>
      </c>
      <c r="L230">
        <v>92.158699999999996</v>
      </c>
      <c r="M230" s="42">
        <f t="shared" si="62"/>
        <v>4.0000000000000001E-3</v>
      </c>
      <c r="N230" s="43">
        <f t="shared" si="63"/>
        <v>5.7489999999999999E-2</v>
      </c>
      <c r="O230" s="30">
        <f t="shared" si="65"/>
        <v>104.3</v>
      </c>
      <c r="P230" s="31">
        <f t="shared" si="64"/>
        <v>104.96</v>
      </c>
    </row>
    <row r="231" spans="1:16" x14ac:dyDescent="0.25">
      <c r="A231" s="5">
        <v>36372</v>
      </c>
      <c r="B231" s="1">
        <v>53.6</v>
      </c>
      <c r="C231" s="42">
        <f t="shared" si="56"/>
        <v>8.0000000000000002E-3</v>
      </c>
      <c r="D231">
        <v>9.8000000000000007</v>
      </c>
      <c r="E231" s="18">
        <f t="shared" si="57"/>
        <v>9.57</v>
      </c>
      <c r="F231">
        <v>81.400000000000006</v>
      </c>
      <c r="G231" s="42">
        <f t="shared" si="58"/>
        <v>-1.1999999999999999E-3</v>
      </c>
      <c r="H231">
        <v>110.461</v>
      </c>
      <c r="I231" s="18">
        <f t="shared" si="59"/>
        <v>110.55</v>
      </c>
      <c r="J231" s="38">
        <f t="shared" si="60"/>
        <v>1.8799999999999928E-2</v>
      </c>
      <c r="K231" s="42">
        <f t="shared" si="61"/>
        <v>5.0000000000000001E-3</v>
      </c>
      <c r="L231">
        <v>91.581800000000001</v>
      </c>
      <c r="M231" s="42">
        <f t="shared" si="62"/>
        <v>2.7000000000000001E-3</v>
      </c>
      <c r="N231" s="43">
        <f t="shared" si="63"/>
        <v>4.7160000000000001E-2</v>
      </c>
      <c r="O231" s="30">
        <f t="shared" si="65"/>
        <v>102.2</v>
      </c>
      <c r="P231" s="31">
        <f t="shared" si="64"/>
        <v>104.95</v>
      </c>
    </row>
    <row r="232" spans="1:16" x14ac:dyDescent="0.25">
      <c r="A232" s="5">
        <v>36341</v>
      </c>
      <c r="B232" s="1">
        <v>55.8</v>
      </c>
      <c r="C232" s="42">
        <f t="shared" si="56"/>
        <v>2.1399999999999999E-2</v>
      </c>
      <c r="D232">
        <v>5.8</v>
      </c>
      <c r="E232" s="18">
        <f t="shared" si="57"/>
        <v>13.17</v>
      </c>
      <c r="F232">
        <v>81.8</v>
      </c>
      <c r="G232" s="42">
        <f t="shared" si="58"/>
        <v>-4.0000000000000002E-4</v>
      </c>
      <c r="H232">
        <v>111.1156</v>
      </c>
      <c r="I232" s="18">
        <f t="shared" si="59"/>
        <v>110</v>
      </c>
      <c r="J232" s="38">
        <f t="shared" si="60"/>
        <v>1.9500000000000073E-2</v>
      </c>
      <c r="K232" s="42">
        <f t="shared" si="61"/>
        <v>6.0000000000000001E-3</v>
      </c>
      <c r="L232">
        <v>91.731099999999998</v>
      </c>
      <c r="M232" s="42">
        <f t="shared" si="62"/>
        <v>3.8999999999999998E-3</v>
      </c>
      <c r="N232" s="43">
        <f t="shared" si="63"/>
        <v>4.2250000000000003E-2</v>
      </c>
      <c r="O232" s="30">
        <f t="shared" si="65"/>
        <v>108.38</v>
      </c>
      <c r="P232" s="31">
        <f t="shared" si="64"/>
        <v>104.4</v>
      </c>
    </row>
    <row r="233" spans="1:16" x14ac:dyDescent="0.25">
      <c r="A233" s="5">
        <v>36311</v>
      </c>
      <c r="B233" s="1">
        <v>54.3</v>
      </c>
      <c r="C233" s="42">
        <f t="shared" si="56"/>
        <v>1.66E-2</v>
      </c>
      <c r="D233">
        <v>13.1</v>
      </c>
      <c r="E233" s="18">
        <f t="shared" si="57"/>
        <v>12.67</v>
      </c>
      <c r="F233">
        <v>81.599999999999994</v>
      </c>
      <c r="G233" s="42">
        <f t="shared" si="58"/>
        <v>-8.0000000000000004E-4</v>
      </c>
      <c r="H233">
        <v>110.0817</v>
      </c>
      <c r="I233" s="18">
        <f t="shared" si="59"/>
        <v>109.34</v>
      </c>
      <c r="J233" s="38">
        <f t="shared" si="60"/>
        <v>1.5300000000000091E-2</v>
      </c>
      <c r="K233" s="42">
        <f t="shared" si="61"/>
        <v>5.7000000000000002E-3</v>
      </c>
      <c r="L233">
        <v>91.063199999999995</v>
      </c>
      <c r="M233" s="42">
        <f t="shared" si="62"/>
        <v>3.2000000000000002E-3</v>
      </c>
      <c r="N233" s="43">
        <f t="shared" si="63"/>
        <v>4.1320000000000003E-2</v>
      </c>
      <c r="O233" s="30">
        <f t="shared" si="65"/>
        <v>104.28</v>
      </c>
      <c r="P233" s="31">
        <f t="shared" si="64"/>
        <v>104.48</v>
      </c>
    </row>
    <row r="234" spans="1:16" x14ac:dyDescent="0.25">
      <c r="A234" s="5">
        <v>36280</v>
      </c>
      <c r="B234" s="1">
        <v>52.3</v>
      </c>
      <c r="C234" s="42">
        <f t="shared" si="56"/>
        <v>1.0999999999999999E-2</v>
      </c>
      <c r="D234">
        <v>20.6</v>
      </c>
      <c r="E234" s="18">
        <f t="shared" si="57"/>
        <v>13.33</v>
      </c>
      <c r="F234">
        <v>81.7</v>
      </c>
      <c r="G234" s="42">
        <f t="shared" si="58"/>
        <v>-4.0000000000000002E-4</v>
      </c>
      <c r="H234">
        <v>108.8019</v>
      </c>
      <c r="I234" s="18">
        <f t="shared" si="59"/>
        <v>108.72</v>
      </c>
      <c r="J234" s="38">
        <f t="shared" si="60"/>
        <v>1.760000000000006E-2</v>
      </c>
      <c r="K234" s="42">
        <f t="shared" si="61"/>
        <v>1.9E-3</v>
      </c>
      <c r="L234">
        <v>90.831000000000003</v>
      </c>
      <c r="M234" s="42">
        <f t="shared" si="62"/>
        <v>3.8999999999999998E-3</v>
      </c>
      <c r="N234" s="43">
        <f t="shared" si="63"/>
        <v>4.2340000000000003E-2</v>
      </c>
      <c r="O234" s="30">
        <f t="shared" si="65"/>
        <v>100.53</v>
      </c>
      <c r="P234" s="31">
        <f t="shared" si="64"/>
        <v>105.44</v>
      </c>
    </row>
    <row r="235" spans="1:16" x14ac:dyDescent="0.25">
      <c r="A235" s="5">
        <v>36250</v>
      </c>
      <c r="B235" s="1">
        <v>52.4</v>
      </c>
      <c r="C235" s="42">
        <f t="shared" si="56"/>
        <v>3.7600000000000001E-2</v>
      </c>
      <c r="D235">
        <v>4.3</v>
      </c>
      <c r="E235" s="18">
        <f t="shared" si="57"/>
        <v>11.03</v>
      </c>
      <c r="F235">
        <v>81.900000000000006</v>
      </c>
      <c r="G235" s="42">
        <f t="shared" si="58"/>
        <v>0</v>
      </c>
      <c r="H235">
        <v>109.14870000000001</v>
      </c>
      <c r="I235" s="18">
        <f t="shared" si="59"/>
        <v>108.51</v>
      </c>
      <c r="J235" s="38">
        <f t="shared" si="60"/>
        <v>2.1200000000000108E-2</v>
      </c>
      <c r="K235" s="42">
        <f t="shared" si="61"/>
        <v>5.7000000000000002E-3</v>
      </c>
      <c r="L235">
        <v>90.668300000000002</v>
      </c>
      <c r="M235" s="42">
        <f t="shared" si="62"/>
        <v>4.5999999999999999E-3</v>
      </c>
      <c r="N235" s="43">
        <f t="shared" si="63"/>
        <v>4.1340000000000002E-2</v>
      </c>
      <c r="O235" s="30">
        <f t="shared" si="65"/>
        <v>108.62</v>
      </c>
      <c r="P235" s="31">
        <f t="shared" si="64"/>
        <v>108.03</v>
      </c>
    </row>
    <row r="236" spans="1:16" x14ac:dyDescent="0.25">
      <c r="A236" s="5">
        <v>36219</v>
      </c>
      <c r="B236" s="1">
        <v>51.7</v>
      </c>
      <c r="C236" s="42">
        <f t="shared" si="56"/>
        <v>2.4E-2</v>
      </c>
      <c r="D236">
        <v>15.1</v>
      </c>
      <c r="E236" s="18">
        <f t="shared" si="57"/>
        <v>11.13</v>
      </c>
      <c r="F236">
        <v>81.8</v>
      </c>
      <c r="G236" s="42">
        <f t="shared" si="58"/>
        <v>-2E-3</v>
      </c>
      <c r="H236">
        <v>108.19670000000001</v>
      </c>
      <c r="I236" s="18">
        <f t="shared" si="59"/>
        <v>107.9</v>
      </c>
      <c r="J236" s="38">
        <f t="shared" si="60"/>
        <v>5.9199999999999919E-2</v>
      </c>
      <c r="K236" s="42">
        <f t="shared" si="61"/>
        <v>2E-3</v>
      </c>
      <c r="L236">
        <v>90.189300000000003</v>
      </c>
      <c r="M236" s="42">
        <f t="shared" si="62"/>
        <v>2.5999999999999999E-3</v>
      </c>
      <c r="N236" s="43">
        <f t="shared" si="63"/>
        <v>3.7060000000000003E-2</v>
      </c>
      <c r="O236" s="30">
        <f t="shared" si="65"/>
        <v>107.18</v>
      </c>
      <c r="P236" s="31">
        <f t="shared" si="64"/>
        <v>103.66</v>
      </c>
    </row>
    <row r="237" spans="1:16" x14ac:dyDescent="0.25">
      <c r="A237" s="5">
        <v>36191</v>
      </c>
      <c r="B237" s="1">
        <v>50.6</v>
      </c>
      <c r="C237" s="42">
        <f t="shared" si="56"/>
        <v>1.32E-2</v>
      </c>
      <c r="D237">
        <v>13.7</v>
      </c>
      <c r="E237" s="18">
        <f t="shared" si="57"/>
        <v>4.53</v>
      </c>
      <c r="F237">
        <v>81.8</v>
      </c>
      <c r="G237" s="42">
        <f t="shared" si="58"/>
        <v>-1.1999999999999999E-3</v>
      </c>
      <c r="H237">
        <v>108.1772</v>
      </c>
      <c r="I237" s="18">
        <f t="shared" si="59"/>
        <v>107.69</v>
      </c>
      <c r="J237" s="38">
        <f t="shared" si="60"/>
        <v>8.2600000000000007E-2</v>
      </c>
      <c r="K237" s="42">
        <f t="shared" si="61"/>
        <v>8.0000000000000002E-3</v>
      </c>
      <c r="L237">
        <v>89.7761</v>
      </c>
      <c r="M237" s="42">
        <f t="shared" si="62"/>
        <v>3.7000000000000002E-3</v>
      </c>
      <c r="N237" s="43">
        <f t="shared" si="63"/>
        <v>3.7560000000000003E-2</v>
      </c>
      <c r="O237" s="30">
        <f t="shared" si="65"/>
        <v>108.28</v>
      </c>
      <c r="P237" s="31">
        <f t="shared" si="64"/>
        <v>104.24</v>
      </c>
    </row>
    <row r="238" spans="1:16" x14ac:dyDescent="0.25">
      <c r="A238" s="5">
        <v>36160</v>
      </c>
      <c r="B238" s="1">
        <v>46.8</v>
      </c>
      <c r="C238" s="42">
        <f t="shared" si="56"/>
        <v>-1.2999999999999999E-2</v>
      </c>
      <c r="D238">
        <v>4.5999999999999996</v>
      </c>
      <c r="E238" s="18">
        <f t="shared" si="57"/>
        <v>1.1299999999999999</v>
      </c>
      <c r="F238">
        <v>81.900000000000006</v>
      </c>
      <c r="G238" s="42">
        <f t="shared" si="58"/>
        <v>-3.2000000000000002E-3</v>
      </c>
      <c r="H238">
        <v>107.3135</v>
      </c>
      <c r="I238" s="18">
        <f t="shared" si="59"/>
        <v>106.84</v>
      </c>
      <c r="J238" s="38">
        <f t="shared" si="60"/>
        <v>8.2500000000000018E-2</v>
      </c>
      <c r="K238" s="42">
        <f t="shared" si="61"/>
        <v>5.4999999999999997E-3</v>
      </c>
      <c r="L238">
        <v>89.4358</v>
      </c>
      <c r="M238" s="42">
        <f t="shared" si="62"/>
        <v>1.9E-3</v>
      </c>
      <c r="N238" s="43">
        <f t="shared" si="63"/>
        <v>3.6819999999999999E-2</v>
      </c>
      <c r="O238" s="30">
        <f t="shared" si="65"/>
        <v>95.52</v>
      </c>
      <c r="P238" s="31">
        <f t="shared" si="64"/>
        <v>99.99</v>
      </c>
    </row>
    <row r="239" spans="1:16" x14ac:dyDescent="0.25">
      <c r="A239" s="5">
        <v>36129</v>
      </c>
      <c r="B239" s="1">
        <v>48.2</v>
      </c>
      <c r="C239" s="42">
        <f t="shared" si="56"/>
        <v>-7.4999999999999997E-3</v>
      </c>
      <c r="D239">
        <v>-4.7</v>
      </c>
      <c r="E239" s="18">
        <f t="shared" si="57"/>
        <v>-5.13</v>
      </c>
      <c r="F239">
        <v>82.3</v>
      </c>
      <c r="G239" s="42">
        <f t="shared" si="58"/>
        <v>3.7000000000000002E-3</v>
      </c>
      <c r="H239">
        <v>107.56529999999999</v>
      </c>
      <c r="I239" s="18">
        <f t="shared" si="59"/>
        <v>106.26</v>
      </c>
      <c r="J239" s="38">
        <f t="shared" si="60"/>
        <v>4.7700000000000076E-2</v>
      </c>
      <c r="K239" s="42">
        <f t="shared" si="61"/>
        <v>4.3099999999999999E-2</v>
      </c>
      <c r="L239">
        <v>89.485699999999994</v>
      </c>
      <c r="M239" s="42">
        <f t="shared" si="62"/>
        <v>8.8000000000000005E-3</v>
      </c>
      <c r="N239" s="43">
        <f t="shared" si="63"/>
        <v>4.6460000000000001E-2</v>
      </c>
      <c r="O239" s="30">
        <f t="shared" si="65"/>
        <v>108.92</v>
      </c>
      <c r="P239" s="31">
        <f t="shared" si="64"/>
        <v>98.26</v>
      </c>
    </row>
    <row r="240" spans="1:16" x14ac:dyDescent="0.25">
      <c r="A240" s="5">
        <v>36099</v>
      </c>
      <c r="B240" s="1">
        <v>48.7</v>
      </c>
      <c r="C240" s="42">
        <f t="shared" si="56"/>
        <v>-3.3999999999999998E-3</v>
      </c>
      <c r="D240">
        <v>3.5</v>
      </c>
      <c r="E240" s="18">
        <f t="shared" si="57"/>
        <v>-0.1</v>
      </c>
      <c r="F240">
        <v>82.1</v>
      </c>
      <c r="G240" s="42">
        <f t="shared" si="58"/>
        <v>-4.0000000000000002E-4</v>
      </c>
      <c r="H240">
        <v>105.64060000000001</v>
      </c>
      <c r="I240" s="18">
        <f t="shared" si="59"/>
        <v>101.87</v>
      </c>
      <c r="J240" s="38">
        <f t="shared" si="60"/>
        <v>-7.7000000000000401E-3</v>
      </c>
      <c r="K240" s="42">
        <f t="shared" si="61"/>
        <v>2.41E-2</v>
      </c>
      <c r="L240">
        <v>88.778000000000006</v>
      </c>
      <c r="M240" s="42">
        <f t="shared" si="62"/>
        <v>5.0000000000000001E-3</v>
      </c>
      <c r="N240" s="43">
        <f t="shared" si="63"/>
        <v>4.7070000000000001E-2</v>
      </c>
      <c r="O240" s="30">
        <f t="shared" si="65"/>
        <v>95.54</v>
      </c>
      <c r="P240" s="31">
        <f t="shared" si="64"/>
        <v>86.75</v>
      </c>
    </row>
    <row r="241" spans="1:16" x14ac:dyDescent="0.25">
      <c r="A241" s="5">
        <v>36068</v>
      </c>
      <c r="B241" s="1">
        <v>48.7</v>
      </c>
      <c r="C241" s="42">
        <f t="shared" si="56"/>
        <v>-1.4E-3</v>
      </c>
      <c r="D241">
        <v>-14.2</v>
      </c>
      <c r="E241" s="18">
        <f t="shared" si="57"/>
        <v>1.5</v>
      </c>
      <c r="F241">
        <v>82.7</v>
      </c>
      <c r="G241" s="42">
        <f t="shared" si="58"/>
        <v>-2E-3</v>
      </c>
      <c r="H241">
        <v>105.5684</v>
      </c>
      <c r="I241" s="18">
        <f t="shared" si="59"/>
        <v>99.47</v>
      </c>
      <c r="J241" s="38">
        <f t="shared" si="60"/>
        <v>-2.6800000000000046E-2</v>
      </c>
      <c r="K241" s="42">
        <f t="shared" si="61"/>
        <v>7.7999999999999996E-3</v>
      </c>
      <c r="L241">
        <v>88.936000000000007</v>
      </c>
      <c r="M241" s="42">
        <f t="shared" si="62"/>
        <v>3.5000000000000001E-3</v>
      </c>
      <c r="N241" s="43">
        <f t="shared" si="63"/>
        <v>5.8389999999999997E-2</v>
      </c>
      <c r="O241" s="30">
        <f t="shared" si="65"/>
        <v>90.31</v>
      </c>
      <c r="P241" s="31">
        <f t="shared" si="64"/>
        <v>82.99</v>
      </c>
    </row>
    <row r="242" spans="1:16" x14ac:dyDescent="0.25">
      <c r="A242" s="5">
        <v>36038</v>
      </c>
      <c r="B242" s="1">
        <v>49.3</v>
      </c>
      <c r="C242" s="42">
        <f t="shared" si="56"/>
        <v>-1.0699999999999999E-2</v>
      </c>
      <c r="D242">
        <v>10.4</v>
      </c>
      <c r="E242" s="18">
        <f t="shared" si="57"/>
        <v>14.27</v>
      </c>
      <c r="F242">
        <v>81.400000000000006</v>
      </c>
      <c r="G242" s="42">
        <f t="shared" si="58"/>
        <v>-7.1999999999999998E-3</v>
      </c>
      <c r="H242">
        <v>94.389200000000002</v>
      </c>
      <c r="I242" s="18">
        <f t="shared" si="59"/>
        <v>98.7</v>
      </c>
      <c r="J242" s="38">
        <f t="shared" si="60"/>
        <v>-3.290000000000004E-2</v>
      </c>
      <c r="K242" s="42">
        <f t="shared" si="61"/>
        <v>-2.6800000000000001E-2</v>
      </c>
      <c r="L242">
        <v>87.148399999999995</v>
      </c>
      <c r="M242" s="42">
        <f t="shared" si="62"/>
        <v>-1.1000000000000001E-3</v>
      </c>
      <c r="N242" s="43">
        <f t="shared" si="63"/>
        <v>4.8039999999999999E-2</v>
      </c>
      <c r="O242" s="30">
        <f t="shared" si="65"/>
        <v>74.400000000000006</v>
      </c>
      <c r="P242" s="31">
        <f t="shared" si="64"/>
        <v>83.87</v>
      </c>
    </row>
    <row r="243" spans="1:16" x14ac:dyDescent="0.25">
      <c r="A243" s="5">
        <v>36007</v>
      </c>
      <c r="B243" s="1">
        <v>49.2</v>
      </c>
      <c r="C243" s="42">
        <f t="shared" si="56"/>
        <v>-1.9699999999999999E-2</v>
      </c>
      <c r="D243">
        <v>8.3000000000000007</v>
      </c>
      <c r="E243" s="18">
        <f t="shared" si="57"/>
        <v>15.2</v>
      </c>
      <c r="F243">
        <v>82.2</v>
      </c>
      <c r="G243" s="42">
        <f t="shared" si="58"/>
        <v>-5.1999999999999998E-3</v>
      </c>
      <c r="H243">
        <v>98.438400000000001</v>
      </c>
      <c r="I243" s="18">
        <f t="shared" si="59"/>
        <v>101.42</v>
      </c>
      <c r="J243" s="38">
        <f t="shared" si="60"/>
        <v>-4.3999999999999595E-3</v>
      </c>
      <c r="K243" s="42">
        <f t="shared" si="61"/>
        <v>-1.21E-2</v>
      </c>
      <c r="L243">
        <v>87.457099999999997</v>
      </c>
      <c r="M243" s="42">
        <f t="shared" si="62"/>
        <v>1.1999999999999999E-3</v>
      </c>
      <c r="N243" s="43">
        <f t="shared" si="63"/>
        <v>5.9659999999999998E-2</v>
      </c>
      <c r="O243" s="30">
        <f t="shared" si="65"/>
        <v>84.26</v>
      </c>
      <c r="P243" s="31">
        <f t="shared" si="64"/>
        <v>91.25</v>
      </c>
    </row>
    <row r="244" spans="1:16" x14ac:dyDescent="0.25">
      <c r="A244" s="5">
        <v>35976</v>
      </c>
      <c r="B244" s="1">
        <v>48.9</v>
      </c>
      <c r="C244" s="42">
        <f t="shared" si="56"/>
        <v>-2.5600000000000001E-2</v>
      </c>
      <c r="D244">
        <v>24.1</v>
      </c>
      <c r="E244" s="18">
        <f t="shared" si="57"/>
        <v>15.33</v>
      </c>
      <c r="F244">
        <v>83.2</v>
      </c>
      <c r="G244" s="42">
        <f t="shared" si="58"/>
        <v>-2.8E-3</v>
      </c>
      <c r="H244">
        <v>103.2638</v>
      </c>
      <c r="I244" s="18">
        <f t="shared" si="59"/>
        <v>102.66</v>
      </c>
      <c r="J244" s="38">
        <f t="shared" si="60"/>
        <v>7.7000000000000401E-3</v>
      </c>
      <c r="K244" s="42">
        <f t="shared" si="61"/>
        <v>4.4000000000000003E-3</v>
      </c>
      <c r="L244">
        <v>88.0124</v>
      </c>
      <c r="M244" s="42">
        <f t="shared" si="62"/>
        <v>3.5999999999999999E-3</v>
      </c>
      <c r="N244" s="43">
        <f t="shared" si="63"/>
        <v>7.1609999999999993E-2</v>
      </c>
      <c r="O244" s="30">
        <f t="shared" si="65"/>
        <v>92.94</v>
      </c>
      <c r="P244" s="31">
        <f t="shared" si="64"/>
        <v>96.47</v>
      </c>
    </row>
    <row r="245" spans="1:16" x14ac:dyDescent="0.25">
      <c r="A245" s="5">
        <v>35946</v>
      </c>
      <c r="B245" s="1">
        <v>50.9</v>
      </c>
      <c r="C245" s="42">
        <f t="shared" si="56"/>
        <v>-1.2699999999999999E-2</v>
      </c>
      <c r="D245">
        <v>13.2</v>
      </c>
      <c r="E245" s="18">
        <f t="shared" si="57"/>
        <v>10.8</v>
      </c>
      <c r="F245">
        <v>83.2</v>
      </c>
      <c r="G245" s="42">
        <f t="shared" si="58"/>
        <v>-4.7999999999999996E-3</v>
      </c>
      <c r="H245">
        <v>102.5501</v>
      </c>
      <c r="I245" s="18">
        <f t="shared" si="59"/>
        <v>102.21</v>
      </c>
      <c r="J245" s="38">
        <f t="shared" si="60"/>
        <v>1.2199999999999989E-2</v>
      </c>
      <c r="K245" s="42">
        <f t="shared" si="61"/>
        <v>1.5E-3</v>
      </c>
      <c r="L245">
        <v>87.449700000000007</v>
      </c>
      <c r="M245" s="42">
        <f t="shared" si="62"/>
        <v>1.9E-3</v>
      </c>
      <c r="N245" s="43">
        <f t="shared" si="63"/>
        <v>7.1150000000000005E-2</v>
      </c>
      <c r="O245" s="30">
        <f t="shared" si="65"/>
        <v>96.54</v>
      </c>
      <c r="P245" s="31">
        <f t="shared" si="64"/>
        <v>100.25</v>
      </c>
    </row>
    <row r="246" spans="1:16" x14ac:dyDescent="0.25">
      <c r="A246" s="5">
        <v>35915</v>
      </c>
      <c r="B246" s="1">
        <v>52.2</v>
      </c>
      <c r="C246" s="42">
        <f t="shared" si="56"/>
        <v>-0.01</v>
      </c>
      <c r="D246">
        <v>8.6999999999999993</v>
      </c>
      <c r="E246" s="18">
        <f t="shared" si="57"/>
        <v>10.8</v>
      </c>
      <c r="F246">
        <v>83.5</v>
      </c>
      <c r="G246" s="42">
        <f t="shared" si="58"/>
        <v>-4.0000000000000001E-3</v>
      </c>
      <c r="H246">
        <v>102.1746</v>
      </c>
      <c r="I246" s="18">
        <f t="shared" si="59"/>
        <v>102.06</v>
      </c>
      <c r="J246" s="38">
        <f t="shared" si="60"/>
        <v>2.2199999999999998E-2</v>
      </c>
      <c r="K246" s="42">
        <f t="shared" si="61"/>
        <v>1.9E-3</v>
      </c>
      <c r="L246">
        <v>87.141400000000004</v>
      </c>
      <c r="M246" s="42">
        <f t="shared" si="62"/>
        <v>2.3999999999999998E-3</v>
      </c>
      <c r="N246" s="43">
        <f t="shared" si="63"/>
        <v>6.7650000000000002E-2</v>
      </c>
      <c r="O246" s="30">
        <f t="shared" si="65"/>
        <v>99.94</v>
      </c>
      <c r="P246" s="31">
        <f t="shared" si="64"/>
        <v>105.14</v>
      </c>
    </row>
    <row r="247" spans="1:16" x14ac:dyDescent="0.25">
      <c r="A247" s="5">
        <v>35885</v>
      </c>
      <c r="B247" s="1">
        <v>52.9</v>
      </c>
      <c r="C247" s="42">
        <f t="shared" si="56"/>
        <v>-9.9000000000000008E-3</v>
      </c>
      <c r="D247">
        <v>10.5</v>
      </c>
      <c r="E247" s="18">
        <f t="shared" si="57"/>
        <v>14.1</v>
      </c>
      <c r="F247">
        <v>83.9</v>
      </c>
      <c r="G247" s="42">
        <f t="shared" si="58"/>
        <v>-3.5000000000000001E-3</v>
      </c>
      <c r="H247">
        <v>101.9029</v>
      </c>
      <c r="I247" s="18">
        <f t="shared" si="59"/>
        <v>101.87</v>
      </c>
      <c r="J247" s="38">
        <f t="shared" si="60"/>
        <v>3.5900000000000043E-2</v>
      </c>
      <c r="K247" s="42">
        <f t="shared" si="61"/>
        <v>-1E-4</v>
      </c>
      <c r="L247">
        <v>87.068700000000007</v>
      </c>
      <c r="M247" s="42">
        <f t="shared" si="62"/>
        <v>3.0999999999999999E-3</v>
      </c>
      <c r="N247" s="43">
        <f t="shared" si="63"/>
        <v>7.4279999999999999E-2</v>
      </c>
      <c r="O247" s="30">
        <f t="shared" si="65"/>
        <v>104.27</v>
      </c>
      <c r="P247" s="31">
        <f t="shared" si="64"/>
        <v>109.67</v>
      </c>
    </row>
    <row r="248" spans="1:16" x14ac:dyDescent="0.25">
      <c r="A248" s="5">
        <v>35854</v>
      </c>
      <c r="B248" s="1">
        <v>52.9</v>
      </c>
      <c r="C248" s="42">
        <f t="shared" si="56"/>
        <v>-1.7100000000000001E-2</v>
      </c>
      <c r="D248">
        <v>13.2</v>
      </c>
      <c r="E248" s="18">
        <f t="shared" si="57"/>
        <v>15.8</v>
      </c>
      <c r="F248">
        <v>84.4</v>
      </c>
      <c r="G248" s="42">
        <f t="shared" si="58"/>
        <v>-8.0000000000000004E-4</v>
      </c>
      <c r="H248">
        <v>102.1039</v>
      </c>
      <c r="I248" s="18">
        <f t="shared" si="59"/>
        <v>101.88</v>
      </c>
      <c r="J248" s="38">
        <f t="shared" si="60"/>
        <v>5.0599999999999978E-2</v>
      </c>
      <c r="K248" s="42">
        <f t="shared" si="61"/>
        <v>8.8999999999999999E-3</v>
      </c>
      <c r="L248">
        <v>86.966200000000001</v>
      </c>
      <c r="M248" s="42">
        <f t="shared" si="62"/>
        <v>5.5999999999999999E-3</v>
      </c>
      <c r="N248" s="43">
        <f t="shared" si="63"/>
        <v>8.5940000000000003E-2</v>
      </c>
      <c r="O248" s="30">
        <f t="shared" si="65"/>
        <v>111.21</v>
      </c>
      <c r="P248" s="31">
        <f t="shared" si="64"/>
        <v>115.67</v>
      </c>
    </row>
    <row r="249" spans="1:16" x14ac:dyDescent="0.25">
      <c r="A249" s="5">
        <v>35826</v>
      </c>
      <c r="B249" s="1">
        <v>53.8</v>
      </c>
      <c r="C249" s="42">
        <f t="shared" si="56"/>
        <v>-1.5599999999999999E-2</v>
      </c>
      <c r="D249">
        <v>18.600000000000001</v>
      </c>
      <c r="E249" s="18">
        <f t="shared" si="57"/>
        <v>18</v>
      </c>
      <c r="F249">
        <v>84.5</v>
      </c>
      <c r="G249" s="42">
        <f t="shared" si="58"/>
        <v>4.0000000000000002E-4</v>
      </c>
      <c r="H249">
        <v>101.61450000000001</v>
      </c>
      <c r="I249" s="18">
        <f t="shared" si="59"/>
        <v>100.98</v>
      </c>
      <c r="J249" s="38">
        <f t="shared" si="60"/>
        <v>5.1700000000000079E-2</v>
      </c>
      <c r="K249" s="42">
        <f t="shared" si="61"/>
        <v>1.14E-2</v>
      </c>
      <c r="L249">
        <v>86.526200000000003</v>
      </c>
      <c r="M249" s="42">
        <f t="shared" si="62"/>
        <v>6.7999999999999996E-3</v>
      </c>
      <c r="N249" s="43">
        <f t="shared" si="63"/>
        <v>8.1809999999999994E-2</v>
      </c>
      <c r="O249" s="30">
        <f t="shared" si="65"/>
        <v>113.54</v>
      </c>
      <c r="P249" s="31">
        <f t="shared" si="64"/>
        <v>118.97</v>
      </c>
    </row>
    <row r="250" spans="1:16" x14ac:dyDescent="0.25">
      <c r="A250" s="5">
        <v>35795</v>
      </c>
      <c r="B250" s="1">
        <v>54.5</v>
      </c>
      <c r="C250" s="42">
        <f t="shared" si="56"/>
        <v>3.5999999999999999E-3</v>
      </c>
      <c r="D250">
        <v>15.6</v>
      </c>
      <c r="E250" s="18">
        <f t="shared" si="57"/>
        <v>18.23</v>
      </c>
      <c r="F250">
        <v>84.8</v>
      </c>
      <c r="G250" s="42">
        <f t="shared" si="58"/>
        <v>2.3999999999999998E-3</v>
      </c>
      <c r="H250">
        <v>101.9074</v>
      </c>
      <c r="I250" s="18">
        <f t="shared" si="59"/>
        <v>99.84</v>
      </c>
      <c r="J250" s="38">
        <f t="shared" si="60"/>
        <v>5.380000000000007E-2</v>
      </c>
      <c r="K250" s="42">
        <f t="shared" si="61"/>
        <v>1.5299999999999999E-2</v>
      </c>
      <c r="L250">
        <v>86.260099999999994</v>
      </c>
      <c r="M250" s="42">
        <f t="shared" si="62"/>
        <v>8.8000000000000005E-3</v>
      </c>
      <c r="N250" s="43">
        <f t="shared" si="63"/>
        <v>8.5470000000000004E-2</v>
      </c>
      <c r="O250" s="30">
        <f t="shared" si="65"/>
        <v>122.26</v>
      </c>
      <c r="P250" s="31">
        <f t="shared" si="64"/>
        <v>119.62</v>
      </c>
    </row>
    <row r="251" spans="1:16" x14ac:dyDescent="0.25">
      <c r="A251" s="5">
        <v>35764</v>
      </c>
      <c r="B251" s="1">
        <v>55.7</v>
      </c>
      <c r="C251" s="42">
        <f t="shared" si="56"/>
        <v>-3.5999999999999999E-3</v>
      </c>
      <c r="D251">
        <v>19.8</v>
      </c>
      <c r="E251" s="18">
        <f t="shared" si="57"/>
        <v>19.399999999999999</v>
      </c>
      <c r="F251">
        <v>84.6</v>
      </c>
      <c r="G251" s="42">
        <f t="shared" si="58"/>
        <v>3.2000000000000002E-3</v>
      </c>
      <c r="H251">
        <v>99.405500000000004</v>
      </c>
      <c r="I251" s="18">
        <f t="shared" si="59"/>
        <v>98.34</v>
      </c>
      <c r="J251" s="38">
        <f t="shared" si="60"/>
        <v>4.8499999999999988E-2</v>
      </c>
      <c r="K251" s="42">
        <f t="shared" si="61"/>
        <v>1.41E-2</v>
      </c>
      <c r="L251">
        <v>85.512500000000003</v>
      </c>
      <c r="M251" s="42">
        <f t="shared" si="62"/>
        <v>9.4000000000000004E-3</v>
      </c>
      <c r="N251" s="43">
        <f t="shared" si="63"/>
        <v>8.5400000000000004E-2</v>
      </c>
      <c r="O251" s="30">
        <f t="shared" si="65"/>
        <v>121.1</v>
      </c>
      <c r="P251" s="31">
        <f t="shared" si="64"/>
        <v>116.07</v>
      </c>
    </row>
    <row r="252" spans="1:16" x14ac:dyDescent="0.25">
      <c r="A252" s="5">
        <v>35734</v>
      </c>
      <c r="B252" s="1">
        <v>56.4</v>
      </c>
      <c r="C252" s="42">
        <f t="shared" si="56"/>
        <v>-7.7000000000000002E-3</v>
      </c>
      <c r="D252">
        <v>19.3</v>
      </c>
      <c r="E252" s="18">
        <f t="shared" si="57"/>
        <v>18.53</v>
      </c>
      <c r="F252">
        <v>84.4</v>
      </c>
      <c r="G252" s="42">
        <f t="shared" si="58"/>
        <v>3.2000000000000002E-3</v>
      </c>
      <c r="H252">
        <v>98.197000000000003</v>
      </c>
      <c r="I252" s="18">
        <f t="shared" si="59"/>
        <v>96.97</v>
      </c>
      <c r="J252" s="38">
        <f t="shared" si="60"/>
        <v>3.5300000000000109E-2</v>
      </c>
      <c r="K252" s="42">
        <f t="shared" si="61"/>
        <v>9.9000000000000008E-3</v>
      </c>
      <c r="L252">
        <v>84.787300000000002</v>
      </c>
      <c r="M252" s="42">
        <f t="shared" si="62"/>
        <v>8.9999999999999993E-3</v>
      </c>
      <c r="N252" s="43">
        <f t="shared" si="63"/>
        <v>7.5469999999999995E-2</v>
      </c>
      <c r="O252" s="30">
        <f t="shared" si="65"/>
        <v>115.5</v>
      </c>
      <c r="P252" s="31">
        <f t="shared" si="64"/>
        <v>112.81</v>
      </c>
    </row>
    <row r="253" spans="1:16" x14ac:dyDescent="0.25">
      <c r="A253" s="5">
        <v>35703</v>
      </c>
      <c r="B253" s="1">
        <v>53.9</v>
      </c>
      <c r="C253" s="42">
        <f t="shared" si="56"/>
        <v>-5.8999999999999999E-3</v>
      </c>
      <c r="D253">
        <v>19.100000000000001</v>
      </c>
      <c r="E253" s="18">
        <f t="shared" si="57"/>
        <v>18.829999999999998</v>
      </c>
      <c r="F253">
        <v>84.2</v>
      </c>
      <c r="G253" s="42">
        <f t="shared" si="58"/>
        <v>2E-3</v>
      </c>
      <c r="H253">
        <v>97.402799999999999</v>
      </c>
      <c r="I253" s="18">
        <f t="shared" si="59"/>
        <v>96.02</v>
      </c>
      <c r="J253" s="38">
        <f t="shared" si="60"/>
        <v>2.4699999999999944E-2</v>
      </c>
      <c r="K253" s="42">
        <f t="shared" si="61"/>
        <v>1.35E-2</v>
      </c>
      <c r="L253">
        <v>84.029300000000006</v>
      </c>
      <c r="M253" s="42">
        <f t="shared" si="62"/>
        <v>7.7000000000000002E-3</v>
      </c>
      <c r="N253" s="43">
        <f t="shared" si="63"/>
        <v>7.3160000000000003E-2</v>
      </c>
      <c r="O253" s="30">
        <f t="shared" si="65"/>
        <v>111.6</v>
      </c>
      <c r="P253" s="31">
        <f t="shared" si="64"/>
        <v>111.58</v>
      </c>
    </row>
    <row r="254" spans="1:16" x14ac:dyDescent="0.25">
      <c r="A254" s="5">
        <v>35673</v>
      </c>
      <c r="B254" s="1">
        <v>56.3</v>
      </c>
      <c r="C254" s="42">
        <f t="shared" si="56"/>
        <v>1.1999999999999999E-3</v>
      </c>
      <c r="D254">
        <v>17.2</v>
      </c>
      <c r="E254" s="18">
        <f t="shared" si="57"/>
        <v>18.47</v>
      </c>
      <c r="F254">
        <v>83.8</v>
      </c>
      <c r="G254" s="42">
        <f t="shared" si="58"/>
        <v>8.0000000000000004E-4</v>
      </c>
      <c r="H254">
        <v>95.322599999999994</v>
      </c>
      <c r="I254" s="18">
        <f t="shared" si="59"/>
        <v>94.74</v>
      </c>
      <c r="J254" s="38">
        <f t="shared" si="60"/>
        <v>1.21E-2</v>
      </c>
      <c r="K254" s="42">
        <f t="shared" si="61"/>
        <v>1.01E-2</v>
      </c>
      <c r="L254">
        <v>83.153800000000004</v>
      </c>
      <c r="M254" s="42">
        <f t="shared" si="62"/>
        <v>6.1000000000000004E-3</v>
      </c>
      <c r="N254" s="43">
        <f t="shared" si="63"/>
        <v>6.8330000000000002E-2</v>
      </c>
      <c r="O254" s="30">
        <f t="shared" si="65"/>
        <v>111.33</v>
      </c>
      <c r="P254" s="31">
        <f t="shared" si="64"/>
        <v>109.53</v>
      </c>
    </row>
    <row r="255" spans="1:16" x14ac:dyDescent="0.25">
      <c r="A255" s="5">
        <v>35642</v>
      </c>
      <c r="B255" s="1">
        <v>57.7</v>
      </c>
      <c r="C255" s="42">
        <f t="shared" si="56"/>
        <v>2.4299999999999999E-2</v>
      </c>
      <c r="D255">
        <v>20.2</v>
      </c>
      <c r="E255" s="18">
        <f t="shared" si="57"/>
        <v>13.1</v>
      </c>
      <c r="F255">
        <v>83.6</v>
      </c>
      <c r="G255" s="42">
        <f t="shared" si="58"/>
        <v>-1.6000000000000001E-3</v>
      </c>
      <c r="H255">
        <v>95.340599999999995</v>
      </c>
      <c r="I255" s="18">
        <f t="shared" si="59"/>
        <v>93.79</v>
      </c>
      <c r="J255" s="38">
        <f t="shared" si="60"/>
        <v>9.7000000000000419E-3</v>
      </c>
      <c r="K255" s="42">
        <f t="shared" si="61"/>
        <v>1.4E-3</v>
      </c>
      <c r="L255">
        <v>82.533199999999994</v>
      </c>
      <c r="M255" s="42">
        <f t="shared" si="62"/>
        <v>3.7000000000000002E-3</v>
      </c>
      <c r="N255" s="43">
        <f t="shared" si="63"/>
        <v>5.8529999999999999E-2</v>
      </c>
      <c r="O255" s="30">
        <f t="shared" si="65"/>
        <v>111.8</v>
      </c>
      <c r="P255" s="31">
        <f t="shared" si="64"/>
        <v>109.88</v>
      </c>
    </row>
    <row r="256" spans="1:16" x14ac:dyDescent="0.25">
      <c r="A256" s="5">
        <v>35611</v>
      </c>
      <c r="B256" s="1">
        <v>54.9</v>
      </c>
      <c r="C256" s="42">
        <f t="shared" si="56"/>
        <v>6.7000000000000002E-3</v>
      </c>
      <c r="D256">
        <v>18</v>
      </c>
      <c r="E256" s="18">
        <f t="shared" si="57"/>
        <v>8.5299999999999994</v>
      </c>
      <c r="F256">
        <v>83.7</v>
      </c>
      <c r="G256" s="42">
        <f t="shared" si="58"/>
        <v>-8.0000000000000004E-4</v>
      </c>
      <c r="H256">
        <v>93.5428</v>
      </c>
      <c r="I256" s="18">
        <f t="shared" si="59"/>
        <v>93.66</v>
      </c>
      <c r="J256" s="38">
        <f t="shared" si="60"/>
        <v>1.6799999999999926E-2</v>
      </c>
      <c r="K256" s="42">
        <f t="shared" si="61"/>
        <v>-5.0000000000000001E-4</v>
      </c>
      <c r="L256">
        <v>82.131100000000004</v>
      </c>
      <c r="M256" s="42">
        <f t="shared" si="62"/>
        <v>4.4000000000000003E-3</v>
      </c>
      <c r="N256" s="43">
        <f t="shared" si="63"/>
        <v>6.2129999999999998E-2</v>
      </c>
      <c r="O256" s="30">
        <f t="shared" si="65"/>
        <v>105.46</v>
      </c>
      <c r="P256" s="31">
        <f t="shared" si="64"/>
        <v>109.28</v>
      </c>
    </row>
    <row r="257" spans="1:16" x14ac:dyDescent="0.25">
      <c r="A257" s="5">
        <v>35581</v>
      </c>
      <c r="B257" s="1">
        <v>56.1</v>
      </c>
      <c r="C257" s="42">
        <f t="shared" si="56"/>
        <v>1.8700000000000001E-2</v>
      </c>
      <c r="D257">
        <v>1.1000000000000001</v>
      </c>
      <c r="E257" s="18">
        <f t="shared" si="57"/>
        <v>7</v>
      </c>
      <c r="F257">
        <v>83.6</v>
      </c>
      <c r="G257" s="42">
        <f t="shared" si="58"/>
        <v>1.1999999999999999E-3</v>
      </c>
      <c r="H257">
        <v>92.477199999999996</v>
      </c>
      <c r="I257" s="18">
        <f t="shared" si="59"/>
        <v>93.71</v>
      </c>
      <c r="J257" s="38">
        <f t="shared" si="60"/>
        <v>2.4799999999999933E-2</v>
      </c>
      <c r="K257" s="42">
        <f t="shared" si="61"/>
        <v>1.1000000000000001E-3</v>
      </c>
      <c r="L257">
        <v>81.640799999999999</v>
      </c>
      <c r="M257" s="42">
        <f t="shared" si="62"/>
        <v>6.4000000000000003E-3</v>
      </c>
      <c r="N257" s="43">
        <f t="shared" si="63"/>
        <v>6.3570000000000002E-2</v>
      </c>
      <c r="O257" s="30">
        <f t="shared" si="65"/>
        <v>112.38</v>
      </c>
      <c r="P257" s="31">
        <f t="shared" si="64"/>
        <v>109.4</v>
      </c>
    </row>
    <row r="258" spans="1:16" x14ac:dyDescent="0.25">
      <c r="A258" s="5">
        <v>35550</v>
      </c>
      <c r="B258" s="1">
        <v>53.7</v>
      </c>
      <c r="C258" s="42">
        <f t="shared" si="56"/>
        <v>-5.9999999999999995E-4</v>
      </c>
      <c r="D258">
        <v>6.5</v>
      </c>
      <c r="E258" s="18">
        <f t="shared" si="57"/>
        <v>12.27</v>
      </c>
      <c r="F258">
        <v>84</v>
      </c>
      <c r="G258" s="42">
        <f t="shared" si="58"/>
        <v>1.6000000000000001E-3</v>
      </c>
      <c r="H258">
        <v>94.945099999999996</v>
      </c>
      <c r="I258" s="18">
        <f t="shared" si="59"/>
        <v>93.61</v>
      </c>
      <c r="J258" s="38">
        <f t="shared" si="60"/>
        <v>2.6200000000000001E-2</v>
      </c>
      <c r="K258" s="42">
        <f t="shared" si="61"/>
        <v>7.7999999999999996E-3</v>
      </c>
      <c r="L258">
        <v>81.619500000000002</v>
      </c>
      <c r="M258" s="42">
        <f t="shared" si="62"/>
        <v>6.7999999999999996E-3</v>
      </c>
      <c r="N258" s="43">
        <f t="shared" si="63"/>
        <v>7.2919999999999999E-2</v>
      </c>
      <c r="O258" s="30">
        <f t="shared" si="65"/>
        <v>110</v>
      </c>
      <c r="P258" s="31">
        <f t="shared" si="64"/>
        <v>106.76</v>
      </c>
    </row>
    <row r="259" spans="1:16" x14ac:dyDescent="0.25">
      <c r="A259" s="5">
        <v>35520</v>
      </c>
      <c r="B259" s="1">
        <v>53.8</v>
      </c>
      <c r="C259" s="42">
        <f t="shared" si="56"/>
        <v>-8.6E-3</v>
      </c>
      <c r="D259">
        <v>13.4</v>
      </c>
      <c r="E259" s="18">
        <f t="shared" si="57"/>
        <v>14.37</v>
      </c>
      <c r="F259">
        <v>83.9</v>
      </c>
      <c r="G259" s="42">
        <f t="shared" si="58"/>
        <v>1.6000000000000001E-3</v>
      </c>
      <c r="H259">
        <v>93.719700000000003</v>
      </c>
      <c r="I259" s="18">
        <f t="shared" si="59"/>
        <v>92.89</v>
      </c>
      <c r="J259" s="38">
        <f t="shared" si="60"/>
        <v>1.9099999999999895E-2</v>
      </c>
      <c r="K259" s="42">
        <f t="shared" si="61"/>
        <v>8.5000000000000006E-3</v>
      </c>
      <c r="L259">
        <v>81.048299999999998</v>
      </c>
      <c r="M259" s="42">
        <f t="shared" si="62"/>
        <v>6.6E-3</v>
      </c>
      <c r="N259" s="43">
        <f t="shared" si="63"/>
        <v>6.4280000000000004E-2</v>
      </c>
      <c r="O259" s="30">
        <f t="shared" si="65"/>
        <v>105.81</v>
      </c>
      <c r="P259" s="31">
        <f t="shared" si="64"/>
        <v>105.31</v>
      </c>
    </row>
    <row r="260" spans="1:16" x14ac:dyDescent="0.25">
      <c r="A260" s="5">
        <v>35489</v>
      </c>
      <c r="B260" s="1">
        <v>53.1</v>
      </c>
      <c r="C260" s="42">
        <f t="shared" si="56"/>
        <v>5.9999999999999995E-4</v>
      </c>
      <c r="D260">
        <v>16.899999999999999</v>
      </c>
      <c r="E260" s="18">
        <f t="shared" si="57"/>
        <v>12.6</v>
      </c>
      <c r="F260">
        <v>83.3</v>
      </c>
      <c r="G260" s="42">
        <f t="shared" si="58"/>
        <v>8.0000000000000004E-4</v>
      </c>
      <c r="H260">
        <v>92.155799999999999</v>
      </c>
      <c r="I260" s="18">
        <f t="shared" si="59"/>
        <v>92.11</v>
      </c>
      <c r="J260" s="38">
        <f t="shared" si="60"/>
        <v>3.2000000000000917E-3</v>
      </c>
      <c r="K260" s="42">
        <f t="shared" si="61"/>
        <v>7.3000000000000001E-3</v>
      </c>
      <c r="L260">
        <v>80.083699999999993</v>
      </c>
      <c r="M260" s="42">
        <f t="shared" si="62"/>
        <v>5.4999999999999997E-3</v>
      </c>
      <c r="N260" s="43">
        <f t="shared" si="63"/>
        <v>6.8029999999999993E-2</v>
      </c>
      <c r="O260" s="30">
        <f t="shared" si="65"/>
        <v>104.47</v>
      </c>
      <c r="P260" s="31">
        <f t="shared" si="64"/>
        <v>105.94</v>
      </c>
    </row>
    <row r="261" spans="1:16" x14ac:dyDescent="0.25">
      <c r="A261" s="5">
        <v>35461</v>
      </c>
      <c r="B261" s="1">
        <v>53.8</v>
      </c>
      <c r="C261" s="42">
        <f t="shared" si="56"/>
        <v>2.0799999999999999E-2</v>
      </c>
      <c r="D261">
        <v>12.8</v>
      </c>
      <c r="E261" s="18">
        <f t="shared" si="57"/>
        <v>10.67</v>
      </c>
      <c r="F261">
        <v>83.6</v>
      </c>
      <c r="G261" s="42">
        <f t="shared" si="58"/>
        <v>0</v>
      </c>
      <c r="H261">
        <v>92.805999999999997</v>
      </c>
      <c r="I261" s="18">
        <f t="shared" si="59"/>
        <v>91.44</v>
      </c>
      <c r="J261" s="38">
        <f t="shared" si="60"/>
        <v>-3.2999999999999696E-3</v>
      </c>
      <c r="K261" s="42">
        <f t="shared" si="61"/>
        <v>2.3999999999999998E-3</v>
      </c>
      <c r="L261">
        <v>79.982900000000001</v>
      </c>
      <c r="M261" s="42">
        <f t="shared" si="62"/>
        <v>4.7999999999999996E-3</v>
      </c>
      <c r="N261" s="43">
        <f t="shared" si="63"/>
        <v>5.9760000000000001E-2</v>
      </c>
      <c r="O261" s="30">
        <f t="shared" si="65"/>
        <v>105.66</v>
      </c>
      <c r="P261" s="31">
        <f t="shared" si="64"/>
        <v>103.86</v>
      </c>
    </row>
    <row r="262" spans="1:16" x14ac:dyDescent="0.25">
      <c r="A262" s="5">
        <v>35430</v>
      </c>
      <c r="B262" s="1">
        <v>55.2</v>
      </c>
      <c r="C262" s="42">
        <f t="shared" ref="C262:C315" si="66">ROUND((AVERAGE(B262:B264)-AVERAGE(B263:B265))/AVERAGE(B263:B265),4)</f>
        <v>2.6499999999999999E-2</v>
      </c>
      <c r="D262">
        <v>8.1</v>
      </c>
      <c r="E262" s="18">
        <f t="shared" ref="E262:E325" si="67">ROUND(AVERAGE(D262:D264),2)</f>
        <v>9.1300000000000008</v>
      </c>
      <c r="F262">
        <v>83.5</v>
      </c>
      <c r="G262" s="42">
        <f t="shared" ref="G262:G325" si="68">ROUND((AVERAGE(F262:F264)-AVERAGE(F263:F265))/AVERAGE(F263:F265),4)</f>
        <v>4.0000000000000002E-4</v>
      </c>
      <c r="H262">
        <v>91.368099999999998</v>
      </c>
      <c r="I262" s="18">
        <f t="shared" ref="I262:I325" si="69">ROUND(AVERAGE(H262:H264),2)</f>
        <v>91.22</v>
      </c>
      <c r="J262" s="38">
        <f t="shared" ref="J262:J325" si="70">ROUND(I262/I266,4)-1</f>
        <v>-1.8000000000000238E-3</v>
      </c>
      <c r="K262" s="42">
        <f t="shared" ref="K262:K323" si="71">ROUND((I262-I263)/I263,4)</f>
        <v>8.0000000000000004E-4</v>
      </c>
      <c r="L262">
        <v>79.468299999999999</v>
      </c>
      <c r="M262" s="42">
        <f t="shared" ref="M262:M325" si="72">ROUND((AVERAGE(L262:L264)-AVERAGE(L263:L265))/AVERAGE(L263:L265),4)</f>
        <v>4.8999999999999998E-3</v>
      </c>
      <c r="N262" s="43">
        <f t="shared" ref="N262:N319" si="73">ROUND((L262-L274)/L274,5)</f>
        <v>5.7009999999999998E-2</v>
      </c>
      <c r="O262" s="30">
        <f t="shared" si="65"/>
        <v>107.7</v>
      </c>
      <c r="P262" s="31">
        <f t="shared" ref="P262:P319" si="74">IF(ROUND(AVERAGE(O262:O264),2)&lt;0,0,ROUND(AVERAGE(O262:O264),2))</f>
        <v>102.54</v>
      </c>
    </row>
    <row r="263" spans="1:16" x14ac:dyDescent="0.25">
      <c r="A263" s="5">
        <v>35399</v>
      </c>
      <c r="B263" s="1">
        <v>53</v>
      </c>
      <c r="C263" s="42">
        <f t="shared" si="66"/>
        <v>9.1000000000000004E-3</v>
      </c>
      <c r="D263">
        <v>11.1</v>
      </c>
      <c r="E263" s="18">
        <f t="shared" si="67"/>
        <v>10.73</v>
      </c>
      <c r="F263">
        <v>83.1</v>
      </c>
      <c r="G263" s="42">
        <f t="shared" si="68"/>
        <v>-8.0000000000000004E-4</v>
      </c>
      <c r="H263">
        <v>90.135900000000007</v>
      </c>
      <c r="I263" s="18">
        <f t="shared" si="69"/>
        <v>91.15</v>
      </c>
      <c r="J263" s="38">
        <f t="shared" si="70"/>
        <v>6.7999999999999172E-3</v>
      </c>
      <c r="K263" s="42">
        <f t="shared" si="71"/>
        <v>-7.3000000000000001E-3</v>
      </c>
      <c r="L263">
        <v>78.784300000000002</v>
      </c>
      <c r="M263" s="42">
        <f t="shared" si="72"/>
        <v>4.0000000000000001E-3</v>
      </c>
      <c r="N263" s="43">
        <f t="shared" si="73"/>
        <v>5.0560000000000001E-2</v>
      </c>
      <c r="O263" s="30">
        <f t="shared" si="65"/>
        <v>98.23</v>
      </c>
      <c r="P263" s="31">
        <f t="shared" si="74"/>
        <v>99.72</v>
      </c>
    </row>
    <row r="264" spans="1:16" x14ac:dyDescent="0.25">
      <c r="A264" s="5">
        <v>35369</v>
      </c>
      <c r="B264" s="1">
        <v>50.5</v>
      </c>
      <c r="C264" s="42">
        <f t="shared" si="66"/>
        <v>5.1999999999999998E-3</v>
      </c>
      <c r="D264">
        <v>8.1999999999999993</v>
      </c>
      <c r="E264" s="18">
        <f t="shared" si="67"/>
        <v>11.63</v>
      </c>
      <c r="F264">
        <v>83.6</v>
      </c>
      <c r="G264" s="42">
        <f t="shared" si="68"/>
        <v>-8.0000000000000004E-4</v>
      </c>
      <c r="H264">
        <v>92.170100000000005</v>
      </c>
      <c r="I264" s="18">
        <f t="shared" si="69"/>
        <v>91.82</v>
      </c>
      <c r="J264" s="38">
        <f t="shared" si="70"/>
        <v>3.8499999999999979E-2</v>
      </c>
      <c r="K264" s="42">
        <f t="shared" si="71"/>
        <v>8.9999999999999998E-4</v>
      </c>
      <c r="L264">
        <v>78.837800000000001</v>
      </c>
      <c r="M264" s="42">
        <f t="shared" si="72"/>
        <v>3.7000000000000002E-3</v>
      </c>
      <c r="N264" s="43">
        <f t="shared" si="73"/>
        <v>5.0110000000000002E-2</v>
      </c>
      <c r="O264" s="30">
        <f t="shared" si="65"/>
        <v>101.68</v>
      </c>
      <c r="P264" s="31">
        <f t="shared" si="74"/>
        <v>104.54</v>
      </c>
    </row>
    <row r="265" spans="1:16" x14ac:dyDescent="0.25">
      <c r="A265" s="5">
        <v>35338</v>
      </c>
      <c r="B265" s="1">
        <v>51.1</v>
      </c>
      <c r="C265" s="42">
        <f t="shared" si="66"/>
        <v>-1.61E-2</v>
      </c>
      <c r="D265">
        <v>12.9</v>
      </c>
      <c r="E265" s="18">
        <f t="shared" si="67"/>
        <v>18.7</v>
      </c>
      <c r="F265">
        <v>83.4</v>
      </c>
      <c r="G265" s="42">
        <f t="shared" si="68"/>
        <v>-4.0000000000000002E-4</v>
      </c>
      <c r="H265">
        <v>91.158900000000003</v>
      </c>
      <c r="I265" s="18">
        <f t="shared" si="69"/>
        <v>91.74</v>
      </c>
      <c r="J265" s="38">
        <f t="shared" si="70"/>
        <v>4.390000000000005E-2</v>
      </c>
      <c r="K265" s="42">
        <f t="shared" si="71"/>
        <v>3.8999999999999998E-3</v>
      </c>
      <c r="L265">
        <v>78.3005</v>
      </c>
      <c r="M265" s="42">
        <f t="shared" si="72"/>
        <v>4.1999999999999997E-3</v>
      </c>
      <c r="N265" s="43">
        <f t="shared" si="73"/>
        <v>4.7070000000000001E-2</v>
      </c>
      <c r="O265" s="30">
        <f t="shared" ref="O265:O319" si="75">ROUND(((B265*2.25)+(F265/1.5)+(G265*500)+(N265*400)+(M265*500)+(J265*300)+(C265*500)+(K265*600)+(E265*0.25))/2.05,2)</f>
        <v>99.24</v>
      </c>
      <c r="P265" s="31">
        <f t="shared" si="74"/>
        <v>107.35</v>
      </c>
    </row>
    <row r="266" spans="1:16" x14ac:dyDescent="0.25">
      <c r="A266" s="5">
        <v>35308</v>
      </c>
      <c r="B266" s="1">
        <v>51.6</v>
      </c>
      <c r="C266" s="42">
        <f t="shared" si="66"/>
        <v>1.6400000000000001E-2</v>
      </c>
      <c r="D266">
        <v>13.8</v>
      </c>
      <c r="E266" s="18">
        <f t="shared" si="67"/>
        <v>21.4</v>
      </c>
      <c r="F266">
        <v>83.3</v>
      </c>
      <c r="G266" s="42">
        <f t="shared" si="68"/>
        <v>0</v>
      </c>
      <c r="H266">
        <v>92.132800000000003</v>
      </c>
      <c r="I266" s="18">
        <f t="shared" si="69"/>
        <v>91.38</v>
      </c>
      <c r="J266" s="38">
        <f t="shared" si="70"/>
        <v>5.4300000000000015E-2</v>
      </c>
      <c r="K266" s="42">
        <f t="shared" si="71"/>
        <v>9.4000000000000004E-3</v>
      </c>
      <c r="L266">
        <v>77.835099999999997</v>
      </c>
      <c r="M266" s="42">
        <f t="shared" si="72"/>
        <v>4.5999999999999999E-3</v>
      </c>
      <c r="N266" s="43">
        <f t="shared" si="73"/>
        <v>5.4039999999999998E-2</v>
      </c>
      <c r="O266" s="30">
        <f t="shared" si="75"/>
        <v>112.7</v>
      </c>
      <c r="P266" s="31">
        <f t="shared" si="74"/>
        <v>112.15</v>
      </c>
    </row>
    <row r="267" spans="1:16" x14ac:dyDescent="0.25">
      <c r="A267" s="5">
        <v>35277</v>
      </c>
      <c r="B267" s="1">
        <v>49.7</v>
      </c>
      <c r="C267" s="42">
        <f t="shared" si="66"/>
        <v>2.5999999999999999E-3</v>
      </c>
      <c r="D267">
        <v>29.4</v>
      </c>
      <c r="E267" s="18">
        <f t="shared" si="67"/>
        <v>23.33</v>
      </c>
      <c r="F267">
        <v>83.8</v>
      </c>
      <c r="G267" s="42">
        <f t="shared" si="68"/>
        <v>3.5999999999999999E-3</v>
      </c>
      <c r="H267">
        <v>91.939400000000006</v>
      </c>
      <c r="I267" s="18">
        <f t="shared" si="69"/>
        <v>90.53</v>
      </c>
      <c r="J267" s="38">
        <f t="shared" si="70"/>
        <v>3.3300000000000107E-2</v>
      </c>
      <c r="K267" s="42">
        <f t="shared" si="71"/>
        <v>2.3900000000000001E-2</v>
      </c>
      <c r="L267">
        <v>77.969399999999993</v>
      </c>
      <c r="M267" s="42">
        <f t="shared" si="72"/>
        <v>8.2000000000000007E-3</v>
      </c>
      <c r="N267" s="43">
        <f t="shared" si="73"/>
        <v>5.1659999999999998E-2</v>
      </c>
      <c r="O267" s="30">
        <f t="shared" si="75"/>
        <v>110.11</v>
      </c>
      <c r="P267" s="31">
        <f t="shared" si="74"/>
        <v>108.84</v>
      </c>
    </row>
    <row r="268" spans="1:16" x14ac:dyDescent="0.25">
      <c r="A268" s="5">
        <v>35246</v>
      </c>
      <c r="B268" s="1">
        <v>53.6</v>
      </c>
      <c r="C268" s="42">
        <f t="shared" si="66"/>
        <v>4.6100000000000002E-2</v>
      </c>
      <c r="D268">
        <v>21</v>
      </c>
      <c r="E268" s="18">
        <f t="shared" si="67"/>
        <v>20.63</v>
      </c>
      <c r="F268">
        <v>83.5</v>
      </c>
      <c r="G268" s="42">
        <f t="shared" si="68"/>
        <v>4.0000000000000002E-4</v>
      </c>
      <c r="H268">
        <v>90.054699999999997</v>
      </c>
      <c r="I268" s="18">
        <f t="shared" si="69"/>
        <v>88.42</v>
      </c>
      <c r="J268" s="38">
        <f t="shared" si="70"/>
        <v>1.1600000000000055E-2</v>
      </c>
      <c r="K268" s="42">
        <f t="shared" si="71"/>
        <v>6.1000000000000004E-3</v>
      </c>
      <c r="L268">
        <v>77.326899999999995</v>
      </c>
      <c r="M268" s="42">
        <f t="shared" si="72"/>
        <v>5.1000000000000004E-3</v>
      </c>
      <c r="N268" s="43">
        <f t="shared" si="73"/>
        <v>4.657E-2</v>
      </c>
      <c r="O268" s="30">
        <f t="shared" si="75"/>
        <v>113.65</v>
      </c>
      <c r="P268" s="31">
        <f t="shared" si="74"/>
        <v>102.03</v>
      </c>
    </row>
    <row r="269" spans="1:16" x14ac:dyDescent="0.25">
      <c r="A269" s="5">
        <v>35216</v>
      </c>
      <c r="B269" s="1">
        <v>49.1</v>
      </c>
      <c r="C269" s="42">
        <f t="shared" si="66"/>
        <v>2.2499999999999999E-2</v>
      </c>
      <c r="D269">
        <v>19.600000000000001</v>
      </c>
      <c r="E269" s="18">
        <f t="shared" si="67"/>
        <v>12.47</v>
      </c>
      <c r="F269">
        <v>83.3</v>
      </c>
      <c r="G269" s="42">
        <f t="shared" si="68"/>
        <v>3.2000000000000002E-3</v>
      </c>
      <c r="H269">
        <v>89.605199999999996</v>
      </c>
      <c r="I269" s="18">
        <f t="shared" si="69"/>
        <v>87.88</v>
      </c>
      <c r="J269" s="38">
        <f t="shared" si="70"/>
        <v>-1.2999999999999678E-3</v>
      </c>
      <c r="K269" s="42">
        <f t="shared" si="71"/>
        <v>1.4E-2</v>
      </c>
      <c r="L269">
        <v>76.760800000000003</v>
      </c>
      <c r="M269" s="42">
        <f t="shared" si="72"/>
        <v>7.7999999999999996E-3</v>
      </c>
      <c r="N269" s="43">
        <f t="shared" si="73"/>
        <v>4.1869999999999997E-2</v>
      </c>
      <c r="O269" s="30">
        <f t="shared" si="75"/>
        <v>102.75</v>
      </c>
      <c r="P269" s="31">
        <f t="shared" si="74"/>
        <v>93.17</v>
      </c>
    </row>
    <row r="270" spans="1:16" x14ac:dyDescent="0.25">
      <c r="A270" s="5">
        <v>35185</v>
      </c>
      <c r="B270" s="1">
        <v>49.3</v>
      </c>
      <c r="C270" s="42">
        <f t="shared" si="66"/>
        <v>2.75E-2</v>
      </c>
      <c r="D270">
        <v>21.3</v>
      </c>
      <c r="E270" s="18">
        <f t="shared" si="67"/>
        <v>7.53</v>
      </c>
      <c r="F270">
        <v>82.9</v>
      </c>
      <c r="G270" s="42">
        <f t="shared" si="68"/>
        <v>-2E-3</v>
      </c>
      <c r="H270">
        <v>85.604299999999995</v>
      </c>
      <c r="I270" s="18">
        <f t="shared" si="69"/>
        <v>86.67</v>
      </c>
      <c r="J270" s="38">
        <f t="shared" si="70"/>
        <v>-1.6000000000000014E-2</v>
      </c>
      <c r="K270" s="42">
        <f t="shared" si="71"/>
        <v>-1.0699999999999999E-2</v>
      </c>
      <c r="L270">
        <v>76.072400000000002</v>
      </c>
      <c r="M270" s="42">
        <f t="shared" si="72"/>
        <v>2.5999999999999999E-3</v>
      </c>
      <c r="N270" s="43">
        <f t="shared" si="73"/>
        <v>3.2340000000000001E-2</v>
      </c>
      <c r="O270" s="30">
        <f t="shared" si="75"/>
        <v>89.68</v>
      </c>
      <c r="P270" s="31">
        <f t="shared" si="74"/>
        <v>85.08</v>
      </c>
    </row>
    <row r="271" spans="1:16" x14ac:dyDescent="0.25">
      <c r="A271" s="5">
        <v>35155</v>
      </c>
      <c r="B271" s="1">
        <v>46.9</v>
      </c>
      <c r="C271" s="42">
        <f t="shared" si="66"/>
        <v>5.1000000000000004E-3</v>
      </c>
      <c r="D271">
        <v>-3.5</v>
      </c>
      <c r="E271" s="18">
        <f t="shared" si="67"/>
        <v>-4.47</v>
      </c>
      <c r="F271">
        <v>83.4</v>
      </c>
      <c r="G271" s="42">
        <f t="shared" si="68"/>
        <v>0</v>
      </c>
      <c r="H271">
        <v>88.433899999999994</v>
      </c>
      <c r="I271" s="18">
        <f t="shared" si="69"/>
        <v>87.61</v>
      </c>
      <c r="J271" s="38">
        <f t="shared" si="70"/>
        <v>-5.0000000000000044E-3</v>
      </c>
      <c r="K271" s="42">
        <f t="shared" si="71"/>
        <v>2.3E-3</v>
      </c>
      <c r="L271">
        <v>76.153000000000006</v>
      </c>
      <c r="M271" s="42">
        <f t="shared" si="72"/>
        <v>4.3E-3</v>
      </c>
      <c r="N271" s="43">
        <f t="shared" si="73"/>
        <v>3.4840000000000003E-2</v>
      </c>
      <c r="O271" s="30">
        <f t="shared" si="75"/>
        <v>87.08</v>
      </c>
      <c r="P271" s="31">
        <f t="shared" si="74"/>
        <v>82.68</v>
      </c>
    </row>
    <row r="272" spans="1:16" x14ac:dyDescent="0.25">
      <c r="A272" s="5">
        <v>35124</v>
      </c>
      <c r="B272" s="1">
        <v>45.9</v>
      </c>
      <c r="C272" s="42">
        <f t="shared" si="66"/>
        <v>0</v>
      </c>
      <c r="D272">
        <v>4.8</v>
      </c>
      <c r="E272" s="18">
        <f t="shared" si="67"/>
        <v>3.23</v>
      </c>
      <c r="F272">
        <v>82.5</v>
      </c>
      <c r="G272" s="42">
        <f t="shared" si="68"/>
        <v>-4.4000000000000003E-3</v>
      </c>
      <c r="H272">
        <v>85.981399999999994</v>
      </c>
      <c r="I272" s="18">
        <f t="shared" si="69"/>
        <v>87.41</v>
      </c>
      <c r="J272" s="38">
        <f t="shared" si="70"/>
        <v>3.1000000000001027E-3</v>
      </c>
      <c r="K272" s="42">
        <f t="shared" si="71"/>
        <v>-6.6E-3</v>
      </c>
      <c r="L272">
        <v>74.982299999999995</v>
      </c>
      <c r="M272" s="42">
        <f t="shared" si="72"/>
        <v>0</v>
      </c>
      <c r="N272" s="43">
        <f t="shared" si="73"/>
        <v>1.755E-2</v>
      </c>
      <c r="O272" s="30">
        <f t="shared" si="75"/>
        <v>78.47</v>
      </c>
      <c r="P272" s="31">
        <f t="shared" si="74"/>
        <v>82.38</v>
      </c>
    </row>
    <row r="273" spans="1:16" x14ac:dyDescent="0.25">
      <c r="A273" s="5">
        <v>35095</v>
      </c>
      <c r="B273" s="1">
        <v>45.5</v>
      </c>
      <c r="C273" s="42">
        <f t="shared" si="66"/>
        <v>-8.6E-3</v>
      </c>
      <c r="D273">
        <v>-14.7</v>
      </c>
      <c r="E273" s="18">
        <f t="shared" si="67"/>
        <v>3.47</v>
      </c>
      <c r="F273">
        <v>83.4</v>
      </c>
      <c r="G273" s="42">
        <f t="shared" si="68"/>
        <v>-2.3999999999999998E-3</v>
      </c>
      <c r="H273">
        <v>88.4071</v>
      </c>
      <c r="I273" s="18">
        <f t="shared" si="69"/>
        <v>87.99</v>
      </c>
      <c r="J273" s="38">
        <f t="shared" si="70"/>
        <v>1.6799999999999926E-2</v>
      </c>
      <c r="K273" s="42">
        <f t="shared" si="71"/>
        <v>-1E-3</v>
      </c>
      <c r="L273">
        <v>75.472499999999997</v>
      </c>
      <c r="M273" s="42">
        <f t="shared" si="72"/>
        <v>1.8E-3</v>
      </c>
      <c r="N273" s="43">
        <f t="shared" si="73"/>
        <v>2.605E-2</v>
      </c>
      <c r="O273" s="30">
        <f t="shared" si="75"/>
        <v>82.49</v>
      </c>
      <c r="P273" s="31">
        <f t="shared" si="74"/>
        <v>86.73</v>
      </c>
    </row>
    <row r="274" spans="1:16" x14ac:dyDescent="0.25">
      <c r="A274" s="5">
        <v>35064</v>
      </c>
      <c r="B274" s="1">
        <v>46.2</v>
      </c>
      <c r="C274" s="42">
        <f t="shared" si="66"/>
        <v>-1.35E-2</v>
      </c>
      <c r="D274">
        <v>19.600000000000001</v>
      </c>
      <c r="E274" s="18">
        <f t="shared" si="67"/>
        <v>15.6</v>
      </c>
      <c r="F274">
        <v>83.4</v>
      </c>
      <c r="G274" s="42">
        <f t="shared" si="68"/>
        <v>-2.3999999999999998E-3</v>
      </c>
      <c r="H274">
        <v>87.830500000000001</v>
      </c>
      <c r="I274" s="18">
        <f t="shared" si="69"/>
        <v>88.08</v>
      </c>
      <c r="J274" s="38">
        <f t="shared" si="70"/>
        <v>2.3400000000000087E-2</v>
      </c>
      <c r="K274" s="42">
        <f t="shared" si="71"/>
        <v>2.9999999999999997E-4</v>
      </c>
      <c r="L274">
        <v>75.182199999999995</v>
      </c>
      <c r="M274" s="42">
        <f t="shared" si="72"/>
        <v>1.8E-3</v>
      </c>
      <c r="N274" s="43">
        <f t="shared" si="73"/>
        <v>3.27E-2</v>
      </c>
      <c r="O274" s="30">
        <f t="shared" si="75"/>
        <v>86.19</v>
      </c>
      <c r="P274" s="31">
        <f t="shared" si="74"/>
        <v>88.06</v>
      </c>
    </row>
    <row r="275" spans="1:16" x14ac:dyDescent="0.25">
      <c r="A275" s="5">
        <v>35033</v>
      </c>
      <c r="B275" s="1">
        <v>45.9</v>
      </c>
      <c r="C275" s="42">
        <f t="shared" si="66"/>
        <v>-8.5000000000000006E-3</v>
      </c>
      <c r="D275">
        <v>5.5</v>
      </c>
      <c r="E275" s="18">
        <f t="shared" si="67"/>
        <v>17.8</v>
      </c>
      <c r="F275">
        <v>83.6</v>
      </c>
      <c r="G275" s="42">
        <f t="shared" si="68"/>
        <v>1.1999999999999999E-3</v>
      </c>
      <c r="H275">
        <v>87.738500000000002</v>
      </c>
      <c r="I275" s="18">
        <f t="shared" si="69"/>
        <v>88.05</v>
      </c>
      <c r="J275" s="38">
        <f t="shared" si="70"/>
        <v>1.4599999999999946E-2</v>
      </c>
      <c r="K275" s="42">
        <f t="shared" si="71"/>
        <v>1.04E-2</v>
      </c>
      <c r="L275">
        <v>74.992500000000007</v>
      </c>
      <c r="M275" s="42">
        <f t="shared" si="72"/>
        <v>5.1000000000000004E-3</v>
      </c>
      <c r="N275" s="43">
        <f t="shared" si="73"/>
        <v>3.6549999999999999E-2</v>
      </c>
      <c r="O275" s="30">
        <f t="shared" si="75"/>
        <v>91.51</v>
      </c>
      <c r="P275" s="31">
        <f t="shared" si="74"/>
        <v>90.84</v>
      </c>
    </row>
    <row r="276" spans="1:16" x14ac:dyDescent="0.25">
      <c r="A276" s="5">
        <v>35003</v>
      </c>
      <c r="B276" s="1">
        <v>46.7</v>
      </c>
      <c r="C276" s="42">
        <f t="shared" si="66"/>
        <v>-2.7400000000000001E-2</v>
      </c>
      <c r="D276">
        <v>21.7</v>
      </c>
      <c r="E276" s="18">
        <f t="shared" si="67"/>
        <v>16.37</v>
      </c>
      <c r="F276">
        <v>84</v>
      </c>
      <c r="G276" s="42">
        <f t="shared" si="68"/>
        <v>4.0000000000000002E-4</v>
      </c>
      <c r="H276">
        <v>88.670599999999993</v>
      </c>
      <c r="I276" s="18">
        <f t="shared" si="69"/>
        <v>87.14</v>
      </c>
      <c r="J276" s="38">
        <f t="shared" si="70"/>
        <v>2.3999999999999577E-3</v>
      </c>
      <c r="K276" s="42">
        <f t="shared" si="71"/>
        <v>6.8999999999999999E-3</v>
      </c>
      <c r="L276">
        <v>75.075500000000005</v>
      </c>
      <c r="M276" s="42">
        <f t="shared" si="72"/>
        <v>4.1999999999999997E-3</v>
      </c>
      <c r="N276" s="43">
        <f t="shared" si="73"/>
        <v>4.6589999999999999E-2</v>
      </c>
      <c r="O276" s="30">
        <f t="shared" si="75"/>
        <v>86.47</v>
      </c>
      <c r="P276" s="31">
        <f t="shared" si="74"/>
        <v>87.03</v>
      </c>
    </row>
    <row r="277" spans="1:16" x14ac:dyDescent="0.25">
      <c r="A277" s="5">
        <v>34972</v>
      </c>
      <c r="B277" s="1">
        <v>48.1</v>
      </c>
      <c r="C277" s="42">
        <f t="shared" si="66"/>
        <v>1.5299999999999999E-2</v>
      </c>
      <c r="D277">
        <v>26.2</v>
      </c>
      <c r="E277" s="18">
        <f t="shared" si="67"/>
        <v>2.37</v>
      </c>
      <c r="F277">
        <v>84</v>
      </c>
      <c r="G277" s="42">
        <f t="shared" si="68"/>
        <v>4.0000000000000002E-4</v>
      </c>
      <c r="H277">
        <v>87.752200000000002</v>
      </c>
      <c r="I277" s="18">
        <f t="shared" si="69"/>
        <v>86.54</v>
      </c>
      <c r="J277" s="38">
        <f t="shared" si="70"/>
        <v>-8.80000000000003E-3</v>
      </c>
      <c r="K277" s="42">
        <f t="shared" si="71"/>
        <v>5.4999999999999997E-3</v>
      </c>
      <c r="L277">
        <v>74.780299999999997</v>
      </c>
      <c r="M277" s="42">
        <f t="shared" si="72"/>
        <v>4.0000000000000001E-3</v>
      </c>
      <c r="N277" s="43">
        <f t="shared" si="73"/>
        <v>4.6249999999999999E-2</v>
      </c>
      <c r="O277" s="30">
        <f t="shared" si="75"/>
        <v>94.55</v>
      </c>
      <c r="P277" s="31">
        <f t="shared" si="74"/>
        <v>87.01</v>
      </c>
    </row>
    <row r="278" spans="1:16" x14ac:dyDescent="0.25">
      <c r="A278" s="5">
        <v>34942</v>
      </c>
      <c r="B278" s="1">
        <v>47.1</v>
      </c>
      <c r="C278" s="42">
        <f t="shared" si="66"/>
        <v>2.8E-3</v>
      </c>
      <c r="D278">
        <v>1.2</v>
      </c>
      <c r="E278" s="18">
        <f t="shared" si="67"/>
        <v>-13.27</v>
      </c>
      <c r="F278">
        <v>83.3</v>
      </c>
      <c r="G278" s="42">
        <f t="shared" si="68"/>
        <v>-2.8E-3</v>
      </c>
      <c r="H278">
        <v>85.000500000000002</v>
      </c>
      <c r="I278" s="18">
        <f t="shared" si="69"/>
        <v>86.07</v>
      </c>
      <c r="J278" s="38">
        <f t="shared" si="70"/>
        <v>-1.7399999999999971E-2</v>
      </c>
      <c r="K278" s="42">
        <f t="shared" si="71"/>
        <v>-8.2000000000000007E-3</v>
      </c>
      <c r="L278">
        <v>73.844700000000003</v>
      </c>
      <c r="M278" s="42">
        <f t="shared" si="72"/>
        <v>8.0000000000000004E-4</v>
      </c>
      <c r="N278" s="43">
        <f t="shared" si="73"/>
        <v>3.9199999999999999E-2</v>
      </c>
      <c r="O278" s="30">
        <f t="shared" si="75"/>
        <v>80.06</v>
      </c>
      <c r="P278" s="31">
        <f t="shared" si="74"/>
        <v>79.81</v>
      </c>
    </row>
    <row r="279" spans="1:16" x14ac:dyDescent="0.25">
      <c r="A279" s="5">
        <v>34911</v>
      </c>
      <c r="B279" s="1">
        <v>50.7</v>
      </c>
      <c r="C279" s="42">
        <f t="shared" si="66"/>
        <v>-5.5999999999999999E-3</v>
      </c>
      <c r="D279">
        <v>-20.3</v>
      </c>
      <c r="E279" s="18">
        <f t="shared" si="67"/>
        <v>-16.5</v>
      </c>
      <c r="F279">
        <v>83.9</v>
      </c>
      <c r="G279" s="42">
        <f t="shared" si="68"/>
        <v>-1.6000000000000001E-3</v>
      </c>
      <c r="H279">
        <v>86.875399999999999</v>
      </c>
      <c r="I279" s="18">
        <f t="shared" si="69"/>
        <v>86.78</v>
      </c>
      <c r="J279" s="38">
        <f t="shared" si="70"/>
        <v>-1.0299999999999976E-2</v>
      </c>
      <c r="K279" s="42">
        <f t="shared" si="71"/>
        <v>-1.6999999999999999E-3</v>
      </c>
      <c r="L279">
        <v>74.139099999999999</v>
      </c>
      <c r="M279" s="42">
        <f t="shared" si="72"/>
        <v>2E-3</v>
      </c>
      <c r="N279" s="43">
        <f t="shared" si="73"/>
        <v>4.4979999999999999E-2</v>
      </c>
      <c r="O279" s="30">
        <f t="shared" si="75"/>
        <v>86.42</v>
      </c>
      <c r="P279" s="31">
        <f t="shared" si="74"/>
        <v>77.599999999999994</v>
      </c>
    </row>
    <row r="280" spans="1:16" x14ac:dyDescent="0.25">
      <c r="A280" s="5">
        <v>34880</v>
      </c>
      <c r="B280" s="1">
        <v>45.9</v>
      </c>
      <c r="C280" s="42">
        <f t="shared" si="66"/>
        <v>-4.1300000000000003E-2</v>
      </c>
      <c r="D280">
        <v>-20.7</v>
      </c>
      <c r="E280" s="18">
        <f t="shared" si="67"/>
        <v>-13.47</v>
      </c>
      <c r="F280">
        <v>83.9</v>
      </c>
      <c r="G280" s="42">
        <f t="shared" si="68"/>
        <v>-2.3999999999999998E-3</v>
      </c>
      <c r="H280">
        <v>86.343000000000004</v>
      </c>
      <c r="I280" s="18">
        <f t="shared" si="69"/>
        <v>86.93</v>
      </c>
      <c r="J280" s="38">
        <f t="shared" si="70"/>
        <v>-5.6000000000000494E-3</v>
      </c>
      <c r="K280" s="42">
        <f t="shared" si="71"/>
        <v>-4.4000000000000003E-3</v>
      </c>
      <c r="L280">
        <v>73.885800000000003</v>
      </c>
      <c r="M280" s="42">
        <f t="shared" si="72"/>
        <v>1.2999999999999999E-3</v>
      </c>
      <c r="N280" s="43">
        <f t="shared" si="73"/>
        <v>4.8059999999999999E-2</v>
      </c>
      <c r="O280" s="30">
        <f t="shared" si="75"/>
        <v>72.95</v>
      </c>
      <c r="P280" s="31">
        <f t="shared" si="74"/>
        <v>77.89</v>
      </c>
    </row>
    <row r="281" spans="1:16" x14ac:dyDescent="0.25">
      <c r="A281" s="5">
        <v>34850</v>
      </c>
      <c r="B281" s="1">
        <v>46.7</v>
      </c>
      <c r="C281" s="42">
        <f t="shared" si="66"/>
        <v>-5.2900000000000003E-2</v>
      </c>
      <c r="D281">
        <v>-8.5</v>
      </c>
      <c r="E281" s="18">
        <f t="shared" si="67"/>
        <v>-5.9</v>
      </c>
      <c r="F281">
        <v>84</v>
      </c>
      <c r="G281" s="42">
        <f t="shared" si="68"/>
        <v>-3.5000000000000001E-3</v>
      </c>
      <c r="H281">
        <v>87.133300000000006</v>
      </c>
      <c r="I281" s="18">
        <f t="shared" si="69"/>
        <v>87.31</v>
      </c>
      <c r="J281" s="38">
        <f t="shared" si="70"/>
        <v>2.8999999999999027E-3</v>
      </c>
      <c r="K281" s="42">
        <f t="shared" si="71"/>
        <v>-3.2000000000000002E-3</v>
      </c>
      <c r="L281">
        <v>73.676000000000002</v>
      </c>
      <c r="M281" s="42">
        <f t="shared" si="72"/>
        <v>-1E-4</v>
      </c>
      <c r="N281" s="43">
        <f t="shared" si="73"/>
        <v>5.0639999999999998E-2</v>
      </c>
      <c r="O281" s="30">
        <f t="shared" si="75"/>
        <v>73.44</v>
      </c>
      <c r="P281" s="31">
        <f t="shared" si="74"/>
        <v>85.97</v>
      </c>
    </row>
    <row r="282" spans="1:16" x14ac:dyDescent="0.25">
      <c r="A282" s="5">
        <v>34819</v>
      </c>
      <c r="B282" s="1">
        <v>51.5</v>
      </c>
      <c r="C282" s="42">
        <f t="shared" si="66"/>
        <v>-3.5799999999999998E-2</v>
      </c>
      <c r="D282">
        <v>-11.2</v>
      </c>
      <c r="E282" s="18">
        <f t="shared" si="67"/>
        <v>0</v>
      </c>
      <c r="F282">
        <v>84.3</v>
      </c>
      <c r="G282" s="42">
        <f t="shared" si="68"/>
        <v>-2.8E-3</v>
      </c>
      <c r="H282">
        <v>87.300899999999999</v>
      </c>
      <c r="I282" s="18">
        <f t="shared" si="69"/>
        <v>87.59</v>
      </c>
      <c r="J282" s="38">
        <f t="shared" si="70"/>
        <v>1.2999999999999901E-2</v>
      </c>
      <c r="K282" s="42">
        <f t="shared" si="71"/>
        <v>-1E-3</v>
      </c>
      <c r="L282">
        <v>73.689499999999995</v>
      </c>
      <c r="M282" s="42">
        <f t="shared" si="72"/>
        <v>5.9999999999999995E-4</v>
      </c>
      <c r="N282" s="43">
        <f t="shared" si="73"/>
        <v>5.636E-2</v>
      </c>
      <c r="O282" s="30">
        <f t="shared" si="75"/>
        <v>87.28</v>
      </c>
      <c r="P282" s="31">
        <f t="shared" si="74"/>
        <v>96.34</v>
      </c>
    </row>
    <row r="283" spans="1:16" x14ac:dyDescent="0.25">
      <c r="A283" s="5">
        <v>34789</v>
      </c>
      <c r="B283" s="1">
        <v>52.1</v>
      </c>
      <c r="C283" s="42">
        <f t="shared" si="66"/>
        <v>-2.3699999999999999E-2</v>
      </c>
      <c r="D283">
        <v>2</v>
      </c>
      <c r="E283" s="18">
        <f t="shared" si="67"/>
        <v>6.67</v>
      </c>
      <c r="F283">
        <v>84.5</v>
      </c>
      <c r="G283" s="42">
        <f t="shared" si="68"/>
        <v>4.0000000000000002E-4</v>
      </c>
      <c r="H283">
        <v>87.498000000000005</v>
      </c>
      <c r="I283" s="18">
        <f t="shared" si="69"/>
        <v>87.68</v>
      </c>
      <c r="J283" s="38">
        <f t="shared" si="70"/>
        <v>1.9099999999999895E-2</v>
      </c>
      <c r="K283" s="42">
        <f t="shared" si="71"/>
        <v>3.0000000000000001E-3</v>
      </c>
      <c r="L283">
        <v>73.588899999999995</v>
      </c>
      <c r="M283" s="42">
        <f t="shared" si="72"/>
        <v>3.5999999999999999E-3</v>
      </c>
      <c r="N283" s="43">
        <f t="shared" si="73"/>
        <v>6.5860000000000002E-2</v>
      </c>
      <c r="O283" s="30">
        <f t="shared" si="75"/>
        <v>97.2</v>
      </c>
      <c r="P283" s="31">
        <f t="shared" si="74"/>
        <v>105.1</v>
      </c>
    </row>
    <row r="284" spans="1:16" x14ac:dyDescent="0.25">
      <c r="A284" s="5">
        <v>34758</v>
      </c>
      <c r="B284" s="1">
        <v>55.1</v>
      </c>
      <c r="C284" s="42">
        <f t="shared" si="66"/>
        <v>-2.3699999999999999E-2</v>
      </c>
      <c r="D284">
        <v>9.1999999999999993</v>
      </c>
      <c r="E284" s="18">
        <f t="shared" si="67"/>
        <v>13.77</v>
      </c>
      <c r="F284">
        <v>84.9</v>
      </c>
      <c r="G284" s="42">
        <f t="shared" si="68"/>
        <v>2.8E-3</v>
      </c>
      <c r="H284">
        <v>87.968000000000004</v>
      </c>
      <c r="I284" s="18">
        <f t="shared" si="69"/>
        <v>87.42</v>
      </c>
      <c r="J284" s="38">
        <f t="shared" si="70"/>
        <v>2.7400000000000091E-2</v>
      </c>
      <c r="K284" s="42">
        <f t="shared" si="71"/>
        <v>4.1000000000000003E-3</v>
      </c>
      <c r="L284">
        <v>73.689099999999996</v>
      </c>
      <c r="M284" s="42">
        <f t="shared" si="72"/>
        <v>6.1000000000000004E-3</v>
      </c>
      <c r="N284" s="43">
        <f t="shared" si="73"/>
        <v>6.7500000000000004E-2</v>
      </c>
      <c r="O284" s="30">
        <f t="shared" si="75"/>
        <v>104.54</v>
      </c>
      <c r="P284" s="31">
        <f t="shared" si="74"/>
        <v>109.06</v>
      </c>
    </row>
    <row r="285" spans="1:16" x14ac:dyDescent="0.25">
      <c r="A285" s="5">
        <v>34730</v>
      </c>
      <c r="B285" s="1">
        <v>57.4</v>
      </c>
      <c r="C285" s="42">
        <f t="shared" si="66"/>
        <v>-1.14E-2</v>
      </c>
      <c r="D285">
        <v>8.8000000000000007</v>
      </c>
      <c r="E285" s="18">
        <f t="shared" si="67"/>
        <v>18.93</v>
      </c>
      <c r="F285">
        <v>85</v>
      </c>
      <c r="G285" s="42">
        <f t="shared" si="68"/>
        <v>5.1999999999999998E-3</v>
      </c>
      <c r="H285">
        <v>87.561199999999999</v>
      </c>
      <c r="I285" s="18">
        <f t="shared" si="69"/>
        <v>87.06</v>
      </c>
      <c r="J285" s="38">
        <f t="shared" si="70"/>
        <v>3.0799999999999939E-2</v>
      </c>
      <c r="K285" s="42">
        <f t="shared" si="71"/>
        <v>6.7999999999999996E-3</v>
      </c>
      <c r="L285">
        <v>73.556299999999993</v>
      </c>
      <c r="M285" s="42">
        <f t="shared" si="72"/>
        <v>8.3999999999999995E-3</v>
      </c>
      <c r="N285" s="43">
        <f t="shared" si="73"/>
        <v>6.9540000000000005E-2</v>
      </c>
      <c r="O285" s="30">
        <f t="shared" si="75"/>
        <v>113.55</v>
      </c>
      <c r="P285" s="31">
        <f t="shared" si="74"/>
        <v>113.95</v>
      </c>
    </row>
    <row r="286" spans="1:16" x14ac:dyDescent="0.25">
      <c r="A286" s="5">
        <v>34699</v>
      </c>
      <c r="B286" s="1">
        <v>56.1</v>
      </c>
      <c r="C286" s="42">
        <f t="shared" si="66"/>
        <v>-1.6299999999999999E-2</v>
      </c>
      <c r="D286">
        <v>23.3</v>
      </c>
      <c r="E286" s="18">
        <f t="shared" si="67"/>
        <v>24.7</v>
      </c>
      <c r="F286">
        <v>84.4</v>
      </c>
      <c r="G286" s="42">
        <f t="shared" si="68"/>
        <v>2.8E-3</v>
      </c>
      <c r="H286">
        <v>86.739900000000006</v>
      </c>
      <c r="I286" s="18">
        <f t="shared" si="69"/>
        <v>86.47</v>
      </c>
      <c r="J286" s="38">
        <f t="shared" si="70"/>
        <v>3.2999999999999918E-2</v>
      </c>
      <c r="K286" s="42">
        <f t="shared" si="71"/>
        <v>5.0000000000000001E-3</v>
      </c>
      <c r="L286">
        <v>72.8018</v>
      </c>
      <c r="M286" s="42">
        <f t="shared" si="72"/>
        <v>6.1999999999999998E-3</v>
      </c>
      <c r="N286" s="43">
        <f t="shared" si="73"/>
        <v>6.4219999999999999E-2</v>
      </c>
      <c r="O286" s="30">
        <f t="shared" si="75"/>
        <v>109.08</v>
      </c>
      <c r="P286" s="31">
        <f t="shared" si="74"/>
        <v>114.63</v>
      </c>
    </row>
    <row r="287" spans="1:16" x14ac:dyDescent="0.25">
      <c r="A287" s="5">
        <v>34668</v>
      </c>
      <c r="B287" s="1">
        <v>59.2</v>
      </c>
      <c r="C287" s="42">
        <f t="shared" si="66"/>
        <v>6.7999999999999996E-3</v>
      </c>
      <c r="D287">
        <v>24.7</v>
      </c>
      <c r="E287" s="18">
        <f t="shared" si="67"/>
        <v>23.07</v>
      </c>
      <c r="F287">
        <v>84.2</v>
      </c>
      <c r="G287" s="42">
        <f t="shared" si="68"/>
        <v>3.2000000000000002E-3</v>
      </c>
      <c r="H287">
        <v>86.870999999999995</v>
      </c>
      <c r="I287" s="18">
        <f t="shared" si="69"/>
        <v>86.04</v>
      </c>
      <c r="J287" s="38">
        <f t="shared" si="70"/>
        <v>3.2499999999999973E-2</v>
      </c>
      <c r="K287" s="42">
        <f t="shared" si="71"/>
        <v>1.12E-2</v>
      </c>
      <c r="L287">
        <v>72.347899999999996</v>
      </c>
      <c r="M287" s="42">
        <f t="shared" si="72"/>
        <v>6.0000000000000001E-3</v>
      </c>
      <c r="N287" s="43">
        <f t="shared" si="73"/>
        <v>6.2039999999999998E-2</v>
      </c>
      <c r="O287" s="30">
        <f t="shared" si="75"/>
        <v>119.21</v>
      </c>
      <c r="P287" s="31">
        <f t="shared" si="74"/>
        <v>116.65</v>
      </c>
    </row>
    <row r="288" spans="1:16" x14ac:dyDescent="0.25">
      <c r="A288" s="5">
        <v>34638</v>
      </c>
      <c r="B288" s="1">
        <v>59.4</v>
      </c>
      <c r="C288" s="42">
        <f t="shared" si="66"/>
        <v>5.1000000000000004E-3</v>
      </c>
      <c r="D288">
        <v>26.1</v>
      </c>
      <c r="E288" s="18">
        <f t="shared" si="67"/>
        <v>21</v>
      </c>
      <c r="F288">
        <v>83.7</v>
      </c>
      <c r="G288" s="42">
        <f t="shared" si="68"/>
        <v>4.0000000000000002E-4</v>
      </c>
      <c r="H288">
        <v>85.784199999999998</v>
      </c>
      <c r="I288" s="18">
        <f t="shared" si="69"/>
        <v>85.09</v>
      </c>
      <c r="J288" s="38">
        <f t="shared" si="70"/>
        <v>2.9300000000000104E-2</v>
      </c>
      <c r="K288" s="42">
        <f t="shared" si="71"/>
        <v>7.4999999999999997E-3</v>
      </c>
      <c r="L288">
        <v>71.7333</v>
      </c>
      <c r="M288" s="42">
        <f t="shared" si="72"/>
        <v>3.7000000000000002E-3</v>
      </c>
      <c r="N288" s="43">
        <f t="shared" si="73"/>
        <v>6.0999999999999999E-2</v>
      </c>
      <c r="O288" s="30">
        <f t="shared" si="75"/>
        <v>115.6</v>
      </c>
      <c r="P288" s="31">
        <f t="shared" si="74"/>
        <v>113.76</v>
      </c>
    </row>
    <row r="289" spans="1:16" x14ac:dyDescent="0.25">
      <c r="A289" s="5">
        <v>34607</v>
      </c>
      <c r="B289" s="1">
        <v>59</v>
      </c>
      <c r="C289" s="42">
        <f t="shared" si="66"/>
        <v>1.1000000000000001E-3</v>
      </c>
      <c r="D289">
        <v>18.399999999999999</v>
      </c>
      <c r="E289" s="18">
        <f t="shared" si="67"/>
        <v>18.2</v>
      </c>
      <c r="F289">
        <v>83.7</v>
      </c>
      <c r="G289" s="42">
        <f t="shared" si="68"/>
        <v>1.6000000000000001E-3</v>
      </c>
      <c r="H289">
        <v>85.460800000000006</v>
      </c>
      <c r="I289" s="18">
        <f t="shared" si="69"/>
        <v>84.46</v>
      </c>
      <c r="J289" s="38">
        <f t="shared" si="70"/>
        <v>3.0100000000000016E-2</v>
      </c>
      <c r="K289" s="42">
        <f t="shared" si="71"/>
        <v>8.9999999999999993E-3</v>
      </c>
      <c r="L289">
        <v>71.474900000000005</v>
      </c>
      <c r="M289" s="42">
        <f t="shared" si="72"/>
        <v>4.5999999999999999E-3</v>
      </c>
      <c r="N289" s="43">
        <f t="shared" si="73"/>
        <v>6.2210000000000001E-2</v>
      </c>
      <c r="O289" s="30">
        <f t="shared" si="75"/>
        <v>115.15</v>
      </c>
      <c r="P289" s="31">
        <f t="shared" si="74"/>
        <v>113.74</v>
      </c>
    </row>
    <row r="290" spans="1:16" x14ac:dyDescent="0.25">
      <c r="A290" s="5">
        <v>34577</v>
      </c>
      <c r="B290" s="1">
        <v>58</v>
      </c>
      <c r="C290" s="42">
        <f t="shared" si="66"/>
        <v>-1.1000000000000001E-3</v>
      </c>
      <c r="D290">
        <v>18.5</v>
      </c>
      <c r="E290" s="18">
        <f t="shared" si="67"/>
        <v>20.399999999999999</v>
      </c>
      <c r="F290">
        <v>83.4</v>
      </c>
      <c r="G290" s="42">
        <f t="shared" si="68"/>
        <v>1.1999999999999999E-3</v>
      </c>
      <c r="H290">
        <v>84.025000000000006</v>
      </c>
      <c r="I290" s="18">
        <f t="shared" si="69"/>
        <v>83.71</v>
      </c>
      <c r="J290" s="38">
        <f t="shared" si="70"/>
        <v>2.7900000000000036E-2</v>
      </c>
      <c r="K290" s="42">
        <f t="shared" si="71"/>
        <v>4.5999999999999999E-3</v>
      </c>
      <c r="L290">
        <v>71.0595</v>
      </c>
      <c r="M290" s="42">
        <f t="shared" si="72"/>
        <v>4.4000000000000003E-3</v>
      </c>
      <c r="N290" s="43">
        <f t="shared" si="73"/>
        <v>5.4940000000000003E-2</v>
      </c>
      <c r="O290" s="30">
        <f t="shared" si="75"/>
        <v>110.52</v>
      </c>
      <c r="P290" s="31">
        <f t="shared" si="74"/>
        <v>114.18</v>
      </c>
    </row>
    <row r="291" spans="1:16" x14ac:dyDescent="0.25">
      <c r="A291" s="5">
        <v>34546</v>
      </c>
      <c r="B291" s="1">
        <v>58.5</v>
      </c>
      <c r="C291" s="42">
        <f t="shared" si="66"/>
        <v>6.3E-3</v>
      </c>
      <c r="D291">
        <v>17.7</v>
      </c>
      <c r="E291" s="18">
        <f t="shared" si="67"/>
        <v>21.6</v>
      </c>
      <c r="F291">
        <v>83.6</v>
      </c>
      <c r="G291" s="42">
        <f t="shared" si="68"/>
        <v>2.8E-3</v>
      </c>
      <c r="H291">
        <v>83.903700000000001</v>
      </c>
      <c r="I291" s="18">
        <f t="shared" si="69"/>
        <v>83.33</v>
      </c>
      <c r="J291" s="38">
        <f t="shared" si="70"/>
        <v>3.1099999999999905E-2</v>
      </c>
      <c r="K291" s="42">
        <f t="shared" si="71"/>
        <v>8.0000000000000002E-3</v>
      </c>
      <c r="L291">
        <v>70.947999999999993</v>
      </c>
      <c r="M291" s="42">
        <f t="shared" si="72"/>
        <v>5.7000000000000002E-3</v>
      </c>
      <c r="N291" s="43">
        <f t="shared" si="73"/>
        <v>5.6509999999999998E-2</v>
      </c>
      <c r="O291" s="30">
        <f t="shared" si="75"/>
        <v>115.56</v>
      </c>
      <c r="P291" s="31">
        <f t="shared" si="74"/>
        <v>114.83</v>
      </c>
    </row>
    <row r="292" spans="1:16" x14ac:dyDescent="0.25">
      <c r="A292" s="5">
        <v>34515</v>
      </c>
      <c r="B292" s="1">
        <v>58.8</v>
      </c>
      <c r="C292" s="42">
        <f t="shared" si="66"/>
        <v>1.0999999999999999E-2</v>
      </c>
      <c r="D292">
        <v>25</v>
      </c>
      <c r="E292" s="18">
        <f t="shared" si="67"/>
        <v>21.3</v>
      </c>
      <c r="F292">
        <v>83.3</v>
      </c>
      <c r="G292" s="42">
        <f t="shared" si="68"/>
        <v>4.4000000000000003E-3</v>
      </c>
      <c r="H292">
        <v>83.186300000000003</v>
      </c>
      <c r="I292" s="18">
        <f t="shared" si="69"/>
        <v>82.67</v>
      </c>
      <c r="J292" s="38">
        <f t="shared" si="70"/>
        <v>2.9099999999999904E-2</v>
      </c>
      <c r="K292" s="42">
        <f t="shared" si="71"/>
        <v>8.3000000000000001E-3</v>
      </c>
      <c r="L292">
        <v>70.497799999999998</v>
      </c>
      <c r="M292" s="42">
        <f t="shared" si="72"/>
        <v>7.0000000000000001E-3</v>
      </c>
      <c r="N292" s="43">
        <f t="shared" si="73"/>
        <v>5.1700000000000003E-2</v>
      </c>
      <c r="O292" s="30">
        <f t="shared" si="75"/>
        <v>116.46</v>
      </c>
      <c r="P292" s="31">
        <f t="shared" si="74"/>
        <v>113.51</v>
      </c>
    </row>
    <row r="293" spans="1:16" x14ac:dyDescent="0.25">
      <c r="A293" s="5">
        <v>34485</v>
      </c>
      <c r="B293" s="1">
        <v>58.2</v>
      </c>
      <c r="C293" s="42">
        <f t="shared" si="66"/>
        <v>0.01</v>
      </c>
      <c r="D293">
        <v>22.1</v>
      </c>
      <c r="E293" s="18">
        <f t="shared" si="67"/>
        <v>19.57</v>
      </c>
      <c r="F293">
        <v>83.1</v>
      </c>
      <c r="G293" s="42">
        <f t="shared" si="68"/>
        <v>2.8E-3</v>
      </c>
      <c r="H293">
        <v>82.913399999999996</v>
      </c>
      <c r="I293" s="18">
        <f t="shared" si="69"/>
        <v>81.99</v>
      </c>
      <c r="J293" s="38">
        <f t="shared" si="70"/>
        <v>3.0399999999999983E-2</v>
      </c>
      <c r="K293" s="42">
        <f t="shared" si="71"/>
        <v>6.7999999999999996E-3</v>
      </c>
      <c r="L293">
        <v>70.125</v>
      </c>
      <c r="M293" s="42">
        <f t="shared" si="72"/>
        <v>5.3E-3</v>
      </c>
      <c r="N293" s="43">
        <f t="shared" si="73"/>
        <v>4.2750000000000003E-2</v>
      </c>
      <c r="O293" s="30">
        <f t="shared" si="75"/>
        <v>112.48</v>
      </c>
      <c r="P293" s="31">
        <f t="shared" si="74"/>
        <v>111.05</v>
      </c>
    </row>
    <row r="294" spans="1:16" x14ac:dyDescent="0.25">
      <c r="A294" s="5">
        <v>34454</v>
      </c>
      <c r="B294" s="1">
        <v>57.4</v>
      </c>
      <c r="C294" s="42">
        <f t="shared" si="66"/>
        <v>8.3000000000000001E-3</v>
      </c>
      <c r="D294">
        <v>16.8</v>
      </c>
      <c r="E294" s="18">
        <f t="shared" si="67"/>
        <v>19.3</v>
      </c>
      <c r="F294">
        <v>82.9</v>
      </c>
      <c r="G294" s="42">
        <f t="shared" si="68"/>
        <v>2.3999999999999998E-3</v>
      </c>
      <c r="H294">
        <v>81.909099999999995</v>
      </c>
      <c r="I294" s="18">
        <f t="shared" si="69"/>
        <v>81.44</v>
      </c>
      <c r="J294" s="38">
        <f t="shared" si="70"/>
        <v>3.6499999999999977E-2</v>
      </c>
      <c r="K294" s="42">
        <f t="shared" si="71"/>
        <v>7.7000000000000002E-3</v>
      </c>
      <c r="L294">
        <v>69.758200000000002</v>
      </c>
      <c r="M294" s="42">
        <f t="shared" si="72"/>
        <v>4.7999999999999996E-3</v>
      </c>
      <c r="N294" s="43">
        <f t="shared" si="73"/>
        <v>4.0419999999999998E-2</v>
      </c>
      <c r="O294" s="30">
        <f t="shared" si="75"/>
        <v>111.58</v>
      </c>
      <c r="P294" s="31">
        <f t="shared" si="74"/>
        <v>111.93</v>
      </c>
    </row>
    <row r="295" spans="1:16" x14ac:dyDescent="0.25">
      <c r="A295" s="5">
        <v>34424</v>
      </c>
      <c r="B295" s="1">
        <v>56.9</v>
      </c>
      <c r="C295" s="42">
        <f t="shared" si="66"/>
        <v>7.7000000000000002E-3</v>
      </c>
      <c r="D295">
        <v>19.8</v>
      </c>
      <c r="E295" s="18">
        <f t="shared" si="67"/>
        <v>22.77</v>
      </c>
      <c r="F295">
        <v>82.2</v>
      </c>
      <c r="G295" s="42">
        <f t="shared" si="68"/>
        <v>8.0000000000000004E-4</v>
      </c>
      <c r="H295">
        <v>81.156199999999998</v>
      </c>
      <c r="I295" s="18">
        <f t="shared" si="69"/>
        <v>80.819999999999993</v>
      </c>
      <c r="J295" s="38">
        <f t="shared" si="70"/>
        <v>4.7299999999999898E-2</v>
      </c>
      <c r="K295" s="42">
        <f t="shared" si="71"/>
        <v>6.1000000000000004E-3</v>
      </c>
      <c r="L295">
        <v>69.041799999999995</v>
      </c>
      <c r="M295" s="42">
        <f t="shared" si="72"/>
        <v>3.0999999999999999E-3</v>
      </c>
      <c r="N295" s="43">
        <f t="shared" si="73"/>
        <v>2.8680000000000001E-2</v>
      </c>
      <c r="O295" s="30">
        <f t="shared" si="75"/>
        <v>109.09</v>
      </c>
      <c r="P295" s="31">
        <f t="shared" si="74"/>
        <v>113.1</v>
      </c>
    </row>
    <row r="296" spans="1:16" x14ac:dyDescent="0.25">
      <c r="A296" s="5">
        <v>34393</v>
      </c>
      <c r="B296" s="1">
        <v>56.5</v>
      </c>
      <c r="C296" s="42">
        <f t="shared" si="66"/>
        <v>1.6299999999999999E-2</v>
      </c>
      <c r="D296">
        <v>21.3</v>
      </c>
      <c r="E296" s="18">
        <f t="shared" si="67"/>
        <v>29.97</v>
      </c>
      <c r="F296">
        <v>82.4</v>
      </c>
      <c r="G296" s="42">
        <f t="shared" si="68"/>
        <v>2.3999999999999998E-3</v>
      </c>
      <c r="H296">
        <v>81.260300000000001</v>
      </c>
      <c r="I296" s="18">
        <f t="shared" si="69"/>
        <v>80.33</v>
      </c>
      <c r="J296" s="38">
        <f t="shared" si="70"/>
        <v>5.3199999999999914E-2</v>
      </c>
      <c r="K296" s="42">
        <f t="shared" si="71"/>
        <v>9.5999999999999992E-3</v>
      </c>
      <c r="L296">
        <v>69.029899999999998</v>
      </c>
      <c r="M296" s="42">
        <f t="shared" si="72"/>
        <v>4.4000000000000003E-3</v>
      </c>
      <c r="N296" s="43">
        <f t="shared" si="73"/>
        <v>3.2969999999999999E-2</v>
      </c>
      <c r="O296" s="30">
        <f t="shared" si="75"/>
        <v>115.13</v>
      </c>
      <c r="P296" s="31">
        <f t="shared" si="74"/>
        <v>115.04</v>
      </c>
    </row>
    <row r="297" spans="1:16" x14ac:dyDescent="0.25">
      <c r="A297" s="5">
        <v>34365</v>
      </c>
      <c r="B297" s="1">
        <v>56</v>
      </c>
      <c r="C297" s="42">
        <f t="shared" si="66"/>
        <v>1.6E-2</v>
      </c>
      <c r="D297">
        <v>27.2</v>
      </c>
      <c r="E297" s="18">
        <f t="shared" si="67"/>
        <v>29.17</v>
      </c>
      <c r="F297">
        <v>82.3</v>
      </c>
      <c r="G297" s="42">
        <f t="shared" si="68"/>
        <v>4.1000000000000003E-3</v>
      </c>
      <c r="H297">
        <v>80.042299999999997</v>
      </c>
      <c r="I297" s="18">
        <f t="shared" si="69"/>
        <v>79.569999999999993</v>
      </c>
      <c r="J297" s="38">
        <f t="shared" si="70"/>
        <v>4.6000000000000041E-2</v>
      </c>
      <c r="K297" s="42">
        <f t="shared" si="71"/>
        <v>1.2699999999999999E-2</v>
      </c>
      <c r="L297">
        <v>68.773700000000005</v>
      </c>
      <c r="M297" s="42">
        <f t="shared" si="72"/>
        <v>5.7000000000000002E-3</v>
      </c>
      <c r="N297" s="43">
        <f t="shared" si="73"/>
        <v>3.3520000000000001E-2</v>
      </c>
      <c r="O297" s="30">
        <f t="shared" si="75"/>
        <v>115.07</v>
      </c>
      <c r="P297" s="31">
        <f t="shared" si="74"/>
        <v>111.04</v>
      </c>
    </row>
    <row r="298" spans="1:16" x14ac:dyDescent="0.25">
      <c r="A298" s="5">
        <v>34334</v>
      </c>
      <c r="B298" s="1">
        <v>55.6</v>
      </c>
      <c r="C298" s="42">
        <f t="shared" si="66"/>
        <v>3.04E-2</v>
      </c>
      <c r="D298">
        <v>41.4</v>
      </c>
      <c r="E298" s="18">
        <f t="shared" si="67"/>
        <v>23.07</v>
      </c>
      <c r="F298">
        <v>82</v>
      </c>
      <c r="G298" s="42">
        <f t="shared" si="68"/>
        <v>4.1000000000000003E-3</v>
      </c>
      <c r="H298">
        <v>79.693600000000004</v>
      </c>
      <c r="I298" s="18">
        <f t="shared" si="69"/>
        <v>78.569999999999993</v>
      </c>
      <c r="J298" s="38">
        <f t="shared" si="70"/>
        <v>2.5500000000000078E-2</v>
      </c>
      <c r="K298" s="42">
        <f t="shared" si="71"/>
        <v>1.8100000000000002E-2</v>
      </c>
      <c r="L298">
        <v>68.408900000000003</v>
      </c>
      <c r="M298" s="42">
        <f t="shared" si="72"/>
        <v>5.4999999999999997E-3</v>
      </c>
      <c r="N298" s="43">
        <f t="shared" si="73"/>
        <v>2.8889999999999999E-2</v>
      </c>
      <c r="O298" s="30">
        <f t="shared" si="75"/>
        <v>114.93</v>
      </c>
      <c r="P298" s="31">
        <f t="shared" si="74"/>
        <v>104.9</v>
      </c>
    </row>
    <row r="299" spans="1:16" x14ac:dyDescent="0.25">
      <c r="A299" s="5">
        <v>34303</v>
      </c>
      <c r="B299" s="1">
        <v>53.8</v>
      </c>
      <c r="C299" s="42">
        <f t="shared" si="66"/>
        <v>0.02</v>
      </c>
      <c r="D299">
        <v>18.899999999999999</v>
      </c>
      <c r="E299" s="18">
        <f t="shared" si="67"/>
        <v>11.7</v>
      </c>
      <c r="F299">
        <v>81.8</v>
      </c>
      <c r="G299" s="42">
        <f t="shared" si="68"/>
        <v>2.5000000000000001E-3</v>
      </c>
      <c r="H299">
        <v>78.978300000000004</v>
      </c>
      <c r="I299" s="18">
        <f t="shared" si="69"/>
        <v>77.17</v>
      </c>
      <c r="J299" s="38">
        <f t="shared" si="70"/>
        <v>3.6000000000000476E-3</v>
      </c>
      <c r="K299" s="42">
        <f t="shared" si="71"/>
        <v>1.18E-2</v>
      </c>
      <c r="L299">
        <v>68.121399999999994</v>
      </c>
      <c r="M299" s="42">
        <f t="shared" si="72"/>
        <v>3.8E-3</v>
      </c>
      <c r="N299" s="43">
        <f t="shared" si="73"/>
        <v>2.9000000000000001E-2</v>
      </c>
      <c r="O299" s="30">
        <f t="shared" si="75"/>
        <v>103.13</v>
      </c>
      <c r="P299" s="31">
        <f t="shared" si="74"/>
        <v>95.35</v>
      </c>
    </row>
    <row r="300" spans="1:16" x14ac:dyDescent="0.25">
      <c r="A300" s="5">
        <v>34273</v>
      </c>
      <c r="B300" s="1">
        <v>53.4</v>
      </c>
      <c r="C300" s="42">
        <f t="shared" si="66"/>
        <v>2.1100000000000001E-2</v>
      </c>
      <c r="D300">
        <v>8.9</v>
      </c>
      <c r="E300" s="18">
        <f t="shared" si="67"/>
        <v>5.3</v>
      </c>
      <c r="F300">
        <v>81.3</v>
      </c>
      <c r="G300" s="42">
        <f t="shared" si="68"/>
        <v>8.0000000000000004E-4</v>
      </c>
      <c r="H300">
        <v>77.035499999999999</v>
      </c>
      <c r="I300" s="18">
        <f t="shared" si="69"/>
        <v>76.27</v>
      </c>
      <c r="J300" s="38">
        <f t="shared" si="70"/>
        <v>-9.199999999999986E-3</v>
      </c>
      <c r="K300" s="42">
        <f t="shared" si="71"/>
        <v>2.5999999999999999E-3</v>
      </c>
      <c r="L300">
        <v>67.609200000000001</v>
      </c>
      <c r="M300" s="42">
        <f t="shared" si="72"/>
        <v>2.3E-3</v>
      </c>
      <c r="N300" s="43">
        <f t="shared" si="73"/>
        <v>2.8819999999999998E-2</v>
      </c>
      <c r="O300" s="30">
        <f t="shared" si="75"/>
        <v>96.64</v>
      </c>
      <c r="P300" s="31">
        <f t="shared" si="74"/>
        <v>89.22</v>
      </c>
    </row>
    <row r="301" spans="1:16" x14ac:dyDescent="0.25">
      <c r="A301" s="5">
        <v>34242</v>
      </c>
      <c r="B301" s="1">
        <v>50.8</v>
      </c>
      <c r="C301" s="42">
        <f t="shared" si="66"/>
        <v>8.0000000000000002E-3</v>
      </c>
      <c r="D301">
        <v>7.3</v>
      </c>
      <c r="E301" s="18">
        <f t="shared" si="67"/>
        <v>1.27</v>
      </c>
      <c r="F301">
        <v>81</v>
      </c>
      <c r="G301" s="42">
        <f t="shared" si="68"/>
        <v>-4.0000000000000002E-4</v>
      </c>
      <c r="H301">
        <v>75.500100000000003</v>
      </c>
      <c r="I301" s="18">
        <f t="shared" si="69"/>
        <v>76.069999999999993</v>
      </c>
      <c r="J301" s="38">
        <f t="shared" si="70"/>
        <v>-8.0999999999999961E-3</v>
      </c>
      <c r="K301" s="42">
        <f t="shared" si="71"/>
        <v>-7.1999999999999998E-3</v>
      </c>
      <c r="L301">
        <v>67.288799999999995</v>
      </c>
      <c r="M301" s="42">
        <f t="shared" si="72"/>
        <v>1.2999999999999999E-3</v>
      </c>
      <c r="N301" s="43">
        <f t="shared" si="73"/>
        <v>2.64E-2</v>
      </c>
      <c r="O301" s="30">
        <f t="shared" si="75"/>
        <v>86.28</v>
      </c>
      <c r="P301" s="31">
        <f t="shared" si="74"/>
        <v>86.57</v>
      </c>
    </row>
    <row r="302" spans="1:16" x14ac:dyDescent="0.25">
      <c r="A302" s="5">
        <v>34212</v>
      </c>
      <c r="B302" s="1">
        <v>50.7</v>
      </c>
      <c r="C302" s="42">
        <f t="shared" si="66"/>
        <v>-3.3E-3</v>
      </c>
      <c r="D302">
        <v>-0.3</v>
      </c>
      <c r="E302" s="18">
        <f t="shared" si="67"/>
        <v>0</v>
      </c>
      <c r="F302">
        <v>81.2</v>
      </c>
      <c r="G302" s="42">
        <f t="shared" si="68"/>
        <v>-8.0000000000000004E-4</v>
      </c>
      <c r="H302">
        <v>76.287499999999994</v>
      </c>
      <c r="I302" s="18">
        <f t="shared" si="69"/>
        <v>76.62</v>
      </c>
      <c r="J302" s="38">
        <f t="shared" si="70"/>
        <v>1.4000000000000679E-3</v>
      </c>
      <c r="K302" s="42">
        <f t="shared" si="71"/>
        <v>-3.5000000000000001E-3</v>
      </c>
      <c r="L302">
        <v>67.358599999999996</v>
      </c>
      <c r="M302" s="42">
        <f t="shared" si="72"/>
        <v>5.0000000000000001E-4</v>
      </c>
      <c r="N302" s="43">
        <f t="shared" si="73"/>
        <v>2.2440000000000002E-2</v>
      </c>
      <c r="O302" s="30">
        <f t="shared" si="75"/>
        <v>84.73</v>
      </c>
      <c r="P302" s="31">
        <f t="shared" si="74"/>
        <v>86.12</v>
      </c>
    </row>
    <row r="303" spans="1:16" x14ac:dyDescent="0.25">
      <c r="A303" s="5">
        <v>34181</v>
      </c>
      <c r="B303" s="1">
        <v>50.2</v>
      </c>
      <c r="C303" s="42">
        <f t="shared" si="66"/>
        <v>0</v>
      </c>
      <c r="D303">
        <v>-3.2</v>
      </c>
      <c r="E303" s="18">
        <f t="shared" si="67"/>
        <v>5.03</v>
      </c>
      <c r="F303">
        <v>81.099999999999994</v>
      </c>
      <c r="G303" s="42">
        <f t="shared" si="68"/>
        <v>-8.0000000000000004E-4</v>
      </c>
      <c r="H303">
        <v>76.415999999999997</v>
      </c>
      <c r="I303" s="18">
        <f t="shared" si="69"/>
        <v>76.89</v>
      </c>
      <c r="J303" s="38">
        <f t="shared" si="70"/>
        <v>1.0199999999999987E-2</v>
      </c>
      <c r="K303" s="42">
        <f t="shared" si="71"/>
        <v>-1.1999999999999999E-3</v>
      </c>
      <c r="L303">
        <v>67.153199999999998</v>
      </c>
      <c r="M303" s="42">
        <f t="shared" si="72"/>
        <v>5.0000000000000001E-4</v>
      </c>
      <c r="N303" s="43">
        <f t="shared" si="73"/>
        <v>2.845E-2</v>
      </c>
      <c r="O303" s="30">
        <f t="shared" si="75"/>
        <v>88.7</v>
      </c>
      <c r="P303" s="31">
        <f t="shared" si="74"/>
        <v>88</v>
      </c>
    </row>
    <row r="304" spans="1:16" x14ac:dyDescent="0.25">
      <c r="A304" s="5">
        <v>34150</v>
      </c>
      <c r="B304" s="1">
        <v>49.6</v>
      </c>
      <c r="C304" s="42">
        <f t="shared" si="66"/>
        <v>-2.52E-2</v>
      </c>
      <c r="D304">
        <v>3.5</v>
      </c>
      <c r="E304" s="18">
        <f t="shared" si="67"/>
        <v>13.87</v>
      </c>
      <c r="F304">
        <v>81.099999999999994</v>
      </c>
      <c r="G304" s="42">
        <f t="shared" si="68"/>
        <v>-1.6000000000000001E-3</v>
      </c>
      <c r="H304">
        <v>77.166399999999996</v>
      </c>
      <c r="I304" s="18">
        <f t="shared" si="69"/>
        <v>76.98</v>
      </c>
      <c r="J304" s="38">
        <f t="shared" si="70"/>
        <v>1.8499999999999961E-2</v>
      </c>
      <c r="K304" s="42">
        <f t="shared" si="71"/>
        <v>3.8E-3</v>
      </c>
      <c r="L304">
        <v>67.032499999999999</v>
      </c>
      <c r="M304" s="42">
        <f t="shared" si="72"/>
        <v>-4.0000000000000002E-4</v>
      </c>
      <c r="N304" s="43">
        <f t="shared" si="73"/>
        <v>2.6800000000000001E-2</v>
      </c>
      <c r="O304" s="30">
        <f t="shared" si="75"/>
        <v>84.92</v>
      </c>
      <c r="P304" s="31">
        <f t="shared" si="74"/>
        <v>88.96</v>
      </c>
    </row>
    <row r="305" spans="1:16" x14ac:dyDescent="0.25">
      <c r="A305" s="5">
        <v>34120</v>
      </c>
      <c r="B305" s="1">
        <v>51.2</v>
      </c>
      <c r="C305" s="42">
        <f t="shared" si="66"/>
        <v>-2.52E-2</v>
      </c>
      <c r="D305">
        <v>14.8</v>
      </c>
      <c r="E305" s="18">
        <f t="shared" si="67"/>
        <v>18.100000000000001</v>
      </c>
      <c r="F305">
        <v>81.400000000000006</v>
      </c>
      <c r="G305" s="42">
        <f t="shared" si="68"/>
        <v>4.0000000000000002E-4</v>
      </c>
      <c r="H305">
        <v>77.092799999999997</v>
      </c>
      <c r="I305" s="18">
        <f t="shared" si="69"/>
        <v>76.69</v>
      </c>
      <c r="J305" s="38">
        <f t="shared" si="70"/>
        <v>2.6200000000000001E-2</v>
      </c>
      <c r="K305" s="42">
        <f t="shared" si="71"/>
        <v>2.3999999999999998E-3</v>
      </c>
      <c r="L305">
        <v>67.249799999999993</v>
      </c>
      <c r="M305" s="42">
        <f t="shared" si="72"/>
        <v>2.0999999999999999E-3</v>
      </c>
      <c r="N305" s="43">
        <f t="shared" si="73"/>
        <v>3.3410000000000002E-2</v>
      </c>
      <c r="O305" s="30">
        <f t="shared" si="75"/>
        <v>90.39</v>
      </c>
      <c r="P305" s="31">
        <f t="shared" si="74"/>
        <v>96.06</v>
      </c>
    </row>
    <row r="306" spans="1:16" x14ac:dyDescent="0.25">
      <c r="A306" s="5">
        <v>34089</v>
      </c>
      <c r="B306" s="1">
        <v>50.2</v>
      </c>
      <c r="C306" s="42">
        <f t="shared" si="66"/>
        <v>-3.4000000000000002E-2</v>
      </c>
      <c r="D306">
        <v>23.3</v>
      </c>
      <c r="E306" s="18">
        <f t="shared" si="67"/>
        <v>24.6</v>
      </c>
      <c r="F306">
        <v>81.3</v>
      </c>
      <c r="G306" s="42">
        <f t="shared" si="68"/>
        <v>8.0000000000000004E-4</v>
      </c>
      <c r="H306">
        <v>76.680899999999994</v>
      </c>
      <c r="I306" s="18">
        <f t="shared" si="69"/>
        <v>76.510000000000005</v>
      </c>
      <c r="J306" s="38">
        <f t="shared" si="70"/>
        <v>3.8000000000000034E-2</v>
      </c>
      <c r="K306" s="42">
        <f t="shared" si="71"/>
        <v>5.3E-3</v>
      </c>
      <c r="L306">
        <v>67.047899999999998</v>
      </c>
      <c r="M306" s="42">
        <f t="shared" si="72"/>
        <v>2.5000000000000001E-3</v>
      </c>
      <c r="N306" s="43">
        <f t="shared" si="73"/>
        <v>3.7940000000000002E-2</v>
      </c>
      <c r="O306" s="30">
        <f t="shared" si="75"/>
        <v>91.56</v>
      </c>
      <c r="P306" s="31">
        <f t="shared" si="74"/>
        <v>103.16</v>
      </c>
    </row>
    <row r="307" spans="1:16" x14ac:dyDescent="0.25">
      <c r="A307" s="5">
        <v>34059</v>
      </c>
      <c r="B307" s="1">
        <v>53.5</v>
      </c>
      <c r="C307" s="42">
        <f t="shared" si="66"/>
        <v>-4.1999999999999997E-3</v>
      </c>
      <c r="D307">
        <v>16.2</v>
      </c>
      <c r="E307" s="18">
        <f t="shared" si="67"/>
        <v>27.2</v>
      </c>
      <c r="F307">
        <v>81.5</v>
      </c>
      <c r="G307" s="42">
        <f t="shared" si="68"/>
        <v>1.6000000000000001E-3</v>
      </c>
      <c r="H307">
        <v>76.283299999999997</v>
      </c>
      <c r="I307" s="18">
        <f t="shared" si="69"/>
        <v>76.11</v>
      </c>
      <c r="J307" s="38">
        <f t="shared" si="70"/>
        <v>4.2000000000000037E-2</v>
      </c>
      <c r="K307" s="42">
        <f t="shared" si="71"/>
        <v>7.0000000000000001E-3</v>
      </c>
      <c r="L307">
        <v>67.117199999999997</v>
      </c>
      <c r="M307" s="42">
        <f t="shared" si="72"/>
        <v>3.0999999999999999E-3</v>
      </c>
      <c r="N307" s="43">
        <f t="shared" si="73"/>
        <v>4.8039999999999999E-2</v>
      </c>
      <c r="O307" s="30">
        <f t="shared" si="75"/>
        <v>106.23</v>
      </c>
      <c r="P307" s="31">
        <f t="shared" si="74"/>
        <v>111.64</v>
      </c>
    </row>
    <row r="308" spans="1:16" x14ac:dyDescent="0.25">
      <c r="A308" s="5">
        <v>34028</v>
      </c>
      <c r="B308" s="1">
        <v>55.2</v>
      </c>
      <c r="C308" s="42">
        <f t="shared" si="66"/>
        <v>9.7999999999999997E-3</v>
      </c>
      <c r="D308">
        <v>34.299999999999997</v>
      </c>
      <c r="E308" s="18">
        <f t="shared" si="67"/>
        <v>30.27</v>
      </c>
      <c r="F308">
        <v>81.3</v>
      </c>
      <c r="G308" s="42">
        <f t="shared" si="68"/>
        <v>1.6000000000000001E-3</v>
      </c>
      <c r="H308">
        <v>76.570099999999996</v>
      </c>
      <c r="I308" s="18">
        <f t="shared" si="69"/>
        <v>75.58</v>
      </c>
      <c r="J308" s="38">
        <f t="shared" si="70"/>
        <v>3.8300000000000001E-2</v>
      </c>
      <c r="K308" s="42">
        <f t="shared" si="71"/>
        <v>1.14E-2</v>
      </c>
      <c r="L308">
        <v>66.826400000000007</v>
      </c>
      <c r="M308" s="42">
        <f t="shared" si="72"/>
        <v>3.0999999999999999E-3</v>
      </c>
      <c r="N308" s="43">
        <f t="shared" si="73"/>
        <v>4.3499999999999997E-2</v>
      </c>
      <c r="O308" s="30">
        <f t="shared" si="75"/>
        <v>111.68</v>
      </c>
      <c r="P308" s="31">
        <f t="shared" si="74"/>
        <v>117.08</v>
      </c>
    </row>
    <row r="309" spans="1:16" x14ac:dyDescent="0.25">
      <c r="A309" s="5">
        <v>34000</v>
      </c>
      <c r="B309" s="1">
        <v>55.8</v>
      </c>
      <c r="C309" s="42">
        <f t="shared" si="66"/>
        <v>3.4799999999999998E-2</v>
      </c>
      <c r="D309">
        <v>31.1</v>
      </c>
      <c r="E309" s="18">
        <f t="shared" si="67"/>
        <v>24.9</v>
      </c>
      <c r="F309">
        <v>81.099999999999994</v>
      </c>
      <c r="G309" s="42">
        <f t="shared" si="68"/>
        <v>2.5000000000000001E-3</v>
      </c>
      <c r="H309">
        <v>75.483900000000006</v>
      </c>
      <c r="I309" s="18">
        <f t="shared" si="69"/>
        <v>74.73</v>
      </c>
      <c r="J309" s="38">
        <f t="shared" si="70"/>
        <v>3.1300000000000106E-2</v>
      </c>
      <c r="K309" s="42">
        <f t="shared" si="71"/>
        <v>1.38E-2</v>
      </c>
      <c r="L309">
        <v>66.543099999999995</v>
      </c>
      <c r="M309" s="42">
        <f t="shared" si="72"/>
        <v>4.1999999999999997E-3</v>
      </c>
      <c r="N309" s="43">
        <f t="shared" si="73"/>
        <v>3.9070000000000001E-2</v>
      </c>
      <c r="O309" s="30">
        <f t="shared" si="75"/>
        <v>117.02</v>
      </c>
      <c r="P309" s="31">
        <f t="shared" si="74"/>
        <v>116.86</v>
      </c>
    </row>
    <row r="310" spans="1:16" x14ac:dyDescent="0.25">
      <c r="A310" s="5">
        <v>33969</v>
      </c>
      <c r="B310" s="1">
        <v>54.2</v>
      </c>
      <c r="C310" s="42">
        <f t="shared" si="66"/>
        <v>2.93E-2</v>
      </c>
      <c r="D310">
        <v>25.4</v>
      </c>
      <c r="E310" s="18">
        <f t="shared" si="67"/>
        <v>12.93</v>
      </c>
      <c r="F310">
        <v>81.099999999999994</v>
      </c>
      <c r="G310" s="42">
        <f t="shared" si="68"/>
        <v>2.5000000000000001E-3</v>
      </c>
      <c r="H310">
        <v>74.689899999999994</v>
      </c>
      <c r="I310" s="18">
        <f t="shared" si="69"/>
        <v>73.709999999999994</v>
      </c>
      <c r="J310" s="38">
        <f t="shared" si="70"/>
        <v>1.8499999999999961E-2</v>
      </c>
      <c r="K310" s="42">
        <f t="shared" si="71"/>
        <v>9.1999999999999998E-3</v>
      </c>
      <c r="L310">
        <v>66.487899999999996</v>
      </c>
      <c r="M310" s="42">
        <f t="shared" si="72"/>
        <v>4.7000000000000002E-3</v>
      </c>
      <c r="N310" s="43">
        <f t="shared" si="73"/>
        <v>0.10655000000000001</v>
      </c>
      <c r="O310" s="30">
        <f t="shared" si="75"/>
        <v>122.53</v>
      </c>
      <c r="P310" s="31">
        <f t="shared" si="74"/>
        <v>111.56</v>
      </c>
    </row>
    <row r="311" spans="1:16" x14ac:dyDescent="0.25">
      <c r="A311" s="5">
        <v>33938</v>
      </c>
      <c r="B311" s="1">
        <v>53.6</v>
      </c>
      <c r="C311" s="42">
        <f t="shared" si="66"/>
        <v>1.2999999999999999E-3</v>
      </c>
      <c r="D311">
        <v>18.2</v>
      </c>
      <c r="E311" s="18">
        <f t="shared" si="67"/>
        <v>11.47</v>
      </c>
      <c r="F311">
        <v>80.900000000000006</v>
      </c>
      <c r="G311" s="42">
        <f t="shared" si="68"/>
        <v>-4.0000000000000002E-4</v>
      </c>
      <c r="H311">
        <v>74.025099999999995</v>
      </c>
      <c r="I311" s="18">
        <f t="shared" si="69"/>
        <v>73.040000000000006</v>
      </c>
      <c r="J311" s="38">
        <f t="shared" si="70"/>
        <v>2.3300000000000098E-2</v>
      </c>
      <c r="K311" s="42">
        <f t="shared" si="71"/>
        <v>3.3999999999999998E-3</v>
      </c>
      <c r="L311">
        <v>66.201300000000003</v>
      </c>
      <c r="M311" s="42">
        <f t="shared" si="72"/>
        <v>1.6000000000000001E-3</v>
      </c>
      <c r="N311" s="43">
        <f t="shared" si="73"/>
        <v>9.9750000000000005E-2</v>
      </c>
      <c r="O311" s="30">
        <f t="shared" si="75"/>
        <v>111.02</v>
      </c>
      <c r="P311" s="31">
        <f t="shared" si="74"/>
        <v>105.67</v>
      </c>
    </row>
    <row r="312" spans="1:16" x14ac:dyDescent="0.25">
      <c r="A312" s="5">
        <v>33908</v>
      </c>
      <c r="B312" s="1">
        <v>50.3</v>
      </c>
      <c r="C312" s="42">
        <f t="shared" si="66"/>
        <v>-2.29E-2</v>
      </c>
      <c r="D312">
        <v>-4.8</v>
      </c>
      <c r="E312" s="18">
        <f t="shared" si="67"/>
        <v>10.97</v>
      </c>
      <c r="F312">
        <v>80.5</v>
      </c>
      <c r="G312" s="42">
        <f t="shared" si="68"/>
        <v>0</v>
      </c>
      <c r="H312">
        <v>72.417900000000003</v>
      </c>
      <c r="I312" s="18">
        <f t="shared" si="69"/>
        <v>72.790000000000006</v>
      </c>
      <c r="J312" s="38">
        <f t="shared" si="70"/>
        <v>3.180000000000005E-2</v>
      </c>
      <c r="K312" s="42">
        <f t="shared" si="71"/>
        <v>4.5999999999999999E-3</v>
      </c>
      <c r="L312">
        <v>65.715000000000003</v>
      </c>
      <c r="M312" s="42">
        <f t="shared" si="72"/>
        <v>2.0999999999999999E-3</v>
      </c>
      <c r="N312" s="43">
        <f t="shared" si="73"/>
        <v>8.9560000000000001E-2</v>
      </c>
      <c r="O312" s="30">
        <f t="shared" si="75"/>
        <v>101.13</v>
      </c>
      <c r="P312" s="31">
        <f t="shared" si="74"/>
        <v>109.22</v>
      </c>
    </row>
    <row r="313" spans="1:16" x14ac:dyDescent="0.25">
      <c r="A313" s="5">
        <v>33877</v>
      </c>
      <c r="B313" s="1">
        <v>49.7</v>
      </c>
      <c r="C313" s="42">
        <f t="shared" si="66"/>
        <v>-2.4199999999999999E-2</v>
      </c>
      <c r="D313">
        <v>21</v>
      </c>
      <c r="E313" s="18">
        <f t="shared" si="67"/>
        <v>21.73</v>
      </c>
      <c r="F313">
        <v>80.5</v>
      </c>
      <c r="G313" s="42">
        <f t="shared" si="68"/>
        <v>-8.0000000000000004E-4</v>
      </c>
      <c r="H313">
        <v>72.6905</v>
      </c>
      <c r="I313" s="18">
        <f t="shared" si="69"/>
        <v>72.459999999999994</v>
      </c>
      <c r="J313" s="38">
        <f t="shared" si="70"/>
        <v>5.1199999999999912E-2</v>
      </c>
      <c r="K313" s="42">
        <f t="shared" si="71"/>
        <v>1.1999999999999999E-3</v>
      </c>
      <c r="L313">
        <v>65.558099999999996</v>
      </c>
      <c r="M313" s="42">
        <f t="shared" si="72"/>
        <v>1.4E-3</v>
      </c>
      <c r="N313" s="43">
        <f t="shared" si="73"/>
        <v>9.9349999999999994E-2</v>
      </c>
      <c r="O313" s="30">
        <f t="shared" si="75"/>
        <v>104.85</v>
      </c>
      <c r="P313" s="31">
        <f t="shared" si="74"/>
        <v>116.92</v>
      </c>
    </row>
    <row r="314" spans="1:16" x14ac:dyDescent="0.25">
      <c r="A314" s="5">
        <v>33847</v>
      </c>
      <c r="B314" s="1">
        <v>53.4</v>
      </c>
      <c r="C314" s="42">
        <f t="shared" si="66"/>
        <v>-1.41E-2</v>
      </c>
      <c r="D314">
        <v>16.7</v>
      </c>
      <c r="E314" s="18">
        <f t="shared" si="67"/>
        <v>19.73</v>
      </c>
      <c r="F314">
        <v>81</v>
      </c>
      <c r="G314" s="42">
        <f t="shared" si="68"/>
        <v>1.6999999999999999E-3</v>
      </c>
      <c r="H314">
        <v>73.257199999999997</v>
      </c>
      <c r="I314" s="18">
        <f t="shared" si="69"/>
        <v>72.37</v>
      </c>
      <c r="J314" s="38">
        <f t="shared" si="70"/>
        <v>7.8500000000000014E-2</v>
      </c>
      <c r="K314" s="42">
        <f t="shared" si="71"/>
        <v>1.3899999999999999E-2</v>
      </c>
      <c r="L314">
        <v>65.880099999999999</v>
      </c>
      <c r="M314" s="42">
        <f t="shared" si="72"/>
        <v>4.1000000000000003E-3</v>
      </c>
      <c r="N314" s="43">
        <f t="shared" si="73"/>
        <v>0.10648000000000001</v>
      </c>
      <c r="O314" s="30">
        <f t="shared" si="75"/>
        <v>121.67</v>
      </c>
      <c r="P314" s="31">
        <f t="shared" si="74"/>
        <v>124.17</v>
      </c>
    </row>
    <row r="315" spans="1:16" x14ac:dyDescent="0.25">
      <c r="A315" s="5">
        <v>33816</v>
      </c>
      <c r="B315" s="1">
        <v>53.9</v>
      </c>
      <c r="C315" s="42">
        <f t="shared" si="66"/>
        <v>8.0000000000000002E-3</v>
      </c>
      <c r="D315">
        <v>27.5</v>
      </c>
      <c r="E315" s="18">
        <f t="shared" si="67"/>
        <v>19.829999999999998</v>
      </c>
      <c r="F315">
        <v>80.5</v>
      </c>
      <c r="G315" s="42">
        <f t="shared" si="68"/>
        <v>1.1999999999999999E-3</v>
      </c>
      <c r="H315">
        <v>71.425600000000003</v>
      </c>
      <c r="I315" s="18">
        <f t="shared" si="69"/>
        <v>71.38</v>
      </c>
      <c r="J315" s="38">
        <f t="shared" si="70"/>
        <v>7.020000000000004E-2</v>
      </c>
      <c r="K315" s="42">
        <f t="shared" si="71"/>
        <v>1.18E-2</v>
      </c>
      <c r="L315">
        <v>65.295699999999997</v>
      </c>
      <c r="M315" s="42">
        <f t="shared" si="72"/>
        <v>3.5999999999999999E-3</v>
      </c>
      <c r="N315" s="43">
        <f t="shared" si="73"/>
        <v>0.10063</v>
      </c>
      <c r="O315" s="30">
        <f t="shared" si="75"/>
        <v>124.24</v>
      </c>
      <c r="P315" s="31">
        <f t="shared" si="74"/>
        <v>125.12</v>
      </c>
    </row>
    <row r="316" spans="1:16" x14ac:dyDescent="0.25">
      <c r="A316" s="5">
        <v>33785</v>
      </c>
      <c r="B316" s="1">
        <v>53.6</v>
      </c>
      <c r="D316">
        <v>15</v>
      </c>
      <c r="E316" s="18">
        <f t="shared" si="67"/>
        <v>17.329999999999998</v>
      </c>
      <c r="F316">
        <v>80.7</v>
      </c>
      <c r="G316" s="42">
        <f t="shared" si="68"/>
        <v>4.5999999999999999E-3</v>
      </c>
      <c r="H316">
        <v>72.426400000000001</v>
      </c>
      <c r="I316" s="18">
        <f t="shared" si="69"/>
        <v>70.55</v>
      </c>
      <c r="J316" s="38">
        <f t="shared" si="70"/>
        <v>5.3900000000000059E-2</v>
      </c>
      <c r="K316" s="42">
        <f t="shared" si="71"/>
        <v>2.35E-2</v>
      </c>
      <c r="L316">
        <v>65.283100000000005</v>
      </c>
      <c r="M316" s="42">
        <f t="shared" si="72"/>
        <v>6.4000000000000003E-3</v>
      </c>
      <c r="N316" s="43">
        <f t="shared" si="73"/>
        <v>0.11255</v>
      </c>
      <c r="O316" s="30">
        <f t="shared" si="75"/>
        <v>126.6</v>
      </c>
      <c r="P316" s="31">
        <f t="shared" si="74"/>
        <v>119.64</v>
      </c>
    </row>
    <row r="317" spans="1:16" x14ac:dyDescent="0.25">
      <c r="A317" s="5">
        <v>33755</v>
      </c>
      <c r="B317" s="1">
        <v>55.7</v>
      </c>
      <c r="D317">
        <v>17</v>
      </c>
      <c r="E317" s="18">
        <f t="shared" si="67"/>
        <v>17.329999999999998</v>
      </c>
      <c r="F317">
        <v>80.599999999999994</v>
      </c>
      <c r="G317" s="42">
        <f t="shared" si="68"/>
        <v>4.1999999999999997E-3</v>
      </c>
      <c r="H317">
        <v>70.273300000000006</v>
      </c>
      <c r="I317" s="18">
        <f t="shared" si="69"/>
        <v>68.930000000000007</v>
      </c>
      <c r="J317" s="38">
        <f t="shared" si="70"/>
        <v>1.2899999999999912E-2</v>
      </c>
      <c r="K317" s="42">
        <f t="shared" si="71"/>
        <v>2.7300000000000001E-2</v>
      </c>
      <c r="L317">
        <v>65.075599999999994</v>
      </c>
      <c r="M317" s="42">
        <f t="shared" si="72"/>
        <v>5.4000000000000003E-3</v>
      </c>
      <c r="N317" s="43">
        <f t="shared" si="73"/>
        <v>0.11711000000000001</v>
      </c>
      <c r="O317" s="30">
        <f t="shared" si="75"/>
        <v>124.53</v>
      </c>
      <c r="P317" s="31">
        <f t="shared" si="74"/>
        <v>113.3</v>
      </c>
    </row>
    <row r="318" spans="1:16" x14ac:dyDescent="0.25">
      <c r="A318" s="5">
        <v>33724</v>
      </c>
      <c r="B318" s="1">
        <v>52.6</v>
      </c>
      <c r="D318">
        <v>20</v>
      </c>
      <c r="E318" s="18">
        <f t="shared" si="67"/>
        <v>11.87</v>
      </c>
      <c r="F318">
        <v>80.2</v>
      </c>
      <c r="G318" s="42">
        <f t="shared" si="68"/>
        <v>2.5000000000000001E-3</v>
      </c>
      <c r="H318">
        <v>68.951700000000002</v>
      </c>
      <c r="I318" s="18">
        <f t="shared" si="69"/>
        <v>67.099999999999994</v>
      </c>
      <c r="J318" s="38">
        <f t="shared" si="70"/>
        <v>-1.7399999999999971E-2</v>
      </c>
      <c r="K318" s="42">
        <f t="shared" si="71"/>
        <v>6.0000000000000001E-3</v>
      </c>
      <c r="L318">
        <v>64.597300000000004</v>
      </c>
      <c r="M318" s="42">
        <f t="shared" si="72"/>
        <v>2.8999999999999998E-3</v>
      </c>
      <c r="N318" s="43">
        <f t="shared" si="73"/>
        <v>0.11280999999999999</v>
      </c>
      <c r="O318" s="30">
        <f t="shared" si="75"/>
        <v>107.8</v>
      </c>
      <c r="P318" s="31">
        <f t="shared" si="74"/>
        <v>107.69</v>
      </c>
    </row>
    <row r="319" spans="1:16" x14ac:dyDescent="0.25">
      <c r="A319" s="5">
        <v>33694</v>
      </c>
      <c r="B319" s="1">
        <v>54.6</v>
      </c>
      <c r="D319">
        <v>15</v>
      </c>
      <c r="E319" s="18">
        <f t="shared" si="67"/>
        <v>4.47</v>
      </c>
      <c r="F319">
        <v>79.599999999999994</v>
      </c>
      <c r="G319" s="42">
        <f t="shared" si="68"/>
        <v>0</v>
      </c>
      <c r="H319">
        <v>67.551599999999993</v>
      </c>
      <c r="I319" s="18">
        <f t="shared" si="69"/>
        <v>66.7</v>
      </c>
      <c r="J319" s="38">
        <f t="shared" si="70"/>
        <v>-1.0800000000000032E-2</v>
      </c>
      <c r="K319" s="42">
        <f t="shared" si="71"/>
        <v>-3.5999999999999999E-3</v>
      </c>
      <c r="L319">
        <v>64.040899999999993</v>
      </c>
      <c r="M319" s="42">
        <f t="shared" si="72"/>
        <v>2.1000000000000001E-2</v>
      </c>
      <c r="N319" s="43">
        <f t="shared" si="73"/>
        <v>9.5979999999999996E-2</v>
      </c>
      <c r="O319" s="30">
        <f t="shared" si="75"/>
        <v>107.57</v>
      </c>
      <c r="P319" s="31">
        <f t="shared" si="74"/>
        <v>107.57</v>
      </c>
    </row>
    <row r="320" spans="1:16" ht="15" customHeight="1" x14ac:dyDescent="0.25">
      <c r="D320">
        <v>0.6</v>
      </c>
      <c r="E320" s="18">
        <f t="shared" si="67"/>
        <v>-6.8</v>
      </c>
      <c r="F320">
        <v>79.599999999999994</v>
      </c>
      <c r="G320" s="42">
        <f t="shared" si="68"/>
        <v>0</v>
      </c>
      <c r="H320">
        <v>64.792400000000001</v>
      </c>
      <c r="I320" s="18">
        <f t="shared" si="69"/>
        <v>66.94</v>
      </c>
      <c r="J320" s="38">
        <f t="shared" si="70"/>
        <v>9.9999999999988987E-5</v>
      </c>
      <c r="K320" s="42">
        <f t="shared" si="71"/>
        <v>-1.6299999999999999E-2</v>
      </c>
      <c r="L320">
        <v>64.040899999999993</v>
      </c>
      <c r="M320" s="42">
        <f t="shared" si="72"/>
        <v>2.0899999999999998E-2</v>
      </c>
      <c r="N320" s="43"/>
    </row>
    <row r="321" spans="4:14" ht="15" customHeight="1" x14ac:dyDescent="0.25">
      <c r="D321">
        <v>-2.2000000000000002</v>
      </c>
      <c r="E321" s="18">
        <f t="shared" si="67"/>
        <v>-6.57</v>
      </c>
      <c r="F321">
        <v>79.599999999999994</v>
      </c>
      <c r="G321" s="42" t="e">
        <f t="shared" si="68"/>
        <v>#DIV/0!</v>
      </c>
      <c r="H321">
        <v>67.749600000000001</v>
      </c>
      <c r="I321" s="18">
        <f t="shared" si="69"/>
        <v>68.05</v>
      </c>
      <c r="J321" s="38">
        <f t="shared" si="70"/>
        <v>3.1400000000000095E-2</v>
      </c>
      <c r="K321" s="42">
        <f t="shared" si="71"/>
        <v>-3.5000000000000001E-3</v>
      </c>
      <c r="L321">
        <v>64.040899999999993</v>
      </c>
      <c r="M321" s="42">
        <f t="shared" si="72"/>
        <v>2.06E-2</v>
      </c>
      <c r="N321" s="43"/>
    </row>
    <row r="322" spans="4:14" ht="15" customHeight="1" x14ac:dyDescent="0.25">
      <c r="D322">
        <v>-18.8</v>
      </c>
      <c r="E322" s="18">
        <f t="shared" si="67"/>
        <v>-2.67</v>
      </c>
      <c r="G322" s="42" t="e">
        <f t="shared" si="68"/>
        <v>#DIV/0!</v>
      </c>
      <c r="H322">
        <v>68.278199999999998</v>
      </c>
      <c r="I322" s="18">
        <f t="shared" si="69"/>
        <v>68.290000000000006</v>
      </c>
      <c r="J322" s="38">
        <f t="shared" si="70"/>
        <v>4.4499999999999984E-2</v>
      </c>
      <c r="K322" s="42">
        <f t="shared" si="71"/>
        <v>1.2800000000000001E-2</v>
      </c>
      <c r="L322">
        <v>60.085999999999999</v>
      </c>
      <c r="M322" s="42">
        <f t="shared" si="72"/>
        <v>2.5000000000000001E-3</v>
      </c>
      <c r="N322" s="43"/>
    </row>
    <row r="323" spans="4:14" ht="15" customHeight="1" x14ac:dyDescent="0.25">
      <c r="D323">
        <v>1.3</v>
      </c>
      <c r="E323" s="18">
        <f t="shared" si="67"/>
        <v>10.27</v>
      </c>
      <c r="G323" s="42" t="e">
        <f t="shared" si="68"/>
        <v>#DIV/0!</v>
      </c>
      <c r="H323">
        <v>68.135400000000004</v>
      </c>
      <c r="I323" s="18">
        <f t="shared" si="69"/>
        <v>67.430000000000007</v>
      </c>
      <c r="J323" s="38">
        <f t="shared" si="70"/>
        <v>5.1800000000000068E-2</v>
      </c>
      <c r="K323" s="42">
        <f t="shared" si="71"/>
        <v>7.4999999999999997E-3</v>
      </c>
      <c r="L323">
        <v>60.1967</v>
      </c>
      <c r="M323" s="42">
        <f t="shared" si="72"/>
        <v>3.7000000000000002E-3</v>
      </c>
      <c r="N323" s="43"/>
    </row>
    <row r="324" spans="4:14" ht="15" customHeight="1" x14ac:dyDescent="0.25">
      <c r="D324">
        <v>9.5</v>
      </c>
      <c r="E324" s="18">
        <f t="shared" si="67"/>
        <v>18.829999999999998</v>
      </c>
      <c r="G324" s="42" t="e">
        <f t="shared" si="68"/>
        <v>#DIV/0!</v>
      </c>
      <c r="H324">
        <v>68.450299999999999</v>
      </c>
      <c r="I324" s="18">
        <f t="shared" si="69"/>
        <v>66.930000000000007</v>
      </c>
      <c r="J324" s="38">
        <f t="shared" si="70"/>
        <v>6.7299999999999915E-2</v>
      </c>
      <c r="L324">
        <v>60.313600000000001</v>
      </c>
      <c r="M324" s="42">
        <f t="shared" si="72"/>
        <v>5.4999999999999997E-3</v>
      </c>
      <c r="N324" s="43"/>
    </row>
    <row r="325" spans="4:14" ht="15" customHeight="1" x14ac:dyDescent="0.25">
      <c r="D325">
        <v>20</v>
      </c>
      <c r="E325" s="18">
        <f t="shared" si="67"/>
        <v>22.3</v>
      </c>
      <c r="G325" s="42" t="e">
        <f t="shared" si="68"/>
        <v>#DIV/0!</v>
      </c>
      <c r="H325">
        <v>65.716800000000006</v>
      </c>
      <c r="I325" s="18">
        <f t="shared" si="69"/>
        <v>65.98</v>
      </c>
      <c r="J325" s="38">
        <f t="shared" si="70"/>
        <v>6.8200000000000038E-2</v>
      </c>
      <c r="L325">
        <v>59.633400000000002</v>
      </c>
      <c r="M325" s="42">
        <f t="shared" si="72"/>
        <v>5.4000000000000003E-3</v>
      </c>
      <c r="N325" s="43"/>
    </row>
    <row r="326" spans="4:14" ht="15" customHeight="1" x14ac:dyDescent="0.25">
      <c r="D326">
        <v>27</v>
      </c>
      <c r="E326" s="18">
        <f t="shared" ref="E326:E333" si="76">ROUND(AVERAGE(D326:D328),2)</f>
        <v>19.97</v>
      </c>
      <c r="G326" s="42" t="e">
        <f t="shared" ref="G326:G331" si="77">ROUND((AVERAGE(F326:F328)-AVERAGE(F327:F329))/AVERAGE(F327:F329),4)</f>
        <v>#DIV/0!</v>
      </c>
      <c r="H326">
        <v>66.623800000000003</v>
      </c>
      <c r="I326" s="18">
        <f t="shared" ref="I326:I331" si="78">ROUND(AVERAGE(H326:H328),2)</f>
        <v>65.38</v>
      </c>
      <c r="J326" s="38">
        <f t="shared" ref="J326:J327" si="79">ROUND(I326/I330,4)-1</f>
        <v>6.7099999999999937E-2</v>
      </c>
      <c r="L326">
        <v>59.540199999999999</v>
      </c>
      <c r="M326" s="42">
        <f t="shared" ref="M326:M331" si="80">ROUND((AVERAGE(L326:L328)-AVERAGE(L327:L329))/AVERAGE(L327:L329),4)</f>
        <v>7.3000000000000001E-3</v>
      </c>
      <c r="N326" s="43"/>
    </row>
    <row r="327" spans="4:14" ht="15" customHeight="1" x14ac:dyDescent="0.25">
      <c r="D327">
        <v>19.899999999999999</v>
      </c>
      <c r="E327" s="18">
        <f t="shared" si="76"/>
        <v>12.27</v>
      </c>
      <c r="G327" s="42" t="e">
        <f t="shared" si="77"/>
        <v>#DIV/0!</v>
      </c>
      <c r="H327">
        <v>65.606099999999998</v>
      </c>
      <c r="I327" s="18">
        <f t="shared" si="78"/>
        <v>64.11</v>
      </c>
      <c r="J327" s="38">
        <f t="shared" si="79"/>
        <v>4.9299999999999899E-2</v>
      </c>
      <c r="L327">
        <v>59.325499999999998</v>
      </c>
      <c r="M327" s="42">
        <f t="shared" si="80"/>
        <v>7.3000000000000001E-3</v>
      </c>
      <c r="N327" s="43"/>
    </row>
    <row r="328" spans="4:14" ht="15" customHeight="1" x14ac:dyDescent="0.25">
      <c r="D328">
        <v>13</v>
      </c>
      <c r="E328" s="18">
        <f t="shared" si="76"/>
        <v>3.47</v>
      </c>
      <c r="G328" s="42" t="e">
        <f t="shared" si="77"/>
        <v>#DIV/0!</v>
      </c>
      <c r="H328">
        <v>63.924100000000003</v>
      </c>
      <c r="I328" s="18">
        <f t="shared" si="78"/>
        <v>62.71</v>
      </c>
      <c r="L328">
        <v>58.678699999999999</v>
      </c>
      <c r="M328" s="42">
        <f t="shared" si="80"/>
        <v>1.4E-3</v>
      </c>
      <c r="N328" s="43"/>
    </row>
    <row r="329" spans="4:14" ht="15" customHeight="1" x14ac:dyDescent="0.25">
      <c r="D329">
        <v>3.9</v>
      </c>
      <c r="E329" s="18">
        <f t="shared" si="76"/>
        <v>-4.7300000000000004</v>
      </c>
      <c r="G329" s="42" t="e">
        <f t="shared" si="77"/>
        <v>#DIV/0!</v>
      </c>
      <c r="H329">
        <v>62.787399999999998</v>
      </c>
      <c r="I329" s="18">
        <f t="shared" si="78"/>
        <v>61.77</v>
      </c>
      <c r="L329">
        <v>58.253700000000002</v>
      </c>
      <c r="M329" s="42">
        <f t="shared" si="80"/>
        <v>1E-4</v>
      </c>
      <c r="N329" s="43"/>
    </row>
    <row r="330" spans="4:14" ht="15" customHeight="1" x14ac:dyDescent="0.25">
      <c r="D330">
        <v>-6.5</v>
      </c>
      <c r="E330" s="18">
        <f t="shared" si="76"/>
        <v>-13.43</v>
      </c>
      <c r="G330" s="42" t="e">
        <f t="shared" si="77"/>
        <v>#DIV/0!</v>
      </c>
      <c r="H330">
        <v>61.427599999999998</v>
      </c>
      <c r="I330" s="18">
        <f t="shared" si="78"/>
        <v>61.27</v>
      </c>
      <c r="L330">
        <v>58.0488</v>
      </c>
      <c r="M330" s="42">
        <f t="shared" si="80"/>
        <v>-3.3E-3</v>
      </c>
      <c r="N330" s="43"/>
    </row>
    <row r="331" spans="4:14" ht="15" customHeight="1" x14ac:dyDescent="0.25">
      <c r="D331">
        <v>-11.6</v>
      </c>
      <c r="E331" s="18">
        <f t="shared" si="76"/>
        <v>-21.93</v>
      </c>
      <c r="G331" s="42" t="e">
        <f t="shared" si="77"/>
        <v>#DIV/0!</v>
      </c>
      <c r="H331">
        <v>61.103200000000001</v>
      </c>
      <c r="I331" s="18">
        <f t="shared" si="78"/>
        <v>61.1</v>
      </c>
      <c r="L331">
        <v>58.432699999999997</v>
      </c>
      <c r="M331" s="42" t="e">
        <f t="shared" si="80"/>
        <v>#DIV/0!</v>
      </c>
      <c r="N331" s="43"/>
    </row>
    <row r="332" spans="4:14" ht="15" customHeight="1" x14ac:dyDescent="0.25">
      <c r="D332" s="11">
        <v>-22.2</v>
      </c>
      <c r="E332" s="18">
        <f t="shared" si="76"/>
        <v>-27.1</v>
      </c>
    </row>
    <row r="333" spans="4:14" ht="15" customHeight="1" x14ac:dyDescent="0.25">
      <c r="D333" s="11">
        <v>-32</v>
      </c>
      <c r="E333" s="18">
        <f t="shared" si="76"/>
        <v>-32</v>
      </c>
    </row>
  </sheetData>
  <autoFilter ref="A2:P333" xr:uid="{00000000-0009-0000-0000-000005000000}"/>
  <mergeCells count="5">
    <mergeCell ref="B1:C1"/>
    <mergeCell ref="D1:E1"/>
    <mergeCell ref="F1:G1"/>
    <mergeCell ref="H1:K1"/>
    <mergeCell ref="L1:N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332"/>
  <sheetViews>
    <sheetView zoomScale="99" zoomScaleNormal="100" workbookViewId="0">
      <pane xSplit="1" ySplit="2" topLeftCell="I3" activePane="bottomRight" state="frozen"/>
      <selection pane="topRight" activeCell="B1" sqref="B1"/>
      <selection pane="bottomLeft" activeCell="A3" sqref="A3"/>
      <selection pane="bottomRight" activeCell="P3" sqref="P3"/>
    </sheetView>
  </sheetViews>
  <sheetFormatPr defaultColWidth="15.140625" defaultRowHeight="15" customHeight="1" x14ac:dyDescent="0.25"/>
  <cols>
    <col min="1" max="1" width="11.140625" style="11" customWidth="1"/>
    <col min="2" max="2" width="18.5703125" style="11" bestFit="1" customWidth="1"/>
    <col min="3" max="9" width="13.42578125" style="11" customWidth="1"/>
    <col min="10" max="10" width="22" style="11" bestFit="1" customWidth="1"/>
    <col min="11" max="11" width="16.42578125" style="11" bestFit="1" customWidth="1"/>
    <col min="12" max="12" width="16.140625" style="11" bestFit="1" customWidth="1"/>
    <col min="13" max="20" width="16.140625" style="11" customWidth="1"/>
    <col min="21" max="21" width="22.5703125" style="11" bestFit="1" customWidth="1"/>
    <col min="22" max="16384" width="15.140625" style="11"/>
  </cols>
  <sheetData>
    <row r="1" spans="1:22" ht="18" customHeight="1" thickBot="1" x14ac:dyDescent="0.35">
      <c r="A1" s="1"/>
      <c r="B1" s="59" t="s">
        <v>161</v>
      </c>
      <c r="C1" s="59"/>
      <c r="D1" s="59"/>
      <c r="E1" s="59"/>
      <c r="F1" s="59" t="s">
        <v>162</v>
      </c>
      <c r="G1" s="59"/>
      <c r="H1" s="59"/>
      <c r="I1" s="59"/>
      <c r="J1" s="59" t="s">
        <v>22</v>
      </c>
      <c r="K1" s="59"/>
      <c r="L1" s="59" t="s">
        <v>163</v>
      </c>
      <c r="M1" s="59"/>
      <c r="N1" s="59" t="s">
        <v>164</v>
      </c>
      <c r="O1" s="59"/>
      <c r="P1" s="28" t="s">
        <v>194</v>
      </c>
      <c r="Q1" s="59" t="s">
        <v>165</v>
      </c>
      <c r="R1" s="59"/>
      <c r="S1" s="59"/>
      <c r="T1" s="59"/>
      <c r="U1" s="28" t="s">
        <v>166</v>
      </c>
      <c r="V1" s="28" t="s">
        <v>166</v>
      </c>
    </row>
    <row r="2" spans="1:22" ht="16.5" customHeight="1" thickTop="1" thickBot="1" x14ac:dyDescent="0.3">
      <c r="A2" s="3" t="s">
        <v>0</v>
      </c>
      <c r="B2" s="4" t="s">
        <v>161</v>
      </c>
      <c r="C2" s="4" t="s">
        <v>167</v>
      </c>
      <c r="D2" s="4" t="s">
        <v>109</v>
      </c>
      <c r="E2" s="4" t="s">
        <v>168</v>
      </c>
      <c r="F2" s="4" t="s">
        <v>161</v>
      </c>
      <c r="G2" s="4" t="s">
        <v>167</v>
      </c>
      <c r="H2" s="4" t="s">
        <v>109</v>
      </c>
      <c r="I2" s="4" t="s">
        <v>168</v>
      </c>
      <c r="J2" s="4" t="s">
        <v>22</v>
      </c>
      <c r="K2" s="4" t="s">
        <v>169</v>
      </c>
      <c r="L2" s="4" t="s">
        <v>163</v>
      </c>
      <c r="M2" s="4" t="s">
        <v>170</v>
      </c>
      <c r="N2" s="4" t="s">
        <v>171</v>
      </c>
      <c r="O2" s="4" t="s">
        <v>172</v>
      </c>
      <c r="P2" s="4" t="s">
        <v>195</v>
      </c>
      <c r="Q2" s="4" t="s">
        <v>173</v>
      </c>
      <c r="R2" s="4" t="s">
        <v>66</v>
      </c>
      <c r="S2" s="4" t="s">
        <v>109</v>
      </c>
      <c r="T2" s="4" t="s">
        <v>36</v>
      </c>
      <c r="U2" s="4" t="s">
        <v>166</v>
      </c>
      <c r="V2" s="4" t="s">
        <v>166</v>
      </c>
    </row>
    <row r="3" spans="1:22" ht="16.5" customHeight="1" x14ac:dyDescent="0.25">
      <c r="A3" s="5">
        <v>43312</v>
      </c>
      <c r="B3">
        <v>149128</v>
      </c>
      <c r="C3" s="1">
        <f t="shared" ref="C3" si="0">B3-B4</f>
        <v>157</v>
      </c>
      <c r="D3" s="13">
        <f t="shared" ref="D3" si="1">ROUND(B3/B9,4)-1</f>
        <v>8.999999999999897E-3</v>
      </c>
      <c r="E3" s="29">
        <f t="shared" ref="E3" si="2">ROUND((B3-AVERAGE(B4:B6))/AVERAGE(B4:B6),4)</f>
        <v>2.8E-3</v>
      </c>
      <c r="F3" s="18">
        <v>126679</v>
      </c>
      <c r="G3" s="1">
        <f t="shared" ref="G3" si="3">ROUND(F3-F4,0)</f>
        <v>219</v>
      </c>
      <c r="H3" s="13">
        <f t="shared" ref="H3" si="4">ROUND(F3/F9,4)-1</f>
        <v>9.6000000000000529E-3</v>
      </c>
      <c r="I3" s="29">
        <f t="shared" ref="I3" si="5">ROUND((F3-AVERAGE(F4:F6))/AVERAGE(F4:F6),4)</f>
        <v>3.2000000000000002E-3</v>
      </c>
      <c r="J3" s="18">
        <v>3.9</v>
      </c>
      <c r="K3" s="29">
        <f t="shared" ref="K3:K4" si="6">ROUND((J3-AVERAGE(J4:J7))/AVERAGE(J4:J7),4)</f>
        <v>-1.2699999999999999E-2</v>
      </c>
      <c r="L3" s="18">
        <v>22.65</v>
      </c>
      <c r="M3" s="29">
        <f t="shared" ref="M3:M4" si="7">ROUND((L3-AVERAGE(L4:L7))/AVERAGE(L4:L7),4)</f>
        <v>5.1999999999999998E-3</v>
      </c>
      <c r="N3" s="18">
        <v>50.6</v>
      </c>
      <c r="O3" s="13">
        <f t="shared" ref="O3:O9" si="8">ROUND(((N3+25)-(AVERAGE(N4:N9)+25))/(AVERAGE(N4:N9)+25),4)</f>
        <v>-5.6399999999999999E-2</v>
      </c>
      <c r="P3">
        <v>257843</v>
      </c>
      <c r="Q3" s="18">
        <v>1.4350000000000001</v>
      </c>
      <c r="R3">
        <f t="shared" ref="R3" si="9">Q3+100</f>
        <v>101.435</v>
      </c>
      <c r="S3" s="13">
        <f t="shared" ref="S3" si="10">ROUND(R3/R9,4)-1</f>
        <v>9.9999999999988987E-5</v>
      </c>
      <c r="T3" s="13">
        <f t="shared" ref="T3" si="11">ROUND((AVERAGE(R3:R6)-AVERAGE(R4:R7))/AVERAGE(R4:R7),4)</f>
        <v>-2.9999999999999997E-4</v>
      </c>
      <c r="U3" s="30">
        <f t="shared" ref="U3" si="12">IF(ROUND(((C3/12)+(D3*600)+(E3*2500)+(G3/12)+(H3*500)+(I3*2500)-(J3*1.8)-(K3*300)+(M3*800)-(N3/5)-(O3*300)+(Q3*8)+(S3*600)+(T3*600))/2,2)+142&lt;0,0,ROUND(((C3/12)+(D3*600)+(E3*2500)+(G3/12)+(H3*500)+(I3*2500)-(J3*1.8)-(K3*300)+(M3*800)-(N3/5)-(O3*300)+(Q3*8)+(S3*600)+(T3*600))/2,2)+142)</f>
        <v>179.82</v>
      </c>
      <c r="V3" s="31">
        <f t="shared" ref="V3" si="13">ROUND(AVERAGE(U3,U4:U5),2)</f>
        <v>179.31</v>
      </c>
    </row>
    <row r="4" spans="1:22" ht="16.5" customHeight="1" x14ac:dyDescent="0.25">
      <c r="A4" s="5">
        <v>43281</v>
      </c>
      <c r="B4">
        <v>148971</v>
      </c>
      <c r="C4" s="1">
        <f t="shared" ref="C4" si="14">B4-B5</f>
        <v>248</v>
      </c>
      <c r="D4" s="13">
        <f t="shared" ref="D4" si="15">ROUND(B4/B10,4)-1</f>
        <v>9.100000000000108E-3</v>
      </c>
      <c r="E4" s="29">
        <f t="shared" ref="E4" si="16">ROUND((B4-AVERAGE(B5:B7))/AVERAGE(B5:B7),4)</f>
        <v>3.3E-3</v>
      </c>
      <c r="F4" s="18">
        <v>126460</v>
      </c>
      <c r="G4" s="1">
        <f t="shared" ref="G4" si="17">ROUND(F4-F5,0)</f>
        <v>188</v>
      </c>
      <c r="H4" s="13">
        <f t="shared" ref="H4" si="18">ROUND(F4/F10,4)-1</f>
        <v>9.8000000000000309E-3</v>
      </c>
      <c r="I4" s="29">
        <f t="shared" ref="I4" si="19">ROUND((F4-AVERAGE(F5:F7))/AVERAGE(F5:F7),4)</f>
        <v>3.0000000000000001E-3</v>
      </c>
      <c r="J4" s="18">
        <v>4</v>
      </c>
      <c r="K4" s="29">
        <f t="shared" si="6"/>
        <v>6.3E-3</v>
      </c>
      <c r="L4" s="18">
        <v>22.62</v>
      </c>
      <c r="M4" s="29">
        <f t="shared" si="7"/>
        <v>6.6E-3</v>
      </c>
      <c r="N4" s="18">
        <v>52.6</v>
      </c>
      <c r="O4" s="13">
        <f t="shared" si="8"/>
        <v>-3.5099999999999999E-2</v>
      </c>
      <c r="P4">
        <v>257642</v>
      </c>
      <c r="Q4" s="18">
        <v>1.135</v>
      </c>
      <c r="R4">
        <f t="shared" ref="R4" si="20">Q4+100</f>
        <v>101.13500000000001</v>
      </c>
      <c r="S4" s="13">
        <f t="shared" ref="S4" si="21">ROUND(R4/R10,4)-1</f>
        <v>-5.0999999999999934E-3</v>
      </c>
      <c r="T4" s="13">
        <f t="shared" ref="T4" si="22">ROUND((AVERAGE(R4:R7)-AVERAGE(R5:R8))/AVERAGE(R5:R8),4)</f>
        <v>-1E-4</v>
      </c>
      <c r="U4" s="30">
        <f t="shared" ref="U4:U9" si="23">IF(ROUND(((C4/12)+(D4*600)+(E4*2500)+(G4/12)+(H4*500)+(I4*2500)-(J4*1.8)-(K4*300)+(M4*800)-(N4/5)-(O4*300)+(Q4*8)+(S4*600)+(T4*600))/2,2)+142&lt;0,0,ROUND(((C4/12)+(D4*600)+(E4*2500)+(G4/12)+(H4*500)+(I4*2500)-(J4*1.8)-(K4*300)+(M4*800)-(N4/5)-(O4*300)+(Q4*8)+(S4*600)+(T4*600))/2,2)+142)</f>
        <v>174.3</v>
      </c>
      <c r="V4" s="31">
        <f t="shared" ref="V4" si="24">ROUND(AVERAGE(U4,U5:U6),2)</f>
        <v>177.51</v>
      </c>
    </row>
    <row r="5" spans="1:22" ht="16.5" customHeight="1" x14ac:dyDescent="0.25">
      <c r="A5" s="5">
        <v>43251</v>
      </c>
      <c r="B5">
        <v>148723</v>
      </c>
      <c r="C5" s="1">
        <f t="shared" ref="C5" si="25">B5-B6</f>
        <v>284</v>
      </c>
      <c r="D5" s="13">
        <f t="shared" ref="D5" si="26">ROUND(B5/B11,4)-1</f>
        <v>8.599999999999941E-3</v>
      </c>
      <c r="E5" s="29">
        <f t="shared" ref="E5" si="27">ROUND((B5-AVERAGE(B6:B8))/AVERAGE(B6:B8),4)</f>
        <v>3.0000000000000001E-3</v>
      </c>
      <c r="F5" s="18">
        <v>126272</v>
      </c>
      <c r="G5" s="1">
        <f t="shared" ref="G5" si="28">ROUND(F5-F6,0)</f>
        <v>196</v>
      </c>
      <c r="H5" s="13">
        <f t="shared" ref="H5" si="29">ROUND(F5/F11,4)-1</f>
        <v>1.0299999999999976E-2</v>
      </c>
      <c r="I5" s="29">
        <f t="shared" ref="I5" si="30">ROUND((F5-AVERAGE(F6:F8))/AVERAGE(F6:F8),4)</f>
        <v>2.8999999999999998E-3</v>
      </c>
      <c r="J5" s="18">
        <v>3.8</v>
      </c>
      <c r="K5" s="29">
        <f t="shared" ref="K5" si="31">ROUND((J5-AVERAGE(J6:J9))/AVERAGE(J6:J9),4)</f>
        <v>-6.1699999999999998E-2</v>
      </c>
      <c r="L5" s="18">
        <v>22.58</v>
      </c>
      <c r="M5" s="29">
        <f t="shared" ref="M5" si="32">ROUND((L5-AVERAGE(L6:L9))/AVERAGE(L6:L9),4)</f>
        <v>7.4999999999999997E-3</v>
      </c>
      <c r="N5" s="18">
        <v>54.8</v>
      </c>
      <c r="O5" s="13">
        <f t="shared" si="8"/>
        <v>-5.5999999999999999E-3</v>
      </c>
      <c r="P5">
        <v>257454</v>
      </c>
      <c r="Q5" s="18">
        <v>1.3560000000000001</v>
      </c>
      <c r="R5">
        <f t="shared" ref="R5" si="33">Q5+100</f>
        <v>101.35599999999999</v>
      </c>
      <c r="S5" s="13">
        <f t="shared" ref="S5" si="34">ROUND(R5/R11,4)-1</f>
        <v>-9.000000000000119E-4</v>
      </c>
      <c r="T5" s="13">
        <f t="shared" ref="T5" si="35">ROUND((AVERAGE(R5:R8)-AVERAGE(R6:R9))/AVERAGE(R6:R9),4)</f>
        <v>-2.0000000000000001E-4</v>
      </c>
      <c r="U5" s="30">
        <f t="shared" si="23"/>
        <v>183.82</v>
      </c>
      <c r="V5" s="31">
        <f t="shared" ref="V5" si="36">ROUND(AVERAGE(U5,U6:U7),2)</f>
        <v>175.49</v>
      </c>
    </row>
    <row r="6" spans="1:22" ht="16.5" customHeight="1" x14ac:dyDescent="0.25">
      <c r="A6" s="5">
        <v>43220</v>
      </c>
      <c r="B6">
        <v>148439</v>
      </c>
      <c r="C6" s="1">
        <f t="shared" ref="C6:C69" si="37">B6-B7</f>
        <v>179</v>
      </c>
      <c r="D6" s="13">
        <f t="shared" ref="D6:D69" si="38">ROUND(B6/B12,4)-1</f>
        <v>8.1999999999999851E-3</v>
      </c>
      <c r="E6" s="29">
        <f t="shared" ref="E6:E69" si="39">ROUND((B6-AVERAGE(B7:B9))/AVERAGE(B7:B9),4)</f>
        <v>2.5000000000000001E-3</v>
      </c>
      <c r="F6" s="18">
        <v>126076</v>
      </c>
      <c r="G6" s="1">
        <f t="shared" ref="G6:G69" si="40">ROUND(F6-F7,0)</f>
        <v>163</v>
      </c>
      <c r="H6" s="13">
        <f t="shared" ref="H6:H69" si="41">ROUND(F6/F12,4)-1</f>
        <v>1.0399999999999965E-2</v>
      </c>
      <c r="I6" s="29">
        <f t="shared" ref="I6:I69" si="42">ROUND((F6-AVERAGE(F7:F9))/AVERAGE(F7:F9),4)</f>
        <v>3.0000000000000001E-3</v>
      </c>
      <c r="J6" s="18">
        <v>3.9</v>
      </c>
      <c r="K6" s="29">
        <f t="shared" ref="K6:K69" si="43">ROUND((J6-AVERAGE(J7:J10))/AVERAGE(J7:J10),4)</f>
        <v>-4.8800000000000003E-2</v>
      </c>
      <c r="L6" s="18">
        <v>22.51</v>
      </c>
      <c r="M6" s="29">
        <f t="shared" ref="M6:M69" si="44">ROUND((L6-AVERAGE(L7:L10))/AVERAGE(L7:L10),4)</f>
        <v>6.7000000000000002E-3</v>
      </c>
      <c r="N6" s="18">
        <v>55.2</v>
      </c>
      <c r="O6" s="13">
        <f t="shared" si="8"/>
        <v>1.6999999999999999E-3</v>
      </c>
      <c r="P6">
        <v>257272</v>
      </c>
      <c r="Q6" s="18">
        <v>1.306</v>
      </c>
      <c r="R6">
        <f t="shared" ref="R6:R69" si="45">Q6+100</f>
        <v>101.306</v>
      </c>
      <c r="S6" s="13">
        <f t="shared" ref="S6:S69" si="46">ROUND(R6/R12,4)-1</f>
        <v>1.9000000000000128E-3</v>
      </c>
      <c r="T6" s="13">
        <f t="shared" ref="T6:T69" si="47">ROUND((AVERAGE(R6:R9)-AVERAGE(R7:R10))/AVERAGE(R7:R10),4)</f>
        <v>-8.9999999999999998E-4</v>
      </c>
      <c r="U6" s="30">
        <f t="shared" si="23"/>
        <v>174.42000000000002</v>
      </c>
      <c r="V6" s="31">
        <f t="shared" ref="V6:V69" si="48">ROUND(AVERAGE(U6,U7:U8),2)</f>
        <v>171.93</v>
      </c>
    </row>
    <row r="7" spans="1:22" ht="16.5" customHeight="1" x14ac:dyDescent="0.25">
      <c r="A7" s="5">
        <v>43190</v>
      </c>
      <c r="B7">
        <v>148260</v>
      </c>
      <c r="C7" s="1">
        <f t="shared" si="37"/>
        <v>135</v>
      </c>
      <c r="D7" s="13">
        <f t="shared" si="38"/>
        <v>8.799999999999919E-3</v>
      </c>
      <c r="E7" s="29">
        <f t="shared" si="39"/>
        <v>2.8E-3</v>
      </c>
      <c r="F7" s="18">
        <v>125913</v>
      </c>
      <c r="G7" s="1">
        <f t="shared" si="40"/>
        <v>193</v>
      </c>
      <c r="H7" s="13">
        <f t="shared" si="41"/>
        <v>1.0399999999999965E-2</v>
      </c>
      <c r="I7" s="29">
        <f t="shared" si="42"/>
        <v>3.5000000000000001E-3</v>
      </c>
      <c r="J7" s="18">
        <v>4.0999999999999996</v>
      </c>
      <c r="K7" s="29">
        <f t="shared" si="43"/>
        <v>0</v>
      </c>
      <c r="L7" s="18">
        <v>22.42</v>
      </c>
      <c r="M7" s="29">
        <f t="shared" si="44"/>
        <v>4.7000000000000002E-3</v>
      </c>
      <c r="N7" s="18">
        <v>55.6</v>
      </c>
      <c r="O7" s="13">
        <f t="shared" si="8"/>
        <v>3.5999999999999999E-3</v>
      </c>
      <c r="P7">
        <v>257097</v>
      </c>
      <c r="Q7" s="18">
        <v>1.5760000000000001</v>
      </c>
      <c r="R7">
        <f t="shared" si="45"/>
        <v>101.57599999999999</v>
      </c>
      <c r="S7" s="13">
        <f t="shared" si="46"/>
        <v>3.2000000000000917E-3</v>
      </c>
      <c r="T7" s="13">
        <f t="shared" si="47"/>
        <v>2.9999999999999997E-4</v>
      </c>
      <c r="U7" s="30">
        <f t="shared" si="23"/>
        <v>168.23</v>
      </c>
      <c r="V7" s="31">
        <f t="shared" si="48"/>
        <v>171.25</v>
      </c>
    </row>
    <row r="8" spans="1:22" ht="16.5" customHeight="1" x14ac:dyDescent="0.25">
      <c r="A8" s="5">
        <v>43159</v>
      </c>
      <c r="B8">
        <v>148125</v>
      </c>
      <c r="C8" s="1">
        <f t="shared" si="37"/>
        <v>324</v>
      </c>
      <c r="D8" s="13">
        <f t="shared" si="38"/>
        <v>8.0000000000000071E-3</v>
      </c>
      <c r="E8" s="29">
        <f t="shared" si="39"/>
        <v>3.3999999999999998E-3</v>
      </c>
      <c r="F8">
        <v>125720</v>
      </c>
      <c r="G8" s="1">
        <f t="shared" si="40"/>
        <v>244</v>
      </c>
      <c r="H8" s="13">
        <f t="shared" si="41"/>
        <v>9.5000000000000639E-3</v>
      </c>
      <c r="I8" s="29">
        <f t="shared" si="42"/>
        <v>3.8999999999999998E-3</v>
      </c>
      <c r="J8" s="18">
        <v>4.0999999999999996</v>
      </c>
      <c r="K8" s="29">
        <f t="shared" si="43"/>
        <v>0</v>
      </c>
      <c r="L8" s="18">
        <v>22.38</v>
      </c>
      <c r="M8" s="29">
        <f t="shared" si="44"/>
        <v>4.7000000000000002E-3</v>
      </c>
      <c r="N8" s="18">
        <v>57.2</v>
      </c>
      <c r="O8" s="13">
        <f t="shared" si="8"/>
        <v>2.2499999999999999E-2</v>
      </c>
      <c r="P8">
        <v>256934</v>
      </c>
      <c r="Q8" s="18">
        <v>1.1619999999999999</v>
      </c>
      <c r="R8">
        <f t="shared" si="45"/>
        <v>101.16200000000001</v>
      </c>
      <c r="S8" s="13">
        <f t="shared" si="46"/>
        <v>-7.0000000000003393E-4</v>
      </c>
      <c r="T8" s="13">
        <f t="shared" si="47"/>
        <v>1E-4</v>
      </c>
      <c r="U8" s="30">
        <f t="shared" si="23"/>
        <v>173.13</v>
      </c>
      <c r="V8" s="31">
        <f t="shared" si="48"/>
        <v>175.12</v>
      </c>
    </row>
    <row r="9" spans="1:22" ht="16.5" customHeight="1" x14ac:dyDescent="0.25">
      <c r="A9" s="5">
        <v>43131</v>
      </c>
      <c r="B9">
        <v>147801</v>
      </c>
      <c r="C9" s="1">
        <f t="shared" si="37"/>
        <v>176</v>
      </c>
      <c r="D9" s="13">
        <f t="shared" si="38"/>
        <v>7.3000000000000842E-3</v>
      </c>
      <c r="E9" s="29">
        <f t="shared" si="39"/>
        <v>2.5000000000000001E-3</v>
      </c>
      <c r="F9">
        <v>125476.296</v>
      </c>
      <c r="G9" s="1">
        <f t="shared" si="40"/>
        <v>244</v>
      </c>
      <c r="H9" s="13">
        <f t="shared" si="41"/>
        <v>8.899999999999908E-3</v>
      </c>
      <c r="I9" s="29">
        <f t="shared" si="42"/>
        <v>3.8E-3</v>
      </c>
      <c r="J9" s="18">
        <v>4.0999999999999996</v>
      </c>
      <c r="K9" s="29">
        <f t="shared" si="43"/>
        <v>-6.1000000000000004E-3</v>
      </c>
      <c r="L9" s="18">
        <v>22.34</v>
      </c>
      <c r="M9" s="29">
        <f t="shared" si="44"/>
        <v>4.1999999999999997E-3</v>
      </c>
      <c r="N9" s="18">
        <v>55.29</v>
      </c>
      <c r="O9" s="13">
        <f t="shared" si="8"/>
        <v>-6.8999999999999999E-3</v>
      </c>
      <c r="P9">
        <v>256780</v>
      </c>
      <c r="Q9" s="18">
        <v>1.423</v>
      </c>
      <c r="R9">
        <f t="shared" si="45"/>
        <v>101.423</v>
      </c>
      <c r="S9" s="13">
        <f t="shared" si="46"/>
        <v>1.3000000000000789E-3</v>
      </c>
      <c r="T9" s="13">
        <f t="shared" si="47"/>
        <v>4.0000000000000002E-4</v>
      </c>
      <c r="U9" s="30">
        <f t="shared" si="23"/>
        <v>172.4</v>
      </c>
      <c r="V9" s="31">
        <f t="shared" si="48"/>
        <v>177.67</v>
      </c>
    </row>
    <row r="10" spans="1:22" ht="16.5" customHeight="1" x14ac:dyDescent="0.25">
      <c r="A10" s="5">
        <v>43100</v>
      </c>
      <c r="B10">
        <v>147625</v>
      </c>
      <c r="C10" s="1">
        <f t="shared" si="37"/>
        <v>175</v>
      </c>
      <c r="D10" s="13">
        <f t="shared" si="38"/>
        <v>7.4000000000000732E-3</v>
      </c>
      <c r="E10" s="29">
        <f t="shared" si="39"/>
        <v>2.8E-3</v>
      </c>
      <c r="F10">
        <v>125232.605</v>
      </c>
      <c r="G10" s="1">
        <f t="shared" si="40"/>
        <v>249</v>
      </c>
      <c r="H10" s="13">
        <f t="shared" si="41"/>
        <v>8.599999999999941E-3</v>
      </c>
      <c r="I10" s="29">
        <f t="shared" si="42"/>
        <v>3.5000000000000001E-3</v>
      </c>
      <c r="J10" s="18">
        <v>4.0999999999999996</v>
      </c>
      <c r="K10" s="29">
        <f t="shared" si="43"/>
        <v>-2.3800000000000002E-2</v>
      </c>
      <c r="L10" s="18">
        <v>22.3</v>
      </c>
      <c r="M10" s="29">
        <f t="shared" si="44"/>
        <v>4.4000000000000003E-3</v>
      </c>
      <c r="N10" s="18">
        <v>54.47</v>
      </c>
      <c r="O10" s="13">
        <f t="shared" ref="O10:O73" si="49">ROUND(((N10+25)-(AVERAGE(N11:N16)+25))/(AVERAGE(N11:N16)+25),4)</f>
        <v>-2.4799999999999999E-2</v>
      </c>
      <c r="P10">
        <v>256109</v>
      </c>
      <c r="Q10" s="18">
        <v>1.653</v>
      </c>
      <c r="R10">
        <f t="shared" si="45"/>
        <v>101.65300000000001</v>
      </c>
      <c r="S10" s="13">
        <f t="shared" si="46"/>
        <v>3.6000000000000476E-3</v>
      </c>
      <c r="T10" s="13">
        <f t="shared" si="47"/>
        <v>1E-3</v>
      </c>
      <c r="U10" s="30">
        <f t="shared" ref="U10:U73" si="50">IF(ROUND(((C10/12)+(D10*600)+(E10*2500)+(G10/12)+(H10*500)+(I10*2500)-(J10*1.8)-(K10*300)+(M10*800)-(N10/5)-(O10*300)+(Q10*8)+(S10*600)+(T10*600))/2,2)+142&lt;0,0,ROUND(((C10/12)+(D10*600)+(E10*2500)+(G10/12)+(H10*500)+(I10*2500)-(J10*1.8)-(K10*300)+(M10*800)-(N10/5)-(O10*300)+(Q10*8)+(S10*600)+(T10*600))/2,2)+142)</f>
        <v>179.82</v>
      </c>
      <c r="V10" s="31">
        <f t="shared" si="48"/>
        <v>180.53</v>
      </c>
    </row>
    <row r="11" spans="1:22" ht="16.5" customHeight="1" x14ac:dyDescent="0.25">
      <c r="A11" s="5">
        <v>43069</v>
      </c>
      <c r="B11">
        <v>147450</v>
      </c>
      <c r="C11" s="1">
        <f t="shared" si="37"/>
        <v>216</v>
      </c>
      <c r="D11" s="13">
        <f t="shared" si="38"/>
        <v>7.9000000000000181E-3</v>
      </c>
      <c r="E11" s="29">
        <f t="shared" si="39"/>
        <v>2.7000000000000001E-3</v>
      </c>
      <c r="F11">
        <v>124983.136</v>
      </c>
      <c r="G11" s="1">
        <f t="shared" si="40"/>
        <v>200</v>
      </c>
      <c r="H11" s="13">
        <f t="shared" si="41"/>
        <v>7.8000000000000291E-3</v>
      </c>
      <c r="I11" s="29">
        <f t="shared" si="42"/>
        <v>2.7000000000000001E-3</v>
      </c>
      <c r="J11" s="18">
        <v>4.0999999999999996</v>
      </c>
      <c r="K11" s="29">
        <f t="shared" si="43"/>
        <v>-3.5299999999999998E-2</v>
      </c>
      <c r="L11" s="18">
        <v>22.24</v>
      </c>
      <c r="M11" s="29">
        <f t="shared" si="44"/>
        <v>3.5000000000000001E-3</v>
      </c>
      <c r="N11" s="18">
        <v>53.76</v>
      </c>
      <c r="O11" s="13">
        <f t="shared" si="49"/>
        <v>-4.2599999999999999E-2</v>
      </c>
      <c r="P11">
        <v>255949</v>
      </c>
      <c r="Q11" s="18">
        <v>1.448</v>
      </c>
      <c r="R11">
        <f t="shared" si="45"/>
        <v>101.44799999999999</v>
      </c>
      <c r="S11" s="13">
        <f t="shared" si="46"/>
        <v>1.5000000000000568E-3</v>
      </c>
      <c r="T11" s="13">
        <f t="shared" si="47"/>
        <v>4.0000000000000002E-4</v>
      </c>
      <c r="U11" s="30">
        <f t="shared" si="50"/>
        <v>180.78</v>
      </c>
      <c r="V11" s="31">
        <f t="shared" si="48"/>
        <v>174.33</v>
      </c>
    </row>
    <row r="12" spans="1:22" ht="16.5" customHeight="1" x14ac:dyDescent="0.25">
      <c r="A12" s="5">
        <v>43039</v>
      </c>
      <c r="B12">
        <v>147234</v>
      </c>
      <c r="C12" s="1">
        <f t="shared" si="37"/>
        <v>271</v>
      </c>
      <c r="D12" s="13">
        <f t="shared" si="38"/>
        <v>7.5000000000000622E-3</v>
      </c>
      <c r="E12" s="29">
        <f t="shared" si="39"/>
        <v>2.3999999999999998E-3</v>
      </c>
      <c r="F12">
        <v>124783.07399999999</v>
      </c>
      <c r="G12" s="1">
        <f t="shared" si="40"/>
        <v>161</v>
      </c>
      <c r="H12" s="13">
        <f t="shared" si="41"/>
        <v>7.9000000000000181E-3</v>
      </c>
      <c r="I12" s="29">
        <f t="shared" si="42"/>
        <v>2.2000000000000001E-3</v>
      </c>
      <c r="J12" s="18">
        <v>4.0999999999999996</v>
      </c>
      <c r="K12" s="29">
        <f t="shared" si="43"/>
        <v>-5.1999999999999998E-2</v>
      </c>
      <c r="L12" s="18">
        <v>22.22</v>
      </c>
      <c r="M12" s="29">
        <f t="shared" si="44"/>
        <v>4.5999999999999999E-3</v>
      </c>
      <c r="N12" s="18">
        <v>54.08</v>
      </c>
      <c r="O12" s="13">
        <f t="shared" si="49"/>
        <v>-4.7899999999999998E-2</v>
      </c>
      <c r="P12">
        <v>255766</v>
      </c>
      <c r="Q12" s="18">
        <v>1.117</v>
      </c>
      <c r="R12">
        <f t="shared" si="45"/>
        <v>101.117</v>
      </c>
      <c r="S12" s="13">
        <f t="shared" si="46"/>
        <v>-3.4999999999999476E-3</v>
      </c>
      <c r="T12" s="13">
        <f t="shared" si="47"/>
        <v>-4.0000000000000002E-4</v>
      </c>
      <c r="U12" s="30">
        <f t="shared" si="50"/>
        <v>181</v>
      </c>
      <c r="V12" s="31">
        <f t="shared" si="48"/>
        <v>170.02</v>
      </c>
    </row>
    <row r="13" spans="1:22" ht="16.5" customHeight="1" x14ac:dyDescent="0.25">
      <c r="A13" s="5">
        <v>43008</v>
      </c>
      <c r="B13">
        <v>146963</v>
      </c>
      <c r="C13" s="1">
        <f t="shared" si="37"/>
        <v>14</v>
      </c>
      <c r="D13" s="13">
        <f t="shared" si="38"/>
        <v>6.7999999999999172E-3</v>
      </c>
      <c r="E13" s="29">
        <f t="shared" si="39"/>
        <v>1.5E-3</v>
      </c>
      <c r="F13">
        <v>124621.91800000001</v>
      </c>
      <c r="G13" s="1">
        <f t="shared" si="40"/>
        <v>84</v>
      </c>
      <c r="H13" s="13">
        <f t="shared" si="41"/>
        <v>7.8000000000000291E-3</v>
      </c>
      <c r="I13" s="29">
        <f t="shared" si="42"/>
        <v>2.0999999999999999E-3</v>
      </c>
      <c r="J13" s="18">
        <v>4.2</v>
      </c>
      <c r="K13" s="29">
        <f t="shared" si="43"/>
        <v>-3.4500000000000003E-2</v>
      </c>
      <c r="L13" s="18">
        <v>22.23</v>
      </c>
      <c r="M13" s="29">
        <f t="shared" si="44"/>
        <v>7.7999999999999996E-3</v>
      </c>
      <c r="N13">
        <v>57.05</v>
      </c>
      <c r="O13" s="13">
        <f t="shared" si="49"/>
        <v>-1.9800000000000002E-2</v>
      </c>
      <c r="P13">
        <v>255562</v>
      </c>
      <c r="Q13" s="18">
        <v>1.2529999999999999</v>
      </c>
      <c r="R13">
        <f t="shared" si="45"/>
        <v>101.253</v>
      </c>
      <c r="S13" s="13">
        <f t="shared" si="46"/>
        <v>-3.9999999999995595E-4</v>
      </c>
      <c r="T13" s="13">
        <f t="shared" si="47"/>
        <v>-1E-4</v>
      </c>
      <c r="U13" s="30">
        <f t="shared" si="50"/>
        <v>161.22</v>
      </c>
      <c r="V13" s="31">
        <f t="shared" si="48"/>
        <v>168.13</v>
      </c>
    </row>
    <row r="14" spans="1:22" ht="16.5" customHeight="1" x14ac:dyDescent="0.25">
      <c r="A14" s="5">
        <v>42978</v>
      </c>
      <c r="B14">
        <v>146949</v>
      </c>
      <c r="C14" s="1">
        <f t="shared" si="37"/>
        <v>221</v>
      </c>
      <c r="D14" s="13">
        <f t="shared" si="38"/>
        <v>7.2000000000000952E-3</v>
      </c>
      <c r="E14" s="29">
        <f t="shared" si="39"/>
        <v>2.8999999999999998E-3</v>
      </c>
      <c r="F14">
        <v>124538.23</v>
      </c>
      <c r="G14" s="1">
        <f t="shared" si="40"/>
        <v>170</v>
      </c>
      <c r="H14" s="13">
        <f t="shared" si="41"/>
        <v>8.0999999999999961E-3</v>
      </c>
      <c r="I14" s="29">
        <f t="shared" si="42"/>
        <v>2.8999999999999998E-3</v>
      </c>
      <c r="J14" s="18">
        <v>4.4000000000000004</v>
      </c>
      <c r="K14" s="29">
        <f t="shared" si="43"/>
        <v>1.15E-2</v>
      </c>
      <c r="L14" s="18">
        <v>22.12</v>
      </c>
      <c r="M14" s="29">
        <f t="shared" si="44"/>
        <v>4.7000000000000002E-3</v>
      </c>
      <c r="N14" s="18">
        <v>57.72</v>
      </c>
      <c r="O14" s="13">
        <f t="shared" si="49"/>
        <v>-2.1700000000000001E-2</v>
      </c>
      <c r="P14">
        <v>255357</v>
      </c>
      <c r="Q14" s="18">
        <v>1.2360199999999999</v>
      </c>
      <c r="R14">
        <f t="shared" si="45"/>
        <v>101.23602</v>
      </c>
      <c r="S14" s="13">
        <f t="shared" si="46"/>
        <v>-1.0999999999999899E-3</v>
      </c>
      <c r="T14" s="13">
        <f t="shared" si="47"/>
        <v>-5.9999999999999995E-4</v>
      </c>
      <c r="U14" s="30">
        <f t="shared" si="50"/>
        <v>167.84</v>
      </c>
      <c r="V14" s="31">
        <f t="shared" si="48"/>
        <v>172.66</v>
      </c>
    </row>
    <row r="15" spans="1:22" ht="16.5" customHeight="1" x14ac:dyDescent="0.25">
      <c r="A15" s="5">
        <v>42947</v>
      </c>
      <c r="B15">
        <v>146728</v>
      </c>
      <c r="C15" s="1">
        <f t="shared" si="37"/>
        <v>190</v>
      </c>
      <c r="D15" s="13">
        <f t="shared" si="38"/>
        <v>7.1000000000001062E-3</v>
      </c>
      <c r="E15" s="29">
        <f t="shared" si="39"/>
        <v>2.7000000000000001E-3</v>
      </c>
      <c r="F15">
        <v>124368.583</v>
      </c>
      <c r="G15" s="1">
        <f t="shared" si="40"/>
        <v>203</v>
      </c>
      <c r="H15" s="13">
        <f t="shared" si="41"/>
        <v>8.899999999999908E-3</v>
      </c>
      <c r="I15" s="29">
        <f t="shared" si="42"/>
        <v>3.0000000000000001E-3</v>
      </c>
      <c r="J15" s="18">
        <v>4.3</v>
      </c>
      <c r="K15" s="29">
        <f t="shared" si="43"/>
        <v>-2.2700000000000001E-2</v>
      </c>
      <c r="L15" s="18">
        <v>22.08</v>
      </c>
      <c r="M15" s="29">
        <f t="shared" si="44"/>
        <v>4.8999999999999998E-3</v>
      </c>
      <c r="N15">
        <v>58.02</v>
      </c>
      <c r="O15" s="13">
        <f t="shared" si="49"/>
        <v>-2.9600000000000001E-2</v>
      </c>
      <c r="P15">
        <v>255151</v>
      </c>
      <c r="Q15" s="18">
        <v>1.2892600000000001</v>
      </c>
      <c r="R15">
        <f t="shared" si="45"/>
        <v>101.28926</v>
      </c>
      <c r="S15" s="13">
        <f t="shared" si="46"/>
        <v>5.9999999999993392E-4</v>
      </c>
      <c r="T15" s="13">
        <f t="shared" si="47"/>
        <v>0</v>
      </c>
      <c r="U15" s="30">
        <f t="shared" si="50"/>
        <v>175.32999999999998</v>
      </c>
      <c r="V15" s="31">
        <f t="shared" si="48"/>
        <v>177.45</v>
      </c>
    </row>
    <row r="16" spans="1:22" ht="16.5" customHeight="1" x14ac:dyDescent="0.25">
      <c r="A16" s="5">
        <v>42916</v>
      </c>
      <c r="B16">
        <v>146538</v>
      </c>
      <c r="C16" s="1">
        <f t="shared" si="37"/>
        <v>239</v>
      </c>
      <c r="D16" s="13">
        <f t="shared" si="38"/>
        <v>7.6000000000000512E-3</v>
      </c>
      <c r="E16" s="29">
        <f t="shared" si="39"/>
        <v>2.7000000000000001E-3</v>
      </c>
      <c r="F16">
        <v>124166.035</v>
      </c>
      <c r="G16" s="1">
        <f t="shared" si="40"/>
        <v>154</v>
      </c>
      <c r="H16" s="13">
        <f t="shared" si="41"/>
        <v>9.400000000000075E-3</v>
      </c>
      <c r="I16" s="29">
        <f t="shared" si="42"/>
        <v>2.7000000000000001E-3</v>
      </c>
      <c r="J16" s="18">
        <v>4.4000000000000004</v>
      </c>
      <c r="K16" s="29">
        <f t="shared" si="43"/>
        <v>-1.6799999999999999E-2</v>
      </c>
      <c r="L16" s="18">
        <v>22.04</v>
      </c>
      <c r="M16" s="29">
        <f t="shared" si="44"/>
        <v>5.1000000000000004E-3</v>
      </c>
      <c r="N16">
        <v>58.33</v>
      </c>
      <c r="O16" s="13">
        <f t="shared" si="49"/>
        <v>-3.2099999999999997E-2</v>
      </c>
      <c r="P16">
        <v>254957</v>
      </c>
      <c r="Q16" s="18">
        <v>1.28932</v>
      </c>
      <c r="R16">
        <f t="shared" si="45"/>
        <v>101.28932</v>
      </c>
      <c r="S16" s="13">
        <f t="shared" si="46"/>
        <v>1.2000000000000899E-3</v>
      </c>
      <c r="T16" s="13">
        <f t="shared" si="47"/>
        <v>-1E-4</v>
      </c>
      <c r="U16" s="30">
        <f t="shared" si="50"/>
        <v>174.82</v>
      </c>
      <c r="V16" s="31">
        <f t="shared" si="48"/>
        <v>179.89</v>
      </c>
    </row>
    <row r="17" spans="1:22" ht="16.5" customHeight="1" x14ac:dyDescent="0.25">
      <c r="A17" s="5">
        <v>42886</v>
      </c>
      <c r="B17">
        <v>146299</v>
      </c>
      <c r="C17" s="1">
        <f t="shared" si="37"/>
        <v>155</v>
      </c>
      <c r="D17" s="13">
        <f t="shared" si="38"/>
        <v>7.2000000000000952E-3</v>
      </c>
      <c r="E17" s="29">
        <f t="shared" si="39"/>
        <v>2E-3</v>
      </c>
      <c r="F17">
        <v>124012.451</v>
      </c>
      <c r="G17" s="1">
        <f t="shared" si="40"/>
        <v>202</v>
      </c>
      <c r="H17" s="13">
        <f t="shared" si="41"/>
        <v>9.8000000000000309E-3</v>
      </c>
      <c r="I17" s="29">
        <f t="shared" si="42"/>
        <v>2.8E-3</v>
      </c>
      <c r="J17" s="18">
        <v>4.3</v>
      </c>
      <c r="K17" s="29">
        <f t="shared" si="43"/>
        <v>-6.5199999999999994E-2</v>
      </c>
      <c r="L17" s="18">
        <v>21.99</v>
      </c>
      <c r="M17" s="29">
        <f t="shared" si="44"/>
        <v>4.7000000000000002E-3</v>
      </c>
      <c r="N17">
        <v>58.38</v>
      </c>
      <c r="O17" s="13">
        <f t="shared" si="49"/>
        <v>-4.0800000000000003E-2</v>
      </c>
      <c r="P17">
        <v>254767</v>
      </c>
      <c r="Q17">
        <v>1.2912300000000001</v>
      </c>
      <c r="R17">
        <f t="shared" si="45"/>
        <v>101.29123</v>
      </c>
      <c r="S17" s="13">
        <f t="shared" si="46"/>
        <v>4.6999999999999265E-3</v>
      </c>
      <c r="T17" s="13">
        <f t="shared" si="47"/>
        <v>2.0000000000000001E-4</v>
      </c>
      <c r="U17" s="30">
        <f t="shared" si="50"/>
        <v>182.19</v>
      </c>
      <c r="V17" s="31">
        <f t="shared" si="48"/>
        <v>178.5</v>
      </c>
    </row>
    <row r="18" spans="1:22" ht="16.5" customHeight="1" x14ac:dyDescent="0.25">
      <c r="A18" s="5">
        <v>42855</v>
      </c>
      <c r="B18">
        <v>146144</v>
      </c>
      <c r="C18" s="1">
        <f t="shared" si="37"/>
        <v>175</v>
      </c>
      <c r="D18" s="13">
        <f t="shared" si="38"/>
        <v>7.3000000000000842E-3</v>
      </c>
      <c r="E18" s="29">
        <f t="shared" si="39"/>
        <v>2E-3</v>
      </c>
      <c r="F18">
        <v>123810.37300000001</v>
      </c>
      <c r="G18" s="1">
        <f t="shared" si="40"/>
        <v>155</v>
      </c>
      <c r="H18" s="13">
        <f t="shared" si="41"/>
        <v>1.0000000000000009E-2</v>
      </c>
      <c r="I18" s="29">
        <f t="shared" si="42"/>
        <v>2.5999999999999999E-3</v>
      </c>
      <c r="J18" s="10">
        <v>4.4000000000000004</v>
      </c>
      <c r="K18" s="29">
        <f t="shared" si="43"/>
        <v>-5.8799999999999998E-2</v>
      </c>
      <c r="L18">
        <v>21.96</v>
      </c>
      <c r="M18" s="29">
        <f t="shared" si="44"/>
        <v>5.1000000000000004E-3</v>
      </c>
      <c r="N18">
        <v>58.83</v>
      </c>
      <c r="O18" s="13">
        <f t="shared" si="49"/>
        <v>-4.87E-2</v>
      </c>
      <c r="P18">
        <v>254588</v>
      </c>
      <c r="Q18">
        <v>1.4688600000000001</v>
      </c>
      <c r="R18">
        <f t="shared" si="45"/>
        <v>101.46886000000001</v>
      </c>
      <c r="S18" s="13">
        <f t="shared" si="46"/>
        <v>6.8999999999999062E-3</v>
      </c>
      <c r="T18" s="13">
        <f t="shared" si="47"/>
        <v>6.9999999999999999E-4</v>
      </c>
      <c r="U18" s="30">
        <f t="shared" si="50"/>
        <v>182.67000000000002</v>
      </c>
      <c r="V18" s="31">
        <f t="shared" si="48"/>
        <v>176.83</v>
      </c>
    </row>
    <row r="19" spans="1:22" ht="16.5" customHeight="1" x14ac:dyDescent="0.25">
      <c r="A19" s="5">
        <v>42825</v>
      </c>
      <c r="B19">
        <v>145969</v>
      </c>
      <c r="C19" s="1">
        <f t="shared" si="37"/>
        <v>73</v>
      </c>
      <c r="D19" s="13">
        <f t="shared" si="38"/>
        <v>7.1000000000001062E-3</v>
      </c>
      <c r="E19" s="29">
        <f t="shared" si="39"/>
        <v>2E-3</v>
      </c>
      <c r="F19">
        <v>123655</v>
      </c>
      <c r="G19" s="1">
        <f t="shared" si="40"/>
        <v>122</v>
      </c>
      <c r="H19" s="13">
        <f t="shared" si="41"/>
        <v>9.300000000000086E-3</v>
      </c>
      <c r="I19" s="29">
        <f t="shared" si="42"/>
        <v>3.0999999999999999E-3</v>
      </c>
      <c r="J19" s="10">
        <v>4.5</v>
      </c>
      <c r="K19" s="29">
        <f t="shared" si="43"/>
        <v>-4.2599999999999999E-2</v>
      </c>
      <c r="L19">
        <v>21.9</v>
      </c>
      <c r="M19" s="29">
        <f t="shared" si="44"/>
        <v>4.1999999999999997E-3</v>
      </c>
      <c r="N19">
        <v>60.95</v>
      </c>
      <c r="O19" s="13">
        <f t="shared" si="49"/>
        <v>-3.2599999999999997E-2</v>
      </c>
      <c r="P19">
        <v>254414</v>
      </c>
      <c r="Q19">
        <v>1.29114</v>
      </c>
      <c r="R19">
        <f t="shared" si="45"/>
        <v>101.29114</v>
      </c>
      <c r="S19" s="13">
        <f t="shared" si="46"/>
        <v>4.4999999999999485E-3</v>
      </c>
      <c r="T19" s="13">
        <f t="shared" si="47"/>
        <v>1.1999999999999999E-3</v>
      </c>
      <c r="U19" s="30">
        <f t="shared" si="50"/>
        <v>170.64</v>
      </c>
      <c r="V19" s="31">
        <f t="shared" si="48"/>
        <v>174.17</v>
      </c>
    </row>
    <row r="20" spans="1:22" x14ac:dyDescent="0.25">
      <c r="A20" s="5">
        <v>42794</v>
      </c>
      <c r="B20">
        <v>145896</v>
      </c>
      <c r="C20" s="1">
        <f t="shared" si="37"/>
        <v>200</v>
      </c>
      <c r="D20" s="13">
        <f t="shared" si="38"/>
        <v>8.3999999999999631E-3</v>
      </c>
      <c r="E20" s="29">
        <f t="shared" si="39"/>
        <v>3.0000000000000001E-3</v>
      </c>
      <c r="F20">
        <v>123532.62</v>
      </c>
      <c r="G20" s="1">
        <f t="shared" si="40"/>
        <v>257</v>
      </c>
      <c r="H20" s="13">
        <f t="shared" si="41"/>
        <v>1.0099999999999998E-2</v>
      </c>
      <c r="I20" s="29">
        <f t="shared" si="42"/>
        <v>4.1000000000000003E-3</v>
      </c>
      <c r="J20" s="10">
        <v>4.7</v>
      </c>
      <c r="K20" s="29">
        <f t="shared" si="43"/>
        <v>-5.3E-3</v>
      </c>
      <c r="L20">
        <v>21.86</v>
      </c>
      <c r="M20" s="29">
        <f t="shared" si="44"/>
        <v>4.0000000000000001E-3</v>
      </c>
      <c r="N20">
        <v>62.83</v>
      </c>
      <c r="O20" s="13">
        <f t="shared" si="49"/>
        <v>-1.77E-2</v>
      </c>
      <c r="P20">
        <v>254246</v>
      </c>
      <c r="Q20">
        <v>1.34694</v>
      </c>
      <c r="R20">
        <f t="shared" si="45"/>
        <v>101.34694</v>
      </c>
      <c r="S20" s="13">
        <f t="shared" si="46"/>
        <v>6.1999999999999833E-3</v>
      </c>
      <c r="T20" s="13">
        <f t="shared" si="47"/>
        <v>1.4E-3</v>
      </c>
      <c r="U20" s="30">
        <f t="shared" si="50"/>
        <v>177.17000000000002</v>
      </c>
      <c r="V20" s="31">
        <f t="shared" si="48"/>
        <v>176.14</v>
      </c>
    </row>
    <row r="21" spans="1:22" x14ac:dyDescent="0.25">
      <c r="A21" s="5">
        <v>42766</v>
      </c>
      <c r="B21">
        <v>145696</v>
      </c>
      <c r="C21" s="1">
        <f t="shared" si="37"/>
        <v>259</v>
      </c>
      <c r="D21" s="13">
        <f t="shared" si="38"/>
        <v>8.1999999999999851E-3</v>
      </c>
      <c r="E21" s="29">
        <f t="shared" si="39"/>
        <v>3.0000000000000001E-3</v>
      </c>
      <c r="F21">
        <v>123275.448</v>
      </c>
      <c r="G21" s="1">
        <f t="shared" si="40"/>
        <v>268</v>
      </c>
      <c r="H21" s="13">
        <f t="shared" si="41"/>
        <v>9.100000000000108E-3</v>
      </c>
      <c r="I21" s="29">
        <f t="shared" si="42"/>
        <v>3.8999999999999998E-3</v>
      </c>
      <c r="J21" s="10">
        <v>4.8</v>
      </c>
      <c r="K21" s="29">
        <f t="shared" si="43"/>
        <v>1.0500000000000001E-2</v>
      </c>
      <c r="L21">
        <v>21.83</v>
      </c>
      <c r="M21" s="29">
        <f t="shared" si="44"/>
        <v>4.4000000000000003E-3</v>
      </c>
      <c r="N21">
        <v>64.010000000000005</v>
      </c>
      <c r="O21" s="13">
        <f t="shared" si="49"/>
        <v>-7.0000000000000001E-3</v>
      </c>
      <c r="P21">
        <v>254082</v>
      </c>
      <c r="Q21">
        <v>1.22627</v>
      </c>
      <c r="R21">
        <f t="shared" si="45"/>
        <v>101.22627</v>
      </c>
      <c r="S21" s="13">
        <f t="shared" si="46"/>
        <v>5.5000000000000604E-3</v>
      </c>
      <c r="T21" s="13">
        <f t="shared" si="47"/>
        <v>1E-3</v>
      </c>
      <c r="U21" s="30">
        <f t="shared" si="50"/>
        <v>174.69</v>
      </c>
      <c r="V21" s="31">
        <f t="shared" si="48"/>
        <v>176.82</v>
      </c>
    </row>
    <row r="22" spans="1:22" x14ac:dyDescent="0.25">
      <c r="A22" s="5">
        <v>42735</v>
      </c>
      <c r="B22">
        <v>145437</v>
      </c>
      <c r="C22" s="1">
        <f t="shared" si="37"/>
        <v>180</v>
      </c>
      <c r="D22" s="13">
        <f t="shared" si="38"/>
        <v>8.799999999999919E-3</v>
      </c>
      <c r="E22" s="29">
        <f t="shared" si="39"/>
        <v>2.3999999999999998E-3</v>
      </c>
      <c r="F22">
        <v>123007.048</v>
      </c>
      <c r="G22" s="1">
        <f t="shared" si="40"/>
        <v>201</v>
      </c>
      <c r="H22" s="13">
        <f t="shared" si="41"/>
        <v>8.799999999999919E-3</v>
      </c>
      <c r="I22" s="29">
        <f t="shared" si="42"/>
        <v>3.0000000000000001E-3</v>
      </c>
      <c r="J22" s="10">
        <v>4.7</v>
      </c>
      <c r="K22" s="29">
        <f t="shared" si="43"/>
        <v>-2.0799999999999999E-2</v>
      </c>
      <c r="L22">
        <v>21.8</v>
      </c>
      <c r="M22" s="29">
        <f t="shared" si="44"/>
        <v>5.1000000000000004E-3</v>
      </c>
      <c r="N22">
        <v>61.55</v>
      </c>
      <c r="O22" s="13">
        <f t="shared" si="49"/>
        <v>-3.8300000000000001E-2</v>
      </c>
      <c r="P22">
        <v>254742</v>
      </c>
      <c r="Q22">
        <v>1.1669499999999999</v>
      </c>
      <c r="R22">
        <f t="shared" si="45"/>
        <v>101.16695</v>
      </c>
      <c r="S22" s="13">
        <f t="shared" si="46"/>
        <v>5.3000000000000824E-3</v>
      </c>
      <c r="T22" s="13">
        <f t="shared" si="47"/>
        <v>1.1000000000000001E-3</v>
      </c>
      <c r="U22" s="30">
        <f t="shared" si="50"/>
        <v>176.57</v>
      </c>
      <c r="V22" s="31">
        <f t="shared" si="48"/>
        <v>172</v>
      </c>
    </row>
    <row r="23" spans="1:22" x14ac:dyDescent="0.25">
      <c r="A23" s="5">
        <v>42704</v>
      </c>
      <c r="B23">
        <v>145257</v>
      </c>
      <c r="C23" s="1">
        <f t="shared" si="37"/>
        <v>172</v>
      </c>
      <c r="D23" s="13">
        <f t="shared" si="38"/>
        <v>9.6000000000000529E-3</v>
      </c>
      <c r="E23" s="29">
        <f t="shared" si="39"/>
        <v>2.3999999999999998E-3</v>
      </c>
      <c r="F23">
        <v>122806.06</v>
      </c>
      <c r="G23" s="1">
        <f t="shared" si="40"/>
        <v>226</v>
      </c>
      <c r="H23" s="13">
        <f t="shared" si="41"/>
        <v>9.300000000000086E-3</v>
      </c>
      <c r="I23" s="29">
        <f t="shared" si="42"/>
        <v>2.8E-3</v>
      </c>
      <c r="J23" s="10">
        <v>4.5999999999999996</v>
      </c>
      <c r="K23" s="29">
        <f t="shared" si="43"/>
        <v>-5.6399999999999999E-2</v>
      </c>
      <c r="L23">
        <v>21.74</v>
      </c>
      <c r="M23" s="29">
        <f t="shared" si="44"/>
        <v>4.0000000000000001E-3</v>
      </c>
      <c r="N23">
        <v>63.38</v>
      </c>
      <c r="O23" s="13">
        <f t="shared" si="49"/>
        <v>-3.3300000000000003E-2</v>
      </c>
      <c r="P23">
        <v>254540</v>
      </c>
      <c r="Q23">
        <v>0.81589</v>
      </c>
      <c r="R23">
        <f t="shared" si="45"/>
        <v>100.81589</v>
      </c>
      <c r="S23" s="13">
        <f t="shared" si="46"/>
        <v>3.3000000000000806E-3</v>
      </c>
      <c r="T23" s="13">
        <f t="shared" si="47"/>
        <v>2.9999999999999997E-4</v>
      </c>
      <c r="U23" s="30">
        <f t="shared" si="50"/>
        <v>179.21</v>
      </c>
      <c r="V23" s="31">
        <f t="shared" si="48"/>
        <v>170.48</v>
      </c>
    </row>
    <row r="24" spans="1:22" x14ac:dyDescent="0.25">
      <c r="A24" s="5">
        <v>42674</v>
      </c>
      <c r="B24">
        <v>145085</v>
      </c>
      <c r="C24" s="1">
        <f t="shared" si="37"/>
        <v>140</v>
      </c>
      <c r="D24" s="13">
        <f t="shared" si="38"/>
        <v>8.799999999999919E-3</v>
      </c>
      <c r="E24" s="29">
        <f t="shared" si="39"/>
        <v>2.5999999999999999E-3</v>
      </c>
      <c r="F24">
        <v>122579.649</v>
      </c>
      <c r="G24" s="1">
        <f t="shared" si="40"/>
        <v>62</v>
      </c>
      <c r="H24" s="13">
        <f t="shared" si="41"/>
        <v>7.9000000000000181E-3</v>
      </c>
      <c r="I24" s="29">
        <f t="shared" si="42"/>
        <v>2.0999999999999999E-3</v>
      </c>
      <c r="J24" s="10">
        <v>4.8</v>
      </c>
      <c r="K24" s="29">
        <f t="shared" si="43"/>
        <v>-2.0400000000000001E-2</v>
      </c>
      <c r="L24">
        <v>21.72</v>
      </c>
      <c r="M24" s="29">
        <f t="shared" si="44"/>
        <v>5.3E-3</v>
      </c>
      <c r="N24">
        <v>65.989999999999995</v>
      </c>
      <c r="O24" s="13">
        <f t="shared" si="49"/>
        <v>-6.1999999999999998E-3</v>
      </c>
      <c r="P24">
        <v>254321</v>
      </c>
      <c r="Q24">
        <v>0.77148000000000005</v>
      </c>
      <c r="R24">
        <f t="shared" si="45"/>
        <v>100.77148</v>
      </c>
      <c r="S24" s="13">
        <f t="shared" si="46"/>
        <v>3.2000000000000917E-3</v>
      </c>
      <c r="T24" s="13">
        <f t="shared" si="47"/>
        <v>2.9999999999999997E-4</v>
      </c>
      <c r="U24" s="30">
        <f t="shared" si="50"/>
        <v>160.22999999999999</v>
      </c>
      <c r="V24" s="31">
        <f t="shared" si="48"/>
        <v>165.2</v>
      </c>
    </row>
    <row r="25" spans="1:22" x14ac:dyDescent="0.25">
      <c r="A25" s="5">
        <v>42643</v>
      </c>
      <c r="B25">
        <v>144945</v>
      </c>
      <c r="C25" s="1">
        <f t="shared" si="37"/>
        <v>264</v>
      </c>
      <c r="D25" s="13">
        <f t="shared" si="38"/>
        <v>8.899999999999908E-3</v>
      </c>
      <c r="E25" s="29">
        <f t="shared" si="39"/>
        <v>3.3999999999999998E-3</v>
      </c>
      <c r="F25">
        <v>122517.97900000001</v>
      </c>
      <c r="G25" s="1">
        <f t="shared" si="40"/>
        <v>217</v>
      </c>
      <c r="H25" s="13">
        <f t="shared" si="41"/>
        <v>8.2999999999999741E-3</v>
      </c>
      <c r="I25" s="29">
        <f t="shared" si="42"/>
        <v>3.2000000000000002E-3</v>
      </c>
      <c r="J25" s="10">
        <v>4.9000000000000004</v>
      </c>
      <c r="K25" s="29">
        <f t="shared" si="43"/>
        <v>1.03E-2</v>
      </c>
      <c r="L25">
        <v>21.68</v>
      </c>
      <c r="M25" s="29">
        <f t="shared" si="44"/>
        <v>5.7999999999999996E-3</v>
      </c>
      <c r="N25">
        <v>65.3</v>
      </c>
      <c r="O25" s="13">
        <f t="shared" si="49"/>
        <v>-1.78E-2</v>
      </c>
      <c r="P25">
        <v>254091</v>
      </c>
      <c r="Q25">
        <v>0.83279000000000003</v>
      </c>
      <c r="R25">
        <f t="shared" si="45"/>
        <v>100.83279</v>
      </c>
      <c r="S25" s="13">
        <f t="shared" si="46"/>
        <v>2.8999999999999027E-3</v>
      </c>
      <c r="T25" s="13">
        <f t="shared" si="47"/>
        <v>8.9999999999999998E-4</v>
      </c>
      <c r="U25" s="30">
        <f t="shared" si="50"/>
        <v>172.01</v>
      </c>
      <c r="V25" s="31">
        <f t="shared" si="48"/>
        <v>170.41</v>
      </c>
    </row>
    <row r="26" spans="1:22" x14ac:dyDescent="0.25">
      <c r="A26" s="5">
        <v>42613</v>
      </c>
      <c r="B26">
        <v>144681</v>
      </c>
      <c r="C26" s="1">
        <f t="shared" si="37"/>
        <v>175</v>
      </c>
      <c r="D26" s="13">
        <f t="shared" si="38"/>
        <v>8.599999999999941E-3</v>
      </c>
      <c r="E26" s="29">
        <f t="shared" si="39"/>
        <v>3.5000000000000001E-3</v>
      </c>
      <c r="F26">
        <v>122300.992</v>
      </c>
      <c r="G26" s="1">
        <f t="shared" si="40"/>
        <v>141</v>
      </c>
      <c r="H26" s="13">
        <f t="shared" si="41"/>
        <v>8.499999999999952E-3</v>
      </c>
      <c r="I26" s="29">
        <f t="shared" si="42"/>
        <v>3.0999999999999999E-3</v>
      </c>
      <c r="J26" s="10">
        <v>4.9000000000000004</v>
      </c>
      <c r="K26" s="29">
        <f t="shared" si="43"/>
        <v>5.1000000000000004E-3</v>
      </c>
      <c r="L26">
        <v>21.62</v>
      </c>
      <c r="M26" s="29">
        <f t="shared" si="44"/>
        <v>4.8999999999999998E-3</v>
      </c>
      <c r="N26">
        <v>66.23</v>
      </c>
      <c r="O26" s="13">
        <f t="shared" si="49"/>
        <v>-8.6E-3</v>
      </c>
      <c r="P26">
        <v>253854</v>
      </c>
      <c r="Q26">
        <v>0.72653999999999996</v>
      </c>
      <c r="R26">
        <f t="shared" si="45"/>
        <v>100.72654</v>
      </c>
      <c r="S26" s="13">
        <f t="shared" si="46"/>
        <v>2.1999999999999797E-3</v>
      </c>
      <c r="T26" s="13">
        <f t="shared" si="47"/>
        <v>6.9999999999999999E-4</v>
      </c>
      <c r="U26" s="30">
        <f t="shared" si="50"/>
        <v>163.35</v>
      </c>
      <c r="V26" s="31">
        <f t="shared" si="48"/>
        <v>171.63</v>
      </c>
    </row>
    <row r="27" spans="1:22" x14ac:dyDescent="0.25">
      <c r="A27" s="5">
        <v>42582</v>
      </c>
      <c r="B27">
        <v>144506</v>
      </c>
      <c r="C27" s="1">
        <f t="shared" si="37"/>
        <v>340</v>
      </c>
      <c r="D27" s="13">
        <f t="shared" si="38"/>
        <v>8.999999999999897E-3</v>
      </c>
      <c r="E27" s="29">
        <f t="shared" si="39"/>
        <v>3.8E-3</v>
      </c>
      <c r="F27">
        <v>122160.428</v>
      </c>
      <c r="G27" s="1">
        <f t="shared" si="40"/>
        <v>229</v>
      </c>
      <c r="H27" s="13">
        <f t="shared" si="41"/>
        <v>9.400000000000075E-3</v>
      </c>
      <c r="I27" s="29">
        <f t="shared" si="42"/>
        <v>3.5000000000000001E-3</v>
      </c>
      <c r="J27" s="10">
        <v>4.9000000000000004</v>
      </c>
      <c r="K27" s="29">
        <f t="shared" si="43"/>
        <v>0</v>
      </c>
      <c r="L27">
        <v>21.59</v>
      </c>
      <c r="M27" s="29">
        <f t="shared" si="44"/>
        <v>5.7000000000000002E-3</v>
      </c>
      <c r="N27">
        <v>65.36</v>
      </c>
      <c r="O27" s="13">
        <f t="shared" si="49"/>
        <v>-1.9300000000000001E-2</v>
      </c>
      <c r="P27">
        <v>253620</v>
      </c>
      <c r="Q27">
        <v>0.67573000000000005</v>
      </c>
      <c r="R27">
        <f t="shared" si="45"/>
        <v>100.67573</v>
      </c>
      <c r="S27" s="13">
        <f t="shared" si="46"/>
        <v>-3.4999999999999476E-3</v>
      </c>
      <c r="T27" s="13">
        <f t="shared" si="47"/>
        <v>2.9999999999999997E-4</v>
      </c>
      <c r="U27" s="30">
        <f t="shared" si="50"/>
        <v>175.86</v>
      </c>
      <c r="V27" s="31">
        <f t="shared" si="48"/>
        <v>165.74</v>
      </c>
    </row>
    <row r="28" spans="1:22" x14ac:dyDescent="0.25">
      <c r="A28" s="5">
        <v>42551</v>
      </c>
      <c r="B28">
        <v>144166</v>
      </c>
      <c r="C28" s="1">
        <f t="shared" si="37"/>
        <v>297</v>
      </c>
      <c r="D28" s="13">
        <f t="shared" si="38"/>
        <v>7.6000000000000512E-3</v>
      </c>
      <c r="E28" s="29">
        <f t="shared" si="39"/>
        <v>2.5999999999999999E-3</v>
      </c>
      <c r="F28">
        <v>121931.084</v>
      </c>
      <c r="G28" s="1">
        <f t="shared" si="40"/>
        <v>258</v>
      </c>
      <c r="H28" s="13">
        <f t="shared" si="41"/>
        <v>9.100000000000108E-3</v>
      </c>
      <c r="I28" s="29">
        <f t="shared" si="42"/>
        <v>2.7000000000000001E-3</v>
      </c>
      <c r="J28" s="10">
        <v>4.9000000000000004</v>
      </c>
      <c r="K28" s="29">
        <f t="shared" si="43"/>
        <v>0</v>
      </c>
      <c r="L28">
        <v>21.53</v>
      </c>
      <c r="M28" s="29">
        <f t="shared" si="44"/>
        <v>5.3E-3</v>
      </c>
      <c r="N28">
        <v>63.73</v>
      </c>
      <c r="O28" s="13">
        <f t="shared" si="49"/>
        <v>-4.2299999999999997E-2</v>
      </c>
      <c r="P28">
        <v>253397</v>
      </c>
      <c r="Q28">
        <v>0.63470000000000004</v>
      </c>
      <c r="R28">
        <f t="shared" si="45"/>
        <v>100.6347</v>
      </c>
      <c r="S28" s="13">
        <f t="shared" si="46"/>
        <v>-3.0999999999999917E-3</v>
      </c>
      <c r="T28" s="13">
        <f t="shared" si="47"/>
        <v>2.9999999999999997E-4</v>
      </c>
      <c r="U28" s="30">
        <f t="shared" si="50"/>
        <v>175.69</v>
      </c>
      <c r="V28" s="31">
        <f t="shared" si="48"/>
        <v>158.88</v>
      </c>
    </row>
    <row r="29" spans="1:22" x14ac:dyDescent="0.25">
      <c r="A29" s="5">
        <v>42521</v>
      </c>
      <c r="B29">
        <v>143869</v>
      </c>
      <c r="C29" s="1">
        <f t="shared" si="37"/>
        <v>43</v>
      </c>
      <c r="D29" s="13">
        <f t="shared" si="38"/>
        <v>7.2000000000000952E-3</v>
      </c>
      <c r="E29" s="29">
        <f t="shared" si="39"/>
        <v>1.5E-3</v>
      </c>
      <c r="F29">
        <v>121672.848</v>
      </c>
      <c r="G29" s="1">
        <f t="shared" si="40"/>
        <v>58</v>
      </c>
      <c r="H29" s="13">
        <f t="shared" si="41"/>
        <v>8.899999999999908E-3</v>
      </c>
      <c r="I29" s="29">
        <f t="shared" si="42"/>
        <v>1.6999999999999999E-3</v>
      </c>
      <c r="J29" s="10">
        <v>4.7</v>
      </c>
      <c r="K29" s="29">
        <f t="shared" si="43"/>
        <v>-5.0500000000000003E-2</v>
      </c>
      <c r="L29">
        <v>21.48</v>
      </c>
      <c r="M29" s="29">
        <f t="shared" si="44"/>
        <v>4.7999999999999996E-3</v>
      </c>
      <c r="N29">
        <v>71.930000000000007</v>
      </c>
      <c r="O29" s="13">
        <f t="shared" si="49"/>
        <v>5.3199999999999997E-2</v>
      </c>
      <c r="P29">
        <v>253174</v>
      </c>
      <c r="Q29">
        <v>0.48652000000000001</v>
      </c>
      <c r="R29">
        <f t="shared" si="45"/>
        <v>100.48652</v>
      </c>
      <c r="S29" s="13">
        <f t="shared" si="46"/>
        <v>-1.9000000000000128E-3</v>
      </c>
      <c r="T29" s="13">
        <f t="shared" si="47"/>
        <v>-1.2999999999999999E-3</v>
      </c>
      <c r="U29" s="30">
        <f t="shared" si="50"/>
        <v>145.66999999999999</v>
      </c>
      <c r="V29" s="31">
        <f t="shared" si="48"/>
        <v>154.87</v>
      </c>
    </row>
    <row r="30" spans="1:22" x14ac:dyDescent="0.25">
      <c r="A30" s="5">
        <v>42490</v>
      </c>
      <c r="B30">
        <v>143826</v>
      </c>
      <c r="C30" s="1">
        <f t="shared" si="37"/>
        <v>153</v>
      </c>
      <c r="D30" s="13">
        <f t="shared" si="38"/>
        <v>8.799999999999919E-3</v>
      </c>
      <c r="E30" s="29">
        <f t="shared" si="39"/>
        <v>2.7000000000000001E-3</v>
      </c>
      <c r="F30">
        <v>121615.139</v>
      </c>
      <c r="G30" s="1">
        <f t="shared" si="40"/>
        <v>109</v>
      </c>
      <c r="H30" s="13">
        <f t="shared" si="41"/>
        <v>1.0199999999999987E-2</v>
      </c>
      <c r="I30" s="29">
        <f t="shared" si="42"/>
        <v>2.8999999999999998E-3</v>
      </c>
      <c r="J30" s="10">
        <v>5</v>
      </c>
      <c r="K30" s="29">
        <f t="shared" si="43"/>
        <v>1.01E-2</v>
      </c>
      <c r="L30">
        <v>21.46</v>
      </c>
      <c r="M30" s="29">
        <f t="shared" si="44"/>
        <v>6.1999999999999998E-3</v>
      </c>
      <c r="N30">
        <v>66.790000000000006</v>
      </c>
      <c r="O30" s="13">
        <f t="shared" si="49"/>
        <v>1.8E-3</v>
      </c>
      <c r="P30">
        <v>252969</v>
      </c>
      <c r="Q30">
        <v>0.45078000000000001</v>
      </c>
      <c r="R30">
        <f t="shared" si="45"/>
        <v>100.45077999999999</v>
      </c>
      <c r="S30" s="13">
        <f t="shared" si="46"/>
        <v>-2.6000000000000467E-3</v>
      </c>
      <c r="T30" s="13">
        <f t="shared" si="47"/>
        <v>-1.1999999999999999E-3</v>
      </c>
      <c r="U30" s="30">
        <f t="shared" si="50"/>
        <v>155.29</v>
      </c>
      <c r="V30" s="31">
        <f t="shared" si="48"/>
        <v>163.22</v>
      </c>
    </row>
    <row r="31" spans="1:22" x14ac:dyDescent="0.25">
      <c r="A31" s="5">
        <v>42460</v>
      </c>
      <c r="B31">
        <v>143673</v>
      </c>
      <c r="C31" s="1">
        <f t="shared" si="37"/>
        <v>225</v>
      </c>
      <c r="D31" s="13">
        <f t="shared" si="38"/>
        <v>1.0000000000000009E-2</v>
      </c>
      <c r="E31" s="29">
        <f t="shared" si="39"/>
        <v>3.0000000000000001E-3</v>
      </c>
      <c r="F31">
        <v>121506.5</v>
      </c>
      <c r="G31" s="1">
        <f t="shared" si="40"/>
        <v>232</v>
      </c>
      <c r="H31" s="13">
        <f t="shared" si="41"/>
        <v>1.0799999999999921E-2</v>
      </c>
      <c r="I31" s="29">
        <f t="shared" si="42"/>
        <v>3.8E-3</v>
      </c>
      <c r="J31" s="10">
        <v>5</v>
      </c>
      <c r="K31" s="29">
        <f t="shared" si="43"/>
        <v>1.01E-2</v>
      </c>
      <c r="L31">
        <v>21.4</v>
      </c>
      <c r="M31" s="29">
        <f t="shared" si="44"/>
        <v>5.5999999999999999E-3</v>
      </c>
      <c r="N31">
        <v>67.59</v>
      </c>
      <c r="O31" s="13">
        <f t="shared" si="49"/>
        <v>1.2E-2</v>
      </c>
      <c r="P31">
        <v>252768</v>
      </c>
      <c r="Q31">
        <v>0.53952</v>
      </c>
      <c r="R31">
        <f t="shared" si="45"/>
        <v>100.53952</v>
      </c>
      <c r="S31" s="13">
        <f t="shared" si="46"/>
        <v>-4.3999999999999595E-3</v>
      </c>
      <c r="T31" s="13">
        <f t="shared" si="47"/>
        <v>-2.9999999999999997E-4</v>
      </c>
      <c r="U31" s="30">
        <f t="shared" si="50"/>
        <v>163.66</v>
      </c>
      <c r="V31" s="31">
        <f t="shared" si="48"/>
        <v>167.47</v>
      </c>
    </row>
    <row r="32" spans="1:22" x14ac:dyDescent="0.25">
      <c r="A32" s="5">
        <v>42429</v>
      </c>
      <c r="B32">
        <v>143448</v>
      </c>
      <c r="C32" s="1">
        <f t="shared" si="37"/>
        <v>237</v>
      </c>
      <c r="D32" s="13">
        <f t="shared" si="38"/>
        <v>9.100000000000108E-3</v>
      </c>
      <c r="E32" s="29">
        <f t="shared" si="39"/>
        <v>2.8E-3</v>
      </c>
      <c r="F32">
        <v>121274.85799999999</v>
      </c>
      <c r="G32" s="1">
        <f t="shared" si="40"/>
        <v>255</v>
      </c>
      <c r="H32" s="13">
        <f t="shared" si="41"/>
        <v>1.0399999999999965E-2</v>
      </c>
      <c r="I32" s="29">
        <f t="shared" si="42"/>
        <v>3.8E-3</v>
      </c>
      <c r="J32" s="10">
        <v>4.9000000000000004</v>
      </c>
      <c r="K32" s="29">
        <f t="shared" si="43"/>
        <v>-1.5100000000000001E-2</v>
      </c>
      <c r="L32">
        <v>21.33</v>
      </c>
      <c r="M32" s="29">
        <f t="shared" si="44"/>
        <v>4.0000000000000001E-3</v>
      </c>
      <c r="N32">
        <v>66.72</v>
      </c>
      <c r="O32" s="13">
        <f t="shared" si="49"/>
        <v>-5.3E-3</v>
      </c>
      <c r="P32">
        <v>252577</v>
      </c>
      <c r="Q32">
        <v>0.50885000000000002</v>
      </c>
      <c r="R32">
        <f t="shared" si="45"/>
        <v>100.50885</v>
      </c>
      <c r="S32" s="13">
        <f t="shared" si="46"/>
        <v>-2.8000000000000247E-3</v>
      </c>
      <c r="T32" s="13">
        <f t="shared" si="47"/>
        <v>-5.0000000000000001E-4</v>
      </c>
      <c r="U32" s="30">
        <f t="shared" si="50"/>
        <v>170.7</v>
      </c>
      <c r="V32" s="31">
        <f t="shared" si="48"/>
        <v>171.05</v>
      </c>
    </row>
    <row r="33" spans="1:22" x14ac:dyDescent="0.25">
      <c r="A33" s="5">
        <v>42400</v>
      </c>
      <c r="B33">
        <v>143211</v>
      </c>
      <c r="C33" s="1">
        <f t="shared" si="37"/>
        <v>126</v>
      </c>
      <c r="D33" s="13">
        <f t="shared" si="38"/>
        <v>8.599999999999941E-3</v>
      </c>
      <c r="E33" s="29">
        <f t="shared" si="39"/>
        <v>2.5999999999999999E-3</v>
      </c>
      <c r="F33">
        <v>121020.08900000001</v>
      </c>
      <c r="G33" s="1">
        <f t="shared" si="40"/>
        <v>184</v>
      </c>
      <c r="H33" s="13">
        <f t="shared" si="41"/>
        <v>9.400000000000075E-3</v>
      </c>
      <c r="I33" s="29">
        <f t="shared" si="42"/>
        <v>3.3999999999999998E-3</v>
      </c>
      <c r="J33" s="10">
        <v>4.9000000000000004</v>
      </c>
      <c r="K33" s="29">
        <f t="shared" si="43"/>
        <v>-0.02</v>
      </c>
      <c r="L33">
        <v>21.32</v>
      </c>
      <c r="M33" s="29">
        <f t="shared" si="44"/>
        <v>5.8999999999999999E-3</v>
      </c>
      <c r="N33">
        <v>66.05</v>
      </c>
      <c r="O33" s="13">
        <f t="shared" si="49"/>
        <v>-1.7899999999999999E-2</v>
      </c>
      <c r="P33">
        <v>252397</v>
      </c>
      <c r="Q33">
        <v>1.02667</v>
      </c>
      <c r="R33">
        <f t="shared" si="45"/>
        <v>101.02667</v>
      </c>
      <c r="S33" s="13">
        <f t="shared" si="46"/>
        <v>-1.4999999999999458E-3</v>
      </c>
      <c r="T33" s="13">
        <f t="shared" si="47"/>
        <v>1E-4</v>
      </c>
      <c r="U33" s="30">
        <f t="shared" si="50"/>
        <v>168.06</v>
      </c>
      <c r="V33" s="31">
        <f t="shared" si="48"/>
        <v>171.54</v>
      </c>
    </row>
    <row r="34" spans="1:22" x14ac:dyDescent="0.25">
      <c r="A34" s="5">
        <v>42369</v>
      </c>
      <c r="B34">
        <v>143085</v>
      </c>
      <c r="C34" s="1">
        <f t="shared" si="37"/>
        <v>239</v>
      </c>
      <c r="D34" s="13">
        <f t="shared" si="38"/>
        <v>9.5000000000000639E-3</v>
      </c>
      <c r="E34" s="29">
        <f t="shared" si="39"/>
        <v>3.7000000000000002E-3</v>
      </c>
      <c r="F34">
        <v>120836.34299999999</v>
      </c>
      <c r="G34" s="1">
        <f t="shared" si="40"/>
        <v>238</v>
      </c>
      <c r="H34" s="13">
        <f t="shared" si="41"/>
        <v>1.0000000000000009E-2</v>
      </c>
      <c r="I34" s="29">
        <f t="shared" si="42"/>
        <v>3.5999999999999999E-3</v>
      </c>
      <c r="J34" s="10">
        <v>5</v>
      </c>
      <c r="K34" s="29">
        <f t="shared" si="43"/>
        <v>-5.0000000000000001E-3</v>
      </c>
      <c r="L34">
        <v>21.26</v>
      </c>
      <c r="M34" s="29">
        <f t="shared" si="44"/>
        <v>5.0000000000000001E-3</v>
      </c>
      <c r="N34">
        <v>66.790000000000006</v>
      </c>
      <c r="O34" s="13">
        <f t="shared" si="49"/>
        <v>-1.7000000000000001E-2</v>
      </c>
      <c r="P34">
        <v>251936</v>
      </c>
      <c r="Q34">
        <v>0.94479000000000002</v>
      </c>
      <c r="R34">
        <f t="shared" si="45"/>
        <v>100.94479</v>
      </c>
      <c r="S34" s="13">
        <f t="shared" si="46"/>
        <v>9.9999999999988987E-5</v>
      </c>
      <c r="T34" s="13">
        <f t="shared" si="47"/>
        <v>4.0000000000000002E-4</v>
      </c>
      <c r="U34" s="30">
        <f t="shared" si="50"/>
        <v>174.4</v>
      </c>
      <c r="V34" s="31">
        <f t="shared" si="48"/>
        <v>176.84</v>
      </c>
    </row>
    <row r="35" spans="1:22" x14ac:dyDescent="0.25">
      <c r="A35" s="5">
        <v>42338</v>
      </c>
      <c r="B35">
        <v>142846</v>
      </c>
      <c r="C35" s="1">
        <f t="shared" si="37"/>
        <v>272</v>
      </c>
      <c r="D35" s="13">
        <f t="shared" si="38"/>
        <v>9.300000000000086E-3</v>
      </c>
      <c r="E35" s="29">
        <f t="shared" si="39"/>
        <v>3.5999999999999999E-3</v>
      </c>
      <c r="F35">
        <v>120598.75</v>
      </c>
      <c r="G35" s="1">
        <f t="shared" si="40"/>
        <v>207</v>
      </c>
      <c r="H35" s="13">
        <f t="shared" si="41"/>
        <v>1.0199999999999987E-2</v>
      </c>
      <c r="I35" s="29">
        <f t="shared" si="42"/>
        <v>3.2000000000000002E-3</v>
      </c>
      <c r="J35" s="10">
        <v>5</v>
      </c>
      <c r="K35" s="29">
        <f t="shared" si="43"/>
        <v>-1.4800000000000001E-2</v>
      </c>
      <c r="L35">
        <v>21.21</v>
      </c>
      <c r="M35" s="29">
        <f t="shared" si="44"/>
        <v>4.5999999999999999E-3</v>
      </c>
      <c r="N35">
        <v>68.25</v>
      </c>
      <c r="O35" s="13">
        <f t="shared" si="49"/>
        <v>-1.0800000000000001E-2</v>
      </c>
      <c r="P35">
        <v>251747</v>
      </c>
      <c r="Q35">
        <v>0.67332000000000003</v>
      </c>
      <c r="R35">
        <f t="shared" si="45"/>
        <v>100.67332</v>
      </c>
      <c r="S35" s="13">
        <f t="shared" si="46"/>
        <v>-1.0999999999999899E-3</v>
      </c>
      <c r="T35" s="13">
        <f t="shared" si="47"/>
        <v>-1.1999999999999999E-3</v>
      </c>
      <c r="U35" s="30">
        <f t="shared" si="50"/>
        <v>172.16</v>
      </c>
      <c r="V35" s="31">
        <f t="shared" si="48"/>
        <v>177.16</v>
      </c>
    </row>
    <row r="36" spans="1:22" x14ac:dyDescent="0.25">
      <c r="A36" s="5">
        <v>42308</v>
      </c>
      <c r="B36">
        <v>142574</v>
      </c>
      <c r="C36" s="1">
        <f t="shared" si="37"/>
        <v>321</v>
      </c>
      <c r="D36" s="13">
        <f t="shared" si="38"/>
        <v>9.8000000000000309E-3</v>
      </c>
      <c r="E36" s="29">
        <f t="shared" si="39"/>
        <v>3.0999999999999999E-3</v>
      </c>
      <c r="F36">
        <v>120391.671</v>
      </c>
      <c r="G36" s="1">
        <f t="shared" si="40"/>
        <v>184</v>
      </c>
      <c r="H36" s="13">
        <f t="shared" si="41"/>
        <v>1.0399999999999965E-2</v>
      </c>
      <c r="I36" s="29">
        <f t="shared" si="42"/>
        <v>2.8999999999999998E-3</v>
      </c>
      <c r="J36" s="10">
        <v>5</v>
      </c>
      <c r="K36" s="29">
        <f t="shared" si="43"/>
        <v>-2.9100000000000001E-2</v>
      </c>
      <c r="L36">
        <v>21.19</v>
      </c>
      <c r="M36" s="29">
        <f t="shared" si="44"/>
        <v>5.8999999999999999E-3</v>
      </c>
      <c r="N36">
        <v>64.349999999999994</v>
      </c>
      <c r="O36" s="13">
        <f t="shared" si="49"/>
        <v>-6.7100000000000007E-2</v>
      </c>
      <c r="P36">
        <v>251541</v>
      </c>
      <c r="Q36">
        <v>0.70762000000000003</v>
      </c>
      <c r="R36">
        <f t="shared" si="45"/>
        <v>100.70762000000001</v>
      </c>
      <c r="S36" s="13">
        <f t="shared" si="46"/>
        <v>-2.0999999999999908E-3</v>
      </c>
      <c r="T36" s="13">
        <f t="shared" si="47"/>
        <v>-5.9999999999999995E-4</v>
      </c>
      <c r="U36" s="30">
        <f t="shared" si="50"/>
        <v>183.96</v>
      </c>
      <c r="V36" s="31">
        <f t="shared" si="48"/>
        <v>175.86</v>
      </c>
    </row>
    <row r="37" spans="1:22" x14ac:dyDescent="0.25">
      <c r="A37" s="5">
        <v>42277</v>
      </c>
      <c r="B37">
        <v>142253</v>
      </c>
      <c r="C37" s="1">
        <f t="shared" si="37"/>
        <v>100</v>
      </c>
      <c r="D37" s="13">
        <f t="shared" si="38"/>
        <v>9.400000000000075E-3</v>
      </c>
      <c r="E37" s="29">
        <f t="shared" si="39"/>
        <v>2E-3</v>
      </c>
      <c r="F37">
        <v>120207.88499999999</v>
      </c>
      <c r="G37" s="1">
        <f t="shared" si="40"/>
        <v>179</v>
      </c>
      <c r="H37" s="13">
        <f t="shared" si="41"/>
        <v>1.0399999999999965E-2</v>
      </c>
      <c r="I37" s="29">
        <f t="shared" si="42"/>
        <v>2.8999999999999998E-3</v>
      </c>
      <c r="J37" s="10">
        <v>5</v>
      </c>
      <c r="K37" s="29">
        <f t="shared" si="43"/>
        <v>-5.21E-2</v>
      </c>
      <c r="L37">
        <v>21.12</v>
      </c>
      <c r="M37" s="29">
        <f t="shared" si="44"/>
        <v>4.1999999999999997E-3</v>
      </c>
      <c r="N37">
        <v>66.77</v>
      </c>
      <c r="O37" s="13">
        <f t="shared" si="49"/>
        <v>-5.33E-2</v>
      </c>
      <c r="P37">
        <v>251325</v>
      </c>
      <c r="Q37">
        <v>0.98694999999999999</v>
      </c>
      <c r="R37">
        <f t="shared" si="45"/>
        <v>100.98694999999999</v>
      </c>
      <c r="S37" s="13">
        <f t="shared" si="46"/>
        <v>-7.0000000000003393E-4</v>
      </c>
      <c r="T37" s="13">
        <f t="shared" si="47"/>
        <v>5.0000000000000001E-4</v>
      </c>
      <c r="U37" s="30">
        <f t="shared" si="50"/>
        <v>175.37</v>
      </c>
      <c r="V37" s="31">
        <f t="shared" si="48"/>
        <v>176.36</v>
      </c>
    </row>
    <row r="38" spans="1:22" x14ac:dyDescent="0.25">
      <c r="A38" s="5">
        <v>42247</v>
      </c>
      <c r="B38">
        <v>142153</v>
      </c>
      <c r="C38" s="1">
        <f t="shared" si="37"/>
        <v>157</v>
      </c>
      <c r="D38" s="13">
        <f t="shared" si="38"/>
        <v>9.300000000000086E-3</v>
      </c>
      <c r="E38" s="29">
        <f t="shared" si="39"/>
        <v>2.8E-3</v>
      </c>
      <c r="F38">
        <v>120028.791</v>
      </c>
      <c r="G38" s="1">
        <f t="shared" si="40"/>
        <v>132</v>
      </c>
      <c r="H38" s="13">
        <f t="shared" si="41"/>
        <v>1.0499999999999954E-2</v>
      </c>
      <c r="I38" s="29">
        <f t="shared" si="42"/>
        <v>3.2000000000000002E-3</v>
      </c>
      <c r="J38" s="10">
        <v>5.0999999999999996</v>
      </c>
      <c r="K38" s="29">
        <f t="shared" si="43"/>
        <v>-4.6699999999999998E-2</v>
      </c>
      <c r="L38">
        <v>21.1</v>
      </c>
      <c r="M38" s="29">
        <f t="shared" si="44"/>
        <v>5.4000000000000003E-3</v>
      </c>
      <c r="N38">
        <v>71.040000000000006</v>
      </c>
      <c r="O38" s="13">
        <f t="shared" si="49"/>
        <v>-1.4500000000000001E-2</v>
      </c>
      <c r="P38">
        <v>251096</v>
      </c>
      <c r="Q38">
        <v>0.79032000000000002</v>
      </c>
      <c r="R38">
        <f t="shared" si="45"/>
        <v>100.79031999999999</v>
      </c>
      <c r="S38" s="13">
        <f t="shared" si="46"/>
        <v>-4.7000000000000375E-3</v>
      </c>
      <c r="T38" s="13">
        <f t="shared" si="47"/>
        <v>-2.9999999999999997E-4</v>
      </c>
      <c r="U38" s="30">
        <f t="shared" si="50"/>
        <v>168.26</v>
      </c>
      <c r="V38" s="31">
        <f t="shared" si="48"/>
        <v>177.41</v>
      </c>
    </row>
    <row r="39" spans="1:22" x14ac:dyDescent="0.25">
      <c r="A39" s="5">
        <v>42216</v>
      </c>
      <c r="B39">
        <v>141996</v>
      </c>
      <c r="C39" s="1">
        <f t="shared" si="37"/>
        <v>254</v>
      </c>
      <c r="D39" s="13">
        <f t="shared" si="38"/>
        <v>9.9000000000000199E-3</v>
      </c>
      <c r="E39" s="29">
        <f t="shared" si="39"/>
        <v>3.5999999999999999E-3</v>
      </c>
      <c r="F39">
        <v>119896.546</v>
      </c>
      <c r="G39" s="1">
        <f t="shared" si="40"/>
        <v>256</v>
      </c>
      <c r="H39" s="13">
        <f t="shared" si="41"/>
        <v>1.1200000000000099E-2</v>
      </c>
      <c r="I39" s="29">
        <f t="shared" si="42"/>
        <v>4.1999999999999997E-3</v>
      </c>
      <c r="J39" s="10">
        <v>5.2</v>
      </c>
      <c r="K39" s="29">
        <f t="shared" si="43"/>
        <v>-3.6999999999999998E-2</v>
      </c>
      <c r="L39">
        <v>21.04</v>
      </c>
      <c r="M39" s="29">
        <f t="shared" si="44"/>
        <v>4.3E-3</v>
      </c>
      <c r="N39">
        <v>69.08</v>
      </c>
      <c r="O39" s="13">
        <f t="shared" si="49"/>
        <v>-4.53E-2</v>
      </c>
      <c r="P39">
        <v>250876</v>
      </c>
      <c r="Q39">
        <v>1.1751100000000001</v>
      </c>
      <c r="R39">
        <f t="shared" si="45"/>
        <v>101.17511</v>
      </c>
      <c r="S39" s="13">
        <f t="shared" si="46"/>
        <v>-2.0000000000000018E-3</v>
      </c>
      <c r="T39" s="13">
        <f t="shared" si="47"/>
        <v>2.9999999999999997E-4</v>
      </c>
      <c r="U39" s="30">
        <f t="shared" si="50"/>
        <v>185.44</v>
      </c>
      <c r="V39" s="31">
        <f t="shared" si="48"/>
        <v>179.55</v>
      </c>
    </row>
    <row r="40" spans="1:22" x14ac:dyDescent="0.25">
      <c r="A40" s="5">
        <v>42185</v>
      </c>
      <c r="B40">
        <v>141742</v>
      </c>
      <c r="C40" s="1">
        <f t="shared" si="37"/>
        <v>206</v>
      </c>
      <c r="D40" s="13">
        <f t="shared" si="38"/>
        <v>9.5000000000000639E-3</v>
      </c>
      <c r="E40" s="29">
        <f t="shared" si="39"/>
        <v>3.7000000000000002E-3</v>
      </c>
      <c r="F40">
        <v>119640.07399999999</v>
      </c>
      <c r="G40" s="1">
        <f t="shared" si="40"/>
        <v>255</v>
      </c>
      <c r="H40" s="13">
        <f t="shared" si="41"/>
        <v>1.0799999999999921E-2</v>
      </c>
      <c r="I40" s="29">
        <f t="shared" si="42"/>
        <v>4.0000000000000001E-3</v>
      </c>
      <c r="J40" s="10">
        <v>5.3</v>
      </c>
      <c r="K40" s="29">
        <f t="shared" si="43"/>
        <v>-2.75E-2</v>
      </c>
      <c r="L40">
        <v>21</v>
      </c>
      <c r="M40" s="29">
        <f t="shared" si="44"/>
        <v>4.4999999999999997E-3</v>
      </c>
      <c r="N40">
        <v>70.77</v>
      </c>
      <c r="O40" s="13">
        <f t="shared" si="49"/>
        <v>-3.5900000000000001E-2</v>
      </c>
      <c r="P40">
        <v>250663</v>
      </c>
      <c r="Q40">
        <v>0.93411</v>
      </c>
      <c r="R40">
        <f t="shared" si="45"/>
        <v>100.93411</v>
      </c>
      <c r="S40" s="13">
        <f t="shared" si="46"/>
        <v>-2.7000000000000357E-3</v>
      </c>
      <c r="T40" s="13">
        <f t="shared" si="47"/>
        <v>-8.0000000000000004E-4</v>
      </c>
      <c r="U40" s="30">
        <f t="shared" si="50"/>
        <v>178.53</v>
      </c>
      <c r="V40" s="31">
        <f t="shared" si="48"/>
        <v>175.71</v>
      </c>
    </row>
    <row r="41" spans="1:22" x14ac:dyDescent="0.25">
      <c r="A41" s="5">
        <v>42155</v>
      </c>
      <c r="B41">
        <v>141536</v>
      </c>
      <c r="C41" s="1">
        <f t="shared" si="37"/>
        <v>344</v>
      </c>
      <c r="D41" s="13">
        <f t="shared" si="38"/>
        <v>1.0199999999999987E-2</v>
      </c>
      <c r="E41" s="29">
        <f t="shared" si="39"/>
        <v>3.8999999999999998E-3</v>
      </c>
      <c r="F41">
        <v>119385.166</v>
      </c>
      <c r="G41" s="1">
        <f t="shared" si="40"/>
        <v>234</v>
      </c>
      <c r="H41" s="13">
        <f t="shared" si="41"/>
        <v>1.110000000000011E-2</v>
      </c>
      <c r="I41" s="29">
        <f t="shared" si="42"/>
        <v>3.5000000000000001E-3</v>
      </c>
      <c r="J41" s="10">
        <v>5.5</v>
      </c>
      <c r="K41" s="29">
        <f t="shared" si="43"/>
        <v>0</v>
      </c>
      <c r="L41">
        <v>20.99</v>
      </c>
      <c r="M41" s="29">
        <f t="shared" si="44"/>
        <v>6.1999999999999998E-3</v>
      </c>
      <c r="N41">
        <v>73.61</v>
      </c>
      <c r="O41" s="13">
        <f t="shared" si="49"/>
        <v>-1.18E-2</v>
      </c>
      <c r="P41">
        <v>250455</v>
      </c>
      <c r="Q41">
        <v>0.78751000000000004</v>
      </c>
      <c r="R41">
        <f t="shared" si="45"/>
        <v>100.78751</v>
      </c>
      <c r="S41" s="13">
        <f t="shared" si="46"/>
        <v>-3.8000000000000256E-3</v>
      </c>
      <c r="T41" s="13">
        <f t="shared" si="47"/>
        <v>-1.5E-3</v>
      </c>
      <c r="U41" s="30">
        <f t="shared" si="50"/>
        <v>174.67000000000002</v>
      </c>
      <c r="V41" s="31">
        <f t="shared" si="48"/>
        <v>172.86</v>
      </c>
    </row>
    <row r="42" spans="1:22" x14ac:dyDescent="0.25">
      <c r="A42" s="5">
        <v>42124</v>
      </c>
      <c r="B42">
        <v>141192</v>
      </c>
      <c r="C42" s="1">
        <f t="shared" si="37"/>
        <v>262</v>
      </c>
      <c r="D42" s="13">
        <f t="shared" si="38"/>
        <v>1.0099999999999998E-2</v>
      </c>
      <c r="E42" s="29">
        <f t="shared" si="39"/>
        <v>2.8E-3</v>
      </c>
      <c r="F42">
        <v>119150.734</v>
      </c>
      <c r="G42" s="1">
        <f t="shared" si="40"/>
        <v>179</v>
      </c>
      <c r="H42" s="13">
        <f t="shared" si="41"/>
        <v>1.1200000000000099E-2</v>
      </c>
      <c r="I42" s="29">
        <f t="shared" si="42"/>
        <v>3.2000000000000002E-3</v>
      </c>
      <c r="J42" s="10">
        <v>5.4</v>
      </c>
      <c r="K42" s="29">
        <f t="shared" si="43"/>
        <v>-2.7E-2</v>
      </c>
      <c r="L42">
        <v>20.92</v>
      </c>
      <c r="M42" s="29">
        <f t="shared" si="44"/>
        <v>5.1999999999999998E-3</v>
      </c>
      <c r="N42">
        <v>73.38</v>
      </c>
      <c r="O42" s="13">
        <f t="shared" si="49"/>
        <v>-2.1499999999999998E-2</v>
      </c>
      <c r="P42">
        <v>250266</v>
      </c>
      <c r="Q42">
        <v>0.91569</v>
      </c>
      <c r="R42">
        <f t="shared" si="45"/>
        <v>100.91569</v>
      </c>
      <c r="S42" s="13">
        <f t="shared" si="46"/>
        <v>-1.2999999999999678E-3</v>
      </c>
      <c r="T42" s="13">
        <f t="shared" si="47"/>
        <v>-6.9999999999999999E-4</v>
      </c>
      <c r="U42" s="30">
        <f t="shared" si="50"/>
        <v>173.92000000000002</v>
      </c>
      <c r="V42" s="31">
        <f t="shared" si="48"/>
        <v>174.72</v>
      </c>
    </row>
    <row r="43" spans="1:22" x14ac:dyDescent="0.25">
      <c r="A43" s="5">
        <v>42094</v>
      </c>
      <c r="B43">
        <v>140930</v>
      </c>
      <c r="C43" s="1">
        <f t="shared" si="37"/>
        <v>86</v>
      </c>
      <c r="D43" s="13">
        <f t="shared" si="38"/>
        <v>9.7000000000000419E-3</v>
      </c>
      <c r="E43" s="29">
        <f t="shared" si="39"/>
        <v>2.2000000000000001E-3</v>
      </c>
      <c r="F43">
        <v>118971.8</v>
      </c>
      <c r="G43" s="1">
        <f t="shared" si="40"/>
        <v>187</v>
      </c>
      <c r="H43" s="13">
        <f t="shared" si="41"/>
        <v>1.1400000000000077E-2</v>
      </c>
      <c r="I43" s="29">
        <f t="shared" si="42"/>
        <v>3.3999999999999998E-3</v>
      </c>
      <c r="J43" s="10">
        <v>5.4</v>
      </c>
      <c r="K43" s="29">
        <f t="shared" si="43"/>
        <v>-4.4200000000000003E-2</v>
      </c>
      <c r="L43">
        <v>20.89</v>
      </c>
      <c r="M43" s="29">
        <f t="shared" si="44"/>
        <v>5.1999999999999998E-3</v>
      </c>
      <c r="N43">
        <v>73.73</v>
      </c>
      <c r="O43" s="13">
        <f t="shared" si="49"/>
        <v>-2.4299999999999999E-2</v>
      </c>
      <c r="P43">
        <v>250080</v>
      </c>
      <c r="Q43">
        <v>1.0567599999999999</v>
      </c>
      <c r="R43">
        <f t="shared" si="45"/>
        <v>101.05676</v>
      </c>
      <c r="S43" s="13">
        <f t="shared" si="46"/>
        <v>-1.2999999999999678E-3</v>
      </c>
      <c r="T43" s="13">
        <f t="shared" si="47"/>
        <v>-2.9999999999999997E-4</v>
      </c>
      <c r="U43" s="30">
        <f t="shared" si="50"/>
        <v>170</v>
      </c>
      <c r="V43" s="31">
        <f t="shared" si="48"/>
        <v>175.28</v>
      </c>
    </row>
    <row r="44" spans="1:22" x14ac:dyDescent="0.25">
      <c r="A44" s="5">
        <v>42063</v>
      </c>
      <c r="B44">
        <v>140844</v>
      </c>
      <c r="C44" s="1">
        <f t="shared" si="37"/>
        <v>238</v>
      </c>
      <c r="D44" s="13">
        <f t="shared" si="38"/>
        <v>1.110000000000011E-2</v>
      </c>
      <c r="E44" s="29">
        <f t="shared" si="39"/>
        <v>3.3999999999999998E-3</v>
      </c>
      <c r="F44">
        <v>118785.158</v>
      </c>
      <c r="G44" s="1">
        <f t="shared" si="40"/>
        <v>214</v>
      </c>
      <c r="H44" s="13">
        <f t="shared" si="41"/>
        <v>1.2000000000000011E-2</v>
      </c>
      <c r="I44" s="29">
        <f t="shared" si="42"/>
        <v>3.8E-3</v>
      </c>
      <c r="J44" s="10">
        <v>5.5</v>
      </c>
      <c r="K44" s="29">
        <f t="shared" si="43"/>
        <v>-3.5099999999999999E-2</v>
      </c>
      <c r="L44">
        <v>20.82</v>
      </c>
      <c r="M44" s="29">
        <f t="shared" si="44"/>
        <v>3.0999999999999999E-3</v>
      </c>
      <c r="N44">
        <v>74.17</v>
      </c>
      <c r="O44" s="13">
        <f t="shared" si="49"/>
        <v>-2.8400000000000002E-2</v>
      </c>
      <c r="P44">
        <v>249899</v>
      </c>
      <c r="Q44">
        <v>1.26631</v>
      </c>
      <c r="R44">
        <f t="shared" si="45"/>
        <v>101.26631</v>
      </c>
      <c r="S44" s="13">
        <f t="shared" si="46"/>
        <v>1.5000000000000568E-3</v>
      </c>
      <c r="T44" s="13">
        <f t="shared" si="47"/>
        <v>5.0000000000000001E-4</v>
      </c>
      <c r="U44" s="30">
        <f t="shared" si="50"/>
        <v>180.23</v>
      </c>
      <c r="V44" s="31">
        <f t="shared" si="48"/>
        <v>181.36</v>
      </c>
    </row>
    <row r="45" spans="1:22" x14ac:dyDescent="0.25">
      <c r="A45" s="5">
        <v>42035</v>
      </c>
      <c r="B45">
        <v>140606</v>
      </c>
      <c r="C45" s="1">
        <f t="shared" si="37"/>
        <v>204</v>
      </c>
      <c r="D45" s="13">
        <f t="shared" si="38"/>
        <v>1.0999999999999899E-2</v>
      </c>
      <c r="E45" s="29">
        <f t="shared" si="39"/>
        <v>3.5999999999999999E-3</v>
      </c>
      <c r="F45">
        <v>118571.06600000001</v>
      </c>
      <c r="G45" s="1">
        <f t="shared" si="40"/>
        <v>212</v>
      </c>
      <c r="H45" s="13">
        <f t="shared" si="41"/>
        <v>1.1500000000000066E-2</v>
      </c>
      <c r="I45" s="29">
        <f t="shared" si="42"/>
        <v>4.1000000000000003E-3</v>
      </c>
      <c r="J45" s="10">
        <v>5.7</v>
      </c>
      <c r="K45" s="29">
        <f t="shared" si="43"/>
        <v>-8.6999999999999994E-3</v>
      </c>
      <c r="L45">
        <v>20.81</v>
      </c>
      <c r="M45" s="29">
        <f t="shared" si="44"/>
        <v>4.1999999999999997E-3</v>
      </c>
      <c r="N45">
        <v>75.58</v>
      </c>
      <c r="O45" s="13">
        <f t="shared" si="49"/>
        <v>-2.4799999999999999E-2</v>
      </c>
      <c r="P45">
        <v>249723</v>
      </c>
      <c r="Q45">
        <v>1.37443</v>
      </c>
      <c r="R45">
        <f t="shared" si="45"/>
        <v>101.37443</v>
      </c>
      <c r="S45" s="13">
        <f t="shared" si="46"/>
        <v>2.6999999999999247E-3</v>
      </c>
      <c r="T45" s="13">
        <f t="shared" si="47"/>
        <v>5.0000000000000001E-4</v>
      </c>
      <c r="U45" s="30">
        <f t="shared" si="50"/>
        <v>175.61</v>
      </c>
      <c r="V45" s="31">
        <f t="shared" si="48"/>
        <v>183.38</v>
      </c>
    </row>
    <row r="46" spans="1:22" x14ac:dyDescent="0.25">
      <c r="A46" s="5">
        <v>42004</v>
      </c>
      <c r="B46" s="10">
        <v>140402</v>
      </c>
      <c r="C46" s="1">
        <f t="shared" si="37"/>
        <v>292</v>
      </c>
      <c r="D46" s="13">
        <f t="shared" si="38"/>
        <v>1.1200000000000099E-2</v>
      </c>
      <c r="E46" s="29">
        <f t="shared" si="39"/>
        <v>4.1000000000000003E-3</v>
      </c>
      <c r="F46">
        <v>118359.11599999999</v>
      </c>
      <c r="G46" s="1">
        <f t="shared" si="40"/>
        <v>284</v>
      </c>
      <c r="H46" s="13">
        <f t="shared" si="41"/>
        <v>1.2000000000000011E-2</v>
      </c>
      <c r="I46" s="29">
        <f t="shared" si="42"/>
        <v>4.3E-3</v>
      </c>
      <c r="J46" s="10">
        <v>5.6</v>
      </c>
      <c r="K46" s="29">
        <f t="shared" si="43"/>
        <v>-5.0799999999999998E-2</v>
      </c>
      <c r="L46">
        <v>20.73</v>
      </c>
      <c r="M46" s="29">
        <f t="shared" si="44"/>
        <v>1.1000000000000001E-3</v>
      </c>
      <c r="N46">
        <v>75.540000000000006</v>
      </c>
      <c r="O46" s="13">
        <f t="shared" si="49"/>
        <v>-3.5700000000000003E-2</v>
      </c>
      <c r="P46">
        <v>249027</v>
      </c>
      <c r="Q46">
        <v>1.2110799999999999</v>
      </c>
      <c r="R46">
        <f t="shared" si="45"/>
        <v>101.21108</v>
      </c>
      <c r="S46" s="13">
        <f t="shared" si="46"/>
        <v>-1.1999999999999789E-3</v>
      </c>
      <c r="T46" s="13">
        <f t="shared" si="47"/>
        <v>2.0000000000000001E-4</v>
      </c>
      <c r="U46" s="30">
        <f t="shared" si="50"/>
        <v>188.23</v>
      </c>
      <c r="V46" s="31">
        <f t="shared" si="48"/>
        <v>184.95</v>
      </c>
    </row>
    <row r="47" spans="1:22" x14ac:dyDescent="0.25">
      <c r="A47" s="5">
        <v>41973</v>
      </c>
      <c r="B47" s="10">
        <v>140110</v>
      </c>
      <c r="C47" s="1">
        <f t="shared" si="37"/>
        <v>331</v>
      </c>
      <c r="D47" s="13">
        <f t="shared" si="38"/>
        <v>1.1400000000000077E-2</v>
      </c>
      <c r="E47" s="29">
        <f t="shared" si="39"/>
        <v>4.0000000000000001E-3</v>
      </c>
      <c r="F47">
        <v>118075.073</v>
      </c>
      <c r="G47" s="1">
        <f t="shared" si="40"/>
        <v>241</v>
      </c>
      <c r="H47" s="13">
        <f t="shared" si="41"/>
        <v>1.1700000000000044E-2</v>
      </c>
      <c r="I47" s="29">
        <f t="shared" si="42"/>
        <v>3.8999999999999998E-3</v>
      </c>
      <c r="J47" s="10">
        <v>5.8</v>
      </c>
      <c r="K47" s="29">
        <f t="shared" si="43"/>
        <v>-3.3300000000000003E-2</v>
      </c>
      <c r="L47">
        <v>20.77</v>
      </c>
      <c r="M47" s="29">
        <f t="shared" si="44"/>
        <v>4.7999999999999996E-3</v>
      </c>
      <c r="N47">
        <v>76.3</v>
      </c>
      <c r="O47" s="13">
        <f t="shared" si="49"/>
        <v>-3.4799999999999998E-2</v>
      </c>
      <c r="P47">
        <v>248844</v>
      </c>
      <c r="Q47">
        <v>1.1702699999999999</v>
      </c>
      <c r="R47">
        <f t="shared" si="45"/>
        <v>101.17027</v>
      </c>
      <c r="S47" s="13">
        <f t="shared" si="46"/>
        <v>6.9999999999992291E-4</v>
      </c>
      <c r="T47" s="13">
        <f t="shared" si="47"/>
        <v>2.0000000000000001E-4</v>
      </c>
      <c r="U47" s="30">
        <f t="shared" si="50"/>
        <v>186.29</v>
      </c>
      <c r="V47" s="31">
        <f t="shared" si="48"/>
        <v>185.15</v>
      </c>
    </row>
    <row r="48" spans="1:22" x14ac:dyDescent="0.25">
      <c r="A48" s="5">
        <v>41943</v>
      </c>
      <c r="B48" s="10">
        <v>139779</v>
      </c>
      <c r="C48" s="1">
        <f t="shared" si="37"/>
        <v>200</v>
      </c>
      <c r="D48" s="13">
        <f t="shared" si="38"/>
        <v>1.0499999999999954E-2</v>
      </c>
      <c r="E48" s="29">
        <f t="shared" si="39"/>
        <v>3.3E-3</v>
      </c>
      <c r="F48">
        <v>117834.24099999999</v>
      </c>
      <c r="G48" s="1">
        <f t="shared" si="40"/>
        <v>200</v>
      </c>
      <c r="H48" s="13">
        <f t="shared" si="41"/>
        <v>1.1500000000000066E-2</v>
      </c>
      <c r="I48" s="29">
        <f t="shared" si="42"/>
        <v>3.5999999999999999E-3</v>
      </c>
      <c r="J48" s="10">
        <v>5.7</v>
      </c>
      <c r="K48" s="29">
        <f t="shared" si="43"/>
        <v>-6.5600000000000006E-2</v>
      </c>
      <c r="L48">
        <v>20.71</v>
      </c>
      <c r="M48" s="29">
        <f t="shared" si="44"/>
        <v>3.3999999999999998E-3</v>
      </c>
      <c r="N48">
        <v>77.91</v>
      </c>
      <c r="O48" s="13">
        <f t="shared" si="49"/>
        <v>-2.7799999999999998E-2</v>
      </c>
      <c r="P48">
        <v>248657</v>
      </c>
      <c r="Q48">
        <v>1.0461499999999999</v>
      </c>
      <c r="R48">
        <f t="shared" si="45"/>
        <v>101.04615</v>
      </c>
      <c r="S48" s="13">
        <f t="shared" si="46"/>
        <v>2.0000000000000018E-3</v>
      </c>
      <c r="T48" s="13">
        <f t="shared" si="47"/>
        <v>-6.9999999999999999E-4</v>
      </c>
      <c r="U48" s="30">
        <f t="shared" si="50"/>
        <v>180.34</v>
      </c>
      <c r="V48" s="31">
        <f t="shared" si="48"/>
        <v>179.99</v>
      </c>
    </row>
    <row r="49" spans="1:22" x14ac:dyDescent="0.25">
      <c r="A49" s="5">
        <v>41912</v>
      </c>
      <c r="B49" s="10">
        <v>139579</v>
      </c>
      <c r="C49" s="1">
        <f t="shared" si="37"/>
        <v>286</v>
      </c>
      <c r="D49" s="13">
        <f t="shared" si="38"/>
        <v>1.1300000000000088E-2</v>
      </c>
      <c r="E49" s="29">
        <f t="shared" si="39"/>
        <v>3.7000000000000002E-3</v>
      </c>
      <c r="F49">
        <v>117633.90300000001</v>
      </c>
      <c r="G49" s="1">
        <f t="shared" si="40"/>
        <v>253</v>
      </c>
      <c r="H49" s="13">
        <f t="shared" si="41"/>
        <v>1.2699999999999934E-2</v>
      </c>
      <c r="I49" s="29">
        <f t="shared" si="42"/>
        <v>3.8E-3</v>
      </c>
      <c r="J49" s="10">
        <v>5.9</v>
      </c>
      <c r="K49" s="29">
        <f t="shared" si="43"/>
        <v>-4.8399999999999999E-2</v>
      </c>
      <c r="L49">
        <v>20.68</v>
      </c>
      <c r="M49" s="29">
        <f t="shared" si="44"/>
        <v>3.5000000000000001E-3</v>
      </c>
      <c r="N49">
        <v>77.650000000000006</v>
      </c>
      <c r="O49" s="13">
        <f t="shared" si="49"/>
        <v>-3.7699999999999997E-2</v>
      </c>
      <c r="P49">
        <v>248446</v>
      </c>
      <c r="Q49">
        <v>1.1909400000000001</v>
      </c>
      <c r="R49">
        <f t="shared" si="45"/>
        <v>101.19094</v>
      </c>
      <c r="S49" s="13">
        <f t="shared" si="46"/>
        <v>7.9000000000000181E-3</v>
      </c>
      <c r="T49" s="13">
        <f t="shared" si="47"/>
        <v>2.0000000000000001E-4</v>
      </c>
      <c r="U49" s="30">
        <f t="shared" si="50"/>
        <v>188.82999999999998</v>
      </c>
      <c r="V49" s="31">
        <f t="shared" si="48"/>
        <v>178.51</v>
      </c>
    </row>
    <row r="50" spans="1:22" x14ac:dyDescent="0.25">
      <c r="A50" s="5">
        <v>41882</v>
      </c>
      <c r="B50" s="10">
        <v>139293</v>
      </c>
      <c r="C50" s="1">
        <f t="shared" si="37"/>
        <v>218</v>
      </c>
      <c r="D50" s="13">
        <f t="shared" si="38"/>
        <v>1.1300000000000088E-2</v>
      </c>
      <c r="E50" s="29">
        <f t="shared" si="39"/>
        <v>3.3999999999999998E-3</v>
      </c>
      <c r="F50">
        <v>117381.315</v>
      </c>
      <c r="G50" s="1">
        <f t="shared" si="40"/>
        <v>156</v>
      </c>
      <c r="H50" s="13">
        <f t="shared" si="41"/>
        <v>1.2399999999999967E-2</v>
      </c>
      <c r="I50" s="29">
        <f t="shared" si="42"/>
        <v>3.5999999999999999E-3</v>
      </c>
      <c r="J50" s="10">
        <v>6.2</v>
      </c>
      <c r="K50" s="29">
        <f t="shared" si="43"/>
        <v>0</v>
      </c>
      <c r="L50">
        <v>20.67</v>
      </c>
      <c r="M50" s="29">
        <f t="shared" si="44"/>
        <v>5.0000000000000001E-3</v>
      </c>
      <c r="N50">
        <v>79.44</v>
      </c>
      <c r="O50" s="13">
        <f t="shared" si="49"/>
        <v>-2.3199999999999998E-2</v>
      </c>
      <c r="P50">
        <v>248229</v>
      </c>
      <c r="Q50">
        <v>1.1192899999999999</v>
      </c>
      <c r="R50">
        <f t="shared" si="45"/>
        <v>101.11929000000001</v>
      </c>
      <c r="S50" s="13">
        <f t="shared" si="46"/>
        <v>4.3999999999999595E-3</v>
      </c>
      <c r="T50" s="13">
        <f t="shared" si="47"/>
        <v>6.9999999999999999E-4</v>
      </c>
      <c r="U50" s="30">
        <f t="shared" si="50"/>
        <v>170.79</v>
      </c>
      <c r="V50" s="31">
        <f t="shared" si="48"/>
        <v>177.47</v>
      </c>
    </row>
    <row r="51" spans="1:22" x14ac:dyDescent="0.25">
      <c r="A51" s="5">
        <v>41851</v>
      </c>
      <c r="B51" s="10">
        <v>139075</v>
      </c>
      <c r="C51" s="1">
        <f t="shared" si="37"/>
        <v>232</v>
      </c>
      <c r="D51" s="13">
        <f t="shared" si="38"/>
        <v>1.089999999999991E-2</v>
      </c>
      <c r="E51" s="29">
        <f t="shared" si="39"/>
        <v>3.7000000000000002E-3</v>
      </c>
      <c r="F51">
        <v>117224.943</v>
      </c>
      <c r="G51" s="1">
        <f t="shared" si="40"/>
        <v>275</v>
      </c>
      <c r="H51" s="13">
        <f t="shared" si="41"/>
        <v>1.2699999999999934E-2</v>
      </c>
      <c r="I51" s="29">
        <f t="shared" si="42"/>
        <v>4.3E-3</v>
      </c>
      <c r="J51" s="10">
        <v>6.2</v>
      </c>
      <c r="K51" s="29">
        <f t="shared" si="43"/>
        <v>-1.9800000000000002E-2</v>
      </c>
      <c r="L51">
        <v>20.62</v>
      </c>
      <c r="M51" s="29">
        <f t="shared" si="44"/>
        <v>4.3E-3</v>
      </c>
      <c r="N51">
        <v>82</v>
      </c>
      <c r="O51" s="13">
        <f t="shared" si="49"/>
        <v>2.3999999999999998E-3</v>
      </c>
      <c r="P51">
        <v>248023</v>
      </c>
      <c r="Q51">
        <v>1.0964400000000001</v>
      </c>
      <c r="R51">
        <f t="shared" si="45"/>
        <v>101.09644</v>
      </c>
      <c r="S51" s="13">
        <f t="shared" si="46"/>
        <v>2.9999999999998916E-3</v>
      </c>
      <c r="T51" s="13">
        <f t="shared" si="47"/>
        <v>1.6999999999999999E-3</v>
      </c>
      <c r="U51" s="30">
        <f t="shared" si="50"/>
        <v>175.92000000000002</v>
      </c>
      <c r="V51" s="31">
        <f t="shared" si="48"/>
        <v>180.29</v>
      </c>
    </row>
    <row r="52" spans="1:22" x14ac:dyDescent="0.25">
      <c r="A52" s="5">
        <v>41820</v>
      </c>
      <c r="B52" s="10">
        <v>138843</v>
      </c>
      <c r="C52" s="1">
        <f t="shared" si="37"/>
        <v>306</v>
      </c>
      <c r="D52" s="13">
        <f t="shared" si="38"/>
        <v>1.0599999999999943E-2</v>
      </c>
      <c r="E52" s="29">
        <f t="shared" si="39"/>
        <v>4.0000000000000001E-3</v>
      </c>
      <c r="F52">
        <v>116950.086</v>
      </c>
      <c r="G52" s="1">
        <f t="shared" si="40"/>
        <v>235</v>
      </c>
      <c r="H52" s="13">
        <f t="shared" si="41"/>
        <v>1.2399999999999967E-2</v>
      </c>
      <c r="I52" s="29">
        <f t="shared" si="42"/>
        <v>4.3E-3</v>
      </c>
      <c r="J52" s="10">
        <v>6.1</v>
      </c>
      <c r="K52" s="29">
        <f t="shared" si="43"/>
        <v>-5.79E-2</v>
      </c>
      <c r="L52">
        <v>20.59</v>
      </c>
      <c r="M52" s="29">
        <f t="shared" si="44"/>
        <v>4.0000000000000001E-3</v>
      </c>
      <c r="N52">
        <v>82.28</v>
      </c>
      <c r="O52" s="13">
        <f t="shared" si="49"/>
        <v>-1.9E-3</v>
      </c>
      <c r="P52">
        <v>247814</v>
      </c>
      <c r="Q52">
        <v>1.3276699999999999</v>
      </c>
      <c r="R52">
        <f t="shared" si="45"/>
        <v>101.32767</v>
      </c>
      <c r="S52" s="13">
        <f t="shared" si="46"/>
        <v>6.1999999999999833E-3</v>
      </c>
      <c r="T52" s="13">
        <f t="shared" si="47"/>
        <v>1.6000000000000001E-3</v>
      </c>
      <c r="U52" s="30">
        <f t="shared" si="50"/>
        <v>185.7</v>
      </c>
      <c r="V52" s="31">
        <f t="shared" si="48"/>
        <v>184.36</v>
      </c>
    </row>
    <row r="53" spans="1:22" x14ac:dyDescent="0.25">
      <c r="A53" s="5">
        <v>41790</v>
      </c>
      <c r="B53" s="10">
        <v>138537</v>
      </c>
      <c r="C53" s="1">
        <f t="shared" si="37"/>
        <v>213</v>
      </c>
      <c r="D53" s="13">
        <f t="shared" si="38"/>
        <v>8.69999999999993E-3</v>
      </c>
      <c r="E53" s="29">
        <f t="shared" si="39"/>
        <v>3.7000000000000002E-3</v>
      </c>
      <c r="F53">
        <v>116714.63</v>
      </c>
      <c r="G53" s="1">
        <f t="shared" si="40"/>
        <v>225</v>
      </c>
      <c r="H53" s="13">
        <f t="shared" si="41"/>
        <v>1.1800000000000033E-2</v>
      </c>
      <c r="I53" s="29">
        <f t="shared" si="42"/>
        <v>4.4000000000000003E-3</v>
      </c>
      <c r="J53" s="10">
        <v>6.3</v>
      </c>
      <c r="K53" s="29">
        <f t="shared" si="43"/>
        <v>-3.8199999999999998E-2</v>
      </c>
      <c r="L53">
        <v>20.55</v>
      </c>
      <c r="M53" s="29">
        <f t="shared" si="44"/>
        <v>3.8999999999999998E-3</v>
      </c>
      <c r="N53">
        <v>80.45</v>
      </c>
      <c r="O53" s="13">
        <f t="shared" si="49"/>
        <v>-2.6599999999999999E-2</v>
      </c>
      <c r="P53">
        <v>247622</v>
      </c>
      <c r="Q53">
        <v>1.10304</v>
      </c>
      <c r="R53">
        <f t="shared" si="45"/>
        <v>101.10303999999999</v>
      </c>
      <c r="S53" s="13">
        <f t="shared" si="46"/>
        <v>3.7000000000000366E-3</v>
      </c>
      <c r="T53" s="13">
        <f t="shared" si="47"/>
        <v>8.0000000000000004E-4</v>
      </c>
      <c r="U53" s="30">
        <f t="shared" si="50"/>
        <v>179.26</v>
      </c>
      <c r="V53" s="31">
        <f t="shared" si="48"/>
        <v>178.01</v>
      </c>
    </row>
    <row r="54" spans="1:22" x14ac:dyDescent="0.25">
      <c r="A54" s="5">
        <v>41759</v>
      </c>
      <c r="B54" s="10">
        <v>138324</v>
      </c>
      <c r="C54" s="1">
        <f t="shared" si="37"/>
        <v>310</v>
      </c>
      <c r="D54" s="13">
        <f t="shared" si="38"/>
        <v>9.300000000000086E-3</v>
      </c>
      <c r="E54" s="29">
        <f t="shared" si="39"/>
        <v>4.0000000000000001E-3</v>
      </c>
      <c r="F54">
        <v>116489.758</v>
      </c>
      <c r="G54" s="1">
        <f t="shared" si="40"/>
        <v>330</v>
      </c>
      <c r="H54" s="13">
        <f t="shared" si="41"/>
        <v>1.1500000000000066E-2</v>
      </c>
      <c r="I54" s="29">
        <f t="shared" si="42"/>
        <v>4.5999999999999999E-3</v>
      </c>
      <c r="J54" s="10">
        <v>6.2</v>
      </c>
      <c r="K54" s="29">
        <f t="shared" si="43"/>
        <v>-7.1199999999999999E-2</v>
      </c>
      <c r="L54">
        <v>20.51</v>
      </c>
      <c r="M54" s="29">
        <f t="shared" si="44"/>
        <v>4.0000000000000001E-3</v>
      </c>
      <c r="N54">
        <v>83.29</v>
      </c>
      <c r="O54" s="13">
        <f t="shared" si="49"/>
        <v>-7.4999999999999997E-3</v>
      </c>
      <c r="P54">
        <v>247439</v>
      </c>
      <c r="Q54">
        <v>0.84769000000000005</v>
      </c>
      <c r="R54">
        <f t="shared" si="45"/>
        <v>100.84769</v>
      </c>
      <c r="S54" s="13">
        <f t="shared" si="46"/>
        <v>9.9999999999988987E-5</v>
      </c>
      <c r="T54" s="13">
        <f t="shared" si="47"/>
        <v>4.0000000000000002E-4</v>
      </c>
      <c r="U54" s="30">
        <f t="shared" si="50"/>
        <v>188.12</v>
      </c>
      <c r="V54" s="31">
        <f t="shared" si="48"/>
        <v>174.94</v>
      </c>
    </row>
    <row r="55" spans="1:22" x14ac:dyDescent="0.25">
      <c r="A55" s="5">
        <v>41729</v>
      </c>
      <c r="B55" s="10">
        <v>138014</v>
      </c>
      <c r="C55" s="1">
        <f t="shared" si="37"/>
        <v>272</v>
      </c>
      <c r="D55" s="13">
        <f t="shared" si="38"/>
        <v>8.3999999999999631E-3</v>
      </c>
      <c r="E55" s="29">
        <f t="shared" si="39"/>
        <v>3.2000000000000002E-3</v>
      </c>
      <c r="F55">
        <v>116159.3</v>
      </c>
      <c r="G55" s="1">
        <f t="shared" si="40"/>
        <v>213</v>
      </c>
      <c r="H55" s="13">
        <f t="shared" si="41"/>
        <v>1.0199999999999987E-2</v>
      </c>
      <c r="I55" s="29">
        <f t="shared" si="42"/>
        <v>3.5999999999999999E-3</v>
      </c>
      <c r="J55" s="10">
        <v>6.7</v>
      </c>
      <c r="K55" s="29">
        <f t="shared" si="43"/>
        <v>-3.7000000000000002E-3</v>
      </c>
      <c r="L55">
        <v>20.48</v>
      </c>
      <c r="M55" s="29">
        <f t="shared" si="44"/>
        <v>4.4999999999999997E-3</v>
      </c>
      <c r="N55">
        <v>82.57</v>
      </c>
      <c r="O55" s="13">
        <f t="shared" si="49"/>
        <v>-1.9300000000000001E-2</v>
      </c>
      <c r="P55">
        <v>247258</v>
      </c>
      <c r="Q55">
        <v>0.39311000000000001</v>
      </c>
      <c r="R55">
        <f t="shared" si="45"/>
        <v>100.39310999999999</v>
      </c>
      <c r="S55" s="13">
        <f t="shared" si="46"/>
        <v>-4.7000000000000375E-3</v>
      </c>
      <c r="T55" s="13">
        <f t="shared" si="47"/>
        <v>-8.0000000000000004E-4</v>
      </c>
      <c r="U55" s="30">
        <f t="shared" si="50"/>
        <v>166.66</v>
      </c>
      <c r="V55" s="31">
        <f t="shared" si="48"/>
        <v>172.28</v>
      </c>
    </row>
    <row r="56" spans="1:22" x14ac:dyDescent="0.25">
      <c r="A56" s="5">
        <v>41698</v>
      </c>
      <c r="B56" s="10">
        <v>137742</v>
      </c>
      <c r="C56" s="1">
        <f t="shared" si="37"/>
        <v>168</v>
      </c>
      <c r="D56" s="13">
        <f t="shared" si="38"/>
        <v>7.8000000000000291E-3</v>
      </c>
      <c r="E56" s="29">
        <f t="shared" si="39"/>
        <v>2.2000000000000001E-3</v>
      </c>
      <c r="F56">
        <v>115946.073</v>
      </c>
      <c r="G56" s="1">
        <f t="shared" si="40"/>
        <v>191</v>
      </c>
      <c r="H56" s="13">
        <f t="shared" si="41"/>
        <v>1.0399999999999965E-2</v>
      </c>
      <c r="I56" s="29">
        <f t="shared" si="42"/>
        <v>3.5000000000000001E-3</v>
      </c>
      <c r="J56" s="10">
        <v>6.7</v>
      </c>
      <c r="K56" s="29">
        <f t="shared" si="43"/>
        <v>-2.1899999999999999E-2</v>
      </c>
      <c r="L56">
        <v>20.49</v>
      </c>
      <c r="M56" s="29">
        <f t="shared" si="44"/>
        <v>8.0000000000000002E-3</v>
      </c>
      <c r="N56">
        <v>80.94</v>
      </c>
      <c r="O56" s="13">
        <f t="shared" si="49"/>
        <v>-4.24E-2</v>
      </c>
      <c r="P56">
        <v>247085</v>
      </c>
      <c r="Q56">
        <v>0.67647999999999997</v>
      </c>
      <c r="R56">
        <f t="shared" si="45"/>
        <v>100.67648</v>
      </c>
      <c r="S56" s="13">
        <f t="shared" si="46"/>
        <v>-1.0000000000000009E-3</v>
      </c>
      <c r="T56" s="13">
        <f t="shared" si="47"/>
        <v>-4.0000000000000002E-4</v>
      </c>
      <c r="U56" s="30">
        <f t="shared" si="50"/>
        <v>170.03</v>
      </c>
      <c r="V56" s="31">
        <f t="shared" si="48"/>
        <v>170.93</v>
      </c>
    </row>
    <row r="57" spans="1:22" x14ac:dyDescent="0.25">
      <c r="A57" s="5">
        <v>41670</v>
      </c>
      <c r="B57" s="10">
        <v>137574</v>
      </c>
      <c r="C57" s="1">
        <f t="shared" si="37"/>
        <v>187</v>
      </c>
      <c r="D57" s="13">
        <f t="shared" si="38"/>
        <v>8.499999999999952E-3</v>
      </c>
      <c r="E57" s="29">
        <f t="shared" si="39"/>
        <v>2.3E-3</v>
      </c>
      <c r="F57">
        <v>115755.349</v>
      </c>
      <c r="G57" s="1">
        <f t="shared" si="40"/>
        <v>236</v>
      </c>
      <c r="H57" s="13">
        <f t="shared" si="41"/>
        <v>1.0399999999999965E-2</v>
      </c>
      <c r="I57" s="29">
        <f t="shared" si="42"/>
        <v>3.5999999999999999E-3</v>
      </c>
      <c r="J57" s="10">
        <v>6.6</v>
      </c>
      <c r="K57" s="29">
        <f t="shared" si="43"/>
        <v>-5.7099999999999998E-2</v>
      </c>
      <c r="L57">
        <v>20.399999999999999</v>
      </c>
      <c r="M57" s="29">
        <f t="shared" si="44"/>
        <v>5.7999999999999996E-3</v>
      </c>
      <c r="N57">
        <v>80.92</v>
      </c>
      <c r="O57" s="13">
        <f t="shared" si="49"/>
        <v>-5.5100000000000003E-2</v>
      </c>
      <c r="P57">
        <v>246915</v>
      </c>
      <c r="Q57">
        <v>0.79242999999999997</v>
      </c>
      <c r="R57">
        <f t="shared" si="45"/>
        <v>100.79243</v>
      </c>
      <c r="S57" s="13">
        <f t="shared" si="46"/>
        <v>-8.0000000000002292E-4</v>
      </c>
      <c r="T57" s="13">
        <f t="shared" si="47"/>
        <v>-2.0000000000000001E-4</v>
      </c>
      <c r="U57" s="30">
        <f t="shared" si="50"/>
        <v>180.14</v>
      </c>
      <c r="V57" s="31">
        <f t="shared" si="48"/>
        <v>173.25</v>
      </c>
    </row>
    <row r="58" spans="1:22" x14ac:dyDescent="0.25">
      <c r="A58" s="5">
        <v>41639</v>
      </c>
      <c r="B58" s="10">
        <v>137387</v>
      </c>
      <c r="C58" s="1">
        <f t="shared" si="37"/>
        <v>45</v>
      </c>
      <c r="D58" s="13">
        <f t="shared" si="38"/>
        <v>8.1999999999999851E-3</v>
      </c>
      <c r="E58" s="29">
        <f t="shared" si="39"/>
        <v>2.2000000000000001E-3</v>
      </c>
      <c r="F58">
        <v>115518.996</v>
      </c>
      <c r="G58" s="1">
        <f t="shared" si="40"/>
        <v>166</v>
      </c>
      <c r="H58" s="13">
        <f t="shared" si="41"/>
        <v>9.8000000000000309E-3</v>
      </c>
      <c r="I58" s="29">
        <f t="shared" si="42"/>
        <v>3.0000000000000001E-3</v>
      </c>
      <c r="J58" s="10">
        <v>6.7</v>
      </c>
      <c r="K58" s="29">
        <f t="shared" si="43"/>
        <v>-6.2899999999999998E-2</v>
      </c>
      <c r="L58">
        <v>20.34</v>
      </c>
      <c r="M58" s="29">
        <f t="shared" si="44"/>
        <v>4.7999999999999996E-3</v>
      </c>
      <c r="N58">
        <v>86.74</v>
      </c>
      <c r="O58" s="13">
        <f t="shared" si="49"/>
        <v>-7.7000000000000002E-3</v>
      </c>
      <c r="P58">
        <v>246745</v>
      </c>
      <c r="Q58">
        <v>0.70487999999999995</v>
      </c>
      <c r="R58">
        <f t="shared" si="45"/>
        <v>100.70488</v>
      </c>
      <c r="S58" s="13">
        <f t="shared" si="46"/>
        <v>-4.9999999999994493E-4</v>
      </c>
      <c r="T58" s="13">
        <f t="shared" si="47"/>
        <v>-2.0000000000000001E-4</v>
      </c>
      <c r="U58" s="30">
        <f t="shared" si="50"/>
        <v>162.62</v>
      </c>
      <c r="V58" s="31">
        <f t="shared" si="48"/>
        <v>167.64</v>
      </c>
    </row>
    <row r="59" spans="1:22" x14ac:dyDescent="0.25">
      <c r="A59" s="5">
        <v>41608</v>
      </c>
      <c r="B59" s="10">
        <v>137342</v>
      </c>
      <c r="C59" s="1">
        <f t="shared" si="37"/>
        <v>291</v>
      </c>
      <c r="D59" s="13">
        <f t="shared" si="38"/>
        <v>8.999999999999897E-3</v>
      </c>
      <c r="E59" s="29">
        <f t="shared" si="39"/>
        <v>3.5000000000000001E-3</v>
      </c>
      <c r="F59">
        <v>115353.15300000001</v>
      </c>
      <c r="G59" s="1">
        <f t="shared" si="40"/>
        <v>192</v>
      </c>
      <c r="H59" s="13">
        <f t="shared" si="41"/>
        <v>1.0599999999999943E-2</v>
      </c>
      <c r="I59" s="29">
        <f t="shared" si="42"/>
        <v>3.3E-3</v>
      </c>
      <c r="J59" s="10">
        <v>6.9</v>
      </c>
      <c r="K59" s="29">
        <f t="shared" si="43"/>
        <v>-4.8300000000000003E-2</v>
      </c>
      <c r="L59">
        <v>20.32</v>
      </c>
      <c r="M59" s="29">
        <f t="shared" si="44"/>
        <v>6.1000000000000004E-3</v>
      </c>
      <c r="N59">
        <v>85.53</v>
      </c>
      <c r="O59" s="13">
        <f t="shared" si="49"/>
        <v>-2.1999999999999999E-2</v>
      </c>
      <c r="P59">
        <v>246567</v>
      </c>
      <c r="Q59">
        <v>0.73180999999999996</v>
      </c>
      <c r="R59">
        <f t="shared" si="45"/>
        <v>100.73181</v>
      </c>
      <c r="S59" s="13">
        <f t="shared" si="46"/>
        <v>0</v>
      </c>
      <c r="T59" s="13">
        <f t="shared" si="47"/>
        <v>-4.0000000000000002E-4</v>
      </c>
      <c r="U59" s="30">
        <f t="shared" si="50"/>
        <v>177</v>
      </c>
      <c r="V59" s="31">
        <f t="shared" si="48"/>
        <v>170.19</v>
      </c>
    </row>
    <row r="60" spans="1:22" x14ac:dyDescent="0.25">
      <c r="A60" s="5">
        <v>41578</v>
      </c>
      <c r="B60" s="10">
        <v>137051</v>
      </c>
      <c r="C60" s="1">
        <f t="shared" si="37"/>
        <v>189</v>
      </c>
      <c r="D60" s="13">
        <f t="shared" si="38"/>
        <v>8.3999999999999631E-3</v>
      </c>
      <c r="E60" s="29">
        <f t="shared" si="39"/>
        <v>2.8999999999999998E-3</v>
      </c>
      <c r="F60">
        <v>115161.018</v>
      </c>
      <c r="G60" s="1">
        <f t="shared" si="40"/>
        <v>170</v>
      </c>
      <c r="H60" s="13">
        <f t="shared" si="41"/>
        <v>1.0799999999999921E-2</v>
      </c>
      <c r="I60" s="29">
        <f t="shared" si="42"/>
        <v>3.3999999999999998E-3</v>
      </c>
      <c r="J60" s="10">
        <v>7.2</v>
      </c>
      <c r="K60" s="29">
        <f t="shared" si="43"/>
        <v>-1.7100000000000001E-2</v>
      </c>
      <c r="L60">
        <v>20.25</v>
      </c>
      <c r="M60" s="29">
        <f t="shared" si="44"/>
        <v>4.1999999999999997E-3</v>
      </c>
      <c r="N60">
        <v>87.94</v>
      </c>
      <c r="O60" s="13">
        <f t="shared" si="49"/>
        <v>-1.1000000000000001E-3</v>
      </c>
      <c r="P60">
        <v>246381</v>
      </c>
      <c r="Q60">
        <v>0.83755999999999997</v>
      </c>
      <c r="R60">
        <f t="shared" si="45"/>
        <v>100.83756</v>
      </c>
      <c r="S60" s="13">
        <f t="shared" si="46"/>
        <v>2.2999999999999687E-3</v>
      </c>
      <c r="T60" s="13">
        <f t="shared" si="47"/>
        <v>2.0000000000000001E-4</v>
      </c>
      <c r="U60" s="30">
        <f t="shared" si="50"/>
        <v>163.29</v>
      </c>
      <c r="V60" s="31">
        <f t="shared" si="48"/>
        <v>168.22</v>
      </c>
    </row>
    <row r="61" spans="1:22" x14ac:dyDescent="0.25">
      <c r="A61" s="5">
        <v>41547</v>
      </c>
      <c r="B61" s="10">
        <v>136862</v>
      </c>
      <c r="C61" s="1">
        <f t="shared" si="37"/>
        <v>185</v>
      </c>
      <c r="D61" s="13">
        <f t="shared" si="38"/>
        <v>8.499999999999952E-3</v>
      </c>
      <c r="E61" s="29">
        <f t="shared" si="39"/>
        <v>3.0000000000000001E-3</v>
      </c>
      <c r="F61">
        <v>114991.505</v>
      </c>
      <c r="G61" s="1">
        <f t="shared" si="40"/>
        <v>236</v>
      </c>
      <c r="H61" s="13">
        <f t="shared" si="41"/>
        <v>1.0199999999999987E-2</v>
      </c>
      <c r="I61" s="29">
        <f t="shared" si="42"/>
        <v>3.7000000000000002E-3</v>
      </c>
      <c r="J61" s="10">
        <v>7.2</v>
      </c>
      <c r="K61" s="29">
        <f t="shared" si="43"/>
        <v>-2.7E-2</v>
      </c>
      <c r="L61">
        <v>20.22</v>
      </c>
      <c r="M61" s="29">
        <f t="shared" si="44"/>
        <v>4.7000000000000002E-3</v>
      </c>
      <c r="N61">
        <v>86.04</v>
      </c>
      <c r="O61" s="13">
        <f t="shared" si="49"/>
        <v>-1.72E-2</v>
      </c>
      <c r="P61">
        <v>246168</v>
      </c>
      <c r="Q61">
        <v>0.86860000000000004</v>
      </c>
      <c r="R61">
        <f t="shared" si="45"/>
        <v>100.8686</v>
      </c>
      <c r="S61" s="13">
        <f t="shared" si="46"/>
        <v>8.9999999999990088E-4</v>
      </c>
      <c r="T61" s="13">
        <f t="shared" si="47"/>
        <v>2.9999999999999997E-4</v>
      </c>
      <c r="U61" s="30">
        <f t="shared" si="50"/>
        <v>170.28</v>
      </c>
      <c r="V61" s="31">
        <f t="shared" si="48"/>
        <v>167.35</v>
      </c>
    </row>
    <row r="62" spans="1:22" x14ac:dyDescent="0.25">
      <c r="A62" s="5">
        <v>41517</v>
      </c>
      <c r="B62" s="10">
        <v>136677</v>
      </c>
      <c r="C62" s="1">
        <f t="shared" si="37"/>
        <v>269</v>
      </c>
      <c r="D62" s="13">
        <f t="shared" si="38"/>
        <v>8.0999999999999961E-3</v>
      </c>
      <c r="E62" s="29">
        <f t="shared" si="39"/>
        <v>3.0000000000000001E-3</v>
      </c>
      <c r="F62">
        <v>114755.747</v>
      </c>
      <c r="G62" s="1">
        <f t="shared" si="40"/>
        <v>194</v>
      </c>
      <c r="H62" s="13">
        <f t="shared" si="41"/>
        <v>9.9000000000000199E-3</v>
      </c>
      <c r="I62" s="29">
        <f t="shared" si="42"/>
        <v>3.3999999999999998E-3</v>
      </c>
      <c r="J62" s="10">
        <v>7.3</v>
      </c>
      <c r="K62" s="29">
        <f t="shared" si="43"/>
        <v>-2.3400000000000001E-2</v>
      </c>
      <c r="L62">
        <v>20.18</v>
      </c>
      <c r="M62" s="29">
        <f t="shared" si="44"/>
        <v>4.5999999999999999E-3</v>
      </c>
      <c r="N62">
        <v>86.61</v>
      </c>
      <c r="O62" s="13">
        <f t="shared" si="49"/>
        <v>-1.7999999999999999E-2</v>
      </c>
      <c r="P62">
        <v>245959</v>
      </c>
      <c r="Q62">
        <v>0.77978000000000003</v>
      </c>
      <c r="R62">
        <f t="shared" si="45"/>
        <v>100.77978</v>
      </c>
      <c r="S62" s="13">
        <f t="shared" si="46"/>
        <v>2.7999999999999137E-3</v>
      </c>
      <c r="T62" s="13">
        <f t="shared" si="47"/>
        <v>4.0000000000000002E-4</v>
      </c>
      <c r="U62" s="30">
        <f t="shared" si="50"/>
        <v>171.09</v>
      </c>
      <c r="V62" s="31">
        <f t="shared" si="48"/>
        <v>164.42</v>
      </c>
    </row>
    <row r="63" spans="1:22" x14ac:dyDescent="0.25">
      <c r="A63" s="5">
        <v>41486</v>
      </c>
      <c r="B63" s="10">
        <v>136408</v>
      </c>
      <c r="C63" s="1">
        <f t="shared" si="37"/>
        <v>140</v>
      </c>
      <c r="D63" s="13">
        <f t="shared" si="38"/>
        <v>8.3999999999999631E-3</v>
      </c>
      <c r="E63" s="29">
        <f t="shared" si="39"/>
        <v>2.3E-3</v>
      </c>
      <c r="F63">
        <v>114562.106</v>
      </c>
      <c r="G63" s="1">
        <f t="shared" si="40"/>
        <v>165</v>
      </c>
      <c r="H63" s="13">
        <f t="shared" si="41"/>
        <v>9.9000000000000199E-3</v>
      </c>
      <c r="I63" s="29">
        <f t="shared" si="42"/>
        <v>3.5000000000000001E-3</v>
      </c>
      <c r="J63" s="10">
        <v>7.3</v>
      </c>
      <c r="K63" s="29">
        <f t="shared" si="43"/>
        <v>-2.9899999999999999E-2</v>
      </c>
      <c r="L63">
        <v>20.14</v>
      </c>
      <c r="M63" s="29">
        <f t="shared" si="44"/>
        <v>4.1999999999999997E-3</v>
      </c>
      <c r="N63">
        <v>89.75</v>
      </c>
      <c r="O63" s="13">
        <f t="shared" si="49"/>
        <v>8.8000000000000005E-3</v>
      </c>
      <c r="P63">
        <v>245756</v>
      </c>
      <c r="Q63">
        <v>0.87439</v>
      </c>
      <c r="R63">
        <f t="shared" si="45"/>
        <v>100.87439000000001</v>
      </c>
      <c r="S63" s="13">
        <f t="shared" si="46"/>
        <v>2.8999999999999027E-3</v>
      </c>
      <c r="T63" s="13">
        <f t="shared" si="47"/>
        <v>2.0000000000000001E-4</v>
      </c>
      <c r="U63" s="30">
        <f t="shared" si="50"/>
        <v>160.68</v>
      </c>
      <c r="V63" s="31">
        <f t="shared" si="48"/>
        <v>162.84</v>
      </c>
    </row>
    <row r="64" spans="1:22" x14ac:dyDescent="0.25">
      <c r="A64" s="5">
        <v>41455</v>
      </c>
      <c r="B64" s="10">
        <v>136268</v>
      </c>
      <c r="C64" s="1">
        <f t="shared" si="37"/>
        <v>146</v>
      </c>
      <c r="D64" s="13">
        <f t="shared" si="38"/>
        <v>8.799999999999919E-3</v>
      </c>
      <c r="E64" s="29">
        <f t="shared" si="39"/>
        <v>2.5999999999999999E-3</v>
      </c>
      <c r="F64">
        <v>114397.041</v>
      </c>
      <c r="G64" s="1">
        <f t="shared" si="40"/>
        <v>255</v>
      </c>
      <c r="H64" s="13">
        <f t="shared" si="41"/>
        <v>1.0399999999999965E-2</v>
      </c>
      <c r="I64" s="29">
        <f t="shared" si="42"/>
        <v>3.8E-3</v>
      </c>
      <c r="J64" s="10">
        <v>7.5</v>
      </c>
      <c r="K64" s="29">
        <f t="shared" si="43"/>
        <v>-9.9000000000000008E-3</v>
      </c>
      <c r="L64">
        <v>20.12</v>
      </c>
      <c r="M64" s="29">
        <f t="shared" si="44"/>
        <v>4.8999999999999998E-3</v>
      </c>
      <c r="N64">
        <v>89.79</v>
      </c>
      <c r="O64" s="13">
        <f t="shared" si="49"/>
        <v>1.17E-2</v>
      </c>
      <c r="P64">
        <v>245552</v>
      </c>
      <c r="Q64">
        <v>0.75146000000000002</v>
      </c>
      <c r="R64">
        <f t="shared" si="45"/>
        <v>100.75145999999999</v>
      </c>
      <c r="S64" s="13">
        <f t="shared" si="46"/>
        <v>1.3000000000000789E-3</v>
      </c>
      <c r="T64" s="13">
        <f t="shared" si="47"/>
        <v>5.9999999999999995E-4</v>
      </c>
      <c r="U64" s="30">
        <f t="shared" si="50"/>
        <v>161.49</v>
      </c>
      <c r="V64" s="31">
        <f t="shared" si="48"/>
        <v>162.21</v>
      </c>
    </row>
    <row r="65" spans="1:22" x14ac:dyDescent="0.25">
      <c r="A65" s="5">
        <v>41425</v>
      </c>
      <c r="B65" s="10">
        <v>136122</v>
      </c>
      <c r="C65" s="1">
        <f t="shared" si="37"/>
        <v>218</v>
      </c>
      <c r="D65" s="13">
        <f t="shared" si="38"/>
        <v>9.6000000000000529E-3</v>
      </c>
      <c r="E65" s="29">
        <f t="shared" si="39"/>
        <v>2.8999999999999998E-3</v>
      </c>
      <c r="F65">
        <v>114141.935</v>
      </c>
      <c r="G65" s="1">
        <f t="shared" si="40"/>
        <v>206</v>
      </c>
      <c r="H65" s="13">
        <f t="shared" si="41"/>
        <v>1.0199999999999987E-2</v>
      </c>
      <c r="I65" s="29">
        <f t="shared" si="42"/>
        <v>3.0000000000000001E-3</v>
      </c>
      <c r="J65" s="10">
        <v>7.5</v>
      </c>
      <c r="K65" s="29">
        <f t="shared" si="43"/>
        <v>-2.5999999999999999E-2</v>
      </c>
      <c r="L65">
        <v>20.059999999999999</v>
      </c>
      <c r="M65" s="29">
        <f t="shared" si="44"/>
        <v>3.3999999999999998E-3</v>
      </c>
      <c r="N65">
        <v>87.95</v>
      </c>
      <c r="O65" s="13">
        <f t="shared" si="49"/>
        <v>-8.2000000000000007E-3</v>
      </c>
      <c r="P65">
        <v>245363</v>
      </c>
      <c r="Q65">
        <v>0.73324999999999996</v>
      </c>
      <c r="R65">
        <f t="shared" si="45"/>
        <v>100.73325</v>
      </c>
      <c r="S65" s="13">
        <f t="shared" si="46"/>
        <v>-3.9999999999995595E-4</v>
      </c>
      <c r="T65" s="13">
        <f t="shared" si="47"/>
        <v>4.0000000000000002E-4</v>
      </c>
      <c r="U65" s="30">
        <f t="shared" si="50"/>
        <v>166.35</v>
      </c>
      <c r="V65" s="31">
        <f t="shared" si="48"/>
        <v>165.97</v>
      </c>
    </row>
    <row r="66" spans="1:22" x14ac:dyDescent="0.25">
      <c r="A66" s="5">
        <v>41394</v>
      </c>
      <c r="B66" s="10">
        <v>135904</v>
      </c>
      <c r="C66" s="1">
        <f t="shared" si="37"/>
        <v>192</v>
      </c>
      <c r="D66" s="13">
        <f t="shared" si="38"/>
        <v>9.100000000000108E-3</v>
      </c>
      <c r="E66" s="29">
        <f t="shared" si="39"/>
        <v>2.8E-3</v>
      </c>
      <c r="F66">
        <v>113935.686</v>
      </c>
      <c r="G66" s="1">
        <f t="shared" si="40"/>
        <v>106</v>
      </c>
      <c r="H66" s="13">
        <f t="shared" si="41"/>
        <v>9.5000000000000639E-3</v>
      </c>
      <c r="I66" s="29">
        <f t="shared" si="42"/>
        <v>2.7000000000000001E-3</v>
      </c>
      <c r="J66" s="10">
        <v>7.6</v>
      </c>
      <c r="K66" s="29">
        <f t="shared" si="43"/>
        <v>-2.2499999999999999E-2</v>
      </c>
      <c r="L66">
        <v>20.03</v>
      </c>
      <c r="M66" s="29">
        <f t="shared" si="44"/>
        <v>3.5999999999999999E-3</v>
      </c>
      <c r="N66">
        <v>88.25</v>
      </c>
      <c r="O66" s="13">
        <f t="shared" si="49"/>
        <v>-9.4000000000000004E-3</v>
      </c>
      <c r="P66">
        <v>245175</v>
      </c>
      <c r="Q66">
        <v>0.60518000000000005</v>
      </c>
      <c r="R66">
        <f t="shared" si="45"/>
        <v>100.60518</v>
      </c>
      <c r="S66" s="13">
        <f t="shared" si="46"/>
        <v>-2.0000000000000018E-3</v>
      </c>
      <c r="T66" s="13">
        <f t="shared" si="47"/>
        <v>0</v>
      </c>
      <c r="U66" s="30">
        <f t="shared" si="50"/>
        <v>158.78</v>
      </c>
      <c r="V66" s="31">
        <f t="shared" si="48"/>
        <v>166.63</v>
      </c>
    </row>
    <row r="67" spans="1:22" x14ac:dyDescent="0.25">
      <c r="A67" s="5">
        <v>41364</v>
      </c>
      <c r="B67" s="10">
        <v>135712</v>
      </c>
      <c r="C67" s="1">
        <f t="shared" si="37"/>
        <v>135</v>
      </c>
      <c r="D67" s="13">
        <f t="shared" si="38"/>
        <v>8.599999999999941E-3</v>
      </c>
      <c r="E67" s="29">
        <f t="shared" si="39"/>
        <v>3.0000000000000001E-3</v>
      </c>
      <c r="F67">
        <v>113829.9</v>
      </c>
      <c r="G67" s="1">
        <f t="shared" si="40"/>
        <v>199</v>
      </c>
      <c r="H67" s="13">
        <f t="shared" si="41"/>
        <v>1.089999999999991E-2</v>
      </c>
      <c r="I67" s="29">
        <f t="shared" si="42"/>
        <v>3.5000000000000001E-3</v>
      </c>
      <c r="J67" s="10">
        <v>7.5</v>
      </c>
      <c r="K67" s="29">
        <f t="shared" si="43"/>
        <v>-4.1500000000000002E-2</v>
      </c>
      <c r="L67">
        <v>20.010000000000002</v>
      </c>
      <c r="M67" s="29">
        <f t="shared" si="44"/>
        <v>4.5999999999999999E-3</v>
      </c>
      <c r="N67">
        <v>85.57</v>
      </c>
      <c r="O67" s="13">
        <f t="shared" si="49"/>
        <v>-4.7399999999999998E-2</v>
      </c>
      <c r="P67">
        <v>244995</v>
      </c>
      <c r="Q67">
        <v>0.78290999999999999</v>
      </c>
      <c r="R67">
        <f t="shared" si="45"/>
        <v>100.78291</v>
      </c>
      <c r="S67" s="13">
        <f t="shared" si="46"/>
        <v>1.4000000000000679E-3</v>
      </c>
      <c r="T67" s="13">
        <f t="shared" si="47"/>
        <v>0</v>
      </c>
      <c r="U67" s="30">
        <f t="shared" si="50"/>
        <v>172.77</v>
      </c>
      <c r="V67" s="31">
        <f t="shared" si="48"/>
        <v>166.04</v>
      </c>
    </row>
    <row r="68" spans="1:22" x14ac:dyDescent="0.25">
      <c r="A68" s="5">
        <v>41333</v>
      </c>
      <c r="B68" s="10">
        <v>135577</v>
      </c>
      <c r="C68" s="1">
        <f t="shared" si="37"/>
        <v>311</v>
      </c>
      <c r="D68" s="13">
        <f t="shared" si="38"/>
        <v>8.999999999999897E-3</v>
      </c>
      <c r="E68" s="29">
        <f t="shared" si="39"/>
        <v>3.8E-3</v>
      </c>
      <c r="F68">
        <v>113630.694</v>
      </c>
      <c r="G68" s="1">
        <f t="shared" si="40"/>
        <v>192</v>
      </c>
      <c r="H68" s="13">
        <f t="shared" si="41"/>
        <v>1.0399999999999965E-2</v>
      </c>
      <c r="I68" s="29">
        <f t="shared" si="42"/>
        <v>3.7000000000000002E-3</v>
      </c>
      <c r="J68" s="10">
        <v>7.7</v>
      </c>
      <c r="K68" s="29">
        <f t="shared" si="43"/>
        <v>-1.9099999999999999E-2</v>
      </c>
      <c r="L68">
        <v>19.989999999999998</v>
      </c>
      <c r="M68" s="29">
        <f t="shared" si="44"/>
        <v>6.0000000000000001E-3</v>
      </c>
      <c r="N68">
        <v>90.63</v>
      </c>
      <c r="O68" s="13">
        <f t="shared" si="49"/>
        <v>-5.9999999999999995E-4</v>
      </c>
      <c r="P68">
        <v>244828</v>
      </c>
      <c r="Q68">
        <v>0.50165000000000004</v>
      </c>
      <c r="R68">
        <f t="shared" si="45"/>
        <v>100.50165</v>
      </c>
      <c r="S68" s="13">
        <f t="shared" si="46"/>
        <v>-1.4999999999999458E-3</v>
      </c>
      <c r="T68" s="13">
        <f t="shared" si="47"/>
        <v>-6.9999999999999999E-4</v>
      </c>
      <c r="U68" s="30">
        <f t="shared" si="50"/>
        <v>168.34</v>
      </c>
      <c r="V68" s="31">
        <f t="shared" si="48"/>
        <v>163.5</v>
      </c>
    </row>
    <row r="69" spans="1:22" x14ac:dyDescent="0.25">
      <c r="A69" s="5">
        <v>41305</v>
      </c>
      <c r="B69" s="10">
        <v>135266</v>
      </c>
      <c r="C69" s="1">
        <f t="shared" si="37"/>
        <v>190</v>
      </c>
      <c r="D69" s="13">
        <f t="shared" si="38"/>
        <v>8.0999999999999961E-3</v>
      </c>
      <c r="E69" s="29">
        <f t="shared" si="39"/>
        <v>3.0000000000000001E-3</v>
      </c>
      <c r="F69">
        <v>113439.114</v>
      </c>
      <c r="G69" s="1">
        <f t="shared" si="40"/>
        <v>222</v>
      </c>
      <c r="H69" s="13">
        <f t="shared" si="41"/>
        <v>1.0199999999999987E-2</v>
      </c>
      <c r="I69" s="29">
        <f t="shared" si="42"/>
        <v>3.7000000000000002E-3</v>
      </c>
      <c r="J69" s="10">
        <v>8</v>
      </c>
      <c r="K69" s="29">
        <f t="shared" si="43"/>
        <v>2.5600000000000001E-2</v>
      </c>
      <c r="L69">
        <v>19.940000000000001</v>
      </c>
      <c r="M69" s="29">
        <f t="shared" si="44"/>
        <v>5.7000000000000002E-3</v>
      </c>
      <c r="N69">
        <v>90.33</v>
      </c>
      <c r="O69" s="13">
        <f t="shared" si="49"/>
        <v>-2.0999999999999999E-3</v>
      </c>
      <c r="P69">
        <v>244663</v>
      </c>
      <c r="Q69">
        <v>0.57867000000000002</v>
      </c>
      <c r="R69">
        <f t="shared" si="45"/>
        <v>100.57867</v>
      </c>
      <c r="S69" s="13">
        <f t="shared" si="46"/>
        <v>-1.0000000000000009E-3</v>
      </c>
      <c r="T69" s="13">
        <f t="shared" si="47"/>
        <v>-2.0000000000000001E-4</v>
      </c>
      <c r="U69" s="30">
        <f t="shared" si="50"/>
        <v>157</v>
      </c>
      <c r="V69" s="31">
        <f t="shared" si="48"/>
        <v>160.16</v>
      </c>
    </row>
    <row r="70" spans="1:22" x14ac:dyDescent="0.25">
      <c r="A70" s="5">
        <v>41274</v>
      </c>
      <c r="B70" s="10">
        <v>135076</v>
      </c>
      <c r="C70" s="1">
        <f t="shared" ref="C70:C133" si="51">B70-B71</f>
        <v>243</v>
      </c>
      <c r="D70" s="13">
        <f t="shared" ref="D70:D133" si="52">ROUND(B70/B76,4)-1</f>
        <v>7.7000000000000401E-3</v>
      </c>
      <c r="E70" s="29">
        <f t="shared" ref="E70:E133" si="53">ROUND((B70-AVERAGE(B71:B73))/AVERAGE(B71:B73),4)</f>
        <v>2.8999999999999998E-3</v>
      </c>
      <c r="F70">
        <v>113217.387</v>
      </c>
      <c r="G70" s="1">
        <f t="shared" ref="G70:G133" si="54">ROUND(F70-F71,0)</f>
        <v>225</v>
      </c>
      <c r="H70" s="13">
        <f t="shared" ref="H70:H133" si="55">ROUND(F70/F76,4)-1</f>
        <v>9.7000000000000419E-3</v>
      </c>
      <c r="I70" s="29">
        <f t="shared" ref="I70:I133" si="56">ROUND((F70-AVERAGE(F71:F73))/AVERAGE(F71:F73),4)</f>
        <v>3.5000000000000001E-3</v>
      </c>
      <c r="J70" s="10">
        <v>7.9</v>
      </c>
      <c r="K70" s="29">
        <f t="shared" ref="K70:K133" si="57">ROUND((J70-AVERAGE(J71:J74))/AVERAGE(J71:J74),4)</f>
        <v>6.4000000000000003E-3</v>
      </c>
      <c r="L70">
        <v>19.89</v>
      </c>
      <c r="M70" s="29">
        <f t="shared" ref="M70:M133" si="58">ROUND((L70-AVERAGE(L71:L74))/AVERAGE(L71:L74),4)</f>
        <v>5.1000000000000004E-3</v>
      </c>
      <c r="N70">
        <v>88.02</v>
      </c>
      <c r="O70" s="13">
        <f t="shared" si="49"/>
        <v>-2.41E-2</v>
      </c>
      <c r="P70">
        <v>244350</v>
      </c>
      <c r="Q70">
        <v>0.62211000000000005</v>
      </c>
      <c r="R70">
        <f t="shared" ref="R70:R133" si="59">Q70+100</f>
        <v>100.62211000000001</v>
      </c>
      <c r="S70" s="13">
        <f t="shared" ref="S70:S133" si="60">ROUND(R70/R76,4)-1</f>
        <v>-1.0999999999999899E-3</v>
      </c>
      <c r="T70" s="13">
        <f t="shared" ref="T70:T133" si="61">ROUND((AVERAGE(R70:R73)-AVERAGE(R71:R74))/AVERAGE(R71:R74),4)</f>
        <v>-1E-4</v>
      </c>
      <c r="U70" s="30">
        <f t="shared" si="50"/>
        <v>165.15</v>
      </c>
      <c r="V70" s="31">
        <f t="shared" ref="V70:V133" si="62">ROUND(AVERAGE(U70,U71:U72),2)</f>
        <v>161.47999999999999</v>
      </c>
    </row>
    <row r="71" spans="1:22" x14ac:dyDescent="0.25">
      <c r="A71" s="5">
        <v>41243</v>
      </c>
      <c r="B71" s="10">
        <v>134833</v>
      </c>
      <c r="C71" s="1">
        <f t="shared" si="51"/>
        <v>149</v>
      </c>
      <c r="D71" s="13">
        <f t="shared" si="52"/>
        <v>6.5999999999999392E-3</v>
      </c>
      <c r="E71" s="29">
        <f t="shared" si="53"/>
        <v>2.2000000000000001E-3</v>
      </c>
      <c r="F71">
        <v>112991.909</v>
      </c>
      <c r="G71" s="1">
        <f t="shared" si="54"/>
        <v>130</v>
      </c>
      <c r="H71" s="13">
        <f t="shared" si="55"/>
        <v>8.0000000000000071E-3</v>
      </c>
      <c r="I71" s="29">
        <f t="shared" si="56"/>
        <v>3.0999999999999999E-3</v>
      </c>
      <c r="J71" s="10">
        <v>7.7</v>
      </c>
      <c r="K71" s="29">
        <f t="shared" si="57"/>
        <v>-3.4500000000000003E-2</v>
      </c>
      <c r="L71">
        <v>19.850000000000001</v>
      </c>
      <c r="M71" s="29">
        <f t="shared" si="58"/>
        <v>4.4000000000000003E-3</v>
      </c>
      <c r="N71">
        <v>90.49</v>
      </c>
      <c r="O71" s="13">
        <f t="shared" si="49"/>
        <v>-1.6999999999999999E-3</v>
      </c>
      <c r="P71">
        <v>244174</v>
      </c>
      <c r="Q71">
        <v>0.76988999999999996</v>
      </c>
      <c r="R71">
        <f t="shared" si="59"/>
        <v>100.76989</v>
      </c>
      <c r="S71" s="13">
        <f t="shared" si="60"/>
        <v>-8.0000000000002292E-4</v>
      </c>
      <c r="T71" s="13">
        <f t="shared" si="61"/>
        <v>2.0000000000000001E-4</v>
      </c>
      <c r="U71" s="30">
        <f t="shared" si="50"/>
        <v>158.34</v>
      </c>
      <c r="V71" s="31">
        <f t="shared" si="62"/>
        <v>155.58000000000001</v>
      </c>
    </row>
    <row r="72" spans="1:22" x14ac:dyDescent="0.25">
      <c r="A72" s="5">
        <v>41213</v>
      </c>
      <c r="B72" s="10">
        <v>134684</v>
      </c>
      <c r="C72" s="1">
        <f t="shared" si="51"/>
        <v>132</v>
      </c>
      <c r="D72" s="13">
        <f t="shared" si="52"/>
        <v>6.2999999999999723E-3</v>
      </c>
      <c r="E72" s="29">
        <f t="shared" si="53"/>
        <v>2.3999999999999998E-3</v>
      </c>
      <c r="F72">
        <v>112861.552</v>
      </c>
      <c r="G72" s="1">
        <f t="shared" si="54"/>
        <v>254</v>
      </c>
      <c r="H72" s="13">
        <f t="shared" si="55"/>
        <v>8.1999999999999851E-3</v>
      </c>
      <c r="I72" s="29">
        <f t="shared" si="56"/>
        <v>3.5999999999999999E-3</v>
      </c>
      <c r="J72" s="10">
        <v>7.8</v>
      </c>
      <c r="K72" s="29">
        <f t="shared" si="57"/>
        <v>-3.4099999999999998E-2</v>
      </c>
      <c r="L72">
        <v>19.8</v>
      </c>
      <c r="M72" s="29">
        <f t="shared" si="58"/>
        <v>2.8999999999999998E-3</v>
      </c>
      <c r="N72">
        <v>90.9</v>
      </c>
      <c r="O72" s="13">
        <f t="shared" si="49"/>
        <v>6.4999999999999997E-3</v>
      </c>
      <c r="P72">
        <v>243983</v>
      </c>
      <c r="Q72">
        <v>0.80335999999999996</v>
      </c>
      <c r="R72">
        <f t="shared" si="59"/>
        <v>100.80336</v>
      </c>
      <c r="S72" s="13">
        <f t="shared" si="60"/>
        <v>-3.4999999999999476E-3</v>
      </c>
      <c r="T72" s="13">
        <f t="shared" si="61"/>
        <v>2.0000000000000001E-4</v>
      </c>
      <c r="U72" s="30">
        <f t="shared" si="50"/>
        <v>160.94</v>
      </c>
      <c r="V72" s="31">
        <f t="shared" si="62"/>
        <v>154.63999999999999</v>
      </c>
    </row>
    <row r="73" spans="1:22" x14ac:dyDescent="0.25">
      <c r="A73" s="5">
        <v>41182</v>
      </c>
      <c r="B73" s="10">
        <v>134552</v>
      </c>
      <c r="C73" s="1">
        <f t="shared" si="51"/>
        <v>181</v>
      </c>
      <c r="D73" s="13">
        <f t="shared" si="52"/>
        <v>5.9000000000000163E-3</v>
      </c>
      <c r="E73" s="29">
        <f t="shared" si="53"/>
        <v>2.5999999999999999E-3</v>
      </c>
      <c r="F73">
        <v>112607.556</v>
      </c>
      <c r="G73" s="1">
        <f t="shared" si="54"/>
        <v>141</v>
      </c>
      <c r="H73" s="13">
        <f t="shared" si="55"/>
        <v>7.1000000000001062E-3</v>
      </c>
      <c r="I73" s="29">
        <f t="shared" si="56"/>
        <v>2.8E-3</v>
      </c>
      <c r="J73" s="10">
        <v>7.8</v>
      </c>
      <c r="K73" s="29">
        <f t="shared" si="57"/>
        <v>-4.5900000000000003E-2</v>
      </c>
      <c r="L73">
        <v>19.77</v>
      </c>
      <c r="M73" s="29">
        <f t="shared" si="58"/>
        <v>2.5000000000000001E-3</v>
      </c>
      <c r="N73">
        <v>96.09</v>
      </c>
      <c r="O73" s="13">
        <f t="shared" si="49"/>
        <v>6.6900000000000001E-2</v>
      </c>
      <c r="P73">
        <v>243772</v>
      </c>
      <c r="Q73">
        <v>0.64459</v>
      </c>
      <c r="R73">
        <f t="shared" si="59"/>
        <v>100.64458999999999</v>
      </c>
      <c r="S73" s="13">
        <f t="shared" si="60"/>
        <v>-6.2999999999999723E-3</v>
      </c>
      <c r="T73" s="13">
        <f t="shared" si="61"/>
        <v>-5.0000000000000001E-4</v>
      </c>
      <c r="U73" s="30">
        <f t="shared" si="50"/>
        <v>147.47</v>
      </c>
      <c r="V73" s="31">
        <f t="shared" si="62"/>
        <v>151.25</v>
      </c>
    </row>
    <row r="74" spans="1:22" x14ac:dyDescent="0.25">
      <c r="A74" s="5">
        <v>41152</v>
      </c>
      <c r="B74" s="10">
        <v>134371</v>
      </c>
      <c r="C74" s="1">
        <f t="shared" si="51"/>
        <v>190</v>
      </c>
      <c r="D74" s="13">
        <f t="shared" si="52"/>
        <v>6.3999999999999613E-3</v>
      </c>
      <c r="E74" s="29">
        <f t="shared" si="53"/>
        <v>2.3E-3</v>
      </c>
      <c r="F74">
        <v>112466.557</v>
      </c>
      <c r="G74" s="1">
        <f t="shared" si="54"/>
        <v>173</v>
      </c>
      <c r="H74" s="13">
        <f t="shared" si="55"/>
        <v>8.1999999999999851E-3</v>
      </c>
      <c r="I74" s="29">
        <f t="shared" si="56"/>
        <v>2.5999999999999999E-3</v>
      </c>
      <c r="J74" s="10">
        <v>8.1</v>
      </c>
      <c r="K74" s="29">
        <f t="shared" si="57"/>
        <v>-1.2200000000000001E-2</v>
      </c>
      <c r="L74">
        <v>19.739999999999998</v>
      </c>
      <c r="M74" s="29">
        <f t="shared" si="58"/>
        <v>1.8E-3</v>
      </c>
      <c r="N74">
        <v>88.36</v>
      </c>
      <c r="O74" s="13">
        <f t="shared" ref="O74:O137" si="63">ROUND(((N74+25)-(AVERAGE(N75:N80)+25))/(AVERAGE(N75:N80)+25),4)</f>
        <v>-5.4999999999999997E-3</v>
      </c>
      <c r="P74">
        <v>243566</v>
      </c>
      <c r="Q74">
        <v>0.64958000000000005</v>
      </c>
      <c r="R74">
        <f t="shared" si="59"/>
        <v>100.64958</v>
      </c>
      <c r="S74" s="13">
        <f t="shared" si="60"/>
        <v>-3.9000000000000146E-3</v>
      </c>
      <c r="T74" s="13">
        <f t="shared" si="61"/>
        <v>-1.2999999999999999E-3</v>
      </c>
      <c r="U74" s="30">
        <f t="shared" ref="U74:U137" si="64">IF(ROUND(((C74/12)+(D74*600)+(E74*2500)+(G74/12)+(H74*500)+(I74*2500)-(J74*1.8)-(K74*300)+(M74*800)-(N74/5)-(O74*300)+(Q74*8)+(S74*600)+(T74*600))/2,2)+142&lt;0,0,ROUND(((C74/12)+(D74*600)+(E74*2500)+(G74/12)+(H74*500)+(I74*2500)-(J74*1.8)-(K74*300)+(M74*800)-(N74/5)-(O74*300)+(Q74*8)+(S74*600)+(T74*600))/2,2)+142)</f>
        <v>155.51</v>
      </c>
      <c r="V74" s="31">
        <f t="shared" si="62"/>
        <v>150.4</v>
      </c>
    </row>
    <row r="75" spans="1:22" x14ac:dyDescent="0.25">
      <c r="A75" s="5">
        <v>41121</v>
      </c>
      <c r="B75" s="10">
        <v>134181</v>
      </c>
      <c r="C75" s="1">
        <f t="shared" si="51"/>
        <v>143</v>
      </c>
      <c r="D75" s="13">
        <f t="shared" si="52"/>
        <v>6.8999999999999062E-3</v>
      </c>
      <c r="E75" s="29">
        <f t="shared" si="53"/>
        <v>1.8E-3</v>
      </c>
      <c r="F75">
        <v>112293.13800000001</v>
      </c>
      <c r="G75" s="1">
        <f t="shared" si="54"/>
        <v>163</v>
      </c>
      <c r="H75" s="13">
        <f t="shared" si="55"/>
        <v>9.100000000000108E-3</v>
      </c>
      <c r="I75" s="29">
        <f t="shared" si="56"/>
        <v>2.0999999999999999E-3</v>
      </c>
      <c r="J75" s="10">
        <v>8.1999999999999993</v>
      </c>
      <c r="K75" s="29">
        <f t="shared" si="57"/>
        <v>0</v>
      </c>
      <c r="L75">
        <v>19.739999999999998</v>
      </c>
      <c r="M75" s="29">
        <f t="shared" si="58"/>
        <v>3.0000000000000001E-3</v>
      </c>
      <c r="N75">
        <v>89.56</v>
      </c>
      <c r="O75" s="13">
        <f t="shared" si="63"/>
        <v>1.4E-3</v>
      </c>
      <c r="P75">
        <v>243354</v>
      </c>
      <c r="Q75">
        <v>0.67544000000000004</v>
      </c>
      <c r="R75">
        <f t="shared" si="59"/>
        <v>100.67543999999999</v>
      </c>
      <c r="S75" s="13">
        <f t="shared" si="60"/>
        <v>-3.9999999999995595E-4</v>
      </c>
      <c r="T75" s="13">
        <f t="shared" si="61"/>
        <v>-1.5E-3</v>
      </c>
      <c r="U75" s="30">
        <f t="shared" si="64"/>
        <v>150.76</v>
      </c>
      <c r="V75" s="31">
        <f t="shared" si="62"/>
        <v>150.47999999999999</v>
      </c>
    </row>
    <row r="76" spans="1:22" x14ac:dyDescent="0.25">
      <c r="A76" s="5">
        <v>41090</v>
      </c>
      <c r="B76" s="10">
        <v>134038</v>
      </c>
      <c r="C76" s="1">
        <f t="shared" si="51"/>
        <v>87</v>
      </c>
      <c r="D76" s="13">
        <f t="shared" si="52"/>
        <v>8.3999999999999631E-3</v>
      </c>
      <c r="E76" s="29">
        <f t="shared" si="53"/>
        <v>1.4E-3</v>
      </c>
      <c r="F76">
        <v>112129.94</v>
      </c>
      <c r="G76" s="1">
        <f t="shared" si="54"/>
        <v>40</v>
      </c>
      <c r="H76" s="13">
        <f t="shared" si="55"/>
        <v>9.8000000000000309E-3</v>
      </c>
      <c r="I76" s="29">
        <f t="shared" si="56"/>
        <v>1.6000000000000001E-3</v>
      </c>
      <c r="J76" s="10">
        <v>8.1999999999999993</v>
      </c>
      <c r="K76" s="29">
        <f t="shared" si="57"/>
        <v>-3.0000000000000001E-3</v>
      </c>
      <c r="L76">
        <v>19.72</v>
      </c>
      <c r="M76" s="29">
        <f t="shared" si="58"/>
        <v>3.7000000000000002E-3</v>
      </c>
      <c r="N76">
        <v>89.45</v>
      </c>
      <c r="O76" s="13">
        <f t="shared" si="63"/>
        <v>-1.1000000000000001E-3</v>
      </c>
      <c r="P76">
        <v>243155</v>
      </c>
      <c r="Q76">
        <v>0.73770000000000002</v>
      </c>
      <c r="R76">
        <f t="shared" si="59"/>
        <v>100.7377</v>
      </c>
      <c r="S76" s="13">
        <f t="shared" si="60"/>
        <v>1.5000000000000568E-3</v>
      </c>
      <c r="T76" s="13">
        <f t="shared" si="61"/>
        <v>-8.0000000000000004E-4</v>
      </c>
      <c r="U76" s="30">
        <f t="shared" si="64"/>
        <v>144.94</v>
      </c>
      <c r="V76" s="31">
        <f t="shared" si="62"/>
        <v>155.1</v>
      </c>
    </row>
    <row r="77" spans="1:22" x14ac:dyDescent="0.25">
      <c r="A77" s="5">
        <v>41060</v>
      </c>
      <c r="B77" s="10">
        <v>133951</v>
      </c>
      <c r="C77" s="1">
        <f t="shared" si="51"/>
        <v>115</v>
      </c>
      <c r="D77" s="13">
        <f t="shared" si="52"/>
        <v>9.300000000000086E-3</v>
      </c>
      <c r="E77" s="29">
        <f t="shared" si="53"/>
        <v>1.8E-3</v>
      </c>
      <c r="F77">
        <v>112090.37699999999</v>
      </c>
      <c r="G77" s="1">
        <f t="shared" si="54"/>
        <v>148</v>
      </c>
      <c r="H77" s="13">
        <f t="shared" si="55"/>
        <v>1.1600000000000055E-2</v>
      </c>
      <c r="I77" s="29">
        <f t="shared" si="56"/>
        <v>2.8999999999999998E-3</v>
      </c>
      <c r="J77" s="10">
        <v>8.1999999999999993</v>
      </c>
      <c r="K77" s="29">
        <f t="shared" si="57"/>
        <v>-6.1000000000000004E-3</v>
      </c>
      <c r="L77">
        <v>19.68</v>
      </c>
      <c r="M77" s="29">
        <f t="shared" si="58"/>
        <v>3.0999999999999999E-3</v>
      </c>
      <c r="N77">
        <v>89.77</v>
      </c>
      <c r="O77" s="13">
        <f t="shared" si="63"/>
        <v>-3.8999999999999998E-3</v>
      </c>
      <c r="P77">
        <v>242966</v>
      </c>
      <c r="Q77">
        <v>0.84962000000000004</v>
      </c>
      <c r="R77">
        <f t="shared" si="59"/>
        <v>100.84962</v>
      </c>
      <c r="S77" s="13">
        <f t="shared" si="60"/>
        <v>4.4999999999999485E-3</v>
      </c>
      <c r="T77" s="13">
        <f t="shared" si="61"/>
        <v>2.9999999999999997E-4</v>
      </c>
      <c r="U77" s="30">
        <f t="shared" si="64"/>
        <v>155.74</v>
      </c>
      <c r="V77" s="31">
        <f t="shared" si="62"/>
        <v>169.59</v>
      </c>
    </row>
    <row r="78" spans="1:22" x14ac:dyDescent="0.25">
      <c r="A78" s="5">
        <v>41029</v>
      </c>
      <c r="B78" s="10">
        <v>133836</v>
      </c>
      <c r="C78" s="1">
        <f t="shared" si="51"/>
        <v>75</v>
      </c>
      <c r="D78" s="13">
        <f t="shared" si="52"/>
        <v>9.5000000000000639E-3</v>
      </c>
      <c r="E78" s="29">
        <f t="shared" si="53"/>
        <v>2.3999999999999998E-3</v>
      </c>
      <c r="F78">
        <v>111942.13</v>
      </c>
      <c r="G78" s="1">
        <f t="shared" si="54"/>
        <v>128</v>
      </c>
      <c r="H78" s="13">
        <f t="shared" si="55"/>
        <v>1.1700000000000044E-2</v>
      </c>
      <c r="I78" s="29">
        <f t="shared" si="56"/>
        <v>3.5000000000000001E-3</v>
      </c>
      <c r="J78" s="10">
        <v>8.1999999999999993</v>
      </c>
      <c r="K78" s="29">
        <f t="shared" si="57"/>
        <v>-1.4999999999999999E-2</v>
      </c>
      <c r="L78">
        <v>19.68</v>
      </c>
      <c r="M78" s="29">
        <f t="shared" si="58"/>
        <v>4.3E-3</v>
      </c>
      <c r="N78">
        <v>87.69</v>
      </c>
      <c r="O78" s="13">
        <f t="shared" si="63"/>
        <v>-3.3500000000000002E-2</v>
      </c>
      <c r="P78">
        <v>242784</v>
      </c>
      <c r="Q78">
        <v>1.15984</v>
      </c>
      <c r="R78">
        <f t="shared" si="59"/>
        <v>101.15984</v>
      </c>
      <c r="S78" s="13">
        <f t="shared" si="60"/>
        <v>1.0399999999999965E-2</v>
      </c>
      <c r="T78" s="13">
        <f t="shared" si="61"/>
        <v>1.4E-3</v>
      </c>
      <c r="U78" s="30">
        <f t="shared" si="64"/>
        <v>164.63</v>
      </c>
      <c r="V78" s="31">
        <f t="shared" si="62"/>
        <v>178.23</v>
      </c>
    </row>
    <row r="79" spans="1:22" x14ac:dyDescent="0.25">
      <c r="A79" s="5">
        <v>40999</v>
      </c>
      <c r="B79" s="10">
        <v>133761</v>
      </c>
      <c r="C79" s="1">
        <f t="shared" si="51"/>
        <v>239</v>
      </c>
      <c r="D79" s="13">
        <f t="shared" si="52"/>
        <v>1.0499999999999954E-2</v>
      </c>
      <c r="E79" s="29">
        <f t="shared" si="53"/>
        <v>3.8999999999999998E-3</v>
      </c>
      <c r="F79">
        <v>111814.6</v>
      </c>
      <c r="G79" s="1">
        <f t="shared" si="54"/>
        <v>257</v>
      </c>
      <c r="H79" s="13">
        <f t="shared" si="55"/>
        <v>1.2000000000000011E-2</v>
      </c>
      <c r="I79" s="29">
        <f t="shared" si="56"/>
        <v>4.7000000000000002E-3</v>
      </c>
      <c r="J79" s="10">
        <v>8.1999999999999993</v>
      </c>
      <c r="K79" s="29">
        <f t="shared" si="57"/>
        <v>-2.6700000000000002E-2</v>
      </c>
      <c r="L79">
        <v>19.64</v>
      </c>
      <c r="M79" s="29">
        <f t="shared" si="58"/>
        <v>3.2000000000000002E-3</v>
      </c>
      <c r="N79">
        <v>86.16</v>
      </c>
      <c r="O79" s="13">
        <f t="shared" si="63"/>
        <v>-6.7199999999999996E-2</v>
      </c>
      <c r="P79">
        <v>242604</v>
      </c>
      <c r="Q79">
        <v>1.2818700000000001</v>
      </c>
      <c r="R79">
        <f t="shared" si="59"/>
        <v>101.28187</v>
      </c>
      <c r="S79" s="13">
        <f t="shared" si="60"/>
        <v>1.2299999999999978E-2</v>
      </c>
      <c r="T79" s="13">
        <f t="shared" si="61"/>
        <v>2.2000000000000001E-3</v>
      </c>
      <c r="U79" s="30">
        <f t="shared" si="64"/>
        <v>188.41</v>
      </c>
      <c r="V79" s="31">
        <f t="shared" si="62"/>
        <v>183.27</v>
      </c>
    </row>
    <row r="80" spans="1:22" x14ac:dyDescent="0.25">
      <c r="A80" s="5">
        <v>40968</v>
      </c>
      <c r="B80" s="10">
        <v>133522</v>
      </c>
      <c r="C80" s="1">
        <f t="shared" si="51"/>
        <v>257</v>
      </c>
      <c r="D80" s="13">
        <f t="shared" si="52"/>
        <v>1.0599999999999943E-2</v>
      </c>
      <c r="E80" s="29">
        <f t="shared" si="53"/>
        <v>4.1000000000000003E-3</v>
      </c>
      <c r="F80">
        <v>111557.18399999999</v>
      </c>
      <c r="G80" s="1">
        <f t="shared" si="54"/>
        <v>278</v>
      </c>
      <c r="H80" s="13">
        <f t="shared" si="55"/>
        <v>1.1500000000000066E-2</v>
      </c>
      <c r="I80" s="29">
        <f t="shared" si="56"/>
        <v>4.7000000000000002E-3</v>
      </c>
      <c r="J80" s="10">
        <v>8.3000000000000007</v>
      </c>
      <c r="K80" s="29">
        <f t="shared" si="57"/>
        <v>-2.92E-2</v>
      </c>
      <c r="L80">
        <v>19.59</v>
      </c>
      <c r="M80" s="29">
        <f t="shared" si="58"/>
        <v>1.1000000000000001E-3</v>
      </c>
      <c r="N80">
        <v>91.29</v>
      </c>
      <c r="O80" s="13">
        <f t="shared" si="63"/>
        <v>-3.2399999999999998E-2</v>
      </c>
      <c r="P80">
        <v>242435</v>
      </c>
      <c r="Q80">
        <v>1.0452999999999999</v>
      </c>
      <c r="R80">
        <f t="shared" si="59"/>
        <v>101.0453</v>
      </c>
      <c r="S80" s="13">
        <f t="shared" si="60"/>
        <v>7.8000000000000291E-3</v>
      </c>
      <c r="T80" s="13">
        <f t="shared" si="61"/>
        <v>2.3E-3</v>
      </c>
      <c r="U80" s="30">
        <f t="shared" si="64"/>
        <v>181.64</v>
      </c>
      <c r="V80" s="31">
        <f t="shared" si="62"/>
        <v>177.61</v>
      </c>
    </row>
    <row r="81" spans="1:22" x14ac:dyDescent="0.25">
      <c r="A81" s="5">
        <v>40939</v>
      </c>
      <c r="B81" s="10">
        <v>133265</v>
      </c>
      <c r="C81" s="1">
        <f t="shared" si="51"/>
        <v>338</v>
      </c>
      <c r="D81" s="13">
        <f t="shared" si="52"/>
        <v>9.400000000000075E-3</v>
      </c>
      <c r="E81" s="29">
        <f t="shared" si="53"/>
        <v>4.0000000000000001E-3</v>
      </c>
      <c r="F81">
        <v>111278.836</v>
      </c>
      <c r="G81" s="1">
        <f t="shared" si="54"/>
        <v>239</v>
      </c>
      <c r="H81" s="13">
        <f t="shared" si="55"/>
        <v>1.089999999999991E-2</v>
      </c>
      <c r="I81" s="29">
        <f t="shared" si="56"/>
        <v>4.1000000000000003E-3</v>
      </c>
      <c r="J81" s="10">
        <v>8.3000000000000007</v>
      </c>
      <c r="K81" s="29">
        <f t="shared" si="57"/>
        <v>-4.87E-2</v>
      </c>
      <c r="L81">
        <v>19.57</v>
      </c>
      <c r="M81" s="29">
        <f t="shared" si="58"/>
        <v>1E-3</v>
      </c>
      <c r="N81">
        <v>92.03</v>
      </c>
      <c r="O81" s="13">
        <f t="shared" si="63"/>
        <v>-2.58E-2</v>
      </c>
      <c r="P81">
        <v>242269</v>
      </c>
      <c r="Q81">
        <v>0.71445999999999998</v>
      </c>
      <c r="R81">
        <f t="shared" si="59"/>
        <v>100.71446</v>
      </c>
      <c r="S81" s="13">
        <f t="shared" si="60"/>
        <v>-6.0000000000004494E-4</v>
      </c>
      <c r="T81" s="13">
        <f t="shared" si="61"/>
        <v>1.6000000000000001E-3</v>
      </c>
      <c r="U81" s="30">
        <f t="shared" si="64"/>
        <v>179.77</v>
      </c>
      <c r="V81" s="31">
        <f t="shared" si="62"/>
        <v>170.05</v>
      </c>
    </row>
    <row r="82" spans="1:22" x14ac:dyDescent="0.25">
      <c r="A82" s="5">
        <v>40908</v>
      </c>
      <c r="B82" s="10">
        <v>132927</v>
      </c>
      <c r="C82" s="1">
        <f t="shared" si="51"/>
        <v>207</v>
      </c>
      <c r="D82" s="13">
        <f t="shared" si="52"/>
        <v>7.4000000000000732E-3</v>
      </c>
      <c r="E82" s="29">
        <f t="shared" si="53"/>
        <v>2.8E-3</v>
      </c>
      <c r="F82">
        <v>111039.47199999999</v>
      </c>
      <c r="G82" s="1">
        <f t="shared" si="54"/>
        <v>235</v>
      </c>
      <c r="H82" s="13">
        <f t="shared" si="55"/>
        <v>1.0399999999999965E-2</v>
      </c>
      <c r="I82" s="29">
        <f t="shared" si="56"/>
        <v>3.5000000000000001E-3</v>
      </c>
      <c r="J82" s="10">
        <v>8.5</v>
      </c>
      <c r="K82" s="29">
        <f t="shared" si="57"/>
        <v>-3.95E-2</v>
      </c>
      <c r="L82">
        <v>19.579999999999998</v>
      </c>
      <c r="M82" s="29">
        <f t="shared" si="58"/>
        <v>2.8E-3</v>
      </c>
      <c r="N82">
        <v>90.55</v>
      </c>
      <c r="O82" s="13">
        <f t="shared" si="63"/>
        <v>-4.19E-2</v>
      </c>
      <c r="P82">
        <v>240584</v>
      </c>
      <c r="Q82">
        <v>0.58301999999999998</v>
      </c>
      <c r="R82">
        <f t="shared" si="59"/>
        <v>100.58302</v>
      </c>
      <c r="S82" s="13">
        <f t="shared" si="60"/>
        <v>-3.0000000000000027E-3</v>
      </c>
      <c r="T82" s="13">
        <f t="shared" si="61"/>
        <v>8.0000000000000004E-4</v>
      </c>
      <c r="U82" s="30">
        <f t="shared" si="64"/>
        <v>171.41</v>
      </c>
      <c r="V82" s="31">
        <f t="shared" si="62"/>
        <v>161.71</v>
      </c>
    </row>
    <row r="83" spans="1:22" x14ac:dyDescent="0.25">
      <c r="A83" s="5">
        <v>40877</v>
      </c>
      <c r="B83" s="10">
        <v>132720</v>
      </c>
      <c r="C83" s="1">
        <f t="shared" si="51"/>
        <v>146</v>
      </c>
      <c r="D83" s="13">
        <f t="shared" si="52"/>
        <v>7.6000000000000512E-3</v>
      </c>
      <c r="E83" s="29">
        <f t="shared" si="53"/>
        <v>2.7000000000000001E-3</v>
      </c>
      <c r="F83">
        <v>110804.01</v>
      </c>
      <c r="G83" s="1">
        <f t="shared" si="54"/>
        <v>159</v>
      </c>
      <c r="H83" s="13">
        <f t="shared" si="55"/>
        <v>1.0399999999999965E-2</v>
      </c>
      <c r="I83" s="29">
        <f t="shared" si="56"/>
        <v>3.0000000000000001E-3</v>
      </c>
      <c r="J83" s="10">
        <v>8.6</v>
      </c>
      <c r="K83" s="29">
        <f t="shared" si="57"/>
        <v>-3.9100000000000003E-2</v>
      </c>
      <c r="L83">
        <v>19.57</v>
      </c>
      <c r="M83" s="29">
        <f t="shared" si="58"/>
        <v>3.5000000000000001E-3</v>
      </c>
      <c r="N83">
        <v>93.61</v>
      </c>
      <c r="O83" s="13">
        <f t="shared" si="63"/>
        <v>-1.8499999999999999E-2</v>
      </c>
      <c r="P83">
        <v>240441</v>
      </c>
      <c r="Q83">
        <v>0.40272000000000002</v>
      </c>
      <c r="R83">
        <f t="shared" si="59"/>
        <v>100.40272</v>
      </c>
      <c r="S83" s="13">
        <f t="shared" si="60"/>
        <v>-6.7000000000000393E-3</v>
      </c>
      <c r="T83" s="13">
        <f t="shared" si="61"/>
        <v>-8.9999999999999998E-4</v>
      </c>
      <c r="U83" s="30">
        <f t="shared" si="64"/>
        <v>158.97999999999999</v>
      </c>
      <c r="V83" s="31">
        <f t="shared" si="62"/>
        <v>153.11000000000001</v>
      </c>
    </row>
    <row r="84" spans="1:22" x14ac:dyDescent="0.25">
      <c r="A84" s="5">
        <v>40847</v>
      </c>
      <c r="B84" s="10">
        <v>132574</v>
      </c>
      <c r="C84" s="1">
        <f t="shared" si="51"/>
        <v>202</v>
      </c>
      <c r="D84" s="13">
        <f t="shared" si="52"/>
        <v>7.1000000000001062E-3</v>
      </c>
      <c r="E84" s="29">
        <f t="shared" si="53"/>
        <v>3.0000000000000001E-3</v>
      </c>
      <c r="F84">
        <v>110645.21799999999</v>
      </c>
      <c r="G84" s="1">
        <f t="shared" si="54"/>
        <v>152</v>
      </c>
      <c r="H84" s="13">
        <f t="shared" si="55"/>
        <v>1.089999999999991E-2</v>
      </c>
      <c r="I84" s="29">
        <f t="shared" si="56"/>
        <v>3.2000000000000002E-3</v>
      </c>
      <c r="J84" s="10">
        <v>8.8000000000000007</v>
      </c>
      <c r="K84" s="29">
        <f t="shared" si="57"/>
        <v>-2.4899999999999999E-2</v>
      </c>
      <c r="L84">
        <v>19.55</v>
      </c>
      <c r="M84" s="29">
        <f t="shared" si="58"/>
        <v>4.1000000000000003E-3</v>
      </c>
      <c r="N84">
        <v>95.93</v>
      </c>
      <c r="O84" s="13">
        <f t="shared" si="63"/>
        <v>8.0000000000000004E-4</v>
      </c>
      <c r="P84">
        <v>240269</v>
      </c>
      <c r="Q84">
        <v>0.11667</v>
      </c>
      <c r="R84">
        <f t="shared" si="59"/>
        <v>100.11667</v>
      </c>
      <c r="S84" s="13">
        <f t="shared" si="60"/>
        <v>-7.4999999999999512E-3</v>
      </c>
      <c r="T84" s="13">
        <f t="shared" si="61"/>
        <v>-1.9E-3</v>
      </c>
      <c r="U84" s="30">
        <f t="shared" si="64"/>
        <v>154.74</v>
      </c>
      <c r="V84" s="31">
        <f t="shared" si="62"/>
        <v>149.29</v>
      </c>
    </row>
    <row r="85" spans="1:22" x14ac:dyDescent="0.25">
      <c r="A85" s="5">
        <v>40816</v>
      </c>
      <c r="B85" s="10">
        <v>132372</v>
      </c>
      <c r="C85" s="1">
        <f t="shared" si="51"/>
        <v>246</v>
      </c>
      <c r="D85" s="13">
        <f t="shared" si="52"/>
        <v>8.1999999999999851E-3</v>
      </c>
      <c r="E85" s="29">
        <f t="shared" si="53"/>
        <v>2.5999999999999999E-3</v>
      </c>
      <c r="F85">
        <v>110492.855</v>
      </c>
      <c r="G85" s="1">
        <f t="shared" si="54"/>
        <v>203</v>
      </c>
      <c r="H85" s="13">
        <f t="shared" si="55"/>
        <v>1.2699999999999934E-2</v>
      </c>
      <c r="I85" s="29">
        <f t="shared" si="56"/>
        <v>3.7000000000000002E-3</v>
      </c>
      <c r="J85" s="10">
        <v>9</v>
      </c>
      <c r="K85" s="29">
        <f t="shared" si="57"/>
        <v>-2.8E-3</v>
      </c>
      <c r="L85">
        <v>19.5</v>
      </c>
      <c r="M85" s="29">
        <f t="shared" si="58"/>
        <v>2.8E-3</v>
      </c>
      <c r="N85">
        <v>101.57</v>
      </c>
      <c r="O85" s="13">
        <f t="shared" si="63"/>
        <v>5.5800000000000002E-2</v>
      </c>
      <c r="P85">
        <v>240071</v>
      </c>
      <c r="Q85">
        <v>5.2650000000000002E-2</v>
      </c>
      <c r="R85">
        <f t="shared" si="59"/>
        <v>100.05265</v>
      </c>
      <c r="S85" s="13">
        <f t="shared" si="60"/>
        <v>-9.8000000000000309E-3</v>
      </c>
      <c r="T85" s="13">
        <f t="shared" si="61"/>
        <v>-2.5999999999999999E-3</v>
      </c>
      <c r="U85" s="30">
        <f t="shared" si="64"/>
        <v>145.62</v>
      </c>
      <c r="V85" s="31">
        <f t="shared" si="62"/>
        <v>150.22</v>
      </c>
    </row>
    <row r="86" spans="1:22" x14ac:dyDescent="0.25">
      <c r="A86" s="5">
        <v>40786</v>
      </c>
      <c r="B86" s="10">
        <v>132126</v>
      </c>
      <c r="C86" s="1">
        <f t="shared" si="51"/>
        <v>107</v>
      </c>
      <c r="D86" s="13">
        <f t="shared" si="52"/>
        <v>8.0999999999999961E-3</v>
      </c>
      <c r="E86" s="29">
        <f t="shared" si="53"/>
        <v>1.8E-3</v>
      </c>
      <c r="F86">
        <v>110289.719</v>
      </c>
      <c r="G86" s="1">
        <f t="shared" si="54"/>
        <v>209</v>
      </c>
      <c r="H86" s="13">
        <f t="shared" si="55"/>
        <v>1.2899999999999912E-2</v>
      </c>
      <c r="I86" s="29">
        <f t="shared" si="56"/>
        <v>3.7000000000000002E-3</v>
      </c>
      <c r="J86" s="10">
        <v>9</v>
      </c>
      <c r="K86" s="29">
        <f t="shared" si="57"/>
        <v>-5.4999999999999997E-3</v>
      </c>
      <c r="L86">
        <v>19.48</v>
      </c>
      <c r="M86" s="29">
        <f t="shared" si="58"/>
        <v>3.3E-3</v>
      </c>
      <c r="N86">
        <v>97.38</v>
      </c>
      <c r="O86" s="13">
        <f t="shared" si="63"/>
        <v>2.5999999999999999E-2</v>
      </c>
      <c r="P86">
        <v>239871</v>
      </c>
      <c r="Q86">
        <v>0.26407000000000003</v>
      </c>
      <c r="R86">
        <f t="shared" si="59"/>
        <v>100.26407</v>
      </c>
      <c r="S86" s="13">
        <f t="shared" si="60"/>
        <v>-4.0000000000000036E-3</v>
      </c>
      <c r="T86" s="13">
        <f t="shared" si="61"/>
        <v>-1.5E-3</v>
      </c>
      <c r="U86" s="30">
        <f t="shared" si="64"/>
        <v>147.51</v>
      </c>
      <c r="V86" s="31">
        <f t="shared" si="62"/>
        <v>157.1</v>
      </c>
    </row>
    <row r="87" spans="1:22" x14ac:dyDescent="0.25">
      <c r="A87" s="5">
        <v>40755</v>
      </c>
      <c r="B87" s="10">
        <v>132019</v>
      </c>
      <c r="C87" s="1">
        <f t="shared" si="51"/>
        <v>70</v>
      </c>
      <c r="D87" s="13">
        <f t="shared" si="52"/>
        <v>8.69999999999993E-3</v>
      </c>
      <c r="E87" s="29">
        <f t="shared" si="53"/>
        <v>1.9E-3</v>
      </c>
      <c r="F87">
        <v>110080.37300000001</v>
      </c>
      <c r="G87" s="1">
        <f t="shared" si="54"/>
        <v>188</v>
      </c>
      <c r="H87" s="13">
        <f t="shared" si="55"/>
        <v>1.2699999999999934E-2</v>
      </c>
      <c r="I87" s="29">
        <f t="shared" si="56"/>
        <v>3.8E-3</v>
      </c>
      <c r="J87" s="10">
        <v>9</v>
      </c>
      <c r="K87" s="29">
        <f t="shared" si="57"/>
        <v>-5.4999999999999997E-3</v>
      </c>
      <c r="L87">
        <v>19.48</v>
      </c>
      <c r="M87" s="29">
        <f t="shared" si="58"/>
        <v>5.4999999999999997E-3</v>
      </c>
      <c r="N87">
        <v>91.77</v>
      </c>
      <c r="O87" s="13">
        <f t="shared" si="63"/>
        <v>-2.3900000000000001E-2</v>
      </c>
      <c r="P87">
        <v>239671</v>
      </c>
      <c r="Q87">
        <v>0.7742</v>
      </c>
      <c r="R87">
        <f t="shared" si="59"/>
        <v>100.77419999999999</v>
      </c>
      <c r="S87" s="13">
        <f t="shared" si="60"/>
        <v>-1.1999999999999789E-3</v>
      </c>
      <c r="T87" s="13">
        <f t="shared" si="61"/>
        <v>-6.9999999999999999E-4</v>
      </c>
      <c r="U87" s="30">
        <f t="shared" si="64"/>
        <v>157.52000000000001</v>
      </c>
      <c r="V87" s="31">
        <f t="shared" si="62"/>
        <v>161.41</v>
      </c>
    </row>
    <row r="88" spans="1:22" x14ac:dyDescent="0.25">
      <c r="A88" s="5">
        <v>40724</v>
      </c>
      <c r="B88" s="10">
        <v>131949</v>
      </c>
      <c r="C88" s="1">
        <f t="shared" si="51"/>
        <v>235</v>
      </c>
      <c r="D88" s="13">
        <f t="shared" si="52"/>
        <v>8.499999999999952E-3</v>
      </c>
      <c r="E88" s="29">
        <f t="shared" si="53"/>
        <v>3.0000000000000001E-3</v>
      </c>
      <c r="F88">
        <v>109892.743</v>
      </c>
      <c r="G88" s="1">
        <f t="shared" si="54"/>
        <v>233</v>
      </c>
      <c r="H88" s="13">
        <f t="shared" si="55"/>
        <v>1.21E-2</v>
      </c>
      <c r="I88" s="29">
        <f t="shared" si="56"/>
        <v>4.4999999999999997E-3</v>
      </c>
      <c r="J88" s="10">
        <v>9.1</v>
      </c>
      <c r="K88" s="29">
        <f t="shared" si="57"/>
        <v>8.3000000000000001E-3</v>
      </c>
      <c r="L88">
        <v>19.420000000000002</v>
      </c>
      <c r="M88" s="29">
        <f t="shared" si="58"/>
        <v>3.8999999999999998E-3</v>
      </c>
      <c r="N88">
        <v>93.38</v>
      </c>
      <c r="O88" s="13">
        <f t="shared" si="63"/>
        <v>-1.8100000000000002E-2</v>
      </c>
      <c r="P88">
        <v>239489</v>
      </c>
      <c r="Q88">
        <v>0.88627</v>
      </c>
      <c r="R88">
        <f t="shared" si="59"/>
        <v>100.88627</v>
      </c>
      <c r="S88" s="13">
        <f t="shared" si="60"/>
        <v>2.0999999999999908E-3</v>
      </c>
      <c r="T88" s="13">
        <f t="shared" si="61"/>
        <v>5.0000000000000001E-4</v>
      </c>
      <c r="U88" s="30">
        <f t="shared" si="64"/>
        <v>166.28</v>
      </c>
      <c r="V88" s="31">
        <f t="shared" si="62"/>
        <v>167.91</v>
      </c>
    </row>
    <row r="89" spans="1:22" x14ac:dyDescent="0.25">
      <c r="A89" s="5">
        <v>40694</v>
      </c>
      <c r="B89" s="10">
        <v>131714</v>
      </c>
      <c r="C89" s="1">
        <f t="shared" si="51"/>
        <v>73</v>
      </c>
      <c r="D89" s="13">
        <f t="shared" si="52"/>
        <v>7.4000000000000732E-3</v>
      </c>
      <c r="E89" s="29">
        <f t="shared" si="53"/>
        <v>2.8999999999999998E-3</v>
      </c>
      <c r="F89">
        <v>109659.977</v>
      </c>
      <c r="G89" s="1">
        <f t="shared" si="54"/>
        <v>209</v>
      </c>
      <c r="H89" s="13">
        <f t="shared" si="55"/>
        <v>1.0799999999999921E-2</v>
      </c>
      <c r="I89" s="29">
        <f t="shared" si="56"/>
        <v>4.7000000000000002E-3</v>
      </c>
      <c r="J89" s="10">
        <v>9</v>
      </c>
      <c r="K89" s="29">
        <f t="shared" si="57"/>
        <v>-5.4999999999999997E-3</v>
      </c>
      <c r="L89">
        <v>19.399999999999999</v>
      </c>
      <c r="M89" s="29">
        <f t="shared" si="58"/>
        <v>4.1000000000000003E-3</v>
      </c>
      <c r="N89">
        <v>95.04</v>
      </c>
      <c r="O89" s="13">
        <f t="shared" si="63"/>
        <v>-8.8000000000000005E-3</v>
      </c>
      <c r="P89">
        <v>239313</v>
      </c>
      <c r="Q89">
        <v>1.08385</v>
      </c>
      <c r="R89">
        <f t="shared" si="59"/>
        <v>101.08385</v>
      </c>
      <c r="S89" s="13">
        <f t="shared" si="60"/>
        <v>5.3000000000000824E-3</v>
      </c>
      <c r="T89" s="13">
        <f t="shared" si="61"/>
        <v>5.0000000000000001E-4</v>
      </c>
      <c r="U89" s="30">
        <f t="shared" si="64"/>
        <v>160.43</v>
      </c>
      <c r="V89" s="31">
        <f t="shared" si="62"/>
        <v>168.82</v>
      </c>
    </row>
    <row r="90" spans="1:22" x14ac:dyDescent="0.25">
      <c r="A90" s="5">
        <v>40663</v>
      </c>
      <c r="B90" s="10">
        <v>131641</v>
      </c>
      <c r="C90" s="1">
        <f t="shared" si="51"/>
        <v>346</v>
      </c>
      <c r="D90" s="13">
        <f t="shared" si="52"/>
        <v>7.7000000000000401E-3</v>
      </c>
      <c r="E90" s="29">
        <f t="shared" si="53"/>
        <v>4.3E-3</v>
      </c>
      <c r="F90">
        <v>109451.41</v>
      </c>
      <c r="G90" s="1">
        <f t="shared" si="54"/>
        <v>348</v>
      </c>
      <c r="H90" s="13">
        <f t="shared" si="55"/>
        <v>1.0199999999999987E-2</v>
      </c>
      <c r="I90" s="29">
        <f t="shared" si="56"/>
        <v>5.1000000000000004E-3</v>
      </c>
      <c r="J90" s="10">
        <v>9.1</v>
      </c>
      <c r="K90" s="29">
        <f t="shared" si="57"/>
        <v>0</v>
      </c>
      <c r="L90">
        <v>19.36</v>
      </c>
      <c r="M90" s="29">
        <f t="shared" si="58"/>
        <v>3.8999999999999998E-3</v>
      </c>
      <c r="N90">
        <v>95.88</v>
      </c>
      <c r="O90" s="13">
        <f t="shared" si="63"/>
        <v>-4.7000000000000002E-3</v>
      </c>
      <c r="P90">
        <v>239146</v>
      </c>
      <c r="Q90">
        <v>0.86851</v>
      </c>
      <c r="R90">
        <f t="shared" si="59"/>
        <v>100.86851</v>
      </c>
      <c r="S90" s="13">
        <f t="shared" si="60"/>
        <v>4.5999999999999375E-3</v>
      </c>
      <c r="T90" s="13">
        <f t="shared" si="61"/>
        <v>5.0000000000000001E-4</v>
      </c>
      <c r="U90" s="30">
        <f t="shared" si="64"/>
        <v>177.02</v>
      </c>
      <c r="V90" s="31">
        <f t="shared" si="62"/>
        <v>170.86</v>
      </c>
    </row>
    <row r="91" spans="1:22" x14ac:dyDescent="0.25">
      <c r="A91" s="5">
        <v>40633</v>
      </c>
      <c r="B91" s="10">
        <v>131295</v>
      </c>
      <c r="C91" s="1">
        <f t="shared" si="51"/>
        <v>225</v>
      </c>
      <c r="D91" s="13">
        <f t="shared" si="52"/>
        <v>7.1000000000001062E-3</v>
      </c>
      <c r="E91" s="29">
        <f t="shared" si="53"/>
        <v>2.8E-3</v>
      </c>
      <c r="F91">
        <v>109103.3</v>
      </c>
      <c r="G91" s="1">
        <f t="shared" si="54"/>
        <v>215</v>
      </c>
      <c r="H91" s="13">
        <f t="shared" si="55"/>
        <v>8.499999999999952E-3</v>
      </c>
      <c r="I91" s="29">
        <f t="shared" si="56"/>
        <v>3.5000000000000001E-3</v>
      </c>
      <c r="J91" s="10">
        <v>9</v>
      </c>
      <c r="K91" s="29">
        <f t="shared" si="57"/>
        <v>-3.2300000000000002E-2</v>
      </c>
      <c r="L91">
        <v>19.309999999999999</v>
      </c>
      <c r="M91" s="29">
        <f t="shared" si="58"/>
        <v>2.5000000000000001E-3</v>
      </c>
      <c r="N91">
        <v>95.8</v>
      </c>
      <c r="O91" s="13">
        <f t="shared" si="63"/>
        <v>-1.44E-2</v>
      </c>
      <c r="P91">
        <v>239000</v>
      </c>
      <c r="Q91">
        <v>1.0424500000000001</v>
      </c>
      <c r="R91">
        <f t="shared" si="59"/>
        <v>101.04245</v>
      </c>
      <c r="S91" s="13">
        <f t="shared" si="60"/>
        <v>5.6000000000000494E-3</v>
      </c>
      <c r="T91" s="13">
        <f t="shared" si="61"/>
        <v>1.1999999999999999E-3</v>
      </c>
      <c r="U91" s="30">
        <f t="shared" si="64"/>
        <v>169</v>
      </c>
      <c r="V91" s="31">
        <f t="shared" si="62"/>
        <v>164.15</v>
      </c>
    </row>
    <row r="92" spans="1:22" x14ac:dyDescent="0.25">
      <c r="A92" s="5">
        <v>40602</v>
      </c>
      <c r="B92" s="10">
        <v>131070</v>
      </c>
      <c r="C92" s="1">
        <f t="shared" si="51"/>
        <v>188</v>
      </c>
      <c r="D92" s="13">
        <f t="shared" si="52"/>
        <v>4.9999999999998934E-3</v>
      </c>
      <c r="E92" s="29">
        <f t="shared" si="53"/>
        <v>1.9E-3</v>
      </c>
      <c r="F92">
        <v>108888.755</v>
      </c>
      <c r="G92" s="1">
        <f t="shared" si="54"/>
        <v>191</v>
      </c>
      <c r="H92" s="13">
        <f t="shared" si="55"/>
        <v>7.8000000000000291E-3</v>
      </c>
      <c r="I92" s="29">
        <f t="shared" si="56"/>
        <v>2.8E-3</v>
      </c>
      <c r="J92" s="10">
        <v>9</v>
      </c>
      <c r="K92" s="29">
        <f t="shared" si="57"/>
        <v>-4.2599999999999999E-2</v>
      </c>
      <c r="L92">
        <v>19.309999999999999</v>
      </c>
      <c r="M92" s="29">
        <f t="shared" si="58"/>
        <v>3.5999999999999999E-3</v>
      </c>
      <c r="N92">
        <v>93.79</v>
      </c>
      <c r="O92" s="13">
        <f t="shared" si="63"/>
        <v>-3.5700000000000003E-2</v>
      </c>
      <c r="P92">
        <v>238851</v>
      </c>
      <c r="Q92">
        <v>0.66598000000000002</v>
      </c>
      <c r="R92">
        <f t="shared" si="59"/>
        <v>100.66598</v>
      </c>
      <c r="S92" s="13">
        <f t="shared" si="60"/>
        <v>2.9999999999998916E-3</v>
      </c>
      <c r="T92" s="13">
        <f t="shared" si="61"/>
        <v>5.9999999999999995E-4</v>
      </c>
      <c r="U92" s="30">
        <f t="shared" si="64"/>
        <v>166.57</v>
      </c>
      <c r="V92" s="31">
        <f t="shared" si="62"/>
        <v>156.04</v>
      </c>
    </row>
    <row r="93" spans="1:22" x14ac:dyDescent="0.25">
      <c r="A93" s="5">
        <v>40574</v>
      </c>
      <c r="B93" s="10">
        <v>130882</v>
      </c>
      <c r="C93" s="1">
        <f t="shared" si="51"/>
        <v>42</v>
      </c>
      <c r="D93" s="13">
        <f t="shared" si="52"/>
        <v>3.3000000000000806E-3</v>
      </c>
      <c r="E93" s="29">
        <f t="shared" si="53"/>
        <v>1.1000000000000001E-3</v>
      </c>
      <c r="F93">
        <v>108697.55499999999</v>
      </c>
      <c r="G93" s="1">
        <f t="shared" si="54"/>
        <v>123</v>
      </c>
      <c r="H93" s="13">
        <f t="shared" si="55"/>
        <v>6.9999999999998952E-3</v>
      </c>
      <c r="I93" s="29">
        <f t="shared" si="56"/>
        <v>2.0999999999999999E-3</v>
      </c>
      <c r="J93" s="10">
        <v>9.1</v>
      </c>
      <c r="K93" s="29">
        <f t="shared" si="57"/>
        <v>-4.2099999999999999E-2</v>
      </c>
      <c r="L93">
        <v>19.3</v>
      </c>
      <c r="M93" s="29">
        <f t="shared" si="58"/>
        <v>5.4999999999999997E-3</v>
      </c>
      <c r="N93">
        <v>93.86</v>
      </c>
      <c r="O93" s="13">
        <f t="shared" si="63"/>
        <v>-3.5499999999999997E-2</v>
      </c>
      <c r="P93">
        <v>238704</v>
      </c>
      <c r="Q93">
        <v>0.89959999999999996</v>
      </c>
      <c r="R93">
        <f t="shared" si="59"/>
        <v>100.89960000000001</v>
      </c>
      <c r="S93" s="13">
        <f t="shared" si="60"/>
        <v>3.6000000000000476E-3</v>
      </c>
      <c r="T93" s="13">
        <f t="shared" si="61"/>
        <v>1.1000000000000001E-3</v>
      </c>
      <c r="U93" s="30">
        <f t="shared" si="64"/>
        <v>156.88999999999999</v>
      </c>
      <c r="V93" s="31">
        <f t="shared" si="62"/>
        <v>147.15</v>
      </c>
    </row>
    <row r="94" spans="1:22" x14ac:dyDescent="0.25">
      <c r="A94" s="5">
        <v>40543</v>
      </c>
      <c r="B94" s="10">
        <v>130840</v>
      </c>
      <c r="C94" s="1">
        <f t="shared" si="51"/>
        <v>88</v>
      </c>
      <c r="D94" s="13">
        <f t="shared" si="52"/>
        <v>2.3999999999999577E-3</v>
      </c>
      <c r="E94" s="29">
        <f t="shared" si="53"/>
        <v>2E-3</v>
      </c>
      <c r="F94">
        <v>108574.537</v>
      </c>
      <c r="G94" s="1">
        <f t="shared" si="54"/>
        <v>91</v>
      </c>
      <c r="H94" s="13">
        <f t="shared" si="55"/>
        <v>6.9999999999998952E-3</v>
      </c>
      <c r="I94" s="29">
        <f t="shared" si="56"/>
        <v>2.2000000000000001E-3</v>
      </c>
      <c r="J94" s="10">
        <v>9.3000000000000007</v>
      </c>
      <c r="K94" s="29">
        <f t="shared" si="57"/>
        <v>-2.6200000000000001E-2</v>
      </c>
      <c r="L94">
        <v>19.22</v>
      </c>
      <c r="M94" s="29">
        <f t="shared" si="58"/>
        <v>2.8999999999999998E-3</v>
      </c>
      <c r="N94">
        <v>99.01</v>
      </c>
      <c r="O94" s="13">
        <f t="shared" si="63"/>
        <v>1.17E-2</v>
      </c>
      <c r="P94">
        <v>238889</v>
      </c>
      <c r="Q94">
        <v>0.67061999999999999</v>
      </c>
      <c r="R94">
        <f t="shared" si="59"/>
        <v>100.67062</v>
      </c>
      <c r="S94" s="13">
        <f t="shared" si="60"/>
        <v>-1.7000000000000348E-3</v>
      </c>
      <c r="T94" s="13">
        <f t="shared" si="61"/>
        <v>8.0000000000000004E-4</v>
      </c>
      <c r="U94" s="30">
        <f t="shared" si="64"/>
        <v>144.65</v>
      </c>
      <c r="V94" s="31">
        <f t="shared" si="62"/>
        <v>146.63999999999999</v>
      </c>
    </row>
    <row r="95" spans="1:22" x14ac:dyDescent="0.25">
      <c r="A95" s="5">
        <v>40512</v>
      </c>
      <c r="B95" s="10">
        <v>130752</v>
      </c>
      <c r="C95" s="1">
        <f t="shared" si="51"/>
        <v>123</v>
      </c>
      <c r="D95" s="13">
        <f t="shared" si="52"/>
        <v>6.9999999999992291E-4</v>
      </c>
      <c r="E95" s="29">
        <f t="shared" si="53"/>
        <v>2.0999999999999999E-3</v>
      </c>
      <c r="F95">
        <v>108483.537</v>
      </c>
      <c r="G95" s="1">
        <f t="shared" si="54"/>
        <v>136</v>
      </c>
      <c r="H95" s="13">
        <f t="shared" si="55"/>
        <v>7.2000000000000952E-3</v>
      </c>
      <c r="I95" s="29">
        <f t="shared" si="56"/>
        <v>2.7000000000000001E-3</v>
      </c>
      <c r="J95" s="10">
        <v>9.8000000000000007</v>
      </c>
      <c r="K95" s="29">
        <f t="shared" si="57"/>
        <v>3.6999999999999998E-2</v>
      </c>
      <c r="L95">
        <v>19.22</v>
      </c>
      <c r="M95" s="29">
        <f t="shared" si="58"/>
        <v>5.1000000000000004E-3</v>
      </c>
      <c r="N95">
        <v>98.33</v>
      </c>
      <c r="O95" s="13">
        <f t="shared" si="63"/>
        <v>6.4999999999999997E-3</v>
      </c>
      <c r="P95">
        <v>238715</v>
      </c>
      <c r="Q95">
        <v>0.55274999999999996</v>
      </c>
      <c r="R95">
        <f t="shared" si="59"/>
        <v>100.55275</v>
      </c>
      <c r="S95" s="13">
        <f t="shared" si="60"/>
        <v>9.9999999999988987E-5</v>
      </c>
      <c r="T95" s="13">
        <f t="shared" si="61"/>
        <v>0</v>
      </c>
      <c r="U95" s="30">
        <f t="shared" si="64"/>
        <v>139.9</v>
      </c>
      <c r="V95" s="31">
        <f t="shared" si="62"/>
        <v>142.06</v>
      </c>
    </row>
    <row r="96" spans="1:22" x14ac:dyDescent="0.25">
      <c r="A96" s="5">
        <v>40482</v>
      </c>
      <c r="B96" s="10">
        <v>130629</v>
      </c>
      <c r="C96" s="1">
        <f t="shared" si="51"/>
        <v>257</v>
      </c>
      <c r="D96" s="13">
        <f t="shared" si="52"/>
        <v>3.8000000000000256E-3</v>
      </c>
      <c r="E96" s="29">
        <f t="shared" si="53"/>
        <v>1.6000000000000001E-3</v>
      </c>
      <c r="F96">
        <v>108347.058</v>
      </c>
      <c r="G96" s="1">
        <f t="shared" si="54"/>
        <v>161</v>
      </c>
      <c r="H96" s="13">
        <f t="shared" si="55"/>
        <v>7.2000000000000952E-3</v>
      </c>
      <c r="I96" s="29">
        <f t="shared" si="56"/>
        <v>2.7000000000000001E-3</v>
      </c>
      <c r="J96" s="10">
        <v>9.4</v>
      </c>
      <c r="K96" s="29">
        <f t="shared" si="57"/>
        <v>-5.3E-3</v>
      </c>
      <c r="L96">
        <v>19.22</v>
      </c>
      <c r="M96" s="29">
        <f t="shared" si="58"/>
        <v>7.6E-3</v>
      </c>
      <c r="N96">
        <v>97.93</v>
      </c>
      <c r="O96" s="13">
        <f t="shared" si="63"/>
        <v>-1.9E-3</v>
      </c>
      <c r="P96">
        <v>238530</v>
      </c>
      <c r="Q96">
        <v>0.40969</v>
      </c>
      <c r="R96">
        <f t="shared" si="59"/>
        <v>100.40969</v>
      </c>
      <c r="S96" s="13">
        <f t="shared" si="60"/>
        <v>1.5000000000000568E-3</v>
      </c>
      <c r="T96" s="13">
        <f t="shared" si="61"/>
        <v>-1.1000000000000001E-3</v>
      </c>
      <c r="U96" s="30">
        <f t="shared" si="64"/>
        <v>155.36000000000001</v>
      </c>
      <c r="V96" s="31">
        <f t="shared" si="62"/>
        <v>141.08000000000001</v>
      </c>
    </row>
    <row r="97" spans="1:22" x14ac:dyDescent="0.25">
      <c r="A97" s="5">
        <v>40451</v>
      </c>
      <c r="B97" s="10">
        <v>130372</v>
      </c>
      <c r="C97" s="1">
        <f t="shared" si="51"/>
        <v>-52</v>
      </c>
      <c r="D97" s="13">
        <f t="shared" si="52"/>
        <v>3.7000000000000366E-3</v>
      </c>
      <c r="E97" s="29">
        <f t="shared" si="53"/>
        <v>-8.0000000000000004E-4</v>
      </c>
      <c r="F97">
        <v>108186.249</v>
      </c>
      <c r="G97" s="1">
        <f t="shared" si="54"/>
        <v>143</v>
      </c>
      <c r="H97" s="13">
        <f t="shared" si="55"/>
        <v>7.5000000000000622E-3</v>
      </c>
      <c r="I97" s="29">
        <f t="shared" si="56"/>
        <v>2.3E-3</v>
      </c>
      <c r="J97" s="10">
        <v>9.5</v>
      </c>
      <c r="K97" s="29">
        <f t="shared" si="57"/>
        <v>2.5999999999999999E-3</v>
      </c>
      <c r="L97">
        <v>19.12</v>
      </c>
      <c r="M97" s="29">
        <f t="shared" si="58"/>
        <v>3.8E-3</v>
      </c>
      <c r="N97">
        <v>102.46</v>
      </c>
      <c r="O97" s="13">
        <f t="shared" si="63"/>
        <v>3.5099999999999999E-2</v>
      </c>
      <c r="P97">
        <v>238322</v>
      </c>
      <c r="Q97">
        <v>0.47706999999999999</v>
      </c>
      <c r="R97">
        <f t="shared" si="59"/>
        <v>100.47707</v>
      </c>
      <c r="S97" s="13">
        <f t="shared" si="60"/>
        <v>4.4999999999999485E-3</v>
      </c>
      <c r="T97" s="13">
        <f t="shared" si="61"/>
        <v>-2.0000000000000001E-4</v>
      </c>
      <c r="U97" s="30">
        <f t="shared" si="64"/>
        <v>130.91999999999999</v>
      </c>
      <c r="V97" s="31">
        <f t="shared" si="62"/>
        <v>138.25</v>
      </c>
    </row>
    <row r="98" spans="1:22" x14ac:dyDescent="0.25">
      <c r="A98" s="5">
        <v>40421</v>
      </c>
      <c r="B98" s="10">
        <v>130424</v>
      </c>
      <c r="C98" s="1">
        <f t="shared" si="51"/>
        <v>-34</v>
      </c>
      <c r="D98" s="13">
        <f t="shared" si="52"/>
        <v>5.3000000000000824E-3</v>
      </c>
      <c r="E98" s="29">
        <f t="shared" si="53"/>
        <v>-1E-3</v>
      </c>
      <c r="F98">
        <v>108043.46400000001</v>
      </c>
      <c r="G98" s="1">
        <f t="shared" si="54"/>
        <v>106</v>
      </c>
      <c r="H98" s="13">
        <f t="shared" si="55"/>
        <v>6.0000000000000053E-3</v>
      </c>
      <c r="I98" s="29">
        <f t="shared" si="56"/>
        <v>2.0999999999999999E-3</v>
      </c>
      <c r="J98" s="10">
        <v>9.5</v>
      </c>
      <c r="K98" s="29">
        <f t="shared" si="57"/>
        <v>-7.7999999999999996E-3</v>
      </c>
      <c r="L98">
        <v>19.100000000000001</v>
      </c>
      <c r="M98" s="29">
        <f t="shared" si="58"/>
        <v>4.5999999999999999E-3</v>
      </c>
      <c r="N98">
        <v>97.52</v>
      </c>
      <c r="O98" s="13">
        <f t="shared" si="63"/>
        <v>-7.0000000000000001E-3</v>
      </c>
      <c r="P98">
        <v>238099</v>
      </c>
      <c r="Q98">
        <v>0.36897999999999997</v>
      </c>
      <c r="R98">
        <f t="shared" si="59"/>
        <v>100.36897999999999</v>
      </c>
      <c r="S98" s="13">
        <f t="shared" si="60"/>
        <v>5.9999999999993392E-4</v>
      </c>
      <c r="T98" s="13">
        <f t="shared" si="61"/>
        <v>2.9999999999999997E-4</v>
      </c>
      <c r="U98" s="30">
        <f t="shared" si="64"/>
        <v>136.97</v>
      </c>
      <c r="V98" s="31">
        <f t="shared" si="62"/>
        <v>145.33000000000001</v>
      </c>
    </row>
    <row r="99" spans="1:22" x14ac:dyDescent="0.25">
      <c r="A99" s="5">
        <v>40390</v>
      </c>
      <c r="B99" s="10">
        <v>130458</v>
      </c>
      <c r="C99" s="1">
        <f t="shared" si="51"/>
        <v>-70</v>
      </c>
      <c r="D99" s="13">
        <f t="shared" si="52"/>
        <v>5.1000000000001044E-3</v>
      </c>
      <c r="E99" s="29">
        <f t="shared" si="53"/>
        <v>1E-4</v>
      </c>
      <c r="F99">
        <v>107937.925</v>
      </c>
      <c r="G99" s="1">
        <f t="shared" si="54"/>
        <v>116</v>
      </c>
      <c r="H99" s="13">
        <f t="shared" si="55"/>
        <v>3.9000000000000146E-3</v>
      </c>
      <c r="I99" s="29">
        <f t="shared" si="56"/>
        <v>2.2000000000000001E-3</v>
      </c>
      <c r="J99" s="10">
        <v>9.4</v>
      </c>
      <c r="K99" s="29">
        <f t="shared" si="57"/>
        <v>-3.09E-2</v>
      </c>
      <c r="L99">
        <v>19.05</v>
      </c>
      <c r="M99" s="29">
        <f t="shared" si="58"/>
        <v>3.7000000000000002E-3</v>
      </c>
      <c r="N99">
        <v>94.19</v>
      </c>
      <c r="O99" s="13">
        <f t="shared" si="63"/>
        <v>-3.44E-2</v>
      </c>
      <c r="P99">
        <v>237890</v>
      </c>
      <c r="Q99">
        <v>0.53395000000000004</v>
      </c>
      <c r="R99">
        <f t="shared" si="59"/>
        <v>100.53395</v>
      </c>
      <c r="S99" s="13">
        <f t="shared" si="60"/>
        <v>5.5000000000000604E-3</v>
      </c>
      <c r="T99" s="13">
        <f t="shared" si="61"/>
        <v>1.2999999999999999E-3</v>
      </c>
      <c r="U99" s="30">
        <f t="shared" si="64"/>
        <v>146.87</v>
      </c>
      <c r="V99" s="31">
        <f t="shared" si="62"/>
        <v>158.65</v>
      </c>
    </row>
    <row r="100" spans="1:22" x14ac:dyDescent="0.25">
      <c r="A100" s="5">
        <v>40359</v>
      </c>
      <c r="B100" s="10">
        <v>130528</v>
      </c>
      <c r="C100" s="1">
        <f t="shared" si="51"/>
        <v>-133</v>
      </c>
      <c r="D100" s="13">
        <f t="shared" si="52"/>
        <v>5.8000000000000274E-3</v>
      </c>
      <c r="E100" s="29">
        <f t="shared" si="53"/>
        <v>2.3E-3</v>
      </c>
      <c r="F100">
        <v>107821.899</v>
      </c>
      <c r="G100" s="1">
        <f t="shared" si="54"/>
        <v>119</v>
      </c>
      <c r="H100" s="13">
        <f t="shared" si="55"/>
        <v>2.5999999999999357E-3</v>
      </c>
      <c r="I100" s="29">
        <f t="shared" si="56"/>
        <v>2.5000000000000001E-3</v>
      </c>
      <c r="J100" s="10">
        <v>9.4</v>
      </c>
      <c r="K100" s="29">
        <f t="shared" si="57"/>
        <v>-4.0800000000000003E-2</v>
      </c>
      <c r="L100">
        <v>19.03</v>
      </c>
      <c r="M100" s="29">
        <f t="shared" si="58"/>
        <v>4.1000000000000003E-3</v>
      </c>
      <c r="N100">
        <v>95.05</v>
      </c>
      <c r="O100" s="13">
        <f t="shared" si="63"/>
        <v>-3.5000000000000003E-2</v>
      </c>
      <c r="P100">
        <v>237690</v>
      </c>
      <c r="Q100">
        <v>0.84355000000000002</v>
      </c>
      <c r="R100">
        <f t="shared" si="59"/>
        <v>100.84354999999999</v>
      </c>
      <c r="S100" s="13">
        <f t="shared" si="60"/>
        <v>1.1800000000000033E-2</v>
      </c>
      <c r="T100" s="13">
        <f t="shared" si="61"/>
        <v>1.2999999999999999E-3</v>
      </c>
      <c r="U100" s="30">
        <f t="shared" si="64"/>
        <v>152.16</v>
      </c>
      <c r="V100" s="31">
        <f t="shared" si="62"/>
        <v>158.97</v>
      </c>
    </row>
    <row r="101" spans="1:22" x14ac:dyDescent="0.25">
      <c r="A101" s="5">
        <v>40329</v>
      </c>
      <c r="B101" s="10">
        <v>130661</v>
      </c>
      <c r="C101" s="1">
        <f t="shared" si="51"/>
        <v>522</v>
      </c>
      <c r="D101" s="13">
        <f t="shared" si="52"/>
        <v>4.6999999999999265E-3</v>
      </c>
      <c r="E101" s="29">
        <f t="shared" si="53"/>
        <v>5.7000000000000002E-3</v>
      </c>
      <c r="F101">
        <v>107703.121</v>
      </c>
      <c r="G101" s="1">
        <f t="shared" si="54"/>
        <v>134</v>
      </c>
      <c r="H101" s="13">
        <f t="shared" si="55"/>
        <v>1.9999999999997797E-4</v>
      </c>
      <c r="I101" s="29">
        <f t="shared" si="56"/>
        <v>2.3999999999999998E-3</v>
      </c>
      <c r="J101" s="10">
        <v>9.6</v>
      </c>
      <c r="K101" s="29">
        <f t="shared" si="57"/>
        <v>-2.5399999999999999E-2</v>
      </c>
      <c r="L101">
        <v>19.010000000000002</v>
      </c>
      <c r="M101" s="29">
        <f t="shared" si="58"/>
        <v>4.5999999999999999E-3</v>
      </c>
      <c r="N101">
        <v>98.02</v>
      </c>
      <c r="O101" s="13">
        <f t="shared" si="63"/>
        <v>-1.5100000000000001E-2</v>
      </c>
      <c r="P101">
        <v>237499</v>
      </c>
      <c r="Q101">
        <v>0.54244000000000003</v>
      </c>
      <c r="R101">
        <f t="shared" si="59"/>
        <v>100.54244</v>
      </c>
      <c r="S101" s="13">
        <f t="shared" si="60"/>
        <v>1.309999999999989E-2</v>
      </c>
      <c r="T101" s="13">
        <f t="shared" si="61"/>
        <v>1.4E-3</v>
      </c>
      <c r="U101" s="30">
        <f t="shared" si="64"/>
        <v>176.91</v>
      </c>
      <c r="V101" s="31">
        <f t="shared" si="62"/>
        <v>150.69</v>
      </c>
    </row>
    <row r="102" spans="1:22" x14ac:dyDescent="0.25">
      <c r="A102" s="5">
        <v>40298</v>
      </c>
      <c r="B102" s="10">
        <v>130139</v>
      </c>
      <c r="C102" s="1">
        <f t="shared" si="51"/>
        <v>243</v>
      </c>
      <c r="D102" s="13">
        <f t="shared" si="52"/>
        <v>5.9999999999993392E-4</v>
      </c>
      <c r="E102" s="29">
        <f t="shared" si="53"/>
        <v>2.5000000000000001E-3</v>
      </c>
      <c r="F102">
        <v>107569.397</v>
      </c>
      <c r="G102" s="1">
        <f t="shared" si="54"/>
        <v>190</v>
      </c>
      <c r="H102" s="13">
        <f t="shared" si="55"/>
        <v>-2.6000000000000467E-3</v>
      </c>
      <c r="I102" s="29">
        <f t="shared" si="56"/>
        <v>1.2999999999999999E-3</v>
      </c>
      <c r="J102" s="10">
        <v>9.9</v>
      </c>
      <c r="K102" s="29">
        <f t="shared" si="57"/>
        <v>5.1000000000000004E-3</v>
      </c>
      <c r="L102">
        <v>18.96</v>
      </c>
      <c r="M102" s="29">
        <f t="shared" si="58"/>
        <v>3.5999999999999999E-3</v>
      </c>
      <c r="N102">
        <v>101.71</v>
      </c>
      <c r="O102" s="13">
        <f t="shared" si="63"/>
        <v>1.7500000000000002E-2</v>
      </c>
      <c r="P102">
        <v>237329</v>
      </c>
      <c r="Q102">
        <v>0.25950000000000001</v>
      </c>
      <c r="R102">
        <f t="shared" si="59"/>
        <v>100.2595</v>
      </c>
      <c r="S102" s="13">
        <f t="shared" si="60"/>
        <v>1.0199999999999987E-2</v>
      </c>
      <c r="T102" s="13">
        <f t="shared" si="61"/>
        <v>1.5E-3</v>
      </c>
      <c r="U102" s="30">
        <f t="shared" si="64"/>
        <v>147.84</v>
      </c>
      <c r="V102" s="31">
        <f t="shared" si="62"/>
        <v>131.71</v>
      </c>
    </row>
    <row r="103" spans="1:22" x14ac:dyDescent="0.25">
      <c r="A103" s="5">
        <v>40268</v>
      </c>
      <c r="B103" s="10">
        <v>129896</v>
      </c>
      <c r="C103" s="1">
        <f t="shared" si="51"/>
        <v>163</v>
      </c>
      <c r="D103" s="13">
        <f t="shared" si="52"/>
        <v>-2.8000000000000247E-3</v>
      </c>
      <c r="E103" s="29">
        <f t="shared" si="53"/>
        <v>1E-3</v>
      </c>
      <c r="F103">
        <v>107379.5</v>
      </c>
      <c r="G103" s="1">
        <f t="shared" si="54"/>
        <v>-20</v>
      </c>
      <c r="H103" s="13">
        <f t="shared" si="55"/>
        <v>-6.0000000000000053E-3</v>
      </c>
      <c r="I103" s="29">
        <f t="shared" si="56"/>
        <v>-1E-3</v>
      </c>
      <c r="J103" s="10">
        <v>9.9</v>
      </c>
      <c r="K103" s="29">
        <f t="shared" si="57"/>
        <v>5.1000000000000004E-3</v>
      </c>
      <c r="L103">
        <v>18.920000000000002</v>
      </c>
      <c r="M103" s="29">
        <f t="shared" si="58"/>
        <v>2.8999999999999998E-3</v>
      </c>
      <c r="N103">
        <v>102.32</v>
      </c>
      <c r="O103" s="13">
        <f t="shared" si="63"/>
        <v>2.8299999999999999E-2</v>
      </c>
      <c r="P103">
        <v>237159</v>
      </c>
      <c r="Q103">
        <v>2.4490000000000001E-2</v>
      </c>
      <c r="R103">
        <f t="shared" si="59"/>
        <v>100.02449</v>
      </c>
      <c r="S103" s="13">
        <f t="shared" si="60"/>
        <v>1.330000000000009E-2</v>
      </c>
      <c r="T103" s="13">
        <f t="shared" si="61"/>
        <v>2E-3</v>
      </c>
      <c r="U103" s="30">
        <f t="shared" si="64"/>
        <v>127.31</v>
      </c>
      <c r="V103" s="31">
        <f t="shared" si="62"/>
        <v>127.01</v>
      </c>
    </row>
    <row r="104" spans="1:22" x14ac:dyDescent="0.25">
      <c r="A104" s="5">
        <v>40237</v>
      </c>
      <c r="B104" s="10">
        <v>129733</v>
      </c>
      <c r="C104" s="1">
        <f t="shared" si="51"/>
        <v>-69</v>
      </c>
      <c r="D104" s="13">
        <f t="shared" si="52"/>
        <v>-5.7000000000000384E-3</v>
      </c>
      <c r="E104" s="29">
        <f t="shared" si="53"/>
        <v>-1.1000000000000001E-3</v>
      </c>
      <c r="F104">
        <v>107399.66099999999</v>
      </c>
      <c r="G104" s="1">
        <f t="shared" si="54"/>
        <v>-116</v>
      </c>
      <c r="H104" s="13">
        <f t="shared" si="55"/>
        <v>-7.0000000000000062E-3</v>
      </c>
      <c r="I104" s="29">
        <f t="shared" si="56"/>
        <v>-1.6999999999999999E-3</v>
      </c>
      <c r="J104" s="10">
        <v>9.8000000000000007</v>
      </c>
      <c r="K104" s="29">
        <f t="shared" si="57"/>
        <v>-1.01E-2</v>
      </c>
      <c r="L104">
        <v>18.920000000000002</v>
      </c>
      <c r="M104" s="29">
        <f t="shared" si="58"/>
        <v>5.1999999999999998E-3</v>
      </c>
      <c r="N104">
        <v>99.02</v>
      </c>
      <c r="O104" s="13">
        <f t="shared" si="63"/>
        <v>2.0000000000000001E-4</v>
      </c>
      <c r="P104">
        <v>236998</v>
      </c>
      <c r="Q104">
        <v>0.31063000000000002</v>
      </c>
      <c r="R104">
        <f t="shared" si="59"/>
        <v>100.31063</v>
      </c>
      <c r="S104" s="13">
        <f t="shared" si="60"/>
        <v>1.9200000000000106E-2</v>
      </c>
      <c r="T104" s="13">
        <f t="shared" si="61"/>
        <v>2.7000000000000001E-3</v>
      </c>
      <c r="U104" s="30">
        <f t="shared" si="64"/>
        <v>119.99</v>
      </c>
      <c r="V104" s="31">
        <f t="shared" si="62"/>
        <v>117.74</v>
      </c>
    </row>
    <row r="105" spans="1:22" x14ac:dyDescent="0.25">
      <c r="A105" s="5">
        <v>40209</v>
      </c>
      <c r="B105" s="10">
        <v>129802</v>
      </c>
      <c r="C105" s="1">
        <f t="shared" si="51"/>
        <v>28</v>
      </c>
      <c r="D105" s="13">
        <f t="shared" si="52"/>
        <v>-6.8000000000000282E-3</v>
      </c>
      <c r="E105" s="29">
        <f t="shared" si="53"/>
        <v>-1.1999999999999999E-3</v>
      </c>
      <c r="F105">
        <v>107515.402</v>
      </c>
      <c r="G105" s="1">
        <f t="shared" si="54"/>
        <v>-22</v>
      </c>
      <c r="H105" s="13">
        <f t="shared" si="55"/>
        <v>-8.2999999999999741E-3</v>
      </c>
      <c r="I105" s="29">
        <f t="shared" si="56"/>
        <v>-1.6000000000000001E-3</v>
      </c>
      <c r="J105" s="10">
        <v>9.8000000000000007</v>
      </c>
      <c r="K105" s="29">
        <f t="shared" si="57"/>
        <v>-1.01E-2</v>
      </c>
      <c r="L105">
        <v>18.89</v>
      </c>
      <c r="M105" s="29">
        <f t="shared" si="58"/>
        <v>6.0000000000000001E-3</v>
      </c>
      <c r="N105">
        <v>94.53</v>
      </c>
      <c r="O105" s="13">
        <f t="shared" si="63"/>
        <v>-4.1099999999999998E-2</v>
      </c>
      <c r="P105">
        <v>236832</v>
      </c>
      <c r="Q105">
        <v>-1.7999999999999999E-2</v>
      </c>
      <c r="R105">
        <f t="shared" si="59"/>
        <v>99.981999999999999</v>
      </c>
      <c r="S105" s="13">
        <f t="shared" si="60"/>
        <v>2.1300000000000097E-2</v>
      </c>
      <c r="T105" s="13">
        <f t="shared" si="61"/>
        <v>3.2000000000000002E-3</v>
      </c>
      <c r="U105" s="30">
        <f t="shared" si="64"/>
        <v>133.72</v>
      </c>
      <c r="V105" s="31">
        <f t="shared" si="62"/>
        <v>113.91</v>
      </c>
    </row>
    <row r="106" spans="1:22" x14ac:dyDescent="0.25">
      <c r="A106" s="5">
        <v>40178</v>
      </c>
      <c r="B106" s="10">
        <v>129774</v>
      </c>
      <c r="C106" s="1">
        <f t="shared" si="51"/>
        <v>-279</v>
      </c>
      <c r="D106" s="13">
        <f t="shared" si="52"/>
        <v>-9.4999999999999529E-3</v>
      </c>
      <c r="E106" s="29">
        <f t="shared" si="53"/>
        <v>-2.7000000000000001E-3</v>
      </c>
      <c r="F106">
        <v>107537.406</v>
      </c>
      <c r="G106" s="1">
        <f t="shared" si="54"/>
        <v>-144</v>
      </c>
      <c r="H106" s="13">
        <f t="shared" si="55"/>
        <v>-9.7000000000000419E-3</v>
      </c>
      <c r="I106" s="29">
        <f t="shared" si="56"/>
        <v>-2.8999999999999998E-3</v>
      </c>
      <c r="J106" s="10">
        <v>9.9</v>
      </c>
      <c r="K106" s="29">
        <f t="shared" si="57"/>
        <v>7.6E-3</v>
      </c>
      <c r="L106">
        <v>18.84</v>
      </c>
      <c r="M106" s="29">
        <f t="shared" si="58"/>
        <v>5.7000000000000002E-3</v>
      </c>
      <c r="N106">
        <v>100.82</v>
      </c>
      <c r="O106" s="13">
        <f t="shared" si="63"/>
        <v>1.04E-2</v>
      </c>
      <c r="P106">
        <v>236924</v>
      </c>
      <c r="Q106">
        <v>-0.33415</v>
      </c>
      <c r="R106">
        <f t="shared" si="59"/>
        <v>99.665850000000006</v>
      </c>
      <c r="S106" s="13">
        <f t="shared" si="60"/>
        <v>2.4000000000000021E-2</v>
      </c>
      <c r="T106" s="13">
        <f t="shared" si="61"/>
        <v>3.2000000000000002E-3</v>
      </c>
      <c r="U106" s="30">
        <f t="shared" si="64"/>
        <v>99.509999999999991</v>
      </c>
      <c r="V106" s="31">
        <f t="shared" si="62"/>
        <v>101.48</v>
      </c>
    </row>
    <row r="107" spans="1:22" x14ac:dyDescent="0.25">
      <c r="A107" s="5">
        <v>40147</v>
      </c>
      <c r="B107" s="10">
        <v>130053</v>
      </c>
      <c r="C107" s="1">
        <f t="shared" si="51"/>
        <v>-7</v>
      </c>
      <c r="D107" s="13">
        <f t="shared" si="52"/>
        <v>-1.0900000000000021E-2</v>
      </c>
      <c r="E107" s="29">
        <f t="shared" si="53"/>
        <v>-1.6000000000000001E-3</v>
      </c>
      <c r="F107">
        <v>107681.325</v>
      </c>
      <c r="G107" s="1">
        <f t="shared" si="54"/>
        <v>-163</v>
      </c>
      <c r="H107" s="13">
        <f t="shared" si="55"/>
        <v>-1.1800000000000033E-2</v>
      </c>
      <c r="I107" s="29">
        <f t="shared" si="56"/>
        <v>-3.0000000000000001E-3</v>
      </c>
      <c r="J107" s="10">
        <v>9.9</v>
      </c>
      <c r="K107" s="29">
        <f t="shared" si="57"/>
        <v>1.7999999999999999E-2</v>
      </c>
      <c r="L107">
        <v>18.809999999999999</v>
      </c>
      <c r="M107" s="29">
        <f t="shared" si="58"/>
        <v>7.0000000000000001E-3</v>
      </c>
      <c r="N107">
        <v>101</v>
      </c>
      <c r="O107" s="13">
        <f t="shared" si="63"/>
        <v>1.1900000000000001E-2</v>
      </c>
      <c r="P107">
        <v>236743</v>
      </c>
      <c r="Q107">
        <v>-0.75641000000000003</v>
      </c>
      <c r="R107">
        <f t="shared" si="59"/>
        <v>99.243589999999998</v>
      </c>
      <c r="S107" s="13">
        <f t="shared" si="60"/>
        <v>2.750000000000008E-2</v>
      </c>
      <c r="T107" s="13">
        <f t="shared" si="61"/>
        <v>3.3999999999999998E-3</v>
      </c>
      <c r="U107" s="30">
        <f t="shared" si="64"/>
        <v>108.5</v>
      </c>
      <c r="V107" s="31">
        <f t="shared" si="62"/>
        <v>100.58</v>
      </c>
    </row>
    <row r="108" spans="1:22" x14ac:dyDescent="0.25">
      <c r="A108" s="5">
        <v>40117</v>
      </c>
      <c r="B108" s="10">
        <v>130060</v>
      </c>
      <c r="C108" s="1">
        <f t="shared" si="51"/>
        <v>-200</v>
      </c>
      <c r="D108" s="13">
        <f t="shared" si="52"/>
        <v>-1.3499999999999956E-2</v>
      </c>
      <c r="E108" s="29">
        <f t="shared" si="53"/>
        <v>-3.2000000000000002E-3</v>
      </c>
      <c r="F108">
        <v>107844.446</v>
      </c>
      <c r="G108" s="1">
        <f t="shared" si="54"/>
        <v>-181</v>
      </c>
      <c r="H108" s="13">
        <f t="shared" si="55"/>
        <v>-1.4299999999999979E-2</v>
      </c>
      <c r="I108" s="29">
        <f t="shared" si="56"/>
        <v>-3.3E-3</v>
      </c>
      <c r="J108" s="10">
        <v>10</v>
      </c>
      <c r="K108" s="29">
        <f t="shared" si="57"/>
        <v>4.1700000000000001E-2</v>
      </c>
      <c r="L108">
        <v>18.75</v>
      </c>
      <c r="M108" s="29">
        <f t="shared" si="58"/>
        <v>6.3E-3</v>
      </c>
      <c r="N108">
        <v>99.5</v>
      </c>
      <c r="O108" s="13">
        <f t="shared" si="63"/>
        <v>8.9999999999999998E-4</v>
      </c>
      <c r="P108">
        <v>236550</v>
      </c>
      <c r="Q108">
        <v>-0.74934000000000001</v>
      </c>
      <c r="R108">
        <f t="shared" si="59"/>
        <v>99.250659999999996</v>
      </c>
      <c r="S108" s="13">
        <f t="shared" si="60"/>
        <v>3.4699999999999953E-2</v>
      </c>
      <c r="T108" s="13">
        <f t="shared" si="61"/>
        <v>4.8999999999999998E-3</v>
      </c>
      <c r="U108" s="30">
        <f t="shared" si="64"/>
        <v>96.44</v>
      </c>
      <c r="V108" s="31">
        <f t="shared" si="62"/>
        <v>91.71</v>
      </c>
    </row>
    <row r="109" spans="1:22" x14ac:dyDescent="0.25">
      <c r="A109" s="5">
        <v>40086</v>
      </c>
      <c r="B109" s="10">
        <v>130260</v>
      </c>
      <c r="C109" s="1">
        <f t="shared" si="51"/>
        <v>-219</v>
      </c>
      <c r="D109" s="13">
        <f t="shared" si="52"/>
        <v>-1.7100000000000004E-2</v>
      </c>
      <c r="E109" s="29">
        <f t="shared" si="53"/>
        <v>-3.5999999999999999E-3</v>
      </c>
      <c r="F109">
        <v>108025.414</v>
      </c>
      <c r="G109" s="1">
        <f t="shared" si="54"/>
        <v>-130</v>
      </c>
      <c r="H109" s="13">
        <f t="shared" si="55"/>
        <v>-1.7700000000000049E-2</v>
      </c>
      <c r="I109" s="29">
        <f t="shared" si="56"/>
        <v>-3.3E-3</v>
      </c>
      <c r="J109" s="10">
        <v>9.8000000000000007</v>
      </c>
      <c r="K109" s="29">
        <f t="shared" si="57"/>
        <v>3.1600000000000003E-2</v>
      </c>
      <c r="L109">
        <v>18.71</v>
      </c>
      <c r="M109" s="29">
        <f t="shared" si="58"/>
        <v>6.4999999999999997E-3</v>
      </c>
      <c r="N109">
        <v>98.04</v>
      </c>
      <c r="O109" s="13">
        <f t="shared" si="63"/>
        <v>-1.52E-2</v>
      </c>
      <c r="P109">
        <v>236322</v>
      </c>
      <c r="Q109">
        <v>-1.28616</v>
      </c>
      <c r="R109">
        <f t="shared" si="59"/>
        <v>98.713840000000005</v>
      </c>
      <c r="S109" s="13">
        <f t="shared" si="60"/>
        <v>3.1700000000000061E-2</v>
      </c>
      <c r="T109" s="13">
        <f t="shared" si="61"/>
        <v>5.4999999999999997E-3</v>
      </c>
      <c r="U109" s="30">
        <f t="shared" si="64"/>
        <v>96.81</v>
      </c>
      <c r="V109" s="31">
        <f t="shared" si="62"/>
        <v>82.58</v>
      </c>
    </row>
    <row r="110" spans="1:22" x14ac:dyDescent="0.25">
      <c r="A110" s="5">
        <v>40056</v>
      </c>
      <c r="B110" s="10">
        <v>130479</v>
      </c>
      <c r="C110" s="1">
        <f t="shared" si="51"/>
        <v>-212</v>
      </c>
      <c r="D110" s="13">
        <f t="shared" si="52"/>
        <v>-2.1499999999999964E-2</v>
      </c>
      <c r="E110" s="29">
        <f t="shared" si="53"/>
        <v>-4.4999999999999997E-3</v>
      </c>
      <c r="F110">
        <v>108155.35400000001</v>
      </c>
      <c r="G110" s="1">
        <f t="shared" si="54"/>
        <v>-264</v>
      </c>
      <c r="H110" s="13">
        <f t="shared" si="55"/>
        <v>-2.2199999999999998E-2</v>
      </c>
      <c r="I110" s="29">
        <f t="shared" si="56"/>
        <v>-4.5999999999999999E-3</v>
      </c>
      <c r="J110" s="10">
        <v>9.6</v>
      </c>
      <c r="K110" s="29">
        <f t="shared" si="57"/>
        <v>2.6700000000000002E-2</v>
      </c>
      <c r="L110">
        <v>18.66</v>
      </c>
      <c r="M110" s="29">
        <f t="shared" si="58"/>
        <v>5.7000000000000002E-3</v>
      </c>
      <c r="N110">
        <v>100.06</v>
      </c>
      <c r="O110" s="13">
        <f t="shared" si="63"/>
        <v>4.4000000000000003E-3</v>
      </c>
      <c r="P110">
        <v>236087</v>
      </c>
      <c r="Q110">
        <v>-1.5817399999999999</v>
      </c>
      <c r="R110">
        <f t="shared" si="59"/>
        <v>98.418260000000004</v>
      </c>
      <c r="S110" s="13">
        <f t="shared" si="60"/>
        <v>2.8399999999999981E-2</v>
      </c>
      <c r="T110" s="13">
        <f t="shared" si="61"/>
        <v>6.4000000000000003E-3</v>
      </c>
      <c r="U110" s="30">
        <f t="shared" si="64"/>
        <v>81.87</v>
      </c>
      <c r="V110" s="31">
        <f t="shared" si="62"/>
        <v>60.84</v>
      </c>
    </row>
    <row r="111" spans="1:22" x14ac:dyDescent="0.25">
      <c r="A111" s="5">
        <v>40025</v>
      </c>
      <c r="B111" s="10">
        <v>130691</v>
      </c>
      <c r="C111" s="1">
        <f t="shared" si="51"/>
        <v>-329</v>
      </c>
      <c r="D111" s="13">
        <f t="shared" si="52"/>
        <v>-2.5100000000000011E-2</v>
      </c>
      <c r="E111" s="29">
        <f t="shared" si="53"/>
        <v>-5.7999999999999996E-3</v>
      </c>
      <c r="F111">
        <v>108418.88400000001</v>
      </c>
      <c r="G111" s="1">
        <f t="shared" si="54"/>
        <v>-168</v>
      </c>
      <c r="H111" s="13">
        <f t="shared" si="55"/>
        <v>-2.7200000000000002E-2</v>
      </c>
      <c r="I111" s="29">
        <f t="shared" si="56"/>
        <v>-5.1999999999999998E-3</v>
      </c>
      <c r="J111" s="10">
        <v>9.5</v>
      </c>
      <c r="K111" s="29">
        <f t="shared" si="57"/>
        <v>3.8300000000000001E-2</v>
      </c>
      <c r="L111">
        <v>18.600000000000001</v>
      </c>
      <c r="M111" s="29">
        <f t="shared" si="58"/>
        <v>3.8E-3</v>
      </c>
      <c r="N111">
        <v>98.53</v>
      </c>
      <c r="O111" s="13">
        <f t="shared" si="63"/>
        <v>4.7999999999999996E-3</v>
      </c>
      <c r="P111">
        <v>235870</v>
      </c>
      <c r="Q111">
        <v>-2.10765</v>
      </c>
      <c r="R111">
        <f t="shared" si="59"/>
        <v>97.892349999999993</v>
      </c>
      <c r="S111" s="13">
        <f t="shared" si="60"/>
        <v>1.9700000000000051E-2</v>
      </c>
      <c r="T111" s="13">
        <f t="shared" si="61"/>
        <v>5.7000000000000002E-3</v>
      </c>
      <c r="U111" s="30">
        <f t="shared" si="64"/>
        <v>69.05</v>
      </c>
      <c r="V111" s="31">
        <f t="shared" si="62"/>
        <v>36.99</v>
      </c>
    </row>
    <row r="112" spans="1:22" x14ac:dyDescent="0.25">
      <c r="A112" s="5">
        <v>39994</v>
      </c>
      <c r="B112" s="10">
        <v>131020</v>
      </c>
      <c r="C112" s="1">
        <f t="shared" si="51"/>
        <v>-470</v>
      </c>
      <c r="D112" s="13">
        <f t="shared" si="52"/>
        <v>-2.8399999999999981E-2</v>
      </c>
      <c r="E112" s="29">
        <f t="shared" si="53"/>
        <v>-7.1000000000000004E-3</v>
      </c>
      <c r="F112">
        <v>108586.603</v>
      </c>
      <c r="G112" s="1">
        <f t="shared" si="54"/>
        <v>-377</v>
      </c>
      <c r="H112" s="13">
        <f t="shared" si="55"/>
        <v>-3.1900000000000039E-2</v>
      </c>
      <c r="I112" s="29">
        <f t="shared" si="56"/>
        <v>-7.9000000000000008E-3</v>
      </c>
      <c r="J112" s="10">
        <v>9.5</v>
      </c>
      <c r="K112" s="29">
        <f t="shared" si="57"/>
        <v>7.3400000000000007E-2</v>
      </c>
      <c r="L112">
        <v>18.559999999999999</v>
      </c>
      <c r="M112" s="29">
        <f t="shared" si="58"/>
        <v>3.0999999999999999E-3</v>
      </c>
      <c r="N112">
        <v>100</v>
      </c>
      <c r="O112" s="13">
        <f t="shared" si="63"/>
        <v>3.2099999999999997E-2</v>
      </c>
      <c r="P112">
        <v>235655</v>
      </c>
      <c r="Q112">
        <v>-2.6672899999999999</v>
      </c>
      <c r="R112">
        <f t="shared" si="59"/>
        <v>97.332710000000006</v>
      </c>
      <c r="S112" s="13">
        <f t="shared" si="60"/>
        <v>8.899999999999908E-3</v>
      </c>
      <c r="T112" s="13">
        <f t="shared" si="61"/>
        <v>4.1999999999999997E-3</v>
      </c>
      <c r="U112" s="30">
        <f t="shared" si="64"/>
        <v>31.590000000000003</v>
      </c>
      <c r="V112" s="31">
        <f t="shared" si="62"/>
        <v>13.97</v>
      </c>
    </row>
    <row r="113" spans="1:22" x14ac:dyDescent="0.25">
      <c r="A113" s="5">
        <v>39964</v>
      </c>
      <c r="B113" s="10">
        <v>131490</v>
      </c>
      <c r="C113" s="1">
        <f t="shared" si="51"/>
        <v>-351</v>
      </c>
      <c r="D113" s="13">
        <f t="shared" si="52"/>
        <v>-2.9900000000000038E-2</v>
      </c>
      <c r="E113" s="29">
        <f t="shared" si="53"/>
        <v>-8.2000000000000007E-3</v>
      </c>
      <c r="F113">
        <v>108963.891</v>
      </c>
      <c r="G113" s="1">
        <f t="shared" si="54"/>
        <v>-442</v>
      </c>
      <c r="H113" s="13">
        <f t="shared" si="55"/>
        <v>-3.3399999999999985E-2</v>
      </c>
      <c r="I113" s="29">
        <f t="shared" si="56"/>
        <v>-9.4000000000000004E-3</v>
      </c>
      <c r="J113" s="10">
        <v>9.4</v>
      </c>
      <c r="K113" s="29">
        <f t="shared" si="57"/>
        <v>0.1124</v>
      </c>
      <c r="L113">
        <v>18.54</v>
      </c>
      <c r="M113" s="29">
        <f t="shared" si="58"/>
        <v>3.8999999999999998E-3</v>
      </c>
      <c r="N113">
        <v>100.99</v>
      </c>
      <c r="O113" s="13">
        <f t="shared" si="63"/>
        <v>6.9699999999999998E-2</v>
      </c>
      <c r="P113">
        <v>235452</v>
      </c>
      <c r="Q113">
        <v>-3.4133800000000001</v>
      </c>
      <c r="R113">
        <f t="shared" si="59"/>
        <v>96.586619999999996</v>
      </c>
      <c r="S113" s="13">
        <f t="shared" si="60"/>
        <v>-6.0000000000000053E-3</v>
      </c>
      <c r="T113" s="13">
        <f t="shared" si="61"/>
        <v>1.5E-3</v>
      </c>
      <c r="U113" s="30">
        <f t="shared" si="64"/>
        <v>10.319999999999993</v>
      </c>
      <c r="V113" s="31">
        <f t="shared" si="62"/>
        <v>3.44</v>
      </c>
    </row>
    <row r="114" spans="1:22" x14ac:dyDescent="0.25">
      <c r="A114" s="5">
        <v>39933</v>
      </c>
      <c r="B114" s="10">
        <v>131841</v>
      </c>
      <c r="C114" s="1">
        <f t="shared" si="51"/>
        <v>-686</v>
      </c>
      <c r="D114" s="13">
        <f t="shared" si="52"/>
        <v>-3.2800000000000051E-2</v>
      </c>
      <c r="E114" s="29">
        <f t="shared" si="53"/>
        <v>-1.0999999999999999E-2</v>
      </c>
      <c r="F114">
        <v>109406.141</v>
      </c>
      <c r="G114" s="1">
        <f t="shared" si="54"/>
        <v>-562</v>
      </c>
      <c r="H114" s="13">
        <f t="shared" si="55"/>
        <v>-3.4399999999999986E-2</v>
      </c>
      <c r="I114" s="29">
        <f t="shared" si="56"/>
        <v>-1.15E-2</v>
      </c>
      <c r="J114" s="10">
        <v>9</v>
      </c>
      <c r="K114" s="29">
        <f t="shared" si="57"/>
        <v>0.1215</v>
      </c>
      <c r="L114">
        <v>18.52</v>
      </c>
      <c r="M114" s="29">
        <f t="shared" si="58"/>
        <v>4.7000000000000002E-3</v>
      </c>
      <c r="N114">
        <v>98.71</v>
      </c>
      <c r="O114" s="13">
        <f t="shared" si="63"/>
        <v>8.8200000000000001E-2</v>
      </c>
      <c r="P114">
        <v>235271</v>
      </c>
      <c r="Q114">
        <v>-4.0777299999999999</v>
      </c>
      <c r="R114">
        <f t="shared" si="59"/>
        <v>95.922269999999997</v>
      </c>
      <c r="S114" s="13">
        <f t="shared" si="60"/>
        <v>-2.2700000000000053E-2</v>
      </c>
      <c r="T114" s="13">
        <f t="shared" si="61"/>
        <v>-1.4E-3</v>
      </c>
      <c r="U114" s="30">
        <f t="shared" si="64"/>
        <v>0</v>
      </c>
      <c r="V114" s="31">
        <f t="shared" si="62"/>
        <v>0</v>
      </c>
    </row>
    <row r="115" spans="1:22" x14ac:dyDescent="0.25">
      <c r="A115" s="5">
        <v>39903</v>
      </c>
      <c r="B115" s="10">
        <v>132527</v>
      </c>
      <c r="C115" s="1">
        <f t="shared" si="51"/>
        <v>-823</v>
      </c>
      <c r="D115" s="13">
        <f t="shared" si="52"/>
        <v>-3.1100000000000017E-2</v>
      </c>
      <c r="E115" s="29">
        <f t="shared" si="53"/>
        <v>-1.1599999999999999E-2</v>
      </c>
      <c r="F115">
        <v>109968.3</v>
      </c>
      <c r="G115" s="1">
        <f t="shared" si="54"/>
        <v>-640</v>
      </c>
      <c r="H115" s="13">
        <f t="shared" si="55"/>
        <v>-3.3800000000000052E-2</v>
      </c>
      <c r="I115" s="29">
        <f t="shared" si="56"/>
        <v>-1.29E-2</v>
      </c>
      <c r="J115" s="10">
        <v>8.6999999999999993</v>
      </c>
      <c r="K115" s="29">
        <f t="shared" si="57"/>
        <v>0.15229999999999999</v>
      </c>
      <c r="L115">
        <v>18.5</v>
      </c>
      <c r="M115" s="29">
        <f t="shared" si="58"/>
        <v>6.3E-3</v>
      </c>
      <c r="N115">
        <v>101.34</v>
      </c>
      <c r="O115" s="13">
        <f t="shared" si="63"/>
        <v>0.16819999999999999</v>
      </c>
      <c r="P115">
        <v>235086</v>
      </c>
      <c r="Q115">
        <v>-4.3226199999999997</v>
      </c>
      <c r="R115">
        <f t="shared" si="59"/>
        <v>95.677379999999999</v>
      </c>
      <c r="S115" s="13">
        <f t="shared" si="60"/>
        <v>-2.6800000000000046E-2</v>
      </c>
      <c r="T115" s="13">
        <f t="shared" si="61"/>
        <v>-3.8999999999999998E-3</v>
      </c>
      <c r="U115" s="30">
        <f t="shared" si="64"/>
        <v>0</v>
      </c>
      <c r="V115" s="31">
        <f t="shared" si="62"/>
        <v>0</v>
      </c>
    </row>
    <row r="116" spans="1:22" x14ac:dyDescent="0.25">
      <c r="A116" s="5">
        <v>39872</v>
      </c>
      <c r="B116" s="10">
        <v>133350</v>
      </c>
      <c r="C116" s="1">
        <f t="shared" si="51"/>
        <v>-703</v>
      </c>
      <c r="D116" s="13">
        <f t="shared" si="52"/>
        <v>-2.8299999999999992E-2</v>
      </c>
      <c r="E116" s="29">
        <f t="shared" si="53"/>
        <v>-1.0800000000000001E-2</v>
      </c>
      <c r="F116">
        <v>110608.179</v>
      </c>
      <c r="G116" s="1">
        <f t="shared" si="54"/>
        <v>-846</v>
      </c>
      <c r="H116" s="13">
        <f t="shared" si="55"/>
        <v>-3.1100000000000017E-2</v>
      </c>
      <c r="I116" s="29">
        <f t="shared" si="56"/>
        <v>-1.34E-2</v>
      </c>
      <c r="J116" s="10">
        <v>8.3000000000000007</v>
      </c>
      <c r="K116" s="29">
        <f t="shared" si="57"/>
        <v>0.16900000000000001</v>
      </c>
      <c r="L116">
        <v>18.45</v>
      </c>
      <c r="M116" s="29">
        <f t="shared" si="58"/>
        <v>6.1000000000000004E-3</v>
      </c>
      <c r="N116">
        <v>97.47</v>
      </c>
      <c r="O116" s="13">
        <f t="shared" si="63"/>
        <v>0.19239999999999999</v>
      </c>
      <c r="P116">
        <v>234913</v>
      </c>
      <c r="Q116">
        <v>-4.2986800000000001</v>
      </c>
      <c r="R116">
        <f t="shared" si="59"/>
        <v>95.701319999999996</v>
      </c>
      <c r="S116" s="13">
        <f t="shared" si="60"/>
        <v>-2.4599999999999955E-2</v>
      </c>
      <c r="T116" s="13">
        <f t="shared" si="61"/>
        <v>-6.3E-3</v>
      </c>
      <c r="U116" s="30">
        <f t="shared" si="64"/>
        <v>0</v>
      </c>
      <c r="V116" s="31">
        <f t="shared" si="62"/>
        <v>0</v>
      </c>
    </row>
    <row r="117" spans="1:22" x14ac:dyDescent="0.25">
      <c r="A117" s="5">
        <v>39844</v>
      </c>
      <c r="B117" s="10">
        <v>134053</v>
      </c>
      <c r="C117" s="1">
        <f t="shared" si="51"/>
        <v>-791</v>
      </c>
      <c r="D117" s="13">
        <f t="shared" si="52"/>
        <v>-2.5100000000000011E-2</v>
      </c>
      <c r="E117" s="29">
        <f t="shared" si="53"/>
        <v>-1.11E-2</v>
      </c>
      <c r="F117">
        <v>111454.125</v>
      </c>
      <c r="G117" s="1">
        <f t="shared" si="54"/>
        <v>-707</v>
      </c>
      <c r="H117" s="13">
        <f t="shared" si="55"/>
        <v>-2.7299999999999991E-2</v>
      </c>
      <c r="I117" s="29">
        <f t="shared" si="56"/>
        <v>-1.1299999999999999E-2</v>
      </c>
      <c r="J117" s="10">
        <v>7.8</v>
      </c>
      <c r="K117" s="29">
        <f t="shared" si="57"/>
        <v>0.16850000000000001</v>
      </c>
      <c r="L117">
        <v>18.399999999999999</v>
      </c>
      <c r="M117" s="29">
        <f t="shared" si="58"/>
        <v>6.0000000000000001E-3</v>
      </c>
      <c r="N117">
        <v>89.16</v>
      </c>
      <c r="O117" s="13">
        <f t="shared" si="63"/>
        <v>0.15540000000000001</v>
      </c>
      <c r="P117">
        <v>234739</v>
      </c>
      <c r="Q117">
        <v>-3.9964200000000001</v>
      </c>
      <c r="R117">
        <f t="shared" si="59"/>
        <v>96.003579999999999</v>
      </c>
      <c r="S117" s="13">
        <f t="shared" si="60"/>
        <v>-2.2100000000000009E-2</v>
      </c>
      <c r="T117" s="13">
        <f t="shared" si="61"/>
        <v>-5.8999999999999999E-3</v>
      </c>
      <c r="U117" s="30">
        <f t="shared" si="64"/>
        <v>0</v>
      </c>
      <c r="V117" s="31">
        <f t="shared" si="62"/>
        <v>0</v>
      </c>
    </row>
    <row r="118" spans="1:22" x14ac:dyDescent="0.25">
      <c r="A118" s="5">
        <v>39813</v>
      </c>
      <c r="B118" s="10">
        <v>134844</v>
      </c>
      <c r="C118" s="1">
        <f t="shared" si="51"/>
        <v>-695</v>
      </c>
      <c r="D118" s="13">
        <f t="shared" si="52"/>
        <v>-2.0800000000000041E-2</v>
      </c>
      <c r="E118" s="29">
        <f t="shared" si="53"/>
        <v>-0.01</v>
      </c>
      <c r="F118">
        <v>112160.67600000001</v>
      </c>
      <c r="G118" s="1">
        <f t="shared" si="54"/>
        <v>-563</v>
      </c>
      <c r="H118" s="13">
        <f t="shared" si="55"/>
        <v>-2.4000000000000021E-2</v>
      </c>
      <c r="I118" s="29">
        <f t="shared" si="56"/>
        <v>-9.9000000000000008E-3</v>
      </c>
      <c r="J118" s="10">
        <v>7.3</v>
      </c>
      <c r="K118" s="29">
        <f t="shared" si="57"/>
        <v>0.14510000000000001</v>
      </c>
      <c r="L118">
        <v>18.38</v>
      </c>
      <c r="M118" s="29">
        <f t="shared" si="58"/>
        <v>7.7000000000000002E-3</v>
      </c>
      <c r="N118">
        <v>88.97</v>
      </c>
      <c r="O118" s="13">
        <f t="shared" si="63"/>
        <v>0.20979999999999999</v>
      </c>
      <c r="P118">
        <v>235035</v>
      </c>
      <c r="Q118">
        <v>-3.52698</v>
      </c>
      <c r="R118">
        <f t="shared" si="59"/>
        <v>96.473020000000005</v>
      </c>
      <c r="S118" s="13">
        <f t="shared" si="60"/>
        <v>-1.8900000000000028E-2</v>
      </c>
      <c r="T118" s="13">
        <f t="shared" si="61"/>
        <v>-4.1999999999999997E-3</v>
      </c>
      <c r="U118" s="30">
        <f t="shared" si="64"/>
        <v>0</v>
      </c>
      <c r="V118" s="31">
        <f t="shared" si="62"/>
        <v>6.87</v>
      </c>
    </row>
    <row r="119" spans="1:22" x14ac:dyDescent="0.25">
      <c r="A119" s="5">
        <v>39782</v>
      </c>
      <c r="B119" s="10">
        <v>135539</v>
      </c>
      <c r="C119" s="1">
        <f t="shared" si="51"/>
        <v>-769</v>
      </c>
      <c r="D119" s="13">
        <f t="shared" si="52"/>
        <v>-1.6900000000000026E-2</v>
      </c>
      <c r="E119" s="29">
        <f t="shared" si="53"/>
        <v>-8.9999999999999993E-3</v>
      </c>
      <c r="F119">
        <v>112723.605</v>
      </c>
      <c r="G119" s="1">
        <f t="shared" si="54"/>
        <v>-583</v>
      </c>
      <c r="H119" s="13">
        <f t="shared" si="55"/>
        <v>-2.1199999999999997E-2</v>
      </c>
      <c r="I119" s="29">
        <f t="shared" si="56"/>
        <v>-9.1000000000000004E-3</v>
      </c>
      <c r="J119" s="10">
        <v>6.8</v>
      </c>
      <c r="K119" s="29">
        <f t="shared" si="57"/>
        <v>0.11020000000000001</v>
      </c>
      <c r="L119">
        <v>18.309999999999999</v>
      </c>
      <c r="M119" s="29">
        <f t="shared" si="58"/>
        <v>6.7000000000000002E-3</v>
      </c>
      <c r="N119">
        <v>81.02</v>
      </c>
      <c r="O119" s="13">
        <f t="shared" si="63"/>
        <v>0.1719</v>
      </c>
      <c r="P119">
        <v>234828</v>
      </c>
      <c r="Q119">
        <v>-2.8280400000000001</v>
      </c>
      <c r="R119">
        <f t="shared" si="59"/>
        <v>97.171959999999999</v>
      </c>
      <c r="S119" s="13">
        <f t="shared" si="60"/>
        <v>-1.3399999999999967E-2</v>
      </c>
      <c r="T119" s="13">
        <f t="shared" si="61"/>
        <v>-2.5000000000000001E-3</v>
      </c>
      <c r="U119" s="30">
        <f t="shared" si="64"/>
        <v>0</v>
      </c>
      <c r="V119" s="31">
        <f t="shared" si="62"/>
        <v>21.98</v>
      </c>
    </row>
    <row r="120" spans="1:22" x14ac:dyDescent="0.25">
      <c r="A120" s="5">
        <v>39752</v>
      </c>
      <c r="B120" s="10">
        <v>136308</v>
      </c>
      <c r="C120" s="1">
        <f t="shared" si="51"/>
        <v>-473</v>
      </c>
      <c r="D120" s="13">
        <f t="shared" si="52"/>
        <v>-1.2700000000000045E-2</v>
      </c>
      <c r="E120" s="29">
        <f t="shared" si="53"/>
        <v>-6.3E-3</v>
      </c>
      <c r="F120">
        <v>113306.382</v>
      </c>
      <c r="G120" s="1">
        <f t="shared" si="54"/>
        <v>-504</v>
      </c>
      <c r="H120" s="13">
        <f t="shared" si="55"/>
        <v>-1.9299999999999984E-2</v>
      </c>
      <c r="I120" s="29">
        <f t="shared" si="56"/>
        <v>-7.7000000000000002E-3</v>
      </c>
      <c r="J120" s="10">
        <v>6.5</v>
      </c>
      <c r="K120" s="29">
        <f t="shared" si="57"/>
        <v>0.1017</v>
      </c>
      <c r="L120">
        <v>18.260000000000002</v>
      </c>
      <c r="M120" s="29">
        <f t="shared" si="58"/>
        <v>7.0000000000000001E-3</v>
      </c>
      <c r="N120">
        <v>74.14</v>
      </c>
      <c r="O120" s="13">
        <f t="shared" si="63"/>
        <v>0.1298</v>
      </c>
      <c r="P120">
        <v>234612</v>
      </c>
      <c r="Q120">
        <v>-1.85209</v>
      </c>
      <c r="R120">
        <f t="shared" si="59"/>
        <v>98.147909999999996</v>
      </c>
      <c r="S120" s="13">
        <f t="shared" si="60"/>
        <v>-6.0000000000000053E-3</v>
      </c>
      <c r="T120" s="13">
        <f t="shared" si="61"/>
        <v>-5.0000000000000001E-4</v>
      </c>
      <c r="U120" s="30">
        <f t="shared" si="64"/>
        <v>20.61</v>
      </c>
      <c r="V120" s="31">
        <f t="shared" si="62"/>
        <v>37.520000000000003</v>
      </c>
    </row>
    <row r="121" spans="1:22" x14ac:dyDescent="0.25">
      <c r="A121" s="5">
        <v>39721</v>
      </c>
      <c r="B121" s="10">
        <v>136781</v>
      </c>
      <c r="C121" s="1">
        <f t="shared" si="51"/>
        <v>-452</v>
      </c>
      <c r="D121" s="13">
        <f t="shared" si="52"/>
        <v>-1.0800000000000032E-2</v>
      </c>
      <c r="E121" s="29">
        <f t="shared" si="53"/>
        <v>-5.1000000000000004E-3</v>
      </c>
      <c r="F121">
        <v>113810.068</v>
      </c>
      <c r="G121" s="1">
        <f t="shared" si="54"/>
        <v>-346</v>
      </c>
      <c r="H121" s="13">
        <f t="shared" si="55"/>
        <v>-1.7399999999999971E-2</v>
      </c>
      <c r="I121" s="29">
        <f t="shared" si="56"/>
        <v>-6.4999999999999997E-3</v>
      </c>
      <c r="J121" s="10">
        <v>6.1</v>
      </c>
      <c r="K121" s="29">
        <f t="shared" si="57"/>
        <v>6.5500000000000003E-2</v>
      </c>
      <c r="L121">
        <v>18.21</v>
      </c>
      <c r="M121" s="29">
        <f t="shared" si="58"/>
        <v>7.4999999999999997E-3</v>
      </c>
      <c r="N121">
        <v>68.13</v>
      </c>
      <c r="O121" s="13">
        <f t="shared" si="63"/>
        <v>8.9899999999999994E-2</v>
      </c>
      <c r="P121">
        <v>234360</v>
      </c>
      <c r="Q121">
        <v>-1.69004</v>
      </c>
      <c r="R121">
        <f t="shared" si="59"/>
        <v>98.309960000000004</v>
      </c>
      <c r="S121" s="13">
        <f t="shared" si="60"/>
        <v>-6.0000000000000053E-3</v>
      </c>
      <c r="T121" s="13">
        <f t="shared" si="61"/>
        <v>-5.0000000000000001E-4</v>
      </c>
      <c r="U121" s="30">
        <f t="shared" si="64"/>
        <v>45.34</v>
      </c>
      <c r="V121" s="31">
        <f t="shared" si="62"/>
        <v>47.89</v>
      </c>
    </row>
    <row r="122" spans="1:22" x14ac:dyDescent="0.25">
      <c r="A122" s="5">
        <v>39691</v>
      </c>
      <c r="B122" s="10">
        <v>137233</v>
      </c>
      <c r="C122" s="1">
        <f t="shared" si="51"/>
        <v>-266</v>
      </c>
      <c r="D122" s="13">
        <f t="shared" si="52"/>
        <v>-8.0000000000000071E-3</v>
      </c>
      <c r="E122" s="29">
        <f t="shared" si="53"/>
        <v>-3.3E-3</v>
      </c>
      <c r="F122">
        <v>114156.416</v>
      </c>
      <c r="G122" s="1">
        <f t="shared" si="54"/>
        <v>-422</v>
      </c>
      <c r="H122" s="13">
        <f t="shared" si="55"/>
        <v>-1.5199999999999991E-2</v>
      </c>
      <c r="I122" s="29">
        <f t="shared" si="56"/>
        <v>-6.4000000000000003E-3</v>
      </c>
      <c r="J122" s="10">
        <v>6.1</v>
      </c>
      <c r="K122" s="29">
        <f t="shared" si="57"/>
        <v>0.1193</v>
      </c>
      <c r="L122">
        <v>18.18</v>
      </c>
      <c r="M122" s="29">
        <f t="shared" si="58"/>
        <v>9.4000000000000004E-3</v>
      </c>
      <c r="N122">
        <v>64.84</v>
      </c>
      <c r="O122" s="13">
        <f t="shared" si="63"/>
        <v>7.3400000000000007E-2</v>
      </c>
      <c r="P122">
        <v>234107</v>
      </c>
      <c r="Q122">
        <v>-1.88887</v>
      </c>
      <c r="R122">
        <f t="shared" si="59"/>
        <v>98.111130000000003</v>
      </c>
      <c r="S122" s="13">
        <f t="shared" si="60"/>
        <v>-1.0800000000000032E-2</v>
      </c>
      <c r="T122" s="13">
        <f t="shared" si="61"/>
        <v>-1.6000000000000001E-3</v>
      </c>
      <c r="U122" s="30">
        <f t="shared" si="64"/>
        <v>46.61</v>
      </c>
      <c r="V122" s="31">
        <f t="shared" si="62"/>
        <v>54.8</v>
      </c>
    </row>
    <row r="123" spans="1:22" x14ac:dyDescent="0.25">
      <c r="A123" s="5">
        <v>39660</v>
      </c>
      <c r="B123" s="10">
        <v>137499</v>
      </c>
      <c r="C123" s="1">
        <f t="shared" si="51"/>
        <v>-209</v>
      </c>
      <c r="D123" s="13">
        <f t="shared" si="52"/>
        <v>-6.7000000000000393E-3</v>
      </c>
      <c r="E123" s="29">
        <f t="shared" si="53"/>
        <v>-2.8E-3</v>
      </c>
      <c r="F123">
        <v>114578.49400000001</v>
      </c>
      <c r="G123" s="1">
        <f t="shared" si="54"/>
        <v>-341</v>
      </c>
      <c r="H123" s="13">
        <f t="shared" si="55"/>
        <v>-1.2399999999999967E-2</v>
      </c>
      <c r="I123" s="29">
        <f t="shared" si="56"/>
        <v>-5.4000000000000003E-3</v>
      </c>
      <c r="J123" s="10">
        <v>5.8</v>
      </c>
      <c r="K123" s="29">
        <f t="shared" si="57"/>
        <v>9.9500000000000005E-2</v>
      </c>
      <c r="L123">
        <v>18.100000000000001</v>
      </c>
      <c r="M123" s="29">
        <f t="shared" si="58"/>
        <v>8.2000000000000007E-3</v>
      </c>
      <c r="N123">
        <v>65.709999999999994</v>
      </c>
      <c r="O123" s="13">
        <f t="shared" si="63"/>
        <v>0.1103</v>
      </c>
      <c r="P123">
        <v>233864</v>
      </c>
      <c r="Q123">
        <v>-1.8301099999999999</v>
      </c>
      <c r="R123">
        <f t="shared" si="59"/>
        <v>98.169889999999995</v>
      </c>
      <c r="S123" s="13">
        <f t="shared" si="60"/>
        <v>-1.3800000000000034E-2</v>
      </c>
      <c r="T123" s="13">
        <f t="shared" si="61"/>
        <v>-1.9E-3</v>
      </c>
      <c r="U123" s="30">
        <f t="shared" si="64"/>
        <v>51.709999999999994</v>
      </c>
      <c r="V123" s="31">
        <f t="shared" si="62"/>
        <v>61.81</v>
      </c>
    </row>
    <row r="124" spans="1:22" x14ac:dyDescent="0.25">
      <c r="A124" s="5">
        <v>39629</v>
      </c>
      <c r="B124" s="10">
        <v>137708</v>
      </c>
      <c r="C124" s="1">
        <f t="shared" si="51"/>
        <v>-165</v>
      </c>
      <c r="D124" s="13">
        <f t="shared" si="52"/>
        <v>-5.0999999999999934E-3</v>
      </c>
      <c r="E124" s="29">
        <f t="shared" si="53"/>
        <v>-2.5999999999999999E-3</v>
      </c>
      <c r="F124">
        <v>114919.348</v>
      </c>
      <c r="G124" s="1">
        <f t="shared" si="54"/>
        <v>-248</v>
      </c>
      <c r="H124" s="13">
        <f t="shared" si="55"/>
        <v>-8.600000000000052E-3</v>
      </c>
      <c r="I124" s="29">
        <f t="shared" si="56"/>
        <v>-5.1000000000000004E-3</v>
      </c>
      <c r="J124" s="10">
        <v>5.6</v>
      </c>
      <c r="K124" s="29">
        <f t="shared" si="57"/>
        <v>9.8000000000000004E-2</v>
      </c>
      <c r="L124">
        <v>18.04</v>
      </c>
      <c r="M124" s="29">
        <f t="shared" si="58"/>
        <v>8.2000000000000007E-3</v>
      </c>
      <c r="N124">
        <v>61.39</v>
      </c>
      <c r="O124" s="13">
        <f t="shared" si="63"/>
        <v>0.08</v>
      </c>
      <c r="P124">
        <v>233627</v>
      </c>
      <c r="Q124">
        <v>-1.6696</v>
      </c>
      <c r="R124">
        <f t="shared" si="59"/>
        <v>98.330399999999997</v>
      </c>
      <c r="S124" s="13">
        <f t="shared" si="60"/>
        <v>-1.1700000000000044E-2</v>
      </c>
      <c r="T124" s="13">
        <f t="shared" si="61"/>
        <v>-2.0999999999999999E-3</v>
      </c>
      <c r="U124" s="30">
        <f t="shared" si="64"/>
        <v>66.069999999999993</v>
      </c>
      <c r="V124" s="31">
        <f t="shared" si="62"/>
        <v>73.290000000000006</v>
      </c>
    </row>
    <row r="125" spans="1:22" x14ac:dyDescent="0.25">
      <c r="A125" s="5">
        <v>39599</v>
      </c>
      <c r="B125" s="10">
        <v>137873</v>
      </c>
      <c r="C125" s="1">
        <f t="shared" si="51"/>
        <v>-185</v>
      </c>
      <c r="D125" s="13">
        <f t="shared" si="52"/>
        <v>-3.1999999999999806E-3</v>
      </c>
      <c r="E125" s="29">
        <f t="shared" si="53"/>
        <v>-2.5000000000000001E-3</v>
      </c>
      <c r="F125">
        <v>115166.959</v>
      </c>
      <c r="G125" s="1">
        <f t="shared" si="54"/>
        <v>-364</v>
      </c>
      <c r="H125" s="13">
        <f t="shared" si="55"/>
        <v>-6.6000000000000503E-3</v>
      </c>
      <c r="I125" s="29">
        <f t="shared" si="56"/>
        <v>-5.1000000000000004E-3</v>
      </c>
      <c r="J125" s="10">
        <v>5.4</v>
      </c>
      <c r="K125" s="29">
        <f t="shared" si="57"/>
        <v>0.08</v>
      </c>
      <c r="L125">
        <v>17.98</v>
      </c>
      <c r="M125" s="29">
        <f t="shared" si="58"/>
        <v>8.3000000000000001E-3</v>
      </c>
      <c r="N125">
        <v>58.58</v>
      </c>
      <c r="O125" s="13">
        <f t="shared" si="63"/>
        <v>6.4299999999999996E-2</v>
      </c>
      <c r="P125">
        <v>233405</v>
      </c>
      <c r="Q125">
        <v>-1.50925</v>
      </c>
      <c r="R125">
        <f t="shared" si="59"/>
        <v>98.490750000000006</v>
      </c>
      <c r="S125" s="13">
        <f t="shared" si="60"/>
        <v>-1.1700000000000044E-2</v>
      </c>
      <c r="T125" s="13">
        <f t="shared" si="61"/>
        <v>-2.5999999999999999E-3</v>
      </c>
      <c r="U125" s="30">
        <f t="shared" si="64"/>
        <v>67.64</v>
      </c>
      <c r="V125" s="31">
        <f t="shared" si="62"/>
        <v>86.79</v>
      </c>
    </row>
    <row r="126" spans="1:22" x14ac:dyDescent="0.25">
      <c r="A126" s="5">
        <v>39568</v>
      </c>
      <c r="B126" s="10">
        <v>138058</v>
      </c>
      <c r="C126" s="1">
        <f t="shared" si="51"/>
        <v>-210</v>
      </c>
      <c r="D126" s="13">
        <f t="shared" si="52"/>
        <v>-1.0000000000000009E-3</v>
      </c>
      <c r="E126" s="29">
        <f t="shared" si="53"/>
        <v>-2.0999999999999999E-3</v>
      </c>
      <c r="F126">
        <v>115530.508</v>
      </c>
      <c r="G126" s="1">
        <f t="shared" si="54"/>
        <v>-295</v>
      </c>
      <c r="H126" s="13">
        <f t="shared" si="55"/>
        <v>-3.0000000000000027E-3</v>
      </c>
      <c r="I126" s="29">
        <f t="shared" si="56"/>
        <v>-3.3999999999999998E-3</v>
      </c>
      <c r="J126" s="10">
        <v>5</v>
      </c>
      <c r="K126" s="29">
        <f t="shared" si="57"/>
        <v>0</v>
      </c>
      <c r="L126">
        <v>17.920000000000002</v>
      </c>
      <c r="M126" s="29">
        <f t="shared" si="58"/>
        <v>8.2000000000000007E-3</v>
      </c>
      <c r="N126">
        <v>57.85</v>
      </c>
      <c r="O126" s="13">
        <f t="shared" si="63"/>
        <v>7.7700000000000005E-2</v>
      </c>
      <c r="P126">
        <v>233198</v>
      </c>
      <c r="Q126">
        <v>-1.25509</v>
      </c>
      <c r="R126">
        <f t="shared" si="59"/>
        <v>98.744910000000004</v>
      </c>
      <c r="S126" s="13">
        <f t="shared" si="60"/>
        <v>-8.700000000000041E-3</v>
      </c>
      <c r="T126" s="13">
        <f t="shared" si="61"/>
        <v>-1.9E-3</v>
      </c>
      <c r="U126" s="30">
        <f t="shared" si="64"/>
        <v>86.17</v>
      </c>
      <c r="V126" s="31">
        <f t="shared" si="62"/>
        <v>101.98</v>
      </c>
    </row>
    <row r="127" spans="1:22" x14ac:dyDescent="0.25">
      <c r="A127" s="5">
        <v>39538</v>
      </c>
      <c r="B127" s="10">
        <v>138268</v>
      </c>
      <c r="C127" s="1">
        <f t="shared" si="51"/>
        <v>-78</v>
      </c>
      <c r="D127" s="13">
        <f t="shared" si="52"/>
        <v>1.1000000000001009E-3</v>
      </c>
      <c r="E127" s="29">
        <f t="shared" si="53"/>
        <v>-8.9999999999999998E-4</v>
      </c>
      <c r="F127">
        <v>115825.4</v>
      </c>
      <c r="G127" s="1">
        <f t="shared" si="54"/>
        <v>-92</v>
      </c>
      <c r="H127" s="13">
        <f t="shared" si="55"/>
        <v>-6.0000000000004494E-4</v>
      </c>
      <c r="I127" s="29">
        <f t="shared" si="56"/>
        <v>-1.1000000000000001E-3</v>
      </c>
      <c r="J127" s="10">
        <v>5.0999999999999996</v>
      </c>
      <c r="K127" s="29">
        <f t="shared" si="57"/>
        <v>4.0800000000000003E-2</v>
      </c>
      <c r="L127">
        <v>17.87</v>
      </c>
      <c r="M127" s="29">
        <f t="shared" si="58"/>
        <v>8.6E-3</v>
      </c>
      <c r="N127">
        <v>54.34</v>
      </c>
      <c r="O127" s="13">
        <f t="shared" si="63"/>
        <v>4.1599999999999998E-2</v>
      </c>
      <c r="P127">
        <v>232995</v>
      </c>
      <c r="Q127">
        <v>-1.09571</v>
      </c>
      <c r="R127">
        <f t="shared" si="59"/>
        <v>98.904290000000003</v>
      </c>
      <c r="S127" s="13">
        <f t="shared" si="60"/>
        <v>-7.0999999999999952E-3</v>
      </c>
      <c r="T127" s="13">
        <f t="shared" si="61"/>
        <v>-1.9E-3</v>
      </c>
      <c r="U127" s="30">
        <f t="shared" si="64"/>
        <v>106.57</v>
      </c>
      <c r="V127" s="31">
        <f t="shared" si="62"/>
        <v>115.07</v>
      </c>
    </row>
    <row r="128" spans="1:22" x14ac:dyDescent="0.25">
      <c r="A128" s="5">
        <v>39507</v>
      </c>
      <c r="B128" s="10">
        <v>138346</v>
      </c>
      <c r="C128" s="1">
        <f t="shared" si="51"/>
        <v>-86</v>
      </c>
      <c r="D128" s="13">
        <f t="shared" si="52"/>
        <v>2.2999999999999687E-3</v>
      </c>
      <c r="E128" s="29">
        <f t="shared" si="53"/>
        <v>-2.9999999999999997E-4</v>
      </c>
      <c r="F128">
        <v>115917.427</v>
      </c>
      <c r="G128" s="1">
        <f t="shared" si="54"/>
        <v>-97</v>
      </c>
      <c r="H128" s="13">
        <f t="shared" si="55"/>
        <v>-9.9999999999988987E-5</v>
      </c>
      <c r="I128" s="29">
        <f t="shared" si="56"/>
        <v>-2.9999999999999997E-4</v>
      </c>
      <c r="J128" s="10">
        <v>4.9000000000000004</v>
      </c>
      <c r="K128" s="29">
        <f t="shared" si="57"/>
        <v>1.03E-2</v>
      </c>
      <c r="L128">
        <v>17.8</v>
      </c>
      <c r="M128" s="29">
        <f t="shared" si="58"/>
        <v>7.9000000000000008E-3</v>
      </c>
      <c r="N128">
        <v>54.32</v>
      </c>
      <c r="O128" s="13">
        <f t="shared" si="63"/>
        <v>4.9599999999999998E-2</v>
      </c>
      <c r="P128">
        <v>232809</v>
      </c>
      <c r="Q128">
        <v>-0.82111000000000001</v>
      </c>
      <c r="R128">
        <f t="shared" si="59"/>
        <v>99.178889999999996</v>
      </c>
      <c r="S128" s="13">
        <f t="shared" si="60"/>
        <v>-6.0000000000000053E-3</v>
      </c>
      <c r="T128" s="13">
        <f t="shared" si="61"/>
        <v>-1.1000000000000001E-3</v>
      </c>
      <c r="U128" s="30">
        <f t="shared" si="64"/>
        <v>113.21000000000001</v>
      </c>
      <c r="V128" s="31">
        <f t="shared" si="62"/>
        <v>120.65</v>
      </c>
    </row>
    <row r="129" spans="1:22" x14ac:dyDescent="0.25">
      <c r="A129" s="5">
        <v>39478</v>
      </c>
      <c r="B129" s="10">
        <v>138432</v>
      </c>
      <c r="C129" s="1">
        <f t="shared" si="51"/>
        <v>19</v>
      </c>
      <c r="D129" s="13">
        <f t="shared" si="52"/>
        <v>2.7999999999999137E-3</v>
      </c>
      <c r="E129" s="29">
        <f t="shared" si="53"/>
        <v>8.9999999999999998E-4</v>
      </c>
      <c r="F129">
        <v>116014.68799999999</v>
      </c>
      <c r="G129" s="1">
        <f t="shared" si="54"/>
        <v>100</v>
      </c>
      <c r="H129" s="13">
        <f t="shared" si="55"/>
        <v>8.9999999999990088E-4</v>
      </c>
      <c r="I129" s="29">
        <f t="shared" si="56"/>
        <v>8.9999999999999998E-4</v>
      </c>
      <c r="J129" s="10">
        <v>5</v>
      </c>
      <c r="K129" s="29">
        <f t="shared" si="57"/>
        <v>4.7100000000000003E-2</v>
      </c>
      <c r="L129">
        <v>17.739999999999998</v>
      </c>
      <c r="M129" s="29">
        <f t="shared" si="58"/>
        <v>7.1000000000000004E-3</v>
      </c>
      <c r="N129">
        <v>53.7</v>
      </c>
      <c r="O129" s="13">
        <f t="shared" si="63"/>
        <v>5.2699999999999997E-2</v>
      </c>
      <c r="P129">
        <v>232616</v>
      </c>
      <c r="Q129">
        <v>-0.46092</v>
      </c>
      <c r="R129">
        <f t="shared" si="59"/>
        <v>99.539079999999998</v>
      </c>
      <c r="S129" s="13">
        <f t="shared" si="60"/>
        <v>-3.0999999999999917E-3</v>
      </c>
      <c r="T129" s="13">
        <f t="shared" si="61"/>
        <v>-2.0000000000000001E-4</v>
      </c>
      <c r="U129" s="30">
        <f t="shared" si="64"/>
        <v>125.44</v>
      </c>
      <c r="V129" s="31">
        <f t="shared" si="62"/>
        <v>130.22999999999999</v>
      </c>
    </row>
    <row r="130" spans="1:22" x14ac:dyDescent="0.25">
      <c r="A130" s="5">
        <v>39447</v>
      </c>
      <c r="B130" s="10">
        <v>138413</v>
      </c>
      <c r="C130" s="1">
        <f t="shared" si="51"/>
        <v>97</v>
      </c>
      <c r="D130" s="13">
        <f t="shared" si="52"/>
        <v>2.3999999999999577E-3</v>
      </c>
      <c r="E130" s="29">
        <f t="shared" si="53"/>
        <v>1.5E-3</v>
      </c>
      <c r="F130">
        <v>115915.159</v>
      </c>
      <c r="G130" s="1">
        <f t="shared" si="54"/>
        <v>-22</v>
      </c>
      <c r="H130" s="13">
        <f t="shared" si="55"/>
        <v>6.9999999999992291E-4</v>
      </c>
      <c r="I130" s="29">
        <f t="shared" si="56"/>
        <v>1E-4</v>
      </c>
      <c r="J130" s="10">
        <v>5</v>
      </c>
      <c r="K130" s="29">
        <f t="shared" si="57"/>
        <v>6.9500000000000006E-2</v>
      </c>
      <c r="L130">
        <v>17.690000000000001</v>
      </c>
      <c r="M130" s="29">
        <f t="shared" si="58"/>
        <v>7.0000000000000001E-3</v>
      </c>
      <c r="N130">
        <v>51.17</v>
      </c>
      <c r="O130" s="13">
        <f t="shared" si="63"/>
        <v>2.58E-2</v>
      </c>
      <c r="P130">
        <v>233156</v>
      </c>
      <c r="Q130">
        <v>-0.50119999999999998</v>
      </c>
      <c r="R130">
        <f t="shared" si="59"/>
        <v>99.498800000000003</v>
      </c>
      <c r="S130" s="13">
        <f t="shared" si="60"/>
        <v>-4.6000000000000485E-3</v>
      </c>
      <c r="T130" s="13">
        <f t="shared" si="61"/>
        <v>-6.9999999999999999E-4</v>
      </c>
      <c r="U130" s="30">
        <f t="shared" si="64"/>
        <v>123.31</v>
      </c>
      <c r="V130" s="31">
        <f t="shared" si="62"/>
        <v>134.22999999999999</v>
      </c>
    </row>
    <row r="131" spans="1:22" x14ac:dyDescent="0.25">
      <c r="A131" s="5">
        <v>39416</v>
      </c>
      <c r="B131" s="10">
        <v>138316</v>
      </c>
      <c r="C131" s="1">
        <f t="shared" si="51"/>
        <v>115</v>
      </c>
      <c r="D131" s="13">
        <f t="shared" si="52"/>
        <v>2.1999999999999797E-3</v>
      </c>
      <c r="E131" s="29">
        <f t="shared" si="53"/>
        <v>1.5E-3</v>
      </c>
      <c r="F131">
        <v>115936.89</v>
      </c>
      <c r="G131" s="1">
        <f t="shared" si="54"/>
        <v>62</v>
      </c>
      <c r="H131" s="13">
        <f t="shared" si="55"/>
        <v>9.9999999999988987E-4</v>
      </c>
      <c r="I131" s="29">
        <f t="shared" si="56"/>
        <v>2.9999999999999997E-4</v>
      </c>
      <c r="J131" s="10">
        <v>4.7</v>
      </c>
      <c r="K131" s="29">
        <f t="shared" si="57"/>
        <v>5.3E-3</v>
      </c>
      <c r="L131">
        <v>17.64</v>
      </c>
      <c r="M131" s="29">
        <f t="shared" si="58"/>
        <v>6.7000000000000002E-3</v>
      </c>
      <c r="N131">
        <v>49.8</v>
      </c>
      <c r="O131" s="13">
        <f t="shared" si="63"/>
        <v>7.9000000000000008E-3</v>
      </c>
      <c r="P131">
        <v>232939</v>
      </c>
      <c r="Q131">
        <v>-0.34239999999999998</v>
      </c>
      <c r="R131">
        <f t="shared" si="59"/>
        <v>99.657600000000002</v>
      </c>
      <c r="S131" s="13">
        <f t="shared" si="60"/>
        <v>-1.9000000000000128E-3</v>
      </c>
      <c r="T131" s="13">
        <f t="shared" si="61"/>
        <v>-5.0000000000000001E-4</v>
      </c>
      <c r="U131" s="30">
        <f t="shared" si="64"/>
        <v>141.94</v>
      </c>
      <c r="V131" s="31">
        <f t="shared" si="62"/>
        <v>136.72</v>
      </c>
    </row>
    <row r="132" spans="1:22" x14ac:dyDescent="0.25">
      <c r="A132" s="5">
        <v>39386</v>
      </c>
      <c r="B132" s="10">
        <v>138201</v>
      </c>
      <c r="C132" s="1">
        <f t="shared" si="51"/>
        <v>85</v>
      </c>
      <c r="D132" s="13">
        <f t="shared" si="52"/>
        <v>2.3999999999999577E-3</v>
      </c>
      <c r="E132" s="29">
        <f t="shared" si="53"/>
        <v>1E-3</v>
      </c>
      <c r="F132">
        <v>115874.982</v>
      </c>
      <c r="G132" s="1">
        <f t="shared" si="54"/>
        <v>-21</v>
      </c>
      <c r="H132" s="13">
        <f t="shared" si="55"/>
        <v>8.9999999999990088E-4</v>
      </c>
      <c r="I132" s="29">
        <f t="shared" si="56"/>
        <v>-2.9999999999999997E-4</v>
      </c>
      <c r="J132" s="10">
        <v>4.7</v>
      </c>
      <c r="K132" s="29">
        <f t="shared" si="57"/>
        <v>1.0800000000000001E-2</v>
      </c>
      <c r="L132">
        <v>17.57</v>
      </c>
      <c r="M132" s="29">
        <f t="shared" si="58"/>
        <v>5.0000000000000001E-3</v>
      </c>
      <c r="N132">
        <v>47.93</v>
      </c>
      <c r="O132" s="13">
        <f t="shared" si="63"/>
        <v>-1.7000000000000001E-2</v>
      </c>
      <c r="P132">
        <v>232715</v>
      </c>
      <c r="Q132">
        <v>-0.38622000000000001</v>
      </c>
      <c r="R132">
        <f t="shared" si="59"/>
        <v>99.613780000000006</v>
      </c>
      <c r="S132" s="13">
        <f t="shared" si="60"/>
        <v>-3.8000000000000256E-3</v>
      </c>
      <c r="T132" s="13">
        <f t="shared" si="61"/>
        <v>-8.9999999999999998E-4</v>
      </c>
      <c r="U132" s="30">
        <f t="shared" si="64"/>
        <v>137.44</v>
      </c>
      <c r="V132" s="31">
        <f t="shared" si="62"/>
        <v>132.15</v>
      </c>
    </row>
    <row r="133" spans="1:22" x14ac:dyDescent="0.25">
      <c r="A133" s="5">
        <v>39355</v>
      </c>
      <c r="B133" s="10">
        <v>138116</v>
      </c>
      <c r="C133" s="1">
        <f t="shared" si="51"/>
        <v>88</v>
      </c>
      <c r="D133" s="13">
        <f t="shared" si="52"/>
        <v>2.3999999999999577E-3</v>
      </c>
      <c r="E133" s="29">
        <f t="shared" si="53"/>
        <v>4.0000000000000002E-4</v>
      </c>
      <c r="F133">
        <v>115895.55100000001</v>
      </c>
      <c r="G133" s="1">
        <f t="shared" si="54"/>
        <v>-28</v>
      </c>
      <c r="H133" s="13">
        <f t="shared" si="55"/>
        <v>2.1999999999999797E-3</v>
      </c>
      <c r="I133" s="29">
        <f t="shared" si="56"/>
        <v>0</v>
      </c>
      <c r="J133" s="10">
        <v>4.7</v>
      </c>
      <c r="K133" s="29">
        <f t="shared" si="57"/>
        <v>2.7300000000000001E-2</v>
      </c>
      <c r="L133">
        <v>17.559999999999999</v>
      </c>
      <c r="M133" s="29">
        <f t="shared" si="58"/>
        <v>7.6E-3</v>
      </c>
      <c r="N133">
        <v>50.1</v>
      </c>
      <c r="O133" s="13">
        <f t="shared" si="63"/>
        <v>1.9E-2</v>
      </c>
      <c r="P133">
        <v>232461</v>
      </c>
      <c r="Q133">
        <v>-0.38972000000000001</v>
      </c>
      <c r="R133">
        <f t="shared" si="59"/>
        <v>99.610280000000003</v>
      </c>
      <c r="S133" s="13">
        <f t="shared" si="60"/>
        <v>-2.0000000000000018E-3</v>
      </c>
      <c r="T133" s="13">
        <f t="shared" si="61"/>
        <v>-5.9999999999999995E-4</v>
      </c>
      <c r="U133" s="30">
        <f t="shared" si="64"/>
        <v>130.79</v>
      </c>
      <c r="V133" s="31">
        <f t="shared" si="62"/>
        <v>130.19999999999999</v>
      </c>
    </row>
    <row r="134" spans="1:22" x14ac:dyDescent="0.25">
      <c r="A134" s="5">
        <v>39325</v>
      </c>
      <c r="B134" s="10">
        <v>138028</v>
      </c>
      <c r="C134" s="1">
        <f t="shared" ref="C134:C197" si="65">B134-B135</f>
        <v>-24</v>
      </c>
      <c r="D134" s="13">
        <f t="shared" ref="D134:D197" si="66">ROUND(B134/B140,4)-1</f>
        <v>3.1000000000001027E-3</v>
      </c>
      <c r="E134" s="29">
        <f t="shared" ref="E134:E197" si="67">ROUND((B134-AVERAGE(B135:B137))/AVERAGE(B135:B137),4)</f>
        <v>-1E-4</v>
      </c>
      <c r="F134">
        <v>115923.798</v>
      </c>
      <c r="G134" s="1">
        <f t="shared" ref="G134:G197" si="68">ROUND(F134-F135,0)</f>
        <v>8</v>
      </c>
      <c r="H134" s="13">
        <f t="shared" ref="H134:H197" si="69">ROUND(F134/F140,4)-1</f>
        <v>3.1000000000001027E-3</v>
      </c>
      <c r="I134" s="29">
        <f t="shared" ref="I134:I197" si="70">ROUND((F134-AVERAGE(F135:F137))/AVERAGE(F135:F137),4)</f>
        <v>5.9999999999999995E-4</v>
      </c>
      <c r="J134" s="10">
        <v>4.5999999999999996</v>
      </c>
      <c r="K134" s="29">
        <f t="shared" ref="K134:K197" si="71">ROUND((J134-AVERAGE(J135:J138))/AVERAGE(J135:J138),4)</f>
        <v>1.0999999999999999E-2</v>
      </c>
      <c r="L134">
        <v>17.5</v>
      </c>
      <c r="M134" s="29">
        <f t="shared" ref="M134:M197" si="72">ROUND((L134-AVERAGE(L135:L138))/AVERAGE(L135:L138),4)</f>
        <v>7.3000000000000001E-3</v>
      </c>
      <c r="N134">
        <v>50.71</v>
      </c>
      <c r="O134" s="13">
        <f t="shared" si="63"/>
        <v>3.6600000000000001E-2</v>
      </c>
      <c r="P134">
        <v>232211</v>
      </c>
      <c r="Q134">
        <v>-0.22217000000000001</v>
      </c>
      <c r="R134">
        <f t="shared" ref="R134:R197" si="73">Q134+100</f>
        <v>99.777829999999994</v>
      </c>
      <c r="S134" s="13">
        <f t="shared" ref="S134:S197" si="74">ROUND(R134/R140,4)-1</f>
        <v>-3.1999999999999806E-3</v>
      </c>
      <c r="T134" s="13">
        <f t="shared" ref="T134:T197" si="75">ROUND((AVERAGE(R134:R137)-AVERAGE(R135:R138))/AVERAGE(R135:R138),4)</f>
        <v>-5.0000000000000001E-4</v>
      </c>
      <c r="U134" s="30">
        <f t="shared" si="64"/>
        <v>128.22999999999999</v>
      </c>
      <c r="V134" s="31">
        <f t="shared" ref="V134:V197" si="76">ROUND(AVERAGE(U134,U135:U136),2)</f>
        <v>133.52000000000001</v>
      </c>
    </row>
    <row r="135" spans="1:22" x14ac:dyDescent="0.25">
      <c r="A135" s="5">
        <v>39294</v>
      </c>
      <c r="B135" s="10">
        <v>138052</v>
      </c>
      <c r="C135" s="1">
        <f t="shared" si="65"/>
        <v>-33</v>
      </c>
      <c r="D135" s="13">
        <f t="shared" si="66"/>
        <v>4.0000000000000036E-3</v>
      </c>
      <c r="E135" s="29">
        <f t="shared" si="67"/>
        <v>5.0000000000000001E-4</v>
      </c>
      <c r="F135">
        <v>115915.99099999999</v>
      </c>
      <c r="G135" s="1">
        <f t="shared" si="68"/>
        <v>77</v>
      </c>
      <c r="H135" s="13">
        <f t="shared" si="69"/>
        <v>3.7000000000000366E-3</v>
      </c>
      <c r="I135" s="29">
        <f t="shared" si="70"/>
        <v>8.9999999999999998E-4</v>
      </c>
      <c r="J135" s="10">
        <v>4.7</v>
      </c>
      <c r="K135" s="29">
        <f t="shared" si="71"/>
        <v>5.0299999999999997E-2</v>
      </c>
      <c r="L135">
        <v>17.46</v>
      </c>
      <c r="M135" s="29">
        <f t="shared" si="72"/>
        <v>8.3999999999999995E-3</v>
      </c>
      <c r="N135">
        <v>48.87</v>
      </c>
      <c r="O135" s="13">
        <f t="shared" si="63"/>
        <v>1.47E-2</v>
      </c>
      <c r="P135">
        <v>231958</v>
      </c>
      <c r="Q135">
        <v>-0.15392</v>
      </c>
      <c r="R135">
        <f t="shared" si="73"/>
        <v>99.846080000000001</v>
      </c>
      <c r="S135" s="13">
        <f t="shared" si="74"/>
        <v>-9.9999999999988987E-5</v>
      </c>
      <c r="T135" s="13">
        <f t="shared" si="75"/>
        <v>1E-4</v>
      </c>
      <c r="U135" s="30">
        <f t="shared" si="64"/>
        <v>131.59</v>
      </c>
      <c r="V135" s="31">
        <f t="shared" si="76"/>
        <v>140.47</v>
      </c>
    </row>
    <row r="136" spans="1:22" x14ac:dyDescent="0.25">
      <c r="A136" s="5">
        <v>39263</v>
      </c>
      <c r="B136" s="10">
        <v>138085</v>
      </c>
      <c r="C136" s="1">
        <f t="shared" si="65"/>
        <v>78</v>
      </c>
      <c r="D136" s="13">
        <f t="shared" si="66"/>
        <v>6.0000000000000053E-3</v>
      </c>
      <c r="E136" s="29">
        <f t="shared" si="67"/>
        <v>1.4E-3</v>
      </c>
      <c r="F136">
        <v>115839.414</v>
      </c>
      <c r="G136" s="1">
        <f t="shared" si="68"/>
        <v>23</v>
      </c>
      <c r="H136" s="13">
        <f t="shared" si="69"/>
        <v>5.1000000000001044E-3</v>
      </c>
      <c r="I136" s="29">
        <f t="shared" si="70"/>
        <v>8.0000000000000004E-4</v>
      </c>
      <c r="J136" s="10">
        <v>4.5999999999999996</v>
      </c>
      <c r="K136" s="29">
        <f t="shared" si="71"/>
        <v>3.3700000000000001E-2</v>
      </c>
      <c r="L136">
        <v>17.41</v>
      </c>
      <c r="M136" s="29">
        <f t="shared" si="72"/>
        <v>9.2999999999999992E-3</v>
      </c>
      <c r="N136">
        <v>48.12</v>
      </c>
      <c r="O136" s="13">
        <f t="shared" si="63"/>
        <v>8.3999999999999995E-3</v>
      </c>
      <c r="P136">
        <v>231713</v>
      </c>
      <c r="Q136">
        <v>-3.8159999999999999E-2</v>
      </c>
      <c r="R136">
        <f t="shared" si="73"/>
        <v>99.961839999999995</v>
      </c>
      <c r="S136" s="13">
        <f t="shared" si="74"/>
        <v>1.7000000000000348E-3</v>
      </c>
      <c r="T136" s="13">
        <f t="shared" si="75"/>
        <v>-2.9999999999999997E-4</v>
      </c>
      <c r="U136" s="30">
        <f t="shared" si="64"/>
        <v>140.75</v>
      </c>
      <c r="V136" s="31">
        <f t="shared" si="76"/>
        <v>147.35</v>
      </c>
    </row>
    <row r="137" spans="1:22" x14ac:dyDescent="0.25">
      <c r="A137" s="5">
        <v>39233</v>
      </c>
      <c r="B137" s="10">
        <v>138007</v>
      </c>
      <c r="C137" s="1">
        <f t="shared" si="65"/>
        <v>143</v>
      </c>
      <c r="D137" s="13">
        <f t="shared" si="66"/>
        <v>6.6999999999999282E-3</v>
      </c>
      <c r="E137" s="29">
        <f t="shared" si="67"/>
        <v>1.9E-3</v>
      </c>
      <c r="F137">
        <v>115816.08500000001</v>
      </c>
      <c r="G137" s="1">
        <f t="shared" si="68"/>
        <v>40</v>
      </c>
      <c r="H137" s="13">
        <f t="shared" si="69"/>
        <v>5.8000000000000274E-3</v>
      </c>
      <c r="I137" s="29">
        <f t="shared" si="70"/>
        <v>1.2999999999999999E-3</v>
      </c>
      <c r="J137" s="10">
        <v>4.4000000000000004</v>
      </c>
      <c r="K137" s="29">
        <f t="shared" si="71"/>
        <v>-2.2200000000000001E-2</v>
      </c>
      <c r="L137">
        <v>17.34</v>
      </c>
      <c r="M137" s="29">
        <f t="shared" si="72"/>
        <v>8.8999999999999999E-3</v>
      </c>
      <c r="N137">
        <v>49.57</v>
      </c>
      <c r="O137" s="13">
        <f t="shared" si="63"/>
        <v>3.5900000000000001E-2</v>
      </c>
      <c r="P137">
        <v>231480</v>
      </c>
      <c r="Q137">
        <v>-0.15098</v>
      </c>
      <c r="R137">
        <f t="shared" si="73"/>
        <v>99.849019999999996</v>
      </c>
      <c r="S137" s="13">
        <f t="shared" si="74"/>
        <v>0</v>
      </c>
      <c r="T137" s="13">
        <f t="shared" si="75"/>
        <v>0</v>
      </c>
      <c r="U137" s="30">
        <f t="shared" si="64"/>
        <v>149.07</v>
      </c>
      <c r="V137" s="31">
        <f t="shared" si="76"/>
        <v>153.05000000000001</v>
      </c>
    </row>
    <row r="138" spans="1:22" x14ac:dyDescent="0.25">
      <c r="A138" s="5">
        <v>39202</v>
      </c>
      <c r="B138" s="10">
        <v>137864</v>
      </c>
      <c r="C138" s="1">
        <f t="shared" si="65"/>
        <v>79</v>
      </c>
      <c r="D138" s="13">
        <f t="shared" si="66"/>
        <v>7.1000000000001062E-3</v>
      </c>
      <c r="E138" s="29">
        <f t="shared" si="67"/>
        <v>1.6999999999999999E-3</v>
      </c>
      <c r="F138">
        <v>115776.295</v>
      </c>
      <c r="G138" s="1">
        <f t="shared" si="68"/>
        <v>141</v>
      </c>
      <c r="H138" s="13">
        <f t="shared" si="69"/>
        <v>6.0000000000000053E-3</v>
      </c>
      <c r="I138" s="29">
        <f t="shared" si="70"/>
        <v>1.8E-3</v>
      </c>
      <c r="J138" s="10">
        <v>4.5</v>
      </c>
      <c r="K138" s="29">
        <f t="shared" si="71"/>
        <v>5.5999999999999999E-3</v>
      </c>
      <c r="L138">
        <v>17.28</v>
      </c>
      <c r="M138" s="29">
        <f t="shared" si="72"/>
        <v>8.8000000000000005E-3</v>
      </c>
      <c r="N138">
        <v>47.79</v>
      </c>
      <c r="O138" s="13">
        <f t="shared" ref="O138:O201" si="77">ROUND(((N138+25)-(AVERAGE(N139:N144)+25))/(AVERAGE(N139:N144)+25),4)</f>
        <v>1.01E-2</v>
      </c>
      <c r="P138">
        <v>231253</v>
      </c>
      <c r="Q138">
        <v>-1.0619999999999999E-2</v>
      </c>
      <c r="R138">
        <f t="shared" si="73"/>
        <v>99.989379999999997</v>
      </c>
      <c r="S138" s="13">
        <f t="shared" si="74"/>
        <v>2.0000000000000018E-3</v>
      </c>
      <c r="T138" s="13">
        <f t="shared" si="75"/>
        <v>5.0000000000000001E-4</v>
      </c>
      <c r="U138" s="30">
        <f t="shared" ref="U138:U201" si="78">IF(ROUND(((C138/12)+(D138*600)+(E138*2500)+(G138/12)+(H138*500)+(I138*2500)-(J138*1.8)-(K138*300)+(M138*800)-(N138/5)-(O138*300)+(Q138*8)+(S138*600)+(T138*600))/2,2)+142&lt;0,0,ROUND(((C138/12)+(D138*600)+(E138*2500)+(G138/12)+(H138*500)+(I138*2500)-(J138*1.8)-(K138*300)+(M138*800)-(N138/5)-(O138*300)+(Q138*8)+(S138*600)+(T138*600))/2,2)+142)</f>
        <v>152.22</v>
      </c>
      <c r="V138" s="31">
        <f t="shared" si="76"/>
        <v>154.33000000000001</v>
      </c>
    </row>
    <row r="139" spans="1:22" x14ac:dyDescent="0.25">
      <c r="A139" s="5">
        <v>39172</v>
      </c>
      <c r="B139" s="10">
        <v>137785</v>
      </c>
      <c r="C139" s="1">
        <f t="shared" si="65"/>
        <v>189</v>
      </c>
      <c r="D139" s="13">
        <f t="shared" si="66"/>
        <v>6.5999999999999392E-3</v>
      </c>
      <c r="E139" s="29">
        <f t="shared" si="67"/>
        <v>2.3999999999999998E-3</v>
      </c>
      <c r="F139">
        <v>115635.7</v>
      </c>
      <c r="G139" s="1">
        <f t="shared" si="68"/>
        <v>65</v>
      </c>
      <c r="H139" s="13">
        <f t="shared" si="69"/>
        <v>5.7000000000000384E-3</v>
      </c>
      <c r="I139" s="29">
        <f t="shared" si="70"/>
        <v>1.6999999999999999E-3</v>
      </c>
      <c r="J139" s="10">
        <v>4.4000000000000004</v>
      </c>
      <c r="K139" s="29">
        <f t="shared" si="71"/>
        <v>-2.2200000000000001E-2</v>
      </c>
      <c r="L139">
        <v>17.23</v>
      </c>
      <c r="M139" s="29">
        <f t="shared" si="72"/>
        <v>9.4999999999999998E-3</v>
      </c>
      <c r="N139">
        <v>47.13</v>
      </c>
      <c r="O139" s="13">
        <f t="shared" si="77"/>
        <v>4.4999999999999997E-3</v>
      </c>
      <c r="P139">
        <v>231034</v>
      </c>
      <c r="Q139">
        <v>-0.18894</v>
      </c>
      <c r="R139">
        <f t="shared" si="73"/>
        <v>99.811059999999998</v>
      </c>
      <c r="S139" s="13">
        <f t="shared" si="74"/>
        <v>-8.0000000000002292E-4</v>
      </c>
      <c r="T139" s="13">
        <f t="shared" si="75"/>
        <v>-1E-4</v>
      </c>
      <c r="U139" s="30">
        <f t="shared" si="78"/>
        <v>157.87</v>
      </c>
      <c r="V139" s="31">
        <f t="shared" si="76"/>
        <v>156.96</v>
      </c>
    </row>
    <row r="140" spans="1:22" x14ac:dyDescent="0.25">
      <c r="A140" s="5">
        <v>39141</v>
      </c>
      <c r="B140" s="10">
        <v>137596</v>
      </c>
      <c r="C140" s="1">
        <f t="shared" si="65"/>
        <v>90</v>
      </c>
      <c r="D140" s="13">
        <f t="shared" si="66"/>
        <v>6.3999999999999613E-3</v>
      </c>
      <c r="E140" s="29">
        <f t="shared" si="67"/>
        <v>2.2000000000000001E-3</v>
      </c>
      <c r="F140">
        <v>115571.111</v>
      </c>
      <c r="G140" s="1">
        <f t="shared" si="68"/>
        <v>86</v>
      </c>
      <c r="H140" s="13">
        <f t="shared" si="69"/>
        <v>5.4000000000000714E-3</v>
      </c>
      <c r="I140" s="29">
        <f t="shared" si="70"/>
        <v>2.3999999999999998E-3</v>
      </c>
      <c r="J140" s="10">
        <v>4.5</v>
      </c>
      <c r="K140" s="29">
        <f t="shared" si="71"/>
        <v>5.5999999999999999E-3</v>
      </c>
      <c r="L140">
        <v>17.149999999999999</v>
      </c>
      <c r="M140" s="29">
        <f t="shared" si="72"/>
        <v>7.9000000000000008E-3</v>
      </c>
      <c r="N140">
        <v>46.76</v>
      </c>
      <c r="O140" s="13">
        <f t="shared" si="77"/>
        <v>0</v>
      </c>
      <c r="P140">
        <v>230834</v>
      </c>
      <c r="Q140">
        <v>9.4549999999999995E-2</v>
      </c>
      <c r="R140">
        <f t="shared" si="73"/>
        <v>100.09455</v>
      </c>
      <c r="S140" s="13">
        <f t="shared" si="74"/>
        <v>1.1000000000001009E-3</v>
      </c>
      <c r="T140" s="13">
        <f t="shared" si="75"/>
        <v>8.0000000000000004E-4</v>
      </c>
      <c r="U140" s="30">
        <f t="shared" si="78"/>
        <v>152.9</v>
      </c>
      <c r="V140" s="31">
        <f t="shared" si="76"/>
        <v>157.9</v>
      </c>
    </row>
    <row r="141" spans="1:22" x14ac:dyDescent="0.25">
      <c r="A141" s="5">
        <v>39113</v>
      </c>
      <c r="B141" s="10">
        <v>137506</v>
      </c>
      <c r="C141" s="1">
        <f t="shared" si="65"/>
        <v>240</v>
      </c>
      <c r="D141" s="13">
        <f t="shared" si="66"/>
        <v>6.9999999999998952E-3</v>
      </c>
      <c r="E141" s="29">
        <f t="shared" si="67"/>
        <v>3.0999999999999999E-3</v>
      </c>
      <c r="F141">
        <v>115484.93799999999</v>
      </c>
      <c r="G141" s="1">
        <f t="shared" si="68"/>
        <v>233</v>
      </c>
      <c r="H141" s="13">
        <f t="shared" si="69"/>
        <v>6.4999999999999503E-3</v>
      </c>
      <c r="I141" s="29">
        <f t="shared" si="70"/>
        <v>2.8E-3</v>
      </c>
      <c r="J141" s="10">
        <v>4.5999999999999996</v>
      </c>
      <c r="K141" s="29">
        <f t="shared" si="71"/>
        <v>3.3700000000000001E-2</v>
      </c>
      <c r="L141">
        <v>17.09</v>
      </c>
      <c r="M141" s="29">
        <f t="shared" si="72"/>
        <v>7.7000000000000002E-3</v>
      </c>
      <c r="N141">
        <v>47.42</v>
      </c>
      <c r="O141" s="13">
        <f t="shared" si="77"/>
        <v>8.6E-3</v>
      </c>
      <c r="P141">
        <v>230650</v>
      </c>
      <c r="Q141">
        <v>-0.13911000000000001</v>
      </c>
      <c r="R141">
        <f t="shared" si="73"/>
        <v>99.860889999999998</v>
      </c>
      <c r="S141" s="13">
        <f t="shared" si="74"/>
        <v>9.9999999999988987E-5</v>
      </c>
      <c r="T141" s="13">
        <f t="shared" si="75"/>
        <v>-1E-4</v>
      </c>
      <c r="U141" s="30">
        <f t="shared" si="78"/>
        <v>160.1</v>
      </c>
      <c r="V141" s="31">
        <f t="shared" si="76"/>
        <v>159.15</v>
      </c>
    </row>
    <row r="142" spans="1:22" x14ac:dyDescent="0.25">
      <c r="A142" s="5">
        <v>39082</v>
      </c>
      <c r="B142" s="10">
        <v>137266</v>
      </c>
      <c r="C142" s="1">
        <f t="shared" si="65"/>
        <v>171</v>
      </c>
      <c r="D142" s="13">
        <f t="shared" si="66"/>
        <v>6.7999999999999172E-3</v>
      </c>
      <c r="E142" s="29">
        <f t="shared" si="67"/>
        <v>2.3E-3</v>
      </c>
      <c r="F142">
        <v>115251.723</v>
      </c>
      <c r="G142" s="1">
        <f t="shared" si="68"/>
        <v>109</v>
      </c>
      <c r="H142" s="13">
        <f t="shared" si="69"/>
        <v>5.6000000000000494E-3</v>
      </c>
      <c r="I142" s="29">
        <f t="shared" si="70"/>
        <v>1.6000000000000001E-3</v>
      </c>
      <c r="J142" s="10">
        <v>4.4000000000000004</v>
      </c>
      <c r="K142" s="29">
        <f t="shared" si="71"/>
        <v>-2.76E-2</v>
      </c>
      <c r="L142">
        <v>17.05</v>
      </c>
      <c r="M142" s="29">
        <f t="shared" si="72"/>
        <v>8.6999999999999994E-3</v>
      </c>
      <c r="N142">
        <v>46.4</v>
      </c>
      <c r="O142" s="13">
        <f t="shared" si="77"/>
        <v>-8.9999999999999993E-3</v>
      </c>
      <c r="P142">
        <v>230108</v>
      </c>
      <c r="Q142">
        <v>-0.20313999999999999</v>
      </c>
      <c r="R142">
        <f t="shared" si="73"/>
        <v>99.796859999999995</v>
      </c>
      <c r="S142" s="13">
        <f t="shared" si="74"/>
        <v>-2.2999999999999687E-3</v>
      </c>
      <c r="T142" s="13">
        <f t="shared" si="75"/>
        <v>-5.0000000000000001E-4</v>
      </c>
      <c r="U142" s="30">
        <f t="shared" si="78"/>
        <v>160.69999999999999</v>
      </c>
      <c r="V142" s="31">
        <f t="shared" si="76"/>
        <v>155.1</v>
      </c>
    </row>
    <row r="143" spans="1:22" x14ac:dyDescent="0.25">
      <c r="A143" s="5">
        <v>39051</v>
      </c>
      <c r="B143" s="10">
        <v>137095</v>
      </c>
      <c r="C143" s="1">
        <f t="shared" si="65"/>
        <v>208</v>
      </c>
      <c r="D143" s="13">
        <f t="shared" si="66"/>
        <v>6.1999999999999833E-3</v>
      </c>
      <c r="E143" s="29">
        <f t="shared" si="67"/>
        <v>1.9E-3</v>
      </c>
      <c r="F143">
        <v>115142.675</v>
      </c>
      <c r="G143" s="1">
        <f t="shared" si="68"/>
        <v>62</v>
      </c>
      <c r="H143" s="13">
        <f t="shared" si="69"/>
        <v>5.4000000000000714E-3</v>
      </c>
      <c r="I143" s="29">
        <f t="shared" si="70"/>
        <v>1.1999999999999999E-3</v>
      </c>
      <c r="J143" s="10">
        <v>4.5</v>
      </c>
      <c r="K143" s="29">
        <f t="shared" si="71"/>
        <v>-1.6400000000000001E-2</v>
      </c>
      <c r="L143">
        <v>16.98</v>
      </c>
      <c r="M143" s="29">
        <f t="shared" si="72"/>
        <v>7.6E-3</v>
      </c>
      <c r="N143">
        <v>46.43</v>
      </c>
      <c r="O143" s="13">
        <f t="shared" si="77"/>
        <v>-6.6E-3</v>
      </c>
      <c r="P143">
        <v>229905</v>
      </c>
      <c r="Q143">
        <v>-0.14854999999999999</v>
      </c>
      <c r="R143">
        <f t="shared" si="73"/>
        <v>99.85145</v>
      </c>
      <c r="S143" s="13">
        <f t="shared" si="74"/>
        <v>-3.0000000000000027E-3</v>
      </c>
      <c r="T143" s="13">
        <f t="shared" si="75"/>
        <v>0</v>
      </c>
      <c r="U143" s="30">
        <f t="shared" si="78"/>
        <v>156.63999999999999</v>
      </c>
      <c r="V143" s="31">
        <f t="shared" si="76"/>
        <v>154.08000000000001</v>
      </c>
    </row>
    <row r="144" spans="1:22" x14ac:dyDescent="0.25">
      <c r="A144" s="5">
        <v>39021</v>
      </c>
      <c r="B144" s="10">
        <v>136887</v>
      </c>
      <c r="C144" s="1">
        <f t="shared" si="65"/>
        <v>4</v>
      </c>
      <c r="D144" s="13">
        <f t="shared" si="66"/>
        <v>4.7999999999999154E-3</v>
      </c>
      <c r="E144" s="29">
        <f t="shared" si="67"/>
        <v>1.1999999999999999E-3</v>
      </c>
      <c r="F144">
        <v>115080.499</v>
      </c>
      <c r="G144" s="1">
        <f t="shared" si="68"/>
        <v>96</v>
      </c>
      <c r="H144" s="13">
        <f t="shared" si="69"/>
        <v>6.8999999999999062E-3</v>
      </c>
      <c r="I144" s="29">
        <f t="shared" si="70"/>
        <v>1.6000000000000001E-3</v>
      </c>
      <c r="J144" s="10">
        <v>4.4000000000000004</v>
      </c>
      <c r="K144" s="29">
        <f t="shared" si="71"/>
        <v>-4.8599999999999997E-2</v>
      </c>
      <c r="L144">
        <v>16.940000000000001</v>
      </c>
      <c r="M144" s="29">
        <f t="shared" si="72"/>
        <v>8.5000000000000006E-3</v>
      </c>
      <c r="N144">
        <v>48.23</v>
      </c>
      <c r="O144" s="13">
        <f t="shared" si="77"/>
        <v>3.04E-2</v>
      </c>
      <c r="P144">
        <v>229675</v>
      </c>
      <c r="Q144">
        <v>-0.21382999999999999</v>
      </c>
      <c r="R144">
        <f t="shared" si="73"/>
        <v>99.786169999999998</v>
      </c>
      <c r="S144" s="13">
        <f t="shared" si="74"/>
        <v>-3.9000000000000146E-3</v>
      </c>
      <c r="T144" s="13">
        <f t="shared" si="75"/>
        <v>-5.9999999999999995E-4</v>
      </c>
      <c r="U144" s="30">
        <f t="shared" si="78"/>
        <v>147.97</v>
      </c>
      <c r="V144" s="31">
        <f t="shared" si="76"/>
        <v>155.09</v>
      </c>
    </row>
    <row r="145" spans="1:22" x14ac:dyDescent="0.25">
      <c r="A145" s="5">
        <v>38990</v>
      </c>
      <c r="B145" s="10">
        <v>136883</v>
      </c>
      <c r="C145" s="1">
        <f t="shared" si="65"/>
        <v>158</v>
      </c>
      <c r="D145" s="13">
        <f t="shared" si="66"/>
        <v>6.0999999999999943E-3</v>
      </c>
      <c r="E145" s="29">
        <f t="shared" si="67"/>
        <v>2.5000000000000001E-3</v>
      </c>
      <c r="F145">
        <v>114984.507</v>
      </c>
      <c r="G145" s="1">
        <f t="shared" si="68"/>
        <v>30</v>
      </c>
      <c r="H145" s="13">
        <f t="shared" si="69"/>
        <v>7.3000000000000842E-3</v>
      </c>
      <c r="I145" s="29">
        <f t="shared" si="70"/>
        <v>1.9E-3</v>
      </c>
      <c r="J145" s="10">
        <v>4.5</v>
      </c>
      <c r="K145" s="29">
        <f t="shared" si="71"/>
        <v>-3.2300000000000002E-2</v>
      </c>
      <c r="L145">
        <v>16.87</v>
      </c>
      <c r="M145" s="29">
        <f t="shared" si="72"/>
        <v>7.6E-3</v>
      </c>
      <c r="N145">
        <v>45.6</v>
      </c>
      <c r="O145" s="13">
        <f t="shared" si="77"/>
        <v>-2.8999999999999998E-3</v>
      </c>
      <c r="P145">
        <v>229420</v>
      </c>
      <c r="Q145">
        <v>-0.10475</v>
      </c>
      <c r="R145">
        <f t="shared" si="73"/>
        <v>99.895250000000004</v>
      </c>
      <c r="S145" s="13">
        <f t="shared" si="74"/>
        <v>-1.6000000000000458E-3</v>
      </c>
      <c r="T145" s="13">
        <f t="shared" si="75"/>
        <v>-5.9999999999999995E-4</v>
      </c>
      <c r="U145" s="30">
        <f t="shared" si="78"/>
        <v>157.62</v>
      </c>
      <c r="V145" s="31">
        <f t="shared" si="76"/>
        <v>156.85</v>
      </c>
    </row>
    <row r="146" spans="1:22" x14ac:dyDescent="0.25">
      <c r="A146" s="5">
        <v>38960</v>
      </c>
      <c r="B146" s="10">
        <v>136725</v>
      </c>
      <c r="C146" s="1">
        <f t="shared" si="65"/>
        <v>181</v>
      </c>
      <c r="D146" s="13">
        <f t="shared" si="66"/>
        <v>6.9999999999998952E-3</v>
      </c>
      <c r="E146" s="29">
        <f t="shared" si="67"/>
        <v>2.5000000000000001E-3</v>
      </c>
      <c r="F146">
        <v>114954.76</v>
      </c>
      <c r="G146" s="1">
        <f t="shared" si="68"/>
        <v>221</v>
      </c>
      <c r="H146" s="13">
        <f t="shared" si="69"/>
        <v>8.499999999999952E-3</v>
      </c>
      <c r="I146" s="29">
        <f t="shared" si="70"/>
        <v>2.8999999999999998E-3</v>
      </c>
      <c r="J146" s="10">
        <v>4.7</v>
      </c>
      <c r="K146" s="29">
        <f t="shared" si="71"/>
        <v>1.0800000000000001E-2</v>
      </c>
      <c r="L146">
        <v>16.82</v>
      </c>
      <c r="M146" s="29">
        <f t="shared" si="72"/>
        <v>7.3000000000000001E-3</v>
      </c>
      <c r="N146">
        <v>46.49</v>
      </c>
      <c r="O146" s="13">
        <f t="shared" si="77"/>
        <v>1.03E-2</v>
      </c>
      <c r="P146">
        <v>229167</v>
      </c>
      <c r="Q146">
        <v>-1.6109999999999999E-2</v>
      </c>
      <c r="R146">
        <f t="shared" si="73"/>
        <v>99.983890000000002</v>
      </c>
      <c r="S146" s="13">
        <f t="shared" si="74"/>
        <v>-2.3999999999999577E-3</v>
      </c>
      <c r="T146" s="13">
        <f t="shared" si="75"/>
        <v>-5.0000000000000001E-4</v>
      </c>
      <c r="U146" s="30">
        <f t="shared" si="78"/>
        <v>159.67000000000002</v>
      </c>
      <c r="V146" s="31">
        <f t="shared" si="76"/>
        <v>154.35</v>
      </c>
    </row>
    <row r="147" spans="1:22" x14ac:dyDescent="0.25">
      <c r="A147" s="5">
        <v>38929</v>
      </c>
      <c r="B147" s="10">
        <v>136544</v>
      </c>
      <c r="C147" s="1">
        <f t="shared" si="65"/>
        <v>207</v>
      </c>
      <c r="D147" s="13">
        <f t="shared" si="66"/>
        <v>8.0999999999999961E-3</v>
      </c>
      <c r="E147" s="29">
        <f t="shared" si="67"/>
        <v>2E-3</v>
      </c>
      <c r="F147">
        <v>114734.23</v>
      </c>
      <c r="G147" s="1">
        <f t="shared" si="68"/>
        <v>126</v>
      </c>
      <c r="H147" s="13">
        <f t="shared" si="69"/>
        <v>1.0000000000000009E-2</v>
      </c>
      <c r="I147" s="29">
        <f t="shared" si="70"/>
        <v>2.3E-3</v>
      </c>
      <c r="J147" s="10">
        <v>4.7</v>
      </c>
      <c r="K147" s="29">
        <f t="shared" si="71"/>
        <v>1.0800000000000001E-2</v>
      </c>
      <c r="L147">
        <v>16.78</v>
      </c>
      <c r="M147" s="29">
        <f t="shared" si="72"/>
        <v>8.6E-3</v>
      </c>
      <c r="N147">
        <v>47.68</v>
      </c>
      <c r="O147" s="13">
        <f t="shared" si="77"/>
        <v>3.1899999999999998E-2</v>
      </c>
      <c r="P147">
        <v>228912</v>
      </c>
      <c r="Q147">
        <v>-0.15057999999999999</v>
      </c>
      <c r="R147">
        <f t="shared" si="73"/>
        <v>99.849419999999995</v>
      </c>
      <c r="S147" s="13">
        <f t="shared" si="74"/>
        <v>-7.0000000000003393E-4</v>
      </c>
      <c r="T147" s="13">
        <f t="shared" si="75"/>
        <v>-5.0000000000000001E-4</v>
      </c>
      <c r="U147" s="30">
        <f t="shared" si="78"/>
        <v>153.25</v>
      </c>
      <c r="V147" s="31">
        <f t="shared" si="76"/>
        <v>155.99</v>
      </c>
    </row>
    <row r="148" spans="1:22" x14ac:dyDescent="0.25">
      <c r="A148" s="5">
        <v>38898</v>
      </c>
      <c r="B148" s="10">
        <v>136337</v>
      </c>
      <c r="C148" s="1">
        <f t="shared" si="65"/>
        <v>82</v>
      </c>
      <c r="D148" s="13">
        <f t="shared" si="66"/>
        <v>8.599999999999941E-3</v>
      </c>
      <c r="E148" s="29">
        <f t="shared" si="67"/>
        <v>1.1999999999999999E-3</v>
      </c>
      <c r="F148">
        <v>114608.58500000001</v>
      </c>
      <c r="G148" s="1">
        <f t="shared" si="68"/>
        <v>84</v>
      </c>
      <c r="H148" s="13">
        <f t="shared" si="69"/>
        <v>1.1900000000000022E-2</v>
      </c>
      <c r="I148" s="29">
        <f t="shared" si="70"/>
        <v>2.5000000000000001E-3</v>
      </c>
      <c r="J148" s="10">
        <v>4.5999999999999996</v>
      </c>
      <c r="K148" s="29">
        <f t="shared" si="71"/>
        <v>-2.1299999999999999E-2</v>
      </c>
      <c r="L148">
        <v>16.72</v>
      </c>
      <c r="M148" s="29">
        <f t="shared" si="72"/>
        <v>8.6E-3</v>
      </c>
      <c r="N148">
        <v>47.85</v>
      </c>
      <c r="O148" s="13">
        <f t="shared" si="77"/>
        <v>3.9899999999999998E-2</v>
      </c>
      <c r="P148">
        <v>228671</v>
      </c>
      <c r="Q148">
        <v>2.8479999999999998E-2</v>
      </c>
      <c r="R148">
        <f t="shared" si="73"/>
        <v>100.02848</v>
      </c>
      <c r="S148" s="13">
        <f t="shared" si="74"/>
        <v>-2.1999999999999797E-3</v>
      </c>
      <c r="T148" s="13">
        <f t="shared" si="75"/>
        <v>-5.0000000000000001E-4</v>
      </c>
      <c r="U148" s="30">
        <f t="shared" si="78"/>
        <v>150.13</v>
      </c>
      <c r="V148" s="31">
        <f t="shared" si="76"/>
        <v>163.85</v>
      </c>
    </row>
    <row r="149" spans="1:22" x14ac:dyDescent="0.25">
      <c r="A149" s="5">
        <v>38868</v>
      </c>
      <c r="B149" s="10">
        <v>136255</v>
      </c>
      <c r="C149" s="1">
        <f t="shared" si="65"/>
        <v>23</v>
      </c>
      <c r="D149" s="13">
        <f t="shared" si="66"/>
        <v>9.200000000000097E-3</v>
      </c>
      <c r="E149" s="29">
        <f t="shared" si="67"/>
        <v>1.8E-3</v>
      </c>
      <c r="F149">
        <v>114524.22199999999</v>
      </c>
      <c r="G149" s="1">
        <f t="shared" si="68"/>
        <v>232</v>
      </c>
      <c r="H149" s="13">
        <f t="shared" si="69"/>
        <v>1.3600000000000056E-2</v>
      </c>
      <c r="I149" s="29">
        <f t="shared" si="70"/>
        <v>3.3E-3</v>
      </c>
      <c r="J149" s="10">
        <v>4.5999999999999996</v>
      </c>
      <c r="K149" s="29">
        <f t="shared" si="71"/>
        <v>-2.6499999999999999E-2</v>
      </c>
      <c r="L149">
        <v>16.649999999999999</v>
      </c>
      <c r="M149" s="29">
        <f t="shared" si="72"/>
        <v>7.9000000000000008E-3</v>
      </c>
      <c r="N149">
        <v>45.56</v>
      </c>
      <c r="O149" s="13">
        <f t="shared" si="77"/>
        <v>4.3E-3</v>
      </c>
      <c r="P149">
        <v>228428</v>
      </c>
      <c r="Q149">
        <v>0.15515000000000001</v>
      </c>
      <c r="R149">
        <f t="shared" si="73"/>
        <v>100.15515000000001</v>
      </c>
      <c r="S149" s="13">
        <f t="shared" si="74"/>
        <v>2.7999999999999137E-3</v>
      </c>
      <c r="T149" s="13">
        <f t="shared" si="75"/>
        <v>5.9999999999999995E-4</v>
      </c>
      <c r="U149" s="30">
        <f t="shared" si="78"/>
        <v>164.59</v>
      </c>
      <c r="V149" s="31">
        <f t="shared" si="76"/>
        <v>175.31</v>
      </c>
    </row>
    <row r="150" spans="1:22" x14ac:dyDescent="0.25">
      <c r="A150" s="5">
        <v>38837</v>
      </c>
      <c r="B150" s="10">
        <v>136232</v>
      </c>
      <c r="C150" s="1">
        <f t="shared" si="65"/>
        <v>183</v>
      </c>
      <c r="D150" s="13">
        <f t="shared" si="66"/>
        <v>1.1500000000000066E-2</v>
      </c>
      <c r="E150" s="29">
        <f t="shared" si="67"/>
        <v>3.5000000000000001E-3</v>
      </c>
      <c r="F150">
        <v>114292.55899999999</v>
      </c>
      <c r="G150" s="1">
        <f t="shared" si="68"/>
        <v>146</v>
      </c>
      <c r="H150" s="13">
        <f t="shared" si="69"/>
        <v>1.4699999999999935E-2</v>
      </c>
      <c r="I150" s="29">
        <f t="shared" si="70"/>
        <v>3.3E-3</v>
      </c>
      <c r="J150" s="10">
        <v>4.7</v>
      </c>
      <c r="K150" s="29">
        <f t="shared" si="71"/>
        <v>-1.5699999999999999E-2</v>
      </c>
      <c r="L150">
        <v>16.64</v>
      </c>
      <c r="M150" s="29">
        <f t="shared" si="72"/>
        <v>1.1599999999999999E-2</v>
      </c>
      <c r="N150">
        <v>43.22</v>
      </c>
      <c r="O150" s="13">
        <f t="shared" si="77"/>
        <v>-3.8300000000000001E-2</v>
      </c>
      <c r="P150">
        <v>228199</v>
      </c>
      <c r="Q150">
        <v>0.18029000000000001</v>
      </c>
      <c r="R150">
        <f t="shared" si="73"/>
        <v>100.18029</v>
      </c>
      <c r="S150" s="13">
        <f t="shared" si="74"/>
        <v>2.1999999999999797E-3</v>
      </c>
      <c r="T150" s="13">
        <f t="shared" si="75"/>
        <v>-2.0000000000000001E-4</v>
      </c>
      <c r="U150" s="30">
        <f t="shared" si="78"/>
        <v>176.84</v>
      </c>
      <c r="V150" s="31">
        <f t="shared" si="76"/>
        <v>184.54</v>
      </c>
    </row>
    <row r="151" spans="1:22" x14ac:dyDescent="0.25">
      <c r="A151" s="5">
        <v>38807</v>
      </c>
      <c r="B151" s="10">
        <v>136049</v>
      </c>
      <c r="C151" s="1">
        <f t="shared" si="65"/>
        <v>281</v>
      </c>
      <c r="D151" s="13">
        <f t="shared" si="66"/>
        <v>1.0799999999999921E-2</v>
      </c>
      <c r="E151" s="29">
        <f t="shared" si="67"/>
        <v>4.3E-3</v>
      </c>
      <c r="F151">
        <v>114146.2</v>
      </c>
      <c r="G151" s="1">
        <f t="shared" si="68"/>
        <v>158</v>
      </c>
      <c r="H151" s="13">
        <f t="shared" si="69"/>
        <v>1.4799999999999924E-2</v>
      </c>
      <c r="I151" s="29">
        <f t="shared" si="70"/>
        <v>4.7000000000000002E-3</v>
      </c>
      <c r="J151" s="10">
        <v>4.7</v>
      </c>
      <c r="K151" s="29">
        <f t="shared" si="71"/>
        <v>-3.09E-2</v>
      </c>
      <c r="L151">
        <v>16.54</v>
      </c>
      <c r="M151" s="29">
        <f t="shared" si="72"/>
        <v>9.1999999999999998E-3</v>
      </c>
      <c r="N151">
        <v>44.02</v>
      </c>
      <c r="O151" s="13">
        <f t="shared" si="77"/>
        <v>-4.4499999999999998E-2</v>
      </c>
      <c r="P151">
        <v>227975</v>
      </c>
      <c r="Q151">
        <v>5.5550000000000002E-2</v>
      </c>
      <c r="R151">
        <f t="shared" si="73"/>
        <v>100.05555</v>
      </c>
      <c r="S151" s="13">
        <f t="shared" si="74"/>
        <v>-2.2999999999999687E-3</v>
      </c>
      <c r="T151" s="13">
        <f t="shared" si="75"/>
        <v>4.0000000000000002E-4</v>
      </c>
      <c r="U151" s="30">
        <f t="shared" si="78"/>
        <v>184.49</v>
      </c>
      <c r="V151" s="31">
        <f t="shared" si="76"/>
        <v>189.56</v>
      </c>
    </row>
    <row r="152" spans="1:22" x14ac:dyDescent="0.25">
      <c r="A152" s="5">
        <v>38776</v>
      </c>
      <c r="B152" s="10">
        <v>135768</v>
      </c>
      <c r="C152" s="1">
        <f t="shared" si="65"/>
        <v>316</v>
      </c>
      <c r="D152" s="13">
        <f t="shared" si="66"/>
        <v>9.200000000000097E-3</v>
      </c>
      <c r="E152" s="29">
        <f t="shared" si="67"/>
        <v>4.1000000000000003E-3</v>
      </c>
      <c r="F152">
        <v>113987.76</v>
      </c>
      <c r="G152" s="1">
        <f t="shared" si="68"/>
        <v>384</v>
      </c>
      <c r="H152" s="13">
        <f t="shared" si="69"/>
        <v>1.330000000000009E-2</v>
      </c>
      <c r="I152" s="29">
        <f t="shared" si="70"/>
        <v>6.1999999999999998E-3</v>
      </c>
      <c r="J152" s="10">
        <v>4.8</v>
      </c>
      <c r="K152" s="29">
        <f t="shared" si="71"/>
        <v>-2.0400000000000001E-2</v>
      </c>
      <c r="L152">
        <v>16.48</v>
      </c>
      <c r="M152" s="29">
        <f t="shared" si="72"/>
        <v>8.3999999999999995E-3</v>
      </c>
      <c r="N152">
        <v>46.25</v>
      </c>
      <c r="O152" s="13">
        <f t="shared" si="77"/>
        <v>-2.1600000000000001E-2</v>
      </c>
      <c r="P152">
        <v>227763</v>
      </c>
      <c r="Q152">
        <v>0.22631000000000001</v>
      </c>
      <c r="R152">
        <f t="shared" si="73"/>
        <v>100.22631</v>
      </c>
      <c r="S152" s="13">
        <f t="shared" si="74"/>
        <v>1.1000000000001009E-3</v>
      </c>
      <c r="T152" s="13">
        <f t="shared" si="75"/>
        <v>6.9999999999999999E-4</v>
      </c>
      <c r="U152" s="30">
        <f t="shared" si="78"/>
        <v>192.29</v>
      </c>
      <c r="V152" s="31">
        <f t="shared" si="76"/>
        <v>187.99</v>
      </c>
    </row>
    <row r="153" spans="1:22" x14ac:dyDescent="0.25">
      <c r="A153" s="5">
        <v>38748</v>
      </c>
      <c r="B153" s="10">
        <v>135452</v>
      </c>
      <c r="C153" s="1">
        <f t="shared" si="65"/>
        <v>278</v>
      </c>
      <c r="D153" s="13">
        <f t="shared" si="66"/>
        <v>8.2999999999999741E-3</v>
      </c>
      <c r="E153" s="29">
        <f t="shared" si="67"/>
        <v>3.7000000000000002E-3</v>
      </c>
      <c r="F153">
        <v>113603.78200000001</v>
      </c>
      <c r="G153" s="1">
        <f t="shared" si="68"/>
        <v>345</v>
      </c>
      <c r="H153" s="13">
        <f t="shared" si="69"/>
        <v>1.1200000000000099E-2</v>
      </c>
      <c r="I153" s="29">
        <f t="shared" si="70"/>
        <v>5.7000000000000002E-3</v>
      </c>
      <c r="J153" s="10">
        <v>4.7</v>
      </c>
      <c r="K153" s="29">
        <f t="shared" si="71"/>
        <v>-5.5300000000000002E-2</v>
      </c>
      <c r="L153">
        <v>16.420000000000002</v>
      </c>
      <c r="M153" s="29">
        <f t="shared" si="72"/>
        <v>8.3000000000000001E-3</v>
      </c>
      <c r="N153">
        <v>45.69</v>
      </c>
      <c r="O153" s="13">
        <f t="shared" si="77"/>
        <v>-3.5999999999999997E-2</v>
      </c>
      <c r="P153">
        <v>227553</v>
      </c>
      <c r="Q153">
        <v>-8.1000000000000003E-2</v>
      </c>
      <c r="R153">
        <f t="shared" si="73"/>
        <v>99.918999999999997</v>
      </c>
      <c r="S153" s="13">
        <f t="shared" si="74"/>
        <v>-2.3999999999999577E-3</v>
      </c>
      <c r="T153" s="13">
        <f t="shared" si="75"/>
        <v>-8.9999999999999998E-4</v>
      </c>
      <c r="U153" s="30">
        <f t="shared" si="78"/>
        <v>191.9</v>
      </c>
      <c r="V153" s="31">
        <f t="shared" si="76"/>
        <v>183.81</v>
      </c>
    </row>
    <row r="154" spans="1:22" x14ac:dyDescent="0.25">
      <c r="A154" s="5">
        <v>38717</v>
      </c>
      <c r="B154" s="10">
        <v>135174</v>
      </c>
      <c r="C154" s="1">
        <f t="shared" si="65"/>
        <v>159</v>
      </c>
      <c r="D154" s="13">
        <f t="shared" si="66"/>
        <v>9.100000000000108E-3</v>
      </c>
      <c r="E154" s="29">
        <f t="shared" si="67"/>
        <v>3.0999999999999999E-3</v>
      </c>
      <c r="F154">
        <v>113258.406</v>
      </c>
      <c r="G154" s="1">
        <f t="shared" si="68"/>
        <v>273</v>
      </c>
      <c r="H154" s="13">
        <f t="shared" si="69"/>
        <v>1.0000000000000009E-2</v>
      </c>
      <c r="I154" s="29">
        <f t="shared" si="70"/>
        <v>4.8999999999999998E-3</v>
      </c>
      <c r="J154" s="10">
        <v>4.9000000000000004</v>
      </c>
      <c r="K154" s="29">
        <f t="shared" si="71"/>
        <v>-1.5100000000000001E-2</v>
      </c>
      <c r="L154">
        <v>16.36</v>
      </c>
      <c r="M154" s="29">
        <f t="shared" si="72"/>
        <v>7.4999999999999997E-3</v>
      </c>
      <c r="N154">
        <v>45.6</v>
      </c>
      <c r="O154" s="13">
        <f t="shared" si="77"/>
        <v>-4.4900000000000002E-2</v>
      </c>
      <c r="P154">
        <v>227425</v>
      </c>
      <c r="Q154">
        <v>0.24948000000000001</v>
      </c>
      <c r="R154">
        <f t="shared" si="73"/>
        <v>100.24948000000001</v>
      </c>
      <c r="S154" s="13">
        <f t="shared" si="74"/>
        <v>1.4000000000000679E-3</v>
      </c>
      <c r="T154" s="13">
        <f t="shared" si="75"/>
        <v>2.9999999999999997E-4</v>
      </c>
      <c r="U154" s="30">
        <f t="shared" si="78"/>
        <v>179.77</v>
      </c>
      <c r="V154" s="31">
        <f t="shared" si="76"/>
        <v>172.08</v>
      </c>
    </row>
    <row r="155" spans="1:22" x14ac:dyDescent="0.25">
      <c r="A155" s="5">
        <v>38686</v>
      </c>
      <c r="B155" s="10">
        <v>135015</v>
      </c>
      <c r="C155" s="1">
        <f t="shared" si="65"/>
        <v>337</v>
      </c>
      <c r="D155" s="13">
        <f t="shared" si="66"/>
        <v>9.8000000000000309E-3</v>
      </c>
      <c r="E155" s="29">
        <f t="shared" si="67"/>
        <v>3.0999999999999999E-3</v>
      </c>
      <c r="F155">
        <v>112985.151</v>
      </c>
      <c r="G155" s="1">
        <f t="shared" si="68"/>
        <v>345</v>
      </c>
      <c r="H155" s="13">
        <f t="shared" si="69"/>
        <v>9.8000000000000309E-3</v>
      </c>
      <c r="I155" s="29">
        <f t="shared" si="70"/>
        <v>4.0000000000000001E-3</v>
      </c>
      <c r="J155" s="10">
        <v>5</v>
      </c>
      <c r="K155" s="29">
        <f t="shared" si="71"/>
        <v>5.0000000000000001E-3</v>
      </c>
      <c r="L155">
        <v>16.3</v>
      </c>
      <c r="M155" s="29">
        <f t="shared" si="72"/>
        <v>6.1999999999999998E-3</v>
      </c>
      <c r="N155">
        <v>46.75</v>
      </c>
      <c r="O155" s="13">
        <f t="shared" si="77"/>
        <v>-3.1699999999999999E-2</v>
      </c>
      <c r="P155">
        <v>227204</v>
      </c>
      <c r="Q155">
        <v>-0.1196</v>
      </c>
      <c r="R155">
        <f t="shared" si="73"/>
        <v>99.880399999999995</v>
      </c>
      <c r="S155" s="13">
        <f t="shared" si="74"/>
        <v>-5.0999999999999934E-3</v>
      </c>
      <c r="T155" s="13">
        <f t="shared" si="75"/>
        <v>-6.9999999999999999E-4</v>
      </c>
      <c r="U155" s="30">
        <f t="shared" si="78"/>
        <v>179.77</v>
      </c>
      <c r="V155" s="31">
        <f t="shared" si="76"/>
        <v>159.30000000000001</v>
      </c>
    </row>
    <row r="156" spans="1:22" x14ac:dyDescent="0.25">
      <c r="A156" s="5">
        <v>38656</v>
      </c>
      <c r="B156" s="10">
        <v>134678</v>
      </c>
      <c r="C156" s="1">
        <f t="shared" si="65"/>
        <v>85</v>
      </c>
      <c r="D156" s="13">
        <f t="shared" si="66"/>
        <v>8.599999999999941E-3</v>
      </c>
      <c r="E156" s="29">
        <f t="shared" si="67"/>
        <v>1.4E-3</v>
      </c>
      <c r="F156">
        <v>112640.266</v>
      </c>
      <c r="G156" s="1">
        <f t="shared" si="68"/>
        <v>157</v>
      </c>
      <c r="H156" s="13">
        <f t="shared" si="69"/>
        <v>8.1999999999999851E-3</v>
      </c>
      <c r="I156" s="29">
        <f t="shared" si="70"/>
        <v>1.8E-3</v>
      </c>
      <c r="J156" s="10">
        <v>5</v>
      </c>
      <c r="K156" s="29">
        <f t="shared" si="71"/>
        <v>5.0000000000000001E-3</v>
      </c>
      <c r="L156">
        <v>16.29</v>
      </c>
      <c r="M156" s="29">
        <f t="shared" si="72"/>
        <v>8.8000000000000005E-3</v>
      </c>
      <c r="N156">
        <v>47.31</v>
      </c>
      <c r="O156" s="13">
        <f t="shared" si="77"/>
        <v>-2.4299999999999999E-2</v>
      </c>
      <c r="P156">
        <v>226959</v>
      </c>
      <c r="Q156">
        <v>-3.8760000000000003E-2</v>
      </c>
      <c r="R156">
        <f t="shared" si="73"/>
        <v>99.961240000000004</v>
      </c>
      <c r="S156" s="13">
        <f t="shared" si="74"/>
        <v>-3.0999999999999917E-3</v>
      </c>
      <c r="T156" s="13">
        <f t="shared" si="75"/>
        <v>-4.0000000000000002E-4</v>
      </c>
      <c r="U156" s="30">
        <f t="shared" si="78"/>
        <v>156.69</v>
      </c>
      <c r="V156" s="31">
        <f t="shared" si="76"/>
        <v>154.78</v>
      </c>
    </row>
    <row r="157" spans="1:22" x14ac:dyDescent="0.25">
      <c r="A157" s="5">
        <v>38625</v>
      </c>
      <c r="B157" s="10">
        <v>134593</v>
      </c>
      <c r="C157" s="1">
        <f t="shared" si="65"/>
        <v>68</v>
      </c>
      <c r="D157" s="13">
        <f t="shared" si="66"/>
        <v>1.0699999999999932E-2</v>
      </c>
      <c r="E157" s="29">
        <f t="shared" si="67"/>
        <v>2.3999999999999998E-3</v>
      </c>
      <c r="F157">
        <v>112483.459</v>
      </c>
      <c r="G157" s="1">
        <f t="shared" si="68"/>
        <v>-8</v>
      </c>
      <c r="H157" s="13">
        <f t="shared" si="69"/>
        <v>9.5000000000000639E-3</v>
      </c>
      <c r="I157" s="29">
        <f t="shared" si="70"/>
        <v>1.4E-3</v>
      </c>
      <c r="J157" s="10">
        <v>5</v>
      </c>
      <c r="K157" s="29">
        <f t="shared" si="71"/>
        <v>0</v>
      </c>
      <c r="L157">
        <v>16.190000000000001</v>
      </c>
      <c r="M157" s="29">
        <f t="shared" si="72"/>
        <v>5.0000000000000001E-3</v>
      </c>
      <c r="N157">
        <v>51.81</v>
      </c>
      <c r="O157" s="13">
        <f t="shared" si="77"/>
        <v>4.3900000000000002E-2</v>
      </c>
      <c r="P157">
        <v>226693</v>
      </c>
      <c r="Q157">
        <v>0.29054999999999997</v>
      </c>
      <c r="R157">
        <f t="shared" si="73"/>
        <v>100.29055</v>
      </c>
      <c r="S157" s="13">
        <f t="shared" si="74"/>
        <v>-7.0000000000003393E-4</v>
      </c>
      <c r="T157" s="13">
        <f t="shared" si="75"/>
        <v>-2.9999999999999997E-4</v>
      </c>
      <c r="U157" s="30">
        <f t="shared" si="78"/>
        <v>141.43</v>
      </c>
      <c r="V157" s="31">
        <f t="shared" si="76"/>
        <v>162.13</v>
      </c>
    </row>
    <row r="158" spans="1:22" x14ac:dyDescent="0.25">
      <c r="A158" s="5">
        <v>38595</v>
      </c>
      <c r="B158" s="10">
        <v>134525</v>
      </c>
      <c r="C158" s="1">
        <f t="shared" si="65"/>
        <v>194</v>
      </c>
      <c r="D158" s="13">
        <f t="shared" si="66"/>
        <v>1.1200000000000099E-2</v>
      </c>
      <c r="E158" s="29">
        <f t="shared" si="67"/>
        <v>3.8999999999999998E-3</v>
      </c>
      <c r="F158">
        <v>112490.981</v>
      </c>
      <c r="G158" s="1">
        <f t="shared" si="68"/>
        <v>148</v>
      </c>
      <c r="H158" s="13">
        <f t="shared" si="69"/>
        <v>1.0699999999999932E-2</v>
      </c>
      <c r="I158" s="29">
        <f t="shared" si="70"/>
        <v>3.3E-3</v>
      </c>
      <c r="J158" s="10">
        <v>4.9000000000000004</v>
      </c>
      <c r="K158" s="29">
        <f t="shared" si="71"/>
        <v>-3.4500000000000003E-2</v>
      </c>
      <c r="L158">
        <v>16.170000000000002</v>
      </c>
      <c r="M158" s="29">
        <f t="shared" si="72"/>
        <v>6.1999999999999998E-3</v>
      </c>
      <c r="N158">
        <v>49.77</v>
      </c>
      <c r="O158" s="13">
        <f t="shared" si="77"/>
        <v>2.23E-2</v>
      </c>
      <c r="P158">
        <v>226421</v>
      </c>
      <c r="Q158">
        <v>0.11799</v>
      </c>
      <c r="R158">
        <f t="shared" si="73"/>
        <v>100.11799000000001</v>
      </c>
      <c r="S158" s="13">
        <f t="shared" si="74"/>
        <v>-1.0999999999999899E-3</v>
      </c>
      <c r="T158" s="13">
        <f t="shared" si="75"/>
        <v>-4.0000000000000002E-4</v>
      </c>
      <c r="U158" s="30">
        <f t="shared" si="78"/>
        <v>166.23</v>
      </c>
      <c r="V158" s="31">
        <f t="shared" si="76"/>
        <v>173.35</v>
      </c>
    </row>
    <row r="159" spans="1:22" x14ac:dyDescent="0.25">
      <c r="A159" s="5">
        <v>38564</v>
      </c>
      <c r="B159" s="10">
        <v>134331</v>
      </c>
      <c r="C159" s="1">
        <f t="shared" si="65"/>
        <v>376</v>
      </c>
      <c r="D159" s="13">
        <f t="shared" si="66"/>
        <v>1.1600000000000055E-2</v>
      </c>
      <c r="E159" s="29">
        <f t="shared" si="67"/>
        <v>4.4999999999999997E-3</v>
      </c>
      <c r="F159">
        <v>112342.605</v>
      </c>
      <c r="G159" s="1">
        <f t="shared" si="68"/>
        <v>201</v>
      </c>
      <c r="H159" s="13">
        <f t="shared" si="69"/>
        <v>1.0599999999999943E-2</v>
      </c>
      <c r="I159" s="29">
        <f t="shared" si="70"/>
        <v>3.8E-3</v>
      </c>
      <c r="J159" s="10">
        <v>5</v>
      </c>
      <c r="K159" s="29">
        <f t="shared" si="71"/>
        <v>-2.4400000000000002E-2</v>
      </c>
      <c r="L159">
        <v>16.149999999999999</v>
      </c>
      <c r="M159" s="29">
        <f t="shared" si="72"/>
        <v>7.7999999999999996E-3</v>
      </c>
      <c r="N159">
        <v>48.76</v>
      </c>
      <c r="O159" s="13">
        <f t="shared" si="77"/>
        <v>8.8000000000000005E-3</v>
      </c>
      <c r="P159">
        <v>226153</v>
      </c>
      <c r="Q159">
        <v>0.16102</v>
      </c>
      <c r="R159">
        <f t="shared" si="73"/>
        <v>100.16101999999999</v>
      </c>
      <c r="S159" s="13">
        <f t="shared" si="74"/>
        <v>-1.2999999999999678E-3</v>
      </c>
      <c r="T159" s="13">
        <f t="shared" si="75"/>
        <v>-5.0000000000000001E-4</v>
      </c>
      <c r="U159" s="30">
        <f t="shared" si="78"/>
        <v>178.73</v>
      </c>
      <c r="V159" s="31">
        <f t="shared" si="76"/>
        <v>174.86</v>
      </c>
    </row>
    <row r="160" spans="1:22" x14ac:dyDescent="0.25">
      <c r="A160" s="5">
        <v>38533</v>
      </c>
      <c r="B160" s="10">
        <v>133955</v>
      </c>
      <c r="C160" s="1">
        <f t="shared" si="65"/>
        <v>247</v>
      </c>
      <c r="D160" s="13">
        <f t="shared" si="66"/>
        <v>9.8000000000000309E-3</v>
      </c>
      <c r="E160" s="29">
        <f t="shared" si="67"/>
        <v>3.5999999999999999E-3</v>
      </c>
      <c r="F160">
        <v>112141.193</v>
      </c>
      <c r="G160" s="1">
        <f t="shared" si="68"/>
        <v>258</v>
      </c>
      <c r="H160" s="13">
        <f t="shared" si="69"/>
        <v>1.0299999999999976E-2</v>
      </c>
      <c r="I160" s="29">
        <f t="shared" si="70"/>
        <v>4.1000000000000003E-3</v>
      </c>
      <c r="J160" s="10">
        <v>5</v>
      </c>
      <c r="K160" s="29">
        <f t="shared" si="71"/>
        <v>-4.3099999999999999E-2</v>
      </c>
      <c r="L160">
        <v>16.079999999999998</v>
      </c>
      <c r="M160" s="29">
        <f t="shared" si="72"/>
        <v>5.7999999999999996E-3</v>
      </c>
      <c r="N160">
        <v>49.11</v>
      </c>
      <c r="O160" s="13">
        <f t="shared" si="77"/>
        <v>1.37E-2</v>
      </c>
      <c r="P160">
        <v>225911</v>
      </c>
      <c r="Q160">
        <v>0.10514</v>
      </c>
      <c r="R160">
        <f t="shared" si="73"/>
        <v>100.10514000000001</v>
      </c>
      <c r="S160" s="13">
        <f t="shared" si="74"/>
        <v>-2.4999999999999467E-3</v>
      </c>
      <c r="T160" s="13">
        <f t="shared" si="75"/>
        <v>-2.9999999999999997E-4</v>
      </c>
      <c r="U160" s="30">
        <f t="shared" si="78"/>
        <v>175.07999999999998</v>
      </c>
      <c r="V160" s="31">
        <f t="shared" si="76"/>
        <v>177</v>
      </c>
    </row>
    <row r="161" spans="1:22" x14ac:dyDescent="0.25">
      <c r="A161" s="5">
        <v>38503</v>
      </c>
      <c r="B161" s="10">
        <v>133708</v>
      </c>
      <c r="C161" s="1">
        <f t="shared" si="65"/>
        <v>174</v>
      </c>
      <c r="D161" s="13">
        <f t="shared" si="66"/>
        <v>8.899999999999908E-3</v>
      </c>
      <c r="E161" s="29">
        <f t="shared" si="67"/>
        <v>3.5000000000000001E-3</v>
      </c>
      <c r="F161">
        <v>111883.553</v>
      </c>
      <c r="G161" s="1">
        <f t="shared" si="68"/>
        <v>162</v>
      </c>
      <c r="H161" s="13">
        <f t="shared" si="69"/>
        <v>9.9000000000000199E-3</v>
      </c>
      <c r="I161" s="29">
        <f t="shared" si="70"/>
        <v>3.5999999999999999E-3</v>
      </c>
      <c r="J161" s="10">
        <v>5.0999999999999996</v>
      </c>
      <c r="K161" s="29">
        <f t="shared" si="71"/>
        <v>-3.32E-2</v>
      </c>
      <c r="L161">
        <v>16.04</v>
      </c>
      <c r="M161" s="29">
        <f t="shared" si="72"/>
        <v>5.4999999999999997E-3</v>
      </c>
      <c r="N161">
        <v>47.82</v>
      </c>
      <c r="O161" s="13">
        <f t="shared" si="77"/>
        <v>-9.7999999999999997E-3</v>
      </c>
      <c r="P161">
        <v>225670</v>
      </c>
      <c r="Q161">
        <v>0.39606999999999998</v>
      </c>
      <c r="R161">
        <f t="shared" si="73"/>
        <v>100.39606999999999</v>
      </c>
      <c r="S161" s="13">
        <f t="shared" si="74"/>
        <v>-7.0000000000003393E-4</v>
      </c>
      <c r="T161" s="13">
        <f t="shared" si="75"/>
        <v>2.9999999999999997E-4</v>
      </c>
      <c r="U161" s="30">
        <f t="shared" si="78"/>
        <v>170.76</v>
      </c>
      <c r="V161" s="31">
        <f t="shared" si="76"/>
        <v>173.62</v>
      </c>
    </row>
    <row r="162" spans="1:22" x14ac:dyDescent="0.25">
      <c r="A162" s="5">
        <v>38472</v>
      </c>
      <c r="B162" s="10">
        <v>133534</v>
      </c>
      <c r="C162" s="1">
        <f t="shared" si="65"/>
        <v>365</v>
      </c>
      <c r="D162" s="13">
        <f t="shared" si="66"/>
        <v>8.0999999999999961E-3</v>
      </c>
      <c r="E162" s="29">
        <f t="shared" si="67"/>
        <v>4.0000000000000001E-3</v>
      </c>
      <c r="F162">
        <v>111721.30899999999</v>
      </c>
      <c r="G162" s="1">
        <f t="shared" si="68"/>
        <v>292</v>
      </c>
      <c r="H162" s="13">
        <f t="shared" si="69"/>
        <v>9.400000000000075E-3</v>
      </c>
      <c r="I162" s="29">
        <f t="shared" si="70"/>
        <v>3.8E-3</v>
      </c>
      <c r="J162" s="10">
        <v>5.2</v>
      </c>
      <c r="K162" s="29">
        <f t="shared" si="71"/>
        <v>-2.35E-2</v>
      </c>
      <c r="L162">
        <v>16.010000000000002</v>
      </c>
      <c r="M162" s="29">
        <f t="shared" si="72"/>
        <v>6.0000000000000001E-3</v>
      </c>
      <c r="N162">
        <v>47.41</v>
      </c>
      <c r="O162" s="13">
        <f t="shared" si="77"/>
        <v>-2.86E-2</v>
      </c>
      <c r="P162">
        <v>225441</v>
      </c>
      <c r="Q162">
        <v>0.26807999999999998</v>
      </c>
      <c r="R162">
        <f t="shared" si="73"/>
        <v>100.26808</v>
      </c>
      <c r="S162" s="13">
        <f t="shared" si="74"/>
        <v>-1.8000000000000238E-3</v>
      </c>
      <c r="T162" s="13">
        <f t="shared" si="75"/>
        <v>-2.0000000000000001E-4</v>
      </c>
      <c r="U162" s="30">
        <f t="shared" si="78"/>
        <v>185.17000000000002</v>
      </c>
      <c r="V162" s="31">
        <f t="shared" si="76"/>
        <v>172.44</v>
      </c>
    </row>
    <row r="163" spans="1:22" x14ac:dyDescent="0.25">
      <c r="A163" s="5">
        <v>38442</v>
      </c>
      <c r="B163" s="10">
        <v>133169</v>
      </c>
      <c r="C163" s="1">
        <f t="shared" si="65"/>
        <v>136</v>
      </c>
      <c r="D163" s="13">
        <f t="shared" si="66"/>
        <v>7.9000000000000181E-3</v>
      </c>
      <c r="E163" s="29">
        <f t="shared" si="67"/>
        <v>2.5999999999999999E-3</v>
      </c>
      <c r="F163">
        <v>111429.3</v>
      </c>
      <c r="G163" s="1">
        <f t="shared" si="68"/>
        <v>129</v>
      </c>
      <c r="H163" s="13">
        <f t="shared" si="69"/>
        <v>8.499999999999952E-3</v>
      </c>
      <c r="I163" s="29">
        <f t="shared" si="70"/>
        <v>2.5000000000000001E-3</v>
      </c>
      <c r="J163" s="10">
        <v>5.2</v>
      </c>
      <c r="K163" s="29">
        <f t="shared" si="71"/>
        <v>-3.2599999999999997E-2</v>
      </c>
      <c r="L163">
        <v>15.97</v>
      </c>
      <c r="M163" s="29">
        <f t="shared" si="72"/>
        <v>5.4999999999999997E-3</v>
      </c>
      <c r="N163">
        <v>48.63</v>
      </c>
      <c r="O163" s="13">
        <f t="shared" si="77"/>
        <v>-1.46E-2</v>
      </c>
      <c r="P163">
        <v>225236</v>
      </c>
      <c r="Q163">
        <v>0.36016999999999999</v>
      </c>
      <c r="R163">
        <f t="shared" si="73"/>
        <v>100.36017</v>
      </c>
      <c r="S163" s="13">
        <f t="shared" si="74"/>
        <v>-1.9999999999997797E-4</v>
      </c>
      <c r="T163" s="13">
        <f t="shared" si="75"/>
        <v>-2.9999999999999997E-4</v>
      </c>
      <c r="U163" s="30">
        <f t="shared" si="78"/>
        <v>164.94</v>
      </c>
      <c r="V163" s="31">
        <f t="shared" si="76"/>
        <v>165.33</v>
      </c>
    </row>
    <row r="164" spans="1:22" x14ac:dyDescent="0.25">
      <c r="A164" s="5">
        <v>38411</v>
      </c>
      <c r="B164" s="10">
        <v>133033</v>
      </c>
      <c r="C164" s="1">
        <f t="shared" si="65"/>
        <v>239</v>
      </c>
      <c r="D164" s="13">
        <f t="shared" si="66"/>
        <v>8.1999999999999851E-3</v>
      </c>
      <c r="E164" s="29">
        <f t="shared" si="67"/>
        <v>2.8E-3</v>
      </c>
      <c r="F164">
        <v>111300.08500000001</v>
      </c>
      <c r="G164" s="1">
        <f t="shared" si="68"/>
        <v>137</v>
      </c>
      <c r="H164" s="13">
        <f t="shared" si="69"/>
        <v>8.1999999999999851E-3</v>
      </c>
      <c r="I164" s="29">
        <f t="shared" si="70"/>
        <v>2.8999999999999998E-3</v>
      </c>
      <c r="J164" s="10">
        <v>5.4</v>
      </c>
      <c r="K164" s="29">
        <f t="shared" si="71"/>
        <v>0</v>
      </c>
      <c r="L164">
        <v>15.93</v>
      </c>
      <c r="M164" s="29">
        <f t="shared" si="72"/>
        <v>4.8999999999999998E-3</v>
      </c>
      <c r="N164">
        <v>47.1</v>
      </c>
      <c r="O164" s="13">
        <f t="shared" si="77"/>
        <v>-4.0399999999999998E-2</v>
      </c>
      <c r="P164">
        <v>225041</v>
      </c>
      <c r="Q164">
        <v>0.23247999999999999</v>
      </c>
      <c r="R164">
        <f t="shared" si="73"/>
        <v>100.23248</v>
      </c>
      <c r="S164" s="13">
        <f t="shared" si="74"/>
        <v>-4.3999999999999595E-3</v>
      </c>
      <c r="T164" s="13">
        <f t="shared" si="75"/>
        <v>-5.0000000000000001E-4</v>
      </c>
      <c r="U164" s="30">
        <f t="shared" si="78"/>
        <v>167.21</v>
      </c>
      <c r="V164" s="31">
        <f t="shared" si="76"/>
        <v>164.3</v>
      </c>
    </row>
    <row r="165" spans="1:22" x14ac:dyDescent="0.25">
      <c r="A165" s="5">
        <v>38383</v>
      </c>
      <c r="B165" s="10">
        <v>132794</v>
      </c>
      <c r="C165" s="1">
        <f t="shared" si="65"/>
        <v>134</v>
      </c>
      <c r="D165" s="13">
        <f t="shared" si="66"/>
        <v>7.3000000000000842E-3</v>
      </c>
      <c r="E165" s="29">
        <f t="shared" si="67"/>
        <v>1.8E-3</v>
      </c>
      <c r="F165">
        <v>111163.182</v>
      </c>
      <c r="G165" s="1">
        <f t="shared" si="68"/>
        <v>167</v>
      </c>
      <c r="H165" s="13">
        <f t="shared" si="69"/>
        <v>8.899999999999908E-3</v>
      </c>
      <c r="I165" s="29">
        <f t="shared" si="70"/>
        <v>3.0999999999999999E-3</v>
      </c>
      <c r="J165" s="10">
        <v>5.3</v>
      </c>
      <c r="K165" s="29">
        <f t="shared" si="71"/>
        <v>-2.3E-2</v>
      </c>
      <c r="L165">
        <v>15.9</v>
      </c>
      <c r="M165" s="29">
        <f t="shared" si="72"/>
        <v>4.8999999999999998E-3</v>
      </c>
      <c r="N165">
        <v>48.64</v>
      </c>
      <c r="O165" s="13">
        <f t="shared" si="77"/>
        <v>-2.1299999999999999E-2</v>
      </c>
      <c r="P165">
        <v>224837</v>
      </c>
      <c r="Q165">
        <v>0.29518</v>
      </c>
      <c r="R165">
        <f t="shared" si="73"/>
        <v>100.29518</v>
      </c>
      <c r="S165" s="13">
        <f t="shared" si="74"/>
        <v>-4.3999999999999595E-3</v>
      </c>
      <c r="T165" s="13">
        <f t="shared" si="75"/>
        <v>-2.0000000000000001E-4</v>
      </c>
      <c r="U165" s="30">
        <f t="shared" si="78"/>
        <v>163.85</v>
      </c>
      <c r="V165" s="31">
        <f t="shared" si="76"/>
        <v>159.94999999999999</v>
      </c>
    </row>
    <row r="166" spans="1:22" x14ac:dyDescent="0.25">
      <c r="A166" s="5">
        <v>38352</v>
      </c>
      <c r="B166" s="10">
        <v>132660</v>
      </c>
      <c r="C166" s="1">
        <f t="shared" si="65"/>
        <v>130</v>
      </c>
      <c r="D166" s="13">
        <f t="shared" si="66"/>
        <v>6.5999999999999392E-3</v>
      </c>
      <c r="E166" s="29">
        <f t="shared" si="67"/>
        <v>2.2000000000000001E-3</v>
      </c>
      <c r="F166">
        <v>110996.651</v>
      </c>
      <c r="G166" s="1">
        <f t="shared" si="68"/>
        <v>209</v>
      </c>
      <c r="H166" s="13">
        <f t="shared" si="69"/>
        <v>8.499999999999952E-3</v>
      </c>
      <c r="I166" s="29">
        <f t="shared" si="70"/>
        <v>3.0999999999999999E-3</v>
      </c>
      <c r="J166" s="10">
        <v>5.4</v>
      </c>
      <c r="K166" s="29">
        <f t="shared" si="71"/>
        <v>-4.5999999999999999E-3</v>
      </c>
      <c r="L166">
        <v>15.86</v>
      </c>
      <c r="M166" s="29">
        <f t="shared" si="72"/>
        <v>4.3E-3</v>
      </c>
      <c r="N166">
        <v>49.06</v>
      </c>
      <c r="O166" s="13">
        <f t="shared" si="77"/>
        <v>-1.61E-2</v>
      </c>
      <c r="P166">
        <v>224640</v>
      </c>
      <c r="Q166">
        <v>0.35631000000000002</v>
      </c>
      <c r="R166">
        <f t="shared" si="73"/>
        <v>100.35630999999999</v>
      </c>
      <c r="S166" s="13">
        <f t="shared" si="74"/>
        <v>-4.1999999999999815E-3</v>
      </c>
      <c r="T166" s="13">
        <f t="shared" si="75"/>
        <v>-8.0000000000000004E-4</v>
      </c>
      <c r="U166" s="30">
        <f t="shared" si="78"/>
        <v>161.84</v>
      </c>
      <c r="V166" s="31">
        <f t="shared" si="76"/>
        <v>159.83000000000001</v>
      </c>
    </row>
    <row r="167" spans="1:22" x14ac:dyDescent="0.25">
      <c r="A167" s="5">
        <v>38321</v>
      </c>
      <c r="B167" s="10">
        <v>132530</v>
      </c>
      <c r="C167" s="1">
        <f t="shared" si="65"/>
        <v>64</v>
      </c>
      <c r="D167" s="13">
        <f t="shared" si="66"/>
        <v>6.1999999999999833E-3</v>
      </c>
      <c r="E167" s="29">
        <f t="shared" si="67"/>
        <v>2.5999999999999999E-3</v>
      </c>
      <c r="F167">
        <v>110788.113</v>
      </c>
      <c r="G167" s="1">
        <f t="shared" si="68"/>
        <v>104</v>
      </c>
      <c r="H167" s="13">
        <f t="shared" si="69"/>
        <v>8.2999999999999741E-3</v>
      </c>
      <c r="I167" s="29">
        <f t="shared" si="70"/>
        <v>2.3999999999999998E-3</v>
      </c>
      <c r="J167" s="10">
        <v>5.4</v>
      </c>
      <c r="K167" s="29">
        <f t="shared" si="71"/>
        <v>-9.1999999999999998E-3</v>
      </c>
      <c r="L167">
        <v>15.84</v>
      </c>
      <c r="M167" s="29">
        <f t="shared" si="72"/>
        <v>5.1999999999999998E-3</v>
      </c>
      <c r="N167">
        <v>50.39</v>
      </c>
      <c r="O167" s="13">
        <f t="shared" si="77"/>
        <v>5.9999999999999995E-4</v>
      </c>
      <c r="P167">
        <v>224422</v>
      </c>
      <c r="Q167">
        <v>0.46399000000000001</v>
      </c>
      <c r="R167">
        <f t="shared" si="73"/>
        <v>100.46399</v>
      </c>
      <c r="S167" s="13">
        <f t="shared" si="74"/>
        <v>-4.9999999999994493E-4</v>
      </c>
      <c r="T167" s="13">
        <f t="shared" si="75"/>
        <v>-6.9999999999999999E-4</v>
      </c>
      <c r="U167" s="30">
        <f t="shared" si="78"/>
        <v>154.15</v>
      </c>
      <c r="V167" s="31">
        <f t="shared" si="76"/>
        <v>159.71</v>
      </c>
    </row>
    <row r="168" spans="1:22" x14ac:dyDescent="0.25">
      <c r="A168" s="5">
        <v>38291</v>
      </c>
      <c r="B168" s="10">
        <v>132466</v>
      </c>
      <c r="C168" s="1">
        <f t="shared" si="65"/>
        <v>346</v>
      </c>
      <c r="D168" s="13">
        <f t="shared" si="66"/>
        <v>8.0999999999999961E-3</v>
      </c>
      <c r="E168" s="29">
        <f t="shared" si="67"/>
        <v>3.8E-3</v>
      </c>
      <c r="F168">
        <v>110683.68700000001</v>
      </c>
      <c r="G168" s="1">
        <f t="shared" si="68"/>
        <v>198</v>
      </c>
      <c r="H168" s="13">
        <f t="shared" si="69"/>
        <v>8.599999999999941E-3</v>
      </c>
      <c r="I168" s="29">
        <f t="shared" si="70"/>
        <v>3.0000000000000001E-3</v>
      </c>
      <c r="J168" s="10">
        <v>5.5</v>
      </c>
      <c r="K168" s="29">
        <f t="shared" si="71"/>
        <v>4.5999999999999999E-3</v>
      </c>
      <c r="L168">
        <v>15.81</v>
      </c>
      <c r="M168" s="29">
        <f t="shared" si="72"/>
        <v>5.5999999999999999E-3</v>
      </c>
      <c r="N168">
        <v>53.41</v>
      </c>
      <c r="O168" s="13">
        <f t="shared" si="77"/>
        <v>4.7100000000000003E-2</v>
      </c>
      <c r="P168">
        <v>224192</v>
      </c>
      <c r="Q168">
        <v>0.44656000000000001</v>
      </c>
      <c r="R168">
        <f t="shared" si="73"/>
        <v>100.44656000000001</v>
      </c>
      <c r="S168" s="13">
        <f t="shared" si="74"/>
        <v>0</v>
      </c>
      <c r="T168" s="13">
        <f t="shared" si="75"/>
        <v>-8.0000000000000004E-4</v>
      </c>
      <c r="U168" s="30">
        <f t="shared" si="78"/>
        <v>163.49</v>
      </c>
      <c r="V168" s="31">
        <f t="shared" si="76"/>
        <v>164.91</v>
      </c>
    </row>
    <row r="169" spans="1:22" x14ac:dyDescent="0.25">
      <c r="A169" s="5">
        <v>38260</v>
      </c>
      <c r="B169" s="10">
        <v>132120</v>
      </c>
      <c r="C169" s="1">
        <f t="shared" si="65"/>
        <v>164</v>
      </c>
      <c r="D169" s="13">
        <f t="shared" si="66"/>
        <v>7.3000000000000842E-3</v>
      </c>
      <c r="E169" s="29">
        <f t="shared" si="67"/>
        <v>2E-3</v>
      </c>
      <c r="F169">
        <v>110485.822</v>
      </c>
      <c r="G169" s="1">
        <f t="shared" si="68"/>
        <v>87</v>
      </c>
      <c r="H169" s="13">
        <f t="shared" si="69"/>
        <v>8.3999999999999631E-3</v>
      </c>
      <c r="I169" s="29">
        <f t="shared" si="70"/>
        <v>2.5000000000000001E-3</v>
      </c>
      <c r="J169" s="10">
        <v>5.4</v>
      </c>
      <c r="K169" s="29">
        <f t="shared" si="71"/>
        <v>-2.2599999999999999E-2</v>
      </c>
      <c r="L169">
        <v>15.78</v>
      </c>
      <c r="M169" s="29">
        <f t="shared" si="72"/>
        <v>5.8999999999999999E-3</v>
      </c>
      <c r="N169">
        <v>49.72</v>
      </c>
      <c r="O169" s="13">
        <f t="shared" si="77"/>
        <v>-8.3999999999999995E-3</v>
      </c>
      <c r="P169">
        <v>223941</v>
      </c>
      <c r="Q169">
        <v>0.38474000000000003</v>
      </c>
      <c r="R169">
        <f t="shared" si="73"/>
        <v>100.38473999999999</v>
      </c>
      <c r="S169" s="13">
        <f t="shared" si="74"/>
        <v>1.6000000000000458E-3</v>
      </c>
      <c r="T169" s="13">
        <f t="shared" si="75"/>
        <v>-2.9999999999999997E-4</v>
      </c>
      <c r="U169" s="30">
        <f t="shared" si="78"/>
        <v>161.47999999999999</v>
      </c>
      <c r="V169" s="31">
        <f t="shared" si="76"/>
        <v>164.48</v>
      </c>
    </row>
    <row r="170" spans="1:22" x14ac:dyDescent="0.25">
      <c r="A170" s="5">
        <v>38230</v>
      </c>
      <c r="B170" s="10">
        <v>131956</v>
      </c>
      <c r="C170" s="1">
        <f t="shared" si="65"/>
        <v>121</v>
      </c>
      <c r="D170" s="13">
        <f t="shared" si="66"/>
        <v>8.599999999999941E-3</v>
      </c>
      <c r="E170" s="29">
        <f t="shared" si="67"/>
        <v>1.2999999999999999E-3</v>
      </c>
      <c r="F170">
        <v>110399.193</v>
      </c>
      <c r="G170" s="1">
        <f t="shared" si="68"/>
        <v>219</v>
      </c>
      <c r="H170" s="13">
        <f t="shared" si="69"/>
        <v>8.899999999999908E-3</v>
      </c>
      <c r="I170" s="29">
        <f t="shared" si="70"/>
        <v>3.3E-3</v>
      </c>
      <c r="J170" s="10">
        <v>5.4</v>
      </c>
      <c r="K170" s="29">
        <f t="shared" si="71"/>
        <v>-3.1399999999999997E-2</v>
      </c>
      <c r="L170">
        <v>15.74</v>
      </c>
      <c r="M170" s="29">
        <f t="shared" si="72"/>
        <v>5.7999999999999996E-3</v>
      </c>
      <c r="N170">
        <v>49.58</v>
      </c>
      <c r="O170" s="13">
        <f t="shared" si="77"/>
        <v>-1.21E-2</v>
      </c>
      <c r="P170">
        <v>223677</v>
      </c>
      <c r="Q170">
        <v>0.67725999999999997</v>
      </c>
      <c r="R170">
        <f t="shared" si="73"/>
        <v>100.67726</v>
      </c>
      <c r="S170" s="13">
        <f t="shared" si="74"/>
        <v>3.7000000000000366E-3</v>
      </c>
      <c r="T170" s="13">
        <f t="shared" si="75"/>
        <v>5.9999999999999995E-4</v>
      </c>
      <c r="U170" s="30">
        <f t="shared" si="78"/>
        <v>169.75</v>
      </c>
      <c r="V170" s="31">
        <f t="shared" si="76"/>
        <v>166.72</v>
      </c>
    </row>
    <row r="171" spans="1:22" x14ac:dyDescent="0.25">
      <c r="A171" s="5">
        <v>38199</v>
      </c>
      <c r="B171" s="10">
        <v>131835</v>
      </c>
      <c r="C171" s="1">
        <f t="shared" si="65"/>
        <v>44</v>
      </c>
      <c r="D171" s="13">
        <f t="shared" si="66"/>
        <v>8.0999999999999961E-3</v>
      </c>
      <c r="E171" s="29">
        <f t="shared" si="67"/>
        <v>1.5E-3</v>
      </c>
      <c r="F171">
        <v>110180.455</v>
      </c>
      <c r="G171" s="1">
        <f t="shared" si="68"/>
        <v>121</v>
      </c>
      <c r="H171" s="13">
        <f t="shared" si="69"/>
        <v>8.3999999999999631E-3</v>
      </c>
      <c r="I171" s="29">
        <f t="shared" si="70"/>
        <v>2.5999999999999999E-3</v>
      </c>
      <c r="J171" s="10">
        <v>5.5</v>
      </c>
      <c r="K171" s="29">
        <f t="shared" si="71"/>
        <v>-2.6499999999999999E-2</v>
      </c>
      <c r="L171">
        <v>15.7</v>
      </c>
      <c r="M171" s="29">
        <f t="shared" si="72"/>
        <v>5.4000000000000003E-3</v>
      </c>
      <c r="N171">
        <v>49.3</v>
      </c>
      <c r="O171" s="13">
        <f t="shared" si="77"/>
        <v>-2.1899999999999999E-2</v>
      </c>
      <c r="P171">
        <v>223422</v>
      </c>
      <c r="Q171">
        <v>0.73353000000000002</v>
      </c>
      <c r="R171">
        <f t="shared" si="73"/>
        <v>100.73353</v>
      </c>
      <c r="S171" s="13">
        <f t="shared" si="74"/>
        <v>2.6999999999999247E-3</v>
      </c>
      <c r="T171" s="13">
        <f t="shared" si="75"/>
        <v>1.2999999999999999E-3</v>
      </c>
      <c r="U171" s="30">
        <f t="shared" si="78"/>
        <v>162.19999999999999</v>
      </c>
      <c r="V171" s="31">
        <f t="shared" si="76"/>
        <v>168.44</v>
      </c>
    </row>
    <row r="172" spans="1:22" x14ac:dyDescent="0.25">
      <c r="A172" s="5">
        <v>38168</v>
      </c>
      <c r="B172" s="10">
        <v>131791</v>
      </c>
      <c r="C172" s="1">
        <f t="shared" si="65"/>
        <v>76</v>
      </c>
      <c r="D172" s="13">
        <f t="shared" si="66"/>
        <v>8.999999999999897E-3</v>
      </c>
      <c r="E172" s="29">
        <f t="shared" si="67"/>
        <v>2.8E-3</v>
      </c>
      <c r="F172">
        <v>110059.102</v>
      </c>
      <c r="G172" s="1">
        <f t="shared" si="68"/>
        <v>186</v>
      </c>
      <c r="H172" s="13">
        <f t="shared" si="69"/>
        <v>7.6000000000000512E-3</v>
      </c>
      <c r="I172" s="29">
        <f t="shared" si="70"/>
        <v>3.0000000000000001E-3</v>
      </c>
      <c r="J172" s="10">
        <v>5.6</v>
      </c>
      <c r="K172" s="29">
        <f t="shared" si="71"/>
        <v>-8.8000000000000005E-3</v>
      </c>
      <c r="L172">
        <v>15.67</v>
      </c>
      <c r="M172" s="29">
        <f t="shared" si="72"/>
        <v>5.5999999999999999E-3</v>
      </c>
      <c r="N172">
        <v>49.24</v>
      </c>
      <c r="O172" s="13">
        <f t="shared" si="77"/>
        <v>-0.03</v>
      </c>
      <c r="P172">
        <v>223196</v>
      </c>
      <c r="Q172">
        <v>0.77490999999999999</v>
      </c>
      <c r="R172">
        <f t="shared" si="73"/>
        <v>100.77491000000001</v>
      </c>
      <c r="S172" s="13">
        <f t="shared" si="74"/>
        <v>6.2999999999999723E-3</v>
      </c>
      <c r="T172" s="13">
        <f t="shared" si="75"/>
        <v>1.1999999999999999E-3</v>
      </c>
      <c r="U172" s="30">
        <f t="shared" si="78"/>
        <v>168.21</v>
      </c>
      <c r="V172" s="31">
        <f t="shared" si="76"/>
        <v>172.43</v>
      </c>
    </row>
    <row r="173" spans="1:22" x14ac:dyDescent="0.25">
      <c r="A173" s="5">
        <v>38138</v>
      </c>
      <c r="B173" s="10">
        <v>131715</v>
      </c>
      <c r="C173" s="1">
        <f t="shared" si="65"/>
        <v>308</v>
      </c>
      <c r="D173" s="13">
        <f t="shared" si="66"/>
        <v>9.300000000000086E-3</v>
      </c>
      <c r="E173" s="29">
        <f t="shared" si="67"/>
        <v>4.4999999999999997E-3</v>
      </c>
      <c r="F173">
        <v>109872.787</v>
      </c>
      <c r="G173" s="1">
        <f t="shared" si="68"/>
        <v>129</v>
      </c>
      <c r="H173" s="13">
        <f t="shared" si="69"/>
        <v>7.1000000000001062E-3</v>
      </c>
      <c r="I173" s="29">
        <f t="shared" si="70"/>
        <v>2.7000000000000001E-3</v>
      </c>
      <c r="J173" s="10">
        <v>5.6</v>
      </c>
      <c r="K173" s="29">
        <f t="shared" si="71"/>
        <v>-1.32E-2</v>
      </c>
      <c r="L173">
        <v>15.64</v>
      </c>
      <c r="M173" s="29">
        <f t="shared" si="72"/>
        <v>5.8999999999999999E-3</v>
      </c>
      <c r="N173">
        <v>50.84</v>
      </c>
      <c r="O173" s="13">
        <f t="shared" si="77"/>
        <v>-1.5599999999999999E-2</v>
      </c>
      <c r="P173">
        <v>222967</v>
      </c>
      <c r="Q173">
        <v>0.51798</v>
      </c>
      <c r="R173">
        <f t="shared" si="73"/>
        <v>100.51797999999999</v>
      </c>
      <c r="S173" s="13">
        <f t="shared" si="74"/>
        <v>8.2999999999999741E-3</v>
      </c>
      <c r="T173" s="13">
        <f t="shared" si="75"/>
        <v>1E-4</v>
      </c>
      <c r="U173" s="30">
        <f t="shared" si="78"/>
        <v>174.92000000000002</v>
      </c>
      <c r="V173" s="31">
        <f t="shared" si="76"/>
        <v>171.04</v>
      </c>
    </row>
    <row r="174" spans="1:22" x14ac:dyDescent="0.25">
      <c r="A174" s="5">
        <v>38107</v>
      </c>
      <c r="B174" s="10">
        <v>131407</v>
      </c>
      <c r="C174" s="1">
        <f t="shared" si="65"/>
        <v>249</v>
      </c>
      <c r="D174" s="13">
        <f t="shared" si="66"/>
        <v>7.1000000000001062E-3</v>
      </c>
      <c r="E174" s="29">
        <f t="shared" si="67"/>
        <v>3.7000000000000002E-3</v>
      </c>
      <c r="F174">
        <v>109743.852</v>
      </c>
      <c r="G174" s="1">
        <f t="shared" si="68"/>
        <v>175</v>
      </c>
      <c r="H174" s="13">
        <f t="shared" si="69"/>
        <v>7.2000000000000952E-3</v>
      </c>
      <c r="I174" s="29">
        <f t="shared" si="70"/>
        <v>3.0000000000000001E-3</v>
      </c>
      <c r="J174" s="10">
        <v>5.6</v>
      </c>
      <c r="K174" s="29">
        <f t="shared" si="71"/>
        <v>-1.7500000000000002E-2</v>
      </c>
      <c r="L174">
        <v>15.59</v>
      </c>
      <c r="M174" s="29">
        <f t="shared" si="72"/>
        <v>4.7000000000000002E-3</v>
      </c>
      <c r="N174">
        <v>50.62</v>
      </c>
      <c r="O174" s="13">
        <f t="shared" si="77"/>
        <v>-2.4199999999999999E-2</v>
      </c>
      <c r="P174">
        <v>222757</v>
      </c>
      <c r="Q174">
        <v>0.44270999999999999</v>
      </c>
      <c r="R174">
        <f t="shared" si="73"/>
        <v>100.44271000000001</v>
      </c>
      <c r="S174" s="13">
        <f t="shared" si="74"/>
        <v>7.2000000000000952E-3</v>
      </c>
      <c r="T174" s="13">
        <f t="shared" si="75"/>
        <v>6.9999999999999999E-4</v>
      </c>
      <c r="U174" s="30">
        <f t="shared" si="78"/>
        <v>174.15</v>
      </c>
      <c r="V174" s="31">
        <f t="shared" si="76"/>
        <v>167.26</v>
      </c>
    </row>
    <row r="175" spans="1:22" x14ac:dyDescent="0.25">
      <c r="A175" s="5">
        <v>38077</v>
      </c>
      <c r="B175" s="10">
        <v>131158</v>
      </c>
      <c r="C175" s="1">
        <f t="shared" si="65"/>
        <v>332</v>
      </c>
      <c r="D175" s="13">
        <f t="shared" si="66"/>
        <v>6.6999999999999282E-3</v>
      </c>
      <c r="E175" s="29">
        <f t="shared" si="67"/>
        <v>3.2000000000000002E-3</v>
      </c>
      <c r="F175">
        <v>109568.5</v>
      </c>
      <c r="G175" s="1">
        <f t="shared" si="68"/>
        <v>138</v>
      </c>
      <c r="H175" s="13">
        <f t="shared" si="69"/>
        <v>7.5000000000000622E-3</v>
      </c>
      <c r="I175" s="29">
        <f t="shared" si="70"/>
        <v>2.3999999999999998E-3</v>
      </c>
      <c r="J175" s="10">
        <v>5.8</v>
      </c>
      <c r="K175" s="29">
        <f t="shared" si="71"/>
        <v>1.7500000000000002E-2</v>
      </c>
      <c r="L175">
        <v>15.56</v>
      </c>
      <c r="M175" s="29">
        <f t="shared" si="72"/>
        <v>4.1999999999999997E-3</v>
      </c>
      <c r="N175">
        <v>52.55</v>
      </c>
      <c r="O175" s="13">
        <f t="shared" si="77"/>
        <v>-2.5999999999999999E-3</v>
      </c>
      <c r="P175">
        <v>222550</v>
      </c>
      <c r="Q175">
        <v>0.22824</v>
      </c>
      <c r="R175">
        <f t="shared" si="73"/>
        <v>100.22824</v>
      </c>
      <c r="S175" s="13">
        <f t="shared" si="74"/>
        <v>4.3999999999999595E-3</v>
      </c>
      <c r="T175" s="13">
        <f t="shared" si="75"/>
        <v>1.2999999999999999E-3</v>
      </c>
      <c r="U175" s="30">
        <f t="shared" si="78"/>
        <v>164.06</v>
      </c>
      <c r="V175" s="31">
        <f t="shared" si="76"/>
        <v>162.07</v>
      </c>
    </row>
    <row r="176" spans="1:22" x14ac:dyDescent="0.25">
      <c r="A176" s="5">
        <v>38046</v>
      </c>
      <c r="B176" s="10">
        <v>130826</v>
      </c>
      <c r="C176" s="1">
        <f t="shared" si="65"/>
        <v>46</v>
      </c>
      <c r="D176" s="13">
        <f t="shared" si="66"/>
        <v>4.9999999999998934E-3</v>
      </c>
      <c r="E176" s="29">
        <f t="shared" si="67"/>
        <v>1.5E-3</v>
      </c>
      <c r="F176">
        <v>109430.41099999999</v>
      </c>
      <c r="G176" s="1">
        <f t="shared" si="68"/>
        <v>171</v>
      </c>
      <c r="H176" s="13">
        <f t="shared" si="69"/>
        <v>7.5000000000000622E-3</v>
      </c>
      <c r="I176" s="29">
        <f t="shared" si="70"/>
        <v>2.2000000000000001E-3</v>
      </c>
      <c r="J176" s="10">
        <v>5.6</v>
      </c>
      <c r="K176" s="29">
        <f t="shared" si="71"/>
        <v>-3.4500000000000003E-2</v>
      </c>
      <c r="L176">
        <v>15.54</v>
      </c>
      <c r="M176" s="29">
        <f t="shared" si="72"/>
        <v>4.7000000000000002E-3</v>
      </c>
      <c r="N176">
        <v>50.41</v>
      </c>
      <c r="O176" s="13">
        <f t="shared" si="77"/>
        <v>-2.7099999999999999E-2</v>
      </c>
      <c r="P176">
        <v>222357</v>
      </c>
      <c r="Q176">
        <v>0.30449999999999999</v>
      </c>
      <c r="R176">
        <f t="shared" si="73"/>
        <v>100.3045</v>
      </c>
      <c r="S176" s="13">
        <f t="shared" si="74"/>
        <v>6.0999999999999943E-3</v>
      </c>
      <c r="T176" s="13">
        <f t="shared" si="75"/>
        <v>1.5E-3</v>
      </c>
      <c r="U176" s="30">
        <f t="shared" si="78"/>
        <v>163.57999999999998</v>
      </c>
      <c r="V176" s="31">
        <f t="shared" si="76"/>
        <v>160.82</v>
      </c>
    </row>
    <row r="177" spans="1:22" x14ac:dyDescent="0.25">
      <c r="A177" s="5">
        <v>38017</v>
      </c>
      <c r="B177" s="10">
        <v>130780</v>
      </c>
      <c r="C177" s="1">
        <f t="shared" si="65"/>
        <v>162</v>
      </c>
      <c r="D177" s="13">
        <f t="shared" si="66"/>
        <v>4.2999999999999705E-3</v>
      </c>
      <c r="E177" s="29">
        <f t="shared" si="67"/>
        <v>1.9E-3</v>
      </c>
      <c r="F177">
        <v>109259.674</v>
      </c>
      <c r="G177" s="1">
        <f t="shared" si="68"/>
        <v>31</v>
      </c>
      <c r="H177" s="13">
        <f t="shared" si="69"/>
        <v>6.0999999999999943E-3</v>
      </c>
      <c r="I177" s="29">
        <f t="shared" si="70"/>
        <v>1.5E-3</v>
      </c>
      <c r="J177" s="10">
        <v>5.7</v>
      </c>
      <c r="K177" s="29">
        <f t="shared" si="71"/>
        <v>-3.39E-2</v>
      </c>
      <c r="L177">
        <v>15.5</v>
      </c>
      <c r="M177" s="29">
        <f t="shared" si="72"/>
        <v>3.3999999999999998E-3</v>
      </c>
      <c r="N177">
        <v>52.14</v>
      </c>
      <c r="O177" s="13">
        <f t="shared" si="77"/>
        <v>-3.3999999999999998E-3</v>
      </c>
      <c r="P177">
        <v>222161</v>
      </c>
      <c r="Q177">
        <v>0.46228999999999998</v>
      </c>
      <c r="R177">
        <f t="shared" si="73"/>
        <v>100.46229</v>
      </c>
      <c r="S177" s="13">
        <f t="shared" si="74"/>
        <v>8.2999999999999741E-3</v>
      </c>
      <c r="T177" s="13">
        <f t="shared" si="75"/>
        <v>1.6999999999999999E-3</v>
      </c>
      <c r="U177" s="30">
        <f t="shared" si="78"/>
        <v>158.57</v>
      </c>
      <c r="V177" s="31">
        <f t="shared" si="76"/>
        <v>156.75</v>
      </c>
    </row>
    <row r="178" spans="1:22" x14ac:dyDescent="0.25">
      <c r="A178" s="5">
        <v>37986</v>
      </c>
      <c r="B178" s="10">
        <v>130618</v>
      </c>
      <c r="C178" s="1">
        <f t="shared" si="65"/>
        <v>122</v>
      </c>
      <c r="D178" s="13">
        <f t="shared" si="66"/>
        <v>3.2000000000000917E-3</v>
      </c>
      <c r="E178" s="29">
        <f t="shared" si="67"/>
        <v>1.5E-3</v>
      </c>
      <c r="F178">
        <v>109228.838</v>
      </c>
      <c r="G178" s="1">
        <f t="shared" si="68"/>
        <v>132</v>
      </c>
      <c r="H178" s="13">
        <f t="shared" si="69"/>
        <v>6.0000000000000053E-3</v>
      </c>
      <c r="I178" s="29">
        <f t="shared" si="70"/>
        <v>2.7000000000000001E-3</v>
      </c>
      <c r="J178" s="10">
        <v>5.7</v>
      </c>
      <c r="K178" s="29">
        <f t="shared" si="71"/>
        <v>-0.05</v>
      </c>
      <c r="L178">
        <v>15.47</v>
      </c>
      <c r="M178" s="29">
        <f t="shared" si="72"/>
        <v>2.3E-3</v>
      </c>
      <c r="N178">
        <v>52.64</v>
      </c>
      <c r="O178" s="13">
        <f t="shared" si="77"/>
        <v>6.7999999999999996E-3</v>
      </c>
      <c r="P178">
        <v>222509</v>
      </c>
      <c r="Q178">
        <v>0.14454</v>
      </c>
      <c r="R178">
        <f t="shared" si="73"/>
        <v>100.14454000000001</v>
      </c>
      <c r="S178" s="13">
        <f t="shared" si="74"/>
        <v>6.9999999999998952E-3</v>
      </c>
      <c r="T178" s="13">
        <f t="shared" si="75"/>
        <v>1.1000000000000001E-3</v>
      </c>
      <c r="U178" s="30">
        <f t="shared" si="78"/>
        <v>160.31</v>
      </c>
      <c r="V178" s="31">
        <f t="shared" si="76"/>
        <v>156.9</v>
      </c>
    </row>
    <row r="179" spans="1:22" x14ac:dyDescent="0.25">
      <c r="A179" s="5">
        <v>37955</v>
      </c>
      <c r="B179" s="10">
        <v>130496</v>
      </c>
      <c r="C179" s="1">
        <f t="shared" si="65"/>
        <v>17</v>
      </c>
      <c r="D179" s="13">
        <f t="shared" si="66"/>
        <v>2.3999999999999577E-3</v>
      </c>
      <c r="E179" s="29">
        <f t="shared" si="67"/>
        <v>1.4E-3</v>
      </c>
      <c r="F179">
        <v>109097.15700000001</v>
      </c>
      <c r="G179" s="1">
        <f t="shared" si="68"/>
        <v>138</v>
      </c>
      <c r="H179" s="13">
        <f t="shared" si="69"/>
        <v>4.9999999999998934E-3</v>
      </c>
      <c r="I179" s="29">
        <f t="shared" si="70"/>
        <v>2.8999999999999998E-3</v>
      </c>
      <c r="J179" s="10">
        <v>5.8</v>
      </c>
      <c r="K179" s="29">
        <f t="shared" si="71"/>
        <v>-4.9200000000000001E-2</v>
      </c>
      <c r="L179">
        <v>15.47</v>
      </c>
      <c r="M179" s="29">
        <f t="shared" si="72"/>
        <v>3.3999999999999998E-3</v>
      </c>
      <c r="N179">
        <v>53.88</v>
      </c>
      <c r="O179" s="13">
        <f t="shared" si="77"/>
        <v>3.0099999999999998E-2</v>
      </c>
      <c r="P179">
        <v>222279</v>
      </c>
      <c r="Q179">
        <v>-0.30974000000000002</v>
      </c>
      <c r="R179">
        <f t="shared" si="73"/>
        <v>99.690259999999995</v>
      </c>
      <c r="S179" s="13">
        <f t="shared" si="74"/>
        <v>1.0499999999999954E-2</v>
      </c>
      <c r="T179" s="13">
        <f t="shared" si="75"/>
        <v>1E-4</v>
      </c>
      <c r="U179" s="30">
        <f t="shared" si="78"/>
        <v>151.36000000000001</v>
      </c>
      <c r="V179" s="31">
        <f t="shared" si="76"/>
        <v>151.69</v>
      </c>
    </row>
    <row r="180" spans="1:22" x14ac:dyDescent="0.25">
      <c r="A180" s="5">
        <v>37925</v>
      </c>
      <c r="B180" s="10">
        <v>130479</v>
      </c>
      <c r="C180" s="1">
        <f t="shared" si="65"/>
        <v>198</v>
      </c>
      <c r="D180" s="13">
        <f t="shared" si="66"/>
        <v>2.1999999999999797E-3</v>
      </c>
      <c r="E180" s="29">
        <f t="shared" si="67"/>
        <v>1.9E-3</v>
      </c>
      <c r="F180">
        <v>108959.223</v>
      </c>
      <c r="G180" s="1">
        <f t="shared" si="68"/>
        <v>209</v>
      </c>
      <c r="H180" s="13">
        <f t="shared" si="69"/>
        <v>3.1000000000001027E-3</v>
      </c>
      <c r="I180" s="29">
        <f t="shared" si="70"/>
        <v>2.8E-3</v>
      </c>
      <c r="J180" s="10">
        <v>6</v>
      </c>
      <c r="K180" s="29">
        <f t="shared" si="71"/>
        <v>-2.8299999999999999E-2</v>
      </c>
      <c r="L180">
        <v>15.43</v>
      </c>
      <c r="M180" s="29">
        <f t="shared" si="72"/>
        <v>1.9E-3</v>
      </c>
      <c r="N180">
        <v>53.34</v>
      </c>
      <c r="O180" s="13">
        <f t="shared" si="77"/>
        <v>2.3400000000000001E-2</v>
      </c>
      <c r="P180">
        <v>222039</v>
      </c>
      <c r="Q180">
        <v>-0.2772</v>
      </c>
      <c r="R180">
        <f t="shared" si="73"/>
        <v>99.722800000000007</v>
      </c>
      <c r="S180" s="13">
        <f t="shared" si="74"/>
        <v>9.7000000000000419E-3</v>
      </c>
      <c r="T180" s="13">
        <f t="shared" si="75"/>
        <v>6.9999999999999999E-4</v>
      </c>
      <c r="U180" s="30">
        <f t="shared" si="78"/>
        <v>159.04</v>
      </c>
      <c r="V180" s="31">
        <f t="shared" si="76"/>
        <v>148.1</v>
      </c>
    </row>
    <row r="181" spans="1:22" x14ac:dyDescent="0.25">
      <c r="A181" s="5">
        <v>37894</v>
      </c>
      <c r="B181" s="10">
        <v>130281</v>
      </c>
      <c r="C181" s="1">
        <f t="shared" si="65"/>
        <v>104</v>
      </c>
      <c r="D181" s="13">
        <f t="shared" si="66"/>
        <v>2.9999999999996696E-4</v>
      </c>
      <c r="E181" s="29">
        <f t="shared" si="67"/>
        <v>5.9999999999999995E-4</v>
      </c>
      <c r="F181">
        <v>108750.58100000001</v>
      </c>
      <c r="G181" s="1">
        <f t="shared" si="68"/>
        <v>131</v>
      </c>
      <c r="H181" s="13">
        <f t="shared" si="69"/>
        <v>1.1000000000001009E-3</v>
      </c>
      <c r="I181" s="29">
        <f t="shared" si="70"/>
        <v>1.4E-3</v>
      </c>
      <c r="J181" s="10">
        <v>6.1</v>
      </c>
      <c r="K181" s="29">
        <f t="shared" si="71"/>
        <v>-1.21E-2</v>
      </c>
      <c r="L181">
        <v>15.42</v>
      </c>
      <c r="M181" s="29">
        <f t="shared" si="72"/>
        <v>2.8E-3</v>
      </c>
      <c r="N181">
        <v>54.1</v>
      </c>
      <c r="O181" s="13">
        <f t="shared" si="77"/>
        <v>3.9100000000000003E-2</v>
      </c>
      <c r="P181">
        <v>221779</v>
      </c>
      <c r="Q181">
        <v>-0.20768</v>
      </c>
      <c r="R181">
        <f t="shared" si="73"/>
        <v>99.792320000000004</v>
      </c>
      <c r="S181" s="13">
        <f t="shared" si="74"/>
        <v>1.2699999999999934E-2</v>
      </c>
      <c r="T181" s="13">
        <f t="shared" si="75"/>
        <v>2.8999999999999998E-3</v>
      </c>
      <c r="U181" s="30">
        <f t="shared" si="78"/>
        <v>144.68</v>
      </c>
      <c r="V181" s="31">
        <f t="shared" si="76"/>
        <v>139.46</v>
      </c>
    </row>
    <row r="182" spans="1:22" x14ac:dyDescent="0.25">
      <c r="A182" s="5">
        <v>37864</v>
      </c>
      <c r="B182" s="10">
        <v>130177</v>
      </c>
      <c r="C182" s="1">
        <f t="shared" si="65"/>
        <v>-42</v>
      </c>
      <c r="D182" s="13">
        <f t="shared" si="66"/>
        <v>-2.0999999999999908E-3</v>
      </c>
      <c r="E182" s="29">
        <f t="shared" si="67"/>
        <v>-2.0000000000000001E-4</v>
      </c>
      <c r="F182">
        <v>108619.68799999999</v>
      </c>
      <c r="G182" s="1">
        <f t="shared" si="68"/>
        <v>19</v>
      </c>
      <c r="H182" s="13">
        <f t="shared" si="69"/>
        <v>-1.0999999999999899E-3</v>
      </c>
      <c r="I182" s="29">
        <f t="shared" si="70"/>
        <v>4.0000000000000002E-4</v>
      </c>
      <c r="J182" s="10">
        <v>6.1</v>
      </c>
      <c r="K182" s="29">
        <f t="shared" si="71"/>
        <v>-8.0999999999999996E-3</v>
      </c>
      <c r="L182">
        <v>15.42</v>
      </c>
      <c r="M182" s="29">
        <f t="shared" si="72"/>
        <v>5.1000000000000004E-3</v>
      </c>
      <c r="N182">
        <v>48.97</v>
      </c>
      <c r="O182" s="13">
        <f t="shared" si="77"/>
        <v>-3.8199999999999998E-2</v>
      </c>
      <c r="P182">
        <v>221507</v>
      </c>
      <c r="Q182">
        <v>-0.307</v>
      </c>
      <c r="R182">
        <f t="shared" si="73"/>
        <v>99.692999999999998</v>
      </c>
      <c r="S182" s="13">
        <f t="shared" si="74"/>
        <v>7.1000000000001062E-3</v>
      </c>
      <c r="T182" s="13">
        <f t="shared" si="75"/>
        <v>2.3E-3</v>
      </c>
      <c r="U182" s="30">
        <f t="shared" si="78"/>
        <v>140.58000000000001</v>
      </c>
      <c r="V182" s="31">
        <f t="shared" si="76"/>
        <v>132.91999999999999</v>
      </c>
    </row>
    <row r="183" spans="1:22" x14ac:dyDescent="0.25">
      <c r="A183" s="5">
        <v>37833</v>
      </c>
      <c r="B183" s="10">
        <v>130219</v>
      </c>
      <c r="C183" s="1">
        <f t="shared" si="65"/>
        <v>24</v>
      </c>
      <c r="D183" s="13">
        <f t="shared" si="66"/>
        <v>-2.9000000000000137E-3</v>
      </c>
      <c r="E183" s="29">
        <f t="shared" si="67"/>
        <v>2.0000000000000001E-4</v>
      </c>
      <c r="F183">
        <v>108600.334</v>
      </c>
      <c r="G183" s="1">
        <f t="shared" si="68"/>
        <v>22</v>
      </c>
      <c r="H183" s="13">
        <f t="shared" si="69"/>
        <v>-1.4999999999999458E-3</v>
      </c>
      <c r="I183" s="29">
        <f t="shared" si="70"/>
        <v>1E-4</v>
      </c>
      <c r="J183" s="10">
        <v>6.2</v>
      </c>
      <c r="K183" s="29">
        <f t="shared" si="71"/>
        <v>2.06E-2</v>
      </c>
      <c r="L183">
        <v>15.4</v>
      </c>
      <c r="M183" s="29">
        <f t="shared" si="72"/>
        <v>5.5999999999999999E-3</v>
      </c>
      <c r="N183">
        <v>51.51</v>
      </c>
      <c r="O183" s="13">
        <f t="shared" si="77"/>
        <v>-4.1999999999999997E-3</v>
      </c>
      <c r="P183">
        <v>221252</v>
      </c>
      <c r="Q183">
        <v>-0.36915999999999999</v>
      </c>
      <c r="R183">
        <f t="shared" si="73"/>
        <v>99.630840000000006</v>
      </c>
      <c r="S183" s="13">
        <f t="shared" si="74"/>
        <v>5.6000000000000494E-3</v>
      </c>
      <c r="T183" s="13">
        <f t="shared" si="75"/>
        <v>2.7000000000000001E-3</v>
      </c>
      <c r="U183" s="30">
        <f t="shared" si="78"/>
        <v>133.11000000000001</v>
      </c>
      <c r="V183" s="31">
        <f t="shared" si="76"/>
        <v>124.38</v>
      </c>
    </row>
    <row r="184" spans="1:22" x14ac:dyDescent="0.25">
      <c r="A184" s="5">
        <v>37802</v>
      </c>
      <c r="B184" s="10">
        <v>130195</v>
      </c>
      <c r="C184" s="1">
        <f t="shared" si="65"/>
        <v>9</v>
      </c>
      <c r="D184" s="13">
        <f t="shared" si="66"/>
        <v>-2.3999999999999577E-3</v>
      </c>
      <c r="E184" s="29">
        <f t="shared" si="67"/>
        <v>-1E-4</v>
      </c>
      <c r="F184">
        <v>108578.54300000001</v>
      </c>
      <c r="G184" s="1">
        <f t="shared" si="68"/>
        <v>23</v>
      </c>
      <c r="H184" s="13">
        <f t="shared" si="69"/>
        <v>-1.8000000000000238E-3</v>
      </c>
      <c r="I184" s="29">
        <f t="shared" si="70"/>
        <v>-2.0000000000000001E-4</v>
      </c>
      <c r="J184" s="10">
        <v>6.3</v>
      </c>
      <c r="K184" s="29">
        <f t="shared" si="71"/>
        <v>5.4399999999999997E-2</v>
      </c>
      <c r="L184">
        <v>15.36</v>
      </c>
      <c r="M184" s="29">
        <f t="shared" si="72"/>
        <v>4.1000000000000003E-3</v>
      </c>
      <c r="N184">
        <v>50.89</v>
      </c>
      <c r="O184" s="13">
        <f t="shared" si="77"/>
        <v>-5.7000000000000002E-3</v>
      </c>
      <c r="P184">
        <v>221014</v>
      </c>
      <c r="Q184">
        <v>-0.55008999999999997</v>
      </c>
      <c r="R184">
        <f t="shared" si="73"/>
        <v>99.449910000000003</v>
      </c>
      <c r="S184" s="13">
        <f t="shared" si="74"/>
        <v>5.2000000000000934E-3</v>
      </c>
      <c r="T184" s="13">
        <f t="shared" si="75"/>
        <v>1.1999999999999999E-3</v>
      </c>
      <c r="U184" s="30">
        <f t="shared" si="78"/>
        <v>125.08</v>
      </c>
      <c r="V184" s="31">
        <f t="shared" si="76"/>
        <v>116.75</v>
      </c>
    </row>
    <row r="185" spans="1:22" x14ac:dyDescent="0.25">
      <c r="A185" s="5">
        <v>37772</v>
      </c>
      <c r="B185" s="10">
        <v>130186</v>
      </c>
      <c r="C185" s="1">
        <f t="shared" si="65"/>
        <v>-8</v>
      </c>
      <c r="D185" s="13">
        <f t="shared" si="66"/>
        <v>-3.6000000000000476E-3</v>
      </c>
      <c r="E185" s="29">
        <f t="shared" si="67"/>
        <v>-8.0000000000000004E-4</v>
      </c>
      <c r="F185">
        <v>108555.83500000001</v>
      </c>
      <c r="G185" s="1">
        <f t="shared" si="68"/>
        <v>-70</v>
      </c>
      <c r="H185" s="13">
        <f t="shared" si="69"/>
        <v>-2.2999999999999687E-3</v>
      </c>
      <c r="I185" s="29">
        <f t="shared" si="70"/>
        <v>-1E-3</v>
      </c>
      <c r="J185" s="10">
        <v>6.1</v>
      </c>
      <c r="K185" s="29">
        <f t="shared" si="71"/>
        <v>3.39E-2</v>
      </c>
      <c r="L185">
        <v>15.33</v>
      </c>
      <c r="M185" s="29">
        <f t="shared" si="72"/>
        <v>3.8999999999999998E-3</v>
      </c>
      <c r="N185">
        <v>50.64</v>
      </c>
      <c r="O185" s="13">
        <f t="shared" si="77"/>
        <v>-3.2000000000000002E-3</v>
      </c>
      <c r="P185">
        <v>220768</v>
      </c>
      <c r="Q185">
        <v>-1.3488199999999999</v>
      </c>
      <c r="R185">
        <f t="shared" si="73"/>
        <v>98.651179999999997</v>
      </c>
      <c r="S185" s="13">
        <f t="shared" si="74"/>
        <v>-1.9000000000000128E-3</v>
      </c>
      <c r="T185" s="13">
        <f t="shared" si="75"/>
        <v>-1.1000000000000001E-3</v>
      </c>
      <c r="U185" s="30">
        <f t="shared" si="78"/>
        <v>114.95</v>
      </c>
      <c r="V185" s="31">
        <f t="shared" si="76"/>
        <v>109.42</v>
      </c>
    </row>
    <row r="186" spans="1:22" x14ac:dyDescent="0.25">
      <c r="A186" s="5">
        <v>37741</v>
      </c>
      <c r="B186" s="10">
        <v>130194</v>
      </c>
      <c r="C186" s="1">
        <f t="shared" si="65"/>
        <v>-44</v>
      </c>
      <c r="D186" s="13">
        <f t="shared" si="66"/>
        <v>-3.4999999999999476E-3</v>
      </c>
      <c r="E186" s="29">
        <f t="shared" si="67"/>
        <v>-1.8E-3</v>
      </c>
      <c r="F186">
        <v>108625.72500000001</v>
      </c>
      <c r="G186" s="1">
        <f t="shared" si="68"/>
        <v>-3</v>
      </c>
      <c r="H186" s="13">
        <f t="shared" si="69"/>
        <v>-1.0999999999999899E-3</v>
      </c>
      <c r="I186" s="29">
        <f t="shared" si="70"/>
        <v>-8.0000000000000004E-4</v>
      </c>
      <c r="J186" s="10">
        <v>6</v>
      </c>
      <c r="K186" s="29">
        <f t="shared" si="71"/>
        <v>1.6899999999999998E-2</v>
      </c>
      <c r="L186">
        <v>15.28</v>
      </c>
      <c r="M186" s="29">
        <f t="shared" si="72"/>
        <v>1.8E-3</v>
      </c>
      <c r="N186">
        <v>53.17</v>
      </c>
      <c r="O186" s="13">
        <f t="shared" si="77"/>
        <v>4.24E-2</v>
      </c>
      <c r="P186">
        <v>220540</v>
      </c>
      <c r="Q186">
        <v>-1.2303599999999999</v>
      </c>
      <c r="R186">
        <f t="shared" si="73"/>
        <v>98.769639999999995</v>
      </c>
      <c r="S186" s="13">
        <f t="shared" si="74"/>
        <v>-4.3999999999999595E-3</v>
      </c>
      <c r="T186" s="13">
        <f t="shared" si="75"/>
        <v>-4.0000000000000002E-4</v>
      </c>
      <c r="U186" s="30">
        <f t="shared" si="78"/>
        <v>110.21000000000001</v>
      </c>
      <c r="V186" s="31">
        <f t="shared" si="76"/>
        <v>107.22</v>
      </c>
    </row>
    <row r="187" spans="1:22" x14ac:dyDescent="0.25">
      <c r="A187" s="5">
        <v>37711</v>
      </c>
      <c r="B187" s="10">
        <v>130238</v>
      </c>
      <c r="C187" s="1">
        <f t="shared" si="65"/>
        <v>-209</v>
      </c>
      <c r="D187" s="13">
        <f t="shared" si="66"/>
        <v>-2.1999999999999797E-3</v>
      </c>
      <c r="E187" s="29">
        <f t="shared" si="67"/>
        <v>-2.0999999999999999E-3</v>
      </c>
      <c r="F187">
        <v>108628.3</v>
      </c>
      <c r="G187" s="1">
        <f t="shared" si="68"/>
        <v>-110</v>
      </c>
      <c r="H187" s="13">
        <f t="shared" si="69"/>
        <v>-6.0000000000004494E-4</v>
      </c>
      <c r="I187" s="29">
        <f t="shared" si="70"/>
        <v>-1.1999999999999999E-3</v>
      </c>
      <c r="J187" s="10">
        <v>5.9</v>
      </c>
      <c r="K187" s="29">
        <f t="shared" si="71"/>
        <v>0</v>
      </c>
      <c r="L187">
        <v>15.29</v>
      </c>
      <c r="M187" s="29">
        <f t="shared" si="72"/>
        <v>4.7999999999999996E-3</v>
      </c>
      <c r="N187">
        <v>51.55</v>
      </c>
      <c r="O187" s="13">
        <f t="shared" si="77"/>
        <v>2.9000000000000001E-2</v>
      </c>
      <c r="P187">
        <v>220317</v>
      </c>
      <c r="Q187">
        <v>-1.45573</v>
      </c>
      <c r="R187">
        <f t="shared" si="73"/>
        <v>98.544269999999997</v>
      </c>
      <c r="S187" s="13">
        <f t="shared" si="74"/>
        <v>-5.8000000000000274E-3</v>
      </c>
      <c r="T187" s="13">
        <f t="shared" si="75"/>
        <v>-6.9999999999999999E-4</v>
      </c>
      <c r="U187" s="30">
        <f t="shared" si="78"/>
        <v>103.11</v>
      </c>
      <c r="V187" s="31">
        <f t="shared" si="76"/>
        <v>112.06</v>
      </c>
    </row>
    <row r="188" spans="1:22" x14ac:dyDescent="0.25">
      <c r="A188" s="5">
        <v>37680</v>
      </c>
      <c r="B188" s="10">
        <v>130447</v>
      </c>
      <c r="C188" s="1">
        <f t="shared" si="65"/>
        <v>-150</v>
      </c>
      <c r="D188" s="13">
        <f t="shared" si="66"/>
        <v>-1.0999999999999899E-3</v>
      </c>
      <c r="E188" s="29">
        <f t="shared" si="67"/>
        <v>-1.1000000000000001E-3</v>
      </c>
      <c r="F188">
        <v>108738.72500000001</v>
      </c>
      <c r="G188" s="1">
        <f t="shared" si="68"/>
        <v>-23</v>
      </c>
      <c r="H188" s="13">
        <f t="shared" si="69"/>
        <v>-2.9999999999996696E-4</v>
      </c>
      <c r="I188" s="29">
        <f t="shared" si="70"/>
        <v>-4.0000000000000002E-4</v>
      </c>
      <c r="J188" s="10">
        <v>5.9</v>
      </c>
      <c r="K188" s="29">
        <f t="shared" si="71"/>
        <v>8.5000000000000006E-3</v>
      </c>
      <c r="L188">
        <v>15.29</v>
      </c>
      <c r="M188" s="29">
        <f t="shared" si="72"/>
        <v>7.6E-3</v>
      </c>
      <c r="N188">
        <v>53.68</v>
      </c>
      <c r="O188" s="13">
        <f t="shared" si="77"/>
        <v>7.2099999999999997E-2</v>
      </c>
      <c r="P188">
        <v>220114</v>
      </c>
      <c r="Q188">
        <v>-1.0095700000000001</v>
      </c>
      <c r="R188">
        <f t="shared" si="73"/>
        <v>98.990430000000003</v>
      </c>
      <c r="S188" s="13">
        <f t="shared" si="74"/>
        <v>-9.000000000000119E-4</v>
      </c>
      <c r="T188" s="13">
        <f t="shared" si="75"/>
        <v>-5.0000000000000001E-4</v>
      </c>
      <c r="U188" s="30">
        <f t="shared" si="78"/>
        <v>108.33</v>
      </c>
      <c r="V188" s="31">
        <f t="shared" si="76"/>
        <v>114.77</v>
      </c>
    </row>
    <row r="189" spans="1:22" x14ac:dyDescent="0.25">
      <c r="A189" s="5">
        <v>37652</v>
      </c>
      <c r="B189" s="10">
        <v>130597</v>
      </c>
      <c r="C189" s="1">
        <f t="shared" si="65"/>
        <v>92</v>
      </c>
      <c r="D189" s="13">
        <f t="shared" si="66"/>
        <v>0</v>
      </c>
      <c r="E189" s="29">
        <f t="shared" si="67"/>
        <v>-1E-4</v>
      </c>
      <c r="F189">
        <v>108761.852</v>
      </c>
      <c r="G189" s="1">
        <f t="shared" si="68"/>
        <v>-16</v>
      </c>
      <c r="H189" s="13">
        <f t="shared" si="69"/>
        <v>-9.000000000000119E-4</v>
      </c>
      <c r="I189" s="29">
        <f t="shared" si="70"/>
        <v>-1E-4</v>
      </c>
      <c r="J189" s="10">
        <v>5.8</v>
      </c>
      <c r="K189" s="29">
        <f t="shared" si="71"/>
        <v>-4.3E-3</v>
      </c>
      <c r="L189">
        <v>15.22</v>
      </c>
      <c r="M189" s="29">
        <f t="shared" si="72"/>
        <v>5.4999999999999997E-3</v>
      </c>
      <c r="N189">
        <v>51.05</v>
      </c>
      <c r="O189" s="13">
        <f t="shared" si="77"/>
        <v>4.8399999999999999E-2</v>
      </c>
      <c r="P189">
        <v>219897</v>
      </c>
      <c r="Q189">
        <v>-0.92466999999999999</v>
      </c>
      <c r="R189">
        <f t="shared" si="73"/>
        <v>99.075329999999994</v>
      </c>
      <c r="S189" s="13">
        <f t="shared" si="74"/>
        <v>-4.9000000000000155E-3</v>
      </c>
      <c r="T189" s="13">
        <f t="shared" si="75"/>
        <v>-1E-4</v>
      </c>
      <c r="U189" s="30">
        <f t="shared" si="78"/>
        <v>124.75</v>
      </c>
      <c r="V189" s="31">
        <f t="shared" si="76"/>
        <v>119.95</v>
      </c>
    </row>
    <row r="190" spans="1:22" x14ac:dyDescent="0.25">
      <c r="A190" s="5">
        <v>37621</v>
      </c>
      <c r="B190" s="10">
        <v>130505</v>
      </c>
      <c r="C190" s="1">
        <f t="shared" si="65"/>
        <v>-157</v>
      </c>
      <c r="D190" s="13">
        <f t="shared" si="66"/>
        <v>-1.3999999999999568E-3</v>
      </c>
      <c r="E190" s="29">
        <f t="shared" si="67"/>
        <v>-8.0000000000000004E-4</v>
      </c>
      <c r="F190">
        <v>108777.537</v>
      </c>
      <c r="G190" s="1">
        <f t="shared" si="68"/>
        <v>-24</v>
      </c>
      <c r="H190" s="13">
        <f t="shared" si="69"/>
        <v>-1.0999999999999899E-3</v>
      </c>
      <c r="I190" s="29">
        <f t="shared" si="70"/>
        <v>2.9999999999999997E-4</v>
      </c>
      <c r="J190" s="10">
        <v>6</v>
      </c>
      <c r="K190" s="29">
        <f t="shared" si="71"/>
        <v>4.3499999999999997E-2</v>
      </c>
      <c r="L190">
        <v>15.21</v>
      </c>
      <c r="M190" s="29">
        <f t="shared" si="72"/>
        <v>8.0000000000000002E-3</v>
      </c>
      <c r="N190">
        <v>47.88</v>
      </c>
      <c r="O190" s="13">
        <f t="shared" si="77"/>
        <v>1.18E-2</v>
      </c>
      <c r="P190">
        <v>218741</v>
      </c>
      <c r="Q190">
        <v>-1.06108</v>
      </c>
      <c r="R190">
        <f t="shared" si="73"/>
        <v>98.938919999999996</v>
      </c>
      <c r="S190" s="13">
        <f t="shared" si="74"/>
        <v>-7.6000000000000512E-3</v>
      </c>
      <c r="T190" s="13">
        <f t="shared" si="75"/>
        <v>-2.9999999999999997E-4</v>
      </c>
      <c r="U190" s="30">
        <f t="shared" si="78"/>
        <v>111.24</v>
      </c>
      <c r="V190" s="31">
        <f t="shared" si="76"/>
        <v>123.8</v>
      </c>
    </row>
    <row r="191" spans="1:22" x14ac:dyDescent="0.25">
      <c r="A191" s="5">
        <v>37590</v>
      </c>
      <c r="B191" s="10">
        <v>130662</v>
      </c>
      <c r="C191" s="1">
        <f t="shared" si="65"/>
        <v>10</v>
      </c>
      <c r="D191" s="13">
        <f t="shared" si="66"/>
        <v>2.9999999999996696E-4</v>
      </c>
      <c r="E191" s="29">
        <f t="shared" si="67"/>
        <v>5.9999999999999995E-4</v>
      </c>
      <c r="F191">
        <v>108801.773</v>
      </c>
      <c r="G191" s="1">
        <f t="shared" si="68"/>
        <v>60</v>
      </c>
      <c r="H191" s="13">
        <f t="shared" si="69"/>
        <v>-1.0000000000000009E-3</v>
      </c>
      <c r="I191" s="29">
        <f t="shared" si="70"/>
        <v>5.9999999999999995E-4</v>
      </c>
      <c r="J191" s="10">
        <v>5.9</v>
      </c>
      <c r="K191" s="29">
        <f t="shared" si="71"/>
        <v>3.0599999999999999E-2</v>
      </c>
      <c r="L191">
        <v>15.15</v>
      </c>
      <c r="M191" s="29">
        <f t="shared" si="72"/>
        <v>6.7999999999999996E-3</v>
      </c>
      <c r="N191">
        <v>47.97</v>
      </c>
      <c r="O191" s="13">
        <f t="shared" si="77"/>
        <v>1.89E-2</v>
      </c>
      <c r="P191">
        <v>218548</v>
      </c>
      <c r="Q191">
        <v>-1.15947</v>
      </c>
      <c r="R191">
        <f t="shared" si="73"/>
        <v>98.840530000000001</v>
      </c>
      <c r="S191" s="13">
        <f t="shared" si="74"/>
        <v>-8.0000000000000071E-3</v>
      </c>
      <c r="T191" s="13">
        <f t="shared" si="75"/>
        <v>-1.8E-3</v>
      </c>
      <c r="U191" s="30">
        <f t="shared" si="78"/>
        <v>123.87</v>
      </c>
      <c r="V191" s="31">
        <f t="shared" si="76"/>
        <v>126.59</v>
      </c>
    </row>
    <row r="192" spans="1:22" x14ac:dyDescent="0.25">
      <c r="A192" s="5">
        <v>37560</v>
      </c>
      <c r="B192" s="10">
        <v>130652</v>
      </c>
      <c r="C192" s="1">
        <f t="shared" si="65"/>
        <v>126</v>
      </c>
      <c r="D192" s="13">
        <f t="shared" si="66"/>
        <v>9.9999999999988987E-5</v>
      </c>
      <c r="E192" s="29">
        <f t="shared" si="67"/>
        <v>5.9999999999999995E-4</v>
      </c>
      <c r="F192">
        <v>108741.38800000001</v>
      </c>
      <c r="G192" s="1">
        <f t="shared" si="68"/>
        <v>51</v>
      </c>
      <c r="H192" s="13">
        <f t="shared" si="69"/>
        <v>-2.1999999999999797E-3</v>
      </c>
      <c r="I192" s="29">
        <f t="shared" si="70"/>
        <v>-2.9999999999999997E-4</v>
      </c>
      <c r="J192" s="10">
        <v>5.7</v>
      </c>
      <c r="K192" s="29">
        <f t="shared" si="71"/>
        <v>-8.6999999999999994E-3</v>
      </c>
      <c r="L192">
        <v>15.12</v>
      </c>
      <c r="M192" s="29">
        <f t="shared" si="72"/>
        <v>7.7999999999999996E-3</v>
      </c>
      <c r="N192">
        <v>47.81</v>
      </c>
      <c r="O192" s="13">
        <f t="shared" si="77"/>
        <v>1.9699999999999999E-2</v>
      </c>
      <c r="P192">
        <v>218340</v>
      </c>
      <c r="Q192">
        <v>-0.79393000000000002</v>
      </c>
      <c r="R192">
        <f t="shared" si="73"/>
        <v>99.206069999999997</v>
      </c>
      <c r="S192" s="13">
        <f t="shared" si="74"/>
        <v>-3.1999999999999806E-3</v>
      </c>
      <c r="T192" s="13">
        <f t="shared" si="75"/>
        <v>-1.1999999999999999E-3</v>
      </c>
      <c r="U192" s="30">
        <f t="shared" si="78"/>
        <v>136.29</v>
      </c>
      <c r="V192" s="31">
        <f t="shared" si="76"/>
        <v>127.41</v>
      </c>
    </row>
    <row r="193" spans="1:22" x14ac:dyDescent="0.25">
      <c r="A193" s="5">
        <v>37529</v>
      </c>
      <c r="B193" s="10">
        <v>130526</v>
      </c>
      <c r="C193" s="1">
        <f t="shared" si="65"/>
        <v>-59</v>
      </c>
      <c r="D193" s="13">
        <f t="shared" si="66"/>
        <v>-1.3999999999999568E-3</v>
      </c>
      <c r="E193" s="29">
        <f t="shared" si="67"/>
        <v>-6.9999999999999999E-4</v>
      </c>
      <c r="F193">
        <v>108690.829</v>
      </c>
      <c r="G193" s="1">
        <f t="shared" si="68"/>
        <v>-84</v>
      </c>
      <c r="H193" s="13">
        <f t="shared" si="69"/>
        <v>-3.3999999999999586E-3</v>
      </c>
      <c r="I193" s="29">
        <f t="shared" si="70"/>
        <v>-1.4E-3</v>
      </c>
      <c r="J193" s="10">
        <v>5.7</v>
      </c>
      <c r="K193" s="29">
        <f t="shared" si="71"/>
        <v>-1.2999999999999999E-2</v>
      </c>
      <c r="L193">
        <v>15.07</v>
      </c>
      <c r="M193" s="29">
        <f t="shared" si="72"/>
        <v>7.7000000000000002E-3</v>
      </c>
      <c r="N193">
        <v>47.97</v>
      </c>
      <c r="O193" s="13">
        <f t="shared" si="77"/>
        <v>2.8000000000000001E-2</v>
      </c>
      <c r="P193">
        <v>218107</v>
      </c>
      <c r="Q193">
        <v>-0.87670999999999999</v>
      </c>
      <c r="R193">
        <f t="shared" si="73"/>
        <v>99.123289999999997</v>
      </c>
      <c r="S193" s="13">
        <f t="shared" si="74"/>
        <v>1.5000000000000568E-3</v>
      </c>
      <c r="T193" s="13">
        <f t="shared" si="75"/>
        <v>-1.2999999999999999E-3</v>
      </c>
      <c r="U193" s="30">
        <f t="shared" si="78"/>
        <v>119.6</v>
      </c>
      <c r="V193" s="31">
        <f t="shared" si="76"/>
        <v>125.36</v>
      </c>
    </row>
    <row r="194" spans="1:22" x14ac:dyDescent="0.25">
      <c r="A194" s="5">
        <v>37499</v>
      </c>
      <c r="B194" s="10">
        <v>130585</v>
      </c>
      <c r="C194" s="1">
        <f t="shared" si="65"/>
        <v>-14</v>
      </c>
      <c r="D194" s="13">
        <f t="shared" si="66"/>
        <v>-1.0999999999999899E-3</v>
      </c>
      <c r="E194" s="29">
        <f t="shared" si="67"/>
        <v>-4.0000000000000002E-4</v>
      </c>
      <c r="F194">
        <v>108774.59600000001</v>
      </c>
      <c r="G194" s="1">
        <f t="shared" si="68"/>
        <v>-80</v>
      </c>
      <c r="H194" s="13">
        <f t="shared" si="69"/>
        <v>-2.8000000000000247E-3</v>
      </c>
      <c r="I194" s="29">
        <f t="shared" si="70"/>
        <v>-1E-3</v>
      </c>
      <c r="J194" s="10">
        <v>5.7</v>
      </c>
      <c r="K194" s="29">
        <f t="shared" si="71"/>
        <v>-2.1499999999999998E-2</v>
      </c>
      <c r="L194">
        <v>15.02</v>
      </c>
      <c r="M194" s="29">
        <f t="shared" si="72"/>
        <v>7.4000000000000003E-3</v>
      </c>
      <c r="N194">
        <v>47.66</v>
      </c>
      <c r="O194" s="13">
        <f t="shared" si="77"/>
        <v>2.3900000000000001E-2</v>
      </c>
      <c r="P194">
        <v>217866</v>
      </c>
      <c r="Q194">
        <v>-0.92271000000000003</v>
      </c>
      <c r="R194">
        <f t="shared" si="73"/>
        <v>99.077290000000005</v>
      </c>
      <c r="S194" s="13">
        <f t="shared" si="74"/>
        <v>7.8000000000000291E-3</v>
      </c>
      <c r="T194" s="13">
        <f t="shared" si="75"/>
        <v>-1.1000000000000001E-3</v>
      </c>
      <c r="U194" s="30">
        <f t="shared" si="78"/>
        <v>126.33</v>
      </c>
      <c r="V194" s="31">
        <f t="shared" si="76"/>
        <v>133.47</v>
      </c>
    </row>
    <row r="195" spans="1:22" x14ac:dyDescent="0.25">
      <c r="A195" s="5">
        <v>37468</v>
      </c>
      <c r="B195" s="10">
        <v>130599</v>
      </c>
      <c r="C195" s="1">
        <f t="shared" si="65"/>
        <v>-85</v>
      </c>
      <c r="D195" s="13">
        <f t="shared" si="66"/>
        <v>-2.0000000000000018E-3</v>
      </c>
      <c r="E195" s="29">
        <f t="shared" si="67"/>
        <v>-4.0000000000000002E-4</v>
      </c>
      <c r="F195">
        <v>108854.976</v>
      </c>
      <c r="G195" s="1">
        <f t="shared" si="68"/>
        <v>-41</v>
      </c>
      <c r="H195" s="13">
        <f t="shared" si="69"/>
        <v>-3.2999999999999696E-3</v>
      </c>
      <c r="I195" s="29">
        <f t="shared" si="70"/>
        <v>-6.9999999999999999E-4</v>
      </c>
      <c r="J195" s="10">
        <v>5.8</v>
      </c>
      <c r="K195" s="29">
        <f t="shared" si="71"/>
        <v>0</v>
      </c>
      <c r="L195">
        <v>14.98</v>
      </c>
      <c r="M195" s="29">
        <f t="shared" si="72"/>
        <v>7.4000000000000003E-3</v>
      </c>
      <c r="N195">
        <v>45.93</v>
      </c>
      <c r="O195" s="13">
        <f t="shared" si="77"/>
        <v>4.0000000000000002E-4</v>
      </c>
      <c r="P195">
        <v>217630</v>
      </c>
      <c r="Q195">
        <v>-0.43223</v>
      </c>
      <c r="R195">
        <f t="shared" si="73"/>
        <v>99.567769999999996</v>
      </c>
      <c r="S195" s="13">
        <f t="shared" si="74"/>
        <v>1.4599999999999946E-2</v>
      </c>
      <c r="T195" s="13">
        <f t="shared" si="75"/>
        <v>1.5E-3</v>
      </c>
      <c r="U195" s="30">
        <f t="shared" si="78"/>
        <v>130.13999999999999</v>
      </c>
      <c r="V195" s="31">
        <f t="shared" si="76"/>
        <v>136.58000000000001</v>
      </c>
    </row>
    <row r="196" spans="1:22" x14ac:dyDescent="0.25">
      <c r="A196" s="5">
        <v>37437</v>
      </c>
      <c r="B196" s="10">
        <v>130684</v>
      </c>
      <c r="C196" s="1">
        <f t="shared" si="65"/>
        <v>57</v>
      </c>
      <c r="D196" s="13">
        <f t="shared" si="66"/>
        <v>-2.4999999999999467E-3</v>
      </c>
      <c r="E196" s="29">
        <f t="shared" si="67"/>
        <v>2.0000000000000001E-4</v>
      </c>
      <c r="F196">
        <v>108895.738</v>
      </c>
      <c r="G196" s="1">
        <f t="shared" si="68"/>
        <v>-17</v>
      </c>
      <c r="H196" s="13">
        <f t="shared" si="69"/>
        <v>-4.1999999999999815E-3</v>
      </c>
      <c r="I196" s="29">
        <f t="shared" si="70"/>
        <v>-8.0000000000000004E-4</v>
      </c>
      <c r="J196" s="10">
        <v>5.8</v>
      </c>
      <c r="K196" s="29">
        <f t="shared" si="71"/>
        <v>4.3E-3</v>
      </c>
      <c r="L196">
        <v>14.94</v>
      </c>
      <c r="M196" s="29">
        <f t="shared" si="72"/>
        <v>7.4000000000000003E-3</v>
      </c>
      <c r="N196">
        <v>44.86</v>
      </c>
      <c r="O196" s="13">
        <f t="shared" si="77"/>
        <v>-2.35E-2</v>
      </c>
      <c r="P196">
        <v>217407</v>
      </c>
      <c r="Q196">
        <v>-0.30229</v>
      </c>
      <c r="R196">
        <f t="shared" si="73"/>
        <v>99.697710000000001</v>
      </c>
      <c r="S196" s="13">
        <f t="shared" si="74"/>
        <v>2.2799999999999931E-2</v>
      </c>
      <c r="T196" s="13">
        <f t="shared" si="75"/>
        <v>3.5000000000000001E-3</v>
      </c>
      <c r="U196" s="30">
        <f t="shared" si="78"/>
        <v>143.93</v>
      </c>
      <c r="V196" s="31">
        <f t="shared" si="76"/>
        <v>133.97999999999999</v>
      </c>
    </row>
    <row r="197" spans="1:22" x14ac:dyDescent="0.25">
      <c r="A197" s="5">
        <v>37407</v>
      </c>
      <c r="B197" s="10">
        <v>130627</v>
      </c>
      <c r="C197" s="1">
        <f t="shared" si="65"/>
        <v>-7</v>
      </c>
      <c r="D197" s="13">
        <f t="shared" si="66"/>
        <v>-4.1999999999999815E-3</v>
      </c>
      <c r="E197" s="29">
        <f t="shared" si="67"/>
        <v>-5.0000000000000001E-4</v>
      </c>
      <c r="F197">
        <v>108912.336</v>
      </c>
      <c r="G197" s="1">
        <f t="shared" si="68"/>
        <v>-67</v>
      </c>
      <c r="H197" s="13">
        <f t="shared" si="69"/>
        <v>-5.6000000000000494E-3</v>
      </c>
      <c r="I197" s="29">
        <f t="shared" si="70"/>
        <v>-1.1999999999999999E-3</v>
      </c>
      <c r="J197" s="10">
        <v>5.8</v>
      </c>
      <c r="K197" s="29">
        <f t="shared" si="71"/>
        <v>8.6999999999999994E-3</v>
      </c>
      <c r="L197">
        <v>14.88</v>
      </c>
      <c r="M197" s="29">
        <f t="shared" si="72"/>
        <v>5.4000000000000003E-3</v>
      </c>
      <c r="N197">
        <v>45.47</v>
      </c>
      <c r="O197" s="13">
        <f t="shared" si="77"/>
        <v>-2.0299999999999999E-2</v>
      </c>
      <c r="P197">
        <v>217198</v>
      </c>
      <c r="Q197">
        <v>-0.36624000000000001</v>
      </c>
      <c r="R197">
        <f t="shared" si="73"/>
        <v>99.633759999999995</v>
      </c>
      <c r="S197" s="13">
        <f t="shared" si="74"/>
        <v>2.5800000000000045E-2</v>
      </c>
      <c r="T197" s="13">
        <f t="shared" si="75"/>
        <v>3.8E-3</v>
      </c>
      <c r="U197" s="30">
        <f t="shared" si="78"/>
        <v>135.68</v>
      </c>
      <c r="V197" s="31">
        <f t="shared" si="76"/>
        <v>128.09</v>
      </c>
    </row>
    <row r="198" spans="1:22" x14ac:dyDescent="0.25">
      <c r="A198" s="5">
        <v>37376</v>
      </c>
      <c r="B198" s="10">
        <v>130634</v>
      </c>
      <c r="C198" s="1">
        <f t="shared" ref="C198:C261" si="79">B198-B199</f>
        <v>-79</v>
      </c>
      <c r="D198" s="13">
        <f t="shared" ref="D198:D261" si="80">ROUND(B198/B204,4)-1</f>
        <v>-6.2999999999999723E-3</v>
      </c>
      <c r="E198" s="29">
        <f t="shared" ref="E198:E261" si="81">ROUND((B198-AVERAGE(B199:B201))/AVERAGE(B199:B201),4)</f>
        <v>-1E-3</v>
      </c>
      <c r="F198">
        <v>108979.463</v>
      </c>
      <c r="G198" s="1">
        <f t="shared" ref="G198:G261" si="82">ROUND(F198-F199,0)</f>
        <v>-79</v>
      </c>
      <c r="H198" s="13">
        <f t="shared" ref="H198:H261" si="83">ROUND(F198/F204,4)-1</f>
        <v>-7.6000000000000512E-3</v>
      </c>
      <c r="I198" s="29">
        <f t="shared" ref="I198:I261" si="84">ROUND((F198-AVERAGE(F199:F201))/AVERAGE(F199:F201),4)</f>
        <v>-1.2999999999999999E-3</v>
      </c>
      <c r="J198" s="10">
        <v>5.9</v>
      </c>
      <c r="K198" s="29">
        <f t="shared" ref="K198:K261" si="85">ROUND((J198-AVERAGE(J199:J202))/AVERAGE(J199:J202),4)</f>
        <v>3.5099999999999999E-2</v>
      </c>
      <c r="L198">
        <v>14.84</v>
      </c>
      <c r="M198" s="29">
        <f t="shared" ref="M198:M261" si="86">ROUND((L198-AVERAGE(L199:L202))/AVERAGE(L199:L202),4)</f>
        <v>4.1999999999999997E-3</v>
      </c>
      <c r="N198">
        <v>46.53</v>
      </c>
      <c r="O198" s="13">
        <f t="shared" si="77"/>
        <v>-1.17E-2</v>
      </c>
      <c r="P198">
        <v>217006</v>
      </c>
      <c r="Q198">
        <v>-0.47513</v>
      </c>
      <c r="R198">
        <f t="shared" ref="R198:R261" si="87">Q198+100</f>
        <v>99.524870000000007</v>
      </c>
      <c r="S198" s="13">
        <f t="shared" ref="S198:S261" si="88">ROUND(R198/R204,4)-1</f>
        <v>1.8999999999999906E-2</v>
      </c>
      <c r="T198" s="13">
        <f t="shared" ref="T198:T261" si="89">ROUND((AVERAGE(R198:R201)-AVERAGE(R199:R202))/AVERAGE(R199:R202),4)</f>
        <v>5.1999999999999998E-3</v>
      </c>
      <c r="U198" s="30">
        <f t="shared" si="78"/>
        <v>122.32</v>
      </c>
      <c r="V198" s="31">
        <f t="shared" ref="V198:V261" si="90">ROUND(AVERAGE(U198,U199:U200),2)</f>
        <v>115.3</v>
      </c>
    </row>
    <row r="199" spans="1:22" x14ac:dyDescent="0.25">
      <c r="A199" s="5">
        <v>37346</v>
      </c>
      <c r="B199" s="10">
        <v>130713</v>
      </c>
      <c r="C199" s="1">
        <f t="shared" si="79"/>
        <v>-20</v>
      </c>
      <c r="D199" s="13">
        <f t="shared" si="80"/>
        <v>-8.1999999999999851E-3</v>
      </c>
      <c r="E199" s="29">
        <f t="shared" si="81"/>
        <v>-1.1999999999999999E-3</v>
      </c>
      <c r="F199" s="39">
        <v>109058.463</v>
      </c>
      <c r="G199" s="1">
        <f t="shared" si="82"/>
        <v>-20</v>
      </c>
      <c r="H199" s="13">
        <f t="shared" si="83"/>
        <v>-9.8000000000000309E-3</v>
      </c>
      <c r="I199" s="29">
        <f t="shared" si="84"/>
        <v>-1.4E-3</v>
      </c>
      <c r="J199" s="10">
        <v>5.7</v>
      </c>
      <c r="K199" s="29">
        <f t="shared" si="85"/>
        <v>8.8000000000000005E-3</v>
      </c>
      <c r="L199">
        <v>14.82</v>
      </c>
      <c r="M199" s="29">
        <f t="shared" si="86"/>
        <v>4.5999999999999999E-3</v>
      </c>
      <c r="N199">
        <v>45.45</v>
      </c>
      <c r="O199" s="13">
        <f t="shared" si="77"/>
        <v>-2.98E-2</v>
      </c>
      <c r="P199">
        <v>216823</v>
      </c>
      <c r="Q199">
        <v>-1.03006</v>
      </c>
      <c r="R199">
        <f t="shared" si="87"/>
        <v>98.969939999999994</v>
      </c>
      <c r="S199" s="13">
        <f t="shared" si="88"/>
        <v>4.9999999999998934E-3</v>
      </c>
      <c r="T199" s="13">
        <f t="shared" si="89"/>
        <v>4.7000000000000002E-3</v>
      </c>
      <c r="U199" s="30">
        <f t="shared" si="78"/>
        <v>126.28</v>
      </c>
      <c r="V199" s="31">
        <f t="shared" si="90"/>
        <v>104.88</v>
      </c>
    </row>
    <row r="200" spans="1:22" x14ac:dyDescent="0.25">
      <c r="A200" s="5">
        <v>37315</v>
      </c>
      <c r="B200" s="10">
        <v>130733</v>
      </c>
      <c r="C200" s="1">
        <f t="shared" si="79"/>
        <v>-134</v>
      </c>
      <c r="D200" s="13">
        <f t="shared" si="80"/>
        <v>-9.8000000000000309E-3</v>
      </c>
      <c r="E200" s="29">
        <f t="shared" si="81"/>
        <v>-2.2000000000000001E-3</v>
      </c>
      <c r="F200" s="39">
        <v>109078.463</v>
      </c>
      <c r="G200" s="1">
        <f t="shared" si="82"/>
        <v>-134</v>
      </c>
      <c r="H200" s="13">
        <f t="shared" si="83"/>
        <v>-1.1800000000000033E-2</v>
      </c>
      <c r="I200" s="29">
        <f t="shared" si="84"/>
        <v>-2.5999999999999999E-3</v>
      </c>
      <c r="J200" s="10">
        <v>5.7</v>
      </c>
      <c r="K200" s="29">
        <f t="shared" si="85"/>
        <v>2.7E-2</v>
      </c>
      <c r="L200">
        <v>14.78</v>
      </c>
      <c r="M200" s="29">
        <f t="shared" si="86"/>
        <v>3.8999999999999998E-3</v>
      </c>
      <c r="N200">
        <v>47.53</v>
      </c>
      <c r="O200" s="13">
        <f t="shared" si="77"/>
        <v>2.24E-2</v>
      </c>
      <c r="P200">
        <v>216663</v>
      </c>
      <c r="Q200">
        <v>-1.6920200000000001</v>
      </c>
      <c r="R200">
        <f t="shared" si="87"/>
        <v>98.307980000000001</v>
      </c>
      <c r="S200" s="13">
        <f t="shared" si="88"/>
        <v>1.3000000000000789E-3</v>
      </c>
      <c r="T200" s="13">
        <f t="shared" si="89"/>
        <v>1.6000000000000001E-3</v>
      </c>
      <c r="U200" s="30">
        <f t="shared" si="78"/>
        <v>97.31</v>
      </c>
      <c r="V200" s="31">
        <f t="shared" si="90"/>
        <v>84.67</v>
      </c>
    </row>
    <row r="201" spans="1:22" x14ac:dyDescent="0.25">
      <c r="A201" s="5">
        <v>37287</v>
      </c>
      <c r="B201" s="10">
        <v>130867</v>
      </c>
      <c r="C201" s="1">
        <f t="shared" si="79"/>
        <v>-138</v>
      </c>
      <c r="D201" s="13">
        <f t="shared" si="80"/>
        <v>-1.0000000000000009E-2</v>
      </c>
      <c r="E201" s="29">
        <f t="shared" si="81"/>
        <v>-2.7000000000000001E-3</v>
      </c>
      <c r="F201" s="39">
        <v>109212.463</v>
      </c>
      <c r="G201" s="1">
        <f t="shared" si="82"/>
        <v>-138</v>
      </c>
      <c r="H201" s="13">
        <f t="shared" si="83"/>
        <v>-1.2000000000000011E-2</v>
      </c>
      <c r="I201" s="29">
        <f t="shared" si="84"/>
        <v>-3.2000000000000002E-3</v>
      </c>
      <c r="J201" s="10">
        <v>5.7</v>
      </c>
      <c r="K201" s="29">
        <f t="shared" si="85"/>
        <v>6.0499999999999998E-2</v>
      </c>
      <c r="L201">
        <v>14.76</v>
      </c>
      <c r="M201" s="29">
        <f t="shared" si="86"/>
        <v>4.5999999999999999E-3</v>
      </c>
      <c r="N201">
        <v>45.57</v>
      </c>
      <c r="O201" s="13">
        <f t="shared" si="77"/>
        <v>9.4000000000000004E-3</v>
      </c>
      <c r="P201">
        <v>216506</v>
      </c>
      <c r="Q201">
        <v>-1.8631800000000001</v>
      </c>
      <c r="R201">
        <f t="shared" si="87"/>
        <v>98.13682</v>
      </c>
      <c r="S201" s="13">
        <f t="shared" si="88"/>
        <v>-9.9999999999988987E-5</v>
      </c>
      <c r="T201" s="13">
        <f t="shared" si="89"/>
        <v>-8.9999999999999998E-4</v>
      </c>
      <c r="U201" s="30">
        <f t="shared" si="78"/>
        <v>91.039999999999992</v>
      </c>
      <c r="V201" s="31">
        <f t="shared" si="90"/>
        <v>68.59</v>
      </c>
    </row>
    <row r="202" spans="1:22" x14ac:dyDescent="0.25">
      <c r="A202" s="5">
        <v>37256</v>
      </c>
      <c r="B202" s="10">
        <v>131005</v>
      </c>
      <c r="C202" s="1">
        <f t="shared" si="79"/>
        <v>-170</v>
      </c>
      <c r="D202" s="13">
        <f t="shared" si="80"/>
        <v>-9.8000000000000309E-3</v>
      </c>
      <c r="E202" s="29">
        <f t="shared" si="81"/>
        <v>-3.5999999999999999E-3</v>
      </c>
      <c r="F202" s="39">
        <v>109350.463</v>
      </c>
      <c r="G202" s="1">
        <f t="shared" si="82"/>
        <v>-170</v>
      </c>
      <c r="H202" s="13">
        <f t="shared" si="83"/>
        <v>-1.1700000000000044E-2</v>
      </c>
      <c r="I202" s="29">
        <f t="shared" si="84"/>
        <v>-4.3E-3</v>
      </c>
      <c r="J202" s="10">
        <v>5.7</v>
      </c>
      <c r="K202" s="29">
        <f t="shared" si="85"/>
        <v>0.1014</v>
      </c>
      <c r="L202">
        <v>14.75</v>
      </c>
      <c r="M202" s="29">
        <f t="shared" si="86"/>
        <v>6.4999999999999997E-3</v>
      </c>
      <c r="N202">
        <v>48.68</v>
      </c>
      <c r="O202" s="13">
        <f t="shared" ref="O202:O265" si="91">ROUND(((N202+25)-(AVERAGE(N203:N208)+25))/(AVERAGE(N203:N208)+25),4)</f>
        <v>7.0900000000000005E-2</v>
      </c>
      <c r="P202">
        <v>216315</v>
      </c>
      <c r="Q202">
        <v>-2.5219900000000002</v>
      </c>
      <c r="R202">
        <f t="shared" si="87"/>
        <v>97.478009999999998</v>
      </c>
      <c r="S202" s="13">
        <f t="shared" si="88"/>
        <v>-8.499999999999952E-3</v>
      </c>
      <c r="T202" s="13">
        <f t="shared" si="89"/>
        <v>-1.8E-3</v>
      </c>
      <c r="U202" s="30">
        <f t="shared" ref="U202:U265" si="92">IF(ROUND(((C202/12)+(D202*600)+(E202*2500)+(G202/12)+(H202*500)+(I202*2500)-(J202*1.8)-(K202*300)+(M202*800)-(N202/5)-(O202*300)+(Q202*8)+(S202*600)+(T202*600))/2,2)+142&lt;0,0,ROUND(((C202/12)+(D202*600)+(E202*2500)+(G202/12)+(H202*500)+(I202*2500)-(J202*1.8)-(K202*300)+(M202*800)-(N202/5)-(O202*300)+(Q202*8)+(S202*600)+(T202*600))/2,2)+142)</f>
        <v>65.67</v>
      </c>
      <c r="V202" s="31">
        <f t="shared" si="90"/>
        <v>51.94</v>
      </c>
    </row>
    <row r="203" spans="1:22" x14ac:dyDescent="0.25">
      <c r="A203" s="5">
        <v>37225</v>
      </c>
      <c r="B203" s="10">
        <v>131175</v>
      </c>
      <c r="C203" s="1">
        <f t="shared" si="79"/>
        <v>-293</v>
      </c>
      <c r="D203" s="13">
        <f t="shared" si="80"/>
        <v>-9.4999999999999529E-3</v>
      </c>
      <c r="E203" s="29">
        <f t="shared" si="81"/>
        <v>-4.4999999999999997E-3</v>
      </c>
      <c r="F203" s="39">
        <v>109520.463</v>
      </c>
      <c r="G203" s="1">
        <f t="shared" si="82"/>
        <v>-293</v>
      </c>
      <c r="H203" s="13">
        <f t="shared" si="83"/>
        <v>-1.1399999999999966E-2</v>
      </c>
      <c r="I203" s="29">
        <f t="shared" si="84"/>
        <v>-5.4000000000000003E-3</v>
      </c>
      <c r="J203" s="10">
        <v>5.5</v>
      </c>
      <c r="K203" s="29">
        <f t="shared" si="85"/>
        <v>0.1111</v>
      </c>
      <c r="L203">
        <v>14.72</v>
      </c>
      <c r="M203" s="29">
        <f t="shared" si="86"/>
        <v>7.4000000000000003E-3</v>
      </c>
      <c r="N203">
        <v>47.84</v>
      </c>
      <c r="O203" s="13">
        <f t="shared" si="91"/>
        <v>8.43E-2</v>
      </c>
      <c r="P203">
        <v>216117</v>
      </c>
      <c r="Q203">
        <v>-2.8690199999999999</v>
      </c>
      <c r="R203">
        <f t="shared" si="87"/>
        <v>97.130979999999994</v>
      </c>
      <c r="S203" s="13">
        <f t="shared" si="88"/>
        <v>-7.0000000000000062E-3</v>
      </c>
      <c r="T203" s="13">
        <f t="shared" si="89"/>
        <v>-2.5999999999999999E-3</v>
      </c>
      <c r="U203" s="30">
        <f t="shared" si="92"/>
        <v>49.069999999999993</v>
      </c>
      <c r="V203" s="31">
        <f t="shared" si="90"/>
        <v>51.17</v>
      </c>
    </row>
    <row r="204" spans="1:22" x14ac:dyDescent="0.25">
      <c r="A204" s="5">
        <v>37195</v>
      </c>
      <c r="B204" s="10">
        <v>131468</v>
      </c>
      <c r="C204" s="1">
        <f t="shared" si="79"/>
        <v>-325</v>
      </c>
      <c r="D204" s="13">
        <f t="shared" si="80"/>
        <v>-7.6000000000000512E-3</v>
      </c>
      <c r="E204" s="29">
        <f t="shared" si="81"/>
        <v>-4.1000000000000003E-3</v>
      </c>
      <c r="F204" s="39">
        <v>109813.463</v>
      </c>
      <c r="G204" s="1">
        <f t="shared" si="82"/>
        <v>-325</v>
      </c>
      <c r="H204" s="13">
        <f t="shared" si="83"/>
        <v>-9.099999999999997E-3</v>
      </c>
      <c r="I204" s="29">
        <f t="shared" si="84"/>
        <v>-4.8999999999999998E-3</v>
      </c>
      <c r="J204" s="10">
        <v>5.3</v>
      </c>
      <c r="K204" s="29">
        <f t="shared" si="85"/>
        <v>0.1158</v>
      </c>
      <c r="L204">
        <v>14.66</v>
      </c>
      <c r="M204" s="29">
        <f t="shared" si="86"/>
        <v>5.1000000000000004E-3</v>
      </c>
      <c r="N204">
        <v>49.17</v>
      </c>
      <c r="O204" s="13">
        <f t="shared" si="91"/>
        <v>0.14000000000000001</v>
      </c>
      <c r="P204">
        <v>215903</v>
      </c>
      <c r="Q204">
        <v>-2.3344499999999999</v>
      </c>
      <c r="R204">
        <f t="shared" si="87"/>
        <v>97.665549999999996</v>
      </c>
      <c r="S204" s="13">
        <f t="shared" si="88"/>
        <v>-7.1999999999999842E-3</v>
      </c>
      <c r="T204" s="13">
        <f t="shared" si="89"/>
        <v>-1.6999999999999999E-3</v>
      </c>
      <c r="U204" s="30">
        <f t="shared" si="92"/>
        <v>41.09</v>
      </c>
      <c r="V204" s="31">
        <f t="shared" si="90"/>
        <v>65.19</v>
      </c>
    </row>
    <row r="205" spans="1:22" x14ac:dyDescent="0.25">
      <c r="A205" s="5">
        <v>37164</v>
      </c>
      <c r="B205" s="10">
        <v>131793</v>
      </c>
      <c r="C205" s="1">
        <f t="shared" si="79"/>
        <v>-240</v>
      </c>
      <c r="D205" s="13">
        <f t="shared" si="80"/>
        <v>-7.1999999999999842E-3</v>
      </c>
      <c r="E205" s="29">
        <f t="shared" si="81"/>
        <v>-2.8999999999999998E-3</v>
      </c>
      <c r="F205" s="39">
        <v>110138.463</v>
      </c>
      <c r="G205" s="1">
        <f t="shared" si="82"/>
        <v>-240</v>
      </c>
      <c r="H205" s="13">
        <f t="shared" si="83"/>
        <v>-8.600000000000052E-3</v>
      </c>
      <c r="I205" s="29">
        <f t="shared" si="84"/>
        <v>-3.5000000000000001E-3</v>
      </c>
      <c r="J205" s="10">
        <v>5</v>
      </c>
      <c r="K205" s="29">
        <f t="shared" si="85"/>
        <v>9.2899999999999996E-2</v>
      </c>
      <c r="L205">
        <v>14.64</v>
      </c>
      <c r="M205" s="29">
        <f t="shared" si="86"/>
        <v>6.1999999999999998E-3</v>
      </c>
      <c r="N205">
        <v>46.91</v>
      </c>
      <c r="O205" s="13">
        <f t="shared" si="91"/>
        <v>0.13600000000000001</v>
      </c>
      <c r="P205">
        <v>215665</v>
      </c>
      <c r="Q205">
        <v>-1.5260199999999999</v>
      </c>
      <c r="R205">
        <f t="shared" si="87"/>
        <v>98.473979999999997</v>
      </c>
      <c r="S205" s="13">
        <f t="shared" si="88"/>
        <v>9.9999999999988987E-4</v>
      </c>
      <c r="T205" s="13">
        <f t="shared" si="89"/>
        <v>1.6999999999999999E-3</v>
      </c>
      <c r="U205" s="30">
        <f t="shared" si="92"/>
        <v>63.349999999999994</v>
      </c>
      <c r="V205" s="31">
        <f t="shared" si="90"/>
        <v>84.17</v>
      </c>
    </row>
    <row r="206" spans="1:22" x14ac:dyDescent="0.25">
      <c r="A206" s="5">
        <v>37134</v>
      </c>
      <c r="B206" s="10">
        <v>132033</v>
      </c>
      <c r="C206" s="1">
        <f t="shared" si="79"/>
        <v>-157</v>
      </c>
      <c r="D206" s="13">
        <f t="shared" si="80"/>
        <v>-5.6000000000000494E-3</v>
      </c>
      <c r="E206" s="29">
        <f t="shared" si="81"/>
        <v>-2.0999999999999999E-3</v>
      </c>
      <c r="F206" s="39">
        <v>110378.463</v>
      </c>
      <c r="G206" s="1">
        <f t="shared" si="82"/>
        <v>-157</v>
      </c>
      <c r="H206" s="13">
        <f t="shared" si="83"/>
        <v>-6.7000000000000393E-3</v>
      </c>
      <c r="I206" s="29">
        <f t="shared" si="84"/>
        <v>-2.5000000000000001E-3</v>
      </c>
      <c r="J206" s="10">
        <v>4.9000000000000004</v>
      </c>
      <c r="K206" s="29">
        <f t="shared" si="85"/>
        <v>0.1011</v>
      </c>
      <c r="L206">
        <v>14.6</v>
      </c>
      <c r="M206" s="29">
        <f t="shared" si="86"/>
        <v>6.0000000000000001E-3</v>
      </c>
      <c r="N206">
        <v>37.46</v>
      </c>
      <c r="O206" s="13">
        <f t="shared" si="91"/>
        <v>-1.0800000000000001E-2</v>
      </c>
      <c r="P206">
        <v>215420</v>
      </c>
      <c r="Q206">
        <v>-1.81809</v>
      </c>
      <c r="R206">
        <f t="shared" si="87"/>
        <v>98.181910000000002</v>
      </c>
      <c r="S206" s="13">
        <f t="shared" si="88"/>
        <v>-6.4999999999999503E-3</v>
      </c>
      <c r="T206" s="13">
        <f t="shared" si="89"/>
        <v>-5.0000000000000001E-4</v>
      </c>
      <c r="U206" s="30">
        <f t="shared" si="92"/>
        <v>91.14</v>
      </c>
      <c r="V206" s="31">
        <f t="shared" si="90"/>
        <v>92.11</v>
      </c>
    </row>
    <row r="207" spans="1:22" x14ac:dyDescent="0.25">
      <c r="A207" s="5">
        <v>37103</v>
      </c>
      <c r="B207" s="10">
        <v>132190</v>
      </c>
      <c r="C207" s="1">
        <f t="shared" si="79"/>
        <v>-112</v>
      </c>
      <c r="D207" s="13">
        <f t="shared" si="80"/>
        <v>-3.9000000000000146E-3</v>
      </c>
      <c r="E207" s="29">
        <f t="shared" si="81"/>
        <v>-1.6000000000000001E-3</v>
      </c>
      <c r="F207" s="39">
        <v>110535.463</v>
      </c>
      <c r="G207" s="1">
        <f t="shared" si="82"/>
        <v>-112</v>
      </c>
      <c r="H207" s="13">
        <f t="shared" si="83"/>
        <v>-4.6000000000000485E-3</v>
      </c>
      <c r="I207" s="29">
        <f t="shared" si="84"/>
        <v>-1.9E-3</v>
      </c>
      <c r="J207" s="10">
        <v>4.5999999999999996</v>
      </c>
      <c r="K207" s="29">
        <f t="shared" si="85"/>
        <v>5.1400000000000001E-2</v>
      </c>
      <c r="L207">
        <v>14.55</v>
      </c>
      <c r="M207" s="29">
        <f t="shared" si="86"/>
        <v>4.7999999999999996E-3</v>
      </c>
      <c r="N207">
        <v>39.409999999999997</v>
      </c>
      <c r="O207" s="13">
        <f t="shared" si="91"/>
        <v>2.6800000000000001E-2</v>
      </c>
      <c r="P207">
        <v>215180</v>
      </c>
      <c r="Q207">
        <v>-1.8562399999999999</v>
      </c>
      <c r="R207">
        <f t="shared" si="87"/>
        <v>98.14376</v>
      </c>
      <c r="S207" s="13">
        <f t="shared" si="88"/>
        <v>-8.1999999999999851E-3</v>
      </c>
      <c r="T207" s="13">
        <f t="shared" si="89"/>
        <v>-5.9999999999999995E-4</v>
      </c>
      <c r="U207" s="30">
        <f t="shared" si="92"/>
        <v>98.02000000000001</v>
      </c>
      <c r="V207" s="31">
        <f t="shared" si="90"/>
        <v>98.02</v>
      </c>
    </row>
    <row r="208" spans="1:22" x14ac:dyDescent="0.25">
      <c r="A208" s="5">
        <v>37072</v>
      </c>
      <c r="B208" s="10">
        <v>132302</v>
      </c>
      <c r="C208" s="1">
        <f t="shared" si="79"/>
        <v>-131</v>
      </c>
      <c r="D208" s="13">
        <f t="shared" si="80"/>
        <v>-3.1999999999999806E-3</v>
      </c>
      <c r="E208" s="29">
        <f t="shared" si="81"/>
        <v>-1.9E-3</v>
      </c>
      <c r="F208" s="39">
        <v>110647.463</v>
      </c>
      <c r="G208" s="1">
        <f t="shared" si="82"/>
        <v>-131</v>
      </c>
      <c r="H208" s="13">
        <f t="shared" si="83"/>
        <v>-3.9000000000000146E-3</v>
      </c>
      <c r="I208" s="29">
        <f t="shared" si="84"/>
        <v>-2.3E-3</v>
      </c>
      <c r="J208" s="10">
        <v>4.5</v>
      </c>
      <c r="K208" s="29">
        <f t="shared" si="85"/>
        <v>4.65E-2</v>
      </c>
      <c r="L208">
        <v>14.55</v>
      </c>
      <c r="M208" s="29">
        <f t="shared" si="86"/>
        <v>8.0000000000000002E-3</v>
      </c>
      <c r="N208">
        <v>42.02</v>
      </c>
      <c r="O208" s="13">
        <f t="shared" si="91"/>
        <v>8.5999999999999993E-2</v>
      </c>
      <c r="P208">
        <v>214950</v>
      </c>
      <c r="Q208">
        <v>-1.6855500000000001</v>
      </c>
      <c r="R208">
        <f t="shared" si="87"/>
        <v>98.314449999999994</v>
      </c>
      <c r="S208" s="13">
        <f t="shared" si="88"/>
        <v>-1.5599999999999947E-2</v>
      </c>
      <c r="T208" s="13">
        <f t="shared" si="89"/>
        <v>-1.2999999999999999E-3</v>
      </c>
      <c r="U208" s="30">
        <f t="shared" si="92"/>
        <v>87.16</v>
      </c>
      <c r="V208" s="31">
        <f t="shared" si="90"/>
        <v>94.32</v>
      </c>
    </row>
    <row r="209" spans="1:22" x14ac:dyDescent="0.25">
      <c r="A209" s="5">
        <v>37042</v>
      </c>
      <c r="B209" s="10">
        <v>132433</v>
      </c>
      <c r="C209" s="1">
        <f t="shared" si="79"/>
        <v>-38</v>
      </c>
      <c r="D209" s="13">
        <f t="shared" si="80"/>
        <v>-1.1999999999999789E-3</v>
      </c>
      <c r="E209" s="29">
        <f t="shared" si="81"/>
        <v>-1.8E-3</v>
      </c>
      <c r="F209" s="39">
        <v>110778.463</v>
      </c>
      <c r="G209" s="1">
        <f t="shared" si="82"/>
        <v>-38</v>
      </c>
      <c r="H209" s="13">
        <f t="shared" si="83"/>
        <v>-1.3999999999999568E-3</v>
      </c>
      <c r="I209" s="29">
        <f t="shared" si="84"/>
        <v>-2.0999999999999999E-3</v>
      </c>
      <c r="J209" s="10">
        <v>4.3</v>
      </c>
      <c r="K209" s="29">
        <f t="shared" si="85"/>
        <v>5.7999999999999996E-3</v>
      </c>
      <c r="L209">
        <v>14.5</v>
      </c>
      <c r="M209" s="29">
        <f t="shared" si="86"/>
        <v>8.2000000000000007E-3</v>
      </c>
      <c r="N209">
        <v>38.11</v>
      </c>
      <c r="O209" s="13">
        <f t="shared" si="91"/>
        <v>2.1700000000000001E-2</v>
      </c>
      <c r="P209">
        <v>214732</v>
      </c>
      <c r="Q209">
        <v>-2.1794699999999998</v>
      </c>
      <c r="R209">
        <f t="shared" si="87"/>
        <v>97.820530000000005</v>
      </c>
      <c r="S209" s="13">
        <f t="shared" si="88"/>
        <v>-2.0800000000000041E-2</v>
      </c>
      <c r="T209" s="13">
        <f t="shared" si="89"/>
        <v>-2.8999999999999998E-3</v>
      </c>
      <c r="U209" s="30">
        <f t="shared" si="92"/>
        <v>108.89</v>
      </c>
      <c r="V209" s="31">
        <f t="shared" si="90"/>
        <v>103.93</v>
      </c>
    </row>
    <row r="210" spans="1:22" x14ac:dyDescent="0.25">
      <c r="A210" s="5">
        <v>37011</v>
      </c>
      <c r="B210" s="10">
        <v>132471</v>
      </c>
      <c r="C210" s="1">
        <f t="shared" si="79"/>
        <v>-281</v>
      </c>
      <c r="D210" s="13">
        <f t="shared" si="80"/>
        <v>7.9999999999991189E-4</v>
      </c>
      <c r="E210" s="29">
        <f t="shared" si="81"/>
        <v>-2.0999999999999999E-3</v>
      </c>
      <c r="F210" s="39">
        <v>110816.463</v>
      </c>
      <c r="G210" s="1">
        <f t="shared" si="82"/>
        <v>-281</v>
      </c>
      <c r="H210" s="13">
        <f t="shared" si="83"/>
        <v>9.9999999999988987E-4</v>
      </c>
      <c r="I210" s="29">
        <f t="shared" si="84"/>
        <v>-2.5000000000000001E-3</v>
      </c>
      <c r="J210" s="10">
        <v>4.4000000000000004</v>
      </c>
      <c r="K210" s="29">
        <f t="shared" si="85"/>
        <v>6.0199999999999997E-2</v>
      </c>
      <c r="L210">
        <v>14.45</v>
      </c>
      <c r="M210" s="29">
        <f t="shared" si="86"/>
        <v>7.7000000000000002E-3</v>
      </c>
      <c r="N210">
        <v>36.450000000000003</v>
      </c>
      <c r="O210" s="13">
        <f t="shared" si="91"/>
        <v>-1.8E-3</v>
      </c>
      <c r="P210">
        <v>214525</v>
      </c>
      <c r="Q210">
        <v>-1.6220600000000001</v>
      </c>
      <c r="R210">
        <f t="shared" si="87"/>
        <v>98.377939999999995</v>
      </c>
      <c r="S210" s="13">
        <f t="shared" si="88"/>
        <v>-1.8299999999999983E-2</v>
      </c>
      <c r="T210" s="13">
        <f t="shared" si="89"/>
        <v>-3.8E-3</v>
      </c>
      <c r="U210" s="30">
        <f t="shared" si="92"/>
        <v>86.92</v>
      </c>
      <c r="V210" s="31">
        <f t="shared" si="90"/>
        <v>110.95</v>
      </c>
    </row>
    <row r="211" spans="1:22" x14ac:dyDescent="0.25">
      <c r="A211" s="5">
        <v>36981</v>
      </c>
      <c r="B211" s="10">
        <v>132752</v>
      </c>
      <c r="C211" s="1">
        <f t="shared" si="79"/>
        <v>-25</v>
      </c>
      <c r="D211" s="13">
        <f t="shared" si="80"/>
        <v>2.7999999999999137E-3</v>
      </c>
      <c r="E211" s="29">
        <f t="shared" si="81"/>
        <v>1E-4</v>
      </c>
      <c r="F211" s="39">
        <v>111097.463</v>
      </c>
      <c r="G211" s="1">
        <f t="shared" si="82"/>
        <v>-25</v>
      </c>
      <c r="H211" s="13">
        <f t="shared" si="83"/>
        <v>3.4000000000000696E-3</v>
      </c>
      <c r="I211" s="29">
        <f t="shared" si="84"/>
        <v>1E-4</v>
      </c>
      <c r="J211" s="10">
        <v>4.3</v>
      </c>
      <c r="K211" s="29">
        <f t="shared" si="85"/>
        <v>6.1699999999999998E-2</v>
      </c>
      <c r="L211">
        <v>14.42</v>
      </c>
      <c r="M211" s="29">
        <f t="shared" si="86"/>
        <v>8.6999999999999994E-3</v>
      </c>
      <c r="N211">
        <v>36.35</v>
      </c>
      <c r="O211" s="13">
        <f t="shared" si="91"/>
        <v>-1.6000000000000001E-3</v>
      </c>
      <c r="P211">
        <v>214305</v>
      </c>
      <c r="Q211">
        <v>-1.6241000000000001</v>
      </c>
      <c r="R211">
        <f t="shared" si="87"/>
        <v>98.375900000000001</v>
      </c>
      <c r="S211" s="13">
        <f t="shared" si="88"/>
        <v>-1.7299999999999982E-2</v>
      </c>
      <c r="T211" s="13">
        <f t="shared" si="89"/>
        <v>-3.8E-3</v>
      </c>
      <c r="U211" s="30">
        <f t="shared" si="92"/>
        <v>115.99</v>
      </c>
      <c r="V211" s="31">
        <f t="shared" si="90"/>
        <v>121</v>
      </c>
    </row>
    <row r="212" spans="1:22" x14ac:dyDescent="0.25">
      <c r="A212" s="5">
        <v>36950</v>
      </c>
      <c r="B212" s="10">
        <v>132777</v>
      </c>
      <c r="C212" s="1">
        <f t="shared" si="79"/>
        <v>72</v>
      </c>
      <c r="D212" s="13">
        <f t="shared" si="80"/>
        <v>4.0999999999999925E-3</v>
      </c>
      <c r="E212" s="29">
        <f t="shared" si="81"/>
        <v>8.0000000000000004E-4</v>
      </c>
      <c r="F212" s="39">
        <v>111122.463</v>
      </c>
      <c r="G212" s="1">
        <f t="shared" si="82"/>
        <v>72</v>
      </c>
      <c r="H212" s="13">
        <f t="shared" si="83"/>
        <v>4.7999999999999154E-3</v>
      </c>
      <c r="I212" s="29">
        <f t="shared" si="84"/>
        <v>8.9999999999999998E-4</v>
      </c>
      <c r="J212" s="10">
        <v>4.2</v>
      </c>
      <c r="K212" s="29">
        <f t="shared" si="85"/>
        <v>5.6599999999999998E-2</v>
      </c>
      <c r="L212">
        <v>14.37</v>
      </c>
      <c r="M212" s="29">
        <f t="shared" si="86"/>
        <v>8.6E-3</v>
      </c>
      <c r="N212">
        <v>36.520000000000003</v>
      </c>
      <c r="O212" s="13">
        <f t="shared" si="91"/>
        <v>3.8E-3</v>
      </c>
      <c r="P212">
        <v>214110</v>
      </c>
      <c r="Q212">
        <v>-1.1720900000000001</v>
      </c>
      <c r="R212">
        <f t="shared" si="87"/>
        <v>98.827910000000003</v>
      </c>
      <c r="S212" s="13">
        <f t="shared" si="88"/>
        <v>-1.2700000000000045E-2</v>
      </c>
      <c r="T212" s="13">
        <f t="shared" si="89"/>
        <v>-3.5000000000000001E-3</v>
      </c>
      <c r="U212" s="30">
        <f t="shared" si="92"/>
        <v>129.94999999999999</v>
      </c>
      <c r="V212" s="31">
        <f t="shared" si="90"/>
        <v>135.15</v>
      </c>
    </row>
    <row r="213" spans="1:22" x14ac:dyDescent="0.25">
      <c r="A213" s="5">
        <v>36922</v>
      </c>
      <c r="B213" s="10">
        <v>132705</v>
      </c>
      <c r="C213" s="1">
        <f t="shared" si="79"/>
        <v>-26</v>
      </c>
      <c r="D213" s="13">
        <f t="shared" si="80"/>
        <v>3.4000000000000696E-3</v>
      </c>
      <c r="E213" s="29">
        <f t="shared" si="81"/>
        <v>1.1000000000000001E-3</v>
      </c>
      <c r="F213" s="39">
        <v>111050.463</v>
      </c>
      <c r="G213" s="1">
        <f t="shared" si="82"/>
        <v>-26</v>
      </c>
      <c r="H213" s="13">
        <f t="shared" si="83"/>
        <v>4.0999999999999925E-3</v>
      </c>
      <c r="I213" s="29">
        <f t="shared" si="84"/>
        <v>1.2999999999999999E-3</v>
      </c>
      <c r="J213" s="10">
        <v>4.2</v>
      </c>
      <c r="K213" s="29">
        <f t="shared" si="85"/>
        <v>7.6899999999999996E-2</v>
      </c>
      <c r="L213">
        <v>14.29</v>
      </c>
      <c r="M213" s="29">
        <f t="shared" si="86"/>
        <v>5.7999999999999996E-3</v>
      </c>
      <c r="N213">
        <v>36.92</v>
      </c>
      <c r="O213" s="13">
        <f t="shared" si="91"/>
        <v>1.6E-2</v>
      </c>
      <c r="P213">
        <v>213888</v>
      </c>
      <c r="Q213">
        <v>-1.0431900000000001</v>
      </c>
      <c r="R213">
        <f t="shared" si="87"/>
        <v>98.956810000000004</v>
      </c>
      <c r="S213" s="13">
        <f t="shared" si="88"/>
        <v>-1.2299999999999978E-2</v>
      </c>
      <c r="T213" s="13">
        <f t="shared" si="89"/>
        <v>-2.8999999999999998E-3</v>
      </c>
      <c r="U213" s="30">
        <f t="shared" si="92"/>
        <v>117.06</v>
      </c>
      <c r="V213" s="31">
        <f t="shared" si="90"/>
        <v>144.57</v>
      </c>
    </row>
    <row r="214" spans="1:22" x14ac:dyDescent="0.25">
      <c r="A214" s="5">
        <v>36891</v>
      </c>
      <c r="B214" s="10">
        <v>132731</v>
      </c>
      <c r="C214" s="1">
        <f t="shared" si="79"/>
        <v>142</v>
      </c>
      <c r="D214" s="13">
        <f t="shared" si="80"/>
        <v>4.9999999999998934E-3</v>
      </c>
      <c r="E214" s="29">
        <f t="shared" si="81"/>
        <v>2.2000000000000001E-3</v>
      </c>
      <c r="F214" s="39">
        <v>111076.463</v>
      </c>
      <c r="G214" s="1">
        <f t="shared" si="82"/>
        <v>142</v>
      </c>
      <c r="H214" s="13">
        <f t="shared" si="83"/>
        <v>5.9000000000000163E-3</v>
      </c>
      <c r="I214" s="29">
        <f t="shared" si="84"/>
        <v>2.5999999999999999E-3</v>
      </c>
      <c r="J214" s="10">
        <v>3.9</v>
      </c>
      <c r="K214" s="29">
        <f t="shared" si="85"/>
        <v>-1.2699999999999999E-2</v>
      </c>
      <c r="L214">
        <v>14.28</v>
      </c>
      <c r="M214" s="29">
        <f t="shared" si="86"/>
        <v>8.8000000000000005E-3</v>
      </c>
      <c r="N214">
        <v>35.94</v>
      </c>
      <c r="O214" s="13">
        <f t="shared" si="91"/>
        <v>1E-3</v>
      </c>
      <c r="P214">
        <v>213736</v>
      </c>
      <c r="Q214">
        <v>-0.13099</v>
      </c>
      <c r="R214">
        <f t="shared" si="87"/>
        <v>99.869010000000003</v>
      </c>
      <c r="S214" s="13">
        <f t="shared" si="88"/>
        <v>-6.0999999999999943E-3</v>
      </c>
      <c r="T214" s="13">
        <f t="shared" si="89"/>
        <v>-5.9999999999999995E-4</v>
      </c>
      <c r="U214" s="30">
        <f t="shared" si="92"/>
        <v>158.44999999999999</v>
      </c>
      <c r="V214" s="31">
        <f t="shared" si="90"/>
        <v>154.18</v>
      </c>
    </row>
    <row r="215" spans="1:22" x14ac:dyDescent="0.25">
      <c r="A215" s="5">
        <v>36860</v>
      </c>
      <c r="B215" s="10">
        <v>132589</v>
      </c>
      <c r="C215" s="1">
        <f t="shared" si="79"/>
        <v>226</v>
      </c>
      <c r="D215" s="13">
        <f t="shared" si="80"/>
        <v>3.5000000000000586E-3</v>
      </c>
      <c r="E215" s="29">
        <f t="shared" si="81"/>
        <v>2E-3</v>
      </c>
      <c r="F215" s="39">
        <v>110934.463</v>
      </c>
      <c r="G215" s="1">
        <f t="shared" si="82"/>
        <v>226</v>
      </c>
      <c r="H215" s="13">
        <f t="shared" si="83"/>
        <v>4.1999999999999815E-3</v>
      </c>
      <c r="I215" s="29">
        <f t="shared" si="84"/>
        <v>2.3999999999999998E-3</v>
      </c>
      <c r="J215" s="10">
        <v>3.9</v>
      </c>
      <c r="K215" s="29">
        <f t="shared" si="85"/>
        <v>-1.89E-2</v>
      </c>
      <c r="L215">
        <v>14.24</v>
      </c>
      <c r="M215" s="29">
        <f t="shared" si="86"/>
        <v>9.7999999999999997E-3</v>
      </c>
      <c r="N215">
        <v>38.42</v>
      </c>
      <c r="O215" s="13">
        <f t="shared" si="91"/>
        <v>4.7600000000000003E-2</v>
      </c>
      <c r="P215">
        <v>213540</v>
      </c>
      <c r="Q215">
        <v>-0.10076</v>
      </c>
      <c r="R215">
        <f t="shared" si="87"/>
        <v>99.899240000000006</v>
      </c>
      <c r="S215" s="13">
        <f t="shared" si="88"/>
        <v>-6.2999999999999723E-3</v>
      </c>
      <c r="T215" s="13">
        <f t="shared" si="89"/>
        <v>-6.9999999999999999E-4</v>
      </c>
      <c r="U215" s="30">
        <f t="shared" si="92"/>
        <v>158.19</v>
      </c>
      <c r="V215" s="31">
        <f t="shared" si="90"/>
        <v>154.91999999999999</v>
      </c>
    </row>
    <row r="216" spans="1:22" x14ac:dyDescent="0.25">
      <c r="A216" s="5">
        <v>36830</v>
      </c>
      <c r="B216" s="10">
        <v>132363</v>
      </c>
      <c r="C216" s="1">
        <f t="shared" si="79"/>
        <v>-14</v>
      </c>
      <c r="D216" s="13">
        <f t="shared" si="80"/>
        <v>3.5000000000000586E-3</v>
      </c>
      <c r="E216" s="29">
        <f t="shared" si="81"/>
        <v>5.9999999999999995E-4</v>
      </c>
      <c r="F216" s="39">
        <v>110708.463</v>
      </c>
      <c r="G216" s="1">
        <f t="shared" si="82"/>
        <v>-14</v>
      </c>
      <c r="H216" s="13">
        <f t="shared" si="83"/>
        <v>4.1999999999999815E-3</v>
      </c>
      <c r="I216" s="29">
        <f t="shared" si="84"/>
        <v>6.9999999999999999E-4</v>
      </c>
      <c r="J216" s="10">
        <v>3.9</v>
      </c>
      <c r="K216" s="29">
        <f t="shared" si="85"/>
        <v>-2.5000000000000001E-2</v>
      </c>
      <c r="L216">
        <v>14.18</v>
      </c>
      <c r="M216" s="29">
        <f t="shared" si="86"/>
        <v>8.8999999999999999E-3</v>
      </c>
      <c r="N216">
        <v>35.229999999999997</v>
      </c>
      <c r="O216" s="13">
        <f t="shared" si="91"/>
        <v>-5.3E-3</v>
      </c>
      <c r="P216">
        <v>213405</v>
      </c>
      <c r="Q216">
        <v>0.20726</v>
      </c>
      <c r="R216">
        <f t="shared" si="87"/>
        <v>100.20726000000001</v>
      </c>
      <c r="S216" s="13">
        <f t="shared" si="88"/>
        <v>-1.1999999999999789E-3</v>
      </c>
      <c r="T216" s="13">
        <f t="shared" si="89"/>
        <v>-6.9999999999999999E-4</v>
      </c>
      <c r="U216" s="30">
        <f t="shared" si="92"/>
        <v>145.88999999999999</v>
      </c>
      <c r="V216" s="31">
        <f t="shared" si="90"/>
        <v>147.72999999999999</v>
      </c>
    </row>
    <row r="217" spans="1:22" x14ac:dyDescent="0.25">
      <c r="A217" s="5">
        <v>36799</v>
      </c>
      <c r="B217" s="10">
        <v>132377</v>
      </c>
      <c r="C217" s="1">
        <f t="shared" si="79"/>
        <v>136</v>
      </c>
      <c r="D217" s="13">
        <f t="shared" si="80"/>
        <v>5.8000000000000274E-3</v>
      </c>
      <c r="E217" s="29">
        <f t="shared" si="81"/>
        <v>1.4E-3</v>
      </c>
      <c r="F217" s="39">
        <v>110722.463</v>
      </c>
      <c r="G217" s="1">
        <f t="shared" si="82"/>
        <v>136</v>
      </c>
      <c r="H217" s="13">
        <f t="shared" si="83"/>
        <v>6.9999999999998952E-3</v>
      </c>
      <c r="I217" s="29">
        <f t="shared" si="84"/>
        <v>1.6999999999999999E-3</v>
      </c>
      <c r="J217" s="10">
        <v>3.9</v>
      </c>
      <c r="K217" s="29">
        <f t="shared" si="85"/>
        <v>-3.1099999999999999E-2</v>
      </c>
      <c r="L217">
        <v>14.13</v>
      </c>
      <c r="M217" s="29">
        <f t="shared" si="86"/>
        <v>8.6999999999999994E-3</v>
      </c>
      <c r="N217">
        <v>35.65</v>
      </c>
      <c r="O217" s="13">
        <f t="shared" si="91"/>
        <v>1.1999999999999999E-3</v>
      </c>
      <c r="P217">
        <v>213163</v>
      </c>
      <c r="Q217">
        <v>0.10961</v>
      </c>
      <c r="R217">
        <f t="shared" si="87"/>
        <v>100.10961</v>
      </c>
      <c r="S217" s="13">
        <f t="shared" si="88"/>
        <v>-3.4999999999999476E-3</v>
      </c>
      <c r="T217" s="13">
        <f t="shared" si="89"/>
        <v>-1E-3</v>
      </c>
      <c r="U217" s="30">
        <f t="shared" si="92"/>
        <v>160.68</v>
      </c>
      <c r="V217" s="31">
        <f t="shared" si="90"/>
        <v>152.79</v>
      </c>
    </row>
    <row r="218" spans="1:22" x14ac:dyDescent="0.25">
      <c r="A218" s="5">
        <v>36769</v>
      </c>
      <c r="B218" s="10">
        <v>132241</v>
      </c>
      <c r="C218" s="1">
        <f t="shared" si="79"/>
        <v>-10</v>
      </c>
      <c r="D218" s="13">
        <f t="shared" si="80"/>
        <v>8.3999999999999631E-3</v>
      </c>
      <c r="E218" s="29">
        <f t="shared" si="81"/>
        <v>6.9999999999999999E-4</v>
      </c>
      <c r="F218" s="39">
        <v>110586.463</v>
      </c>
      <c r="G218" s="1">
        <f t="shared" si="82"/>
        <v>-10</v>
      </c>
      <c r="H218" s="13">
        <f t="shared" si="83"/>
        <v>1.0099999999999998E-2</v>
      </c>
      <c r="I218" s="29">
        <f t="shared" si="84"/>
        <v>8.0000000000000004E-4</v>
      </c>
      <c r="J218" s="10">
        <v>4.0999999999999996</v>
      </c>
      <c r="K218" s="29">
        <f t="shared" si="85"/>
        <v>3.7999999999999999E-2</v>
      </c>
      <c r="L218">
        <v>14.07</v>
      </c>
      <c r="M218" s="29">
        <f t="shared" si="86"/>
        <v>7.4999999999999997E-3</v>
      </c>
      <c r="N218">
        <v>35.58</v>
      </c>
      <c r="O218" s="13">
        <f t="shared" si="91"/>
        <v>1.2999999999999999E-3</v>
      </c>
      <c r="P218">
        <v>212916</v>
      </c>
      <c r="Q218">
        <v>9.4950000000000007E-2</v>
      </c>
      <c r="R218">
        <f t="shared" si="87"/>
        <v>100.09495</v>
      </c>
      <c r="S218" s="13">
        <f t="shared" si="88"/>
        <v>-5.0999999999999934E-3</v>
      </c>
      <c r="T218" s="13">
        <f t="shared" si="89"/>
        <v>-5.9999999999999995E-4</v>
      </c>
      <c r="U218" s="30">
        <f t="shared" si="92"/>
        <v>136.61000000000001</v>
      </c>
      <c r="V218" s="31">
        <f t="shared" si="90"/>
        <v>147.71</v>
      </c>
    </row>
    <row r="219" spans="1:22" x14ac:dyDescent="0.25">
      <c r="A219" s="5">
        <v>36738</v>
      </c>
      <c r="B219" s="10">
        <v>132251</v>
      </c>
      <c r="C219" s="1">
        <f t="shared" si="79"/>
        <v>176</v>
      </c>
      <c r="D219" s="13">
        <f t="shared" si="80"/>
        <v>9.5000000000000639E-3</v>
      </c>
      <c r="E219" s="29">
        <f t="shared" si="81"/>
        <v>1.6999999999999999E-3</v>
      </c>
      <c r="F219" s="39">
        <v>110596.463</v>
      </c>
      <c r="G219" s="1">
        <f t="shared" si="82"/>
        <v>176</v>
      </c>
      <c r="H219" s="13">
        <f t="shared" si="83"/>
        <v>1.1300000000000088E-2</v>
      </c>
      <c r="I219" s="29">
        <f t="shared" si="84"/>
        <v>2E-3</v>
      </c>
      <c r="J219" s="10">
        <v>4</v>
      </c>
      <c r="K219" s="29">
        <f t="shared" si="85"/>
        <v>1.2699999999999999E-2</v>
      </c>
      <c r="L219">
        <v>14.03</v>
      </c>
      <c r="M219" s="29">
        <f t="shared" si="86"/>
        <v>8.0999999999999996E-3</v>
      </c>
      <c r="N219">
        <v>34.840000000000003</v>
      </c>
      <c r="O219" s="13">
        <f t="shared" si="91"/>
        <v>-1.2800000000000001E-2</v>
      </c>
      <c r="P219">
        <v>212677</v>
      </c>
      <c r="Q219">
        <v>0.18531</v>
      </c>
      <c r="R219">
        <f t="shared" si="87"/>
        <v>100.18531</v>
      </c>
      <c r="S219" s="13">
        <f t="shared" si="88"/>
        <v>-8.600000000000052E-3</v>
      </c>
      <c r="T219" s="13">
        <f t="shared" si="89"/>
        <v>-6.9999999999999999E-4</v>
      </c>
      <c r="U219" s="30">
        <f t="shared" si="92"/>
        <v>161.09</v>
      </c>
      <c r="V219" s="31">
        <f t="shared" si="90"/>
        <v>160.66999999999999</v>
      </c>
    </row>
    <row r="220" spans="1:22" x14ac:dyDescent="0.25">
      <c r="A220" s="5">
        <v>36707</v>
      </c>
      <c r="B220" s="10">
        <v>132075</v>
      </c>
      <c r="C220" s="1">
        <f t="shared" si="79"/>
        <v>-47</v>
      </c>
      <c r="D220" s="13">
        <f t="shared" si="80"/>
        <v>9.9000000000000199E-3</v>
      </c>
      <c r="E220" s="29">
        <f t="shared" si="81"/>
        <v>1.5E-3</v>
      </c>
      <c r="F220" s="39">
        <v>110420.463</v>
      </c>
      <c r="G220" s="1">
        <f t="shared" si="82"/>
        <v>-47</v>
      </c>
      <c r="H220" s="13">
        <f t="shared" si="83"/>
        <v>1.1900000000000022E-2</v>
      </c>
      <c r="I220" s="29">
        <f t="shared" si="84"/>
        <v>1.8E-3</v>
      </c>
      <c r="J220" s="10">
        <v>4</v>
      </c>
      <c r="K220" s="29">
        <f t="shared" si="85"/>
        <v>6.3E-3</v>
      </c>
      <c r="L220">
        <v>13.99</v>
      </c>
      <c r="M220" s="29">
        <f t="shared" si="86"/>
        <v>8.6999999999999994E-3</v>
      </c>
      <c r="N220">
        <v>35.56</v>
      </c>
      <c r="O220" s="13">
        <f t="shared" si="91"/>
        <v>-3.2000000000000002E-3</v>
      </c>
      <c r="P220">
        <v>212466</v>
      </c>
      <c r="Q220">
        <v>0.47993999999999998</v>
      </c>
      <c r="R220">
        <f t="shared" si="87"/>
        <v>100.47994</v>
      </c>
      <c r="S220" s="13">
        <f t="shared" si="88"/>
        <v>-1.3999999999999568E-3</v>
      </c>
      <c r="T220" s="13">
        <f t="shared" si="89"/>
        <v>-2.9999999999999997E-4</v>
      </c>
      <c r="U220" s="30">
        <f t="shared" si="92"/>
        <v>145.41999999999999</v>
      </c>
      <c r="V220" s="31">
        <f t="shared" si="90"/>
        <v>171.84</v>
      </c>
    </row>
    <row r="221" spans="1:22" x14ac:dyDescent="0.25">
      <c r="A221" s="5">
        <v>36677</v>
      </c>
      <c r="B221" s="10">
        <v>132122</v>
      </c>
      <c r="C221" s="1">
        <f t="shared" si="79"/>
        <v>227</v>
      </c>
      <c r="D221" s="13">
        <f t="shared" si="80"/>
        <v>1.2599999999999945E-2</v>
      </c>
      <c r="E221" s="29">
        <f t="shared" si="81"/>
        <v>4.4000000000000003E-3</v>
      </c>
      <c r="F221" s="39">
        <v>110467.463</v>
      </c>
      <c r="G221" s="1">
        <f t="shared" si="82"/>
        <v>227</v>
      </c>
      <c r="H221" s="13">
        <f t="shared" si="83"/>
        <v>1.5099999999999891E-2</v>
      </c>
      <c r="I221" s="29">
        <f t="shared" si="84"/>
        <v>5.1999999999999998E-3</v>
      </c>
      <c r="J221" s="10">
        <v>4</v>
      </c>
      <c r="K221" s="29">
        <f t="shared" si="85"/>
        <v>6.3E-3</v>
      </c>
      <c r="L221">
        <v>13.94</v>
      </c>
      <c r="M221" s="29">
        <f t="shared" si="86"/>
        <v>8.5000000000000006E-3</v>
      </c>
      <c r="N221">
        <v>36.380000000000003</v>
      </c>
      <c r="O221" s="13">
        <f t="shared" si="91"/>
        <v>1.21E-2</v>
      </c>
      <c r="P221">
        <v>212242</v>
      </c>
      <c r="Q221">
        <v>0.53041000000000005</v>
      </c>
      <c r="R221">
        <f t="shared" si="87"/>
        <v>100.53041</v>
      </c>
      <c r="S221" s="13">
        <f t="shared" si="88"/>
        <v>-3.9999999999995595E-4</v>
      </c>
      <c r="T221" s="13">
        <f t="shared" si="89"/>
        <v>-1.2999999999999999E-3</v>
      </c>
      <c r="U221" s="30">
        <f t="shared" si="92"/>
        <v>175.49</v>
      </c>
      <c r="V221" s="31">
        <f t="shared" si="90"/>
        <v>190.78</v>
      </c>
    </row>
    <row r="222" spans="1:22" x14ac:dyDescent="0.25">
      <c r="A222" s="5">
        <v>36646</v>
      </c>
      <c r="B222" s="10">
        <v>131895</v>
      </c>
      <c r="C222" s="1">
        <f t="shared" si="79"/>
        <v>287</v>
      </c>
      <c r="D222" s="13">
        <f t="shared" si="80"/>
        <v>1.309999999999989E-2</v>
      </c>
      <c r="E222" s="29">
        <f t="shared" si="81"/>
        <v>4.8999999999999998E-3</v>
      </c>
      <c r="F222" s="39">
        <v>110240.463</v>
      </c>
      <c r="G222" s="1">
        <f t="shared" si="82"/>
        <v>287</v>
      </c>
      <c r="H222" s="13">
        <f t="shared" si="83"/>
        <v>1.5700000000000047E-2</v>
      </c>
      <c r="I222" s="29">
        <f t="shared" si="84"/>
        <v>5.8999999999999999E-3</v>
      </c>
      <c r="J222" s="10">
        <v>3.8</v>
      </c>
      <c r="K222" s="29">
        <f t="shared" si="85"/>
        <v>-5.5899999999999998E-2</v>
      </c>
      <c r="L222">
        <v>13.9</v>
      </c>
      <c r="M222" s="29">
        <f t="shared" si="86"/>
        <v>9.2999999999999992E-3</v>
      </c>
      <c r="N222">
        <v>35.31</v>
      </c>
      <c r="O222" s="13">
        <f t="shared" si="91"/>
        <v>-4.4999999999999997E-3</v>
      </c>
      <c r="P222">
        <v>212018</v>
      </c>
      <c r="Q222">
        <v>0.32877000000000001</v>
      </c>
      <c r="R222">
        <f t="shared" si="87"/>
        <v>100.32877000000001</v>
      </c>
      <c r="S222" s="13">
        <f t="shared" si="88"/>
        <v>1.3000000000000789E-3</v>
      </c>
      <c r="T222" s="13">
        <f t="shared" si="89"/>
        <v>-6.9999999999999999E-4</v>
      </c>
      <c r="U222" s="30">
        <f t="shared" si="92"/>
        <v>194.6</v>
      </c>
      <c r="V222" s="31">
        <f t="shared" si="90"/>
        <v>188.23</v>
      </c>
    </row>
    <row r="223" spans="1:22" x14ac:dyDescent="0.25">
      <c r="A223" s="5">
        <v>36616</v>
      </c>
      <c r="B223" s="10">
        <v>131608</v>
      </c>
      <c r="C223" s="1">
        <f t="shared" si="79"/>
        <v>468</v>
      </c>
      <c r="D223" s="13">
        <f t="shared" si="80"/>
        <v>1.4000000000000012E-2</v>
      </c>
      <c r="E223" s="29">
        <f t="shared" si="81"/>
        <v>4.7999999999999996E-3</v>
      </c>
      <c r="F223" s="39">
        <v>109953.463</v>
      </c>
      <c r="G223" s="1">
        <f t="shared" si="82"/>
        <v>468</v>
      </c>
      <c r="H223" s="13">
        <f t="shared" si="83"/>
        <v>1.6799999999999926E-2</v>
      </c>
      <c r="I223" s="29">
        <f t="shared" si="84"/>
        <v>5.7999999999999996E-3</v>
      </c>
      <c r="J223" s="10">
        <v>4</v>
      </c>
      <c r="K223" s="29">
        <f t="shared" si="85"/>
        <v>-1.23E-2</v>
      </c>
      <c r="L223">
        <v>13.84</v>
      </c>
      <c r="M223" s="29">
        <f t="shared" si="86"/>
        <v>8.2000000000000007E-3</v>
      </c>
      <c r="N223">
        <v>35.799999999999997</v>
      </c>
      <c r="O223" s="13">
        <f t="shared" si="91"/>
        <v>2.0999999999999999E-3</v>
      </c>
      <c r="P223">
        <v>211772</v>
      </c>
      <c r="Q223">
        <v>0.46427000000000002</v>
      </c>
      <c r="R223">
        <f t="shared" si="87"/>
        <v>100.46427</v>
      </c>
      <c r="S223" s="13">
        <f t="shared" si="88"/>
        <v>6.9999999999992291E-4</v>
      </c>
      <c r="T223" s="13">
        <f t="shared" si="89"/>
        <v>-2.9999999999999997E-4</v>
      </c>
      <c r="U223" s="30">
        <f t="shared" si="92"/>
        <v>202.26</v>
      </c>
      <c r="V223" s="31">
        <f t="shared" si="90"/>
        <v>185.57</v>
      </c>
    </row>
    <row r="224" spans="1:22" x14ac:dyDescent="0.25">
      <c r="A224" s="5">
        <v>36585</v>
      </c>
      <c r="B224" s="10">
        <v>131140</v>
      </c>
      <c r="C224" s="1">
        <f t="shared" si="79"/>
        <v>130</v>
      </c>
      <c r="D224" s="13">
        <f t="shared" si="80"/>
        <v>1.21E-2</v>
      </c>
      <c r="E224" s="29">
        <f t="shared" si="81"/>
        <v>2.8999999999999998E-3</v>
      </c>
      <c r="F224" s="39">
        <v>109485.463</v>
      </c>
      <c r="G224" s="1">
        <f t="shared" si="82"/>
        <v>130</v>
      </c>
      <c r="H224" s="13">
        <f t="shared" si="83"/>
        <v>1.4499999999999957E-2</v>
      </c>
      <c r="I224" s="29">
        <f t="shared" si="84"/>
        <v>3.5000000000000001E-3</v>
      </c>
      <c r="J224" s="10">
        <v>4.0999999999999996</v>
      </c>
      <c r="K224" s="29">
        <f t="shared" si="85"/>
        <v>1.23E-2</v>
      </c>
      <c r="L224">
        <v>13.8</v>
      </c>
      <c r="M224" s="29">
        <f t="shared" si="86"/>
        <v>8.2000000000000007E-3</v>
      </c>
      <c r="N224">
        <v>35.1</v>
      </c>
      <c r="O224" s="13">
        <f t="shared" si="91"/>
        <v>-1.2999999999999999E-2</v>
      </c>
      <c r="P224">
        <v>211576</v>
      </c>
      <c r="Q224">
        <v>0.60309999999999997</v>
      </c>
      <c r="R224">
        <f t="shared" si="87"/>
        <v>100.6031</v>
      </c>
      <c r="S224" s="13">
        <f t="shared" si="88"/>
        <v>2.7999999999999137E-3</v>
      </c>
      <c r="T224" s="13">
        <f t="shared" si="89"/>
        <v>1E-3</v>
      </c>
      <c r="U224" s="30">
        <f t="shared" si="92"/>
        <v>167.82999999999998</v>
      </c>
      <c r="V224" s="31">
        <f t="shared" si="90"/>
        <v>182.31</v>
      </c>
    </row>
    <row r="225" spans="1:22" x14ac:dyDescent="0.25">
      <c r="A225" s="5">
        <v>36556</v>
      </c>
      <c r="B225" s="10">
        <v>131010</v>
      </c>
      <c r="C225" s="1">
        <f t="shared" si="79"/>
        <v>230</v>
      </c>
      <c r="D225" s="13">
        <f t="shared" si="80"/>
        <v>1.2299999999999978E-2</v>
      </c>
      <c r="E225" s="29">
        <f t="shared" si="81"/>
        <v>4.0000000000000001E-3</v>
      </c>
      <c r="F225" s="39">
        <v>109355.463</v>
      </c>
      <c r="G225" s="1">
        <f t="shared" si="82"/>
        <v>230</v>
      </c>
      <c r="H225" s="13">
        <f t="shared" si="83"/>
        <v>1.4799999999999924E-2</v>
      </c>
      <c r="I225" s="29">
        <f t="shared" si="84"/>
        <v>4.7999999999999996E-3</v>
      </c>
      <c r="J225" s="10">
        <v>4</v>
      </c>
      <c r="K225" s="29">
        <f t="shared" si="85"/>
        <v>-2.4400000000000002E-2</v>
      </c>
      <c r="L225">
        <v>13.75</v>
      </c>
      <c r="M225" s="29">
        <f t="shared" si="86"/>
        <v>7.1000000000000004E-3</v>
      </c>
      <c r="N225">
        <v>35.549999999999997</v>
      </c>
      <c r="O225" s="13">
        <f t="shared" si="91"/>
        <v>-9.9000000000000008E-3</v>
      </c>
      <c r="P225">
        <v>211410</v>
      </c>
      <c r="Q225">
        <v>1.0571699999999999</v>
      </c>
      <c r="R225">
        <f t="shared" si="87"/>
        <v>101.05717</v>
      </c>
      <c r="S225" s="13">
        <f t="shared" si="88"/>
        <v>4.9999999999998934E-3</v>
      </c>
      <c r="T225" s="13">
        <f t="shared" si="89"/>
        <v>1.6999999999999999E-3</v>
      </c>
      <c r="U225" s="30">
        <f t="shared" si="92"/>
        <v>186.63</v>
      </c>
      <c r="V225" s="31">
        <f t="shared" si="90"/>
        <v>190.12</v>
      </c>
    </row>
    <row r="226" spans="1:22" x14ac:dyDescent="0.25">
      <c r="A226" s="5">
        <v>36525</v>
      </c>
      <c r="B226" s="10">
        <v>130780</v>
      </c>
      <c r="C226" s="1">
        <f t="shared" si="79"/>
        <v>296</v>
      </c>
      <c r="D226" s="13">
        <f t="shared" si="80"/>
        <v>1.309999999999989E-2</v>
      </c>
      <c r="E226" s="29">
        <f t="shared" si="81"/>
        <v>4.7999999999999996E-3</v>
      </c>
      <c r="F226" s="39">
        <v>109125.463</v>
      </c>
      <c r="G226" s="1">
        <f t="shared" si="82"/>
        <v>296</v>
      </c>
      <c r="H226" s="13">
        <f t="shared" si="83"/>
        <v>1.5700000000000047E-2</v>
      </c>
      <c r="I226" s="29">
        <f t="shared" si="84"/>
        <v>5.7999999999999996E-3</v>
      </c>
      <c r="J226" s="10">
        <v>4</v>
      </c>
      <c r="K226" s="29">
        <f t="shared" si="85"/>
        <v>-3.61E-2</v>
      </c>
      <c r="L226">
        <v>13.7</v>
      </c>
      <c r="M226" s="29">
        <f t="shared" si="86"/>
        <v>6.4000000000000003E-3</v>
      </c>
      <c r="N226">
        <v>36.380000000000003</v>
      </c>
      <c r="O226" s="13">
        <f t="shared" si="91"/>
        <v>-2.0000000000000001E-4</v>
      </c>
      <c r="P226">
        <v>208832</v>
      </c>
      <c r="Q226">
        <v>0.61836000000000002</v>
      </c>
      <c r="R226">
        <f t="shared" si="87"/>
        <v>100.61836</v>
      </c>
      <c r="S226" s="13">
        <f t="shared" si="88"/>
        <v>4.1999999999999815E-3</v>
      </c>
      <c r="T226" s="13">
        <f t="shared" si="89"/>
        <v>6.9999999999999999E-4</v>
      </c>
      <c r="U226" s="30">
        <f t="shared" si="92"/>
        <v>192.48</v>
      </c>
      <c r="V226" s="31">
        <f t="shared" si="90"/>
        <v>195.68</v>
      </c>
    </row>
    <row r="227" spans="1:22" x14ac:dyDescent="0.25">
      <c r="A227" s="5">
        <v>36494</v>
      </c>
      <c r="B227" s="10">
        <v>130484</v>
      </c>
      <c r="C227" s="1">
        <f t="shared" si="79"/>
        <v>293</v>
      </c>
      <c r="D227" s="13">
        <f t="shared" si="80"/>
        <v>1.2799999999999923E-2</v>
      </c>
      <c r="E227" s="29">
        <f t="shared" si="81"/>
        <v>4.8999999999999998E-3</v>
      </c>
      <c r="F227" s="39">
        <v>108829.463</v>
      </c>
      <c r="G227" s="1">
        <f t="shared" si="82"/>
        <v>293</v>
      </c>
      <c r="H227" s="13">
        <f t="shared" si="83"/>
        <v>1.540000000000008E-2</v>
      </c>
      <c r="I227" s="29">
        <f t="shared" si="84"/>
        <v>5.7999999999999996E-3</v>
      </c>
      <c r="J227" s="10">
        <v>4.0999999999999996</v>
      </c>
      <c r="K227" s="29">
        <f t="shared" si="85"/>
        <v>-2.3800000000000002E-2</v>
      </c>
      <c r="L227">
        <v>13.66</v>
      </c>
      <c r="M227" s="29">
        <f t="shared" si="86"/>
        <v>6.1000000000000004E-3</v>
      </c>
      <c r="N227">
        <v>35.74</v>
      </c>
      <c r="O227" s="13">
        <f t="shared" si="91"/>
        <v>-1.5599999999999999E-2</v>
      </c>
      <c r="P227">
        <v>208666</v>
      </c>
      <c r="Q227">
        <v>0.57274000000000003</v>
      </c>
      <c r="R227">
        <f t="shared" si="87"/>
        <v>100.57274</v>
      </c>
      <c r="S227" s="13">
        <f t="shared" si="88"/>
        <v>1.3000000000000789E-3</v>
      </c>
      <c r="T227" s="13">
        <f t="shared" si="89"/>
        <v>0</v>
      </c>
      <c r="U227" s="30">
        <f t="shared" si="92"/>
        <v>191.25</v>
      </c>
      <c r="V227" s="31">
        <f t="shared" si="90"/>
        <v>191.32</v>
      </c>
    </row>
    <row r="228" spans="1:22" x14ac:dyDescent="0.25">
      <c r="A228" s="5">
        <v>36464</v>
      </c>
      <c r="B228" s="10">
        <v>130191</v>
      </c>
      <c r="C228" s="1">
        <f t="shared" si="79"/>
        <v>400</v>
      </c>
      <c r="D228" s="13">
        <f t="shared" si="80"/>
        <v>1.2199999999999989E-2</v>
      </c>
      <c r="E228" s="29">
        <f t="shared" si="81"/>
        <v>4.5999999999999999E-3</v>
      </c>
      <c r="F228" s="39">
        <v>108536.463</v>
      </c>
      <c r="G228" s="1">
        <f t="shared" si="82"/>
        <v>400</v>
      </c>
      <c r="H228" s="13">
        <f t="shared" si="83"/>
        <v>1.4699999999999935E-2</v>
      </c>
      <c r="I228" s="29">
        <f t="shared" si="84"/>
        <v>5.4999999999999997E-3</v>
      </c>
      <c r="J228" s="10">
        <v>4.0999999999999996</v>
      </c>
      <c r="K228" s="29">
        <f t="shared" si="85"/>
        <v>-3.5299999999999998E-2</v>
      </c>
      <c r="L228">
        <v>13.64</v>
      </c>
      <c r="M228" s="29">
        <f t="shared" si="86"/>
        <v>7.7999999999999996E-3</v>
      </c>
      <c r="N228">
        <v>34.94</v>
      </c>
      <c r="O228" s="13">
        <f t="shared" si="91"/>
        <v>-3.6900000000000002E-2</v>
      </c>
      <c r="P228">
        <v>208483</v>
      </c>
      <c r="Q228">
        <v>0.19516</v>
      </c>
      <c r="R228">
        <f t="shared" si="87"/>
        <v>100.19516</v>
      </c>
      <c r="S228" s="13">
        <f t="shared" si="88"/>
        <v>1.6000000000000458E-3</v>
      </c>
      <c r="T228" s="13">
        <f t="shared" si="89"/>
        <v>0</v>
      </c>
      <c r="U228" s="30">
        <f t="shared" si="92"/>
        <v>203.32</v>
      </c>
      <c r="V228" s="31">
        <f t="shared" si="90"/>
        <v>186.31</v>
      </c>
    </row>
    <row r="229" spans="1:22" x14ac:dyDescent="0.25">
      <c r="A229" s="5">
        <v>36433</v>
      </c>
      <c r="B229" s="10">
        <v>129791</v>
      </c>
      <c r="C229" s="1">
        <f t="shared" si="79"/>
        <v>214</v>
      </c>
      <c r="D229" s="13">
        <f t="shared" si="80"/>
        <v>1.21E-2</v>
      </c>
      <c r="E229" s="29">
        <f t="shared" si="81"/>
        <v>3.3E-3</v>
      </c>
      <c r="F229" s="39">
        <v>108136.463</v>
      </c>
      <c r="G229" s="1">
        <f t="shared" si="82"/>
        <v>214</v>
      </c>
      <c r="H229" s="13">
        <f t="shared" si="83"/>
        <v>1.4499999999999957E-2</v>
      </c>
      <c r="I229" s="29">
        <f t="shared" si="84"/>
        <v>4.0000000000000001E-3</v>
      </c>
      <c r="J229" s="10">
        <v>4.2</v>
      </c>
      <c r="K229" s="29">
        <f t="shared" si="85"/>
        <v>-1.18E-2</v>
      </c>
      <c r="L229">
        <v>13.61</v>
      </c>
      <c r="M229" s="29">
        <f t="shared" si="86"/>
        <v>8.8999999999999999E-3</v>
      </c>
      <c r="N229">
        <v>36.340000000000003</v>
      </c>
      <c r="O229" s="13">
        <f t="shared" si="91"/>
        <v>-2.23E-2</v>
      </c>
      <c r="P229">
        <v>208265</v>
      </c>
      <c r="Q229">
        <v>0.38962999999999998</v>
      </c>
      <c r="R229">
        <f t="shared" si="87"/>
        <v>100.38963</v>
      </c>
      <c r="S229" s="13">
        <f t="shared" si="88"/>
        <v>1.3000000000000789E-3</v>
      </c>
      <c r="T229" s="13">
        <f t="shared" si="89"/>
        <v>-1E-4</v>
      </c>
      <c r="U229" s="30">
        <f t="shared" si="92"/>
        <v>179.39</v>
      </c>
      <c r="V229" s="31">
        <f t="shared" si="90"/>
        <v>181.92</v>
      </c>
    </row>
    <row r="230" spans="1:22" x14ac:dyDescent="0.25">
      <c r="A230" s="5">
        <v>36403</v>
      </c>
      <c r="B230" s="10">
        <v>129577</v>
      </c>
      <c r="C230" s="1">
        <f t="shared" si="79"/>
        <v>160</v>
      </c>
      <c r="D230" s="13">
        <f t="shared" si="80"/>
        <v>1.1200000000000099E-2</v>
      </c>
      <c r="E230" s="29">
        <f t="shared" si="81"/>
        <v>3.5999999999999999E-3</v>
      </c>
      <c r="F230" s="39">
        <v>107922.463</v>
      </c>
      <c r="G230" s="1">
        <f t="shared" si="82"/>
        <v>160</v>
      </c>
      <c r="H230" s="13">
        <f t="shared" si="83"/>
        <v>1.3500000000000068E-2</v>
      </c>
      <c r="I230" s="29">
        <f t="shared" si="84"/>
        <v>4.3E-3</v>
      </c>
      <c r="J230" s="10">
        <v>4.2</v>
      </c>
      <c r="K230" s="29">
        <f t="shared" si="85"/>
        <v>-1.7500000000000002E-2</v>
      </c>
      <c r="L230">
        <v>13.54</v>
      </c>
      <c r="M230" s="29">
        <f t="shared" si="86"/>
        <v>6.7000000000000002E-3</v>
      </c>
      <c r="N230">
        <v>36.409999999999997</v>
      </c>
      <c r="O230" s="13">
        <f t="shared" si="91"/>
        <v>-2.5100000000000001E-2</v>
      </c>
      <c r="P230">
        <v>208038</v>
      </c>
      <c r="Q230">
        <v>0.31855</v>
      </c>
      <c r="R230">
        <f t="shared" si="87"/>
        <v>100.31855</v>
      </c>
      <c r="S230" s="13">
        <f t="shared" si="88"/>
        <v>3.8000000000000256E-3</v>
      </c>
      <c r="T230" s="13">
        <f t="shared" si="89"/>
        <v>6.9999999999999999E-4</v>
      </c>
      <c r="U230" s="30">
        <f t="shared" si="92"/>
        <v>176.22</v>
      </c>
      <c r="V230" s="31">
        <f t="shared" si="90"/>
        <v>181.88</v>
      </c>
    </row>
    <row r="231" spans="1:22" x14ac:dyDescent="0.25">
      <c r="A231" s="5">
        <v>36372</v>
      </c>
      <c r="B231" s="10">
        <v>129417</v>
      </c>
      <c r="C231" s="1">
        <f t="shared" si="79"/>
        <v>326</v>
      </c>
      <c r="D231" s="13">
        <f t="shared" si="80"/>
        <v>1.3200000000000101E-2</v>
      </c>
      <c r="E231" s="29">
        <f t="shared" si="81"/>
        <v>4.4000000000000003E-3</v>
      </c>
      <c r="F231" s="39">
        <v>107762.463</v>
      </c>
      <c r="G231" s="1">
        <f t="shared" si="82"/>
        <v>326</v>
      </c>
      <c r="H231" s="13">
        <f t="shared" si="83"/>
        <v>1.5900000000000025E-2</v>
      </c>
      <c r="I231" s="29">
        <f t="shared" si="84"/>
        <v>5.3E-3</v>
      </c>
      <c r="J231" s="10">
        <v>4.3</v>
      </c>
      <c r="K231" s="29">
        <f t="shared" si="85"/>
        <v>1.18E-2</v>
      </c>
      <c r="L231">
        <v>13.52</v>
      </c>
      <c r="M231" s="29">
        <f t="shared" si="86"/>
        <v>8.8000000000000005E-3</v>
      </c>
      <c r="N231">
        <v>37.119999999999997</v>
      </c>
      <c r="O231" s="13">
        <f t="shared" si="91"/>
        <v>-1.67E-2</v>
      </c>
      <c r="P231">
        <v>207828</v>
      </c>
      <c r="Q231">
        <v>0.55471999999999999</v>
      </c>
      <c r="R231">
        <f t="shared" si="87"/>
        <v>100.55472</v>
      </c>
      <c r="S231" s="13">
        <f t="shared" si="88"/>
        <v>6.0999999999999943E-3</v>
      </c>
      <c r="T231" s="13">
        <f t="shared" si="89"/>
        <v>6.9999999999999999E-4</v>
      </c>
      <c r="U231" s="30">
        <f t="shared" si="92"/>
        <v>190.16</v>
      </c>
      <c r="V231" s="31">
        <f t="shared" si="90"/>
        <v>183.87</v>
      </c>
    </row>
    <row r="232" spans="1:22" x14ac:dyDescent="0.25">
      <c r="A232" s="5">
        <v>36341</v>
      </c>
      <c r="B232" s="10">
        <v>129091</v>
      </c>
      <c r="C232" s="1">
        <f t="shared" si="79"/>
        <v>260</v>
      </c>
      <c r="D232" s="13">
        <f t="shared" si="80"/>
        <v>1.1700000000000044E-2</v>
      </c>
      <c r="E232" s="29">
        <f t="shared" si="81"/>
        <v>4.1000000000000003E-3</v>
      </c>
      <c r="F232" s="39">
        <v>107436.463</v>
      </c>
      <c r="G232" s="1">
        <f t="shared" si="82"/>
        <v>260</v>
      </c>
      <c r="H232" s="13">
        <f t="shared" si="83"/>
        <v>1.4100000000000001E-2</v>
      </c>
      <c r="I232" s="29">
        <f t="shared" si="84"/>
        <v>4.8999999999999998E-3</v>
      </c>
      <c r="J232" s="10">
        <v>4.3</v>
      </c>
      <c r="K232" s="29">
        <f t="shared" si="85"/>
        <v>5.7999999999999996E-3</v>
      </c>
      <c r="L232">
        <v>13.47</v>
      </c>
      <c r="M232" s="29">
        <f t="shared" si="86"/>
        <v>8.2000000000000007E-3</v>
      </c>
      <c r="N232">
        <v>37.799999999999997</v>
      </c>
      <c r="O232" s="13">
        <f t="shared" si="91"/>
        <v>-6.1999999999999998E-3</v>
      </c>
      <c r="P232">
        <v>207632</v>
      </c>
      <c r="Q232">
        <v>0.20033999999999999</v>
      </c>
      <c r="R232">
        <f t="shared" si="87"/>
        <v>100.20034</v>
      </c>
      <c r="S232" s="13">
        <f t="shared" si="88"/>
        <v>2.0000000000000018E-3</v>
      </c>
      <c r="T232" s="13">
        <f t="shared" si="89"/>
        <v>6.9999999999999999E-4</v>
      </c>
      <c r="U232" s="30">
        <f t="shared" si="92"/>
        <v>179.25</v>
      </c>
      <c r="V232" s="31">
        <f t="shared" si="90"/>
        <v>183.96</v>
      </c>
    </row>
    <row r="233" spans="1:22" x14ac:dyDescent="0.25">
      <c r="A233" s="5">
        <v>36311</v>
      </c>
      <c r="B233" s="10">
        <v>128831</v>
      </c>
      <c r="C233" s="1">
        <f t="shared" si="79"/>
        <v>211</v>
      </c>
      <c r="D233" s="13">
        <f t="shared" si="80"/>
        <v>1.2399999999999967E-2</v>
      </c>
      <c r="E233" s="29">
        <f t="shared" si="81"/>
        <v>3.8999999999999998E-3</v>
      </c>
      <c r="F233" s="39">
        <v>107176.463</v>
      </c>
      <c r="G233" s="1">
        <f t="shared" si="82"/>
        <v>211</v>
      </c>
      <c r="H233" s="13">
        <f t="shared" si="83"/>
        <v>1.4899999999999913E-2</v>
      </c>
      <c r="I233" s="29">
        <f t="shared" si="84"/>
        <v>4.7000000000000002E-3</v>
      </c>
      <c r="J233" s="10">
        <v>4.2</v>
      </c>
      <c r="K233" s="29">
        <f t="shared" si="85"/>
        <v>-2.3300000000000001E-2</v>
      </c>
      <c r="L233">
        <v>13.43</v>
      </c>
      <c r="M233" s="29">
        <f t="shared" si="86"/>
        <v>8.3000000000000001E-3</v>
      </c>
      <c r="N233">
        <v>37.6</v>
      </c>
      <c r="O233" s="13">
        <f t="shared" si="91"/>
        <v>-7.7999999999999996E-3</v>
      </c>
      <c r="P233">
        <v>207427</v>
      </c>
      <c r="Q233">
        <v>0.43865999999999999</v>
      </c>
      <c r="R233">
        <f t="shared" si="87"/>
        <v>100.43866</v>
      </c>
      <c r="S233" s="13">
        <f t="shared" si="88"/>
        <v>6.1999999999999833E-3</v>
      </c>
      <c r="T233" s="13">
        <f t="shared" si="89"/>
        <v>1.1999999999999999E-3</v>
      </c>
      <c r="U233" s="30">
        <f t="shared" si="92"/>
        <v>182.2</v>
      </c>
      <c r="V233" s="31">
        <f t="shared" si="90"/>
        <v>179.57</v>
      </c>
    </row>
    <row r="234" spans="1:22" x14ac:dyDescent="0.25">
      <c r="A234" s="5">
        <v>36280</v>
      </c>
      <c r="B234" s="10">
        <v>128620</v>
      </c>
      <c r="C234" s="1">
        <f t="shared" si="79"/>
        <v>376</v>
      </c>
      <c r="D234" s="13">
        <f t="shared" si="80"/>
        <v>1.2999999999999901E-2</v>
      </c>
      <c r="E234" s="29">
        <f t="shared" si="81"/>
        <v>4.5999999999999999E-3</v>
      </c>
      <c r="F234" s="39">
        <v>106965.463</v>
      </c>
      <c r="G234" s="1">
        <f t="shared" si="82"/>
        <v>376</v>
      </c>
      <c r="H234" s="13">
        <f t="shared" si="83"/>
        <v>1.5600000000000058E-2</v>
      </c>
      <c r="I234" s="29">
        <f t="shared" si="84"/>
        <v>5.4999999999999997E-3</v>
      </c>
      <c r="J234" s="10">
        <v>4.3</v>
      </c>
      <c r="K234" s="29">
        <f t="shared" si="85"/>
        <v>-5.7999999999999996E-3</v>
      </c>
      <c r="L234">
        <v>13.38</v>
      </c>
      <c r="M234" s="29">
        <f t="shared" si="86"/>
        <v>7.7000000000000002E-3</v>
      </c>
      <c r="N234">
        <v>38.15</v>
      </c>
      <c r="O234" s="13">
        <f t="shared" si="91"/>
        <v>1.1999999999999999E-3</v>
      </c>
      <c r="P234">
        <v>207236</v>
      </c>
      <c r="Q234">
        <v>3.5790000000000002E-2</v>
      </c>
      <c r="R234">
        <f t="shared" si="87"/>
        <v>100.03579000000001</v>
      </c>
      <c r="S234" s="13">
        <f t="shared" si="88"/>
        <v>1.4000000000000679E-3</v>
      </c>
      <c r="T234" s="13">
        <f t="shared" si="89"/>
        <v>1E-4</v>
      </c>
      <c r="U234" s="30">
        <f t="shared" si="92"/>
        <v>190.44</v>
      </c>
      <c r="V234" s="31">
        <f t="shared" si="90"/>
        <v>182.64</v>
      </c>
    </row>
    <row r="235" spans="1:22" x14ac:dyDescent="0.25">
      <c r="A235" s="5">
        <v>36250</v>
      </c>
      <c r="B235" s="10">
        <v>128244</v>
      </c>
      <c r="C235" s="1">
        <f t="shared" si="79"/>
        <v>107</v>
      </c>
      <c r="D235" s="13">
        <f t="shared" si="80"/>
        <v>1.1600000000000055E-2</v>
      </c>
      <c r="E235" s="29">
        <f t="shared" si="81"/>
        <v>3.3E-3</v>
      </c>
      <c r="F235" s="39">
        <v>106589.463</v>
      </c>
      <c r="G235" s="1">
        <f t="shared" si="82"/>
        <v>107</v>
      </c>
      <c r="H235" s="13">
        <f t="shared" si="83"/>
        <v>1.4000000000000012E-2</v>
      </c>
      <c r="I235" s="29">
        <f t="shared" si="84"/>
        <v>4.0000000000000001E-3</v>
      </c>
      <c r="J235" s="10">
        <v>4.2</v>
      </c>
      <c r="K235" s="29">
        <f t="shared" si="85"/>
        <v>-0.04</v>
      </c>
      <c r="L235">
        <v>13.33</v>
      </c>
      <c r="M235" s="29">
        <f t="shared" si="86"/>
        <v>7.0000000000000001E-3</v>
      </c>
      <c r="N235">
        <v>39.340000000000003</v>
      </c>
      <c r="O235" s="13">
        <f t="shared" si="91"/>
        <v>2.3099999999999999E-2</v>
      </c>
      <c r="P235">
        <v>207036</v>
      </c>
      <c r="Q235">
        <v>0.25824000000000003</v>
      </c>
      <c r="R235">
        <f t="shared" si="87"/>
        <v>100.25824</v>
      </c>
      <c r="S235" s="13">
        <f t="shared" si="88"/>
        <v>1.9999999999997797E-4</v>
      </c>
      <c r="T235" s="13">
        <f t="shared" si="89"/>
        <v>1.1000000000000001E-3</v>
      </c>
      <c r="U235" s="30">
        <f t="shared" si="92"/>
        <v>166.07</v>
      </c>
      <c r="V235" s="31">
        <f t="shared" si="90"/>
        <v>176</v>
      </c>
    </row>
    <row r="236" spans="1:22" x14ac:dyDescent="0.25">
      <c r="A236" s="5">
        <v>36219</v>
      </c>
      <c r="B236" s="10">
        <v>128137</v>
      </c>
      <c r="C236" s="1">
        <f t="shared" si="79"/>
        <v>410</v>
      </c>
      <c r="D236" s="13">
        <f t="shared" si="80"/>
        <v>1.2499999999999956E-2</v>
      </c>
      <c r="E236" s="29">
        <f t="shared" si="81"/>
        <v>4.7999999999999996E-3</v>
      </c>
      <c r="F236" s="39">
        <v>106482.463</v>
      </c>
      <c r="G236" s="1">
        <f t="shared" si="82"/>
        <v>410</v>
      </c>
      <c r="H236" s="13">
        <f t="shared" si="83"/>
        <v>1.5099999999999891E-2</v>
      </c>
      <c r="I236" s="29">
        <f t="shared" si="84"/>
        <v>5.7999999999999996E-3</v>
      </c>
      <c r="J236" s="10">
        <v>4.4000000000000004</v>
      </c>
      <c r="K236" s="29">
        <f t="shared" si="85"/>
        <v>0</v>
      </c>
      <c r="L236">
        <v>13.3</v>
      </c>
      <c r="M236" s="29">
        <f t="shared" si="86"/>
        <v>7.6E-3</v>
      </c>
      <c r="N236">
        <v>37.950000000000003</v>
      </c>
      <c r="O236" s="13">
        <f t="shared" si="91"/>
        <v>-2.3E-3</v>
      </c>
      <c r="P236">
        <v>206873</v>
      </c>
      <c r="Q236">
        <v>-6.3009999999999997E-2</v>
      </c>
      <c r="R236">
        <f t="shared" si="87"/>
        <v>99.936989999999994</v>
      </c>
      <c r="S236" s="13">
        <f t="shared" si="88"/>
        <v>-3.0999999999999917E-3</v>
      </c>
      <c r="T236" s="13">
        <f t="shared" si="89"/>
        <v>1E-4</v>
      </c>
      <c r="U236" s="30">
        <f t="shared" si="92"/>
        <v>191.42000000000002</v>
      </c>
      <c r="V236" s="31">
        <f t="shared" si="90"/>
        <v>184.35</v>
      </c>
    </row>
    <row r="237" spans="1:22" x14ac:dyDescent="0.25">
      <c r="A237" s="5">
        <v>36191</v>
      </c>
      <c r="B237" s="10">
        <v>127727</v>
      </c>
      <c r="C237" s="1">
        <f t="shared" si="79"/>
        <v>126</v>
      </c>
      <c r="D237" s="13">
        <f t="shared" si="80"/>
        <v>1.2000000000000011E-2</v>
      </c>
      <c r="E237" s="29">
        <f t="shared" si="81"/>
        <v>3.5000000000000001E-3</v>
      </c>
      <c r="F237" s="39">
        <v>106072.463</v>
      </c>
      <c r="G237" s="1">
        <f t="shared" si="82"/>
        <v>126</v>
      </c>
      <c r="H237" s="13">
        <f t="shared" si="83"/>
        <v>1.4499999999999957E-2</v>
      </c>
      <c r="I237" s="29">
        <f t="shared" si="84"/>
        <v>4.3E-3</v>
      </c>
      <c r="J237" s="10">
        <v>4.3</v>
      </c>
      <c r="K237" s="29">
        <f t="shared" si="85"/>
        <v>-3.9100000000000003E-2</v>
      </c>
      <c r="L237">
        <v>13.27</v>
      </c>
      <c r="M237" s="29">
        <f t="shared" si="86"/>
        <v>8.3999999999999995E-3</v>
      </c>
      <c r="N237">
        <v>38.22</v>
      </c>
      <c r="O237" s="13">
        <f t="shared" si="91"/>
        <v>-8.0999999999999996E-3</v>
      </c>
      <c r="P237">
        <v>206719</v>
      </c>
      <c r="Q237">
        <v>-5.806E-2</v>
      </c>
      <c r="R237">
        <f t="shared" si="87"/>
        <v>99.941940000000002</v>
      </c>
      <c r="S237" s="13">
        <f t="shared" si="88"/>
        <v>-4.1999999999999815E-3</v>
      </c>
      <c r="T237" s="13">
        <f t="shared" si="89"/>
        <v>-6.9999999999999999E-4</v>
      </c>
      <c r="U237" s="30">
        <f t="shared" si="92"/>
        <v>170.52</v>
      </c>
      <c r="V237" s="31">
        <f t="shared" si="90"/>
        <v>182.71</v>
      </c>
    </row>
    <row r="238" spans="1:22" x14ac:dyDescent="0.25">
      <c r="A238" s="5">
        <v>36160</v>
      </c>
      <c r="B238" s="10">
        <v>127601</v>
      </c>
      <c r="C238" s="1">
        <f t="shared" si="79"/>
        <v>346</v>
      </c>
      <c r="D238" s="13">
        <f t="shared" si="80"/>
        <v>1.21E-2</v>
      </c>
      <c r="E238" s="29">
        <f t="shared" si="81"/>
        <v>4.7000000000000002E-3</v>
      </c>
      <c r="F238" s="39">
        <v>105946.463</v>
      </c>
      <c r="G238" s="1">
        <f t="shared" si="82"/>
        <v>346</v>
      </c>
      <c r="H238" s="13">
        <f t="shared" si="83"/>
        <v>1.4599999999999946E-2</v>
      </c>
      <c r="I238" s="29">
        <f t="shared" si="84"/>
        <v>5.7000000000000002E-3</v>
      </c>
      <c r="J238" s="10">
        <v>4.4000000000000004</v>
      </c>
      <c r="K238" s="29">
        <f t="shared" si="85"/>
        <v>-2.2200000000000001E-2</v>
      </c>
      <c r="L238">
        <v>13.21</v>
      </c>
      <c r="M238" s="29">
        <f t="shared" si="86"/>
        <v>6.3E-3</v>
      </c>
      <c r="N238">
        <v>37.9</v>
      </c>
      <c r="O238" s="13">
        <f t="shared" si="91"/>
        <v>-2.29E-2</v>
      </c>
      <c r="P238">
        <v>206270</v>
      </c>
      <c r="Q238">
        <v>-1.3999999999999999E-4</v>
      </c>
      <c r="R238">
        <f t="shared" si="87"/>
        <v>99.999859999999998</v>
      </c>
      <c r="S238" s="13">
        <f t="shared" si="88"/>
        <v>-4.4999999999999485E-3</v>
      </c>
      <c r="T238" s="13">
        <f t="shared" si="89"/>
        <v>-5.9999999999999995E-4</v>
      </c>
      <c r="U238" s="30">
        <f t="shared" si="92"/>
        <v>191.12</v>
      </c>
      <c r="V238" s="31">
        <f t="shared" si="90"/>
        <v>184.51</v>
      </c>
    </row>
    <row r="239" spans="1:22" x14ac:dyDescent="0.25">
      <c r="A239" s="5">
        <v>36129</v>
      </c>
      <c r="B239" s="10">
        <v>127255</v>
      </c>
      <c r="C239" s="1">
        <f t="shared" si="79"/>
        <v>282</v>
      </c>
      <c r="D239" s="13">
        <f t="shared" si="80"/>
        <v>1.110000000000011E-2</v>
      </c>
      <c r="E239" s="29">
        <f t="shared" si="81"/>
        <v>3.8999999999999998E-3</v>
      </c>
      <c r="F239" s="39">
        <v>105600.463</v>
      </c>
      <c r="G239" s="1">
        <f t="shared" si="82"/>
        <v>282</v>
      </c>
      <c r="H239" s="13">
        <f t="shared" si="83"/>
        <v>1.3400000000000079E-2</v>
      </c>
      <c r="I239" s="29">
        <f t="shared" si="84"/>
        <v>4.7000000000000002E-3</v>
      </c>
      <c r="J239" s="10">
        <v>4.4000000000000004</v>
      </c>
      <c r="K239" s="29">
        <f t="shared" si="85"/>
        <v>-2.76E-2</v>
      </c>
      <c r="L239">
        <v>13.17</v>
      </c>
      <c r="M239" s="29">
        <f t="shared" si="86"/>
        <v>6.3E-3</v>
      </c>
      <c r="N239">
        <v>37</v>
      </c>
      <c r="O239" s="13">
        <f t="shared" si="91"/>
        <v>-4.7500000000000001E-2</v>
      </c>
      <c r="P239">
        <v>206104</v>
      </c>
      <c r="Q239">
        <v>-0.18154000000000001</v>
      </c>
      <c r="R239">
        <f t="shared" si="87"/>
        <v>99.818460000000002</v>
      </c>
      <c r="S239" s="13">
        <f t="shared" si="88"/>
        <v>-4.7000000000000375E-3</v>
      </c>
      <c r="T239" s="13">
        <f t="shared" si="89"/>
        <v>-1.4E-3</v>
      </c>
      <c r="U239" s="30">
        <f t="shared" si="92"/>
        <v>186.5</v>
      </c>
      <c r="V239" s="31">
        <f t="shared" si="90"/>
        <v>179.9</v>
      </c>
    </row>
    <row r="240" spans="1:22" x14ac:dyDescent="0.25">
      <c r="A240" s="5">
        <v>36099</v>
      </c>
      <c r="B240" s="10">
        <v>126973</v>
      </c>
      <c r="C240" s="1">
        <f t="shared" si="79"/>
        <v>199</v>
      </c>
      <c r="D240" s="13">
        <f t="shared" si="80"/>
        <v>1.21E-2</v>
      </c>
      <c r="E240" s="29">
        <f t="shared" si="81"/>
        <v>3.5999999999999999E-3</v>
      </c>
      <c r="F240" s="39">
        <v>105318.463</v>
      </c>
      <c r="G240" s="1">
        <f t="shared" si="82"/>
        <v>199</v>
      </c>
      <c r="H240" s="13">
        <f t="shared" si="83"/>
        <v>1.4599999999999946E-2</v>
      </c>
      <c r="I240" s="29">
        <f t="shared" si="84"/>
        <v>4.4000000000000003E-3</v>
      </c>
      <c r="J240" s="10">
        <v>4.5</v>
      </c>
      <c r="K240" s="29">
        <f t="shared" si="85"/>
        <v>-5.4999999999999997E-3</v>
      </c>
      <c r="L240">
        <v>13.15</v>
      </c>
      <c r="M240" s="29">
        <f t="shared" si="86"/>
        <v>7.9000000000000008E-3</v>
      </c>
      <c r="N240">
        <v>38.04</v>
      </c>
      <c r="O240" s="13">
        <f t="shared" si="91"/>
        <v>-4.0800000000000003E-2</v>
      </c>
      <c r="P240">
        <v>205919</v>
      </c>
      <c r="Q240">
        <v>-9.9580000000000002E-2</v>
      </c>
      <c r="R240">
        <f t="shared" si="87"/>
        <v>99.900419999999997</v>
      </c>
      <c r="S240" s="13">
        <f t="shared" si="88"/>
        <v>-4.6000000000000485E-3</v>
      </c>
      <c r="T240" s="13">
        <f t="shared" si="89"/>
        <v>-1.4E-3</v>
      </c>
      <c r="U240" s="30">
        <f t="shared" si="92"/>
        <v>175.92000000000002</v>
      </c>
      <c r="V240" s="31">
        <f t="shared" si="90"/>
        <v>180.51</v>
      </c>
    </row>
    <row r="241" spans="1:22" x14ac:dyDescent="0.25">
      <c r="A241" s="5">
        <v>36068</v>
      </c>
      <c r="B241" s="10">
        <v>126774</v>
      </c>
      <c r="C241" s="1">
        <f t="shared" si="79"/>
        <v>223</v>
      </c>
      <c r="D241" s="13">
        <f t="shared" si="80"/>
        <v>1.2799999999999923E-2</v>
      </c>
      <c r="E241" s="29">
        <f t="shared" si="81"/>
        <v>3.8999999999999998E-3</v>
      </c>
      <c r="F241" s="39">
        <v>105119.463</v>
      </c>
      <c r="G241" s="1">
        <f t="shared" si="82"/>
        <v>223</v>
      </c>
      <c r="H241" s="13">
        <f t="shared" si="83"/>
        <v>1.540000000000008E-2</v>
      </c>
      <c r="I241" s="29">
        <f t="shared" si="84"/>
        <v>4.7000000000000002E-3</v>
      </c>
      <c r="J241" s="10">
        <v>4.5999999999999996</v>
      </c>
      <c r="K241" s="29">
        <f t="shared" si="85"/>
        <v>2.7900000000000001E-2</v>
      </c>
      <c r="L241">
        <v>13.11</v>
      </c>
      <c r="M241" s="29">
        <f t="shared" si="86"/>
        <v>7.4999999999999997E-3</v>
      </c>
      <c r="N241">
        <v>38.21</v>
      </c>
      <c r="O241" s="13">
        <f t="shared" si="91"/>
        <v>-4.9200000000000001E-2</v>
      </c>
      <c r="P241">
        <v>205699</v>
      </c>
      <c r="Q241">
        <v>0.23535</v>
      </c>
      <c r="R241">
        <f t="shared" si="87"/>
        <v>100.23535</v>
      </c>
      <c r="S241" s="13">
        <f t="shared" si="88"/>
        <v>-3.0000000000000027E-3</v>
      </c>
      <c r="T241" s="13">
        <f t="shared" si="89"/>
        <v>-1E-4</v>
      </c>
      <c r="U241" s="30">
        <f t="shared" si="92"/>
        <v>177.27</v>
      </c>
      <c r="V241" s="31">
        <f t="shared" si="90"/>
        <v>176.22</v>
      </c>
    </row>
    <row r="242" spans="1:22" x14ac:dyDescent="0.25">
      <c r="A242" s="5">
        <v>36038</v>
      </c>
      <c r="B242" s="10">
        <v>126551</v>
      </c>
      <c r="C242" s="1">
        <f t="shared" si="79"/>
        <v>342</v>
      </c>
      <c r="D242" s="13">
        <f t="shared" si="80"/>
        <v>1.2199999999999989E-2</v>
      </c>
      <c r="E242" s="29">
        <f t="shared" si="81"/>
        <v>4.0000000000000001E-3</v>
      </c>
      <c r="F242" s="39">
        <v>104896.463</v>
      </c>
      <c r="G242" s="1">
        <f t="shared" si="82"/>
        <v>342</v>
      </c>
      <c r="H242" s="13">
        <f t="shared" si="83"/>
        <v>1.4799999999999924E-2</v>
      </c>
      <c r="I242" s="29">
        <f t="shared" si="84"/>
        <v>4.7999999999999996E-3</v>
      </c>
      <c r="J242" s="10">
        <v>4.5</v>
      </c>
      <c r="K242" s="29">
        <f t="shared" si="85"/>
        <v>1.6899999999999998E-2</v>
      </c>
      <c r="L242">
        <v>13.08</v>
      </c>
      <c r="M242" s="29">
        <f t="shared" si="86"/>
        <v>8.3000000000000001E-3</v>
      </c>
      <c r="N242">
        <v>39.200000000000003</v>
      </c>
      <c r="O242" s="13">
        <f t="shared" si="91"/>
        <v>-4.3099999999999999E-2</v>
      </c>
      <c r="P242">
        <v>205479</v>
      </c>
      <c r="Q242">
        <v>0.25178</v>
      </c>
      <c r="R242">
        <f t="shared" si="87"/>
        <v>100.25178</v>
      </c>
      <c r="S242" s="13">
        <f t="shared" si="88"/>
        <v>-2.3999999999999577E-3</v>
      </c>
      <c r="T242" s="13">
        <f t="shared" si="89"/>
        <v>-2.9999999999999997E-4</v>
      </c>
      <c r="U242" s="30">
        <f t="shared" si="92"/>
        <v>188.34</v>
      </c>
      <c r="V242" s="31">
        <f t="shared" si="90"/>
        <v>176.41</v>
      </c>
    </row>
    <row r="243" spans="1:22" x14ac:dyDescent="0.25">
      <c r="A243" s="5">
        <v>36007</v>
      </c>
      <c r="B243" s="10">
        <v>126209</v>
      </c>
      <c r="C243" s="1">
        <f t="shared" si="79"/>
        <v>129</v>
      </c>
      <c r="D243" s="13">
        <f t="shared" si="80"/>
        <v>1.0999999999999899E-2</v>
      </c>
      <c r="E243" s="29">
        <f t="shared" si="81"/>
        <v>3.3E-3</v>
      </c>
      <c r="F243" s="39">
        <v>104554.463</v>
      </c>
      <c r="G243" s="1">
        <f t="shared" si="82"/>
        <v>129</v>
      </c>
      <c r="H243" s="13">
        <f t="shared" si="83"/>
        <v>1.3400000000000079E-2</v>
      </c>
      <c r="I243" s="29">
        <f t="shared" si="84"/>
        <v>3.8999999999999998E-3</v>
      </c>
      <c r="J243" s="10">
        <v>4.5</v>
      </c>
      <c r="K243" s="29">
        <f t="shared" si="85"/>
        <v>5.5999999999999999E-3</v>
      </c>
      <c r="L243">
        <v>13.01</v>
      </c>
      <c r="M243" s="29">
        <f t="shared" si="86"/>
        <v>5.4000000000000003E-3</v>
      </c>
      <c r="N243">
        <v>42.07</v>
      </c>
      <c r="O243" s="13">
        <f t="shared" si="91"/>
        <v>-3.7000000000000002E-3</v>
      </c>
      <c r="P243">
        <v>205270</v>
      </c>
      <c r="Q243">
        <v>0.36781999999999998</v>
      </c>
      <c r="R243">
        <f t="shared" si="87"/>
        <v>100.36781999999999</v>
      </c>
      <c r="S243" s="13">
        <f t="shared" si="88"/>
        <v>-1.0999999999999899E-3</v>
      </c>
      <c r="T243" s="13">
        <f t="shared" si="89"/>
        <v>-4.0000000000000002E-4</v>
      </c>
      <c r="U243" s="30">
        <f t="shared" si="92"/>
        <v>163.04</v>
      </c>
      <c r="V243" s="31">
        <f t="shared" si="90"/>
        <v>181.02</v>
      </c>
    </row>
    <row r="244" spans="1:22" x14ac:dyDescent="0.25">
      <c r="A244" s="5">
        <v>35976</v>
      </c>
      <c r="B244" s="10">
        <v>126080</v>
      </c>
      <c r="C244" s="1">
        <f t="shared" si="79"/>
        <v>219</v>
      </c>
      <c r="D244" s="13">
        <f t="shared" si="80"/>
        <v>1.2299999999999978E-2</v>
      </c>
      <c r="E244" s="29">
        <f t="shared" si="81"/>
        <v>4.5999999999999999E-3</v>
      </c>
      <c r="F244" s="39">
        <v>104425.463</v>
      </c>
      <c r="G244" s="1">
        <f t="shared" si="82"/>
        <v>219</v>
      </c>
      <c r="H244" s="13">
        <f t="shared" si="83"/>
        <v>1.4799999999999924E-2</v>
      </c>
      <c r="I244" s="29">
        <f t="shared" si="84"/>
        <v>5.5999999999999999E-3</v>
      </c>
      <c r="J244" s="10">
        <v>4.5</v>
      </c>
      <c r="K244" s="29">
        <f t="shared" si="85"/>
        <v>0</v>
      </c>
      <c r="L244">
        <v>12.99</v>
      </c>
      <c r="M244" s="29">
        <f t="shared" si="86"/>
        <v>6.7999999999999996E-3</v>
      </c>
      <c r="N244">
        <v>41.73</v>
      </c>
      <c r="O244" s="13">
        <f t="shared" si="91"/>
        <v>-1.0999999999999999E-2</v>
      </c>
      <c r="P244">
        <v>205085</v>
      </c>
      <c r="Q244">
        <v>0.44834000000000002</v>
      </c>
      <c r="R244">
        <f t="shared" si="87"/>
        <v>100.44834</v>
      </c>
      <c r="S244" s="13">
        <f t="shared" si="88"/>
        <v>-1.4999999999999458E-3</v>
      </c>
      <c r="T244" s="13">
        <f t="shared" si="89"/>
        <v>-1E-4</v>
      </c>
      <c r="U244" s="30">
        <f t="shared" si="92"/>
        <v>177.85</v>
      </c>
      <c r="V244" s="31">
        <f t="shared" si="90"/>
        <v>190.83</v>
      </c>
    </row>
    <row r="245" spans="1:22" x14ac:dyDescent="0.25">
      <c r="A245" s="5">
        <v>35946</v>
      </c>
      <c r="B245" s="10">
        <v>125861</v>
      </c>
      <c r="C245" s="1">
        <f t="shared" si="79"/>
        <v>404</v>
      </c>
      <c r="D245" s="13">
        <f t="shared" si="80"/>
        <v>1.2999999999999901E-2</v>
      </c>
      <c r="E245" s="29">
        <f t="shared" si="81"/>
        <v>5.1000000000000004E-3</v>
      </c>
      <c r="F245" s="39">
        <v>104206.463</v>
      </c>
      <c r="G245" s="1">
        <f t="shared" si="82"/>
        <v>404</v>
      </c>
      <c r="H245" s="13">
        <f t="shared" si="83"/>
        <v>1.5700000000000047E-2</v>
      </c>
      <c r="I245" s="29">
        <f t="shared" si="84"/>
        <v>6.1999999999999998E-3</v>
      </c>
      <c r="J245" s="10">
        <v>4.4000000000000004</v>
      </c>
      <c r="K245" s="29">
        <f t="shared" si="85"/>
        <v>-3.3000000000000002E-2</v>
      </c>
      <c r="L245">
        <v>12.97</v>
      </c>
      <c r="M245" s="29">
        <f t="shared" si="86"/>
        <v>8.6999999999999994E-3</v>
      </c>
      <c r="N245">
        <v>41.3</v>
      </c>
      <c r="O245" s="13">
        <f t="shared" si="91"/>
        <v>-2.3699999999999999E-2</v>
      </c>
      <c r="P245">
        <v>204899</v>
      </c>
      <c r="Q245">
        <v>0.28935</v>
      </c>
      <c r="R245">
        <f t="shared" si="87"/>
        <v>100.28935</v>
      </c>
      <c r="S245" s="13">
        <f t="shared" si="88"/>
        <v>-1.1999999999999789E-3</v>
      </c>
      <c r="T245" s="13">
        <f t="shared" si="89"/>
        <v>-5.0000000000000001E-4</v>
      </c>
      <c r="U245" s="30">
        <f t="shared" si="92"/>
        <v>202.16</v>
      </c>
      <c r="V245" s="31">
        <f t="shared" si="90"/>
        <v>187.38</v>
      </c>
    </row>
    <row r="246" spans="1:22" x14ac:dyDescent="0.25">
      <c r="A246" s="5">
        <v>35915</v>
      </c>
      <c r="B246" s="10">
        <v>125457</v>
      </c>
      <c r="C246" s="1">
        <f t="shared" si="79"/>
        <v>280</v>
      </c>
      <c r="D246" s="13">
        <f t="shared" si="80"/>
        <v>1.2199999999999989E-2</v>
      </c>
      <c r="E246" s="29">
        <f t="shared" si="81"/>
        <v>3.5999999999999999E-3</v>
      </c>
      <c r="F246" s="39">
        <v>103802.463</v>
      </c>
      <c r="G246" s="1">
        <f t="shared" si="82"/>
        <v>280</v>
      </c>
      <c r="H246" s="13">
        <f t="shared" si="83"/>
        <v>1.4799999999999924E-2</v>
      </c>
      <c r="I246" s="29">
        <f t="shared" si="84"/>
        <v>4.3E-3</v>
      </c>
      <c r="J246" s="10">
        <v>4.3</v>
      </c>
      <c r="K246" s="29">
        <f t="shared" si="85"/>
        <v>-7.5300000000000006E-2</v>
      </c>
      <c r="L246">
        <v>12.92</v>
      </c>
      <c r="M246" s="29">
        <f t="shared" si="86"/>
        <v>8.2000000000000007E-3</v>
      </c>
      <c r="N246">
        <v>41.83</v>
      </c>
      <c r="O246" s="13">
        <f t="shared" si="91"/>
        <v>-2.1100000000000001E-2</v>
      </c>
      <c r="P246">
        <v>204731</v>
      </c>
      <c r="Q246">
        <v>0.36357</v>
      </c>
      <c r="R246">
        <f t="shared" si="87"/>
        <v>100.36357</v>
      </c>
      <c r="S246" s="13">
        <f t="shared" si="88"/>
        <v>-3.4999999999999476E-3</v>
      </c>
      <c r="T246" s="13">
        <f t="shared" si="89"/>
        <v>-5.9999999999999995E-4</v>
      </c>
      <c r="U246" s="30">
        <f t="shared" si="92"/>
        <v>192.48</v>
      </c>
      <c r="V246" s="31">
        <f t="shared" si="90"/>
        <v>179.67</v>
      </c>
    </row>
    <row r="247" spans="1:22" x14ac:dyDescent="0.25">
      <c r="A247" s="5">
        <v>35885</v>
      </c>
      <c r="B247" s="10">
        <v>125177</v>
      </c>
      <c r="C247" s="1">
        <f t="shared" si="79"/>
        <v>151</v>
      </c>
      <c r="D247" s="13">
        <f t="shared" si="80"/>
        <v>1.2699999999999934E-2</v>
      </c>
      <c r="E247" s="29">
        <f t="shared" si="81"/>
        <v>3.0000000000000001E-3</v>
      </c>
      <c r="F247" s="39">
        <v>103522.463</v>
      </c>
      <c r="G247" s="1">
        <f t="shared" si="82"/>
        <v>151</v>
      </c>
      <c r="H247" s="13">
        <f t="shared" si="83"/>
        <v>1.540000000000008E-2</v>
      </c>
      <c r="I247" s="29">
        <f t="shared" si="84"/>
        <v>3.5999999999999999E-3</v>
      </c>
      <c r="J247" s="10">
        <v>4.7</v>
      </c>
      <c r="K247" s="29">
        <f t="shared" si="85"/>
        <v>1.6199999999999999E-2</v>
      </c>
      <c r="L247">
        <v>12.88</v>
      </c>
      <c r="M247" s="29">
        <f t="shared" si="86"/>
        <v>8.2000000000000007E-3</v>
      </c>
      <c r="N247">
        <v>42.76</v>
      </c>
      <c r="O247" s="13">
        <f t="shared" si="91"/>
        <v>-1.14E-2</v>
      </c>
      <c r="P247">
        <v>204547</v>
      </c>
      <c r="Q247">
        <v>0.53820999999999997</v>
      </c>
      <c r="R247">
        <f t="shared" si="87"/>
        <v>100.53821000000001</v>
      </c>
      <c r="S247" s="13">
        <f t="shared" si="88"/>
        <v>2.3999999999999577E-3</v>
      </c>
      <c r="T247" s="13">
        <f t="shared" si="89"/>
        <v>2.9999999999999997E-4</v>
      </c>
      <c r="U247" s="30">
        <f t="shared" si="92"/>
        <v>167.51</v>
      </c>
      <c r="V247" s="31">
        <f t="shared" si="90"/>
        <v>178.33</v>
      </c>
    </row>
    <row r="248" spans="1:22" x14ac:dyDescent="0.25">
      <c r="A248" s="5">
        <v>35854</v>
      </c>
      <c r="B248" s="10">
        <v>125026</v>
      </c>
      <c r="C248" s="1">
        <f t="shared" si="79"/>
        <v>196</v>
      </c>
      <c r="D248" s="13">
        <f t="shared" si="80"/>
        <v>1.5700000000000047E-2</v>
      </c>
      <c r="E248" s="29">
        <f t="shared" si="81"/>
        <v>3.8999999999999998E-3</v>
      </c>
      <c r="F248" s="39">
        <v>103371.463</v>
      </c>
      <c r="G248" s="1">
        <f t="shared" si="82"/>
        <v>196</v>
      </c>
      <c r="H248" s="13">
        <f t="shared" si="83"/>
        <v>1.9099999999999895E-2</v>
      </c>
      <c r="I248" s="29">
        <f t="shared" si="84"/>
        <v>4.7000000000000002E-3</v>
      </c>
      <c r="J248" s="10">
        <v>4.5999999999999996</v>
      </c>
      <c r="K248" s="29">
        <f t="shared" si="85"/>
        <v>-1.0800000000000001E-2</v>
      </c>
      <c r="L248">
        <v>12.84</v>
      </c>
      <c r="M248" s="29">
        <f t="shared" si="86"/>
        <v>8.3999999999999995E-3</v>
      </c>
      <c r="N248">
        <v>42.84</v>
      </c>
      <c r="O248" s="13">
        <f t="shared" si="91"/>
        <v>-1.5100000000000001E-2</v>
      </c>
      <c r="P248">
        <v>204400</v>
      </c>
      <c r="Q248">
        <v>0.49493999999999999</v>
      </c>
      <c r="R248">
        <f t="shared" si="87"/>
        <v>100.49494</v>
      </c>
      <c r="S248" s="13">
        <f t="shared" si="88"/>
        <v>-6.0000000000004494E-4</v>
      </c>
      <c r="T248" s="13">
        <f t="shared" si="89"/>
        <v>-5.9999999999999995E-4</v>
      </c>
      <c r="U248" s="30">
        <f t="shared" si="92"/>
        <v>179.01</v>
      </c>
      <c r="V248" s="31">
        <f t="shared" si="90"/>
        <v>186.48</v>
      </c>
    </row>
    <row r="249" spans="1:22" x14ac:dyDescent="0.25">
      <c r="A249" s="5">
        <v>35826</v>
      </c>
      <c r="B249" s="10">
        <v>124830</v>
      </c>
      <c r="C249" s="1">
        <f t="shared" si="79"/>
        <v>276</v>
      </c>
      <c r="D249" s="13">
        <f t="shared" si="80"/>
        <v>1.3900000000000023E-2</v>
      </c>
      <c r="E249" s="29">
        <f t="shared" si="81"/>
        <v>4.7000000000000002E-3</v>
      </c>
      <c r="F249" s="39">
        <v>103175.463</v>
      </c>
      <c r="G249" s="1">
        <f t="shared" si="82"/>
        <v>276</v>
      </c>
      <c r="H249" s="13">
        <f t="shared" si="83"/>
        <v>1.6799999999999926E-2</v>
      </c>
      <c r="I249" s="29">
        <f t="shared" si="84"/>
        <v>5.7000000000000002E-3</v>
      </c>
      <c r="J249" s="10">
        <v>4.5999999999999996</v>
      </c>
      <c r="K249" s="29">
        <f t="shared" si="85"/>
        <v>-2.6499999999999999E-2</v>
      </c>
      <c r="L249">
        <v>12.79</v>
      </c>
      <c r="M249" s="29">
        <f t="shared" si="86"/>
        <v>8.3000000000000001E-3</v>
      </c>
      <c r="N249">
        <v>43.46</v>
      </c>
      <c r="O249" s="13">
        <f t="shared" si="91"/>
        <v>-9.1999999999999998E-3</v>
      </c>
      <c r="P249">
        <v>204238</v>
      </c>
      <c r="Q249">
        <v>0.47381000000000001</v>
      </c>
      <c r="R249">
        <f t="shared" si="87"/>
        <v>100.47381</v>
      </c>
      <c r="S249" s="13">
        <f t="shared" si="88"/>
        <v>-2.9999999999996696E-4</v>
      </c>
      <c r="T249" s="13">
        <f t="shared" si="89"/>
        <v>4.0000000000000002E-4</v>
      </c>
      <c r="U249" s="30">
        <f t="shared" si="92"/>
        <v>188.48</v>
      </c>
      <c r="V249" s="31">
        <f t="shared" si="90"/>
        <v>192.21</v>
      </c>
    </row>
    <row r="250" spans="1:22" x14ac:dyDescent="0.25">
      <c r="A250" s="5">
        <v>35795</v>
      </c>
      <c r="B250" s="10">
        <v>124554</v>
      </c>
      <c r="C250" s="1">
        <f t="shared" si="79"/>
        <v>303</v>
      </c>
      <c r="D250" s="13">
        <f t="shared" si="80"/>
        <v>1.4100000000000001E-2</v>
      </c>
      <c r="E250" s="29">
        <f t="shared" si="81"/>
        <v>5.0000000000000001E-3</v>
      </c>
      <c r="F250" s="39">
        <v>102899.463</v>
      </c>
      <c r="G250" s="1">
        <f t="shared" si="82"/>
        <v>303</v>
      </c>
      <c r="H250" s="13">
        <f t="shared" si="83"/>
        <v>1.7200000000000104E-2</v>
      </c>
      <c r="I250" s="29">
        <f t="shared" si="84"/>
        <v>6.1000000000000004E-3</v>
      </c>
      <c r="J250" s="10">
        <v>4.7</v>
      </c>
      <c r="K250" s="29">
        <f t="shared" si="85"/>
        <v>-1.0500000000000001E-2</v>
      </c>
      <c r="L250">
        <v>12.75</v>
      </c>
      <c r="M250" s="29">
        <f t="shared" si="86"/>
        <v>8.6999999999999994E-3</v>
      </c>
      <c r="N250">
        <v>42.64</v>
      </c>
      <c r="O250" s="13">
        <f t="shared" si="91"/>
        <v>-2.5000000000000001E-2</v>
      </c>
      <c r="P250">
        <v>204098</v>
      </c>
      <c r="Q250">
        <v>0.59921999999999997</v>
      </c>
      <c r="R250">
        <f t="shared" si="87"/>
        <v>100.59922</v>
      </c>
      <c r="S250" s="13">
        <f t="shared" si="88"/>
        <v>-1.4999999999999458E-3</v>
      </c>
      <c r="T250" s="13">
        <f t="shared" si="89"/>
        <v>1E-4</v>
      </c>
      <c r="U250" s="30">
        <f t="shared" si="92"/>
        <v>191.94</v>
      </c>
      <c r="V250" s="31">
        <f t="shared" si="90"/>
        <v>196.63</v>
      </c>
    </row>
    <row r="251" spans="1:22" x14ac:dyDescent="0.25">
      <c r="A251" s="5">
        <v>35764</v>
      </c>
      <c r="B251" s="10">
        <v>124251</v>
      </c>
      <c r="C251" s="1">
        <f t="shared" si="79"/>
        <v>306</v>
      </c>
      <c r="D251" s="13">
        <f t="shared" si="80"/>
        <v>1.3900000000000023E-2</v>
      </c>
      <c r="E251" s="29">
        <f t="shared" si="81"/>
        <v>5.7000000000000002E-3</v>
      </c>
      <c r="F251" s="39">
        <v>102596.463</v>
      </c>
      <c r="G251" s="1">
        <f t="shared" si="82"/>
        <v>306</v>
      </c>
      <c r="H251" s="13">
        <f t="shared" si="83"/>
        <v>1.6799999999999926E-2</v>
      </c>
      <c r="I251" s="29">
        <f t="shared" si="84"/>
        <v>6.8999999999999999E-3</v>
      </c>
      <c r="J251" s="10">
        <v>4.5999999999999996</v>
      </c>
      <c r="K251" s="29">
        <f t="shared" si="85"/>
        <v>-4.6600000000000003E-2</v>
      </c>
      <c r="L251">
        <v>12.72</v>
      </c>
      <c r="M251" s="29">
        <f t="shared" si="86"/>
        <v>1.0699999999999999E-2</v>
      </c>
      <c r="N251">
        <v>43.91</v>
      </c>
      <c r="O251" s="13">
        <f t="shared" si="91"/>
        <v>-8.5000000000000006E-3</v>
      </c>
      <c r="P251">
        <v>203941</v>
      </c>
      <c r="Q251">
        <v>0.41104000000000002</v>
      </c>
      <c r="R251">
        <f t="shared" si="87"/>
        <v>100.41104</v>
      </c>
      <c r="S251" s="13">
        <f t="shared" si="88"/>
        <v>-3.3999999999999586E-3</v>
      </c>
      <c r="T251" s="13">
        <f t="shared" si="89"/>
        <v>-2.0000000000000001E-4</v>
      </c>
      <c r="U251" s="30">
        <f t="shared" si="92"/>
        <v>196.2</v>
      </c>
      <c r="V251" s="31">
        <f t="shared" si="90"/>
        <v>200.59</v>
      </c>
    </row>
    <row r="252" spans="1:22" x14ac:dyDescent="0.25">
      <c r="A252" s="5">
        <v>35734</v>
      </c>
      <c r="B252" s="10">
        <v>123945</v>
      </c>
      <c r="C252" s="1">
        <f t="shared" si="79"/>
        <v>340</v>
      </c>
      <c r="D252" s="13">
        <f t="shared" si="80"/>
        <v>1.3500000000000068E-2</v>
      </c>
      <c r="E252" s="29">
        <f t="shared" si="81"/>
        <v>5.4000000000000003E-3</v>
      </c>
      <c r="F252" s="39">
        <v>102290.463</v>
      </c>
      <c r="G252" s="1">
        <f t="shared" si="82"/>
        <v>340</v>
      </c>
      <c r="H252" s="13">
        <f t="shared" si="83"/>
        <v>1.639999999999997E-2</v>
      </c>
      <c r="I252" s="29">
        <f t="shared" si="84"/>
        <v>6.6E-3</v>
      </c>
      <c r="J252" s="10">
        <v>4.7</v>
      </c>
      <c r="K252" s="29">
        <f t="shared" si="85"/>
        <v>-4.0800000000000003E-2</v>
      </c>
      <c r="L252">
        <v>12.67</v>
      </c>
      <c r="M252" s="29">
        <f t="shared" si="86"/>
        <v>1.0999999999999999E-2</v>
      </c>
      <c r="N252">
        <v>44.03</v>
      </c>
      <c r="O252" s="13">
        <f t="shared" si="91"/>
        <v>-1.78E-2</v>
      </c>
      <c r="P252">
        <v>203767</v>
      </c>
      <c r="Q252">
        <v>0.71957000000000004</v>
      </c>
      <c r="R252">
        <f t="shared" si="87"/>
        <v>100.71957</v>
      </c>
      <c r="S252" s="13">
        <f t="shared" si="88"/>
        <v>2.8999999999999027E-3</v>
      </c>
      <c r="T252" s="13">
        <f t="shared" si="89"/>
        <v>-1E-4</v>
      </c>
      <c r="U252" s="30">
        <f t="shared" si="92"/>
        <v>201.76</v>
      </c>
      <c r="V252" s="31">
        <f t="shared" si="90"/>
        <v>187.91</v>
      </c>
    </row>
    <row r="253" spans="1:22" x14ac:dyDescent="0.25">
      <c r="A253" s="5">
        <v>35703</v>
      </c>
      <c r="B253" s="10">
        <v>123605</v>
      </c>
      <c r="C253" s="1">
        <f t="shared" si="79"/>
        <v>512</v>
      </c>
      <c r="D253" s="13">
        <f t="shared" si="80"/>
        <v>1.3200000000000101E-2</v>
      </c>
      <c r="E253" s="29">
        <f t="shared" si="81"/>
        <v>4.7999999999999996E-3</v>
      </c>
      <c r="F253" s="39">
        <v>101950.463</v>
      </c>
      <c r="G253" s="1">
        <f t="shared" si="82"/>
        <v>512</v>
      </c>
      <c r="H253" s="13">
        <f t="shared" si="83"/>
        <v>1.6000000000000014E-2</v>
      </c>
      <c r="I253" s="29">
        <f t="shared" si="84"/>
        <v>5.8999999999999999E-3</v>
      </c>
      <c r="J253" s="10">
        <v>4.9000000000000004</v>
      </c>
      <c r="K253" s="29">
        <f t="shared" si="85"/>
        <v>0</v>
      </c>
      <c r="L253">
        <v>12.6</v>
      </c>
      <c r="M253" s="29">
        <f t="shared" si="86"/>
        <v>8.8000000000000005E-3</v>
      </c>
      <c r="N253">
        <v>44.37</v>
      </c>
      <c r="O253" s="13">
        <f t="shared" si="91"/>
        <v>-1.5800000000000002E-2</v>
      </c>
      <c r="P253">
        <v>203570</v>
      </c>
      <c r="Q253">
        <v>0.29343000000000002</v>
      </c>
      <c r="R253">
        <f t="shared" si="87"/>
        <v>100.29343</v>
      </c>
      <c r="S253" s="13">
        <f t="shared" si="88"/>
        <v>-2.9999999999996696E-4</v>
      </c>
      <c r="T253" s="13">
        <f t="shared" si="89"/>
        <v>-1.1000000000000001E-3</v>
      </c>
      <c r="U253" s="30">
        <f t="shared" si="92"/>
        <v>203.8</v>
      </c>
      <c r="V253" s="31">
        <f t="shared" si="90"/>
        <v>185.09</v>
      </c>
    </row>
    <row r="254" spans="1:22" x14ac:dyDescent="0.25">
      <c r="A254" s="5">
        <v>35673</v>
      </c>
      <c r="B254" s="10">
        <v>123093</v>
      </c>
      <c r="C254" s="1">
        <f t="shared" si="79"/>
        <v>-31</v>
      </c>
      <c r="D254" s="13">
        <f t="shared" si="80"/>
        <v>1.1600000000000055E-2</v>
      </c>
      <c r="E254" s="29">
        <f t="shared" si="81"/>
        <v>2.0999999999999999E-3</v>
      </c>
      <c r="F254" s="39">
        <v>101438.463</v>
      </c>
      <c r="G254" s="1">
        <f t="shared" si="82"/>
        <v>-31</v>
      </c>
      <c r="H254" s="13">
        <f t="shared" si="83"/>
        <v>1.4100000000000001E-2</v>
      </c>
      <c r="I254" s="29">
        <f t="shared" si="84"/>
        <v>2.5999999999999999E-3</v>
      </c>
      <c r="J254" s="10">
        <v>4.8</v>
      </c>
      <c r="K254" s="29">
        <f t="shared" si="85"/>
        <v>-3.5200000000000002E-2</v>
      </c>
      <c r="L254">
        <v>12.57</v>
      </c>
      <c r="M254" s="29">
        <f t="shared" si="86"/>
        <v>0.01</v>
      </c>
      <c r="N254">
        <v>44.87</v>
      </c>
      <c r="O254" s="13">
        <f t="shared" si="91"/>
        <v>-1.37E-2</v>
      </c>
      <c r="P254">
        <v>203364</v>
      </c>
      <c r="Q254">
        <v>0.55822000000000005</v>
      </c>
      <c r="R254">
        <f t="shared" si="87"/>
        <v>100.55822000000001</v>
      </c>
      <c r="S254" s="13">
        <f t="shared" si="88"/>
        <v>3.4000000000000696E-3</v>
      </c>
      <c r="T254" s="13">
        <f t="shared" si="89"/>
        <v>2.9999999999999997E-4</v>
      </c>
      <c r="U254" s="30">
        <f t="shared" si="92"/>
        <v>158.17000000000002</v>
      </c>
      <c r="V254" s="31">
        <f t="shared" si="90"/>
        <v>181.06</v>
      </c>
    </row>
    <row r="255" spans="1:22" x14ac:dyDescent="0.25">
      <c r="A255" s="5">
        <v>35642</v>
      </c>
      <c r="B255" s="10">
        <v>123124</v>
      </c>
      <c r="C255" s="1">
        <f t="shared" si="79"/>
        <v>306</v>
      </c>
      <c r="D255" s="13">
        <f t="shared" si="80"/>
        <v>1.4399999999999968E-2</v>
      </c>
      <c r="E255" s="29">
        <f t="shared" si="81"/>
        <v>4.7000000000000002E-3</v>
      </c>
      <c r="F255" s="39">
        <v>101469.463</v>
      </c>
      <c r="G255" s="1">
        <f t="shared" si="82"/>
        <v>306</v>
      </c>
      <c r="H255" s="13">
        <f t="shared" si="83"/>
        <v>1.7500000000000071E-2</v>
      </c>
      <c r="I255" s="29">
        <f t="shared" si="84"/>
        <v>5.5999999999999999E-3</v>
      </c>
      <c r="J255" s="10">
        <v>4.9000000000000004</v>
      </c>
      <c r="K255" s="29">
        <f t="shared" si="85"/>
        <v>-2.9700000000000001E-2</v>
      </c>
      <c r="L255">
        <v>12.5</v>
      </c>
      <c r="M255" s="29">
        <f t="shared" si="86"/>
        <v>7.3000000000000001E-3</v>
      </c>
      <c r="N255">
        <v>44.77</v>
      </c>
      <c r="O255" s="13">
        <f t="shared" si="91"/>
        <v>-1.89E-2</v>
      </c>
      <c r="P255">
        <v>203166</v>
      </c>
      <c r="Q255">
        <v>0.50087999999999999</v>
      </c>
      <c r="R255">
        <f t="shared" si="87"/>
        <v>100.50088</v>
      </c>
      <c r="S255" s="13">
        <f t="shared" si="88"/>
        <v>2.4999999999999467E-3</v>
      </c>
      <c r="T255" s="13">
        <f t="shared" si="89"/>
        <v>5.0000000000000001E-4</v>
      </c>
      <c r="U255" s="30">
        <f t="shared" si="92"/>
        <v>193.3</v>
      </c>
      <c r="V255" s="31">
        <f t="shared" si="90"/>
        <v>193.9</v>
      </c>
    </row>
    <row r="256" spans="1:22" x14ac:dyDescent="0.25">
      <c r="A256" s="5">
        <v>35611</v>
      </c>
      <c r="B256" s="10">
        <v>122818</v>
      </c>
      <c r="C256" s="1">
        <f t="shared" si="79"/>
        <v>266</v>
      </c>
      <c r="D256" s="13">
        <f t="shared" si="80"/>
        <v>1.3800000000000034E-2</v>
      </c>
      <c r="E256" s="29">
        <f t="shared" si="81"/>
        <v>4.4000000000000003E-3</v>
      </c>
      <c r="F256" s="39">
        <v>101163.463</v>
      </c>
      <c r="G256" s="1">
        <f t="shared" si="82"/>
        <v>266</v>
      </c>
      <c r="H256" s="13">
        <f t="shared" si="83"/>
        <v>1.6799999999999926E-2</v>
      </c>
      <c r="I256" s="29">
        <f t="shared" si="84"/>
        <v>5.3E-3</v>
      </c>
      <c r="J256" s="10">
        <v>5</v>
      </c>
      <c r="K256" s="29">
        <f t="shared" si="85"/>
        <v>-1.9599999999999999E-2</v>
      </c>
      <c r="L256">
        <v>12.46</v>
      </c>
      <c r="M256" s="29">
        <f t="shared" si="86"/>
        <v>6.8999999999999999E-3</v>
      </c>
      <c r="N256">
        <v>44.3</v>
      </c>
      <c r="O256" s="13">
        <f t="shared" si="91"/>
        <v>-3.4700000000000002E-2</v>
      </c>
      <c r="P256">
        <v>203000</v>
      </c>
      <c r="Q256">
        <v>0.75251999999999997</v>
      </c>
      <c r="R256">
        <f t="shared" si="87"/>
        <v>100.75252</v>
      </c>
      <c r="S256" s="13">
        <f t="shared" si="88"/>
        <v>5.7000000000000384E-3</v>
      </c>
      <c r="T256" s="13">
        <f t="shared" si="89"/>
        <v>1.2999999999999999E-3</v>
      </c>
      <c r="U256" s="30">
        <f t="shared" si="92"/>
        <v>191.72</v>
      </c>
      <c r="V256" s="31">
        <f t="shared" si="90"/>
        <v>191.12</v>
      </c>
    </row>
    <row r="257" spans="1:22" x14ac:dyDescent="0.25">
      <c r="A257" s="5">
        <v>35581</v>
      </c>
      <c r="B257" s="10">
        <v>122552</v>
      </c>
      <c r="C257" s="1">
        <f t="shared" si="79"/>
        <v>260</v>
      </c>
      <c r="D257" s="13">
        <f t="shared" si="80"/>
        <v>1.2999999999999901E-2</v>
      </c>
      <c r="E257" s="29">
        <f t="shared" si="81"/>
        <v>4.5999999999999999E-3</v>
      </c>
      <c r="F257" s="39">
        <v>100897.463</v>
      </c>
      <c r="G257" s="1">
        <f t="shared" si="82"/>
        <v>260</v>
      </c>
      <c r="H257" s="13">
        <f t="shared" si="83"/>
        <v>1.5900000000000025E-2</v>
      </c>
      <c r="I257" s="29">
        <f t="shared" si="84"/>
        <v>5.5999999999999999E-3</v>
      </c>
      <c r="J257" s="10">
        <v>4.9000000000000004</v>
      </c>
      <c r="K257" s="29">
        <f t="shared" si="85"/>
        <v>-5.7700000000000001E-2</v>
      </c>
      <c r="L257">
        <v>12.43</v>
      </c>
      <c r="M257" s="29">
        <f t="shared" si="86"/>
        <v>7.3000000000000001E-3</v>
      </c>
      <c r="N257">
        <v>44.68</v>
      </c>
      <c r="O257" s="13">
        <f t="shared" si="91"/>
        <v>-2.93E-2</v>
      </c>
      <c r="P257">
        <v>202832</v>
      </c>
      <c r="Q257">
        <v>0.75492000000000004</v>
      </c>
      <c r="R257">
        <f t="shared" si="87"/>
        <v>100.75492</v>
      </c>
      <c r="S257" s="13">
        <f t="shared" si="88"/>
        <v>6.2999999999999723E-3</v>
      </c>
      <c r="T257" s="13">
        <f t="shared" si="89"/>
        <v>1.2999999999999999E-3</v>
      </c>
      <c r="U257" s="30">
        <f t="shared" si="92"/>
        <v>196.68</v>
      </c>
      <c r="V257" s="31">
        <f t="shared" si="90"/>
        <v>191.18</v>
      </c>
    </row>
    <row r="258" spans="1:22" x14ac:dyDescent="0.25">
      <c r="A258" s="5">
        <v>35550</v>
      </c>
      <c r="B258" s="10">
        <v>122292</v>
      </c>
      <c r="C258" s="1">
        <f t="shared" si="79"/>
        <v>292</v>
      </c>
      <c r="D258" s="13">
        <f t="shared" si="80"/>
        <v>1.3400000000000079E-2</v>
      </c>
      <c r="E258" s="29">
        <f t="shared" si="81"/>
        <v>5.0000000000000001E-3</v>
      </c>
      <c r="F258" s="39">
        <v>100637.463</v>
      </c>
      <c r="G258" s="1">
        <f t="shared" si="82"/>
        <v>292</v>
      </c>
      <c r="H258" s="13">
        <f t="shared" si="83"/>
        <v>1.6299999999999981E-2</v>
      </c>
      <c r="I258" s="29">
        <f t="shared" si="84"/>
        <v>6.0000000000000001E-3</v>
      </c>
      <c r="J258" s="10">
        <v>5.0999999999999996</v>
      </c>
      <c r="K258" s="29">
        <f t="shared" si="85"/>
        <v>-3.32E-2</v>
      </c>
      <c r="L258">
        <v>12.39</v>
      </c>
      <c r="M258" s="29">
        <f t="shared" si="86"/>
        <v>6.8999999999999999E-3</v>
      </c>
      <c r="N258">
        <v>48.71</v>
      </c>
      <c r="O258" s="13">
        <f t="shared" si="91"/>
        <v>2.75E-2</v>
      </c>
      <c r="P258">
        <v>202674</v>
      </c>
      <c r="Q258">
        <v>0.42959000000000003</v>
      </c>
      <c r="R258">
        <f t="shared" si="87"/>
        <v>100.42959</v>
      </c>
      <c r="S258" s="13">
        <f t="shared" si="88"/>
        <v>2.3999999999999577E-3</v>
      </c>
      <c r="T258" s="13">
        <f t="shared" si="89"/>
        <v>5.9999999999999995E-4</v>
      </c>
      <c r="U258" s="30">
        <f t="shared" si="92"/>
        <v>184.95</v>
      </c>
      <c r="V258" s="31">
        <f t="shared" si="90"/>
        <v>187.46</v>
      </c>
    </row>
    <row r="259" spans="1:22" x14ac:dyDescent="0.25">
      <c r="A259" s="5">
        <v>35520</v>
      </c>
      <c r="B259" s="10">
        <v>122000</v>
      </c>
      <c r="C259" s="1">
        <f t="shared" si="79"/>
        <v>316</v>
      </c>
      <c r="D259" s="13">
        <f t="shared" si="80"/>
        <v>1.309999999999989E-2</v>
      </c>
      <c r="E259" s="29">
        <f t="shared" si="81"/>
        <v>4.8999999999999998E-3</v>
      </c>
      <c r="F259" s="39">
        <v>100345.463</v>
      </c>
      <c r="G259" s="1">
        <f t="shared" si="82"/>
        <v>316</v>
      </c>
      <c r="H259" s="13">
        <f t="shared" si="83"/>
        <v>1.5900000000000025E-2</v>
      </c>
      <c r="I259" s="29">
        <f t="shared" si="84"/>
        <v>6.0000000000000001E-3</v>
      </c>
      <c r="J259" s="10">
        <v>5.2</v>
      </c>
      <c r="K259" s="29">
        <f t="shared" si="85"/>
        <v>-2.35E-2</v>
      </c>
      <c r="L259">
        <v>12.36</v>
      </c>
      <c r="M259" s="29">
        <f t="shared" si="86"/>
        <v>7.7000000000000002E-3</v>
      </c>
      <c r="N259">
        <v>45.57</v>
      </c>
      <c r="O259" s="13">
        <f t="shared" si="91"/>
        <v>-2.3E-2</v>
      </c>
      <c r="P259">
        <v>202513</v>
      </c>
      <c r="Q259">
        <v>0.31979999999999997</v>
      </c>
      <c r="R259">
        <f t="shared" si="87"/>
        <v>100.3198</v>
      </c>
      <c r="S259" s="13">
        <f t="shared" si="88"/>
        <v>-7.0000000000003393E-4</v>
      </c>
      <c r="T259" s="13">
        <f t="shared" si="89"/>
        <v>5.0000000000000001E-4</v>
      </c>
      <c r="U259" s="30">
        <f t="shared" si="92"/>
        <v>191.9</v>
      </c>
      <c r="V259" s="31">
        <f t="shared" si="90"/>
        <v>184.64</v>
      </c>
    </row>
    <row r="260" spans="1:22" x14ac:dyDescent="0.25">
      <c r="A260" s="5">
        <v>35489</v>
      </c>
      <c r="B260" s="10">
        <v>121684</v>
      </c>
      <c r="C260" s="1">
        <f t="shared" si="79"/>
        <v>303</v>
      </c>
      <c r="D260" s="13">
        <f t="shared" si="80"/>
        <v>1.2299999999999978E-2</v>
      </c>
      <c r="E260" s="29">
        <f t="shared" si="81"/>
        <v>4.3E-3</v>
      </c>
      <c r="F260" s="39">
        <v>100029.463</v>
      </c>
      <c r="G260" s="1">
        <f t="shared" si="82"/>
        <v>303</v>
      </c>
      <c r="H260" s="13">
        <f t="shared" si="83"/>
        <v>1.4999999999999902E-2</v>
      </c>
      <c r="I260" s="29">
        <f t="shared" si="84"/>
        <v>5.1999999999999998E-3</v>
      </c>
      <c r="J260" s="10">
        <v>5.2</v>
      </c>
      <c r="K260" s="29">
        <f t="shared" si="85"/>
        <v>-2.35E-2</v>
      </c>
      <c r="L260">
        <v>12.32</v>
      </c>
      <c r="M260" s="29">
        <f t="shared" si="86"/>
        <v>7.7999999999999996E-3</v>
      </c>
      <c r="N260">
        <v>47.01</v>
      </c>
      <c r="O260" s="13">
        <f t="shared" si="91"/>
        <v>-6.8999999999999999E-3</v>
      </c>
      <c r="P260">
        <v>202389</v>
      </c>
      <c r="Q260">
        <v>0.21959000000000001</v>
      </c>
      <c r="R260">
        <f t="shared" si="87"/>
        <v>100.21959</v>
      </c>
      <c r="S260" s="13">
        <f t="shared" si="88"/>
        <v>-8.0000000000002292E-4</v>
      </c>
      <c r="T260" s="13">
        <f t="shared" si="89"/>
        <v>1E-4</v>
      </c>
      <c r="U260" s="30">
        <f t="shared" si="92"/>
        <v>185.53</v>
      </c>
      <c r="V260" s="31">
        <f t="shared" si="90"/>
        <v>174.61</v>
      </c>
    </row>
    <row r="261" spans="1:22" x14ac:dyDescent="0.25">
      <c r="A261" s="5">
        <v>35461</v>
      </c>
      <c r="B261" s="10">
        <v>121381</v>
      </c>
      <c r="C261" s="1">
        <f t="shared" si="79"/>
        <v>234</v>
      </c>
      <c r="D261" s="13">
        <f t="shared" si="80"/>
        <v>1.1300000000000088E-2</v>
      </c>
      <c r="E261" s="29">
        <f t="shared" si="81"/>
        <v>3.7000000000000002E-3</v>
      </c>
      <c r="F261" s="39">
        <v>99726.463000000003</v>
      </c>
      <c r="G261" s="1">
        <f t="shared" si="82"/>
        <v>234</v>
      </c>
      <c r="H261" s="13">
        <f t="shared" si="83"/>
        <v>1.3800000000000034E-2</v>
      </c>
      <c r="I261" s="29">
        <f t="shared" si="84"/>
        <v>4.4999999999999997E-3</v>
      </c>
      <c r="J261" s="10">
        <v>5.3</v>
      </c>
      <c r="K261" s="29">
        <f t="shared" si="85"/>
        <v>0</v>
      </c>
      <c r="L261">
        <v>12.29</v>
      </c>
      <c r="M261" s="29">
        <f t="shared" si="86"/>
        <v>8.3999999999999995E-3</v>
      </c>
      <c r="N261">
        <v>46.42</v>
      </c>
      <c r="O261" s="13">
        <f t="shared" si="91"/>
        <v>-1.9199999999999998E-2</v>
      </c>
      <c r="P261">
        <v>202285</v>
      </c>
      <c r="Q261">
        <v>0.25137999999999999</v>
      </c>
      <c r="R261">
        <f t="shared" si="87"/>
        <v>100.25138</v>
      </c>
      <c r="S261" s="13">
        <f t="shared" si="88"/>
        <v>4.9999999999994493E-4</v>
      </c>
      <c r="T261" s="13">
        <f t="shared" si="89"/>
        <v>-2.9999999999999997E-4</v>
      </c>
      <c r="U261" s="30">
        <f t="shared" si="92"/>
        <v>176.48</v>
      </c>
      <c r="V261" s="31">
        <f t="shared" si="90"/>
        <v>173.89</v>
      </c>
    </row>
    <row r="262" spans="1:22" x14ac:dyDescent="0.25">
      <c r="A262" s="5">
        <v>35430</v>
      </c>
      <c r="B262" s="10">
        <v>121147</v>
      </c>
      <c r="C262" s="1">
        <f t="shared" ref="C262:C323" si="93">B262-B263</f>
        <v>171</v>
      </c>
      <c r="D262" s="13">
        <f t="shared" ref="D262:D319" si="94">ROUND(B262/B268,4)-1</f>
        <v>1.1500000000000066E-2</v>
      </c>
      <c r="E262" s="29">
        <f t="shared" ref="E262:E319" si="95">ROUND((B262-AVERAGE(B263:B265))/AVERAGE(B263:B265),4)</f>
        <v>3.8E-3</v>
      </c>
      <c r="F262" s="39">
        <v>99492.463000000003</v>
      </c>
      <c r="G262" s="1">
        <f t="shared" ref="G262:G322" si="96">ROUND(F262-F263,0)</f>
        <v>171</v>
      </c>
      <c r="H262" s="13">
        <f t="shared" ref="H262:H322" si="97">ROUND(F262/F268,4)-1</f>
        <v>1.4000000000000012E-2</v>
      </c>
      <c r="I262" s="29">
        <f t="shared" ref="I262:I322" si="98">ROUND((F262-AVERAGE(F263:F265))/AVERAGE(F263:F265),4)</f>
        <v>4.5999999999999999E-3</v>
      </c>
      <c r="J262" s="10">
        <v>5.4</v>
      </c>
      <c r="K262" s="29">
        <f t="shared" ref="K262:K319" si="99">ROUND((J262-AVERAGE(J263:J266))/AVERAGE(J263:J266),4)</f>
        <v>3.3500000000000002E-2</v>
      </c>
      <c r="L262">
        <v>12.25</v>
      </c>
      <c r="M262" s="29">
        <f t="shared" ref="M262:M319" si="100">ROUND((L262-AVERAGE(L263:L266))/AVERAGE(L263:L266),4)</f>
        <v>8.3999999999999995E-3</v>
      </c>
      <c r="N262">
        <v>48.37</v>
      </c>
      <c r="O262" s="13">
        <f t="shared" si="91"/>
        <v>8.8999999999999999E-3</v>
      </c>
      <c r="P262">
        <v>201636</v>
      </c>
      <c r="Q262">
        <v>0.17999000000000001</v>
      </c>
      <c r="R262">
        <f t="shared" ref="R262:R325" si="101">Q262+100</f>
        <v>100.17999</v>
      </c>
      <c r="S262" s="13">
        <f t="shared" ref="S262:S325" si="102">ROUND(R262/R268,4)-1</f>
        <v>5.9999999999993392E-4</v>
      </c>
      <c r="T262" s="13">
        <f t="shared" ref="T262:T325" si="103">ROUND((AVERAGE(R262:R265)-AVERAGE(R263:R266))/AVERAGE(R263:R266),4)</f>
        <v>-2.9999999999999997E-4</v>
      </c>
      <c r="U262" s="30">
        <f t="shared" si="92"/>
        <v>161.81</v>
      </c>
      <c r="V262" s="31">
        <f t="shared" ref="V262:V319" si="104">ROUND(AVERAGE(U262,U263:U264),2)</f>
        <v>174.45</v>
      </c>
    </row>
    <row r="263" spans="1:22" x14ac:dyDescent="0.25">
      <c r="A263" s="5">
        <v>35399</v>
      </c>
      <c r="B263" s="10">
        <v>120976</v>
      </c>
      <c r="C263" s="1">
        <f t="shared" si="93"/>
        <v>299</v>
      </c>
      <c r="D263" s="13">
        <f t="shared" si="94"/>
        <v>1.2499999999999956E-2</v>
      </c>
      <c r="E263" s="29">
        <f t="shared" si="95"/>
        <v>4.4999999999999997E-3</v>
      </c>
      <c r="F263" s="39">
        <v>99321.463000000003</v>
      </c>
      <c r="G263" s="1">
        <f t="shared" si="96"/>
        <v>299</v>
      </c>
      <c r="H263" s="13">
        <f t="shared" si="97"/>
        <v>1.5200000000000102E-2</v>
      </c>
      <c r="I263" s="29">
        <f t="shared" si="98"/>
        <v>5.4999999999999997E-3</v>
      </c>
      <c r="J263" s="10">
        <v>5.4</v>
      </c>
      <c r="K263" s="29">
        <f t="shared" si="99"/>
        <v>2.86E-2</v>
      </c>
      <c r="L263">
        <v>12.2</v>
      </c>
      <c r="M263" s="29">
        <f t="shared" si="100"/>
        <v>7.1999999999999998E-3</v>
      </c>
      <c r="N263">
        <v>44.6</v>
      </c>
      <c r="O263" s="13">
        <f t="shared" si="91"/>
        <v>-5.0200000000000002E-2</v>
      </c>
      <c r="P263">
        <v>201463</v>
      </c>
      <c r="Q263">
        <v>0.12836</v>
      </c>
      <c r="R263">
        <f t="shared" si="101"/>
        <v>100.12836</v>
      </c>
      <c r="S263" s="13">
        <f t="shared" si="102"/>
        <v>-2.8000000000000247E-3</v>
      </c>
      <c r="T263" s="13">
        <f t="shared" si="103"/>
        <v>-2.0000000000000001E-4</v>
      </c>
      <c r="U263" s="30">
        <f t="shared" si="92"/>
        <v>183.38</v>
      </c>
      <c r="V263" s="31">
        <f t="shared" si="104"/>
        <v>180.58</v>
      </c>
    </row>
    <row r="264" spans="1:22" x14ac:dyDescent="0.25">
      <c r="A264" s="5">
        <v>35369</v>
      </c>
      <c r="B264" s="10">
        <v>120677</v>
      </c>
      <c r="C264" s="1">
        <f t="shared" si="93"/>
        <v>250</v>
      </c>
      <c r="D264" s="13">
        <f t="shared" si="94"/>
        <v>1.2699999999999934E-2</v>
      </c>
      <c r="E264" s="29">
        <f t="shared" si="95"/>
        <v>3.8E-3</v>
      </c>
      <c r="F264" s="39">
        <v>99022.463000000003</v>
      </c>
      <c r="G264" s="1">
        <f t="shared" si="96"/>
        <v>250</v>
      </c>
      <c r="H264" s="13">
        <f t="shared" si="97"/>
        <v>1.5500000000000069E-2</v>
      </c>
      <c r="I264" s="29">
        <f t="shared" si="98"/>
        <v>4.7000000000000002E-3</v>
      </c>
      <c r="J264" s="10">
        <v>5.2</v>
      </c>
      <c r="K264" s="29">
        <f t="shared" si="99"/>
        <v>-1.4200000000000001E-2</v>
      </c>
      <c r="L264">
        <v>12.16</v>
      </c>
      <c r="M264" s="29">
        <f t="shared" si="100"/>
        <v>6.6E-3</v>
      </c>
      <c r="N264">
        <v>48.45</v>
      </c>
      <c r="O264" s="13">
        <f t="shared" si="91"/>
        <v>0</v>
      </c>
      <c r="P264">
        <v>201273</v>
      </c>
      <c r="Q264">
        <v>0.18579000000000001</v>
      </c>
      <c r="R264">
        <f t="shared" si="101"/>
        <v>100.18579</v>
      </c>
      <c r="S264" s="13">
        <f t="shared" si="102"/>
        <v>3.2000000000000917E-3</v>
      </c>
      <c r="T264" s="13">
        <f t="shared" si="103"/>
        <v>2.0000000000000001E-4</v>
      </c>
      <c r="U264" s="30">
        <f t="shared" si="92"/>
        <v>178.15</v>
      </c>
      <c r="V264" s="31">
        <f t="shared" si="104"/>
        <v>181.06</v>
      </c>
    </row>
    <row r="265" spans="1:22" x14ac:dyDescent="0.25">
      <c r="A265" s="5">
        <v>35338</v>
      </c>
      <c r="B265" s="10">
        <v>120427</v>
      </c>
      <c r="C265" s="1">
        <f t="shared" si="93"/>
        <v>225</v>
      </c>
      <c r="D265" s="13">
        <f t="shared" si="94"/>
        <v>1.2000000000000011E-2</v>
      </c>
      <c r="E265" s="29">
        <f t="shared" si="95"/>
        <v>3.5999999999999999E-3</v>
      </c>
      <c r="F265" s="39">
        <v>98772.463000000003</v>
      </c>
      <c r="G265" s="1">
        <f t="shared" si="96"/>
        <v>225</v>
      </c>
      <c r="H265" s="13">
        <f t="shared" si="97"/>
        <v>1.4599999999999946E-2</v>
      </c>
      <c r="I265" s="29">
        <f t="shared" si="98"/>
        <v>4.3E-3</v>
      </c>
      <c r="J265" s="10">
        <v>5.2</v>
      </c>
      <c r="K265" s="29">
        <f t="shared" si="99"/>
        <v>-3.2599999999999997E-2</v>
      </c>
      <c r="L265">
        <v>12.14</v>
      </c>
      <c r="M265" s="29">
        <f t="shared" si="100"/>
        <v>8.5000000000000006E-3</v>
      </c>
      <c r="N265">
        <v>48.56</v>
      </c>
      <c r="O265" s="13">
        <f t="shared" si="91"/>
        <v>2.9999999999999997E-4</v>
      </c>
      <c r="P265">
        <v>201061</v>
      </c>
      <c r="Q265">
        <v>0.39167000000000002</v>
      </c>
      <c r="R265">
        <f t="shared" si="101"/>
        <v>100.39167</v>
      </c>
      <c r="S265" s="13">
        <f t="shared" si="102"/>
        <v>6.8999999999999062E-3</v>
      </c>
      <c r="T265" s="13">
        <f t="shared" si="103"/>
        <v>0</v>
      </c>
      <c r="U265" s="30">
        <f t="shared" si="92"/>
        <v>180.22</v>
      </c>
      <c r="V265" s="31">
        <f t="shared" si="104"/>
        <v>181.59</v>
      </c>
    </row>
    <row r="266" spans="1:22" x14ac:dyDescent="0.25">
      <c r="A266" s="5">
        <v>35308</v>
      </c>
      <c r="B266" s="10">
        <v>120202</v>
      </c>
      <c r="C266" s="1">
        <f t="shared" si="93"/>
        <v>179</v>
      </c>
      <c r="D266" s="13">
        <f t="shared" si="94"/>
        <v>1.2399999999999967E-2</v>
      </c>
      <c r="E266" s="29">
        <f t="shared" si="95"/>
        <v>3.7000000000000002E-3</v>
      </c>
      <c r="F266" s="39">
        <v>98547.463000000003</v>
      </c>
      <c r="G266" s="1">
        <f t="shared" si="96"/>
        <v>179</v>
      </c>
      <c r="H266" s="13">
        <f t="shared" si="97"/>
        <v>1.5099999999999891E-2</v>
      </c>
      <c r="I266" s="29">
        <f t="shared" si="98"/>
        <v>4.4999999999999997E-3</v>
      </c>
      <c r="J266" s="10">
        <v>5.0999999999999996</v>
      </c>
      <c r="K266" s="29">
        <f t="shared" si="99"/>
        <v>-7.2700000000000001E-2</v>
      </c>
      <c r="L266">
        <v>12.09</v>
      </c>
      <c r="M266" s="29">
        <f t="shared" si="100"/>
        <v>7.1000000000000004E-3</v>
      </c>
      <c r="N266">
        <v>48.66</v>
      </c>
      <c r="O266" s="13">
        <f t="shared" ref="O266:O321" si="105">ROUND(((N266+25)-(AVERAGE(N267:N272)+25))/(AVERAGE(N267:N272)+25),4)</f>
        <v>8.9999999999999998E-4</v>
      </c>
      <c r="P266">
        <v>200847</v>
      </c>
      <c r="Q266">
        <v>0.3</v>
      </c>
      <c r="R266">
        <f t="shared" si="101"/>
        <v>100.3</v>
      </c>
      <c r="S266" s="13">
        <f t="shared" si="102"/>
        <v>1.4899999999999913E-2</v>
      </c>
      <c r="T266" s="13">
        <f t="shared" si="103"/>
        <v>1.1000000000000001E-3</v>
      </c>
      <c r="U266" s="30">
        <f t="shared" ref="U266:U319" si="106">IF(ROUND(((C266/12)+(D266*600)+(E266*2500)+(G266/12)+(H266*500)+(I266*2500)-(J266*1.8)-(K266*300)+(M266*800)-(N266/5)-(O266*300)+(Q266*8)+(S266*600)+(T266*600))/2,2)+142&lt;0,0,ROUND(((C266/12)+(D266*600)+(E266*2500)+(G266/12)+(H266*500)+(I266*2500)-(J266*1.8)-(K266*300)+(M266*800)-(N266/5)-(O266*300)+(Q266*8)+(S266*600)+(T266*600))/2,2)+142)</f>
        <v>184.82</v>
      </c>
      <c r="V266" s="31">
        <f t="shared" si="104"/>
        <v>184.94</v>
      </c>
    </row>
    <row r="267" spans="1:22" x14ac:dyDescent="0.25">
      <c r="A267" s="5">
        <v>35277</v>
      </c>
      <c r="B267" s="10">
        <v>120023</v>
      </c>
      <c r="C267" s="1">
        <f t="shared" si="93"/>
        <v>249</v>
      </c>
      <c r="D267" s="13">
        <f t="shared" si="94"/>
        <v>1.4499999999999957E-2</v>
      </c>
      <c r="E267" s="29">
        <f t="shared" si="95"/>
        <v>4.5999999999999999E-3</v>
      </c>
      <c r="F267" s="39">
        <v>98368.463000000003</v>
      </c>
      <c r="G267" s="1">
        <f t="shared" si="96"/>
        <v>249</v>
      </c>
      <c r="H267" s="13">
        <f t="shared" si="97"/>
        <v>1.7800000000000038E-2</v>
      </c>
      <c r="I267" s="29">
        <f t="shared" si="98"/>
        <v>5.5999999999999999E-3</v>
      </c>
      <c r="J267" s="10">
        <v>5.5</v>
      </c>
      <c r="K267" s="29">
        <f t="shared" si="99"/>
        <v>0</v>
      </c>
      <c r="L267">
        <v>12.06</v>
      </c>
      <c r="M267" s="29">
        <f t="shared" si="100"/>
        <v>8.2000000000000007E-3</v>
      </c>
      <c r="N267">
        <v>48.29</v>
      </c>
      <c r="O267" s="13">
        <f t="shared" si="105"/>
        <v>4.4000000000000003E-3</v>
      </c>
      <c r="P267">
        <v>200641</v>
      </c>
      <c r="Q267">
        <v>0.20233999999999999</v>
      </c>
      <c r="R267">
        <f t="shared" si="101"/>
        <v>100.20234000000001</v>
      </c>
      <c r="S267" s="13">
        <f t="shared" si="102"/>
        <v>4.5999999999999375E-3</v>
      </c>
      <c r="T267" s="13">
        <f t="shared" si="103"/>
        <v>1.2999999999999999E-3</v>
      </c>
      <c r="U267" s="30">
        <f t="shared" si="106"/>
        <v>179.72</v>
      </c>
      <c r="V267" s="31">
        <f t="shared" si="104"/>
        <v>184.54</v>
      </c>
    </row>
    <row r="268" spans="1:22" x14ac:dyDescent="0.25">
      <c r="A268" s="5">
        <v>35246</v>
      </c>
      <c r="B268" s="10">
        <v>119774</v>
      </c>
      <c r="C268" s="1">
        <f t="shared" si="93"/>
        <v>287</v>
      </c>
      <c r="D268" s="13">
        <f t="shared" si="94"/>
        <v>1.2299999999999978E-2</v>
      </c>
      <c r="E268" s="29">
        <f t="shared" si="95"/>
        <v>4.7000000000000002E-3</v>
      </c>
      <c r="F268" s="39">
        <v>98119.463000000003</v>
      </c>
      <c r="G268" s="1">
        <f t="shared" si="96"/>
        <v>287</v>
      </c>
      <c r="H268" s="13">
        <f t="shared" si="97"/>
        <v>1.4999999999999902E-2</v>
      </c>
      <c r="I268" s="29">
        <f t="shared" si="98"/>
        <v>5.7000000000000002E-3</v>
      </c>
      <c r="J268" s="10">
        <v>5.3</v>
      </c>
      <c r="K268" s="29">
        <f t="shared" si="99"/>
        <v>-4.4999999999999998E-2</v>
      </c>
      <c r="L268">
        <v>12.03</v>
      </c>
      <c r="M268" s="29">
        <f t="shared" si="100"/>
        <v>8.9999999999999993E-3</v>
      </c>
      <c r="N268">
        <v>47.78</v>
      </c>
      <c r="O268" s="13">
        <f t="shared" si="105"/>
        <v>-5.7000000000000002E-3</v>
      </c>
      <c r="P268">
        <v>200459</v>
      </c>
      <c r="Q268">
        <v>0.11555</v>
      </c>
      <c r="R268">
        <f t="shared" si="101"/>
        <v>100.11555</v>
      </c>
      <c r="S268" s="13">
        <f t="shared" si="102"/>
        <v>2.7999999999999137E-3</v>
      </c>
      <c r="T268" s="13">
        <f t="shared" si="103"/>
        <v>3.2000000000000002E-3</v>
      </c>
      <c r="U268" s="30">
        <f t="shared" si="106"/>
        <v>190.28</v>
      </c>
      <c r="V268" s="31">
        <f t="shared" si="104"/>
        <v>178.59</v>
      </c>
    </row>
    <row r="269" spans="1:22" x14ac:dyDescent="0.25">
      <c r="A269" s="5">
        <v>35216</v>
      </c>
      <c r="B269" s="10">
        <v>119487</v>
      </c>
      <c r="C269" s="1">
        <f t="shared" si="93"/>
        <v>322</v>
      </c>
      <c r="D269" s="13">
        <f t="shared" si="94"/>
        <v>1.0999999999999899E-2</v>
      </c>
      <c r="E269" s="29">
        <f t="shared" si="95"/>
        <v>4.4000000000000003E-3</v>
      </c>
      <c r="F269" s="39">
        <v>97832.463000000003</v>
      </c>
      <c r="G269" s="1">
        <f t="shared" si="96"/>
        <v>322</v>
      </c>
      <c r="H269" s="13">
        <f t="shared" si="97"/>
        <v>1.3400000000000079E-2</v>
      </c>
      <c r="I269" s="29">
        <f t="shared" si="98"/>
        <v>5.3E-3</v>
      </c>
      <c r="J269" s="10">
        <v>5.6</v>
      </c>
      <c r="K269" s="29">
        <f t="shared" si="99"/>
        <v>8.9999999999999993E-3</v>
      </c>
      <c r="L269">
        <v>11.97</v>
      </c>
      <c r="M269" s="29">
        <f t="shared" si="100"/>
        <v>6.1000000000000004E-3</v>
      </c>
      <c r="N269">
        <v>47.95</v>
      </c>
      <c r="O269" s="13">
        <f t="shared" si="105"/>
        <v>-7.4999999999999997E-3</v>
      </c>
      <c r="P269">
        <v>200278</v>
      </c>
      <c r="Q269">
        <v>0.40905999999999998</v>
      </c>
      <c r="R269">
        <f t="shared" si="101"/>
        <v>100.40906</v>
      </c>
      <c r="S269" s="13">
        <f t="shared" si="102"/>
        <v>4.9999999999998934E-3</v>
      </c>
      <c r="T269" s="13">
        <f t="shared" si="103"/>
        <v>1.6999999999999999E-3</v>
      </c>
      <c r="U269" s="30">
        <f t="shared" si="106"/>
        <v>183.63</v>
      </c>
      <c r="V269" s="31">
        <f t="shared" si="104"/>
        <v>173.24</v>
      </c>
    </row>
    <row r="270" spans="1:22" x14ac:dyDescent="0.25">
      <c r="A270" s="5">
        <v>35185</v>
      </c>
      <c r="B270" s="10">
        <v>119165</v>
      </c>
      <c r="C270" s="1">
        <f t="shared" si="93"/>
        <v>163</v>
      </c>
      <c r="D270" s="13">
        <f t="shared" si="94"/>
        <v>9.5000000000000639E-3</v>
      </c>
      <c r="E270" s="29">
        <f t="shared" si="95"/>
        <v>4.1000000000000003E-3</v>
      </c>
      <c r="F270" s="39">
        <v>97510.463000000003</v>
      </c>
      <c r="G270" s="1">
        <f t="shared" si="96"/>
        <v>163</v>
      </c>
      <c r="H270" s="13">
        <f t="shared" si="97"/>
        <v>1.1700000000000044E-2</v>
      </c>
      <c r="I270" s="29">
        <f t="shared" si="98"/>
        <v>5.0000000000000001E-3</v>
      </c>
      <c r="J270" s="10">
        <v>5.6</v>
      </c>
      <c r="K270" s="29">
        <f t="shared" si="99"/>
        <v>8.9999999999999993E-3</v>
      </c>
      <c r="L270">
        <v>11.96</v>
      </c>
      <c r="M270" s="29">
        <f t="shared" si="100"/>
        <v>8.3999999999999995E-3</v>
      </c>
      <c r="N270">
        <v>49.47</v>
      </c>
      <c r="O270" s="13">
        <f t="shared" si="105"/>
        <v>1.3299999999999999E-2</v>
      </c>
      <c r="P270">
        <v>200101</v>
      </c>
      <c r="Q270">
        <v>-0.13646</v>
      </c>
      <c r="R270">
        <f t="shared" si="101"/>
        <v>99.86354</v>
      </c>
      <c r="S270" s="13">
        <f t="shared" si="102"/>
        <v>-1.2999999999999678E-3</v>
      </c>
      <c r="T270" s="13">
        <f t="shared" si="103"/>
        <v>1E-4</v>
      </c>
      <c r="U270" s="30">
        <f t="shared" si="106"/>
        <v>161.86000000000001</v>
      </c>
      <c r="V270" s="31">
        <f t="shared" si="104"/>
        <v>172.29</v>
      </c>
    </row>
    <row r="271" spans="1:22" x14ac:dyDescent="0.25">
      <c r="A271" s="5">
        <v>35155</v>
      </c>
      <c r="B271" s="10">
        <v>119002</v>
      </c>
      <c r="C271" s="1">
        <f t="shared" si="93"/>
        <v>267</v>
      </c>
      <c r="D271" s="13">
        <f t="shared" si="94"/>
        <v>9.5000000000000639E-3</v>
      </c>
      <c r="E271" s="29">
        <f t="shared" si="95"/>
        <v>4.5999999999999999E-3</v>
      </c>
      <c r="F271" s="39">
        <v>97347.463000000003</v>
      </c>
      <c r="G271" s="1">
        <f t="shared" si="96"/>
        <v>267</v>
      </c>
      <c r="H271" s="13">
        <f t="shared" si="97"/>
        <v>1.1600000000000055E-2</v>
      </c>
      <c r="I271" s="29">
        <f t="shared" si="98"/>
        <v>5.7000000000000002E-3</v>
      </c>
      <c r="J271" s="10">
        <v>5.5</v>
      </c>
      <c r="K271" s="29">
        <f t="shared" si="99"/>
        <v>-1.35E-2</v>
      </c>
      <c r="L271">
        <v>11.89</v>
      </c>
      <c r="M271" s="29">
        <f t="shared" si="100"/>
        <v>4.8999999999999998E-3</v>
      </c>
      <c r="N271">
        <v>49.08</v>
      </c>
      <c r="O271" s="13">
        <f t="shared" si="105"/>
        <v>4.1999999999999997E-3</v>
      </c>
      <c r="P271">
        <v>199921</v>
      </c>
      <c r="Q271">
        <v>-0.30041000000000001</v>
      </c>
      <c r="R271">
        <f t="shared" si="101"/>
        <v>99.699590000000001</v>
      </c>
      <c r="S271" s="13">
        <f t="shared" si="102"/>
        <v>-2.6000000000000467E-3</v>
      </c>
      <c r="T271" s="13">
        <f t="shared" si="103"/>
        <v>-5.0000000000000001E-4</v>
      </c>
      <c r="U271" s="30">
        <f t="shared" si="106"/>
        <v>174.24</v>
      </c>
      <c r="V271" s="31">
        <f t="shared" si="104"/>
        <v>168.52</v>
      </c>
    </row>
    <row r="272" spans="1:22" x14ac:dyDescent="0.25">
      <c r="A272" s="5">
        <v>35124</v>
      </c>
      <c r="B272" s="10">
        <v>118735</v>
      </c>
      <c r="C272" s="1">
        <f t="shared" si="93"/>
        <v>432</v>
      </c>
      <c r="D272" s="13">
        <f t="shared" si="94"/>
        <v>9.300000000000086E-3</v>
      </c>
      <c r="E272" s="29">
        <f t="shared" si="95"/>
        <v>3.8999999999999998E-3</v>
      </c>
      <c r="F272" s="39">
        <v>97080.463000000003</v>
      </c>
      <c r="G272" s="1">
        <f t="shared" si="96"/>
        <v>432</v>
      </c>
      <c r="H272" s="13">
        <f t="shared" si="97"/>
        <v>1.1400000000000077E-2</v>
      </c>
      <c r="I272" s="29">
        <f t="shared" si="98"/>
        <v>4.7999999999999996E-3</v>
      </c>
      <c r="J272" s="10">
        <v>5.5</v>
      </c>
      <c r="K272" s="29">
        <f t="shared" si="99"/>
        <v>-1.35E-2</v>
      </c>
      <c r="L272">
        <v>11.87</v>
      </c>
      <c r="M272" s="29">
        <f t="shared" si="100"/>
        <v>5.7000000000000002E-3</v>
      </c>
      <c r="N272">
        <v>48.98</v>
      </c>
      <c r="O272" s="13">
        <f t="shared" si="105"/>
        <v>5.0000000000000001E-4</v>
      </c>
      <c r="P272">
        <v>199773</v>
      </c>
      <c r="Q272">
        <v>-1.17622</v>
      </c>
      <c r="R272">
        <f t="shared" si="101"/>
        <v>98.823779999999999</v>
      </c>
      <c r="S272" s="13">
        <f t="shared" si="102"/>
        <v>-8.499999999999952E-3</v>
      </c>
      <c r="T272" s="13">
        <f t="shared" si="103"/>
        <v>-2.8999999999999998E-3</v>
      </c>
      <c r="U272" s="30">
        <f t="shared" si="106"/>
        <v>180.77</v>
      </c>
      <c r="V272" s="31">
        <f t="shared" si="104"/>
        <v>163.47999999999999</v>
      </c>
    </row>
    <row r="273" spans="1:22" x14ac:dyDescent="0.25">
      <c r="A273" s="5">
        <v>35095</v>
      </c>
      <c r="B273" s="10">
        <v>118303</v>
      </c>
      <c r="C273" s="1">
        <f t="shared" si="93"/>
        <v>-19</v>
      </c>
      <c r="D273" s="13">
        <f t="shared" si="94"/>
        <v>7.8000000000000291E-3</v>
      </c>
      <c r="E273" s="29">
        <f t="shared" si="95"/>
        <v>1E-3</v>
      </c>
      <c r="F273" s="39">
        <v>96648.463000000003</v>
      </c>
      <c r="G273" s="1">
        <f t="shared" si="96"/>
        <v>-19</v>
      </c>
      <c r="H273" s="13">
        <f t="shared" si="97"/>
        <v>9.5000000000000639E-3</v>
      </c>
      <c r="I273" s="29">
        <f t="shared" si="98"/>
        <v>1.1999999999999999E-3</v>
      </c>
      <c r="J273" s="10">
        <v>5.6</v>
      </c>
      <c r="K273" s="29">
        <f t="shared" si="99"/>
        <v>4.4999999999999997E-3</v>
      </c>
      <c r="L273">
        <v>11.87</v>
      </c>
      <c r="M273" s="29">
        <f t="shared" si="100"/>
        <v>8.6999999999999994E-3</v>
      </c>
      <c r="N273">
        <v>44.57</v>
      </c>
      <c r="O273" s="13">
        <f t="shared" si="105"/>
        <v>-6.88E-2</v>
      </c>
      <c r="P273">
        <v>199634</v>
      </c>
      <c r="Q273">
        <v>-0.25240000000000001</v>
      </c>
      <c r="R273">
        <f t="shared" si="101"/>
        <v>99.747600000000006</v>
      </c>
      <c r="S273" s="13">
        <f t="shared" si="102"/>
        <v>6.9999999999992291E-4</v>
      </c>
      <c r="T273" s="13">
        <f t="shared" si="103"/>
        <v>-5.0000000000000001E-4</v>
      </c>
      <c r="U273" s="30">
        <f t="shared" si="106"/>
        <v>150.56</v>
      </c>
      <c r="V273" s="31">
        <f t="shared" si="104"/>
        <v>156.9</v>
      </c>
    </row>
    <row r="274" spans="1:22" x14ac:dyDescent="0.25">
      <c r="A274" s="5">
        <v>35064</v>
      </c>
      <c r="B274" s="10">
        <v>118322</v>
      </c>
      <c r="C274" s="1">
        <f t="shared" si="93"/>
        <v>133</v>
      </c>
      <c r="D274" s="13">
        <f t="shared" si="94"/>
        <v>8.799999999999919E-3</v>
      </c>
      <c r="E274" s="29">
        <f t="shared" si="95"/>
        <v>2.3999999999999998E-3</v>
      </c>
      <c r="F274" s="39">
        <v>96667.463000000003</v>
      </c>
      <c r="G274" s="1">
        <f t="shared" si="96"/>
        <v>133</v>
      </c>
      <c r="H274" s="13">
        <f t="shared" si="97"/>
        <v>1.0699999999999932E-2</v>
      </c>
      <c r="I274" s="29">
        <f t="shared" si="98"/>
        <v>2.8999999999999998E-3</v>
      </c>
      <c r="J274" s="10">
        <v>5.6</v>
      </c>
      <c r="K274" s="29">
        <f t="shared" si="99"/>
        <v>0</v>
      </c>
      <c r="L274">
        <v>11.81</v>
      </c>
      <c r="M274" s="29">
        <f t="shared" si="100"/>
        <v>6.1999999999999998E-3</v>
      </c>
      <c r="N274">
        <v>49.14</v>
      </c>
      <c r="O274" s="13">
        <f t="shared" si="105"/>
        <v>-8.9999999999999993E-3</v>
      </c>
      <c r="P274">
        <v>199508</v>
      </c>
      <c r="Q274">
        <v>-0.16733999999999999</v>
      </c>
      <c r="R274">
        <f t="shared" si="101"/>
        <v>99.832660000000004</v>
      </c>
      <c r="S274" s="13">
        <f t="shared" si="102"/>
        <v>2.4999999999999467E-3</v>
      </c>
      <c r="T274" s="13">
        <f t="shared" si="103"/>
        <v>4.0000000000000002E-4</v>
      </c>
      <c r="U274" s="30">
        <f t="shared" si="106"/>
        <v>159.1</v>
      </c>
      <c r="V274" s="31">
        <f t="shared" si="104"/>
        <v>162.21</v>
      </c>
    </row>
    <row r="275" spans="1:22" x14ac:dyDescent="0.25">
      <c r="A275" s="5">
        <v>35033</v>
      </c>
      <c r="B275" s="10">
        <v>118189</v>
      </c>
      <c r="C275" s="1">
        <f t="shared" si="93"/>
        <v>149</v>
      </c>
      <c r="D275" s="13">
        <f t="shared" si="94"/>
        <v>9.6000000000000529E-3</v>
      </c>
      <c r="E275" s="29">
        <f t="shared" si="95"/>
        <v>2.8E-3</v>
      </c>
      <c r="F275" s="39">
        <v>96534.463000000003</v>
      </c>
      <c r="G275" s="1">
        <f t="shared" si="96"/>
        <v>149</v>
      </c>
      <c r="H275" s="13">
        <f t="shared" si="97"/>
        <v>1.1800000000000033E-2</v>
      </c>
      <c r="I275" s="29">
        <f t="shared" si="98"/>
        <v>3.5000000000000001E-3</v>
      </c>
      <c r="J275" s="10">
        <v>5.6</v>
      </c>
      <c r="K275" s="29">
        <f t="shared" si="99"/>
        <v>-4.4000000000000003E-3</v>
      </c>
      <c r="L275">
        <v>11.78</v>
      </c>
      <c r="M275" s="29">
        <f t="shared" si="100"/>
        <v>6.0000000000000001E-3</v>
      </c>
      <c r="N275">
        <v>49.75</v>
      </c>
      <c r="O275" s="13">
        <f t="shared" si="105"/>
        <v>-1.4E-3</v>
      </c>
      <c r="P275">
        <v>199355</v>
      </c>
      <c r="Q275">
        <v>-9.1139999999999999E-2</v>
      </c>
      <c r="R275">
        <f t="shared" si="101"/>
        <v>99.908860000000004</v>
      </c>
      <c r="S275" s="13">
        <f t="shared" si="102"/>
        <v>-4.9999999999994493E-4</v>
      </c>
      <c r="T275" s="13">
        <f t="shared" si="103"/>
        <v>5.9999999999999995E-4</v>
      </c>
      <c r="U275" s="30">
        <f t="shared" si="106"/>
        <v>161.04</v>
      </c>
      <c r="V275" s="31">
        <f t="shared" si="104"/>
        <v>165.39</v>
      </c>
    </row>
    <row r="276" spans="1:22" x14ac:dyDescent="0.25">
      <c r="A276" s="5">
        <v>35003</v>
      </c>
      <c r="B276" s="10">
        <v>118040</v>
      </c>
      <c r="C276" s="1">
        <f t="shared" si="93"/>
        <v>153</v>
      </c>
      <c r="D276" s="13">
        <f t="shared" si="94"/>
        <v>8.1999999999999851E-3</v>
      </c>
      <c r="E276" s="29">
        <f t="shared" si="95"/>
        <v>3.3999999999999998E-3</v>
      </c>
      <c r="F276" s="39">
        <v>96385.463000000003</v>
      </c>
      <c r="G276" s="1">
        <f t="shared" si="96"/>
        <v>153</v>
      </c>
      <c r="H276" s="13">
        <f t="shared" si="97"/>
        <v>1.0099999999999998E-2</v>
      </c>
      <c r="I276" s="29">
        <f t="shared" si="98"/>
        <v>4.1999999999999997E-3</v>
      </c>
      <c r="J276" s="10">
        <v>5.5</v>
      </c>
      <c r="K276" s="29">
        <f t="shared" si="99"/>
        <v>-2.6499999999999999E-2</v>
      </c>
      <c r="L276">
        <v>11.75</v>
      </c>
      <c r="M276" s="29">
        <f t="shared" si="100"/>
        <v>6.0000000000000001E-3</v>
      </c>
      <c r="N276">
        <v>49.45</v>
      </c>
      <c r="O276" s="13">
        <f t="shared" si="105"/>
        <v>-4.5999999999999999E-3</v>
      </c>
      <c r="P276">
        <v>199192</v>
      </c>
      <c r="Q276">
        <v>-8.3300000000000006E-3</v>
      </c>
      <c r="R276">
        <f t="shared" si="101"/>
        <v>99.991669999999999</v>
      </c>
      <c r="S276" s="13">
        <f t="shared" si="102"/>
        <v>-6.0000000000004494E-4</v>
      </c>
      <c r="T276" s="13">
        <f t="shared" si="103"/>
        <v>1E-3</v>
      </c>
      <c r="U276" s="30">
        <f t="shared" si="106"/>
        <v>166.49</v>
      </c>
      <c r="V276" s="31">
        <f t="shared" si="104"/>
        <v>166.29</v>
      </c>
    </row>
    <row r="277" spans="1:22" x14ac:dyDescent="0.25">
      <c r="A277" s="5">
        <v>34972</v>
      </c>
      <c r="B277" s="10">
        <v>117887</v>
      </c>
      <c r="C277" s="1">
        <f t="shared" si="93"/>
        <v>244</v>
      </c>
      <c r="D277" s="13">
        <f t="shared" si="94"/>
        <v>8.2999999999999741E-3</v>
      </c>
      <c r="E277" s="29">
        <f t="shared" si="95"/>
        <v>3.8E-3</v>
      </c>
      <c r="F277" s="39">
        <v>96232.463000000003</v>
      </c>
      <c r="G277" s="1">
        <f t="shared" si="96"/>
        <v>244</v>
      </c>
      <c r="H277" s="13">
        <f t="shared" si="97"/>
        <v>1.0199999999999987E-2</v>
      </c>
      <c r="I277" s="29">
        <f t="shared" si="98"/>
        <v>4.5999999999999999E-3</v>
      </c>
      <c r="J277" s="10">
        <v>5.6</v>
      </c>
      <c r="K277" s="29">
        <f t="shared" si="99"/>
        <v>-8.8000000000000005E-3</v>
      </c>
      <c r="L277">
        <v>11.73</v>
      </c>
      <c r="M277" s="29">
        <f t="shared" si="100"/>
        <v>7.3000000000000001E-3</v>
      </c>
      <c r="N277">
        <v>50.75</v>
      </c>
      <c r="O277" s="13">
        <f t="shared" si="105"/>
        <v>1.61E-2</v>
      </c>
      <c r="P277">
        <v>199005</v>
      </c>
      <c r="Q277">
        <v>-4.0669999999999998E-2</v>
      </c>
      <c r="R277">
        <f t="shared" si="101"/>
        <v>99.959329999999994</v>
      </c>
      <c r="S277" s="13">
        <f t="shared" si="102"/>
        <v>-2.6000000000000467E-3</v>
      </c>
      <c r="T277" s="13">
        <f t="shared" si="103"/>
        <v>0</v>
      </c>
      <c r="U277" s="30">
        <f t="shared" si="106"/>
        <v>168.64</v>
      </c>
      <c r="V277" s="31">
        <f t="shared" si="104"/>
        <v>160.12</v>
      </c>
    </row>
    <row r="278" spans="1:22" x14ac:dyDescent="0.25">
      <c r="A278" s="5">
        <v>34942</v>
      </c>
      <c r="B278" s="10">
        <v>117643</v>
      </c>
      <c r="C278" s="1">
        <f t="shared" si="93"/>
        <v>253</v>
      </c>
      <c r="D278" s="13">
        <f t="shared" si="94"/>
        <v>8.0999999999999961E-3</v>
      </c>
      <c r="E278" s="29">
        <f t="shared" si="95"/>
        <v>3.3999999999999998E-3</v>
      </c>
      <c r="F278" s="39">
        <v>95988.463000000003</v>
      </c>
      <c r="G278" s="1">
        <f t="shared" si="96"/>
        <v>253</v>
      </c>
      <c r="H278" s="13">
        <f t="shared" si="97"/>
        <v>1.0000000000000009E-2</v>
      </c>
      <c r="I278" s="29">
        <f t="shared" si="98"/>
        <v>4.1000000000000003E-3</v>
      </c>
      <c r="J278" s="10">
        <v>5.7</v>
      </c>
      <c r="K278" s="29">
        <f t="shared" si="99"/>
        <v>4.4000000000000003E-3</v>
      </c>
      <c r="L278">
        <v>11.69</v>
      </c>
      <c r="M278" s="29">
        <f t="shared" si="100"/>
        <v>6.7000000000000002E-3</v>
      </c>
      <c r="N278">
        <v>50.01</v>
      </c>
      <c r="O278" s="13">
        <f t="shared" si="105"/>
        <v>8.9999999999999993E-3</v>
      </c>
      <c r="P278">
        <v>198801</v>
      </c>
      <c r="Q278">
        <v>-0.33162000000000003</v>
      </c>
      <c r="R278">
        <f t="shared" si="101"/>
        <v>99.668379999999999</v>
      </c>
      <c r="S278" s="13">
        <f t="shared" si="102"/>
        <v>-8.499999999999952E-3</v>
      </c>
      <c r="T278" s="13">
        <f t="shared" si="103"/>
        <v>-1E-3</v>
      </c>
      <c r="U278" s="30">
        <f t="shared" si="106"/>
        <v>163.75</v>
      </c>
      <c r="V278" s="31">
        <f t="shared" si="104"/>
        <v>157</v>
      </c>
    </row>
    <row r="279" spans="1:22" x14ac:dyDescent="0.25">
      <c r="A279" s="5">
        <v>34911</v>
      </c>
      <c r="B279" s="10">
        <v>117390</v>
      </c>
      <c r="C279" s="1">
        <f t="shared" si="93"/>
        <v>96</v>
      </c>
      <c r="D279" s="13">
        <f t="shared" si="94"/>
        <v>7.7000000000000401E-3</v>
      </c>
      <c r="E279" s="29">
        <f t="shared" si="95"/>
        <v>2.0999999999999999E-3</v>
      </c>
      <c r="F279" s="39">
        <v>95735.463000000003</v>
      </c>
      <c r="G279" s="1">
        <f t="shared" si="96"/>
        <v>96</v>
      </c>
      <c r="H279" s="13">
        <f t="shared" si="97"/>
        <v>9.5000000000000639E-3</v>
      </c>
      <c r="I279" s="29">
        <f t="shared" si="98"/>
        <v>2.5999999999999999E-3</v>
      </c>
      <c r="J279" s="10">
        <v>5.7</v>
      </c>
      <c r="K279" s="29">
        <f t="shared" si="99"/>
        <v>1.7899999999999999E-2</v>
      </c>
      <c r="L279">
        <v>11.67</v>
      </c>
      <c r="M279" s="29">
        <f t="shared" si="100"/>
        <v>7.6E-3</v>
      </c>
      <c r="N279">
        <v>49.16</v>
      </c>
      <c r="O279" s="13">
        <f t="shared" si="105"/>
        <v>-5.1999999999999998E-3</v>
      </c>
      <c r="P279">
        <v>198615</v>
      </c>
      <c r="Q279">
        <v>-0.31845000000000001</v>
      </c>
      <c r="R279">
        <f t="shared" si="101"/>
        <v>99.681550000000001</v>
      </c>
      <c r="S279" s="13">
        <f t="shared" si="102"/>
        <v>-6.7000000000000393E-3</v>
      </c>
      <c r="T279" s="13">
        <f t="shared" si="103"/>
        <v>-1.2999999999999999E-3</v>
      </c>
      <c r="U279" s="30">
        <f t="shared" si="106"/>
        <v>147.97999999999999</v>
      </c>
      <c r="V279" s="31">
        <f t="shared" si="104"/>
        <v>148.63999999999999</v>
      </c>
    </row>
    <row r="280" spans="1:22" x14ac:dyDescent="0.25">
      <c r="A280" s="5">
        <v>34880</v>
      </c>
      <c r="B280" s="10">
        <v>117294</v>
      </c>
      <c r="C280" s="1">
        <f t="shared" si="93"/>
        <v>234</v>
      </c>
      <c r="D280" s="13">
        <f t="shared" si="94"/>
        <v>9.7000000000000419E-3</v>
      </c>
      <c r="E280" s="29">
        <f t="shared" si="95"/>
        <v>2.3999999999999998E-3</v>
      </c>
      <c r="F280" s="39">
        <v>95639.463000000003</v>
      </c>
      <c r="G280" s="1">
        <f t="shared" si="96"/>
        <v>234</v>
      </c>
      <c r="H280" s="13">
        <f t="shared" si="97"/>
        <v>1.2000000000000011E-2</v>
      </c>
      <c r="I280" s="29">
        <f t="shared" si="98"/>
        <v>2.8999999999999998E-3</v>
      </c>
      <c r="J280" s="10">
        <v>5.6</v>
      </c>
      <c r="K280" s="29">
        <f t="shared" si="99"/>
        <v>8.9999999999999993E-3</v>
      </c>
      <c r="L280">
        <v>11.63</v>
      </c>
      <c r="M280" s="29">
        <f t="shared" si="100"/>
        <v>6.4999999999999997E-3</v>
      </c>
      <c r="N280">
        <v>49.75</v>
      </c>
      <c r="O280" s="13">
        <f t="shared" si="105"/>
        <v>3.8999999999999998E-3</v>
      </c>
      <c r="P280">
        <v>198453</v>
      </c>
      <c r="Q280">
        <v>-0.42093999999999998</v>
      </c>
      <c r="R280">
        <f t="shared" si="101"/>
        <v>99.579059999999998</v>
      </c>
      <c r="S280" s="13">
        <f t="shared" si="102"/>
        <v>-1.0099999999999998E-2</v>
      </c>
      <c r="T280" s="13">
        <f t="shared" si="103"/>
        <v>-2.3E-3</v>
      </c>
      <c r="U280" s="30">
        <f t="shared" si="106"/>
        <v>159.28</v>
      </c>
      <c r="V280" s="31">
        <f t="shared" si="104"/>
        <v>151.04</v>
      </c>
    </row>
    <row r="281" spans="1:22" x14ac:dyDescent="0.25">
      <c r="A281" s="5">
        <v>34850</v>
      </c>
      <c r="B281" s="10">
        <v>117060</v>
      </c>
      <c r="C281" s="1">
        <f t="shared" si="93"/>
        <v>-15</v>
      </c>
      <c r="D281" s="13">
        <f t="shared" si="94"/>
        <v>1.0099999999999998E-2</v>
      </c>
      <c r="E281" s="29">
        <f t="shared" si="95"/>
        <v>1.4E-3</v>
      </c>
      <c r="F281" s="39">
        <v>95405.463000000003</v>
      </c>
      <c r="G281" s="1">
        <f t="shared" si="96"/>
        <v>-15</v>
      </c>
      <c r="H281" s="13">
        <f t="shared" si="97"/>
        <v>1.2399999999999967E-2</v>
      </c>
      <c r="I281" s="29">
        <f t="shared" si="98"/>
        <v>1.6999999999999999E-3</v>
      </c>
      <c r="J281" s="10">
        <v>5.6</v>
      </c>
      <c r="K281" s="29">
        <f t="shared" si="99"/>
        <v>8.9999999999999993E-3</v>
      </c>
      <c r="L281">
        <v>11.59</v>
      </c>
      <c r="M281" s="29">
        <f t="shared" si="100"/>
        <v>5.1999999999999998E-3</v>
      </c>
      <c r="N281">
        <v>50.01</v>
      </c>
      <c r="O281" s="13">
        <f t="shared" si="105"/>
        <v>8.5000000000000006E-3</v>
      </c>
      <c r="P281">
        <v>198286</v>
      </c>
      <c r="Q281">
        <v>-4.3520000000000003E-2</v>
      </c>
      <c r="R281">
        <f t="shared" si="101"/>
        <v>99.956479999999999</v>
      </c>
      <c r="S281" s="13">
        <f t="shared" si="102"/>
        <v>-3.3999999999999586E-3</v>
      </c>
      <c r="T281" s="13">
        <f t="shared" si="103"/>
        <v>-1E-3</v>
      </c>
      <c r="U281" s="30">
        <f t="shared" si="106"/>
        <v>138.66999999999999</v>
      </c>
      <c r="V281" s="31">
        <f t="shared" si="104"/>
        <v>156.75</v>
      </c>
    </row>
    <row r="282" spans="1:22" x14ac:dyDescent="0.25">
      <c r="A282" s="5">
        <v>34819</v>
      </c>
      <c r="B282" s="10">
        <v>117075</v>
      </c>
      <c r="C282" s="1">
        <f t="shared" si="93"/>
        <v>162</v>
      </c>
      <c r="D282" s="13">
        <f t="shared" si="94"/>
        <v>1.3900000000000023E-2</v>
      </c>
      <c r="E282" s="29">
        <f t="shared" si="95"/>
        <v>3.2000000000000002E-3</v>
      </c>
      <c r="F282" s="39">
        <v>95420.463000000003</v>
      </c>
      <c r="G282" s="1">
        <f t="shared" si="96"/>
        <v>162</v>
      </c>
      <c r="H282" s="13">
        <f t="shared" si="97"/>
        <v>1.7099999999999893E-2</v>
      </c>
      <c r="I282" s="29">
        <f t="shared" si="98"/>
        <v>4.0000000000000001E-3</v>
      </c>
      <c r="J282" s="10">
        <v>5.8</v>
      </c>
      <c r="K282" s="29">
        <f t="shared" si="99"/>
        <v>5.9400000000000001E-2</v>
      </c>
      <c r="L282">
        <v>11.56</v>
      </c>
      <c r="M282" s="29">
        <f t="shared" si="100"/>
        <v>4.5999999999999999E-3</v>
      </c>
      <c r="N282">
        <v>49.07</v>
      </c>
      <c r="O282" s="13">
        <f t="shared" si="105"/>
        <v>-5.1999999999999998E-3</v>
      </c>
      <c r="P282">
        <v>198148</v>
      </c>
      <c r="Q282">
        <v>5.1130000000000002E-2</v>
      </c>
      <c r="R282">
        <f t="shared" si="101"/>
        <v>100.05113</v>
      </c>
      <c r="S282" s="13">
        <f t="shared" si="102"/>
        <v>-3.8000000000000256E-3</v>
      </c>
      <c r="T282" s="13">
        <f t="shared" si="103"/>
        <v>-1.4E-3</v>
      </c>
      <c r="U282" s="30">
        <f t="shared" si="106"/>
        <v>155.16999999999999</v>
      </c>
      <c r="V282" s="31">
        <f t="shared" si="104"/>
        <v>171.08</v>
      </c>
    </row>
    <row r="283" spans="1:22" x14ac:dyDescent="0.25">
      <c r="A283" s="5">
        <v>34789</v>
      </c>
      <c r="B283" s="10">
        <v>116913</v>
      </c>
      <c r="C283" s="1">
        <f t="shared" si="93"/>
        <v>221</v>
      </c>
      <c r="D283" s="13">
        <f t="shared" si="94"/>
        <v>1.4399999999999968E-2</v>
      </c>
      <c r="E283" s="29">
        <f t="shared" si="95"/>
        <v>4.0000000000000001E-3</v>
      </c>
      <c r="F283" s="39">
        <v>95258.463000000003</v>
      </c>
      <c r="G283" s="1">
        <f t="shared" si="96"/>
        <v>221</v>
      </c>
      <c r="H283" s="13">
        <f t="shared" si="97"/>
        <v>1.7700000000000049E-2</v>
      </c>
      <c r="I283" s="29">
        <f t="shared" si="98"/>
        <v>4.8999999999999998E-3</v>
      </c>
      <c r="J283" s="10">
        <v>5.4</v>
      </c>
      <c r="K283" s="29">
        <f t="shared" si="99"/>
        <v>-2.2599999999999999E-2</v>
      </c>
      <c r="L283">
        <v>11.55</v>
      </c>
      <c r="M283" s="29">
        <f t="shared" si="100"/>
        <v>5.8999999999999999E-3</v>
      </c>
      <c r="N283">
        <v>49.32</v>
      </c>
      <c r="O283" s="13">
        <f t="shared" si="105"/>
        <v>1.1000000000000001E-3</v>
      </c>
      <c r="P283">
        <v>198007</v>
      </c>
      <c r="Q283">
        <v>0.21912000000000001</v>
      </c>
      <c r="R283">
        <f t="shared" si="101"/>
        <v>100.21912</v>
      </c>
      <c r="S283" s="13">
        <f t="shared" si="102"/>
        <v>-1.6000000000000458E-3</v>
      </c>
      <c r="T283" s="13">
        <f t="shared" si="103"/>
        <v>-2.0000000000000001E-4</v>
      </c>
      <c r="U283" s="30">
        <f t="shared" si="106"/>
        <v>176.42000000000002</v>
      </c>
      <c r="V283" s="31">
        <f t="shared" si="104"/>
        <v>181.78</v>
      </c>
    </row>
    <row r="284" spans="1:22" x14ac:dyDescent="0.25">
      <c r="A284" s="5">
        <v>34758</v>
      </c>
      <c r="B284" s="10">
        <v>116692</v>
      </c>
      <c r="C284" s="1">
        <f t="shared" si="93"/>
        <v>204</v>
      </c>
      <c r="D284" s="13">
        <f t="shared" si="94"/>
        <v>1.5600000000000058E-2</v>
      </c>
      <c r="E284" s="29">
        <f t="shared" si="95"/>
        <v>4.4000000000000003E-3</v>
      </c>
      <c r="F284" s="39">
        <v>95037.463000000003</v>
      </c>
      <c r="G284" s="1">
        <f t="shared" si="96"/>
        <v>204</v>
      </c>
      <c r="H284" s="13">
        <f t="shared" si="97"/>
        <v>1.9200000000000106E-2</v>
      </c>
      <c r="I284" s="29">
        <f t="shared" si="98"/>
        <v>5.4000000000000003E-3</v>
      </c>
      <c r="J284" s="10">
        <v>5.4</v>
      </c>
      <c r="K284" s="29">
        <f t="shared" si="99"/>
        <v>-0.04</v>
      </c>
      <c r="L284">
        <v>11.52</v>
      </c>
      <c r="M284" s="29">
        <f t="shared" si="100"/>
        <v>5.4999999999999997E-3</v>
      </c>
      <c r="N284">
        <v>48.73</v>
      </c>
      <c r="O284" s="13">
        <f t="shared" si="105"/>
        <v>-5.8999999999999999E-3</v>
      </c>
      <c r="P284">
        <v>197886</v>
      </c>
      <c r="Q284">
        <v>0.51790999999999998</v>
      </c>
      <c r="R284">
        <f t="shared" si="101"/>
        <v>100.51791</v>
      </c>
      <c r="S284" s="13">
        <f t="shared" si="102"/>
        <v>-1.9000000000000128E-3</v>
      </c>
      <c r="T284" s="13">
        <f t="shared" si="103"/>
        <v>2.0000000000000001E-4</v>
      </c>
      <c r="U284" s="30">
        <f t="shared" si="106"/>
        <v>181.64</v>
      </c>
      <c r="V284" s="31">
        <f t="shared" si="104"/>
        <v>187.59</v>
      </c>
    </row>
    <row r="285" spans="1:22" x14ac:dyDescent="0.25">
      <c r="A285" s="5">
        <v>34730</v>
      </c>
      <c r="B285" s="10">
        <v>116488</v>
      </c>
      <c r="C285" s="1">
        <f t="shared" si="93"/>
        <v>324</v>
      </c>
      <c r="D285" s="13">
        <f t="shared" si="94"/>
        <v>1.6299999999999981E-2</v>
      </c>
      <c r="E285" s="29">
        <f t="shared" si="95"/>
        <v>5.5999999999999999E-3</v>
      </c>
      <c r="F285" s="39">
        <v>94833.463000000003</v>
      </c>
      <c r="G285" s="1">
        <f t="shared" si="96"/>
        <v>324</v>
      </c>
      <c r="H285" s="13">
        <f t="shared" si="97"/>
        <v>2.0100000000000007E-2</v>
      </c>
      <c r="I285" s="29">
        <f t="shared" si="98"/>
        <v>6.8999999999999999E-3</v>
      </c>
      <c r="J285" s="10">
        <v>5.6</v>
      </c>
      <c r="K285" s="29">
        <f t="shared" si="99"/>
        <v>-1.7500000000000002E-2</v>
      </c>
      <c r="L285">
        <v>11.49</v>
      </c>
      <c r="M285" s="29">
        <f t="shared" si="100"/>
        <v>5.0000000000000001E-3</v>
      </c>
      <c r="N285">
        <v>50.42</v>
      </c>
      <c r="O285" s="13">
        <f t="shared" si="105"/>
        <v>1.7999999999999999E-2</v>
      </c>
      <c r="P285">
        <v>197753</v>
      </c>
      <c r="Q285">
        <v>0.35172999999999999</v>
      </c>
      <c r="R285">
        <f t="shared" si="101"/>
        <v>100.35173</v>
      </c>
      <c r="S285" s="13">
        <f t="shared" si="102"/>
        <v>-1.6000000000000458E-3</v>
      </c>
      <c r="T285" s="13">
        <f t="shared" si="103"/>
        <v>-1E-4</v>
      </c>
      <c r="U285" s="30">
        <f t="shared" si="106"/>
        <v>187.28</v>
      </c>
      <c r="V285" s="31">
        <f t="shared" si="104"/>
        <v>196.07</v>
      </c>
    </row>
    <row r="286" spans="1:22" x14ac:dyDescent="0.25">
      <c r="A286" s="5">
        <v>34699</v>
      </c>
      <c r="B286" s="10">
        <v>116164</v>
      </c>
      <c r="C286" s="1">
        <f t="shared" si="93"/>
        <v>277</v>
      </c>
      <c r="D286" s="13">
        <f t="shared" si="94"/>
        <v>1.6799999999999926E-2</v>
      </c>
      <c r="E286" s="29">
        <f t="shared" si="95"/>
        <v>5.4000000000000003E-3</v>
      </c>
      <c r="F286" s="39">
        <v>94509.463000000003</v>
      </c>
      <c r="G286" s="1">
        <f t="shared" si="96"/>
        <v>277</v>
      </c>
      <c r="H286" s="13">
        <f t="shared" si="97"/>
        <v>2.0699999999999941E-2</v>
      </c>
      <c r="I286" s="29">
        <f t="shared" si="98"/>
        <v>6.7000000000000002E-3</v>
      </c>
      <c r="J286" s="10">
        <v>5.5</v>
      </c>
      <c r="K286" s="29">
        <f t="shared" si="99"/>
        <v>-5.5800000000000002E-2</v>
      </c>
      <c r="L286">
        <v>11.47</v>
      </c>
      <c r="M286" s="29">
        <f t="shared" si="100"/>
        <v>5.7000000000000002E-3</v>
      </c>
      <c r="N286">
        <v>49.2</v>
      </c>
      <c r="O286" s="13">
        <f t="shared" si="105"/>
        <v>-7.7000000000000002E-3</v>
      </c>
      <c r="P286">
        <v>197765</v>
      </c>
      <c r="Q286">
        <v>0.60014000000000001</v>
      </c>
      <c r="R286">
        <f t="shared" si="101"/>
        <v>100.60014</v>
      </c>
      <c r="S286" s="13">
        <f t="shared" si="102"/>
        <v>-2.7000000000000357E-3</v>
      </c>
      <c r="T286" s="13">
        <f t="shared" si="103"/>
        <v>-2.9999999999999997E-4</v>
      </c>
      <c r="U286" s="30">
        <f t="shared" si="106"/>
        <v>193.86</v>
      </c>
      <c r="V286" s="31">
        <f t="shared" si="104"/>
        <v>195.12</v>
      </c>
    </row>
    <row r="287" spans="1:22" x14ac:dyDescent="0.25">
      <c r="A287" s="5">
        <v>34668</v>
      </c>
      <c r="B287" s="10">
        <v>115887</v>
      </c>
      <c r="C287" s="1">
        <f t="shared" si="93"/>
        <v>420</v>
      </c>
      <c r="D287" s="13">
        <f t="shared" si="94"/>
        <v>1.7200000000000104E-2</v>
      </c>
      <c r="E287" s="29">
        <f t="shared" si="95"/>
        <v>5.8999999999999999E-3</v>
      </c>
      <c r="F287" s="39">
        <v>94232.463000000003</v>
      </c>
      <c r="G287" s="1">
        <f t="shared" si="96"/>
        <v>420</v>
      </c>
      <c r="H287" s="13">
        <f t="shared" si="97"/>
        <v>2.1200000000000108E-2</v>
      </c>
      <c r="I287" s="29">
        <f t="shared" si="98"/>
        <v>7.3000000000000001E-3</v>
      </c>
      <c r="J287" s="10">
        <v>5.6</v>
      </c>
      <c r="K287" s="29">
        <f t="shared" si="99"/>
        <v>-5.8799999999999998E-2</v>
      </c>
      <c r="L287">
        <v>11.45</v>
      </c>
      <c r="M287" s="29">
        <f t="shared" si="100"/>
        <v>6.4000000000000003E-3</v>
      </c>
      <c r="N287">
        <v>49.51</v>
      </c>
      <c r="O287" s="13">
        <f t="shared" si="105"/>
        <v>-1.26E-2</v>
      </c>
      <c r="P287">
        <v>197607</v>
      </c>
      <c r="Q287">
        <v>0.30153000000000002</v>
      </c>
      <c r="R287">
        <f t="shared" si="101"/>
        <v>100.30153</v>
      </c>
      <c r="S287" s="13">
        <f t="shared" si="102"/>
        <v>-4.0999999999999925E-3</v>
      </c>
      <c r="T287" s="13">
        <f t="shared" si="103"/>
        <v>-5.0000000000000001E-4</v>
      </c>
      <c r="U287" s="30">
        <f t="shared" si="106"/>
        <v>207.07</v>
      </c>
      <c r="V287" s="31">
        <f t="shared" si="104"/>
        <v>198.79</v>
      </c>
    </row>
    <row r="288" spans="1:22" x14ac:dyDescent="0.25">
      <c r="A288" s="5">
        <v>34638</v>
      </c>
      <c r="B288" s="10">
        <v>115467</v>
      </c>
      <c r="C288" s="1">
        <f t="shared" si="93"/>
        <v>213</v>
      </c>
      <c r="D288" s="13">
        <f t="shared" si="94"/>
        <v>1.6499999999999959E-2</v>
      </c>
      <c r="E288" s="29">
        <f t="shared" si="95"/>
        <v>4.7000000000000002E-3</v>
      </c>
      <c r="F288" s="39">
        <v>93812.463000000003</v>
      </c>
      <c r="G288" s="1">
        <f t="shared" si="96"/>
        <v>213</v>
      </c>
      <c r="H288" s="13">
        <f t="shared" si="97"/>
        <v>2.0299999999999985E-2</v>
      </c>
      <c r="I288" s="29">
        <f t="shared" si="98"/>
        <v>5.7999999999999996E-3</v>
      </c>
      <c r="J288" s="10">
        <v>5.8</v>
      </c>
      <c r="K288" s="29">
        <f t="shared" si="99"/>
        <v>-3.73E-2</v>
      </c>
      <c r="L288">
        <v>11.42</v>
      </c>
      <c r="M288" s="29">
        <f t="shared" si="100"/>
        <v>6.1999999999999998E-3</v>
      </c>
      <c r="N288">
        <v>49.56</v>
      </c>
      <c r="O288" s="13">
        <f t="shared" si="105"/>
        <v>-1.8599999999999998E-2</v>
      </c>
      <c r="P288">
        <v>197430</v>
      </c>
      <c r="Q288">
        <v>0.43630000000000002</v>
      </c>
      <c r="R288">
        <f t="shared" si="101"/>
        <v>100.4363</v>
      </c>
      <c r="S288" s="13">
        <f t="shared" si="102"/>
        <v>-1.9000000000000128E-3</v>
      </c>
      <c r="T288" s="13">
        <f t="shared" si="103"/>
        <v>-1.1000000000000001E-3</v>
      </c>
      <c r="U288" s="30">
        <f t="shared" si="106"/>
        <v>184.43</v>
      </c>
      <c r="V288" s="31">
        <f t="shared" si="104"/>
        <v>197.05</v>
      </c>
    </row>
    <row r="289" spans="1:22" x14ac:dyDescent="0.25">
      <c r="A289" s="5">
        <v>34607</v>
      </c>
      <c r="B289" s="10">
        <v>115254</v>
      </c>
      <c r="C289" s="1">
        <f t="shared" si="93"/>
        <v>353</v>
      </c>
      <c r="D289" s="13">
        <f t="shared" si="94"/>
        <v>1.7700000000000049E-2</v>
      </c>
      <c r="E289" s="29">
        <f t="shared" si="95"/>
        <v>5.7999999999999996E-3</v>
      </c>
      <c r="F289" s="39">
        <v>93599.463000000003</v>
      </c>
      <c r="G289" s="1">
        <f t="shared" si="96"/>
        <v>353</v>
      </c>
      <c r="H289" s="13">
        <f t="shared" si="97"/>
        <v>2.1900000000000031E-2</v>
      </c>
      <c r="I289" s="29">
        <f t="shared" si="98"/>
        <v>7.1999999999999998E-3</v>
      </c>
      <c r="J289" s="10">
        <v>5.9</v>
      </c>
      <c r="K289" s="29">
        <f t="shared" si="99"/>
        <v>-2.8799999999999999E-2</v>
      </c>
      <c r="L289">
        <v>11.39</v>
      </c>
      <c r="M289" s="29">
        <f t="shared" si="100"/>
        <v>5.7000000000000002E-3</v>
      </c>
      <c r="N289">
        <v>48.01</v>
      </c>
      <c r="O289" s="13">
        <f t="shared" si="105"/>
        <v>-5.1900000000000002E-2</v>
      </c>
      <c r="P289">
        <v>197248</v>
      </c>
      <c r="Q289">
        <v>0.38030999999999998</v>
      </c>
      <c r="R289">
        <f t="shared" si="101"/>
        <v>100.38030999999999</v>
      </c>
      <c r="S289" s="13">
        <f t="shared" si="102"/>
        <v>2.8999999999999027E-3</v>
      </c>
      <c r="T289" s="13">
        <f t="shared" si="103"/>
        <v>-8.0000000000000004E-4</v>
      </c>
      <c r="U289" s="30">
        <f t="shared" si="106"/>
        <v>204.88</v>
      </c>
      <c r="V289" s="31">
        <f t="shared" si="104"/>
        <v>204.41</v>
      </c>
    </row>
    <row r="290" spans="1:22" x14ac:dyDescent="0.25">
      <c r="A290" s="5">
        <v>34577</v>
      </c>
      <c r="B290" s="10">
        <v>114901</v>
      </c>
      <c r="C290" s="1">
        <f t="shared" si="93"/>
        <v>282</v>
      </c>
      <c r="D290" s="13">
        <f t="shared" si="94"/>
        <v>1.8799999999999928E-2</v>
      </c>
      <c r="E290" s="29">
        <f t="shared" si="95"/>
        <v>5.5999999999999999E-3</v>
      </c>
      <c r="F290" s="39">
        <v>93246.463000000003</v>
      </c>
      <c r="G290" s="1">
        <f t="shared" si="96"/>
        <v>282</v>
      </c>
      <c r="H290" s="13">
        <f t="shared" si="97"/>
        <v>2.3200000000000109E-2</v>
      </c>
      <c r="I290" s="29">
        <f t="shared" si="98"/>
        <v>6.8999999999999999E-3</v>
      </c>
      <c r="J290" s="10">
        <v>6</v>
      </c>
      <c r="K290" s="29">
        <f t="shared" si="99"/>
        <v>-2.8299999999999999E-2</v>
      </c>
      <c r="L290">
        <v>11.36</v>
      </c>
      <c r="M290" s="29">
        <f t="shared" si="100"/>
        <v>5.1000000000000004E-3</v>
      </c>
      <c r="N290">
        <v>48.3</v>
      </c>
      <c r="O290" s="13">
        <f t="shared" si="105"/>
        <v>-5.5300000000000002E-2</v>
      </c>
      <c r="P290">
        <v>197043</v>
      </c>
      <c r="Q290">
        <v>0.71231</v>
      </c>
      <c r="R290">
        <f t="shared" si="101"/>
        <v>100.71231</v>
      </c>
      <c r="S290" s="13">
        <f t="shared" si="102"/>
        <v>6.6999999999999282E-3</v>
      </c>
      <c r="T290" s="13">
        <f t="shared" si="103"/>
        <v>2.0000000000000001E-4</v>
      </c>
      <c r="U290" s="30">
        <f t="shared" si="106"/>
        <v>201.82999999999998</v>
      </c>
      <c r="V290" s="31">
        <f t="shared" si="104"/>
        <v>204.36</v>
      </c>
    </row>
    <row r="291" spans="1:22" x14ac:dyDescent="0.25">
      <c r="A291" s="5">
        <v>34546</v>
      </c>
      <c r="B291" s="10">
        <v>114619</v>
      </c>
      <c r="C291" s="1">
        <f t="shared" si="93"/>
        <v>373</v>
      </c>
      <c r="D291" s="13">
        <f t="shared" si="94"/>
        <v>1.8100000000000005E-2</v>
      </c>
      <c r="E291" s="29">
        <f t="shared" si="95"/>
        <v>6.1000000000000004E-3</v>
      </c>
      <c r="F291" s="39">
        <v>92964.463000000003</v>
      </c>
      <c r="G291" s="1">
        <f t="shared" si="96"/>
        <v>373</v>
      </c>
      <c r="H291" s="13">
        <f t="shared" si="97"/>
        <v>2.2399999999999975E-2</v>
      </c>
      <c r="I291" s="29">
        <f t="shared" si="98"/>
        <v>7.4999999999999997E-3</v>
      </c>
      <c r="J291" s="10">
        <v>6.1</v>
      </c>
      <c r="K291" s="29">
        <f t="shared" si="99"/>
        <v>-2.7900000000000001E-2</v>
      </c>
      <c r="L291">
        <v>11.34</v>
      </c>
      <c r="M291" s="29">
        <f t="shared" si="100"/>
        <v>5.3E-3</v>
      </c>
      <c r="N291">
        <v>49.92</v>
      </c>
      <c r="O291" s="13">
        <f t="shared" si="105"/>
        <v>-4.4499999999999998E-2</v>
      </c>
      <c r="P291">
        <v>196859</v>
      </c>
      <c r="Q291">
        <v>0.51068999999999998</v>
      </c>
      <c r="R291">
        <f t="shared" si="101"/>
        <v>100.51069</v>
      </c>
      <c r="S291" s="13">
        <f t="shared" si="102"/>
        <v>1.9000000000000128E-3</v>
      </c>
      <c r="T291" s="13">
        <f t="shared" si="103"/>
        <v>1E-3</v>
      </c>
      <c r="U291" s="30">
        <f t="shared" si="106"/>
        <v>206.51999999999998</v>
      </c>
      <c r="V291" s="31">
        <f t="shared" si="104"/>
        <v>208.53</v>
      </c>
    </row>
    <row r="292" spans="1:22" x14ac:dyDescent="0.25">
      <c r="A292" s="5">
        <v>34515</v>
      </c>
      <c r="B292" s="10">
        <v>114246</v>
      </c>
      <c r="C292" s="1">
        <f t="shared" si="93"/>
        <v>315</v>
      </c>
      <c r="D292" s="13">
        <f t="shared" si="94"/>
        <v>1.7200000000000104E-2</v>
      </c>
      <c r="E292" s="29">
        <f t="shared" si="95"/>
        <v>5.7999999999999996E-3</v>
      </c>
      <c r="F292" s="39">
        <v>92591.463000000003</v>
      </c>
      <c r="G292" s="1">
        <f t="shared" si="96"/>
        <v>315</v>
      </c>
      <c r="H292" s="13">
        <f t="shared" si="97"/>
        <v>2.1300000000000097E-2</v>
      </c>
      <c r="I292" s="29">
        <f t="shared" si="98"/>
        <v>7.1000000000000004E-3</v>
      </c>
      <c r="J292" s="10">
        <v>6.1</v>
      </c>
      <c r="K292" s="29">
        <f t="shared" si="99"/>
        <v>-4.6899999999999997E-2</v>
      </c>
      <c r="L292">
        <v>11.31</v>
      </c>
      <c r="M292" s="29">
        <f t="shared" si="100"/>
        <v>4.0000000000000001E-3</v>
      </c>
      <c r="N292">
        <v>53.37</v>
      </c>
      <c r="O292" s="13">
        <f t="shared" si="105"/>
        <v>-3.4099999999999998E-2</v>
      </c>
      <c r="P292">
        <v>196693</v>
      </c>
      <c r="Q292">
        <v>0.87695000000000001</v>
      </c>
      <c r="R292">
        <f t="shared" si="101"/>
        <v>100.87694999999999</v>
      </c>
      <c r="S292" s="13">
        <f t="shared" si="102"/>
        <v>9.400000000000075E-3</v>
      </c>
      <c r="T292" s="13">
        <f t="shared" si="103"/>
        <v>2.0999999999999999E-3</v>
      </c>
      <c r="U292" s="30">
        <f t="shared" si="106"/>
        <v>204.74</v>
      </c>
      <c r="V292" s="31">
        <f t="shared" si="104"/>
        <v>211.27</v>
      </c>
    </row>
    <row r="293" spans="1:22" x14ac:dyDescent="0.25">
      <c r="A293" s="5">
        <v>34485</v>
      </c>
      <c r="B293" s="10">
        <v>113931</v>
      </c>
      <c r="C293" s="1">
        <f t="shared" si="93"/>
        <v>333</v>
      </c>
      <c r="D293" s="13">
        <f t="shared" si="94"/>
        <v>1.7200000000000104E-2</v>
      </c>
      <c r="E293" s="29">
        <f t="shared" si="95"/>
        <v>6.4000000000000003E-3</v>
      </c>
      <c r="F293" s="39">
        <v>92276.463000000003</v>
      </c>
      <c r="G293" s="1">
        <f t="shared" si="96"/>
        <v>333</v>
      </c>
      <c r="H293" s="13">
        <f t="shared" si="97"/>
        <v>2.1400000000000086E-2</v>
      </c>
      <c r="I293" s="29">
        <f t="shared" si="98"/>
        <v>7.9000000000000008E-3</v>
      </c>
      <c r="J293" s="10">
        <v>6.1</v>
      </c>
      <c r="K293" s="29">
        <f t="shared" si="99"/>
        <v>-6.5100000000000005E-2</v>
      </c>
      <c r="L293">
        <v>11.29</v>
      </c>
      <c r="M293" s="29">
        <f t="shared" si="100"/>
        <v>4.0000000000000001E-3</v>
      </c>
      <c r="N293">
        <v>53.59</v>
      </c>
      <c r="O293" s="13">
        <f t="shared" si="105"/>
        <v>-6.1600000000000002E-2</v>
      </c>
      <c r="P293">
        <v>196510</v>
      </c>
      <c r="Q293">
        <v>0.71845000000000003</v>
      </c>
      <c r="R293">
        <f t="shared" si="101"/>
        <v>100.71845</v>
      </c>
      <c r="S293" s="13">
        <f t="shared" si="102"/>
        <v>1.089999999999991E-2</v>
      </c>
      <c r="T293" s="13">
        <f t="shared" si="103"/>
        <v>1E-3</v>
      </c>
      <c r="U293" s="30">
        <f t="shared" si="106"/>
        <v>214.32999999999998</v>
      </c>
      <c r="V293" s="31">
        <f t="shared" si="104"/>
        <v>216.32</v>
      </c>
    </row>
    <row r="294" spans="1:22" x14ac:dyDescent="0.25">
      <c r="A294" s="5">
        <v>34454</v>
      </c>
      <c r="B294" s="10">
        <v>113598</v>
      </c>
      <c r="C294" s="1">
        <f t="shared" si="93"/>
        <v>350</v>
      </c>
      <c r="D294" s="13">
        <f t="shared" si="94"/>
        <v>1.6699999999999937E-2</v>
      </c>
      <c r="E294" s="29">
        <f t="shared" si="95"/>
        <v>6.4000000000000003E-3</v>
      </c>
      <c r="F294" s="39">
        <v>91943.463000000003</v>
      </c>
      <c r="G294" s="1">
        <f t="shared" si="96"/>
        <v>350</v>
      </c>
      <c r="H294" s="13">
        <f t="shared" si="97"/>
        <v>2.0699999999999941E-2</v>
      </c>
      <c r="I294" s="29">
        <f t="shared" si="98"/>
        <v>8.0000000000000002E-3</v>
      </c>
      <c r="J294" s="10">
        <v>6.4</v>
      </c>
      <c r="K294" s="29">
        <f t="shared" si="99"/>
        <v>-2.29E-2</v>
      </c>
      <c r="L294">
        <v>11.27</v>
      </c>
      <c r="M294" s="29">
        <f t="shared" si="100"/>
        <v>4.1999999999999997E-3</v>
      </c>
      <c r="N294">
        <v>52.66</v>
      </c>
      <c r="O294" s="13">
        <f t="shared" si="105"/>
        <v>-0.1047</v>
      </c>
      <c r="P294">
        <v>196363</v>
      </c>
      <c r="Q294">
        <v>0.63048000000000004</v>
      </c>
      <c r="R294">
        <f t="shared" si="101"/>
        <v>100.63048000000001</v>
      </c>
      <c r="S294" s="13">
        <f t="shared" si="102"/>
        <v>8.499999999999952E-3</v>
      </c>
      <c r="T294" s="13">
        <f t="shared" si="103"/>
        <v>1.6999999999999999E-3</v>
      </c>
      <c r="U294" s="30">
        <f t="shared" si="106"/>
        <v>214.73000000000002</v>
      </c>
      <c r="V294" s="31">
        <f t="shared" si="104"/>
        <v>211.74</v>
      </c>
    </row>
    <row r="295" spans="1:22" x14ac:dyDescent="0.25">
      <c r="A295" s="5">
        <v>34424</v>
      </c>
      <c r="B295" s="10">
        <v>113248</v>
      </c>
      <c r="C295" s="1">
        <f t="shared" si="93"/>
        <v>465</v>
      </c>
      <c r="D295" s="13">
        <f t="shared" si="94"/>
        <v>1.6100000000000003E-2</v>
      </c>
      <c r="E295" s="29">
        <f t="shared" si="95"/>
        <v>6.1000000000000004E-3</v>
      </c>
      <c r="F295" s="39">
        <v>91593.463000000003</v>
      </c>
      <c r="G295" s="1">
        <f t="shared" si="96"/>
        <v>465</v>
      </c>
      <c r="H295" s="13">
        <f t="shared" si="97"/>
        <v>2.0000000000000018E-2</v>
      </c>
      <c r="I295" s="29">
        <f t="shared" si="98"/>
        <v>7.6E-3</v>
      </c>
      <c r="J295" s="10">
        <v>6.5</v>
      </c>
      <c r="K295" s="29">
        <f t="shared" si="99"/>
        <v>-1.14E-2</v>
      </c>
      <c r="L295">
        <v>11.25</v>
      </c>
      <c r="M295" s="29">
        <f t="shared" si="100"/>
        <v>4.7000000000000002E-3</v>
      </c>
      <c r="N295">
        <v>54.19</v>
      </c>
      <c r="O295" s="13">
        <f t="shared" si="105"/>
        <v>-0.1187</v>
      </c>
      <c r="P295">
        <v>196213</v>
      </c>
      <c r="Q295">
        <v>9.1350000000000001E-2</v>
      </c>
      <c r="R295">
        <f t="shared" si="101"/>
        <v>100.09135000000001</v>
      </c>
      <c r="S295" s="13">
        <f t="shared" si="102"/>
        <v>4.4999999999999485E-3</v>
      </c>
      <c r="T295" s="13">
        <f t="shared" si="103"/>
        <v>1.1999999999999999E-3</v>
      </c>
      <c r="U295" s="30">
        <f t="shared" si="106"/>
        <v>219.91</v>
      </c>
      <c r="V295" s="31">
        <f t="shared" si="104"/>
        <v>209.63</v>
      </c>
    </row>
    <row r="296" spans="1:22" x14ac:dyDescent="0.25">
      <c r="A296" s="5">
        <v>34393</v>
      </c>
      <c r="B296" s="10">
        <v>112783</v>
      </c>
      <c r="C296" s="1">
        <f t="shared" si="93"/>
        <v>200</v>
      </c>
      <c r="D296" s="13">
        <f t="shared" si="94"/>
        <v>1.4100000000000001E-2</v>
      </c>
      <c r="E296" s="29">
        <f t="shared" si="95"/>
        <v>4.3E-3</v>
      </c>
      <c r="F296" s="39">
        <v>91128.463000000003</v>
      </c>
      <c r="G296" s="1">
        <f t="shared" si="96"/>
        <v>200</v>
      </c>
      <c r="H296" s="13">
        <f t="shared" si="97"/>
        <v>1.760000000000006E-2</v>
      </c>
      <c r="I296" s="29">
        <f t="shared" si="98"/>
        <v>5.3E-3</v>
      </c>
      <c r="J296" s="10">
        <v>6.6</v>
      </c>
      <c r="K296" s="29">
        <f t="shared" si="99"/>
        <v>-3.8E-3</v>
      </c>
      <c r="L296">
        <v>11.25</v>
      </c>
      <c r="M296" s="29">
        <f t="shared" si="100"/>
        <v>7.4000000000000003E-3</v>
      </c>
      <c r="N296">
        <v>51.83</v>
      </c>
      <c r="O296" s="13">
        <f t="shared" si="105"/>
        <v>-0.17879999999999999</v>
      </c>
      <c r="P296">
        <v>196090</v>
      </c>
      <c r="Q296">
        <v>4.2750000000000003E-2</v>
      </c>
      <c r="R296">
        <f t="shared" si="101"/>
        <v>100.04275</v>
      </c>
      <c r="S296" s="13">
        <f t="shared" si="102"/>
        <v>5.6000000000000494E-3</v>
      </c>
      <c r="T296" s="13">
        <f t="shared" si="103"/>
        <v>6.9999999999999999E-4</v>
      </c>
      <c r="U296" s="30">
        <f t="shared" si="106"/>
        <v>200.57999999999998</v>
      </c>
      <c r="V296" s="31">
        <f t="shared" si="104"/>
        <v>199.74</v>
      </c>
    </row>
    <row r="297" spans="1:22" x14ac:dyDescent="0.25">
      <c r="A297" s="5">
        <v>34365</v>
      </c>
      <c r="B297" s="10">
        <v>112583</v>
      </c>
      <c r="C297" s="1">
        <f t="shared" si="93"/>
        <v>271</v>
      </c>
      <c r="D297" s="13">
        <f t="shared" si="94"/>
        <v>1.3800000000000034E-2</v>
      </c>
      <c r="E297" s="29">
        <f t="shared" si="95"/>
        <v>5.1000000000000004E-3</v>
      </c>
      <c r="F297" s="39">
        <v>90928.463000000003</v>
      </c>
      <c r="G297" s="1">
        <f t="shared" si="96"/>
        <v>271</v>
      </c>
      <c r="H297" s="13">
        <f t="shared" si="97"/>
        <v>1.7099999999999893E-2</v>
      </c>
      <c r="I297" s="29">
        <f t="shared" si="98"/>
        <v>6.3E-3</v>
      </c>
      <c r="J297" s="10">
        <v>6.6</v>
      </c>
      <c r="K297" s="29">
        <f t="shared" si="99"/>
        <v>-7.4999999999999997E-3</v>
      </c>
      <c r="L297">
        <v>11.21</v>
      </c>
      <c r="M297" s="29">
        <f t="shared" si="100"/>
        <v>6.3E-3</v>
      </c>
      <c r="N297">
        <v>54.82</v>
      </c>
      <c r="O297" s="13">
        <f t="shared" si="105"/>
        <v>-0.1754</v>
      </c>
      <c r="P297">
        <v>195953</v>
      </c>
      <c r="Q297">
        <v>0.31868000000000002</v>
      </c>
      <c r="R297">
        <f t="shared" si="101"/>
        <v>100.31868</v>
      </c>
      <c r="S297" s="13">
        <f t="shared" si="102"/>
        <v>2.7999999999999137E-3</v>
      </c>
      <c r="T297" s="13">
        <f t="shared" si="103"/>
        <v>1.6999999999999999E-3</v>
      </c>
      <c r="U297" s="30">
        <f t="shared" si="106"/>
        <v>208.41</v>
      </c>
      <c r="V297" s="31">
        <f t="shared" si="104"/>
        <v>193.41</v>
      </c>
    </row>
    <row r="298" spans="1:22" x14ac:dyDescent="0.25">
      <c r="A298" s="5">
        <v>34334</v>
      </c>
      <c r="B298" s="10">
        <v>112312</v>
      </c>
      <c r="C298" s="1">
        <f t="shared" si="93"/>
        <v>312</v>
      </c>
      <c r="D298" s="13">
        <f t="shared" si="94"/>
        <v>1.4100000000000001E-2</v>
      </c>
      <c r="E298" s="29">
        <f t="shared" si="95"/>
        <v>5.1999999999999998E-3</v>
      </c>
      <c r="F298" s="39">
        <v>90657.463000000003</v>
      </c>
      <c r="G298" s="1">
        <f t="shared" si="96"/>
        <v>312</v>
      </c>
      <c r="H298" s="13">
        <f t="shared" si="97"/>
        <v>1.7500000000000071E-2</v>
      </c>
      <c r="I298" s="29">
        <f t="shared" si="98"/>
        <v>6.4999999999999997E-3</v>
      </c>
      <c r="J298" s="10">
        <v>6.5</v>
      </c>
      <c r="K298" s="29">
        <f t="shared" si="99"/>
        <v>-3.3500000000000002E-2</v>
      </c>
      <c r="L298">
        <v>11.18</v>
      </c>
      <c r="M298" s="29">
        <f t="shared" si="100"/>
        <v>5.7999999999999996E-3</v>
      </c>
      <c r="N298">
        <v>69.709999999999994</v>
      </c>
      <c r="O298" s="13">
        <f t="shared" si="105"/>
        <v>-2.8000000000000001E-2</v>
      </c>
      <c r="P298">
        <v>195794</v>
      </c>
      <c r="Q298">
        <v>-6.2129999999999998E-2</v>
      </c>
      <c r="R298">
        <f t="shared" si="101"/>
        <v>99.937870000000004</v>
      </c>
      <c r="S298" s="13">
        <f t="shared" si="102"/>
        <v>5.9999999999993392E-4</v>
      </c>
      <c r="T298" s="13">
        <f t="shared" si="103"/>
        <v>1.1000000000000001E-3</v>
      </c>
      <c r="U298" s="30">
        <f t="shared" si="106"/>
        <v>190.22</v>
      </c>
      <c r="V298" s="31">
        <f t="shared" si="104"/>
        <v>183.82</v>
      </c>
    </row>
    <row r="299" spans="1:22" x14ac:dyDescent="0.25">
      <c r="A299" s="5">
        <v>34303</v>
      </c>
      <c r="B299" s="10">
        <v>112000</v>
      </c>
      <c r="C299" s="1">
        <f t="shared" si="93"/>
        <v>263</v>
      </c>
      <c r="D299" s="13">
        <f t="shared" si="94"/>
        <v>1.2899999999999912E-2</v>
      </c>
      <c r="E299" s="29">
        <f t="shared" si="95"/>
        <v>4.7999999999999996E-3</v>
      </c>
      <c r="F299" s="39">
        <v>90345.463000000003</v>
      </c>
      <c r="G299" s="1">
        <f t="shared" si="96"/>
        <v>263</v>
      </c>
      <c r="H299" s="13">
        <f t="shared" si="97"/>
        <v>1.6100000000000003E-2</v>
      </c>
      <c r="I299" s="29">
        <f t="shared" si="98"/>
        <v>5.8999999999999999E-3</v>
      </c>
      <c r="J299" s="10">
        <v>6.6</v>
      </c>
      <c r="K299" s="29">
        <f t="shared" si="99"/>
        <v>-2.9399999999999999E-2</v>
      </c>
      <c r="L299">
        <v>11.15</v>
      </c>
      <c r="M299" s="29">
        <f t="shared" si="100"/>
        <v>5.4000000000000003E-3</v>
      </c>
      <c r="N299">
        <v>69.260000000000005</v>
      </c>
      <c r="O299" s="13">
        <f t="shared" si="105"/>
        <v>-3.7900000000000003E-2</v>
      </c>
      <c r="P299">
        <v>195625</v>
      </c>
      <c r="Q299">
        <v>-0.37209999999999999</v>
      </c>
      <c r="R299">
        <f t="shared" si="101"/>
        <v>99.627899999999997</v>
      </c>
      <c r="S299" s="13">
        <f t="shared" si="102"/>
        <v>-4.0000000000000036E-3</v>
      </c>
      <c r="T299" s="13">
        <f t="shared" si="103"/>
        <v>-1E-3</v>
      </c>
      <c r="U299" s="30">
        <f t="shared" si="106"/>
        <v>181.59</v>
      </c>
      <c r="V299" s="31">
        <f t="shared" si="104"/>
        <v>177.71</v>
      </c>
    </row>
    <row r="300" spans="1:22" x14ac:dyDescent="0.25">
      <c r="A300" s="5">
        <v>34273</v>
      </c>
      <c r="B300" s="10">
        <v>111737</v>
      </c>
      <c r="C300" s="1">
        <f t="shared" si="93"/>
        <v>286</v>
      </c>
      <c r="D300" s="13">
        <f t="shared" si="94"/>
        <v>1.2999999999999901E-2</v>
      </c>
      <c r="E300" s="29">
        <f t="shared" si="95"/>
        <v>4.4999999999999997E-3</v>
      </c>
      <c r="F300" s="39">
        <v>90082.463000000003</v>
      </c>
      <c r="G300" s="1">
        <f t="shared" si="96"/>
        <v>286</v>
      </c>
      <c r="H300" s="13">
        <f t="shared" si="97"/>
        <v>1.6100000000000003E-2</v>
      </c>
      <c r="I300" s="29">
        <f t="shared" si="98"/>
        <v>5.5999999999999999E-3</v>
      </c>
      <c r="J300" s="10">
        <v>6.8</v>
      </c>
      <c r="K300" s="29">
        <f t="shared" si="99"/>
        <v>-7.3000000000000001E-3</v>
      </c>
      <c r="L300">
        <v>11.13</v>
      </c>
      <c r="M300" s="29">
        <f t="shared" si="100"/>
        <v>5.8999999999999999E-3</v>
      </c>
      <c r="N300">
        <v>70.66</v>
      </c>
      <c r="O300" s="13">
        <f t="shared" si="105"/>
        <v>-2.75E-2</v>
      </c>
      <c r="P300">
        <v>195444</v>
      </c>
      <c r="Q300">
        <v>-0.22026999999999999</v>
      </c>
      <c r="R300">
        <f t="shared" si="101"/>
        <v>99.779730000000001</v>
      </c>
      <c r="S300" s="13">
        <f t="shared" si="102"/>
        <v>-6.0000000000004494E-4</v>
      </c>
      <c r="T300" s="13">
        <f t="shared" si="103"/>
        <v>-2.0000000000000001E-4</v>
      </c>
      <c r="U300" s="30">
        <f t="shared" si="106"/>
        <v>179.66</v>
      </c>
      <c r="V300" s="31">
        <f t="shared" si="104"/>
        <v>170.17</v>
      </c>
    </row>
    <row r="301" spans="1:22" x14ac:dyDescent="0.25">
      <c r="A301" s="5">
        <v>34242</v>
      </c>
      <c r="B301" s="10">
        <v>111451</v>
      </c>
      <c r="C301" s="1">
        <f t="shared" si="93"/>
        <v>240</v>
      </c>
      <c r="D301" s="13">
        <f t="shared" si="94"/>
        <v>1.3200000000000101E-2</v>
      </c>
      <c r="E301" s="29">
        <f t="shared" si="95"/>
        <v>4.0000000000000001E-3</v>
      </c>
      <c r="F301" s="39">
        <v>89796.463000000003</v>
      </c>
      <c r="G301" s="1">
        <f t="shared" si="96"/>
        <v>240</v>
      </c>
      <c r="H301" s="13">
        <f t="shared" si="97"/>
        <v>1.639999999999997E-2</v>
      </c>
      <c r="I301" s="29">
        <f t="shared" si="98"/>
        <v>5.0000000000000001E-3</v>
      </c>
      <c r="J301" s="10">
        <v>6.7</v>
      </c>
      <c r="K301" s="29">
        <f t="shared" si="99"/>
        <v>-3.5999999999999997E-2</v>
      </c>
      <c r="L301">
        <v>11.1</v>
      </c>
      <c r="M301" s="29">
        <f t="shared" si="100"/>
        <v>5.0000000000000001E-3</v>
      </c>
      <c r="N301">
        <v>72.86</v>
      </c>
      <c r="O301" s="13">
        <f t="shared" si="105"/>
        <v>-2.9999999999999997E-4</v>
      </c>
      <c r="P301">
        <v>195259</v>
      </c>
      <c r="Q301">
        <v>-0.36098999999999998</v>
      </c>
      <c r="R301">
        <f t="shared" si="101"/>
        <v>99.639009999999999</v>
      </c>
      <c r="S301" s="13">
        <f t="shared" si="102"/>
        <v>-6.0999999999999943E-3</v>
      </c>
      <c r="T301" s="13">
        <f t="shared" si="103"/>
        <v>-1E-3</v>
      </c>
      <c r="U301" s="30">
        <f t="shared" si="106"/>
        <v>171.87</v>
      </c>
      <c r="V301" s="31">
        <f t="shared" si="104"/>
        <v>168.33</v>
      </c>
    </row>
    <row r="302" spans="1:22" x14ac:dyDescent="0.25">
      <c r="A302" s="5">
        <v>34212</v>
      </c>
      <c r="B302" s="10">
        <v>111211</v>
      </c>
      <c r="C302" s="1">
        <f t="shared" si="93"/>
        <v>156</v>
      </c>
      <c r="D302" s="13">
        <f t="shared" si="94"/>
        <v>1.0599999999999943E-2</v>
      </c>
      <c r="E302" s="29">
        <f t="shared" si="95"/>
        <v>3.8E-3</v>
      </c>
      <c r="F302" s="39">
        <v>89556.463000000003</v>
      </c>
      <c r="G302" s="1">
        <f t="shared" si="96"/>
        <v>156</v>
      </c>
      <c r="H302" s="13">
        <f t="shared" si="97"/>
        <v>1.3200000000000101E-2</v>
      </c>
      <c r="I302" s="29">
        <f t="shared" si="98"/>
        <v>4.7000000000000002E-3</v>
      </c>
      <c r="J302" s="10">
        <v>6.8</v>
      </c>
      <c r="K302" s="29">
        <f t="shared" si="99"/>
        <v>-3.2000000000000001E-2</v>
      </c>
      <c r="L302">
        <v>11.08</v>
      </c>
      <c r="M302" s="29">
        <f t="shared" si="100"/>
        <v>5.1999999999999998E-3</v>
      </c>
      <c r="N302">
        <v>74.040000000000006</v>
      </c>
      <c r="O302" s="13">
        <f t="shared" si="105"/>
        <v>1.2800000000000001E-2</v>
      </c>
      <c r="P302">
        <v>195063</v>
      </c>
      <c r="Q302">
        <v>-0.51195999999999997</v>
      </c>
      <c r="R302">
        <f t="shared" si="101"/>
        <v>99.488039999999998</v>
      </c>
      <c r="S302" s="13">
        <f t="shared" si="102"/>
        <v>-7.4999999999999512E-3</v>
      </c>
      <c r="T302" s="13">
        <f t="shared" si="103"/>
        <v>-8.9999999999999998E-4</v>
      </c>
      <c r="U302" s="30">
        <f t="shared" si="106"/>
        <v>158.97</v>
      </c>
      <c r="V302" s="31">
        <f t="shared" si="104"/>
        <v>164.94</v>
      </c>
    </row>
    <row r="303" spans="1:22" x14ac:dyDescent="0.25">
      <c r="A303" s="5">
        <v>34181</v>
      </c>
      <c r="B303" s="10">
        <v>111055</v>
      </c>
      <c r="C303" s="1">
        <f t="shared" si="93"/>
        <v>301</v>
      </c>
      <c r="D303" s="13">
        <f t="shared" si="94"/>
        <v>1.1400000000000077E-2</v>
      </c>
      <c r="E303" s="29">
        <f t="shared" si="95"/>
        <v>4.5999999999999999E-3</v>
      </c>
      <c r="F303" s="39">
        <v>89400.463000000003</v>
      </c>
      <c r="G303" s="1">
        <f t="shared" si="96"/>
        <v>301</v>
      </c>
      <c r="H303" s="13">
        <f t="shared" si="97"/>
        <v>1.419999999999999E-2</v>
      </c>
      <c r="I303" s="29">
        <f t="shared" si="98"/>
        <v>5.7000000000000002E-3</v>
      </c>
      <c r="J303" s="10">
        <v>6.9</v>
      </c>
      <c r="K303" s="29">
        <f t="shared" si="99"/>
        <v>-2.1299999999999999E-2</v>
      </c>
      <c r="L303">
        <v>11.05</v>
      </c>
      <c r="M303" s="29">
        <f t="shared" si="100"/>
        <v>3.8999999999999998E-3</v>
      </c>
      <c r="N303">
        <v>74.25</v>
      </c>
      <c r="O303" s="13">
        <f t="shared" si="105"/>
        <v>2.47E-2</v>
      </c>
      <c r="P303">
        <v>194882</v>
      </c>
      <c r="Q303">
        <v>4.0289999999999999E-2</v>
      </c>
      <c r="R303">
        <f t="shared" si="101"/>
        <v>100.04029</v>
      </c>
      <c r="S303" s="13">
        <f t="shared" si="102"/>
        <v>-7.0000000000003393E-4</v>
      </c>
      <c r="T303" s="13">
        <f t="shared" si="103"/>
        <v>-5.0000000000000001E-4</v>
      </c>
      <c r="U303" s="30">
        <f t="shared" si="106"/>
        <v>174.14</v>
      </c>
      <c r="V303" s="31">
        <f t="shared" si="104"/>
        <v>169.45</v>
      </c>
    </row>
    <row r="304" spans="1:22" x14ac:dyDescent="0.25">
      <c r="A304" s="5">
        <v>34150</v>
      </c>
      <c r="B304" s="10">
        <v>110754</v>
      </c>
      <c r="C304" s="1">
        <f t="shared" si="93"/>
        <v>182</v>
      </c>
      <c r="D304" s="13">
        <f t="shared" si="94"/>
        <v>1.1500000000000066E-2</v>
      </c>
      <c r="E304" s="29">
        <f t="shared" si="95"/>
        <v>4.1999999999999997E-3</v>
      </c>
      <c r="F304" s="39">
        <v>89099.463000000003</v>
      </c>
      <c r="G304" s="1">
        <f t="shared" si="96"/>
        <v>182</v>
      </c>
      <c r="H304" s="13">
        <f t="shared" si="97"/>
        <v>1.4299999999999979E-2</v>
      </c>
      <c r="I304" s="29">
        <f t="shared" si="98"/>
        <v>5.1999999999999998E-3</v>
      </c>
      <c r="J304" s="10">
        <v>7</v>
      </c>
      <c r="K304" s="29">
        <f t="shared" si="99"/>
        <v>-1.06E-2</v>
      </c>
      <c r="L304">
        <v>11.03</v>
      </c>
      <c r="M304" s="29">
        <f t="shared" si="100"/>
        <v>4.1000000000000003E-3</v>
      </c>
      <c r="N304">
        <v>73.53</v>
      </c>
      <c r="O304" s="13">
        <f t="shared" si="105"/>
        <v>2.0799999999999999E-2</v>
      </c>
      <c r="P304">
        <v>194719</v>
      </c>
      <c r="Q304">
        <v>-0.12544</v>
      </c>
      <c r="R304">
        <f t="shared" si="101"/>
        <v>99.874560000000002</v>
      </c>
      <c r="S304" s="13">
        <f t="shared" si="102"/>
        <v>2.9999999999996696E-4</v>
      </c>
      <c r="T304" s="13">
        <f t="shared" si="103"/>
        <v>-8.9999999999999998E-4</v>
      </c>
      <c r="U304" s="30">
        <f t="shared" si="106"/>
        <v>161.72</v>
      </c>
      <c r="V304" s="31">
        <f t="shared" si="104"/>
        <v>168.91</v>
      </c>
    </row>
    <row r="305" spans="1:22" x14ac:dyDescent="0.25">
      <c r="A305" s="5">
        <v>34120</v>
      </c>
      <c r="B305" s="10">
        <v>110572</v>
      </c>
      <c r="C305" s="1">
        <f t="shared" si="93"/>
        <v>266</v>
      </c>
      <c r="D305" s="13">
        <f t="shared" si="94"/>
        <v>1.1800000000000033E-2</v>
      </c>
      <c r="E305" s="29">
        <f t="shared" si="95"/>
        <v>4.1000000000000003E-3</v>
      </c>
      <c r="F305" s="39">
        <v>88917.463000000003</v>
      </c>
      <c r="G305" s="1">
        <f t="shared" si="96"/>
        <v>266</v>
      </c>
      <c r="H305" s="13">
        <f t="shared" si="97"/>
        <v>1.4699999999999935E-2</v>
      </c>
      <c r="I305" s="29">
        <f t="shared" si="98"/>
        <v>5.1000000000000004E-3</v>
      </c>
      <c r="J305" s="10">
        <v>7.1</v>
      </c>
      <c r="K305" s="29">
        <f t="shared" si="99"/>
        <v>-3.5000000000000001E-3</v>
      </c>
      <c r="L305">
        <v>11.02</v>
      </c>
      <c r="M305" s="29">
        <f t="shared" si="100"/>
        <v>5.1999999999999998E-3</v>
      </c>
      <c r="N305">
        <v>72.510000000000005</v>
      </c>
      <c r="O305" s="13">
        <f t="shared" si="105"/>
        <v>8.6E-3</v>
      </c>
      <c r="P305">
        <v>194549</v>
      </c>
      <c r="Q305">
        <v>2.6440000000000002E-2</v>
      </c>
      <c r="R305">
        <f t="shared" si="101"/>
        <v>100.02643999999999</v>
      </c>
      <c r="S305" s="13">
        <f t="shared" si="102"/>
        <v>6.2999999999999723E-3</v>
      </c>
      <c r="T305" s="13">
        <f t="shared" si="103"/>
        <v>-2.0000000000000001E-4</v>
      </c>
      <c r="U305" s="30">
        <f t="shared" si="106"/>
        <v>172.49</v>
      </c>
      <c r="V305" s="31">
        <f t="shared" si="104"/>
        <v>165.9</v>
      </c>
    </row>
    <row r="306" spans="1:22" x14ac:dyDescent="0.25">
      <c r="A306" s="5">
        <v>34089</v>
      </c>
      <c r="B306" s="10">
        <v>110306</v>
      </c>
      <c r="C306" s="1">
        <f t="shared" si="93"/>
        <v>308</v>
      </c>
      <c r="D306" s="13">
        <f t="shared" si="94"/>
        <v>1.0599999999999943E-2</v>
      </c>
      <c r="E306" s="29">
        <f t="shared" si="95"/>
        <v>3.2000000000000002E-3</v>
      </c>
      <c r="F306" s="39">
        <v>88651.463000000003</v>
      </c>
      <c r="G306" s="1">
        <f t="shared" si="96"/>
        <v>308</v>
      </c>
      <c r="H306" s="13">
        <f t="shared" si="97"/>
        <v>1.3200000000000101E-2</v>
      </c>
      <c r="I306" s="29">
        <f t="shared" si="98"/>
        <v>4.0000000000000001E-3</v>
      </c>
      <c r="J306" s="10">
        <v>7.1</v>
      </c>
      <c r="K306" s="29">
        <f t="shared" si="99"/>
        <v>-1.3899999999999999E-2</v>
      </c>
      <c r="L306">
        <v>10.99</v>
      </c>
      <c r="M306" s="29">
        <f t="shared" si="100"/>
        <v>4.7999999999999996E-3</v>
      </c>
      <c r="N306">
        <v>72.98</v>
      </c>
      <c r="O306" s="13">
        <f t="shared" si="105"/>
        <v>1.3599999999999999E-2</v>
      </c>
      <c r="P306">
        <v>194398</v>
      </c>
      <c r="Q306">
        <v>-0.15717999999999999</v>
      </c>
      <c r="R306">
        <f t="shared" si="101"/>
        <v>99.842820000000003</v>
      </c>
      <c r="S306" s="13">
        <f t="shared" si="102"/>
        <v>5.8000000000000274E-3</v>
      </c>
      <c r="T306" s="13">
        <f t="shared" si="103"/>
        <v>0</v>
      </c>
      <c r="U306" s="30">
        <f t="shared" si="106"/>
        <v>172.53</v>
      </c>
      <c r="V306" s="31">
        <f t="shared" si="104"/>
        <v>167.49</v>
      </c>
    </row>
    <row r="307" spans="1:22" x14ac:dyDescent="0.25">
      <c r="A307" s="5">
        <v>34059</v>
      </c>
      <c r="B307" s="10">
        <v>109998</v>
      </c>
      <c r="C307" s="1">
        <f t="shared" si="93"/>
        <v>-49</v>
      </c>
      <c r="D307" s="13">
        <f t="shared" si="94"/>
        <v>9.5000000000000639E-3</v>
      </c>
      <c r="E307" s="29">
        <f t="shared" si="95"/>
        <v>2E-3</v>
      </c>
      <c r="F307" s="39">
        <v>88343.463000000003</v>
      </c>
      <c r="G307" s="1">
        <f t="shared" si="96"/>
        <v>-49</v>
      </c>
      <c r="H307" s="13">
        <f t="shared" si="97"/>
        <v>1.1800000000000033E-2</v>
      </c>
      <c r="I307" s="29">
        <f t="shared" si="98"/>
        <v>2.3999999999999998E-3</v>
      </c>
      <c r="J307" s="10">
        <v>7</v>
      </c>
      <c r="K307" s="29">
        <f t="shared" si="99"/>
        <v>-4.1099999999999998E-2</v>
      </c>
      <c r="L307">
        <v>10.99</v>
      </c>
      <c r="M307" s="29">
        <f t="shared" si="100"/>
        <v>7.6E-3</v>
      </c>
      <c r="N307">
        <v>70.010000000000005</v>
      </c>
      <c r="O307" s="13">
        <f t="shared" si="105"/>
        <v>-1.8800000000000001E-2</v>
      </c>
      <c r="P307">
        <v>194248</v>
      </c>
      <c r="Q307">
        <v>0.24851000000000001</v>
      </c>
      <c r="R307">
        <f t="shared" si="101"/>
        <v>100.24851</v>
      </c>
      <c r="S307" s="13">
        <f t="shared" si="102"/>
        <v>1.0399999999999965E-2</v>
      </c>
      <c r="T307" s="13">
        <f t="shared" si="103"/>
        <v>2.0999999999999999E-3</v>
      </c>
      <c r="U307" s="30">
        <f t="shared" si="106"/>
        <v>152.68</v>
      </c>
      <c r="V307" s="31">
        <f t="shared" si="104"/>
        <v>171.95</v>
      </c>
    </row>
    <row r="308" spans="1:22" x14ac:dyDescent="0.25">
      <c r="A308" s="5">
        <v>34028</v>
      </c>
      <c r="B308" s="10">
        <v>110047</v>
      </c>
      <c r="C308" s="1">
        <f t="shared" si="93"/>
        <v>242</v>
      </c>
      <c r="D308" s="13">
        <f t="shared" si="94"/>
        <v>1.0299999999999976E-2</v>
      </c>
      <c r="E308" s="29">
        <f t="shared" si="95"/>
        <v>4.7000000000000002E-3</v>
      </c>
      <c r="F308" s="39">
        <v>88392.463000000003</v>
      </c>
      <c r="G308" s="1">
        <f t="shared" si="96"/>
        <v>242</v>
      </c>
      <c r="H308" s="13">
        <f t="shared" si="97"/>
        <v>1.2799999999999923E-2</v>
      </c>
      <c r="I308" s="29">
        <f t="shared" si="98"/>
        <v>5.8999999999999999E-3</v>
      </c>
      <c r="J308" s="10">
        <v>7.1</v>
      </c>
      <c r="K308" s="29">
        <f t="shared" si="99"/>
        <v>-3.4000000000000002E-2</v>
      </c>
      <c r="L308">
        <v>10.94</v>
      </c>
      <c r="M308" s="29">
        <f t="shared" si="100"/>
        <v>5.1000000000000004E-3</v>
      </c>
      <c r="N308">
        <v>73.44</v>
      </c>
      <c r="O308" s="13">
        <f t="shared" si="105"/>
        <v>1.9400000000000001E-2</v>
      </c>
      <c r="P308">
        <v>194108</v>
      </c>
      <c r="Q308">
        <v>0.2354</v>
      </c>
      <c r="R308">
        <f t="shared" si="101"/>
        <v>100.2354</v>
      </c>
      <c r="S308" s="13">
        <f t="shared" si="102"/>
        <v>1.1300000000000088E-2</v>
      </c>
      <c r="T308" s="13">
        <f t="shared" si="103"/>
        <v>2.3999999999999998E-3</v>
      </c>
      <c r="U308" s="30">
        <f t="shared" si="106"/>
        <v>177.25</v>
      </c>
      <c r="V308" s="31">
        <f t="shared" si="104"/>
        <v>175.65</v>
      </c>
    </row>
    <row r="309" spans="1:22" x14ac:dyDescent="0.25">
      <c r="A309" s="5">
        <v>34000</v>
      </c>
      <c r="B309" s="10">
        <v>109805</v>
      </c>
      <c r="C309" s="1">
        <f t="shared" si="93"/>
        <v>309</v>
      </c>
      <c r="D309" s="13">
        <f t="shared" si="94"/>
        <v>9.300000000000086E-3</v>
      </c>
      <c r="E309" s="29">
        <f t="shared" si="95"/>
        <v>4.4999999999999997E-3</v>
      </c>
      <c r="F309" s="39">
        <v>88150.463000000003</v>
      </c>
      <c r="G309" s="1">
        <f t="shared" si="96"/>
        <v>309</v>
      </c>
      <c r="H309" s="13">
        <f t="shared" si="97"/>
        <v>1.1600000000000055E-2</v>
      </c>
      <c r="I309" s="29">
        <f t="shared" si="98"/>
        <v>5.7000000000000002E-3</v>
      </c>
      <c r="J309" s="10">
        <v>7.3</v>
      </c>
      <c r="K309" s="29">
        <f t="shared" si="99"/>
        <v>-1.6799999999999999E-2</v>
      </c>
      <c r="L309">
        <v>10.93</v>
      </c>
      <c r="M309" s="29">
        <f t="shared" si="100"/>
        <v>6.7000000000000002E-3</v>
      </c>
      <c r="N309">
        <v>68.66</v>
      </c>
      <c r="O309" s="13">
        <f t="shared" si="105"/>
        <v>-3.5900000000000001E-2</v>
      </c>
      <c r="P309">
        <v>193962</v>
      </c>
      <c r="Q309">
        <v>0.11328000000000001</v>
      </c>
      <c r="R309">
        <f t="shared" si="101"/>
        <v>100.11328</v>
      </c>
      <c r="S309" s="13">
        <f t="shared" si="102"/>
        <v>4.7999999999999154E-3</v>
      </c>
      <c r="T309" s="13">
        <f t="shared" si="103"/>
        <v>2.3E-3</v>
      </c>
      <c r="U309" s="30">
        <f t="shared" si="106"/>
        <v>185.92000000000002</v>
      </c>
      <c r="V309" s="31">
        <f t="shared" si="104"/>
        <v>166.56</v>
      </c>
    </row>
    <row r="310" spans="1:22" x14ac:dyDescent="0.25">
      <c r="A310" s="5">
        <v>33969</v>
      </c>
      <c r="B310" s="10">
        <v>109496</v>
      </c>
      <c r="C310" s="1">
        <f t="shared" si="93"/>
        <v>212</v>
      </c>
      <c r="D310" s="13">
        <f t="shared" si="94"/>
        <v>7.1000000000001062E-3</v>
      </c>
      <c r="E310" s="29">
        <f t="shared" si="95"/>
        <v>3.3E-3</v>
      </c>
      <c r="F310" s="39">
        <v>87841.463000000003</v>
      </c>
      <c r="G310" s="1">
        <f t="shared" si="96"/>
        <v>212</v>
      </c>
      <c r="H310" s="13">
        <f t="shared" si="97"/>
        <v>8.899999999999908E-3</v>
      </c>
      <c r="I310" s="29">
        <f t="shared" si="98"/>
        <v>4.1999999999999997E-3</v>
      </c>
      <c r="J310" s="10">
        <v>7.4</v>
      </c>
      <c r="K310" s="29">
        <f t="shared" si="99"/>
        <v>-0.01</v>
      </c>
      <c r="L310">
        <v>10.89</v>
      </c>
      <c r="M310" s="29">
        <f t="shared" si="100"/>
        <v>4.5999999999999999E-3</v>
      </c>
      <c r="N310">
        <v>71.56</v>
      </c>
      <c r="O310" s="13">
        <f t="shared" si="105"/>
        <v>-6.1000000000000004E-3</v>
      </c>
      <c r="P310">
        <v>193784</v>
      </c>
      <c r="Q310">
        <v>-0.15764</v>
      </c>
      <c r="R310">
        <f t="shared" si="101"/>
        <v>99.842359999999999</v>
      </c>
      <c r="S310" s="13">
        <f t="shared" si="102"/>
        <v>9.9999999999988987E-5</v>
      </c>
      <c r="T310" s="13">
        <f t="shared" si="103"/>
        <v>1.8E-3</v>
      </c>
      <c r="U310" s="30">
        <f t="shared" si="106"/>
        <v>163.78</v>
      </c>
      <c r="V310" s="31">
        <f t="shared" si="104"/>
        <v>157.44999999999999</v>
      </c>
    </row>
    <row r="311" spans="1:22" x14ac:dyDescent="0.25">
      <c r="A311" s="5">
        <v>33938</v>
      </c>
      <c r="B311" s="10">
        <v>109284</v>
      </c>
      <c r="C311" s="1">
        <f t="shared" si="93"/>
        <v>136</v>
      </c>
      <c r="D311" s="13">
        <f t="shared" si="94"/>
        <v>5.8000000000000274E-3</v>
      </c>
      <c r="E311" s="29">
        <f t="shared" si="95"/>
        <v>2.5000000000000001E-3</v>
      </c>
      <c r="F311" s="39">
        <v>87629.463000000003</v>
      </c>
      <c r="G311" s="1">
        <f t="shared" si="96"/>
        <v>136</v>
      </c>
      <c r="H311" s="13">
        <f t="shared" si="97"/>
        <v>7.3000000000000842E-3</v>
      </c>
      <c r="I311" s="29">
        <f t="shared" si="98"/>
        <v>3.0999999999999999E-3</v>
      </c>
      <c r="J311" s="10">
        <v>7.4</v>
      </c>
      <c r="K311" s="29">
        <f t="shared" si="99"/>
        <v>-1.9900000000000001E-2</v>
      </c>
      <c r="L311">
        <v>10.87</v>
      </c>
      <c r="M311" s="29">
        <f t="shared" si="100"/>
        <v>4.5999999999999999E-3</v>
      </c>
      <c r="N311">
        <v>73.45</v>
      </c>
      <c r="O311" s="13">
        <f t="shared" si="105"/>
        <v>1.4800000000000001E-2</v>
      </c>
      <c r="P311">
        <v>193621</v>
      </c>
      <c r="Q311">
        <v>-0.60221000000000002</v>
      </c>
      <c r="R311">
        <f t="shared" si="101"/>
        <v>99.397790000000001</v>
      </c>
      <c r="S311" s="13">
        <f t="shared" si="102"/>
        <v>1.9999999999997797E-4</v>
      </c>
      <c r="T311" s="13">
        <f t="shared" si="103"/>
        <v>-5.9999999999999995E-4</v>
      </c>
      <c r="U311" s="30">
        <f t="shared" si="106"/>
        <v>149.97</v>
      </c>
      <c r="V311" s="31">
        <f t="shared" si="104"/>
        <v>150.13999999999999</v>
      </c>
    </row>
    <row r="312" spans="1:22" x14ac:dyDescent="0.25">
      <c r="A312" s="5">
        <v>33908</v>
      </c>
      <c r="B312" s="10">
        <v>109148</v>
      </c>
      <c r="C312" s="1">
        <f t="shared" si="93"/>
        <v>182</v>
      </c>
      <c r="D312" s="13">
        <f t="shared" si="94"/>
        <v>5.7000000000000384E-3</v>
      </c>
      <c r="E312" s="29">
        <f t="shared" si="95"/>
        <v>2.3E-3</v>
      </c>
      <c r="F312" s="39">
        <v>87493.463000000003</v>
      </c>
      <c r="G312" s="1">
        <f t="shared" si="96"/>
        <v>182</v>
      </c>
      <c r="H312" s="13">
        <f t="shared" si="97"/>
        <v>7.1000000000001062E-3</v>
      </c>
      <c r="I312" s="29">
        <f t="shared" si="98"/>
        <v>2.8999999999999998E-3</v>
      </c>
      <c r="J312" s="10">
        <v>7.3</v>
      </c>
      <c r="K312" s="29">
        <f t="shared" si="99"/>
        <v>-4.8899999999999999E-2</v>
      </c>
      <c r="L312">
        <v>10.85</v>
      </c>
      <c r="M312" s="29">
        <f t="shared" si="100"/>
        <v>4.5999999999999999E-3</v>
      </c>
      <c r="N312">
        <v>72.86</v>
      </c>
      <c r="O312" s="13">
        <f t="shared" si="105"/>
        <v>1.03E-2</v>
      </c>
      <c r="P312">
        <v>193442</v>
      </c>
      <c r="Q312">
        <v>-0.72936999999999996</v>
      </c>
      <c r="R312">
        <f t="shared" si="101"/>
        <v>99.270629999999997</v>
      </c>
      <c r="S312" s="13">
        <f t="shared" si="102"/>
        <v>3.4000000000000696E-3</v>
      </c>
      <c r="T312" s="13">
        <f t="shared" si="103"/>
        <v>-1.4E-3</v>
      </c>
      <c r="U312" s="30">
        <f t="shared" si="106"/>
        <v>158.61000000000001</v>
      </c>
      <c r="V312" s="31">
        <f t="shared" si="104"/>
        <v>149.72</v>
      </c>
    </row>
    <row r="313" spans="1:22" x14ac:dyDescent="0.25">
      <c r="A313" s="5">
        <v>33877</v>
      </c>
      <c r="B313" s="10">
        <v>108966</v>
      </c>
      <c r="C313" s="1">
        <f t="shared" si="93"/>
        <v>36</v>
      </c>
      <c r="D313" s="13">
        <f t="shared" si="94"/>
        <v>5.5000000000000604E-3</v>
      </c>
      <c r="E313" s="29">
        <f t="shared" si="95"/>
        <v>1.4E-3</v>
      </c>
      <c r="F313" s="39">
        <v>87311.463000000003</v>
      </c>
      <c r="G313" s="1">
        <f t="shared" si="96"/>
        <v>36</v>
      </c>
      <c r="H313" s="13">
        <f t="shared" si="97"/>
        <v>6.8999999999999062E-3</v>
      </c>
      <c r="I313" s="29">
        <f t="shared" si="98"/>
        <v>1.6999999999999999E-3</v>
      </c>
      <c r="J313" s="10">
        <v>7.6</v>
      </c>
      <c r="K313" s="29">
        <f t="shared" si="99"/>
        <v>-9.7999999999999997E-3</v>
      </c>
      <c r="L313">
        <v>10.82</v>
      </c>
      <c r="M313" s="29">
        <f t="shared" si="100"/>
        <v>3.7000000000000002E-3</v>
      </c>
      <c r="N313">
        <v>71.03</v>
      </c>
      <c r="O313" s="13">
        <f t="shared" si="105"/>
        <v>-1.0800000000000001E-2</v>
      </c>
      <c r="P313">
        <v>193229</v>
      </c>
      <c r="Q313">
        <v>-0.78822999999999999</v>
      </c>
      <c r="R313">
        <f t="shared" si="101"/>
        <v>99.211770000000001</v>
      </c>
      <c r="S313" s="13">
        <f t="shared" si="102"/>
        <v>7.5000000000000622E-3</v>
      </c>
      <c r="T313" s="13">
        <f t="shared" si="103"/>
        <v>-4.0000000000000002E-4</v>
      </c>
      <c r="U313" s="30">
        <f t="shared" si="106"/>
        <v>141.85</v>
      </c>
      <c r="V313" s="31">
        <f t="shared" si="104"/>
        <v>143.88</v>
      </c>
    </row>
    <row r="314" spans="1:22" x14ac:dyDescent="0.25">
      <c r="A314" s="5">
        <v>33847</v>
      </c>
      <c r="B314" s="10">
        <v>108930</v>
      </c>
      <c r="C314" s="1">
        <f t="shared" si="93"/>
        <v>138</v>
      </c>
      <c r="D314" s="13">
        <f t="shared" si="94"/>
        <v>5.7000000000000384E-3</v>
      </c>
      <c r="E314" s="29">
        <f t="shared" si="95"/>
        <v>1.9E-3</v>
      </c>
      <c r="F314" s="39">
        <v>87275.463000000003</v>
      </c>
      <c r="G314" s="1">
        <f t="shared" si="96"/>
        <v>138</v>
      </c>
      <c r="H314" s="13">
        <f t="shared" si="97"/>
        <v>7.1000000000001062E-3</v>
      </c>
      <c r="I314" s="29">
        <f t="shared" si="98"/>
        <v>2.3999999999999998E-3</v>
      </c>
      <c r="J314" s="10">
        <v>7.6</v>
      </c>
      <c r="K314" s="29">
        <f t="shared" si="99"/>
        <v>-3.3E-3</v>
      </c>
      <c r="L314">
        <v>10.82</v>
      </c>
      <c r="M314" s="29">
        <f t="shared" si="100"/>
        <v>6.0000000000000001E-3</v>
      </c>
      <c r="N314">
        <v>71.86</v>
      </c>
      <c r="O314" s="13">
        <f t="shared" si="105"/>
        <v>-3.5000000000000001E-3</v>
      </c>
      <c r="P314">
        <v>193018</v>
      </c>
      <c r="Q314">
        <v>-0.88644000000000001</v>
      </c>
      <c r="R314">
        <f t="shared" si="101"/>
        <v>99.113560000000007</v>
      </c>
      <c r="S314" s="13">
        <f t="shared" si="102"/>
        <v>1.1000000000001009E-3</v>
      </c>
      <c r="T314" s="13">
        <f t="shared" si="103"/>
        <v>5.0000000000000001E-4</v>
      </c>
      <c r="U314" s="30">
        <f t="shared" si="106"/>
        <v>148.69</v>
      </c>
      <c r="V314" s="31">
        <f t="shared" si="104"/>
        <v>143.36000000000001</v>
      </c>
    </row>
    <row r="315" spans="1:22" x14ac:dyDescent="0.25">
      <c r="A315" s="5">
        <v>33816</v>
      </c>
      <c r="B315" s="10">
        <v>108792</v>
      </c>
      <c r="C315" s="1">
        <f t="shared" si="93"/>
        <v>71</v>
      </c>
      <c r="D315" s="13">
        <f t="shared" si="94"/>
        <v>3.8000000000000256E-3</v>
      </c>
      <c r="E315" s="29">
        <f t="shared" si="95"/>
        <v>1.5E-3</v>
      </c>
      <c r="F315" s="39">
        <v>87137.463000000003</v>
      </c>
      <c r="G315" s="1">
        <f t="shared" si="96"/>
        <v>71</v>
      </c>
      <c r="H315" s="13">
        <f t="shared" si="97"/>
        <v>4.7999999999999154E-3</v>
      </c>
      <c r="I315" s="29">
        <f t="shared" si="98"/>
        <v>1.8E-3</v>
      </c>
      <c r="J315" s="10">
        <v>7.7</v>
      </c>
      <c r="K315" s="29">
        <f t="shared" si="99"/>
        <v>1.9900000000000001E-2</v>
      </c>
      <c r="L315">
        <v>10.79</v>
      </c>
      <c r="M315" s="29">
        <f t="shared" si="100"/>
        <v>5.4000000000000003E-3</v>
      </c>
      <c r="N315">
        <v>72.13</v>
      </c>
      <c r="O315" s="13">
        <f t="shared" si="105"/>
        <v>-2.3999999999999998E-3</v>
      </c>
      <c r="P315">
        <v>192826</v>
      </c>
      <c r="Q315">
        <v>-0.36652000000000001</v>
      </c>
      <c r="R315">
        <f t="shared" si="101"/>
        <v>99.633480000000006</v>
      </c>
      <c r="S315" s="13">
        <f t="shared" si="102"/>
        <v>6.3999999999999613E-3</v>
      </c>
      <c r="T315" s="13">
        <f t="shared" si="103"/>
        <v>2.8999999999999998E-3</v>
      </c>
      <c r="U315" s="30">
        <f t="shared" si="106"/>
        <v>141.1</v>
      </c>
      <c r="V315" s="31">
        <f t="shared" si="104"/>
        <v>141.54</v>
      </c>
    </row>
    <row r="316" spans="1:22" x14ac:dyDescent="0.25">
      <c r="A316" s="5">
        <v>33785</v>
      </c>
      <c r="B316" s="10">
        <v>108721</v>
      </c>
      <c r="C316" s="1">
        <f t="shared" si="93"/>
        <v>68</v>
      </c>
      <c r="D316" s="13">
        <f t="shared" si="94"/>
        <v>3.7000000000000366E-3</v>
      </c>
      <c r="E316" s="29">
        <f t="shared" si="95"/>
        <v>1.9E-3</v>
      </c>
      <c r="F316" s="39">
        <v>87066.463000000003</v>
      </c>
      <c r="G316" s="1">
        <f t="shared" si="96"/>
        <v>68</v>
      </c>
      <c r="H316" s="13">
        <f t="shared" si="97"/>
        <v>4.5999999999999375E-3</v>
      </c>
      <c r="I316" s="29">
        <f t="shared" si="98"/>
        <v>2.3999999999999998E-3</v>
      </c>
      <c r="J316" s="10">
        <v>7.8</v>
      </c>
      <c r="K316" s="29">
        <f t="shared" si="99"/>
        <v>4.7E-2</v>
      </c>
      <c r="L316">
        <v>10.77</v>
      </c>
      <c r="M316" s="29">
        <f t="shared" si="100"/>
        <v>5.7999999999999996E-3</v>
      </c>
      <c r="N316">
        <v>71.61</v>
      </c>
      <c r="O316" s="13">
        <f t="shared" si="105"/>
        <v>-9.1999999999999998E-3</v>
      </c>
      <c r="P316">
        <v>192663</v>
      </c>
      <c r="Q316">
        <v>-0.16331000000000001</v>
      </c>
      <c r="R316">
        <f t="shared" si="101"/>
        <v>99.836690000000004</v>
      </c>
      <c r="S316" s="13">
        <f t="shared" si="102"/>
        <v>8.499999999999952E-3</v>
      </c>
      <c r="T316" s="13">
        <f t="shared" si="103"/>
        <v>2.0999999999999999E-3</v>
      </c>
      <c r="U316" s="30">
        <f t="shared" si="106"/>
        <v>140.30000000000001</v>
      </c>
      <c r="V316" s="31">
        <f t="shared" si="104"/>
        <v>142.82</v>
      </c>
    </row>
    <row r="317" spans="1:22" x14ac:dyDescent="0.25">
      <c r="A317" s="5">
        <v>33755</v>
      </c>
      <c r="B317" s="10">
        <v>108653</v>
      </c>
      <c r="C317" s="1">
        <f t="shared" si="93"/>
        <v>126</v>
      </c>
      <c r="D317" s="13">
        <f t="shared" si="94"/>
        <v>3.3000000000000806E-3</v>
      </c>
      <c r="E317" s="29">
        <f t="shared" si="95"/>
        <v>2.3E-3</v>
      </c>
      <c r="F317" s="39">
        <v>86998.463000000003</v>
      </c>
      <c r="G317" s="1">
        <f t="shared" si="96"/>
        <v>126</v>
      </c>
      <c r="H317" s="13">
        <f t="shared" si="97"/>
        <v>4.0999999999999925E-3</v>
      </c>
      <c r="I317" s="29">
        <f t="shared" si="98"/>
        <v>2.8999999999999998E-3</v>
      </c>
      <c r="J317" s="10">
        <v>7.6</v>
      </c>
      <c r="K317" s="29">
        <f t="shared" si="99"/>
        <v>3.0499999999999999E-2</v>
      </c>
      <c r="L317">
        <v>10.74</v>
      </c>
      <c r="M317" s="29">
        <f t="shared" si="100"/>
        <v>5.1000000000000004E-3</v>
      </c>
      <c r="N317">
        <v>72.58</v>
      </c>
      <c r="O317" s="13">
        <f t="shared" si="105"/>
        <v>8.9999999999999998E-4</v>
      </c>
      <c r="P317">
        <v>192503</v>
      </c>
      <c r="Q317">
        <v>-0.61890000000000001</v>
      </c>
      <c r="R317">
        <f t="shared" si="101"/>
        <v>99.381100000000004</v>
      </c>
      <c r="S317" s="13">
        <f t="shared" si="102"/>
        <v>3.8000000000000256E-3</v>
      </c>
      <c r="T317" s="13">
        <f t="shared" si="103"/>
        <v>1E-3</v>
      </c>
      <c r="U317" s="30">
        <f t="shared" si="106"/>
        <v>143.21</v>
      </c>
      <c r="V317" s="31">
        <f t="shared" si="104"/>
        <v>137.94</v>
      </c>
    </row>
    <row r="318" spans="1:22" x14ac:dyDescent="0.25">
      <c r="A318" s="5">
        <v>33724</v>
      </c>
      <c r="B318" s="10">
        <v>108527</v>
      </c>
      <c r="C318" s="1">
        <f t="shared" si="93"/>
        <v>159</v>
      </c>
      <c r="D318" s="13">
        <f t="shared" si="94"/>
        <v>2.2999999999999687E-3</v>
      </c>
      <c r="E318" s="29">
        <f t="shared" si="95"/>
        <v>1.6000000000000001E-3</v>
      </c>
      <c r="F318" s="39">
        <v>86872.463000000003</v>
      </c>
      <c r="G318" s="1">
        <f t="shared" si="96"/>
        <v>159</v>
      </c>
      <c r="H318" s="13">
        <f t="shared" si="97"/>
        <v>2.8999999999999027E-3</v>
      </c>
      <c r="I318" s="29">
        <f t="shared" si="98"/>
        <v>2E-3</v>
      </c>
      <c r="J318" s="10">
        <v>7.4</v>
      </c>
      <c r="K318" s="29">
        <f t="shared" si="99"/>
        <v>6.7999999999999996E-3</v>
      </c>
      <c r="L318">
        <v>10.72</v>
      </c>
      <c r="M318" s="29">
        <f t="shared" si="100"/>
        <v>5.1999999999999998E-3</v>
      </c>
      <c r="N318">
        <v>71.94</v>
      </c>
      <c r="O318" s="13">
        <f t="shared" si="105"/>
        <v>-7.4999999999999997E-3</v>
      </c>
      <c r="P318">
        <v>192354</v>
      </c>
      <c r="Q318">
        <v>-1.06826</v>
      </c>
      <c r="R318">
        <f t="shared" si="101"/>
        <v>98.931740000000005</v>
      </c>
      <c r="S318" s="13">
        <f t="shared" si="102"/>
        <v>-7.0000000000003393E-4</v>
      </c>
      <c r="T318" s="13">
        <f t="shared" si="103"/>
        <v>-2.0000000000000001E-4</v>
      </c>
      <c r="U318" s="30">
        <f t="shared" si="106"/>
        <v>144.94999999999999</v>
      </c>
      <c r="V318" s="31">
        <f t="shared" si="104"/>
        <v>135.31</v>
      </c>
    </row>
    <row r="319" spans="1:22" x14ac:dyDescent="0.25">
      <c r="A319" s="5">
        <v>33694</v>
      </c>
      <c r="B319" s="10">
        <v>108368</v>
      </c>
      <c r="C319" s="1">
        <f t="shared" si="93"/>
        <v>54</v>
      </c>
      <c r="D319" s="13">
        <f t="shared" si="94"/>
        <v>1.1000000000001009E-3</v>
      </c>
      <c r="E319" s="29">
        <f t="shared" si="95"/>
        <v>2.9999999999999997E-4</v>
      </c>
      <c r="F319" s="39">
        <v>86713.463000000003</v>
      </c>
      <c r="G319" s="1">
        <f t="shared" si="96"/>
        <v>54</v>
      </c>
      <c r="H319" s="13">
        <f t="shared" si="97"/>
        <v>1.4000000000000679E-3</v>
      </c>
      <c r="I319" s="29">
        <f t="shared" si="98"/>
        <v>2.9999999999999997E-4</v>
      </c>
      <c r="J319" s="10">
        <v>7.4</v>
      </c>
      <c r="K319" s="29">
        <f t="shared" si="99"/>
        <v>2.07E-2</v>
      </c>
      <c r="L319">
        <v>10.7</v>
      </c>
      <c r="M319" s="29">
        <f t="shared" si="100"/>
        <v>5.4000000000000003E-3</v>
      </c>
      <c r="N319">
        <v>72.37</v>
      </c>
      <c r="O319" s="13">
        <f t="shared" si="105"/>
        <v>-4.7000000000000002E-3</v>
      </c>
      <c r="P319">
        <v>192204</v>
      </c>
      <c r="Q319">
        <v>-1.53162</v>
      </c>
      <c r="R319">
        <f t="shared" si="101"/>
        <v>98.468379999999996</v>
      </c>
      <c r="S319" s="13">
        <f t="shared" si="102"/>
        <v>-5.3999999999999604E-3</v>
      </c>
      <c r="T319" s="13">
        <f t="shared" si="103"/>
        <v>-1.2999999999999999E-3</v>
      </c>
      <c r="U319" s="30">
        <f t="shared" si="106"/>
        <v>125.66</v>
      </c>
      <c r="V319" s="31">
        <f t="shared" si="104"/>
        <v>125.66</v>
      </c>
    </row>
    <row r="320" spans="1:22" ht="15" customHeight="1" x14ac:dyDescent="0.25">
      <c r="B320" s="10">
        <v>108314</v>
      </c>
      <c r="C320" s="1">
        <f t="shared" si="93"/>
        <v>-63</v>
      </c>
      <c r="D320" s="1"/>
      <c r="F320" s="39">
        <v>86659.463000000003</v>
      </c>
      <c r="G320" s="1">
        <f t="shared" si="96"/>
        <v>-63</v>
      </c>
      <c r="H320" s="13">
        <f t="shared" si="97"/>
        <v>1.1000000000001009E-3</v>
      </c>
      <c r="I320" s="29">
        <f t="shared" si="98"/>
        <v>-2.0000000000000001E-4</v>
      </c>
      <c r="J320" s="10">
        <v>7.4</v>
      </c>
      <c r="K320" s="29">
        <f>ROUND((J320-AVERAGE(J321:J323))/AVERAGE(J321:J323),4)</f>
        <v>2.7799999999999998E-2</v>
      </c>
      <c r="L320">
        <v>10.67</v>
      </c>
      <c r="M320" s="29">
        <f>ROUND((L320-AVERAGE(L321:L323))/AVERAGE(L321:L323),4)</f>
        <v>3.3999999999999998E-3</v>
      </c>
      <c r="N320">
        <v>72.599999999999994</v>
      </c>
      <c r="O320" s="13">
        <f t="shared" si="105"/>
        <v>-4.7000000000000002E-3</v>
      </c>
      <c r="P320">
        <v>192067</v>
      </c>
      <c r="Q320">
        <v>-1</v>
      </c>
      <c r="R320">
        <f t="shared" si="101"/>
        <v>99</v>
      </c>
      <c r="S320" s="13">
        <f t="shared" si="102"/>
        <v>0</v>
      </c>
      <c r="T320" s="13">
        <f t="shared" si="103"/>
        <v>0</v>
      </c>
    </row>
    <row r="321" spans="2:20" ht="15" customHeight="1" x14ac:dyDescent="0.25">
      <c r="B321" s="10">
        <v>108377</v>
      </c>
      <c r="C321" s="1">
        <f t="shared" si="93"/>
        <v>52</v>
      </c>
      <c r="D321" s="1"/>
      <c r="F321" s="39">
        <v>86722.463000000003</v>
      </c>
      <c r="G321" s="1">
        <f t="shared" si="96"/>
        <v>52</v>
      </c>
      <c r="H321" s="13">
        <f t="shared" si="97"/>
        <v>2.0999999999999908E-3</v>
      </c>
      <c r="I321" s="29">
        <f t="shared" si="98"/>
        <v>8.9999999999999998E-4</v>
      </c>
      <c r="J321" s="10">
        <v>7.3</v>
      </c>
      <c r="K321" s="29">
        <f>ROUND((J321-AVERAGE(J322:J323))/AVERAGE(J322:J323),4)</f>
        <v>2.1000000000000001E-2</v>
      </c>
      <c r="L321">
        <v>10.65</v>
      </c>
      <c r="M321" s="29">
        <f>ROUND((L321-AVERAGE(L322:L323))/AVERAGE(L322:L323),4)</f>
        <v>2.3999999999999998E-3</v>
      </c>
      <c r="N321">
        <v>73.06</v>
      </c>
      <c r="O321" s="13" t="e">
        <f t="shared" si="105"/>
        <v>#DIV/0!</v>
      </c>
      <c r="P321">
        <v>191953</v>
      </c>
      <c r="Q321">
        <v>-1</v>
      </c>
      <c r="R321">
        <f t="shared" si="101"/>
        <v>99</v>
      </c>
      <c r="S321" s="13">
        <f t="shared" si="102"/>
        <v>0</v>
      </c>
      <c r="T321" s="13">
        <f t="shared" si="103"/>
        <v>0</v>
      </c>
    </row>
    <row r="322" spans="2:20" ht="15" customHeight="1" x14ac:dyDescent="0.25">
      <c r="B322" s="10">
        <v>108325</v>
      </c>
      <c r="C322" s="1">
        <f t="shared" si="93"/>
        <v>26</v>
      </c>
      <c r="D322" s="1"/>
      <c r="F322" s="39">
        <v>86670.463000000003</v>
      </c>
      <c r="G322" s="1">
        <f t="shared" si="96"/>
        <v>26</v>
      </c>
      <c r="H322" s="13">
        <f t="shared" si="97"/>
        <v>1.8000000000000238E-3</v>
      </c>
      <c r="I322" s="29">
        <f t="shared" si="98"/>
        <v>5.9999999999999995E-4</v>
      </c>
      <c r="J322" s="10">
        <v>7.3</v>
      </c>
      <c r="K322" s="29">
        <f>ROUND((J322-AVERAGE(J323:J323))/AVERAGE(J323:J323),4)</f>
        <v>4.2900000000000001E-2</v>
      </c>
      <c r="L322">
        <v>10.64</v>
      </c>
      <c r="M322" s="29">
        <f>ROUND((L322-AVERAGE(L323:L323))/AVERAGE(L323:L323),4)</f>
        <v>2.8E-3</v>
      </c>
      <c r="N322"/>
      <c r="O322" s="13"/>
      <c r="P322" s="13"/>
      <c r="Q322">
        <v>-1</v>
      </c>
      <c r="R322">
        <f t="shared" si="101"/>
        <v>99</v>
      </c>
      <c r="S322" s="13">
        <f t="shared" si="102"/>
        <v>0</v>
      </c>
      <c r="T322" s="13">
        <f t="shared" si="103"/>
        <v>0</v>
      </c>
    </row>
    <row r="323" spans="2:20" ht="15" customHeight="1" x14ac:dyDescent="0.25">
      <c r="B323" s="10">
        <v>108299</v>
      </c>
      <c r="C323" s="1">
        <f t="shared" si="93"/>
        <v>26</v>
      </c>
      <c r="D323" s="1"/>
      <c r="F323" s="39">
        <v>86644.463000000003</v>
      </c>
      <c r="J323" s="10">
        <v>7</v>
      </c>
      <c r="K323" s="29" t="e">
        <f>ROUND((J323-AVERAGE(#REF!))/AVERAGE(#REF!),4)</f>
        <v>#REF!</v>
      </c>
      <c r="L323">
        <v>10.61</v>
      </c>
      <c r="M323" s="29">
        <v>0</v>
      </c>
      <c r="N323"/>
      <c r="O323" s="13"/>
      <c r="P323" s="13"/>
      <c r="Q323">
        <v>-1</v>
      </c>
      <c r="R323">
        <f t="shared" si="101"/>
        <v>99</v>
      </c>
      <c r="S323" s="13">
        <f t="shared" si="102"/>
        <v>0</v>
      </c>
      <c r="T323" s="13">
        <f t="shared" si="103"/>
        <v>0</v>
      </c>
    </row>
    <row r="324" spans="2:20" ht="15" customHeight="1" x14ac:dyDescent="0.25">
      <c r="B324" s="10">
        <v>108273</v>
      </c>
      <c r="F324" s="39">
        <v>86618.463000000003</v>
      </c>
      <c r="N324"/>
      <c r="O324" s="13"/>
      <c r="P324" s="13"/>
      <c r="Q324">
        <v>-1</v>
      </c>
      <c r="R324">
        <f t="shared" si="101"/>
        <v>99</v>
      </c>
      <c r="S324" s="13">
        <f t="shared" si="102"/>
        <v>0</v>
      </c>
      <c r="T324" s="13">
        <f t="shared" si="103"/>
        <v>0</v>
      </c>
    </row>
    <row r="325" spans="2:20" ht="15" customHeight="1" x14ac:dyDescent="0.25">
      <c r="B325" s="10">
        <v>108247</v>
      </c>
      <c r="F325" s="39">
        <v>86592.463000000003</v>
      </c>
      <c r="N325"/>
      <c r="O325" s="13"/>
      <c r="P325" s="13"/>
      <c r="Q325">
        <v>-1</v>
      </c>
      <c r="R325">
        <f t="shared" si="101"/>
        <v>99</v>
      </c>
      <c r="S325" s="13">
        <f t="shared" si="102"/>
        <v>0</v>
      </c>
      <c r="T325" s="13">
        <f t="shared" si="103"/>
        <v>0</v>
      </c>
    </row>
    <row r="326" spans="2:20" ht="15" customHeight="1" x14ac:dyDescent="0.25">
      <c r="F326" s="39">
        <v>86566.463000000003</v>
      </c>
      <c r="N326"/>
      <c r="O326" s="13"/>
      <c r="P326" s="13"/>
      <c r="Q326">
        <v>-1</v>
      </c>
      <c r="R326">
        <f t="shared" ref="R326:R332" si="107">Q326+100</f>
        <v>99</v>
      </c>
      <c r="S326" s="13">
        <f t="shared" ref="S326:S332" si="108">ROUND(R326/R332,4)-1</f>
        <v>0</v>
      </c>
      <c r="T326" s="13"/>
    </row>
    <row r="327" spans="2:20" ht="15" customHeight="1" x14ac:dyDescent="0.25">
      <c r="F327" s="39">
        <v>86540.463000000003</v>
      </c>
      <c r="N327"/>
      <c r="O327" s="13"/>
      <c r="P327" s="13"/>
      <c r="Q327">
        <v>-1</v>
      </c>
      <c r="R327">
        <f t="shared" si="107"/>
        <v>99</v>
      </c>
      <c r="S327" s="13" t="e">
        <f t="shared" si="108"/>
        <v>#DIV/0!</v>
      </c>
      <c r="T327" s="13"/>
    </row>
    <row r="328" spans="2:20" ht="15" customHeight="1" x14ac:dyDescent="0.25">
      <c r="F328" s="39">
        <v>86514.463000000003</v>
      </c>
      <c r="N328"/>
      <c r="O328" s="13"/>
      <c r="P328" s="13"/>
      <c r="Q328">
        <v>-1</v>
      </c>
      <c r="R328">
        <f t="shared" si="107"/>
        <v>99</v>
      </c>
      <c r="S328" s="13" t="e">
        <f t="shared" si="108"/>
        <v>#DIV/0!</v>
      </c>
      <c r="T328" s="13"/>
    </row>
    <row r="329" spans="2:20" ht="15" customHeight="1" x14ac:dyDescent="0.25">
      <c r="N329"/>
      <c r="O329" s="13"/>
      <c r="P329" s="13"/>
      <c r="Q329">
        <v>-1</v>
      </c>
      <c r="R329">
        <f t="shared" si="107"/>
        <v>99</v>
      </c>
      <c r="S329" s="13" t="e">
        <f t="shared" si="108"/>
        <v>#DIV/0!</v>
      </c>
      <c r="T329" s="13"/>
    </row>
    <row r="330" spans="2:20" ht="15" customHeight="1" x14ac:dyDescent="0.25">
      <c r="N330"/>
      <c r="O330" s="13"/>
      <c r="P330" s="13"/>
      <c r="Q330">
        <v>-1</v>
      </c>
      <c r="R330">
        <f t="shared" si="107"/>
        <v>99</v>
      </c>
      <c r="S330" s="13" t="e">
        <f t="shared" si="108"/>
        <v>#DIV/0!</v>
      </c>
      <c r="T330" s="13"/>
    </row>
    <row r="331" spans="2:20" ht="15" customHeight="1" x14ac:dyDescent="0.25">
      <c r="N331"/>
      <c r="O331" s="13"/>
      <c r="P331" s="13"/>
      <c r="Q331">
        <v>-1</v>
      </c>
      <c r="R331">
        <f t="shared" si="107"/>
        <v>99</v>
      </c>
      <c r="S331" s="13" t="e">
        <f t="shared" si="108"/>
        <v>#DIV/0!</v>
      </c>
      <c r="T331" s="13"/>
    </row>
    <row r="332" spans="2:20" ht="15" customHeight="1" x14ac:dyDescent="0.25">
      <c r="N332"/>
      <c r="O332" s="13"/>
      <c r="P332" s="13"/>
      <c r="Q332">
        <v>-1</v>
      </c>
      <c r="R332">
        <f t="shared" si="107"/>
        <v>99</v>
      </c>
      <c r="S332" s="13" t="e">
        <f t="shared" si="108"/>
        <v>#DIV/0!</v>
      </c>
      <c r="T332" s="13"/>
    </row>
  </sheetData>
  <autoFilter ref="A2:V2" xr:uid="{00000000-0009-0000-0000-000006000000}"/>
  <mergeCells count="6">
    <mergeCell ref="Q1:T1"/>
    <mergeCell ref="B1:E1"/>
    <mergeCell ref="F1:I1"/>
    <mergeCell ref="J1:K1"/>
    <mergeCell ref="L1:M1"/>
    <mergeCell ref="N1:O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321"/>
  <sheetViews>
    <sheetView zoomScale="101" workbookViewId="0">
      <pane xSplit="1" ySplit="2" topLeftCell="O138" activePane="bottomRight" state="frozen"/>
      <selection pane="topRight" activeCell="B1" sqref="B1"/>
      <selection pane="bottomLeft" activeCell="A2" sqref="A2"/>
      <selection pane="bottomRight" activeCell="P158" sqref="P158"/>
    </sheetView>
  </sheetViews>
  <sheetFormatPr defaultRowHeight="15" x14ac:dyDescent="0.25"/>
  <cols>
    <col min="1" max="1" width="9.7109375" bestFit="1" customWidth="1"/>
    <col min="2" max="2" width="10.85546875" bestFit="1" customWidth="1"/>
    <col min="3" max="5" width="13.140625" customWidth="1"/>
    <col min="6" max="6" width="13.42578125" customWidth="1"/>
    <col min="7" max="7" width="10.5703125" bestFit="1" customWidth="1"/>
    <col min="8" max="9" width="10.5703125" customWidth="1"/>
    <col min="13" max="13" width="14.28515625" bestFit="1" customWidth="1"/>
    <col min="16" max="16" width="11" bestFit="1" customWidth="1"/>
    <col min="17" max="17" width="9.5703125" bestFit="1" customWidth="1"/>
    <col min="18" max="18" width="12.5703125" bestFit="1" customWidth="1"/>
    <col min="19" max="23" width="12.5703125" customWidth="1"/>
    <col min="24" max="24" width="11.5703125" bestFit="1" customWidth="1"/>
    <col min="25" max="25" width="12.28515625" bestFit="1" customWidth="1"/>
    <col min="26" max="26" width="12.28515625" customWidth="1"/>
    <col min="27" max="27" width="14.28515625" bestFit="1" customWidth="1"/>
    <col min="28" max="28" width="10.140625" bestFit="1" customWidth="1"/>
    <col min="29" max="29" width="16" bestFit="1" customWidth="1"/>
    <col min="30" max="31" width="16" customWidth="1"/>
    <col min="32" max="32" width="19.42578125" bestFit="1" customWidth="1"/>
    <col min="33" max="33" width="16.28515625" bestFit="1" customWidth="1"/>
    <col min="34" max="35" width="16.28515625" customWidth="1"/>
    <col min="36" max="36" width="10.42578125" customWidth="1"/>
    <col min="37" max="37" width="9.5703125" bestFit="1" customWidth="1"/>
  </cols>
  <sheetData>
    <row r="1" spans="1:37" ht="18" thickBot="1" x14ac:dyDescent="0.35">
      <c r="B1" s="32" t="s">
        <v>71</v>
      </c>
      <c r="C1" s="61" t="s">
        <v>31</v>
      </c>
      <c r="D1" s="61"/>
      <c r="E1" s="61"/>
      <c r="F1" s="62"/>
      <c r="G1" s="61" t="s">
        <v>72</v>
      </c>
      <c r="H1" s="61"/>
      <c r="I1" s="61"/>
      <c r="J1" s="62"/>
      <c r="K1" s="61" t="s">
        <v>73</v>
      </c>
      <c r="L1" s="61"/>
      <c r="M1" s="62"/>
      <c r="N1" s="61" t="s">
        <v>32</v>
      </c>
      <c r="O1" s="62"/>
      <c r="P1" s="61" t="s">
        <v>74</v>
      </c>
      <c r="Q1" s="62"/>
      <c r="R1" s="32" t="s">
        <v>75</v>
      </c>
      <c r="S1" s="61" t="s">
        <v>76</v>
      </c>
      <c r="T1" s="61"/>
      <c r="U1" s="61"/>
      <c r="V1" s="61"/>
      <c r="W1" s="62"/>
      <c r="X1" s="60" t="s">
        <v>77</v>
      </c>
      <c r="Y1" s="60"/>
      <c r="Z1" s="60"/>
      <c r="AA1" s="60"/>
      <c r="AB1" s="60"/>
      <c r="AC1" s="60"/>
      <c r="AD1" s="60"/>
      <c r="AE1" s="60"/>
      <c r="AF1" s="60"/>
      <c r="AG1" s="61" t="s">
        <v>78</v>
      </c>
      <c r="AH1" s="61"/>
      <c r="AI1" s="61"/>
      <c r="AJ1" s="61"/>
    </row>
    <row r="2" spans="1:37" ht="16.5" thickTop="1" thickBot="1" x14ac:dyDescent="0.3">
      <c r="A2" t="s">
        <v>79</v>
      </c>
      <c r="B2" s="33" t="s">
        <v>0</v>
      </c>
      <c r="C2" s="33" t="s">
        <v>80</v>
      </c>
      <c r="D2" s="33" t="s">
        <v>81</v>
      </c>
      <c r="E2" s="33" t="s">
        <v>82</v>
      </c>
      <c r="F2" s="33" t="s">
        <v>36</v>
      </c>
      <c r="G2" s="33" t="s">
        <v>80</v>
      </c>
      <c r="H2" s="33" t="s">
        <v>81</v>
      </c>
      <c r="I2" s="33" t="s">
        <v>82</v>
      </c>
      <c r="J2" s="33" t="s">
        <v>36</v>
      </c>
      <c r="K2" s="33" t="s">
        <v>33</v>
      </c>
      <c r="L2" s="33" t="s">
        <v>83</v>
      </c>
      <c r="M2" s="33" t="s">
        <v>84</v>
      </c>
      <c r="N2" s="33" t="s">
        <v>80</v>
      </c>
      <c r="O2" s="33" t="s">
        <v>36</v>
      </c>
      <c r="P2" s="33" t="s">
        <v>85</v>
      </c>
      <c r="Q2" s="33" t="s">
        <v>80</v>
      </c>
      <c r="R2" s="33" t="s">
        <v>86</v>
      </c>
      <c r="S2" s="33" t="s">
        <v>87</v>
      </c>
      <c r="T2" s="33" t="s">
        <v>88</v>
      </c>
      <c r="U2" s="33" t="s">
        <v>81</v>
      </c>
      <c r="V2" s="33" t="s">
        <v>82</v>
      </c>
      <c r="W2" s="33" t="s">
        <v>67</v>
      </c>
      <c r="X2" s="33" t="s">
        <v>89</v>
      </c>
      <c r="Y2" s="33" t="s">
        <v>90</v>
      </c>
      <c r="Z2" s="33" t="s">
        <v>91</v>
      </c>
      <c r="AA2" s="33" t="s">
        <v>92</v>
      </c>
      <c r="AB2" s="33" t="s">
        <v>93</v>
      </c>
      <c r="AC2" s="33" t="s">
        <v>94</v>
      </c>
      <c r="AD2" s="33" t="s">
        <v>95</v>
      </c>
      <c r="AE2" s="33" t="s">
        <v>96</v>
      </c>
      <c r="AF2" s="33" t="s">
        <v>97</v>
      </c>
      <c r="AG2" s="33" t="s">
        <v>98</v>
      </c>
      <c r="AH2" s="33" t="s">
        <v>99</v>
      </c>
      <c r="AI2" s="33" t="s">
        <v>9</v>
      </c>
      <c r="AJ2" s="33" t="s">
        <v>100</v>
      </c>
    </row>
    <row r="3" spans="1:37" x14ac:dyDescent="0.25">
      <c r="A3" s="34">
        <v>43252</v>
      </c>
      <c r="B3" s="34">
        <f t="shared" ref="B3:B4" si="0">EOMONTH(A3+40,0)</f>
        <v>43312</v>
      </c>
      <c r="C3">
        <v>13937.1</v>
      </c>
      <c r="D3" s="6">
        <f>ROUND(AVERAGE(C3:C5),2)</f>
        <v>13877.23</v>
      </c>
      <c r="E3" s="29">
        <f>ROUND((D3-D6)/D6,4)</f>
        <v>1.44E-2</v>
      </c>
      <c r="F3" s="29">
        <f>ROUND((C3-AVERAGE(C4:C6))/AVERAGE(C4:C6),4)</f>
        <v>9.2999999999999992E-3</v>
      </c>
      <c r="G3">
        <v>15520.4</v>
      </c>
      <c r="H3" s="6">
        <f>ROUND(AVERAGE(G3:G5),2)</f>
        <v>15456.37</v>
      </c>
      <c r="I3" s="29">
        <f>ROUND((H3-H6)/H6,4)</f>
        <v>1.0999999999999999E-2</v>
      </c>
      <c r="J3" s="29">
        <f>ROUND((G3-AVERAGE(G4:G6))/AVERAGE(G4:G6),4)</f>
        <v>7.9000000000000008E-3</v>
      </c>
      <c r="K3">
        <v>2.23062</v>
      </c>
      <c r="L3">
        <v>1.84</v>
      </c>
      <c r="M3" s="35">
        <f>ROUND((K3+L3)/2,3)</f>
        <v>2.0350000000000001</v>
      </c>
      <c r="N3">
        <v>332.3</v>
      </c>
      <c r="O3" s="29">
        <f>ROUND((N3-AVERAGE(N4:N6))/AVERAGE(N4:N6),4)</f>
        <v>3.2300000000000002E-2</v>
      </c>
      <c r="P3">
        <v>6.8</v>
      </c>
      <c r="Q3" s="6">
        <f t="shared" ref="Q3:Q4" si="1">ROUND(G3*(P3*0.01),2)</f>
        <v>1055.3900000000001</v>
      </c>
      <c r="R3" s="21">
        <v>5</v>
      </c>
      <c r="S3" s="36">
        <f t="shared" ref="S3" si="2">ROUND((S4+(S4*((K3*0.01)/12))),2)</f>
        <v>67.040000000000006</v>
      </c>
      <c r="T3" s="6">
        <f>ROUND(C3/S3,2)</f>
        <v>207.89</v>
      </c>
      <c r="U3" s="6">
        <f>ROUND(AVERAGE(T3:T5),2)</f>
        <v>207.37</v>
      </c>
      <c r="V3" s="29">
        <f>ROUND((U3-U6)/U6,4)</f>
        <v>9.2999999999999992E-3</v>
      </c>
      <c r="W3" s="29">
        <f>ROUND((T3-AVERAGE(T4:T6))/AVERAGE(T4:T6),4)</f>
        <v>5.7999999999999996E-3</v>
      </c>
      <c r="X3" s="13">
        <f t="shared" ref="X3" si="3">ROUND(N3/C3,4)</f>
        <v>2.3800000000000002E-2</v>
      </c>
      <c r="Y3" s="13">
        <f t="shared" ref="Y3" si="4">ROUND(N3/G3,4)</f>
        <v>2.1399999999999999E-2</v>
      </c>
      <c r="Z3" s="6">
        <f t="shared" ref="Z3" si="5">Q3/N3</f>
        <v>3.1760156485103823</v>
      </c>
      <c r="AA3" s="13">
        <f t="shared" ref="AA3" si="6">ROUND(Y3*R3,4)</f>
        <v>0.107</v>
      </c>
      <c r="AB3" s="35">
        <f t="shared" ref="AB3" si="7">ROUND(N3*(R3*0.01),3)</f>
        <v>16.614999999999998</v>
      </c>
      <c r="AC3" s="6">
        <f t="shared" ref="AC3" si="8">ROUND(N3/(R3*0.01),2)</f>
        <v>6646</v>
      </c>
      <c r="AD3" s="6">
        <f>ROUND(AVERAGE(AC3:AC5),2)</f>
        <v>6654.95</v>
      </c>
      <c r="AE3" s="29">
        <f>ROUND((AD3-AD8)/AD8,4)</f>
        <v>-5.96E-2</v>
      </c>
      <c r="AF3" s="13">
        <f>ROUND(Q3/AD3,4)</f>
        <v>0.15859999999999999</v>
      </c>
      <c r="AG3" s="22">
        <f>ROUND((W3*500)+(V3*1000)+(E3*1000)+(F3*500)-(X3*300)+40,2)</f>
        <v>64.11</v>
      </c>
      <c r="AH3" s="22">
        <f>ROUND((I3*1500)+(J3*700)-(AA3*175)-(AE3*30)+Z3+52,2)</f>
        <v>60.27</v>
      </c>
      <c r="AI3" s="22">
        <f>IF((AG3*0.75)+(AH3*0.25)&lt;0,0,(AG3*0.75)+(AH3*0.25))</f>
        <v>63.15</v>
      </c>
      <c r="AJ3" s="22">
        <f>ROUND(AVERAGE(AI3:AI6),2)</f>
        <v>58.22</v>
      </c>
    </row>
    <row r="4" spans="1:37" x14ac:dyDescent="0.25">
      <c r="A4" s="34">
        <v>43221</v>
      </c>
      <c r="B4" s="34">
        <f t="shared" si="0"/>
        <v>43281</v>
      </c>
      <c r="C4">
        <v>13880</v>
      </c>
      <c r="D4" s="6">
        <f>ROUND(AVERAGE(C4:C6),2)</f>
        <v>13808.3</v>
      </c>
      <c r="E4" s="29">
        <f>ROUND((D4-D7)/D7,4)</f>
        <v>1.18E-2</v>
      </c>
      <c r="F4" s="29">
        <f>ROUND((C4-AVERAGE(C5:C7))/AVERAGE(C5:C7),4)</f>
        <v>1.09E-2</v>
      </c>
      <c r="G4">
        <v>15455.1</v>
      </c>
      <c r="H4" s="6">
        <f>ROUND(AVERAGE(G4:G6),2)</f>
        <v>15398.1</v>
      </c>
      <c r="I4" s="29">
        <f>ROUND((H4-H7)/H7,4)</f>
        <v>1.29E-2</v>
      </c>
      <c r="J4" s="29">
        <f>ROUND((G4-AVERAGE(G5:G7))/AVERAGE(G5:G7),4)</f>
        <v>7.4000000000000003E-3</v>
      </c>
      <c r="K4">
        <v>2.2174900000000002</v>
      </c>
      <c r="L4">
        <v>1.84</v>
      </c>
      <c r="M4" s="35">
        <f>ROUND((K4+L4)/2,3)</f>
        <v>2.0289999999999999</v>
      </c>
      <c r="N4">
        <v>327.10000000000002</v>
      </c>
      <c r="O4" s="29">
        <f>ROUND((N4-AVERAGE(N5:N7))/AVERAGE(N5:N7),4)</f>
        <v>2.92E-2</v>
      </c>
      <c r="P4">
        <v>6.8</v>
      </c>
      <c r="Q4" s="6">
        <f t="shared" si="1"/>
        <v>1050.95</v>
      </c>
      <c r="R4">
        <v>5</v>
      </c>
      <c r="S4" s="36">
        <f t="shared" ref="S4" si="9">ROUND((S5+(S5*((K4*0.01)/12))),2)</f>
        <v>66.92</v>
      </c>
      <c r="T4" s="6">
        <f>ROUND(C4/S4,2)</f>
        <v>207.41</v>
      </c>
      <c r="U4" s="6">
        <f>ROUND(AVERAGE(T4:T6),2)</f>
        <v>206.7</v>
      </c>
      <c r="V4" s="29">
        <f>ROUND((U4-U7)/U7,4)</f>
        <v>6.8999999999999999E-3</v>
      </c>
      <c r="W4" s="29">
        <f>ROUND((T4-AVERAGE(T5:T7))/AVERAGE(T5:T7),4)</f>
        <v>7.4000000000000003E-3</v>
      </c>
      <c r="X4" s="13">
        <f t="shared" ref="X4" si="10">ROUND(N4/C4,4)</f>
        <v>2.3599999999999999E-2</v>
      </c>
      <c r="Y4" s="13">
        <f t="shared" ref="Y4" si="11">ROUND(N4/G4,4)</f>
        <v>2.12E-2</v>
      </c>
      <c r="Z4" s="6">
        <f t="shared" ref="Z4" si="12">Q4/N4</f>
        <v>3.2129318251299295</v>
      </c>
      <c r="AA4" s="13">
        <f t="shared" ref="AA4" si="13">ROUND(Y4*R4,4)</f>
        <v>0.106</v>
      </c>
      <c r="AB4" s="35">
        <f t="shared" ref="AB4" si="14">ROUND(N4*(R4*0.01),3)</f>
        <v>16.355</v>
      </c>
      <c r="AC4" s="6">
        <f t="shared" ref="AC4" si="15">ROUND(N4/(R4*0.01),2)</f>
        <v>6542</v>
      </c>
      <c r="AD4" s="6">
        <f>ROUND(AVERAGE(AC4:AC6),2)</f>
        <v>6744.56</v>
      </c>
      <c r="AE4" s="29">
        <f>ROUND((AD4-AD9)/AD9,4)</f>
        <v>-5.2699999999999997E-2</v>
      </c>
      <c r="AF4" s="13">
        <f t="shared" ref="AF4:AF67" si="16">ROUND(Q4/AD4,4)</f>
        <v>0.15579999999999999</v>
      </c>
      <c r="AG4" s="22">
        <f>ROUND((W4*500)+(V4*1000)+(E4*1000)+(F4*500)-(X4*300)+40,2)</f>
        <v>60.77</v>
      </c>
      <c r="AH4" s="22">
        <f>ROUND((I4*1500)+(J4*700)-(AA4*175)-(AE4*30)+Z4+52,2)</f>
        <v>62.77</v>
      </c>
      <c r="AI4" s="22">
        <f>IF((AG4*0.75)+(AH4*0.25)&lt;0,0,(AG4*0.75)+(AH4*0.25))</f>
        <v>61.27</v>
      </c>
      <c r="AJ4" s="22">
        <f>ROUND(AVERAGE(AI4:AI7),2)</f>
        <v>55.69</v>
      </c>
      <c r="AK4" s="22"/>
    </row>
    <row r="5" spans="1:37" x14ac:dyDescent="0.25">
      <c r="A5" s="34">
        <v>43191</v>
      </c>
      <c r="B5" s="34">
        <f t="shared" ref="B5:B69" si="17">EOMONTH(A5+40,0)</f>
        <v>43251</v>
      </c>
      <c r="C5">
        <v>13814.6</v>
      </c>
      <c r="D5" s="6">
        <f>ROUND(AVERAGE(C5:C7),2)</f>
        <v>13730.27</v>
      </c>
      <c r="E5" s="29">
        <f>ROUND((D5-D8)/D8,4)</f>
        <v>7.1999999999999998E-3</v>
      </c>
      <c r="F5" s="29">
        <f>ROUND((C5-AVERAGE(C6:C8))/AVERAGE(C6:C8),4)</f>
        <v>9.9000000000000008E-3</v>
      </c>
      <c r="G5">
        <v>15393.6</v>
      </c>
      <c r="H5" s="6">
        <f>ROUND(AVERAGE(G5:G7),2)</f>
        <v>15341.57</v>
      </c>
      <c r="I5" s="29">
        <f>ROUND((H5-H8)/H8,4)</f>
        <v>1.49E-2</v>
      </c>
      <c r="J5" s="29">
        <f>ROUND((G5-AVERAGE(G6:G8))/AVERAGE(G6:G8),4)</f>
        <v>6.7999999999999996E-3</v>
      </c>
      <c r="K5">
        <v>2.0236299999999998</v>
      </c>
      <c r="L5">
        <v>1.73</v>
      </c>
      <c r="M5" s="35">
        <f>ROUND((K5+L5)/2,3)</f>
        <v>1.877</v>
      </c>
      <c r="N5">
        <v>321.89999999999998</v>
      </c>
      <c r="O5" s="29">
        <f>ROUND((N5-AVERAGE(N6:N8))/AVERAGE(N6:N8),4)</f>
        <v>2.2100000000000002E-2</v>
      </c>
      <c r="P5">
        <v>6.9</v>
      </c>
      <c r="Q5" s="6">
        <f t="shared" ref="Q5" si="18">ROUND(G5*(P5*0.01),2)</f>
        <v>1062.1600000000001</v>
      </c>
      <c r="R5">
        <v>4.75</v>
      </c>
      <c r="S5" s="36">
        <f t="shared" ref="S5" si="19">ROUND((S6+(S6*((K5*0.01)/12))),2)</f>
        <v>66.8</v>
      </c>
      <c r="T5" s="6">
        <f>ROUND(C5/S5,2)</f>
        <v>206.81</v>
      </c>
      <c r="U5" s="6">
        <f>ROUND(AVERAGE(T5:T7),2)</f>
        <v>205.88</v>
      </c>
      <c r="V5" s="29">
        <f>ROUND((U5-U8)/U8,4)</f>
        <v>2.5000000000000001E-3</v>
      </c>
      <c r="W5" s="29">
        <f>ROUND((T5-AVERAGE(T6:T8))/AVERAGE(T6:T8),4)</f>
        <v>6.6E-3</v>
      </c>
      <c r="X5" s="13">
        <f t="shared" ref="X5" si="20">ROUND(N5/C5,4)</f>
        <v>2.3300000000000001E-2</v>
      </c>
      <c r="Y5" s="13">
        <f t="shared" ref="Y5" si="21">ROUND(N5/G5,4)</f>
        <v>2.0899999999999998E-2</v>
      </c>
      <c r="Z5" s="6">
        <f t="shared" ref="Z5" si="22">Q5/N5</f>
        <v>3.2996582789686242</v>
      </c>
      <c r="AA5" s="13">
        <f t="shared" ref="AA5" si="23">ROUND(Y5*R5,4)</f>
        <v>9.9299999999999999E-2</v>
      </c>
      <c r="AB5" s="35">
        <f t="shared" ref="AB5" si="24">ROUND(N5*(R5*0.01),3)</f>
        <v>15.29</v>
      </c>
      <c r="AC5" s="6">
        <f t="shared" ref="AC5" si="25">ROUND(N5/(R5*0.01),2)</f>
        <v>6776.84</v>
      </c>
      <c r="AD5" s="6">
        <f>ROUND(AVERAGE(AC5:AC7),2)</f>
        <v>6896.49</v>
      </c>
      <c r="AE5" s="29">
        <f>ROUND((AD5-AD10)/AD10,4)</f>
        <v>-2.8299999999999999E-2</v>
      </c>
      <c r="AF5" s="13">
        <f t="shared" si="16"/>
        <v>0.154</v>
      </c>
      <c r="AG5" s="22">
        <f>ROUND((W5*500)+(V5*1000)+(E5*1000)+(F5*500)-(X5*300)+40,2)</f>
        <v>50.96</v>
      </c>
      <c r="AH5" s="22">
        <f t="shared" ref="AH5:AH68" si="26">ROUND((I5*1500)+(J5*700)-(AA5*175)-(AE5*30)+Z5+52,2)</f>
        <v>65.88</v>
      </c>
      <c r="AI5" s="22">
        <f>IF((AG5*0.75)+(AH5*0.25)&lt;0,0,(AG5*0.75)+(AH5*0.25))</f>
        <v>54.69</v>
      </c>
      <c r="AJ5" s="22">
        <f>ROUND(AVERAGE(AI5:AI8),2)</f>
        <v>56.56</v>
      </c>
    </row>
    <row r="6" spans="1:37" x14ac:dyDescent="0.25">
      <c r="A6" s="34">
        <v>43160</v>
      </c>
      <c r="B6" s="34">
        <f t="shared" si="17"/>
        <v>43220</v>
      </c>
      <c r="C6">
        <v>13730.3</v>
      </c>
      <c r="D6" s="6">
        <f>ROUND(AVERAGE(C6:C8),2)</f>
        <v>13679.6</v>
      </c>
      <c r="E6" s="29">
        <f>ROUND((D6-D9)/D9,4)</f>
        <v>7.4000000000000003E-3</v>
      </c>
      <c r="F6" s="29">
        <f>ROUND((C6-AVERAGE(C7:C9))/AVERAGE(C7:C9),4)</f>
        <v>6.1000000000000004E-3</v>
      </c>
      <c r="G6">
        <v>15345.6</v>
      </c>
      <c r="H6" s="6">
        <f>ROUND(AVERAGE(G6:G8),2)</f>
        <v>15288.93</v>
      </c>
      <c r="I6" s="29">
        <f>ROUND((H6-H9)/H9,4)</f>
        <v>1.7100000000000001E-2</v>
      </c>
      <c r="J6" s="29">
        <f>ROUND((G6-AVERAGE(G7:G9))/AVERAGE(G7:G9),4)</f>
        <v>9.4999999999999998E-3</v>
      </c>
      <c r="K6">
        <v>2.07063</v>
      </c>
      <c r="L6">
        <v>1.74</v>
      </c>
      <c r="M6" s="35">
        <f>ROUND((K6+L6)/2,3)</f>
        <v>1.905</v>
      </c>
      <c r="N6">
        <v>316.7</v>
      </c>
      <c r="O6" s="29">
        <f>ROUND((N6-AVERAGE(N7:N9))/AVERAGE(N7:N9),4)</f>
        <v>1.1299999999999999E-2</v>
      </c>
      <c r="P6">
        <v>7.2</v>
      </c>
      <c r="Q6" s="6">
        <f t="shared" ref="Q6:Q69" si="27">ROUND(G6*(P6*0.01),2)</f>
        <v>1104.8800000000001</v>
      </c>
      <c r="R6">
        <v>4.58</v>
      </c>
      <c r="S6" s="36">
        <f t="shared" ref="S6:S69" si="28">ROUND((S7+(S7*((K6*0.01)/12))),2)</f>
        <v>66.69</v>
      </c>
      <c r="T6" s="6">
        <f>ROUND(C6/S6,2)</f>
        <v>205.88</v>
      </c>
      <c r="U6" s="6">
        <f>ROUND(AVERAGE(T6:T8),2)</f>
        <v>205.45</v>
      </c>
      <c r="V6" s="29">
        <f>ROUND((U6-U9)/U9,4)</f>
        <v>2.8E-3</v>
      </c>
      <c r="W6" s="29">
        <f>ROUND((T6-AVERAGE(T7:T9))/AVERAGE(T7:T9),4)</f>
        <v>2.8999999999999998E-3</v>
      </c>
      <c r="X6" s="13">
        <f t="shared" ref="X6:X69" si="29">ROUND(N6/C6,4)</f>
        <v>2.3099999999999999E-2</v>
      </c>
      <c r="Y6" s="13">
        <f t="shared" ref="Y6:Y69" si="30">ROUND(N6/G6,4)</f>
        <v>2.06E-2</v>
      </c>
      <c r="Z6" s="6">
        <f t="shared" ref="Z6:Z69" si="31">Q6/N6</f>
        <v>3.4887275023681723</v>
      </c>
      <c r="AA6" s="13">
        <f t="shared" ref="AA6:AA69" si="32">ROUND(Y6*R6,4)</f>
        <v>9.4299999999999995E-2</v>
      </c>
      <c r="AB6" s="35">
        <f t="shared" ref="AB6:AB69" si="33">ROUND(N6*(R6*0.01),3)</f>
        <v>14.505000000000001</v>
      </c>
      <c r="AC6" s="6">
        <f t="shared" ref="AC6:AC69" si="34">ROUND(N6/(R6*0.01),2)</f>
        <v>6914.85</v>
      </c>
      <c r="AD6" s="6">
        <f>ROUND(AVERAGE(AC6:AC8),2)</f>
        <v>6957.54</v>
      </c>
      <c r="AE6" s="29">
        <f>ROUND((AD6-AD11)/AD11,4)</f>
        <v>-1.4800000000000001E-2</v>
      </c>
      <c r="AF6" s="13">
        <f t="shared" si="16"/>
        <v>0.1588</v>
      </c>
      <c r="AG6" s="22">
        <f>ROUND((W6*500)+(V6*1000)+(E6*1000)+(F6*500)-(X6*300)+40,2)</f>
        <v>47.77</v>
      </c>
      <c r="AH6" s="22">
        <f t="shared" si="26"/>
        <v>71.73</v>
      </c>
      <c r="AI6" s="22">
        <f>IF((AG6*0.75)+(AH6*0.25)&lt;0,0,(AG6*0.75)+(AH6*0.25))</f>
        <v>53.760000000000005</v>
      </c>
      <c r="AJ6" s="22">
        <f>ROUND(AVERAGE(AI6:AI9),2)</f>
        <v>59.76</v>
      </c>
    </row>
    <row r="7" spans="1:37" x14ac:dyDescent="0.25">
      <c r="A7" s="34">
        <v>43132</v>
      </c>
      <c r="B7" s="34">
        <f t="shared" si="17"/>
        <v>43190</v>
      </c>
      <c r="C7">
        <v>13645.9</v>
      </c>
      <c r="D7" s="6">
        <f t="shared" ref="D7:D70" si="35">ROUND(AVERAGE(C7:C9),2)</f>
        <v>13647.37</v>
      </c>
      <c r="E7" s="29">
        <f t="shared" ref="E7:E70" si="36">ROUND((D7-D10)/D10,4)</f>
        <v>9.7000000000000003E-3</v>
      </c>
      <c r="F7" s="29">
        <f t="shared" ref="F7:F70" si="37">ROUND((C7-AVERAGE(C8:C10))/AVERAGE(C8:C10),4)</f>
        <v>1.1000000000000001E-3</v>
      </c>
      <c r="G7">
        <v>15285.5</v>
      </c>
      <c r="H7" s="6">
        <f t="shared" ref="H7:H70" si="38">ROUND(AVERAGE(G7:G9),2)</f>
        <v>15201.63</v>
      </c>
      <c r="I7" s="29">
        <f t="shared" ref="I7:I70" si="39">ROUND((H7-H10)/H10,4)</f>
        <v>1.4999999999999999E-2</v>
      </c>
      <c r="J7" s="29">
        <f t="shared" ref="J7:J70" si="40">ROUND((G7-AVERAGE(G8:G10))/AVERAGE(G8:G10),4)</f>
        <v>1.12E-2</v>
      </c>
      <c r="K7">
        <v>1.8522700000000001</v>
      </c>
      <c r="L7">
        <v>1.71</v>
      </c>
      <c r="M7" s="35">
        <f t="shared" ref="M7:M70" si="41">ROUND((K7+L7)/2,3)</f>
        <v>1.7809999999999999</v>
      </c>
      <c r="N7">
        <v>314.89999999999998</v>
      </c>
      <c r="O7" s="29">
        <f t="shared" ref="O7:O70" si="42">ROUND((N7-AVERAGE(N8:N10))/AVERAGE(N8:N10),4)</f>
        <v>1.55E-2</v>
      </c>
      <c r="P7">
        <v>7.4</v>
      </c>
      <c r="Q7" s="6">
        <f t="shared" si="27"/>
        <v>1131.1300000000001</v>
      </c>
      <c r="R7">
        <v>4.5</v>
      </c>
      <c r="S7" s="36">
        <f t="shared" si="28"/>
        <v>66.58</v>
      </c>
      <c r="T7" s="6">
        <f t="shared" ref="T7:T70" si="43">ROUND(C7/S7,2)</f>
        <v>204.95</v>
      </c>
      <c r="U7" s="6">
        <f t="shared" ref="U7:U70" si="44">ROUND(AVERAGE(T7:T9),2)</f>
        <v>205.28</v>
      </c>
      <c r="V7" s="29">
        <f t="shared" ref="V7:V70" si="45">ROUND((U7-U10)/U10,4)</f>
        <v>5.1000000000000004E-3</v>
      </c>
      <c r="W7" s="29">
        <f t="shared" ref="W7:W70" si="46">ROUND((T7-AVERAGE(T8:T10))/AVERAGE(T8:T10),4)</f>
        <v>-2E-3</v>
      </c>
      <c r="X7" s="13">
        <f t="shared" si="29"/>
        <v>2.3099999999999999E-2</v>
      </c>
      <c r="Y7" s="13">
        <f t="shared" si="30"/>
        <v>2.06E-2</v>
      </c>
      <c r="Z7" s="6">
        <f t="shared" si="31"/>
        <v>3.5920292156240081</v>
      </c>
      <c r="AA7" s="13">
        <f t="shared" si="32"/>
        <v>9.2700000000000005E-2</v>
      </c>
      <c r="AB7" s="35">
        <f t="shared" si="33"/>
        <v>14.170999999999999</v>
      </c>
      <c r="AC7" s="6">
        <f t="shared" si="34"/>
        <v>6997.78</v>
      </c>
      <c r="AD7" s="6">
        <f t="shared" ref="AD7:AD70" si="47">ROUND(AVERAGE(AC7:AC9),2)</f>
        <v>7011.68</v>
      </c>
      <c r="AE7" s="29">
        <f t="shared" ref="AE7:AE70" si="48">ROUND((AD7-AD12)/AD12,4)</f>
        <v>-6.7999999999999996E-3</v>
      </c>
      <c r="AF7" s="13">
        <f t="shared" si="16"/>
        <v>0.1613</v>
      </c>
      <c r="AG7" s="22">
        <f t="shared" ref="AG7:AG70" si="49">ROUND((W7*500)+(V7*1000)+(E7*1000)+(F7*500)-(X7*300)+40,2)</f>
        <v>47.42</v>
      </c>
      <c r="AH7" s="22">
        <f t="shared" si="26"/>
        <v>69.91</v>
      </c>
      <c r="AI7" s="22">
        <f t="shared" ref="AI7:AI70" si="50">IF((AG7*0.75)+(AH7*0.25)&lt;0,0,(AG7*0.75)+(AH7*0.25))</f>
        <v>53.042499999999997</v>
      </c>
      <c r="AJ7" s="22">
        <f t="shared" ref="AJ7:AJ70" si="51">ROUND(AVERAGE(AI7:AI10),2)</f>
        <v>64.040000000000006</v>
      </c>
    </row>
    <row r="8" spans="1:37" x14ac:dyDescent="0.25">
      <c r="A8" s="34">
        <v>43101</v>
      </c>
      <c r="B8" s="34">
        <f t="shared" si="17"/>
        <v>43159</v>
      </c>
      <c r="C8">
        <v>13662.6</v>
      </c>
      <c r="D8" s="6">
        <f t="shared" si="35"/>
        <v>13631.57</v>
      </c>
      <c r="E8" s="29">
        <f t="shared" si="36"/>
        <v>1.4999999999999999E-2</v>
      </c>
      <c r="F8" s="29">
        <f t="shared" si="37"/>
        <v>6.1000000000000004E-3</v>
      </c>
      <c r="G8">
        <v>15235.7</v>
      </c>
      <c r="H8" s="6">
        <f t="shared" si="38"/>
        <v>15116.63</v>
      </c>
      <c r="I8" s="29">
        <f t="shared" si="39"/>
        <v>1.3599999999999999E-2</v>
      </c>
      <c r="J8" s="29">
        <f t="shared" si="40"/>
        <v>1.35E-2</v>
      </c>
      <c r="K8">
        <v>1.75166</v>
      </c>
      <c r="L8">
        <v>1.7</v>
      </c>
      <c r="M8" s="35">
        <f t="shared" si="41"/>
        <v>1.726</v>
      </c>
      <c r="N8">
        <v>313.2</v>
      </c>
      <c r="O8" s="29">
        <f t="shared" si="42"/>
        <v>2.3099999999999999E-2</v>
      </c>
      <c r="P8">
        <v>7</v>
      </c>
      <c r="Q8" s="6">
        <f t="shared" si="27"/>
        <v>1066.5</v>
      </c>
      <c r="R8">
        <v>4.5</v>
      </c>
      <c r="S8" s="36">
        <f t="shared" si="28"/>
        <v>66.48</v>
      </c>
      <c r="T8" s="6">
        <f t="shared" si="43"/>
        <v>205.51</v>
      </c>
      <c r="U8" s="6">
        <f t="shared" si="44"/>
        <v>205.36</v>
      </c>
      <c r="V8" s="29">
        <f t="shared" si="45"/>
        <v>1.0500000000000001E-2</v>
      </c>
      <c r="W8" s="29">
        <f t="shared" si="46"/>
        <v>3.0999999999999999E-3</v>
      </c>
      <c r="X8" s="13">
        <f t="shared" si="29"/>
        <v>2.29E-2</v>
      </c>
      <c r="Y8" s="13">
        <f t="shared" si="30"/>
        <v>2.06E-2</v>
      </c>
      <c r="Z8" s="6">
        <f t="shared" si="31"/>
        <v>3.4051724137931036</v>
      </c>
      <c r="AA8" s="13">
        <f t="shared" si="32"/>
        <v>9.2700000000000005E-2</v>
      </c>
      <c r="AB8" s="35">
        <f t="shared" si="33"/>
        <v>14.093999999999999</v>
      </c>
      <c r="AC8" s="6">
        <f t="shared" si="34"/>
        <v>6960</v>
      </c>
      <c r="AD8" s="6">
        <f t="shared" si="47"/>
        <v>7076.74</v>
      </c>
      <c r="AE8" s="29">
        <f t="shared" si="48"/>
        <v>-6.1000000000000004E-3</v>
      </c>
      <c r="AF8" s="13">
        <f t="shared" si="16"/>
        <v>0.1507</v>
      </c>
      <c r="AG8" s="22">
        <f t="shared" si="49"/>
        <v>63.23</v>
      </c>
      <c r="AH8" s="22">
        <f t="shared" si="26"/>
        <v>69.22</v>
      </c>
      <c r="AI8" s="22">
        <f t="shared" si="50"/>
        <v>64.727499999999992</v>
      </c>
      <c r="AJ8" s="22">
        <f t="shared" si="51"/>
        <v>66.83</v>
      </c>
    </row>
    <row r="9" spans="1:37" x14ac:dyDescent="0.25">
      <c r="A9" s="34">
        <v>43070</v>
      </c>
      <c r="B9" s="34">
        <f t="shared" si="17"/>
        <v>43131</v>
      </c>
      <c r="C9">
        <v>13633.6</v>
      </c>
      <c r="D9" s="6">
        <f t="shared" si="35"/>
        <v>13579.2</v>
      </c>
      <c r="E9" s="29">
        <f t="shared" si="36"/>
        <v>1.6500000000000001E-2</v>
      </c>
      <c r="F9" s="29">
        <f t="shared" si="37"/>
        <v>8.6E-3</v>
      </c>
      <c r="G9">
        <v>15083.7</v>
      </c>
      <c r="H9" s="6">
        <f t="shared" si="38"/>
        <v>15032.17</v>
      </c>
      <c r="I9" s="29">
        <f t="shared" si="39"/>
        <v>1.2500000000000001E-2</v>
      </c>
      <c r="J9" s="29">
        <f t="shared" si="40"/>
        <v>7.1999999999999998E-3</v>
      </c>
      <c r="K9">
        <v>1.8097399999999999</v>
      </c>
      <c r="L9">
        <v>1.67</v>
      </c>
      <c r="M9" s="35">
        <f t="shared" si="41"/>
        <v>1.74</v>
      </c>
      <c r="N9">
        <v>311.39999999999998</v>
      </c>
      <c r="O9" s="29">
        <f t="shared" si="42"/>
        <v>3.2399999999999998E-2</v>
      </c>
      <c r="P9">
        <v>6.2</v>
      </c>
      <c r="Q9" s="6">
        <f t="shared" si="27"/>
        <v>935.19</v>
      </c>
      <c r="R9">
        <v>4.4000000000000004</v>
      </c>
      <c r="S9" s="36">
        <f t="shared" si="28"/>
        <v>66.38</v>
      </c>
      <c r="T9" s="6">
        <f t="shared" si="43"/>
        <v>205.39</v>
      </c>
      <c r="U9" s="6">
        <f t="shared" si="44"/>
        <v>204.88</v>
      </c>
      <c r="V9" s="29">
        <f t="shared" si="45"/>
        <v>1.2200000000000001E-2</v>
      </c>
      <c r="W9" s="29">
        <f t="shared" si="46"/>
        <v>5.7000000000000002E-3</v>
      </c>
      <c r="X9" s="13">
        <f t="shared" si="29"/>
        <v>2.2800000000000001E-2</v>
      </c>
      <c r="Y9" s="13">
        <f t="shared" si="30"/>
        <v>2.06E-2</v>
      </c>
      <c r="Z9" s="6">
        <f t="shared" si="31"/>
        <v>3.0031791907514456</v>
      </c>
      <c r="AA9" s="13">
        <f t="shared" si="32"/>
        <v>9.06E-2</v>
      </c>
      <c r="AB9" s="35">
        <f t="shared" si="33"/>
        <v>13.702</v>
      </c>
      <c r="AC9" s="6">
        <f t="shared" si="34"/>
        <v>7077.27</v>
      </c>
      <c r="AD9" s="6">
        <f t="shared" si="47"/>
        <v>7119.87</v>
      </c>
      <c r="AE9" s="29">
        <f t="shared" si="48"/>
        <v>-4.5999999999999999E-3</v>
      </c>
      <c r="AF9" s="13">
        <f t="shared" si="16"/>
        <v>0.1313</v>
      </c>
      <c r="AG9" s="22">
        <f t="shared" si="49"/>
        <v>69.010000000000005</v>
      </c>
      <c r="AH9" s="22">
        <f t="shared" si="26"/>
        <v>63.08</v>
      </c>
      <c r="AI9" s="22">
        <f t="shared" si="50"/>
        <v>67.527500000000003</v>
      </c>
      <c r="AJ9" s="22">
        <f t="shared" si="51"/>
        <v>65.42</v>
      </c>
    </row>
    <row r="10" spans="1:37" x14ac:dyDescent="0.25">
      <c r="A10" s="34">
        <v>43040</v>
      </c>
      <c r="B10" s="34">
        <f t="shared" si="17"/>
        <v>43100</v>
      </c>
      <c r="C10">
        <v>13598.5</v>
      </c>
      <c r="D10" s="6">
        <f t="shared" si="35"/>
        <v>13516.7</v>
      </c>
      <c r="E10" s="29">
        <f t="shared" si="36"/>
        <v>1.6400000000000001E-2</v>
      </c>
      <c r="F10" s="29">
        <f t="shared" si="37"/>
        <v>1.2500000000000001E-2</v>
      </c>
      <c r="G10">
        <v>15030.5</v>
      </c>
      <c r="H10" s="6">
        <f t="shared" si="38"/>
        <v>14976.37</v>
      </c>
      <c r="I10" s="29">
        <f t="shared" si="39"/>
        <v>1.2999999999999999E-2</v>
      </c>
      <c r="J10" s="29">
        <f t="shared" si="40"/>
        <v>7.7999999999999996E-3</v>
      </c>
      <c r="K10">
        <v>1.8657900000000001</v>
      </c>
      <c r="L10">
        <v>1.65</v>
      </c>
      <c r="M10" s="35">
        <f t="shared" si="41"/>
        <v>1.758</v>
      </c>
      <c r="N10">
        <v>305.7</v>
      </c>
      <c r="O10" s="29">
        <f t="shared" si="42"/>
        <v>1.8499999999999999E-2</v>
      </c>
      <c r="P10">
        <v>6.2</v>
      </c>
      <c r="Q10" s="6">
        <f t="shared" si="27"/>
        <v>931.89</v>
      </c>
      <c r="R10">
        <v>4.25</v>
      </c>
      <c r="S10" s="36">
        <f t="shared" si="28"/>
        <v>66.28</v>
      </c>
      <c r="T10" s="6">
        <f t="shared" si="43"/>
        <v>205.17</v>
      </c>
      <c r="U10" s="6">
        <f t="shared" si="44"/>
        <v>204.23</v>
      </c>
      <c r="V10" s="29">
        <f t="shared" si="45"/>
        <v>1.21E-2</v>
      </c>
      <c r="W10" s="29">
        <f t="shared" si="46"/>
        <v>9.5999999999999992E-3</v>
      </c>
      <c r="X10" s="13">
        <f t="shared" si="29"/>
        <v>2.2499999999999999E-2</v>
      </c>
      <c r="Y10" s="13">
        <f t="shared" si="30"/>
        <v>2.0299999999999999E-2</v>
      </c>
      <c r="Z10" s="6">
        <f t="shared" si="31"/>
        <v>3.0483807654563297</v>
      </c>
      <c r="AA10" s="13">
        <f t="shared" si="32"/>
        <v>8.6300000000000002E-2</v>
      </c>
      <c r="AB10" s="35">
        <f t="shared" si="33"/>
        <v>12.992000000000001</v>
      </c>
      <c r="AC10" s="6">
        <f t="shared" si="34"/>
        <v>7192.94</v>
      </c>
      <c r="AD10" s="6">
        <f t="shared" si="47"/>
        <v>7097.25</v>
      </c>
      <c r="AE10" s="29">
        <f t="shared" si="48"/>
        <v>-5.7000000000000002E-3</v>
      </c>
      <c r="AF10" s="13">
        <f t="shared" si="16"/>
        <v>0.1313</v>
      </c>
      <c r="AG10" s="22">
        <f t="shared" si="49"/>
        <v>72.8</v>
      </c>
      <c r="AH10" s="22">
        <f t="shared" si="26"/>
        <v>65.08</v>
      </c>
      <c r="AI10" s="22">
        <f t="shared" si="50"/>
        <v>70.86999999999999</v>
      </c>
      <c r="AJ10" s="22">
        <f t="shared" si="51"/>
        <v>61.3</v>
      </c>
    </row>
    <row r="11" spans="1:37" x14ac:dyDescent="0.25">
      <c r="A11" s="34">
        <v>43009</v>
      </c>
      <c r="B11" s="34">
        <f t="shared" si="17"/>
        <v>43069</v>
      </c>
      <c r="C11">
        <v>13505.5</v>
      </c>
      <c r="D11" s="6">
        <f t="shared" si="35"/>
        <v>13430.23</v>
      </c>
      <c r="E11" s="29">
        <f t="shared" si="36"/>
        <v>1.26E-2</v>
      </c>
      <c r="F11" s="29">
        <f t="shared" si="37"/>
        <v>1.0999999999999999E-2</v>
      </c>
      <c r="G11">
        <v>14982.3</v>
      </c>
      <c r="H11" s="6">
        <f t="shared" si="38"/>
        <v>14913.83</v>
      </c>
      <c r="I11" s="29">
        <f t="shared" si="39"/>
        <v>1.14E-2</v>
      </c>
      <c r="J11" s="29">
        <f t="shared" si="40"/>
        <v>9.1000000000000004E-3</v>
      </c>
      <c r="K11">
        <v>1.70875</v>
      </c>
      <c r="L11">
        <v>1.62</v>
      </c>
      <c r="M11" s="35">
        <f t="shared" si="41"/>
        <v>1.6639999999999999</v>
      </c>
      <c r="N11">
        <v>301.3</v>
      </c>
      <c r="O11" s="29">
        <f t="shared" si="42"/>
        <v>4.1999999999999997E-3</v>
      </c>
      <c r="P11">
        <v>6.5</v>
      </c>
      <c r="Q11" s="6">
        <f t="shared" si="27"/>
        <v>973.85</v>
      </c>
      <c r="R11">
        <v>4.25</v>
      </c>
      <c r="S11" s="36">
        <f t="shared" si="28"/>
        <v>66.180000000000007</v>
      </c>
      <c r="T11" s="6">
        <f t="shared" si="43"/>
        <v>204.07</v>
      </c>
      <c r="U11" s="6">
        <f t="shared" si="44"/>
        <v>203.22</v>
      </c>
      <c r="V11" s="29">
        <f t="shared" si="45"/>
        <v>8.6999999999999994E-3</v>
      </c>
      <c r="W11" s="29">
        <f t="shared" si="46"/>
        <v>8.2000000000000007E-3</v>
      </c>
      <c r="X11" s="13">
        <f t="shared" si="29"/>
        <v>2.23E-2</v>
      </c>
      <c r="Y11" s="13">
        <f t="shared" si="30"/>
        <v>2.01E-2</v>
      </c>
      <c r="Z11" s="6">
        <f t="shared" si="31"/>
        <v>3.2321606372386325</v>
      </c>
      <c r="AA11" s="13">
        <f t="shared" si="32"/>
        <v>8.5400000000000004E-2</v>
      </c>
      <c r="AB11" s="35">
        <f t="shared" si="33"/>
        <v>12.805</v>
      </c>
      <c r="AC11" s="6">
        <f t="shared" si="34"/>
        <v>7089.41</v>
      </c>
      <c r="AD11" s="6">
        <f t="shared" si="47"/>
        <v>7061.96</v>
      </c>
      <c r="AE11" s="29">
        <f t="shared" si="48"/>
        <v>-1.06E-2</v>
      </c>
      <c r="AF11" s="13">
        <f t="shared" si="16"/>
        <v>0.13789999999999999</v>
      </c>
      <c r="AG11" s="22">
        <f t="shared" si="49"/>
        <v>64.209999999999994</v>
      </c>
      <c r="AH11" s="22">
        <f t="shared" si="26"/>
        <v>64.08</v>
      </c>
      <c r="AI11" s="22">
        <f t="shared" si="50"/>
        <v>64.177499999999995</v>
      </c>
      <c r="AJ11" s="22">
        <f t="shared" si="51"/>
        <v>56.36</v>
      </c>
    </row>
    <row r="12" spans="1:37" x14ac:dyDescent="0.25">
      <c r="A12" s="34">
        <v>42979</v>
      </c>
      <c r="B12" s="34">
        <f t="shared" si="17"/>
        <v>43039</v>
      </c>
      <c r="C12">
        <v>13446.1</v>
      </c>
      <c r="D12" s="6">
        <f t="shared" si="35"/>
        <v>13359.1</v>
      </c>
      <c r="E12" s="29">
        <f t="shared" si="36"/>
        <v>9.4999999999999998E-3</v>
      </c>
      <c r="F12" s="29">
        <f t="shared" si="37"/>
        <v>1.11E-2</v>
      </c>
      <c r="G12">
        <v>14916.3</v>
      </c>
      <c r="H12" s="6">
        <f t="shared" si="38"/>
        <v>14846.63</v>
      </c>
      <c r="I12" s="29">
        <f t="shared" si="39"/>
        <v>9.4999999999999998E-3</v>
      </c>
      <c r="J12" s="29">
        <f t="shared" si="40"/>
        <v>8.8999999999999999E-3</v>
      </c>
      <c r="K12">
        <v>1.77397</v>
      </c>
      <c r="L12">
        <v>1.62</v>
      </c>
      <c r="M12" s="35">
        <f t="shared" si="41"/>
        <v>1.6970000000000001</v>
      </c>
      <c r="N12">
        <v>297.89999999999998</v>
      </c>
      <c r="O12" s="29">
        <f t="shared" si="42"/>
        <v>-6.1000000000000004E-3</v>
      </c>
      <c r="P12">
        <v>6.6</v>
      </c>
      <c r="Q12" s="6">
        <f t="shared" si="27"/>
        <v>984.48</v>
      </c>
      <c r="R12">
        <v>4.25</v>
      </c>
      <c r="S12" s="36">
        <f t="shared" si="28"/>
        <v>66.09</v>
      </c>
      <c r="T12" s="6">
        <f t="shared" si="43"/>
        <v>203.45</v>
      </c>
      <c r="U12" s="6">
        <f t="shared" si="44"/>
        <v>202.42</v>
      </c>
      <c r="V12" s="29">
        <f t="shared" si="45"/>
        <v>5.7000000000000002E-3</v>
      </c>
      <c r="W12" s="29">
        <f t="shared" si="46"/>
        <v>8.3000000000000001E-3</v>
      </c>
      <c r="X12" s="13">
        <f t="shared" si="29"/>
        <v>2.2200000000000001E-2</v>
      </c>
      <c r="Y12" s="13">
        <f t="shared" si="30"/>
        <v>0.02</v>
      </c>
      <c r="Z12" s="6">
        <f t="shared" si="31"/>
        <v>3.3047331319234647</v>
      </c>
      <c r="AA12" s="13">
        <f t="shared" si="32"/>
        <v>8.5000000000000006E-2</v>
      </c>
      <c r="AB12" s="35">
        <f t="shared" si="33"/>
        <v>12.661</v>
      </c>
      <c r="AC12" s="6">
        <f t="shared" si="34"/>
        <v>7009.41</v>
      </c>
      <c r="AD12" s="6">
        <f t="shared" si="47"/>
        <v>7059.61</v>
      </c>
      <c r="AE12" s="29">
        <f t="shared" si="48"/>
        <v>-2.52E-2</v>
      </c>
      <c r="AF12" s="13">
        <f t="shared" si="16"/>
        <v>0.13950000000000001</v>
      </c>
      <c r="AG12" s="22">
        <f t="shared" si="49"/>
        <v>58.24</v>
      </c>
      <c r="AH12" s="22">
        <f t="shared" si="26"/>
        <v>61.67</v>
      </c>
      <c r="AI12" s="22">
        <f t="shared" si="50"/>
        <v>59.097499999999997</v>
      </c>
      <c r="AJ12" s="22">
        <f t="shared" si="51"/>
        <v>53.35</v>
      </c>
    </row>
    <row r="13" spans="1:37" x14ac:dyDescent="0.25">
      <c r="A13" s="34">
        <v>42948</v>
      </c>
      <c r="B13" s="34">
        <f t="shared" si="17"/>
        <v>43008</v>
      </c>
      <c r="C13">
        <v>13339.1</v>
      </c>
      <c r="D13" s="6">
        <f t="shared" si="35"/>
        <v>13299.1</v>
      </c>
      <c r="E13" s="29">
        <f t="shared" si="36"/>
        <v>7.7000000000000002E-3</v>
      </c>
      <c r="F13" s="29">
        <f t="shared" si="37"/>
        <v>5.7999999999999996E-3</v>
      </c>
      <c r="G13">
        <v>14842.9</v>
      </c>
      <c r="H13" s="6">
        <f t="shared" si="38"/>
        <v>14784.03</v>
      </c>
      <c r="I13" s="29">
        <f t="shared" si="39"/>
        <v>6.8999999999999999E-3</v>
      </c>
      <c r="J13" s="29">
        <f t="shared" si="40"/>
        <v>6.6E-3</v>
      </c>
      <c r="K13">
        <v>1.54348</v>
      </c>
      <c r="L13">
        <v>1.61</v>
      </c>
      <c r="M13" s="35">
        <f t="shared" si="41"/>
        <v>1.577</v>
      </c>
      <c r="N13">
        <v>301.2</v>
      </c>
      <c r="O13" s="29">
        <f t="shared" si="42"/>
        <v>2.06E-2</v>
      </c>
      <c r="P13">
        <v>6.8</v>
      </c>
      <c r="Q13" s="6">
        <f t="shared" si="27"/>
        <v>1009.32</v>
      </c>
      <c r="R13">
        <v>4.25</v>
      </c>
      <c r="S13" s="36">
        <f t="shared" si="28"/>
        <v>65.989999999999995</v>
      </c>
      <c r="T13" s="6">
        <f t="shared" si="43"/>
        <v>202.14</v>
      </c>
      <c r="U13" s="6">
        <f t="shared" si="44"/>
        <v>201.78</v>
      </c>
      <c r="V13" s="29">
        <f t="shared" si="45"/>
        <v>3.8E-3</v>
      </c>
      <c r="W13" s="29">
        <f t="shared" si="46"/>
        <v>3.3E-3</v>
      </c>
      <c r="X13" s="13">
        <f t="shared" si="29"/>
        <v>2.2599999999999999E-2</v>
      </c>
      <c r="Y13" s="13">
        <f t="shared" si="30"/>
        <v>2.0299999999999999E-2</v>
      </c>
      <c r="Z13" s="6">
        <f t="shared" si="31"/>
        <v>3.3509960159362553</v>
      </c>
      <c r="AA13" s="13">
        <f t="shared" si="32"/>
        <v>8.6300000000000002E-2</v>
      </c>
      <c r="AB13" s="35">
        <f t="shared" si="33"/>
        <v>12.801</v>
      </c>
      <c r="AC13" s="6">
        <f t="shared" si="34"/>
        <v>7087.06</v>
      </c>
      <c r="AD13" s="6">
        <f t="shared" si="47"/>
        <v>7120.23</v>
      </c>
      <c r="AE13" s="29">
        <f t="shared" si="48"/>
        <v>-3.7600000000000001E-2</v>
      </c>
      <c r="AF13" s="13">
        <f t="shared" si="16"/>
        <v>0.14180000000000001</v>
      </c>
      <c r="AG13" s="22">
        <f t="shared" si="49"/>
        <v>49.27</v>
      </c>
      <c r="AH13" s="22">
        <f t="shared" si="26"/>
        <v>56.35</v>
      </c>
      <c r="AI13" s="22">
        <f t="shared" si="50"/>
        <v>51.04</v>
      </c>
      <c r="AJ13" s="22">
        <f t="shared" si="51"/>
        <v>52.4</v>
      </c>
    </row>
    <row r="14" spans="1:37" x14ac:dyDescent="0.25">
      <c r="A14" s="34">
        <v>42917</v>
      </c>
      <c r="B14" s="34">
        <f t="shared" si="17"/>
        <v>42978</v>
      </c>
      <c r="C14">
        <v>13292.1</v>
      </c>
      <c r="D14" s="6">
        <f t="shared" si="35"/>
        <v>13262.57</v>
      </c>
      <c r="E14" s="29">
        <f t="shared" si="36"/>
        <v>8.6E-3</v>
      </c>
      <c r="F14" s="29">
        <f t="shared" si="37"/>
        <v>4.4999999999999997E-3</v>
      </c>
      <c r="G14">
        <v>14780.7</v>
      </c>
      <c r="H14" s="6">
        <f t="shared" si="38"/>
        <v>14745.33</v>
      </c>
      <c r="I14" s="29">
        <f t="shared" si="39"/>
        <v>7.0000000000000001E-3</v>
      </c>
      <c r="J14" s="29">
        <f t="shared" si="40"/>
        <v>5.0000000000000001E-3</v>
      </c>
      <c r="K14">
        <v>1.47899</v>
      </c>
      <c r="L14">
        <v>1.64</v>
      </c>
      <c r="M14" s="35">
        <f t="shared" si="41"/>
        <v>1.5589999999999999</v>
      </c>
      <c r="N14">
        <v>301</v>
      </c>
      <c r="O14" s="29">
        <f t="shared" si="42"/>
        <v>4.2799999999999998E-2</v>
      </c>
      <c r="P14">
        <v>6.7</v>
      </c>
      <c r="Q14" s="6">
        <f t="shared" si="27"/>
        <v>990.31</v>
      </c>
      <c r="R14">
        <v>4.25</v>
      </c>
      <c r="S14" s="36">
        <f t="shared" si="28"/>
        <v>65.91</v>
      </c>
      <c r="T14" s="6">
        <f t="shared" si="43"/>
        <v>201.67</v>
      </c>
      <c r="U14" s="6">
        <f t="shared" si="44"/>
        <v>201.47</v>
      </c>
      <c r="V14" s="29">
        <f t="shared" si="45"/>
        <v>4.4999999999999997E-3</v>
      </c>
      <c r="W14" s="29">
        <f t="shared" si="46"/>
        <v>2E-3</v>
      </c>
      <c r="X14" s="13">
        <f t="shared" si="29"/>
        <v>2.2599999999999999E-2</v>
      </c>
      <c r="Y14" s="13">
        <f t="shared" si="30"/>
        <v>2.0400000000000001E-2</v>
      </c>
      <c r="Z14" s="6">
        <f t="shared" si="31"/>
        <v>3.290066445182724</v>
      </c>
      <c r="AA14" s="13">
        <f t="shared" si="32"/>
        <v>8.6699999999999999E-2</v>
      </c>
      <c r="AB14" s="35">
        <f t="shared" si="33"/>
        <v>12.792999999999999</v>
      </c>
      <c r="AC14" s="6">
        <f t="shared" si="34"/>
        <v>7082.35</v>
      </c>
      <c r="AD14" s="6">
        <f t="shared" si="47"/>
        <v>7152.88</v>
      </c>
      <c r="AE14" s="29">
        <f t="shared" si="48"/>
        <v>-5.4399999999999997E-2</v>
      </c>
      <c r="AF14" s="13">
        <f t="shared" si="16"/>
        <v>0.1384</v>
      </c>
      <c r="AG14" s="22">
        <f t="shared" si="49"/>
        <v>49.57</v>
      </c>
      <c r="AH14" s="22">
        <f t="shared" si="26"/>
        <v>55.75</v>
      </c>
      <c r="AI14" s="22">
        <f t="shared" si="50"/>
        <v>51.115000000000002</v>
      </c>
      <c r="AJ14" s="22">
        <f t="shared" si="51"/>
        <v>53.4</v>
      </c>
    </row>
    <row r="15" spans="1:37" x14ac:dyDescent="0.25">
      <c r="A15" s="34">
        <v>42887</v>
      </c>
      <c r="B15" s="34">
        <f t="shared" si="17"/>
        <v>42947</v>
      </c>
      <c r="C15">
        <v>13266.1</v>
      </c>
      <c r="D15" s="6">
        <f t="shared" si="35"/>
        <v>13233.2</v>
      </c>
      <c r="E15" s="29">
        <f t="shared" si="36"/>
        <v>9.1000000000000004E-3</v>
      </c>
      <c r="F15" s="29">
        <f t="shared" si="37"/>
        <v>5.1999999999999998E-3</v>
      </c>
      <c r="G15">
        <v>14728.5</v>
      </c>
      <c r="H15" s="6">
        <f t="shared" si="38"/>
        <v>14707</v>
      </c>
      <c r="I15" s="29">
        <f t="shared" si="39"/>
        <v>7.4000000000000003E-3</v>
      </c>
      <c r="J15" s="29">
        <f t="shared" si="40"/>
        <v>3.2000000000000002E-3</v>
      </c>
      <c r="K15">
        <v>1.5101800000000001</v>
      </c>
      <c r="L15">
        <v>1.7</v>
      </c>
      <c r="M15" s="35">
        <f t="shared" si="41"/>
        <v>1.605</v>
      </c>
      <c r="N15">
        <v>297</v>
      </c>
      <c r="O15" s="29">
        <f t="shared" si="42"/>
        <v>5.0799999999999998E-2</v>
      </c>
      <c r="P15">
        <v>6.6</v>
      </c>
      <c r="Q15" s="6">
        <f t="shared" si="27"/>
        <v>972.08</v>
      </c>
      <c r="R15">
        <v>4.13</v>
      </c>
      <c r="S15" s="36">
        <f t="shared" si="28"/>
        <v>65.83</v>
      </c>
      <c r="T15" s="6">
        <f t="shared" si="43"/>
        <v>201.52</v>
      </c>
      <c r="U15" s="6">
        <f t="shared" si="44"/>
        <v>201.28</v>
      </c>
      <c r="V15" s="29">
        <f t="shared" si="45"/>
        <v>4.5999999999999999E-3</v>
      </c>
      <c r="W15" s="29">
        <f t="shared" si="46"/>
        <v>2.5000000000000001E-3</v>
      </c>
      <c r="X15" s="13">
        <f t="shared" si="29"/>
        <v>2.24E-2</v>
      </c>
      <c r="Y15" s="13">
        <f t="shared" si="30"/>
        <v>2.0199999999999999E-2</v>
      </c>
      <c r="Z15" s="6">
        <f t="shared" si="31"/>
        <v>3.2729966329966333</v>
      </c>
      <c r="AA15" s="13">
        <f t="shared" si="32"/>
        <v>8.3400000000000002E-2</v>
      </c>
      <c r="AB15" s="35">
        <f t="shared" si="33"/>
        <v>12.266</v>
      </c>
      <c r="AC15" s="6">
        <f t="shared" si="34"/>
        <v>7191.28</v>
      </c>
      <c r="AD15" s="6">
        <f t="shared" si="47"/>
        <v>7137.93</v>
      </c>
      <c r="AE15" s="29">
        <f t="shared" si="48"/>
        <v>-7.1400000000000005E-2</v>
      </c>
      <c r="AF15" s="13">
        <f t="shared" si="16"/>
        <v>0.13619999999999999</v>
      </c>
      <c r="AG15" s="22">
        <f t="shared" si="49"/>
        <v>50.83</v>
      </c>
      <c r="AH15" s="22">
        <f t="shared" si="26"/>
        <v>56.16</v>
      </c>
      <c r="AI15" s="22">
        <f t="shared" si="50"/>
        <v>52.162500000000001</v>
      </c>
      <c r="AJ15" s="22">
        <f t="shared" si="51"/>
        <v>55.19</v>
      </c>
    </row>
    <row r="16" spans="1:37" x14ac:dyDescent="0.25">
      <c r="A16" s="34">
        <v>42856</v>
      </c>
      <c r="B16" s="34">
        <f t="shared" si="17"/>
        <v>42916</v>
      </c>
      <c r="C16">
        <v>13229.5</v>
      </c>
      <c r="D16" s="6">
        <f t="shared" si="35"/>
        <v>13197.63</v>
      </c>
      <c r="E16" s="29">
        <f t="shared" si="36"/>
        <v>9.4000000000000004E-3</v>
      </c>
      <c r="F16" s="29">
        <f t="shared" si="37"/>
        <v>6.1000000000000004E-3</v>
      </c>
      <c r="G16">
        <v>14726.8</v>
      </c>
      <c r="H16" s="6">
        <f t="shared" si="38"/>
        <v>14682.2</v>
      </c>
      <c r="I16" s="29">
        <f t="shared" si="39"/>
        <v>1.11E-2</v>
      </c>
      <c r="J16" s="29">
        <f t="shared" si="40"/>
        <v>5.7999999999999996E-3</v>
      </c>
      <c r="K16">
        <v>1.6071800000000001</v>
      </c>
      <c r="L16">
        <v>1.71</v>
      </c>
      <c r="M16" s="35">
        <f t="shared" si="41"/>
        <v>1.659</v>
      </c>
      <c r="N16">
        <v>287.39999999999998</v>
      </c>
      <c r="O16" s="29">
        <f t="shared" si="42"/>
        <v>2.4400000000000002E-2</v>
      </c>
      <c r="P16">
        <v>6.9</v>
      </c>
      <c r="Q16" s="6">
        <f t="shared" si="27"/>
        <v>1016.15</v>
      </c>
      <c r="R16">
        <v>4</v>
      </c>
      <c r="S16" s="36">
        <f t="shared" si="28"/>
        <v>65.75</v>
      </c>
      <c r="T16" s="6">
        <f t="shared" si="43"/>
        <v>201.21</v>
      </c>
      <c r="U16" s="6">
        <f t="shared" si="44"/>
        <v>201.01</v>
      </c>
      <c r="V16" s="29">
        <f t="shared" si="45"/>
        <v>4.4999999999999997E-3</v>
      </c>
      <c r="W16" s="29">
        <f t="shared" si="46"/>
        <v>3.2000000000000002E-3</v>
      </c>
      <c r="X16" s="13">
        <f t="shared" si="29"/>
        <v>2.1700000000000001E-2</v>
      </c>
      <c r="Y16" s="13">
        <f t="shared" si="30"/>
        <v>1.95E-2</v>
      </c>
      <c r="Z16" s="6">
        <f t="shared" si="31"/>
        <v>3.5356645789839947</v>
      </c>
      <c r="AA16" s="13">
        <f t="shared" si="32"/>
        <v>7.8E-2</v>
      </c>
      <c r="AB16" s="35">
        <f t="shared" si="33"/>
        <v>11.496</v>
      </c>
      <c r="AC16" s="6">
        <f t="shared" si="34"/>
        <v>7185</v>
      </c>
      <c r="AD16" s="6">
        <f t="shared" si="47"/>
        <v>7137.74</v>
      </c>
      <c r="AE16" s="29">
        <f t="shared" si="48"/>
        <v>-8.1900000000000001E-2</v>
      </c>
      <c r="AF16" s="13">
        <f t="shared" si="16"/>
        <v>0.1424</v>
      </c>
      <c r="AG16" s="22">
        <f t="shared" si="49"/>
        <v>52.04</v>
      </c>
      <c r="AH16" s="22">
        <f t="shared" si="26"/>
        <v>65.05</v>
      </c>
      <c r="AI16" s="22">
        <f t="shared" si="50"/>
        <v>55.292500000000004</v>
      </c>
      <c r="AJ16" s="22">
        <f t="shared" si="51"/>
        <v>56.35</v>
      </c>
    </row>
    <row r="17" spans="1:36" x14ac:dyDescent="0.25">
      <c r="A17" s="34">
        <v>42826</v>
      </c>
      <c r="B17" s="34">
        <f t="shared" si="17"/>
        <v>42886</v>
      </c>
      <c r="C17">
        <v>13204</v>
      </c>
      <c r="D17" s="6">
        <f t="shared" si="35"/>
        <v>13149.23</v>
      </c>
      <c r="E17" s="29">
        <f t="shared" si="36"/>
        <v>8.3000000000000001E-3</v>
      </c>
      <c r="F17" s="29">
        <f t="shared" si="37"/>
        <v>6.8999999999999999E-3</v>
      </c>
      <c r="G17">
        <v>14665.7</v>
      </c>
      <c r="H17" s="6">
        <f t="shared" si="38"/>
        <v>14642.27</v>
      </c>
      <c r="I17" s="29">
        <f t="shared" si="39"/>
        <v>1.4E-2</v>
      </c>
      <c r="J17" s="29">
        <f t="shared" si="40"/>
        <v>4.4999999999999997E-3</v>
      </c>
      <c r="K17">
        <v>1.7833600000000001</v>
      </c>
      <c r="L17">
        <v>1.76</v>
      </c>
      <c r="M17" s="35">
        <f t="shared" si="41"/>
        <v>1.772</v>
      </c>
      <c r="N17">
        <v>281.5</v>
      </c>
      <c r="O17" s="29">
        <f t="shared" si="42"/>
        <v>3.3E-3</v>
      </c>
      <c r="P17">
        <v>6.7</v>
      </c>
      <c r="Q17" s="6">
        <f t="shared" si="27"/>
        <v>982.6</v>
      </c>
      <c r="R17">
        <v>4</v>
      </c>
      <c r="S17" s="36">
        <f t="shared" si="28"/>
        <v>65.66</v>
      </c>
      <c r="T17" s="6">
        <f t="shared" si="43"/>
        <v>201.1</v>
      </c>
      <c r="U17" s="6">
        <f t="shared" si="44"/>
        <v>200.57</v>
      </c>
      <c r="V17" s="29">
        <f t="shared" si="45"/>
        <v>3.3999999999999998E-3</v>
      </c>
      <c r="W17" s="29">
        <f t="shared" si="46"/>
        <v>3.7000000000000002E-3</v>
      </c>
      <c r="X17" s="13">
        <f t="shared" si="29"/>
        <v>2.1299999999999999E-2</v>
      </c>
      <c r="Y17" s="13">
        <f t="shared" si="30"/>
        <v>1.9199999999999998E-2</v>
      </c>
      <c r="Z17" s="6">
        <f t="shared" si="31"/>
        <v>3.4905861456483125</v>
      </c>
      <c r="AA17" s="13">
        <f t="shared" si="32"/>
        <v>7.6799999999999993E-2</v>
      </c>
      <c r="AB17" s="35">
        <f t="shared" si="33"/>
        <v>11.26</v>
      </c>
      <c r="AC17" s="6">
        <f t="shared" si="34"/>
        <v>7037.5</v>
      </c>
      <c r="AD17" s="6">
        <f t="shared" si="47"/>
        <v>7242.3</v>
      </c>
      <c r="AE17" s="29">
        <f t="shared" si="48"/>
        <v>-6.9199999999999998E-2</v>
      </c>
      <c r="AF17" s="13">
        <f t="shared" si="16"/>
        <v>0.13569999999999999</v>
      </c>
      <c r="AG17" s="22">
        <f t="shared" si="49"/>
        <v>50.61</v>
      </c>
      <c r="AH17" s="22">
        <f t="shared" si="26"/>
        <v>68.28</v>
      </c>
      <c r="AI17" s="22">
        <f t="shared" si="50"/>
        <v>55.027499999999996</v>
      </c>
      <c r="AJ17" s="22">
        <f t="shared" si="51"/>
        <v>58</v>
      </c>
    </row>
    <row r="18" spans="1:36" x14ac:dyDescent="0.25">
      <c r="A18" s="34">
        <v>42795</v>
      </c>
      <c r="B18" s="34">
        <f t="shared" si="17"/>
        <v>42855</v>
      </c>
      <c r="C18">
        <v>13159.4</v>
      </c>
      <c r="D18" s="6">
        <f t="shared" si="35"/>
        <v>13114.1</v>
      </c>
      <c r="E18" s="29">
        <f t="shared" si="36"/>
        <v>9.5999999999999992E-3</v>
      </c>
      <c r="F18" s="29">
        <f t="shared" si="37"/>
        <v>6.4000000000000003E-3</v>
      </c>
      <c r="G18">
        <v>14654.1</v>
      </c>
      <c r="H18" s="6">
        <f t="shared" si="38"/>
        <v>14599.57</v>
      </c>
      <c r="I18" s="29">
        <f t="shared" si="39"/>
        <v>1.6199999999999999E-2</v>
      </c>
      <c r="J18" s="29">
        <f t="shared" si="40"/>
        <v>9.1000000000000004E-3</v>
      </c>
      <c r="K18">
        <v>1.8647899999999999</v>
      </c>
      <c r="L18">
        <v>1.82</v>
      </c>
      <c r="M18" s="35">
        <f t="shared" si="41"/>
        <v>1.8420000000000001</v>
      </c>
      <c r="N18">
        <v>279</v>
      </c>
      <c r="O18" s="29">
        <f t="shared" si="42"/>
        <v>-6.4999999999999997E-3</v>
      </c>
      <c r="P18">
        <v>7</v>
      </c>
      <c r="Q18" s="6">
        <f t="shared" si="27"/>
        <v>1025.79</v>
      </c>
      <c r="R18">
        <v>3.88</v>
      </c>
      <c r="S18" s="36">
        <f t="shared" si="28"/>
        <v>65.56</v>
      </c>
      <c r="T18" s="6">
        <f t="shared" si="43"/>
        <v>200.72</v>
      </c>
      <c r="U18" s="6">
        <f t="shared" si="44"/>
        <v>200.36</v>
      </c>
      <c r="V18" s="29">
        <f t="shared" si="45"/>
        <v>4.7999999999999996E-3</v>
      </c>
      <c r="W18" s="29">
        <f t="shared" si="46"/>
        <v>3.0999999999999999E-3</v>
      </c>
      <c r="X18" s="13">
        <f t="shared" si="29"/>
        <v>2.12E-2</v>
      </c>
      <c r="Y18" s="13">
        <f t="shared" si="30"/>
        <v>1.9E-2</v>
      </c>
      <c r="Z18" s="6">
        <f t="shared" si="31"/>
        <v>3.6766666666666667</v>
      </c>
      <c r="AA18" s="13">
        <f t="shared" si="32"/>
        <v>7.3700000000000002E-2</v>
      </c>
      <c r="AB18" s="35">
        <f t="shared" si="33"/>
        <v>10.824999999999999</v>
      </c>
      <c r="AC18" s="6">
        <f t="shared" si="34"/>
        <v>7190.72</v>
      </c>
      <c r="AD18" s="6">
        <f t="shared" si="47"/>
        <v>7398.69</v>
      </c>
      <c r="AE18" s="29">
        <f t="shared" si="48"/>
        <v>-4.3999999999999997E-2</v>
      </c>
      <c r="AF18" s="13">
        <f t="shared" si="16"/>
        <v>0.1386</v>
      </c>
      <c r="AG18" s="22">
        <f t="shared" si="49"/>
        <v>52.79</v>
      </c>
      <c r="AH18" s="22">
        <f t="shared" si="26"/>
        <v>74.77</v>
      </c>
      <c r="AI18" s="22">
        <f t="shared" si="50"/>
        <v>58.284999999999997</v>
      </c>
      <c r="AJ18" s="22">
        <f t="shared" si="51"/>
        <v>59.37</v>
      </c>
    </row>
    <row r="19" spans="1:36" x14ac:dyDescent="0.25">
      <c r="A19" s="34">
        <v>42767</v>
      </c>
      <c r="B19" s="34">
        <f t="shared" si="17"/>
        <v>42825</v>
      </c>
      <c r="C19">
        <v>13084.3</v>
      </c>
      <c r="D19" s="6">
        <f t="shared" si="35"/>
        <v>13075.37</v>
      </c>
      <c r="E19" s="29">
        <f t="shared" si="36"/>
        <v>1.0200000000000001E-2</v>
      </c>
      <c r="F19" s="29">
        <f t="shared" si="37"/>
        <v>3.3E-3</v>
      </c>
      <c r="G19">
        <v>14607</v>
      </c>
      <c r="H19" s="6">
        <f t="shared" si="38"/>
        <v>14521.23</v>
      </c>
      <c r="I19" s="29">
        <f t="shared" si="39"/>
        <v>1.46E-2</v>
      </c>
      <c r="J19" s="29">
        <f t="shared" si="40"/>
        <v>1.15E-2</v>
      </c>
      <c r="K19">
        <v>2.1790500000000002</v>
      </c>
      <c r="L19">
        <v>1.9</v>
      </c>
      <c r="M19" s="35">
        <f t="shared" si="41"/>
        <v>2.04</v>
      </c>
      <c r="N19">
        <v>281.2</v>
      </c>
      <c r="O19" s="29">
        <f t="shared" si="42"/>
        <v>8.3999999999999995E-3</v>
      </c>
      <c r="P19">
        <v>7.2</v>
      </c>
      <c r="Q19" s="6">
        <f t="shared" si="27"/>
        <v>1051.7</v>
      </c>
      <c r="R19">
        <v>3.75</v>
      </c>
      <c r="S19" s="36">
        <f t="shared" si="28"/>
        <v>65.459999999999994</v>
      </c>
      <c r="T19" s="6">
        <f t="shared" si="43"/>
        <v>199.88</v>
      </c>
      <c r="U19" s="6">
        <f t="shared" si="44"/>
        <v>200.1</v>
      </c>
      <c r="V19" s="29">
        <f t="shared" si="45"/>
        <v>5.7999999999999996E-3</v>
      </c>
      <c r="W19" s="29">
        <f t="shared" si="46"/>
        <v>-1E-4</v>
      </c>
      <c r="X19" s="13">
        <f t="shared" si="29"/>
        <v>2.1499999999999998E-2</v>
      </c>
      <c r="Y19" s="13">
        <f t="shared" si="30"/>
        <v>1.9300000000000001E-2</v>
      </c>
      <c r="Z19" s="6">
        <f t="shared" si="31"/>
        <v>3.7400426742532007</v>
      </c>
      <c r="AA19" s="13">
        <f t="shared" si="32"/>
        <v>7.2400000000000006E-2</v>
      </c>
      <c r="AB19" s="35">
        <f t="shared" si="33"/>
        <v>10.545</v>
      </c>
      <c r="AC19" s="6">
        <f t="shared" si="34"/>
        <v>7498.67</v>
      </c>
      <c r="AD19" s="6">
        <f t="shared" si="47"/>
        <v>7564.05</v>
      </c>
      <c r="AE19" s="29">
        <f t="shared" si="48"/>
        <v>-2.1899999999999999E-2</v>
      </c>
      <c r="AF19" s="13">
        <f t="shared" si="16"/>
        <v>0.13900000000000001</v>
      </c>
      <c r="AG19" s="22">
        <f t="shared" si="49"/>
        <v>51.15</v>
      </c>
      <c r="AH19" s="22">
        <f t="shared" si="26"/>
        <v>73.680000000000007</v>
      </c>
      <c r="AI19" s="22">
        <f t="shared" si="50"/>
        <v>56.782499999999999</v>
      </c>
      <c r="AJ19" s="22">
        <f t="shared" si="51"/>
        <v>59.73</v>
      </c>
    </row>
    <row r="20" spans="1:36" x14ac:dyDescent="0.25">
      <c r="A20" s="34">
        <v>42736</v>
      </c>
      <c r="B20" s="34">
        <f t="shared" si="17"/>
        <v>42794</v>
      </c>
      <c r="C20">
        <v>13098.6</v>
      </c>
      <c r="D20" s="6">
        <f t="shared" si="35"/>
        <v>13040.77</v>
      </c>
      <c r="E20" s="29">
        <f t="shared" si="36"/>
        <v>1.12E-2</v>
      </c>
      <c r="F20" s="29">
        <f t="shared" si="37"/>
        <v>8.3999999999999995E-3</v>
      </c>
      <c r="G20">
        <v>14537.6</v>
      </c>
      <c r="H20" s="6">
        <f t="shared" si="38"/>
        <v>14440.3</v>
      </c>
      <c r="I20" s="29">
        <f t="shared" si="39"/>
        <v>1.2999999999999999E-2</v>
      </c>
      <c r="J20" s="29">
        <f t="shared" si="40"/>
        <v>1.18E-2</v>
      </c>
      <c r="K20">
        <v>2.04758</v>
      </c>
      <c r="L20">
        <v>1.94</v>
      </c>
      <c r="M20" s="35">
        <f t="shared" si="41"/>
        <v>1.994</v>
      </c>
      <c r="N20">
        <v>281.5</v>
      </c>
      <c r="O20" s="29">
        <f t="shared" si="42"/>
        <v>2.1000000000000001E-2</v>
      </c>
      <c r="P20">
        <v>6.7</v>
      </c>
      <c r="Q20" s="6">
        <f t="shared" si="27"/>
        <v>974.02</v>
      </c>
      <c r="R20">
        <v>3.75</v>
      </c>
      <c r="S20" s="36">
        <f t="shared" si="28"/>
        <v>65.34</v>
      </c>
      <c r="T20" s="6">
        <f t="shared" si="43"/>
        <v>200.47</v>
      </c>
      <c r="U20" s="6">
        <f t="shared" si="44"/>
        <v>199.9</v>
      </c>
      <c r="V20" s="29">
        <f t="shared" si="45"/>
        <v>7.3000000000000001E-3</v>
      </c>
      <c r="W20" s="29">
        <f t="shared" si="46"/>
        <v>5.4000000000000003E-3</v>
      </c>
      <c r="X20" s="13">
        <f t="shared" si="29"/>
        <v>2.1499999999999998E-2</v>
      </c>
      <c r="Y20" s="13">
        <f t="shared" si="30"/>
        <v>1.9400000000000001E-2</v>
      </c>
      <c r="Z20" s="6">
        <f t="shared" si="31"/>
        <v>3.4601065719360569</v>
      </c>
      <c r="AA20" s="13">
        <f t="shared" si="32"/>
        <v>7.2800000000000004E-2</v>
      </c>
      <c r="AB20" s="35">
        <f t="shared" si="33"/>
        <v>10.555999999999999</v>
      </c>
      <c r="AC20" s="6">
        <f t="shared" si="34"/>
        <v>7506.67</v>
      </c>
      <c r="AD20" s="6">
        <f t="shared" si="47"/>
        <v>7686.4</v>
      </c>
      <c r="AE20" s="29">
        <f t="shared" si="48"/>
        <v>-7.9000000000000008E-3</v>
      </c>
      <c r="AF20" s="13">
        <f t="shared" si="16"/>
        <v>0.12670000000000001</v>
      </c>
      <c r="AG20" s="22">
        <f t="shared" si="49"/>
        <v>58.95</v>
      </c>
      <c r="AH20" s="22">
        <f t="shared" si="26"/>
        <v>70.72</v>
      </c>
      <c r="AI20" s="22">
        <f t="shared" si="50"/>
        <v>61.892500000000005</v>
      </c>
      <c r="AJ20" s="22">
        <f t="shared" si="51"/>
        <v>60.71</v>
      </c>
    </row>
    <row r="21" spans="1:36" x14ac:dyDescent="0.25">
      <c r="A21" s="34">
        <v>42705</v>
      </c>
      <c r="B21" s="34">
        <f t="shared" si="17"/>
        <v>42766</v>
      </c>
      <c r="C21">
        <v>13043.2</v>
      </c>
      <c r="D21" s="6">
        <f t="shared" si="35"/>
        <v>12989.4</v>
      </c>
      <c r="E21" s="29">
        <f t="shared" si="36"/>
        <v>1.12E-2</v>
      </c>
      <c r="F21" s="29">
        <f t="shared" si="37"/>
        <v>7.7999999999999996E-3</v>
      </c>
      <c r="G21">
        <v>14419.1</v>
      </c>
      <c r="H21" s="6">
        <f t="shared" si="38"/>
        <v>14367.47</v>
      </c>
      <c r="I21" s="29">
        <f t="shared" si="39"/>
        <v>1.17E-2</v>
      </c>
      <c r="J21" s="29">
        <f t="shared" si="40"/>
        <v>7.4999999999999997E-3</v>
      </c>
      <c r="K21">
        <v>1.7445600000000001</v>
      </c>
      <c r="L21">
        <v>1.91</v>
      </c>
      <c r="M21" s="35">
        <f t="shared" si="41"/>
        <v>1.827</v>
      </c>
      <c r="N21">
        <v>279.8</v>
      </c>
      <c r="O21" s="29">
        <f t="shared" si="42"/>
        <v>2.7400000000000001E-2</v>
      </c>
      <c r="P21">
        <v>6.3</v>
      </c>
      <c r="Q21" s="6">
        <f t="shared" si="27"/>
        <v>908.4</v>
      </c>
      <c r="R21">
        <v>3.64</v>
      </c>
      <c r="S21" s="36">
        <f t="shared" si="28"/>
        <v>65.23</v>
      </c>
      <c r="T21" s="6">
        <f t="shared" si="43"/>
        <v>199.96</v>
      </c>
      <c r="U21" s="6">
        <f t="shared" si="44"/>
        <v>199.4</v>
      </c>
      <c r="V21" s="29">
        <f t="shared" si="45"/>
        <v>7.7000000000000002E-3</v>
      </c>
      <c r="W21" s="29">
        <f t="shared" si="46"/>
        <v>5.1000000000000004E-3</v>
      </c>
      <c r="X21" s="13">
        <f t="shared" si="29"/>
        <v>2.1499999999999998E-2</v>
      </c>
      <c r="Y21" s="13">
        <f t="shared" si="30"/>
        <v>1.9400000000000001E-2</v>
      </c>
      <c r="Z21" s="6">
        <f t="shared" si="31"/>
        <v>3.246604717655468</v>
      </c>
      <c r="AA21" s="13">
        <f t="shared" si="32"/>
        <v>7.0599999999999996E-2</v>
      </c>
      <c r="AB21" s="35">
        <f t="shared" si="33"/>
        <v>10.185</v>
      </c>
      <c r="AC21" s="6">
        <f t="shared" si="34"/>
        <v>7686.81</v>
      </c>
      <c r="AD21" s="6">
        <f t="shared" si="47"/>
        <v>7774.65</v>
      </c>
      <c r="AE21" s="29">
        <f t="shared" si="48"/>
        <v>8.3000000000000001E-3</v>
      </c>
      <c r="AF21" s="13">
        <f t="shared" si="16"/>
        <v>0.1168</v>
      </c>
      <c r="AG21" s="22">
        <f t="shared" si="49"/>
        <v>58.9</v>
      </c>
      <c r="AH21" s="22">
        <f t="shared" si="26"/>
        <v>65.44</v>
      </c>
      <c r="AI21" s="22">
        <f t="shared" si="50"/>
        <v>60.534999999999997</v>
      </c>
      <c r="AJ21" s="22">
        <f t="shared" si="51"/>
        <v>60.25</v>
      </c>
    </row>
    <row r="22" spans="1:36" x14ac:dyDescent="0.25">
      <c r="A22" s="34">
        <v>42675</v>
      </c>
      <c r="B22" s="34">
        <f t="shared" si="17"/>
        <v>42735</v>
      </c>
      <c r="C22">
        <v>12980.5</v>
      </c>
      <c r="D22" s="6">
        <f t="shared" si="35"/>
        <v>12942.83</v>
      </c>
      <c r="E22" s="29">
        <f t="shared" si="36"/>
        <v>1.0999999999999999E-2</v>
      </c>
      <c r="F22" s="29">
        <f t="shared" si="37"/>
        <v>6.4999999999999997E-3</v>
      </c>
      <c r="G22">
        <v>14364.2</v>
      </c>
      <c r="H22" s="6">
        <f t="shared" si="38"/>
        <v>14312.1</v>
      </c>
      <c r="I22" s="29">
        <f t="shared" si="39"/>
        <v>1.1299999999999999E-2</v>
      </c>
      <c r="J22" s="29">
        <f t="shared" si="40"/>
        <v>7.6E-3</v>
      </c>
      <c r="K22">
        <v>1.46088</v>
      </c>
      <c r="L22">
        <v>1.85</v>
      </c>
      <c r="M22" s="35">
        <f t="shared" si="41"/>
        <v>1.655</v>
      </c>
      <c r="N22">
        <v>275.3</v>
      </c>
      <c r="O22" s="29">
        <f t="shared" si="42"/>
        <v>1.6400000000000001E-2</v>
      </c>
      <c r="P22">
        <v>6.4</v>
      </c>
      <c r="Q22" s="6">
        <f t="shared" si="27"/>
        <v>919.31</v>
      </c>
      <c r="R22">
        <v>3.5</v>
      </c>
      <c r="S22" s="36">
        <f t="shared" si="28"/>
        <v>65.14</v>
      </c>
      <c r="T22" s="6">
        <f t="shared" si="43"/>
        <v>199.27</v>
      </c>
      <c r="U22" s="6">
        <f t="shared" si="44"/>
        <v>198.94</v>
      </c>
      <c r="V22" s="29">
        <f t="shared" si="45"/>
        <v>7.9000000000000008E-3</v>
      </c>
      <c r="W22" s="29">
        <f t="shared" si="46"/>
        <v>4.1000000000000003E-3</v>
      </c>
      <c r="X22" s="13">
        <f t="shared" si="29"/>
        <v>2.12E-2</v>
      </c>
      <c r="Y22" s="13">
        <f t="shared" si="30"/>
        <v>1.9199999999999998E-2</v>
      </c>
      <c r="Z22" s="6">
        <f t="shared" si="31"/>
        <v>3.3393025790047219</v>
      </c>
      <c r="AA22" s="13">
        <f t="shared" si="32"/>
        <v>6.7199999999999996E-2</v>
      </c>
      <c r="AB22" s="35">
        <f t="shared" si="33"/>
        <v>9.6359999999999992</v>
      </c>
      <c r="AC22" s="6">
        <f t="shared" si="34"/>
        <v>7865.71</v>
      </c>
      <c r="AD22" s="6">
        <f t="shared" si="47"/>
        <v>7780.95</v>
      </c>
      <c r="AE22" s="29">
        <f t="shared" si="48"/>
        <v>1.95E-2</v>
      </c>
      <c r="AF22" s="13">
        <f t="shared" si="16"/>
        <v>0.1181</v>
      </c>
      <c r="AG22" s="22">
        <f t="shared" si="49"/>
        <v>57.84</v>
      </c>
      <c r="AH22" s="22">
        <f t="shared" si="26"/>
        <v>65.260000000000005</v>
      </c>
      <c r="AI22" s="22">
        <f t="shared" si="50"/>
        <v>59.695000000000007</v>
      </c>
      <c r="AJ22" s="22">
        <f t="shared" si="51"/>
        <v>60.7</v>
      </c>
    </row>
    <row r="23" spans="1:36" x14ac:dyDescent="0.25">
      <c r="A23" s="34">
        <v>42644</v>
      </c>
      <c r="B23" s="34">
        <f t="shared" si="17"/>
        <v>42704</v>
      </c>
      <c r="C23">
        <v>12944.5</v>
      </c>
      <c r="D23" s="6">
        <f t="shared" si="35"/>
        <v>12896.6</v>
      </c>
      <c r="E23" s="29">
        <f t="shared" si="36"/>
        <v>1.11E-2</v>
      </c>
      <c r="F23" s="29">
        <f t="shared" si="37"/>
        <v>7.7000000000000002E-3</v>
      </c>
      <c r="G23">
        <v>14319.1</v>
      </c>
      <c r="H23" s="6">
        <f t="shared" si="38"/>
        <v>14255.53</v>
      </c>
      <c r="I23" s="29">
        <f t="shared" si="39"/>
        <v>9.9000000000000008E-3</v>
      </c>
      <c r="J23" s="29">
        <f t="shared" si="40"/>
        <v>8.2000000000000007E-3</v>
      </c>
      <c r="K23">
        <v>1.49329</v>
      </c>
      <c r="L23">
        <v>1.88</v>
      </c>
      <c r="M23" s="35">
        <f t="shared" si="41"/>
        <v>1.6870000000000001</v>
      </c>
      <c r="N23">
        <v>272</v>
      </c>
      <c r="O23" s="29">
        <f t="shared" si="42"/>
        <v>4.8999999999999998E-3</v>
      </c>
      <c r="P23">
        <v>6.4</v>
      </c>
      <c r="Q23" s="6">
        <f t="shared" si="27"/>
        <v>916.42</v>
      </c>
      <c r="R23">
        <v>3.5</v>
      </c>
      <c r="S23" s="36">
        <f t="shared" si="28"/>
        <v>65.06</v>
      </c>
      <c r="T23" s="6">
        <f t="shared" si="43"/>
        <v>198.96</v>
      </c>
      <c r="U23" s="6">
        <f t="shared" si="44"/>
        <v>198.46</v>
      </c>
      <c r="V23" s="29">
        <f t="shared" si="45"/>
        <v>8.3999999999999995E-3</v>
      </c>
      <c r="W23" s="29">
        <f t="shared" si="46"/>
        <v>5.4999999999999997E-3</v>
      </c>
      <c r="X23" s="13">
        <f t="shared" si="29"/>
        <v>2.1000000000000001E-2</v>
      </c>
      <c r="Y23" s="13">
        <f t="shared" si="30"/>
        <v>1.9E-2</v>
      </c>
      <c r="Z23" s="6">
        <f t="shared" si="31"/>
        <v>3.3691911764705882</v>
      </c>
      <c r="AA23" s="13">
        <f t="shared" si="32"/>
        <v>6.6500000000000004E-2</v>
      </c>
      <c r="AB23" s="35">
        <f t="shared" si="33"/>
        <v>9.52</v>
      </c>
      <c r="AC23" s="6">
        <f t="shared" si="34"/>
        <v>7771.43</v>
      </c>
      <c r="AD23" s="6">
        <f t="shared" si="47"/>
        <v>7739.05</v>
      </c>
      <c r="AE23" s="29">
        <f t="shared" si="48"/>
        <v>2.8500000000000001E-2</v>
      </c>
      <c r="AF23" s="13">
        <f t="shared" si="16"/>
        <v>0.11840000000000001</v>
      </c>
      <c r="AG23" s="22">
        <f t="shared" si="49"/>
        <v>59.8</v>
      </c>
      <c r="AH23" s="22">
        <f t="shared" si="26"/>
        <v>63.47</v>
      </c>
      <c r="AI23" s="22">
        <f t="shared" si="50"/>
        <v>60.717499999999994</v>
      </c>
      <c r="AJ23" s="22">
        <f t="shared" si="51"/>
        <v>61.32</v>
      </c>
    </row>
    <row r="24" spans="1:36" x14ac:dyDescent="0.25">
      <c r="A24" s="34">
        <v>42614</v>
      </c>
      <c r="B24" s="34">
        <f t="shared" si="17"/>
        <v>42674</v>
      </c>
      <c r="C24">
        <v>12903.5</v>
      </c>
      <c r="D24" s="6">
        <f t="shared" si="35"/>
        <v>12845.13</v>
      </c>
      <c r="E24" s="29">
        <f t="shared" si="36"/>
        <v>1.09E-2</v>
      </c>
      <c r="F24" s="29">
        <f t="shared" si="37"/>
        <v>7.9000000000000008E-3</v>
      </c>
      <c r="G24">
        <v>14253</v>
      </c>
      <c r="H24" s="6">
        <f t="shared" si="38"/>
        <v>14201.97</v>
      </c>
      <c r="I24" s="29">
        <f t="shared" si="39"/>
        <v>8.0999999999999996E-3</v>
      </c>
      <c r="J24" s="29">
        <f t="shared" si="40"/>
        <v>7.1000000000000004E-3</v>
      </c>
      <c r="K24">
        <v>1.2532799999999999</v>
      </c>
      <c r="L24">
        <v>1.79</v>
      </c>
      <c r="M24" s="35">
        <f t="shared" si="41"/>
        <v>1.522</v>
      </c>
      <c r="N24">
        <v>269.7</v>
      </c>
      <c r="O24" s="29">
        <f t="shared" si="42"/>
        <v>-5.4000000000000003E-3</v>
      </c>
      <c r="P24">
        <v>6.3</v>
      </c>
      <c r="Q24" s="6">
        <f t="shared" si="27"/>
        <v>897.94</v>
      </c>
      <c r="R24">
        <v>3.5</v>
      </c>
      <c r="S24" s="36">
        <f t="shared" si="28"/>
        <v>64.98</v>
      </c>
      <c r="T24" s="6">
        <f t="shared" si="43"/>
        <v>198.58</v>
      </c>
      <c r="U24" s="6">
        <f t="shared" si="44"/>
        <v>197.87</v>
      </c>
      <c r="V24" s="29">
        <f t="shared" si="45"/>
        <v>8.5000000000000006E-3</v>
      </c>
      <c r="W24" s="29">
        <f t="shared" si="46"/>
        <v>6.0000000000000001E-3</v>
      </c>
      <c r="X24" s="13">
        <f t="shared" si="29"/>
        <v>2.0899999999999998E-2</v>
      </c>
      <c r="Y24" s="13">
        <f t="shared" si="30"/>
        <v>1.89E-2</v>
      </c>
      <c r="Z24" s="6">
        <f t="shared" si="31"/>
        <v>3.3294030404152766</v>
      </c>
      <c r="AA24" s="13">
        <f t="shared" si="32"/>
        <v>6.6199999999999995E-2</v>
      </c>
      <c r="AB24" s="35">
        <f t="shared" si="33"/>
        <v>9.44</v>
      </c>
      <c r="AC24" s="6">
        <f t="shared" si="34"/>
        <v>7705.71</v>
      </c>
      <c r="AD24" s="6">
        <f t="shared" si="47"/>
        <v>7733.33</v>
      </c>
      <c r="AE24" s="29">
        <f t="shared" si="48"/>
        <v>3.2399999999999998E-2</v>
      </c>
      <c r="AF24" s="13">
        <f t="shared" si="16"/>
        <v>0.11609999999999999</v>
      </c>
      <c r="AG24" s="22">
        <f t="shared" si="49"/>
        <v>60.08</v>
      </c>
      <c r="AH24" s="22">
        <f t="shared" si="26"/>
        <v>59.89</v>
      </c>
      <c r="AI24" s="22">
        <f t="shared" si="50"/>
        <v>60.032499999999999</v>
      </c>
      <c r="AJ24" s="22">
        <f t="shared" si="51"/>
        <v>62.74</v>
      </c>
    </row>
    <row r="25" spans="1:36" x14ac:dyDescent="0.25">
      <c r="A25" s="34">
        <v>42583</v>
      </c>
      <c r="B25" s="34">
        <f t="shared" si="17"/>
        <v>42643</v>
      </c>
      <c r="C25">
        <v>12841.8</v>
      </c>
      <c r="D25" s="6">
        <f t="shared" si="35"/>
        <v>12802.33</v>
      </c>
      <c r="E25" s="29">
        <f t="shared" si="36"/>
        <v>1.3599999999999999E-2</v>
      </c>
      <c r="F25" s="29">
        <f t="shared" si="37"/>
        <v>6.7999999999999996E-3</v>
      </c>
      <c r="G25">
        <v>14194.5</v>
      </c>
      <c r="H25" s="6">
        <f t="shared" si="38"/>
        <v>14152.87</v>
      </c>
      <c r="I25" s="29">
        <f t="shared" si="39"/>
        <v>5.8999999999999999E-3</v>
      </c>
      <c r="J25" s="29">
        <f t="shared" si="40"/>
        <v>5.5999999999999999E-3</v>
      </c>
      <c r="K25">
        <v>0.99931999999999999</v>
      </c>
      <c r="L25">
        <v>1.79</v>
      </c>
      <c r="M25" s="35">
        <f t="shared" si="41"/>
        <v>1.395</v>
      </c>
      <c r="N25">
        <v>270.89999999999998</v>
      </c>
      <c r="O25" s="29">
        <f t="shared" si="42"/>
        <v>3.8E-3</v>
      </c>
      <c r="P25">
        <v>6.3</v>
      </c>
      <c r="Q25" s="6">
        <f t="shared" si="27"/>
        <v>894.25</v>
      </c>
      <c r="R25">
        <v>3.5</v>
      </c>
      <c r="S25" s="36">
        <f t="shared" si="28"/>
        <v>64.91</v>
      </c>
      <c r="T25" s="6">
        <f t="shared" si="43"/>
        <v>197.84</v>
      </c>
      <c r="U25" s="6">
        <f t="shared" si="44"/>
        <v>197.39</v>
      </c>
      <c r="V25" s="29">
        <f t="shared" si="45"/>
        <v>1.1299999999999999E-2</v>
      </c>
      <c r="W25" s="29">
        <f t="shared" si="46"/>
        <v>5.3E-3</v>
      </c>
      <c r="X25" s="13">
        <f t="shared" si="29"/>
        <v>2.1100000000000001E-2</v>
      </c>
      <c r="Y25" s="13">
        <f t="shared" si="30"/>
        <v>1.9099999999999999E-2</v>
      </c>
      <c r="Z25" s="6">
        <f t="shared" si="31"/>
        <v>3.3010335917312665</v>
      </c>
      <c r="AA25" s="13">
        <f t="shared" si="32"/>
        <v>6.6900000000000001E-2</v>
      </c>
      <c r="AB25" s="35">
        <f t="shared" si="33"/>
        <v>9.4819999999999993</v>
      </c>
      <c r="AC25" s="6">
        <f t="shared" si="34"/>
        <v>7740</v>
      </c>
      <c r="AD25" s="6">
        <f t="shared" si="47"/>
        <v>7747.62</v>
      </c>
      <c r="AE25" s="29">
        <f t="shared" si="48"/>
        <v>2.9399999999999999E-2</v>
      </c>
      <c r="AF25" s="13">
        <f t="shared" si="16"/>
        <v>0.1154</v>
      </c>
      <c r="AG25" s="22">
        <f t="shared" si="49"/>
        <v>64.62</v>
      </c>
      <c r="AH25" s="22">
        <f t="shared" si="26"/>
        <v>55.48</v>
      </c>
      <c r="AI25" s="22">
        <f t="shared" si="50"/>
        <v>62.335000000000001</v>
      </c>
      <c r="AJ25" s="22">
        <f t="shared" si="51"/>
        <v>62.71</v>
      </c>
    </row>
    <row r="26" spans="1:36" x14ac:dyDescent="0.25">
      <c r="A26" s="34">
        <v>42552</v>
      </c>
      <c r="B26" s="34">
        <f t="shared" si="17"/>
        <v>42613</v>
      </c>
      <c r="C26">
        <v>12790.1</v>
      </c>
      <c r="D26" s="6">
        <f t="shared" si="35"/>
        <v>12754.53</v>
      </c>
      <c r="E26" s="29">
        <f t="shared" si="36"/>
        <v>1.38E-2</v>
      </c>
      <c r="F26" s="29">
        <f t="shared" si="37"/>
        <v>6.6E-3</v>
      </c>
      <c r="G26">
        <v>14158.4</v>
      </c>
      <c r="H26" s="6">
        <f t="shared" si="38"/>
        <v>14115.87</v>
      </c>
      <c r="I26" s="29">
        <f t="shared" si="39"/>
        <v>4.8999999999999998E-3</v>
      </c>
      <c r="J26" s="29">
        <f t="shared" si="40"/>
        <v>5.0000000000000001E-3</v>
      </c>
      <c r="K26">
        <v>0.84774000000000005</v>
      </c>
      <c r="L26">
        <v>1.77</v>
      </c>
      <c r="M26" s="35">
        <f t="shared" si="41"/>
        <v>1.3089999999999999</v>
      </c>
      <c r="N26">
        <v>271.39999999999998</v>
      </c>
      <c r="O26" s="29">
        <f t="shared" si="42"/>
        <v>1.6E-2</v>
      </c>
      <c r="P26">
        <v>6.4</v>
      </c>
      <c r="Q26" s="6">
        <f t="shared" si="27"/>
        <v>906.14</v>
      </c>
      <c r="R26">
        <v>3.5</v>
      </c>
      <c r="S26" s="36">
        <f t="shared" si="28"/>
        <v>64.86</v>
      </c>
      <c r="T26" s="6">
        <f t="shared" si="43"/>
        <v>197.2</v>
      </c>
      <c r="U26" s="6">
        <f t="shared" si="44"/>
        <v>196.8</v>
      </c>
      <c r="V26" s="29">
        <f t="shared" si="45"/>
        <v>1.15E-2</v>
      </c>
      <c r="W26" s="29">
        <f t="shared" si="46"/>
        <v>5.0000000000000001E-3</v>
      </c>
      <c r="X26" s="13">
        <f t="shared" si="29"/>
        <v>2.12E-2</v>
      </c>
      <c r="Y26" s="13">
        <f t="shared" si="30"/>
        <v>1.9199999999999998E-2</v>
      </c>
      <c r="Z26" s="6">
        <f t="shared" si="31"/>
        <v>3.338761974944731</v>
      </c>
      <c r="AA26" s="13">
        <f t="shared" si="32"/>
        <v>6.7199999999999996E-2</v>
      </c>
      <c r="AB26" s="35">
        <f t="shared" si="33"/>
        <v>9.4990000000000006</v>
      </c>
      <c r="AC26" s="6">
        <f t="shared" si="34"/>
        <v>7754.29</v>
      </c>
      <c r="AD26" s="6">
        <f t="shared" si="47"/>
        <v>7710.48</v>
      </c>
      <c r="AE26" s="29">
        <f t="shared" si="48"/>
        <v>-2.3999999999999998E-3</v>
      </c>
      <c r="AF26" s="13">
        <f t="shared" si="16"/>
        <v>0.11749999999999999</v>
      </c>
      <c r="AG26" s="22">
        <f t="shared" si="49"/>
        <v>64.739999999999995</v>
      </c>
      <c r="AH26" s="22">
        <f t="shared" si="26"/>
        <v>54.5</v>
      </c>
      <c r="AI26" s="22">
        <f t="shared" si="50"/>
        <v>62.179999999999993</v>
      </c>
      <c r="AJ26" s="22">
        <f t="shared" si="51"/>
        <v>61.86</v>
      </c>
    </row>
    <row r="27" spans="1:36" x14ac:dyDescent="0.25">
      <c r="A27" s="34">
        <v>42522</v>
      </c>
      <c r="B27" s="34">
        <f t="shared" si="17"/>
        <v>42582</v>
      </c>
      <c r="C27">
        <v>12775.1</v>
      </c>
      <c r="D27" s="6">
        <f t="shared" si="35"/>
        <v>12706.53</v>
      </c>
      <c r="E27" s="29">
        <f t="shared" si="36"/>
        <v>1.44E-2</v>
      </c>
      <c r="F27" s="29">
        <f t="shared" si="37"/>
        <v>1.14E-2</v>
      </c>
      <c r="G27">
        <v>14105.7</v>
      </c>
      <c r="H27" s="6">
        <f t="shared" si="38"/>
        <v>14087.37</v>
      </c>
      <c r="I27" s="29">
        <f t="shared" si="39"/>
        <v>4.3E-3</v>
      </c>
      <c r="J27" s="29">
        <f t="shared" si="40"/>
        <v>2.5999999999999999E-3</v>
      </c>
      <c r="K27">
        <v>0.85736000000000001</v>
      </c>
      <c r="L27">
        <v>1.74</v>
      </c>
      <c r="M27" s="35">
        <f t="shared" si="41"/>
        <v>1.2989999999999999</v>
      </c>
      <c r="N27">
        <v>271.2</v>
      </c>
      <c r="O27" s="29">
        <f t="shared" si="42"/>
        <v>2.9700000000000001E-2</v>
      </c>
      <c r="P27">
        <v>6.2</v>
      </c>
      <c r="Q27" s="6">
        <f t="shared" si="27"/>
        <v>874.55</v>
      </c>
      <c r="R27">
        <v>3.5</v>
      </c>
      <c r="S27" s="36">
        <f t="shared" si="28"/>
        <v>64.81</v>
      </c>
      <c r="T27" s="6">
        <f t="shared" si="43"/>
        <v>197.12</v>
      </c>
      <c r="U27" s="6">
        <f t="shared" si="44"/>
        <v>196.21</v>
      </c>
      <c r="V27" s="29">
        <f t="shared" si="45"/>
        <v>1.2200000000000001E-2</v>
      </c>
      <c r="W27" s="29">
        <f t="shared" si="46"/>
        <v>9.9000000000000008E-3</v>
      </c>
      <c r="X27" s="13">
        <f t="shared" si="29"/>
        <v>2.12E-2</v>
      </c>
      <c r="Y27" s="13">
        <f t="shared" si="30"/>
        <v>1.9199999999999998E-2</v>
      </c>
      <c r="Z27" s="6">
        <f t="shared" si="31"/>
        <v>3.2247418879056049</v>
      </c>
      <c r="AA27" s="13">
        <f t="shared" si="32"/>
        <v>6.7199999999999996E-2</v>
      </c>
      <c r="AB27" s="35">
        <f t="shared" si="33"/>
        <v>9.4920000000000009</v>
      </c>
      <c r="AC27" s="6">
        <f t="shared" si="34"/>
        <v>7748.57</v>
      </c>
      <c r="AD27" s="6">
        <f t="shared" si="47"/>
        <v>7632.38</v>
      </c>
      <c r="AE27" s="29">
        <f t="shared" si="48"/>
        <v>-4.2299999999999997E-2</v>
      </c>
      <c r="AF27" s="13">
        <f t="shared" si="16"/>
        <v>0.11459999999999999</v>
      </c>
      <c r="AG27" s="22">
        <f t="shared" si="49"/>
        <v>70.89</v>
      </c>
      <c r="AH27" s="22">
        <f t="shared" si="26"/>
        <v>53</v>
      </c>
      <c r="AI27" s="22">
        <f t="shared" si="50"/>
        <v>66.417500000000004</v>
      </c>
      <c r="AJ27" s="22">
        <f t="shared" si="51"/>
        <v>59.16</v>
      </c>
    </row>
    <row r="28" spans="1:36" x14ac:dyDescent="0.25">
      <c r="A28" s="34">
        <v>42491</v>
      </c>
      <c r="B28" s="34">
        <f t="shared" si="17"/>
        <v>42551</v>
      </c>
      <c r="C28">
        <v>12698.4</v>
      </c>
      <c r="D28" s="6">
        <f t="shared" si="35"/>
        <v>12630.57</v>
      </c>
      <c r="E28" s="29">
        <f t="shared" si="36"/>
        <v>1.04E-2</v>
      </c>
      <c r="F28" s="29">
        <f t="shared" si="37"/>
        <v>9.2999999999999992E-3</v>
      </c>
      <c r="G28">
        <v>14083.5</v>
      </c>
      <c r="H28" s="6">
        <f t="shared" si="38"/>
        <v>14069.77</v>
      </c>
      <c r="I28" s="29">
        <f t="shared" si="39"/>
        <v>5.7000000000000002E-3</v>
      </c>
      <c r="J28" s="29">
        <f t="shared" si="40"/>
        <v>2.5999999999999999E-3</v>
      </c>
      <c r="K28">
        <v>0.88537999999999994</v>
      </c>
      <c r="L28">
        <v>1.79</v>
      </c>
      <c r="M28" s="35">
        <f t="shared" si="41"/>
        <v>1.3380000000000001</v>
      </c>
      <c r="N28">
        <v>267</v>
      </c>
      <c r="O28" s="29">
        <f t="shared" si="42"/>
        <v>1.84E-2</v>
      </c>
      <c r="P28">
        <v>6.6</v>
      </c>
      <c r="Q28" s="6">
        <f t="shared" si="27"/>
        <v>929.51</v>
      </c>
      <c r="R28">
        <v>3.5</v>
      </c>
      <c r="S28" s="36">
        <f t="shared" si="28"/>
        <v>64.760000000000005</v>
      </c>
      <c r="T28" s="6">
        <f t="shared" si="43"/>
        <v>196.08</v>
      </c>
      <c r="U28" s="6">
        <f t="shared" si="44"/>
        <v>195.19</v>
      </c>
      <c r="V28" s="29">
        <f t="shared" si="45"/>
        <v>8.3999999999999995E-3</v>
      </c>
      <c r="W28" s="29">
        <f t="shared" si="46"/>
        <v>7.7999999999999996E-3</v>
      </c>
      <c r="X28" s="13">
        <f t="shared" si="29"/>
        <v>2.1000000000000001E-2</v>
      </c>
      <c r="Y28" s="13">
        <f t="shared" si="30"/>
        <v>1.9E-2</v>
      </c>
      <c r="Z28" s="6">
        <f t="shared" si="31"/>
        <v>3.4813108614232209</v>
      </c>
      <c r="AA28" s="13">
        <f t="shared" si="32"/>
        <v>6.6500000000000004E-2</v>
      </c>
      <c r="AB28" s="35">
        <f t="shared" si="33"/>
        <v>9.3450000000000006</v>
      </c>
      <c r="AC28" s="6">
        <f t="shared" si="34"/>
        <v>7628.57</v>
      </c>
      <c r="AD28" s="6">
        <f t="shared" si="47"/>
        <v>7524.76</v>
      </c>
      <c r="AE28" s="29">
        <f t="shared" si="48"/>
        <v>-7.6300000000000007E-2</v>
      </c>
      <c r="AF28" s="13">
        <f t="shared" si="16"/>
        <v>0.1235</v>
      </c>
      <c r="AG28" s="22">
        <f t="shared" si="49"/>
        <v>61.05</v>
      </c>
      <c r="AH28" s="22">
        <f t="shared" si="26"/>
        <v>56.5</v>
      </c>
      <c r="AI28" s="22">
        <f t="shared" si="50"/>
        <v>59.912499999999994</v>
      </c>
      <c r="AJ28" s="22">
        <f t="shared" si="51"/>
        <v>55.74</v>
      </c>
    </row>
    <row r="29" spans="1:36" x14ac:dyDescent="0.25">
      <c r="A29" s="34">
        <v>42461</v>
      </c>
      <c r="B29" s="34">
        <f t="shared" si="17"/>
        <v>42521</v>
      </c>
      <c r="C29">
        <v>12646.1</v>
      </c>
      <c r="D29" s="6">
        <f t="shared" si="35"/>
        <v>12581.13</v>
      </c>
      <c r="E29" s="29">
        <f t="shared" si="36"/>
        <v>9.1000000000000004E-3</v>
      </c>
      <c r="F29" s="29">
        <f t="shared" si="37"/>
        <v>9.4999999999999998E-3</v>
      </c>
      <c r="G29">
        <v>14072.9</v>
      </c>
      <c r="H29" s="6">
        <f t="shared" si="38"/>
        <v>14047.03</v>
      </c>
      <c r="I29" s="29">
        <f t="shared" si="39"/>
        <v>6.6E-3</v>
      </c>
      <c r="J29" s="29">
        <f t="shared" si="40"/>
        <v>3.3E-3</v>
      </c>
      <c r="K29">
        <v>0.95659000000000005</v>
      </c>
      <c r="L29">
        <v>1.75</v>
      </c>
      <c r="M29" s="35">
        <f t="shared" si="41"/>
        <v>1.353</v>
      </c>
      <c r="N29">
        <v>263.2</v>
      </c>
      <c r="O29" s="29">
        <f t="shared" si="42"/>
        <v>-8.9999999999999998E-4</v>
      </c>
      <c r="P29">
        <v>7</v>
      </c>
      <c r="Q29" s="6">
        <f t="shared" si="27"/>
        <v>985.1</v>
      </c>
      <c r="R29">
        <v>3.5</v>
      </c>
      <c r="S29" s="36">
        <f t="shared" si="28"/>
        <v>64.709999999999994</v>
      </c>
      <c r="T29" s="6">
        <f t="shared" si="43"/>
        <v>195.43</v>
      </c>
      <c r="U29" s="6">
        <f t="shared" si="44"/>
        <v>194.56</v>
      </c>
      <c r="V29" s="29">
        <f t="shared" si="45"/>
        <v>7.1999999999999998E-3</v>
      </c>
      <c r="W29" s="29">
        <f t="shared" si="46"/>
        <v>8.2000000000000007E-3</v>
      </c>
      <c r="X29" s="13">
        <f t="shared" si="29"/>
        <v>2.0799999999999999E-2</v>
      </c>
      <c r="Y29" s="13">
        <f t="shared" si="30"/>
        <v>1.8700000000000001E-2</v>
      </c>
      <c r="Z29" s="6">
        <f t="shared" si="31"/>
        <v>3.7427811550151979</v>
      </c>
      <c r="AA29" s="13">
        <f t="shared" si="32"/>
        <v>6.5500000000000003E-2</v>
      </c>
      <c r="AB29" s="35">
        <f t="shared" si="33"/>
        <v>9.2119999999999997</v>
      </c>
      <c r="AC29" s="6">
        <f t="shared" si="34"/>
        <v>7520</v>
      </c>
      <c r="AD29" s="6">
        <f t="shared" si="47"/>
        <v>7490.47</v>
      </c>
      <c r="AE29" s="29">
        <f t="shared" si="48"/>
        <v>-8.2100000000000006E-2</v>
      </c>
      <c r="AF29" s="13">
        <f t="shared" si="16"/>
        <v>0.13150000000000001</v>
      </c>
      <c r="AG29" s="22">
        <f t="shared" si="49"/>
        <v>58.91</v>
      </c>
      <c r="AH29" s="22">
        <f t="shared" si="26"/>
        <v>58.95</v>
      </c>
      <c r="AI29" s="22">
        <f t="shared" si="50"/>
        <v>58.92</v>
      </c>
      <c r="AJ29" s="22">
        <f t="shared" si="51"/>
        <v>52.66</v>
      </c>
    </row>
    <row r="30" spans="1:36" x14ac:dyDescent="0.25">
      <c r="A30" s="34">
        <v>42430</v>
      </c>
      <c r="B30" s="34">
        <f t="shared" si="17"/>
        <v>42490</v>
      </c>
      <c r="C30">
        <v>12547.2</v>
      </c>
      <c r="D30" s="6">
        <f t="shared" si="35"/>
        <v>12526.5</v>
      </c>
      <c r="E30" s="29">
        <f t="shared" si="36"/>
        <v>6.4999999999999997E-3</v>
      </c>
      <c r="F30" s="29">
        <f t="shared" si="37"/>
        <v>3.7000000000000002E-3</v>
      </c>
      <c r="G30">
        <v>14052.9</v>
      </c>
      <c r="H30" s="6">
        <f t="shared" si="38"/>
        <v>14026.7</v>
      </c>
      <c r="I30" s="29">
        <f t="shared" si="39"/>
        <v>7.3000000000000001E-3</v>
      </c>
      <c r="J30" s="29">
        <f t="shared" si="40"/>
        <v>4.4999999999999997E-3</v>
      </c>
      <c r="K30">
        <v>0.67703999999999998</v>
      </c>
      <c r="L30">
        <v>1.72</v>
      </c>
      <c r="M30" s="35">
        <f t="shared" si="41"/>
        <v>1.1990000000000001</v>
      </c>
      <c r="N30">
        <v>259.89999999999998</v>
      </c>
      <c r="O30" s="29">
        <f t="shared" si="42"/>
        <v>-2.6700000000000002E-2</v>
      </c>
      <c r="P30">
        <v>7.5</v>
      </c>
      <c r="Q30" s="6">
        <f t="shared" si="27"/>
        <v>1053.97</v>
      </c>
      <c r="R30">
        <v>3.5</v>
      </c>
      <c r="S30" s="36">
        <f t="shared" si="28"/>
        <v>64.66</v>
      </c>
      <c r="T30" s="6">
        <f t="shared" si="43"/>
        <v>194.05</v>
      </c>
      <c r="U30" s="6">
        <f t="shared" si="44"/>
        <v>193.85</v>
      </c>
      <c r="V30" s="29">
        <f t="shared" si="45"/>
        <v>4.7999999999999996E-3</v>
      </c>
      <c r="W30" s="29">
        <f t="shared" si="46"/>
        <v>2.5000000000000001E-3</v>
      </c>
      <c r="X30" s="13">
        <f t="shared" si="29"/>
        <v>2.07E-2</v>
      </c>
      <c r="Y30" s="13">
        <f t="shared" si="30"/>
        <v>1.8499999999999999E-2</v>
      </c>
      <c r="Z30" s="6">
        <f t="shared" si="31"/>
        <v>4.0552904963447487</v>
      </c>
      <c r="AA30" s="13">
        <f t="shared" si="32"/>
        <v>6.4799999999999996E-2</v>
      </c>
      <c r="AB30" s="35">
        <f t="shared" si="33"/>
        <v>9.0969999999999995</v>
      </c>
      <c r="AC30" s="6">
        <f t="shared" si="34"/>
        <v>7425.71</v>
      </c>
      <c r="AD30" s="6">
        <f t="shared" si="47"/>
        <v>7526.66</v>
      </c>
      <c r="AE30" s="29">
        <f t="shared" si="48"/>
        <v>-7.3200000000000001E-2</v>
      </c>
      <c r="AF30" s="13">
        <f t="shared" si="16"/>
        <v>0.14000000000000001</v>
      </c>
      <c r="AG30" s="22">
        <f t="shared" si="49"/>
        <v>48.19</v>
      </c>
      <c r="AH30" s="22">
        <f t="shared" si="26"/>
        <v>61.01</v>
      </c>
      <c r="AI30" s="22">
        <f t="shared" si="50"/>
        <v>51.394999999999996</v>
      </c>
      <c r="AJ30" s="22">
        <f t="shared" si="51"/>
        <v>49.74</v>
      </c>
    </row>
    <row r="31" spans="1:36" x14ac:dyDescent="0.25">
      <c r="A31" s="34">
        <v>42401</v>
      </c>
      <c r="B31" s="34">
        <f t="shared" si="17"/>
        <v>42460</v>
      </c>
      <c r="C31">
        <v>12550.1</v>
      </c>
      <c r="D31" s="6">
        <f t="shared" si="35"/>
        <v>12500.47</v>
      </c>
      <c r="E31" s="29">
        <f t="shared" si="36"/>
        <v>6.4999999999999997E-3</v>
      </c>
      <c r="F31" s="29">
        <f t="shared" si="37"/>
        <v>6.7000000000000002E-3</v>
      </c>
      <c r="G31">
        <v>14015.3</v>
      </c>
      <c r="H31" s="6">
        <f t="shared" si="38"/>
        <v>13989.83</v>
      </c>
      <c r="I31" s="29">
        <f t="shared" si="39"/>
        <v>5.1999999999999998E-3</v>
      </c>
      <c r="J31" s="29">
        <f t="shared" si="40"/>
        <v>4.4000000000000003E-3</v>
      </c>
      <c r="K31">
        <v>0.74868000000000001</v>
      </c>
      <c r="L31">
        <v>1.74</v>
      </c>
      <c r="M31" s="35">
        <f t="shared" si="41"/>
        <v>1.244</v>
      </c>
      <c r="N31">
        <v>263.39999999999998</v>
      </c>
      <c r="O31" s="29">
        <f t="shared" si="42"/>
        <v>-1.9199999999999998E-2</v>
      </c>
      <c r="P31">
        <v>7.2</v>
      </c>
      <c r="Q31" s="6">
        <f t="shared" si="27"/>
        <v>1009.1</v>
      </c>
      <c r="R31">
        <v>3.5</v>
      </c>
      <c r="S31" s="36">
        <f t="shared" si="28"/>
        <v>64.62</v>
      </c>
      <c r="T31" s="6">
        <f t="shared" si="43"/>
        <v>194.21</v>
      </c>
      <c r="U31" s="6">
        <f t="shared" si="44"/>
        <v>193.57</v>
      </c>
      <c r="V31" s="29">
        <f t="shared" si="45"/>
        <v>5.1999999999999998E-3</v>
      </c>
      <c r="W31" s="29">
        <f t="shared" si="46"/>
        <v>5.4000000000000003E-3</v>
      </c>
      <c r="X31" s="13">
        <f t="shared" si="29"/>
        <v>2.1000000000000001E-2</v>
      </c>
      <c r="Y31" s="13">
        <f t="shared" si="30"/>
        <v>1.8800000000000001E-2</v>
      </c>
      <c r="Z31" s="6">
        <f t="shared" si="31"/>
        <v>3.8310554290053154</v>
      </c>
      <c r="AA31" s="13">
        <f t="shared" si="32"/>
        <v>6.5799999999999997E-2</v>
      </c>
      <c r="AB31" s="35">
        <f t="shared" si="33"/>
        <v>9.2189999999999994</v>
      </c>
      <c r="AC31" s="6">
        <f t="shared" si="34"/>
        <v>7525.71</v>
      </c>
      <c r="AD31" s="6">
        <f t="shared" si="47"/>
        <v>7728.97</v>
      </c>
      <c r="AE31" s="29">
        <f t="shared" si="48"/>
        <v>-4.7899999999999998E-2</v>
      </c>
      <c r="AF31" s="13">
        <f t="shared" si="16"/>
        <v>0.13059999999999999</v>
      </c>
      <c r="AG31" s="22">
        <f t="shared" si="49"/>
        <v>51.45</v>
      </c>
      <c r="AH31" s="22">
        <f t="shared" si="26"/>
        <v>56.63</v>
      </c>
      <c r="AI31" s="22">
        <f t="shared" si="50"/>
        <v>52.745000000000005</v>
      </c>
      <c r="AJ31" s="22">
        <f t="shared" si="51"/>
        <v>48.88</v>
      </c>
    </row>
    <row r="32" spans="1:36" x14ac:dyDescent="0.25">
      <c r="A32" s="34">
        <v>42370</v>
      </c>
      <c r="B32" s="34">
        <f t="shared" si="17"/>
        <v>42429</v>
      </c>
      <c r="C32">
        <v>12482.2</v>
      </c>
      <c r="D32" s="6">
        <f t="shared" si="35"/>
        <v>12467.13</v>
      </c>
      <c r="E32" s="29">
        <f t="shared" si="36"/>
        <v>5.3E-3</v>
      </c>
      <c r="F32" s="29">
        <f t="shared" si="37"/>
        <v>3.0000000000000001E-3</v>
      </c>
      <c r="G32">
        <v>14011.9</v>
      </c>
      <c r="H32" s="6">
        <f t="shared" si="38"/>
        <v>13954.33</v>
      </c>
      <c r="I32" s="29">
        <f t="shared" si="39"/>
        <v>2.5999999999999999E-3</v>
      </c>
      <c r="J32" s="29">
        <f t="shared" si="40"/>
        <v>6.1999999999999998E-3</v>
      </c>
      <c r="K32">
        <v>0.97224999999999995</v>
      </c>
      <c r="L32">
        <v>1.72</v>
      </c>
      <c r="M32" s="35">
        <f t="shared" si="41"/>
        <v>1.3460000000000001</v>
      </c>
      <c r="N32">
        <v>267</v>
      </c>
      <c r="O32" s="29">
        <f t="shared" si="42"/>
        <v>-3.5999999999999999E-3</v>
      </c>
      <c r="P32">
        <v>7.7</v>
      </c>
      <c r="Q32" s="6">
        <f t="shared" si="27"/>
        <v>1078.92</v>
      </c>
      <c r="R32">
        <v>3.5</v>
      </c>
      <c r="S32" s="36">
        <f t="shared" si="28"/>
        <v>64.58</v>
      </c>
      <c r="T32" s="6">
        <f t="shared" si="43"/>
        <v>193.28</v>
      </c>
      <c r="U32" s="6">
        <f t="shared" si="44"/>
        <v>193.17</v>
      </c>
      <c r="V32" s="29">
        <f t="shared" si="45"/>
        <v>4.4000000000000003E-3</v>
      </c>
      <c r="W32" s="29">
        <f t="shared" si="46"/>
        <v>1.9E-3</v>
      </c>
      <c r="X32" s="13">
        <f t="shared" si="29"/>
        <v>2.1399999999999999E-2</v>
      </c>
      <c r="Y32" s="13">
        <f t="shared" si="30"/>
        <v>1.9099999999999999E-2</v>
      </c>
      <c r="Z32" s="6">
        <f t="shared" si="31"/>
        <v>4.0408988764044951</v>
      </c>
      <c r="AA32" s="13">
        <f t="shared" si="32"/>
        <v>6.6900000000000001E-2</v>
      </c>
      <c r="AB32" s="35">
        <f t="shared" si="33"/>
        <v>9.3450000000000006</v>
      </c>
      <c r="AC32" s="6">
        <f t="shared" si="34"/>
        <v>7628.57</v>
      </c>
      <c r="AD32" s="6">
        <f t="shared" si="47"/>
        <v>7969.12</v>
      </c>
      <c r="AE32" s="29">
        <f t="shared" si="48"/>
        <v>-2.0799999999999999E-2</v>
      </c>
      <c r="AF32" s="13">
        <f t="shared" si="16"/>
        <v>0.13539999999999999</v>
      </c>
      <c r="AG32" s="22">
        <f t="shared" si="49"/>
        <v>45.73</v>
      </c>
      <c r="AH32" s="22">
        <f t="shared" si="26"/>
        <v>53.2</v>
      </c>
      <c r="AI32" s="22">
        <f t="shared" si="50"/>
        <v>47.597499999999997</v>
      </c>
      <c r="AJ32" s="22">
        <f t="shared" si="51"/>
        <v>48.69</v>
      </c>
    </row>
    <row r="33" spans="1:36" x14ac:dyDescent="0.25">
      <c r="A33" s="34">
        <v>42339</v>
      </c>
      <c r="B33" s="34">
        <f t="shared" si="17"/>
        <v>42400</v>
      </c>
      <c r="C33">
        <v>12469.1</v>
      </c>
      <c r="D33" s="6">
        <f t="shared" si="35"/>
        <v>12445.1</v>
      </c>
      <c r="E33" s="29">
        <f t="shared" si="36"/>
        <v>5.1999999999999998E-3</v>
      </c>
      <c r="F33" s="29">
        <f t="shared" si="37"/>
        <v>4.0000000000000001E-3</v>
      </c>
      <c r="G33">
        <v>13942.3</v>
      </c>
      <c r="H33" s="6">
        <f t="shared" si="38"/>
        <v>13925.07</v>
      </c>
      <c r="I33" s="29">
        <f t="shared" si="39"/>
        <v>1.9E-3</v>
      </c>
      <c r="J33" s="29">
        <f t="shared" si="40"/>
        <v>1.8E-3</v>
      </c>
      <c r="K33">
        <v>0.41487000000000002</v>
      </c>
      <c r="L33">
        <v>1.62</v>
      </c>
      <c r="M33" s="35">
        <f t="shared" si="41"/>
        <v>1.0169999999999999</v>
      </c>
      <c r="N33">
        <v>270.7</v>
      </c>
      <c r="O33" s="29">
        <f t="shared" si="42"/>
        <v>2.07E-2</v>
      </c>
      <c r="P33">
        <v>7.3</v>
      </c>
      <c r="Q33" s="6">
        <f t="shared" si="27"/>
        <v>1017.79</v>
      </c>
      <c r="R33">
        <v>3.37</v>
      </c>
      <c r="S33" s="36">
        <f t="shared" si="28"/>
        <v>64.53</v>
      </c>
      <c r="T33" s="6">
        <f t="shared" si="43"/>
        <v>193.23</v>
      </c>
      <c r="U33" s="6">
        <f t="shared" si="44"/>
        <v>192.92</v>
      </c>
      <c r="V33" s="29">
        <f t="shared" si="45"/>
        <v>4.4999999999999997E-3</v>
      </c>
      <c r="W33" s="29">
        <f t="shared" si="46"/>
        <v>3.3999999999999998E-3</v>
      </c>
      <c r="X33" s="13">
        <f t="shared" si="29"/>
        <v>2.1700000000000001E-2</v>
      </c>
      <c r="Y33" s="13">
        <f t="shared" si="30"/>
        <v>1.9400000000000001E-2</v>
      </c>
      <c r="Z33" s="6">
        <f t="shared" si="31"/>
        <v>3.7598448466937571</v>
      </c>
      <c r="AA33" s="13">
        <f t="shared" si="32"/>
        <v>6.54E-2</v>
      </c>
      <c r="AB33" s="35">
        <f t="shared" si="33"/>
        <v>9.1229999999999993</v>
      </c>
      <c r="AC33" s="6">
        <f t="shared" si="34"/>
        <v>8032.64</v>
      </c>
      <c r="AD33" s="6">
        <f t="shared" si="47"/>
        <v>8146.26</v>
      </c>
      <c r="AE33" s="29">
        <f t="shared" si="48"/>
        <v>8.0999999999999996E-3</v>
      </c>
      <c r="AF33" s="13">
        <f t="shared" si="16"/>
        <v>0.1249</v>
      </c>
      <c r="AG33" s="22">
        <f t="shared" si="49"/>
        <v>46.89</v>
      </c>
      <c r="AH33" s="22">
        <f t="shared" si="26"/>
        <v>48.18</v>
      </c>
      <c r="AI33" s="22">
        <f t="shared" si="50"/>
        <v>47.212500000000006</v>
      </c>
      <c r="AJ33" s="22">
        <f t="shared" si="51"/>
        <v>51.36</v>
      </c>
    </row>
    <row r="34" spans="1:36" x14ac:dyDescent="0.25">
      <c r="A34" s="34">
        <v>42309</v>
      </c>
      <c r="B34" s="34">
        <f t="shared" si="17"/>
        <v>42369</v>
      </c>
      <c r="C34">
        <v>12450.1</v>
      </c>
      <c r="D34" s="6">
        <f t="shared" si="35"/>
        <v>12419.67</v>
      </c>
      <c r="E34" s="29">
        <f t="shared" si="36"/>
        <v>5.4000000000000003E-3</v>
      </c>
      <c r="F34" s="29">
        <f t="shared" si="37"/>
        <v>4.0000000000000001E-3</v>
      </c>
      <c r="G34">
        <v>13908.8</v>
      </c>
      <c r="H34" s="6">
        <f t="shared" si="38"/>
        <v>13917.1</v>
      </c>
      <c r="I34" s="29">
        <f t="shared" si="39"/>
        <v>3.8999999999999998E-3</v>
      </c>
      <c r="J34" s="29">
        <f t="shared" si="40"/>
        <v>-6.9999999999999999E-4</v>
      </c>
      <c r="K34">
        <v>0.30645</v>
      </c>
      <c r="L34">
        <v>1.62</v>
      </c>
      <c r="M34" s="35">
        <f t="shared" si="41"/>
        <v>0.96299999999999997</v>
      </c>
      <c r="N34">
        <v>268</v>
      </c>
      <c r="O34" s="29">
        <f t="shared" si="42"/>
        <v>1.54E-2</v>
      </c>
      <c r="P34">
        <v>7.2</v>
      </c>
      <c r="Q34" s="6">
        <f t="shared" si="27"/>
        <v>1001.43</v>
      </c>
      <c r="R34">
        <v>3.25</v>
      </c>
      <c r="S34" s="36">
        <f t="shared" si="28"/>
        <v>64.510000000000005</v>
      </c>
      <c r="T34" s="6">
        <f t="shared" si="43"/>
        <v>192.99</v>
      </c>
      <c r="U34" s="6">
        <f t="shared" si="44"/>
        <v>192.57</v>
      </c>
      <c r="V34" s="29">
        <f t="shared" si="45"/>
        <v>4.7999999999999996E-3</v>
      </c>
      <c r="W34" s="29">
        <f t="shared" si="46"/>
        <v>3.5000000000000001E-3</v>
      </c>
      <c r="X34" s="13">
        <f t="shared" si="29"/>
        <v>2.1499999999999998E-2</v>
      </c>
      <c r="Y34" s="13">
        <f t="shared" si="30"/>
        <v>1.9300000000000001E-2</v>
      </c>
      <c r="Z34" s="6">
        <f t="shared" si="31"/>
        <v>3.7366791044776115</v>
      </c>
      <c r="AA34" s="13">
        <f t="shared" si="32"/>
        <v>6.2700000000000006E-2</v>
      </c>
      <c r="AB34" s="35">
        <f t="shared" si="33"/>
        <v>8.7100000000000009</v>
      </c>
      <c r="AC34" s="6">
        <f t="shared" si="34"/>
        <v>8246.15</v>
      </c>
      <c r="AD34" s="6">
        <f t="shared" si="47"/>
        <v>8160</v>
      </c>
      <c r="AE34" s="29">
        <f t="shared" si="48"/>
        <v>2.3699999999999999E-2</v>
      </c>
      <c r="AF34" s="13">
        <f t="shared" si="16"/>
        <v>0.1227</v>
      </c>
      <c r="AG34" s="22">
        <f t="shared" si="49"/>
        <v>47.5</v>
      </c>
      <c r="AH34" s="22">
        <f t="shared" si="26"/>
        <v>49.41</v>
      </c>
      <c r="AI34" s="22">
        <f t="shared" si="50"/>
        <v>47.977499999999999</v>
      </c>
      <c r="AJ34" s="22">
        <f t="shared" si="51"/>
        <v>55.81</v>
      </c>
    </row>
    <row r="35" spans="1:36" x14ac:dyDescent="0.25">
      <c r="A35" s="34">
        <v>42278</v>
      </c>
      <c r="B35" s="34">
        <f t="shared" si="17"/>
        <v>42338</v>
      </c>
      <c r="C35">
        <v>12416.1</v>
      </c>
      <c r="D35" s="6">
        <f t="shared" si="35"/>
        <v>12400.97</v>
      </c>
      <c r="E35" s="29">
        <f t="shared" si="36"/>
        <v>7.3000000000000001E-3</v>
      </c>
      <c r="F35" s="29">
        <f t="shared" si="37"/>
        <v>2.8999999999999998E-3</v>
      </c>
      <c r="G35">
        <v>13924.1</v>
      </c>
      <c r="H35" s="6">
        <f t="shared" si="38"/>
        <v>13918.5</v>
      </c>
      <c r="I35" s="29">
        <f t="shared" si="39"/>
        <v>8.0000000000000002E-3</v>
      </c>
      <c r="J35" s="29">
        <f t="shared" si="40"/>
        <v>1.8E-3</v>
      </c>
      <c r="K35">
        <v>0.15411</v>
      </c>
      <c r="L35">
        <v>1.62</v>
      </c>
      <c r="M35" s="35">
        <f t="shared" si="41"/>
        <v>0.88700000000000001</v>
      </c>
      <c r="N35">
        <v>265.2</v>
      </c>
      <c r="O35" s="29">
        <f t="shared" si="42"/>
        <v>5.1999999999999998E-3</v>
      </c>
      <c r="P35">
        <v>7.6</v>
      </c>
      <c r="Q35" s="6">
        <f t="shared" si="27"/>
        <v>1058.23</v>
      </c>
      <c r="R35">
        <v>3.25</v>
      </c>
      <c r="S35" s="36">
        <f t="shared" si="28"/>
        <v>64.489999999999995</v>
      </c>
      <c r="T35" s="6">
        <f t="shared" si="43"/>
        <v>192.53</v>
      </c>
      <c r="U35" s="6">
        <f t="shared" si="44"/>
        <v>192.32</v>
      </c>
      <c r="V35" s="29">
        <f t="shared" si="45"/>
        <v>6.6E-3</v>
      </c>
      <c r="W35" s="29">
        <f t="shared" si="46"/>
        <v>2.5000000000000001E-3</v>
      </c>
      <c r="X35" s="13">
        <f t="shared" si="29"/>
        <v>2.1399999999999999E-2</v>
      </c>
      <c r="Y35" s="13">
        <f t="shared" si="30"/>
        <v>1.9E-2</v>
      </c>
      <c r="Z35" s="6">
        <f t="shared" si="31"/>
        <v>3.9903092006033183</v>
      </c>
      <c r="AA35" s="13">
        <f t="shared" si="32"/>
        <v>6.1800000000000001E-2</v>
      </c>
      <c r="AB35" s="35">
        <f t="shared" si="33"/>
        <v>8.6189999999999998</v>
      </c>
      <c r="AC35" s="6">
        <f t="shared" si="34"/>
        <v>8160</v>
      </c>
      <c r="AD35" s="6">
        <f t="shared" si="47"/>
        <v>8121.03</v>
      </c>
      <c r="AE35" s="29">
        <f t="shared" si="48"/>
        <v>3.6499999999999998E-2</v>
      </c>
      <c r="AF35" s="13">
        <f t="shared" si="16"/>
        <v>0.1303</v>
      </c>
      <c r="AG35" s="22">
        <f t="shared" si="49"/>
        <v>50.18</v>
      </c>
      <c r="AH35" s="22">
        <f t="shared" si="26"/>
        <v>57.34</v>
      </c>
      <c r="AI35" s="22">
        <f t="shared" si="50"/>
        <v>51.97</v>
      </c>
      <c r="AJ35" s="22">
        <f t="shared" si="51"/>
        <v>61.04</v>
      </c>
    </row>
    <row r="36" spans="1:36" x14ac:dyDescent="0.25">
      <c r="A36" s="34">
        <v>42248</v>
      </c>
      <c r="B36" s="34">
        <f t="shared" si="17"/>
        <v>42308</v>
      </c>
      <c r="C36">
        <v>12392.8</v>
      </c>
      <c r="D36" s="6">
        <f t="shared" si="35"/>
        <v>12380.73</v>
      </c>
      <c r="E36" s="29">
        <f t="shared" si="36"/>
        <v>1.01E-2</v>
      </c>
      <c r="F36" s="29">
        <f t="shared" si="37"/>
        <v>3.3E-3</v>
      </c>
      <c r="G36">
        <v>13918.4</v>
      </c>
      <c r="H36" s="6">
        <f t="shared" si="38"/>
        <v>13899.3</v>
      </c>
      <c r="I36" s="29">
        <f t="shared" si="39"/>
        <v>1.15E-2</v>
      </c>
      <c r="J36" s="29">
        <f t="shared" si="40"/>
        <v>4.0000000000000001E-3</v>
      </c>
      <c r="K36">
        <v>0.12984999999999999</v>
      </c>
      <c r="L36">
        <v>1.66</v>
      </c>
      <c r="M36" s="35">
        <f t="shared" si="41"/>
        <v>0.89500000000000002</v>
      </c>
      <c r="N36">
        <v>262.39999999999998</v>
      </c>
      <c r="O36" s="29">
        <f t="shared" si="42"/>
        <v>-7.9000000000000008E-3</v>
      </c>
      <c r="P36">
        <v>7.7</v>
      </c>
      <c r="Q36" s="6">
        <f t="shared" si="27"/>
        <v>1071.72</v>
      </c>
      <c r="R36">
        <v>3.25</v>
      </c>
      <c r="S36" s="36">
        <f t="shared" si="28"/>
        <v>64.48</v>
      </c>
      <c r="T36" s="6">
        <f t="shared" si="43"/>
        <v>192.2</v>
      </c>
      <c r="U36" s="6">
        <f t="shared" si="44"/>
        <v>192.05</v>
      </c>
      <c r="V36" s="29">
        <f t="shared" si="45"/>
        <v>9.4999999999999998E-3</v>
      </c>
      <c r="W36" s="29">
        <f t="shared" si="46"/>
        <v>2.8999999999999998E-3</v>
      </c>
      <c r="X36" s="13">
        <f t="shared" si="29"/>
        <v>2.12E-2</v>
      </c>
      <c r="Y36" s="13">
        <f t="shared" si="30"/>
        <v>1.89E-2</v>
      </c>
      <c r="Z36" s="6">
        <f t="shared" si="31"/>
        <v>4.0842987804878055</v>
      </c>
      <c r="AA36" s="13">
        <f t="shared" si="32"/>
        <v>6.1400000000000003E-2</v>
      </c>
      <c r="AB36" s="35">
        <f t="shared" si="33"/>
        <v>8.5280000000000005</v>
      </c>
      <c r="AC36" s="6">
        <f t="shared" si="34"/>
        <v>8073.85</v>
      </c>
      <c r="AD36" s="6">
        <f t="shared" si="47"/>
        <v>8117.95</v>
      </c>
      <c r="AE36" s="29">
        <f t="shared" si="48"/>
        <v>4.3799999999999999E-2</v>
      </c>
      <c r="AF36" s="13">
        <f t="shared" si="16"/>
        <v>0.13200000000000001</v>
      </c>
      <c r="AG36" s="22">
        <f t="shared" si="49"/>
        <v>56.34</v>
      </c>
      <c r="AH36" s="22">
        <f t="shared" si="26"/>
        <v>64.08</v>
      </c>
      <c r="AI36" s="22">
        <f t="shared" si="50"/>
        <v>58.275000000000006</v>
      </c>
      <c r="AJ36" s="22">
        <f t="shared" si="51"/>
        <v>65.13</v>
      </c>
    </row>
    <row r="37" spans="1:36" x14ac:dyDescent="0.25">
      <c r="A37" s="34">
        <v>42217</v>
      </c>
      <c r="B37" s="34">
        <f t="shared" si="17"/>
        <v>42277</v>
      </c>
      <c r="C37">
        <v>12394</v>
      </c>
      <c r="D37" s="6">
        <f t="shared" si="35"/>
        <v>12352.57</v>
      </c>
      <c r="E37" s="29">
        <f t="shared" si="36"/>
        <v>1.1900000000000001E-2</v>
      </c>
      <c r="F37" s="29">
        <f t="shared" si="37"/>
        <v>6.7999999999999996E-3</v>
      </c>
      <c r="G37">
        <v>13913</v>
      </c>
      <c r="H37" s="6">
        <f t="shared" si="38"/>
        <v>13863.43</v>
      </c>
      <c r="I37" s="29">
        <f t="shared" si="39"/>
        <v>1.4200000000000001E-2</v>
      </c>
      <c r="J37" s="29">
        <f t="shared" si="40"/>
        <v>7.6E-3</v>
      </c>
      <c r="K37">
        <v>0.29953000000000002</v>
      </c>
      <c r="L37">
        <v>1.64</v>
      </c>
      <c r="M37" s="35">
        <f t="shared" si="41"/>
        <v>0.97</v>
      </c>
      <c r="N37">
        <v>264.2</v>
      </c>
      <c r="O37" s="29">
        <f t="shared" si="42"/>
        <v>6.0000000000000001E-3</v>
      </c>
      <c r="P37">
        <v>7.7</v>
      </c>
      <c r="Q37" s="6">
        <f t="shared" si="27"/>
        <v>1071.3</v>
      </c>
      <c r="R37">
        <v>3.25</v>
      </c>
      <c r="S37" s="36">
        <f t="shared" si="28"/>
        <v>64.47</v>
      </c>
      <c r="T37" s="6">
        <f t="shared" si="43"/>
        <v>192.24</v>
      </c>
      <c r="U37" s="6">
        <f t="shared" si="44"/>
        <v>191.65</v>
      </c>
      <c r="V37" s="29">
        <f t="shared" si="45"/>
        <v>1.12E-2</v>
      </c>
      <c r="W37" s="29">
        <f t="shared" si="46"/>
        <v>6.1999999999999998E-3</v>
      </c>
      <c r="X37" s="13">
        <f t="shared" si="29"/>
        <v>2.1299999999999999E-2</v>
      </c>
      <c r="Y37" s="13">
        <f t="shared" si="30"/>
        <v>1.9E-2</v>
      </c>
      <c r="Z37" s="6">
        <f t="shared" si="31"/>
        <v>4.0548826646479936</v>
      </c>
      <c r="AA37" s="13">
        <f t="shared" si="32"/>
        <v>6.1800000000000001E-2</v>
      </c>
      <c r="AB37" s="35">
        <f t="shared" si="33"/>
        <v>8.5869999999999997</v>
      </c>
      <c r="AC37" s="6">
        <f t="shared" si="34"/>
        <v>8129.23</v>
      </c>
      <c r="AD37" s="6">
        <f t="shared" si="47"/>
        <v>8138.46</v>
      </c>
      <c r="AE37" s="29">
        <f t="shared" si="48"/>
        <v>4.6800000000000001E-2</v>
      </c>
      <c r="AF37" s="13">
        <f t="shared" si="16"/>
        <v>0.13159999999999999</v>
      </c>
      <c r="AG37" s="22">
        <f t="shared" si="49"/>
        <v>63.21</v>
      </c>
      <c r="AH37" s="22">
        <f t="shared" si="26"/>
        <v>70.459999999999994</v>
      </c>
      <c r="AI37" s="22">
        <f t="shared" si="50"/>
        <v>65.022499999999994</v>
      </c>
      <c r="AJ37" s="22">
        <f t="shared" si="51"/>
        <v>67.16</v>
      </c>
    </row>
    <row r="38" spans="1:36" x14ac:dyDescent="0.25">
      <c r="A38" s="34">
        <v>42186</v>
      </c>
      <c r="B38" s="34">
        <f t="shared" si="17"/>
        <v>42247</v>
      </c>
      <c r="C38">
        <v>12355.4</v>
      </c>
      <c r="D38" s="6">
        <f t="shared" si="35"/>
        <v>12310.6</v>
      </c>
      <c r="E38" s="29">
        <f t="shared" si="36"/>
        <v>1.3599999999999999E-2</v>
      </c>
      <c r="F38" s="29">
        <f t="shared" si="37"/>
        <v>8.0000000000000002E-3</v>
      </c>
      <c r="G38">
        <v>13866.5</v>
      </c>
      <c r="H38" s="6">
        <f t="shared" si="38"/>
        <v>13808.2</v>
      </c>
      <c r="I38" s="29">
        <f t="shared" si="39"/>
        <v>1.4E-2</v>
      </c>
      <c r="J38" s="29">
        <f t="shared" si="40"/>
        <v>9.1000000000000004E-3</v>
      </c>
      <c r="K38">
        <v>0.27139000000000002</v>
      </c>
      <c r="L38">
        <v>1.61</v>
      </c>
      <c r="M38" s="35">
        <f t="shared" si="41"/>
        <v>0.94099999999999995</v>
      </c>
      <c r="N38">
        <v>264.89999999999998</v>
      </c>
      <c r="O38" s="29">
        <f t="shared" si="42"/>
        <v>2.2499999999999999E-2</v>
      </c>
      <c r="P38">
        <v>7.6</v>
      </c>
      <c r="Q38" s="6">
        <f t="shared" si="27"/>
        <v>1053.8499999999999</v>
      </c>
      <c r="R38">
        <v>3.25</v>
      </c>
      <c r="S38" s="36">
        <f t="shared" si="28"/>
        <v>64.45</v>
      </c>
      <c r="T38" s="6">
        <f t="shared" si="43"/>
        <v>191.71</v>
      </c>
      <c r="U38" s="6">
        <f t="shared" si="44"/>
        <v>191.05</v>
      </c>
      <c r="V38" s="29">
        <f t="shared" si="45"/>
        <v>1.2999999999999999E-2</v>
      </c>
      <c r="W38" s="29">
        <f t="shared" si="46"/>
        <v>7.7000000000000002E-3</v>
      </c>
      <c r="X38" s="13">
        <f t="shared" si="29"/>
        <v>2.1399999999999999E-2</v>
      </c>
      <c r="Y38" s="13">
        <f t="shared" si="30"/>
        <v>1.9099999999999999E-2</v>
      </c>
      <c r="Z38" s="6">
        <f t="shared" si="31"/>
        <v>3.9782936957342394</v>
      </c>
      <c r="AA38" s="13">
        <f t="shared" si="32"/>
        <v>6.2100000000000002E-2</v>
      </c>
      <c r="AB38" s="35">
        <f t="shared" si="33"/>
        <v>8.609</v>
      </c>
      <c r="AC38" s="6">
        <f t="shared" si="34"/>
        <v>8150.77</v>
      </c>
      <c r="AD38" s="6">
        <f t="shared" si="47"/>
        <v>8081.02</v>
      </c>
      <c r="AE38" s="29">
        <f t="shared" si="48"/>
        <v>3.5799999999999998E-2</v>
      </c>
      <c r="AF38" s="13">
        <f t="shared" si="16"/>
        <v>0.13039999999999999</v>
      </c>
      <c r="AG38" s="22">
        <f t="shared" si="49"/>
        <v>68.03</v>
      </c>
      <c r="AH38" s="22">
        <f t="shared" si="26"/>
        <v>71.41</v>
      </c>
      <c r="AI38" s="22">
        <f t="shared" si="50"/>
        <v>68.875</v>
      </c>
      <c r="AJ38" s="22">
        <f t="shared" si="51"/>
        <v>65.33</v>
      </c>
    </row>
    <row r="39" spans="1:36" x14ac:dyDescent="0.25">
      <c r="A39" s="34">
        <v>42156</v>
      </c>
      <c r="B39" s="34">
        <f t="shared" si="17"/>
        <v>42216</v>
      </c>
      <c r="C39">
        <v>12308.3</v>
      </c>
      <c r="D39" s="6">
        <f t="shared" si="35"/>
        <v>12256.73</v>
      </c>
      <c r="E39" s="29">
        <f t="shared" si="36"/>
        <v>1.3299999999999999E-2</v>
      </c>
      <c r="F39" s="29">
        <f t="shared" si="37"/>
        <v>8.3000000000000001E-3</v>
      </c>
      <c r="G39">
        <v>13810.8</v>
      </c>
      <c r="H39" s="6">
        <f t="shared" si="38"/>
        <v>13741.77</v>
      </c>
      <c r="I39" s="29">
        <f t="shared" si="39"/>
        <v>1.26E-2</v>
      </c>
      <c r="J39" s="29">
        <f t="shared" si="40"/>
        <v>1.04E-2</v>
      </c>
      <c r="K39">
        <v>0.32717000000000002</v>
      </c>
      <c r="L39">
        <v>1.63</v>
      </c>
      <c r="M39" s="35">
        <f t="shared" si="41"/>
        <v>0.97899999999999998</v>
      </c>
      <c r="N39">
        <v>264.39999999999998</v>
      </c>
      <c r="O39" s="29">
        <f t="shared" si="42"/>
        <v>3.8399999999999997E-2</v>
      </c>
      <c r="P39">
        <v>7.6</v>
      </c>
      <c r="Q39" s="6">
        <f t="shared" si="27"/>
        <v>1049.6199999999999</v>
      </c>
      <c r="R39">
        <v>3.25</v>
      </c>
      <c r="S39" s="36">
        <f t="shared" si="28"/>
        <v>64.44</v>
      </c>
      <c r="T39" s="6">
        <f t="shared" si="43"/>
        <v>191</v>
      </c>
      <c r="U39" s="6">
        <f t="shared" si="44"/>
        <v>190.25</v>
      </c>
      <c r="V39" s="29">
        <f t="shared" si="45"/>
        <v>1.2699999999999999E-2</v>
      </c>
      <c r="W39" s="29">
        <f t="shared" si="46"/>
        <v>7.7999999999999996E-3</v>
      </c>
      <c r="X39" s="13">
        <f t="shared" si="29"/>
        <v>2.1499999999999998E-2</v>
      </c>
      <c r="Y39" s="13">
        <f t="shared" si="30"/>
        <v>1.9099999999999999E-2</v>
      </c>
      <c r="Z39" s="6">
        <f t="shared" si="31"/>
        <v>3.9698184568835098</v>
      </c>
      <c r="AA39" s="13">
        <f t="shared" si="32"/>
        <v>6.2100000000000002E-2</v>
      </c>
      <c r="AB39" s="35">
        <f t="shared" si="33"/>
        <v>8.593</v>
      </c>
      <c r="AC39" s="6">
        <f t="shared" si="34"/>
        <v>8135.38</v>
      </c>
      <c r="AD39" s="6">
        <f t="shared" si="47"/>
        <v>7971.28</v>
      </c>
      <c r="AE39" s="29">
        <f t="shared" si="48"/>
        <v>2.3300000000000001E-2</v>
      </c>
      <c r="AF39" s="13">
        <f t="shared" si="16"/>
        <v>0.13170000000000001</v>
      </c>
      <c r="AG39" s="22">
        <f t="shared" si="49"/>
        <v>67.599999999999994</v>
      </c>
      <c r="AH39" s="22">
        <f t="shared" si="26"/>
        <v>70.58</v>
      </c>
      <c r="AI39" s="22">
        <f t="shared" si="50"/>
        <v>68.344999999999999</v>
      </c>
      <c r="AJ39" s="22">
        <f t="shared" si="51"/>
        <v>60.88</v>
      </c>
    </row>
    <row r="40" spans="1:36" x14ac:dyDescent="0.25">
      <c r="A40" s="34">
        <v>42125</v>
      </c>
      <c r="B40" s="34">
        <f t="shared" si="17"/>
        <v>42185</v>
      </c>
      <c r="C40">
        <v>12268.1</v>
      </c>
      <c r="D40" s="6">
        <f t="shared" si="35"/>
        <v>12206.73</v>
      </c>
      <c r="E40" s="29">
        <f t="shared" si="36"/>
        <v>1.1900000000000001E-2</v>
      </c>
      <c r="F40" s="29">
        <f t="shared" si="37"/>
        <v>1.01E-2</v>
      </c>
      <c r="G40">
        <v>13747.3</v>
      </c>
      <c r="H40" s="6">
        <f t="shared" si="38"/>
        <v>13669.27</v>
      </c>
      <c r="I40" s="29">
        <f t="shared" si="39"/>
        <v>8.9999999999999993E-3</v>
      </c>
      <c r="J40" s="29">
        <f t="shared" si="40"/>
        <v>9.4999999999999998E-3</v>
      </c>
      <c r="K40">
        <v>0.23913000000000001</v>
      </c>
      <c r="L40">
        <v>1.59</v>
      </c>
      <c r="M40" s="35">
        <f t="shared" si="41"/>
        <v>0.91500000000000004</v>
      </c>
      <c r="N40">
        <v>258.60000000000002</v>
      </c>
      <c r="O40" s="29">
        <f t="shared" si="42"/>
        <v>2.3099999999999999E-2</v>
      </c>
      <c r="P40">
        <v>7.5</v>
      </c>
      <c r="Q40" s="6">
        <f t="shared" si="27"/>
        <v>1031.05</v>
      </c>
      <c r="R40">
        <v>3.25</v>
      </c>
      <c r="S40" s="36">
        <f t="shared" si="28"/>
        <v>64.42</v>
      </c>
      <c r="T40" s="6">
        <f t="shared" si="43"/>
        <v>190.44</v>
      </c>
      <c r="U40" s="6">
        <f t="shared" si="44"/>
        <v>189.52</v>
      </c>
      <c r="V40" s="29">
        <f t="shared" si="45"/>
        <v>1.1299999999999999E-2</v>
      </c>
      <c r="W40" s="29">
        <f t="shared" si="46"/>
        <v>9.7999999999999997E-3</v>
      </c>
      <c r="X40" s="13">
        <f t="shared" si="29"/>
        <v>2.1100000000000001E-2</v>
      </c>
      <c r="Y40" s="13">
        <f t="shared" si="30"/>
        <v>1.8800000000000001E-2</v>
      </c>
      <c r="Z40" s="6">
        <f t="shared" si="31"/>
        <v>3.9870456303170916</v>
      </c>
      <c r="AA40" s="13">
        <f t="shared" si="32"/>
        <v>6.1100000000000002E-2</v>
      </c>
      <c r="AB40" s="35">
        <f t="shared" si="33"/>
        <v>8.4049999999999994</v>
      </c>
      <c r="AC40" s="6">
        <f t="shared" si="34"/>
        <v>7956.92</v>
      </c>
      <c r="AD40" s="6">
        <f t="shared" si="47"/>
        <v>7834.87</v>
      </c>
      <c r="AE40" s="29">
        <f t="shared" si="48"/>
        <v>1.18E-2</v>
      </c>
      <c r="AF40" s="13">
        <f t="shared" si="16"/>
        <v>0.13159999999999999</v>
      </c>
      <c r="AG40" s="22">
        <f t="shared" si="49"/>
        <v>66.819999999999993</v>
      </c>
      <c r="AH40" s="22">
        <f t="shared" si="26"/>
        <v>65.09</v>
      </c>
      <c r="AI40" s="22">
        <f t="shared" si="50"/>
        <v>66.387499999999989</v>
      </c>
      <c r="AJ40" s="22">
        <f t="shared" si="51"/>
        <v>55.78</v>
      </c>
    </row>
    <row r="41" spans="1:36" x14ac:dyDescent="0.25">
      <c r="A41" s="34">
        <v>42095</v>
      </c>
      <c r="B41" s="34">
        <f t="shared" si="17"/>
        <v>42155</v>
      </c>
      <c r="C41">
        <v>12193.8</v>
      </c>
      <c r="D41" s="6">
        <f t="shared" si="35"/>
        <v>12144.83</v>
      </c>
      <c r="E41" s="29">
        <f t="shared" si="36"/>
        <v>7.6E-3</v>
      </c>
      <c r="F41" s="29">
        <f t="shared" si="37"/>
        <v>8.0999999999999996E-3</v>
      </c>
      <c r="G41">
        <v>13667.2</v>
      </c>
      <c r="H41" s="6">
        <f t="shared" si="38"/>
        <v>13617.73</v>
      </c>
      <c r="I41" s="29">
        <f t="shared" si="39"/>
        <v>8.3999999999999995E-3</v>
      </c>
      <c r="J41" s="29">
        <f t="shared" si="40"/>
        <v>7.1000000000000004E-3</v>
      </c>
      <c r="K41">
        <v>0.13628999999999999</v>
      </c>
      <c r="L41">
        <v>1.62</v>
      </c>
      <c r="M41" s="35">
        <f t="shared" si="41"/>
        <v>0.878</v>
      </c>
      <c r="N41">
        <v>254.2</v>
      </c>
      <c r="O41" s="29">
        <f t="shared" si="42"/>
        <v>6.1000000000000004E-3</v>
      </c>
      <c r="P41">
        <v>7.6</v>
      </c>
      <c r="Q41" s="6">
        <f t="shared" si="27"/>
        <v>1038.71</v>
      </c>
      <c r="R41">
        <v>3.25</v>
      </c>
      <c r="S41" s="36">
        <f t="shared" si="28"/>
        <v>64.41</v>
      </c>
      <c r="T41" s="6">
        <f t="shared" si="43"/>
        <v>189.32</v>
      </c>
      <c r="U41" s="6">
        <f t="shared" si="44"/>
        <v>188.59</v>
      </c>
      <c r="V41" s="29">
        <f t="shared" si="45"/>
        <v>6.7999999999999996E-3</v>
      </c>
      <c r="W41" s="29">
        <f t="shared" si="46"/>
        <v>7.7000000000000002E-3</v>
      </c>
      <c r="X41" s="13">
        <f t="shared" si="29"/>
        <v>2.0799999999999999E-2</v>
      </c>
      <c r="Y41" s="13">
        <f t="shared" si="30"/>
        <v>1.8599999999999998E-2</v>
      </c>
      <c r="Z41" s="6">
        <f t="shared" si="31"/>
        <v>4.0861919748229747</v>
      </c>
      <c r="AA41" s="13">
        <f t="shared" si="32"/>
        <v>6.0499999999999998E-2</v>
      </c>
      <c r="AB41" s="35">
        <f t="shared" si="33"/>
        <v>8.2620000000000005</v>
      </c>
      <c r="AC41" s="6">
        <f t="shared" si="34"/>
        <v>7821.54</v>
      </c>
      <c r="AD41" s="6">
        <f t="shared" si="47"/>
        <v>7777.44</v>
      </c>
      <c r="AE41" s="29">
        <f t="shared" si="48"/>
        <v>1.4E-2</v>
      </c>
      <c r="AF41" s="13">
        <f t="shared" si="16"/>
        <v>0.1336</v>
      </c>
      <c r="AG41" s="22">
        <f t="shared" si="49"/>
        <v>56.06</v>
      </c>
      <c r="AH41" s="22">
        <f t="shared" si="26"/>
        <v>62.65</v>
      </c>
      <c r="AI41" s="22">
        <f t="shared" si="50"/>
        <v>57.707500000000003</v>
      </c>
      <c r="AJ41" s="22">
        <f t="shared" si="51"/>
        <v>51.19</v>
      </c>
    </row>
    <row r="42" spans="1:36" x14ac:dyDescent="0.25">
      <c r="A42" s="34">
        <v>42064</v>
      </c>
      <c r="B42" s="34">
        <f t="shared" si="17"/>
        <v>42124</v>
      </c>
      <c r="C42">
        <v>12158.3</v>
      </c>
      <c r="D42" s="6">
        <f t="shared" si="35"/>
        <v>12095.57</v>
      </c>
      <c r="E42" s="29">
        <f t="shared" si="36"/>
        <v>4.1999999999999997E-3</v>
      </c>
      <c r="F42" s="29">
        <f t="shared" si="37"/>
        <v>7.9000000000000008E-3</v>
      </c>
      <c r="G42">
        <v>13593.3</v>
      </c>
      <c r="H42" s="6">
        <f t="shared" si="38"/>
        <v>13571.23</v>
      </c>
      <c r="I42" s="29">
        <f t="shared" si="39"/>
        <v>7.7999999999999996E-3</v>
      </c>
      <c r="J42" s="29">
        <f t="shared" si="40"/>
        <v>3.3999999999999998E-3</v>
      </c>
      <c r="K42">
        <v>0.28094000000000002</v>
      </c>
      <c r="L42">
        <v>1.6</v>
      </c>
      <c r="M42" s="35">
        <f t="shared" si="41"/>
        <v>0.94</v>
      </c>
      <c r="N42">
        <v>251.1</v>
      </c>
      <c r="O42" s="29">
        <f t="shared" si="42"/>
        <v>-9.7000000000000003E-3</v>
      </c>
      <c r="P42">
        <v>7.4</v>
      </c>
      <c r="Q42" s="6">
        <f t="shared" si="27"/>
        <v>1005.9</v>
      </c>
      <c r="R42">
        <v>3.25</v>
      </c>
      <c r="S42" s="36">
        <f t="shared" si="28"/>
        <v>64.400000000000006</v>
      </c>
      <c r="T42" s="6">
        <f t="shared" si="43"/>
        <v>188.79</v>
      </c>
      <c r="U42" s="6">
        <f t="shared" si="44"/>
        <v>187.87</v>
      </c>
      <c r="V42" s="29">
        <f t="shared" si="45"/>
        <v>2.8999999999999998E-3</v>
      </c>
      <c r="W42" s="29">
        <f t="shared" si="46"/>
        <v>7.4000000000000003E-3</v>
      </c>
      <c r="X42" s="13">
        <f t="shared" si="29"/>
        <v>2.07E-2</v>
      </c>
      <c r="Y42" s="13">
        <f t="shared" si="30"/>
        <v>1.8499999999999999E-2</v>
      </c>
      <c r="Z42" s="6">
        <f t="shared" si="31"/>
        <v>4.0059737156511348</v>
      </c>
      <c r="AA42" s="13">
        <f t="shared" si="32"/>
        <v>6.0100000000000001E-2</v>
      </c>
      <c r="AB42" s="35">
        <f t="shared" si="33"/>
        <v>8.1609999999999996</v>
      </c>
      <c r="AC42" s="6">
        <f t="shared" si="34"/>
        <v>7726.15</v>
      </c>
      <c r="AD42" s="6">
        <f t="shared" si="47"/>
        <v>7774.36</v>
      </c>
      <c r="AE42" s="29">
        <f t="shared" si="48"/>
        <v>2.7900000000000001E-2</v>
      </c>
      <c r="AF42" s="13">
        <f t="shared" si="16"/>
        <v>0.12939999999999999</v>
      </c>
      <c r="AG42" s="22">
        <f t="shared" si="49"/>
        <v>48.54</v>
      </c>
      <c r="AH42" s="22">
        <f t="shared" si="26"/>
        <v>58.73</v>
      </c>
      <c r="AI42" s="22">
        <f t="shared" si="50"/>
        <v>51.087499999999999</v>
      </c>
      <c r="AJ42" s="22">
        <f t="shared" si="51"/>
        <v>51.07</v>
      </c>
    </row>
    <row r="43" spans="1:36" x14ac:dyDescent="0.25">
      <c r="A43" s="34">
        <v>42036</v>
      </c>
      <c r="B43" s="34">
        <f t="shared" si="17"/>
        <v>42094</v>
      </c>
      <c r="C43">
        <v>12082.4</v>
      </c>
      <c r="D43" s="6">
        <f t="shared" si="35"/>
        <v>12063.47</v>
      </c>
      <c r="E43" s="29">
        <f t="shared" si="36"/>
        <v>4.4000000000000003E-3</v>
      </c>
      <c r="F43" s="29">
        <f t="shared" si="37"/>
        <v>2.3999999999999998E-3</v>
      </c>
      <c r="G43">
        <v>13592.7</v>
      </c>
      <c r="H43" s="6">
        <f t="shared" si="38"/>
        <v>13547.67</v>
      </c>
      <c r="I43" s="29">
        <f t="shared" si="39"/>
        <v>1.01E-2</v>
      </c>
      <c r="J43" s="29">
        <f t="shared" si="40"/>
        <v>6.6E-3</v>
      </c>
      <c r="K43">
        <v>0.27076</v>
      </c>
      <c r="L43">
        <v>1.6</v>
      </c>
      <c r="M43" s="35">
        <f t="shared" si="41"/>
        <v>0.93500000000000005</v>
      </c>
      <c r="N43">
        <v>253</v>
      </c>
      <c r="O43" s="29">
        <f t="shared" si="42"/>
        <v>-6.9999999999999999E-4</v>
      </c>
      <c r="P43">
        <v>7.9</v>
      </c>
      <c r="Q43" s="6">
        <f t="shared" si="27"/>
        <v>1073.82</v>
      </c>
      <c r="R43">
        <v>3.25</v>
      </c>
      <c r="S43" s="36">
        <f t="shared" si="28"/>
        <v>64.38</v>
      </c>
      <c r="T43" s="6">
        <f t="shared" si="43"/>
        <v>187.67</v>
      </c>
      <c r="U43" s="6">
        <f t="shared" si="44"/>
        <v>187.41</v>
      </c>
      <c r="V43" s="29">
        <f t="shared" si="45"/>
        <v>2.3E-3</v>
      </c>
      <c r="W43" s="29">
        <f t="shared" si="46"/>
        <v>1.9E-3</v>
      </c>
      <c r="X43" s="13">
        <f t="shared" si="29"/>
        <v>2.0899999999999998E-2</v>
      </c>
      <c r="Y43" s="13">
        <f t="shared" si="30"/>
        <v>1.8599999999999998E-2</v>
      </c>
      <c r="Z43" s="6">
        <f t="shared" si="31"/>
        <v>4.2443478260869565</v>
      </c>
      <c r="AA43" s="13">
        <f t="shared" si="32"/>
        <v>6.0499999999999998E-2</v>
      </c>
      <c r="AB43" s="35">
        <f t="shared" si="33"/>
        <v>8.2230000000000008</v>
      </c>
      <c r="AC43" s="6">
        <f t="shared" si="34"/>
        <v>7784.62</v>
      </c>
      <c r="AD43" s="6">
        <f t="shared" si="47"/>
        <v>7802.05</v>
      </c>
      <c r="AE43" s="29">
        <f t="shared" si="48"/>
        <v>4.7800000000000002E-2</v>
      </c>
      <c r="AF43" s="13">
        <f t="shared" si="16"/>
        <v>0.1376</v>
      </c>
      <c r="AG43" s="22">
        <f t="shared" si="49"/>
        <v>42.58</v>
      </c>
      <c r="AH43" s="22">
        <f t="shared" si="26"/>
        <v>63.99</v>
      </c>
      <c r="AI43" s="22">
        <f t="shared" si="50"/>
        <v>47.932499999999997</v>
      </c>
      <c r="AJ43" s="22">
        <f t="shared" si="51"/>
        <v>53.26</v>
      </c>
    </row>
    <row r="44" spans="1:36" x14ac:dyDescent="0.25">
      <c r="A44" s="34">
        <v>42005</v>
      </c>
      <c r="B44" s="34">
        <f t="shared" si="17"/>
        <v>42063</v>
      </c>
      <c r="C44">
        <v>12046</v>
      </c>
      <c r="D44" s="6">
        <f t="shared" si="35"/>
        <v>12053.13</v>
      </c>
      <c r="E44" s="29">
        <f t="shared" si="36"/>
        <v>6.4999999999999997E-3</v>
      </c>
      <c r="F44" s="29">
        <f t="shared" si="37"/>
        <v>0</v>
      </c>
      <c r="G44">
        <v>13527.7</v>
      </c>
      <c r="H44" s="6">
        <f t="shared" si="38"/>
        <v>13504.07</v>
      </c>
      <c r="I44" s="29">
        <f t="shared" si="39"/>
        <v>1.03E-2</v>
      </c>
      <c r="J44" s="29">
        <f t="shared" si="40"/>
        <v>4.5999999999999999E-3</v>
      </c>
      <c r="K44">
        <v>0.1721</v>
      </c>
      <c r="L44">
        <v>1.55</v>
      </c>
      <c r="M44" s="35">
        <f t="shared" si="41"/>
        <v>0.86099999999999999</v>
      </c>
      <c r="N44">
        <v>253.9</v>
      </c>
      <c r="O44" s="29">
        <f t="shared" si="42"/>
        <v>8.8999999999999999E-3</v>
      </c>
      <c r="P44">
        <v>7.7</v>
      </c>
      <c r="Q44" s="6">
        <f t="shared" si="27"/>
        <v>1041.6300000000001</v>
      </c>
      <c r="R44">
        <v>3.25</v>
      </c>
      <c r="S44" s="36">
        <f t="shared" si="28"/>
        <v>64.37</v>
      </c>
      <c r="T44" s="6">
        <f t="shared" si="43"/>
        <v>187.14</v>
      </c>
      <c r="U44" s="6">
        <f t="shared" si="44"/>
        <v>187.32</v>
      </c>
      <c r="V44" s="29">
        <f t="shared" si="45"/>
        <v>3.5999999999999999E-3</v>
      </c>
      <c r="W44" s="29">
        <f t="shared" si="46"/>
        <v>-1E-3</v>
      </c>
      <c r="X44" s="13">
        <f t="shared" si="29"/>
        <v>2.1100000000000001E-2</v>
      </c>
      <c r="Y44" s="13">
        <f t="shared" si="30"/>
        <v>1.8800000000000001E-2</v>
      </c>
      <c r="Z44" s="6">
        <f t="shared" si="31"/>
        <v>4.1025206774320599</v>
      </c>
      <c r="AA44" s="13">
        <f t="shared" si="32"/>
        <v>6.1100000000000002E-2</v>
      </c>
      <c r="AB44" s="35">
        <f t="shared" si="33"/>
        <v>8.2520000000000007</v>
      </c>
      <c r="AC44" s="6">
        <f t="shared" si="34"/>
        <v>7812.31</v>
      </c>
      <c r="AD44" s="6">
        <f t="shared" si="47"/>
        <v>7789.74</v>
      </c>
      <c r="AE44" s="29">
        <f t="shared" si="48"/>
        <v>6.1199999999999997E-2</v>
      </c>
      <c r="AF44" s="13">
        <f t="shared" si="16"/>
        <v>0.13370000000000001</v>
      </c>
      <c r="AG44" s="22">
        <f t="shared" si="49"/>
        <v>43.27</v>
      </c>
      <c r="AH44" s="22">
        <f t="shared" si="26"/>
        <v>62.24</v>
      </c>
      <c r="AI44" s="22">
        <f t="shared" si="50"/>
        <v>48.012500000000003</v>
      </c>
      <c r="AJ44" s="22">
        <f t="shared" si="51"/>
        <v>57.75</v>
      </c>
    </row>
    <row r="45" spans="1:36" x14ac:dyDescent="0.25">
      <c r="A45" s="34">
        <v>41974</v>
      </c>
      <c r="B45" s="34">
        <f t="shared" si="17"/>
        <v>42035</v>
      </c>
      <c r="C45">
        <v>12062</v>
      </c>
      <c r="D45" s="6">
        <f t="shared" si="35"/>
        <v>12045.47</v>
      </c>
      <c r="E45" s="29">
        <f t="shared" si="36"/>
        <v>1.0500000000000001E-2</v>
      </c>
      <c r="F45" s="29">
        <f t="shared" si="37"/>
        <v>4.3E-3</v>
      </c>
      <c r="G45">
        <v>13522.6</v>
      </c>
      <c r="H45" s="6">
        <f t="shared" si="38"/>
        <v>13465.8</v>
      </c>
      <c r="I45" s="29">
        <f t="shared" si="39"/>
        <v>1.12E-2</v>
      </c>
      <c r="J45" s="29">
        <f t="shared" si="40"/>
        <v>8.2000000000000007E-3</v>
      </c>
      <c r="K45">
        <v>0.84064000000000005</v>
      </c>
      <c r="L45">
        <v>1.65</v>
      </c>
      <c r="M45" s="35">
        <f t="shared" si="41"/>
        <v>1.2450000000000001</v>
      </c>
      <c r="N45">
        <v>253.8</v>
      </c>
      <c r="O45" s="29">
        <f t="shared" si="42"/>
        <v>1.8200000000000001E-2</v>
      </c>
      <c r="P45">
        <v>7.6</v>
      </c>
      <c r="Q45" s="6">
        <f t="shared" si="27"/>
        <v>1027.72</v>
      </c>
      <c r="R45">
        <v>3.25</v>
      </c>
      <c r="S45" s="36">
        <f t="shared" si="28"/>
        <v>64.36</v>
      </c>
      <c r="T45" s="6">
        <f t="shared" si="43"/>
        <v>187.41</v>
      </c>
      <c r="U45" s="6">
        <f t="shared" si="44"/>
        <v>187.32</v>
      </c>
      <c r="V45" s="29">
        <f t="shared" si="45"/>
        <v>6.7999999999999996E-3</v>
      </c>
      <c r="W45" s="29">
        <f t="shared" si="46"/>
        <v>2.3E-3</v>
      </c>
      <c r="X45" s="13">
        <f t="shared" si="29"/>
        <v>2.1000000000000001E-2</v>
      </c>
      <c r="Y45" s="13">
        <f t="shared" si="30"/>
        <v>1.8800000000000001E-2</v>
      </c>
      <c r="Z45" s="6">
        <f t="shared" si="31"/>
        <v>4.0493301812450744</v>
      </c>
      <c r="AA45" s="13">
        <f t="shared" si="32"/>
        <v>6.1100000000000002E-2</v>
      </c>
      <c r="AB45" s="35">
        <f t="shared" si="33"/>
        <v>8.2490000000000006</v>
      </c>
      <c r="AC45" s="6">
        <f t="shared" si="34"/>
        <v>7809.23</v>
      </c>
      <c r="AD45" s="6">
        <f t="shared" si="47"/>
        <v>7743.59</v>
      </c>
      <c r="AE45" s="29">
        <f t="shared" si="48"/>
        <v>6.0499999999999998E-2</v>
      </c>
      <c r="AF45" s="13">
        <f t="shared" si="16"/>
        <v>0.13270000000000001</v>
      </c>
      <c r="AG45" s="22">
        <f t="shared" si="49"/>
        <v>54.3</v>
      </c>
      <c r="AH45" s="22">
        <f t="shared" si="26"/>
        <v>66.08</v>
      </c>
      <c r="AI45" s="22">
        <f t="shared" si="50"/>
        <v>57.24499999999999</v>
      </c>
      <c r="AJ45" s="22">
        <f t="shared" si="51"/>
        <v>62</v>
      </c>
    </row>
    <row r="46" spans="1:36" x14ac:dyDescent="0.25">
      <c r="A46" s="34">
        <v>41944</v>
      </c>
      <c r="B46" s="34">
        <f t="shared" si="17"/>
        <v>42004</v>
      </c>
      <c r="C46">
        <v>12051.4</v>
      </c>
      <c r="D46" s="6">
        <f t="shared" si="35"/>
        <v>12010.6</v>
      </c>
      <c r="E46" s="29">
        <f t="shared" si="36"/>
        <v>1.15E-2</v>
      </c>
      <c r="F46" s="29">
        <f t="shared" si="37"/>
        <v>6.4000000000000003E-3</v>
      </c>
      <c r="G46">
        <v>13461.9</v>
      </c>
      <c r="H46" s="6">
        <f t="shared" si="38"/>
        <v>13412.83</v>
      </c>
      <c r="I46" s="29">
        <f t="shared" si="39"/>
        <v>1.15E-2</v>
      </c>
      <c r="J46" s="29">
        <f t="shared" si="40"/>
        <v>7.1000000000000004E-3</v>
      </c>
      <c r="K46">
        <v>1.2271099999999999</v>
      </c>
      <c r="L46">
        <v>1.69</v>
      </c>
      <c r="M46" s="35">
        <f t="shared" si="41"/>
        <v>1.4590000000000001</v>
      </c>
      <c r="N46">
        <v>251.8</v>
      </c>
      <c r="O46" s="29">
        <f t="shared" si="42"/>
        <v>2.4400000000000002E-2</v>
      </c>
      <c r="P46">
        <v>7.3</v>
      </c>
      <c r="Q46" s="6">
        <f t="shared" si="27"/>
        <v>982.72</v>
      </c>
      <c r="R46">
        <v>3.25</v>
      </c>
      <c r="S46" s="36">
        <f t="shared" si="28"/>
        <v>64.31</v>
      </c>
      <c r="T46" s="6">
        <f t="shared" si="43"/>
        <v>187.4</v>
      </c>
      <c r="U46" s="6">
        <f t="shared" si="44"/>
        <v>186.98</v>
      </c>
      <c r="V46" s="29">
        <f t="shared" si="45"/>
        <v>7.4000000000000003E-3</v>
      </c>
      <c r="W46" s="29">
        <f t="shared" si="46"/>
        <v>4.0000000000000001E-3</v>
      </c>
      <c r="X46" s="13">
        <f t="shared" si="29"/>
        <v>2.0899999999999998E-2</v>
      </c>
      <c r="Y46" s="13">
        <f t="shared" si="30"/>
        <v>1.8700000000000001E-2</v>
      </c>
      <c r="Z46" s="6">
        <f t="shared" si="31"/>
        <v>3.9027799841143764</v>
      </c>
      <c r="AA46" s="13">
        <f t="shared" si="32"/>
        <v>6.08E-2</v>
      </c>
      <c r="AB46" s="35">
        <f t="shared" si="33"/>
        <v>8.1839999999999993</v>
      </c>
      <c r="AC46" s="6">
        <f t="shared" si="34"/>
        <v>7747.69</v>
      </c>
      <c r="AD46" s="6">
        <f t="shared" si="47"/>
        <v>7669.74</v>
      </c>
      <c r="AE46" s="29">
        <f t="shared" si="48"/>
        <v>5.0099999999999999E-2</v>
      </c>
      <c r="AF46" s="13">
        <f t="shared" si="16"/>
        <v>0.12809999999999999</v>
      </c>
      <c r="AG46" s="22">
        <f t="shared" si="49"/>
        <v>57.83</v>
      </c>
      <c r="AH46" s="22">
        <f t="shared" si="26"/>
        <v>65.98</v>
      </c>
      <c r="AI46" s="22">
        <f t="shared" si="50"/>
        <v>59.867500000000007</v>
      </c>
      <c r="AJ46" s="22">
        <f t="shared" si="51"/>
        <v>65.36</v>
      </c>
    </row>
    <row r="47" spans="1:36" x14ac:dyDescent="0.25">
      <c r="A47" s="34">
        <v>41913</v>
      </c>
      <c r="B47" s="34">
        <f t="shared" si="17"/>
        <v>41973</v>
      </c>
      <c r="C47">
        <v>12023</v>
      </c>
      <c r="D47" s="6">
        <f t="shared" si="35"/>
        <v>11974.9</v>
      </c>
      <c r="E47" s="29">
        <f t="shared" si="36"/>
        <v>1.41E-2</v>
      </c>
      <c r="F47" s="29">
        <f t="shared" si="37"/>
        <v>8.6E-3</v>
      </c>
      <c r="G47">
        <v>13412.9</v>
      </c>
      <c r="H47" s="6">
        <f t="shared" si="38"/>
        <v>13366.63</v>
      </c>
      <c r="I47" s="29">
        <f t="shared" si="39"/>
        <v>1.2999999999999999E-2</v>
      </c>
      <c r="J47" s="29">
        <f t="shared" si="40"/>
        <v>7.3000000000000001E-3</v>
      </c>
      <c r="K47">
        <v>1.4344600000000001</v>
      </c>
      <c r="L47">
        <v>1.7</v>
      </c>
      <c r="M47" s="35">
        <f t="shared" si="41"/>
        <v>1.5669999999999999</v>
      </c>
      <c r="N47">
        <v>249.4</v>
      </c>
      <c r="O47" s="29">
        <f t="shared" si="42"/>
        <v>3.0599999999999999E-2</v>
      </c>
      <c r="P47">
        <v>7.2</v>
      </c>
      <c r="Q47" s="6">
        <f t="shared" si="27"/>
        <v>965.73</v>
      </c>
      <c r="R47">
        <v>3.25</v>
      </c>
      <c r="S47" s="36">
        <f t="shared" si="28"/>
        <v>64.239999999999995</v>
      </c>
      <c r="T47" s="6">
        <f t="shared" si="43"/>
        <v>187.16</v>
      </c>
      <c r="U47" s="6">
        <f t="shared" si="44"/>
        <v>186.65</v>
      </c>
      <c r="V47" s="29">
        <f t="shared" si="45"/>
        <v>9.7000000000000003E-3</v>
      </c>
      <c r="W47" s="29">
        <f t="shared" si="46"/>
        <v>5.8999999999999999E-3</v>
      </c>
      <c r="X47" s="13">
        <f t="shared" si="29"/>
        <v>2.07E-2</v>
      </c>
      <c r="Y47" s="13">
        <f t="shared" si="30"/>
        <v>1.8599999999999998E-2</v>
      </c>
      <c r="Z47" s="6">
        <f t="shared" si="31"/>
        <v>3.872213311948677</v>
      </c>
      <c r="AA47" s="13">
        <f t="shared" si="32"/>
        <v>6.0499999999999998E-2</v>
      </c>
      <c r="AB47" s="35">
        <f t="shared" si="33"/>
        <v>8.1059999999999999</v>
      </c>
      <c r="AC47" s="6">
        <f t="shared" si="34"/>
        <v>7673.85</v>
      </c>
      <c r="AD47" s="6">
        <f t="shared" si="47"/>
        <v>7563.08</v>
      </c>
      <c r="AE47" s="29">
        <f t="shared" si="48"/>
        <v>3.3099999999999997E-2</v>
      </c>
      <c r="AF47" s="13">
        <f t="shared" si="16"/>
        <v>0.12770000000000001</v>
      </c>
      <c r="AG47" s="22">
        <f t="shared" si="49"/>
        <v>64.84</v>
      </c>
      <c r="AH47" s="22">
        <f t="shared" si="26"/>
        <v>68.900000000000006</v>
      </c>
      <c r="AI47" s="22">
        <f t="shared" si="50"/>
        <v>65.855000000000004</v>
      </c>
      <c r="AJ47" s="22">
        <f t="shared" si="51"/>
        <v>67.53</v>
      </c>
    </row>
    <row r="48" spans="1:36" x14ac:dyDescent="0.25">
      <c r="A48" s="34">
        <v>41883</v>
      </c>
      <c r="B48" s="34">
        <f t="shared" si="17"/>
        <v>41943</v>
      </c>
      <c r="C48">
        <v>11957.4</v>
      </c>
      <c r="D48" s="6">
        <f t="shared" si="35"/>
        <v>11920.73</v>
      </c>
      <c r="E48" s="29">
        <f t="shared" si="36"/>
        <v>1.4E-2</v>
      </c>
      <c r="F48" s="29">
        <f t="shared" si="37"/>
        <v>7.0000000000000001E-3</v>
      </c>
      <c r="G48">
        <v>13363.7</v>
      </c>
      <c r="H48" s="6">
        <f t="shared" si="38"/>
        <v>13316.33</v>
      </c>
      <c r="I48" s="29">
        <f t="shared" si="39"/>
        <v>1.41E-2</v>
      </c>
      <c r="J48" s="29">
        <f t="shared" si="40"/>
        <v>7.7999999999999996E-3</v>
      </c>
      <c r="K48">
        <v>1.6249</v>
      </c>
      <c r="L48">
        <v>1.72</v>
      </c>
      <c r="M48" s="35">
        <f t="shared" si="41"/>
        <v>1.6719999999999999</v>
      </c>
      <c r="N48">
        <v>246.6</v>
      </c>
      <c r="O48" s="29">
        <f t="shared" si="42"/>
        <v>3.3700000000000001E-2</v>
      </c>
      <c r="P48">
        <v>7.4</v>
      </c>
      <c r="Q48" s="6">
        <f t="shared" si="27"/>
        <v>988.91</v>
      </c>
      <c r="R48">
        <v>3.25</v>
      </c>
      <c r="S48" s="36">
        <f t="shared" si="28"/>
        <v>64.16</v>
      </c>
      <c r="T48" s="6">
        <f t="shared" si="43"/>
        <v>186.37</v>
      </c>
      <c r="U48" s="6">
        <f t="shared" si="44"/>
        <v>186.06</v>
      </c>
      <c r="V48" s="29">
        <f t="shared" si="45"/>
        <v>9.4999999999999998E-3</v>
      </c>
      <c r="W48" s="29">
        <f t="shared" si="46"/>
        <v>4.1000000000000003E-3</v>
      </c>
      <c r="X48" s="13">
        <f t="shared" si="29"/>
        <v>2.06E-2</v>
      </c>
      <c r="Y48" s="13">
        <f t="shared" si="30"/>
        <v>1.8499999999999999E-2</v>
      </c>
      <c r="Z48" s="6">
        <f t="shared" si="31"/>
        <v>4.0101784266017839</v>
      </c>
      <c r="AA48" s="13">
        <f t="shared" si="32"/>
        <v>6.0100000000000001E-2</v>
      </c>
      <c r="AB48" s="35">
        <f t="shared" si="33"/>
        <v>8.0150000000000006</v>
      </c>
      <c r="AC48" s="6">
        <f t="shared" si="34"/>
        <v>7587.69</v>
      </c>
      <c r="AD48" s="6">
        <f t="shared" si="47"/>
        <v>7446.15</v>
      </c>
      <c r="AE48" s="29">
        <f t="shared" si="48"/>
        <v>1.95E-2</v>
      </c>
      <c r="AF48" s="13">
        <f t="shared" si="16"/>
        <v>0.1328</v>
      </c>
      <c r="AG48" s="22">
        <f t="shared" si="49"/>
        <v>62.87</v>
      </c>
      <c r="AH48" s="22">
        <f t="shared" si="26"/>
        <v>71.52</v>
      </c>
      <c r="AI48" s="22">
        <f t="shared" si="50"/>
        <v>65.032499999999999</v>
      </c>
      <c r="AJ48" s="22">
        <f t="shared" si="51"/>
        <v>69.03</v>
      </c>
    </row>
    <row r="49" spans="1:36" x14ac:dyDescent="0.25">
      <c r="A49" s="34">
        <v>41852</v>
      </c>
      <c r="B49" s="34">
        <f t="shared" si="17"/>
        <v>41912</v>
      </c>
      <c r="C49">
        <v>11944.3</v>
      </c>
      <c r="D49" s="6">
        <f t="shared" si="35"/>
        <v>11873.93</v>
      </c>
      <c r="E49" s="29">
        <f t="shared" si="36"/>
        <v>1.4999999999999999E-2</v>
      </c>
      <c r="F49" s="29">
        <f t="shared" si="37"/>
        <v>1.15E-2</v>
      </c>
      <c r="G49">
        <v>13323.3</v>
      </c>
      <c r="H49" s="6">
        <f t="shared" si="38"/>
        <v>13260.43</v>
      </c>
      <c r="I49" s="29">
        <f t="shared" si="39"/>
        <v>1.46E-2</v>
      </c>
      <c r="J49" s="29">
        <f t="shared" si="40"/>
        <v>9.7000000000000003E-3</v>
      </c>
      <c r="K49">
        <v>1.6334500000000001</v>
      </c>
      <c r="L49">
        <v>1.73</v>
      </c>
      <c r="M49" s="35">
        <f t="shared" si="41"/>
        <v>1.6819999999999999</v>
      </c>
      <c r="N49">
        <v>241.4</v>
      </c>
      <c r="O49" s="29">
        <f t="shared" si="42"/>
        <v>1.7299999999999999E-2</v>
      </c>
      <c r="P49">
        <v>7.2</v>
      </c>
      <c r="Q49" s="6">
        <f t="shared" si="27"/>
        <v>959.28</v>
      </c>
      <c r="R49">
        <v>3.25</v>
      </c>
      <c r="S49" s="36">
        <f t="shared" si="28"/>
        <v>64.069999999999993</v>
      </c>
      <c r="T49" s="6">
        <f t="shared" si="43"/>
        <v>186.43</v>
      </c>
      <c r="U49" s="6">
        <f t="shared" si="44"/>
        <v>185.6</v>
      </c>
      <c r="V49" s="29">
        <f t="shared" si="45"/>
        <v>1.06E-2</v>
      </c>
      <c r="W49" s="29">
        <f t="shared" si="46"/>
        <v>8.6E-3</v>
      </c>
      <c r="X49" s="13">
        <f t="shared" si="29"/>
        <v>2.0199999999999999E-2</v>
      </c>
      <c r="Y49" s="13">
        <f t="shared" si="30"/>
        <v>1.8100000000000002E-2</v>
      </c>
      <c r="Z49" s="6">
        <f t="shared" si="31"/>
        <v>3.9738193869096934</v>
      </c>
      <c r="AA49" s="13">
        <f t="shared" si="32"/>
        <v>5.8799999999999998E-2</v>
      </c>
      <c r="AB49" s="35">
        <f t="shared" si="33"/>
        <v>7.8460000000000001</v>
      </c>
      <c r="AC49" s="6">
        <f t="shared" si="34"/>
        <v>7427.69</v>
      </c>
      <c r="AD49" s="6">
        <f t="shared" si="47"/>
        <v>7340.51</v>
      </c>
      <c r="AE49" s="29">
        <f t="shared" si="48"/>
        <v>1.32E-2</v>
      </c>
      <c r="AF49" s="13">
        <f t="shared" si="16"/>
        <v>0.13070000000000001</v>
      </c>
      <c r="AG49" s="22">
        <f t="shared" si="49"/>
        <v>69.59</v>
      </c>
      <c r="AH49" s="22">
        <f t="shared" si="26"/>
        <v>73.98</v>
      </c>
      <c r="AI49" s="22">
        <f t="shared" si="50"/>
        <v>70.6875</v>
      </c>
      <c r="AJ49" s="22">
        <f t="shared" si="51"/>
        <v>70.430000000000007</v>
      </c>
    </row>
    <row r="50" spans="1:36" x14ac:dyDescent="0.25">
      <c r="A50" s="34">
        <v>41821</v>
      </c>
      <c r="B50" s="34">
        <f t="shared" si="17"/>
        <v>41882</v>
      </c>
      <c r="C50">
        <v>11860.5</v>
      </c>
      <c r="D50" s="6">
        <f t="shared" si="35"/>
        <v>11808.63</v>
      </c>
      <c r="E50" s="29">
        <f t="shared" si="36"/>
        <v>1.47E-2</v>
      </c>
      <c r="F50" s="29">
        <f t="shared" si="37"/>
        <v>8.8999999999999999E-3</v>
      </c>
      <c r="G50">
        <v>13262</v>
      </c>
      <c r="H50" s="6">
        <f t="shared" si="38"/>
        <v>13194.93</v>
      </c>
      <c r="I50" s="29">
        <f t="shared" si="39"/>
        <v>1.52E-2</v>
      </c>
      <c r="J50" s="29">
        <f t="shared" si="40"/>
        <v>9.9000000000000008E-3</v>
      </c>
      <c r="K50">
        <v>1.7957399999999999</v>
      </c>
      <c r="L50">
        <v>1.78</v>
      </c>
      <c r="M50" s="35">
        <f t="shared" si="41"/>
        <v>1.788</v>
      </c>
      <c r="N50">
        <v>238</v>
      </c>
      <c r="O50" s="29">
        <f t="shared" si="42"/>
        <v>2.7000000000000001E-3</v>
      </c>
      <c r="P50">
        <v>7.5</v>
      </c>
      <c r="Q50" s="6">
        <f t="shared" si="27"/>
        <v>994.65</v>
      </c>
      <c r="R50">
        <v>3.25</v>
      </c>
      <c r="S50" s="36">
        <f t="shared" si="28"/>
        <v>63.98</v>
      </c>
      <c r="T50" s="6">
        <f t="shared" si="43"/>
        <v>185.38</v>
      </c>
      <c r="U50" s="6">
        <f t="shared" si="44"/>
        <v>184.85</v>
      </c>
      <c r="V50" s="29">
        <f t="shared" si="45"/>
        <v>1.03E-2</v>
      </c>
      <c r="W50" s="29">
        <f t="shared" si="46"/>
        <v>5.8999999999999999E-3</v>
      </c>
      <c r="X50" s="13">
        <f t="shared" si="29"/>
        <v>2.01E-2</v>
      </c>
      <c r="Y50" s="13">
        <f t="shared" si="30"/>
        <v>1.7899999999999999E-2</v>
      </c>
      <c r="Z50" s="6">
        <f t="shared" si="31"/>
        <v>4.1792016806722687</v>
      </c>
      <c r="AA50" s="13">
        <f t="shared" si="32"/>
        <v>5.8200000000000002E-2</v>
      </c>
      <c r="AB50" s="35">
        <f t="shared" si="33"/>
        <v>7.7350000000000003</v>
      </c>
      <c r="AC50" s="6">
        <f t="shared" si="34"/>
        <v>7323.08</v>
      </c>
      <c r="AD50" s="6">
        <f t="shared" si="47"/>
        <v>7301.54</v>
      </c>
      <c r="AE50" s="29">
        <f t="shared" si="48"/>
        <v>2.0400000000000001E-2</v>
      </c>
      <c r="AF50" s="13">
        <f t="shared" si="16"/>
        <v>0.13619999999999999</v>
      </c>
      <c r="AG50" s="22">
        <f t="shared" si="49"/>
        <v>66.37</v>
      </c>
      <c r="AH50" s="22">
        <f t="shared" si="26"/>
        <v>75.11</v>
      </c>
      <c r="AI50" s="22">
        <f t="shared" si="50"/>
        <v>68.555000000000007</v>
      </c>
      <c r="AJ50" s="22">
        <f t="shared" si="51"/>
        <v>69.87</v>
      </c>
    </row>
    <row r="51" spans="1:36" x14ac:dyDescent="0.25">
      <c r="A51" s="34">
        <v>41791</v>
      </c>
      <c r="B51" s="34">
        <f t="shared" si="17"/>
        <v>41851</v>
      </c>
      <c r="C51">
        <v>11817</v>
      </c>
      <c r="D51" s="6">
        <f t="shared" si="35"/>
        <v>11756</v>
      </c>
      <c r="E51" s="29">
        <f t="shared" si="36"/>
        <v>1.5699999999999999E-2</v>
      </c>
      <c r="F51" s="29">
        <f t="shared" si="37"/>
        <v>1.0200000000000001E-2</v>
      </c>
      <c r="G51">
        <v>13196</v>
      </c>
      <c r="H51" s="6">
        <f t="shared" si="38"/>
        <v>13131.53</v>
      </c>
      <c r="I51" s="29">
        <f t="shared" si="39"/>
        <v>1.7000000000000001E-2</v>
      </c>
      <c r="J51" s="29">
        <f t="shared" si="40"/>
        <v>9.5999999999999992E-3</v>
      </c>
      <c r="K51">
        <v>1.7554799999999999</v>
      </c>
      <c r="L51">
        <v>1.74</v>
      </c>
      <c r="M51" s="35">
        <f t="shared" si="41"/>
        <v>1.748</v>
      </c>
      <c r="N51">
        <v>236.3</v>
      </c>
      <c r="O51" s="29">
        <f t="shared" si="42"/>
        <v>-6.8999999999999999E-3</v>
      </c>
      <c r="P51">
        <v>7.4</v>
      </c>
      <c r="Q51" s="6">
        <f t="shared" si="27"/>
        <v>976.5</v>
      </c>
      <c r="R51">
        <v>3.25</v>
      </c>
      <c r="S51" s="36">
        <f t="shared" si="28"/>
        <v>63.88</v>
      </c>
      <c r="T51" s="6">
        <f t="shared" si="43"/>
        <v>184.99</v>
      </c>
      <c r="U51" s="6">
        <f t="shared" si="44"/>
        <v>184.3</v>
      </c>
      <c r="V51" s="29">
        <f t="shared" si="45"/>
        <v>1.1599999999999999E-2</v>
      </c>
      <c r="W51" s="29">
        <f t="shared" si="46"/>
        <v>7.1999999999999998E-3</v>
      </c>
      <c r="X51" s="13">
        <f t="shared" si="29"/>
        <v>0.02</v>
      </c>
      <c r="Y51" s="13">
        <f t="shared" si="30"/>
        <v>1.7899999999999999E-2</v>
      </c>
      <c r="Z51" s="6">
        <f t="shared" si="31"/>
        <v>4.1324587388912395</v>
      </c>
      <c r="AA51" s="13">
        <f t="shared" si="32"/>
        <v>5.8200000000000002E-2</v>
      </c>
      <c r="AB51" s="35">
        <f t="shared" si="33"/>
        <v>7.68</v>
      </c>
      <c r="AC51" s="6">
        <f t="shared" si="34"/>
        <v>7270.77</v>
      </c>
      <c r="AD51" s="6">
        <f t="shared" si="47"/>
        <v>7303.59</v>
      </c>
      <c r="AE51" s="29">
        <f t="shared" si="48"/>
        <v>2.9000000000000001E-2</v>
      </c>
      <c r="AF51" s="13">
        <f t="shared" si="16"/>
        <v>0.13370000000000001</v>
      </c>
      <c r="AG51" s="22">
        <f t="shared" si="49"/>
        <v>70</v>
      </c>
      <c r="AH51" s="22">
        <f t="shared" si="26"/>
        <v>77.3</v>
      </c>
      <c r="AI51" s="22">
        <f t="shared" si="50"/>
        <v>71.825000000000003</v>
      </c>
      <c r="AJ51" s="22">
        <f t="shared" si="51"/>
        <v>68.599999999999994</v>
      </c>
    </row>
    <row r="52" spans="1:36" x14ac:dyDescent="0.25">
      <c r="A52" s="34">
        <v>41760</v>
      </c>
      <c r="B52" s="34">
        <f t="shared" si="17"/>
        <v>41820</v>
      </c>
      <c r="C52">
        <v>11748.4</v>
      </c>
      <c r="D52" s="6">
        <f t="shared" si="35"/>
        <v>11698</v>
      </c>
      <c r="E52" s="29">
        <f t="shared" si="36"/>
        <v>1.44E-2</v>
      </c>
      <c r="F52" s="29">
        <f t="shared" si="37"/>
        <v>9.4999999999999998E-3</v>
      </c>
      <c r="G52">
        <v>13126.8</v>
      </c>
      <c r="H52" s="6">
        <f t="shared" si="38"/>
        <v>13070.13</v>
      </c>
      <c r="I52" s="29">
        <f t="shared" si="39"/>
        <v>1.9900000000000001E-2</v>
      </c>
      <c r="J52" s="29">
        <f t="shared" si="40"/>
        <v>0.01</v>
      </c>
      <c r="K52">
        <v>1.8493999999999999</v>
      </c>
      <c r="L52">
        <v>1.76</v>
      </c>
      <c r="M52" s="35">
        <f t="shared" si="41"/>
        <v>1.8049999999999999</v>
      </c>
      <c r="N52">
        <v>237.6</v>
      </c>
      <c r="O52" s="29">
        <f t="shared" si="42"/>
        <v>1E-3</v>
      </c>
      <c r="P52">
        <v>7.4</v>
      </c>
      <c r="Q52" s="6">
        <f t="shared" si="27"/>
        <v>971.38</v>
      </c>
      <c r="R52">
        <v>3.25</v>
      </c>
      <c r="S52" s="36">
        <f t="shared" si="28"/>
        <v>63.79</v>
      </c>
      <c r="T52" s="6">
        <f t="shared" si="43"/>
        <v>184.17</v>
      </c>
      <c r="U52" s="6">
        <f t="shared" si="44"/>
        <v>183.66</v>
      </c>
      <c r="V52" s="29">
        <f t="shared" si="45"/>
        <v>1.06E-2</v>
      </c>
      <c r="W52" s="29">
        <f t="shared" si="46"/>
        <v>6.6E-3</v>
      </c>
      <c r="X52" s="13">
        <f t="shared" si="29"/>
        <v>2.0199999999999999E-2</v>
      </c>
      <c r="Y52" s="13">
        <f t="shared" si="30"/>
        <v>1.8100000000000002E-2</v>
      </c>
      <c r="Z52" s="6">
        <f t="shared" si="31"/>
        <v>4.0882996632996633</v>
      </c>
      <c r="AA52" s="13">
        <f t="shared" si="32"/>
        <v>5.8799999999999998E-2</v>
      </c>
      <c r="AB52" s="35">
        <f t="shared" si="33"/>
        <v>7.7220000000000004</v>
      </c>
      <c r="AC52" s="6">
        <f t="shared" si="34"/>
        <v>7310.77</v>
      </c>
      <c r="AD52" s="6">
        <f t="shared" si="47"/>
        <v>7321.03</v>
      </c>
      <c r="AE52" s="29">
        <f t="shared" si="48"/>
        <v>3.3599999999999998E-2</v>
      </c>
      <c r="AF52" s="13">
        <f t="shared" si="16"/>
        <v>0.13270000000000001</v>
      </c>
      <c r="AG52" s="22">
        <f t="shared" si="49"/>
        <v>66.989999999999995</v>
      </c>
      <c r="AH52" s="22">
        <f t="shared" si="26"/>
        <v>81.64</v>
      </c>
      <c r="AI52" s="22">
        <f t="shared" si="50"/>
        <v>70.652499999999989</v>
      </c>
      <c r="AJ52" s="22">
        <f t="shared" si="51"/>
        <v>65.489999999999995</v>
      </c>
    </row>
    <row r="53" spans="1:36" x14ac:dyDescent="0.25">
      <c r="A53" s="34">
        <v>41730</v>
      </c>
      <c r="B53" s="34">
        <f t="shared" si="17"/>
        <v>41790</v>
      </c>
      <c r="C53">
        <v>11702.6</v>
      </c>
      <c r="D53" s="6">
        <f t="shared" si="35"/>
        <v>11637.27</v>
      </c>
      <c r="E53" s="29">
        <f t="shared" si="36"/>
        <v>1.14E-2</v>
      </c>
      <c r="F53" s="29">
        <f t="shared" si="37"/>
        <v>1.11E-2</v>
      </c>
      <c r="G53">
        <v>13071.8</v>
      </c>
      <c r="H53" s="6">
        <f t="shared" si="38"/>
        <v>12997.23</v>
      </c>
      <c r="I53" s="29">
        <f t="shared" si="39"/>
        <v>2.0899999999999998E-2</v>
      </c>
      <c r="J53" s="29">
        <f t="shared" si="40"/>
        <v>1.24E-2</v>
      </c>
      <c r="K53">
        <v>1.7683800000000001</v>
      </c>
      <c r="L53">
        <v>1.71</v>
      </c>
      <c r="M53" s="35">
        <f t="shared" si="41"/>
        <v>1.7390000000000001</v>
      </c>
      <c r="N53">
        <v>238.2</v>
      </c>
      <c r="O53" s="29">
        <f t="shared" si="42"/>
        <v>1.1599999999999999E-2</v>
      </c>
      <c r="P53">
        <v>7.4</v>
      </c>
      <c r="Q53" s="6">
        <f t="shared" si="27"/>
        <v>967.31</v>
      </c>
      <c r="R53">
        <v>3.25</v>
      </c>
      <c r="S53" s="36">
        <f t="shared" si="28"/>
        <v>63.69</v>
      </c>
      <c r="T53" s="6">
        <f t="shared" si="43"/>
        <v>183.74</v>
      </c>
      <c r="U53" s="6">
        <f t="shared" si="44"/>
        <v>182.97</v>
      </c>
      <c r="V53" s="29">
        <f t="shared" si="45"/>
        <v>7.9000000000000008E-3</v>
      </c>
      <c r="W53" s="29">
        <f t="shared" si="46"/>
        <v>8.5000000000000006E-3</v>
      </c>
      <c r="X53" s="13">
        <f t="shared" si="29"/>
        <v>2.0400000000000001E-2</v>
      </c>
      <c r="Y53" s="13">
        <f t="shared" si="30"/>
        <v>1.8200000000000001E-2</v>
      </c>
      <c r="Z53" s="6">
        <f t="shared" si="31"/>
        <v>4.0609151973131823</v>
      </c>
      <c r="AA53" s="13">
        <f t="shared" si="32"/>
        <v>5.9200000000000003E-2</v>
      </c>
      <c r="AB53" s="35">
        <f t="shared" si="33"/>
        <v>7.742</v>
      </c>
      <c r="AC53" s="6">
        <f t="shared" si="34"/>
        <v>7329.23</v>
      </c>
      <c r="AD53" s="6">
        <f t="shared" si="47"/>
        <v>7303.59</v>
      </c>
      <c r="AE53" s="29">
        <f t="shared" si="48"/>
        <v>2.7099999999999999E-2</v>
      </c>
      <c r="AF53" s="13">
        <f t="shared" si="16"/>
        <v>0.13239999999999999</v>
      </c>
      <c r="AG53" s="22">
        <f t="shared" si="49"/>
        <v>62.98</v>
      </c>
      <c r="AH53" s="22">
        <f t="shared" si="26"/>
        <v>84.92</v>
      </c>
      <c r="AI53" s="22">
        <f t="shared" si="50"/>
        <v>68.465000000000003</v>
      </c>
      <c r="AJ53" s="22">
        <f t="shared" si="51"/>
        <v>62.83</v>
      </c>
    </row>
    <row r="54" spans="1:36" x14ac:dyDescent="0.25">
      <c r="A54" s="34">
        <v>41699</v>
      </c>
      <c r="B54" s="34">
        <f t="shared" si="17"/>
        <v>41759</v>
      </c>
      <c r="C54">
        <v>11643</v>
      </c>
      <c r="D54" s="6">
        <f t="shared" si="35"/>
        <v>11573.9</v>
      </c>
      <c r="E54" s="29">
        <f t="shared" si="36"/>
        <v>8.6E-3</v>
      </c>
      <c r="F54" s="29">
        <f t="shared" si="37"/>
        <v>9.5999999999999992E-3</v>
      </c>
      <c r="G54">
        <v>13011.8</v>
      </c>
      <c r="H54" s="6">
        <f t="shared" si="38"/>
        <v>12911.87</v>
      </c>
      <c r="I54" s="29">
        <f t="shared" si="39"/>
        <v>0.02</v>
      </c>
      <c r="J54" s="29">
        <f t="shared" si="40"/>
        <v>1.54E-2</v>
      </c>
      <c r="K54">
        <v>1.48295</v>
      </c>
      <c r="L54">
        <v>1.57</v>
      </c>
      <c r="M54" s="35">
        <f t="shared" si="41"/>
        <v>1.526</v>
      </c>
      <c r="N54">
        <v>238</v>
      </c>
      <c r="O54" s="29">
        <f t="shared" si="42"/>
        <v>2.3400000000000001E-2</v>
      </c>
      <c r="P54">
        <v>7.4</v>
      </c>
      <c r="Q54" s="6">
        <f t="shared" si="27"/>
        <v>962.87</v>
      </c>
      <c r="R54">
        <v>3.25</v>
      </c>
      <c r="S54" s="36">
        <f t="shared" si="28"/>
        <v>63.6</v>
      </c>
      <c r="T54" s="6">
        <f t="shared" si="43"/>
        <v>183.07</v>
      </c>
      <c r="U54" s="6">
        <f t="shared" si="44"/>
        <v>182.19</v>
      </c>
      <c r="V54" s="29">
        <f t="shared" si="45"/>
        <v>5.1000000000000004E-3</v>
      </c>
      <c r="W54" s="29">
        <f t="shared" si="46"/>
        <v>7.3000000000000001E-3</v>
      </c>
      <c r="X54" s="13">
        <f t="shared" si="29"/>
        <v>2.0400000000000001E-2</v>
      </c>
      <c r="Y54" s="13">
        <f t="shared" si="30"/>
        <v>1.83E-2</v>
      </c>
      <c r="Z54" s="6">
        <f t="shared" si="31"/>
        <v>4.0456722689075635</v>
      </c>
      <c r="AA54" s="13">
        <f t="shared" si="32"/>
        <v>5.9499999999999997E-2</v>
      </c>
      <c r="AB54" s="35">
        <f t="shared" si="33"/>
        <v>7.7350000000000003</v>
      </c>
      <c r="AC54" s="6">
        <f t="shared" si="34"/>
        <v>7323.08</v>
      </c>
      <c r="AD54" s="6">
        <f t="shared" si="47"/>
        <v>7245.13</v>
      </c>
      <c r="AE54" s="29">
        <f t="shared" si="48"/>
        <v>2.2100000000000002E-2</v>
      </c>
      <c r="AF54" s="13">
        <f t="shared" si="16"/>
        <v>0.13289999999999999</v>
      </c>
      <c r="AG54" s="22">
        <f t="shared" si="49"/>
        <v>56.03</v>
      </c>
      <c r="AH54" s="22">
        <f t="shared" si="26"/>
        <v>85.75</v>
      </c>
      <c r="AI54" s="22">
        <f t="shared" si="50"/>
        <v>63.46</v>
      </c>
      <c r="AJ54" s="22">
        <f t="shared" si="51"/>
        <v>61.51</v>
      </c>
    </row>
    <row r="55" spans="1:36" x14ac:dyDescent="0.25">
      <c r="A55" s="34">
        <v>41671</v>
      </c>
      <c r="B55" s="34">
        <f t="shared" si="17"/>
        <v>41729</v>
      </c>
      <c r="C55">
        <v>11566.2</v>
      </c>
      <c r="D55" s="6">
        <f t="shared" si="35"/>
        <v>11532.2</v>
      </c>
      <c r="E55" s="29">
        <f t="shared" si="36"/>
        <v>9.4000000000000004E-3</v>
      </c>
      <c r="F55" s="29">
        <f t="shared" si="37"/>
        <v>5.1999999999999998E-3</v>
      </c>
      <c r="G55">
        <v>12908.1</v>
      </c>
      <c r="H55" s="6">
        <f t="shared" si="38"/>
        <v>12815.03</v>
      </c>
      <c r="I55" s="29">
        <f t="shared" si="39"/>
        <v>1.5299999999999999E-2</v>
      </c>
      <c r="J55" s="29">
        <f t="shared" si="40"/>
        <v>1.3899999999999999E-2</v>
      </c>
      <c r="K55">
        <v>1.14089</v>
      </c>
      <c r="L55">
        <v>1.52</v>
      </c>
      <c r="M55" s="35">
        <f t="shared" si="41"/>
        <v>1.33</v>
      </c>
      <c r="N55">
        <v>235.9</v>
      </c>
      <c r="O55" s="29">
        <f t="shared" si="42"/>
        <v>2.2700000000000001E-2</v>
      </c>
      <c r="P55">
        <v>7.3</v>
      </c>
      <c r="Q55" s="6">
        <f t="shared" si="27"/>
        <v>942.29</v>
      </c>
      <c r="R55">
        <v>3.25</v>
      </c>
      <c r="S55" s="36">
        <f t="shared" si="28"/>
        <v>63.52</v>
      </c>
      <c r="T55" s="6">
        <f t="shared" si="43"/>
        <v>182.09</v>
      </c>
      <c r="U55" s="6">
        <f t="shared" si="44"/>
        <v>181.74</v>
      </c>
      <c r="V55" s="29">
        <f t="shared" si="45"/>
        <v>5.8999999999999999E-3</v>
      </c>
      <c r="W55" s="29">
        <f t="shared" si="46"/>
        <v>3.0000000000000001E-3</v>
      </c>
      <c r="X55" s="13">
        <f t="shared" si="29"/>
        <v>2.0400000000000001E-2</v>
      </c>
      <c r="Y55" s="13">
        <f t="shared" si="30"/>
        <v>1.83E-2</v>
      </c>
      <c r="Z55" s="6">
        <f t="shared" si="31"/>
        <v>3.9944467994913095</v>
      </c>
      <c r="AA55" s="13">
        <f t="shared" si="32"/>
        <v>5.9499999999999997E-2</v>
      </c>
      <c r="AB55" s="35">
        <f t="shared" si="33"/>
        <v>7.6669999999999998</v>
      </c>
      <c r="AC55" s="6">
        <f t="shared" si="34"/>
        <v>7258.46</v>
      </c>
      <c r="AD55" s="6">
        <f t="shared" si="47"/>
        <v>7155.9</v>
      </c>
      <c r="AE55" s="29">
        <f t="shared" si="48"/>
        <v>1.78E-2</v>
      </c>
      <c r="AF55" s="13">
        <f t="shared" si="16"/>
        <v>0.13170000000000001</v>
      </c>
      <c r="AG55" s="22">
        <f t="shared" si="49"/>
        <v>53.28</v>
      </c>
      <c r="AH55" s="22">
        <f t="shared" si="26"/>
        <v>77.73</v>
      </c>
      <c r="AI55" s="22">
        <f t="shared" si="50"/>
        <v>59.392499999999998</v>
      </c>
      <c r="AJ55" s="22">
        <f t="shared" si="51"/>
        <v>61.14</v>
      </c>
    </row>
    <row r="56" spans="1:36" x14ac:dyDescent="0.25">
      <c r="A56" s="34">
        <v>41640</v>
      </c>
      <c r="B56" s="34">
        <f t="shared" si="17"/>
        <v>41698</v>
      </c>
      <c r="C56">
        <v>11512.5</v>
      </c>
      <c r="D56" s="6">
        <f t="shared" si="35"/>
        <v>11506</v>
      </c>
      <c r="E56" s="29">
        <f t="shared" si="36"/>
        <v>1.18E-2</v>
      </c>
      <c r="F56" s="29">
        <f t="shared" si="37"/>
        <v>3.3E-3</v>
      </c>
      <c r="G56">
        <v>12815.7</v>
      </c>
      <c r="H56" s="6">
        <f t="shared" si="38"/>
        <v>12731.23</v>
      </c>
      <c r="I56" s="29">
        <f t="shared" si="39"/>
        <v>1.14E-2</v>
      </c>
      <c r="J56" s="29">
        <f t="shared" si="40"/>
        <v>1.24E-2</v>
      </c>
      <c r="K56">
        <v>1.4734799999999999</v>
      </c>
      <c r="L56">
        <v>1.59</v>
      </c>
      <c r="M56" s="35">
        <f t="shared" si="41"/>
        <v>1.532</v>
      </c>
      <c r="N56">
        <v>232.5</v>
      </c>
      <c r="O56" s="29">
        <f t="shared" si="42"/>
        <v>0.01</v>
      </c>
      <c r="P56">
        <v>7.1</v>
      </c>
      <c r="Q56" s="6">
        <f t="shared" si="27"/>
        <v>909.91</v>
      </c>
      <c r="R56">
        <v>3.25</v>
      </c>
      <c r="S56" s="36">
        <f t="shared" si="28"/>
        <v>63.46</v>
      </c>
      <c r="T56" s="6">
        <f t="shared" si="43"/>
        <v>181.41</v>
      </c>
      <c r="U56" s="6">
        <f t="shared" si="44"/>
        <v>181.54</v>
      </c>
      <c r="V56" s="29">
        <f t="shared" si="45"/>
        <v>8.6E-3</v>
      </c>
      <c r="W56" s="29">
        <f t="shared" si="46"/>
        <v>8.0000000000000004E-4</v>
      </c>
      <c r="X56" s="13">
        <f t="shared" si="29"/>
        <v>2.0199999999999999E-2</v>
      </c>
      <c r="Y56" s="13">
        <f t="shared" si="30"/>
        <v>1.8100000000000002E-2</v>
      </c>
      <c r="Z56" s="6">
        <f t="shared" si="31"/>
        <v>3.9135913978494621</v>
      </c>
      <c r="AA56" s="13">
        <f t="shared" si="32"/>
        <v>5.8799999999999998E-2</v>
      </c>
      <c r="AB56" s="35">
        <f t="shared" si="33"/>
        <v>7.556</v>
      </c>
      <c r="AC56" s="6">
        <f t="shared" si="34"/>
        <v>7153.85</v>
      </c>
      <c r="AD56" s="6">
        <f t="shared" si="47"/>
        <v>7097.44</v>
      </c>
      <c r="AE56" s="29">
        <f t="shared" si="48"/>
        <v>2.07E-2</v>
      </c>
      <c r="AF56" s="13">
        <f t="shared" si="16"/>
        <v>0.12820000000000001</v>
      </c>
      <c r="AG56" s="22">
        <f t="shared" si="49"/>
        <v>56.39</v>
      </c>
      <c r="AH56" s="22">
        <f t="shared" si="26"/>
        <v>70.78</v>
      </c>
      <c r="AI56" s="22">
        <f t="shared" si="50"/>
        <v>59.987500000000004</v>
      </c>
      <c r="AJ56" s="22">
        <f t="shared" si="51"/>
        <v>60.36</v>
      </c>
    </row>
    <row r="57" spans="1:36" x14ac:dyDescent="0.25">
      <c r="A57" s="34">
        <v>41609</v>
      </c>
      <c r="B57" s="34">
        <f t="shared" si="17"/>
        <v>41670</v>
      </c>
      <c r="C57">
        <v>11517.9</v>
      </c>
      <c r="D57" s="6">
        <f t="shared" si="35"/>
        <v>11475.1</v>
      </c>
      <c r="E57" s="29">
        <f t="shared" si="36"/>
        <v>1.2699999999999999E-2</v>
      </c>
      <c r="F57" s="29">
        <f t="shared" si="37"/>
        <v>8.2000000000000007E-3</v>
      </c>
      <c r="G57">
        <v>12721.3</v>
      </c>
      <c r="H57" s="6">
        <f t="shared" si="38"/>
        <v>12658.53</v>
      </c>
      <c r="I57" s="29">
        <f t="shared" si="39"/>
        <v>8.0000000000000002E-3</v>
      </c>
      <c r="J57" s="29">
        <f t="shared" si="40"/>
        <v>7.9000000000000008E-3</v>
      </c>
      <c r="K57">
        <v>1.4613100000000001</v>
      </c>
      <c r="L57">
        <v>1.6</v>
      </c>
      <c r="M57" s="35">
        <f t="shared" si="41"/>
        <v>1.5309999999999999</v>
      </c>
      <c r="N57">
        <v>229.3</v>
      </c>
      <c r="O57" s="29">
        <f t="shared" si="42"/>
        <v>-7.7999999999999996E-3</v>
      </c>
      <c r="P57">
        <v>6.4</v>
      </c>
      <c r="Q57" s="6">
        <f t="shared" si="27"/>
        <v>814.16</v>
      </c>
      <c r="R57">
        <v>3.25</v>
      </c>
      <c r="S57" s="36">
        <f t="shared" si="28"/>
        <v>63.38</v>
      </c>
      <c r="T57" s="6">
        <f t="shared" si="43"/>
        <v>181.73</v>
      </c>
      <c r="U57" s="6">
        <f t="shared" si="44"/>
        <v>181.27</v>
      </c>
      <c r="V57" s="29">
        <f t="shared" si="45"/>
        <v>9.7000000000000003E-3</v>
      </c>
      <c r="W57" s="29">
        <f t="shared" si="46"/>
        <v>5.8999999999999999E-3</v>
      </c>
      <c r="X57" s="13">
        <f t="shared" si="29"/>
        <v>1.9900000000000001E-2</v>
      </c>
      <c r="Y57" s="13">
        <f t="shared" si="30"/>
        <v>1.7999999999999999E-2</v>
      </c>
      <c r="Z57" s="6">
        <f t="shared" si="31"/>
        <v>3.550632359354557</v>
      </c>
      <c r="AA57" s="13">
        <f t="shared" si="32"/>
        <v>5.8500000000000003E-2</v>
      </c>
      <c r="AB57" s="35">
        <f t="shared" si="33"/>
        <v>7.452</v>
      </c>
      <c r="AC57" s="6">
        <f t="shared" si="34"/>
        <v>7055.38</v>
      </c>
      <c r="AD57" s="6">
        <f t="shared" si="47"/>
        <v>7083.08</v>
      </c>
      <c r="AE57" s="29">
        <f t="shared" si="48"/>
        <v>1.6199999999999999E-2</v>
      </c>
      <c r="AF57" s="13">
        <f t="shared" si="16"/>
        <v>0.1149</v>
      </c>
      <c r="AG57" s="22">
        <f t="shared" si="49"/>
        <v>63.48</v>
      </c>
      <c r="AH57" s="22">
        <f t="shared" si="26"/>
        <v>62.36</v>
      </c>
      <c r="AI57" s="22">
        <f t="shared" si="50"/>
        <v>63.2</v>
      </c>
      <c r="AJ57" s="22">
        <f t="shared" si="51"/>
        <v>58.93</v>
      </c>
    </row>
    <row r="58" spans="1:36" x14ac:dyDescent="0.25">
      <c r="A58" s="34">
        <v>41579</v>
      </c>
      <c r="B58" s="34">
        <f t="shared" si="17"/>
        <v>41639</v>
      </c>
      <c r="C58">
        <v>11487.6</v>
      </c>
      <c r="D58" s="6">
        <f t="shared" si="35"/>
        <v>11424.77</v>
      </c>
      <c r="E58" s="29">
        <f t="shared" si="36"/>
        <v>1.12E-2</v>
      </c>
      <c r="F58" s="29">
        <f t="shared" si="37"/>
        <v>1.0200000000000001E-2</v>
      </c>
      <c r="G58">
        <v>12656.7</v>
      </c>
      <c r="H58" s="6">
        <f t="shared" si="38"/>
        <v>12621.53</v>
      </c>
      <c r="I58" s="29">
        <f t="shared" si="39"/>
        <v>7.9000000000000008E-3</v>
      </c>
      <c r="J58" s="29">
        <f t="shared" si="40"/>
        <v>5.4999999999999997E-3</v>
      </c>
      <c r="K58">
        <v>1.2524200000000001</v>
      </c>
      <c r="L58">
        <v>1.55</v>
      </c>
      <c r="M58" s="35">
        <f t="shared" si="41"/>
        <v>1.401</v>
      </c>
      <c r="N58">
        <v>230.2</v>
      </c>
      <c r="O58" s="29">
        <f t="shared" si="42"/>
        <v>-6.9999999999999999E-4</v>
      </c>
      <c r="P58">
        <v>6.2</v>
      </c>
      <c r="Q58" s="6">
        <f t="shared" si="27"/>
        <v>784.72</v>
      </c>
      <c r="R58">
        <v>3.25</v>
      </c>
      <c r="S58" s="36">
        <f t="shared" si="28"/>
        <v>63.3</v>
      </c>
      <c r="T58" s="6">
        <f t="shared" si="43"/>
        <v>181.48</v>
      </c>
      <c r="U58" s="6">
        <f t="shared" si="44"/>
        <v>180.67</v>
      </c>
      <c r="V58" s="29">
        <f t="shared" si="45"/>
        <v>8.0999999999999996E-3</v>
      </c>
      <c r="W58" s="29">
        <f t="shared" si="46"/>
        <v>8.2000000000000007E-3</v>
      </c>
      <c r="X58" s="13">
        <f t="shared" si="29"/>
        <v>0.02</v>
      </c>
      <c r="Y58" s="13">
        <f t="shared" si="30"/>
        <v>1.8200000000000001E-2</v>
      </c>
      <c r="Z58" s="6">
        <f t="shared" si="31"/>
        <v>3.4088618592528239</v>
      </c>
      <c r="AA58" s="13">
        <f t="shared" si="32"/>
        <v>5.9200000000000003E-2</v>
      </c>
      <c r="AB58" s="35">
        <f t="shared" si="33"/>
        <v>7.4820000000000002</v>
      </c>
      <c r="AC58" s="6">
        <f t="shared" si="34"/>
        <v>7083.08</v>
      </c>
      <c r="AD58" s="6">
        <f t="shared" si="47"/>
        <v>7110.77</v>
      </c>
      <c r="AE58" s="29">
        <f t="shared" si="48"/>
        <v>9.5999999999999992E-3</v>
      </c>
      <c r="AF58" s="13">
        <f t="shared" si="16"/>
        <v>0.1104</v>
      </c>
      <c r="AG58" s="22">
        <f t="shared" si="49"/>
        <v>62.5</v>
      </c>
      <c r="AH58" s="22">
        <f t="shared" si="26"/>
        <v>60.46</v>
      </c>
      <c r="AI58" s="22">
        <f t="shared" si="50"/>
        <v>61.99</v>
      </c>
      <c r="AJ58" s="22">
        <f t="shared" si="51"/>
        <v>56</v>
      </c>
    </row>
    <row r="59" spans="1:36" x14ac:dyDescent="0.25">
      <c r="A59" s="34">
        <v>41548</v>
      </c>
      <c r="B59" s="34">
        <f t="shared" si="17"/>
        <v>41608</v>
      </c>
      <c r="C59">
        <v>11419.8</v>
      </c>
      <c r="D59" s="6">
        <f t="shared" si="35"/>
        <v>11371.97</v>
      </c>
      <c r="E59" s="29">
        <f t="shared" si="36"/>
        <v>8.9999999999999993E-3</v>
      </c>
      <c r="F59" s="29">
        <f t="shared" si="37"/>
        <v>7.7999999999999996E-3</v>
      </c>
      <c r="G59">
        <v>12597.6</v>
      </c>
      <c r="H59" s="6">
        <f t="shared" si="38"/>
        <v>12587.43</v>
      </c>
      <c r="I59" s="29">
        <f t="shared" si="39"/>
        <v>7.4999999999999997E-3</v>
      </c>
      <c r="J59" s="29">
        <f t="shared" si="40"/>
        <v>3.2000000000000002E-3</v>
      </c>
      <c r="K59">
        <v>1.03206</v>
      </c>
      <c r="L59">
        <v>1.49</v>
      </c>
      <c r="M59" s="35">
        <f t="shared" si="41"/>
        <v>1.2609999999999999</v>
      </c>
      <c r="N59">
        <v>231.1</v>
      </c>
      <c r="O59" s="29">
        <f t="shared" si="42"/>
        <v>1.14E-2</v>
      </c>
      <c r="P59">
        <v>6.3</v>
      </c>
      <c r="Q59" s="6">
        <f t="shared" si="27"/>
        <v>793.65</v>
      </c>
      <c r="R59">
        <v>3.25</v>
      </c>
      <c r="S59" s="36">
        <f t="shared" si="28"/>
        <v>63.23</v>
      </c>
      <c r="T59" s="6">
        <f t="shared" si="43"/>
        <v>180.61</v>
      </c>
      <c r="U59" s="6">
        <f t="shared" si="44"/>
        <v>180</v>
      </c>
      <c r="V59" s="29">
        <f t="shared" si="45"/>
        <v>5.5999999999999999E-3</v>
      </c>
      <c r="W59" s="29">
        <f t="shared" si="46"/>
        <v>6.0000000000000001E-3</v>
      </c>
      <c r="X59" s="13">
        <f t="shared" si="29"/>
        <v>2.0199999999999999E-2</v>
      </c>
      <c r="Y59" s="13">
        <f t="shared" si="30"/>
        <v>1.83E-2</v>
      </c>
      <c r="Z59" s="6">
        <f t="shared" si="31"/>
        <v>3.4342276070964952</v>
      </c>
      <c r="AA59" s="13">
        <f t="shared" si="32"/>
        <v>5.9499999999999997E-2</v>
      </c>
      <c r="AB59" s="35">
        <f t="shared" si="33"/>
        <v>7.5110000000000001</v>
      </c>
      <c r="AC59" s="6">
        <f t="shared" si="34"/>
        <v>7110.77</v>
      </c>
      <c r="AD59" s="6">
        <f t="shared" si="47"/>
        <v>7088.2</v>
      </c>
      <c r="AE59" s="29">
        <f t="shared" si="48"/>
        <v>-6.3E-3</v>
      </c>
      <c r="AF59" s="13">
        <f t="shared" si="16"/>
        <v>0.112</v>
      </c>
      <c r="AG59" s="22">
        <f t="shared" si="49"/>
        <v>55.44</v>
      </c>
      <c r="AH59" s="22">
        <f t="shared" si="26"/>
        <v>58.7</v>
      </c>
      <c r="AI59" s="22">
        <f t="shared" si="50"/>
        <v>56.254999999999995</v>
      </c>
      <c r="AJ59" s="22">
        <f t="shared" si="51"/>
        <v>52.56</v>
      </c>
    </row>
    <row r="60" spans="1:36" x14ac:dyDescent="0.25">
      <c r="A60" s="34">
        <v>41518</v>
      </c>
      <c r="B60" s="34">
        <f t="shared" si="17"/>
        <v>41578</v>
      </c>
      <c r="C60">
        <v>11366.9</v>
      </c>
      <c r="D60" s="6">
        <f t="shared" si="35"/>
        <v>11330.93</v>
      </c>
      <c r="E60" s="29">
        <f t="shared" si="36"/>
        <v>8.0999999999999996E-3</v>
      </c>
      <c r="F60" s="29">
        <f t="shared" si="37"/>
        <v>6.1000000000000004E-3</v>
      </c>
      <c r="G60">
        <v>12610.3</v>
      </c>
      <c r="H60" s="6">
        <f t="shared" si="38"/>
        <v>12557.53</v>
      </c>
      <c r="I60" s="29">
        <f t="shared" si="39"/>
        <v>8.3999999999999995E-3</v>
      </c>
      <c r="J60" s="29">
        <f t="shared" si="40"/>
        <v>7.0000000000000001E-3</v>
      </c>
      <c r="K60">
        <v>1.1626099999999999</v>
      </c>
      <c r="L60">
        <v>1.5</v>
      </c>
      <c r="M60" s="35">
        <f t="shared" si="41"/>
        <v>1.331</v>
      </c>
      <c r="N60">
        <v>232</v>
      </c>
      <c r="O60" s="29">
        <f t="shared" si="42"/>
        <v>2.6499999999999999E-2</v>
      </c>
      <c r="P60">
        <v>6.8</v>
      </c>
      <c r="Q60" s="6">
        <f t="shared" si="27"/>
        <v>857.5</v>
      </c>
      <c r="R60">
        <v>3.25</v>
      </c>
      <c r="S60" s="36">
        <f t="shared" si="28"/>
        <v>63.18</v>
      </c>
      <c r="T60" s="6">
        <f t="shared" si="43"/>
        <v>179.91</v>
      </c>
      <c r="U60" s="6">
        <f t="shared" si="44"/>
        <v>179.53</v>
      </c>
      <c r="V60" s="29">
        <f t="shared" si="45"/>
        <v>4.4000000000000003E-3</v>
      </c>
      <c r="W60" s="29">
        <f t="shared" si="46"/>
        <v>3.8E-3</v>
      </c>
      <c r="X60" s="13">
        <f t="shared" si="29"/>
        <v>2.0400000000000001E-2</v>
      </c>
      <c r="Y60" s="13">
        <f t="shared" si="30"/>
        <v>1.84E-2</v>
      </c>
      <c r="Z60" s="6">
        <f t="shared" si="31"/>
        <v>3.6961206896551726</v>
      </c>
      <c r="AA60" s="13">
        <f t="shared" si="32"/>
        <v>5.9799999999999999E-2</v>
      </c>
      <c r="AB60" s="35">
        <f t="shared" si="33"/>
        <v>7.54</v>
      </c>
      <c r="AC60" s="6">
        <f t="shared" si="34"/>
        <v>7138.46</v>
      </c>
      <c r="AD60" s="6">
        <f t="shared" si="47"/>
        <v>7030.77</v>
      </c>
      <c r="AE60" s="29">
        <f t="shared" si="48"/>
        <v>-1.4500000000000001E-2</v>
      </c>
      <c r="AF60" s="13">
        <f t="shared" si="16"/>
        <v>0.122</v>
      </c>
      <c r="AG60" s="22">
        <f t="shared" si="49"/>
        <v>51.33</v>
      </c>
      <c r="AH60" s="22">
        <f t="shared" si="26"/>
        <v>63.17</v>
      </c>
      <c r="AI60" s="22">
        <f t="shared" si="50"/>
        <v>54.290000000000006</v>
      </c>
      <c r="AJ60" s="22">
        <f t="shared" si="51"/>
        <v>49.32</v>
      </c>
    </row>
    <row r="61" spans="1:36" x14ac:dyDescent="0.25">
      <c r="A61" s="34">
        <v>41487</v>
      </c>
      <c r="B61" s="34">
        <f t="shared" si="17"/>
        <v>41547</v>
      </c>
      <c r="C61">
        <v>11329.2</v>
      </c>
      <c r="D61" s="6">
        <f t="shared" si="35"/>
        <v>11298.23</v>
      </c>
      <c r="E61" s="29">
        <f t="shared" si="36"/>
        <v>6.4999999999999997E-3</v>
      </c>
      <c r="F61" s="29">
        <f t="shared" si="37"/>
        <v>5.1999999999999998E-3</v>
      </c>
      <c r="G61">
        <v>12554.4</v>
      </c>
      <c r="H61" s="6">
        <f t="shared" si="38"/>
        <v>12522.83</v>
      </c>
      <c r="I61" s="29">
        <f t="shared" si="39"/>
        <v>9.9000000000000008E-3</v>
      </c>
      <c r="J61" s="29">
        <f t="shared" si="40"/>
        <v>4.8999999999999998E-3</v>
      </c>
      <c r="K61">
        <v>1.4319999999999999</v>
      </c>
      <c r="L61">
        <v>1.5</v>
      </c>
      <c r="M61" s="35">
        <f t="shared" si="41"/>
        <v>1.466</v>
      </c>
      <c r="N61">
        <v>228</v>
      </c>
      <c r="O61" s="29">
        <f t="shared" si="42"/>
        <v>6.4999999999999997E-3</v>
      </c>
      <c r="P61">
        <v>6.7</v>
      </c>
      <c r="Q61" s="6">
        <f t="shared" si="27"/>
        <v>841.14</v>
      </c>
      <c r="R61">
        <v>3.25</v>
      </c>
      <c r="S61" s="36">
        <f t="shared" si="28"/>
        <v>63.12</v>
      </c>
      <c r="T61" s="6">
        <f t="shared" si="43"/>
        <v>179.49</v>
      </c>
      <c r="U61" s="6">
        <f t="shared" si="44"/>
        <v>179.22</v>
      </c>
      <c r="V61" s="29">
        <f t="shared" si="45"/>
        <v>2.8E-3</v>
      </c>
      <c r="W61" s="29">
        <f t="shared" si="46"/>
        <v>2.7000000000000001E-3</v>
      </c>
      <c r="X61" s="13">
        <f t="shared" si="29"/>
        <v>2.01E-2</v>
      </c>
      <c r="Y61" s="13">
        <f t="shared" si="30"/>
        <v>1.8200000000000001E-2</v>
      </c>
      <c r="Z61" s="6">
        <f t="shared" si="31"/>
        <v>3.6892105263157893</v>
      </c>
      <c r="AA61" s="13">
        <f t="shared" si="32"/>
        <v>5.9200000000000003E-2</v>
      </c>
      <c r="AB61" s="35">
        <f t="shared" si="33"/>
        <v>7.41</v>
      </c>
      <c r="AC61" s="6">
        <f t="shared" si="34"/>
        <v>7015.38</v>
      </c>
      <c r="AD61" s="6">
        <f t="shared" si="47"/>
        <v>6953.84</v>
      </c>
      <c r="AE61" s="29">
        <f t="shared" si="48"/>
        <v>-1.95E-2</v>
      </c>
      <c r="AF61" s="13">
        <f t="shared" si="16"/>
        <v>0.121</v>
      </c>
      <c r="AG61" s="22">
        <f t="shared" si="49"/>
        <v>47.22</v>
      </c>
      <c r="AH61" s="22">
        <f t="shared" si="26"/>
        <v>64.19</v>
      </c>
      <c r="AI61" s="22">
        <f t="shared" si="50"/>
        <v>51.462499999999999</v>
      </c>
      <c r="AJ61" s="22">
        <f t="shared" si="51"/>
        <v>44.36</v>
      </c>
    </row>
    <row r="62" spans="1:36" x14ac:dyDescent="0.25">
      <c r="A62" s="34">
        <v>41456</v>
      </c>
      <c r="B62" s="34">
        <f t="shared" si="17"/>
        <v>41517</v>
      </c>
      <c r="C62">
        <v>11296.7</v>
      </c>
      <c r="D62" s="6">
        <f t="shared" si="35"/>
        <v>11270.03</v>
      </c>
      <c r="E62" s="29">
        <f t="shared" si="36"/>
        <v>4.1000000000000003E-3</v>
      </c>
      <c r="F62" s="29">
        <f t="shared" si="37"/>
        <v>5.1000000000000004E-3</v>
      </c>
      <c r="G62">
        <v>12507.9</v>
      </c>
      <c r="H62" s="6">
        <f t="shared" si="38"/>
        <v>12493.4</v>
      </c>
      <c r="I62" s="29">
        <f t="shared" si="39"/>
        <v>1.0800000000000001E-2</v>
      </c>
      <c r="J62" s="29">
        <f t="shared" si="40"/>
        <v>4.4000000000000003E-3</v>
      </c>
      <c r="K62">
        <v>1.61724</v>
      </c>
      <c r="L62">
        <v>1.5</v>
      </c>
      <c r="M62" s="35">
        <f t="shared" si="41"/>
        <v>1.5589999999999999</v>
      </c>
      <c r="N62">
        <v>225.5</v>
      </c>
      <c r="O62" s="29">
        <f t="shared" si="42"/>
        <v>-1.49E-2</v>
      </c>
      <c r="P62">
        <v>6.6</v>
      </c>
      <c r="Q62" s="6">
        <f t="shared" si="27"/>
        <v>825.52</v>
      </c>
      <c r="R62">
        <v>3.25</v>
      </c>
      <c r="S62" s="36">
        <f t="shared" si="28"/>
        <v>63.04</v>
      </c>
      <c r="T62" s="6">
        <f t="shared" si="43"/>
        <v>179.2</v>
      </c>
      <c r="U62" s="6">
        <f t="shared" si="44"/>
        <v>179</v>
      </c>
      <c r="V62" s="29">
        <f t="shared" si="45"/>
        <v>6.9999999999999999E-4</v>
      </c>
      <c r="W62" s="29">
        <f t="shared" si="46"/>
        <v>2.5999999999999999E-3</v>
      </c>
      <c r="X62" s="13">
        <f t="shared" si="29"/>
        <v>0.02</v>
      </c>
      <c r="Y62" s="13">
        <f t="shared" si="30"/>
        <v>1.7999999999999999E-2</v>
      </c>
      <c r="Z62" s="6">
        <f t="shared" si="31"/>
        <v>3.6608425720620841</v>
      </c>
      <c r="AA62" s="13">
        <f t="shared" si="32"/>
        <v>5.8500000000000003E-2</v>
      </c>
      <c r="AB62" s="35">
        <f t="shared" si="33"/>
        <v>7.3289999999999997</v>
      </c>
      <c r="AC62" s="6">
        <f t="shared" si="34"/>
        <v>6938.46</v>
      </c>
      <c r="AD62" s="6">
        <f t="shared" si="47"/>
        <v>6970.26</v>
      </c>
      <c r="AE62" s="29">
        <f t="shared" si="48"/>
        <v>-1.09E-2</v>
      </c>
      <c r="AF62" s="13">
        <f t="shared" si="16"/>
        <v>0.11840000000000001</v>
      </c>
      <c r="AG62" s="22">
        <f t="shared" si="49"/>
        <v>42.65</v>
      </c>
      <c r="AH62" s="22">
        <f t="shared" si="26"/>
        <v>65.03</v>
      </c>
      <c r="AI62" s="22">
        <f t="shared" si="50"/>
        <v>48.244999999999997</v>
      </c>
      <c r="AJ62" s="22">
        <f t="shared" si="51"/>
        <v>38.92</v>
      </c>
    </row>
    <row r="63" spans="1:36" x14ac:dyDescent="0.25">
      <c r="A63" s="34">
        <v>41426</v>
      </c>
      <c r="B63" s="34">
        <f t="shared" si="17"/>
        <v>41486</v>
      </c>
      <c r="C63">
        <v>11268.8</v>
      </c>
      <c r="D63" s="6">
        <f t="shared" si="35"/>
        <v>11239.6</v>
      </c>
      <c r="E63" s="29">
        <f t="shared" si="36"/>
        <v>1.5E-3</v>
      </c>
      <c r="F63" s="29">
        <f t="shared" si="37"/>
        <v>3.8E-3</v>
      </c>
      <c r="G63">
        <v>12506.2</v>
      </c>
      <c r="H63" s="6">
        <f t="shared" si="38"/>
        <v>12453.13</v>
      </c>
      <c r="I63" s="29">
        <f t="shared" si="39"/>
        <v>8.2000000000000007E-3</v>
      </c>
      <c r="J63" s="29">
        <f t="shared" si="40"/>
        <v>8.5000000000000006E-3</v>
      </c>
      <c r="K63">
        <v>1.5295700000000001</v>
      </c>
      <c r="L63">
        <v>1.46</v>
      </c>
      <c r="M63" s="35">
        <f t="shared" si="41"/>
        <v>1.4950000000000001</v>
      </c>
      <c r="N63">
        <v>224.5</v>
      </c>
      <c r="O63" s="29">
        <f t="shared" si="42"/>
        <v>-3.1600000000000003E-2</v>
      </c>
      <c r="P63">
        <v>6.8</v>
      </c>
      <c r="Q63" s="6">
        <f t="shared" si="27"/>
        <v>850.42</v>
      </c>
      <c r="R63">
        <v>3.25</v>
      </c>
      <c r="S63" s="36">
        <f t="shared" si="28"/>
        <v>62.96</v>
      </c>
      <c r="T63" s="6">
        <f t="shared" si="43"/>
        <v>178.98</v>
      </c>
      <c r="U63" s="6">
        <f t="shared" si="44"/>
        <v>178.74</v>
      </c>
      <c r="V63" s="29">
        <f t="shared" si="45"/>
        <v>-1.8E-3</v>
      </c>
      <c r="W63" s="29">
        <f t="shared" si="46"/>
        <v>1.5E-3</v>
      </c>
      <c r="X63" s="13">
        <f t="shared" si="29"/>
        <v>1.9900000000000001E-2</v>
      </c>
      <c r="Y63" s="13">
        <f t="shared" si="30"/>
        <v>1.7999999999999999E-2</v>
      </c>
      <c r="Z63" s="6">
        <f t="shared" si="31"/>
        <v>3.7880623608017814</v>
      </c>
      <c r="AA63" s="13">
        <f t="shared" si="32"/>
        <v>5.8500000000000003E-2</v>
      </c>
      <c r="AB63" s="35">
        <f t="shared" si="33"/>
        <v>7.2960000000000003</v>
      </c>
      <c r="AC63" s="6">
        <f t="shared" si="34"/>
        <v>6907.69</v>
      </c>
      <c r="AD63" s="6">
        <f t="shared" si="47"/>
        <v>7043.08</v>
      </c>
      <c r="AE63" s="29">
        <f t="shared" si="48"/>
        <v>-4.5999999999999999E-3</v>
      </c>
      <c r="AF63" s="13">
        <f t="shared" si="16"/>
        <v>0.1207</v>
      </c>
      <c r="AG63" s="22">
        <f t="shared" si="49"/>
        <v>36.380000000000003</v>
      </c>
      <c r="AH63" s="22">
        <f t="shared" si="26"/>
        <v>63.94</v>
      </c>
      <c r="AI63" s="22">
        <f t="shared" si="50"/>
        <v>43.27</v>
      </c>
      <c r="AJ63" s="22">
        <f t="shared" si="51"/>
        <v>34.549999999999997</v>
      </c>
    </row>
    <row r="64" spans="1:36" x14ac:dyDescent="0.25">
      <c r="A64" s="34">
        <v>41395</v>
      </c>
      <c r="B64" s="34">
        <f t="shared" si="17"/>
        <v>41455</v>
      </c>
      <c r="C64">
        <v>11244.6</v>
      </c>
      <c r="D64" s="6">
        <f t="shared" si="35"/>
        <v>11225.7</v>
      </c>
      <c r="E64" s="29">
        <f t="shared" si="36"/>
        <v>2.8E-3</v>
      </c>
      <c r="F64" s="29">
        <f t="shared" si="37"/>
        <v>1.8E-3</v>
      </c>
      <c r="G64">
        <v>12466.1</v>
      </c>
      <c r="H64" s="6">
        <f t="shared" si="38"/>
        <v>12400.33</v>
      </c>
      <c r="I64" s="29">
        <f t="shared" si="39"/>
        <v>-1.5900000000000001E-2</v>
      </c>
      <c r="J64" s="29">
        <f t="shared" si="40"/>
        <v>8.6E-3</v>
      </c>
      <c r="K64">
        <v>1.25407</v>
      </c>
      <c r="L64">
        <v>1.39</v>
      </c>
      <c r="M64" s="35">
        <f t="shared" si="41"/>
        <v>1.3220000000000001</v>
      </c>
      <c r="N64">
        <v>229.6</v>
      </c>
      <c r="O64" s="29">
        <f t="shared" si="42"/>
        <v>-9.7999999999999997E-3</v>
      </c>
      <c r="P64">
        <v>6.7</v>
      </c>
      <c r="Q64" s="6">
        <f t="shared" si="27"/>
        <v>835.23</v>
      </c>
      <c r="R64">
        <v>3.25</v>
      </c>
      <c r="S64" s="36">
        <f t="shared" si="28"/>
        <v>62.88</v>
      </c>
      <c r="T64" s="6">
        <f t="shared" si="43"/>
        <v>178.83</v>
      </c>
      <c r="U64" s="6">
        <f t="shared" si="44"/>
        <v>178.72</v>
      </c>
      <c r="V64" s="29">
        <f t="shared" si="45"/>
        <v>-5.9999999999999995E-4</v>
      </c>
      <c r="W64" s="29">
        <f t="shared" si="46"/>
        <v>-2.9999999999999997E-4</v>
      </c>
      <c r="X64" s="13">
        <f t="shared" si="29"/>
        <v>2.0400000000000001E-2</v>
      </c>
      <c r="Y64" s="13">
        <f t="shared" si="30"/>
        <v>1.84E-2</v>
      </c>
      <c r="Z64" s="6">
        <f t="shared" si="31"/>
        <v>3.6377613240418119</v>
      </c>
      <c r="AA64" s="13">
        <f t="shared" si="32"/>
        <v>5.9799999999999999E-2</v>
      </c>
      <c r="AB64" s="35">
        <f t="shared" si="33"/>
        <v>7.4619999999999997</v>
      </c>
      <c r="AC64" s="6">
        <f t="shared" si="34"/>
        <v>7064.62</v>
      </c>
      <c r="AD64" s="6">
        <f t="shared" si="47"/>
        <v>7133.33</v>
      </c>
      <c r="AE64" s="29">
        <f t="shared" si="48"/>
        <v>-1.1000000000000001E-3</v>
      </c>
      <c r="AF64" s="13">
        <f t="shared" si="16"/>
        <v>0.1171</v>
      </c>
      <c r="AG64" s="22">
        <f t="shared" si="49"/>
        <v>36.83</v>
      </c>
      <c r="AH64" s="22">
        <f t="shared" si="26"/>
        <v>27.38</v>
      </c>
      <c r="AI64" s="22">
        <f t="shared" si="50"/>
        <v>34.467500000000001</v>
      </c>
      <c r="AJ64" s="22">
        <f t="shared" si="51"/>
        <v>34.96</v>
      </c>
    </row>
    <row r="65" spans="1:36" x14ac:dyDescent="0.25">
      <c r="A65" s="34">
        <v>41365</v>
      </c>
      <c r="B65" s="34">
        <f t="shared" si="17"/>
        <v>41425</v>
      </c>
      <c r="C65">
        <v>11205.4</v>
      </c>
      <c r="D65" s="6">
        <f t="shared" si="35"/>
        <v>11224.03</v>
      </c>
      <c r="E65" s="29">
        <f t="shared" si="36"/>
        <v>5.7000000000000002E-3</v>
      </c>
      <c r="F65" s="29">
        <f t="shared" si="37"/>
        <v>-1.6000000000000001E-3</v>
      </c>
      <c r="G65">
        <v>12387.1</v>
      </c>
      <c r="H65" s="6">
        <f t="shared" si="38"/>
        <v>12360.07</v>
      </c>
      <c r="I65" s="29">
        <f t="shared" si="39"/>
        <v>-0.03</v>
      </c>
      <c r="J65" s="29">
        <f t="shared" si="40"/>
        <v>2.8999999999999998E-3</v>
      </c>
      <c r="K65">
        <v>1.06836</v>
      </c>
      <c r="L65">
        <v>1.43</v>
      </c>
      <c r="M65" s="35">
        <f t="shared" si="41"/>
        <v>1.2490000000000001</v>
      </c>
      <c r="N65">
        <v>232.6</v>
      </c>
      <c r="O65" s="29">
        <f t="shared" si="42"/>
        <v>9.1000000000000004E-3</v>
      </c>
      <c r="P65">
        <v>6.4</v>
      </c>
      <c r="Q65" s="6">
        <f t="shared" si="27"/>
        <v>792.77</v>
      </c>
      <c r="R65">
        <v>3.25</v>
      </c>
      <c r="S65" s="36">
        <f t="shared" si="28"/>
        <v>62.81</v>
      </c>
      <c r="T65" s="6">
        <f t="shared" si="43"/>
        <v>178.4</v>
      </c>
      <c r="U65" s="6">
        <f t="shared" si="44"/>
        <v>178.88</v>
      </c>
      <c r="V65" s="29">
        <f t="shared" si="45"/>
        <v>2.0999999999999999E-3</v>
      </c>
      <c r="W65" s="29">
        <f t="shared" si="46"/>
        <v>-3.7000000000000002E-3</v>
      </c>
      <c r="X65" s="13">
        <f t="shared" si="29"/>
        <v>2.0799999999999999E-2</v>
      </c>
      <c r="Y65" s="13">
        <f t="shared" si="30"/>
        <v>1.8800000000000001E-2</v>
      </c>
      <c r="Z65" s="6">
        <f t="shared" si="31"/>
        <v>3.408297506448839</v>
      </c>
      <c r="AA65" s="13">
        <f t="shared" si="32"/>
        <v>6.1100000000000002E-2</v>
      </c>
      <c r="AB65" s="35">
        <f t="shared" si="33"/>
        <v>7.56</v>
      </c>
      <c r="AC65" s="6">
        <f t="shared" si="34"/>
        <v>7156.92</v>
      </c>
      <c r="AD65" s="6">
        <f t="shared" si="47"/>
        <v>7134.36</v>
      </c>
      <c r="AE65" s="29">
        <f t="shared" si="48"/>
        <v>-1.09E-2</v>
      </c>
      <c r="AF65" s="13">
        <f t="shared" si="16"/>
        <v>0.1111</v>
      </c>
      <c r="AG65" s="22">
        <f t="shared" si="49"/>
        <v>38.909999999999997</v>
      </c>
      <c r="AH65" s="22">
        <f t="shared" si="26"/>
        <v>2.0699999999999998</v>
      </c>
      <c r="AI65" s="22">
        <f t="shared" si="50"/>
        <v>29.699999999999996</v>
      </c>
      <c r="AJ65" s="22">
        <f t="shared" si="51"/>
        <v>39.68</v>
      </c>
    </row>
    <row r="66" spans="1:36" x14ac:dyDescent="0.25">
      <c r="A66" s="34">
        <v>41334</v>
      </c>
      <c r="B66" s="34">
        <f t="shared" si="17"/>
        <v>41394</v>
      </c>
      <c r="C66">
        <v>11227.1</v>
      </c>
      <c r="D66" s="6">
        <f t="shared" si="35"/>
        <v>11223.17</v>
      </c>
      <c r="E66" s="29">
        <f t="shared" si="36"/>
        <v>8.8000000000000005E-3</v>
      </c>
      <c r="F66" s="29">
        <f t="shared" si="37"/>
        <v>2.8999999999999998E-3</v>
      </c>
      <c r="G66">
        <v>12347.8</v>
      </c>
      <c r="H66" s="6">
        <f t="shared" si="38"/>
        <v>12351.87</v>
      </c>
      <c r="I66" s="29">
        <f t="shared" si="39"/>
        <v>-3.6600000000000001E-2</v>
      </c>
      <c r="J66" s="29">
        <f t="shared" si="40"/>
        <v>-2.01E-2</v>
      </c>
      <c r="K66">
        <v>1.2813699999999999</v>
      </c>
      <c r="L66">
        <v>1.58</v>
      </c>
      <c r="M66" s="35">
        <f t="shared" si="41"/>
        <v>1.431</v>
      </c>
      <c r="N66">
        <v>233.3</v>
      </c>
      <c r="O66" s="29">
        <f t="shared" si="42"/>
        <v>1.8599999999999998E-2</v>
      </c>
      <c r="P66">
        <v>5.9</v>
      </c>
      <c r="Q66" s="6">
        <f t="shared" si="27"/>
        <v>728.52</v>
      </c>
      <c r="R66">
        <v>3.25</v>
      </c>
      <c r="S66" s="36">
        <f t="shared" si="28"/>
        <v>62.75</v>
      </c>
      <c r="T66" s="6">
        <f t="shared" si="43"/>
        <v>178.92</v>
      </c>
      <c r="U66" s="6">
        <f t="shared" si="44"/>
        <v>179.07</v>
      </c>
      <c r="V66" s="29">
        <f t="shared" si="45"/>
        <v>4.7999999999999996E-3</v>
      </c>
      <c r="W66" s="29">
        <f t="shared" si="46"/>
        <v>5.0000000000000001E-4</v>
      </c>
      <c r="X66" s="13">
        <f t="shared" si="29"/>
        <v>2.0799999999999999E-2</v>
      </c>
      <c r="Y66" s="13">
        <f t="shared" si="30"/>
        <v>1.89E-2</v>
      </c>
      <c r="Z66" s="6">
        <f t="shared" si="31"/>
        <v>3.1226746678096871</v>
      </c>
      <c r="AA66" s="13">
        <f t="shared" si="32"/>
        <v>6.1400000000000003E-2</v>
      </c>
      <c r="AB66" s="35">
        <f t="shared" si="33"/>
        <v>7.5819999999999999</v>
      </c>
      <c r="AC66" s="6">
        <f t="shared" si="34"/>
        <v>7178.46</v>
      </c>
      <c r="AD66" s="6">
        <f t="shared" si="47"/>
        <v>7092.31</v>
      </c>
      <c r="AE66" s="29">
        <f t="shared" si="48"/>
        <v>-1.7299999999999999E-2</v>
      </c>
      <c r="AF66" s="13">
        <f t="shared" si="16"/>
        <v>0.1027</v>
      </c>
      <c r="AG66" s="22">
        <f t="shared" si="49"/>
        <v>49.06</v>
      </c>
      <c r="AH66" s="22">
        <f t="shared" si="26"/>
        <v>-24.07</v>
      </c>
      <c r="AI66" s="22">
        <f t="shared" si="50"/>
        <v>30.777500000000003</v>
      </c>
      <c r="AJ66" s="22">
        <f t="shared" si="51"/>
        <v>49.82</v>
      </c>
    </row>
    <row r="67" spans="1:36" x14ac:dyDescent="0.25">
      <c r="A67" s="34">
        <v>41306</v>
      </c>
      <c r="B67" s="34">
        <f t="shared" si="17"/>
        <v>41364</v>
      </c>
      <c r="C67">
        <v>11239.6</v>
      </c>
      <c r="D67" s="6">
        <f t="shared" si="35"/>
        <v>11194.3</v>
      </c>
      <c r="E67" s="29">
        <f t="shared" si="36"/>
        <v>8.6E-3</v>
      </c>
      <c r="F67" s="29">
        <f t="shared" si="37"/>
        <v>7.1000000000000004E-3</v>
      </c>
      <c r="G67">
        <v>12345.3</v>
      </c>
      <c r="H67" s="6">
        <f t="shared" si="38"/>
        <v>12600.47</v>
      </c>
      <c r="I67" s="29">
        <f t="shared" si="39"/>
        <v>-1E-3</v>
      </c>
      <c r="J67" s="29">
        <f t="shared" si="40"/>
        <v>-3.1099999999999999E-2</v>
      </c>
      <c r="K67">
        <v>1.6001000000000001</v>
      </c>
      <c r="L67">
        <v>1.65</v>
      </c>
      <c r="M67" s="35">
        <f t="shared" si="41"/>
        <v>1.625</v>
      </c>
      <c r="N67">
        <v>229.7</v>
      </c>
      <c r="O67" s="29">
        <f t="shared" si="42"/>
        <v>-1.1999999999999999E-3</v>
      </c>
      <c r="P67">
        <v>5.8</v>
      </c>
      <c r="Q67" s="6">
        <f t="shared" si="27"/>
        <v>716.03</v>
      </c>
      <c r="R67">
        <v>3.25</v>
      </c>
      <c r="S67" s="36">
        <f t="shared" si="28"/>
        <v>62.68</v>
      </c>
      <c r="T67" s="6">
        <f t="shared" si="43"/>
        <v>179.32</v>
      </c>
      <c r="U67" s="6">
        <f t="shared" si="44"/>
        <v>178.82</v>
      </c>
      <c r="V67" s="29">
        <f t="shared" si="45"/>
        <v>4.3E-3</v>
      </c>
      <c r="W67" s="29">
        <f t="shared" si="46"/>
        <v>4.4999999999999997E-3</v>
      </c>
      <c r="X67" s="13">
        <f t="shared" si="29"/>
        <v>2.0400000000000001E-2</v>
      </c>
      <c r="Y67" s="13">
        <f t="shared" si="30"/>
        <v>1.8599999999999998E-2</v>
      </c>
      <c r="Z67" s="6">
        <f t="shared" si="31"/>
        <v>3.1172398781018722</v>
      </c>
      <c r="AA67" s="13">
        <f t="shared" si="32"/>
        <v>6.0499999999999998E-2</v>
      </c>
      <c r="AB67" s="35">
        <f t="shared" si="33"/>
        <v>7.4649999999999999</v>
      </c>
      <c r="AC67" s="6">
        <f t="shared" si="34"/>
        <v>7067.69</v>
      </c>
      <c r="AD67" s="6">
        <f t="shared" si="47"/>
        <v>7047.18</v>
      </c>
      <c r="AE67" s="29">
        <f t="shared" si="48"/>
        <v>-1.7000000000000001E-2</v>
      </c>
      <c r="AF67" s="13">
        <f t="shared" si="16"/>
        <v>0.1016</v>
      </c>
      <c r="AG67" s="22">
        <f t="shared" si="49"/>
        <v>52.58</v>
      </c>
      <c r="AH67" s="22">
        <f t="shared" si="26"/>
        <v>21.77</v>
      </c>
      <c r="AI67" s="22">
        <f t="shared" si="50"/>
        <v>44.877500000000005</v>
      </c>
      <c r="AJ67" s="22">
        <f t="shared" si="51"/>
        <v>58.51</v>
      </c>
    </row>
    <row r="68" spans="1:36" x14ac:dyDescent="0.25">
      <c r="A68" s="34">
        <v>41275</v>
      </c>
      <c r="B68" s="34">
        <f t="shared" si="17"/>
        <v>41333</v>
      </c>
      <c r="C68">
        <v>11202.8</v>
      </c>
      <c r="D68" s="6">
        <f t="shared" si="35"/>
        <v>11160.03</v>
      </c>
      <c r="E68" s="29">
        <f t="shared" si="36"/>
        <v>9.4999999999999998E-3</v>
      </c>
      <c r="F68" s="29">
        <f t="shared" si="37"/>
        <v>6.8999999999999999E-3</v>
      </c>
      <c r="G68">
        <v>12362.5</v>
      </c>
      <c r="H68" s="6">
        <f t="shared" si="38"/>
        <v>12741.93</v>
      </c>
      <c r="I68" s="29">
        <f t="shared" si="39"/>
        <v>2.1000000000000001E-2</v>
      </c>
      <c r="J68" s="29">
        <f t="shared" si="40"/>
        <v>-3.5799999999999998E-2</v>
      </c>
      <c r="K68">
        <v>1.47201</v>
      </c>
      <c r="L68">
        <v>1.59</v>
      </c>
      <c r="M68" s="35">
        <f t="shared" si="41"/>
        <v>1.5309999999999999</v>
      </c>
      <c r="N68">
        <v>228.5</v>
      </c>
      <c r="O68" s="29">
        <f t="shared" si="42"/>
        <v>-1.55E-2</v>
      </c>
      <c r="P68">
        <v>6.3</v>
      </c>
      <c r="Q68" s="6">
        <f t="shared" si="27"/>
        <v>778.84</v>
      </c>
      <c r="R68">
        <v>3.25</v>
      </c>
      <c r="S68" s="36">
        <f t="shared" si="28"/>
        <v>62.6</v>
      </c>
      <c r="T68" s="6">
        <f t="shared" si="43"/>
        <v>178.96</v>
      </c>
      <c r="U68" s="6">
        <f t="shared" si="44"/>
        <v>178.51</v>
      </c>
      <c r="V68" s="29">
        <f t="shared" si="45"/>
        <v>5.1000000000000004E-3</v>
      </c>
      <c r="W68" s="29">
        <f t="shared" si="46"/>
        <v>4.1999999999999997E-3</v>
      </c>
      <c r="X68" s="13">
        <f t="shared" si="29"/>
        <v>2.0400000000000001E-2</v>
      </c>
      <c r="Y68" s="13">
        <f t="shared" si="30"/>
        <v>1.8499999999999999E-2</v>
      </c>
      <c r="Z68" s="6">
        <f t="shared" si="31"/>
        <v>3.4084901531728669</v>
      </c>
      <c r="AA68" s="13">
        <f t="shared" si="32"/>
        <v>6.0100000000000001E-2</v>
      </c>
      <c r="AB68" s="35">
        <f t="shared" si="33"/>
        <v>7.4260000000000002</v>
      </c>
      <c r="AC68" s="6">
        <f t="shared" si="34"/>
        <v>7030.77</v>
      </c>
      <c r="AD68" s="6">
        <f t="shared" si="47"/>
        <v>7075.9</v>
      </c>
      <c r="AE68" s="29">
        <f t="shared" si="48"/>
        <v>-1.6000000000000001E-3</v>
      </c>
      <c r="AF68" s="13">
        <f t="shared" ref="AF68:AF131" si="52">ROUND(Q68/AD68,4)</f>
        <v>0.1101</v>
      </c>
      <c r="AG68" s="22">
        <f t="shared" si="49"/>
        <v>54.03</v>
      </c>
      <c r="AH68" s="22">
        <f t="shared" si="26"/>
        <v>51.38</v>
      </c>
      <c r="AI68" s="22">
        <f t="shared" si="50"/>
        <v>53.3675</v>
      </c>
      <c r="AJ68" s="22">
        <f t="shared" si="51"/>
        <v>61.08</v>
      </c>
    </row>
    <row r="69" spans="1:36" x14ac:dyDescent="0.25">
      <c r="A69" s="34">
        <v>41244</v>
      </c>
      <c r="B69" s="34">
        <f t="shared" si="17"/>
        <v>41305</v>
      </c>
      <c r="C69">
        <v>11140.5</v>
      </c>
      <c r="D69" s="6">
        <f t="shared" si="35"/>
        <v>11125.7</v>
      </c>
      <c r="E69" s="29">
        <f t="shared" si="36"/>
        <v>1.01E-2</v>
      </c>
      <c r="F69" s="29">
        <f t="shared" si="37"/>
        <v>3.7000000000000002E-3</v>
      </c>
      <c r="G69">
        <v>13093.6</v>
      </c>
      <c r="H69" s="6">
        <f t="shared" si="38"/>
        <v>12821.23</v>
      </c>
      <c r="I69" s="29">
        <f t="shared" si="39"/>
        <v>3.3500000000000002E-2</v>
      </c>
      <c r="J69" s="29">
        <f t="shared" si="40"/>
        <v>3.8100000000000002E-2</v>
      </c>
      <c r="K69">
        <v>1.6470499999999999</v>
      </c>
      <c r="L69">
        <v>1.62</v>
      </c>
      <c r="M69" s="35">
        <f t="shared" si="41"/>
        <v>1.6339999999999999</v>
      </c>
      <c r="N69">
        <v>228.9</v>
      </c>
      <c r="O69" s="29">
        <f t="shared" si="42"/>
        <v>-2.3599999999999999E-2</v>
      </c>
      <c r="P69">
        <v>12</v>
      </c>
      <c r="Q69" s="6">
        <f t="shared" si="27"/>
        <v>1571.23</v>
      </c>
      <c r="R69">
        <v>3.25</v>
      </c>
      <c r="S69" s="36">
        <f t="shared" si="28"/>
        <v>62.52</v>
      </c>
      <c r="T69" s="6">
        <f t="shared" si="43"/>
        <v>178.19</v>
      </c>
      <c r="U69" s="6">
        <f t="shared" si="44"/>
        <v>178.21</v>
      </c>
      <c r="V69" s="29">
        <f t="shared" si="45"/>
        <v>5.5999999999999999E-3</v>
      </c>
      <c r="W69" s="29">
        <f t="shared" si="46"/>
        <v>8.0000000000000004E-4</v>
      </c>
      <c r="X69" s="13">
        <f t="shared" si="29"/>
        <v>2.0500000000000001E-2</v>
      </c>
      <c r="Y69" s="13">
        <f t="shared" si="30"/>
        <v>1.7500000000000002E-2</v>
      </c>
      <c r="Z69" s="6">
        <f t="shared" si="31"/>
        <v>6.8642638706858889</v>
      </c>
      <c r="AA69" s="13">
        <f t="shared" si="32"/>
        <v>5.6899999999999999E-2</v>
      </c>
      <c r="AB69" s="35">
        <f t="shared" si="33"/>
        <v>7.4390000000000001</v>
      </c>
      <c r="AC69" s="6">
        <f t="shared" si="34"/>
        <v>7043.08</v>
      </c>
      <c r="AD69" s="6">
        <f t="shared" si="47"/>
        <v>7141.54</v>
      </c>
      <c r="AE69" s="29">
        <f t="shared" si="48"/>
        <v>7.1000000000000004E-3</v>
      </c>
      <c r="AF69" s="13">
        <f t="shared" si="52"/>
        <v>0.22</v>
      </c>
      <c r="AG69" s="22">
        <f t="shared" si="49"/>
        <v>51.8</v>
      </c>
      <c r="AH69" s="22">
        <f t="shared" ref="AH69:AH132" si="53">ROUND((I69*1500)+(J69*700)-(AA69*175)-(AE69*30)+Z69+52,2)</f>
        <v>125.61</v>
      </c>
      <c r="AI69" s="22">
        <f t="shared" si="50"/>
        <v>70.252499999999998</v>
      </c>
      <c r="AJ69" s="22">
        <f t="shared" si="51"/>
        <v>58.92</v>
      </c>
    </row>
    <row r="70" spans="1:36" x14ac:dyDescent="0.25">
      <c r="A70" s="34">
        <v>41214</v>
      </c>
      <c r="B70" s="34">
        <f t="shared" ref="B70:B133" si="54">EOMONTH(A70+40,0)</f>
        <v>41274</v>
      </c>
      <c r="C70">
        <v>11136.8</v>
      </c>
      <c r="D70" s="6">
        <f t="shared" si="35"/>
        <v>11099.37</v>
      </c>
      <c r="E70" s="29">
        <f t="shared" si="36"/>
        <v>1.1299999999999999E-2</v>
      </c>
      <c r="F70" s="29">
        <f t="shared" si="37"/>
        <v>7.4000000000000003E-3</v>
      </c>
      <c r="G70">
        <v>12769.7</v>
      </c>
      <c r="H70" s="6">
        <f t="shared" si="38"/>
        <v>12613.13</v>
      </c>
      <c r="I70" s="29">
        <f t="shared" si="39"/>
        <v>1.6899999999999998E-2</v>
      </c>
      <c r="J70" s="29">
        <f t="shared" si="40"/>
        <v>2.3199999999999998E-2</v>
      </c>
      <c r="K70">
        <v>1.71574</v>
      </c>
      <c r="L70">
        <v>1.7</v>
      </c>
      <c r="M70" s="35">
        <f t="shared" si="41"/>
        <v>1.708</v>
      </c>
      <c r="N70">
        <v>232.5</v>
      </c>
      <c r="O70" s="29">
        <f t="shared" si="42"/>
        <v>-8.8000000000000005E-3</v>
      </c>
      <c r="P70">
        <v>9.6999999999999993</v>
      </c>
      <c r="Q70" s="6">
        <f t="shared" ref="Q70:Q133" si="55">ROUND(G70*(P70*0.01),2)</f>
        <v>1238.6600000000001</v>
      </c>
      <c r="R70">
        <v>3.25</v>
      </c>
      <c r="S70" s="36">
        <f t="shared" ref="S70:S133" si="56">ROUND((S71+(S71*((K70*0.01)/12))),2)</f>
        <v>62.43</v>
      </c>
      <c r="T70" s="6">
        <f t="shared" si="43"/>
        <v>178.39</v>
      </c>
      <c r="U70" s="6">
        <f t="shared" si="44"/>
        <v>178.05</v>
      </c>
      <c r="V70" s="29">
        <f t="shared" si="45"/>
        <v>7.0000000000000001E-3</v>
      </c>
      <c r="W70" s="29">
        <f t="shared" si="46"/>
        <v>4.4000000000000003E-3</v>
      </c>
      <c r="X70" s="13">
        <f t="shared" ref="X70:X133" si="57">ROUND(N70/C70,4)</f>
        <v>2.0899999999999998E-2</v>
      </c>
      <c r="Y70" s="13">
        <f t="shared" ref="Y70:Y133" si="58">ROUND(N70/G70,4)</f>
        <v>1.8200000000000001E-2</v>
      </c>
      <c r="Z70" s="6">
        <f t="shared" ref="Z70:Z133" si="59">Q70/N70</f>
        <v>5.327569892473119</v>
      </c>
      <c r="AA70" s="13">
        <f t="shared" ref="AA70:AA133" si="60">ROUND(Y70*R70,4)</f>
        <v>5.9200000000000003E-2</v>
      </c>
      <c r="AB70" s="35">
        <f t="shared" ref="AB70:AB133" si="61">ROUND(N70*(R70*0.01),3)</f>
        <v>7.556</v>
      </c>
      <c r="AC70" s="6">
        <f t="shared" ref="AC70:AC133" si="62">ROUND(N70/(R70*0.01),2)</f>
        <v>7153.85</v>
      </c>
      <c r="AD70" s="6">
        <f t="shared" si="47"/>
        <v>7213.33</v>
      </c>
      <c r="AE70" s="29">
        <f t="shared" si="48"/>
        <v>7.7000000000000002E-3</v>
      </c>
      <c r="AF70" s="13">
        <f t="shared" si="52"/>
        <v>0.17169999999999999</v>
      </c>
      <c r="AG70" s="22">
        <f t="shared" si="49"/>
        <v>57.93</v>
      </c>
      <c r="AH70" s="22">
        <f t="shared" si="53"/>
        <v>88.33</v>
      </c>
      <c r="AI70" s="22">
        <f t="shared" si="50"/>
        <v>65.53</v>
      </c>
      <c r="AJ70" s="22">
        <f t="shared" si="51"/>
        <v>50.07</v>
      </c>
    </row>
    <row r="71" spans="1:36" x14ac:dyDescent="0.25">
      <c r="A71" s="34">
        <v>41183</v>
      </c>
      <c r="B71" s="34">
        <f t="shared" si="54"/>
        <v>41243</v>
      </c>
      <c r="C71">
        <v>11099.8</v>
      </c>
      <c r="D71" s="6">
        <f t="shared" ref="D71:D134" si="63">ROUND(AVERAGE(C71:C73),2)</f>
        <v>11055.13</v>
      </c>
      <c r="E71" s="29">
        <f t="shared" ref="E71:E134" si="64">ROUND((D71-D74)/D74,4)</f>
        <v>8.3000000000000001E-3</v>
      </c>
      <c r="F71" s="29">
        <f t="shared" ref="F71:F134" si="65">ROUND((C71-AVERAGE(C72:C74))/AVERAGE(C72:C74),4)</f>
        <v>7.7999999999999996E-3</v>
      </c>
      <c r="G71">
        <v>12600.4</v>
      </c>
      <c r="H71" s="6">
        <f t="shared" ref="H71:H134" si="66">ROUND(AVERAGE(G71:G73),2)</f>
        <v>12480.3</v>
      </c>
      <c r="I71" s="29">
        <f t="shared" ref="I71:I134" si="67">ROUND((H71-H74)/H74,4)</f>
        <v>3.8999999999999998E-3</v>
      </c>
      <c r="J71" s="29">
        <f t="shared" ref="J71:J134" si="68">ROUND((G71-AVERAGE(G72:G74))/AVERAGE(G72:G74),4)</f>
        <v>1.5699999999999999E-2</v>
      </c>
      <c r="K71">
        <v>1.99281</v>
      </c>
      <c r="L71">
        <v>1.76</v>
      </c>
      <c r="M71" s="35">
        <f t="shared" ref="M71:M134" si="69">ROUND((K71+L71)/2,3)</f>
        <v>1.8759999999999999</v>
      </c>
      <c r="N71">
        <v>234.9</v>
      </c>
      <c r="O71" s="29">
        <f t="shared" ref="O71:O134" si="70">ROUND((N71-AVERAGE(N72:N74))/AVERAGE(N72:N74),4)</f>
        <v>8.2000000000000007E-3</v>
      </c>
      <c r="P71">
        <v>8.8000000000000007</v>
      </c>
      <c r="Q71" s="6">
        <f t="shared" si="55"/>
        <v>1108.8399999999999</v>
      </c>
      <c r="R71">
        <v>3.25</v>
      </c>
      <c r="S71" s="36">
        <f t="shared" si="56"/>
        <v>62.34</v>
      </c>
      <c r="T71" s="6">
        <f t="shared" ref="T71:T134" si="71">ROUND(C71/S71,2)</f>
        <v>178.05</v>
      </c>
      <c r="U71" s="6">
        <f t="shared" ref="U71:U134" si="72">ROUND(AVERAGE(T71:T73),2)</f>
        <v>177.61</v>
      </c>
      <c r="V71" s="29">
        <f t="shared" ref="V71:V134" si="73">ROUND((U71-U74)/U74,4)</f>
        <v>4.3E-3</v>
      </c>
      <c r="W71" s="29">
        <f t="shared" ref="W71:W134" si="74">ROUND((T71-AVERAGE(T72:T74))/AVERAGE(T72:T74),4)</f>
        <v>4.7000000000000002E-3</v>
      </c>
      <c r="X71" s="13">
        <f t="shared" si="57"/>
        <v>2.12E-2</v>
      </c>
      <c r="Y71" s="13">
        <f t="shared" si="58"/>
        <v>1.8599999999999998E-2</v>
      </c>
      <c r="Z71" s="6">
        <f t="shared" si="59"/>
        <v>4.7204767986377174</v>
      </c>
      <c r="AA71" s="13">
        <f t="shared" si="60"/>
        <v>6.0499999999999998E-2</v>
      </c>
      <c r="AB71" s="35">
        <f t="shared" si="61"/>
        <v>7.6340000000000003</v>
      </c>
      <c r="AC71" s="6">
        <f t="shared" si="62"/>
        <v>7227.69</v>
      </c>
      <c r="AD71" s="6">
        <f t="shared" ref="AD71:AD134" si="75">ROUND(AVERAGE(AC71:AC73),2)</f>
        <v>7217.43</v>
      </c>
      <c r="AE71" s="29">
        <f t="shared" ref="AE71:AE134" si="76">ROUND((AD71-AD76)/AD76,4)</f>
        <v>-6.1000000000000004E-3</v>
      </c>
      <c r="AF71" s="13">
        <f t="shared" si="52"/>
        <v>0.15359999999999999</v>
      </c>
      <c r="AG71" s="22">
        <f t="shared" ref="AG71:AG134" si="77">ROUND((W71*500)+(V71*1000)+(E71*1000)+(F71*500)-(X71*300)+40,2)</f>
        <v>52.49</v>
      </c>
      <c r="AH71" s="22">
        <f t="shared" si="53"/>
        <v>63.16</v>
      </c>
      <c r="AI71" s="22">
        <f t="shared" ref="AI71:AI134" si="78">IF((AG71*0.75)+(AH71*0.25)&lt;0,0,(AG71*0.75)+(AH71*0.25))</f>
        <v>55.157499999999999</v>
      </c>
      <c r="AJ71" s="22">
        <f t="shared" ref="AJ71:AJ134" si="79">ROUND(AVERAGE(AI71:AI74),2)</f>
        <v>42.09</v>
      </c>
    </row>
    <row r="72" spans="1:36" x14ac:dyDescent="0.25">
      <c r="A72" s="34">
        <v>41153</v>
      </c>
      <c r="B72" s="34">
        <f t="shared" si="54"/>
        <v>41213</v>
      </c>
      <c r="C72">
        <v>11061.5</v>
      </c>
      <c r="D72" s="6">
        <f t="shared" si="63"/>
        <v>11014.27</v>
      </c>
      <c r="E72" s="29">
        <f t="shared" si="64"/>
        <v>4.4999999999999997E-3</v>
      </c>
      <c r="F72" s="29">
        <f t="shared" si="65"/>
        <v>7.7999999999999996E-3</v>
      </c>
      <c r="G72">
        <v>12469.3</v>
      </c>
      <c r="H72" s="6">
        <f t="shared" si="66"/>
        <v>12405.97</v>
      </c>
      <c r="I72" s="29">
        <f t="shared" si="67"/>
        <v>-4.3E-3</v>
      </c>
      <c r="J72" s="29">
        <f t="shared" si="68"/>
        <v>5.3E-3</v>
      </c>
      <c r="K72">
        <v>1.70113</v>
      </c>
      <c r="L72">
        <v>1.78</v>
      </c>
      <c r="M72" s="35">
        <f t="shared" si="69"/>
        <v>1.7410000000000001</v>
      </c>
      <c r="N72">
        <v>235.9</v>
      </c>
      <c r="O72" s="29">
        <f t="shared" si="70"/>
        <v>2.4199999999999999E-2</v>
      </c>
      <c r="P72">
        <v>8.1999999999999993</v>
      </c>
      <c r="Q72" s="6">
        <f t="shared" si="55"/>
        <v>1022.48</v>
      </c>
      <c r="R72">
        <v>3.25</v>
      </c>
      <c r="S72" s="36">
        <f t="shared" si="56"/>
        <v>62.24</v>
      </c>
      <c r="T72" s="6">
        <f t="shared" si="71"/>
        <v>177.72</v>
      </c>
      <c r="U72" s="6">
        <f t="shared" si="72"/>
        <v>177.21</v>
      </c>
      <c r="V72" s="29">
        <f t="shared" si="73"/>
        <v>6.9999999999999999E-4</v>
      </c>
      <c r="W72" s="29">
        <f t="shared" si="74"/>
        <v>5.1000000000000004E-3</v>
      </c>
      <c r="X72" s="13">
        <f t="shared" si="57"/>
        <v>2.1299999999999999E-2</v>
      </c>
      <c r="Y72" s="13">
        <f t="shared" si="58"/>
        <v>1.89E-2</v>
      </c>
      <c r="Z72" s="6">
        <f t="shared" si="59"/>
        <v>4.3343789741415852</v>
      </c>
      <c r="AA72" s="13">
        <f t="shared" si="60"/>
        <v>6.1400000000000003E-2</v>
      </c>
      <c r="AB72" s="35">
        <f t="shared" si="61"/>
        <v>7.6669999999999998</v>
      </c>
      <c r="AC72" s="6">
        <f t="shared" si="62"/>
        <v>7258.46</v>
      </c>
      <c r="AD72" s="6">
        <f t="shared" si="75"/>
        <v>7169.23</v>
      </c>
      <c r="AE72" s="29">
        <f t="shared" si="76"/>
        <v>-8.8999999999999999E-3</v>
      </c>
      <c r="AF72" s="13">
        <f t="shared" si="52"/>
        <v>0.1426</v>
      </c>
      <c r="AG72" s="22">
        <f t="shared" si="77"/>
        <v>45.26</v>
      </c>
      <c r="AH72" s="22">
        <f t="shared" si="53"/>
        <v>43.12</v>
      </c>
      <c r="AI72" s="22">
        <f t="shared" si="78"/>
        <v>44.725000000000001</v>
      </c>
      <c r="AJ72" s="22">
        <f t="shared" si="79"/>
        <v>38.56</v>
      </c>
    </row>
    <row r="73" spans="1:36" x14ac:dyDescent="0.25">
      <c r="A73" s="34">
        <v>41122</v>
      </c>
      <c r="B73" s="34">
        <f t="shared" si="54"/>
        <v>41182</v>
      </c>
      <c r="C73">
        <v>11004.1</v>
      </c>
      <c r="D73" s="6">
        <f t="shared" si="63"/>
        <v>10975.87</v>
      </c>
      <c r="E73" s="29">
        <f t="shared" si="64"/>
        <v>8.0000000000000004E-4</v>
      </c>
      <c r="F73" s="29">
        <f t="shared" si="65"/>
        <v>3.7000000000000002E-3</v>
      </c>
      <c r="G73">
        <v>12371.2</v>
      </c>
      <c r="H73" s="6">
        <f t="shared" si="66"/>
        <v>12403.27</v>
      </c>
      <c r="I73" s="29">
        <f t="shared" si="67"/>
        <v>-2.8E-3</v>
      </c>
      <c r="J73" s="29">
        <f t="shared" si="68"/>
        <v>-4.8999999999999998E-3</v>
      </c>
      <c r="K73">
        <v>1.53721</v>
      </c>
      <c r="L73">
        <v>1.78</v>
      </c>
      <c r="M73" s="35">
        <f t="shared" si="69"/>
        <v>1.659</v>
      </c>
      <c r="N73">
        <v>232.9</v>
      </c>
      <c r="O73" s="29">
        <f t="shared" si="70"/>
        <v>1.06E-2</v>
      </c>
      <c r="P73">
        <v>8</v>
      </c>
      <c r="Q73" s="6">
        <f t="shared" si="55"/>
        <v>989.7</v>
      </c>
      <c r="R73">
        <v>3.25</v>
      </c>
      <c r="S73" s="36">
        <f t="shared" si="56"/>
        <v>62.15</v>
      </c>
      <c r="T73" s="6">
        <f t="shared" si="71"/>
        <v>177.06</v>
      </c>
      <c r="U73" s="6">
        <f t="shared" si="72"/>
        <v>176.82</v>
      </c>
      <c r="V73" s="29">
        <f t="shared" si="73"/>
        <v>-3.0999999999999999E-3</v>
      </c>
      <c r="W73" s="29">
        <f t="shared" si="74"/>
        <v>1.1999999999999999E-3</v>
      </c>
      <c r="X73" s="13">
        <f t="shared" si="57"/>
        <v>2.12E-2</v>
      </c>
      <c r="Y73" s="13">
        <f t="shared" si="58"/>
        <v>1.8800000000000001E-2</v>
      </c>
      <c r="Z73" s="6">
        <f t="shared" si="59"/>
        <v>4.2494632889652211</v>
      </c>
      <c r="AA73" s="13">
        <f t="shared" si="60"/>
        <v>6.1100000000000002E-2</v>
      </c>
      <c r="AB73" s="35">
        <f t="shared" si="61"/>
        <v>7.569</v>
      </c>
      <c r="AC73" s="6">
        <f t="shared" si="62"/>
        <v>7166.15</v>
      </c>
      <c r="AD73" s="6">
        <f t="shared" si="75"/>
        <v>7087.18</v>
      </c>
      <c r="AE73" s="29">
        <f t="shared" si="76"/>
        <v>-6.6E-3</v>
      </c>
      <c r="AF73" s="13">
        <f t="shared" si="52"/>
        <v>0.1396</v>
      </c>
      <c r="AG73" s="22">
        <f t="shared" si="77"/>
        <v>33.79</v>
      </c>
      <c r="AH73" s="22">
        <f t="shared" si="53"/>
        <v>38.119999999999997</v>
      </c>
      <c r="AI73" s="22">
        <f t="shared" si="78"/>
        <v>34.872500000000002</v>
      </c>
      <c r="AJ73" s="22">
        <f t="shared" si="79"/>
        <v>40.770000000000003</v>
      </c>
    </row>
    <row r="74" spans="1:36" x14ac:dyDescent="0.25">
      <c r="A74" s="34">
        <v>41091</v>
      </c>
      <c r="B74" s="34">
        <f t="shared" si="54"/>
        <v>41152</v>
      </c>
      <c r="C74">
        <v>10977.2</v>
      </c>
      <c r="D74" s="6">
        <f t="shared" si="63"/>
        <v>10964.03</v>
      </c>
      <c r="E74" s="29">
        <f t="shared" si="64"/>
        <v>2.0000000000000001E-4</v>
      </c>
      <c r="F74" s="29">
        <f t="shared" si="65"/>
        <v>1.1000000000000001E-3</v>
      </c>
      <c r="G74">
        <v>12377.4</v>
      </c>
      <c r="H74" s="6">
        <f t="shared" si="66"/>
        <v>12431.8</v>
      </c>
      <c r="I74" s="29">
        <f t="shared" si="67"/>
        <v>2.8999999999999998E-3</v>
      </c>
      <c r="J74" s="29">
        <f t="shared" si="68"/>
        <v>-6.6E-3</v>
      </c>
      <c r="K74">
        <v>1.4463600000000001</v>
      </c>
      <c r="L74">
        <v>1.82</v>
      </c>
      <c r="M74" s="35">
        <f t="shared" si="69"/>
        <v>1.633</v>
      </c>
      <c r="N74">
        <v>230.2</v>
      </c>
      <c r="O74" s="29">
        <f t="shared" si="70"/>
        <v>-1.0500000000000001E-2</v>
      </c>
      <c r="P74">
        <v>8.1999999999999993</v>
      </c>
      <c r="Q74" s="6">
        <f t="shared" si="55"/>
        <v>1014.95</v>
      </c>
      <c r="R74">
        <v>3.25</v>
      </c>
      <c r="S74" s="36">
        <f t="shared" si="56"/>
        <v>62.07</v>
      </c>
      <c r="T74" s="6">
        <f t="shared" si="71"/>
        <v>176.85</v>
      </c>
      <c r="U74" s="6">
        <f t="shared" si="72"/>
        <v>176.85</v>
      </c>
      <c r="V74" s="29">
        <f t="shared" si="73"/>
        <v>-4.1000000000000003E-3</v>
      </c>
      <c r="W74" s="29">
        <f t="shared" si="74"/>
        <v>-1.2999999999999999E-3</v>
      </c>
      <c r="X74" s="13">
        <f t="shared" si="57"/>
        <v>2.1000000000000001E-2</v>
      </c>
      <c r="Y74" s="13">
        <f t="shared" si="58"/>
        <v>1.8599999999999998E-2</v>
      </c>
      <c r="Z74" s="6">
        <f t="shared" si="59"/>
        <v>4.4089921807124242</v>
      </c>
      <c r="AA74" s="13">
        <f t="shared" si="60"/>
        <v>6.0499999999999998E-2</v>
      </c>
      <c r="AB74" s="35">
        <f t="shared" si="61"/>
        <v>7.4820000000000002</v>
      </c>
      <c r="AC74" s="6">
        <f t="shared" si="62"/>
        <v>7083.08</v>
      </c>
      <c r="AD74" s="6">
        <f t="shared" si="75"/>
        <v>7091.28</v>
      </c>
      <c r="AE74" s="29">
        <f t="shared" si="76"/>
        <v>1.01E-2</v>
      </c>
      <c r="AF74" s="13">
        <f t="shared" si="52"/>
        <v>0.1431</v>
      </c>
      <c r="AG74" s="22">
        <f t="shared" si="77"/>
        <v>29.7</v>
      </c>
      <c r="AH74" s="22">
        <f t="shared" si="53"/>
        <v>45.25</v>
      </c>
      <c r="AI74" s="22">
        <f t="shared" si="78"/>
        <v>33.587499999999999</v>
      </c>
      <c r="AJ74" s="22">
        <f t="shared" si="79"/>
        <v>49.13</v>
      </c>
    </row>
    <row r="75" spans="1:36" x14ac:dyDescent="0.25">
      <c r="A75" s="34">
        <v>41061</v>
      </c>
      <c r="B75" s="34">
        <f t="shared" si="54"/>
        <v>41121</v>
      </c>
      <c r="C75">
        <v>10946.3</v>
      </c>
      <c r="D75" s="6">
        <f t="shared" si="63"/>
        <v>10964.87</v>
      </c>
      <c r="E75" s="29">
        <f t="shared" si="64"/>
        <v>3.8999999999999998E-3</v>
      </c>
      <c r="F75" s="29">
        <f t="shared" si="65"/>
        <v>-1.9E-3</v>
      </c>
      <c r="G75">
        <v>12461.2</v>
      </c>
      <c r="H75" s="6">
        <f t="shared" si="66"/>
        <v>12459.7</v>
      </c>
      <c r="I75" s="29">
        <f t="shared" si="67"/>
        <v>1.15E-2</v>
      </c>
      <c r="J75" s="29">
        <f t="shared" si="68"/>
        <v>1.9E-3</v>
      </c>
      <c r="K75">
        <v>1.59473</v>
      </c>
      <c r="L75">
        <v>1.9</v>
      </c>
      <c r="M75" s="35">
        <f t="shared" si="69"/>
        <v>1.7470000000000001</v>
      </c>
      <c r="N75">
        <v>227.9</v>
      </c>
      <c r="O75" s="29">
        <f t="shared" si="70"/>
        <v>-3.4299999999999997E-2</v>
      </c>
      <c r="P75">
        <v>9.1</v>
      </c>
      <c r="Q75" s="6">
        <f t="shared" si="55"/>
        <v>1133.97</v>
      </c>
      <c r="R75">
        <v>3.25</v>
      </c>
      <c r="S75" s="36">
        <f t="shared" si="56"/>
        <v>62</v>
      </c>
      <c r="T75" s="6">
        <f t="shared" si="71"/>
        <v>176.55</v>
      </c>
      <c r="U75" s="6">
        <f t="shared" si="72"/>
        <v>177.08</v>
      </c>
      <c r="V75" s="29">
        <f t="shared" si="73"/>
        <v>-1.1999999999999999E-3</v>
      </c>
      <c r="W75" s="29">
        <f t="shared" si="74"/>
        <v>-4.5999999999999999E-3</v>
      </c>
      <c r="X75" s="13">
        <f t="shared" si="57"/>
        <v>2.0799999999999999E-2</v>
      </c>
      <c r="Y75" s="13">
        <f t="shared" si="58"/>
        <v>1.83E-2</v>
      </c>
      <c r="Z75" s="6">
        <f t="shared" si="59"/>
        <v>4.9757349714787189</v>
      </c>
      <c r="AA75" s="13">
        <f t="shared" si="60"/>
        <v>5.9499999999999997E-2</v>
      </c>
      <c r="AB75" s="35">
        <f t="shared" si="61"/>
        <v>7.407</v>
      </c>
      <c r="AC75" s="6">
        <f t="shared" si="62"/>
        <v>7012.31</v>
      </c>
      <c r="AD75" s="6">
        <f t="shared" si="75"/>
        <v>7157.95</v>
      </c>
      <c r="AE75" s="29">
        <f t="shared" si="76"/>
        <v>1.7100000000000001E-2</v>
      </c>
      <c r="AF75" s="13">
        <f t="shared" si="52"/>
        <v>0.15840000000000001</v>
      </c>
      <c r="AG75" s="22">
        <f t="shared" si="77"/>
        <v>33.21</v>
      </c>
      <c r="AH75" s="22">
        <f t="shared" si="53"/>
        <v>64.63</v>
      </c>
      <c r="AI75" s="22">
        <f t="shared" si="78"/>
        <v>41.064999999999998</v>
      </c>
      <c r="AJ75" s="22">
        <f t="shared" si="79"/>
        <v>58.46</v>
      </c>
    </row>
    <row r="76" spans="1:36" x14ac:dyDescent="0.25">
      <c r="A76" s="34">
        <v>41030</v>
      </c>
      <c r="B76" s="34">
        <f t="shared" si="54"/>
        <v>41090</v>
      </c>
      <c r="C76">
        <v>10968.6</v>
      </c>
      <c r="D76" s="6">
        <f t="shared" si="63"/>
        <v>10966.7</v>
      </c>
      <c r="E76" s="29">
        <f t="shared" si="64"/>
        <v>9.5999999999999992E-3</v>
      </c>
      <c r="F76" s="29">
        <f t="shared" si="65"/>
        <v>5.9999999999999995E-4</v>
      </c>
      <c r="G76">
        <v>12456.8</v>
      </c>
      <c r="H76" s="6">
        <f t="shared" si="66"/>
        <v>12438.1</v>
      </c>
      <c r="I76" s="29">
        <f t="shared" si="67"/>
        <v>1.8100000000000002E-2</v>
      </c>
      <c r="J76" s="29">
        <f t="shared" si="68"/>
        <v>4.8999999999999998E-3</v>
      </c>
      <c r="K76">
        <v>1.63215</v>
      </c>
      <c r="L76">
        <v>1.95</v>
      </c>
      <c r="M76" s="35">
        <f t="shared" si="69"/>
        <v>1.7909999999999999</v>
      </c>
      <c r="N76">
        <v>233.3</v>
      </c>
      <c r="O76" s="29">
        <f t="shared" si="70"/>
        <v>-7.7000000000000002E-3</v>
      </c>
      <c r="P76">
        <v>8.8000000000000007</v>
      </c>
      <c r="Q76" s="6">
        <f t="shared" si="55"/>
        <v>1096.2</v>
      </c>
      <c r="R76">
        <v>3.25</v>
      </c>
      <c r="S76" s="36">
        <f t="shared" si="56"/>
        <v>61.92</v>
      </c>
      <c r="T76" s="6">
        <f t="shared" si="71"/>
        <v>177.14</v>
      </c>
      <c r="U76" s="6">
        <f t="shared" si="72"/>
        <v>177.37</v>
      </c>
      <c r="V76" s="29">
        <f t="shared" si="73"/>
        <v>3.8E-3</v>
      </c>
      <c r="W76" s="29">
        <f t="shared" si="74"/>
        <v>-2.5000000000000001E-3</v>
      </c>
      <c r="X76" s="13">
        <f t="shared" si="57"/>
        <v>2.1299999999999999E-2</v>
      </c>
      <c r="Y76" s="13">
        <f t="shared" si="58"/>
        <v>1.8700000000000001E-2</v>
      </c>
      <c r="Z76" s="6">
        <f t="shared" si="59"/>
        <v>4.6986712387483927</v>
      </c>
      <c r="AA76" s="13">
        <f t="shared" si="60"/>
        <v>6.08E-2</v>
      </c>
      <c r="AB76" s="35">
        <f t="shared" si="61"/>
        <v>7.5819999999999999</v>
      </c>
      <c r="AC76" s="6">
        <f t="shared" si="62"/>
        <v>7178.46</v>
      </c>
      <c r="AD76" s="6">
        <f t="shared" si="75"/>
        <v>7261.54</v>
      </c>
      <c r="AE76" s="29">
        <f t="shared" si="76"/>
        <v>1.9900000000000001E-2</v>
      </c>
      <c r="AF76" s="13">
        <f t="shared" si="52"/>
        <v>0.151</v>
      </c>
      <c r="AG76" s="22">
        <f t="shared" si="77"/>
        <v>46.06</v>
      </c>
      <c r="AH76" s="22">
        <f t="shared" si="53"/>
        <v>76.040000000000006</v>
      </c>
      <c r="AI76" s="22">
        <f t="shared" si="78"/>
        <v>53.555000000000007</v>
      </c>
      <c r="AJ76" s="22">
        <f t="shared" si="79"/>
        <v>65.260000000000005</v>
      </c>
    </row>
    <row r="77" spans="1:36" x14ac:dyDescent="0.25">
      <c r="A77" s="34">
        <v>41000</v>
      </c>
      <c r="B77" s="34">
        <f t="shared" si="54"/>
        <v>41060</v>
      </c>
      <c r="C77">
        <v>10979.7</v>
      </c>
      <c r="D77" s="6">
        <f t="shared" si="63"/>
        <v>10961.67</v>
      </c>
      <c r="E77" s="29">
        <f t="shared" si="64"/>
        <v>1.52E-2</v>
      </c>
      <c r="F77" s="29">
        <f t="shared" si="65"/>
        <v>5.1999999999999998E-3</v>
      </c>
      <c r="G77">
        <v>12461.1</v>
      </c>
      <c r="H77" s="6">
        <f t="shared" si="66"/>
        <v>12395.93</v>
      </c>
      <c r="I77" s="29">
        <f t="shared" si="67"/>
        <v>2.4500000000000001E-2</v>
      </c>
      <c r="J77" s="29">
        <f t="shared" si="68"/>
        <v>1.1599999999999999E-2</v>
      </c>
      <c r="K77">
        <v>2.0632799999999998</v>
      </c>
      <c r="L77">
        <v>2.02</v>
      </c>
      <c r="M77" s="35">
        <f t="shared" si="69"/>
        <v>2.0419999999999998</v>
      </c>
      <c r="N77">
        <v>236.7</v>
      </c>
      <c r="O77" s="29">
        <f t="shared" si="70"/>
        <v>2.0799999999999999E-2</v>
      </c>
      <c r="P77">
        <v>8.6999999999999993</v>
      </c>
      <c r="Q77" s="6">
        <f t="shared" si="55"/>
        <v>1084.1199999999999</v>
      </c>
      <c r="R77">
        <v>3.25</v>
      </c>
      <c r="S77" s="36">
        <f t="shared" si="56"/>
        <v>61.84</v>
      </c>
      <c r="T77" s="6">
        <f t="shared" si="71"/>
        <v>177.55</v>
      </c>
      <c r="U77" s="6">
        <f t="shared" si="72"/>
        <v>177.58</v>
      </c>
      <c r="V77" s="29">
        <f t="shared" si="73"/>
        <v>8.8999999999999999E-3</v>
      </c>
      <c r="W77" s="29">
        <f t="shared" si="74"/>
        <v>1.4E-3</v>
      </c>
      <c r="X77" s="13">
        <f t="shared" si="57"/>
        <v>2.1600000000000001E-2</v>
      </c>
      <c r="Y77" s="13">
        <f t="shared" si="58"/>
        <v>1.9E-2</v>
      </c>
      <c r="Z77" s="6">
        <f t="shared" si="59"/>
        <v>4.5801436417405998</v>
      </c>
      <c r="AA77" s="13">
        <f t="shared" si="60"/>
        <v>6.1800000000000001E-2</v>
      </c>
      <c r="AB77" s="35">
        <f t="shared" si="61"/>
        <v>7.6929999999999996</v>
      </c>
      <c r="AC77" s="6">
        <f t="shared" si="62"/>
        <v>7283.08</v>
      </c>
      <c r="AD77" s="6">
        <f t="shared" si="75"/>
        <v>7233.85</v>
      </c>
      <c r="AE77" s="29">
        <f t="shared" si="76"/>
        <v>4.7000000000000002E-3</v>
      </c>
      <c r="AF77" s="13">
        <f t="shared" si="52"/>
        <v>0.14990000000000001</v>
      </c>
      <c r="AG77" s="22">
        <f t="shared" si="77"/>
        <v>60.92</v>
      </c>
      <c r="AH77" s="22">
        <f t="shared" si="53"/>
        <v>90.49</v>
      </c>
      <c r="AI77" s="22">
        <f t="shared" si="78"/>
        <v>68.3125</v>
      </c>
      <c r="AJ77" s="22">
        <f t="shared" si="79"/>
        <v>65.52</v>
      </c>
    </row>
    <row r="78" spans="1:36" x14ac:dyDescent="0.25">
      <c r="A78" s="34">
        <v>40969</v>
      </c>
      <c r="B78" s="34">
        <f t="shared" si="54"/>
        <v>41029</v>
      </c>
      <c r="C78">
        <v>10951.8</v>
      </c>
      <c r="D78" s="6">
        <f t="shared" si="63"/>
        <v>10922.47</v>
      </c>
      <c r="E78" s="29">
        <f t="shared" si="64"/>
        <v>1.49E-2</v>
      </c>
      <c r="F78" s="29">
        <f t="shared" si="65"/>
        <v>8.2000000000000007E-3</v>
      </c>
      <c r="G78">
        <v>12396.4</v>
      </c>
      <c r="H78" s="6">
        <f t="shared" si="66"/>
        <v>12317.9</v>
      </c>
      <c r="I78" s="29">
        <f t="shared" si="67"/>
        <v>2.5700000000000001E-2</v>
      </c>
      <c r="J78" s="29">
        <f t="shared" si="68"/>
        <v>1.47E-2</v>
      </c>
      <c r="K78">
        <v>2.3510499999999999</v>
      </c>
      <c r="L78">
        <v>2.0499999999999998</v>
      </c>
      <c r="M78" s="35">
        <f t="shared" si="69"/>
        <v>2.2010000000000001</v>
      </c>
      <c r="N78">
        <v>238</v>
      </c>
      <c r="O78" s="29">
        <f t="shared" si="70"/>
        <v>4.3099999999999999E-2</v>
      </c>
      <c r="P78">
        <v>8.5</v>
      </c>
      <c r="Q78" s="6">
        <f t="shared" si="55"/>
        <v>1053.69</v>
      </c>
      <c r="R78">
        <v>3.25</v>
      </c>
      <c r="S78" s="36">
        <f t="shared" si="56"/>
        <v>61.73</v>
      </c>
      <c r="T78" s="6">
        <f t="shared" si="71"/>
        <v>177.41</v>
      </c>
      <c r="U78" s="6">
        <f t="shared" si="72"/>
        <v>177.29</v>
      </c>
      <c r="V78" s="29">
        <f t="shared" si="73"/>
        <v>8.5000000000000006E-3</v>
      </c>
      <c r="W78" s="29">
        <f t="shared" si="74"/>
        <v>4.1000000000000003E-3</v>
      </c>
      <c r="X78" s="13">
        <f t="shared" si="57"/>
        <v>2.1700000000000001E-2</v>
      </c>
      <c r="Y78" s="13">
        <f t="shared" si="58"/>
        <v>1.9199999999999998E-2</v>
      </c>
      <c r="Z78" s="6">
        <f t="shared" si="59"/>
        <v>4.4272689075630254</v>
      </c>
      <c r="AA78" s="13">
        <f t="shared" si="60"/>
        <v>6.2399999999999997E-2</v>
      </c>
      <c r="AB78" s="35">
        <f t="shared" si="61"/>
        <v>7.7350000000000003</v>
      </c>
      <c r="AC78" s="6">
        <f t="shared" si="62"/>
        <v>7323.08</v>
      </c>
      <c r="AD78" s="6">
        <f t="shared" si="75"/>
        <v>7134.36</v>
      </c>
      <c r="AE78" s="29">
        <f t="shared" si="76"/>
        <v>-6.6E-3</v>
      </c>
      <c r="AF78" s="13">
        <f t="shared" si="52"/>
        <v>0.1477</v>
      </c>
      <c r="AG78" s="22">
        <f t="shared" si="77"/>
        <v>63.04</v>
      </c>
      <c r="AH78" s="22">
        <f t="shared" si="53"/>
        <v>94.55</v>
      </c>
      <c r="AI78" s="22">
        <f t="shared" si="78"/>
        <v>70.917500000000004</v>
      </c>
      <c r="AJ78" s="22">
        <f t="shared" si="79"/>
        <v>59.31</v>
      </c>
    </row>
    <row r="79" spans="1:36" x14ac:dyDescent="0.25">
      <c r="A79" s="34">
        <v>40940</v>
      </c>
      <c r="B79" s="34">
        <f t="shared" si="54"/>
        <v>40999</v>
      </c>
      <c r="C79">
        <v>10953.5</v>
      </c>
      <c r="D79" s="6">
        <f t="shared" si="63"/>
        <v>10862.6</v>
      </c>
      <c r="E79" s="29">
        <f t="shared" si="64"/>
        <v>1.0500000000000001E-2</v>
      </c>
      <c r="F79" s="29">
        <f t="shared" si="65"/>
        <v>1.44E-2</v>
      </c>
      <c r="G79">
        <v>12330.3</v>
      </c>
      <c r="H79" s="6">
        <f t="shared" si="66"/>
        <v>12216.97</v>
      </c>
      <c r="I79" s="29">
        <f t="shared" si="67"/>
        <v>2.18E-2</v>
      </c>
      <c r="J79" s="29">
        <f t="shared" si="68"/>
        <v>1.9099999999999999E-2</v>
      </c>
      <c r="K79">
        <v>2.57795</v>
      </c>
      <c r="L79">
        <v>2.04</v>
      </c>
      <c r="M79" s="35">
        <f t="shared" si="69"/>
        <v>2.3090000000000002</v>
      </c>
      <c r="N79">
        <v>230.6</v>
      </c>
      <c r="O79" s="29">
        <f t="shared" si="70"/>
        <v>8.2000000000000007E-3</v>
      </c>
      <c r="P79">
        <v>8</v>
      </c>
      <c r="Q79" s="6">
        <f t="shared" si="55"/>
        <v>986.42</v>
      </c>
      <c r="R79">
        <v>3.25</v>
      </c>
      <c r="S79" s="36">
        <f t="shared" si="56"/>
        <v>61.61</v>
      </c>
      <c r="T79" s="6">
        <f t="shared" si="71"/>
        <v>177.79</v>
      </c>
      <c r="U79" s="6">
        <f t="shared" si="72"/>
        <v>176.69</v>
      </c>
      <c r="V79" s="29">
        <f t="shared" si="73"/>
        <v>3.8999999999999998E-3</v>
      </c>
      <c r="W79" s="29">
        <f t="shared" si="74"/>
        <v>1.01E-2</v>
      </c>
      <c r="X79" s="13">
        <f t="shared" si="57"/>
        <v>2.1100000000000001E-2</v>
      </c>
      <c r="Y79" s="13">
        <f t="shared" si="58"/>
        <v>1.8700000000000001E-2</v>
      </c>
      <c r="Z79" s="6">
        <f t="shared" si="59"/>
        <v>4.277623590633131</v>
      </c>
      <c r="AA79" s="13">
        <f t="shared" si="60"/>
        <v>6.08E-2</v>
      </c>
      <c r="AB79" s="35">
        <f t="shared" si="61"/>
        <v>7.4950000000000001</v>
      </c>
      <c r="AC79" s="6">
        <f t="shared" si="62"/>
        <v>7095.38</v>
      </c>
      <c r="AD79" s="6">
        <f t="shared" si="75"/>
        <v>7020.51</v>
      </c>
      <c r="AE79" s="29">
        <f t="shared" si="76"/>
        <v>-1.35E-2</v>
      </c>
      <c r="AF79" s="13">
        <f t="shared" si="52"/>
        <v>0.14050000000000001</v>
      </c>
      <c r="AG79" s="22">
        <f t="shared" si="77"/>
        <v>60.32</v>
      </c>
      <c r="AH79" s="22">
        <f t="shared" si="53"/>
        <v>92.11</v>
      </c>
      <c r="AI79" s="22">
        <f t="shared" si="78"/>
        <v>68.267499999999998</v>
      </c>
      <c r="AJ79" s="22">
        <f t="shared" si="79"/>
        <v>52.61</v>
      </c>
    </row>
    <row r="80" spans="1:36" x14ac:dyDescent="0.25">
      <c r="A80" s="34">
        <v>40909</v>
      </c>
      <c r="B80" s="34">
        <f t="shared" si="54"/>
        <v>40968</v>
      </c>
      <c r="C80">
        <v>10862.1</v>
      </c>
      <c r="D80" s="6">
        <f t="shared" si="63"/>
        <v>10797.93</v>
      </c>
      <c r="E80" s="29">
        <f t="shared" si="64"/>
        <v>6.3E-3</v>
      </c>
      <c r="F80" s="29">
        <f t="shared" si="65"/>
        <v>9.2999999999999992E-3</v>
      </c>
      <c r="G80">
        <v>12227</v>
      </c>
      <c r="H80" s="6">
        <f t="shared" si="66"/>
        <v>12099.57</v>
      </c>
      <c r="I80" s="29">
        <f t="shared" si="67"/>
        <v>1.32E-2</v>
      </c>
      <c r="J80" s="29">
        <f t="shared" si="68"/>
        <v>1.8100000000000002E-2</v>
      </c>
      <c r="K80">
        <v>2.6308699999999998</v>
      </c>
      <c r="L80">
        <v>2.11</v>
      </c>
      <c r="M80" s="35">
        <f t="shared" si="69"/>
        <v>2.37</v>
      </c>
      <c r="N80">
        <v>227</v>
      </c>
      <c r="O80" s="29">
        <f t="shared" si="70"/>
        <v>-1.9E-2</v>
      </c>
      <c r="P80">
        <v>8</v>
      </c>
      <c r="Q80" s="6">
        <f t="shared" si="55"/>
        <v>978.16</v>
      </c>
      <c r="R80">
        <v>3.25</v>
      </c>
      <c r="S80" s="36">
        <f t="shared" si="56"/>
        <v>61.48</v>
      </c>
      <c r="T80" s="6">
        <f t="shared" si="71"/>
        <v>176.68</v>
      </c>
      <c r="U80" s="6">
        <f t="shared" si="72"/>
        <v>176.01</v>
      </c>
      <c r="V80" s="29">
        <f t="shared" si="73"/>
        <v>-5.0000000000000001E-4</v>
      </c>
      <c r="W80" s="29">
        <f t="shared" si="74"/>
        <v>5.0000000000000001E-3</v>
      </c>
      <c r="X80" s="13">
        <f t="shared" si="57"/>
        <v>2.0899999999999998E-2</v>
      </c>
      <c r="Y80" s="13">
        <f t="shared" si="58"/>
        <v>1.8599999999999998E-2</v>
      </c>
      <c r="Z80" s="6">
        <f t="shared" si="59"/>
        <v>4.3090748898678415</v>
      </c>
      <c r="AA80" s="13">
        <f t="shared" si="60"/>
        <v>6.0499999999999998E-2</v>
      </c>
      <c r="AB80" s="35">
        <f t="shared" si="61"/>
        <v>7.3780000000000001</v>
      </c>
      <c r="AC80" s="6">
        <f t="shared" si="62"/>
        <v>6984.62</v>
      </c>
      <c r="AD80" s="6">
        <f t="shared" si="75"/>
        <v>7037.95</v>
      </c>
      <c r="AE80" s="29">
        <f t="shared" si="76"/>
        <v>-2.8E-3</v>
      </c>
      <c r="AF80" s="13">
        <f t="shared" si="52"/>
        <v>0.13900000000000001</v>
      </c>
      <c r="AG80" s="22">
        <f t="shared" si="77"/>
        <v>46.68</v>
      </c>
      <c r="AH80" s="22">
        <f t="shared" si="53"/>
        <v>78.28</v>
      </c>
      <c r="AI80" s="22">
        <f t="shared" si="78"/>
        <v>54.58</v>
      </c>
      <c r="AJ80" s="22">
        <f t="shared" si="79"/>
        <v>47.41</v>
      </c>
    </row>
    <row r="81" spans="1:36" x14ac:dyDescent="0.25">
      <c r="A81" s="34">
        <v>40878</v>
      </c>
      <c r="B81" s="34">
        <f t="shared" si="54"/>
        <v>40939</v>
      </c>
      <c r="C81">
        <v>10772.2</v>
      </c>
      <c r="D81" s="6">
        <f t="shared" si="63"/>
        <v>10761.6</v>
      </c>
      <c r="E81" s="29">
        <f t="shared" si="64"/>
        <v>5.1999999999999998E-3</v>
      </c>
      <c r="F81" s="29">
        <f t="shared" si="65"/>
        <v>2E-3</v>
      </c>
      <c r="G81">
        <v>12093.6</v>
      </c>
      <c r="H81" s="6">
        <f t="shared" si="66"/>
        <v>12009.17</v>
      </c>
      <c r="I81" s="29">
        <f t="shared" si="67"/>
        <v>6.4999999999999997E-3</v>
      </c>
      <c r="J81" s="29">
        <f t="shared" si="68"/>
        <v>1.15E-2</v>
      </c>
      <c r="K81">
        <v>2.6011899999999999</v>
      </c>
      <c r="L81">
        <v>2.06</v>
      </c>
      <c r="M81" s="35">
        <f t="shared" si="69"/>
        <v>2.331</v>
      </c>
      <c r="N81">
        <v>226.9</v>
      </c>
      <c r="O81" s="29">
        <f t="shared" si="70"/>
        <v>-3.0300000000000001E-2</v>
      </c>
      <c r="P81">
        <v>7.8</v>
      </c>
      <c r="Q81" s="6">
        <f t="shared" si="55"/>
        <v>943.3</v>
      </c>
      <c r="R81">
        <v>3.25</v>
      </c>
      <c r="S81" s="36">
        <f t="shared" si="56"/>
        <v>61.35</v>
      </c>
      <c r="T81" s="6">
        <f t="shared" si="71"/>
        <v>175.59</v>
      </c>
      <c r="U81" s="6">
        <f t="shared" si="72"/>
        <v>175.8</v>
      </c>
      <c r="V81" s="29">
        <f t="shared" si="73"/>
        <v>-1.8E-3</v>
      </c>
      <c r="W81" s="29">
        <f t="shared" si="74"/>
        <v>-2.3E-3</v>
      </c>
      <c r="X81" s="13">
        <f t="shared" si="57"/>
        <v>2.1100000000000001E-2</v>
      </c>
      <c r="Y81" s="13">
        <f t="shared" si="58"/>
        <v>1.8800000000000001E-2</v>
      </c>
      <c r="Z81" s="6">
        <f t="shared" si="59"/>
        <v>4.1573380343763766</v>
      </c>
      <c r="AA81" s="13">
        <f t="shared" si="60"/>
        <v>6.1100000000000002E-2</v>
      </c>
      <c r="AB81" s="35">
        <f t="shared" si="61"/>
        <v>7.3739999999999997</v>
      </c>
      <c r="AC81" s="6">
        <f t="shared" si="62"/>
        <v>6981.54</v>
      </c>
      <c r="AD81" s="6">
        <f t="shared" si="75"/>
        <v>7120</v>
      </c>
      <c r="AE81" s="29">
        <f t="shared" si="76"/>
        <v>5.1999999999999998E-3</v>
      </c>
      <c r="AF81" s="13">
        <f t="shared" si="52"/>
        <v>0.13250000000000001</v>
      </c>
      <c r="AG81" s="22">
        <f t="shared" si="77"/>
        <v>36.92</v>
      </c>
      <c r="AH81" s="22">
        <f t="shared" si="53"/>
        <v>63.11</v>
      </c>
      <c r="AI81" s="22">
        <f t="shared" si="78"/>
        <v>43.467500000000001</v>
      </c>
      <c r="AJ81" s="22">
        <f t="shared" si="79"/>
        <v>46.41</v>
      </c>
    </row>
    <row r="82" spans="1:36" x14ac:dyDescent="0.25">
      <c r="A82" s="34">
        <v>40848</v>
      </c>
      <c r="B82" s="34">
        <f t="shared" si="54"/>
        <v>40908</v>
      </c>
      <c r="C82">
        <v>10759.5</v>
      </c>
      <c r="D82" s="6">
        <f t="shared" si="63"/>
        <v>10750.23</v>
      </c>
      <c r="E82" s="29">
        <f t="shared" si="64"/>
        <v>7.4000000000000003E-3</v>
      </c>
      <c r="F82" s="29">
        <f t="shared" si="65"/>
        <v>2.7000000000000001E-3</v>
      </c>
      <c r="G82">
        <v>11978.1</v>
      </c>
      <c r="H82" s="6">
        <f t="shared" si="66"/>
        <v>11955.87</v>
      </c>
      <c r="I82" s="29">
        <f t="shared" si="67"/>
        <v>4.0000000000000001E-3</v>
      </c>
      <c r="J82" s="29">
        <f t="shared" si="68"/>
        <v>3.0000000000000001E-3</v>
      </c>
      <c r="K82">
        <v>2.7743699999999998</v>
      </c>
      <c r="L82">
        <v>1.98</v>
      </c>
      <c r="M82" s="35">
        <f t="shared" si="69"/>
        <v>2.3769999999999998</v>
      </c>
      <c r="N82">
        <v>232.3</v>
      </c>
      <c r="O82" s="29">
        <f t="shared" si="70"/>
        <v>-4.7000000000000002E-3</v>
      </c>
      <c r="P82">
        <v>7</v>
      </c>
      <c r="Q82" s="6">
        <f t="shared" si="55"/>
        <v>838.47</v>
      </c>
      <c r="R82">
        <v>3.25</v>
      </c>
      <c r="S82" s="36">
        <f t="shared" si="56"/>
        <v>61.22</v>
      </c>
      <c r="T82" s="6">
        <f t="shared" si="71"/>
        <v>175.75</v>
      </c>
      <c r="U82" s="6">
        <f t="shared" si="72"/>
        <v>176</v>
      </c>
      <c r="V82" s="29">
        <f t="shared" si="73"/>
        <v>1E-4</v>
      </c>
      <c r="W82" s="29">
        <f t="shared" si="74"/>
        <v>-2E-3</v>
      </c>
      <c r="X82" s="13">
        <f t="shared" si="57"/>
        <v>2.1600000000000001E-2</v>
      </c>
      <c r="Y82" s="13">
        <f t="shared" si="58"/>
        <v>1.9400000000000001E-2</v>
      </c>
      <c r="Z82" s="6">
        <f t="shared" si="59"/>
        <v>3.6094274644855791</v>
      </c>
      <c r="AA82" s="13">
        <f t="shared" si="60"/>
        <v>6.3100000000000003E-2</v>
      </c>
      <c r="AB82" s="35">
        <f t="shared" si="61"/>
        <v>7.55</v>
      </c>
      <c r="AC82" s="6">
        <f t="shared" si="62"/>
        <v>7147.69</v>
      </c>
      <c r="AD82" s="6">
        <f t="shared" si="75"/>
        <v>7200</v>
      </c>
      <c r="AE82" s="29">
        <f t="shared" si="76"/>
        <v>7.9000000000000008E-3</v>
      </c>
      <c r="AF82" s="13">
        <f t="shared" si="52"/>
        <v>0.11650000000000001</v>
      </c>
      <c r="AG82" s="22">
        <f t="shared" si="77"/>
        <v>41.37</v>
      </c>
      <c r="AH82" s="22">
        <f t="shared" si="53"/>
        <v>52.43</v>
      </c>
      <c r="AI82" s="22">
        <f t="shared" si="78"/>
        <v>44.134999999999998</v>
      </c>
      <c r="AJ82" s="22">
        <f t="shared" si="79"/>
        <v>48.26</v>
      </c>
    </row>
    <row r="83" spans="1:36" x14ac:dyDescent="0.25">
      <c r="A83" s="34">
        <v>40817</v>
      </c>
      <c r="B83" s="34">
        <f t="shared" si="54"/>
        <v>40877</v>
      </c>
      <c r="C83">
        <v>10753.1</v>
      </c>
      <c r="D83" s="6">
        <f t="shared" si="63"/>
        <v>10730.6</v>
      </c>
      <c r="E83" s="29">
        <f t="shared" si="64"/>
        <v>8.3000000000000001E-3</v>
      </c>
      <c r="F83" s="29">
        <f t="shared" si="65"/>
        <v>4.4999999999999997E-3</v>
      </c>
      <c r="G83">
        <v>11955.8</v>
      </c>
      <c r="H83" s="6">
        <f t="shared" si="66"/>
        <v>11942.43</v>
      </c>
      <c r="I83" s="29">
        <f t="shared" si="67"/>
        <v>6.4000000000000003E-3</v>
      </c>
      <c r="J83" s="29">
        <f t="shared" si="68"/>
        <v>2.0999999999999999E-3</v>
      </c>
      <c r="K83">
        <v>2.7566999999999999</v>
      </c>
      <c r="L83">
        <v>1.93</v>
      </c>
      <c r="M83" s="35">
        <f t="shared" si="69"/>
        <v>2.343</v>
      </c>
      <c r="N83">
        <v>235</v>
      </c>
      <c r="O83" s="29">
        <f t="shared" si="70"/>
        <v>1.6E-2</v>
      </c>
      <c r="P83">
        <v>6.8</v>
      </c>
      <c r="Q83" s="6">
        <f t="shared" si="55"/>
        <v>812.99</v>
      </c>
      <c r="R83">
        <v>3.25</v>
      </c>
      <c r="S83" s="36">
        <f t="shared" si="56"/>
        <v>61.08</v>
      </c>
      <c r="T83" s="6">
        <f t="shared" si="71"/>
        <v>176.05</v>
      </c>
      <c r="U83" s="6">
        <f t="shared" si="72"/>
        <v>176.1</v>
      </c>
      <c r="V83" s="29">
        <f t="shared" si="73"/>
        <v>1E-3</v>
      </c>
      <c r="W83" s="29">
        <f t="shared" si="74"/>
        <v>-2.9999999999999997E-4</v>
      </c>
      <c r="X83" s="13">
        <f t="shared" si="57"/>
        <v>2.1899999999999999E-2</v>
      </c>
      <c r="Y83" s="13">
        <f t="shared" si="58"/>
        <v>1.9699999999999999E-2</v>
      </c>
      <c r="Z83" s="6">
        <f t="shared" si="59"/>
        <v>3.459531914893617</v>
      </c>
      <c r="AA83" s="13">
        <f t="shared" si="60"/>
        <v>6.4000000000000001E-2</v>
      </c>
      <c r="AB83" s="35">
        <f t="shared" si="61"/>
        <v>7.6379999999999999</v>
      </c>
      <c r="AC83" s="6">
        <f t="shared" si="62"/>
        <v>7230.77</v>
      </c>
      <c r="AD83" s="6">
        <f t="shared" si="75"/>
        <v>7181.54</v>
      </c>
      <c r="AE83" s="29">
        <f t="shared" si="76"/>
        <v>-1.4E-3</v>
      </c>
      <c r="AF83" s="13">
        <f t="shared" si="52"/>
        <v>0.1132</v>
      </c>
      <c r="AG83" s="22">
        <f t="shared" si="77"/>
        <v>44.83</v>
      </c>
      <c r="AH83" s="22">
        <f t="shared" si="53"/>
        <v>55.37</v>
      </c>
      <c r="AI83" s="22">
        <f t="shared" si="78"/>
        <v>47.465000000000003</v>
      </c>
      <c r="AJ83" s="22">
        <f t="shared" si="79"/>
        <v>50.78</v>
      </c>
    </row>
    <row r="84" spans="1:36" x14ac:dyDescent="0.25">
      <c r="A84" s="34">
        <v>40787</v>
      </c>
      <c r="B84" s="34">
        <f t="shared" si="54"/>
        <v>40847</v>
      </c>
      <c r="C84">
        <v>10738.1</v>
      </c>
      <c r="D84" s="6">
        <f t="shared" si="63"/>
        <v>10705.4</v>
      </c>
      <c r="E84" s="29">
        <f t="shared" si="64"/>
        <v>8.8000000000000005E-3</v>
      </c>
      <c r="F84" s="29">
        <f t="shared" si="65"/>
        <v>6.1999999999999998E-3</v>
      </c>
      <c r="G84">
        <v>11933.7</v>
      </c>
      <c r="H84" s="6">
        <f t="shared" si="66"/>
        <v>11931.17</v>
      </c>
      <c r="I84" s="29">
        <f t="shared" si="67"/>
        <v>9.1999999999999998E-3</v>
      </c>
      <c r="J84" s="29">
        <f t="shared" si="68"/>
        <v>2.0999999999999999E-3</v>
      </c>
      <c r="K84">
        <v>3.0551400000000002</v>
      </c>
      <c r="L84">
        <v>1.82</v>
      </c>
      <c r="M84" s="35">
        <f t="shared" si="69"/>
        <v>2.4380000000000002</v>
      </c>
      <c r="N84">
        <v>234.7</v>
      </c>
      <c r="O84" s="29">
        <f t="shared" si="70"/>
        <v>2.3300000000000001E-2</v>
      </c>
      <c r="P84">
        <v>6.8</v>
      </c>
      <c r="Q84" s="6">
        <f t="shared" si="55"/>
        <v>811.49</v>
      </c>
      <c r="R84">
        <v>3.25</v>
      </c>
      <c r="S84" s="36">
        <f t="shared" si="56"/>
        <v>60.94</v>
      </c>
      <c r="T84" s="6">
        <f t="shared" si="71"/>
        <v>176.21</v>
      </c>
      <c r="U84" s="6">
        <f t="shared" si="72"/>
        <v>176.11</v>
      </c>
      <c r="V84" s="29">
        <f t="shared" si="73"/>
        <v>1.5E-3</v>
      </c>
      <c r="W84" s="29">
        <f t="shared" si="74"/>
        <v>1.2999999999999999E-3</v>
      </c>
      <c r="X84" s="13">
        <f t="shared" si="57"/>
        <v>2.1899999999999999E-2</v>
      </c>
      <c r="Y84" s="13">
        <f t="shared" si="58"/>
        <v>1.9699999999999999E-2</v>
      </c>
      <c r="Z84" s="6">
        <f t="shared" si="59"/>
        <v>3.4575628461866215</v>
      </c>
      <c r="AA84" s="13">
        <f t="shared" si="60"/>
        <v>6.4000000000000001E-2</v>
      </c>
      <c r="AB84" s="35">
        <f t="shared" si="61"/>
        <v>7.6280000000000001</v>
      </c>
      <c r="AC84" s="6">
        <f t="shared" si="62"/>
        <v>7221.54</v>
      </c>
      <c r="AD84" s="6">
        <f t="shared" si="75"/>
        <v>7116.92</v>
      </c>
      <c r="AE84" s="29">
        <f t="shared" si="76"/>
        <v>-0.01</v>
      </c>
      <c r="AF84" s="13">
        <f t="shared" si="52"/>
        <v>0.114</v>
      </c>
      <c r="AG84" s="22">
        <f t="shared" si="77"/>
        <v>47.48</v>
      </c>
      <c r="AH84" s="22">
        <f t="shared" si="53"/>
        <v>59.83</v>
      </c>
      <c r="AI84" s="22">
        <f t="shared" si="78"/>
        <v>50.567499999999995</v>
      </c>
      <c r="AJ84" s="22">
        <f t="shared" si="79"/>
        <v>52.97</v>
      </c>
    </row>
    <row r="85" spans="1:36" x14ac:dyDescent="0.25">
      <c r="A85" s="34">
        <v>40756</v>
      </c>
      <c r="B85" s="34">
        <f t="shared" si="54"/>
        <v>40816</v>
      </c>
      <c r="C85">
        <v>10700.6</v>
      </c>
      <c r="D85" s="6">
        <f t="shared" si="63"/>
        <v>10671.63</v>
      </c>
      <c r="E85" s="29">
        <f t="shared" si="64"/>
        <v>8.3000000000000001E-3</v>
      </c>
      <c r="F85" s="29">
        <f t="shared" si="65"/>
        <v>5.4999999999999997E-3</v>
      </c>
      <c r="G85">
        <v>11937.8</v>
      </c>
      <c r="H85" s="6">
        <f t="shared" si="66"/>
        <v>11908.4</v>
      </c>
      <c r="I85" s="29">
        <f t="shared" si="67"/>
        <v>1.03E-2</v>
      </c>
      <c r="J85" s="29">
        <f t="shared" si="68"/>
        <v>6.0000000000000001E-3</v>
      </c>
      <c r="K85">
        <v>3.0005000000000002</v>
      </c>
      <c r="L85">
        <v>1.76</v>
      </c>
      <c r="M85" s="35">
        <f t="shared" si="69"/>
        <v>2.38</v>
      </c>
      <c r="N85">
        <v>230.5</v>
      </c>
      <c r="O85" s="29">
        <f t="shared" si="70"/>
        <v>1.2999999999999999E-3</v>
      </c>
      <c r="P85">
        <v>7.2</v>
      </c>
      <c r="Q85" s="6">
        <f t="shared" si="55"/>
        <v>859.52</v>
      </c>
      <c r="R85">
        <v>3.25</v>
      </c>
      <c r="S85" s="36">
        <f t="shared" si="56"/>
        <v>60.79</v>
      </c>
      <c r="T85" s="6">
        <f t="shared" si="71"/>
        <v>176.03</v>
      </c>
      <c r="U85" s="6">
        <f t="shared" si="72"/>
        <v>175.98</v>
      </c>
      <c r="V85" s="29">
        <f t="shared" si="73"/>
        <v>1.2999999999999999E-3</v>
      </c>
      <c r="W85" s="29">
        <f t="shared" si="74"/>
        <v>5.9999999999999995E-4</v>
      </c>
      <c r="X85" s="13">
        <f t="shared" si="57"/>
        <v>2.1499999999999998E-2</v>
      </c>
      <c r="Y85" s="13">
        <f t="shared" si="58"/>
        <v>1.9300000000000001E-2</v>
      </c>
      <c r="Z85" s="6">
        <f t="shared" si="59"/>
        <v>3.7289370932754879</v>
      </c>
      <c r="AA85" s="13">
        <f t="shared" si="60"/>
        <v>6.2700000000000006E-2</v>
      </c>
      <c r="AB85" s="35">
        <f t="shared" si="61"/>
        <v>7.4909999999999997</v>
      </c>
      <c r="AC85" s="6">
        <f t="shared" si="62"/>
        <v>7092.31</v>
      </c>
      <c r="AD85" s="6">
        <f t="shared" si="75"/>
        <v>7057.44</v>
      </c>
      <c r="AE85" s="29">
        <f t="shared" si="76"/>
        <v>-1.7399999999999999E-2</v>
      </c>
      <c r="AF85" s="13">
        <f t="shared" si="52"/>
        <v>0.12180000000000001</v>
      </c>
      <c r="AG85" s="22">
        <f t="shared" si="77"/>
        <v>46.2</v>
      </c>
      <c r="AH85" s="22">
        <f t="shared" si="53"/>
        <v>64.930000000000007</v>
      </c>
      <c r="AI85" s="22">
        <f t="shared" si="78"/>
        <v>50.882500000000007</v>
      </c>
      <c r="AJ85" s="22">
        <f t="shared" si="79"/>
        <v>55.83</v>
      </c>
    </row>
    <row r="86" spans="1:36" x14ac:dyDescent="0.25">
      <c r="A86" s="34">
        <v>40725</v>
      </c>
      <c r="B86" s="34">
        <f t="shared" si="54"/>
        <v>40786</v>
      </c>
      <c r="C86">
        <v>10677.5</v>
      </c>
      <c r="D86" s="6">
        <f t="shared" si="63"/>
        <v>10642.1</v>
      </c>
      <c r="E86" s="29">
        <f t="shared" si="64"/>
        <v>1.01E-2</v>
      </c>
      <c r="F86" s="29">
        <f t="shared" si="65"/>
        <v>6.1999999999999998E-3</v>
      </c>
      <c r="G86">
        <v>11922</v>
      </c>
      <c r="H86" s="6">
        <f t="shared" si="66"/>
        <v>11866.5</v>
      </c>
      <c r="I86" s="29">
        <f t="shared" si="67"/>
        <v>8.5000000000000006E-3</v>
      </c>
      <c r="J86" s="29">
        <f t="shared" si="68"/>
        <v>8.5000000000000006E-3</v>
      </c>
      <c r="K86">
        <v>2.88836</v>
      </c>
      <c r="L86">
        <v>1.69</v>
      </c>
      <c r="M86" s="35">
        <f t="shared" si="69"/>
        <v>2.2890000000000001</v>
      </c>
      <c r="N86">
        <v>228.7</v>
      </c>
      <c r="O86" s="29">
        <f t="shared" si="70"/>
        <v>-1.49E-2</v>
      </c>
      <c r="P86">
        <v>7.3</v>
      </c>
      <c r="Q86" s="6">
        <f t="shared" si="55"/>
        <v>870.31</v>
      </c>
      <c r="R86">
        <v>3.25</v>
      </c>
      <c r="S86" s="36">
        <f t="shared" si="56"/>
        <v>60.64</v>
      </c>
      <c r="T86" s="6">
        <f t="shared" si="71"/>
        <v>176.08</v>
      </c>
      <c r="U86" s="6">
        <f t="shared" si="72"/>
        <v>175.92</v>
      </c>
      <c r="V86" s="29">
        <f t="shared" si="73"/>
        <v>3.3999999999999998E-3</v>
      </c>
      <c r="W86" s="29">
        <f t="shared" si="74"/>
        <v>1.4E-3</v>
      </c>
      <c r="X86" s="13">
        <f t="shared" si="57"/>
        <v>2.1399999999999999E-2</v>
      </c>
      <c r="Y86" s="13">
        <f t="shared" si="58"/>
        <v>1.9199999999999998E-2</v>
      </c>
      <c r="Z86" s="6">
        <f t="shared" si="59"/>
        <v>3.8054656755574987</v>
      </c>
      <c r="AA86" s="13">
        <f t="shared" si="60"/>
        <v>6.2399999999999997E-2</v>
      </c>
      <c r="AB86" s="35">
        <f t="shared" si="61"/>
        <v>7.4329999999999998</v>
      </c>
      <c r="AC86" s="6">
        <f t="shared" si="62"/>
        <v>7036.92</v>
      </c>
      <c r="AD86" s="6">
        <f t="shared" si="75"/>
        <v>7083.08</v>
      </c>
      <c r="AE86" s="29">
        <f t="shared" si="76"/>
        <v>-1.9199999999999998E-2</v>
      </c>
      <c r="AF86" s="13">
        <f t="shared" si="52"/>
        <v>0.1229</v>
      </c>
      <c r="AG86" s="22">
        <f t="shared" si="77"/>
        <v>50.88</v>
      </c>
      <c r="AH86" s="22">
        <f t="shared" si="53"/>
        <v>64.16</v>
      </c>
      <c r="AI86" s="22">
        <f t="shared" si="78"/>
        <v>54.2</v>
      </c>
      <c r="AJ86" s="22">
        <f t="shared" si="79"/>
        <v>59.55</v>
      </c>
    </row>
    <row r="87" spans="1:36" x14ac:dyDescent="0.25">
      <c r="A87" s="34">
        <v>40695</v>
      </c>
      <c r="B87" s="34">
        <f t="shared" si="54"/>
        <v>40755</v>
      </c>
      <c r="C87">
        <v>10636.8</v>
      </c>
      <c r="D87" s="6">
        <f t="shared" si="63"/>
        <v>10612.13</v>
      </c>
      <c r="E87" s="29">
        <f t="shared" si="64"/>
        <v>1.21E-2</v>
      </c>
      <c r="F87" s="29">
        <f t="shared" si="65"/>
        <v>5.0000000000000001E-3</v>
      </c>
      <c r="G87">
        <v>11865.4</v>
      </c>
      <c r="H87" s="6">
        <f t="shared" si="66"/>
        <v>11821.93</v>
      </c>
      <c r="I87" s="29">
        <f t="shared" si="67"/>
        <v>7.7000000000000002E-3</v>
      </c>
      <c r="J87" s="29">
        <f t="shared" si="68"/>
        <v>6.6E-3</v>
      </c>
      <c r="K87">
        <v>2.7881900000000002</v>
      </c>
      <c r="L87">
        <v>1.59</v>
      </c>
      <c r="M87" s="35">
        <f t="shared" si="69"/>
        <v>2.1890000000000001</v>
      </c>
      <c r="N87">
        <v>228.9</v>
      </c>
      <c r="O87" s="29">
        <f t="shared" si="70"/>
        <v>-2.07E-2</v>
      </c>
      <c r="P87">
        <v>7.2</v>
      </c>
      <c r="Q87" s="6">
        <f t="shared" si="55"/>
        <v>854.31</v>
      </c>
      <c r="R87">
        <v>3.25</v>
      </c>
      <c r="S87" s="36">
        <f t="shared" si="56"/>
        <v>60.49</v>
      </c>
      <c r="T87" s="6">
        <f t="shared" si="71"/>
        <v>175.84</v>
      </c>
      <c r="U87" s="6">
        <f t="shared" si="72"/>
        <v>175.84</v>
      </c>
      <c r="V87" s="29">
        <f t="shared" si="73"/>
        <v>6.1000000000000004E-3</v>
      </c>
      <c r="W87" s="29">
        <f t="shared" si="74"/>
        <v>5.0000000000000001E-4</v>
      </c>
      <c r="X87" s="13">
        <f t="shared" si="57"/>
        <v>2.1499999999999998E-2</v>
      </c>
      <c r="Y87" s="13">
        <f t="shared" si="58"/>
        <v>1.9300000000000001E-2</v>
      </c>
      <c r="Z87" s="6">
        <f t="shared" si="59"/>
        <v>3.7322411533420703</v>
      </c>
      <c r="AA87" s="13">
        <f t="shared" si="60"/>
        <v>6.2700000000000006E-2</v>
      </c>
      <c r="AB87" s="35">
        <f t="shared" si="61"/>
        <v>7.4390000000000001</v>
      </c>
      <c r="AC87" s="6">
        <f t="shared" si="62"/>
        <v>7043.08</v>
      </c>
      <c r="AD87" s="6">
        <f t="shared" si="75"/>
        <v>7143.59</v>
      </c>
      <c r="AE87" s="29">
        <f t="shared" si="76"/>
        <v>-1.7600000000000001E-2</v>
      </c>
      <c r="AF87" s="13">
        <f t="shared" si="52"/>
        <v>0.1196</v>
      </c>
      <c r="AG87" s="22">
        <f t="shared" si="77"/>
        <v>54.5</v>
      </c>
      <c r="AH87" s="22">
        <f t="shared" si="53"/>
        <v>61.46</v>
      </c>
      <c r="AI87" s="22">
        <f t="shared" si="78"/>
        <v>56.24</v>
      </c>
      <c r="AJ87" s="22">
        <f t="shared" si="79"/>
        <v>63.14</v>
      </c>
    </row>
    <row r="88" spans="1:36" x14ac:dyDescent="0.25">
      <c r="A88" s="34">
        <v>40664</v>
      </c>
      <c r="B88" s="34">
        <f t="shared" si="54"/>
        <v>40724</v>
      </c>
      <c r="C88">
        <v>10612</v>
      </c>
      <c r="D88" s="6">
        <f t="shared" si="63"/>
        <v>10583.37</v>
      </c>
      <c r="E88" s="29">
        <f t="shared" si="64"/>
        <v>1.4500000000000001E-2</v>
      </c>
      <c r="F88" s="29">
        <f t="shared" si="65"/>
        <v>7.1999999999999998E-3</v>
      </c>
      <c r="G88">
        <v>11812.1</v>
      </c>
      <c r="H88" s="6">
        <f t="shared" si="66"/>
        <v>11787.03</v>
      </c>
      <c r="I88" s="29">
        <f t="shared" si="67"/>
        <v>9.2999999999999992E-3</v>
      </c>
      <c r="J88" s="29">
        <f t="shared" si="68"/>
        <v>3.8999999999999998E-3</v>
      </c>
      <c r="K88">
        <v>2.7489599999999998</v>
      </c>
      <c r="L88">
        <v>1.53</v>
      </c>
      <c r="M88" s="35">
        <f t="shared" si="69"/>
        <v>2.1389999999999998</v>
      </c>
      <c r="N88">
        <v>233</v>
      </c>
      <c r="O88" s="29">
        <f t="shared" si="70"/>
        <v>-2.7000000000000001E-3</v>
      </c>
      <c r="P88">
        <v>6.9</v>
      </c>
      <c r="Q88" s="6">
        <f t="shared" si="55"/>
        <v>815.03</v>
      </c>
      <c r="R88">
        <v>3.25</v>
      </c>
      <c r="S88" s="36">
        <f t="shared" si="56"/>
        <v>60.35</v>
      </c>
      <c r="T88" s="6">
        <f t="shared" si="71"/>
        <v>175.84</v>
      </c>
      <c r="U88" s="6">
        <f t="shared" si="72"/>
        <v>175.75</v>
      </c>
      <c r="V88" s="29">
        <f t="shared" si="73"/>
        <v>9.1999999999999998E-3</v>
      </c>
      <c r="W88" s="29">
        <f t="shared" si="74"/>
        <v>3.0000000000000001E-3</v>
      </c>
      <c r="X88" s="13">
        <f t="shared" si="57"/>
        <v>2.1999999999999999E-2</v>
      </c>
      <c r="Y88" s="13">
        <f t="shared" si="58"/>
        <v>1.9699999999999999E-2</v>
      </c>
      <c r="Z88" s="6">
        <f t="shared" si="59"/>
        <v>3.4979828326180256</v>
      </c>
      <c r="AA88" s="13">
        <f t="shared" si="60"/>
        <v>6.4000000000000001E-2</v>
      </c>
      <c r="AB88" s="35">
        <f t="shared" si="61"/>
        <v>7.5730000000000004</v>
      </c>
      <c r="AC88" s="6">
        <f t="shared" si="62"/>
        <v>7169.23</v>
      </c>
      <c r="AD88" s="6">
        <f t="shared" si="75"/>
        <v>7191.79</v>
      </c>
      <c r="AE88" s="29">
        <f t="shared" si="76"/>
        <v>-1.6E-2</v>
      </c>
      <c r="AF88" s="13">
        <f t="shared" si="52"/>
        <v>0.1133</v>
      </c>
      <c r="AG88" s="22">
        <f t="shared" si="77"/>
        <v>62.2</v>
      </c>
      <c r="AH88" s="22">
        <f t="shared" si="53"/>
        <v>61.46</v>
      </c>
      <c r="AI88" s="22">
        <f t="shared" si="78"/>
        <v>62.015000000000008</v>
      </c>
      <c r="AJ88" s="22">
        <f t="shared" si="79"/>
        <v>65.84</v>
      </c>
    </row>
    <row r="89" spans="1:36" x14ac:dyDescent="0.25">
      <c r="A89" s="34">
        <v>40634</v>
      </c>
      <c r="B89" s="34">
        <f t="shared" si="54"/>
        <v>40694</v>
      </c>
      <c r="C89">
        <v>10587.6</v>
      </c>
      <c r="D89" s="6">
        <f t="shared" si="63"/>
        <v>10536.07</v>
      </c>
      <c r="E89" s="29">
        <f t="shared" si="64"/>
        <v>1.37E-2</v>
      </c>
      <c r="F89" s="29">
        <f t="shared" si="65"/>
        <v>9.7999999999999997E-3</v>
      </c>
      <c r="G89">
        <v>11788.3</v>
      </c>
      <c r="H89" s="6">
        <f t="shared" si="66"/>
        <v>11766.07</v>
      </c>
      <c r="I89" s="29">
        <f t="shared" si="67"/>
        <v>1.49E-2</v>
      </c>
      <c r="J89" s="29">
        <f t="shared" si="68"/>
        <v>4.7999999999999996E-3</v>
      </c>
      <c r="K89">
        <v>2.4574099999999999</v>
      </c>
      <c r="L89">
        <v>1.39</v>
      </c>
      <c r="M89" s="35">
        <f t="shared" si="69"/>
        <v>1.9239999999999999</v>
      </c>
      <c r="N89">
        <v>234.6</v>
      </c>
      <c r="O89" s="29">
        <f t="shared" si="70"/>
        <v>5.0000000000000001E-3</v>
      </c>
      <c r="P89">
        <v>6.9</v>
      </c>
      <c r="Q89" s="6">
        <f t="shared" si="55"/>
        <v>813.39</v>
      </c>
      <c r="R89">
        <v>3.25</v>
      </c>
      <c r="S89" s="36">
        <f t="shared" si="56"/>
        <v>60.21</v>
      </c>
      <c r="T89" s="6">
        <f t="shared" si="71"/>
        <v>175.84</v>
      </c>
      <c r="U89" s="6">
        <f t="shared" si="72"/>
        <v>175.32</v>
      </c>
      <c r="V89" s="29">
        <f t="shared" si="73"/>
        <v>9.1999999999999998E-3</v>
      </c>
      <c r="W89" s="29">
        <f t="shared" si="74"/>
        <v>6.1000000000000004E-3</v>
      </c>
      <c r="X89" s="13">
        <f t="shared" si="57"/>
        <v>2.2200000000000001E-2</v>
      </c>
      <c r="Y89" s="13">
        <f t="shared" si="58"/>
        <v>1.9900000000000001E-2</v>
      </c>
      <c r="Z89" s="6">
        <f t="shared" si="59"/>
        <v>3.4671355498721228</v>
      </c>
      <c r="AA89" s="13">
        <f t="shared" si="60"/>
        <v>6.4699999999999994E-2</v>
      </c>
      <c r="AB89" s="35">
        <f t="shared" si="61"/>
        <v>7.625</v>
      </c>
      <c r="AC89" s="6">
        <f t="shared" si="62"/>
        <v>7218.46</v>
      </c>
      <c r="AD89" s="6">
        <f t="shared" si="75"/>
        <v>7188.72</v>
      </c>
      <c r="AE89" s="29">
        <f t="shared" si="76"/>
        <v>-1.67E-2</v>
      </c>
      <c r="AF89" s="13">
        <f t="shared" si="52"/>
        <v>0.11310000000000001</v>
      </c>
      <c r="AG89" s="22">
        <f t="shared" si="77"/>
        <v>64.19</v>
      </c>
      <c r="AH89" s="22">
        <f t="shared" si="53"/>
        <v>70.36</v>
      </c>
      <c r="AI89" s="22">
        <f t="shared" si="78"/>
        <v>65.732500000000002</v>
      </c>
      <c r="AJ89" s="22">
        <f t="shared" si="79"/>
        <v>67.14</v>
      </c>
    </row>
    <row r="90" spans="1:36" x14ac:dyDescent="0.25">
      <c r="A90" s="34">
        <v>40603</v>
      </c>
      <c r="B90" s="34">
        <f t="shared" si="54"/>
        <v>40663</v>
      </c>
      <c r="C90">
        <v>10550.5</v>
      </c>
      <c r="D90" s="6">
        <f t="shared" si="63"/>
        <v>10485.370000000001</v>
      </c>
      <c r="E90" s="29">
        <f t="shared" si="64"/>
        <v>1.2999999999999999E-2</v>
      </c>
      <c r="F90" s="29">
        <f t="shared" si="65"/>
        <v>1.1299999999999999E-2</v>
      </c>
      <c r="G90">
        <v>11760.7</v>
      </c>
      <c r="H90" s="6">
        <f t="shared" si="66"/>
        <v>11732.1</v>
      </c>
      <c r="I90" s="29">
        <f t="shared" si="67"/>
        <v>1.9E-2</v>
      </c>
      <c r="J90" s="29">
        <f t="shared" si="68"/>
        <v>7.0000000000000001E-3</v>
      </c>
      <c r="K90">
        <v>2.0718999999999999</v>
      </c>
      <c r="L90">
        <v>1.23</v>
      </c>
      <c r="M90" s="35">
        <f t="shared" si="69"/>
        <v>1.651</v>
      </c>
      <c r="N90">
        <v>233.6</v>
      </c>
      <c r="O90" s="29">
        <f t="shared" si="70"/>
        <v>-4.7000000000000002E-3</v>
      </c>
      <c r="P90">
        <v>7</v>
      </c>
      <c r="Q90" s="6">
        <f t="shared" si="55"/>
        <v>823.25</v>
      </c>
      <c r="R90">
        <v>3.25</v>
      </c>
      <c r="S90" s="36">
        <f t="shared" si="56"/>
        <v>60.09</v>
      </c>
      <c r="T90" s="6">
        <f t="shared" si="71"/>
        <v>175.58</v>
      </c>
      <c r="U90" s="6">
        <f t="shared" si="72"/>
        <v>174.78</v>
      </c>
      <c r="V90" s="29">
        <f t="shared" si="73"/>
        <v>9.1999999999999998E-3</v>
      </c>
      <c r="W90" s="29">
        <f t="shared" si="74"/>
        <v>8.2000000000000007E-3</v>
      </c>
      <c r="X90" s="13">
        <f t="shared" si="57"/>
        <v>2.2100000000000002E-2</v>
      </c>
      <c r="Y90" s="13">
        <f t="shared" si="58"/>
        <v>1.9900000000000001E-2</v>
      </c>
      <c r="Z90" s="6">
        <f t="shared" si="59"/>
        <v>3.5241866438356166</v>
      </c>
      <c r="AA90" s="13">
        <f t="shared" si="60"/>
        <v>6.4699999999999994E-2</v>
      </c>
      <c r="AB90" s="35">
        <f t="shared" si="61"/>
        <v>7.5919999999999996</v>
      </c>
      <c r="AC90" s="6">
        <f t="shared" si="62"/>
        <v>7187.69</v>
      </c>
      <c r="AD90" s="6">
        <f t="shared" si="75"/>
        <v>7182.56</v>
      </c>
      <c r="AE90" s="29">
        <f t="shared" si="76"/>
        <v>-2.1700000000000001E-2</v>
      </c>
      <c r="AF90" s="13">
        <f t="shared" si="52"/>
        <v>0.11459999999999999</v>
      </c>
      <c r="AG90" s="22">
        <f t="shared" si="77"/>
        <v>65.319999999999993</v>
      </c>
      <c r="AH90" s="22">
        <f t="shared" si="53"/>
        <v>78.25</v>
      </c>
      <c r="AI90" s="22">
        <f t="shared" si="78"/>
        <v>68.552499999999995</v>
      </c>
      <c r="AJ90" s="22">
        <f t="shared" si="79"/>
        <v>67.010000000000005</v>
      </c>
    </row>
    <row r="91" spans="1:36" x14ac:dyDescent="0.25">
      <c r="A91" s="34">
        <v>40575</v>
      </c>
      <c r="B91" s="34">
        <f t="shared" si="54"/>
        <v>40633</v>
      </c>
      <c r="C91">
        <v>10470.1</v>
      </c>
      <c r="D91" s="6">
        <f t="shared" si="63"/>
        <v>10432.57</v>
      </c>
      <c r="E91" s="29">
        <f t="shared" si="64"/>
        <v>1.26E-2</v>
      </c>
      <c r="F91" s="29">
        <f t="shared" si="65"/>
        <v>7.3000000000000001E-3</v>
      </c>
      <c r="G91">
        <v>11749.2</v>
      </c>
      <c r="H91" s="6">
        <f t="shared" si="66"/>
        <v>11678.67</v>
      </c>
      <c r="I91" s="29">
        <f t="shared" si="67"/>
        <v>2.0400000000000001E-2</v>
      </c>
      <c r="J91" s="29">
        <f t="shared" si="68"/>
        <v>1.35E-2</v>
      </c>
      <c r="K91">
        <v>1.78603</v>
      </c>
      <c r="L91">
        <v>1.0900000000000001</v>
      </c>
      <c r="M91" s="35">
        <f t="shared" si="69"/>
        <v>1.4379999999999999</v>
      </c>
      <c r="N91">
        <v>232.7</v>
      </c>
      <c r="O91" s="29">
        <f t="shared" si="70"/>
        <v>-1.54E-2</v>
      </c>
      <c r="P91">
        <v>7.6</v>
      </c>
      <c r="Q91" s="6">
        <f t="shared" si="55"/>
        <v>892.94</v>
      </c>
      <c r="R91">
        <v>3.25</v>
      </c>
      <c r="S91" s="36">
        <f t="shared" si="56"/>
        <v>59.99</v>
      </c>
      <c r="T91" s="6">
        <f t="shared" si="71"/>
        <v>174.53</v>
      </c>
      <c r="U91" s="6">
        <f t="shared" si="72"/>
        <v>174.15</v>
      </c>
      <c r="V91" s="29">
        <f t="shared" si="73"/>
        <v>9.1000000000000004E-3</v>
      </c>
      <c r="W91" s="29">
        <f t="shared" si="74"/>
        <v>4.5999999999999999E-3</v>
      </c>
      <c r="X91" s="13">
        <f t="shared" si="57"/>
        <v>2.2200000000000001E-2</v>
      </c>
      <c r="Y91" s="13">
        <f t="shared" si="58"/>
        <v>1.9800000000000002E-2</v>
      </c>
      <c r="Z91" s="6">
        <f t="shared" si="59"/>
        <v>3.837301246239794</v>
      </c>
      <c r="AA91" s="13">
        <f t="shared" si="60"/>
        <v>6.4399999999999999E-2</v>
      </c>
      <c r="AB91" s="35">
        <f t="shared" si="61"/>
        <v>7.5629999999999997</v>
      </c>
      <c r="AC91" s="6">
        <f t="shared" si="62"/>
        <v>7160</v>
      </c>
      <c r="AD91" s="6">
        <f t="shared" si="75"/>
        <v>7221.54</v>
      </c>
      <c r="AE91" s="29">
        <f t="shared" si="76"/>
        <v>-2.4E-2</v>
      </c>
      <c r="AF91" s="13">
        <f t="shared" si="52"/>
        <v>0.1236</v>
      </c>
      <c r="AG91" s="22">
        <f t="shared" si="77"/>
        <v>60.99</v>
      </c>
      <c r="AH91" s="22">
        <f t="shared" si="53"/>
        <v>85.34</v>
      </c>
      <c r="AI91" s="22">
        <f t="shared" si="78"/>
        <v>67.077500000000001</v>
      </c>
      <c r="AJ91" s="22">
        <f t="shared" si="79"/>
        <v>65.040000000000006</v>
      </c>
    </row>
    <row r="92" spans="1:36" x14ac:dyDescent="0.25">
      <c r="A92" s="34">
        <v>40544</v>
      </c>
      <c r="B92" s="34">
        <f t="shared" si="54"/>
        <v>40602</v>
      </c>
      <c r="C92">
        <v>10435.5</v>
      </c>
      <c r="D92" s="6">
        <f t="shared" si="63"/>
        <v>10394.1</v>
      </c>
      <c r="E92" s="29">
        <f t="shared" si="64"/>
        <v>1.2999999999999999E-2</v>
      </c>
      <c r="F92" s="29">
        <f t="shared" si="65"/>
        <v>8.2000000000000007E-3</v>
      </c>
      <c r="G92">
        <v>11686.4</v>
      </c>
      <c r="H92" s="6">
        <f t="shared" si="66"/>
        <v>11593.27</v>
      </c>
      <c r="I92" s="29">
        <f t="shared" si="67"/>
        <v>1.5800000000000002E-2</v>
      </c>
      <c r="J92" s="29">
        <f t="shared" si="68"/>
        <v>1.4999999999999999E-2</v>
      </c>
      <c r="K92">
        <v>1.4764200000000001</v>
      </c>
      <c r="L92">
        <v>0.97</v>
      </c>
      <c r="M92" s="35">
        <f t="shared" si="69"/>
        <v>1.2230000000000001</v>
      </c>
      <c r="N92">
        <v>234</v>
      </c>
      <c r="O92" s="29">
        <f t="shared" si="70"/>
        <v>-1.49E-2</v>
      </c>
      <c r="P92">
        <v>7.4</v>
      </c>
      <c r="Q92" s="6">
        <f t="shared" si="55"/>
        <v>864.79</v>
      </c>
      <c r="R92">
        <v>3.25</v>
      </c>
      <c r="S92" s="36">
        <f t="shared" si="56"/>
        <v>59.9</v>
      </c>
      <c r="T92" s="6">
        <f t="shared" si="71"/>
        <v>174.22</v>
      </c>
      <c r="U92" s="6">
        <f t="shared" si="72"/>
        <v>173.73</v>
      </c>
      <c r="V92" s="29">
        <f t="shared" si="73"/>
        <v>9.7999999999999997E-3</v>
      </c>
      <c r="W92" s="29">
        <f t="shared" si="74"/>
        <v>5.8999999999999999E-3</v>
      </c>
      <c r="X92" s="13">
        <f t="shared" si="57"/>
        <v>2.24E-2</v>
      </c>
      <c r="Y92" s="13">
        <f t="shared" si="58"/>
        <v>0.02</v>
      </c>
      <c r="Z92" s="6">
        <f t="shared" si="59"/>
        <v>3.6956837606837607</v>
      </c>
      <c r="AA92" s="13">
        <f t="shared" si="60"/>
        <v>6.5000000000000002E-2</v>
      </c>
      <c r="AB92" s="35">
        <f t="shared" si="61"/>
        <v>7.6050000000000004</v>
      </c>
      <c r="AC92" s="6">
        <f t="shared" si="62"/>
        <v>7200</v>
      </c>
      <c r="AD92" s="6">
        <f t="shared" si="75"/>
        <v>7271.8</v>
      </c>
      <c r="AE92" s="29">
        <f t="shared" si="76"/>
        <v>-2.76E-2</v>
      </c>
      <c r="AF92" s="13">
        <f t="shared" si="52"/>
        <v>0.11890000000000001</v>
      </c>
      <c r="AG92" s="22">
        <f t="shared" si="77"/>
        <v>63.13</v>
      </c>
      <c r="AH92" s="22">
        <f t="shared" si="53"/>
        <v>79.349999999999994</v>
      </c>
      <c r="AI92" s="22">
        <f t="shared" si="78"/>
        <v>67.185000000000002</v>
      </c>
      <c r="AJ92" s="22">
        <f t="shared" si="79"/>
        <v>62.77</v>
      </c>
    </row>
    <row r="93" spans="1:36" x14ac:dyDescent="0.25">
      <c r="A93" s="34">
        <v>40513</v>
      </c>
      <c r="B93" s="34">
        <f t="shared" si="54"/>
        <v>40574</v>
      </c>
      <c r="C93">
        <v>10392.1</v>
      </c>
      <c r="D93" s="6">
        <f t="shared" si="63"/>
        <v>10350.5</v>
      </c>
      <c r="E93" s="29">
        <f t="shared" si="64"/>
        <v>1.2699999999999999E-2</v>
      </c>
      <c r="F93" s="29">
        <f t="shared" si="65"/>
        <v>8.6999999999999994E-3</v>
      </c>
      <c r="G93">
        <v>11600.4</v>
      </c>
      <c r="H93" s="6">
        <f t="shared" si="66"/>
        <v>11513.17</v>
      </c>
      <c r="I93" s="29">
        <f t="shared" si="67"/>
        <v>1.17E-2</v>
      </c>
      <c r="J93" s="29">
        <f t="shared" si="68"/>
        <v>1.3599999999999999E-2</v>
      </c>
      <c r="K93">
        <v>1.3459399999999999</v>
      </c>
      <c r="L93">
        <v>0.88</v>
      </c>
      <c r="M93" s="35">
        <f t="shared" si="69"/>
        <v>1.113</v>
      </c>
      <c r="N93">
        <v>237.4</v>
      </c>
      <c r="O93" s="29">
        <f t="shared" si="70"/>
        <v>-8.0000000000000004E-4</v>
      </c>
      <c r="P93">
        <v>7.1</v>
      </c>
      <c r="Q93" s="6">
        <f t="shared" si="55"/>
        <v>823.63</v>
      </c>
      <c r="R93">
        <v>3.25</v>
      </c>
      <c r="S93" s="36">
        <f t="shared" si="56"/>
        <v>59.83</v>
      </c>
      <c r="T93" s="6">
        <f t="shared" si="71"/>
        <v>173.69</v>
      </c>
      <c r="U93" s="6">
        <f t="shared" si="72"/>
        <v>173.19</v>
      </c>
      <c r="V93" s="29">
        <f t="shared" si="73"/>
        <v>9.5999999999999992E-3</v>
      </c>
      <c r="W93" s="29">
        <f t="shared" si="74"/>
        <v>6.4999999999999997E-3</v>
      </c>
      <c r="X93" s="13">
        <f t="shared" si="57"/>
        <v>2.2800000000000001E-2</v>
      </c>
      <c r="Y93" s="13">
        <f t="shared" si="58"/>
        <v>2.0500000000000001E-2</v>
      </c>
      <c r="Z93" s="6">
        <f t="shared" si="59"/>
        <v>3.4693765796124683</v>
      </c>
      <c r="AA93" s="13">
        <f t="shared" si="60"/>
        <v>6.6600000000000006E-2</v>
      </c>
      <c r="AB93" s="35">
        <f t="shared" si="61"/>
        <v>7.7160000000000002</v>
      </c>
      <c r="AC93" s="6">
        <f t="shared" si="62"/>
        <v>7304.62</v>
      </c>
      <c r="AD93" s="6">
        <f t="shared" si="75"/>
        <v>7308.72</v>
      </c>
      <c r="AE93" s="29">
        <f t="shared" si="76"/>
        <v>-2.6599999999999999E-2</v>
      </c>
      <c r="AF93" s="13">
        <f t="shared" si="52"/>
        <v>0.11269999999999999</v>
      </c>
      <c r="AG93" s="22">
        <f t="shared" si="77"/>
        <v>63.06</v>
      </c>
      <c r="AH93" s="22">
        <f t="shared" si="53"/>
        <v>71.680000000000007</v>
      </c>
      <c r="AI93" s="22">
        <f t="shared" si="78"/>
        <v>65.215000000000003</v>
      </c>
      <c r="AJ93" s="22">
        <f t="shared" si="79"/>
        <v>59.42</v>
      </c>
    </row>
    <row r="94" spans="1:36" x14ac:dyDescent="0.25">
      <c r="A94" s="34">
        <v>40483</v>
      </c>
      <c r="B94" s="34">
        <f t="shared" si="54"/>
        <v>40543</v>
      </c>
      <c r="C94">
        <v>10354.700000000001</v>
      </c>
      <c r="D94" s="6">
        <f t="shared" si="63"/>
        <v>10302.799999999999</v>
      </c>
      <c r="E94" s="29">
        <f t="shared" si="64"/>
        <v>1.1299999999999999E-2</v>
      </c>
      <c r="F94" s="29">
        <f t="shared" si="65"/>
        <v>9.1999999999999998E-3</v>
      </c>
      <c r="G94">
        <v>11493</v>
      </c>
      <c r="H94" s="6">
        <f t="shared" si="66"/>
        <v>11444.93</v>
      </c>
      <c r="I94" s="29">
        <f t="shared" si="67"/>
        <v>7.9000000000000008E-3</v>
      </c>
      <c r="J94" s="29">
        <f t="shared" si="68"/>
        <v>7.0000000000000001E-3</v>
      </c>
      <c r="K94">
        <v>1.1594100000000001</v>
      </c>
      <c r="L94">
        <v>0.85</v>
      </c>
      <c r="M94" s="35">
        <f t="shared" si="69"/>
        <v>1.0049999999999999</v>
      </c>
      <c r="N94">
        <v>237.6</v>
      </c>
      <c r="O94" s="29">
        <f t="shared" si="70"/>
        <v>-4.1999999999999997E-3</v>
      </c>
      <c r="P94">
        <v>6.6</v>
      </c>
      <c r="Q94" s="6">
        <f t="shared" si="55"/>
        <v>758.54</v>
      </c>
      <c r="R94">
        <v>3.25</v>
      </c>
      <c r="S94" s="36">
        <f t="shared" si="56"/>
        <v>59.76</v>
      </c>
      <c r="T94" s="6">
        <f t="shared" si="71"/>
        <v>173.27</v>
      </c>
      <c r="U94" s="6">
        <f t="shared" si="72"/>
        <v>172.58</v>
      </c>
      <c r="V94" s="29">
        <f t="shared" si="73"/>
        <v>8.0000000000000002E-3</v>
      </c>
      <c r="W94" s="29">
        <f t="shared" si="74"/>
        <v>7.1000000000000004E-3</v>
      </c>
      <c r="X94" s="13">
        <f t="shared" si="57"/>
        <v>2.29E-2</v>
      </c>
      <c r="Y94" s="13">
        <f t="shared" si="58"/>
        <v>2.07E-2</v>
      </c>
      <c r="Z94" s="6">
        <f t="shared" si="59"/>
        <v>3.1925084175084173</v>
      </c>
      <c r="AA94" s="13">
        <f t="shared" si="60"/>
        <v>6.7299999999999999E-2</v>
      </c>
      <c r="AB94" s="35">
        <f t="shared" si="61"/>
        <v>7.7220000000000004</v>
      </c>
      <c r="AC94" s="6">
        <f t="shared" si="62"/>
        <v>7310.77</v>
      </c>
      <c r="AD94" s="6">
        <f t="shared" si="75"/>
        <v>7310.77</v>
      </c>
      <c r="AE94" s="29">
        <f t="shared" si="76"/>
        <v>-2.8000000000000001E-2</v>
      </c>
      <c r="AF94" s="13">
        <f t="shared" si="52"/>
        <v>0.1038</v>
      </c>
      <c r="AG94" s="22">
        <f t="shared" si="77"/>
        <v>60.58</v>
      </c>
      <c r="AH94" s="22">
        <f t="shared" si="53"/>
        <v>61.01</v>
      </c>
      <c r="AI94" s="22">
        <f t="shared" si="78"/>
        <v>60.6875</v>
      </c>
      <c r="AJ94" s="22">
        <f t="shared" si="79"/>
        <v>56.67</v>
      </c>
    </row>
    <row r="95" spans="1:36" x14ac:dyDescent="0.25">
      <c r="A95" s="34">
        <v>40452</v>
      </c>
      <c r="B95" s="34">
        <f t="shared" si="54"/>
        <v>40512</v>
      </c>
      <c r="C95">
        <v>10304.700000000001</v>
      </c>
      <c r="D95" s="6">
        <f t="shared" si="63"/>
        <v>10260.629999999999</v>
      </c>
      <c r="E95" s="29">
        <f t="shared" si="64"/>
        <v>1.03E-2</v>
      </c>
      <c r="F95" s="29">
        <f t="shared" si="65"/>
        <v>8.2000000000000007E-3</v>
      </c>
      <c r="G95">
        <v>11446.1</v>
      </c>
      <c r="H95" s="6">
        <f t="shared" si="66"/>
        <v>11412.7</v>
      </c>
      <c r="I95" s="29">
        <f t="shared" si="67"/>
        <v>7.7999999999999996E-3</v>
      </c>
      <c r="J95" s="29">
        <f t="shared" si="68"/>
        <v>5.7999999999999996E-3</v>
      </c>
      <c r="K95">
        <v>1.22024</v>
      </c>
      <c r="L95">
        <v>0.82</v>
      </c>
      <c r="M95" s="35">
        <f t="shared" si="69"/>
        <v>1.02</v>
      </c>
      <c r="N95">
        <v>237.6</v>
      </c>
      <c r="O95" s="29">
        <f t="shared" si="70"/>
        <v>-1.1900000000000001E-2</v>
      </c>
      <c r="P95">
        <v>6.6</v>
      </c>
      <c r="Q95" s="6">
        <f t="shared" si="55"/>
        <v>755.44</v>
      </c>
      <c r="R95">
        <v>3.25</v>
      </c>
      <c r="S95" s="36">
        <f t="shared" si="56"/>
        <v>59.7</v>
      </c>
      <c r="T95" s="6">
        <f t="shared" si="71"/>
        <v>172.61</v>
      </c>
      <c r="U95" s="6">
        <f t="shared" si="72"/>
        <v>172.04</v>
      </c>
      <c r="V95" s="29">
        <f t="shared" si="73"/>
        <v>6.7999999999999996E-3</v>
      </c>
      <c r="W95" s="29">
        <f t="shared" si="74"/>
        <v>6.1999999999999998E-3</v>
      </c>
      <c r="X95" s="13">
        <f t="shared" si="57"/>
        <v>2.3099999999999999E-2</v>
      </c>
      <c r="Y95" s="13">
        <f t="shared" si="58"/>
        <v>2.0799999999999999E-2</v>
      </c>
      <c r="Z95" s="6">
        <f t="shared" si="59"/>
        <v>3.1794612794612798</v>
      </c>
      <c r="AA95" s="13">
        <f t="shared" si="60"/>
        <v>6.7599999999999993E-2</v>
      </c>
      <c r="AB95" s="35">
        <f t="shared" si="61"/>
        <v>7.7220000000000004</v>
      </c>
      <c r="AC95" s="6">
        <f t="shared" si="62"/>
        <v>7310.77</v>
      </c>
      <c r="AD95" s="6">
        <f t="shared" si="75"/>
        <v>7341.54</v>
      </c>
      <c r="AE95" s="29">
        <f t="shared" si="76"/>
        <v>-2.7400000000000001E-2</v>
      </c>
      <c r="AF95" s="13">
        <f t="shared" si="52"/>
        <v>0.10290000000000001</v>
      </c>
      <c r="AG95" s="22">
        <f t="shared" si="77"/>
        <v>57.37</v>
      </c>
      <c r="AH95" s="22">
        <f t="shared" si="53"/>
        <v>59.93</v>
      </c>
      <c r="AI95" s="22">
        <f t="shared" si="78"/>
        <v>58.01</v>
      </c>
      <c r="AJ95" s="22">
        <f t="shared" si="79"/>
        <v>55</v>
      </c>
    </row>
    <row r="96" spans="1:36" x14ac:dyDescent="0.25">
      <c r="A96" s="34">
        <v>40422</v>
      </c>
      <c r="B96" s="34">
        <f t="shared" si="54"/>
        <v>40482</v>
      </c>
      <c r="C96">
        <v>10249</v>
      </c>
      <c r="D96" s="6">
        <f t="shared" si="63"/>
        <v>10220.629999999999</v>
      </c>
      <c r="E96" s="29">
        <f t="shared" si="64"/>
        <v>8.8000000000000005E-3</v>
      </c>
      <c r="F96" s="29">
        <f t="shared" si="65"/>
        <v>6.0000000000000001E-3</v>
      </c>
      <c r="G96">
        <v>11395.7</v>
      </c>
      <c r="H96" s="6">
        <f t="shared" si="66"/>
        <v>11380.07</v>
      </c>
      <c r="I96" s="29">
        <f t="shared" si="67"/>
        <v>8.8999999999999999E-3</v>
      </c>
      <c r="J96" s="29">
        <f t="shared" si="68"/>
        <v>3.5999999999999999E-3</v>
      </c>
      <c r="K96">
        <v>1.3085</v>
      </c>
      <c r="L96">
        <v>0.93</v>
      </c>
      <c r="M96" s="35">
        <f t="shared" si="69"/>
        <v>1.119</v>
      </c>
      <c r="N96">
        <v>237.6</v>
      </c>
      <c r="O96" s="29">
        <f t="shared" si="70"/>
        <v>-2.24E-2</v>
      </c>
      <c r="P96">
        <v>6.7</v>
      </c>
      <c r="Q96" s="6">
        <f t="shared" si="55"/>
        <v>763.51</v>
      </c>
      <c r="R96">
        <v>3.25</v>
      </c>
      <c r="S96" s="36">
        <f t="shared" si="56"/>
        <v>59.64</v>
      </c>
      <c r="T96" s="6">
        <f t="shared" si="71"/>
        <v>171.85</v>
      </c>
      <c r="U96" s="6">
        <f t="shared" si="72"/>
        <v>171.55</v>
      </c>
      <c r="V96" s="29">
        <f t="shared" si="73"/>
        <v>4.8999999999999998E-3</v>
      </c>
      <c r="W96" s="29">
        <f t="shared" si="74"/>
        <v>3.8E-3</v>
      </c>
      <c r="X96" s="13">
        <f t="shared" si="57"/>
        <v>2.3199999999999998E-2</v>
      </c>
      <c r="Y96" s="13">
        <f t="shared" si="58"/>
        <v>2.0799999999999999E-2</v>
      </c>
      <c r="Z96" s="6">
        <f t="shared" si="59"/>
        <v>3.2134259259259261</v>
      </c>
      <c r="AA96" s="13">
        <f t="shared" si="60"/>
        <v>6.7599999999999993E-2</v>
      </c>
      <c r="AB96" s="35">
        <f t="shared" si="61"/>
        <v>7.7220000000000004</v>
      </c>
      <c r="AC96" s="6">
        <f t="shared" si="62"/>
        <v>7310.77</v>
      </c>
      <c r="AD96" s="6">
        <f t="shared" si="75"/>
        <v>7398.98</v>
      </c>
      <c r="AE96" s="29">
        <f t="shared" si="76"/>
        <v>-2.7199999999999998E-2</v>
      </c>
      <c r="AF96" s="13">
        <f t="shared" si="52"/>
        <v>0.1032</v>
      </c>
      <c r="AG96" s="22">
        <f t="shared" si="77"/>
        <v>51.64</v>
      </c>
      <c r="AH96" s="22">
        <f t="shared" si="53"/>
        <v>60.07</v>
      </c>
      <c r="AI96" s="22">
        <f t="shared" si="78"/>
        <v>53.747500000000002</v>
      </c>
      <c r="AJ96" s="22">
        <f t="shared" si="79"/>
        <v>54.32</v>
      </c>
    </row>
    <row r="97" spans="1:36" x14ac:dyDescent="0.25">
      <c r="A97" s="34">
        <v>40391</v>
      </c>
      <c r="B97" s="34">
        <f t="shared" si="54"/>
        <v>40451</v>
      </c>
      <c r="C97">
        <v>10228.200000000001</v>
      </c>
      <c r="D97" s="6">
        <f t="shared" si="63"/>
        <v>10188.1</v>
      </c>
      <c r="E97" s="29">
        <f t="shared" si="64"/>
        <v>7.6E-3</v>
      </c>
      <c r="F97" s="29">
        <f t="shared" si="65"/>
        <v>7.1000000000000004E-3</v>
      </c>
      <c r="G97">
        <v>11396.3</v>
      </c>
      <c r="H97" s="6">
        <f t="shared" si="66"/>
        <v>11354.73</v>
      </c>
      <c r="I97" s="29">
        <f t="shared" si="67"/>
        <v>1.2699999999999999E-2</v>
      </c>
      <c r="J97" s="29">
        <f t="shared" si="68"/>
        <v>6.3E-3</v>
      </c>
      <c r="K97">
        <v>1.3837999999999999</v>
      </c>
      <c r="L97">
        <v>0.91</v>
      </c>
      <c r="M97" s="35">
        <f t="shared" si="69"/>
        <v>1.147</v>
      </c>
      <c r="N97">
        <v>240.6</v>
      </c>
      <c r="O97" s="29">
        <f t="shared" si="70"/>
        <v>-1.41E-2</v>
      </c>
      <c r="P97">
        <v>6.9</v>
      </c>
      <c r="Q97" s="6">
        <f t="shared" si="55"/>
        <v>786.34</v>
      </c>
      <c r="R97">
        <v>3.25</v>
      </c>
      <c r="S97" s="36">
        <f t="shared" si="56"/>
        <v>59.58</v>
      </c>
      <c r="T97" s="6">
        <f t="shared" si="71"/>
        <v>171.67</v>
      </c>
      <c r="U97" s="6">
        <f t="shared" si="72"/>
        <v>171.21</v>
      </c>
      <c r="V97" s="29">
        <f t="shared" si="73"/>
        <v>3.3999999999999998E-3</v>
      </c>
      <c r="W97" s="29">
        <f t="shared" si="74"/>
        <v>4.7000000000000002E-3</v>
      </c>
      <c r="X97" s="13">
        <f t="shared" si="57"/>
        <v>2.35E-2</v>
      </c>
      <c r="Y97" s="13">
        <f t="shared" si="58"/>
        <v>2.1100000000000001E-2</v>
      </c>
      <c r="Z97" s="6">
        <f t="shared" si="59"/>
        <v>3.2682460515378224</v>
      </c>
      <c r="AA97" s="13">
        <f t="shared" si="60"/>
        <v>6.8599999999999994E-2</v>
      </c>
      <c r="AB97" s="35">
        <f t="shared" si="61"/>
        <v>7.82</v>
      </c>
      <c r="AC97" s="6">
        <f t="shared" si="62"/>
        <v>7403.08</v>
      </c>
      <c r="AD97" s="6">
        <f t="shared" si="75"/>
        <v>7477.95</v>
      </c>
      <c r="AE97" s="29">
        <f t="shared" si="76"/>
        <v>-2.3300000000000001E-2</v>
      </c>
      <c r="AF97" s="13">
        <f t="shared" si="52"/>
        <v>0.1052</v>
      </c>
      <c r="AG97" s="22">
        <f t="shared" si="77"/>
        <v>49.85</v>
      </c>
      <c r="AH97" s="22">
        <f t="shared" si="53"/>
        <v>67.42</v>
      </c>
      <c r="AI97" s="22">
        <f t="shared" si="78"/>
        <v>54.242500000000007</v>
      </c>
      <c r="AJ97" s="22">
        <f t="shared" si="79"/>
        <v>55.1</v>
      </c>
    </row>
    <row r="98" spans="1:36" x14ac:dyDescent="0.25">
      <c r="A98" s="34">
        <v>40360</v>
      </c>
      <c r="B98" s="34">
        <f t="shared" si="54"/>
        <v>40421</v>
      </c>
      <c r="C98">
        <v>10184.700000000001</v>
      </c>
      <c r="D98" s="6">
        <f t="shared" si="63"/>
        <v>10155.700000000001</v>
      </c>
      <c r="E98" s="29">
        <f t="shared" si="64"/>
        <v>7.7999999999999996E-3</v>
      </c>
      <c r="F98" s="29">
        <f t="shared" si="65"/>
        <v>5.1999999999999998E-3</v>
      </c>
      <c r="G98">
        <v>11348.2</v>
      </c>
      <c r="H98" s="6">
        <f t="shared" si="66"/>
        <v>11324.63</v>
      </c>
      <c r="I98" s="29">
        <f t="shared" si="67"/>
        <v>1.7299999999999999E-2</v>
      </c>
      <c r="J98" s="29">
        <f t="shared" si="68"/>
        <v>6.1000000000000004E-3</v>
      </c>
      <c r="K98">
        <v>1.5408200000000001</v>
      </c>
      <c r="L98">
        <v>0.9</v>
      </c>
      <c r="M98" s="35">
        <f t="shared" si="69"/>
        <v>1.22</v>
      </c>
      <c r="N98">
        <v>243.2</v>
      </c>
      <c r="O98" s="29">
        <f t="shared" si="70"/>
        <v>-5.0000000000000001E-3</v>
      </c>
      <c r="P98">
        <v>6.8</v>
      </c>
      <c r="Q98" s="6">
        <f t="shared" si="55"/>
        <v>771.68</v>
      </c>
      <c r="R98">
        <v>3.25</v>
      </c>
      <c r="S98" s="36">
        <f t="shared" si="56"/>
        <v>59.51</v>
      </c>
      <c r="T98" s="6">
        <f t="shared" si="71"/>
        <v>171.14</v>
      </c>
      <c r="U98" s="6">
        <f t="shared" si="72"/>
        <v>170.87</v>
      </c>
      <c r="V98" s="29">
        <f t="shared" si="73"/>
        <v>2.8999999999999998E-3</v>
      </c>
      <c r="W98" s="29">
        <f t="shared" si="74"/>
        <v>2.5000000000000001E-3</v>
      </c>
      <c r="X98" s="13">
        <f t="shared" si="57"/>
        <v>2.3900000000000001E-2</v>
      </c>
      <c r="Y98" s="13">
        <f t="shared" si="58"/>
        <v>2.1399999999999999E-2</v>
      </c>
      <c r="Z98" s="6">
        <f t="shared" si="59"/>
        <v>3.1730263157894738</v>
      </c>
      <c r="AA98" s="13">
        <f t="shared" si="60"/>
        <v>6.9599999999999995E-2</v>
      </c>
      <c r="AB98" s="35">
        <f t="shared" si="61"/>
        <v>7.9039999999999999</v>
      </c>
      <c r="AC98" s="6">
        <f t="shared" si="62"/>
        <v>7483.08</v>
      </c>
      <c r="AD98" s="6">
        <f t="shared" si="75"/>
        <v>7508.72</v>
      </c>
      <c r="AE98" s="29">
        <f t="shared" si="76"/>
        <v>-1.9599999999999999E-2</v>
      </c>
      <c r="AF98" s="13">
        <f t="shared" si="52"/>
        <v>0.1028</v>
      </c>
      <c r="AG98" s="22">
        <f t="shared" si="77"/>
        <v>47.38</v>
      </c>
      <c r="AH98" s="22">
        <f t="shared" si="53"/>
        <v>73.8</v>
      </c>
      <c r="AI98" s="22">
        <f t="shared" si="78"/>
        <v>53.984999999999999</v>
      </c>
      <c r="AJ98" s="22">
        <f t="shared" si="79"/>
        <v>55.33</v>
      </c>
    </row>
    <row r="99" spans="1:36" x14ac:dyDescent="0.25">
      <c r="A99" s="34">
        <v>40330</v>
      </c>
      <c r="B99" s="34">
        <f t="shared" si="54"/>
        <v>40390</v>
      </c>
      <c r="C99">
        <v>10151.4</v>
      </c>
      <c r="D99" s="6">
        <f t="shared" si="63"/>
        <v>10131.77</v>
      </c>
      <c r="E99" s="29">
        <f t="shared" si="64"/>
        <v>9.1000000000000004E-3</v>
      </c>
      <c r="F99" s="29">
        <f t="shared" si="65"/>
        <v>4.0000000000000001E-3</v>
      </c>
      <c r="G99">
        <v>11319.7</v>
      </c>
      <c r="H99" s="6">
        <f t="shared" si="66"/>
        <v>11279.73</v>
      </c>
      <c r="I99" s="29">
        <f t="shared" si="67"/>
        <v>1.7600000000000001E-2</v>
      </c>
      <c r="J99" s="29">
        <f t="shared" si="68"/>
        <v>9.5999999999999992E-3</v>
      </c>
      <c r="K99">
        <v>1.4601500000000001</v>
      </c>
      <c r="L99">
        <v>0.86</v>
      </c>
      <c r="M99" s="35">
        <f t="shared" si="69"/>
        <v>1.1599999999999999</v>
      </c>
      <c r="N99">
        <v>245.3</v>
      </c>
      <c r="O99" s="29">
        <f t="shared" si="70"/>
        <v>-1E-4</v>
      </c>
      <c r="P99">
        <v>6.9</v>
      </c>
      <c r="Q99" s="6">
        <f t="shared" si="55"/>
        <v>781.06</v>
      </c>
      <c r="R99">
        <v>3.25</v>
      </c>
      <c r="S99" s="36">
        <f t="shared" si="56"/>
        <v>59.43</v>
      </c>
      <c r="T99" s="6">
        <f t="shared" si="71"/>
        <v>170.81</v>
      </c>
      <c r="U99" s="6">
        <f t="shared" si="72"/>
        <v>170.71</v>
      </c>
      <c r="V99" s="29">
        <f t="shared" si="73"/>
        <v>3.8E-3</v>
      </c>
      <c r="W99" s="29">
        <f t="shared" si="74"/>
        <v>1.1000000000000001E-3</v>
      </c>
      <c r="X99" s="13">
        <f t="shared" si="57"/>
        <v>2.4199999999999999E-2</v>
      </c>
      <c r="Y99" s="13">
        <f t="shared" si="58"/>
        <v>2.1700000000000001E-2</v>
      </c>
      <c r="Z99" s="6">
        <f t="shared" si="59"/>
        <v>3.1841011006930287</v>
      </c>
      <c r="AA99" s="13">
        <f t="shared" si="60"/>
        <v>7.0499999999999993E-2</v>
      </c>
      <c r="AB99" s="35">
        <f t="shared" si="61"/>
        <v>7.9720000000000004</v>
      </c>
      <c r="AC99" s="6">
        <f t="shared" si="62"/>
        <v>7547.69</v>
      </c>
      <c r="AD99" s="6">
        <f t="shared" si="75"/>
        <v>7521.02</v>
      </c>
      <c r="AE99" s="29">
        <f t="shared" si="76"/>
        <v>-2.46E-2</v>
      </c>
      <c r="AF99" s="13">
        <f t="shared" si="52"/>
        <v>0.10390000000000001</v>
      </c>
      <c r="AG99" s="22">
        <f t="shared" si="77"/>
        <v>48.19</v>
      </c>
      <c r="AH99" s="22">
        <f t="shared" si="53"/>
        <v>76.7</v>
      </c>
      <c r="AI99" s="22">
        <f t="shared" si="78"/>
        <v>55.317499999999995</v>
      </c>
      <c r="AJ99" s="22">
        <f t="shared" si="79"/>
        <v>54.9</v>
      </c>
    </row>
    <row r="100" spans="1:36" x14ac:dyDescent="0.25">
      <c r="A100" s="34">
        <v>40299</v>
      </c>
      <c r="B100" s="34">
        <f t="shared" si="54"/>
        <v>40359</v>
      </c>
      <c r="C100">
        <v>10131</v>
      </c>
      <c r="D100" s="6">
        <f t="shared" si="63"/>
        <v>10111</v>
      </c>
      <c r="E100" s="29">
        <f t="shared" si="64"/>
        <v>0.01</v>
      </c>
      <c r="F100" s="29">
        <f t="shared" si="65"/>
        <v>5.3E-3</v>
      </c>
      <c r="G100">
        <v>11306</v>
      </c>
      <c r="H100" s="6">
        <f t="shared" si="66"/>
        <v>11211.93</v>
      </c>
      <c r="I100" s="29">
        <f t="shared" si="67"/>
        <v>1.3599999999999999E-2</v>
      </c>
      <c r="J100" s="29">
        <f t="shared" si="68"/>
        <v>1.5599999999999999E-2</v>
      </c>
      <c r="K100">
        <v>2.1176699999999999</v>
      </c>
      <c r="L100">
        <v>0.91</v>
      </c>
      <c r="M100" s="35">
        <f t="shared" si="69"/>
        <v>1.514</v>
      </c>
      <c r="N100">
        <v>243.6</v>
      </c>
      <c r="O100" s="29">
        <f t="shared" si="70"/>
        <v>-1.46E-2</v>
      </c>
      <c r="P100">
        <v>7</v>
      </c>
      <c r="Q100" s="6">
        <f t="shared" si="55"/>
        <v>791.42</v>
      </c>
      <c r="R100">
        <v>3.25</v>
      </c>
      <c r="S100" s="36">
        <f t="shared" si="56"/>
        <v>59.36</v>
      </c>
      <c r="T100" s="6">
        <f t="shared" si="71"/>
        <v>170.67</v>
      </c>
      <c r="U100" s="6">
        <f t="shared" si="72"/>
        <v>170.63</v>
      </c>
      <c r="V100" s="29">
        <f t="shared" si="73"/>
        <v>4.4000000000000003E-3</v>
      </c>
      <c r="W100" s="29">
        <f t="shared" si="74"/>
        <v>1.6999999999999999E-3</v>
      </c>
      <c r="X100" s="13">
        <f t="shared" si="57"/>
        <v>2.4E-2</v>
      </c>
      <c r="Y100" s="13">
        <f t="shared" si="58"/>
        <v>2.1499999999999998E-2</v>
      </c>
      <c r="Z100" s="6">
        <f t="shared" si="59"/>
        <v>3.2488505747126437</v>
      </c>
      <c r="AA100" s="13">
        <f t="shared" si="60"/>
        <v>6.9900000000000004E-2</v>
      </c>
      <c r="AB100" s="35">
        <f t="shared" si="61"/>
        <v>7.9169999999999998</v>
      </c>
      <c r="AC100" s="6">
        <f t="shared" si="62"/>
        <v>7495.38</v>
      </c>
      <c r="AD100" s="6">
        <f t="shared" si="75"/>
        <v>7548.72</v>
      </c>
      <c r="AE100" s="29">
        <f t="shared" si="76"/>
        <v>-3.1699999999999999E-2</v>
      </c>
      <c r="AF100" s="13">
        <f t="shared" si="52"/>
        <v>0.1048</v>
      </c>
      <c r="AG100" s="22">
        <f t="shared" si="77"/>
        <v>50.7</v>
      </c>
      <c r="AH100" s="22">
        <f t="shared" si="53"/>
        <v>75.290000000000006</v>
      </c>
      <c r="AI100" s="22">
        <f t="shared" si="78"/>
        <v>56.847500000000011</v>
      </c>
      <c r="AJ100" s="22">
        <f t="shared" si="79"/>
        <v>54.12</v>
      </c>
    </row>
    <row r="101" spans="1:36" x14ac:dyDescent="0.25">
      <c r="A101" s="34">
        <v>40269</v>
      </c>
      <c r="B101" s="34">
        <f t="shared" si="54"/>
        <v>40329</v>
      </c>
      <c r="C101">
        <v>10112.9</v>
      </c>
      <c r="D101" s="6">
        <f t="shared" si="63"/>
        <v>10077.530000000001</v>
      </c>
      <c r="E101" s="29">
        <f t="shared" si="64"/>
        <v>9.7000000000000003E-3</v>
      </c>
      <c r="F101" s="29">
        <f t="shared" si="65"/>
        <v>7.1999999999999998E-3</v>
      </c>
      <c r="G101">
        <v>11213.5</v>
      </c>
      <c r="H101" s="6">
        <f t="shared" si="66"/>
        <v>11132.1</v>
      </c>
      <c r="I101" s="29">
        <f t="shared" si="67"/>
        <v>8.8999999999999999E-3</v>
      </c>
      <c r="J101" s="29">
        <f t="shared" si="68"/>
        <v>1.1599999999999999E-2</v>
      </c>
      <c r="K101">
        <v>2.2208700000000001</v>
      </c>
      <c r="L101">
        <v>0.95</v>
      </c>
      <c r="M101" s="35">
        <f t="shared" si="69"/>
        <v>1.585</v>
      </c>
      <c r="N101">
        <v>244.4</v>
      </c>
      <c r="O101" s="29">
        <f t="shared" si="70"/>
        <v>-1.78E-2</v>
      </c>
      <c r="P101">
        <v>6.4</v>
      </c>
      <c r="Q101" s="6">
        <f t="shared" si="55"/>
        <v>717.66</v>
      </c>
      <c r="R101">
        <v>3.25</v>
      </c>
      <c r="S101" s="36">
        <f t="shared" si="56"/>
        <v>59.26</v>
      </c>
      <c r="T101" s="6">
        <f t="shared" si="71"/>
        <v>170.65</v>
      </c>
      <c r="U101" s="6">
        <f t="shared" si="72"/>
        <v>170.38</v>
      </c>
      <c r="V101" s="29">
        <f t="shared" si="73"/>
        <v>4.1000000000000003E-3</v>
      </c>
      <c r="W101" s="29">
        <f t="shared" si="74"/>
        <v>3.3999999999999998E-3</v>
      </c>
      <c r="X101" s="13">
        <f t="shared" si="57"/>
        <v>2.4199999999999999E-2</v>
      </c>
      <c r="Y101" s="13">
        <f t="shared" si="58"/>
        <v>2.18E-2</v>
      </c>
      <c r="Z101" s="6">
        <f t="shared" si="59"/>
        <v>2.9364157119476268</v>
      </c>
      <c r="AA101" s="13">
        <f t="shared" si="60"/>
        <v>7.0900000000000005E-2</v>
      </c>
      <c r="AB101" s="35">
        <f t="shared" si="61"/>
        <v>7.9429999999999996</v>
      </c>
      <c r="AC101" s="6">
        <f t="shared" si="62"/>
        <v>7520</v>
      </c>
      <c r="AD101" s="6">
        <f t="shared" si="75"/>
        <v>7606.15</v>
      </c>
      <c r="AE101" s="29">
        <f t="shared" si="76"/>
        <v>-3.6600000000000001E-2</v>
      </c>
      <c r="AF101" s="13">
        <f t="shared" si="52"/>
        <v>9.4399999999999998E-2</v>
      </c>
      <c r="AG101" s="22">
        <f t="shared" si="77"/>
        <v>51.84</v>
      </c>
      <c r="AH101" s="22">
        <f t="shared" si="53"/>
        <v>65.099999999999994</v>
      </c>
      <c r="AI101" s="22">
        <f t="shared" si="78"/>
        <v>55.155000000000001</v>
      </c>
      <c r="AJ101" s="22">
        <f t="shared" si="79"/>
        <v>51.95</v>
      </c>
    </row>
    <row r="102" spans="1:36" x14ac:dyDescent="0.25">
      <c r="A102" s="34">
        <v>40238</v>
      </c>
      <c r="B102" s="34">
        <f t="shared" si="54"/>
        <v>40298</v>
      </c>
      <c r="C102">
        <v>10089.1</v>
      </c>
      <c r="D102" s="6">
        <f t="shared" si="63"/>
        <v>10040.5</v>
      </c>
      <c r="E102" s="29">
        <f t="shared" si="64"/>
        <v>8.3999999999999995E-3</v>
      </c>
      <c r="F102" s="29">
        <f t="shared" si="65"/>
        <v>7.9000000000000008E-3</v>
      </c>
      <c r="G102">
        <v>11116.3</v>
      </c>
      <c r="H102" s="6">
        <f t="shared" si="66"/>
        <v>11084.4</v>
      </c>
      <c r="I102" s="29">
        <f t="shared" si="67"/>
        <v>9.1000000000000004E-3</v>
      </c>
      <c r="J102" s="29">
        <f t="shared" si="68"/>
        <v>5.0000000000000001E-3</v>
      </c>
      <c r="K102">
        <v>2.34124</v>
      </c>
      <c r="L102">
        <v>1.07</v>
      </c>
      <c r="M102" s="35">
        <f t="shared" si="69"/>
        <v>1.706</v>
      </c>
      <c r="N102">
        <v>248</v>
      </c>
      <c r="O102" s="29">
        <f t="shared" si="70"/>
        <v>-3.5999999999999999E-3</v>
      </c>
      <c r="P102">
        <v>5.7</v>
      </c>
      <c r="Q102" s="6">
        <f t="shared" si="55"/>
        <v>633.63</v>
      </c>
      <c r="R102">
        <v>3.25</v>
      </c>
      <c r="S102" s="36">
        <f t="shared" si="56"/>
        <v>59.15</v>
      </c>
      <c r="T102" s="6">
        <f t="shared" si="71"/>
        <v>170.57</v>
      </c>
      <c r="U102" s="6">
        <f t="shared" si="72"/>
        <v>170.07</v>
      </c>
      <c r="V102" s="29">
        <f t="shared" si="73"/>
        <v>2.8E-3</v>
      </c>
      <c r="W102" s="29">
        <f t="shared" si="74"/>
        <v>4.0000000000000001E-3</v>
      </c>
      <c r="X102" s="13">
        <f t="shared" si="57"/>
        <v>2.46E-2</v>
      </c>
      <c r="Y102" s="13">
        <f t="shared" si="58"/>
        <v>2.23E-2</v>
      </c>
      <c r="Z102" s="6">
        <f t="shared" si="59"/>
        <v>2.554959677419355</v>
      </c>
      <c r="AA102" s="13">
        <f t="shared" si="60"/>
        <v>7.2499999999999995E-2</v>
      </c>
      <c r="AB102" s="35">
        <f t="shared" si="61"/>
        <v>8.06</v>
      </c>
      <c r="AC102" s="6">
        <f t="shared" si="62"/>
        <v>7630.77</v>
      </c>
      <c r="AD102" s="6">
        <f t="shared" si="75"/>
        <v>7656.41</v>
      </c>
      <c r="AE102" s="29">
        <f t="shared" si="76"/>
        <v>-2.8899999999999999E-2</v>
      </c>
      <c r="AF102" s="13">
        <f t="shared" si="52"/>
        <v>8.2799999999999999E-2</v>
      </c>
      <c r="AG102" s="22">
        <f t="shared" si="77"/>
        <v>49.77</v>
      </c>
      <c r="AH102" s="22">
        <f t="shared" si="53"/>
        <v>59.88</v>
      </c>
      <c r="AI102" s="22">
        <f t="shared" si="78"/>
        <v>52.297499999999999</v>
      </c>
      <c r="AJ102" s="22">
        <f t="shared" si="79"/>
        <v>51.37</v>
      </c>
    </row>
    <row r="103" spans="1:36" x14ac:dyDescent="0.25">
      <c r="A103" s="34">
        <v>40210</v>
      </c>
      <c r="B103" s="34">
        <f t="shared" si="54"/>
        <v>40268</v>
      </c>
      <c r="C103">
        <v>10030.6</v>
      </c>
      <c r="D103" s="6">
        <f t="shared" si="63"/>
        <v>10010.43</v>
      </c>
      <c r="E103" s="29">
        <f t="shared" si="64"/>
        <v>9.2999999999999992E-3</v>
      </c>
      <c r="F103" s="29">
        <f t="shared" si="65"/>
        <v>5.0000000000000001E-3</v>
      </c>
      <c r="G103">
        <v>11066.5</v>
      </c>
      <c r="H103" s="6">
        <f t="shared" si="66"/>
        <v>11061.4</v>
      </c>
      <c r="I103" s="29">
        <f t="shared" si="67"/>
        <v>1.0500000000000001E-2</v>
      </c>
      <c r="J103" s="29">
        <f t="shared" si="68"/>
        <v>3.0000000000000001E-3</v>
      </c>
      <c r="K103">
        <v>2.1293199999999999</v>
      </c>
      <c r="L103">
        <v>1.1499999999999999</v>
      </c>
      <c r="M103" s="35">
        <f t="shared" si="69"/>
        <v>1.64</v>
      </c>
      <c r="N103">
        <v>249.2</v>
      </c>
      <c r="O103" s="29">
        <f t="shared" si="70"/>
        <v>-5.5999999999999999E-3</v>
      </c>
      <c r="P103">
        <v>5.8</v>
      </c>
      <c r="Q103" s="6">
        <f t="shared" si="55"/>
        <v>641.86</v>
      </c>
      <c r="R103">
        <v>3.25</v>
      </c>
      <c r="S103" s="36">
        <f t="shared" si="56"/>
        <v>59.03</v>
      </c>
      <c r="T103" s="6">
        <f t="shared" si="71"/>
        <v>169.92</v>
      </c>
      <c r="U103" s="6">
        <f t="shared" si="72"/>
        <v>169.89</v>
      </c>
      <c r="V103" s="29">
        <f t="shared" si="73"/>
        <v>4.4999999999999997E-3</v>
      </c>
      <c r="W103" s="29">
        <f t="shared" si="74"/>
        <v>1.2999999999999999E-3</v>
      </c>
      <c r="X103" s="13">
        <f t="shared" si="57"/>
        <v>2.4799999999999999E-2</v>
      </c>
      <c r="Y103" s="13">
        <f t="shared" si="58"/>
        <v>2.2499999999999999E-2</v>
      </c>
      <c r="Z103" s="6">
        <f t="shared" si="59"/>
        <v>2.5756821829855538</v>
      </c>
      <c r="AA103" s="13">
        <f t="shared" si="60"/>
        <v>7.3099999999999998E-2</v>
      </c>
      <c r="AB103" s="35">
        <f t="shared" si="61"/>
        <v>8.0990000000000002</v>
      </c>
      <c r="AC103" s="6">
        <f t="shared" si="62"/>
        <v>7667.69</v>
      </c>
      <c r="AD103" s="6">
        <f t="shared" si="75"/>
        <v>7658.46</v>
      </c>
      <c r="AE103" s="29">
        <f t="shared" si="76"/>
        <v>-2.06E-2</v>
      </c>
      <c r="AF103" s="13">
        <f t="shared" si="52"/>
        <v>8.3799999999999999E-2</v>
      </c>
      <c r="AG103" s="22">
        <f t="shared" si="77"/>
        <v>49.51</v>
      </c>
      <c r="AH103" s="22">
        <f t="shared" si="53"/>
        <v>60.25</v>
      </c>
      <c r="AI103" s="22">
        <f t="shared" si="78"/>
        <v>52.195</v>
      </c>
      <c r="AJ103" s="22">
        <f t="shared" si="79"/>
        <v>49.7</v>
      </c>
    </row>
    <row r="104" spans="1:36" x14ac:dyDescent="0.25">
      <c r="A104" s="34">
        <v>40179</v>
      </c>
      <c r="B104" s="34">
        <f t="shared" si="54"/>
        <v>40237</v>
      </c>
      <c r="C104">
        <v>10001.799999999999</v>
      </c>
      <c r="D104" s="6">
        <f t="shared" si="63"/>
        <v>9980.4</v>
      </c>
      <c r="E104" s="29">
        <f t="shared" si="64"/>
        <v>5.4999999999999997E-3</v>
      </c>
      <c r="F104" s="29">
        <f t="shared" si="65"/>
        <v>4.4999999999999997E-3</v>
      </c>
      <c r="G104">
        <v>11070.4</v>
      </c>
      <c r="H104" s="6">
        <f t="shared" si="66"/>
        <v>11033.37</v>
      </c>
      <c r="I104" s="29">
        <f t="shared" si="67"/>
        <v>1.0800000000000001E-2</v>
      </c>
      <c r="J104" s="29">
        <f t="shared" si="68"/>
        <v>7.7999999999999996E-3</v>
      </c>
      <c r="K104">
        <v>2.3536899999999998</v>
      </c>
      <c r="L104">
        <v>1.26</v>
      </c>
      <c r="M104" s="35">
        <f t="shared" si="69"/>
        <v>1.8069999999999999</v>
      </c>
      <c r="N104">
        <v>249.3</v>
      </c>
      <c r="O104" s="29">
        <f t="shared" si="70"/>
        <v>-1.61E-2</v>
      </c>
      <c r="P104">
        <v>6.1</v>
      </c>
      <c r="Q104" s="6">
        <f t="shared" si="55"/>
        <v>675.29</v>
      </c>
      <c r="R104">
        <v>3.25</v>
      </c>
      <c r="S104" s="36">
        <f t="shared" si="56"/>
        <v>58.93</v>
      </c>
      <c r="T104" s="6">
        <f t="shared" si="71"/>
        <v>169.72</v>
      </c>
      <c r="U104" s="6">
        <f t="shared" si="72"/>
        <v>169.69</v>
      </c>
      <c r="V104" s="29">
        <f t="shared" si="73"/>
        <v>2.3E-3</v>
      </c>
      <c r="W104" s="29">
        <f t="shared" si="74"/>
        <v>6.9999999999999999E-4</v>
      </c>
      <c r="X104" s="13">
        <f t="shared" si="57"/>
        <v>2.4899999999999999E-2</v>
      </c>
      <c r="Y104" s="13">
        <f t="shared" si="58"/>
        <v>2.2499999999999999E-2</v>
      </c>
      <c r="Z104" s="6">
        <f t="shared" si="59"/>
        <v>2.7087444845567585</v>
      </c>
      <c r="AA104" s="13">
        <f t="shared" si="60"/>
        <v>7.3099999999999998E-2</v>
      </c>
      <c r="AB104" s="35">
        <f t="shared" si="61"/>
        <v>8.1020000000000003</v>
      </c>
      <c r="AC104" s="6">
        <f t="shared" si="62"/>
        <v>7670.77</v>
      </c>
      <c r="AD104" s="6">
        <f t="shared" si="75"/>
        <v>7710.77</v>
      </c>
      <c r="AE104" s="29">
        <f t="shared" si="76"/>
        <v>-6.4999999999999997E-3</v>
      </c>
      <c r="AF104" s="13">
        <f t="shared" si="52"/>
        <v>8.7599999999999997E-2</v>
      </c>
      <c r="AG104" s="22">
        <f t="shared" si="77"/>
        <v>42.93</v>
      </c>
      <c r="AH104" s="22">
        <f t="shared" si="53"/>
        <v>63.77</v>
      </c>
      <c r="AI104" s="22">
        <f t="shared" si="78"/>
        <v>48.14</v>
      </c>
      <c r="AJ104" s="22">
        <f t="shared" si="79"/>
        <v>50.9</v>
      </c>
    </row>
    <row r="105" spans="1:36" x14ac:dyDescent="0.25">
      <c r="A105" s="34">
        <v>40148</v>
      </c>
      <c r="B105" s="34">
        <f t="shared" si="54"/>
        <v>40209</v>
      </c>
      <c r="C105">
        <v>9998.9</v>
      </c>
      <c r="D105" s="6">
        <f t="shared" si="63"/>
        <v>9957.1</v>
      </c>
      <c r="E105" s="29">
        <f t="shared" si="64"/>
        <v>6.1999999999999998E-3</v>
      </c>
      <c r="F105" s="29">
        <f t="shared" si="65"/>
        <v>8.0999999999999996E-3</v>
      </c>
      <c r="G105">
        <v>11047.3</v>
      </c>
      <c r="H105" s="6">
        <f t="shared" si="66"/>
        <v>10984.93</v>
      </c>
      <c r="I105" s="29">
        <f t="shared" si="67"/>
        <v>7.4999999999999997E-3</v>
      </c>
      <c r="J105" s="29">
        <f t="shared" si="68"/>
        <v>9.2999999999999992E-3</v>
      </c>
      <c r="K105">
        <v>2.1859799999999998</v>
      </c>
      <c r="L105">
        <v>1.46</v>
      </c>
      <c r="M105" s="35">
        <f t="shared" si="69"/>
        <v>1.823</v>
      </c>
      <c r="N105">
        <v>248.2</v>
      </c>
      <c r="O105" s="29">
        <f t="shared" si="70"/>
        <v>-3.27E-2</v>
      </c>
      <c r="P105">
        <v>5.9</v>
      </c>
      <c r="Q105" s="6">
        <f t="shared" si="55"/>
        <v>651.79</v>
      </c>
      <c r="R105">
        <v>3.25</v>
      </c>
      <c r="S105" s="36">
        <f t="shared" si="56"/>
        <v>58.81</v>
      </c>
      <c r="T105" s="6">
        <f t="shared" si="71"/>
        <v>170.02</v>
      </c>
      <c r="U105" s="6">
        <f t="shared" si="72"/>
        <v>169.6</v>
      </c>
      <c r="V105" s="29">
        <f t="shared" si="73"/>
        <v>5.1999999999999998E-3</v>
      </c>
      <c r="W105" s="29">
        <f t="shared" si="74"/>
        <v>5.1999999999999998E-3</v>
      </c>
      <c r="X105" s="13">
        <f t="shared" si="57"/>
        <v>2.4799999999999999E-2</v>
      </c>
      <c r="Y105" s="13">
        <f t="shared" si="58"/>
        <v>2.2499999999999999E-2</v>
      </c>
      <c r="Z105" s="6">
        <f t="shared" si="59"/>
        <v>2.6260676873489119</v>
      </c>
      <c r="AA105" s="13">
        <f t="shared" si="60"/>
        <v>7.3099999999999998E-2</v>
      </c>
      <c r="AB105" s="35">
        <f t="shared" si="61"/>
        <v>8.0670000000000002</v>
      </c>
      <c r="AC105" s="6">
        <f t="shared" si="62"/>
        <v>7636.92</v>
      </c>
      <c r="AD105" s="6">
        <f t="shared" si="75"/>
        <v>7795.9</v>
      </c>
      <c r="AE105" s="29">
        <f t="shared" si="76"/>
        <v>3.0000000000000001E-3</v>
      </c>
      <c r="AF105" s="13">
        <f t="shared" si="52"/>
        <v>8.3599999999999994E-2</v>
      </c>
      <c r="AG105" s="22">
        <f t="shared" si="77"/>
        <v>50.61</v>
      </c>
      <c r="AH105" s="22">
        <f t="shared" si="53"/>
        <v>59.5</v>
      </c>
      <c r="AI105" s="22">
        <f t="shared" si="78"/>
        <v>52.832499999999996</v>
      </c>
      <c r="AJ105" s="22">
        <f t="shared" si="79"/>
        <v>53.16</v>
      </c>
    </row>
    <row r="106" spans="1:36" x14ac:dyDescent="0.25">
      <c r="A106" s="34">
        <v>40118</v>
      </c>
      <c r="B106" s="34">
        <f t="shared" si="54"/>
        <v>40178</v>
      </c>
      <c r="C106">
        <v>9940.5</v>
      </c>
      <c r="D106" s="6">
        <f t="shared" si="63"/>
        <v>9918.6</v>
      </c>
      <c r="E106" s="29">
        <f t="shared" si="64"/>
        <v>4.8999999999999998E-3</v>
      </c>
      <c r="F106" s="29">
        <f t="shared" si="65"/>
        <v>1.5E-3</v>
      </c>
      <c r="G106">
        <v>10982.4</v>
      </c>
      <c r="H106" s="6">
        <f t="shared" si="66"/>
        <v>10945.93</v>
      </c>
      <c r="I106" s="29">
        <f t="shared" si="67"/>
        <v>3.7000000000000002E-3</v>
      </c>
      <c r="J106" s="29">
        <f t="shared" si="68"/>
        <v>6.1000000000000004E-3</v>
      </c>
      <c r="K106">
        <v>1.5932900000000001</v>
      </c>
      <c r="L106">
        <v>1.5</v>
      </c>
      <c r="M106" s="35">
        <f t="shared" si="69"/>
        <v>1.5469999999999999</v>
      </c>
      <c r="N106">
        <v>254.3</v>
      </c>
      <c r="O106" s="29">
        <f t="shared" si="70"/>
        <v>-7.4999999999999997E-3</v>
      </c>
      <c r="P106">
        <v>5.9</v>
      </c>
      <c r="Q106" s="6">
        <f t="shared" si="55"/>
        <v>647.96</v>
      </c>
      <c r="R106">
        <v>3.25</v>
      </c>
      <c r="S106" s="36">
        <f t="shared" si="56"/>
        <v>58.7</v>
      </c>
      <c r="T106" s="6">
        <f t="shared" si="71"/>
        <v>169.34</v>
      </c>
      <c r="U106" s="6">
        <f t="shared" si="72"/>
        <v>169.13</v>
      </c>
      <c r="V106" s="29">
        <f t="shared" si="73"/>
        <v>5.7999999999999996E-3</v>
      </c>
      <c r="W106" s="29">
        <f t="shared" si="74"/>
        <v>2.0000000000000001E-4</v>
      </c>
      <c r="X106" s="13">
        <f t="shared" si="57"/>
        <v>2.5600000000000001E-2</v>
      </c>
      <c r="Y106" s="13">
        <f t="shared" si="58"/>
        <v>2.3199999999999998E-2</v>
      </c>
      <c r="Z106" s="6">
        <f t="shared" si="59"/>
        <v>2.5480141565080614</v>
      </c>
      <c r="AA106" s="13">
        <f t="shared" si="60"/>
        <v>7.5399999999999995E-2</v>
      </c>
      <c r="AB106" s="35">
        <f t="shared" si="61"/>
        <v>8.2650000000000006</v>
      </c>
      <c r="AC106" s="6">
        <f t="shared" si="62"/>
        <v>7824.62</v>
      </c>
      <c r="AD106" s="6">
        <f t="shared" si="75"/>
        <v>7895.38</v>
      </c>
      <c r="AE106" s="29">
        <f t="shared" si="76"/>
        <v>0.01</v>
      </c>
      <c r="AF106" s="13">
        <f t="shared" si="52"/>
        <v>8.2100000000000006E-2</v>
      </c>
      <c r="AG106" s="22">
        <f t="shared" si="77"/>
        <v>43.87</v>
      </c>
      <c r="AH106" s="22">
        <f t="shared" si="53"/>
        <v>50.87</v>
      </c>
      <c r="AI106" s="22">
        <f t="shared" si="78"/>
        <v>45.62</v>
      </c>
      <c r="AJ106" s="22">
        <f t="shared" si="79"/>
        <v>57.47</v>
      </c>
    </row>
    <row r="107" spans="1:36" x14ac:dyDescent="0.25">
      <c r="A107" s="34">
        <v>40087</v>
      </c>
      <c r="B107" s="34">
        <f t="shared" si="54"/>
        <v>40147</v>
      </c>
      <c r="C107">
        <v>9931.9</v>
      </c>
      <c r="D107" s="6">
        <f t="shared" si="63"/>
        <v>9925.43</v>
      </c>
      <c r="E107" s="29">
        <f t="shared" si="64"/>
        <v>1.29E-2</v>
      </c>
      <c r="F107" s="29">
        <f t="shared" si="65"/>
        <v>3.7000000000000002E-3</v>
      </c>
      <c r="G107">
        <v>10925.1</v>
      </c>
      <c r="H107" s="6">
        <f t="shared" si="66"/>
        <v>10915.7</v>
      </c>
      <c r="I107" s="29">
        <f t="shared" si="67"/>
        <v>-4.1000000000000003E-3</v>
      </c>
      <c r="J107" s="29">
        <f t="shared" si="68"/>
        <v>2E-3</v>
      </c>
      <c r="K107">
        <v>0.18157000000000001</v>
      </c>
      <c r="L107">
        <v>1.61</v>
      </c>
      <c r="M107" s="35">
        <f t="shared" si="69"/>
        <v>0.89600000000000002</v>
      </c>
      <c r="N107">
        <v>257.60000000000002</v>
      </c>
      <c r="O107" s="29">
        <f t="shared" si="70"/>
        <v>1.3599999999999999E-2</v>
      </c>
      <c r="P107">
        <v>5.4</v>
      </c>
      <c r="Q107" s="6">
        <f t="shared" si="55"/>
        <v>589.96</v>
      </c>
      <c r="R107">
        <v>3.25</v>
      </c>
      <c r="S107" s="36">
        <f t="shared" si="56"/>
        <v>58.62</v>
      </c>
      <c r="T107" s="6">
        <f t="shared" si="71"/>
        <v>169.43</v>
      </c>
      <c r="U107" s="6">
        <f t="shared" si="72"/>
        <v>169.3</v>
      </c>
      <c r="V107" s="29">
        <f t="shared" si="73"/>
        <v>1.49E-2</v>
      </c>
      <c r="W107" s="29">
        <f t="shared" si="74"/>
        <v>4.1999999999999997E-3</v>
      </c>
      <c r="X107" s="13">
        <f t="shared" si="57"/>
        <v>2.5899999999999999E-2</v>
      </c>
      <c r="Y107" s="13">
        <f t="shared" si="58"/>
        <v>2.3599999999999999E-2</v>
      </c>
      <c r="Z107" s="6">
        <f t="shared" si="59"/>
        <v>2.2902173913043478</v>
      </c>
      <c r="AA107" s="13">
        <f t="shared" si="60"/>
        <v>7.6700000000000004E-2</v>
      </c>
      <c r="AB107" s="35">
        <f t="shared" si="61"/>
        <v>8.3719999999999999</v>
      </c>
      <c r="AC107" s="6">
        <f t="shared" si="62"/>
        <v>7926.15</v>
      </c>
      <c r="AD107" s="6">
        <f t="shared" si="75"/>
        <v>7884.1</v>
      </c>
      <c r="AE107" s="29">
        <f t="shared" si="76"/>
        <v>3.0999999999999999E-3</v>
      </c>
      <c r="AF107" s="13">
        <f t="shared" si="52"/>
        <v>7.4800000000000005E-2</v>
      </c>
      <c r="AG107" s="22">
        <f t="shared" si="77"/>
        <v>63.98</v>
      </c>
      <c r="AH107" s="22">
        <f t="shared" si="53"/>
        <v>36.020000000000003</v>
      </c>
      <c r="AI107" s="22">
        <f t="shared" si="78"/>
        <v>56.99</v>
      </c>
      <c r="AJ107" s="22">
        <f t="shared" si="79"/>
        <v>60.33</v>
      </c>
    </row>
    <row r="108" spans="1:36" x14ac:dyDescent="0.25">
      <c r="A108" s="34">
        <v>40057</v>
      </c>
      <c r="B108" s="34">
        <f t="shared" si="54"/>
        <v>40117</v>
      </c>
      <c r="C108">
        <v>9883.4</v>
      </c>
      <c r="D108" s="6">
        <f t="shared" si="63"/>
        <v>9895.3700000000008</v>
      </c>
      <c r="E108" s="29">
        <f t="shared" si="64"/>
        <v>1.38E-2</v>
      </c>
      <c r="F108" s="29">
        <f t="shared" si="65"/>
        <v>1.4E-3</v>
      </c>
      <c r="G108">
        <v>10930.3</v>
      </c>
      <c r="H108" s="6">
        <f t="shared" si="66"/>
        <v>10903.33</v>
      </c>
      <c r="I108" s="29">
        <f t="shared" si="67"/>
        <v>-4.4999999999999997E-3</v>
      </c>
      <c r="J108" s="29">
        <f t="shared" si="68"/>
        <v>2.2000000000000001E-3</v>
      </c>
      <c r="K108">
        <v>-0.80896000000000001</v>
      </c>
      <c r="L108">
        <v>1.58</v>
      </c>
      <c r="M108" s="35">
        <f t="shared" si="69"/>
        <v>0.38600000000000001</v>
      </c>
      <c r="N108">
        <v>257.89999999999998</v>
      </c>
      <c r="O108" s="29">
        <f t="shared" si="70"/>
        <v>2.2499999999999999E-2</v>
      </c>
      <c r="P108">
        <v>5.9</v>
      </c>
      <c r="Q108" s="6">
        <f t="shared" si="55"/>
        <v>644.89</v>
      </c>
      <c r="R108">
        <v>3.25</v>
      </c>
      <c r="S108" s="36">
        <f t="shared" si="56"/>
        <v>58.61</v>
      </c>
      <c r="T108" s="6">
        <f t="shared" si="71"/>
        <v>168.63</v>
      </c>
      <c r="U108" s="6">
        <f t="shared" si="72"/>
        <v>168.72</v>
      </c>
      <c r="V108" s="29">
        <f t="shared" si="73"/>
        <v>1.6199999999999999E-2</v>
      </c>
      <c r="W108" s="29">
        <f t="shared" si="74"/>
        <v>2.8E-3</v>
      </c>
      <c r="X108" s="13">
        <f t="shared" si="57"/>
        <v>2.6100000000000002E-2</v>
      </c>
      <c r="Y108" s="13">
        <f t="shared" si="58"/>
        <v>2.3599999999999999E-2</v>
      </c>
      <c r="Z108" s="6">
        <f t="shared" si="59"/>
        <v>2.5005428460643664</v>
      </c>
      <c r="AA108" s="13">
        <f t="shared" si="60"/>
        <v>7.6700000000000004E-2</v>
      </c>
      <c r="AB108" s="35">
        <f t="shared" si="61"/>
        <v>8.3819999999999997</v>
      </c>
      <c r="AC108" s="6">
        <f t="shared" si="62"/>
        <v>7935.38</v>
      </c>
      <c r="AD108" s="6">
        <f t="shared" si="75"/>
        <v>7819.49</v>
      </c>
      <c r="AE108" s="29">
        <f t="shared" si="76"/>
        <v>-5.8999999999999999E-3</v>
      </c>
      <c r="AF108" s="13">
        <f t="shared" si="52"/>
        <v>8.2500000000000004E-2</v>
      </c>
      <c r="AG108" s="22">
        <f t="shared" si="77"/>
        <v>64.27</v>
      </c>
      <c r="AH108" s="22">
        <f t="shared" si="53"/>
        <v>36.049999999999997</v>
      </c>
      <c r="AI108" s="22">
        <f t="shared" si="78"/>
        <v>57.215000000000003</v>
      </c>
      <c r="AJ108" s="22">
        <f t="shared" si="79"/>
        <v>58.11</v>
      </c>
    </row>
    <row r="109" spans="1:36" x14ac:dyDescent="0.25">
      <c r="A109" s="34">
        <v>40026</v>
      </c>
      <c r="B109" s="34">
        <f t="shared" si="54"/>
        <v>40086</v>
      </c>
      <c r="C109">
        <v>9961</v>
      </c>
      <c r="D109" s="6">
        <f t="shared" si="63"/>
        <v>9869.8700000000008</v>
      </c>
      <c r="E109" s="29">
        <f t="shared" si="64"/>
        <v>1.43E-2</v>
      </c>
      <c r="F109" s="29">
        <f t="shared" si="65"/>
        <v>1.6500000000000001E-2</v>
      </c>
      <c r="G109">
        <v>10891.7</v>
      </c>
      <c r="H109" s="6">
        <f t="shared" si="66"/>
        <v>10905.93</v>
      </c>
      <c r="I109" s="29">
        <f t="shared" si="67"/>
        <v>1.5E-3</v>
      </c>
      <c r="J109" s="29">
        <f t="shared" si="68"/>
        <v>-6.3E-3</v>
      </c>
      <c r="K109">
        <v>-0.86760999999999999</v>
      </c>
      <c r="L109">
        <v>1.69</v>
      </c>
      <c r="M109" s="35">
        <f t="shared" si="69"/>
        <v>0.41099999999999998</v>
      </c>
      <c r="N109">
        <v>253.2</v>
      </c>
      <c r="O109" s="29">
        <f t="shared" si="70"/>
        <v>2.3999999999999998E-3</v>
      </c>
      <c r="P109">
        <v>4.9000000000000004</v>
      </c>
      <c r="Q109" s="6">
        <f t="shared" si="55"/>
        <v>533.69000000000005</v>
      </c>
      <c r="R109">
        <v>3.25</v>
      </c>
      <c r="S109" s="36">
        <f t="shared" si="56"/>
        <v>58.65</v>
      </c>
      <c r="T109" s="6">
        <f t="shared" si="71"/>
        <v>169.84</v>
      </c>
      <c r="U109" s="6">
        <f t="shared" si="72"/>
        <v>168.15</v>
      </c>
      <c r="V109" s="29">
        <f t="shared" si="73"/>
        <v>1.6400000000000001E-2</v>
      </c>
      <c r="W109" s="29">
        <f t="shared" si="74"/>
        <v>1.8100000000000002E-2</v>
      </c>
      <c r="X109" s="13">
        <f t="shared" si="57"/>
        <v>2.5399999999999999E-2</v>
      </c>
      <c r="Y109" s="13">
        <f t="shared" si="58"/>
        <v>2.3199999999999998E-2</v>
      </c>
      <c r="Z109" s="6">
        <f t="shared" si="59"/>
        <v>2.1077804107424964</v>
      </c>
      <c r="AA109" s="13">
        <f t="shared" si="60"/>
        <v>7.5399999999999995E-2</v>
      </c>
      <c r="AB109" s="35">
        <f t="shared" si="61"/>
        <v>8.2289999999999992</v>
      </c>
      <c r="AC109" s="6">
        <f t="shared" si="62"/>
        <v>7790.77</v>
      </c>
      <c r="AD109" s="6">
        <f t="shared" si="75"/>
        <v>7761.03</v>
      </c>
      <c r="AE109" s="29">
        <f t="shared" si="76"/>
        <v>-9.1999999999999998E-3</v>
      </c>
      <c r="AF109" s="13">
        <f t="shared" si="52"/>
        <v>6.88E-2</v>
      </c>
      <c r="AG109" s="22">
        <f t="shared" si="77"/>
        <v>80.38</v>
      </c>
      <c r="AH109" s="22">
        <f t="shared" si="53"/>
        <v>39.03</v>
      </c>
      <c r="AI109" s="22">
        <f t="shared" si="78"/>
        <v>70.04249999999999</v>
      </c>
      <c r="AJ109" s="22">
        <f t="shared" si="79"/>
        <v>53.17</v>
      </c>
    </row>
    <row r="110" spans="1:36" x14ac:dyDescent="0.25">
      <c r="A110" s="34">
        <v>39995</v>
      </c>
      <c r="B110" s="34">
        <f t="shared" si="54"/>
        <v>40056</v>
      </c>
      <c r="C110">
        <v>9841.7000000000007</v>
      </c>
      <c r="D110" s="6">
        <f t="shared" si="63"/>
        <v>9799.17</v>
      </c>
      <c r="E110" s="29">
        <f t="shared" si="64"/>
        <v>6.4000000000000003E-3</v>
      </c>
      <c r="F110" s="29">
        <f t="shared" si="65"/>
        <v>8.3999999999999995E-3</v>
      </c>
      <c r="G110">
        <v>10888</v>
      </c>
      <c r="H110" s="6">
        <f t="shared" si="66"/>
        <v>10960.8</v>
      </c>
      <c r="I110" s="29">
        <f t="shared" si="67"/>
        <v>1.5699999999999999E-2</v>
      </c>
      <c r="J110" s="29">
        <f t="shared" si="68"/>
        <v>-5.8999999999999999E-3</v>
      </c>
      <c r="K110">
        <v>-1.2373400000000001</v>
      </c>
      <c r="L110">
        <v>1.71</v>
      </c>
      <c r="M110" s="35">
        <f t="shared" si="69"/>
        <v>0.23599999999999999</v>
      </c>
      <c r="N110">
        <v>251.3</v>
      </c>
      <c r="O110" s="29">
        <f t="shared" si="70"/>
        <v>-1.09E-2</v>
      </c>
      <c r="P110">
        <v>6</v>
      </c>
      <c r="Q110" s="6">
        <f t="shared" si="55"/>
        <v>653.28</v>
      </c>
      <c r="R110">
        <v>3.25</v>
      </c>
      <c r="S110" s="36">
        <f t="shared" si="56"/>
        <v>58.69</v>
      </c>
      <c r="T110" s="6">
        <f t="shared" si="71"/>
        <v>167.69</v>
      </c>
      <c r="U110" s="6">
        <f t="shared" si="72"/>
        <v>166.82</v>
      </c>
      <c r="V110" s="29">
        <f t="shared" si="73"/>
        <v>8.2000000000000007E-3</v>
      </c>
      <c r="W110" s="29">
        <f t="shared" si="74"/>
        <v>0.01</v>
      </c>
      <c r="X110" s="13">
        <f t="shared" si="57"/>
        <v>2.5499999999999998E-2</v>
      </c>
      <c r="Y110" s="13">
        <f t="shared" si="58"/>
        <v>2.3099999999999999E-2</v>
      </c>
      <c r="Z110" s="6">
        <f t="shared" si="59"/>
        <v>2.599602069239952</v>
      </c>
      <c r="AA110" s="13">
        <f t="shared" si="60"/>
        <v>7.51E-2</v>
      </c>
      <c r="AB110" s="35">
        <f t="shared" si="61"/>
        <v>8.1669999999999998</v>
      </c>
      <c r="AC110" s="6">
        <f t="shared" si="62"/>
        <v>7732.31</v>
      </c>
      <c r="AD110" s="6">
        <f t="shared" si="75"/>
        <v>7772.31</v>
      </c>
      <c r="AE110" s="29">
        <f t="shared" si="76"/>
        <v>3.5700000000000003E-2</v>
      </c>
      <c r="AF110" s="13">
        <f t="shared" si="52"/>
        <v>8.4099999999999994E-2</v>
      </c>
      <c r="AG110" s="22">
        <f t="shared" si="77"/>
        <v>56.15</v>
      </c>
      <c r="AH110" s="22">
        <f t="shared" si="53"/>
        <v>59.81</v>
      </c>
      <c r="AI110" s="22">
        <f t="shared" si="78"/>
        <v>57.064999999999998</v>
      </c>
      <c r="AJ110" s="22">
        <f t="shared" si="79"/>
        <v>41.23</v>
      </c>
    </row>
    <row r="111" spans="1:36" x14ac:dyDescent="0.25">
      <c r="A111" s="34">
        <v>39965</v>
      </c>
      <c r="B111" s="34">
        <f t="shared" si="54"/>
        <v>40025</v>
      </c>
      <c r="C111">
        <v>9806.9</v>
      </c>
      <c r="D111" s="6">
        <f t="shared" si="63"/>
        <v>9760.2000000000007</v>
      </c>
      <c r="E111" s="29">
        <f t="shared" si="64"/>
        <v>4.0000000000000002E-4</v>
      </c>
      <c r="F111" s="29">
        <f t="shared" si="65"/>
        <v>7.7999999999999996E-3</v>
      </c>
      <c r="G111">
        <v>10938.1</v>
      </c>
      <c r="H111" s="6">
        <f t="shared" si="66"/>
        <v>10952.47</v>
      </c>
      <c r="I111" s="29">
        <f t="shared" si="67"/>
        <v>1.5299999999999999E-2</v>
      </c>
      <c r="J111" s="29">
        <f t="shared" si="68"/>
        <v>4.4999999999999997E-3</v>
      </c>
      <c r="K111">
        <v>-0.81791000000000003</v>
      </c>
      <c r="L111">
        <v>1.97</v>
      </c>
      <c r="M111" s="35">
        <f t="shared" si="69"/>
        <v>0.57599999999999996</v>
      </c>
      <c r="N111">
        <v>252.2</v>
      </c>
      <c r="O111" s="29">
        <f t="shared" si="70"/>
        <v>-1.2699999999999999E-2</v>
      </c>
      <c r="P111">
        <v>6.7</v>
      </c>
      <c r="Q111" s="6">
        <f t="shared" si="55"/>
        <v>732.85</v>
      </c>
      <c r="R111">
        <v>3.25</v>
      </c>
      <c r="S111" s="36">
        <f t="shared" si="56"/>
        <v>58.75</v>
      </c>
      <c r="T111" s="6">
        <f t="shared" si="71"/>
        <v>166.93</v>
      </c>
      <c r="U111" s="6">
        <f t="shared" si="72"/>
        <v>166.03</v>
      </c>
      <c r="V111" s="29">
        <f t="shared" si="73"/>
        <v>1.6000000000000001E-3</v>
      </c>
      <c r="W111" s="29">
        <f t="shared" si="74"/>
        <v>8.9999999999999993E-3</v>
      </c>
      <c r="X111" s="13">
        <f t="shared" si="57"/>
        <v>2.5700000000000001E-2</v>
      </c>
      <c r="Y111" s="13">
        <f t="shared" si="58"/>
        <v>2.3099999999999999E-2</v>
      </c>
      <c r="Z111" s="6">
        <f t="shared" si="59"/>
        <v>2.9058287073750995</v>
      </c>
      <c r="AA111" s="13">
        <f t="shared" si="60"/>
        <v>7.51E-2</v>
      </c>
      <c r="AB111" s="35">
        <f t="shared" si="61"/>
        <v>8.1969999999999992</v>
      </c>
      <c r="AC111" s="6">
        <f t="shared" si="62"/>
        <v>7760</v>
      </c>
      <c r="AD111" s="6">
        <f t="shared" si="75"/>
        <v>7817.44</v>
      </c>
      <c r="AE111" s="29">
        <f t="shared" si="76"/>
        <v>0.1135</v>
      </c>
      <c r="AF111" s="13">
        <f t="shared" si="52"/>
        <v>9.3700000000000006E-2</v>
      </c>
      <c r="AG111" s="22">
        <f t="shared" si="77"/>
        <v>42.69</v>
      </c>
      <c r="AH111" s="22">
        <f t="shared" si="53"/>
        <v>64.459999999999994</v>
      </c>
      <c r="AI111" s="22">
        <f t="shared" si="78"/>
        <v>48.132499999999993</v>
      </c>
      <c r="AJ111" s="22">
        <f t="shared" si="79"/>
        <v>29.61</v>
      </c>
    </row>
    <row r="112" spans="1:36" x14ac:dyDescent="0.25">
      <c r="A112" s="34">
        <v>39934</v>
      </c>
      <c r="B112" s="34">
        <f t="shared" si="54"/>
        <v>39994</v>
      </c>
      <c r="C112">
        <v>9748.9</v>
      </c>
      <c r="D112" s="6">
        <f t="shared" si="63"/>
        <v>9730.73</v>
      </c>
      <c r="E112" s="29">
        <f t="shared" si="64"/>
        <v>-3.0000000000000001E-3</v>
      </c>
      <c r="F112" s="29">
        <f t="shared" si="65"/>
        <v>1.2999999999999999E-3</v>
      </c>
      <c r="G112">
        <v>11056.3</v>
      </c>
      <c r="H112" s="6">
        <f t="shared" si="66"/>
        <v>10889.53</v>
      </c>
      <c r="I112" s="29">
        <f t="shared" si="67"/>
        <v>7.6E-3</v>
      </c>
      <c r="J112" s="29">
        <f t="shared" si="68"/>
        <v>2.46E-2</v>
      </c>
      <c r="K112">
        <v>-0.70059000000000005</v>
      </c>
      <c r="L112">
        <v>2.0699999999999998</v>
      </c>
      <c r="M112" s="35">
        <f t="shared" si="69"/>
        <v>0.68500000000000005</v>
      </c>
      <c r="N112">
        <v>254.3</v>
      </c>
      <c r="O112" s="29">
        <f t="shared" si="70"/>
        <v>-5.1999999999999998E-3</v>
      </c>
      <c r="P112">
        <v>8.1999999999999993</v>
      </c>
      <c r="Q112" s="6">
        <f t="shared" si="55"/>
        <v>906.62</v>
      </c>
      <c r="R112">
        <v>3.25</v>
      </c>
      <c r="S112" s="36">
        <f t="shared" si="56"/>
        <v>58.79</v>
      </c>
      <c r="T112" s="6">
        <f t="shared" si="71"/>
        <v>165.83</v>
      </c>
      <c r="U112" s="6">
        <f t="shared" si="72"/>
        <v>165.44</v>
      </c>
      <c r="V112" s="29">
        <f t="shared" si="73"/>
        <v>-2.3E-3</v>
      </c>
      <c r="W112" s="29">
        <f t="shared" si="74"/>
        <v>2.2000000000000001E-3</v>
      </c>
      <c r="X112" s="13">
        <f t="shared" si="57"/>
        <v>2.6100000000000002E-2</v>
      </c>
      <c r="Y112" s="13">
        <f t="shared" si="58"/>
        <v>2.3E-2</v>
      </c>
      <c r="Z112" s="6">
        <f t="shared" si="59"/>
        <v>3.5651592607156899</v>
      </c>
      <c r="AA112" s="13">
        <f t="shared" si="60"/>
        <v>7.4800000000000005E-2</v>
      </c>
      <c r="AB112" s="35">
        <f t="shared" si="61"/>
        <v>8.2650000000000006</v>
      </c>
      <c r="AC112" s="6">
        <f t="shared" si="62"/>
        <v>7824.62</v>
      </c>
      <c r="AD112" s="6">
        <f t="shared" si="75"/>
        <v>7859.49</v>
      </c>
      <c r="AE112" s="29">
        <f t="shared" si="76"/>
        <v>0.23749999999999999</v>
      </c>
      <c r="AF112" s="13">
        <f t="shared" si="52"/>
        <v>0.1154</v>
      </c>
      <c r="AG112" s="22">
        <f t="shared" si="77"/>
        <v>28.62</v>
      </c>
      <c r="AH112" s="22">
        <f t="shared" si="53"/>
        <v>63.97</v>
      </c>
      <c r="AI112" s="22">
        <f t="shared" si="78"/>
        <v>37.457499999999996</v>
      </c>
      <c r="AJ112" s="22">
        <f t="shared" si="79"/>
        <v>17.579999999999998</v>
      </c>
    </row>
    <row r="113" spans="1:36" x14ac:dyDescent="0.25">
      <c r="A113" s="34">
        <v>39904</v>
      </c>
      <c r="B113" s="34">
        <f t="shared" si="54"/>
        <v>39964</v>
      </c>
      <c r="C113">
        <v>9724.7999999999993</v>
      </c>
      <c r="D113" s="6">
        <f t="shared" si="63"/>
        <v>9736.43</v>
      </c>
      <c r="E113" s="29">
        <f t="shared" si="64"/>
        <v>-4.3E-3</v>
      </c>
      <c r="F113" s="29">
        <f t="shared" si="65"/>
        <v>-3.2000000000000002E-3</v>
      </c>
      <c r="G113">
        <v>10863</v>
      </c>
      <c r="H113" s="6">
        <f t="shared" si="66"/>
        <v>10791.3</v>
      </c>
      <c r="I113" s="29">
        <f t="shared" si="67"/>
        <v>-6.4000000000000003E-3</v>
      </c>
      <c r="J113" s="29">
        <f t="shared" si="68"/>
        <v>7.0000000000000001E-3</v>
      </c>
      <c r="K113">
        <v>-0.37639</v>
      </c>
      <c r="L113">
        <v>2.17</v>
      </c>
      <c r="M113" s="35">
        <f t="shared" si="69"/>
        <v>0.89700000000000002</v>
      </c>
      <c r="N113">
        <v>255.7</v>
      </c>
      <c r="O113" s="29">
        <f t="shared" si="70"/>
        <v>4.4999999999999997E-3</v>
      </c>
      <c r="P113">
        <v>6.8</v>
      </c>
      <c r="Q113" s="6">
        <f t="shared" si="55"/>
        <v>738.68</v>
      </c>
      <c r="R113">
        <v>3.25</v>
      </c>
      <c r="S113" s="36">
        <f t="shared" si="56"/>
        <v>58.82</v>
      </c>
      <c r="T113" s="6">
        <f t="shared" si="71"/>
        <v>165.33</v>
      </c>
      <c r="U113" s="6">
        <f t="shared" si="72"/>
        <v>165.47</v>
      </c>
      <c r="V113" s="29">
        <f t="shared" si="73"/>
        <v>-4.0000000000000001E-3</v>
      </c>
      <c r="W113" s="29">
        <f t="shared" si="74"/>
        <v>-2.7000000000000001E-3</v>
      </c>
      <c r="X113" s="13">
        <f t="shared" si="57"/>
        <v>2.63E-2</v>
      </c>
      <c r="Y113" s="13">
        <f t="shared" si="58"/>
        <v>2.35E-2</v>
      </c>
      <c r="Z113" s="6">
        <f t="shared" si="59"/>
        <v>2.8888541259288227</v>
      </c>
      <c r="AA113" s="13">
        <f t="shared" si="60"/>
        <v>7.6399999999999996E-2</v>
      </c>
      <c r="AB113" s="35">
        <f t="shared" si="61"/>
        <v>8.31</v>
      </c>
      <c r="AC113" s="6">
        <f t="shared" si="62"/>
        <v>7867.69</v>
      </c>
      <c r="AD113" s="6">
        <f t="shared" si="75"/>
        <v>7865.64</v>
      </c>
      <c r="AE113" s="29">
        <f t="shared" si="76"/>
        <v>0.34410000000000002</v>
      </c>
      <c r="AF113" s="13">
        <f t="shared" si="52"/>
        <v>9.3899999999999997E-2</v>
      </c>
      <c r="AG113" s="22">
        <f t="shared" si="77"/>
        <v>20.86</v>
      </c>
      <c r="AH113" s="22">
        <f t="shared" si="53"/>
        <v>26.5</v>
      </c>
      <c r="AI113" s="22">
        <f t="shared" si="78"/>
        <v>22.27</v>
      </c>
      <c r="AJ113" s="22">
        <f t="shared" si="79"/>
        <v>8.2200000000000006</v>
      </c>
    </row>
    <row r="114" spans="1:36" x14ac:dyDescent="0.25">
      <c r="A114" s="34">
        <v>39873</v>
      </c>
      <c r="B114" s="34">
        <f t="shared" si="54"/>
        <v>39933</v>
      </c>
      <c r="C114">
        <v>9718.5</v>
      </c>
      <c r="D114" s="6">
        <f t="shared" si="63"/>
        <v>9756.1</v>
      </c>
      <c r="E114" s="29">
        <f t="shared" si="64"/>
        <v>-8.3000000000000001E-3</v>
      </c>
      <c r="F114" s="29">
        <f t="shared" si="65"/>
        <v>-4.3E-3</v>
      </c>
      <c r="G114">
        <v>10749.3</v>
      </c>
      <c r="H114" s="6">
        <f t="shared" si="66"/>
        <v>10787.53</v>
      </c>
      <c r="I114" s="29">
        <f t="shared" si="67"/>
        <v>-1.03E-2</v>
      </c>
      <c r="J114" s="29">
        <f t="shared" si="68"/>
        <v>-5.4000000000000003E-3</v>
      </c>
      <c r="K114">
        <v>-0.32375999999999999</v>
      </c>
      <c r="L114">
        <v>2.2000000000000002</v>
      </c>
      <c r="M114" s="35">
        <f t="shared" si="69"/>
        <v>0.93799999999999994</v>
      </c>
      <c r="N114">
        <v>256.3</v>
      </c>
      <c r="O114" s="29">
        <f t="shared" si="70"/>
        <v>1.6400000000000001E-2</v>
      </c>
      <c r="P114">
        <v>5.9</v>
      </c>
      <c r="Q114" s="6">
        <f t="shared" si="55"/>
        <v>634.21</v>
      </c>
      <c r="R114">
        <v>3.25</v>
      </c>
      <c r="S114" s="36">
        <f t="shared" si="56"/>
        <v>58.84</v>
      </c>
      <c r="T114" s="6">
        <f t="shared" si="71"/>
        <v>165.17</v>
      </c>
      <c r="U114" s="6">
        <f t="shared" si="72"/>
        <v>165.77</v>
      </c>
      <c r="V114" s="29">
        <f t="shared" si="73"/>
        <v>-8.6E-3</v>
      </c>
      <c r="W114" s="29">
        <f t="shared" si="74"/>
        <v>-3.8999999999999998E-3</v>
      </c>
      <c r="X114" s="13">
        <f t="shared" si="57"/>
        <v>2.64E-2</v>
      </c>
      <c r="Y114" s="13">
        <f t="shared" si="58"/>
        <v>2.3800000000000002E-2</v>
      </c>
      <c r="Z114" s="6">
        <f t="shared" si="59"/>
        <v>2.4744830277019116</v>
      </c>
      <c r="AA114" s="13">
        <f t="shared" si="60"/>
        <v>7.7399999999999997E-2</v>
      </c>
      <c r="AB114" s="35">
        <f t="shared" si="61"/>
        <v>8.33</v>
      </c>
      <c r="AC114" s="6">
        <f t="shared" si="62"/>
        <v>7886.15</v>
      </c>
      <c r="AD114" s="6">
        <f t="shared" si="75"/>
        <v>7832.82</v>
      </c>
      <c r="AE114" s="29">
        <f t="shared" si="76"/>
        <v>0.41920000000000002</v>
      </c>
      <c r="AF114" s="13">
        <f t="shared" si="52"/>
        <v>8.1000000000000003E-2</v>
      </c>
      <c r="AG114" s="22">
        <f t="shared" si="77"/>
        <v>11.08</v>
      </c>
      <c r="AH114" s="22">
        <f t="shared" si="53"/>
        <v>9.1199999999999992</v>
      </c>
      <c r="AI114" s="22">
        <f t="shared" si="78"/>
        <v>10.59</v>
      </c>
      <c r="AJ114" s="22">
        <f t="shared" si="79"/>
        <v>2.65</v>
      </c>
    </row>
    <row r="115" spans="1:36" x14ac:dyDescent="0.25">
      <c r="A115" s="34">
        <v>39845</v>
      </c>
      <c r="B115" s="34">
        <f t="shared" si="54"/>
        <v>39903</v>
      </c>
      <c r="C115">
        <v>9766</v>
      </c>
      <c r="D115" s="6">
        <f t="shared" si="63"/>
        <v>9760.17</v>
      </c>
      <c r="E115" s="29">
        <f t="shared" si="64"/>
        <v>-1.8200000000000001E-2</v>
      </c>
      <c r="F115" s="29">
        <f t="shared" si="65"/>
        <v>-1.2999999999999999E-3</v>
      </c>
      <c r="G115">
        <v>10761.6</v>
      </c>
      <c r="H115" s="6">
        <f t="shared" si="66"/>
        <v>10807.57</v>
      </c>
      <c r="I115" s="29">
        <f t="shared" si="67"/>
        <v>-1.34E-2</v>
      </c>
      <c r="J115" s="29">
        <f t="shared" si="68"/>
        <v>-9.1999999999999998E-3</v>
      </c>
      <c r="K115">
        <v>6.9669999999999996E-2</v>
      </c>
      <c r="L115">
        <v>2.31</v>
      </c>
      <c r="M115" s="35">
        <f t="shared" si="69"/>
        <v>1.19</v>
      </c>
      <c r="N115">
        <v>254.9</v>
      </c>
      <c r="O115" s="29">
        <f t="shared" si="70"/>
        <v>9.7999999999999997E-3</v>
      </c>
      <c r="P115">
        <v>5.5</v>
      </c>
      <c r="Q115" s="6">
        <f t="shared" si="55"/>
        <v>591.89</v>
      </c>
      <c r="R115">
        <v>3.25</v>
      </c>
      <c r="S115" s="36">
        <f t="shared" si="56"/>
        <v>58.86</v>
      </c>
      <c r="T115" s="6">
        <f t="shared" si="71"/>
        <v>165.92</v>
      </c>
      <c r="U115" s="6">
        <f t="shared" si="72"/>
        <v>165.82</v>
      </c>
      <c r="V115" s="29">
        <f t="shared" si="73"/>
        <v>-1.9699999999999999E-2</v>
      </c>
      <c r="W115" s="29">
        <f t="shared" si="74"/>
        <v>-1.2999999999999999E-3</v>
      </c>
      <c r="X115" s="13">
        <f t="shared" si="57"/>
        <v>2.6100000000000002E-2</v>
      </c>
      <c r="Y115" s="13">
        <f t="shared" si="58"/>
        <v>2.3699999999999999E-2</v>
      </c>
      <c r="Z115" s="6">
        <f t="shared" si="59"/>
        <v>2.32204786190663</v>
      </c>
      <c r="AA115" s="13">
        <f t="shared" si="60"/>
        <v>7.6999999999999999E-2</v>
      </c>
      <c r="AB115" s="35">
        <f t="shared" si="61"/>
        <v>8.2840000000000007</v>
      </c>
      <c r="AC115" s="6">
        <f t="shared" si="62"/>
        <v>7843.08</v>
      </c>
      <c r="AD115" s="6">
        <f t="shared" si="75"/>
        <v>7504.2</v>
      </c>
      <c r="AE115" s="29">
        <f t="shared" si="76"/>
        <v>0.39069999999999999</v>
      </c>
      <c r="AF115" s="13">
        <f t="shared" si="52"/>
        <v>7.8899999999999998E-2</v>
      </c>
      <c r="AG115" s="22">
        <f t="shared" si="77"/>
        <v>-7.03</v>
      </c>
      <c r="AH115" s="22">
        <f t="shared" si="53"/>
        <v>2.59</v>
      </c>
      <c r="AI115" s="22">
        <f t="shared" si="78"/>
        <v>0</v>
      </c>
      <c r="AJ115" s="22">
        <f t="shared" si="79"/>
        <v>0</v>
      </c>
    </row>
    <row r="116" spans="1:36" x14ac:dyDescent="0.25">
      <c r="A116" s="34">
        <v>39814</v>
      </c>
      <c r="B116" s="34">
        <f t="shared" si="54"/>
        <v>39872</v>
      </c>
      <c r="C116">
        <v>9783.7999999999993</v>
      </c>
      <c r="D116" s="6">
        <f t="shared" si="63"/>
        <v>9778.43</v>
      </c>
      <c r="E116" s="29">
        <f t="shared" si="64"/>
        <v>-2.5399999999999999E-2</v>
      </c>
      <c r="F116" s="29">
        <f t="shared" si="65"/>
        <v>-5.4000000000000003E-3</v>
      </c>
      <c r="G116">
        <v>10851.7</v>
      </c>
      <c r="H116" s="6">
        <f t="shared" si="66"/>
        <v>10861.27</v>
      </c>
      <c r="I116" s="29">
        <f t="shared" si="67"/>
        <v>-8.8000000000000005E-3</v>
      </c>
      <c r="J116" s="29">
        <f t="shared" si="68"/>
        <v>-4.4000000000000003E-3</v>
      </c>
      <c r="K116">
        <v>7.6259999999999994E-2</v>
      </c>
      <c r="L116">
        <v>2.31</v>
      </c>
      <c r="M116" s="35">
        <f t="shared" si="69"/>
        <v>1.1930000000000001</v>
      </c>
      <c r="N116">
        <v>252.5</v>
      </c>
      <c r="O116" s="29">
        <f t="shared" si="70"/>
        <v>-1.2999999999999999E-2</v>
      </c>
      <c r="P116">
        <v>6.2</v>
      </c>
      <c r="Q116" s="6">
        <f t="shared" si="55"/>
        <v>672.81</v>
      </c>
      <c r="R116">
        <v>3.25</v>
      </c>
      <c r="S116" s="36">
        <f t="shared" si="56"/>
        <v>58.86</v>
      </c>
      <c r="T116" s="6">
        <f t="shared" si="71"/>
        <v>166.22</v>
      </c>
      <c r="U116" s="6">
        <f t="shared" si="72"/>
        <v>166.14</v>
      </c>
      <c r="V116" s="29">
        <f t="shared" si="73"/>
        <v>-2.8899999999999999E-2</v>
      </c>
      <c r="W116" s="29">
        <f t="shared" si="74"/>
        <v>-5.7999999999999996E-3</v>
      </c>
      <c r="X116" s="13">
        <f t="shared" si="57"/>
        <v>2.58E-2</v>
      </c>
      <c r="Y116" s="13">
        <f t="shared" si="58"/>
        <v>2.3300000000000001E-2</v>
      </c>
      <c r="Z116" s="6">
        <f t="shared" si="59"/>
        <v>2.6645940594059403</v>
      </c>
      <c r="AA116" s="13">
        <f t="shared" si="60"/>
        <v>7.5700000000000003E-2</v>
      </c>
      <c r="AB116" s="35">
        <f t="shared" si="61"/>
        <v>8.2059999999999995</v>
      </c>
      <c r="AC116" s="6">
        <f t="shared" si="62"/>
        <v>7769.23</v>
      </c>
      <c r="AD116" s="6">
        <f t="shared" si="75"/>
        <v>7020.67</v>
      </c>
      <c r="AE116" s="29">
        <f t="shared" si="76"/>
        <v>0.30109999999999998</v>
      </c>
      <c r="AF116" s="13">
        <f t="shared" si="52"/>
        <v>9.5799999999999996E-2</v>
      </c>
      <c r="AG116" s="22">
        <f t="shared" si="77"/>
        <v>-27.64</v>
      </c>
      <c r="AH116" s="22">
        <f t="shared" si="53"/>
        <v>16.100000000000001</v>
      </c>
      <c r="AI116" s="22">
        <f t="shared" si="78"/>
        <v>0</v>
      </c>
      <c r="AJ116" s="22">
        <f t="shared" si="79"/>
        <v>0</v>
      </c>
    </row>
    <row r="117" spans="1:36" x14ac:dyDescent="0.25">
      <c r="A117" s="34">
        <v>39783</v>
      </c>
      <c r="B117" s="34">
        <f t="shared" si="54"/>
        <v>39844</v>
      </c>
      <c r="C117">
        <v>9730.7000000000007</v>
      </c>
      <c r="D117" s="6">
        <f t="shared" si="63"/>
        <v>9837.27</v>
      </c>
      <c r="E117" s="29">
        <f t="shared" si="64"/>
        <v>-2.4199999999999999E-2</v>
      </c>
      <c r="F117" s="29">
        <f t="shared" si="65"/>
        <v>-2.12E-2</v>
      </c>
      <c r="G117">
        <v>10809.4</v>
      </c>
      <c r="H117" s="6">
        <f t="shared" si="66"/>
        <v>10899.47</v>
      </c>
      <c r="I117" s="29">
        <f t="shared" si="67"/>
        <v>-6.4000000000000003E-3</v>
      </c>
      <c r="J117" s="29">
        <f t="shared" si="68"/>
        <v>-1.32E-2</v>
      </c>
      <c r="K117">
        <v>0.30585000000000001</v>
      </c>
      <c r="L117">
        <v>2.23</v>
      </c>
      <c r="M117" s="35">
        <f t="shared" si="69"/>
        <v>1.268</v>
      </c>
      <c r="N117">
        <v>249.1</v>
      </c>
      <c r="O117" s="29">
        <f t="shared" si="70"/>
        <v>-5.2299999999999999E-2</v>
      </c>
      <c r="P117">
        <v>6.4</v>
      </c>
      <c r="Q117" s="6">
        <f t="shared" si="55"/>
        <v>691.8</v>
      </c>
      <c r="R117">
        <v>3.61</v>
      </c>
      <c r="S117" s="36">
        <f t="shared" si="56"/>
        <v>58.86</v>
      </c>
      <c r="T117" s="6">
        <f t="shared" si="71"/>
        <v>165.32</v>
      </c>
      <c r="U117" s="6">
        <f t="shared" si="72"/>
        <v>167.2</v>
      </c>
      <c r="V117" s="29">
        <f t="shared" si="73"/>
        <v>-3.0200000000000001E-2</v>
      </c>
      <c r="W117" s="29">
        <f t="shared" si="74"/>
        <v>-2.2700000000000001E-2</v>
      </c>
      <c r="X117" s="13">
        <f t="shared" si="57"/>
        <v>2.5600000000000001E-2</v>
      </c>
      <c r="Y117" s="13">
        <f t="shared" si="58"/>
        <v>2.3E-2</v>
      </c>
      <c r="Z117" s="6">
        <f t="shared" si="59"/>
        <v>2.7771979124849455</v>
      </c>
      <c r="AA117" s="13">
        <f t="shared" si="60"/>
        <v>8.3000000000000004E-2</v>
      </c>
      <c r="AB117" s="35">
        <f t="shared" si="61"/>
        <v>8.9930000000000003</v>
      </c>
      <c r="AC117" s="6">
        <f t="shared" si="62"/>
        <v>6900.28</v>
      </c>
      <c r="AD117" s="6">
        <f t="shared" si="75"/>
        <v>6351.25</v>
      </c>
      <c r="AE117" s="29">
        <f t="shared" si="76"/>
        <v>0.1762</v>
      </c>
      <c r="AF117" s="13">
        <f t="shared" si="52"/>
        <v>0.1089</v>
      </c>
      <c r="AG117" s="22">
        <f t="shared" si="77"/>
        <v>-44.03</v>
      </c>
      <c r="AH117" s="22">
        <f t="shared" si="53"/>
        <v>16.13</v>
      </c>
      <c r="AI117" s="22">
        <f t="shared" si="78"/>
        <v>0</v>
      </c>
      <c r="AJ117" s="22">
        <f t="shared" si="79"/>
        <v>4.16</v>
      </c>
    </row>
    <row r="118" spans="1:36" x14ac:dyDescent="0.25">
      <c r="A118" s="34">
        <v>39753</v>
      </c>
      <c r="B118" s="34">
        <f t="shared" si="54"/>
        <v>39813</v>
      </c>
      <c r="C118">
        <v>9820.7999999999993</v>
      </c>
      <c r="D118" s="6">
        <f t="shared" si="63"/>
        <v>9941.5300000000007</v>
      </c>
      <c r="E118" s="29">
        <f t="shared" si="64"/>
        <v>-1.5900000000000001E-2</v>
      </c>
      <c r="F118" s="29">
        <f t="shared" si="65"/>
        <v>-2.1100000000000001E-2</v>
      </c>
      <c r="G118">
        <v>10922.7</v>
      </c>
      <c r="H118" s="6">
        <f t="shared" si="66"/>
        <v>10954.33</v>
      </c>
      <c r="I118" s="29">
        <f t="shared" si="67"/>
        <v>-6.1999999999999998E-3</v>
      </c>
      <c r="J118" s="29">
        <f t="shared" si="68"/>
        <v>-3.2000000000000002E-3</v>
      </c>
      <c r="K118">
        <v>1.0805</v>
      </c>
      <c r="L118">
        <v>2.37</v>
      </c>
      <c r="M118" s="35">
        <f t="shared" si="69"/>
        <v>1.7250000000000001</v>
      </c>
      <c r="N118">
        <v>255.7</v>
      </c>
      <c r="O118" s="29">
        <f t="shared" si="70"/>
        <v>-4.41E-2</v>
      </c>
      <c r="P118">
        <v>6.4</v>
      </c>
      <c r="Q118" s="6">
        <f t="shared" si="55"/>
        <v>699.05</v>
      </c>
      <c r="R118">
        <v>4</v>
      </c>
      <c r="S118" s="36">
        <f t="shared" si="56"/>
        <v>58.85</v>
      </c>
      <c r="T118" s="6">
        <f t="shared" si="71"/>
        <v>166.88</v>
      </c>
      <c r="U118" s="6">
        <f t="shared" si="72"/>
        <v>169.16</v>
      </c>
      <c r="V118" s="29">
        <f t="shared" si="73"/>
        <v>-2.4E-2</v>
      </c>
      <c r="W118" s="29">
        <f t="shared" si="74"/>
        <v>-2.4500000000000001E-2</v>
      </c>
      <c r="X118" s="13">
        <f t="shared" si="57"/>
        <v>2.5999999999999999E-2</v>
      </c>
      <c r="Y118" s="13">
        <f t="shared" si="58"/>
        <v>2.3400000000000001E-2</v>
      </c>
      <c r="Z118" s="6">
        <f t="shared" si="59"/>
        <v>2.7338678138443488</v>
      </c>
      <c r="AA118" s="13">
        <f t="shared" si="60"/>
        <v>9.3600000000000003E-2</v>
      </c>
      <c r="AB118" s="35">
        <f t="shared" si="61"/>
        <v>10.228</v>
      </c>
      <c r="AC118" s="6">
        <f t="shared" si="62"/>
        <v>6392.5</v>
      </c>
      <c r="AD118" s="6">
        <f t="shared" si="75"/>
        <v>5851.82</v>
      </c>
      <c r="AE118" s="29">
        <f t="shared" si="76"/>
        <v>9.8199999999999996E-2</v>
      </c>
      <c r="AF118" s="13">
        <f t="shared" si="52"/>
        <v>0.1195</v>
      </c>
      <c r="AG118" s="22">
        <f t="shared" si="77"/>
        <v>-30.5</v>
      </c>
      <c r="AH118" s="22">
        <f t="shared" si="53"/>
        <v>23.87</v>
      </c>
      <c r="AI118" s="22">
        <f t="shared" si="78"/>
        <v>0</v>
      </c>
      <c r="AJ118" s="22">
        <f t="shared" si="79"/>
        <v>12.67</v>
      </c>
    </row>
    <row r="119" spans="1:36" x14ac:dyDescent="0.25">
      <c r="A119" s="34">
        <v>39722</v>
      </c>
      <c r="B119" s="34">
        <f t="shared" si="54"/>
        <v>39782</v>
      </c>
      <c r="C119">
        <v>9960.2999999999993</v>
      </c>
      <c r="D119" s="6">
        <f t="shared" si="63"/>
        <v>10032.83</v>
      </c>
      <c r="E119" s="29">
        <f t="shared" si="64"/>
        <v>-5.4999999999999997E-3</v>
      </c>
      <c r="F119" s="29">
        <f t="shared" si="65"/>
        <v>-1.2E-2</v>
      </c>
      <c r="G119">
        <v>10966.3</v>
      </c>
      <c r="H119" s="6">
        <f t="shared" si="66"/>
        <v>10957.37</v>
      </c>
      <c r="I119" s="29">
        <f t="shared" si="67"/>
        <v>-1.84E-2</v>
      </c>
      <c r="J119" s="29">
        <f t="shared" si="68"/>
        <v>-2.9999999999999997E-4</v>
      </c>
      <c r="K119">
        <v>2.7831399999999999</v>
      </c>
      <c r="L119">
        <v>2.44</v>
      </c>
      <c r="M119" s="35">
        <f t="shared" si="69"/>
        <v>2.6120000000000001</v>
      </c>
      <c r="N119">
        <v>262.7</v>
      </c>
      <c r="O119" s="29">
        <f t="shared" si="70"/>
        <v>-2.63E-2</v>
      </c>
      <c r="P119">
        <v>5.5</v>
      </c>
      <c r="Q119" s="6">
        <f t="shared" si="55"/>
        <v>603.15</v>
      </c>
      <c r="R119">
        <v>4.5599999999999996</v>
      </c>
      <c r="S119" s="36">
        <f t="shared" si="56"/>
        <v>58.8</v>
      </c>
      <c r="T119" s="6">
        <f t="shared" si="71"/>
        <v>169.39</v>
      </c>
      <c r="U119" s="6">
        <f t="shared" si="72"/>
        <v>171.08</v>
      </c>
      <c r="V119" s="29">
        <f t="shared" si="73"/>
        <v>-1.49E-2</v>
      </c>
      <c r="W119" s="29">
        <f t="shared" si="74"/>
        <v>-1.7399999999999999E-2</v>
      </c>
      <c r="X119" s="13">
        <f t="shared" si="57"/>
        <v>2.64E-2</v>
      </c>
      <c r="Y119" s="13">
        <f t="shared" si="58"/>
        <v>2.4E-2</v>
      </c>
      <c r="Z119" s="6">
        <f t="shared" si="59"/>
        <v>2.2959649790635708</v>
      </c>
      <c r="AA119" s="13">
        <f t="shared" si="60"/>
        <v>0.1094</v>
      </c>
      <c r="AB119" s="35">
        <f t="shared" si="61"/>
        <v>11.978999999999999</v>
      </c>
      <c r="AC119" s="6">
        <f t="shared" si="62"/>
        <v>5760.96</v>
      </c>
      <c r="AD119" s="6">
        <f t="shared" si="75"/>
        <v>5518.99</v>
      </c>
      <c r="AE119" s="29">
        <f t="shared" si="76"/>
        <v>7.4300000000000005E-2</v>
      </c>
      <c r="AF119" s="13">
        <f t="shared" si="52"/>
        <v>0.10929999999999999</v>
      </c>
      <c r="AG119" s="22">
        <f t="shared" si="77"/>
        <v>-3.02</v>
      </c>
      <c r="AH119" s="22">
        <f t="shared" si="53"/>
        <v>5.1100000000000003</v>
      </c>
      <c r="AI119" s="22">
        <f t="shared" si="78"/>
        <v>0</v>
      </c>
      <c r="AJ119" s="22">
        <f t="shared" si="79"/>
        <v>26.76</v>
      </c>
    </row>
    <row r="120" spans="1:36" x14ac:dyDescent="0.25">
      <c r="A120" s="34">
        <v>39692</v>
      </c>
      <c r="B120" s="34">
        <f t="shared" si="54"/>
        <v>39752</v>
      </c>
      <c r="C120">
        <v>10043.5</v>
      </c>
      <c r="D120" s="6">
        <f t="shared" si="63"/>
        <v>10080.969999999999</v>
      </c>
      <c r="E120" s="29">
        <f t="shared" si="64"/>
        <v>2.8E-3</v>
      </c>
      <c r="F120" s="29">
        <f t="shared" si="65"/>
        <v>-5.7999999999999996E-3</v>
      </c>
      <c r="G120">
        <v>10974</v>
      </c>
      <c r="H120" s="6">
        <f t="shared" si="66"/>
        <v>10969.93</v>
      </c>
      <c r="I120" s="29">
        <f t="shared" si="67"/>
        <v>-1.09E-2</v>
      </c>
      <c r="J120" s="29">
        <f t="shared" si="68"/>
        <v>-4.4000000000000003E-3</v>
      </c>
      <c r="K120">
        <v>3.7061600000000001</v>
      </c>
      <c r="L120">
        <v>2.57</v>
      </c>
      <c r="M120" s="35">
        <f t="shared" si="69"/>
        <v>3.1379999999999999</v>
      </c>
      <c r="N120">
        <v>270.10000000000002</v>
      </c>
      <c r="O120" s="29">
        <f t="shared" si="70"/>
        <v>1.1000000000000001E-3</v>
      </c>
      <c r="P120">
        <v>4.7</v>
      </c>
      <c r="Q120" s="6">
        <f t="shared" si="55"/>
        <v>515.78</v>
      </c>
      <c r="R120">
        <v>5</v>
      </c>
      <c r="S120" s="36">
        <f t="shared" si="56"/>
        <v>58.66</v>
      </c>
      <c r="T120" s="6">
        <f t="shared" si="71"/>
        <v>171.22</v>
      </c>
      <c r="U120" s="6">
        <f t="shared" si="72"/>
        <v>172.4</v>
      </c>
      <c r="V120" s="29">
        <f t="shared" si="73"/>
        <v>-6.8999999999999999E-3</v>
      </c>
      <c r="W120" s="29">
        <f t="shared" si="74"/>
        <v>-1.21E-2</v>
      </c>
      <c r="X120" s="13">
        <f t="shared" si="57"/>
        <v>2.69E-2</v>
      </c>
      <c r="Y120" s="13">
        <f t="shared" si="58"/>
        <v>2.46E-2</v>
      </c>
      <c r="Z120" s="6">
        <f t="shared" si="59"/>
        <v>1.9095890410958902</v>
      </c>
      <c r="AA120" s="13">
        <f t="shared" si="60"/>
        <v>0.123</v>
      </c>
      <c r="AB120" s="35">
        <f t="shared" si="61"/>
        <v>13.505000000000001</v>
      </c>
      <c r="AC120" s="6">
        <f t="shared" si="62"/>
        <v>5402</v>
      </c>
      <c r="AD120" s="6">
        <f t="shared" si="75"/>
        <v>5396</v>
      </c>
      <c r="AE120" s="29">
        <f t="shared" si="76"/>
        <v>0.10390000000000001</v>
      </c>
      <c r="AF120" s="13">
        <f t="shared" si="52"/>
        <v>9.5600000000000004E-2</v>
      </c>
      <c r="AG120" s="22">
        <f t="shared" si="77"/>
        <v>18.88</v>
      </c>
      <c r="AH120" s="22">
        <f t="shared" si="53"/>
        <v>9.84</v>
      </c>
      <c r="AI120" s="22">
        <f t="shared" si="78"/>
        <v>16.62</v>
      </c>
      <c r="AJ120" s="22">
        <f t="shared" si="79"/>
        <v>41.79</v>
      </c>
    </row>
    <row r="121" spans="1:36" x14ac:dyDescent="0.25">
      <c r="A121" s="34">
        <v>39661</v>
      </c>
      <c r="B121" s="34">
        <f t="shared" si="54"/>
        <v>39721</v>
      </c>
      <c r="C121">
        <v>10094.700000000001</v>
      </c>
      <c r="D121" s="6">
        <f t="shared" si="63"/>
        <v>10102.43</v>
      </c>
      <c r="E121" s="29">
        <f t="shared" si="64"/>
        <v>9.9000000000000008E-3</v>
      </c>
      <c r="F121" s="29">
        <f t="shared" si="65"/>
        <v>5.9999999999999995E-4</v>
      </c>
      <c r="G121">
        <v>10931.8</v>
      </c>
      <c r="H121" s="6">
        <f t="shared" si="66"/>
        <v>11022.57</v>
      </c>
      <c r="I121" s="29">
        <f t="shared" si="67"/>
        <v>3.7000000000000002E-3</v>
      </c>
      <c r="J121" s="29">
        <f t="shared" si="68"/>
        <v>-2.07E-2</v>
      </c>
      <c r="K121">
        <v>3.9821800000000001</v>
      </c>
      <c r="L121">
        <v>2.65</v>
      </c>
      <c r="M121" s="35">
        <f t="shared" si="69"/>
        <v>3.3159999999999998</v>
      </c>
      <c r="N121">
        <v>269.7</v>
      </c>
      <c r="O121" s="29">
        <f t="shared" si="70"/>
        <v>-1.1000000000000001E-3</v>
      </c>
      <c r="P121">
        <v>3.8</v>
      </c>
      <c r="Q121" s="6">
        <f t="shared" si="55"/>
        <v>415.41</v>
      </c>
      <c r="R121">
        <v>5</v>
      </c>
      <c r="S121" s="36">
        <f t="shared" si="56"/>
        <v>58.48</v>
      </c>
      <c r="T121" s="6">
        <f t="shared" si="71"/>
        <v>172.62</v>
      </c>
      <c r="U121" s="6">
        <f t="shared" si="72"/>
        <v>173.32</v>
      </c>
      <c r="V121" s="29">
        <f t="shared" si="73"/>
        <v>5.0000000000000001E-4</v>
      </c>
      <c r="W121" s="29">
        <f t="shared" si="74"/>
        <v>-6.0000000000000001E-3</v>
      </c>
      <c r="X121" s="13">
        <f t="shared" si="57"/>
        <v>2.6700000000000002E-2</v>
      </c>
      <c r="Y121" s="13">
        <f t="shared" si="58"/>
        <v>2.47E-2</v>
      </c>
      <c r="Z121" s="6">
        <f t="shared" si="59"/>
        <v>1.5402669632925474</v>
      </c>
      <c r="AA121" s="13">
        <f t="shared" si="60"/>
        <v>0.1235</v>
      </c>
      <c r="AB121" s="35">
        <f t="shared" si="61"/>
        <v>13.484999999999999</v>
      </c>
      <c r="AC121" s="6">
        <f t="shared" si="62"/>
        <v>5394</v>
      </c>
      <c r="AD121" s="6">
        <f t="shared" si="75"/>
        <v>5396</v>
      </c>
      <c r="AE121" s="29">
        <f t="shared" si="76"/>
        <v>0.1938</v>
      </c>
      <c r="AF121" s="13">
        <f t="shared" si="52"/>
        <v>7.6999999999999999E-2</v>
      </c>
      <c r="AG121" s="22">
        <f t="shared" si="77"/>
        <v>39.69</v>
      </c>
      <c r="AH121" s="22">
        <f t="shared" si="53"/>
        <v>17.170000000000002</v>
      </c>
      <c r="AI121" s="22">
        <f t="shared" si="78"/>
        <v>34.06</v>
      </c>
      <c r="AJ121" s="22">
        <f t="shared" si="79"/>
        <v>52.53</v>
      </c>
    </row>
    <row r="122" spans="1:36" x14ac:dyDescent="0.25">
      <c r="A122" s="34">
        <v>39630</v>
      </c>
      <c r="B122" s="34">
        <f t="shared" si="54"/>
        <v>39691</v>
      </c>
      <c r="C122">
        <v>10104.700000000001</v>
      </c>
      <c r="D122" s="6">
        <f t="shared" si="63"/>
        <v>10088.799999999999</v>
      </c>
      <c r="E122" s="29">
        <f t="shared" si="64"/>
        <v>1.3299999999999999E-2</v>
      </c>
      <c r="F122" s="29">
        <f t="shared" si="65"/>
        <v>5.1999999999999998E-3</v>
      </c>
      <c r="G122">
        <v>11004</v>
      </c>
      <c r="H122" s="6">
        <f t="shared" si="66"/>
        <v>11163.17</v>
      </c>
      <c r="I122" s="29">
        <f t="shared" si="67"/>
        <v>3.4599999999999999E-2</v>
      </c>
      <c r="J122" s="29">
        <f t="shared" si="68"/>
        <v>-7.7999999999999996E-3</v>
      </c>
      <c r="K122">
        <v>4.1377499999999996</v>
      </c>
      <c r="L122">
        <v>2.71</v>
      </c>
      <c r="M122" s="35">
        <f t="shared" si="69"/>
        <v>3.4239999999999999</v>
      </c>
      <c r="N122">
        <v>269.60000000000002</v>
      </c>
      <c r="O122" s="29">
        <f t="shared" si="70"/>
        <v>-3.5999999999999999E-3</v>
      </c>
      <c r="P122">
        <v>4.4000000000000004</v>
      </c>
      <c r="Q122" s="6">
        <f t="shared" si="55"/>
        <v>484.18</v>
      </c>
      <c r="R122">
        <v>5</v>
      </c>
      <c r="S122" s="36">
        <f t="shared" si="56"/>
        <v>58.29</v>
      </c>
      <c r="T122" s="6">
        <f t="shared" si="71"/>
        <v>173.35</v>
      </c>
      <c r="U122" s="6">
        <f t="shared" si="72"/>
        <v>173.66</v>
      </c>
      <c r="V122" s="29">
        <f t="shared" si="73"/>
        <v>4.4999999999999997E-3</v>
      </c>
      <c r="W122" s="29">
        <f t="shared" si="74"/>
        <v>-1.4E-3</v>
      </c>
      <c r="X122" s="13">
        <f t="shared" si="57"/>
        <v>2.6700000000000002E-2</v>
      </c>
      <c r="Y122" s="13">
        <f t="shared" si="58"/>
        <v>2.4500000000000001E-2</v>
      </c>
      <c r="Z122" s="6">
        <f t="shared" si="59"/>
        <v>1.7959198813056378</v>
      </c>
      <c r="AA122" s="13">
        <f t="shared" si="60"/>
        <v>0.1225</v>
      </c>
      <c r="AB122" s="35">
        <f t="shared" si="61"/>
        <v>13.48</v>
      </c>
      <c r="AC122" s="6">
        <f t="shared" si="62"/>
        <v>5392</v>
      </c>
      <c r="AD122" s="6">
        <f t="shared" si="75"/>
        <v>5400</v>
      </c>
      <c r="AE122" s="29">
        <f t="shared" si="76"/>
        <v>0.2797</v>
      </c>
      <c r="AF122" s="13">
        <f t="shared" si="52"/>
        <v>8.9700000000000002E-2</v>
      </c>
      <c r="AG122" s="22">
        <f t="shared" si="77"/>
        <v>51.69</v>
      </c>
      <c r="AH122" s="22">
        <f t="shared" si="53"/>
        <v>70.41</v>
      </c>
      <c r="AI122" s="22">
        <f t="shared" si="78"/>
        <v>56.37</v>
      </c>
      <c r="AJ122" s="22">
        <f t="shared" si="79"/>
        <v>52.9</v>
      </c>
    </row>
    <row r="123" spans="1:36" x14ac:dyDescent="0.25">
      <c r="A123" s="34">
        <v>39600</v>
      </c>
      <c r="B123" s="34">
        <f t="shared" si="54"/>
        <v>39660</v>
      </c>
      <c r="C123">
        <v>10107.9</v>
      </c>
      <c r="D123" s="6">
        <f t="shared" si="63"/>
        <v>10052.83</v>
      </c>
      <c r="E123" s="29">
        <f t="shared" si="64"/>
        <v>1.1900000000000001E-2</v>
      </c>
      <c r="F123" s="29">
        <f t="shared" si="65"/>
        <v>1.0500000000000001E-2</v>
      </c>
      <c r="G123">
        <v>11131.9</v>
      </c>
      <c r="H123" s="6">
        <f t="shared" si="66"/>
        <v>11090.5</v>
      </c>
      <c r="I123" s="29">
        <f t="shared" si="67"/>
        <v>2.8799999999999999E-2</v>
      </c>
      <c r="J123" s="29">
        <f t="shared" si="68"/>
        <v>1.3599999999999999E-2</v>
      </c>
      <c r="K123">
        <v>3.8576100000000002</v>
      </c>
      <c r="L123">
        <v>2.6</v>
      </c>
      <c r="M123" s="35">
        <f t="shared" si="69"/>
        <v>3.2290000000000001</v>
      </c>
      <c r="N123">
        <v>270.10000000000002</v>
      </c>
      <c r="O123" s="29">
        <f t="shared" si="70"/>
        <v>-5.5999999999999999E-3</v>
      </c>
      <c r="P123">
        <v>5.5</v>
      </c>
      <c r="Q123" s="6">
        <f t="shared" si="55"/>
        <v>612.25</v>
      </c>
      <c r="R123">
        <v>5</v>
      </c>
      <c r="S123" s="36">
        <f t="shared" si="56"/>
        <v>58.09</v>
      </c>
      <c r="T123" s="6">
        <f t="shared" si="71"/>
        <v>174</v>
      </c>
      <c r="U123" s="6">
        <f t="shared" si="72"/>
        <v>173.59</v>
      </c>
      <c r="V123" s="29">
        <f t="shared" si="73"/>
        <v>3.7000000000000002E-3</v>
      </c>
      <c r="W123" s="29">
        <f t="shared" si="74"/>
        <v>4.4000000000000003E-3</v>
      </c>
      <c r="X123" s="13">
        <f t="shared" si="57"/>
        <v>2.6700000000000002E-2</v>
      </c>
      <c r="Y123" s="13">
        <f t="shared" si="58"/>
        <v>2.4299999999999999E-2</v>
      </c>
      <c r="Z123" s="6">
        <f t="shared" si="59"/>
        <v>2.2667530544242873</v>
      </c>
      <c r="AA123" s="13">
        <f t="shared" si="60"/>
        <v>0.1215</v>
      </c>
      <c r="AB123" s="35">
        <f t="shared" si="61"/>
        <v>13.505000000000001</v>
      </c>
      <c r="AC123" s="6">
        <f t="shared" si="62"/>
        <v>5402</v>
      </c>
      <c r="AD123" s="6">
        <f t="shared" si="75"/>
        <v>5328.49</v>
      </c>
      <c r="AE123" s="29">
        <f t="shared" si="76"/>
        <v>0.34939999999999999</v>
      </c>
      <c r="AF123" s="13">
        <f t="shared" si="52"/>
        <v>0.1149</v>
      </c>
      <c r="AG123" s="22">
        <f t="shared" si="77"/>
        <v>55.04</v>
      </c>
      <c r="AH123" s="22">
        <f t="shared" si="53"/>
        <v>75.239999999999995</v>
      </c>
      <c r="AI123" s="22">
        <f t="shared" si="78"/>
        <v>60.09</v>
      </c>
      <c r="AJ123" s="22">
        <f t="shared" si="79"/>
        <v>48.23</v>
      </c>
    </row>
    <row r="124" spans="1:36" x14ac:dyDescent="0.25">
      <c r="A124" s="34">
        <v>39569</v>
      </c>
      <c r="B124" s="34">
        <f t="shared" si="54"/>
        <v>39629</v>
      </c>
      <c r="C124">
        <v>10053.799999999999</v>
      </c>
      <c r="D124" s="6">
        <f t="shared" si="63"/>
        <v>10003.33</v>
      </c>
      <c r="E124" s="29">
        <f t="shared" si="64"/>
        <v>8.6999999999999994E-3</v>
      </c>
      <c r="F124" s="29">
        <f t="shared" si="65"/>
        <v>9.7999999999999997E-3</v>
      </c>
      <c r="G124">
        <v>11353.6</v>
      </c>
      <c r="H124" s="6">
        <f t="shared" si="66"/>
        <v>10982</v>
      </c>
      <c r="I124" s="29">
        <f t="shared" si="67"/>
        <v>2.1499999999999998E-2</v>
      </c>
      <c r="J124" s="29">
        <f t="shared" si="68"/>
        <v>5.2200000000000003E-2</v>
      </c>
      <c r="K124">
        <v>3.34138</v>
      </c>
      <c r="L124">
        <v>2.57</v>
      </c>
      <c r="M124" s="35">
        <f t="shared" si="69"/>
        <v>2.956</v>
      </c>
      <c r="N124">
        <v>270.3</v>
      </c>
      <c r="O124" s="29">
        <f t="shared" si="70"/>
        <v>-1.6E-2</v>
      </c>
      <c r="P124">
        <v>7.8</v>
      </c>
      <c r="Q124" s="6">
        <f t="shared" si="55"/>
        <v>885.58</v>
      </c>
      <c r="R124">
        <v>5</v>
      </c>
      <c r="S124" s="36">
        <f t="shared" si="56"/>
        <v>57.9</v>
      </c>
      <c r="T124" s="6">
        <f t="shared" si="71"/>
        <v>173.64</v>
      </c>
      <c r="U124" s="6">
        <f t="shared" si="72"/>
        <v>173.24</v>
      </c>
      <c r="V124" s="29">
        <f t="shared" si="73"/>
        <v>6.9999999999999999E-4</v>
      </c>
      <c r="W124" s="29">
        <f t="shared" si="74"/>
        <v>4.4000000000000003E-3</v>
      </c>
      <c r="X124" s="13">
        <f t="shared" si="57"/>
        <v>2.69E-2</v>
      </c>
      <c r="Y124" s="13">
        <f t="shared" si="58"/>
        <v>2.3800000000000002E-2</v>
      </c>
      <c r="Z124" s="6">
        <f t="shared" si="59"/>
        <v>3.2762856085830561</v>
      </c>
      <c r="AA124" s="13">
        <f t="shared" si="60"/>
        <v>0.11899999999999999</v>
      </c>
      <c r="AB124" s="35">
        <f t="shared" si="61"/>
        <v>13.515000000000001</v>
      </c>
      <c r="AC124" s="6">
        <f t="shared" si="62"/>
        <v>5406</v>
      </c>
      <c r="AD124" s="6">
        <f t="shared" si="75"/>
        <v>5137.37</v>
      </c>
      <c r="AE124" s="29">
        <f t="shared" si="76"/>
        <v>0.33910000000000001</v>
      </c>
      <c r="AF124" s="13">
        <f t="shared" si="52"/>
        <v>0.1724</v>
      </c>
      <c r="AG124" s="22">
        <f t="shared" si="77"/>
        <v>48.43</v>
      </c>
      <c r="AH124" s="22">
        <f t="shared" si="53"/>
        <v>93.07</v>
      </c>
      <c r="AI124" s="22">
        <f t="shared" si="78"/>
        <v>59.589999999999996</v>
      </c>
      <c r="AJ124" s="22">
        <f t="shared" si="79"/>
        <v>42.7</v>
      </c>
    </row>
    <row r="125" spans="1:36" x14ac:dyDescent="0.25">
      <c r="A125" s="34">
        <v>39539</v>
      </c>
      <c r="B125" s="34">
        <f t="shared" si="54"/>
        <v>39599</v>
      </c>
      <c r="C125">
        <v>9996.7999999999993</v>
      </c>
      <c r="D125" s="6">
        <f t="shared" si="63"/>
        <v>9956.5300000000007</v>
      </c>
      <c r="E125" s="29">
        <f t="shared" si="64"/>
        <v>4.4999999999999997E-3</v>
      </c>
      <c r="F125" s="29">
        <f t="shared" si="65"/>
        <v>6.3E-3</v>
      </c>
      <c r="G125">
        <v>10786</v>
      </c>
      <c r="H125" s="6">
        <f t="shared" si="66"/>
        <v>10789.93</v>
      </c>
      <c r="I125" s="29">
        <f t="shared" si="67"/>
        <v>7.4999999999999997E-3</v>
      </c>
      <c r="J125" s="29">
        <f t="shared" si="68"/>
        <v>5.0000000000000001E-4</v>
      </c>
      <c r="K125">
        <v>3.1670099999999999</v>
      </c>
      <c r="L125">
        <v>2.5</v>
      </c>
      <c r="M125" s="35">
        <f t="shared" si="69"/>
        <v>2.8340000000000001</v>
      </c>
      <c r="N125">
        <v>271.3</v>
      </c>
      <c r="O125" s="29">
        <f t="shared" si="70"/>
        <v>-2.7699999999999999E-2</v>
      </c>
      <c r="P125">
        <v>3.4</v>
      </c>
      <c r="Q125" s="6">
        <f t="shared" si="55"/>
        <v>366.72</v>
      </c>
      <c r="R125">
        <v>5.24</v>
      </c>
      <c r="S125" s="36">
        <f t="shared" si="56"/>
        <v>57.74</v>
      </c>
      <c r="T125" s="6">
        <f t="shared" si="71"/>
        <v>173.13</v>
      </c>
      <c r="U125" s="6">
        <f t="shared" si="72"/>
        <v>172.89</v>
      </c>
      <c r="V125" s="29">
        <f t="shared" si="73"/>
        <v>-3.5000000000000001E-3</v>
      </c>
      <c r="W125" s="29">
        <f t="shared" si="74"/>
        <v>1E-3</v>
      </c>
      <c r="X125" s="13">
        <f t="shared" si="57"/>
        <v>2.7099999999999999E-2</v>
      </c>
      <c r="Y125" s="13">
        <f t="shared" si="58"/>
        <v>2.52E-2</v>
      </c>
      <c r="Z125" s="6">
        <f t="shared" si="59"/>
        <v>1.3517139697751568</v>
      </c>
      <c r="AA125" s="13">
        <f t="shared" si="60"/>
        <v>0.13200000000000001</v>
      </c>
      <c r="AB125" s="35">
        <f t="shared" si="61"/>
        <v>14.215999999999999</v>
      </c>
      <c r="AC125" s="6">
        <f t="shared" si="62"/>
        <v>5177.4799999999996</v>
      </c>
      <c r="AD125" s="6">
        <f t="shared" si="75"/>
        <v>4888.1400000000003</v>
      </c>
      <c r="AE125" s="29">
        <f t="shared" si="76"/>
        <v>0.30980000000000002</v>
      </c>
      <c r="AF125" s="13">
        <f t="shared" si="52"/>
        <v>7.4999999999999997E-2</v>
      </c>
      <c r="AG125" s="22">
        <f t="shared" si="77"/>
        <v>36.520000000000003</v>
      </c>
      <c r="AH125" s="22">
        <f t="shared" si="53"/>
        <v>32.56</v>
      </c>
      <c r="AI125" s="22">
        <f t="shared" si="78"/>
        <v>35.53</v>
      </c>
      <c r="AJ125" s="22">
        <f t="shared" si="79"/>
        <v>39.83</v>
      </c>
    </row>
    <row r="126" spans="1:36" x14ac:dyDescent="0.25">
      <c r="A126" s="34">
        <v>39508</v>
      </c>
      <c r="B126" s="34">
        <f t="shared" si="54"/>
        <v>39568</v>
      </c>
      <c r="C126">
        <v>9959.4</v>
      </c>
      <c r="D126" s="6">
        <f t="shared" si="63"/>
        <v>9934.27</v>
      </c>
      <c r="E126" s="29">
        <f t="shared" si="64"/>
        <v>5.7000000000000002E-3</v>
      </c>
      <c r="F126" s="29">
        <f t="shared" si="65"/>
        <v>4.1999999999999997E-3</v>
      </c>
      <c r="G126">
        <v>10806.4</v>
      </c>
      <c r="H126" s="6">
        <f t="shared" si="66"/>
        <v>10780.17</v>
      </c>
      <c r="I126" s="29">
        <f t="shared" si="67"/>
        <v>1.12E-2</v>
      </c>
      <c r="J126" s="29">
        <f t="shared" si="68"/>
        <v>5.1999999999999998E-3</v>
      </c>
      <c r="K126">
        <v>3.1659600000000001</v>
      </c>
      <c r="L126">
        <v>2.46</v>
      </c>
      <c r="M126" s="35">
        <f t="shared" si="69"/>
        <v>2.8130000000000002</v>
      </c>
      <c r="N126">
        <v>273.3</v>
      </c>
      <c r="O126" s="29">
        <f t="shared" si="70"/>
        <v>-3.73E-2</v>
      </c>
      <c r="P126">
        <v>4</v>
      </c>
      <c r="Q126" s="6">
        <f t="shared" si="55"/>
        <v>432.26</v>
      </c>
      <c r="R126">
        <v>5.66</v>
      </c>
      <c r="S126" s="36">
        <f t="shared" si="56"/>
        <v>57.59</v>
      </c>
      <c r="T126" s="6">
        <f t="shared" si="71"/>
        <v>172.94</v>
      </c>
      <c r="U126" s="6">
        <f t="shared" si="72"/>
        <v>172.95</v>
      </c>
      <c r="V126" s="29">
        <f t="shared" si="73"/>
        <v>-2.5999999999999999E-3</v>
      </c>
      <c r="W126" s="29">
        <f t="shared" si="74"/>
        <v>-1E-3</v>
      </c>
      <c r="X126" s="13">
        <f t="shared" si="57"/>
        <v>2.7400000000000001E-2</v>
      </c>
      <c r="Y126" s="13">
        <f t="shared" si="58"/>
        <v>2.53E-2</v>
      </c>
      <c r="Z126" s="6">
        <f t="shared" si="59"/>
        <v>1.5816319063300401</v>
      </c>
      <c r="AA126" s="13">
        <f t="shared" si="60"/>
        <v>0.14319999999999999</v>
      </c>
      <c r="AB126" s="35">
        <f t="shared" si="61"/>
        <v>15.468999999999999</v>
      </c>
      <c r="AC126" s="6">
        <f t="shared" si="62"/>
        <v>4828.62</v>
      </c>
      <c r="AD126" s="6">
        <f t="shared" si="75"/>
        <v>4520.01</v>
      </c>
      <c r="AE126" s="29">
        <f t="shared" si="76"/>
        <v>0.25009999999999999</v>
      </c>
      <c r="AF126" s="13">
        <f t="shared" si="52"/>
        <v>9.5600000000000004E-2</v>
      </c>
      <c r="AG126" s="22">
        <f t="shared" si="77"/>
        <v>36.479999999999997</v>
      </c>
      <c r="AH126" s="22">
        <f t="shared" si="53"/>
        <v>41.46</v>
      </c>
      <c r="AI126" s="22">
        <f t="shared" si="78"/>
        <v>37.725000000000001</v>
      </c>
      <c r="AJ126" s="22">
        <f t="shared" si="79"/>
        <v>43.36</v>
      </c>
    </row>
    <row r="127" spans="1:36" x14ac:dyDescent="0.25">
      <c r="A127" s="34">
        <v>39479</v>
      </c>
      <c r="B127" s="34">
        <f t="shared" si="54"/>
        <v>39538</v>
      </c>
      <c r="C127">
        <v>9913.4</v>
      </c>
      <c r="D127" s="6">
        <f t="shared" si="63"/>
        <v>9917.27</v>
      </c>
      <c r="E127" s="29">
        <f t="shared" si="64"/>
        <v>7.7999999999999996E-3</v>
      </c>
      <c r="F127" s="29">
        <f t="shared" si="65"/>
        <v>1E-4</v>
      </c>
      <c r="G127">
        <v>10777.4</v>
      </c>
      <c r="H127" s="6">
        <f t="shared" si="66"/>
        <v>10750.47</v>
      </c>
      <c r="I127" s="29">
        <f t="shared" si="67"/>
        <v>1.2200000000000001E-2</v>
      </c>
      <c r="J127" s="29">
        <f t="shared" si="68"/>
        <v>6.4000000000000003E-3</v>
      </c>
      <c r="K127">
        <v>3.2126000000000001</v>
      </c>
      <c r="L127">
        <v>2.39</v>
      </c>
      <c r="M127" s="35">
        <f t="shared" si="69"/>
        <v>2.8010000000000002</v>
      </c>
      <c r="N127">
        <v>279.5</v>
      </c>
      <c r="O127" s="29">
        <f t="shared" si="70"/>
        <v>-2.5700000000000001E-2</v>
      </c>
      <c r="P127">
        <v>4.0999999999999996</v>
      </c>
      <c r="Q127" s="6">
        <f t="shared" si="55"/>
        <v>441.87</v>
      </c>
      <c r="R127">
        <v>6</v>
      </c>
      <c r="S127" s="36">
        <f t="shared" si="56"/>
        <v>57.44</v>
      </c>
      <c r="T127" s="6">
        <f t="shared" si="71"/>
        <v>172.59</v>
      </c>
      <c r="U127" s="6">
        <f t="shared" si="72"/>
        <v>173.12</v>
      </c>
      <c r="V127" s="29">
        <f t="shared" si="73"/>
        <v>-5.9999999999999995E-4</v>
      </c>
      <c r="W127" s="29">
        <f t="shared" si="74"/>
        <v>-5.3E-3</v>
      </c>
      <c r="X127" s="13">
        <f t="shared" si="57"/>
        <v>2.8199999999999999E-2</v>
      </c>
      <c r="Y127" s="13">
        <f t="shared" si="58"/>
        <v>2.5899999999999999E-2</v>
      </c>
      <c r="Z127" s="6">
        <f t="shared" si="59"/>
        <v>1.5809302325581396</v>
      </c>
      <c r="AA127" s="13">
        <f t="shared" si="60"/>
        <v>0.15540000000000001</v>
      </c>
      <c r="AB127" s="35">
        <f t="shared" si="61"/>
        <v>16.77</v>
      </c>
      <c r="AC127" s="6">
        <f t="shared" si="62"/>
        <v>4658.33</v>
      </c>
      <c r="AD127" s="6">
        <f t="shared" si="75"/>
        <v>4219.7</v>
      </c>
      <c r="AE127" s="29">
        <f t="shared" si="76"/>
        <v>0.19089999999999999</v>
      </c>
      <c r="AF127" s="13">
        <f t="shared" si="52"/>
        <v>0.1047</v>
      </c>
      <c r="AG127" s="22">
        <f t="shared" si="77"/>
        <v>36.14</v>
      </c>
      <c r="AH127" s="22">
        <f t="shared" si="53"/>
        <v>43.44</v>
      </c>
      <c r="AI127" s="22">
        <f t="shared" si="78"/>
        <v>37.965000000000003</v>
      </c>
      <c r="AJ127" s="22">
        <f t="shared" si="79"/>
        <v>47.36</v>
      </c>
    </row>
    <row r="128" spans="1:36" x14ac:dyDescent="0.25">
      <c r="A128" s="34">
        <v>39448</v>
      </c>
      <c r="B128" s="34">
        <f t="shared" si="54"/>
        <v>39507</v>
      </c>
      <c r="C128">
        <v>9930</v>
      </c>
      <c r="D128" s="6">
        <f t="shared" si="63"/>
        <v>9912.07</v>
      </c>
      <c r="E128" s="29">
        <f t="shared" si="64"/>
        <v>1.2200000000000001E-2</v>
      </c>
      <c r="F128" s="29">
        <f t="shared" si="65"/>
        <v>5.3E-3</v>
      </c>
      <c r="G128">
        <v>10756.7</v>
      </c>
      <c r="H128" s="6">
        <f t="shared" si="66"/>
        <v>10709.3</v>
      </c>
      <c r="I128" s="29">
        <f t="shared" si="67"/>
        <v>1.2200000000000001E-2</v>
      </c>
      <c r="J128" s="29">
        <f t="shared" si="68"/>
        <v>8.9999999999999993E-3</v>
      </c>
      <c r="K128">
        <v>3.3215300000000001</v>
      </c>
      <c r="L128">
        <v>2.52</v>
      </c>
      <c r="M128" s="35">
        <f t="shared" si="69"/>
        <v>2.9209999999999998</v>
      </c>
      <c r="N128">
        <v>284.3</v>
      </c>
      <c r="O128" s="29">
        <f t="shared" si="70"/>
        <v>-1.46E-2</v>
      </c>
      <c r="P128">
        <v>3.7</v>
      </c>
      <c r="Q128" s="6">
        <f t="shared" si="55"/>
        <v>398</v>
      </c>
      <c r="R128">
        <v>6.98</v>
      </c>
      <c r="S128" s="36">
        <f t="shared" si="56"/>
        <v>57.29</v>
      </c>
      <c r="T128" s="6">
        <f t="shared" si="71"/>
        <v>173.33</v>
      </c>
      <c r="U128" s="6">
        <f t="shared" si="72"/>
        <v>173.5</v>
      </c>
      <c r="V128" s="29">
        <f t="shared" si="73"/>
        <v>4.0000000000000001E-3</v>
      </c>
      <c r="W128" s="29">
        <f t="shared" si="74"/>
        <v>-4.0000000000000002E-4</v>
      </c>
      <c r="X128" s="13">
        <f t="shared" si="57"/>
        <v>2.86E-2</v>
      </c>
      <c r="Y128" s="13">
        <f t="shared" si="58"/>
        <v>2.64E-2</v>
      </c>
      <c r="Z128" s="6">
        <f t="shared" si="59"/>
        <v>1.3999296517762927</v>
      </c>
      <c r="AA128" s="13">
        <f t="shared" si="60"/>
        <v>0.18429999999999999</v>
      </c>
      <c r="AB128" s="35">
        <f t="shared" si="61"/>
        <v>19.844000000000001</v>
      </c>
      <c r="AC128" s="6">
        <f t="shared" si="62"/>
        <v>4073.07</v>
      </c>
      <c r="AD128" s="6">
        <f t="shared" si="75"/>
        <v>3948.7</v>
      </c>
      <c r="AE128" s="29">
        <f t="shared" si="76"/>
        <v>0.1177</v>
      </c>
      <c r="AF128" s="13">
        <f t="shared" si="52"/>
        <v>0.1008</v>
      </c>
      <c r="AG128" s="22">
        <f t="shared" si="77"/>
        <v>50.07</v>
      </c>
      <c r="AH128" s="22">
        <f t="shared" si="53"/>
        <v>42.22</v>
      </c>
      <c r="AI128" s="22">
        <f t="shared" si="78"/>
        <v>48.107500000000002</v>
      </c>
      <c r="AJ128" s="22">
        <f t="shared" si="79"/>
        <v>50.02</v>
      </c>
    </row>
    <row r="129" spans="1:36" x14ac:dyDescent="0.25">
      <c r="A129" s="34">
        <v>39417</v>
      </c>
      <c r="B129" s="34">
        <f t="shared" si="54"/>
        <v>39478</v>
      </c>
      <c r="C129">
        <v>9908.4</v>
      </c>
      <c r="D129" s="6">
        <f t="shared" si="63"/>
        <v>9877.73</v>
      </c>
      <c r="E129" s="29">
        <f t="shared" si="64"/>
        <v>1.2699999999999999E-2</v>
      </c>
      <c r="F129" s="29">
        <f t="shared" si="65"/>
        <v>6.8999999999999999E-3</v>
      </c>
      <c r="G129">
        <v>10717.3</v>
      </c>
      <c r="H129" s="6">
        <f t="shared" si="66"/>
        <v>10660.77</v>
      </c>
      <c r="I129" s="29">
        <f t="shared" si="67"/>
        <v>1.0500000000000001E-2</v>
      </c>
      <c r="J129" s="29">
        <f t="shared" si="68"/>
        <v>9.1000000000000004E-3</v>
      </c>
      <c r="K129">
        <v>3.4146700000000001</v>
      </c>
      <c r="L129">
        <v>2.63</v>
      </c>
      <c r="M129" s="35">
        <f t="shared" si="69"/>
        <v>3.0219999999999998</v>
      </c>
      <c r="N129">
        <v>287.89999999999998</v>
      </c>
      <c r="O129" s="29">
        <f t="shared" si="70"/>
        <v>-4.7000000000000002E-3</v>
      </c>
      <c r="P129">
        <v>3.6</v>
      </c>
      <c r="Q129" s="6">
        <f t="shared" si="55"/>
        <v>385.82</v>
      </c>
      <c r="R129">
        <v>7.33</v>
      </c>
      <c r="S129" s="36">
        <f t="shared" si="56"/>
        <v>57.13</v>
      </c>
      <c r="T129" s="6">
        <f t="shared" si="71"/>
        <v>173.44</v>
      </c>
      <c r="U129" s="6">
        <f t="shared" si="72"/>
        <v>173.4</v>
      </c>
      <c r="V129" s="29">
        <f t="shared" si="73"/>
        <v>5.3E-3</v>
      </c>
      <c r="W129" s="29">
        <f t="shared" si="74"/>
        <v>1.2999999999999999E-3</v>
      </c>
      <c r="X129" s="13">
        <f t="shared" si="57"/>
        <v>2.9100000000000001E-2</v>
      </c>
      <c r="Y129" s="13">
        <f t="shared" si="58"/>
        <v>2.69E-2</v>
      </c>
      <c r="Z129" s="6">
        <f t="shared" si="59"/>
        <v>1.340118096561306</v>
      </c>
      <c r="AA129" s="13">
        <f t="shared" si="60"/>
        <v>0.19719999999999999</v>
      </c>
      <c r="AB129" s="35">
        <f t="shared" si="61"/>
        <v>21.103000000000002</v>
      </c>
      <c r="AC129" s="6">
        <f t="shared" si="62"/>
        <v>3927.69</v>
      </c>
      <c r="AD129" s="6">
        <f t="shared" si="75"/>
        <v>3836.48</v>
      </c>
      <c r="AE129" s="29">
        <f t="shared" si="76"/>
        <v>8.4900000000000003E-2</v>
      </c>
      <c r="AF129" s="13">
        <f t="shared" si="52"/>
        <v>0.10059999999999999</v>
      </c>
      <c r="AG129" s="22">
        <f t="shared" si="77"/>
        <v>53.37</v>
      </c>
      <c r="AH129" s="22">
        <f t="shared" si="53"/>
        <v>38.4</v>
      </c>
      <c r="AI129" s="22">
        <f t="shared" si="78"/>
        <v>49.627499999999998</v>
      </c>
      <c r="AJ129" s="22">
        <f t="shared" si="79"/>
        <v>50.12</v>
      </c>
    </row>
    <row r="130" spans="1:36" x14ac:dyDescent="0.25">
      <c r="A130" s="34">
        <v>39387</v>
      </c>
      <c r="B130" s="34">
        <f t="shared" si="54"/>
        <v>39447</v>
      </c>
      <c r="C130">
        <v>9897.7999999999993</v>
      </c>
      <c r="D130" s="6">
        <f t="shared" si="63"/>
        <v>9840.9</v>
      </c>
      <c r="E130" s="29">
        <f t="shared" si="64"/>
        <v>1.35E-2</v>
      </c>
      <c r="F130" s="29">
        <f t="shared" si="65"/>
        <v>1.0699999999999999E-2</v>
      </c>
      <c r="G130">
        <v>10653.9</v>
      </c>
      <c r="H130" s="6">
        <f t="shared" si="66"/>
        <v>10620.93</v>
      </c>
      <c r="I130" s="29">
        <f t="shared" si="67"/>
        <v>1.01E-2</v>
      </c>
      <c r="J130" s="29">
        <f t="shared" si="68"/>
        <v>6.8999999999999999E-3</v>
      </c>
      <c r="K130">
        <v>3.5557400000000001</v>
      </c>
      <c r="L130">
        <v>2.67</v>
      </c>
      <c r="M130" s="35">
        <f t="shared" si="69"/>
        <v>3.113</v>
      </c>
      <c r="N130">
        <v>288.39999999999998</v>
      </c>
      <c r="O130" s="29">
        <f t="shared" si="70"/>
        <v>-3.0999999999999999E-3</v>
      </c>
      <c r="P130">
        <v>3.1</v>
      </c>
      <c r="Q130" s="6">
        <f t="shared" si="55"/>
        <v>330.27</v>
      </c>
      <c r="R130">
        <v>7.5</v>
      </c>
      <c r="S130" s="36">
        <f t="shared" si="56"/>
        <v>56.97</v>
      </c>
      <c r="T130" s="6">
        <f t="shared" si="71"/>
        <v>173.74</v>
      </c>
      <c r="U130" s="6">
        <f t="shared" si="72"/>
        <v>173.22</v>
      </c>
      <c r="V130" s="29">
        <f t="shared" si="73"/>
        <v>7.0000000000000001E-3</v>
      </c>
      <c r="W130" s="29">
        <f t="shared" si="74"/>
        <v>5.4000000000000003E-3</v>
      </c>
      <c r="X130" s="13">
        <f t="shared" si="57"/>
        <v>2.9100000000000001E-2</v>
      </c>
      <c r="Y130" s="13">
        <f t="shared" si="58"/>
        <v>2.7099999999999999E-2</v>
      </c>
      <c r="Z130" s="6">
        <f t="shared" si="59"/>
        <v>1.1451803051317615</v>
      </c>
      <c r="AA130" s="13">
        <f t="shared" si="60"/>
        <v>0.20330000000000001</v>
      </c>
      <c r="AB130" s="35">
        <f t="shared" si="61"/>
        <v>21.63</v>
      </c>
      <c r="AC130" s="6">
        <f t="shared" si="62"/>
        <v>3845.33</v>
      </c>
      <c r="AD130" s="6">
        <f t="shared" si="75"/>
        <v>3731.9</v>
      </c>
      <c r="AE130" s="29">
        <f t="shared" si="76"/>
        <v>6.7900000000000002E-2</v>
      </c>
      <c r="AF130" s="13">
        <f t="shared" si="52"/>
        <v>8.8499999999999995E-2</v>
      </c>
      <c r="AG130" s="22">
        <f t="shared" si="77"/>
        <v>59.82</v>
      </c>
      <c r="AH130" s="22">
        <f t="shared" si="53"/>
        <v>35.51</v>
      </c>
      <c r="AI130" s="22">
        <f t="shared" si="78"/>
        <v>53.7425</v>
      </c>
      <c r="AJ130" s="22">
        <f t="shared" si="79"/>
        <v>48.61</v>
      </c>
    </row>
    <row r="131" spans="1:36" x14ac:dyDescent="0.25">
      <c r="A131" s="34">
        <v>39356</v>
      </c>
      <c r="B131" s="34">
        <f t="shared" si="54"/>
        <v>39416</v>
      </c>
      <c r="C131">
        <v>9827</v>
      </c>
      <c r="D131" s="6">
        <f t="shared" si="63"/>
        <v>9792.93</v>
      </c>
      <c r="E131" s="29">
        <f t="shared" si="64"/>
        <v>1.21E-2</v>
      </c>
      <c r="F131" s="29">
        <f t="shared" si="65"/>
        <v>7.4999999999999997E-3</v>
      </c>
      <c r="G131">
        <v>10611.1</v>
      </c>
      <c r="H131" s="6">
        <f t="shared" si="66"/>
        <v>10580.67</v>
      </c>
      <c r="I131" s="29">
        <f t="shared" si="67"/>
        <v>7.7000000000000002E-3</v>
      </c>
      <c r="J131" s="29">
        <f t="shared" si="68"/>
        <v>5.7999999999999996E-3</v>
      </c>
      <c r="K131">
        <v>3.05721</v>
      </c>
      <c r="L131">
        <v>2.5099999999999998</v>
      </c>
      <c r="M131" s="35">
        <f t="shared" si="69"/>
        <v>2.7839999999999998</v>
      </c>
      <c r="N131">
        <v>289.2</v>
      </c>
      <c r="O131" s="29">
        <f t="shared" si="70"/>
        <v>-1.6000000000000001E-3</v>
      </c>
      <c r="P131">
        <v>3.4</v>
      </c>
      <c r="Q131" s="6">
        <f t="shared" si="55"/>
        <v>360.78</v>
      </c>
      <c r="R131">
        <v>7.74</v>
      </c>
      <c r="S131" s="36">
        <f t="shared" si="56"/>
        <v>56.8</v>
      </c>
      <c r="T131" s="6">
        <f t="shared" si="71"/>
        <v>173.01</v>
      </c>
      <c r="U131" s="6">
        <f t="shared" si="72"/>
        <v>172.81</v>
      </c>
      <c r="V131" s="29">
        <f t="shared" si="73"/>
        <v>6.3E-3</v>
      </c>
      <c r="W131" s="29">
        <f t="shared" si="74"/>
        <v>3.0999999999999999E-3</v>
      </c>
      <c r="X131" s="13">
        <f t="shared" si="57"/>
        <v>2.9399999999999999E-2</v>
      </c>
      <c r="Y131" s="13">
        <f t="shared" si="58"/>
        <v>2.7300000000000001E-2</v>
      </c>
      <c r="Z131" s="6">
        <f t="shared" si="59"/>
        <v>1.2475103734439834</v>
      </c>
      <c r="AA131" s="13">
        <f t="shared" si="60"/>
        <v>0.21129999999999999</v>
      </c>
      <c r="AB131" s="35">
        <f t="shared" si="61"/>
        <v>22.384</v>
      </c>
      <c r="AC131" s="6">
        <f t="shared" si="62"/>
        <v>3736.43</v>
      </c>
      <c r="AD131" s="6">
        <f t="shared" si="75"/>
        <v>3615.78</v>
      </c>
      <c r="AE131" s="29">
        <f t="shared" si="76"/>
        <v>6.8699999999999997E-2</v>
      </c>
      <c r="AF131" s="13">
        <f t="shared" si="52"/>
        <v>9.98E-2</v>
      </c>
      <c r="AG131" s="22">
        <f t="shared" si="77"/>
        <v>54.88</v>
      </c>
      <c r="AH131" s="22">
        <f t="shared" si="53"/>
        <v>29.82</v>
      </c>
      <c r="AI131" s="22">
        <f t="shared" si="78"/>
        <v>48.615000000000002</v>
      </c>
      <c r="AJ131" s="22">
        <f t="shared" si="79"/>
        <v>46.01</v>
      </c>
    </row>
    <row r="132" spans="1:36" x14ac:dyDescent="0.25">
      <c r="A132" s="34">
        <v>39326</v>
      </c>
      <c r="B132" s="34">
        <f t="shared" si="54"/>
        <v>39386</v>
      </c>
      <c r="C132">
        <v>9797.9</v>
      </c>
      <c r="D132" s="6">
        <f t="shared" si="63"/>
        <v>9753.7999999999993</v>
      </c>
      <c r="E132" s="29">
        <f t="shared" si="64"/>
        <v>1.1299999999999999E-2</v>
      </c>
      <c r="F132" s="29">
        <f t="shared" si="65"/>
        <v>8.9999999999999993E-3</v>
      </c>
      <c r="G132">
        <v>10597.8</v>
      </c>
      <c r="H132" s="6">
        <f t="shared" si="66"/>
        <v>10549.8</v>
      </c>
      <c r="I132" s="29">
        <f t="shared" si="67"/>
        <v>6.4999999999999997E-3</v>
      </c>
      <c r="J132" s="29">
        <f t="shared" si="68"/>
        <v>7.9000000000000008E-3</v>
      </c>
      <c r="K132">
        <v>2.51545</v>
      </c>
      <c r="L132">
        <v>2.42</v>
      </c>
      <c r="M132" s="35">
        <f t="shared" si="69"/>
        <v>2.468</v>
      </c>
      <c r="N132">
        <v>290.2</v>
      </c>
      <c r="O132" s="29">
        <f t="shared" si="70"/>
        <v>-4.3E-3</v>
      </c>
      <c r="P132">
        <v>3.5</v>
      </c>
      <c r="Q132" s="6">
        <f t="shared" si="55"/>
        <v>370.92</v>
      </c>
      <c r="R132">
        <v>8.0299999999999994</v>
      </c>
      <c r="S132" s="36">
        <f t="shared" si="56"/>
        <v>56.66</v>
      </c>
      <c r="T132" s="6">
        <f t="shared" si="71"/>
        <v>172.92</v>
      </c>
      <c r="U132" s="6">
        <f t="shared" si="72"/>
        <v>172.48</v>
      </c>
      <c r="V132" s="29">
        <f t="shared" si="73"/>
        <v>5.7999999999999996E-3</v>
      </c>
      <c r="W132" s="29">
        <f t="shared" si="74"/>
        <v>5.1999999999999998E-3</v>
      </c>
      <c r="X132" s="13">
        <f t="shared" si="57"/>
        <v>2.9600000000000001E-2</v>
      </c>
      <c r="Y132" s="13">
        <f t="shared" si="58"/>
        <v>2.7400000000000001E-2</v>
      </c>
      <c r="Z132" s="6">
        <f t="shared" si="59"/>
        <v>1.2781529979324604</v>
      </c>
      <c r="AA132" s="13">
        <f t="shared" si="60"/>
        <v>0.22</v>
      </c>
      <c r="AB132" s="35">
        <f t="shared" si="61"/>
        <v>23.303000000000001</v>
      </c>
      <c r="AC132" s="6">
        <f t="shared" si="62"/>
        <v>3613.95</v>
      </c>
      <c r="AD132" s="6">
        <f t="shared" si="75"/>
        <v>3543.24</v>
      </c>
      <c r="AE132" s="29">
        <f t="shared" si="76"/>
        <v>6.88E-2</v>
      </c>
      <c r="AF132" s="13">
        <f t="shared" ref="AF132:AF195" si="80">ROUND(Q132/AD132,4)</f>
        <v>0.1047</v>
      </c>
      <c r="AG132" s="22">
        <f t="shared" si="77"/>
        <v>55.32</v>
      </c>
      <c r="AH132" s="22">
        <f t="shared" si="53"/>
        <v>27.99</v>
      </c>
      <c r="AI132" s="22">
        <f t="shared" si="78"/>
        <v>48.487500000000004</v>
      </c>
      <c r="AJ132" s="22">
        <f t="shared" si="79"/>
        <v>44.66</v>
      </c>
    </row>
    <row r="133" spans="1:36" x14ac:dyDescent="0.25">
      <c r="A133" s="34">
        <v>39295</v>
      </c>
      <c r="B133" s="34">
        <f t="shared" si="54"/>
        <v>39355</v>
      </c>
      <c r="C133">
        <v>9753.9</v>
      </c>
      <c r="D133" s="6">
        <f t="shared" si="63"/>
        <v>9710.27</v>
      </c>
      <c r="E133" s="29">
        <f t="shared" si="64"/>
        <v>9.7000000000000003E-3</v>
      </c>
      <c r="F133" s="29">
        <f t="shared" si="65"/>
        <v>8.0000000000000002E-3</v>
      </c>
      <c r="G133">
        <v>10533.1</v>
      </c>
      <c r="H133" s="6">
        <f t="shared" si="66"/>
        <v>10514.8</v>
      </c>
      <c r="I133" s="29">
        <f t="shared" si="67"/>
        <v>4.7999999999999996E-3</v>
      </c>
      <c r="J133" s="29">
        <f t="shared" si="68"/>
        <v>3.2000000000000002E-3</v>
      </c>
      <c r="K133">
        <v>1.86127</v>
      </c>
      <c r="L133">
        <v>2.33</v>
      </c>
      <c r="M133" s="35">
        <f t="shared" si="69"/>
        <v>2.0960000000000001</v>
      </c>
      <c r="N133">
        <v>288.5</v>
      </c>
      <c r="O133" s="29">
        <f t="shared" si="70"/>
        <v>-1.11E-2</v>
      </c>
      <c r="P133">
        <v>3.4</v>
      </c>
      <c r="Q133" s="6">
        <f t="shared" si="55"/>
        <v>358.13</v>
      </c>
      <c r="R133">
        <v>8.25</v>
      </c>
      <c r="S133" s="36">
        <f t="shared" si="56"/>
        <v>56.54</v>
      </c>
      <c r="T133" s="6">
        <f t="shared" si="71"/>
        <v>172.51</v>
      </c>
      <c r="U133" s="6">
        <f t="shared" si="72"/>
        <v>172.02</v>
      </c>
      <c r="V133" s="29">
        <f t="shared" si="73"/>
        <v>4.0000000000000001E-3</v>
      </c>
      <c r="W133" s="29">
        <f t="shared" si="74"/>
        <v>4.5999999999999999E-3</v>
      </c>
      <c r="X133" s="13">
        <f t="shared" si="57"/>
        <v>2.9600000000000001E-2</v>
      </c>
      <c r="Y133" s="13">
        <f t="shared" si="58"/>
        <v>2.7400000000000001E-2</v>
      </c>
      <c r="Z133" s="6">
        <f t="shared" si="59"/>
        <v>1.2413518197573656</v>
      </c>
      <c r="AA133" s="13">
        <f t="shared" si="60"/>
        <v>0.2261</v>
      </c>
      <c r="AB133" s="35">
        <f t="shared" si="61"/>
        <v>23.800999999999998</v>
      </c>
      <c r="AC133" s="6">
        <f t="shared" si="62"/>
        <v>3496.97</v>
      </c>
      <c r="AD133" s="6">
        <f t="shared" si="75"/>
        <v>3532.93</v>
      </c>
      <c r="AE133" s="29">
        <f t="shared" si="76"/>
        <v>7.2400000000000006E-2</v>
      </c>
      <c r="AF133" s="13">
        <f t="shared" si="80"/>
        <v>0.1014</v>
      </c>
      <c r="AG133" s="22">
        <f t="shared" si="77"/>
        <v>51.12</v>
      </c>
      <c r="AH133" s="22">
        <f t="shared" ref="AH133:AH196" si="81">ROUND((I133*1500)+(J133*700)-(AA133*175)-(AE133*30)+Z133+52,2)</f>
        <v>20.94</v>
      </c>
      <c r="AI133" s="22">
        <f t="shared" si="78"/>
        <v>43.574999999999996</v>
      </c>
      <c r="AJ133" s="22">
        <f t="shared" si="79"/>
        <v>44.89</v>
      </c>
    </row>
    <row r="134" spans="1:36" x14ac:dyDescent="0.25">
      <c r="A134" s="34">
        <v>39264</v>
      </c>
      <c r="B134" s="34">
        <f t="shared" ref="B134:B197" si="82">EOMONTH(A134+40,0)</f>
        <v>39325</v>
      </c>
      <c r="C134">
        <v>9709.6</v>
      </c>
      <c r="D134" s="6">
        <f t="shared" si="63"/>
        <v>9676.07</v>
      </c>
      <c r="E134" s="29">
        <f t="shared" si="64"/>
        <v>9.7999999999999997E-3</v>
      </c>
      <c r="F134" s="29">
        <f t="shared" si="65"/>
        <v>6.7000000000000002E-3</v>
      </c>
      <c r="G134">
        <v>10518.5</v>
      </c>
      <c r="H134" s="6">
        <f t="shared" si="66"/>
        <v>10499.43</v>
      </c>
      <c r="I134" s="29">
        <f t="shared" si="67"/>
        <v>7.1000000000000004E-3</v>
      </c>
      <c r="J134" s="29">
        <f t="shared" si="68"/>
        <v>3.5000000000000001E-3</v>
      </c>
      <c r="K134">
        <v>2.1182799999999999</v>
      </c>
      <c r="L134">
        <v>2.38</v>
      </c>
      <c r="M134" s="35">
        <f t="shared" si="69"/>
        <v>2.2490000000000001</v>
      </c>
      <c r="N134">
        <v>290.3</v>
      </c>
      <c r="O134" s="29">
        <f t="shared" si="70"/>
        <v>6.8999999999999999E-3</v>
      </c>
      <c r="P134">
        <v>3.7</v>
      </c>
      <c r="Q134" s="6">
        <f t="shared" ref="Q134:Q197" si="83">ROUND(G134*(P134*0.01),2)</f>
        <v>389.18</v>
      </c>
      <c r="R134">
        <v>8.25</v>
      </c>
      <c r="S134" s="36">
        <f t="shared" ref="S134:S197" si="84">ROUND((S135+(S135*((K134*0.01)/12))),2)</f>
        <v>56.45</v>
      </c>
      <c r="T134" s="6">
        <f t="shared" si="71"/>
        <v>172</v>
      </c>
      <c r="U134" s="6">
        <f t="shared" si="72"/>
        <v>171.72</v>
      </c>
      <c r="V134" s="29">
        <f t="shared" si="73"/>
        <v>3.8999999999999998E-3</v>
      </c>
      <c r="W134" s="29">
        <f t="shared" si="74"/>
        <v>3.0000000000000001E-3</v>
      </c>
      <c r="X134" s="13">
        <f t="shared" ref="X134:X197" si="85">ROUND(N134/C134,4)</f>
        <v>2.9899999999999999E-2</v>
      </c>
      <c r="Y134" s="13">
        <f t="shared" ref="Y134:Y197" si="86">ROUND(N134/G134,4)</f>
        <v>2.76E-2</v>
      </c>
      <c r="Z134" s="6">
        <f t="shared" ref="Z134:Z197" si="87">Q134/N134</f>
        <v>1.34061315880124</v>
      </c>
      <c r="AA134" s="13">
        <f t="shared" ref="AA134:AA197" si="88">ROUND(Y134*R134,4)</f>
        <v>0.22770000000000001</v>
      </c>
      <c r="AB134" s="35">
        <f t="shared" ref="AB134:AB197" si="89">ROUND(N134*(R134*0.01),3)</f>
        <v>23.95</v>
      </c>
      <c r="AC134" s="6">
        <f t="shared" ref="AC134:AC197" si="90">ROUND(N134/(R134*0.01),2)</f>
        <v>3518.79</v>
      </c>
      <c r="AD134" s="6">
        <f t="shared" si="75"/>
        <v>3536.16</v>
      </c>
      <c r="AE134" s="29">
        <f t="shared" si="76"/>
        <v>6.3600000000000004E-2</v>
      </c>
      <c r="AF134" s="13">
        <f t="shared" si="80"/>
        <v>0.1101</v>
      </c>
      <c r="AG134" s="22">
        <f t="shared" si="77"/>
        <v>49.58</v>
      </c>
      <c r="AH134" s="22">
        <f t="shared" si="81"/>
        <v>24.69</v>
      </c>
      <c r="AI134" s="22">
        <f t="shared" si="78"/>
        <v>43.357500000000002</v>
      </c>
      <c r="AJ134" s="22">
        <f t="shared" si="79"/>
        <v>47.7</v>
      </c>
    </row>
    <row r="135" spans="1:36" x14ac:dyDescent="0.25">
      <c r="A135" s="34">
        <v>39234</v>
      </c>
      <c r="B135" s="34">
        <f t="shared" si="82"/>
        <v>39294</v>
      </c>
      <c r="C135">
        <v>9667.2999999999993</v>
      </c>
      <c r="D135" s="6">
        <f t="shared" ref="D135:D198" si="91">ROUND(AVERAGE(C135:C137),2)</f>
        <v>9644.77</v>
      </c>
      <c r="E135" s="29">
        <f t="shared" ref="E135:E198" si="92">ROUND((D135-D138)/D138,4)</f>
        <v>0.01</v>
      </c>
      <c r="F135" s="29">
        <f t="shared" ref="F135:F198" si="93">ROUND((C135-AVERAGE(C136:C138))/AVERAGE(C136:C138),4)</f>
        <v>5.1999999999999998E-3</v>
      </c>
      <c r="G135">
        <v>10492.8</v>
      </c>
      <c r="H135" s="6">
        <f t="shared" ref="H135:H198" si="94">ROUND(AVERAGE(G135:G137),2)</f>
        <v>10481.33</v>
      </c>
      <c r="I135" s="29">
        <f t="shared" ref="I135:I198" si="95">ROUND((H135-H138)/H138,4)</f>
        <v>1.0699999999999999E-2</v>
      </c>
      <c r="J135" s="29">
        <f t="shared" ref="J135:J198" si="96">ROUND((G135-AVERAGE(G136:G138))/AVERAGE(G136:G138),4)</f>
        <v>2.7000000000000001E-3</v>
      </c>
      <c r="K135">
        <v>2.3150599999999999</v>
      </c>
      <c r="L135">
        <v>2.46</v>
      </c>
      <c r="M135" s="35">
        <f t="shared" ref="M135:M198" si="97">ROUND((K135+L135)/2,3)</f>
        <v>2.3879999999999999</v>
      </c>
      <c r="N135">
        <v>295.60000000000002</v>
      </c>
      <c r="O135" s="29">
        <f t="shared" ref="O135:O198" si="98">ROUND((N135-AVERAGE(N136:N138))/AVERAGE(N136:N138),4)</f>
        <v>5.8999999999999997E-2</v>
      </c>
      <c r="P135">
        <v>3.8</v>
      </c>
      <c r="Q135" s="6">
        <f t="shared" si="83"/>
        <v>398.73</v>
      </c>
      <c r="R135">
        <v>8.25</v>
      </c>
      <c r="S135" s="36">
        <f t="shared" si="84"/>
        <v>56.35</v>
      </c>
      <c r="T135" s="6">
        <f t="shared" ref="T135:T198" si="99">ROUND(C135/S135,2)</f>
        <v>171.56</v>
      </c>
      <c r="U135" s="6">
        <f t="shared" ref="U135:U198" si="100">ROUND(AVERAGE(T135:T137),2)</f>
        <v>171.49</v>
      </c>
      <c r="V135" s="29">
        <f t="shared" ref="V135:V198" si="101">ROUND((U135-U138)/U138,4)</f>
        <v>3.8999999999999998E-3</v>
      </c>
      <c r="W135" s="29">
        <f t="shared" ref="W135:W198" si="102">ROUND((T135-AVERAGE(T136:T138))/AVERAGE(T136:T138),4)</f>
        <v>1.2999999999999999E-3</v>
      </c>
      <c r="X135" s="13">
        <f t="shared" si="85"/>
        <v>3.0599999999999999E-2</v>
      </c>
      <c r="Y135" s="13">
        <f t="shared" si="86"/>
        <v>2.8199999999999999E-2</v>
      </c>
      <c r="Z135" s="6">
        <f t="shared" si="87"/>
        <v>1.3488836265223274</v>
      </c>
      <c r="AA135" s="13">
        <f t="shared" si="88"/>
        <v>0.23269999999999999</v>
      </c>
      <c r="AB135" s="35">
        <f t="shared" si="89"/>
        <v>24.387</v>
      </c>
      <c r="AC135" s="6">
        <f t="shared" si="90"/>
        <v>3583.03</v>
      </c>
      <c r="AD135" s="6">
        <f t="shared" ref="AD135:AD198" si="103">ROUND(AVERAGE(AC135:AC137),2)</f>
        <v>3494.55</v>
      </c>
      <c r="AE135" s="29">
        <f t="shared" ref="AE135:AE198" si="104">ROUND((AD135-AD140)/AD140,4)</f>
        <v>5.2600000000000001E-2</v>
      </c>
      <c r="AF135" s="13">
        <f t="shared" si="80"/>
        <v>0.11409999999999999</v>
      </c>
      <c r="AG135" s="22">
        <f t="shared" ref="AG135:AG198" si="105">ROUND((W135*500)+(V135*1000)+(E135*1000)+(F135*500)-(X135*300)+40,2)</f>
        <v>47.97</v>
      </c>
      <c r="AH135" s="22">
        <f t="shared" si="81"/>
        <v>28.99</v>
      </c>
      <c r="AI135" s="22">
        <f t="shared" ref="AI135:AI198" si="106">IF((AG135*0.75)+(AH135*0.25)&lt;0,0,(AG135*0.75)+(AH135*0.25))</f>
        <v>43.225000000000001</v>
      </c>
      <c r="AJ135" s="22">
        <f t="shared" ref="AJ135:AJ198" si="107">ROUND(AVERAGE(AI135:AI138),2)</f>
        <v>51.75</v>
      </c>
    </row>
    <row r="136" spans="1:36" x14ac:dyDescent="0.25">
      <c r="A136" s="34">
        <v>39203</v>
      </c>
      <c r="B136" s="34">
        <f t="shared" si="82"/>
        <v>39263</v>
      </c>
      <c r="C136">
        <v>9651.2999999999993</v>
      </c>
      <c r="D136" s="6">
        <f t="shared" si="91"/>
        <v>9617.3700000000008</v>
      </c>
      <c r="E136" s="29">
        <f t="shared" si="92"/>
        <v>1.12E-2</v>
      </c>
      <c r="F136" s="29">
        <f t="shared" si="93"/>
        <v>7.1999999999999998E-3</v>
      </c>
      <c r="G136">
        <v>10487</v>
      </c>
      <c r="H136" s="6">
        <f t="shared" si="94"/>
        <v>10464.700000000001</v>
      </c>
      <c r="I136" s="29">
        <f t="shared" si="95"/>
        <v>1.5299999999999999E-2</v>
      </c>
      <c r="J136" s="29">
        <f t="shared" si="96"/>
        <v>5.8999999999999999E-3</v>
      </c>
      <c r="K136">
        <v>2.3464700000000001</v>
      </c>
      <c r="L136">
        <v>2.5499999999999998</v>
      </c>
      <c r="M136" s="35">
        <f t="shared" si="97"/>
        <v>2.448</v>
      </c>
      <c r="N136">
        <v>289.3</v>
      </c>
      <c r="O136" s="29">
        <f t="shared" si="98"/>
        <v>5.7799999999999997E-2</v>
      </c>
      <c r="P136">
        <v>4</v>
      </c>
      <c r="Q136" s="6">
        <f t="shared" si="83"/>
        <v>419.48</v>
      </c>
      <c r="R136">
        <v>8.25</v>
      </c>
      <c r="S136" s="36">
        <f t="shared" si="84"/>
        <v>56.24</v>
      </c>
      <c r="T136" s="6">
        <f t="shared" si="99"/>
        <v>171.61</v>
      </c>
      <c r="U136" s="6">
        <f t="shared" si="100"/>
        <v>171.34</v>
      </c>
      <c r="V136" s="29">
        <f t="shared" si="101"/>
        <v>5.1999999999999998E-3</v>
      </c>
      <c r="W136" s="29">
        <f t="shared" si="102"/>
        <v>3.2000000000000002E-3</v>
      </c>
      <c r="X136" s="13">
        <f t="shared" si="85"/>
        <v>0.03</v>
      </c>
      <c r="Y136" s="13">
        <f t="shared" si="86"/>
        <v>2.76E-2</v>
      </c>
      <c r="Z136" s="6">
        <f t="shared" si="87"/>
        <v>1.449982716902869</v>
      </c>
      <c r="AA136" s="13">
        <f t="shared" si="88"/>
        <v>0.22770000000000001</v>
      </c>
      <c r="AB136" s="35">
        <f t="shared" si="89"/>
        <v>23.867000000000001</v>
      </c>
      <c r="AC136" s="6">
        <f t="shared" si="90"/>
        <v>3506.67</v>
      </c>
      <c r="AD136" s="6">
        <f t="shared" si="103"/>
        <v>3383.44</v>
      </c>
      <c r="AE136" s="29">
        <f t="shared" si="104"/>
        <v>2.7E-2</v>
      </c>
      <c r="AF136" s="13">
        <f t="shared" si="80"/>
        <v>0.124</v>
      </c>
      <c r="AG136" s="22">
        <f t="shared" si="105"/>
        <v>52.6</v>
      </c>
      <c r="AH136" s="22">
        <f t="shared" si="81"/>
        <v>39.869999999999997</v>
      </c>
      <c r="AI136" s="22">
        <f t="shared" si="106"/>
        <v>49.417500000000004</v>
      </c>
      <c r="AJ136" s="22">
        <f t="shared" si="107"/>
        <v>56.01</v>
      </c>
    </row>
    <row r="137" spans="1:36" x14ac:dyDescent="0.25">
      <c r="A137" s="34">
        <v>39173</v>
      </c>
      <c r="B137" s="34">
        <f t="shared" si="82"/>
        <v>39233</v>
      </c>
      <c r="C137">
        <v>9615.7000000000007</v>
      </c>
      <c r="D137" s="6">
        <f t="shared" si="91"/>
        <v>9582.5300000000007</v>
      </c>
      <c r="E137" s="29">
        <f t="shared" si="92"/>
        <v>1.35E-2</v>
      </c>
      <c r="F137" s="29">
        <f t="shared" si="93"/>
        <v>6.8999999999999999E-3</v>
      </c>
      <c r="G137">
        <v>10464.200000000001</v>
      </c>
      <c r="H137" s="6">
        <f t="shared" si="94"/>
        <v>10425.73</v>
      </c>
      <c r="I137" s="29">
        <f t="shared" si="95"/>
        <v>1.7999999999999999E-2</v>
      </c>
      <c r="J137" s="29">
        <f t="shared" si="96"/>
        <v>8.9999999999999993E-3</v>
      </c>
      <c r="K137">
        <v>2.3140100000000001</v>
      </c>
      <c r="L137">
        <v>2.7</v>
      </c>
      <c r="M137" s="35">
        <f t="shared" si="97"/>
        <v>2.5070000000000001</v>
      </c>
      <c r="N137">
        <v>280</v>
      </c>
      <c r="O137" s="29">
        <f t="shared" si="98"/>
        <v>3.0200000000000001E-2</v>
      </c>
      <c r="P137">
        <v>4.2</v>
      </c>
      <c r="Q137" s="6">
        <f t="shared" si="83"/>
        <v>439.5</v>
      </c>
      <c r="R137">
        <v>8.25</v>
      </c>
      <c r="S137" s="36">
        <f t="shared" si="84"/>
        <v>56.13</v>
      </c>
      <c r="T137" s="6">
        <f t="shared" si="99"/>
        <v>171.31</v>
      </c>
      <c r="U137" s="6">
        <f t="shared" si="100"/>
        <v>171.06</v>
      </c>
      <c r="V137" s="29">
        <f t="shared" si="101"/>
        <v>7.4999999999999997E-3</v>
      </c>
      <c r="W137" s="29">
        <f t="shared" si="102"/>
        <v>2.8999999999999998E-3</v>
      </c>
      <c r="X137" s="13">
        <f t="shared" si="85"/>
        <v>2.9100000000000001E-2</v>
      </c>
      <c r="Y137" s="13">
        <f t="shared" si="86"/>
        <v>2.6800000000000001E-2</v>
      </c>
      <c r="Z137" s="6">
        <f t="shared" si="87"/>
        <v>1.5696428571428571</v>
      </c>
      <c r="AA137" s="13">
        <f t="shared" si="88"/>
        <v>0.22109999999999999</v>
      </c>
      <c r="AB137" s="35">
        <f t="shared" si="89"/>
        <v>23.1</v>
      </c>
      <c r="AC137" s="6">
        <f t="shared" si="90"/>
        <v>3393.94</v>
      </c>
      <c r="AD137" s="6">
        <f t="shared" si="103"/>
        <v>3315.15</v>
      </c>
      <c r="AE137" s="29">
        <f t="shared" si="104"/>
        <v>1.5800000000000002E-2</v>
      </c>
      <c r="AF137" s="13">
        <f t="shared" si="80"/>
        <v>0.1326</v>
      </c>
      <c r="AG137" s="22">
        <f t="shared" si="105"/>
        <v>57.17</v>
      </c>
      <c r="AH137" s="22">
        <f t="shared" si="81"/>
        <v>47.7</v>
      </c>
      <c r="AI137" s="22">
        <f t="shared" si="106"/>
        <v>54.802499999999995</v>
      </c>
      <c r="AJ137" s="22">
        <f t="shared" si="107"/>
        <v>57.33</v>
      </c>
    </row>
    <row r="138" spans="1:36" x14ac:dyDescent="0.25">
      <c r="A138" s="34">
        <v>39142</v>
      </c>
      <c r="B138" s="34">
        <f t="shared" si="82"/>
        <v>39202</v>
      </c>
      <c r="C138">
        <v>9585.1</v>
      </c>
      <c r="D138" s="6">
        <f t="shared" si="91"/>
        <v>9549.4</v>
      </c>
      <c r="E138" s="29">
        <f t="shared" si="92"/>
        <v>1.5100000000000001E-2</v>
      </c>
      <c r="F138" s="29">
        <f t="shared" si="93"/>
        <v>7.7999999999999996E-3</v>
      </c>
      <c r="G138">
        <v>10442.9</v>
      </c>
      <c r="H138" s="6">
        <f t="shared" si="94"/>
        <v>10370.4</v>
      </c>
      <c r="I138" s="29">
        <f t="shared" si="95"/>
        <v>1.7999999999999999E-2</v>
      </c>
      <c r="J138" s="29">
        <f t="shared" si="96"/>
        <v>1.32E-2</v>
      </c>
      <c r="K138">
        <v>2.5341100000000001</v>
      </c>
      <c r="L138">
        <v>2.8</v>
      </c>
      <c r="M138" s="35">
        <f t="shared" si="97"/>
        <v>2.6669999999999998</v>
      </c>
      <c r="N138">
        <v>268.10000000000002</v>
      </c>
      <c r="O138" s="29">
        <f t="shared" si="98"/>
        <v>-2.2599999999999999E-2</v>
      </c>
      <c r="P138">
        <v>4.4000000000000004</v>
      </c>
      <c r="Q138" s="6">
        <f t="shared" si="83"/>
        <v>459.49</v>
      </c>
      <c r="R138">
        <v>8.25</v>
      </c>
      <c r="S138" s="36">
        <f t="shared" si="84"/>
        <v>56.02</v>
      </c>
      <c r="T138" s="6">
        <f t="shared" si="99"/>
        <v>171.1</v>
      </c>
      <c r="U138" s="6">
        <f t="shared" si="100"/>
        <v>170.82</v>
      </c>
      <c r="V138" s="29">
        <f t="shared" si="101"/>
        <v>9.4999999999999998E-3</v>
      </c>
      <c r="W138" s="29">
        <f t="shared" si="102"/>
        <v>3.8E-3</v>
      </c>
      <c r="X138" s="13">
        <f t="shared" si="85"/>
        <v>2.8000000000000001E-2</v>
      </c>
      <c r="Y138" s="13">
        <f t="shared" si="86"/>
        <v>2.5700000000000001E-2</v>
      </c>
      <c r="Z138" s="6">
        <f t="shared" si="87"/>
        <v>1.7138754196195449</v>
      </c>
      <c r="AA138" s="13">
        <f t="shared" si="88"/>
        <v>0.21199999999999999</v>
      </c>
      <c r="AB138" s="35">
        <f t="shared" si="89"/>
        <v>22.117999999999999</v>
      </c>
      <c r="AC138" s="6">
        <f t="shared" si="90"/>
        <v>3249.7</v>
      </c>
      <c r="AD138" s="6">
        <f t="shared" si="103"/>
        <v>3294.55</v>
      </c>
      <c r="AE138" s="29">
        <f t="shared" si="104"/>
        <v>2.0899999999999998E-2</v>
      </c>
      <c r="AF138" s="13">
        <f t="shared" si="80"/>
        <v>0.13950000000000001</v>
      </c>
      <c r="AG138" s="22">
        <f t="shared" si="105"/>
        <v>62</v>
      </c>
      <c r="AH138" s="22">
        <f t="shared" si="81"/>
        <v>52.23</v>
      </c>
      <c r="AI138" s="22">
        <f t="shared" si="106"/>
        <v>59.557499999999997</v>
      </c>
      <c r="AJ138" s="22">
        <f t="shared" si="107"/>
        <v>55.64</v>
      </c>
    </row>
    <row r="139" spans="1:36" x14ac:dyDescent="0.25">
      <c r="A139" s="34">
        <v>39114</v>
      </c>
      <c r="B139" s="34">
        <f t="shared" si="82"/>
        <v>39172</v>
      </c>
      <c r="C139">
        <v>9546.7999999999993</v>
      </c>
      <c r="D139" s="6">
        <f t="shared" si="91"/>
        <v>9510.7000000000007</v>
      </c>
      <c r="E139" s="29">
        <f t="shared" si="92"/>
        <v>1.5100000000000001E-2</v>
      </c>
      <c r="F139" s="29">
        <f t="shared" si="93"/>
        <v>9.7000000000000003E-3</v>
      </c>
      <c r="G139">
        <v>10370.1</v>
      </c>
      <c r="H139" s="6">
        <f t="shared" si="94"/>
        <v>10306.73</v>
      </c>
      <c r="I139" s="29">
        <f t="shared" si="95"/>
        <v>1.67E-2</v>
      </c>
      <c r="J139" s="29">
        <f t="shared" si="96"/>
        <v>1.2500000000000001E-2</v>
      </c>
      <c r="K139">
        <v>2.3448000000000002</v>
      </c>
      <c r="L139">
        <v>2.87</v>
      </c>
      <c r="M139" s="35">
        <f t="shared" si="97"/>
        <v>2.6070000000000002</v>
      </c>
      <c r="N139">
        <v>272.39999999999998</v>
      </c>
      <c r="O139" s="29">
        <f t="shared" si="98"/>
        <v>-5.4999999999999997E-3</v>
      </c>
      <c r="P139">
        <v>4.0999999999999996</v>
      </c>
      <c r="Q139" s="6">
        <f t="shared" si="83"/>
        <v>425.17</v>
      </c>
      <c r="R139">
        <v>8.25</v>
      </c>
      <c r="S139" s="36">
        <f t="shared" si="84"/>
        <v>55.9</v>
      </c>
      <c r="T139" s="6">
        <f t="shared" si="99"/>
        <v>170.78</v>
      </c>
      <c r="U139" s="6">
        <f t="shared" si="100"/>
        <v>170.46</v>
      </c>
      <c r="V139" s="29">
        <f t="shared" si="101"/>
        <v>0.01</v>
      </c>
      <c r="W139" s="29">
        <f t="shared" si="102"/>
        <v>5.8999999999999999E-3</v>
      </c>
      <c r="X139" s="13">
        <f t="shared" si="85"/>
        <v>2.8500000000000001E-2</v>
      </c>
      <c r="Y139" s="13">
        <f t="shared" si="86"/>
        <v>2.63E-2</v>
      </c>
      <c r="Z139" s="6">
        <f t="shared" si="87"/>
        <v>1.5608296622613804</v>
      </c>
      <c r="AA139" s="13">
        <f t="shared" si="88"/>
        <v>0.217</v>
      </c>
      <c r="AB139" s="35">
        <f t="shared" si="89"/>
        <v>22.472999999999999</v>
      </c>
      <c r="AC139" s="6">
        <f t="shared" si="90"/>
        <v>3301.82</v>
      </c>
      <c r="AD139" s="6">
        <f t="shared" si="103"/>
        <v>3324.85</v>
      </c>
      <c r="AE139" s="29">
        <f t="shared" si="104"/>
        <v>4.6100000000000002E-2</v>
      </c>
      <c r="AF139" s="13">
        <f t="shared" si="80"/>
        <v>0.12790000000000001</v>
      </c>
      <c r="AG139" s="22">
        <f t="shared" si="105"/>
        <v>64.349999999999994</v>
      </c>
      <c r="AH139" s="22">
        <f t="shared" si="81"/>
        <v>48</v>
      </c>
      <c r="AI139" s="22">
        <f t="shared" si="106"/>
        <v>60.262499999999996</v>
      </c>
      <c r="AJ139" s="22">
        <f t="shared" si="107"/>
        <v>51</v>
      </c>
    </row>
    <row r="140" spans="1:36" x14ac:dyDescent="0.25">
      <c r="A140" s="34">
        <v>39083</v>
      </c>
      <c r="B140" s="34">
        <f t="shared" si="82"/>
        <v>39141</v>
      </c>
      <c r="C140">
        <v>9516.2999999999993</v>
      </c>
      <c r="D140" s="6">
        <f t="shared" si="91"/>
        <v>9455.17</v>
      </c>
      <c r="E140" s="29">
        <f t="shared" si="92"/>
        <v>1.1299999999999999E-2</v>
      </c>
      <c r="F140" s="29">
        <f t="shared" si="93"/>
        <v>1.1599999999999999E-2</v>
      </c>
      <c r="G140">
        <v>10298.200000000001</v>
      </c>
      <c r="H140" s="6">
        <f t="shared" si="94"/>
        <v>10241.870000000001</v>
      </c>
      <c r="I140" s="29">
        <f t="shared" si="95"/>
        <v>1.3899999999999999E-2</v>
      </c>
      <c r="J140" s="29">
        <f t="shared" si="96"/>
        <v>1.0999999999999999E-2</v>
      </c>
      <c r="K140">
        <v>2.0729700000000002</v>
      </c>
      <c r="L140">
        <v>2.72</v>
      </c>
      <c r="M140" s="35">
        <f t="shared" si="97"/>
        <v>2.3959999999999999</v>
      </c>
      <c r="N140">
        <v>274.89999999999998</v>
      </c>
      <c r="O140" s="29">
        <f t="shared" si="98"/>
        <v>1.14E-2</v>
      </c>
      <c r="P140">
        <v>3.7</v>
      </c>
      <c r="Q140" s="6">
        <f t="shared" si="83"/>
        <v>381.03</v>
      </c>
      <c r="R140">
        <v>8.25</v>
      </c>
      <c r="S140" s="36">
        <f t="shared" si="84"/>
        <v>55.79</v>
      </c>
      <c r="T140" s="6">
        <f t="shared" si="99"/>
        <v>170.57</v>
      </c>
      <c r="U140" s="6">
        <f t="shared" si="100"/>
        <v>169.78</v>
      </c>
      <c r="V140" s="29">
        <f t="shared" si="101"/>
        <v>6.6E-3</v>
      </c>
      <c r="W140" s="29">
        <f t="shared" si="102"/>
        <v>8.0000000000000002E-3</v>
      </c>
      <c r="X140" s="13">
        <f t="shared" si="85"/>
        <v>2.8899999999999999E-2</v>
      </c>
      <c r="Y140" s="13">
        <f t="shared" si="86"/>
        <v>2.6700000000000002E-2</v>
      </c>
      <c r="Z140" s="6">
        <f t="shared" si="87"/>
        <v>1.3860676609676246</v>
      </c>
      <c r="AA140" s="13">
        <f t="shared" si="88"/>
        <v>0.2203</v>
      </c>
      <c r="AB140" s="35">
        <f t="shared" si="89"/>
        <v>22.678999999999998</v>
      </c>
      <c r="AC140" s="6">
        <f t="shared" si="90"/>
        <v>3332.12</v>
      </c>
      <c r="AD140" s="6">
        <f t="shared" si="103"/>
        <v>3320</v>
      </c>
      <c r="AE140" s="29">
        <f t="shared" si="104"/>
        <v>5.8200000000000002E-2</v>
      </c>
      <c r="AF140" s="13">
        <f t="shared" si="80"/>
        <v>0.1148</v>
      </c>
      <c r="AG140" s="22">
        <f t="shared" si="105"/>
        <v>59.03</v>
      </c>
      <c r="AH140" s="22">
        <f t="shared" si="81"/>
        <v>41.64</v>
      </c>
      <c r="AI140" s="22">
        <f t="shared" si="106"/>
        <v>54.682500000000005</v>
      </c>
      <c r="AJ140" s="22">
        <f t="shared" si="107"/>
        <v>46.79</v>
      </c>
    </row>
    <row r="141" spans="1:36" x14ac:dyDescent="0.25">
      <c r="A141" s="34">
        <v>39052</v>
      </c>
      <c r="B141" s="34">
        <f t="shared" si="82"/>
        <v>39113</v>
      </c>
      <c r="C141">
        <v>9469</v>
      </c>
      <c r="D141" s="6">
        <f t="shared" si="91"/>
        <v>9407.4699999999993</v>
      </c>
      <c r="E141" s="29">
        <f t="shared" si="92"/>
        <v>8.0000000000000002E-3</v>
      </c>
      <c r="F141" s="29">
        <f t="shared" si="93"/>
        <v>1.06E-2</v>
      </c>
      <c r="G141">
        <v>10251.9</v>
      </c>
      <c r="H141" s="6">
        <f t="shared" si="94"/>
        <v>10186.6</v>
      </c>
      <c r="I141" s="29">
        <f t="shared" si="95"/>
        <v>1.15E-2</v>
      </c>
      <c r="J141" s="29">
        <f t="shared" si="96"/>
        <v>1.1299999999999999E-2</v>
      </c>
      <c r="K141">
        <v>2.20601</v>
      </c>
      <c r="L141">
        <v>2.63</v>
      </c>
      <c r="M141" s="35">
        <f t="shared" si="97"/>
        <v>2.4180000000000001</v>
      </c>
      <c r="N141">
        <v>275.60000000000002</v>
      </c>
      <c r="O141" s="29">
        <f t="shared" si="98"/>
        <v>2.3599999999999999E-2</v>
      </c>
      <c r="P141">
        <v>3.7</v>
      </c>
      <c r="Q141" s="6">
        <f t="shared" si="83"/>
        <v>379.32</v>
      </c>
      <c r="R141">
        <v>8.25</v>
      </c>
      <c r="S141" s="36">
        <f t="shared" si="84"/>
        <v>55.69</v>
      </c>
      <c r="T141" s="6">
        <f t="shared" si="99"/>
        <v>170.03</v>
      </c>
      <c r="U141" s="6">
        <f t="shared" si="100"/>
        <v>169.21</v>
      </c>
      <c r="V141" s="29">
        <f t="shared" si="101"/>
        <v>3.0999999999999999E-3</v>
      </c>
      <c r="W141" s="29">
        <f t="shared" si="102"/>
        <v>7.4000000000000003E-3</v>
      </c>
      <c r="X141" s="13">
        <f t="shared" si="85"/>
        <v>2.9100000000000001E-2</v>
      </c>
      <c r="Y141" s="13">
        <f t="shared" si="86"/>
        <v>2.69E-2</v>
      </c>
      <c r="Z141" s="6">
        <f t="shared" si="87"/>
        <v>1.376342525399129</v>
      </c>
      <c r="AA141" s="13">
        <f t="shared" si="88"/>
        <v>0.22189999999999999</v>
      </c>
      <c r="AB141" s="35">
        <f t="shared" si="89"/>
        <v>22.736999999999998</v>
      </c>
      <c r="AC141" s="6">
        <f t="shared" si="90"/>
        <v>3340.61</v>
      </c>
      <c r="AD141" s="6">
        <f t="shared" si="103"/>
        <v>3294.55</v>
      </c>
      <c r="AE141" s="29">
        <f t="shared" si="104"/>
        <v>5.2600000000000001E-2</v>
      </c>
      <c r="AF141" s="13">
        <f t="shared" si="80"/>
        <v>0.11509999999999999</v>
      </c>
      <c r="AG141" s="22">
        <f t="shared" si="105"/>
        <v>51.37</v>
      </c>
      <c r="AH141" s="22">
        <f t="shared" si="81"/>
        <v>38.130000000000003</v>
      </c>
      <c r="AI141" s="22">
        <f t="shared" si="106"/>
        <v>48.059999999999995</v>
      </c>
      <c r="AJ141" s="22">
        <f t="shared" si="107"/>
        <v>45.53</v>
      </c>
    </row>
    <row r="142" spans="1:36" x14ac:dyDescent="0.25">
      <c r="A142" s="34">
        <v>39022</v>
      </c>
      <c r="B142" s="34">
        <f t="shared" si="82"/>
        <v>39082</v>
      </c>
      <c r="C142">
        <v>9380.2000000000007</v>
      </c>
      <c r="D142" s="6">
        <f t="shared" si="91"/>
        <v>9369.3700000000008</v>
      </c>
      <c r="E142" s="29">
        <f t="shared" si="92"/>
        <v>8.0000000000000002E-3</v>
      </c>
      <c r="F142" s="29">
        <f t="shared" si="93"/>
        <v>3.2000000000000002E-3</v>
      </c>
      <c r="G142">
        <v>10175.5</v>
      </c>
      <c r="H142" s="6">
        <f t="shared" si="94"/>
        <v>10137.700000000001</v>
      </c>
      <c r="I142" s="29">
        <f t="shared" si="95"/>
        <v>9.7000000000000003E-3</v>
      </c>
      <c r="J142" s="29">
        <f t="shared" si="96"/>
        <v>7.3000000000000001E-3</v>
      </c>
      <c r="K142">
        <v>1.8338099999999999</v>
      </c>
      <c r="L142">
        <v>2.5</v>
      </c>
      <c r="M142" s="35">
        <f t="shared" si="97"/>
        <v>2.1669999999999998</v>
      </c>
      <c r="N142">
        <v>271.2</v>
      </c>
      <c r="O142" s="29">
        <f t="shared" si="98"/>
        <v>1.8700000000000001E-2</v>
      </c>
      <c r="P142">
        <v>3.9</v>
      </c>
      <c r="Q142" s="6">
        <f t="shared" si="83"/>
        <v>396.84</v>
      </c>
      <c r="R142">
        <v>8.25</v>
      </c>
      <c r="S142" s="36">
        <f t="shared" si="84"/>
        <v>55.59</v>
      </c>
      <c r="T142" s="6">
        <f t="shared" si="99"/>
        <v>168.74</v>
      </c>
      <c r="U142" s="6">
        <f t="shared" si="100"/>
        <v>168.78</v>
      </c>
      <c r="V142" s="29">
        <f t="shared" si="101"/>
        <v>2.3E-3</v>
      </c>
      <c r="W142" s="29">
        <f t="shared" si="102"/>
        <v>4.0000000000000002E-4</v>
      </c>
      <c r="X142" s="13">
        <f t="shared" si="85"/>
        <v>2.8899999999999999E-2</v>
      </c>
      <c r="Y142" s="13">
        <f t="shared" si="86"/>
        <v>2.6700000000000002E-2</v>
      </c>
      <c r="Z142" s="6">
        <f t="shared" si="87"/>
        <v>1.4632743362831857</v>
      </c>
      <c r="AA142" s="13">
        <f t="shared" si="88"/>
        <v>0.2203</v>
      </c>
      <c r="AB142" s="35">
        <f t="shared" si="89"/>
        <v>22.373999999999999</v>
      </c>
      <c r="AC142" s="6">
        <f t="shared" si="90"/>
        <v>3287.27</v>
      </c>
      <c r="AD142" s="6">
        <f t="shared" si="103"/>
        <v>3263.43</v>
      </c>
      <c r="AE142" s="29">
        <f t="shared" si="104"/>
        <v>2.9000000000000001E-2</v>
      </c>
      <c r="AF142" s="13">
        <f t="shared" si="80"/>
        <v>0.1216</v>
      </c>
      <c r="AG142" s="22">
        <f t="shared" si="105"/>
        <v>43.43</v>
      </c>
      <c r="AH142" s="22">
        <f t="shared" si="81"/>
        <v>33.700000000000003</v>
      </c>
      <c r="AI142" s="22">
        <f t="shared" si="106"/>
        <v>40.997500000000002</v>
      </c>
      <c r="AJ142" s="22">
        <f t="shared" si="107"/>
        <v>46.06</v>
      </c>
    </row>
    <row r="143" spans="1:36" x14ac:dyDescent="0.25">
      <c r="A143" s="34">
        <v>38991</v>
      </c>
      <c r="B143" s="34">
        <f t="shared" si="82"/>
        <v>39051</v>
      </c>
      <c r="C143">
        <v>9373.2000000000007</v>
      </c>
      <c r="D143" s="6">
        <f t="shared" si="91"/>
        <v>9349.9</v>
      </c>
      <c r="E143" s="29">
        <f t="shared" si="92"/>
        <v>9.7999999999999997E-3</v>
      </c>
      <c r="F143" s="29">
        <f t="shared" si="93"/>
        <v>4.3E-3</v>
      </c>
      <c r="G143">
        <v>10132.4</v>
      </c>
      <c r="H143" s="6">
        <f t="shared" si="94"/>
        <v>10101.93</v>
      </c>
      <c r="I143" s="29">
        <f t="shared" si="95"/>
        <v>9.7000000000000003E-3</v>
      </c>
      <c r="J143" s="29">
        <f t="shared" si="96"/>
        <v>6.1000000000000004E-3</v>
      </c>
      <c r="K143">
        <v>1.5788599999999999</v>
      </c>
      <c r="L143">
        <v>2.63</v>
      </c>
      <c r="M143" s="35">
        <f t="shared" si="97"/>
        <v>2.1040000000000001</v>
      </c>
      <c r="N143">
        <v>268.60000000000002</v>
      </c>
      <c r="O143" s="29">
        <f t="shared" si="98"/>
        <v>2.4400000000000002E-2</v>
      </c>
      <c r="P143">
        <v>3.6</v>
      </c>
      <c r="Q143" s="6">
        <f t="shared" si="83"/>
        <v>364.77</v>
      </c>
      <c r="R143">
        <v>8.25</v>
      </c>
      <c r="S143" s="36">
        <f t="shared" si="84"/>
        <v>55.51</v>
      </c>
      <c r="T143" s="6">
        <f t="shared" si="99"/>
        <v>168.86</v>
      </c>
      <c r="U143" s="6">
        <f t="shared" si="100"/>
        <v>168.67</v>
      </c>
      <c r="V143" s="29">
        <f t="shared" si="101"/>
        <v>2.7000000000000001E-3</v>
      </c>
      <c r="W143" s="29">
        <f t="shared" si="102"/>
        <v>1E-3</v>
      </c>
      <c r="X143" s="13">
        <f t="shared" si="85"/>
        <v>2.87E-2</v>
      </c>
      <c r="Y143" s="13">
        <f t="shared" si="86"/>
        <v>2.6499999999999999E-2</v>
      </c>
      <c r="Z143" s="6">
        <f t="shared" si="87"/>
        <v>1.3580416976917347</v>
      </c>
      <c r="AA143" s="13">
        <f t="shared" si="88"/>
        <v>0.21859999999999999</v>
      </c>
      <c r="AB143" s="35">
        <f t="shared" si="89"/>
        <v>22.16</v>
      </c>
      <c r="AC143" s="6">
        <f t="shared" si="90"/>
        <v>3255.76</v>
      </c>
      <c r="AD143" s="6">
        <f t="shared" si="103"/>
        <v>3227.07</v>
      </c>
      <c r="AE143" s="29">
        <f t="shared" si="104"/>
        <v>-5.3E-3</v>
      </c>
      <c r="AF143" s="13">
        <f t="shared" si="80"/>
        <v>0.113</v>
      </c>
      <c r="AG143" s="22">
        <f t="shared" si="105"/>
        <v>46.54</v>
      </c>
      <c r="AH143" s="22">
        <f t="shared" si="81"/>
        <v>34.08</v>
      </c>
      <c r="AI143" s="22">
        <f t="shared" si="106"/>
        <v>43.424999999999997</v>
      </c>
      <c r="AJ143" s="22">
        <f t="shared" si="107"/>
        <v>49.73</v>
      </c>
    </row>
    <row r="144" spans="1:36" x14ac:dyDescent="0.25">
      <c r="A144" s="34">
        <v>38961</v>
      </c>
      <c r="B144" s="34">
        <f t="shared" si="82"/>
        <v>39021</v>
      </c>
      <c r="C144">
        <v>9354.7000000000007</v>
      </c>
      <c r="D144" s="6">
        <f t="shared" si="91"/>
        <v>9333.0300000000007</v>
      </c>
      <c r="E144" s="29">
        <f t="shared" si="92"/>
        <v>1.3299999999999999E-2</v>
      </c>
      <c r="F144" s="29">
        <f t="shared" si="93"/>
        <v>6.4000000000000003E-3</v>
      </c>
      <c r="G144">
        <v>10105.200000000001</v>
      </c>
      <c r="H144" s="6">
        <f t="shared" si="94"/>
        <v>10070.93</v>
      </c>
      <c r="I144" s="29">
        <f t="shared" si="95"/>
        <v>9.7999999999999997E-3</v>
      </c>
      <c r="J144" s="29">
        <f t="shared" si="96"/>
        <v>6.4999999999999997E-3</v>
      </c>
      <c r="K144">
        <v>1.98055</v>
      </c>
      <c r="L144">
        <v>2.73</v>
      </c>
      <c r="M144" s="35">
        <f t="shared" si="97"/>
        <v>2.355</v>
      </c>
      <c r="N144">
        <v>267.89999999999998</v>
      </c>
      <c r="O144" s="29">
        <f t="shared" si="98"/>
        <v>4.4699999999999997E-2</v>
      </c>
      <c r="P144">
        <v>3.6</v>
      </c>
      <c r="Q144" s="6">
        <f t="shared" si="83"/>
        <v>363.79</v>
      </c>
      <c r="R144">
        <v>8.25</v>
      </c>
      <c r="S144" s="36">
        <f t="shared" si="84"/>
        <v>55.44</v>
      </c>
      <c r="T144" s="6">
        <f t="shared" si="99"/>
        <v>168.74</v>
      </c>
      <c r="U144" s="6">
        <f t="shared" si="100"/>
        <v>168.68</v>
      </c>
      <c r="V144" s="29">
        <f t="shared" si="101"/>
        <v>5.4000000000000003E-3</v>
      </c>
      <c r="W144" s="29">
        <f t="shared" si="102"/>
        <v>2.0999999999999999E-3</v>
      </c>
      <c r="X144" s="13">
        <f t="shared" si="85"/>
        <v>2.86E-2</v>
      </c>
      <c r="Y144" s="13">
        <f t="shared" si="86"/>
        <v>2.6499999999999999E-2</v>
      </c>
      <c r="Z144" s="6">
        <f t="shared" si="87"/>
        <v>1.357932064203061</v>
      </c>
      <c r="AA144" s="13">
        <f t="shared" si="88"/>
        <v>0.21859999999999999</v>
      </c>
      <c r="AB144" s="35">
        <f t="shared" si="89"/>
        <v>22.102</v>
      </c>
      <c r="AC144" s="6">
        <f t="shared" si="90"/>
        <v>3247.27</v>
      </c>
      <c r="AD144" s="6">
        <f t="shared" si="103"/>
        <v>3178.18</v>
      </c>
      <c r="AE144" s="29">
        <f t="shared" si="104"/>
        <v>-3.7699999999999997E-2</v>
      </c>
      <c r="AF144" s="13">
        <f t="shared" si="80"/>
        <v>0.1145</v>
      </c>
      <c r="AG144" s="22">
        <f t="shared" si="105"/>
        <v>54.37</v>
      </c>
      <c r="AH144" s="22">
        <f t="shared" si="81"/>
        <v>35.479999999999997</v>
      </c>
      <c r="AI144" s="22">
        <f t="shared" si="106"/>
        <v>49.647499999999994</v>
      </c>
      <c r="AJ144" s="22">
        <f t="shared" si="107"/>
        <v>51.81</v>
      </c>
    </row>
    <row r="145" spans="1:36" x14ac:dyDescent="0.25">
      <c r="A145" s="34">
        <v>38930</v>
      </c>
      <c r="B145" s="34">
        <f t="shared" si="82"/>
        <v>38990</v>
      </c>
      <c r="C145">
        <v>9321.7999999999993</v>
      </c>
      <c r="D145" s="6">
        <f t="shared" si="91"/>
        <v>9295.07</v>
      </c>
      <c r="E145" s="29">
        <f t="shared" si="92"/>
        <v>1.3599999999999999E-2</v>
      </c>
      <c r="F145" s="29">
        <f t="shared" si="93"/>
        <v>6.7000000000000002E-3</v>
      </c>
      <c r="G145">
        <v>10068.200000000001</v>
      </c>
      <c r="H145" s="6">
        <f t="shared" si="94"/>
        <v>10039.9</v>
      </c>
      <c r="I145" s="29">
        <f t="shared" si="95"/>
        <v>1.03E-2</v>
      </c>
      <c r="J145" s="29">
        <f t="shared" si="96"/>
        <v>6.3E-3</v>
      </c>
      <c r="K145">
        <v>3.2342200000000001</v>
      </c>
      <c r="L145">
        <v>2.84</v>
      </c>
      <c r="M145" s="35">
        <f t="shared" si="97"/>
        <v>3.0369999999999999</v>
      </c>
      <c r="N145">
        <v>262.2</v>
      </c>
      <c r="O145" s="29">
        <f t="shared" si="98"/>
        <v>3.8600000000000002E-2</v>
      </c>
      <c r="P145">
        <v>3.6</v>
      </c>
      <c r="Q145" s="6">
        <f t="shared" si="83"/>
        <v>362.46</v>
      </c>
      <c r="R145">
        <v>8.25</v>
      </c>
      <c r="S145" s="36">
        <f t="shared" si="84"/>
        <v>55.35</v>
      </c>
      <c r="T145" s="6">
        <f t="shared" si="99"/>
        <v>168.42</v>
      </c>
      <c r="U145" s="6">
        <f t="shared" si="100"/>
        <v>168.39</v>
      </c>
      <c r="V145" s="29">
        <f t="shared" si="101"/>
        <v>5.1999999999999998E-3</v>
      </c>
      <c r="W145" s="29">
        <f t="shared" si="102"/>
        <v>1.1999999999999999E-3</v>
      </c>
      <c r="X145" s="13">
        <f t="shared" si="85"/>
        <v>2.81E-2</v>
      </c>
      <c r="Y145" s="13">
        <f t="shared" si="86"/>
        <v>2.5999999999999999E-2</v>
      </c>
      <c r="Z145" s="6">
        <f t="shared" si="87"/>
        <v>1.3823798627002288</v>
      </c>
      <c r="AA145" s="13">
        <f t="shared" si="88"/>
        <v>0.2145</v>
      </c>
      <c r="AB145" s="35">
        <f t="shared" si="89"/>
        <v>21.632000000000001</v>
      </c>
      <c r="AC145" s="6">
        <f t="shared" si="90"/>
        <v>3178.18</v>
      </c>
      <c r="AD145" s="6">
        <f t="shared" si="103"/>
        <v>3137.32</v>
      </c>
      <c r="AE145" s="29">
        <f t="shared" si="104"/>
        <v>-6.5000000000000002E-2</v>
      </c>
      <c r="AF145" s="13">
        <f t="shared" si="80"/>
        <v>0.11550000000000001</v>
      </c>
      <c r="AG145" s="22">
        <f t="shared" si="105"/>
        <v>54.32</v>
      </c>
      <c r="AH145" s="22">
        <f t="shared" si="81"/>
        <v>37.65</v>
      </c>
      <c r="AI145" s="22">
        <f t="shared" si="106"/>
        <v>50.152500000000003</v>
      </c>
      <c r="AJ145" s="22">
        <f t="shared" si="107"/>
        <v>53.54</v>
      </c>
    </row>
    <row r="146" spans="1:36" x14ac:dyDescent="0.25">
      <c r="A146" s="34">
        <v>38899</v>
      </c>
      <c r="B146" s="34">
        <f t="shared" si="82"/>
        <v>38960</v>
      </c>
      <c r="C146">
        <v>9322.6</v>
      </c>
      <c r="D146" s="6">
        <f t="shared" si="91"/>
        <v>9259.5</v>
      </c>
      <c r="E146" s="29">
        <f t="shared" si="92"/>
        <v>1.43E-2</v>
      </c>
      <c r="F146" s="29">
        <f t="shared" si="93"/>
        <v>1.2200000000000001E-2</v>
      </c>
      <c r="G146">
        <v>10039.4</v>
      </c>
      <c r="H146" s="6">
        <f t="shared" si="94"/>
        <v>10005.030000000001</v>
      </c>
      <c r="I146" s="29">
        <f t="shared" si="95"/>
        <v>9.9000000000000008E-3</v>
      </c>
      <c r="J146" s="29">
        <f t="shared" si="96"/>
        <v>6.7000000000000002E-3</v>
      </c>
      <c r="K146">
        <v>3.3197999999999999</v>
      </c>
      <c r="L146">
        <v>2.77</v>
      </c>
      <c r="M146" s="35">
        <f t="shared" si="97"/>
        <v>3.0449999999999999</v>
      </c>
      <c r="N146">
        <v>256.5</v>
      </c>
      <c r="O146" s="29">
        <f t="shared" si="98"/>
        <v>2.4E-2</v>
      </c>
      <c r="P146">
        <v>3.4</v>
      </c>
      <c r="Q146" s="6">
        <f t="shared" si="83"/>
        <v>341.34</v>
      </c>
      <c r="R146">
        <v>8.25</v>
      </c>
      <c r="S146" s="36">
        <f t="shared" si="84"/>
        <v>55.2</v>
      </c>
      <c r="T146" s="6">
        <f t="shared" si="99"/>
        <v>168.89</v>
      </c>
      <c r="U146" s="6">
        <f t="shared" si="100"/>
        <v>168.21</v>
      </c>
      <c r="V146" s="29">
        <f t="shared" si="101"/>
        <v>6.1000000000000004E-3</v>
      </c>
      <c r="W146" s="29">
        <f t="shared" si="102"/>
        <v>6.6E-3</v>
      </c>
      <c r="X146" s="13">
        <f t="shared" si="85"/>
        <v>2.75E-2</v>
      </c>
      <c r="Y146" s="13">
        <f t="shared" si="86"/>
        <v>2.5499999999999998E-2</v>
      </c>
      <c r="Z146" s="6">
        <f t="shared" si="87"/>
        <v>1.3307602339181286</v>
      </c>
      <c r="AA146" s="13">
        <f t="shared" si="88"/>
        <v>0.2104</v>
      </c>
      <c r="AB146" s="35">
        <f t="shared" si="89"/>
        <v>21.161000000000001</v>
      </c>
      <c r="AC146" s="6">
        <f t="shared" si="90"/>
        <v>3109.09</v>
      </c>
      <c r="AD146" s="6">
        <f t="shared" si="103"/>
        <v>3130.05</v>
      </c>
      <c r="AE146" s="29">
        <f t="shared" si="104"/>
        <v>-6.9500000000000006E-2</v>
      </c>
      <c r="AF146" s="13">
        <f t="shared" si="80"/>
        <v>0.1091</v>
      </c>
      <c r="AG146" s="22">
        <f t="shared" si="105"/>
        <v>61.55</v>
      </c>
      <c r="AH146" s="22">
        <f t="shared" si="81"/>
        <v>38.14</v>
      </c>
      <c r="AI146" s="22">
        <f t="shared" si="106"/>
        <v>55.697499999999991</v>
      </c>
      <c r="AJ146" s="22">
        <f t="shared" si="107"/>
        <v>56.15</v>
      </c>
    </row>
    <row r="147" spans="1:36" x14ac:dyDescent="0.25">
      <c r="A147" s="34">
        <v>38869</v>
      </c>
      <c r="B147" s="34">
        <f t="shared" si="82"/>
        <v>38929</v>
      </c>
      <c r="C147">
        <v>9240.7999999999993</v>
      </c>
      <c r="D147" s="6">
        <f t="shared" si="91"/>
        <v>9210.23</v>
      </c>
      <c r="E147" s="29">
        <f t="shared" si="92"/>
        <v>1.32E-2</v>
      </c>
      <c r="F147" s="29">
        <f t="shared" si="93"/>
        <v>7.6E-3</v>
      </c>
      <c r="G147">
        <v>10012.1</v>
      </c>
      <c r="H147" s="6">
        <f t="shared" si="94"/>
        <v>9972.9699999999993</v>
      </c>
      <c r="I147" s="29">
        <f t="shared" si="95"/>
        <v>1.0500000000000001E-2</v>
      </c>
      <c r="J147" s="29">
        <f t="shared" si="96"/>
        <v>7.4999999999999997E-3</v>
      </c>
      <c r="K147">
        <v>3.3905799999999999</v>
      </c>
      <c r="L147">
        <v>2.75</v>
      </c>
      <c r="M147" s="35">
        <f t="shared" si="97"/>
        <v>3.07</v>
      </c>
      <c r="N147">
        <v>250.6</v>
      </c>
      <c r="O147" s="29">
        <f t="shared" si="98"/>
        <v>-1.1000000000000001E-3</v>
      </c>
      <c r="P147">
        <v>4</v>
      </c>
      <c r="Q147" s="6">
        <f t="shared" si="83"/>
        <v>400.48</v>
      </c>
      <c r="R147">
        <v>8.02</v>
      </c>
      <c r="S147" s="36">
        <f t="shared" si="84"/>
        <v>55.05</v>
      </c>
      <c r="T147" s="6">
        <f t="shared" si="99"/>
        <v>167.86</v>
      </c>
      <c r="U147" s="6">
        <f t="shared" si="100"/>
        <v>167.78</v>
      </c>
      <c r="V147" s="29">
        <f t="shared" si="101"/>
        <v>5.3E-3</v>
      </c>
      <c r="W147" s="29">
        <f t="shared" si="102"/>
        <v>2E-3</v>
      </c>
      <c r="X147" s="13">
        <f t="shared" si="85"/>
        <v>2.7099999999999999E-2</v>
      </c>
      <c r="Y147" s="13">
        <f t="shared" si="86"/>
        <v>2.5000000000000001E-2</v>
      </c>
      <c r="Z147" s="6">
        <f t="shared" si="87"/>
        <v>1.5980845969672786</v>
      </c>
      <c r="AA147" s="13">
        <f t="shared" si="88"/>
        <v>0.20050000000000001</v>
      </c>
      <c r="AB147" s="35">
        <f t="shared" si="89"/>
        <v>20.097999999999999</v>
      </c>
      <c r="AC147" s="6">
        <f t="shared" si="90"/>
        <v>3124.69</v>
      </c>
      <c r="AD147" s="6">
        <f t="shared" si="103"/>
        <v>3171.54</v>
      </c>
      <c r="AE147" s="29">
        <f t="shared" si="104"/>
        <v>-6.4000000000000001E-2</v>
      </c>
      <c r="AF147" s="13">
        <f t="shared" si="80"/>
        <v>0.1263</v>
      </c>
      <c r="AG147" s="22">
        <f t="shared" si="105"/>
        <v>55.17</v>
      </c>
      <c r="AH147" s="22">
        <f t="shared" si="81"/>
        <v>41.43</v>
      </c>
      <c r="AI147" s="22">
        <f t="shared" si="106"/>
        <v>51.734999999999999</v>
      </c>
      <c r="AJ147" s="22">
        <f t="shared" si="107"/>
        <v>58.3</v>
      </c>
    </row>
    <row r="148" spans="1:36" x14ac:dyDescent="0.25">
      <c r="A148" s="34">
        <v>38838</v>
      </c>
      <c r="B148" s="34">
        <f t="shared" si="82"/>
        <v>38898</v>
      </c>
      <c r="C148">
        <v>9215.1</v>
      </c>
      <c r="D148" s="6">
        <f t="shared" si="91"/>
        <v>9170.67</v>
      </c>
      <c r="E148" s="29">
        <f t="shared" si="92"/>
        <v>1.4500000000000001E-2</v>
      </c>
      <c r="F148" s="29">
        <f t="shared" si="93"/>
        <v>9.4000000000000004E-3</v>
      </c>
      <c r="G148">
        <v>9963.6</v>
      </c>
      <c r="H148" s="6">
        <f t="shared" si="94"/>
        <v>9937.5</v>
      </c>
      <c r="I148" s="29">
        <f t="shared" si="95"/>
        <v>1.4500000000000001E-2</v>
      </c>
      <c r="J148" s="29">
        <f t="shared" si="96"/>
        <v>5.7999999999999996E-3</v>
      </c>
      <c r="K148">
        <v>3.20017</v>
      </c>
      <c r="L148">
        <v>2.59</v>
      </c>
      <c r="M148" s="35">
        <f t="shared" si="97"/>
        <v>2.895</v>
      </c>
      <c r="N148">
        <v>250.3</v>
      </c>
      <c r="O148" s="29">
        <f t="shared" si="98"/>
        <v>-1.6999999999999999E-3</v>
      </c>
      <c r="P148">
        <v>3.8</v>
      </c>
      <c r="Q148" s="6">
        <f t="shared" si="83"/>
        <v>378.62</v>
      </c>
      <c r="R148">
        <v>7.93</v>
      </c>
      <c r="S148" s="36">
        <f t="shared" si="84"/>
        <v>54.89</v>
      </c>
      <c r="T148" s="6">
        <f t="shared" si="99"/>
        <v>167.88</v>
      </c>
      <c r="U148" s="6">
        <f t="shared" si="100"/>
        <v>167.52</v>
      </c>
      <c r="V148" s="29">
        <f t="shared" si="101"/>
        <v>7.0000000000000001E-3</v>
      </c>
      <c r="W148" s="29">
        <f t="shared" si="102"/>
        <v>4.1000000000000003E-3</v>
      </c>
      <c r="X148" s="13">
        <f t="shared" si="85"/>
        <v>2.7199999999999998E-2</v>
      </c>
      <c r="Y148" s="13">
        <f t="shared" si="86"/>
        <v>2.5100000000000001E-2</v>
      </c>
      <c r="Z148" s="6">
        <f t="shared" si="87"/>
        <v>1.5126648022373153</v>
      </c>
      <c r="AA148" s="13">
        <f t="shared" si="88"/>
        <v>0.19900000000000001</v>
      </c>
      <c r="AB148" s="35">
        <f t="shared" si="89"/>
        <v>19.849</v>
      </c>
      <c r="AC148" s="6">
        <f t="shared" si="90"/>
        <v>3156.37</v>
      </c>
      <c r="AD148" s="6">
        <f t="shared" si="103"/>
        <v>3244.18</v>
      </c>
      <c r="AE148" s="29">
        <f t="shared" si="104"/>
        <v>-5.3400000000000003E-2</v>
      </c>
      <c r="AF148" s="13">
        <f t="shared" si="80"/>
        <v>0.1167</v>
      </c>
      <c r="AG148" s="22">
        <f t="shared" si="105"/>
        <v>60.09</v>
      </c>
      <c r="AH148" s="22">
        <f t="shared" si="81"/>
        <v>46.1</v>
      </c>
      <c r="AI148" s="22">
        <f t="shared" si="106"/>
        <v>56.592500000000001</v>
      </c>
      <c r="AJ148" s="22">
        <f t="shared" si="107"/>
        <v>61.06</v>
      </c>
    </row>
    <row r="149" spans="1:36" x14ac:dyDescent="0.25">
      <c r="A149" s="34">
        <v>38808</v>
      </c>
      <c r="B149" s="34">
        <f t="shared" si="82"/>
        <v>38868</v>
      </c>
      <c r="C149">
        <v>9174.7999999999993</v>
      </c>
      <c r="D149" s="6">
        <f t="shared" si="91"/>
        <v>9129</v>
      </c>
      <c r="E149" s="29">
        <f t="shared" si="92"/>
        <v>1.55E-2</v>
      </c>
      <c r="F149" s="29">
        <f t="shared" si="93"/>
        <v>9.2999999999999992E-3</v>
      </c>
      <c r="G149">
        <v>9943.2000000000007</v>
      </c>
      <c r="H149" s="6">
        <f t="shared" si="94"/>
        <v>9906.57</v>
      </c>
      <c r="I149" s="29">
        <f t="shared" si="95"/>
        <v>1.95E-2</v>
      </c>
      <c r="J149" s="29">
        <f t="shared" si="96"/>
        <v>7.4999999999999997E-3</v>
      </c>
      <c r="K149">
        <v>2.99539</v>
      </c>
      <c r="L149">
        <v>2.4900000000000002</v>
      </c>
      <c r="M149" s="35">
        <f t="shared" si="97"/>
        <v>2.7429999999999999</v>
      </c>
      <c r="N149">
        <v>250.6</v>
      </c>
      <c r="O149" s="29">
        <f t="shared" si="98"/>
        <v>5.3E-3</v>
      </c>
      <c r="P149">
        <v>4</v>
      </c>
      <c r="Q149" s="6">
        <f t="shared" si="83"/>
        <v>397.73</v>
      </c>
      <c r="R149">
        <v>7.75</v>
      </c>
      <c r="S149" s="36">
        <f t="shared" si="84"/>
        <v>54.74</v>
      </c>
      <c r="T149" s="6">
        <f t="shared" si="99"/>
        <v>167.61</v>
      </c>
      <c r="U149" s="6">
        <f t="shared" si="100"/>
        <v>167.19</v>
      </c>
      <c r="V149" s="29">
        <f t="shared" si="101"/>
        <v>8.0999999999999996E-3</v>
      </c>
      <c r="W149" s="29">
        <f t="shared" si="102"/>
        <v>4.3E-3</v>
      </c>
      <c r="X149" s="13">
        <f t="shared" si="85"/>
        <v>2.7300000000000001E-2</v>
      </c>
      <c r="Y149" s="13">
        <f t="shared" si="86"/>
        <v>2.52E-2</v>
      </c>
      <c r="Z149" s="6">
        <f t="shared" si="87"/>
        <v>1.5871109337589786</v>
      </c>
      <c r="AA149" s="13">
        <f t="shared" si="88"/>
        <v>0.1953</v>
      </c>
      <c r="AB149" s="35">
        <f t="shared" si="89"/>
        <v>19.422000000000001</v>
      </c>
      <c r="AC149" s="6">
        <f t="shared" si="90"/>
        <v>3233.55</v>
      </c>
      <c r="AD149" s="6">
        <f t="shared" si="103"/>
        <v>3302.73</v>
      </c>
      <c r="AE149" s="29">
        <f t="shared" si="104"/>
        <v>-5.6099999999999997E-2</v>
      </c>
      <c r="AF149" s="13">
        <f t="shared" si="80"/>
        <v>0.12039999999999999</v>
      </c>
      <c r="AG149" s="22">
        <f t="shared" si="105"/>
        <v>62.21</v>
      </c>
      <c r="AH149" s="22">
        <f t="shared" si="81"/>
        <v>55.59</v>
      </c>
      <c r="AI149" s="22">
        <f t="shared" si="106"/>
        <v>60.555</v>
      </c>
      <c r="AJ149" s="22">
        <f t="shared" si="107"/>
        <v>62.46</v>
      </c>
    </row>
    <row r="150" spans="1:36" x14ac:dyDescent="0.25">
      <c r="A150" s="34">
        <v>38777</v>
      </c>
      <c r="B150" s="34">
        <f t="shared" si="82"/>
        <v>38837</v>
      </c>
      <c r="C150">
        <v>9122.1</v>
      </c>
      <c r="D150" s="6">
        <f t="shared" si="91"/>
        <v>9090.67</v>
      </c>
      <c r="E150" s="29">
        <f t="shared" si="92"/>
        <v>1.6299999999999999E-2</v>
      </c>
      <c r="F150" s="29">
        <f t="shared" si="93"/>
        <v>9.1000000000000004E-3</v>
      </c>
      <c r="G150">
        <v>9905.7000000000007</v>
      </c>
      <c r="H150" s="6">
        <f t="shared" si="94"/>
        <v>9869.2000000000007</v>
      </c>
      <c r="I150" s="29">
        <f t="shared" si="95"/>
        <v>2.46E-2</v>
      </c>
      <c r="J150" s="29">
        <f t="shared" si="96"/>
        <v>1.12E-2</v>
      </c>
      <c r="K150">
        <v>2.8301400000000001</v>
      </c>
      <c r="L150">
        <v>2.39</v>
      </c>
      <c r="M150" s="35">
        <f t="shared" si="97"/>
        <v>2.61</v>
      </c>
      <c r="N150">
        <v>251.7</v>
      </c>
      <c r="O150" s="29">
        <f t="shared" si="98"/>
        <v>2.47E-2</v>
      </c>
      <c r="P150">
        <v>4.2</v>
      </c>
      <c r="Q150" s="6">
        <f t="shared" si="83"/>
        <v>416.04</v>
      </c>
      <c r="R150">
        <v>7.53</v>
      </c>
      <c r="S150" s="36">
        <f t="shared" si="84"/>
        <v>54.6</v>
      </c>
      <c r="T150" s="6">
        <f t="shared" si="99"/>
        <v>167.07</v>
      </c>
      <c r="U150" s="6">
        <f t="shared" si="100"/>
        <v>166.89</v>
      </c>
      <c r="V150" s="29">
        <f t="shared" si="101"/>
        <v>8.8000000000000005E-3</v>
      </c>
      <c r="W150" s="29">
        <f t="shared" si="102"/>
        <v>4.1999999999999997E-3</v>
      </c>
      <c r="X150" s="13">
        <f t="shared" si="85"/>
        <v>2.76E-2</v>
      </c>
      <c r="Y150" s="13">
        <f t="shared" si="86"/>
        <v>2.5399999999999999E-2</v>
      </c>
      <c r="Z150" s="6">
        <f t="shared" si="87"/>
        <v>1.6529201430274136</v>
      </c>
      <c r="AA150" s="13">
        <f t="shared" si="88"/>
        <v>0.1913</v>
      </c>
      <c r="AB150" s="35">
        <f t="shared" si="89"/>
        <v>18.952999999999999</v>
      </c>
      <c r="AC150" s="6">
        <f t="shared" si="90"/>
        <v>3342.63</v>
      </c>
      <c r="AD150" s="6">
        <f t="shared" si="103"/>
        <v>3355.27</v>
      </c>
      <c r="AE150" s="29">
        <f t="shared" si="104"/>
        <v>-6.2100000000000002E-2</v>
      </c>
      <c r="AF150" s="13">
        <f t="shared" si="80"/>
        <v>0.124</v>
      </c>
      <c r="AG150" s="22">
        <f t="shared" si="105"/>
        <v>63.47</v>
      </c>
      <c r="AH150" s="22">
        <f t="shared" si="81"/>
        <v>66.78</v>
      </c>
      <c r="AI150" s="22">
        <f t="shared" si="106"/>
        <v>64.297499999999999</v>
      </c>
      <c r="AJ150" s="22">
        <f t="shared" si="107"/>
        <v>60.51</v>
      </c>
    </row>
    <row r="151" spans="1:36" x14ac:dyDescent="0.25">
      <c r="A151" s="34">
        <v>38749</v>
      </c>
      <c r="B151" s="34">
        <f t="shared" si="82"/>
        <v>38807</v>
      </c>
      <c r="C151">
        <v>9090.1</v>
      </c>
      <c r="D151" s="6">
        <f t="shared" si="91"/>
        <v>9039.83</v>
      </c>
      <c r="E151" s="29">
        <f t="shared" si="92"/>
        <v>1.38E-2</v>
      </c>
      <c r="F151" s="29">
        <f t="shared" si="93"/>
        <v>1.12E-2</v>
      </c>
      <c r="G151">
        <v>9870.7999999999993</v>
      </c>
      <c r="H151" s="6">
        <f t="shared" si="94"/>
        <v>9795.77</v>
      </c>
      <c r="I151" s="29">
        <f t="shared" si="95"/>
        <v>2.3900000000000001E-2</v>
      </c>
      <c r="J151" s="29">
        <f t="shared" si="96"/>
        <v>1.5800000000000002E-2</v>
      </c>
      <c r="K151">
        <v>2.9513600000000002</v>
      </c>
      <c r="L151">
        <v>2.37</v>
      </c>
      <c r="M151" s="35">
        <f t="shared" si="97"/>
        <v>2.661</v>
      </c>
      <c r="N151">
        <v>249.9</v>
      </c>
      <c r="O151" s="29">
        <f t="shared" si="98"/>
        <v>3.3500000000000002E-2</v>
      </c>
      <c r="P151">
        <v>4.2</v>
      </c>
      <c r="Q151" s="6">
        <f t="shared" si="83"/>
        <v>414.57</v>
      </c>
      <c r="R151">
        <v>7.5</v>
      </c>
      <c r="S151" s="36">
        <f t="shared" si="84"/>
        <v>54.47</v>
      </c>
      <c r="T151" s="6">
        <f t="shared" si="99"/>
        <v>166.88</v>
      </c>
      <c r="U151" s="6">
        <f t="shared" si="100"/>
        <v>166.36</v>
      </c>
      <c r="V151" s="29">
        <f t="shared" si="101"/>
        <v>6.1999999999999998E-3</v>
      </c>
      <c r="W151" s="29">
        <f t="shared" si="102"/>
        <v>6.3E-3</v>
      </c>
      <c r="X151" s="13">
        <f t="shared" si="85"/>
        <v>2.75E-2</v>
      </c>
      <c r="Y151" s="13">
        <f t="shared" si="86"/>
        <v>2.53E-2</v>
      </c>
      <c r="Z151" s="6">
        <f t="shared" si="87"/>
        <v>1.6589435774309724</v>
      </c>
      <c r="AA151" s="13">
        <f t="shared" si="88"/>
        <v>0.1898</v>
      </c>
      <c r="AB151" s="35">
        <f t="shared" si="89"/>
        <v>18.742999999999999</v>
      </c>
      <c r="AC151" s="6">
        <f t="shared" si="90"/>
        <v>3332</v>
      </c>
      <c r="AD151" s="6">
        <f t="shared" si="103"/>
        <v>3363.67</v>
      </c>
      <c r="AE151" s="29">
        <f t="shared" si="104"/>
        <v>-7.8899999999999998E-2</v>
      </c>
      <c r="AF151" s="13">
        <f t="shared" si="80"/>
        <v>0.1232</v>
      </c>
      <c r="AG151" s="22">
        <f t="shared" si="105"/>
        <v>60.5</v>
      </c>
      <c r="AH151" s="22">
        <f t="shared" si="81"/>
        <v>69.72</v>
      </c>
      <c r="AI151" s="22">
        <f t="shared" si="106"/>
        <v>62.805</v>
      </c>
      <c r="AJ151" s="22">
        <f t="shared" si="107"/>
        <v>58.78</v>
      </c>
    </row>
    <row r="152" spans="1:36" x14ac:dyDescent="0.25">
      <c r="A152" s="34">
        <v>38718</v>
      </c>
      <c r="B152" s="34">
        <f t="shared" si="82"/>
        <v>38776</v>
      </c>
      <c r="C152">
        <v>9059.7999999999993</v>
      </c>
      <c r="D152" s="6">
        <f t="shared" si="91"/>
        <v>8989.2999999999993</v>
      </c>
      <c r="E152" s="29">
        <f t="shared" si="92"/>
        <v>1.21E-2</v>
      </c>
      <c r="F152" s="29">
        <f t="shared" si="93"/>
        <v>1.2800000000000001E-2</v>
      </c>
      <c r="G152">
        <v>9831.1</v>
      </c>
      <c r="H152" s="6">
        <f t="shared" si="94"/>
        <v>9717.0300000000007</v>
      </c>
      <c r="I152" s="29">
        <f t="shared" si="95"/>
        <v>2.2800000000000001E-2</v>
      </c>
      <c r="J152" s="29">
        <f t="shared" si="96"/>
        <v>2.07E-2</v>
      </c>
      <c r="K152">
        <v>3.1827100000000002</v>
      </c>
      <c r="L152">
        <v>2.44</v>
      </c>
      <c r="M152" s="35">
        <f t="shared" si="97"/>
        <v>2.8109999999999999</v>
      </c>
      <c r="N152">
        <v>246.2</v>
      </c>
      <c r="O152" s="29">
        <f t="shared" si="98"/>
        <v>3.1600000000000003E-2</v>
      </c>
      <c r="P152">
        <v>4.2</v>
      </c>
      <c r="Q152" s="6">
        <f t="shared" si="83"/>
        <v>412.91</v>
      </c>
      <c r="R152">
        <v>7.26</v>
      </c>
      <c r="S152" s="36">
        <f t="shared" si="84"/>
        <v>54.34</v>
      </c>
      <c r="T152" s="6">
        <f t="shared" si="99"/>
        <v>166.72</v>
      </c>
      <c r="U152" s="6">
        <f t="shared" si="100"/>
        <v>165.84</v>
      </c>
      <c r="V152" s="29">
        <f t="shared" si="101"/>
        <v>4.1999999999999997E-3</v>
      </c>
      <c r="W152" s="29">
        <f t="shared" si="102"/>
        <v>7.7999999999999996E-3</v>
      </c>
      <c r="X152" s="13">
        <f t="shared" si="85"/>
        <v>2.7199999999999998E-2</v>
      </c>
      <c r="Y152" s="13">
        <f t="shared" si="86"/>
        <v>2.5000000000000001E-2</v>
      </c>
      <c r="Z152" s="6">
        <f t="shared" si="87"/>
        <v>1.6771324126726241</v>
      </c>
      <c r="AA152" s="13">
        <f t="shared" si="88"/>
        <v>0.18149999999999999</v>
      </c>
      <c r="AB152" s="35">
        <f t="shared" si="89"/>
        <v>17.873999999999999</v>
      </c>
      <c r="AC152" s="6">
        <f t="shared" si="90"/>
        <v>3391.18</v>
      </c>
      <c r="AD152" s="6">
        <f t="shared" si="103"/>
        <v>3388.24</v>
      </c>
      <c r="AE152" s="29">
        <f t="shared" si="104"/>
        <v>-9.5100000000000004E-2</v>
      </c>
      <c r="AF152" s="13">
        <f t="shared" si="80"/>
        <v>0.12189999999999999</v>
      </c>
      <c r="AG152" s="22">
        <f t="shared" si="105"/>
        <v>58.44</v>
      </c>
      <c r="AH152" s="22">
        <f t="shared" si="81"/>
        <v>73.459999999999994</v>
      </c>
      <c r="AI152" s="22">
        <f t="shared" si="106"/>
        <v>62.194999999999993</v>
      </c>
      <c r="AJ152" s="22">
        <f t="shared" si="107"/>
        <v>58.92</v>
      </c>
    </row>
    <row r="153" spans="1:36" x14ac:dyDescent="0.25">
      <c r="A153" s="34">
        <v>38687</v>
      </c>
      <c r="B153" s="34">
        <f t="shared" si="82"/>
        <v>38748</v>
      </c>
      <c r="C153">
        <v>8969.6</v>
      </c>
      <c r="D153" s="6">
        <f t="shared" si="91"/>
        <v>8944.9</v>
      </c>
      <c r="E153" s="29">
        <f t="shared" si="92"/>
        <v>1.0800000000000001E-2</v>
      </c>
      <c r="F153" s="29">
        <f t="shared" si="93"/>
        <v>5.8999999999999999E-3</v>
      </c>
      <c r="G153">
        <v>9685.4</v>
      </c>
      <c r="H153" s="6">
        <f t="shared" si="94"/>
        <v>9631.8700000000008</v>
      </c>
      <c r="I153" s="29">
        <f t="shared" si="95"/>
        <v>2.07E-2</v>
      </c>
      <c r="J153" s="29">
        <f t="shared" si="96"/>
        <v>1.24E-2</v>
      </c>
      <c r="K153">
        <v>2.8146399999999998</v>
      </c>
      <c r="L153">
        <v>2.5</v>
      </c>
      <c r="M153" s="35">
        <f t="shared" si="97"/>
        <v>2.657</v>
      </c>
      <c r="N153">
        <v>240.8</v>
      </c>
      <c r="O153" s="29">
        <f t="shared" si="98"/>
        <v>1.5599999999999999E-2</v>
      </c>
      <c r="P153">
        <v>3.7</v>
      </c>
      <c r="Q153" s="6">
        <f t="shared" si="83"/>
        <v>358.36</v>
      </c>
      <c r="R153">
        <v>7.15</v>
      </c>
      <c r="S153" s="36">
        <f t="shared" si="84"/>
        <v>54.2</v>
      </c>
      <c r="T153" s="6">
        <f t="shared" si="99"/>
        <v>165.49</v>
      </c>
      <c r="U153" s="6">
        <f t="shared" si="100"/>
        <v>165.43</v>
      </c>
      <c r="V153" s="29">
        <f t="shared" si="101"/>
        <v>2.5000000000000001E-3</v>
      </c>
      <c r="W153" s="29">
        <f t="shared" si="102"/>
        <v>8.9999999999999998E-4</v>
      </c>
      <c r="X153" s="13">
        <f t="shared" si="85"/>
        <v>2.6800000000000001E-2</v>
      </c>
      <c r="Y153" s="13">
        <f t="shared" si="86"/>
        <v>2.4899999999999999E-2</v>
      </c>
      <c r="Z153" s="6">
        <f t="shared" si="87"/>
        <v>1.4882059800664451</v>
      </c>
      <c r="AA153" s="13">
        <f t="shared" si="88"/>
        <v>0.17799999999999999</v>
      </c>
      <c r="AB153" s="35">
        <f t="shared" si="89"/>
        <v>17.216999999999999</v>
      </c>
      <c r="AC153" s="6">
        <f t="shared" si="90"/>
        <v>3367.83</v>
      </c>
      <c r="AD153" s="6">
        <f t="shared" si="103"/>
        <v>3427.23</v>
      </c>
      <c r="AE153" s="29">
        <f t="shared" si="104"/>
        <v>-9.8699999999999996E-2</v>
      </c>
      <c r="AF153" s="13">
        <f t="shared" si="80"/>
        <v>0.1046</v>
      </c>
      <c r="AG153" s="22">
        <f t="shared" si="105"/>
        <v>48.66</v>
      </c>
      <c r="AH153" s="22">
        <f t="shared" si="81"/>
        <v>65.03</v>
      </c>
      <c r="AI153" s="22">
        <f t="shared" si="106"/>
        <v>52.752499999999998</v>
      </c>
      <c r="AJ153" s="22">
        <f t="shared" si="107"/>
        <v>60.6</v>
      </c>
    </row>
    <row r="154" spans="1:36" x14ac:dyDescent="0.25">
      <c r="A154" s="34">
        <v>38657</v>
      </c>
      <c r="B154" s="34">
        <f t="shared" si="82"/>
        <v>38717</v>
      </c>
      <c r="C154">
        <v>8938.5</v>
      </c>
      <c r="D154" s="6">
        <f t="shared" si="91"/>
        <v>8916.9699999999993</v>
      </c>
      <c r="E154" s="29">
        <f t="shared" si="92"/>
        <v>1.38E-2</v>
      </c>
      <c r="F154" s="29">
        <f t="shared" si="93"/>
        <v>6.4000000000000003E-3</v>
      </c>
      <c r="G154">
        <v>9634.6</v>
      </c>
      <c r="H154" s="6">
        <f t="shared" si="94"/>
        <v>9567.23</v>
      </c>
      <c r="I154" s="29">
        <f t="shared" si="95"/>
        <v>1.9300000000000001E-2</v>
      </c>
      <c r="J154" s="29">
        <f t="shared" si="96"/>
        <v>1.4200000000000001E-2</v>
      </c>
      <c r="K154">
        <v>2.86524</v>
      </c>
      <c r="L154">
        <v>2.54</v>
      </c>
      <c r="M154" s="35">
        <f t="shared" si="97"/>
        <v>2.7029999999999998</v>
      </c>
      <c r="N154">
        <v>238.4</v>
      </c>
      <c r="O154" s="29">
        <f t="shared" si="98"/>
        <v>1.0999999999999999E-2</v>
      </c>
      <c r="P154">
        <v>3.5</v>
      </c>
      <c r="Q154" s="6">
        <f t="shared" si="83"/>
        <v>337.21</v>
      </c>
      <c r="R154">
        <v>7</v>
      </c>
      <c r="S154" s="36">
        <f t="shared" si="84"/>
        <v>54.07</v>
      </c>
      <c r="T154" s="6">
        <f t="shared" si="99"/>
        <v>165.31</v>
      </c>
      <c r="U154" s="6">
        <f t="shared" si="100"/>
        <v>165.34</v>
      </c>
      <c r="V154" s="29">
        <f t="shared" si="101"/>
        <v>5.4000000000000003E-3</v>
      </c>
      <c r="W154" s="29">
        <f t="shared" si="102"/>
        <v>8.9999999999999998E-4</v>
      </c>
      <c r="X154" s="13">
        <f t="shared" si="85"/>
        <v>2.6700000000000002E-2</v>
      </c>
      <c r="Y154" s="13">
        <f t="shared" si="86"/>
        <v>2.47E-2</v>
      </c>
      <c r="Z154" s="6">
        <f t="shared" si="87"/>
        <v>1.414471476510067</v>
      </c>
      <c r="AA154" s="13">
        <f t="shared" si="88"/>
        <v>0.1729</v>
      </c>
      <c r="AB154" s="35">
        <f t="shared" si="89"/>
        <v>16.687999999999999</v>
      </c>
      <c r="AC154" s="6">
        <f t="shared" si="90"/>
        <v>3405.71</v>
      </c>
      <c r="AD154" s="6">
        <f t="shared" si="103"/>
        <v>3498.85</v>
      </c>
      <c r="AE154" s="29">
        <f t="shared" si="104"/>
        <v>-9.4E-2</v>
      </c>
      <c r="AF154" s="13">
        <f t="shared" si="80"/>
        <v>9.64E-2</v>
      </c>
      <c r="AG154" s="22">
        <f t="shared" si="105"/>
        <v>54.84</v>
      </c>
      <c r="AH154" s="22">
        <f t="shared" si="81"/>
        <v>64.87</v>
      </c>
      <c r="AI154" s="22">
        <f t="shared" si="106"/>
        <v>57.347500000000004</v>
      </c>
      <c r="AJ154" s="22">
        <f t="shared" si="107"/>
        <v>64.88</v>
      </c>
    </row>
    <row r="155" spans="1:36" x14ac:dyDescent="0.25">
      <c r="A155" s="34">
        <v>38626</v>
      </c>
      <c r="B155" s="34">
        <f t="shared" si="82"/>
        <v>38686</v>
      </c>
      <c r="C155">
        <v>8926.6</v>
      </c>
      <c r="D155" s="6">
        <f t="shared" si="91"/>
        <v>8881.6</v>
      </c>
      <c r="E155" s="29">
        <f t="shared" si="92"/>
        <v>1.7000000000000001E-2</v>
      </c>
      <c r="F155" s="29">
        <f t="shared" si="93"/>
        <v>8.6999999999999994E-3</v>
      </c>
      <c r="G155">
        <v>9575.6</v>
      </c>
      <c r="H155" s="6">
        <f t="shared" si="94"/>
        <v>9500.17</v>
      </c>
      <c r="I155" s="29">
        <f t="shared" si="95"/>
        <v>1.6400000000000001E-2</v>
      </c>
      <c r="J155" s="29">
        <f t="shared" si="96"/>
        <v>1.4800000000000001E-2</v>
      </c>
      <c r="K155">
        <v>3.4803799999999998</v>
      </c>
      <c r="L155">
        <v>2.4700000000000002</v>
      </c>
      <c r="M155" s="35">
        <f t="shared" si="97"/>
        <v>2.9750000000000001</v>
      </c>
      <c r="N155">
        <v>236.8</v>
      </c>
      <c r="O155" s="29">
        <f t="shared" si="98"/>
        <v>9.4000000000000004E-3</v>
      </c>
      <c r="P155">
        <v>3.1</v>
      </c>
      <c r="Q155" s="6">
        <f t="shared" si="83"/>
        <v>296.83999999999997</v>
      </c>
      <c r="R155">
        <v>6.75</v>
      </c>
      <c r="S155" s="36">
        <f t="shared" si="84"/>
        <v>53.94</v>
      </c>
      <c r="T155" s="6">
        <f t="shared" si="99"/>
        <v>165.49</v>
      </c>
      <c r="U155" s="6">
        <f t="shared" si="100"/>
        <v>165.15</v>
      </c>
      <c r="V155" s="29">
        <f t="shared" si="101"/>
        <v>9.1999999999999998E-3</v>
      </c>
      <c r="W155" s="29">
        <f t="shared" si="102"/>
        <v>2.8E-3</v>
      </c>
      <c r="X155" s="13">
        <f t="shared" si="85"/>
        <v>2.6499999999999999E-2</v>
      </c>
      <c r="Y155" s="13">
        <f t="shared" si="86"/>
        <v>2.47E-2</v>
      </c>
      <c r="Z155" s="6">
        <f t="shared" si="87"/>
        <v>1.2535472972972972</v>
      </c>
      <c r="AA155" s="13">
        <f t="shared" si="88"/>
        <v>0.16669999999999999</v>
      </c>
      <c r="AB155" s="35">
        <f t="shared" si="89"/>
        <v>15.984</v>
      </c>
      <c r="AC155" s="6">
        <f t="shared" si="90"/>
        <v>3508.15</v>
      </c>
      <c r="AD155" s="6">
        <f t="shared" si="103"/>
        <v>3577.38</v>
      </c>
      <c r="AE155" s="29">
        <f t="shared" si="104"/>
        <v>-8.2600000000000007E-2</v>
      </c>
      <c r="AF155" s="13">
        <f t="shared" si="80"/>
        <v>8.3000000000000004E-2</v>
      </c>
      <c r="AG155" s="22">
        <f t="shared" si="105"/>
        <v>64</v>
      </c>
      <c r="AH155" s="22">
        <f t="shared" si="81"/>
        <v>61.52</v>
      </c>
      <c r="AI155" s="22">
        <f t="shared" si="106"/>
        <v>63.38</v>
      </c>
      <c r="AJ155" s="22">
        <f t="shared" si="107"/>
        <v>68.44</v>
      </c>
    </row>
    <row r="156" spans="1:36" x14ac:dyDescent="0.25">
      <c r="A156" s="34">
        <v>38596</v>
      </c>
      <c r="B156" s="34">
        <f t="shared" si="82"/>
        <v>38656</v>
      </c>
      <c r="C156">
        <v>8885.7999999999993</v>
      </c>
      <c r="D156" s="6">
        <f t="shared" si="91"/>
        <v>8849.23</v>
      </c>
      <c r="E156" s="29">
        <f t="shared" si="92"/>
        <v>2.0500000000000001E-2</v>
      </c>
      <c r="F156" s="29">
        <f t="shared" si="93"/>
        <v>1.03E-2</v>
      </c>
      <c r="G156">
        <v>9491.5</v>
      </c>
      <c r="H156" s="6">
        <f t="shared" si="94"/>
        <v>9436.23</v>
      </c>
      <c r="I156" s="29">
        <f t="shared" si="95"/>
        <v>1.37E-2</v>
      </c>
      <c r="J156" s="29">
        <f t="shared" si="96"/>
        <v>1.12E-2</v>
      </c>
      <c r="K156">
        <v>3.7667899999999999</v>
      </c>
      <c r="L156">
        <v>2.38</v>
      </c>
      <c r="M156" s="35">
        <f t="shared" si="97"/>
        <v>3.073</v>
      </c>
      <c r="N156">
        <v>236.1</v>
      </c>
      <c r="O156" s="29">
        <f t="shared" si="98"/>
        <v>1.23E-2</v>
      </c>
      <c r="P156">
        <v>2.7</v>
      </c>
      <c r="Q156" s="6">
        <f t="shared" si="83"/>
        <v>256.27</v>
      </c>
      <c r="R156">
        <v>6.59</v>
      </c>
      <c r="S156" s="36">
        <f t="shared" si="84"/>
        <v>53.78</v>
      </c>
      <c r="T156" s="6">
        <f t="shared" si="99"/>
        <v>165.22</v>
      </c>
      <c r="U156" s="6">
        <f t="shared" si="100"/>
        <v>165.02</v>
      </c>
      <c r="V156" s="29">
        <f t="shared" si="101"/>
        <v>1.35E-2</v>
      </c>
      <c r="W156" s="29">
        <f t="shared" si="102"/>
        <v>4.7000000000000002E-3</v>
      </c>
      <c r="X156" s="13">
        <f t="shared" si="85"/>
        <v>2.6599999999999999E-2</v>
      </c>
      <c r="Y156" s="13">
        <f t="shared" si="86"/>
        <v>2.4899999999999999E-2</v>
      </c>
      <c r="Z156" s="6">
        <f t="shared" si="87"/>
        <v>1.0854299025836509</v>
      </c>
      <c r="AA156" s="13">
        <f t="shared" si="88"/>
        <v>0.1641</v>
      </c>
      <c r="AB156" s="35">
        <f t="shared" si="89"/>
        <v>15.558999999999999</v>
      </c>
      <c r="AC156" s="6">
        <f t="shared" si="90"/>
        <v>3582.7</v>
      </c>
      <c r="AD156" s="6">
        <f t="shared" si="103"/>
        <v>3651.73</v>
      </c>
      <c r="AE156" s="29">
        <f t="shared" si="104"/>
        <v>-7.9899999999999999E-2</v>
      </c>
      <c r="AF156" s="13">
        <f t="shared" si="80"/>
        <v>7.0199999999999999E-2</v>
      </c>
      <c r="AG156" s="22">
        <f t="shared" si="105"/>
        <v>73.52</v>
      </c>
      <c r="AH156" s="22">
        <f t="shared" si="81"/>
        <v>55.15</v>
      </c>
      <c r="AI156" s="22">
        <f t="shared" si="106"/>
        <v>68.927499999999995</v>
      </c>
      <c r="AJ156" s="22">
        <f t="shared" si="107"/>
        <v>69.48</v>
      </c>
    </row>
    <row r="157" spans="1:36" x14ac:dyDescent="0.25">
      <c r="A157" s="34">
        <v>38565</v>
      </c>
      <c r="B157" s="34">
        <f t="shared" si="82"/>
        <v>38625</v>
      </c>
      <c r="C157">
        <v>8832.4</v>
      </c>
      <c r="D157" s="6">
        <f t="shared" si="91"/>
        <v>8795.57</v>
      </c>
      <c r="E157" s="29">
        <f t="shared" si="92"/>
        <v>2.0400000000000001E-2</v>
      </c>
      <c r="F157" s="29">
        <f t="shared" si="93"/>
        <v>1.14E-2</v>
      </c>
      <c r="G157">
        <v>9433.4</v>
      </c>
      <c r="H157" s="6">
        <f t="shared" si="94"/>
        <v>9386.2999999999993</v>
      </c>
      <c r="I157" s="29">
        <f t="shared" si="95"/>
        <v>1.29E-2</v>
      </c>
      <c r="J157" s="29">
        <f t="shared" si="96"/>
        <v>9.1999999999999998E-3</v>
      </c>
      <c r="K157">
        <v>2.9841700000000002</v>
      </c>
      <c r="L157">
        <v>2.23</v>
      </c>
      <c r="M157" s="35">
        <f t="shared" si="97"/>
        <v>2.6070000000000002</v>
      </c>
      <c r="N157">
        <v>234.5</v>
      </c>
      <c r="O157" s="29">
        <f t="shared" si="98"/>
        <v>1.46E-2</v>
      </c>
      <c r="P157">
        <v>2.7</v>
      </c>
      <c r="Q157" s="6">
        <f t="shared" si="83"/>
        <v>254.7</v>
      </c>
      <c r="R157">
        <v>6.44</v>
      </c>
      <c r="S157" s="36">
        <f t="shared" si="84"/>
        <v>53.61</v>
      </c>
      <c r="T157" s="6">
        <f t="shared" si="99"/>
        <v>164.75</v>
      </c>
      <c r="U157" s="6">
        <f t="shared" si="100"/>
        <v>164.45</v>
      </c>
      <c r="V157" s="29">
        <f t="shared" si="101"/>
        <v>1.3899999999999999E-2</v>
      </c>
      <c r="W157" s="29">
        <f t="shared" si="102"/>
        <v>6.7999999999999996E-3</v>
      </c>
      <c r="X157" s="13">
        <f t="shared" si="85"/>
        <v>2.6499999999999999E-2</v>
      </c>
      <c r="Y157" s="13">
        <f t="shared" si="86"/>
        <v>2.4899999999999999E-2</v>
      </c>
      <c r="Z157" s="6">
        <f t="shared" si="87"/>
        <v>1.086140724946695</v>
      </c>
      <c r="AA157" s="13">
        <f t="shared" si="88"/>
        <v>0.16039999999999999</v>
      </c>
      <c r="AB157" s="35">
        <f t="shared" si="89"/>
        <v>15.102</v>
      </c>
      <c r="AC157" s="6">
        <f t="shared" si="90"/>
        <v>3641.3</v>
      </c>
      <c r="AD157" s="6">
        <f t="shared" si="103"/>
        <v>3744.24</v>
      </c>
      <c r="AE157" s="29">
        <f t="shared" si="104"/>
        <v>-7.6600000000000001E-2</v>
      </c>
      <c r="AF157" s="13">
        <f t="shared" si="80"/>
        <v>6.8000000000000005E-2</v>
      </c>
      <c r="AG157" s="22">
        <f t="shared" si="105"/>
        <v>75.45</v>
      </c>
      <c r="AH157" s="22">
        <f t="shared" si="81"/>
        <v>53.1</v>
      </c>
      <c r="AI157" s="22">
        <f t="shared" si="106"/>
        <v>69.862500000000011</v>
      </c>
      <c r="AJ157" s="22">
        <f t="shared" si="107"/>
        <v>66.16</v>
      </c>
    </row>
    <row r="158" spans="1:36" x14ac:dyDescent="0.25">
      <c r="A158" s="34">
        <v>38534</v>
      </c>
      <c r="B158" s="34">
        <f t="shared" si="82"/>
        <v>38595</v>
      </c>
      <c r="C158">
        <v>8829.5</v>
      </c>
      <c r="D158" s="6">
        <f t="shared" si="91"/>
        <v>8732.73</v>
      </c>
      <c r="E158" s="29">
        <f t="shared" si="92"/>
        <v>1.7600000000000001E-2</v>
      </c>
      <c r="F158" s="29">
        <f t="shared" si="93"/>
        <v>1.8200000000000001E-2</v>
      </c>
      <c r="G158">
        <v>9383.7999999999993</v>
      </c>
      <c r="H158" s="6">
        <f t="shared" si="94"/>
        <v>9347.17</v>
      </c>
      <c r="I158" s="29">
        <f t="shared" si="95"/>
        <v>1.4500000000000001E-2</v>
      </c>
      <c r="J158" s="29">
        <f t="shared" si="96"/>
        <v>8.0000000000000002E-3</v>
      </c>
      <c r="K158">
        <v>2.6307999999999998</v>
      </c>
      <c r="L158">
        <v>2.21</v>
      </c>
      <c r="M158" s="35">
        <f t="shared" si="97"/>
        <v>2.42</v>
      </c>
      <c r="N158">
        <v>233.2</v>
      </c>
      <c r="O158" s="29">
        <f t="shared" si="98"/>
        <v>2.1299999999999999E-2</v>
      </c>
      <c r="P158">
        <v>2.2000000000000002</v>
      </c>
      <c r="Q158" s="6">
        <f t="shared" si="83"/>
        <v>206.44</v>
      </c>
      <c r="R158">
        <v>6.25</v>
      </c>
      <c r="S158" s="36">
        <f t="shared" si="84"/>
        <v>53.48</v>
      </c>
      <c r="T158" s="6">
        <f t="shared" si="99"/>
        <v>165.1</v>
      </c>
      <c r="U158" s="6">
        <f t="shared" si="100"/>
        <v>163.63999999999999</v>
      </c>
      <c r="V158" s="29">
        <f t="shared" si="101"/>
        <v>1.12E-2</v>
      </c>
      <c r="W158" s="29">
        <f t="shared" si="102"/>
        <v>1.4E-2</v>
      </c>
      <c r="X158" s="13">
        <f t="shared" si="85"/>
        <v>2.64E-2</v>
      </c>
      <c r="Y158" s="13">
        <f t="shared" si="86"/>
        <v>2.4899999999999999E-2</v>
      </c>
      <c r="Z158" s="6">
        <f t="shared" si="87"/>
        <v>0.88524871355060042</v>
      </c>
      <c r="AA158" s="13">
        <f t="shared" si="88"/>
        <v>0.15559999999999999</v>
      </c>
      <c r="AB158" s="35">
        <f t="shared" si="89"/>
        <v>14.574999999999999</v>
      </c>
      <c r="AC158" s="6">
        <f t="shared" si="90"/>
        <v>3731.2</v>
      </c>
      <c r="AD158" s="6">
        <f t="shared" si="103"/>
        <v>3802.49</v>
      </c>
      <c r="AE158" s="29">
        <f t="shared" si="104"/>
        <v>-7.8E-2</v>
      </c>
      <c r="AF158" s="13">
        <f t="shared" si="80"/>
        <v>5.4300000000000001E-2</v>
      </c>
      <c r="AG158" s="22">
        <f t="shared" si="105"/>
        <v>76.98</v>
      </c>
      <c r="AH158" s="22">
        <f t="shared" si="81"/>
        <v>55.35</v>
      </c>
      <c r="AI158" s="22">
        <f t="shared" si="106"/>
        <v>71.572500000000005</v>
      </c>
      <c r="AJ158" s="22">
        <f t="shared" si="107"/>
        <v>63.55</v>
      </c>
    </row>
    <row r="159" spans="1:36" x14ac:dyDescent="0.25">
      <c r="A159" s="34">
        <v>38504</v>
      </c>
      <c r="B159" s="34">
        <f t="shared" si="82"/>
        <v>38564</v>
      </c>
      <c r="C159">
        <v>8724.7999999999993</v>
      </c>
      <c r="D159" s="6">
        <f t="shared" si="91"/>
        <v>8671.43</v>
      </c>
      <c r="E159" s="29">
        <f t="shared" si="92"/>
        <v>1.7399999999999999E-2</v>
      </c>
      <c r="F159" s="29">
        <f t="shared" si="93"/>
        <v>1.2200000000000001E-2</v>
      </c>
      <c r="G159">
        <v>9341.7000000000007</v>
      </c>
      <c r="H159" s="6">
        <f t="shared" si="94"/>
        <v>9308.93</v>
      </c>
      <c r="I159" s="29">
        <f t="shared" si="95"/>
        <v>1.5599999999999999E-2</v>
      </c>
      <c r="J159" s="29">
        <f t="shared" si="96"/>
        <v>8.0999999999999996E-3</v>
      </c>
      <c r="K159">
        <v>2.3005399999999998</v>
      </c>
      <c r="L159">
        <v>2.1800000000000002</v>
      </c>
      <c r="M159" s="35">
        <f t="shared" si="97"/>
        <v>2.2400000000000002</v>
      </c>
      <c r="N159">
        <v>232</v>
      </c>
      <c r="O159" s="29">
        <f t="shared" si="98"/>
        <v>3.1600000000000003E-2</v>
      </c>
      <c r="P159">
        <v>2.9</v>
      </c>
      <c r="Q159" s="6">
        <f t="shared" si="83"/>
        <v>270.91000000000003</v>
      </c>
      <c r="R159">
        <v>6.01</v>
      </c>
      <c r="S159" s="36">
        <f t="shared" si="84"/>
        <v>53.36</v>
      </c>
      <c r="T159" s="6">
        <f t="shared" si="99"/>
        <v>163.51</v>
      </c>
      <c r="U159" s="6">
        <f t="shared" si="100"/>
        <v>162.82</v>
      </c>
      <c r="V159" s="29">
        <f t="shared" si="101"/>
        <v>1.09E-2</v>
      </c>
      <c r="W159" s="29">
        <f t="shared" si="102"/>
        <v>8.2000000000000007E-3</v>
      </c>
      <c r="X159" s="13">
        <f t="shared" si="85"/>
        <v>2.6599999999999999E-2</v>
      </c>
      <c r="Y159" s="13">
        <f t="shared" si="86"/>
        <v>2.4799999999999999E-2</v>
      </c>
      <c r="Z159" s="6">
        <f t="shared" si="87"/>
        <v>1.1677155172413793</v>
      </c>
      <c r="AA159" s="13">
        <f t="shared" si="88"/>
        <v>0.14899999999999999</v>
      </c>
      <c r="AB159" s="35">
        <f t="shared" si="89"/>
        <v>13.943</v>
      </c>
      <c r="AC159" s="6">
        <f t="shared" si="90"/>
        <v>3860.23</v>
      </c>
      <c r="AD159" s="6">
        <f t="shared" si="103"/>
        <v>3861.95</v>
      </c>
      <c r="AE159" s="29">
        <f t="shared" si="104"/>
        <v>-8.3000000000000004E-2</v>
      </c>
      <c r="AF159" s="13">
        <f t="shared" si="80"/>
        <v>7.0099999999999996E-2</v>
      </c>
      <c r="AG159" s="22">
        <f t="shared" si="105"/>
        <v>70.52</v>
      </c>
      <c r="AH159" s="22">
        <f t="shared" si="81"/>
        <v>58.65</v>
      </c>
      <c r="AI159" s="22">
        <f t="shared" si="106"/>
        <v>67.552499999999995</v>
      </c>
      <c r="AJ159" s="22">
        <f t="shared" si="107"/>
        <v>57.38</v>
      </c>
    </row>
    <row r="160" spans="1:36" x14ac:dyDescent="0.25">
      <c r="A160" s="34">
        <v>38473</v>
      </c>
      <c r="B160" s="34">
        <f t="shared" si="82"/>
        <v>38533</v>
      </c>
      <c r="C160">
        <v>8643.9</v>
      </c>
      <c r="D160" s="6">
        <f t="shared" si="91"/>
        <v>8619.67</v>
      </c>
      <c r="E160" s="29">
        <f t="shared" si="92"/>
        <v>1.4800000000000001E-2</v>
      </c>
      <c r="F160" s="29">
        <f t="shared" si="93"/>
        <v>7.3000000000000001E-3</v>
      </c>
      <c r="G160">
        <v>9316</v>
      </c>
      <c r="H160" s="6">
        <f t="shared" si="94"/>
        <v>9266.7999999999993</v>
      </c>
      <c r="I160" s="29">
        <f t="shared" si="95"/>
        <v>2.2000000000000001E-3</v>
      </c>
      <c r="J160" s="29">
        <f t="shared" si="96"/>
        <v>1.11E-2</v>
      </c>
      <c r="K160">
        <v>2.5376599999999998</v>
      </c>
      <c r="L160">
        <v>2.2599999999999998</v>
      </c>
      <c r="M160" s="35">
        <f t="shared" si="97"/>
        <v>2.399</v>
      </c>
      <c r="N160">
        <v>228.2</v>
      </c>
      <c r="O160" s="29">
        <f t="shared" si="98"/>
        <v>2.58E-2</v>
      </c>
      <c r="P160">
        <v>3.5</v>
      </c>
      <c r="Q160" s="6">
        <f t="shared" si="83"/>
        <v>326.06</v>
      </c>
      <c r="R160">
        <v>5.98</v>
      </c>
      <c r="S160" s="36">
        <f t="shared" si="84"/>
        <v>53.26</v>
      </c>
      <c r="T160" s="6">
        <f t="shared" si="99"/>
        <v>162.30000000000001</v>
      </c>
      <c r="U160" s="6">
        <f t="shared" si="100"/>
        <v>162.19</v>
      </c>
      <c r="V160" s="29">
        <f t="shared" si="101"/>
        <v>8.3000000000000001E-3</v>
      </c>
      <c r="W160" s="29">
        <f t="shared" si="102"/>
        <v>3.0000000000000001E-3</v>
      </c>
      <c r="X160" s="13">
        <f t="shared" si="85"/>
        <v>2.64E-2</v>
      </c>
      <c r="Y160" s="13">
        <f t="shared" si="86"/>
        <v>2.4500000000000001E-2</v>
      </c>
      <c r="Z160" s="6">
        <f t="shared" si="87"/>
        <v>1.428834355828221</v>
      </c>
      <c r="AA160" s="13">
        <f t="shared" si="88"/>
        <v>0.14649999999999999</v>
      </c>
      <c r="AB160" s="35">
        <f t="shared" si="89"/>
        <v>13.646000000000001</v>
      </c>
      <c r="AC160" s="6">
        <f t="shared" si="90"/>
        <v>3816.05</v>
      </c>
      <c r="AD160" s="6">
        <f t="shared" si="103"/>
        <v>3899.58</v>
      </c>
      <c r="AE160" s="29">
        <f t="shared" si="104"/>
        <v>-8.9399999999999993E-2</v>
      </c>
      <c r="AF160" s="13">
        <f t="shared" si="80"/>
        <v>8.3599999999999994E-2</v>
      </c>
      <c r="AG160" s="22">
        <f t="shared" si="105"/>
        <v>60.33</v>
      </c>
      <c r="AH160" s="22">
        <f t="shared" si="81"/>
        <v>41.54</v>
      </c>
      <c r="AI160" s="22">
        <f t="shared" si="106"/>
        <v>55.6325</v>
      </c>
      <c r="AJ160" s="22">
        <f t="shared" si="107"/>
        <v>55.2</v>
      </c>
    </row>
    <row r="161" spans="1:36" x14ac:dyDescent="0.25">
      <c r="A161" s="34">
        <v>38443</v>
      </c>
      <c r="B161" s="34">
        <f t="shared" si="82"/>
        <v>38503</v>
      </c>
      <c r="C161">
        <v>8645.6</v>
      </c>
      <c r="D161" s="6">
        <f t="shared" si="91"/>
        <v>8581.43</v>
      </c>
      <c r="E161" s="29">
        <f t="shared" si="92"/>
        <v>1.47E-2</v>
      </c>
      <c r="F161" s="29">
        <f t="shared" si="93"/>
        <v>1.44E-2</v>
      </c>
      <c r="G161">
        <v>9269.1</v>
      </c>
      <c r="H161" s="6">
        <f t="shared" si="94"/>
        <v>9213.5300000000007</v>
      </c>
      <c r="I161" s="29">
        <f t="shared" si="95"/>
        <v>-1.9E-3</v>
      </c>
      <c r="J161" s="29">
        <f t="shared" si="96"/>
        <v>1.12E-2</v>
      </c>
      <c r="K161">
        <v>2.82247</v>
      </c>
      <c r="L161">
        <v>2.29</v>
      </c>
      <c r="M161" s="35">
        <f t="shared" si="97"/>
        <v>2.556</v>
      </c>
      <c r="N161">
        <v>224.8</v>
      </c>
      <c r="O161" s="29">
        <f t="shared" si="98"/>
        <v>1.9699999999999999E-2</v>
      </c>
      <c r="P161">
        <v>3.1</v>
      </c>
      <c r="Q161" s="6">
        <f t="shared" si="83"/>
        <v>287.33999999999997</v>
      </c>
      <c r="R161">
        <v>5.75</v>
      </c>
      <c r="S161" s="36">
        <f t="shared" si="84"/>
        <v>53.15</v>
      </c>
      <c r="T161" s="6">
        <f t="shared" si="99"/>
        <v>162.66</v>
      </c>
      <c r="U161" s="6">
        <f t="shared" si="100"/>
        <v>161.82</v>
      </c>
      <c r="V161" s="29">
        <f t="shared" si="101"/>
        <v>8.0000000000000002E-3</v>
      </c>
      <c r="W161" s="29">
        <f t="shared" si="102"/>
        <v>9.9000000000000008E-3</v>
      </c>
      <c r="X161" s="13">
        <f t="shared" si="85"/>
        <v>2.5999999999999999E-2</v>
      </c>
      <c r="Y161" s="13">
        <f t="shared" si="86"/>
        <v>2.4299999999999999E-2</v>
      </c>
      <c r="Z161" s="6">
        <f t="shared" si="87"/>
        <v>1.2782028469750888</v>
      </c>
      <c r="AA161" s="13">
        <f t="shared" si="88"/>
        <v>0.13969999999999999</v>
      </c>
      <c r="AB161" s="35">
        <f t="shared" si="89"/>
        <v>12.926</v>
      </c>
      <c r="AC161" s="6">
        <f t="shared" si="90"/>
        <v>3909.57</v>
      </c>
      <c r="AD161" s="6">
        <f t="shared" si="103"/>
        <v>3968.79</v>
      </c>
      <c r="AE161" s="29">
        <f t="shared" si="104"/>
        <v>-9.4700000000000006E-2</v>
      </c>
      <c r="AF161" s="13">
        <f t="shared" si="80"/>
        <v>7.2400000000000006E-2</v>
      </c>
      <c r="AG161" s="22">
        <f t="shared" si="105"/>
        <v>67.05</v>
      </c>
      <c r="AH161" s="22">
        <f t="shared" si="81"/>
        <v>36.659999999999997</v>
      </c>
      <c r="AI161" s="22">
        <f t="shared" si="106"/>
        <v>59.452499999999993</v>
      </c>
      <c r="AJ161" s="22">
        <f t="shared" si="107"/>
        <v>56.43</v>
      </c>
    </row>
    <row r="162" spans="1:36" x14ac:dyDescent="0.25">
      <c r="A162" s="34">
        <v>38412</v>
      </c>
      <c r="B162" s="34">
        <f t="shared" si="82"/>
        <v>38472</v>
      </c>
      <c r="C162">
        <v>8569.5</v>
      </c>
      <c r="D162" s="6">
        <f t="shared" si="91"/>
        <v>8522.9699999999993</v>
      </c>
      <c r="E162" s="29">
        <f t="shared" si="92"/>
        <v>1.1599999999999999E-2</v>
      </c>
      <c r="F162" s="29">
        <f t="shared" si="93"/>
        <v>8.8999999999999999E-3</v>
      </c>
      <c r="G162">
        <v>9215.2999999999993</v>
      </c>
      <c r="H162" s="6">
        <f t="shared" si="94"/>
        <v>9166.2999999999993</v>
      </c>
      <c r="I162" s="29">
        <f t="shared" si="95"/>
        <v>-6.1000000000000004E-3</v>
      </c>
      <c r="J162" s="29">
        <f t="shared" si="96"/>
        <v>-3.3E-3</v>
      </c>
      <c r="K162">
        <v>2.73685</v>
      </c>
      <c r="L162">
        <v>2.42</v>
      </c>
      <c r="M162" s="35">
        <f t="shared" si="97"/>
        <v>2.5779999999999998</v>
      </c>
      <c r="N162">
        <v>221.7</v>
      </c>
      <c r="O162" s="29">
        <f t="shared" si="98"/>
        <v>1.54E-2</v>
      </c>
      <c r="P162">
        <v>3.6</v>
      </c>
      <c r="Q162" s="6">
        <f t="shared" si="83"/>
        <v>331.75</v>
      </c>
      <c r="R162">
        <v>5.58</v>
      </c>
      <c r="S162" s="36">
        <f t="shared" si="84"/>
        <v>53.03</v>
      </c>
      <c r="T162" s="6">
        <f t="shared" si="99"/>
        <v>161.6</v>
      </c>
      <c r="U162" s="6">
        <f t="shared" si="100"/>
        <v>161.07</v>
      </c>
      <c r="V162" s="29">
        <f t="shared" si="101"/>
        <v>4.7999999999999996E-3</v>
      </c>
      <c r="W162" s="29">
        <f t="shared" si="102"/>
        <v>4.5999999999999999E-3</v>
      </c>
      <c r="X162" s="13">
        <f t="shared" si="85"/>
        <v>2.5899999999999999E-2</v>
      </c>
      <c r="Y162" s="13">
        <f t="shared" si="86"/>
        <v>2.41E-2</v>
      </c>
      <c r="Z162" s="6">
        <f t="shared" si="87"/>
        <v>1.4963915200721696</v>
      </c>
      <c r="AA162" s="13">
        <f t="shared" si="88"/>
        <v>0.13450000000000001</v>
      </c>
      <c r="AB162" s="35">
        <f t="shared" si="89"/>
        <v>12.371</v>
      </c>
      <c r="AC162" s="6">
        <f t="shared" si="90"/>
        <v>3973.12</v>
      </c>
      <c r="AD162" s="6">
        <f t="shared" si="103"/>
        <v>4054.81</v>
      </c>
      <c r="AE162" s="29">
        <f t="shared" si="104"/>
        <v>-9.6100000000000005E-2</v>
      </c>
      <c r="AF162" s="13">
        <f t="shared" si="80"/>
        <v>8.1799999999999998E-2</v>
      </c>
      <c r="AG162" s="22">
        <f t="shared" si="105"/>
        <v>55.38</v>
      </c>
      <c r="AH162" s="22">
        <f t="shared" si="81"/>
        <v>21.38</v>
      </c>
      <c r="AI162" s="22">
        <f t="shared" si="106"/>
        <v>46.88</v>
      </c>
      <c r="AJ162" s="22">
        <f t="shared" si="107"/>
        <v>61.79</v>
      </c>
    </row>
    <row r="163" spans="1:36" x14ac:dyDescent="0.25">
      <c r="A163" s="34">
        <v>38384</v>
      </c>
      <c r="B163" s="34">
        <f t="shared" si="82"/>
        <v>38442</v>
      </c>
      <c r="C163">
        <v>8529.2000000000007</v>
      </c>
      <c r="D163" s="6">
        <f t="shared" si="91"/>
        <v>8493.6299999999992</v>
      </c>
      <c r="E163" s="29">
        <f t="shared" si="92"/>
        <v>1.4500000000000001E-2</v>
      </c>
      <c r="F163" s="29">
        <f t="shared" si="93"/>
        <v>8.5000000000000006E-3</v>
      </c>
      <c r="G163">
        <v>9156.2000000000007</v>
      </c>
      <c r="H163" s="6">
        <f t="shared" si="94"/>
        <v>9246.23</v>
      </c>
      <c r="I163" s="29">
        <f t="shared" si="95"/>
        <v>1.7299999999999999E-2</v>
      </c>
      <c r="J163" s="29">
        <f t="shared" si="96"/>
        <v>-8.2000000000000007E-3</v>
      </c>
      <c r="K163">
        <v>2.6109900000000001</v>
      </c>
      <c r="L163">
        <v>2.39</v>
      </c>
      <c r="M163" s="35">
        <f t="shared" si="97"/>
        <v>2.5</v>
      </c>
      <c r="N163">
        <v>220.9</v>
      </c>
      <c r="O163" s="29">
        <f t="shared" si="98"/>
        <v>2.6800000000000001E-2</v>
      </c>
      <c r="P163">
        <v>3.4</v>
      </c>
      <c r="Q163" s="6">
        <f t="shared" si="83"/>
        <v>311.31</v>
      </c>
      <c r="R163">
        <v>5.49</v>
      </c>
      <c r="S163" s="36">
        <f t="shared" si="84"/>
        <v>52.91</v>
      </c>
      <c r="T163" s="6">
        <f t="shared" si="99"/>
        <v>161.19999999999999</v>
      </c>
      <c r="U163" s="6">
        <f t="shared" si="100"/>
        <v>160.86000000000001</v>
      </c>
      <c r="V163" s="29">
        <f t="shared" si="101"/>
        <v>7.4999999999999997E-3</v>
      </c>
      <c r="W163" s="29">
        <f t="shared" si="102"/>
        <v>4.1999999999999997E-3</v>
      </c>
      <c r="X163" s="13">
        <f t="shared" si="85"/>
        <v>2.5899999999999999E-2</v>
      </c>
      <c r="Y163" s="13">
        <f t="shared" si="86"/>
        <v>2.41E-2</v>
      </c>
      <c r="Z163" s="6">
        <f t="shared" si="87"/>
        <v>1.4092802172928927</v>
      </c>
      <c r="AA163" s="13">
        <f t="shared" si="88"/>
        <v>0.1323</v>
      </c>
      <c r="AB163" s="35">
        <f t="shared" si="89"/>
        <v>12.127000000000001</v>
      </c>
      <c r="AC163" s="6">
        <f t="shared" si="90"/>
        <v>4023.68</v>
      </c>
      <c r="AD163" s="6">
        <f t="shared" si="103"/>
        <v>4123.96</v>
      </c>
      <c r="AE163" s="29">
        <f t="shared" si="104"/>
        <v>-0.1048</v>
      </c>
      <c r="AF163" s="13">
        <f t="shared" si="80"/>
        <v>7.5499999999999998E-2</v>
      </c>
      <c r="AG163" s="22">
        <f t="shared" si="105"/>
        <v>60.58</v>
      </c>
      <c r="AH163" s="22">
        <f t="shared" si="81"/>
        <v>53.61</v>
      </c>
      <c r="AI163" s="22">
        <f t="shared" si="106"/>
        <v>58.837500000000006</v>
      </c>
      <c r="AJ163" s="22">
        <f t="shared" si="107"/>
        <v>67.87</v>
      </c>
    </row>
    <row r="164" spans="1:36" x14ac:dyDescent="0.25">
      <c r="A164" s="34">
        <v>38353</v>
      </c>
      <c r="B164" s="34">
        <f t="shared" si="82"/>
        <v>38411</v>
      </c>
      <c r="C164">
        <v>8470.2000000000007</v>
      </c>
      <c r="D164" s="6">
        <f t="shared" si="91"/>
        <v>8457.43</v>
      </c>
      <c r="E164" s="29">
        <f t="shared" si="92"/>
        <v>1.7000000000000001E-2</v>
      </c>
      <c r="F164" s="29">
        <f t="shared" si="93"/>
        <v>5.3E-3</v>
      </c>
      <c r="G164">
        <v>9127.4</v>
      </c>
      <c r="H164" s="6">
        <f t="shared" si="94"/>
        <v>9231.4699999999993</v>
      </c>
      <c r="I164" s="29">
        <f t="shared" si="95"/>
        <v>1.8599999999999998E-2</v>
      </c>
      <c r="J164" s="29">
        <f t="shared" si="96"/>
        <v>-1.03E-2</v>
      </c>
      <c r="K164">
        <v>2.57037</v>
      </c>
      <c r="L164">
        <v>2.38</v>
      </c>
      <c r="M164" s="35">
        <f t="shared" si="97"/>
        <v>2.4750000000000001</v>
      </c>
      <c r="N164">
        <v>218.8</v>
      </c>
      <c r="O164" s="29">
        <f t="shared" si="98"/>
        <v>3.4200000000000001E-2</v>
      </c>
      <c r="P164">
        <v>3.7</v>
      </c>
      <c r="Q164" s="6">
        <f t="shared" si="83"/>
        <v>337.71</v>
      </c>
      <c r="R164">
        <v>5.25</v>
      </c>
      <c r="S164" s="36">
        <f t="shared" si="84"/>
        <v>52.8</v>
      </c>
      <c r="T164" s="6">
        <f t="shared" si="99"/>
        <v>160.41999999999999</v>
      </c>
      <c r="U164" s="6">
        <f t="shared" si="100"/>
        <v>160.53</v>
      </c>
      <c r="V164" s="29">
        <f t="shared" si="101"/>
        <v>9.9000000000000008E-3</v>
      </c>
      <c r="W164" s="29">
        <f t="shared" si="102"/>
        <v>6.9999999999999999E-4</v>
      </c>
      <c r="X164" s="13">
        <f t="shared" si="85"/>
        <v>2.58E-2</v>
      </c>
      <c r="Y164" s="13">
        <f t="shared" si="86"/>
        <v>2.4E-2</v>
      </c>
      <c r="Z164" s="6">
        <f t="shared" si="87"/>
        <v>1.5434643510054842</v>
      </c>
      <c r="AA164" s="13">
        <f t="shared" si="88"/>
        <v>0.126</v>
      </c>
      <c r="AB164" s="35">
        <f t="shared" si="89"/>
        <v>11.487</v>
      </c>
      <c r="AC164" s="6">
        <f t="shared" si="90"/>
        <v>4167.62</v>
      </c>
      <c r="AD164" s="6">
        <f t="shared" si="103"/>
        <v>4211.3999999999996</v>
      </c>
      <c r="AE164" s="29">
        <f t="shared" si="104"/>
        <v>-0.1186</v>
      </c>
      <c r="AF164" s="13">
        <f t="shared" si="80"/>
        <v>8.0199999999999994E-2</v>
      </c>
      <c r="AG164" s="22">
        <f t="shared" si="105"/>
        <v>62.16</v>
      </c>
      <c r="AH164" s="22">
        <f t="shared" si="81"/>
        <v>55.74</v>
      </c>
      <c r="AI164" s="22">
        <f t="shared" si="106"/>
        <v>60.555</v>
      </c>
      <c r="AJ164" s="22">
        <f t="shared" si="107"/>
        <v>70.16</v>
      </c>
    </row>
    <row r="165" spans="1:36" x14ac:dyDescent="0.25">
      <c r="A165" s="34">
        <v>38322</v>
      </c>
      <c r="B165" s="34">
        <f t="shared" si="82"/>
        <v>38383</v>
      </c>
      <c r="C165">
        <v>8481.5</v>
      </c>
      <c r="D165" s="6">
        <f t="shared" si="91"/>
        <v>8425.57</v>
      </c>
      <c r="E165" s="29">
        <f t="shared" si="92"/>
        <v>1.95E-2</v>
      </c>
      <c r="F165" s="29">
        <f t="shared" si="93"/>
        <v>1.3100000000000001E-2</v>
      </c>
      <c r="G165">
        <v>9455.1</v>
      </c>
      <c r="H165" s="6">
        <f t="shared" si="94"/>
        <v>9222.5300000000007</v>
      </c>
      <c r="I165" s="29">
        <f t="shared" si="95"/>
        <v>2.1299999999999999E-2</v>
      </c>
      <c r="J165" s="29">
        <f t="shared" si="96"/>
        <v>4.02E-2</v>
      </c>
      <c r="K165">
        <v>2.8676699999999999</v>
      </c>
      <c r="L165">
        <v>2.3199999999999998</v>
      </c>
      <c r="M165" s="35">
        <f t="shared" si="97"/>
        <v>2.5939999999999999</v>
      </c>
      <c r="N165">
        <v>215.3</v>
      </c>
      <c r="O165" s="29">
        <f t="shared" si="98"/>
        <v>3.3799999999999997E-2</v>
      </c>
      <c r="P165">
        <v>6.9</v>
      </c>
      <c r="Q165" s="6">
        <f t="shared" si="83"/>
        <v>652.4</v>
      </c>
      <c r="R165">
        <v>5.15</v>
      </c>
      <c r="S165" s="36">
        <f t="shared" si="84"/>
        <v>52.69</v>
      </c>
      <c r="T165" s="6">
        <f t="shared" si="99"/>
        <v>160.97</v>
      </c>
      <c r="U165" s="6">
        <f t="shared" si="100"/>
        <v>160.30000000000001</v>
      </c>
      <c r="V165" s="29">
        <f t="shared" si="101"/>
        <v>1.26E-2</v>
      </c>
      <c r="W165" s="29">
        <f t="shared" si="102"/>
        <v>8.0999999999999996E-3</v>
      </c>
      <c r="X165" s="13">
        <f t="shared" si="85"/>
        <v>2.5399999999999999E-2</v>
      </c>
      <c r="Y165" s="13">
        <f t="shared" si="86"/>
        <v>2.2800000000000001E-2</v>
      </c>
      <c r="Z165" s="6">
        <f t="shared" si="87"/>
        <v>3.0301904319554107</v>
      </c>
      <c r="AA165" s="13">
        <f t="shared" si="88"/>
        <v>0.1174</v>
      </c>
      <c r="AB165" s="35">
        <f t="shared" si="89"/>
        <v>11.087999999999999</v>
      </c>
      <c r="AC165" s="6">
        <f t="shared" si="90"/>
        <v>4180.58</v>
      </c>
      <c r="AD165" s="6">
        <f t="shared" si="103"/>
        <v>4282.54</v>
      </c>
      <c r="AE165" s="29">
        <f t="shared" si="104"/>
        <v>-0.12670000000000001</v>
      </c>
      <c r="AF165" s="13">
        <f t="shared" si="80"/>
        <v>0.15229999999999999</v>
      </c>
      <c r="AG165" s="22">
        <f t="shared" si="105"/>
        <v>75.08</v>
      </c>
      <c r="AH165" s="22">
        <f t="shared" si="81"/>
        <v>98.38</v>
      </c>
      <c r="AI165" s="22">
        <f t="shared" si="106"/>
        <v>80.905000000000001</v>
      </c>
      <c r="AJ165" s="22">
        <f t="shared" si="107"/>
        <v>71.81</v>
      </c>
    </row>
    <row r="166" spans="1:36" x14ac:dyDescent="0.25">
      <c r="A166" s="34">
        <v>38292</v>
      </c>
      <c r="B166" s="34">
        <f t="shared" si="82"/>
        <v>38352</v>
      </c>
      <c r="C166">
        <v>8420.6</v>
      </c>
      <c r="D166" s="6">
        <f t="shared" si="91"/>
        <v>8372.1</v>
      </c>
      <c r="E166" s="29">
        <f t="shared" si="92"/>
        <v>2.0199999999999999E-2</v>
      </c>
      <c r="F166" s="29">
        <f t="shared" si="93"/>
        <v>1.2500000000000001E-2</v>
      </c>
      <c r="G166">
        <v>9111.9</v>
      </c>
      <c r="H166" s="6">
        <f t="shared" si="94"/>
        <v>9089.4</v>
      </c>
      <c r="I166" s="29">
        <f t="shared" si="95"/>
        <v>9.4999999999999998E-3</v>
      </c>
      <c r="J166" s="29">
        <f t="shared" si="96"/>
        <v>5.4000000000000003E-3</v>
      </c>
      <c r="K166">
        <v>3.0565899999999999</v>
      </c>
      <c r="L166">
        <v>2.29</v>
      </c>
      <c r="M166" s="35">
        <f t="shared" si="97"/>
        <v>2.673</v>
      </c>
      <c r="N166">
        <v>211.3</v>
      </c>
      <c r="O166" s="29">
        <f t="shared" si="98"/>
        <v>2.76E-2</v>
      </c>
      <c r="P166">
        <v>4.0999999999999996</v>
      </c>
      <c r="Q166" s="6">
        <f t="shared" si="83"/>
        <v>373.59</v>
      </c>
      <c r="R166">
        <v>4.93</v>
      </c>
      <c r="S166" s="36">
        <f t="shared" si="84"/>
        <v>52.56</v>
      </c>
      <c r="T166" s="6">
        <f t="shared" si="99"/>
        <v>160.21</v>
      </c>
      <c r="U166" s="6">
        <f t="shared" si="100"/>
        <v>159.66999999999999</v>
      </c>
      <c r="V166" s="29">
        <f t="shared" si="101"/>
        <v>1.3599999999999999E-2</v>
      </c>
      <c r="W166" s="29">
        <f t="shared" si="102"/>
        <v>7.9000000000000008E-3</v>
      </c>
      <c r="X166" s="13">
        <f t="shared" si="85"/>
        <v>2.5100000000000001E-2</v>
      </c>
      <c r="Y166" s="13">
        <f t="shared" si="86"/>
        <v>2.3199999999999998E-2</v>
      </c>
      <c r="Z166" s="6">
        <f t="shared" si="87"/>
        <v>1.768054898248935</v>
      </c>
      <c r="AA166" s="13">
        <f t="shared" si="88"/>
        <v>0.1144</v>
      </c>
      <c r="AB166" s="35">
        <f t="shared" si="89"/>
        <v>10.417</v>
      </c>
      <c r="AC166" s="6">
        <f t="shared" si="90"/>
        <v>4286</v>
      </c>
      <c r="AD166" s="6">
        <f t="shared" si="103"/>
        <v>4383.92</v>
      </c>
      <c r="AE166" s="29">
        <f t="shared" si="104"/>
        <v>-0.11609999999999999</v>
      </c>
      <c r="AF166" s="13">
        <f t="shared" si="80"/>
        <v>8.5199999999999998E-2</v>
      </c>
      <c r="AG166" s="22">
        <f t="shared" si="105"/>
        <v>76.47</v>
      </c>
      <c r="AH166" s="22">
        <f t="shared" si="81"/>
        <v>55.26</v>
      </c>
      <c r="AI166" s="22">
        <f t="shared" si="106"/>
        <v>71.167500000000004</v>
      </c>
      <c r="AJ166" s="22">
        <f t="shared" si="107"/>
        <v>66.260000000000005</v>
      </c>
    </row>
    <row r="167" spans="1:36" x14ac:dyDescent="0.25">
      <c r="A167" s="34">
        <v>38261</v>
      </c>
      <c r="B167" s="34">
        <f t="shared" si="82"/>
        <v>38321</v>
      </c>
      <c r="C167">
        <v>8374.6</v>
      </c>
      <c r="D167" s="6">
        <f t="shared" si="91"/>
        <v>8316.27</v>
      </c>
      <c r="E167" s="29">
        <f t="shared" si="92"/>
        <v>1.7100000000000001E-2</v>
      </c>
      <c r="F167" s="29">
        <f t="shared" si="93"/>
        <v>1.3299999999999999E-2</v>
      </c>
      <c r="G167">
        <v>9100.6</v>
      </c>
      <c r="H167" s="6">
        <f t="shared" si="94"/>
        <v>9063.2000000000007</v>
      </c>
      <c r="I167" s="29">
        <f t="shared" si="95"/>
        <v>1.01E-2</v>
      </c>
      <c r="J167" s="29">
        <f t="shared" si="96"/>
        <v>7.7999999999999996E-3</v>
      </c>
      <c r="K167">
        <v>2.7909700000000002</v>
      </c>
      <c r="L167">
        <v>2.2799999999999998</v>
      </c>
      <c r="M167" s="35">
        <f t="shared" si="97"/>
        <v>2.5350000000000001</v>
      </c>
      <c r="N167">
        <v>208.1</v>
      </c>
      <c r="O167" s="29">
        <f t="shared" si="98"/>
        <v>2.2800000000000001E-2</v>
      </c>
      <c r="P167">
        <v>4.5</v>
      </c>
      <c r="Q167" s="6">
        <f t="shared" si="83"/>
        <v>409.53</v>
      </c>
      <c r="R167">
        <v>4.75</v>
      </c>
      <c r="S167" s="36">
        <f t="shared" si="84"/>
        <v>52.43</v>
      </c>
      <c r="T167" s="6">
        <f t="shared" si="99"/>
        <v>159.72999999999999</v>
      </c>
      <c r="U167" s="6">
        <f t="shared" si="100"/>
        <v>158.96</v>
      </c>
      <c r="V167" s="29">
        <f t="shared" si="101"/>
        <v>1.0500000000000001E-2</v>
      </c>
      <c r="W167" s="29">
        <f t="shared" si="102"/>
        <v>8.9999999999999993E-3</v>
      </c>
      <c r="X167" s="13">
        <f t="shared" si="85"/>
        <v>2.4799999999999999E-2</v>
      </c>
      <c r="Y167" s="13">
        <f t="shared" si="86"/>
        <v>2.29E-2</v>
      </c>
      <c r="Z167" s="6">
        <f t="shared" si="87"/>
        <v>1.967948101874099</v>
      </c>
      <c r="AA167" s="13">
        <f t="shared" si="88"/>
        <v>0.10879999999999999</v>
      </c>
      <c r="AB167" s="35">
        <f t="shared" si="89"/>
        <v>9.8849999999999998</v>
      </c>
      <c r="AC167" s="6">
        <f t="shared" si="90"/>
        <v>4381.05</v>
      </c>
      <c r="AD167" s="6">
        <f t="shared" si="103"/>
        <v>4485.7299999999996</v>
      </c>
      <c r="AE167" s="29">
        <f t="shared" si="104"/>
        <v>-8.6400000000000005E-2</v>
      </c>
      <c r="AF167" s="13">
        <f t="shared" si="80"/>
        <v>9.1300000000000006E-2</v>
      </c>
      <c r="AG167" s="22">
        <f t="shared" si="105"/>
        <v>71.31</v>
      </c>
      <c r="AH167" s="22">
        <f t="shared" si="81"/>
        <v>58.13</v>
      </c>
      <c r="AI167" s="22">
        <f t="shared" si="106"/>
        <v>68.015000000000001</v>
      </c>
      <c r="AJ167" s="22">
        <f t="shared" si="107"/>
        <v>64.66</v>
      </c>
    </row>
    <row r="168" spans="1:36" x14ac:dyDescent="0.25">
      <c r="A168" s="34">
        <v>38231</v>
      </c>
      <c r="B168" s="34">
        <f t="shared" si="82"/>
        <v>38291</v>
      </c>
      <c r="C168">
        <v>8321.1</v>
      </c>
      <c r="D168" s="6">
        <f t="shared" si="91"/>
        <v>8264.3700000000008</v>
      </c>
      <c r="E168" s="29">
        <f t="shared" si="92"/>
        <v>1.6199999999999999E-2</v>
      </c>
      <c r="F168" s="29">
        <f t="shared" si="93"/>
        <v>1.4E-2</v>
      </c>
      <c r="G168">
        <v>9055.7000000000007</v>
      </c>
      <c r="H168" s="6">
        <f t="shared" si="94"/>
        <v>9030.3700000000008</v>
      </c>
      <c r="I168" s="29">
        <f t="shared" si="95"/>
        <v>1.1599999999999999E-2</v>
      </c>
      <c r="J168" s="29">
        <f t="shared" si="96"/>
        <v>5.7999999999999996E-3</v>
      </c>
      <c r="K168">
        <v>2.34497</v>
      </c>
      <c r="L168">
        <v>2.27</v>
      </c>
      <c r="M168" s="35">
        <f t="shared" si="97"/>
        <v>2.3069999999999999</v>
      </c>
      <c r="N168">
        <v>205.4</v>
      </c>
      <c r="O168" s="29">
        <f t="shared" si="98"/>
        <v>1.77E-2</v>
      </c>
      <c r="P168">
        <v>4.5999999999999996</v>
      </c>
      <c r="Q168" s="6">
        <f t="shared" si="83"/>
        <v>416.56</v>
      </c>
      <c r="R168">
        <v>4.58</v>
      </c>
      <c r="S168" s="36">
        <f t="shared" si="84"/>
        <v>52.31</v>
      </c>
      <c r="T168" s="6">
        <f t="shared" si="99"/>
        <v>159.07</v>
      </c>
      <c r="U168" s="6">
        <f t="shared" si="100"/>
        <v>158.30000000000001</v>
      </c>
      <c r="V168" s="29">
        <f t="shared" si="101"/>
        <v>9.1999999999999998E-3</v>
      </c>
      <c r="W168" s="29">
        <f t="shared" si="102"/>
        <v>9.7999999999999997E-3</v>
      </c>
      <c r="X168" s="13">
        <f t="shared" si="85"/>
        <v>2.47E-2</v>
      </c>
      <c r="Y168" s="13">
        <f t="shared" si="86"/>
        <v>2.2700000000000001E-2</v>
      </c>
      <c r="Z168" s="6">
        <f t="shared" si="87"/>
        <v>2.0280428432327167</v>
      </c>
      <c r="AA168" s="13">
        <f t="shared" si="88"/>
        <v>0.104</v>
      </c>
      <c r="AB168" s="35">
        <f t="shared" si="89"/>
        <v>9.407</v>
      </c>
      <c r="AC168" s="6">
        <f t="shared" si="90"/>
        <v>4484.72</v>
      </c>
      <c r="AD168" s="6">
        <f t="shared" si="103"/>
        <v>4606.5600000000004</v>
      </c>
      <c r="AE168" s="29">
        <f t="shared" si="104"/>
        <v>-5.7200000000000001E-2</v>
      </c>
      <c r="AF168" s="13">
        <f t="shared" si="80"/>
        <v>9.0399999999999994E-2</v>
      </c>
      <c r="AG168" s="22">
        <f t="shared" si="105"/>
        <v>69.89</v>
      </c>
      <c r="AH168" s="22">
        <f t="shared" si="81"/>
        <v>59</v>
      </c>
      <c r="AI168" s="22">
        <f t="shared" si="106"/>
        <v>67.167500000000004</v>
      </c>
      <c r="AJ168" s="22">
        <f t="shared" si="107"/>
        <v>62.65</v>
      </c>
    </row>
    <row r="169" spans="1:36" x14ac:dyDescent="0.25">
      <c r="A169" s="34">
        <v>38200</v>
      </c>
      <c r="B169" s="34">
        <f t="shared" si="82"/>
        <v>38260</v>
      </c>
      <c r="C169">
        <v>8253.1</v>
      </c>
      <c r="D169" s="6">
        <f t="shared" si="91"/>
        <v>8206.4</v>
      </c>
      <c r="E169" s="29">
        <f t="shared" si="92"/>
        <v>1.2E-2</v>
      </c>
      <c r="F169" s="29">
        <f t="shared" si="93"/>
        <v>9.4000000000000004E-3</v>
      </c>
      <c r="G169">
        <v>9033.2999999999993</v>
      </c>
      <c r="H169" s="6">
        <f t="shared" si="94"/>
        <v>9003.43</v>
      </c>
      <c r="I169" s="29">
        <f t="shared" si="95"/>
        <v>1.4800000000000001E-2</v>
      </c>
      <c r="J169" s="29">
        <f t="shared" si="96"/>
        <v>6.7000000000000002E-3</v>
      </c>
      <c r="K169">
        <v>2.4439899999999999</v>
      </c>
      <c r="L169">
        <v>2.31</v>
      </c>
      <c r="M169" s="35">
        <f t="shared" si="97"/>
        <v>2.3769999999999998</v>
      </c>
      <c r="N169">
        <v>203.4</v>
      </c>
      <c r="O169" s="29">
        <f t="shared" si="98"/>
        <v>1.5599999999999999E-2</v>
      </c>
      <c r="P169">
        <v>5.2</v>
      </c>
      <c r="Q169" s="6">
        <f t="shared" si="83"/>
        <v>469.73</v>
      </c>
      <c r="R169">
        <v>4.43</v>
      </c>
      <c r="S169" s="36">
        <f t="shared" si="84"/>
        <v>52.21</v>
      </c>
      <c r="T169" s="6">
        <f t="shared" si="99"/>
        <v>158.08000000000001</v>
      </c>
      <c r="U169" s="6">
        <f t="shared" si="100"/>
        <v>157.52000000000001</v>
      </c>
      <c r="V169" s="29">
        <f t="shared" si="101"/>
        <v>5.0000000000000001E-3</v>
      </c>
      <c r="W169" s="29">
        <f t="shared" si="102"/>
        <v>4.8999999999999998E-3</v>
      </c>
      <c r="X169" s="13">
        <f t="shared" si="85"/>
        <v>2.46E-2</v>
      </c>
      <c r="Y169" s="13">
        <f t="shared" si="86"/>
        <v>2.2499999999999999E-2</v>
      </c>
      <c r="Z169" s="6">
        <f t="shared" si="87"/>
        <v>2.3093903638151425</v>
      </c>
      <c r="AA169" s="13">
        <f t="shared" si="88"/>
        <v>9.9699999999999997E-2</v>
      </c>
      <c r="AB169" s="35">
        <f t="shared" si="89"/>
        <v>9.0109999999999992</v>
      </c>
      <c r="AC169" s="6">
        <f t="shared" si="90"/>
        <v>4591.42</v>
      </c>
      <c r="AD169" s="6">
        <f t="shared" si="103"/>
        <v>4778.32</v>
      </c>
      <c r="AE169" s="29">
        <f t="shared" si="104"/>
        <v>-2.18E-2</v>
      </c>
      <c r="AF169" s="13">
        <f t="shared" si="80"/>
        <v>9.8299999999999998E-2</v>
      </c>
      <c r="AG169" s="22">
        <f t="shared" si="105"/>
        <v>56.77</v>
      </c>
      <c r="AH169" s="22">
        <f t="shared" si="81"/>
        <v>64.41</v>
      </c>
      <c r="AI169" s="22">
        <f t="shared" si="106"/>
        <v>58.68</v>
      </c>
      <c r="AJ169" s="22">
        <f t="shared" si="107"/>
        <v>63.7</v>
      </c>
    </row>
    <row r="170" spans="1:36" x14ac:dyDescent="0.25">
      <c r="A170" s="34">
        <v>38169</v>
      </c>
      <c r="B170" s="34">
        <f t="shared" si="82"/>
        <v>38230</v>
      </c>
      <c r="C170">
        <v>8218.9</v>
      </c>
      <c r="D170" s="6">
        <f t="shared" si="91"/>
        <v>8176.43</v>
      </c>
      <c r="E170" s="29">
        <f t="shared" si="92"/>
        <v>1.43E-2</v>
      </c>
      <c r="F170" s="29">
        <f t="shared" si="93"/>
        <v>1.06E-2</v>
      </c>
      <c r="G170">
        <v>9002.1</v>
      </c>
      <c r="H170" s="6">
        <f t="shared" si="94"/>
        <v>8972.83</v>
      </c>
      <c r="I170" s="29">
        <f t="shared" si="95"/>
        <v>1.8200000000000001E-2</v>
      </c>
      <c r="J170" s="29">
        <f t="shared" si="96"/>
        <v>8.3999999999999995E-3</v>
      </c>
      <c r="K170">
        <v>2.7181099999999998</v>
      </c>
      <c r="L170">
        <v>2.34</v>
      </c>
      <c r="M170" s="35">
        <f t="shared" si="97"/>
        <v>2.5289999999999999</v>
      </c>
      <c r="N170">
        <v>201.6</v>
      </c>
      <c r="O170" s="29">
        <f t="shared" si="98"/>
        <v>1.5299999999999999E-2</v>
      </c>
      <c r="P170">
        <v>5.3</v>
      </c>
      <c r="Q170" s="6">
        <f t="shared" si="83"/>
        <v>477.11</v>
      </c>
      <c r="R170">
        <v>4.25</v>
      </c>
      <c r="S170" s="36">
        <f t="shared" si="84"/>
        <v>52.1</v>
      </c>
      <c r="T170" s="6">
        <f t="shared" si="99"/>
        <v>157.75</v>
      </c>
      <c r="U170" s="6">
        <f t="shared" si="100"/>
        <v>157.31</v>
      </c>
      <c r="V170" s="29">
        <f t="shared" si="101"/>
        <v>7.6E-3</v>
      </c>
      <c r="W170" s="29">
        <f t="shared" si="102"/>
        <v>5.7999999999999996E-3</v>
      </c>
      <c r="X170" s="13">
        <f t="shared" si="85"/>
        <v>2.4500000000000001E-2</v>
      </c>
      <c r="Y170" s="13">
        <f t="shared" si="86"/>
        <v>2.24E-2</v>
      </c>
      <c r="Z170" s="6">
        <f t="shared" si="87"/>
        <v>2.3666170634920638</v>
      </c>
      <c r="AA170" s="13">
        <f t="shared" si="88"/>
        <v>9.5200000000000007E-2</v>
      </c>
      <c r="AB170" s="35">
        <f t="shared" si="89"/>
        <v>8.5679999999999996</v>
      </c>
      <c r="AC170" s="6">
        <f t="shared" si="90"/>
        <v>4743.53</v>
      </c>
      <c r="AD170" s="6">
        <f t="shared" si="103"/>
        <v>4903.68</v>
      </c>
      <c r="AE170" s="29">
        <f t="shared" si="104"/>
        <v>2.3E-3</v>
      </c>
      <c r="AF170" s="13">
        <f t="shared" si="80"/>
        <v>9.7299999999999998E-2</v>
      </c>
      <c r="AG170" s="22">
        <f t="shared" si="105"/>
        <v>62.75</v>
      </c>
      <c r="AH170" s="22">
        <f t="shared" si="81"/>
        <v>70.819999999999993</v>
      </c>
      <c r="AI170" s="22">
        <f t="shared" si="106"/>
        <v>64.767499999999998</v>
      </c>
      <c r="AJ170" s="22">
        <f t="shared" si="107"/>
        <v>65.28</v>
      </c>
    </row>
    <row r="171" spans="1:36" x14ac:dyDescent="0.25">
      <c r="A171" s="34">
        <v>38139</v>
      </c>
      <c r="B171" s="34">
        <f t="shared" si="82"/>
        <v>38199</v>
      </c>
      <c r="C171">
        <v>8147.2</v>
      </c>
      <c r="D171" s="6">
        <f t="shared" si="91"/>
        <v>8133</v>
      </c>
      <c r="E171" s="29">
        <f t="shared" si="92"/>
        <v>1.3100000000000001E-2</v>
      </c>
      <c r="F171" s="29">
        <f t="shared" si="93"/>
        <v>4.7000000000000002E-3</v>
      </c>
      <c r="G171">
        <v>8974.9</v>
      </c>
      <c r="H171" s="6">
        <f t="shared" si="94"/>
        <v>8926.8700000000008</v>
      </c>
      <c r="I171" s="29">
        <f t="shared" si="95"/>
        <v>1.84E-2</v>
      </c>
      <c r="J171" s="29">
        <f t="shared" si="96"/>
        <v>1.1599999999999999E-2</v>
      </c>
      <c r="K171">
        <v>2.90747</v>
      </c>
      <c r="L171">
        <v>2.37</v>
      </c>
      <c r="M171" s="35">
        <f t="shared" si="97"/>
        <v>2.6389999999999998</v>
      </c>
      <c r="N171">
        <v>200.5</v>
      </c>
      <c r="O171" s="29">
        <f t="shared" si="98"/>
        <v>2.0899999999999998E-2</v>
      </c>
      <c r="P171">
        <v>5.8</v>
      </c>
      <c r="Q171" s="6">
        <f t="shared" si="83"/>
        <v>520.54</v>
      </c>
      <c r="R171">
        <v>4.01</v>
      </c>
      <c r="S171" s="36">
        <f t="shared" si="84"/>
        <v>51.98</v>
      </c>
      <c r="T171" s="6">
        <f t="shared" si="99"/>
        <v>156.74</v>
      </c>
      <c r="U171" s="6">
        <f t="shared" si="100"/>
        <v>156.85</v>
      </c>
      <c r="V171" s="29">
        <f t="shared" si="101"/>
        <v>7.1999999999999998E-3</v>
      </c>
      <c r="W171" s="29">
        <f t="shared" si="102"/>
        <v>0</v>
      </c>
      <c r="X171" s="13">
        <f t="shared" si="85"/>
        <v>2.46E-2</v>
      </c>
      <c r="Y171" s="13">
        <f t="shared" si="86"/>
        <v>2.23E-2</v>
      </c>
      <c r="Z171" s="6">
        <f t="shared" si="87"/>
        <v>2.5962094763092267</v>
      </c>
      <c r="AA171" s="13">
        <f t="shared" si="88"/>
        <v>8.9399999999999993E-2</v>
      </c>
      <c r="AB171" s="35">
        <f t="shared" si="89"/>
        <v>8.0399999999999991</v>
      </c>
      <c r="AC171" s="6">
        <f t="shared" si="90"/>
        <v>5000</v>
      </c>
      <c r="AD171" s="6">
        <f t="shared" si="103"/>
        <v>4960</v>
      </c>
      <c r="AE171" s="29">
        <f t="shared" si="104"/>
        <v>1.9E-2</v>
      </c>
      <c r="AF171" s="13">
        <f t="shared" si="80"/>
        <v>0.10489999999999999</v>
      </c>
      <c r="AG171" s="22">
        <f t="shared" si="105"/>
        <v>55.27</v>
      </c>
      <c r="AH171" s="22">
        <f t="shared" si="81"/>
        <v>74.099999999999994</v>
      </c>
      <c r="AI171" s="22">
        <f t="shared" si="106"/>
        <v>59.977499999999999</v>
      </c>
      <c r="AJ171" s="22">
        <f t="shared" si="107"/>
        <v>66.819999999999993</v>
      </c>
    </row>
    <row r="172" spans="1:36" x14ac:dyDescent="0.25">
      <c r="A172" s="34">
        <v>38108</v>
      </c>
      <c r="B172" s="34">
        <f t="shared" si="82"/>
        <v>38168</v>
      </c>
      <c r="C172">
        <v>8163.2</v>
      </c>
      <c r="D172" s="6">
        <f t="shared" si="91"/>
        <v>8109.27</v>
      </c>
      <c r="E172" s="29">
        <f t="shared" si="92"/>
        <v>1.6400000000000001E-2</v>
      </c>
      <c r="F172" s="29">
        <f t="shared" si="93"/>
        <v>1.26E-2</v>
      </c>
      <c r="G172">
        <v>8941.5</v>
      </c>
      <c r="H172" s="6">
        <f t="shared" si="94"/>
        <v>8872.2999999999993</v>
      </c>
      <c r="I172" s="29">
        <f t="shared" si="95"/>
        <v>1.66E-2</v>
      </c>
      <c r="J172" s="29">
        <f t="shared" si="96"/>
        <v>1.47E-2</v>
      </c>
      <c r="K172">
        <v>2.7076500000000001</v>
      </c>
      <c r="L172">
        <v>2.23</v>
      </c>
      <c r="M172" s="35">
        <f t="shared" si="97"/>
        <v>2.4689999999999999</v>
      </c>
      <c r="N172">
        <v>198.7</v>
      </c>
      <c r="O172" s="29">
        <f t="shared" si="98"/>
        <v>1.67E-2</v>
      </c>
      <c r="P172">
        <v>5.3</v>
      </c>
      <c r="Q172" s="6">
        <f t="shared" si="83"/>
        <v>473.9</v>
      </c>
      <c r="R172">
        <v>4</v>
      </c>
      <c r="S172" s="36">
        <f t="shared" si="84"/>
        <v>51.85</v>
      </c>
      <c r="T172" s="6">
        <f t="shared" si="99"/>
        <v>157.44</v>
      </c>
      <c r="U172" s="6">
        <f t="shared" si="100"/>
        <v>156.74</v>
      </c>
      <c r="V172" s="29">
        <f t="shared" si="101"/>
        <v>1.0999999999999999E-2</v>
      </c>
      <c r="W172" s="29">
        <f t="shared" si="102"/>
        <v>8.5000000000000006E-3</v>
      </c>
      <c r="X172" s="13">
        <f t="shared" si="85"/>
        <v>2.4299999999999999E-2</v>
      </c>
      <c r="Y172" s="13">
        <f t="shared" si="86"/>
        <v>2.2200000000000001E-2</v>
      </c>
      <c r="Z172" s="6">
        <f t="shared" si="87"/>
        <v>2.385002516356316</v>
      </c>
      <c r="AA172" s="13">
        <f t="shared" si="88"/>
        <v>8.8800000000000004E-2</v>
      </c>
      <c r="AB172" s="35">
        <f t="shared" si="89"/>
        <v>7.9480000000000004</v>
      </c>
      <c r="AC172" s="6">
        <f t="shared" si="90"/>
        <v>4967.5</v>
      </c>
      <c r="AD172" s="6">
        <f t="shared" si="103"/>
        <v>4910</v>
      </c>
      <c r="AE172" s="29">
        <f t="shared" si="104"/>
        <v>1.67E-2</v>
      </c>
      <c r="AF172" s="13">
        <f t="shared" si="80"/>
        <v>9.6500000000000002E-2</v>
      </c>
      <c r="AG172" s="22">
        <f t="shared" si="105"/>
        <v>70.66</v>
      </c>
      <c r="AH172" s="22">
        <f t="shared" si="81"/>
        <v>73.53</v>
      </c>
      <c r="AI172" s="22">
        <f t="shared" si="106"/>
        <v>71.377499999999998</v>
      </c>
      <c r="AJ172" s="22">
        <f t="shared" si="107"/>
        <v>68.290000000000006</v>
      </c>
    </row>
    <row r="173" spans="1:36" x14ac:dyDescent="0.25">
      <c r="A173" s="34">
        <v>38078</v>
      </c>
      <c r="B173" s="34">
        <f t="shared" si="82"/>
        <v>38138</v>
      </c>
      <c r="C173">
        <v>8088.6</v>
      </c>
      <c r="D173" s="6">
        <f t="shared" si="91"/>
        <v>8061.47</v>
      </c>
      <c r="E173" s="29">
        <f t="shared" si="92"/>
        <v>1.55E-2</v>
      </c>
      <c r="F173" s="29">
        <f t="shared" si="93"/>
        <v>7.6E-3</v>
      </c>
      <c r="G173">
        <v>8864.2000000000007</v>
      </c>
      <c r="H173" s="6">
        <f t="shared" si="94"/>
        <v>8812.07</v>
      </c>
      <c r="I173" s="29">
        <f t="shared" si="95"/>
        <v>1.34E-2</v>
      </c>
      <c r="J173" s="29">
        <f t="shared" si="96"/>
        <v>1.12E-2</v>
      </c>
      <c r="K173">
        <v>2.2360899999999999</v>
      </c>
      <c r="L173">
        <v>2.14</v>
      </c>
      <c r="M173" s="35">
        <f t="shared" si="97"/>
        <v>2.1880000000000002</v>
      </c>
      <c r="N173">
        <v>196.5</v>
      </c>
      <c r="O173" s="29">
        <f t="shared" si="98"/>
        <v>5.5999999999999999E-3</v>
      </c>
      <c r="P173">
        <v>5.3</v>
      </c>
      <c r="Q173" s="6">
        <f t="shared" si="83"/>
        <v>469.8</v>
      </c>
      <c r="R173">
        <v>4</v>
      </c>
      <c r="S173" s="36">
        <f t="shared" si="84"/>
        <v>51.73</v>
      </c>
      <c r="T173" s="6">
        <f t="shared" si="99"/>
        <v>156.36000000000001</v>
      </c>
      <c r="U173" s="6">
        <f t="shared" si="100"/>
        <v>156.12</v>
      </c>
      <c r="V173" s="29">
        <f t="shared" si="101"/>
        <v>1.0500000000000001E-2</v>
      </c>
      <c r="W173" s="29">
        <f t="shared" si="102"/>
        <v>4.1000000000000003E-3</v>
      </c>
      <c r="X173" s="13">
        <f t="shared" si="85"/>
        <v>2.4299999999999999E-2</v>
      </c>
      <c r="Y173" s="13">
        <f t="shared" si="86"/>
        <v>2.2200000000000001E-2</v>
      </c>
      <c r="Z173" s="6">
        <f t="shared" si="87"/>
        <v>2.3908396946564885</v>
      </c>
      <c r="AA173" s="13">
        <f t="shared" si="88"/>
        <v>8.8800000000000004E-2</v>
      </c>
      <c r="AB173" s="35">
        <f t="shared" si="89"/>
        <v>7.86</v>
      </c>
      <c r="AC173" s="6">
        <f t="shared" si="90"/>
        <v>4912.5</v>
      </c>
      <c r="AD173" s="6">
        <f t="shared" si="103"/>
        <v>4885.83</v>
      </c>
      <c r="AE173" s="29">
        <f t="shared" si="104"/>
        <v>1.6299999999999999E-2</v>
      </c>
      <c r="AF173" s="13">
        <f t="shared" si="80"/>
        <v>9.6199999999999994E-2</v>
      </c>
      <c r="AG173" s="22">
        <f t="shared" si="105"/>
        <v>64.56</v>
      </c>
      <c r="AH173" s="22">
        <f t="shared" si="81"/>
        <v>66.3</v>
      </c>
      <c r="AI173" s="22">
        <f t="shared" si="106"/>
        <v>64.995000000000005</v>
      </c>
      <c r="AJ173" s="22">
        <f t="shared" si="107"/>
        <v>66.13</v>
      </c>
    </row>
    <row r="174" spans="1:36" x14ac:dyDescent="0.25">
      <c r="A174" s="34">
        <v>38047</v>
      </c>
      <c r="B174" s="34">
        <f t="shared" si="82"/>
        <v>38107</v>
      </c>
      <c r="C174">
        <v>8076</v>
      </c>
      <c r="D174" s="6">
        <f t="shared" si="91"/>
        <v>8027.73</v>
      </c>
      <c r="E174" s="29">
        <f t="shared" si="92"/>
        <v>1.7299999999999999E-2</v>
      </c>
      <c r="F174" s="29">
        <f t="shared" si="93"/>
        <v>1.2200000000000001E-2</v>
      </c>
      <c r="G174">
        <v>8811.2000000000007</v>
      </c>
      <c r="H174" s="6">
        <f t="shared" si="94"/>
        <v>8765.7000000000007</v>
      </c>
      <c r="I174" s="29">
        <f t="shared" si="95"/>
        <v>1.29E-2</v>
      </c>
      <c r="J174" s="29">
        <f t="shared" si="96"/>
        <v>9.5999999999999992E-3</v>
      </c>
      <c r="K174">
        <v>1.8473299999999999</v>
      </c>
      <c r="L174">
        <v>1.9</v>
      </c>
      <c r="M174" s="35">
        <f t="shared" si="97"/>
        <v>1.8740000000000001</v>
      </c>
      <c r="N174">
        <v>194</v>
      </c>
      <c r="O174" s="29">
        <f t="shared" si="98"/>
        <v>-8.6999999999999994E-3</v>
      </c>
      <c r="P174">
        <v>4.9000000000000004</v>
      </c>
      <c r="Q174" s="6">
        <f t="shared" si="83"/>
        <v>431.75</v>
      </c>
      <c r="R174">
        <v>4</v>
      </c>
      <c r="S174" s="36">
        <f t="shared" si="84"/>
        <v>51.63</v>
      </c>
      <c r="T174" s="6">
        <f t="shared" si="99"/>
        <v>156.41999999999999</v>
      </c>
      <c r="U174" s="6">
        <f t="shared" si="100"/>
        <v>155.72999999999999</v>
      </c>
      <c r="V174" s="29">
        <f t="shared" si="101"/>
        <v>1.24E-2</v>
      </c>
      <c r="W174" s="29">
        <f t="shared" si="102"/>
        <v>8.9999999999999993E-3</v>
      </c>
      <c r="X174" s="13">
        <f t="shared" si="85"/>
        <v>2.4E-2</v>
      </c>
      <c r="Y174" s="13">
        <f t="shared" si="86"/>
        <v>2.1999999999999999E-2</v>
      </c>
      <c r="Z174" s="6">
        <f t="shared" si="87"/>
        <v>2.2255154639175259</v>
      </c>
      <c r="AA174" s="13">
        <f t="shared" si="88"/>
        <v>8.7999999999999995E-2</v>
      </c>
      <c r="AB174" s="35">
        <f t="shared" si="89"/>
        <v>7.76</v>
      </c>
      <c r="AC174" s="6">
        <f t="shared" si="90"/>
        <v>4850</v>
      </c>
      <c r="AD174" s="6">
        <f t="shared" si="103"/>
        <v>4885</v>
      </c>
      <c r="AE174" s="29">
        <f t="shared" si="104"/>
        <v>1.8599999999999998E-2</v>
      </c>
      <c r="AF174" s="13">
        <f t="shared" si="80"/>
        <v>8.8400000000000006E-2</v>
      </c>
      <c r="AG174" s="22">
        <f t="shared" si="105"/>
        <v>73.099999999999994</v>
      </c>
      <c r="AH174" s="22">
        <f t="shared" si="81"/>
        <v>64.34</v>
      </c>
      <c r="AI174" s="22">
        <f t="shared" si="106"/>
        <v>70.91</v>
      </c>
      <c r="AJ174" s="22">
        <f t="shared" si="107"/>
        <v>64.23</v>
      </c>
    </row>
    <row r="175" spans="1:36" x14ac:dyDescent="0.25">
      <c r="A175" s="34">
        <v>38018</v>
      </c>
      <c r="B175" s="34">
        <f t="shared" si="82"/>
        <v>38077</v>
      </c>
      <c r="C175">
        <v>8019.8</v>
      </c>
      <c r="D175" s="6">
        <f t="shared" si="91"/>
        <v>7978.8</v>
      </c>
      <c r="E175" s="29">
        <f t="shared" si="92"/>
        <v>1.5100000000000001E-2</v>
      </c>
      <c r="F175" s="29">
        <f t="shared" si="93"/>
        <v>1.0200000000000001E-2</v>
      </c>
      <c r="G175">
        <v>8760.7999999999993</v>
      </c>
      <c r="H175" s="6">
        <f t="shared" si="94"/>
        <v>8727.6299999999992</v>
      </c>
      <c r="I175" s="29">
        <f t="shared" si="95"/>
        <v>1.3599999999999999E-2</v>
      </c>
      <c r="J175" s="29">
        <f t="shared" si="96"/>
        <v>7.4999999999999997E-3</v>
      </c>
      <c r="K175">
        <v>1.9125099999999999</v>
      </c>
      <c r="L175">
        <v>1.91</v>
      </c>
      <c r="M175" s="35">
        <f t="shared" si="97"/>
        <v>1.911</v>
      </c>
      <c r="N175">
        <v>195.8</v>
      </c>
      <c r="O175" s="29">
        <f t="shared" si="98"/>
        <v>5.5999999999999999E-3</v>
      </c>
      <c r="P175">
        <v>5</v>
      </c>
      <c r="Q175" s="6">
        <f t="shared" si="83"/>
        <v>438.04</v>
      </c>
      <c r="R175">
        <v>4</v>
      </c>
      <c r="S175" s="36">
        <f t="shared" si="84"/>
        <v>51.55</v>
      </c>
      <c r="T175" s="6">
        <f t="shared" si="99"/>
        <v>155.57</v>
      </c>
      <c r="U175" s="6">
        <f t="shared" si="100"/>
        <v>155.03</v>
      </c>
      <c r="V175" s="29">
        <f t="shared" si="101"/>
        <v>1.03E-2</v>
      </c>
      <c r="W175" s="29">
        <f t="shared" si="102"/>
        <v>6.8999999999999999E-3</v>
      </c>
      <c r="X175" s="13">
        <f t="shared" si="85"/>
        <v>2.4400000000000002E-2</v>
      </c>
      <c r="Y175" s="13">
        <f t="shared" si="86"/>
        <v>2.23E-2</v>
      </c>
      <c r="Z175" s="6">
        <f t="shared" si="87"/>
        <v>2.2371807967313586</v>
      </c>
      <c r="AA175" s="13">
        <f t="shared" si="88"/>
        <v>8.9200000000000002E-2</v>
      </c>
      <c r="AB175" s="35">
        <f t="shared" si="89"/>
        <v>7.8319999999999999</v>
      </c>
      <c r="AC175" s="6">
        <f t="shared" si="90"/>
        <v>4895</v>
      </c>
      <c r="AD175" s="6">
        <f t="shared" si="103"/>
        <v>4892.5</v>
      </c>
      <c r="AE175" s="29">
        <f t="shared" si="104"/>
        <v>2.3E-2</v>
      </c>
      <c r="AF175" s="13">
        <f t="shared" si="80"/>
        <v>8.9499999999999996E-2</v>
      </c>
      <c r="AG175" s="22">
        <f t="shared" si="105"/>
        <v>66.63</v>
      </c>
      <c r="AH175" s="22">
        <f t="shared" si="81"/>
        <v>63.59</v>
      </c>
      <c r="AI175" s="22">
        <f t="shared" si="106"/>
        <v>65.87</v>
      </c>
      <c r="AJ175" s="22">
        <f t="shared" si="107"/>
        <v>61.56</v>
      </c>
    </row>
    <row r="176" spans="1:36" x14ac:dyDescent="0.25">
      <c r="A176" s="34">
        <v>37987</v>
      </c>
      <c r="B176" s="34">
        <f t="shared" si="82"/>
        <v>38046</v>
      </c>
      <c r="C176">
        <v>7987.4</v>
      </c>
      <c r="D176" s="6">
        <f t="shared" si="91"/>
        <v>7938.73</v>
      </c>
      <c r="E176" s="29">
        <f t="shared" si="92"/>
        <v>1.2800000000000001E-2</v>
      </c>
      <c r="F176" s="29">
        <f t="shared" si="93"/>
        <v>1.2200000000000001E-2</v>
      </c>
      <c r="G176">
        <v>8725.1</v>
      </c>
      <c r="H176" s="6">
        <f t="shared" si="94"/>
        <v>8695.6299999999992</v>
      </c>
      <c r="I176" s="29">
        <f t="shared" si="95"/>
        <v>1.06E-2</v>
      </c>
      <c r="J176" s="29">
        <f t="shared" si="96"/>
        <v>8.2000000000000007E-3</v>
      </c>
      <c r="K176">
        <v>2.0754800000000002</v>
      </c>
      <c r="L176">
        <v>1.83</v>
      </c>
      <c r="M176" s="35">
        <f t="shared" si="97"/>
        <v>1.9530000000000001</v>
      </c>
      <c r="N176">
        <v>196.4</v>
      </c>
      <c r="O176" s="29">
        <f t="shared" si="98"/>
        <v>1.67E-2</v>
      </c>
      <c r="P176">
        <v>5</v>
      </c>
      <c r="Q176" s="6">
        <f t="shared" si="83"/>
        <v>436.26</v>
      </c>
      <c r="R176">
        <v>4</v>
      </c>
      <c r="S176" s="36">
        <f t="shared" si="84"/>
        <v>51.47</v>
      </c>
      <c r="T176" s="6">
        <f t="shared" si="99"/>
        <v>155.19</v>
      </c>
      <c r="U176" s="6">
        <f t="shared" si="100"/>
        <v>154.5</v>
      </c>
      <c r="V176" s="29">
        <f t="shared" si="101"/>
        <v>8.0999999999999996E-3</v>
      </c>
      <c r="W176" s="29">
        <f t="shared" si="102"/>
        <v>8.8000000000000005E-3</v>
      </c>
      <c r="X176" s="13">
        <f t="shared" si="85"/>
        <v>2.46E-2</v>
      </c>
      <c r="Y176" s="13">
        <f t="shared" si="86"/>
        <v>2.2499999999999999E-2</v>
      </c>
      <c r="Z176" s="6">
        <f t="shared" si="87"/>
        <v>2.2212830957230141</v>
      </c>
      <c r="AA176" s="13">
        <f t="shared" si="88"/>
        <v>0.09</v>
      </c>
      <c r="AB176" s="35">
        <f t="shared" si="89"/>
        <v>7.8559999999999999</v>
      </c>
      <c r="AC176" s="6">
        <f t="shared" si="90"/>
        <v>4910</v>
      </c>
      <c r="AD176" s="6">
        <f t="shared" si="103"/>
        <v>4867.5</v>
      </c>
      <c r="AE176" s="29">
        <f t="shared" si="104"/>
        <v>3.8699999999999998E-2</v>
      </c>
      <c r="AF176" s="13">
        <f t="shared" si="80"/>
        <v>8.9599999999999999E-2</v>
      </c>
      <c r="AG176" s="22">
        <f t="shared" si="105"/>
        <v>64.02</v>
      </c>
      <c r="AH176" s="22">
        <f t="shared" si="81"/>
        <v>58.95</v>
      </c>
      <c r="AI176" s="22">
        <f t="shared" si="106"/>
        <v>62.752499999999998</v>
      </c>
      <c r="AJ176" s="22">
        <f t="shared" si="107"/>
        <v>62.63</v>
      </c>
    </row>
    <row r="177" spans="1:36" x14ac:dyDescent="0.25">
      <c r="A177" s="34">
        <v>37956</v>
      </c>
      <c r="B177" s="34">
        <f t="shared" si="82"/>
        <v>38017</v>
      </c>
      <c r="C177">
        <v>7929.2</v>
      </c>
      <c r="D177" s="6">
        <f t="shared" si="91"/>
        <v>7891.5</v>
      </c>
      <c r="E177" s="29">
        <f t="shared" si="92"/>
        <v>1.14E-2</v>
      </c>
      <c r="F177" s="29">
        <f t="shared" si="93"/>
        <v>8.8000000000000005E-3</v>
      </c>
      <c r="G177">
        <v>8697</v>
      </c>
      <c r="H177" s="6">
        <f t="shared" si="94"/>
        <v>8653.77</v>
      </c>
      <c r="I177" s="29">
        <f t="shared" si="95"/>
        <v>7.1999999999999998E-3</v>
      </c>
      <c r="J177" s="29">
        <f t="shared" si="96"/>
        <v>1.01E-2</v>
      </c>
      <c r="K177">
        <v>1.92652</v>
      </c>
      <c r="L177">
        <v>1.73</v>
      </c>
      <c r="M177" s="35">
        <f t="shared" si="97"/>
        <v>1.8280000000000001</v>
      </c>
      <c r="N177">
        <v>194.9</v>
      </c>
      <c r="O177" s="29">
        <f t="shared" si="98"/>
        <v>1.35E-2</v>
      </c>
      <c r="P177">
        <v>5.4</v>
      </c>
      <c r="Q177" s="6">
        <f t="shared" si="83"/>
        <v>469.64</v>
      </c>
      <c r="R177">
        <v>4</v>
      </c>
      <c r="S177" s="36">
        <f t="shared" si="84"/>
        <v>51.38</v>
      </c>
      <c r="T177" s="6">
        <f t="shared" si="99"/>
        <v>154.32</v>
      </c>
      <c r="U177" s="6">
        <f t="shared" si="100"/>
        <v>153.83000000000001</v>
      </c>
      <c r="V177" s="29">
        <f t="shared" si="101"/>
        <v>6.8999999999999999E-3</v>
      </c>
      <c r="W177" s="29">
        <f t="shared" si="102"/>
        <v>5.7000000000000002E-3</v>
      </c>
      <c r="X177" s="13">
        <f t="shared" si="85"/>
        <v>2.46E-2</v>
      </c>
      <c r="Y177" s="13">
        <f t="shared" si="86"/>
        <v>2.24E-2</v>
      </c>
      <c r="Z177" s="6">
        <f t="shared" si="87"/>
        <v>2.4096459722934838</v>
      </c>
      <c r="AA177" s="13">
        <f t="shared" si="88"/>
        <v>8.9599999999999999E-2</v>
      </c>
      <c r="AB177" s="35">
        <f t="shared" si="89"/>
        <v>7.7960000000000003</v>
      </c>
      <c r="AC177" s="6">
        <f t="shared" si="90"/>
        <v>4872.5</v>
      </c>
      <c r="AD177" s="6">
        <f t="shared" si="103"/>
        <v>4829.17</v>
      </c>
      <c r="AE177" s="29">
        <f t="shared" si="104"/>
        <v>5.3699999999999998E-2</v>
      </c>
      <c r="AF177" s="13">
        <f t="shared" si="80"/>
        <v>9.7299999999999998E-2</v>
      </c>
      <c r="AG177" s="22">
        <f t="shared" si="105"/>
        <v>58.17</v>
      </c>
      <c r="AH177" s="22">
        <f t="shared" si="81"/>
        <v>54.99</v>
      </c>
      <c r="AI177" s="22">
        <f t="shared" si="106"/>
        <v>57.375</v>
      </c>
      <c r="AJ177" s="22">
        <f t="shared" si="107"/>
        <v>66.38</v>
      </c>
    </row>
    <row r="178" spans="1:36" x14ac:dyDescent="0.25">
      <c r="A178" s="34">
        <v>37926</v>
      </c>
      <c r="B178" s="34">
        <f t="shared" si="82"/>
        <v>37986</v>
      </c>
      <c r="C178">
        <v>7899.6</v>
      </c>
      <c r="D178" s="6">
        <f t="shared" si="91"/>
        <v>7860.1</v>
      </c>
      <c r="E178" s="29">
        <f t="shared" si="92"/>
        <v>1.4200000000000001E-2</v>
      </c>
      <c r="F178" s="29">
        <f t="shared" si="93"/>
        <v>7.7999999999999996E-3</v>
      </c>
      <c r="G178">
        <v>8664.7999999999993</v>
      </c>
      <c r="H178" s="6">
        <f t="shared" si="94"/>
        <v>8610.43</v>
      </c>
      <c r="I178" s="29">
        <f t="shared" si="95"/>
        <v>7.3000000000000001E-3</v>
      </c>
      <c r="J178" s="29">
        <f t="shared" si="96"/>
        <v>7.1000000000000004E-3</v>
      </c>
      <c r="K178">
        <v>1.7771399999999999</v>
      </c>
      <c r="L178">
        <v>1.71</v>
      </c>
      <c r="M178" s="35">
        <f t="shared" si="97"/>
        <v>1.744</v>
      </c>
      <c r="N178">
        <v>192.8</v>
      </c>
      <c r="O178" s="29">
        <f t="shared" si="98"/>
        <v>5.0000000000000001E-3</v>
      </c>
      <c r="P178">
        <v>5.4</v>
      </c>
      <c r="Q178" s="6">
        <f t="shared" si="83"/>
        <v>467.9</v>
      </c>
      <c r="R178">
        <v>4</v>
      </c>
      <c r="S178" s="36">
        <f t="shared" si="84"/>
        <v>51.3</v>
      </c>
      <c r="T178" s="6">
        <f t="shared" si="99"/>
        <v>153.99</v>
      </c>
      <c r="U178" s="6">
        <f t="shared" si="100"/>
        <v>153.44999999999999</v>
      </c>
      <c r="V178" s="29">
        <f t="shared" si="101"/>
        <v>9.5999999999999992E-3</v>
      </c>
      <c r="W178" s="29">
        <f t="shared" si="102"/>
        <v>4.7999999999999996E-3</v>
      </c>
      <c r="X178" s="13">
        <f t="shared" si="85"/>
        <v>2.4400000000000002E-2</v>
      </c>
      <c r="Y178" s="13">
        <f t="shared" si="86"/>
        <v>2.23E-2</v>
      </c>
      <c r="Z178" s="6">
        <f t="shared" si="87"/>
        <v>2.4268672199170123</v>
      </c>
      <c r="AA178" s="13">
        <f t="shared" si="88"/>
        <v>8.9200000000000002E-2</v>
      </c>
      <c r="AB178" s="35">
        <f t="shared" si="89"/>
        <v>7.7119999999999997</v>
      </c>
      <c r="AC178" s="6">
        <f t="shared" si="90"/>
        <v>4820</v>
      </c>
      <c r="AD178" s="6">
        <f t="shared" si="103"/>
        <v>4807.5</v>
      </c>
      <c r="AE178" s="29">
        <f t="shared" si="104"/>
        <v>7.1499999999999994E-2</v>
      </c>
      <c r="AF178" s="13">
        <f t="shared" si="80"/>
        <v>9.7299999999999998E-2</v>
      </c>
      <c r="AG178" s="22">
        <f t="shared" si="105"/>
        <v>62.78</v>
      </c>
      <c r="AH178" s="22">
        <f t="shared" si="81"/>
        <v>52.59</v>
      </c>
      <c r="AI178" s="22">
        <f t="shared" si="106"/>
        <v>60.232500000000002</v>
      </c>
      <c r="AJ178" s="22">
        <f t="shared" si="107"/>
        <v>72.81</v>
      </c>
    </row>
    <row r="179" spans="1:36" x14ac:dyDescent="0.25">
      <c r="A179" s="34">
        <v>37895</v>
      </c>
      <c r="B179" s="34">
        <f t="shared" si="82"/>
        <v>37955</v>
      </c>
      <c r="C179">
        <v>7845.7</v>
      </c>
      <c r="D179" s="6">
        <f t="shared" si="91"/>
        <v>7838.4</v>
      </c>
      <c r="E179" s="29">
        <f t="shared" si="92"/>
        <v>2.0400000000000001E-2</v>
      </c>
      <c r="F179" s="29">
        <f t="shared" si="93"/>
        <v>5.4999999999999997E-3</v>
      </c>
      <c r="G179">
        <v>8599.5</v>
      </c>
      <c r="H179" s="6">
        <f t="shared" si="94"/>
        <v>8604.1299999999992</v>
      </c>
      <c r="I179" s="29">
        <f t="shared" si="95"/>
        <v>1.6199999999999999E-2</v>
      </c>
      <c r="J179" s="29">
        <f t="shared" si="96"/>
        <v>8.9999999999999998E-4</v>
      </c>
      <c r="K179">
        <v>1.75186</v>
      </c>
      <c r="L179">
        <v>1.72</v>
      </c>
      <c r="M179" s="35">
        <f t="shared" si="97"/>
        <v>1.736</v>
      </c>
      <c r="N179">
        <v>191.8</v>
      </c>
      <c r="O179" s="29">
        <f t="shared" si="98"/>
        <v>2.5999999999999999E-3</v>
      </c>
      <c r="P179">
        <v>5.3</v>
      </c>
      <c r="Q179" s="6">
        <f t="shared" si="83"/>
        <v>455.77</v>
      </c>
      <c r="R179">
        <v>4</v>
      </c>
      <c r="S179" s="36">
        <f t="shared" si="84"/>
        <v>51.22</v>
      </c>
      <c r="T179" s="6">
        <f t="shared" si="99"/>
        <v>153.18</v>
      </c>
      <c r="U179" s="6">
        <f t="shared" si="100"/>
        <v>153.26</v>
      </c>
      <c r="V179" s="29">
        <f t="shared" si="101"/>
        <v>1.5900000000000001E-2</v>
      </c>
      <c r="W179" s="29">
        <f t="shared" si="102"/>
        <v>2.5999999999999999E-3</v>
      </c>
      <c r="X179" s="13">
        <f t="shared" si="85"/>
        <v>2.4400000000000002E-2</v>
      </c>
      <c r="Y179" s="13">
        <f t="shared" si="86"/>
        <v>2.23E-2</v>
      </c>
      <c r="Z179" s="6">
        <f t="shared" si="87"/>
        <v>2.3762773722627735</v>
      </c>
      <c r="AA179" s="13">
        <f t="shared" si="88"/>
        <v>8.9200000000000002E-2</v>
      </c>
      <c r="AB179" s="35">
        <f t="shared" si="89"/>
        <v>7.6719999999999997</v>
      </c>
      <c r="AC179" s="6">
        <f t="shared" si="90"/>
        <v>4795</v>
      </c>
      <c r="AD179" s="6">
        <f t="shared" si="103"/>
        <v>4795.83</v>
      </c>
      <c r="AE179" s="29">
        <f t="shared" si="104"/>
        <v>7.3300000000000004E-2</v>
      </c>
      <c r="AF179" s="13">
        <f t="shared" si="80"/>
        <v>9.5000000000000001E-2</v>
      </c>
      <c r="AG179" s="22">
        <f t="shared" si="105"/>
        <v>73.03</v>
      </c>
      <c r="AH179" s="22">
        <f t="shared" si="81"/>
        <v>61.5</v>
      </c>
      <c r="AI179" s="22">
        <f t="shared" si="106"/>
        <v>70.147500000000008</v>
      </c>
      <c r="AJ179" s="22">
        <f t="shared" si="107"/>
        <v>74.77</v>
      </c>
    </row>
    <row r="180" spans="1:36" x14ac:dyDescent="0.25">
      <c r="A180" s="34">
        <v>37865</v>
      </c>
      <c r="B180" s="34">
        <f t="shared" si="82"/>
        <v>37925</v>
      </c>
      <c r="C180">
        <v>7835</v>
      </c>
      <c r="D180" s="6">
        <f t="shared" si="91"/>
        <v>7802.57</v>
      </c>
      <c r="E180" s="29">
        <f t="shared" si="92"/>
        <v>2.0899999999999998E-2</v>
      </c>
      <c r="F180" s="29">
        <f t="shared" si="93"/>
        <v>1.09E-2</v>
      </c>
      <c r="G180">
        <v>8567</v>
      </c>
      <c r="H180" s="6">
        <f t="shared" si="94"/>
        <v>8591.6299999999992</v>
      </c>
      <c r="I180" s="29">
        <f t="shared" si="95"/>
        <v>2.3199999999999998E-2</v>
      </c>
      <c r="J180" s="29">
        <f t="shared" si="96"/>
        <v>2.2000000000000001E-3</v>
      </c>
      <c r="K180">
        <v>1.9484900000000001</v>
      </c>
      <c r="L180">
        <v>1.75</v>
      </c>
      <c r="M180" s="35">
        <f t="shared" si="97"/>
        <v>1.849</v>
      </c>
      <c r="N180">
        <v>192.3</v>
      </c>
      <c r="O180" s="29">
        <f t="shared" si="98"/>
        <v>8.0000000000000002E-3</v>
      </c>
      <c r="P180">
        <v>5.2</v>
      </c>
      <c r="Q180" s="6">
        <f t="shared" si="83"/>
        <v>445.48</v>
      </c>
      <c r="R180">
        <v>4</v>
      </c>
      <c r="S180" s="36">
        <f t="shared" si="84"/>
        <v>51.15</v>
      </c>
      <c r="T180" s="6">
        <f t="shared" si="99"/>
        <v>153.18</v>
      </c>
      <c r="U180" s="6">
        <f t="shared" si="100"/>
        <v>152.78</v>
      </c>
      <c r="V180" s="29">
        <f t="shared" si="101"/>
        <v>1.6500000000000001E-2</v>
      </c>
      <c r="W180" s="29">
        <f t="shared" si="102"/>
        <v>7.7999999999999996E-3</v>
      </c>
      <c r="X180" s="13">
        <f t="shared" si="85"/>
        <v>2.4500000000000001E-2</v>
      </c>
      <c r="Y180" s="13">
        <f t="shared" si="86"/>
        <v>2.24E-2</v>
      </c>
      <c r="Z180" s="6">
        <f t="shared" si="87"/>
        <v>2.316588663546542</v>
      </c>
      <c r="AA180" s="13">
        <f t="shared" si="88"/>
        <v>8.9599999999999999E-2</v>
      </c>
      <c r="AB180" s="35">
        <f t="shared" si="89"/>
        <v>7.6920000000000002</v>
      </c>
      <c r="AC180" s="6">
        <f t="shared" si="90"/>
        <v>4807.5</v>
      </c>
      <c r="AD180" s="6">
        <f t="shared" si="103"/>
        <v>4782.5</v>
      </c>
      <c r="AE180" s="29">
        <f t="shared" si="104"/>
        <v>7.22E-2</v>
      </c>
      <c r="AF180" s="13">
        <f t="shared" si="80"/>
        <v>9.3100000000000002E-2</v>
      </c>
      <c r="AG180" s="22">
        <f t="shared" si="105"/>
        <v>79.400000000000006</v>
      </c>
      <c r="AH180" s="22">
        <f t="shared" si="81"/>
        <v>72.81</v>
      </c>
      <c r="AI180" s="22">
        <f t="shared" si="106"/>
        <v>77.752499999999998</v>
      </c>
      <c r="AJ180" s="22">
        <f t="shared" si="107"/>
        <v>71.88</v>
      </c>
    </row>
    <row r="181" spans="1:36" x14ac:dyDescent="0.25">
      <c r="A181" s="34">
        <v>37834</v>
      </c>
      <c r="B181" s="34">
        <f t="shared" si="82"/>
        <v>37894</v>
      </c>
      <c r="C181">
        <v>7834.5</v>
      </c>
      <c r="D181" s="6">
        <f t="shared" si="91"/>
        <v>7750.43</v>
      </c>
      <c r="E181" s="29">
        <f t="shared" si="92"/>
        <v>1.77E-2</v>
      </c>
      <c r="F181" s="29">
        <f t="shared" si="93"/>
        <v>1.9900000000000001E-2</v>
      </c>
      <c r="G181">
        <v>8645.9</v>
      </c>
      <c r="H181" s="6">
        <f t="shared" si="94"/>
        <v>8548.07</v>
      </c>
      <c r="I181" s="29">
        <f t="shared" si="95"/>
        <v>2.2499999999999999E-2</v>
      </c>
      <c r="J181" s="29">
        <f t="shared" si="96"/>
        <v>2.1100000000000001E-2</v>
      </c>
      <c r="K181">
        <v>1.82731</v>
      </c>
      <c r="L181">
        <v>1.78</v>
      </c>
      <c r="M181" s="35">
        <f t="shared" si="97"/>
        <v>1.804</v>
      </c>
      <c r="N181">
        <v>191.4</v>
      </c>
      <c r="O181" s="29">
        <f t="shared" si="98"/>
        <v>5.4000000000000003E-3</v>
      </c>
      <c r="P181">
        <v>6</v>
      </c>
      <c r="Q181" s="6">
        <f t="shared" si="83"/>
        <v>518.75</v>
      </c>
      <c r="R181">
        <v>4</v>
      </c>
      <c r="S181" s="36">
        <f t="shared" si="84"/>
        <v>51.07</v>
      </c>
      <c r="T181" s="6">
        <f t="shared" si="99"/>
        <v>153.41</v>
      </c>
      <c r="U181" s="6">
        <f t="shared" si="100"/>
        <v>151.99</v>
      </c>
      <c r="V181" s="29">
        <f t="shared" si="101"/>
        <v>1.3299999999999999E-2</v>
      </c>
      <c r="W181" s="29">
        <f t="shared" si="102"/>
        <v>1.6899999999999998E-2</v>
      </c>
      <c r="X181" s="13">
        <f t="shared" si="85"/>
        <v>2.4400000000000002E-2</v>
      </c>
      <c r="Y181" s="13">
        <f t="shared" si="86"/>
        <v>2.2100000000000002E-2</v>
      </c>
      <c r="Z181" s="6">
        <f t="shared" si="87"/>
        <v>2.710292580982236</v>
      </c>
      <c r="AA181" s="13">
        <f t="shared" si="88"/>
        <v>8.8400000000000006E-2</v>
      </c>
      <c r="AB181" s="35">
        <f t="shared" si="89"/>
        <v>7.6559999999999997</v>
      </c>
      <c r="AC181" s="6">
        <f t="shared" si="90"/>
        <v>4785</v>
      </c>
      <c r="AD181" s="6">
        <f t="shared" si="103"/>
        <v>4686.32</v>
      </c>
      <c r="AE181" s="29">
        <f t="shared" si="104"/>
        <v>5.3999999999999999E-2</v>
      </c>
      <c r="AF181" s="13">
        <f t="shared" si="80"/>
        <v>0.11070000000000001</v>
      </c>
      <c r="AG181" s="22">
        <f t="shared" si="105"/>
        <v>82.08</v>
      </c>
      <c r="AH181" s="22">
        <f t="shared" si="81"/>
        <v>86.14</v>
      </c>
      <c r="AI181" s="22">
        <f t="shared" si="106"/>
        <v>83.094999999999999</v>
      </c>
      <c r="AJ181" s="22">
        <f t="shared" si="107"/>
        <v>66.44</v>
      </c>
    </row>
    <row r="182" spans="1:36" x14ac:dyDescent="0.25">
      <c r="A182" s="34">
        <v>37803</v>
      </c>
      <c r="B182" s="34">
        <f t="shared" si="82"/>
        <v>37864</v>
      </c>
      <c r="C182">
        <v>7738.2</v>
      </c>
      <c r="D182" s="6">
        <f t="shared" si="91"/>
        <v>7681.63</v>
      </c>
      <c r="E182" s="29">
        <f t="shared" si="92"/>
        <v>1.2699999999999999E-2</v>
      </c>
      <c r="F182" s="29">
        <f t="shared" si="93"/>
        <v>1.2500000000000001E-2</v>
      </c>
      <c r="G182">
        <v>8562</v>
      </c>
      <c r="H182" s="6">
        <f t="shared" si="94"/>
        <v>8467.2999999999993</v>
      </c>
      <c r="I182" s="29">
        <f t="shared" si="95"/>
        <v>1.77E-2</v>
      </c>
      <c r="J182" s="29">
        <f t="shared" si="96"/>
        <v>1.9599999999999999E-2</v>
      </c>
      <c r="K182">
        <v>1.6885699999999999</v>
      </c>
      <c r="L182">
        <v>1.76</v>
      </c>
      <c r="M182" s="35">
        <f t="shared" si="97"/>
        <v>1.724</v>
      </c>
      <c r="N182">
        <v>190.2</v>
      </c>
      <c r="O182" s="29">
        <f t="shared" si="98"/>
        <v>-2.0000000000000001E-4</v>
      </c>
      <c r="P182">
        <v>6.3</v>
      </c>
      <c r="Q182" s="6">
        <f t="shared" si="83"/>
        <v>539.41</v>
      </c>
      <c r="R182">
        <v>4</v>
      </c>
      <c r="S182" s="36">
        <f t="shared" si="84"/>
        <v>50.99</v>
      </c>
      <c r="T182" s="6">
        <f t="shared" si="99"/>
        <v>151.76</v>
      </c>
      <c r="U182" s="6">
        <f t="shared" si="100"/>
        <v>150.86000000000001</v>
      </c>
      <c r="V182" s="29">
        <f t="shared" si="101"/>
        <v>8.2000000000000007E-3</v>
      </c>
      <c r="W182" s="29">
        <f t="shared" si="102"/>
        <v>9.7000000000000003E-3</v>
      </c>
      <c r="X182" s="13">
        <f t="shared" si="85"/>
        <v>2.46E-2</v>
      </c>
      <c r="Y182" s="13">
        <f t="shared" si="86"/>
        <v>2.2200000000000001E-2</v>
      </c>
      <c r="Z182" s="6">
        <f t="shared" si="87"/>
        <v>2.8360147213459515</v>
      </c>
      <c r="AA182" s="13">
        <f t="shared" si="88"/>
        <v>8.8800000000000004E-2</v>
      </c>
      <c r="AB182" s="35">
        <f t="shared" si="89"/>
        <v>7.6079999999999997</v>
      </c>
      <c r="AC182" s="6">
        <f t="shared" si="90"/>
        <v>4755</v>
      </c>
      <c r="AD182" s="6">
        <f t="shared" si="103"/>
        <v>4583.08</v>
      </c>
      <c r="AE182" s="29">
        <f t="shared" si="104"/>
        <v>3.4099999999999998E-2</v>
      </c>
      <c r="AF182" s="13">
        <f t="shared" si="80"/>
        <v>0.1177</v>
      </c>
      <c r="AG182" s="22">
        <f t="shared" si="105"/>
        <v>64.62</v>
      </c>
      <c r="AH182" s="22">
        <f t="shared" si="81"/>
        <v>78.540000000000006</v>
      </c>
      <c r="AI182" s="22">
        <f t="shared" si="106"/>
        <v>68.100000000000009</v>
      </c>
      <c r="AJ182" s="22">
        <f t="shared" si="107"/>
        <v>59.42</v>
      </c>
    </row>
    <row r="183" spans="1:36" x14ac:dyDescent="0.25">
      <c r="A183" s="34">
        <v>37773</v>
      </c>
      <c r="B183" s="34">
        <f t="shared" si="82"/>
        <v>37833</v>
      </c>
      <c r="C183">
        <v>7678.6</v>
      </c>
      <c r="D183" s="6">
        <f t="shared" si="91"/>
        <v>7642.57</v>
      </c>
      <c r="E183" s="29">
        <f t="shared" si="92"/>
        <v>1.15E-2</v>
      </c>
      <c r="F183" s="29">
        <f t="shared" si="93"/>
        <v>8.2000000000000007E-3</v>
      </c>
      <c r="G183">
        <v>8436.2999999999993</v>
      </c>
      <c r="H183" s="6">
        <f t="shared" si="94"/>
        <v>8397.0300000000007</v>
      </c>
      <c r="I183" s="29">
        <f t="shared" si="95"/>
        <v>1.24E-2</v>
      </c>
      <c r="J183" s="29">
        <f t="shared" si="96"/>
        <v>9.1999999999999998E-3</v>
      </c>
      <c r="K183">
        <v>1.6040099999999999</v>
      </c>
      <c r="L183">
        <v>1.74</v>
      </c>
      <c r="M183" s="35">
        <f t="shared" si="97"/>
        <v>1.6719999999999999</v>
      </c>
      <c r="N183">
        <v>190.7</v>
      </c>
      <c r="O183" s="29">
        <f t="shared" si="98"/>
        <v>4.1999999999999997E-3</v>
      </c>
      <c r="P183">
        <v>5.6</v>
      </c>
      <c r="Q183" s="6">
        <f t="shared" si="83"/>
        <v>472.43</v>
      </c>
      <c r="R183">
        <v>4.22</v>
      </c>
      <c r="S183" s="36">
        <f t="shared" si="84"/>
        <v>50.92</v>
      </c>
      <c r="T183" s="6">
        <f t="shared" si="99"/>
        <v>150.80000000000001</v>
      </c>
      <c r="U183" s="6">
        <f t="shared" si="100"/>
        <v>150.30000000000001</v>
      </c>
      <c r="V183" s="29">
        <f t="shared" si="101"/>
        <v>6.4999999999999997E-3</v>
      </c>
      <c r="W183" s="29">
        <f t="shared" si="102"/>
        <v>5.4000000000000003E-3</v>
      </c>
      <c r="X183" s="13">
        <f t="shared" si="85"/>
        <v>2.4799999999999999E-2</v>
      </c>
      <c r="Y183" s="13">
        <f t="shared" si="86"/>
        <v>2.2599999999999999E-2</v>
      </c>
      <c r="Z183" s="6">
        <f t="shared" si="87"/>
        <v>2.4773466177241743</v>
      </c>
      <c r="AA183" s="13">
        <f t="shared" si="88"/>
        <v>9.5399999999999999E-2</v>
      </c>
      <c r="AB183" s="35">
        <f t="shared" si="89"/>
        <v>8.048</v>
      </c>
      <c r="AC183" s="6">
        <f t="shared" si="90"/>
        <v>4518.96</v>
      </c>
      <c r="AD183" s="6">
        <f t="shared" si="103"/>
        <v>4486.71</v>
      </c>
      <c r="AE183" s="29">
        <f t="shared" si="104"/>
        <v>1.9400000000000001E-2</v>
      </c>
      <c r="AF183" s="13">
        <f t="shared" si="80"/>
        <v>0.1053</v>
      </c>
      <c r="AG183" s="22">
        <f t="shared" si="105"/>
        <v>57.36</v>
      </c>
      <c r="AH183" s="22">
        <f t="shared" si="81"/>
        <v>62.24</v>
      </c>
      <c r="AI183" s="22">
        <f t="shared" si="106"/>
        <v>58.58</v>
      </c>
      <c r="AJ183" s="22">
        <f t="shared" si="107"/>
        <v>56.51</v>
      </c>
    </row>
    <row r="184" spans="1:36" x14ac:dyDescent="0.25">
      <c r="A184" s="34">
        <v>37742</v>
      </c>
      <c r="B184" s="34">
        <f t="shared" si="82"/>
        <v>37802</v>
      </c>
      <c r="C184">
        <v>7628.1</v>
      </c>
      <c r="D184" s="6">
        <f t="shared" si="91"/>
        <v>7615.83</v>
      </c>
      <c r="E184" s="29">
        <f t="shared" si="92"/>
        <v>1.18E-2</v>
      </c>
      <c r="F184" s="29">
        <f t="shared" si="93"/>
        <v>5.7000000000000002E-3</v>
      </c>
      <c r="G184">
        <v>8403.6</v>
      </c>
      <c r="H184" s="6">
        <f t="shared" si="94"/>
        <v>8359.7000000000007</v>
      </c>
      <c r="I184" s="29">
        <f t="shared" si="95"/>
        <v>1.0999999999999999E-2</v>
      </c>
      <c r="J184" s="29">
        <f t="shared" si="96"/>
        <v>1.01E-2</v>
      </c>
      <c r="K184">
        <v>1.63201</v>
      </c>
      <c r="L184">
        <v>1.82</v>
      </c>
      <c r="M184" s="35">
        <f t="shared" si="97"/>
        <v>1.726</v>
      </c>
      <c r="N184">
        <v>190.2</v>
      </c>
      <c r="O184" s="29">
        <f t="shared" si="98"/>
        <v>3.3E-3</v>
      </c>
      <c r="P184">
        <v>5.8</v>
      </c>
      <c r="Q184" s="6">
        <f t="shared" si="83"/>
        <v>487.41</v>
      </c>
      <c r="R184">
        <v>4.25</v>
      </c>
      <c r="S184" s="36">
        <f t="shared" si="84"/>
        <v>50.85</v>
      </c>
      <c r="T184" s="6">
        <f t="shared" si="99"/>
        <v>150.01</v>
      </c>
      <c r="U184" s="6">
        <f t="shared" si="100"/>
        <v>149.99</v>
      </c>
      <c r="V184" s="29">
        <f t="shared" si="101"/>
        <v>6.1999999999999998E-3</v>
      </c>
      <c r="W184" s="29">
        <f t="shared" si="102"/>
        <v>2.5999999999999999E-3</v>
      </c>
      <c r="X184" s="13">
        <f t="shared" si="85"/>
        <v>2.4899999999999999E-2</v>
      </c>
      <c r="Y184" s="13">
        <f t="shared" si="86"/>
        <v>2.2599999999999999E-2</v>
      </c>
      <c r="Z184" s="6">
        <f t="shared" si="87"/>
        <v>2.5626182965299686</v>
      </c>
      <c r="AA184" s="13">
        <f t="shared" si="88"/>
        <v>9.6100000000000005E-2</v>
      </c>
      <c r="AB184" s="35">
        <f t="shared" si="89"/>
        <v>8.0839999999999996</v>
      </c>
      <c r="AC184" s="6">
        <f t="shared" si="90"/>
        <v>4475.29</v>
      </c>
      <c r="AD184" s="6">
        <f t="shared" si="103"/>
        <v>4468.2299999999996</v>
      </c>
      <c r="AE184" s="29">
        <f t="shared" si="104"/>
        <v>4.7699999999999999E-2</v>
      </c>
      <c r="AF184" s="13">
        <f t="shared" si="80"/>
        <v>0.1091</v>
      </c>
      <c r="AG184" s="22">
        <f t="shared" si="105"/>
        <v>54.68</v>
      </c>
      <c r="AH184" s="22">
        <f t="shared" si="81"/>
        <v>59.88</v>
      </c>
      <c r="AI184" s="22">
        <f t="shared" si="106"/>
        <v>55.98</v>
      </c>
      <c r="AJ184" s="22">
        <f t="shared" si="107"/>
        <v>55.81</v>
      </c>
    </row>
    <row r="185" spans="1:36" x14ac:dyDescent="0.25">
      <c r="A185" s="34">
        <v>37712</v>
      </c>
      <c r="B185" s="34">
        <f t="shared" si="82"/>
        <v>37772</v>
      </c>
      <c r="C185">
        <v>7621</v>
      </c>
      <c r="D185" s="6">
        <f t="shared" si="91"/>
        <v>7585.1</v>
      </c>
      <c r="E185" s="29">
        <f t="shared" si="92"/>
        <v>1.11E-2</v>
      </c>
      <c r="F185" s="29">
        <f t="shared" si="93"/>
        <v>8.6E-3</v>
      </c>
      <c r="G185">
        <v>8351.2000000000007</v>
      </c>
      <c r="H185" s="6">
        <f t="shared" si="94"/>
        <v>8319.8700000000008</v>
      </c>
      <c r="I185" s="29">
        <f t="shared" si="95"/>
        <v>8.8999999999999999E-3</v>
      </c>
      <c r="J185" s="29">
        <f t="shared" si="96"/>
        <v>6.8999999999999999E-3</v>
      </c>
      <c r="K185">
        <v>1.8404100000000001</v>
      </c>
      <c r="L185">
        <v>1.85</v>
      </c>
      <c r="M185" s="35">
        <f t="shared" si="97"/>
        <v>1.845</v>
      </c>
      <c r="N185">
        <v>189.8</v>
      </c>
      <c r="O185" s="29">
        <f t="shared" si="98"/>
        <v>4.4000000000000003E-3</v>
      </c>
      <c r="P185">
        <v>5.3</v>
      </c>
      <c r="Q185" s="6">
        <f t="shared" si="83"/>
        <v>442.61</v>
      </c>
      <c r="R185">
        <v>4.25</v>
      </c>
      <c r="S185" s="36">
        <f t="shared" si="84"/>
        <v>50.78</v>
      </c>
      <c r="T185" s="6">
        <f t="shared" si="99"/>
        <v>150.08000000000001</v>
      </c>
      <c r="U185" s="6">
        <f t="shared" si="100"/>
        <v>149.63</v>
      </c>
      <c r="V185" s="29">
        <f t="shared" si="101"/>
        <v>5.1999999999999998E-3</v>
      </c>
      <c r="W185" s="29">
        <f t="shared" si="102"/>
        <v>5.0000000000000001E-3</v>
      </c>
      <c r="X185" s="13">
        <f t="shared" si="85"/>
        <v>2.4899999999999999E-2</v>
      </c>
      <c r="Y185" s="13">
        <f t="shared" si="86"/>
        <v>2.2700000000000001E-2</v>
      </c>
      <c r="Z185" s="6">
        <f t="shared" si="87"/>
        <v>2.331981032665964</v>
      </c>
      <c r="AA185" s="13">
        <f t="shared" si="88"/>
        <v>9.6500000000000002E-2</v>
      </c>
      <c r="AB185" s="35">
        <f t="shared" si="89"/>
        <v>8.0670000000000002</v>
      </c>
      <c r="AC185" s="6">
        <f t="shared" si="90"/>
        <v>4465.88</v>
      </c>
      <c r="AD185" s="6">
        <f t="shared" si="103"/>
        <v>4460.3900000000003</v>
      </c>
      <c r="AE185" s="29">
        <f t="shared" si="104"/>
        <v>7.9799999999999996E-2</v>
      </c>
      <c r="AF185" s="13">
        <f t="shared" si="80"/>
        <v>9.9199999999999997E-2</v>
      </c>
      <c r="AG185" s="22">
        <f t="shared" si="105"/>
        <v>55.63</v>
      </c>
      <c r="AH185" s="22">
        <f t="shared" si="81"/>
        <v>53.23</v>
      </c>
      <c r="AI185" s="22">
        <f t="shared" si="106"/>
        <v>55.03</v>
      </c>
      <c r="AJ185" s="22">
        <f t="shared" si="107"/>
        <v>56.62</v>
      </c>
    </row>
    <row r="186" spans="1:36" x14ac:dyDescent="0.25">
      <c r="A186" s="34">
        <v>37681</v>
      </c>
      <c r="B186" s="34">
        <f t="shared" si="82"/>
        <v>37741</v>
      </c>
      <c r="C186">
        <v>7598.4</v>
      </c>
      <c r="D186" s="6">
        <f t="shared" si="91"/>
        <v>7555.8</v>
      </c>
      <c r="E186" s="29">
        <f t="shared" si="92"/>
        <v>1.18E-2</v>
      </c>
      <c r="F186" s="29">
        <f t="shared" si="93"/>
        <v>9.4999999999999998E-3</v>
      </c>
      <c r="G186">
        <v>8324.2999999999993</v>
      </c>
      <c r="H186" s="6">
        <f t="shared" si="94"/>
        <v>8293.7999999999993</v>
      </c>
      <c r="I186" s="29">
        <f t="shared" si="95"/>
        <v>9.4000000000000004E-3</v>
      </c>
      <c r="J186" s="29">
        <f t="shared" si="96"/>
        <v>6.7000000000000002E-3</v>
      </c>
      <c r="K186">
        <v>2.4852599999999998</v>
      </c>
      <c r="L186">
        <v>2.0099999999999998</v>
      </c>
      <c r="M186" s="35">
        <f t="shared" si="97"/>
        <v>2.2480000000000002</v>
      </c>
      <c r="N186">
        <v>189.7</v>
      </c>
      <c r="O186" s="29">
        <f t="shared" si="98"/>
        <v>7.1000000000000004E-3</v>
      </c>
      <c r="P186">
        <v>5.3</v>
      </c>
      <c r="Q186" s="6">
        <f t="shared" si="83"/>
        <v>441.19</v>
      </c>
      <c r="R186">
        <v>4.25</v>
      </c>
      <c r="S186" s="36">
        <f t="shared" si="84"/>
        <v>50.7</v>
      </c>
      <c r="T186" s="6">
        <f t="shared" si="99"/>
        <v>149.87</v>
      </c>
      <c r="U186" s="6">
        <f t="shared" si="100"/>
        <v>149.33000000000001</v>
      </c>
      <c r="V186" s="29">
        <f t="shared" si="101"/>
        <v>5.8999999999999999E-3</v>
      </c>
      <c r="W186" s="29">
        <f t="shared" si="102"/>
        <v>5.3E-3</v>
      </c>
      <c r="X186" s="13">
        <f t="shared" si="85"/>
        <v>2.5000000000000001E-2</v>
      </c>
      <c r="Y186" s="13">
        <f t="shared" si="86"/>
        <v>2.2800000000000001E-2</v>
      </c>
      <c r="Z186" s="6">
        <f t="shared" si="87"/>
        <v>2.3257248286768584</v>
      </c>
      <c r="AA186" s="13">
        <f t="shared" si="88"/>
        <v>9.69E-2</v>
      </c>
      <c r="AB186" s="35">
        <f t="shared" si="89"/>
        <v>8.0619999999999994</v>
      </c>
      <c r="AC186" s="6">
        <f t="shared" si="90"/>
        <v>4463.53</v>
      </c>
      <c r="AD186" s="6">
        <f t="shared" si="103"/>
        <v>4446.2700000000004</v>
      </c>
      <c r="AE186" s="29">
        <f t="shared" si="104"/>
        <v>0.10440000000000001</v>
      </c>
      <c r="AF186" s="13">
        <f t="shared" si="80"/>
        <v>9.9199999999999997E-2</v>
      </c>
      <c r="AG186" s="22">
        <f t="shared" si="105"/>
        <v>57.6</v>
      </c>
      <c r="AH186" s="22">
        <f t="shared" si="81"/>
        <v>53.03</v>
      </c>
      <c r="AI186" s="22">
        <f t="shared" si="106"/>
        <v>56.457500000000003</v>
      </c>
      <c r="AJ186" s="22">
        <f t="shared" si="107"/>
        <v>57.48</v>
      </c>
    </row>
    <row r="187" spans="1:36" x14ac:dyDescent="0.25">
      <c r="A187" s="34">
        <v>37653</v>
      </c>
      <c r="B187" s="34">
        <f t="shared" si="82"/>
        <v>37711</v>
      </c>
      <c r="C187">
        <v>7535.9</v>
      </c>
      <c r="D187" s="6">
        <f t="shared" si="91"/>
        <v>7527.27</v>
      </c>
      <c r="E187" s="29">
        <f t="shared" si="92"/>
        <v>1.35E-2</v>
      </c>
      <c r="F187" s="29">
        <f t="shared" si="93"/>
        <v>4.4999999999999997E-3</v>
      </c>
      <c r="G187">
        <v>8284.1</v>
      </c>
      <c r="H187" s="6">
        <f t="shared" si="94"/>
        <v>8269.1299999999992</v>
      </c>
      <c r="I187" s="29">
        <f t="shared" si="95"/>
        <v>1.0699999999999999E-2</v>
      </c>
      <c r="J187" s="29">
        <f t="shared" si="96"/>
        <v>4.5999999999999999E-3</v>
      </c>
      <c r="K187">
        <v>2.5346500000000001</v>
      </c>
      <c r="L187">
        <v>2.0099999999999998</v>
      </c>
      <c r="M187" s="35">
        <f t="shared" si="97"/>
        <v>2.2719999999999998</v>
      </c>
      <c r="N187">
        <v>189.2</v>
      </c>
      <c r="O187" s="29">
        <f t="shared" si="98"/>
        <v>3.7000000000000002E-3</v>
      </c>
      <c r="P187">
        <v>5.6</v>
      </c>
      <c r="Q187" s="6">
        <f t="shared" si="83"/>
        <v>463.91</v>
      </c>
      <c r="R187">
        <v>4.25</v>
      </c>
      <c r="S187" s="36">
        <f t="shared" si="84"/>
        <v>50.6</v>
      </c>
      <c r="T187" s="6">
        <f t="shared" si="99"/>
        <v>148.93</v>
      </c>
      <c r="U187" s="6">
        <f t="shared" si="100"/>
        <v>149.07</v>
      </c>
      <c r="V187" s="29">
        <f t="shared" si="101"/>
        <v>8.0000000000000002E-3</v>
      </c>
      <c r="W187" s="29">
        <f t="shared" si="102"/>
        <v>4.0000000000000002E-4</v>
      </c>
      <c r="X187" s="13">
        <f t="shared" si="85"/>
        <v>2.5100000000000001E-2</v>
      </c>
      <c r="Y187" s="13">
        <f t="shared" si="86"/>
        <v>2.2800000000000001E-2</v>
      </c>
      <c r="Z187" s="6">
        <f t="shared" si="87"/>
        <v>2.451955602536998</v>
      </c>
      <c r="AA187" s="13">
        <f t="shared" si="88"/>
        <v>9.69E-2</v>
      </c>
      <c r="AB187" s="35">
        <f t="shared" si="89"/>
        <v>8.0410000000000004</v>
      </c>
      <c r="AC187" s="6">
        <f t="shared" si="90"/>
        <v>4451.76</v>
      </c>
      <c r="AD187" s="6">
        <f t="shared" si="103"/>
        <v>4432.16</v>
      </c>
      <c r="AE187" s="29">
        <f t="shared" si="104"/>
        <v>9.5699999999999993E-2</v>
      </c>
      <c r="AF187" s="13">
        <f t="shared" si="80"/>
        <v>0.1047</v>
      </c>
      <c r="AG187" s="22">
        <f t="shared" si="105"/>
        <v>56.42</v>
      </c>
      <c r="AH187" s="22">
        <f t="shared" si="81"/>
        <v>53.89</v>
      </c>
      <c r="AI187" s="22">
        <f t="shared" si="106"/>
        <v>55.787499999999994</v>
      </c>
      <c r="AJ187" s="22">
        <f t="shared" si="107"/>
        <v>56.05</v>
      </c>
    </row>
    <row r="188" spans="1:36" x14ac:dyDescent="0.25">
      <c r="A188" s="34">
        <v>37622</v>
      </c>
      <c r="B188" s="34">
        <f t="shared" si="82"/>
        <v>37680</v>
      </c>
      <c r="C188">
        <v>7533.1</v>
      </c>
      <c r="D188" s="6">
        <f t="shared" si="91"/>
        <v>7501.87</v>
      </c>
      <c r="E188" s="29">
        <f t="shared" si="92"/>
        <v>1.2699999999999999E-2</v>
      </c>
      <c r="F188" s="29">
        <f t="shared" si="93"/>
        <v>8.8000000000000005E-3</v>
      </c>
      <c r="G188">
        <v>8273</v>
      </c>
      <c r="H188" s="6">
        <f t="shared" si="94"/>
        <v>8246.33</v>
      </c>
      <c r="I188" s="29">
        <f t="shared" si="95"/>
        <v>1.1599999999999999E-2</v>
      </c>
      <c r="J188" s="29">
        <f t="shared" si="96"/>
        <v>6.8999999999999999E-3</v>
      </c>
      <c r="K188">
        <v>2.2997299999999998</v>
      </c>
      <c r="L188">
        <v>2.0699999999999998</v>
      </c>
      <c r="M188" s="35">
        <f t="shared" si="97"/>
        <v>2.1850000000000001</v>
      </c>
      <c r="N188">
        <v>188</v>
      </c>
      <c r="O188" s="29">
        <f t="shared" si="98"/>
        <v>-7.4000000000000003E-3</v>
      </c>
      <c r="P188">
        <v>5.5</v>
      </c>
      <c r="Q188" s="6">
        <f t="shared" si="83"/>
        <v>455.02</v>
      </c>
      <c r="R188">
        <v>4.25</v>
      </c>
      <c r="S188" s="36">
        <f t="shared" si="84"/>
        <v>50.49</v>
      </c>
      <c r="T188" s="6">
        <f t="shared" si="99"/>
        <v>149.19999999999999</v>
      </c>
      <c r="U188" s="6">
        <f t="shared" si="100"/>
        <v>148.86000000000001</v>
      </c>
      <c r="V188" s="29">
        <f t="shared" si="101"/>
        <v>7.7000000000000002E-3</v>
      </c>
      <c r="W188" s="29">
        <f t="shared" si="102"/>
        <v>5.1000000000000004E-3</v>
      </c>
      <c r="X188" s="13">
        <f t="shared" si="85"/>
        <v>2.5000000000000001E-2</v>
      </c>
      <c r="Y188" s="13">
        <f t="shared" si="86"/>
        <v>2.2700000000000001E-2</v>
      </c>
      <c r="Z188" s="6">
        <f t="shared" si="87"/>
        <v>2.4203191489361702</v>
      </c>
      <c r="AA188" s="13">
        <f t="shared" si="88"/>
        <v>9.6500000000000002E-2</v>
      </c>
      <c r="AB188" s="35">
        <f t="shared" si="89"/>
        <v>7.99</v>
      </c>
      <c r="AC188" s="6">
        <f t="shared" si="90"/>
        <v>4423.53</v>
      </c>
      <c r="AD188" s="6">
        <f t="shared" si="103"/>
        <v>4401.1099999999997</v>
      </c>
      <c r="AE188" s="29">
        <f t="shared" si="104"/>
        <v>8.0699999999999994E-2</v>
      </c>
      <c r="AF188" s="13">
        <f t="shared" si="80"/>
        <v>0.10340000000000001</v>
      </c>
      <c r="AG188" s="22">
        <f t="shared" si="105"/>
        <v>59.85</v>
      </c>
      <c r="AH188" s="22">
        <f t="shared" si="81"/>
        <v>57.34</v>
      </c>
      <c r="AI188" s="22">
        <f t="shared" si="106"/>
        <v>59.222500000000004</v>
      </c>
      <c r="AJ188" s="22">
        <f t="shared" si="107"/>
        <v>55.32</v>
      </c>
    </row>
    <row r="189" spans="1:36" x14ac:dyDescent="0.25">
      <c r="A189" s="34">
        <v>37591</v>
      </c>
      <c r="B189" s="34">
        <f t="shared" si="82"/>
        <v>37652</v>
      </c>
      <c r="C189">
        <v>7512.8</v>
      </c>
      <c r="D189" s="6">
        <f t="shared" si="91"/>
        <v>7467.73</v>
      </c>
      <c r="E189" s="29">
        <f t="shared" si="92"/>
        <v>1.04E-2</v>
      </c>
      <c r="F189" s="29">
        <f t="shared" si="93"/>
        <v>1.15E-2</v>
      </c>
      <c r="G189">
        <v>8250.2999999999993</v>
      </c>
      <c r="H189" s="6">
        <f t="shared" si="94"/>
        <v>8216.4</v>
      </c>
      <c r="I189" s="29">
        <f t="shared" si="95"/>
        <v>1.06E-2</v>
      </c>
      <c r="J189" s="29">
        <f t="shared" si="96"/>
        <v>8.3999999999999995E-3</v>
      </c>
      <c r="K189">
        <v>2.0985</v>
      </c>
      <c r="L189">
        <v>2.1</v>
      </c>
      <c r="M189" s="35">
        <f t="shared" si="97"/>
        <v>2.0990000000000002</v>
      </c>
      <c r="N189">
        <v>187.9</v>
      </c>
      <c r="O189" s="29">
        <f t="shared" si="98"/>
        <v>-1.3100000000000001E-2</v>
      </c>
      <c r="P189">
        <v>5.5</v>
      </c>
      <c r="Q189" s="6">
        <f t="shared" si="83"/>
        <v>453.77</v>
      </c>
      <c r="R189">
        <v>4.25</v>
      </c>
      <c r="S189" s="36">
        <f t="shared" si="84"/>
        <v>50.39</v>
      </c>
      <c r="T189" s="6">
        <f t="shared" si="99"/>
        <v>149.09</v>
      </c>
      <c r="U189" s="6">
        <f t="shared" si="100"/>
        <v>148.44999999999999</v>
      </c>
      <c r="V189" s="29">
        <f t="shared" si="101"/>
        <v>5.7999999999999996E-3</v>
      </c>
      <c r="W189" s="29">
        <f t="shared" si="102"/>
        <v>8.2000000000000007E-3</v>
      </c>
      <c r="X189" s="13">
        <f t="shared" si="85"/>
        <v>2.5000000000000001E-2</v>
      </c>
      <c r="Y189" s="13">
        <f t="shared" si="86"/>
        <v>2.2800000000000001E-2</v>
      </c>
      <c r="Z189" s="6">
        <f t="shared" si="87"/>
        <v>2.4149547631718997</v>
      </c>
      <c r="AA189" s="13">
        <f t="shared" si="88"/>
        <v>9.69E-2</v>
      </c>
      <c r="AB189" s="35">
        <f t="shared" si="89"/>
        <v>7.9859999999999998</v>
      </c>
      <c r="AC189" s="6">
        <f t="shared" si="90"/>
        <v>4421.18</v>
      </c>
      <c r="AD189" s="6">
        <f t="shared" si="103"/>
        <v>4264.8500000000004</v>
      </c>
      <c r="AE189" s="29">
        <f t="shared" si="104"/>
        <v>3.8699999999999998E-2</v>
      </c>
      <c r="AF189" s="13">
        <f t="shared" si="80"/>
        <v>0.10639999999999999</v>
      </c>
      <c r="AG189" s="22">
        <f t="shared" si="105"/>
        <v>58.55</v>
      </c>
      <c r="AH189" s="22">
        <f t="shared" si="81"/>
        <v>58.08</v>
      </c>
      <c r="AI189" s="22">
        <f t="shared" si="106"/>
        <v>58.43249999999999</v>
      </c>
      <c r="AJ189" s="22">
        <f t="shared" si="107"/>
        <v>53.66</v>
      </c>
    </row>
    <row r="190" spans="1:36" x14ac:dyDescent="0.25">
      <c r="A190" s="34">
        <v>37561</v>
      </c>
      <c r="B190" s="34">
        <f t="shared" si="82"/>
        <v>37621</v>
      </c>
      <c r="C190">
        <v>7459.7</v>
      </c>
      <c r="D190" s="6">
        <f t="shared" si="91"/>
        <v>7427.13</v>
      </c>
      <c r="E190" s="29">
        <f t="shared" si="92"/>
        <v>8.2000000000000007E-3</v>
      </c>
      <c r="F190" s="29">
        <f t="shared" si="93"/>
        <v>7.0000000000000001E-3</v>
      </c>
      <c r="G190">
        <v>8215.7000000000007</v>
      </c>
      <c r="H190" s="6">
        <f t="shared" si="94"/>
        <v>8181.43</v>
      </c>
      <c r="I190" s="29">
        <f t="shared" si="95"/>
        <v>7.0000000000000001E-3</v>
      </c>
      <c r="J190" s="29">
        <f t="shared" si="96"/>
        <v>7.7999999999999996E-3</v>
      </c>
      <c r="K190">
        <v>1.9023099999999999</v>
      </c>
      <c r="L190">
        <v>2.06</v>
      </c>
      <c r="M190" s="35">
        <f t="shared" si="97"/>
        <v>1.9810000000000001</v>
      </c>
      <c r="N190">
        <v>189.6</v>
      </c>
      <c r="O190" s="29">
        <f t="shared" si="98"/>
        <v>-8.5000000000000006E-3</v>
      </c>
      <c r="P190">
        <v>5.7</v>
      </c>
      <c r="Q190" s="6">
        <f t="shared" si="83"/>
        <v>468.29</v>
      </c>
      <c r="R190">
        <v>4.3499999999999996</v>
      </c>
      <c r="S190" s="36">
        <f t="shared" si="84"/>
        <v>50.3</v>
      </c>
      <c r="T190" s="6">
        <f t="shared" si="99"/>
        <v>148.30000000000001</v>
      </c>
      <c r="U190" s="6">
        <f t="shared" si="100"/>
        <v>147.88</v>
      </c>
      <c r="V190" s="29">
        <f t="shared" si="101"/>
        <v>4.0000000000000001E-3</v>
      </c>
      <c r="W190" s="29">
        <f t="shared" si="102"/>
        <v>3.8999999999999998E-3</v>
      </c>
      <c r="X190" s="13">
        <f t="shared" si="85"/>
        <v>2.5399999999999999E-2</v>
      </c>
      <c r="Y190" s="13">
        <f t="shared" si="86"/>
        <v>2.3099999999999999E-2</v>
      </c>
      <c r="Z190" s="6">
        <f t="shared" si="87"/>
        <v>2.4698839662447258</v>
      </c>
      <c r="AA190" s="13">
        <f t="shared" si="88"/>
        <v>0.10050000000000001</v>
      </c>
      <c r="AB190" s="35">
        <f t="shared" si="89"/>
        <v>8.2479999999999993</v>
      </c>
      <c r="AC190" s="6">
        <f t="shared" si="90"/>
        <v>4358.62</v>
      </c>
      <c r="AD190" s="6">
        <f t="shared" si="103"/>
        <v>4130.7700000000004</v>
      </c>
      <c r="AE190" s="29">
        <f t="shared" si="104"/>
        <v>-4.7000000000000002E-3</v>
      </c>
      <c r="AF190" s="13">
        <f t="shared" si="80"/>
        <v>0.1134</v>
      </c>
      <c r="AG190" s="22">
        <f t="shared" si="105"/>
        <v>50.03</v>
      </c>
      <c r="AH190" s="22">
        <f t="shared" si="81"/>
        <v>52.98</v>
      </c>
      <c r="AI190" s="22">
        <f t="shared" si="106"/>
        <v>50.767499999999998</v>
      </c>
      <c r="AJ190" s="22">
        <f t="shared" si="107"/>
        <v>54.12</v>
      </c>
    </row>
    <row r="191" spans="1:36" x14ac:dyDescent="0.25">
      <c r="A191" s="34">
        <v>37530</v>
      </c>
      <c r="B191" s="34">
        <f t="shared" si="82"/>
        <v>37590</v>
      </c>
      <c r="C191">
        <v>7430.7</v>
      </c>
      <c r="D191" s="6">
        <f t="shared" si="91"/>
        <v>7407.73</v>
      </c>
      <c r="E191" s="29">
        <f t="shared" si="92"/>
        <v>1.0999999999999999E-2</v>
      </c>
      <c r="F191" s="29">
        <f t="shared" si="93"/>
        <v>5.4000000000000003E-3</v>
      </c>
      <c r="G191">
        <v>8183.2</v>
      </c>
      <c r="H191" s="6">
        <f t="shared" si="94"/>
        <v>8152.17</v>
      </c>
      <c r="I191" s="29">
        <f t="shared" si="95"/>
        <v>4.5999999999999999E-3</v>
      </c>
      <c r="J191" s="29">
        <f t="shared" si="96"/>
        <v>6.4999999999999997E-3</v>
      </c>
      <c r="K191">
        <v>1.73854</v>
      </c>
      <c r="L191">
        <v>2.08</v>
      </c>
      <c r="M191" s="35">
        <f t="shared" si="97"/>
        <v>1.909</v>
      </c>
      <c r="N191">
        <v>190.7</v>
      </c>
      <c r="O191" s="29">
        <f t="shared" si="98"/>
        <v>-7.4999999999999997E-3</v>
      </c>
      <c r="P191">
        <v>5.7</v>
      </c>
      <c r="Q191" s="6">
        <f t="shared" si="83"/>
        <v>466.44</v>
      </c>
      <c r="R191">
        <v>4.75</v>
      </c>
      <c r="S191" s="36">
        <f t="shared" si="84"/>
        <v>50.22</v>
      </c>
      <c r="T191" s="6">
        <f t="shared" si="99"/>
        <v>147.96</v>
      </c>
      <c r="U191" s="6">
        <f t="shared" si="100"/>
        <v>147.72</v>
      </c>
      <c r="V191" s="29">
        <f t="shared" si="101"/>
        <v>7.3000000000000001E-3</v>
      </c>
      <c r="W191" s="29">
        <f t="shared" si="102"/>
        <v>2.5000000000000001E-3</v>
      </c>
      <c r="X191" s="13">
        <f t="shared" si="85"/>
        <v>2.5700000000000001E-2</v>
      </c>
      <c r="Y191" s="13">
        <f t="shared" si="86"/>
        <v>2.3300000000000001E-2</v>
      </c>
      <c r="Z191" s="6">
        <f t="shared" si="87"/>
        <v>2.445936025170425</v>
      </c>
      <c r="AA191" s="13">
        <f t="shared" si="88"/>
        <v>0.11070000000000001</v>
      </c>
      <c r="AB191" s="35">
        <f t="shared" si="89"/>
        <v>9.0579999999999998</v>
      </c>
      <c r="AC191" s="6">
        <f t="shared" si="90"/>
        <v>4014.74</v>
      </c>
      <c r="AD191" s="6">
        <f t="shared" si="103"/>
        <v>4025.97</v>
      </c>
      <c r="AE191" s="29">
        <f t="shared" si="104"/>
        <v>-4.02E-2</v>
      </c>
      <c r="AF191" s="13">
        <f t="shared" si="80"/>
        <v>0.1159</v>
      </c>
      <c r="AG191" s="22">
        <f t="shared" si="105"/>
        <v>54.54</v>
      </c>
      <c r="AH191" s="22">
        <f t="shared" si="81"/>
        <v>47.73</v>
      </c>
      <c r="AI191" s="22">
        <f t="shared" si="106"/>
        <v>52.837499999999999</v>
      </c>
      <c r="AJ191" s="22">
        <f t="shared" si="107"/>
        <v>56.09</v>
      </c>
    </row>
    <row r="192" spans="1:36" x14ac:dyDescent="0.25">
      <c r="A192" s="34">
        <v>37500</v>
      </c>
      <c r="B192" s="34">
        <f t="shared" si="82"/>
        <v>37560</v>
      </c>
      <c r="C192">
        <v>7391</v>
      </c>
      <c r="D192" s="6">
        <f t="shared" si="91"/>
        <v>7390.97</v>
      </c>
      <c r="E192" s="29">
        <f t="shared" si="92"/>
        <v>1.2200000000000001E-2</v>
      </c>
      <c r="F192" s="29">
        <f t="shared" si="93"/>
        <v>3.3E-3</v>
      </c>
      <c r="G192">
        <v>8145.4</v>
      </c>
      <c r="H192" s="6">
        <f t="shared" si="94"/>
        <v>8130.33</v>
      </c>
      <c r="I192" s="29">
        <f t="shared" si="95"/>
        <v>4.0000000000000001E-3</v>
      </c>
      <c r="J192" s="29">
        <f t="shared" si="96"/>
        <v>2.5999999999999999E-3</v>
      </c>
      <c r="K192">
        <v>1.91808</v>
      </c>
      <c r="L192">
        <v>2.08</v>
      </c>
      <c r="M192" s="35">
        <f t="shared" si="97"/>
        <v>1.9990000000000001</v>
      </c>
      <c r="N192">
        <v>190.9</v>
      </c>
      <c r="O192" s="29">
        <f t="shared" si="98"/>
        <v>-1.3100000000000001E-2</v>
      </c>
      <c r="P192">
        <v>5.7</v>
      </c>
      <c r="Q192" s="6">
        <f t="shared" si="83"/>
        <v>464.29</v>
      </c>
      <c r="R192">
        <v>4.75</v>
      </c>
      <c r="S192" s="36">
        <f t="shared" si="84"/>
        <v>50.15</v>
      </c>
      <c r="T192" s="6">
        <f t="shared" si="99"/>
        <v>147.38</v>
      </c>
      <c r="U192" s="6">
        <f t="shared" si="100"/>
        <v>147.59</v>
      </c>
      <c r="V192" s="29">
        <f t="shared" si="101"/>
        <v>8.9999999999999993E-3</v>
      </c>
      <c r="W192" s="29">
        <f t="shared" si="102"/>
        <v>5.9999999999999995E-4</v>
      </c>
      <c r="X192" s="13">
        <f t="shared" si="85"/>
        <v>2.58E-2</v>
      </c>
      <c r="Y192" s="13">
        <f t="shared" si="86"/>
        <v>2.3400000000000001E-2</v>
      </c>
      <c r="Z192" s="6">
        <f t="shared" si="87"/>
        <v>2.4321110529072811</v>
      </c>
      <c r="AA192" s="13">
        <f t="shared" si="88"/>
        <v>0.11119999999999999</v>
      </c>
      <c r="AB192" s="35">
        <f t="shared" si="89"/>
        <v>9.0679999999999996</v>
      </c>
      <c r="AC192" s="6">
        <f t="shared" si="90"/>
        <v>4018.95</v>
      </c>
      <c r="AD192" s="6">
        <f t="shared" si="103"/>
        <v>4044.91</v>
      </c>
      <c r="AE192" s="29">
        <f t="shared" si="104"/>
        <v>-4.7100000000000003E-2</v>
      </c>
      <c r="AF192" s="13">
        <f t="shared" si="80"/>
        <v>0.1148</v>
      </c>
      <c r="AG192" s="22">
        <f t="shared" si="105"/>
        <v>55.41</v>
      </c>
      <c r="AH192" s="22">
        <f t="shared" si="81"/>
        <v>44.21</v>
      </c>
      <c r="AI192" s="22">
        <f t="shared" si="106"/>
        <v>52.61</v>
      </c>
      <c r="AJ192" s="22">
        <f t="shared" si="107"/>
        <v>58.11</v>
      </c>
    </row>
    <row r="193" spans="1:36" x14ac:dyDescent="0.25">
      <c r="A193" s="34">
        <v>37469</v>
      </c>
      <c r="B193" s="34">
        <f t="shared" si="82"/>
        <v>37529</v>
      </c>
      <c r="C193">
        <v>7401.5</v>
      </c>
      <c r="D193" s="6">
        <f t="shared" si="91"/>
        <v>7366.7</v>
      </c>
      <c r="E193" s="29">
        <f t="shared" si="92"/>
        <v>1.26E-2</v>
      </c>
      <c r="F193" s="29">
        <f t="shared" si="93"/>
        <v>1.0200000000000001E-2</v>
      </c>
      <c r="G193">
        <v>8127.9</v>
      </c>
      <c r="H193" s="6">
        <f t="shared" si="94"/>
        <v>8124.27</v>
      </c>
      <c r="I193" s="29">
        <f t="shared" si="95"/>
        <v>8.3999999999999995E-3</v>
      </c>
      <c r="J193" s="29">
        <f t="shared" si="96"/>
        <v>1.6000000000000001E-3</v>
      </c>
      <c r="K193">
        <v>1.3999900000000001</v>
      </c>
      <c r="L193">
        <v>2.0099999999999998</v>
      </c>
      <c r="M193" s="35">
        <f t="shared" si="97"/>
        <v>1.7050000000000001</v>
      </c>
      <c r="N193">
        <v>192.1</v>
      </c>
      <c r="O193" s="29">
        <f t="shared" si="98"/>
        <v>-1.4999999999999999E-2</v>
      </c>
      <c r="P193">
        <v>5.4</v>
      </c>
      <c r="Q193" s="6">
        <f t="shared" si="83"/>
        <v>438.91</v>
      </c>
      <c r="R193">
        <v>4.75</v>
      </c>
      <c r="S193" s="36">
        <f t="shared" si="84"/>
        <v>50.07</v>
      </c>
      <c r="T193" s="6">
        <f t="shared" si="99"/>
        <v>147.82</v>
      </c>
      <c r="U193" s="6">
        <f t="shared" si="100"/>
        <v>147.29</v>
      </c>
      <c r="V193" s="29">
        <f t="shared" si="101"/>
        <v>9.7999999999999997E-3</v>
      </c>
      <c r="W193" s="29">
        <f t="shared" si="102"/>
        <v>8.0000000000000002E-3</v>
      </c>
      <c r="X193" s="13">
        <f t="shared" si="85"/>
        <v>2.5999999999999999E-2</v>
      </c>
      <c r="Y193" s="13">
        <f t="shared" si="86"/>
        <v>2.3599999999999999E-2</v>
      </c>
      <c r="Z193" s="6">
        <f t="shared" si="87"/>
        <v>2.2847995835502344</v>
      </c>
      <c r="AA193" s="13">
        <f t="shared" si="88"/>
        <v>0.11210000000000001</v>
      </c>
      <c r="AB193" s="35">
        <f t="shared" si="89"/>
        <v>9.125</v>
      </c>
      <c r="AC193" s="6">
        <f t="shared" si="90"/>
        <v>4044.21</v>
      </c>
      <c r="AD193" s="6">
        <f t="shared" si="103"/>
        <v>4072.28</v>
      </c>
      <c r="AE193" s="29">
        <f t="shared" si="104"/>
        <v>-5.1799999999999999E-2</v>
      </c>
      <c r="AF193" s="13">
        <f t="shared" si="80"/>
        <v>0.10780000000000001</v>
      </c>
      <c r="AG193" s="22">
        <f t="shared" si="105"/>
        <v>63.7</v>
      </c>
      <c r="AH193" s="22">
        <f t="shared" si="81"/>
        <v>49.94</v>
      </c>
      <c r="AI193" s="22">
        <f t="shared" si="106"/>
        <v>60.260000000000005</v>
      </c>
      <c r="AJ193" s="22">
        <f t="shared" si="107"/>
        <v>60.3</v>
      </c>
    </row>
    <row r="194" spans="1:36" x14ac:dyDescent="0.25">
      <c r="A194" s="34">
        <v>37438</v>
      </c>
      <c r="B194" s="34">
        <f t="shared" si="82"/>
        <v>37499</v>
      </c>
      <c r="C194">
        <v>7380.4</v>
      </c>
      <c r="D194" s="6">
        <f t="shared" si="91"/>
        <v>7327.1</v>
      </c>
      <c r="E194" s="29">
        <f t="shared" si="92"/>
        <v>1.01E-2</v>
      </c>
      <c r="F194" s="29">
        <f t="shared" si="93"/>
        <v>1.0699999999999999E-2</v>
      </c>
      <c r="G194">
        <v>8117.7</v>
      </c>
      <c r="H194" s="6">
        <f t="shared" si="94"/>
        <v>8114.8</v>
      </c>
      <c r="I194" s="29">
        <f t="shared" si="95"/>
        <v>1.21E-2</v>
      </c>
      <c r="J194" s="29">
        <f t="shared" si="96"/>
        <v>2.3999999999999998E-3</v>
      </c>
      <c r="K194">
        <v>1.2034800000000001</v>
      </c>
      <c r="L194">
        <v>2.04</v>
      </c>
      <c r="M194" s="35">
        <f t="shared" si="97"/>
        <v>1.6220000000000001</v>
      </c>
      <c r="N194">
        <v>193.4</v>
      </c>
      <c r="O194" s="29">
        <f t="shared" si="98"/>
        <v>-1.89E-2</v>
      </c>
      <c r="P194">
        <v>5.5</v>
      </c>
      <c r="Q194" s="6">
        <f t="shared" si="83"/>
        <v>446.47</v>
      </c>
      <c r="R194">
        <v>4.75</v>
      </c>
      <c r="S194" s="36">
        <f t="shared" si="84"/>
        <v>50.01</v>
      </c>
      <c r="T194" s="6">
        <f t="shared" si="99"/>
        <v>147.58000000000001</v>
      </c>
      <c r="U194" s="6">
        <f t="shared" si="100"/>
        <v>146.65</v>
      </c>
      <c r="V194" s="29">
        <f t="shared" si="101"/>
        <v>7.4999999999999997E-3</v>
      </c>
      <c r="W194" s="29">
        <f t="shared" si="102"/>
        <v>8.8999999999999999E-3</v>
      </c>
      <c r="X194" s="13">
        <f t="shared" si="85"/>
        <v>2.6200000000000001E-2</v>
      </c>
      <c r="Y194" s="13">
        <f t="shared" si="86"/>
        <v>2.3800000000000002E-2</v>
      </c>
      <c r="Z194" s="6">
        <f t="shared" si="87"/>
        <v>2.3085315408479836</v>
      </c>
      <c r="AA194" s="13">
        <f t="shared" si="88"/>
        <v>0.11310000000000001</v>
      </c>
      <c r="AB194" s="35">
        <f t="shared" si="89"/>
        <v>9.1869999999999994</v>
      </c>
      <c r="AC194" s="6">
        <f t="shared" si="90"/>
        <v>4071.58</v>
      </c>
      <c r="AD194" s="6">
        <f t="shared" si="103"/>
        <v>4105.96</v>
      </c>
      <c r="AE194" s="29">
        <f t="shared" si="104"/>
        <v>-5.2600000000000001E-2</v>
      </c>
      <c r="AF194" s="13">
        <f t="shared" si="80"/>
        <v>0.1087</v>
      </c>
      <c r="AG194" s="22">
        <f t="shared" si="105"/>
        <v>59.54</v>
      </c>
      <c r="AH194" s="22">
        <f t="shared" si="81"/>
        <v>55.92</v>
      </c>
      <c r="AI194" s="22">
        <f t="shared" si="106"/>
        <v>58.635000000000005</v>
      </c>
      <c r="AJ194" s="22">
        <f t="shared" si="107"/>
        <v>62.2</v>
      </c>
    </row>
    <row r="195" spans="1:36" x14ac:dyDescent="0.25">
      <c r="A195" s="34">
        <v>37408</v>
      </c>
      <c r="B195" s="34">
        <f t="shared" si="82"/>
        <v>37468</v>
      </c>
      <c r="C195">
        <v>7318.2</v>
      </c>
      <c r="D195" s="6">
        <f t="shared" si="91"/>
        <v>7302.1</v>
      </c>
      <c r="E195" s="29">
        <f t="shared" si="92"/>
        <v>1.2800000000000001E-2</v>
      </c>
      <c r="F195" s="29">
        <f t="shared" si="93"/>
        <v>5.8999999999999999E-3</v>
      </c>
      <c r="G195">
        <v>8127.2</v>
      </c>
      <c r="H195" s="6">
        <f t="shared" si="94"/>
        <v>8097.87</v>
      </c>
      <c r="I195" s="29">
        <f t="shared" si="95"/>
        <v>1.44E-2</v>
      </c>
      <c r="J195" s="29">
        <f t="shared" si="96"/>
        <v>8.8000000000000005E-3</v>
      </c>
      <c r="K195">
        <v>0.96670999999999996</v>
      </c>
      <c r="L195">
        <v>2.02</v>
      </c>
      <c r="M195" s="35">
        <f t="shared" si="97"/>
        <v>1.4930000000000001</v>
      </c>
      <c r="N195">
        <v>194.8</v>
      </c>
      <c r="O195" s="29">
        <f t="shared" si="98"/>
        <v>-2.23E-2</v>
      </c>
      <c r="P195">
        <v>6.4</v>
      </c>
      <c r="Q195" s="6">
        <f t="shared" si="83"/>
        <v>520.14</v>
      </c>
      <c r="R195">
        <v>4.75</v>
      </c>
      <c r="S195" s="36">
        <f t="shared" si="84"/>
        <v>49.96</v>
      </c>
      <c r="T195" s="6">
        <f t="shared" si="99"/>
        <v>146.47999999999999</v>
      </c>
      <c r="U195" s="6">
        <f t="shared" si="100"/>
        <v>146.28</v>
      </c>
      <c r="V195" s="29">
        <f t="shared" si="101"/>
        <v>1.0200000000000001E-2</v>
      </c>
      <c r="W195" s="29">
        <f t="shared" si="102"/>
        <v>4.1999999999999997E-3</v>
      </c>
      <c r="X195" s="13">
        <f t="shared" si="85"/>
        <v>2.6599999999999999E-2</v>
      </c>
      <c r="Y195" s="13">
        <f t="shared" si="86"/>
        <v>2.4E-2</v>
      </c>
      <c r="Z195" s="6">
        <f t="shared" si="87"/>
        <v>2.6701232032854207</v>
      </c>
      <c r="AA195" s="13">
        <f t="shared" si="88"/>
        <v>0.114</v>
      </c>
      <c r="AB195" s="35">
        <f t="shared" si="89"/>
        <v>9.2530000000000001</v>
      </c>
      <c r="AC195" s="6">
        <f t="shared" si="90"/>
        <v>4101.05</v>
      </c>
      <c r="AD195" s="6">
        <f t="shared" si="103"/>
        <v>4150.17</v>
      </c>
      <c r="AE195" s="29">
        <f t="shared" si="104"/>
        <v>-3.3500000000000002E-2</v>
      </c>
      <c r="AF195" s="13">
        <f t="shared" si="80"/>
        <v>0.12529999999999999</v>
      </c>
      <c r="AG195" s="22">
        <f t="shared" si="105"/>
        <v>60.07</v>
      </c>
      <c r="AH195" s="22">
        <f t="shared" si="81"/>
        <v>63.49</v>
      </c>
      <c r="AI195" s="22">
        <f t="shared" si="106"/>
        <v>60.925000000000004</v>
      </c>
      <c r="AJ195" s="22">
        <f t="shared" si="107"/>
        <v>60.77</v>
      </c>
    </row>
    <row r="196" spans="1:36" x14ac:dyDescent="0.25">
      <c r="A196" s="34">
        <v>37377</v>
      </c>
      <c r="B196" s="34">
        <f t="shared" si="82"/>
        <v>37437</v>
      </c>
      <c r="C196">
        <v>7282.7</v>
      </c>
      <c r="D196" s="6">
        <f t="shared" si="91"/>
        <v>7275.1</v>
      </c>
      <c r="E196" s="29">
        <f t="shared" si="92"/>
        <v>1.32E-2</v>
      </c>
      <c r="F196" s="29">
        <f t="shared" si="93"/>
        <v>4.0000000000000001E-3</v>
      </c>
      <c r="G196">
        <v>8099.5</v>
      </c>
      <c r="H196" s="6">
        <f t="shared" si="94"/>
        <v>8056.67</v>
      </c>
      <c r="I196" s="29">
        <f t="shared" si="95"/>
        <v>1.7899999999999999E-2</v>
      </c>
      <c r="J196" s="29">
        <f t="shared" si="96"/>
        <v>1.0200000000000001E-2</v>
      </c>
      <c r="K196">
        <v>1.0260800000000001</v>
      </c>
      <c r="L196">
        <v>2.12</v>
      </c>
      <c r="M196" s="35">
        <f t="shared" si="97"/>
        <v>1.573</v>
      </c>
      <c r="N196">
        <v>196.9</v>
      </c>
      <c r="O196" s="29">
        <f t="shared" si="98"/>
        <v>-2.35E-2</v>
      </c>
      <c r="P196">
        <v>6.5</v>
      </c>
      <c r="Q196" s="6">
        <f t="shared" si="83"/>
        <v>526.47</v>
      </c>
      <c r="R196">
        <v>4.75</v>
      </c>
      <c r="S196" s="36">
        <f t="shared" si="84"/>
        <v>49.92</v>
      </c>
      <c r="T196" s="6">
        <f t="shared" si="99"/>
        <v>145.88999999999999</v>
      </c>
      <c r="U196" s="6">
        <f t="shared" si="100"/>
        <v>145.86000000000001</v>
      </c>
      <c r="V196" s="29">
        <f t="shared" si="101"/>
        <v>1.09E-2</v>
      </c>
      <c r="W196" s="29">
        <f t="shared" si="102"/>
        <v>2.3E-3</v>
      </c>
      <c r="X196" s="13">
        <f t="shared" si="85"/>
        <v>2.7E-2</v>
      </c>
      <c r="Y196" s="13">
        <f t="shared" si="86"/>
        <v>2.4299999999999999E-2</v>
      </c>
      <c r="Z196" s="6">
        <f t="shared" si="87"/>
        <v>2.6737938039614018</v>
      </c>
      <c r="AA196" s="13">
        <f t="shared" si="88"/>
        <v>0.1154</v>
      </c>
      <c r="AB196" s="35">
        <f t="shared" si="89"/>
        <v>9.3529999999999998</v>
      </c>
      <c r="AC196" s="6">
        <f t="shared" si="90"/>
        <v>4145.26</v>
      </c>
      <c r="AD196" s="6">
        <f t="shared" si="103"/>
        <v>4194.38</v>
      </c>
      <c r="AE196" s="29">
        <f t="shared" si="104"/>
        <v>1.29E-2</v>
      </c>
      <c r="AF196" s="13">
        <f t="shared" ref="AF196:AF259" si="108">ROUND(Q196/AD196,4)</f>
        <v>0.1255</v>
      </c>
      <c r="AG196" s="22">
        <f t="shared" si="105"/>
        <v>59.15</v>
      </c>
      <c r="AH196" s="22">
        <f t="shared" si="81"/>
        <v>68.08</v>
      </c>
      <c r="AI196" s="22">
        <f t="shared" si="106"/>
        <v>61.382499999999993</v>
      </c>
      <c r="AJ196" s="22">
        <f t="shared" si="107"/>
        <v>58.39</v>
      </c>
    </row>
    <row r="197" spans="1:36" x14ac:dyDescent="0.25">
      <c r="A197" s="34">
        <v>37347</v>
      </c>
      <c r="B197" s="34">
        <f t="shared" si="82"/>
        <v>37407</v>
      </c>
      <c r="C197">
        <v>7305.4</v>
      </c>
      <c r="D197" s="6">
        <f t="shared" si="91"/>
        <v>7253.63</v>
      </c>
      <c r="E197" s="29">
        <f t="shared" si="92"/>
        <v>1.26E-2</v>
      </c>
      <c r="F197" s="29">
        <f t="shared" si="93"/>
        <v>1.32E-2</v>
      </c>
      <c r="G197">
        <v>8066.9</v>
      </c>
      <c r="H197" s="6">
        <f t="shared" si="94"/>
        <v>8017.47</v>
      </c>
      <c r="I197" s="29">
        <f t="shared" si="95"/>
        <v>2.1000000000000001E-2</v>
      </c>
      <c r="J197" s="29">
        <f t="shared" si="96"/>
        <v>1.06E-2</v>
      </c>
      <c r="K197">
        <v>1.2248000000000001</v>
      </c>
      <c r="L197">
        <v>2.17</v>
      </c>
      <c r="M197" s="35">
        <f t="shared" si="97"/>
        <v>1.6970000000000001</v>
      </c>
      <c r="N197">
        <v>199.7</v>
      </c>
      <c r="O197" s="29">
        <f t="shared" si="98"/>
        <v>-2.1100000000000001E-2</v>
      </c>
      <c r="P197">
        <v>5.8</v>
      </c>
      <c r="Q197" s="6">
        <f t="shared" si="83"/>
        <v>467.88</v>
      </c>
      <c r="R197">
        <v>4.75</v>
      </c>
      <c r="S197" s="36">
        <f t="shared" si="84"/>
        <v>49.88</v>
      </c>
      <c r="T197" s="6">
        <f t="shared" si="99"/>
        <v>146.46</v>
      </c>
      <c r="U197" s="6">
        <f t="shared" si="100"/>
        <v>145.56</v>
      </c>
      <c r="V197" s="29">
        <f t="shared" si="101"/>
        <v>1.0500000000000001E-2</v>
      </c>
      <c r="W197" s="29">
        <f t="shared" si="102"/>
        <v>1.15E-2</v>
      </c>
      <c r="X197" s="13">
        <f t="shared" si="85"/>
        <v>2.7300000000000001E-2</v>
      </c>
      <c r="Y197" s="13">
        <f t="shared" si="86"/>
        <v>2.4799999999999999E-2</v>
      </c>
      <c r="Z197" s="6">
        <f t="shared" si="87"/>
        <v>2.342914371557336</v>
      </c>
      <c r="AA197" s="13">
        <f t="shared" si="88"/>
        <v>0.1178</v>
      </c>
      <c r="AB197" s="35">
        <f t="shared" si="89"/>
        <v>9.4860000000000007</v>
      </c>
      <c r="AC197" s="6">
        <f t="shared" si="90"/>
        <v>4204.21</v>
      </c>
      <c r="AD197" s="6">
        <f t="shared" si="103"/>
        <v>4244.91</v>
      </c>
      <c r="AE197" s="29">
        <f t="shared" si="104"/>
        <v>0.1019</v>
      </c>
      <c r="AF197" s="13">
        <f t="shared" si="108"/>
        <v>0.11020000000000001</v>
      </c>
      <c r="AG197" s="22">
        <f t="shared" si="105"/>
        <v>67.260000000000005</v>
      </c>
      <c r="AH197" s="22">
        <f t="shared" ref="AH197:AH260" si="109">ROUND((I197*1500)+(J197*700)-(AA197*175)-(AE197*30)+Z197+52,2)</f>
        <v>69.59</v>
      </c>
      <c r="AI197" s="22">
        <f t="shared" si="106"/>
        <v>67.842500000000001</v>
      </c>
      <c r="AJ197" s="22">
        <f t="shared" si="107"/>
        <v>53.21</v>
      </c>
    </row>
    <row r="198" spans="1:36" x14ac:dyDescent="0.25">
      <c r="A198" s="34">
        <v>37316</v>
      </c>
      <c r="B198" s="34">
        <f t="shared" ref="B198:B261" si="110">EOMONTH(A198+40,0)</f>
        <v>37376</v>
      </c>
      <c r="C198">
        <v>7237.2</v>
      </c>
      <c r="D198" s="6">
        <f t="shared" si="91"/>
        <v>7209.93</v>
      </c>
      <c r="E198" s="29">
        <f t="shared" si="92"/>
        <v>4.8999999999999998E-3</v>
      </c>
      <c r="F198" s="29">
        <f t="shared" si="93"/>
        <v>8.0000000000000002E-3</v>
      </c>
      <c r="G198">
        <v>8003.6</v>
      </c>
      <c r="H198" s="6">
        <f t="shared" si="94"/>
        <v>7982.63</v>
      </c>
      <c r="I198" s="29">
        <f t="shared" si="95"/>
        <v>2.4400000000000002E-2</v>
      </c>
      <c r="J198" s="29">
        <f t="shared" si="96"/>
        <v>1.12E-2</v>
      </c>
      <c r="K198">
        <v>0.97028000000000003</v>
      </c>
      <c r="L198">
        <v>2.2200000000000002</v>
      </c>
      <c r="M198" s="35">
        <f t="shared" si="97"/>
        <v>1.595</v>
      </c>
      <c r="N198">
        <v>201.1</v>
      </c>
      <c r="O198" s="29">
        <f t="shared" si="98"/>
        <v>-2.93E-2</v>
      </c>
      <c r="P198">
        <v>5.9</v>
      </c>
      <c r="Q198" s="6">
        <f t="shared" ref="Q198:Q261" si="111">ROUND(G198*(P198*0.01),2)</f>
        <v>472.21</v>
      </c>
      <c r="R198">
        <v>4.75</v>
      </c>
      <c r="S198" s="36">
        <f t="shared" ref="S198:S261" si="112">ROUND((S199+(S199*((K198*0.01)/12))),2)</f>
        <v>49.83</v>
      </c>
      <c r="T198" s="6">
        <f t="shared" si="99"/>
        <v>145.24</v>
      </c>
      <c r="U198" s="6">
        <f t="shared" si="100"/>
        <v>144.80000000000001</v>
      </c>
      <c r="V198" s="29">
        <f t="shared" si="101"/>
        <v>2.8E-3</v>
      </c>
      <c r="W198" s="29">
        <f t="shared" si="102"/>
        <v>6.6E-3</v>
      </c>
      <c r="X198" s="13">
        <f t="shared" ref="X198:X261" si="113">ROUND(N198/C198,4)</f>
        <v>2.7799999999999998E-2</v>
      </c>
      <c r="Y198" s="13">
        <f t="shared" ref="Y198:Y261" si="114">ROUND(N198/G198,4)</f>
        <v>2.5100000000000001E-2</v>
      </c>
      <c r="Z198" s="6">
        <f t="shared" ref="Z198:Z261" si="115">Q198/N198</f>
        <v>2.3481352560914965</v>
      </c>
      <c r="AA198" s="13">
        <f t="shared" ref="AA198:AA261" si="116">ROUND(Y198*R198,4)</f>
        <v>0.1192</v>
      </c>
      <c r="AB198" s="35">
        <f t="shared" ref="AB198:AB261" si="117">ROUND(N198*(R198*0.01),3)</f>
        <v>9.5519999999999996</v>
      </c>
      <c r="AC198" s="6">
        <f t="shared" ref="AC198:AC261" si="118">ROUND(N198/(R198*0.01),2)</f>
        <v>4233.68</v>
      </c>
      <c r="AD198" s="6">
        <f t="shared" si="103"/>
        <v>4294.7299999999996</v>
      </c>
      <c r="AE198" s="29">
        <f t="shared" si="104"/>
        <v>0.20530000000000001</v>
      </c>
      <c r="AF198" s="13">
        <f t="shared" si="108"/>
        <v>0.11</v>
      </c>
      <c r="AG198" s="22">
        <f t="shared" si="105"/>
        <v>46.66</v>
      </c>
      <c r="AH198" s="22">
        <f t="shared" si="109"/>
        <v>71.77</v>
      </c>
      <c r="AI198" s="22">
        <f t="shared" si="106"/>
        <v>52.9375</v>
      </c>
      <c r="AJ198" s="22">
        <f t="shared" si="107"/>
        <v>47.75</v>
      </c>
    </row>
    <row r="199" spans="1:36" x14ac:dyDescent="0.25">
      <c r="A199" s="34">
        <v>37288</v>
      </c>
      <c r="B199" s="34">
        <f t="shared" si="110"/>
        <v>37346</v>
      </c>
      <c r="C199">
        <v>7218.3</v>
      </c>
      <c r="D199" s="6">
        <f t="shared" ref="D199:D262" si="119">ROUND(AVERAGE(C199:C201),2)</f>
        <v>7180.1</v>
      </c>
      <c r="E199" s="29">
        <f t="shared" ref="E199:E262" si="120">ROUND((D199-D202)/D202,4)</f>
        <v>7.1000000000000004E-3</v>
      </c>
      <c r="F199" s="29">
        <f t="shared" ref="F199:F262" si="121">ROUND((C199-AVERAGE(C200:C202))/AVERAGE(C200:C202),4)</f>
        <v>7.7000000000000002E-3</v>
      </c>
      <c r="G199">
        <v>7981.9</v>
      </c>
      <c r="H199" s="6">
        <f t="shared" ref="H199:H262" si="122">ROUND(AVERAGE(G199:G201),2)</f>
        <v>7915.33</v>
      </c>
      <c r="I199" s="29">
        <f t="shared" ref="I199:I262" si="123">ROUND((H199-H202)/H202,4)</f>
        <v>1.26E-2</v>
      </c>
      <c r="J199" s="29">
        <f t="shared" ref="J199:J262" si="124">ROUND((G199-AVERAGE(G200:G202))/AVERAGE(G200:G202),4)</f>
        <v>1.6500000000000001E-2</v>
      </c>
      <c r="K199">
        <v>0.69596999999999998</v>
      </c>
      <c r="L199">
        <v>2.23</v>
      </c>
      <c r="M199" s="35">
        <f t="shared" ref="M199:M262" si="125">ROUND((K199+L199)/2,3)</f>
        <v>1.4630000000000001</v>
      </c>
      <c r="N199">
        <v>204.1</v>
      </c>
      <c r="O199" s="29">
        <f t="shared" ref="O199:O262" si="126">ROUND((N199-AVERAGE(N200:N202))/AVERAGE(N200:N202),4)</f>
        <v>-2.87E-2</v>
      </c>
      <c r="P199">
        <v>5.8</v>
      </c>
      <c r="Q199" s="6">
        <f t="shared" si="111"/>
        <v>462.95</v>
      </c>
      <c r="R199">
        <v>4.75</v>
      </c>
      <c r="S199" s="36">
        <f t="shared" si="112"/>
        <v>49.79</v>
      </c>
      <c r="T199" s="6">
        <f t="shared" ref="T199:T262" si="127">ROUND(C199/S199,2)</f>
        <v>144.97</v>
      </c>
      <c r="U199" s="6">
        <f t="shared" ref="U199:U262" si="128">ROUND(AVERAGE(T199:T201),2)</f>
        <v>144.29</v>
      </c>
      <c r="V199" s="29">
        <f t="shared" ref="V199:V262" si="129">ROUND((U199-U202)/U202,4)</f>
        <v>4.5999999999999999E-3</v>
      </c>
      <c r="W199" s="29">
        <f t="shared" ref="W199:W262" si="130">ROUND((T199-AVERAGE(T200:T202))/AVERAGE(T200:T202),4)</f>
        <v>6.4000000000000003E-3</v>
      </c>
      <c r="X199" s="13">
        <f t="shared" si="113"/>
        <v>2.8299999999999999E-2</v>
      </c>
      <c r="Y199" s="13">
        <f t="shared" si="114"/>
        <v>2.5600000000000001E-2</v>
      </c>
      <c r="Z199" s="6">
        <f t="shared" si="115"/>
        <v>2.2682508574228319</v>
      </c>
      <c r="AA199" s="13">
        <f t="shared" si="116"/>
        <v>0.1216</v>
      </c>
      <c r="AB199" s="35">
        <f t="shared" si="117"/>
        <v>9.6950000000000003</v>
      </c>
      <c r="AC199" s="6">
        <f t="shared" si="118"/>
        <v>4296.84</v>
      </c>
      <c r="AD199" s="6">
        <f t="shared" ref="AD199:AD262" si="131">ROUND(AVERAGE(AC199:AC201),2)</f>
        <v>4333.92</v>
      </c>
      <c r="AE199" s="29">
        <f t="shared" ref="AE199:AE262" si="132">ROUND((AD199-AD204)/AD204,4)</f>
        <v>0.28939999999999999</v>
      </c>
      <c r="AF199" s="13">
        <f t="shared" si="108"/>
        <v>0.10680000000000001</v>
      </c>
      <c r="AG199" s="22">
        <f t="shared" ref="AG199:AG262" si="133">ROUND((W199*500)+(V199*1000)+(E199*1000)+(F199*500)-(X199*300)+40,2)</f>
        <v>50.26</v>
      </c>
      <c r="AH199" s="22">
        <f t="shared" si="109"/>
        <v>54.76</v>
      </c>
      <c r="AI199" s="22">
        <f t="shared" ref="AI199:AI262" si="134">IF((AG199*0.75)+(AH199*0.25)&lt;0,0,(AG199*0.75)+(AH199*0.25))</f>
        <v>51.384999999999998</v>
      </c>
      <c r="AJ199" s="22">
        <f t="shared" ref="AJ199:AJ262" si="135">ROUND(AVERAGE(AI199:AI202),2)</f>
        <v>44.24</v>
      </c>
    </row>
    <row r="200" spans="1:36" x14ac:dyDescent="0.25">
      <c r="A200" s="34">
        <v>37257</v>
      </c>
      <c r="B200" s="34">
        <f t="shared" si="110"/>
        <v>37315</v>
      </c>
      <c r="C200">
        <v>7174.3</v>
      </c>
      <c r="D200" s="6">
        <f t="shared" si="119"/>
        <v>7163.3</v>
      </c>
      <c r="E200" s="29">
        <f t="shared" si="120"/>
        <v>7.4999999999999997E-3</v>
      </c>
      <c r="F200" s="29">
        <f t="shared" si="121"/>
        <v>-1E-4</v>
      </c>
      <c r="G200">
        <v>7962.4</v>
      </c>
      <c r="H200" s="6">
        <f t="shared" si="122"/>
        <v>7852.67</v>
      </c>
      <c r="I200" s="29">
        <f t="shared" si="123"/>
        <v>-2.5000000000000001E-3</v>
      </c>
      <c r="J200" s="29">
        <f t="shared" si="124"/>
        <v>2.18E-2</v>
      </c>
      <c r="K200">
        <v>0.66920000000000002</v>
      </c>
      <c r="L200">
        <v>2.2400000000000002</v>
      </c>
      <c r="M200" s="35">
        <f t="shared" si="125"/>
        <v>1.4550000000000001</v>
      </c>
      <c r="N200">
        <v>206.8</v>
      </c>
      <c r="O200" s="29">
        <f t="shared" si="126"/>
        <v>-2.9100000000000001E-2</v>
      </c>
      <c r="P200">
        <v>6.1</v>
      </c>
      <c r="Q200" s="6">
        <f t="shared" si="111"/>
        <v>485.71</v>
      </c>
      <c r="R200">
        <v>4.75</v>
      </c>
      <c r="S200" s="36">
        <f t="shared" si="112"/>
        <v>49.76</v>
      </c>
      <c r="T200" s="6">
        <f t="shared" si="127"/>
        <v>144.18</v>
      </c>
      <c r="U200" s="6">
        <f t="shared" si="128"/>
        <v>144.05000000000001</v>
      </c>
      <c r="V200" s="29">
        <f t="shared" si="129"/>
        <v>4.5999999999999999E-3</v>
      </c>
      <c r="W200" s="29">
        <f t="shared" si="130"/>
        <v>-1.5E-3</v>
      </c>
      <c r="X200" s="13">
        <f t="shared" si="113"/>
        <v>2.8799999999999999E-2</v>
      </c>
      <c r="Y200" s="13">
        <f t="shared" si="114"/>
        <v>2.5999999999999999E-2</v>
      </c>
      <c r="Z200" s="6">
        <f t="shared" si="115"/>
        <v>2.348694390715667</v>
      </c>
      <c r="AA200" s="13">
        <f t="shared" si="116"/>
        <v>0.1235</v>
      </c>
      <c r="AB200" s="35">
        <f t="shared" si="117"/>
        <v>9.8230000000000004</v>
      </c>
      <c r="AC200" s="6">
        <f t="shared" si="118"/>
        <v>4353.68</v>
      </c>
      <c r="AD200" s="6">
        <f t="shared" si="131"/>
        <v>4293.8</v>
      </c>
      <c r="AE200" s="29">
        <f t="shared" si="132"/>
        <v>0.31740000000000002</v>
      </c>
      <c r="AF200" s="13">
        <f t="shared" si="108"/>
        <v>0.11310000000000001</v>
      </c>
      <c r="AG200" s="22">
        <f t="shared" si="133"/>
        <v>42.66</v>
      </c>
      <c r="AH200" s="22">
        <f t="shared" si="109"/>
        <v>34.72</v>
      </c>
      <c r="AI200" s="22">
        <f t="shared" si="134"/>
        <v>40.674999999999997</v>
      </c>
      <c r="AJ200" s="22">
        <f t="shared" si="135"/>
        <v>44.76</v>
      </c>
    </row>
    <row r="201" spans="1:36" x14ac:dyDescent="0.25">
      <c r="A201" s="34">
        <v>37226</v>
      </c>
      <c r="B201" s="34">
        <f t="shared" si="110"/>
        <v>37287</v>
      </c>
      <c r="C201">
        <v>7147.7</v>
      </c>
      <c r="D201" s="6">
        <f t="shared" si="119"/>
        <v>7174.67</v>
      </c>
      <c r="E201" s="29">
        <f t="shared" si="120"/>
        <v>1.5599999999999999E-2</v>
      </c>
      <c r="F201" s="29">
        <f t="shared" si="121"/>
        <v>2.5000000000000001E-3</v>
      </c>
      <c r="G201">
        <v>7801.7</v>
      </c>
      <c r="H201" s="6">
        <f t="shared" si="122"/>
        <v>7792.23</v>
      </c>
      <c r="I201" s="29">
        <f t="shared" si="123"/>
        <v>-1.2E-2</v>
      </c>
      <c r="J201" s="29">
        <f t="shared" si="124"/>
        <v>-1.9E-3</v>
      </c>
      <c r="K201">
        <v>1.0482199999999999</v>
      </c>
      <c r="L201">
        <v>2.38</v>
      </c>
      <c r="M201" s="35">
        <f t="shared" si="125"/>
        <v>1.714</v>
      </c>
      <c r="N201">
        <v>210.6</v>
      </c>
      <c r="O201" s="29">
        <f t="shared" si="126"/>
        <v>-2.3900000000000001E-2</v>
      </c>
      <c r="P201">
        <v>4.5</v>
      </c>
      <c r="Q201" s="6">
        <f t="shared" si="111"/>
        <v>351.08</v>
      </c>
      <c r="R201">
        <v>4.84</v>
      </c>
      <c r="S201" s="36">
        <f t="shared" si="112"/>
        <v>49.73</v>
      </c>
      <c r="T201" s="6">
        <f t="shared" si="127"/>
        <v>143.72999999999999</v>
      </c>
      <c r="U201" s="6">
        <f t="shared" si="128"/>
        <v>144.4</v>
      </c>
      <c r="V201" s="29">
        <f t="shared" si="129"/>
        <v>1.2200000000000001E-2</v>
      </c>
      <c r="W201" s="29">
        <f t="shared" si="130"/>
        <v>6.9999999999999999E-4</v>
      </c>
      <c r="X201" s="13">
        <f t="shared" si="113"/>
        <v>2.9499999999999998E-2</v>
      </c>
      <c r="Y201" s="13">
        <f t="shared" si="114"/>
        <v>2.7E-2</v>
      </c>
      <c r="Z201" s="6">
        <f t="shared" si="115"/>
        <v>1.6670465337132003</v>
      </c>
      <c r="AA201" s="13">
        <f t="shared" si="116"/>
        <v>0.13070000000000001</v>
      </c>
      <c r="AB201" s="35">
        <f t="shared" si="117"/>
        <v>10.193</v>
      </c>
      <c r="AC201" s="6">
        <f t="shared" si="118"/>
        <v>4351.24</v>
      </c>
      <c r="AD201" s="6">
        <f t="shared" si="131"/>
        <v>4140.9399999999996</v>
      </c>
      <c r="AE201" s="29">
        <f t="shared" si="132"/>
        <v>0.3014</v>
      </c>
      <c r="AF201" s="13">
        <f t="shared" si="108"/>
        <v>8.48E-2</v>
      </c>
      <c r="AG201" s="22">
        <f t="shared" si="133"/>
        <v>60.55</v>
      </c>
      <c r="AH201" s="22">
        <f t="shared" si="109"/>
        <v>2.42</v>
      </c>
      <c r="AI201" s="22">
        <f t="shared" si="134"/>
        <v>46.017499999999991</v>
      </c>
      <c r="AJ201" s="22">
        <f t="shared" si="135"/>
        <v>42.39</v>
      </c>
    </row>
    <row r="202" spans="1:36" x14ac:dyDescent="0.25">
      <c r="A202" s="34">
        <v>37196</v>
      </c>
      <c r="B202" s="34">
        <f t="shared" si="110"/>
        <v>37256</v>
      </c>
      <c r="C202">
        <v>7167.9</v>
      </c>
      <c r="D202" s="6">
        <f t="shared" si="119"/>
        <v>7129.7</v>
      </c>
      <c r="E202" s="29">
        <f t="shared" si="120"/>
        <v>6.8999999999999999E-3</v>
      </c>
      <c r="F202" s="29">
        <f t="shared" si="121"/>
        <v>8.0999999999999996E-3</v>
      </c>
      <c r="G202">
        <v>7793.9</v>
      </c>
      <c r="H202" s="6">
        <f t="shared" si="122"/>
        <v>7816.87</v>
      </c>
      <c r="I202" s="29">
        <f t="shared" si="123"/>
        <v>-2.0999999999999999E-3</v>
      </c>
      <c r="J202" s="29">
        <f t="shared" si="124"/>
        <v>-9.9000000000000008E-3</v>
      </c>
      <c r="K202">
        <v>1.2866299999999999</v>
      </c>
      <c r="L202">
        <v>2.46</v>
      </c>
      <c r="M202" s="35">
        <f t="shared" si="125"/>
        <v>1.873</v>
      </c>
      <c r="N202">
        <v>213</v>
      </c>
      <c r="O202" s="29">
        <f t="shared" si="126"/>
        <v>-2.4400000000000002E-2</v>
      </c>
      <c r="P202">
        <v>4.0999999999999996</v>
      </c>
      <c r="Q202" s="6">
        <f t="shared" si="111"/>
        <v>319.55</v>
      </c>
      <c r="R202">
        <v>5.0999999999999996</v>
      </c>
      <c r="S202" s="36">
        <f t="shared" si="112"/>
        <v>49.69</v>
      </c>
      <c r="T202" s="6">
        <f t="shared" si="127"/>
        <v>144.25</v>
      </c>
      <c r="U202" s="6">
        <f t="shared" si="128"/>
        <v>143.63</v>
      </c>
      <c r="V202" s="29">
        <f t="shared" si="129"/>
        <v>3.0999999999999999E-3</v>
      </c>
      <c r="W202" s="29">
        <f t="shared" si="130"/>
        <v>6.0000000000000001E-3</v>
      </c>
      <c r="X202" s="13">
        <f t="shared" si="113"/>
        <v>2.9700000000000001E-2</v>
      </c>
      <c r="Y202" s="13">
        <f t="shared" si="114"/>
        <v>2.7300000000000001E-2</v>
      </c>
      <c r="Z202" s="6">
        <f t="shared" si="115"/>
        <v>1.5002347417840376</v>
      </c>
      <c r="AA202" s="13">
        <f t="shared" si="116"/>
        <v>0.13919999999999999</v>
      </c>
      <c r="AB202" s="35">
        <f t="shared" si="117"/>
        <v>10.863</v>
      </c>
      <c r="AC202" s="6">
        <f t="shared" si="118"/>
        <v>4176.47</v>
      </c>
      <c r="AD202" s="6">
        <f t="shared" si="131"/>
        <v>3852.42</v>
      </c>
      <c r="AE202" s="29">
        <f t="shared" si="132"/>
        <v>0.26729999999999998</v>
      </c>
      <c r="AF202" s="13">
        <f t="shared" si="108"/>
        <v>8.2900000000000001E-2</v>
      </c>
      <c r="AG202" s="22">
        <f t="shared" si="133"/>
        <v>48.14</v>
      </c>
      <c r="AH202" s="22">
        <f t="shared" si="109"/>
        <v>11.04</v>
      </c>
      <c r="AI202" s="22">
        <f t="shared" si="134"/>
        <v>38.865000000000002</v>
      </c>
      <c r="AJ202" s="22">
        <f t="shared" si="135"/>
        <v>43.98</v>
      </c>
    </row>
    <row r="203" spans="1:36" x14ac:dyDescent="0.25">
      <c r="A203" s="34">
        <v>37165</v>
      </c>
      <c r="B203" s="34">
        <f t="shared" si="110"/>
        <v>37225</v>
      </c>
      <c r="C203">
        <v>7208.4</v>
      </c>
      <c r="D203" s="6">
        <f t="shared" si="119"/>
        <v>7110.03</v>
      </c>
      <c r="E203" s="29">
        <f t="shared" si="120"/>
        <v>7.1000000000000004E-3</v>
      </c>
      <c r="F203" s="29">
        <f t="shared" si="121"/>
        <v>2.0400000000000001E-2</v>
      </c>
      <c r="G203">
        <v>7781.1</v>
      </c>
      <c r="H203" s="6">
        <f t="shared" si="122"/>
        <v>7872.2</v>
      </c>
      <c r="I203" s="29">
        <f t="shared" si="123"/>
        <v>1.61E-2</v>
      </c>
      <c r="J203" s="29">
        <f t="shared" si="124"/>
        <v>-1.35E-2</v>
      </c>
      <c r="K203">
        <v>1.4786699999999999</v>
      </c>
      <c r="L203">
        <v>2.5</v>
      </c>
      <c r="M203" s="35">
        <f t="shared" si="125"/>
        <v>1.9890000000000001</v>
      </c>
      <c r="N203">
        <v>215.4</v>
      </c>
      <c r="O203" s="29">
        <f t="shared" si="126"/>
        <v>-2.3300000000000001E-2</v>
      </c>
      <c r="P203">
        <v>3.4</v>
      </c>
      <c r="Q203" s="6">
        <f t="shared" si="111"/>
        <v>264.56</v>
      </c>
      <c r="R203">
        <v>5.53</v>
      </c>
      <c r="S203" s="36">
        <f t="shared" si="112"/>
        <v>49.64</v>
      </c>
      <c r="T203" s="6">
        <f t="shared" si="127"/>
        <v>145.21</v>
      </c>
      <c r="U203" s="6">
        <f t="shared" si="128"/>
        <v>143.38999999999999</v>
      </c>
      <c r="V203" s="29">
        <f t="shared" si="129"/>
        <v>2.7000000000000001E-3</v>
      </c>
      <c r="W203" s="29">
        <f t="shared" si="130"/>
        <v>1.7899999999999999E-2</v>
      </c>
      <c r="X203" s="13">
        <f t="shared" si="113"/>
        <v>2.9899999999999999E-2</v>
      </c>
      <c r="Y203" s="13">
        <f t="shared" si="114"/>
        <v>2.7699999999999999E-2</v>
      </c>
      <c r="Z203" s="6">
        <f t="shared" si="115"/>
        <v>1.2282265552460538</v>
      </c>
      <c r="AA203" s="13">
        <f t="shared" si="116"/>
        <v>0.1532</v>
      </c>
      <c r="AB203" s="35">
        <f t="shared" si="117"/>
        <v>11.912000000000001</v>
      </c>
      <c r="AC203" s="6">
        <f t="shared" si="118"/>
        <v>3895.12</v>
      </c>
      <c r="AD203" s="6">
        <f t="shared" si="131"/>
        <v>3563.21</v>
      </c>
      <c r="AE203" s="29">
        <f t="shared" si="132"/>
        <v>0.24010000000000001</v>
      </c>
      <c r="AF203" s="13">
        <f t="shared" si="108"/>
        <v>7.4200000000000002E-2</v>
      </c>
      <c r="AG203" s="22">
        <f t="shared" si="133"/>
        <v>59.98</v>
      </c>
      <c r="AH203" s="22">
        <f t="shared" si="109"/>
        <v>33.92</v>
      </c>
      <c r="AI203" s="22">
        <f t="shared" si="134"/>
        <v>53.465000000000003</v>
      </c>
      <c r="AJ203" s="22">
        <f t="shared" si="135"/>
        <v>45.15</v>
      </c>
    </row>
    <row r="204" spans="1:36" x14ac:dyDescent="0.25">
      <c r="A204" s="34">
        <v>37135</v>
      </c>
      <c r="B204" s="34">
        <f t="shared" si="110"/>
        <v>37195</v>
      </c>
      <c r="C204">
        <v>7012.8</v>
      </c>
      <c r="D204" s="6">
        <f t="shared" si="119"/>
        <v>7064.63</v>
      </c>
      <c r="E204" s="29">
        <f t="shared" si="120"/>
        <v>4.0000000000000001E-3</v>
      </c>
      <c r="F204" s="29">
        <f t="shared" si="121"/>
        <v>-9.5999999999999992E-3</v>
      </c>
      <c r="G204">
        <v>7875.6</v>
      </c>
      <c r="H204" s="6">
        <f t="shared" si="122"/>
        <v>7887.2</v>
      </c>
      <c r="I204" s="29">
        <f t="shared" si="123"/>
        <v>2.3699999999999999E-2</v>
      </c>
      <c r="J204" s="29">
        <f t="shared" si="124"/>
        <v>5.4000000000000003E-3</v>
      </c>
      <c r="K204">
        <v>1.25451</v>
      </c>
      <c r="L204">
        <v>2.52</v>
      </c>
      <c r="M204" s="35">
        <f t="shared" si="125"/>
        <v>1.887</v>
      </c>
      <c r="N204">
        <v>218.9</v>
      </c>
      <c r="O204" s="29">
        <f t="shared" si="126"/>
        <v>-1.2E-2</v>
      </c>
      <c r="P204">
        <v>7</v>
      </c>
      <c r="Q204" s="6">
        <f t="shared" si="111"/>
        <v>551.29</v>
      </c>
      <c r="R204">
        <v>6.28</v>
      </c>
      <c r="S204" s="36">
        <f t="shared" si="112"/>
        <v>49.58</v>
      </c>
      <c r="T204" s="6">
        <f t="shared" si="127"/>
        <v>141.44</v>
      </c>
      <c r="U204" s="6">
        <f t="shared" si="128"/>
        <v>142.66</v>
      </c>
      <c r="V204" s="29">
        <f t="shared" si="129"/>
        <v>-8.9999999999999998E-4</v>
      </c>
      <c r="W204" s="29">
        <f t="shared" si="130"/>
        <v>-1.2200000000000001E-2</v>
      </c>
      <c r="X204" s="13">
        <f t="shared" si="113"/>
        <v>3.1199999999999999E-2</v>
      </c>
      <c r="Y204" s="13">
        <f t="shared" si="114"/>
        <v>2.7799999999999998E-2</v>
      </c>
      <c r="Z204" s="6">
        <f t="shared" si="115"/>
        <v>2.5184559159433531</v>
      </c>
      <c r="AA204" s="13">
        <f t="shared" si="116"/>
        <v>0.17460000000000001</v>
      </c>
      <c r="AB204" s="35">
        <f t="shared" si="117"/>
        <v>13.747</v>
      </c>
      <c r="AC204" s="6">
        <f t="shared" si="118"/>
        <v>3485.67</v>
      </c>
      <c r="AD204" s="6">
        <f t="shared" si="131"/>
        <v>3361.14</v>
      </c>
      <c r="AE204" s="29">
        <f t="shared" si="132"/>
        <v>0.2329</v>
      </c>
      <c r="AF204" s="13">
        <f t="shared" si="108"/>
        <v>0.16400000000000001</v>
      </c>
      <c r="AG204" s="22">
        <f t="shared" si="133"/>
        <v>22.84</v>
      </c>
      <c r="AH204" s="22">
        <f t="shared" si="109"/>
        <v>56.31</v>
      </c>
      <c r="AI204" s="22">
        <f t="shared" si="134"/>
        <v>31.2075</v>
      </c>
      <c r="AJ204" s="22">
        <f t="shared" si="135"/>
        <v>41.1</v>
      </c>
    </row>
    <row r="205" spans="1:36" x14ac:dyDescent="0.25">
      <c r="A205" s="34">
        <v>37104</v>
      </c>
      <c r="B205" s="34">
        <f t="shared" si="110"/>
        <v>37164</v>
      </c>
      <c r="C205">
        <v>7108.9</v>
      </c>
      <c r="D205" s="6">
        <f t="shared" si="119"/>
        <v>7080.6</v>
      </c>
      <c r="E205" s="29">
        <f t="shared" si="120"/>
        <v>9.7999999999999997E-3</v>
      </c>
      <c r="F205" s="29">
        <f t="shared" si="121"/>
        <v>6.8999999999999999E-3</v>
      </c>
      <c r="G205">
        <v>7959.9</v>
      </c>
      <c r="H205" s="6">
        <f t="shared" si="122"/>
        <v>7833.63</v>
      </c>
      <c r="I205" s="29">
        <f t="shared" si="123"/>
        <v>1.7100000000000001E-2</v>
      </c>
      <c r="J205" s="29">
        <f t="shared" si="124"/>
        <v>2.7400000000000001E-2</v>
      </c>
      <c r="K205">
        <v>2.02834</v>
      </c>
      <c r="L205">
        <v>2.64</v>
      </c>
      <c r="M205" s="35">
        <f t="shared" si="125"/>
        <v>2.3340000000000001</v>
      </c>
      <c r="N205">
        <v>220.7</v>
      </c>
      <c r="O205" s="29">
        <f t="shared" si="126"/>
        <v>-6.8999999999999999E-3</v>
      </c>
      <c r="P205">
        <v>6.8</v>
      </c>
      <c r="Q205" s="6">
        <f t="shared" si="111"/>
        <v>541.27</v>
      </c>
      <c r="R205">
        <v>6.67</v>
      </c>
      <c r="S205" s="36">
        <f t="shared" si="112"/>
        <v>49.53</v>
      </c>
      <c r="T205" s="6">
        <f t="shared" si="127"/>
        <v>143.53</v>
      </c>
      <c r="U205" s="6">
        <f t="shared" si="128"/>
        <v>143.19</v>
      </c>
      <c r="V205" s="29">
        <f t="shared" si="129"/>
        <v>4.3E-3</v>
      </c>
      <c r="W205" s="29">
        <f t="shared" si="130"/>
        <v>3.5999999999999999E-3</v>
      </c>
      <c r="X205" s="13">
        <f t="shared" si="113"/>
        <v>3.1E-2</v>
      </c>
      <c r="Y205" s="13">
        <f t="shared" si="114"/>
        <v>2.7699999999999999E-2</v>
      </c>
      <c r="Z205" s="6">
        <f t="shared" si="115"/>
        <v>2.4525147258722249</v>
      </c>
      <c r="AA205" s="13">
        <f t="shared" si="116"/>
        <v>0.18479999999999999</v>
      </c>
      <c r="AB205" s="35">
        <f t="shared" si="117"/>
        <v>14.721</v>
      </c>
      <c r="AC205" s="6">
        <f t="shared" si="118"/>
        <v>3308.85</v>
      </c>
      <c r="AD205" s="6">
        <f t="shared" si="131"/>
        <v>3259.42</v>
      </c>
      <c r="AE205" s="29">
        <f t="shared" si="132"/>
        <v>0.25330000000000003</v>
      </c>
      <c r="AF205" s="13">
        <f t="shared" si="108"/>
        <v>0.1661</v>
      </c>
      <c r="AG205" s="22">
        <f t="shared" si="133"/>
        <v>50.05</v>
      </c>
      <c r="AH205" s="22">
        <f t="shared" si="109"/>
        <v>59.34</v>
      </c>
      <c r="AI205" s="22">
        <f t="shared" si="134"/>
        <v>52.372499999999995</v>
      </c>
      <c r="AJ205" s="22">
        <f t="shared" si="135"/>
        <v>42.59</v>
      </c>
    </row>
    <row r="206" spans="1:36" x14ac:dyDescent="0.25">
      <c r="A206" s="34">
        <v>37073</v>
      </c>
      <c r="B206" s="34">
        <f t="shared" si="110"/>
        <v>37134</v>
      </c>
      <c r="C206">
        <v>7072.2</v>
      </c>
      <c r="D206" s="6">
        <f t="shared" si="119"/>
        <v>7060</v>
      </c>
      <c r="E206" s="29">
        <f t="shared" si="120"/>
        <v>9.2999999999999992E-3</v>
      </c>
      <c r="F206" s="29">
        <f t="shared" si="121"/>
        <v>5.1000000000000004E-3</v>
      </c>
      <c r="G206">
        <v>7826.1</v>
      </c>
      <c r="H206" s="6">
        <f t="shared" si="122"/>
        <v>7747.3</v>
      </c>
      <c r="I206" s="29">
        <f t="shared" si="123"/>
        <v>6.7000000000000002E-3</v>
      </c>
      <c r="J206" s="29">
        <f t="shared" si="124"/>
        <v>1.5800000000000002E-2</v>
      </c>
      <c r="K206">
        <v>2.0242800000000001</v>
      </c>
      <c r="L206">
        <v>2.61</v>
      </c>
      <c r="M206" s="35">
        <f t="shared" si="125"/>
        <v>2.3170000000000002</v>
      </c>
      <c r="N206">
        <v>222</v>
      </c>
      <c r="O206" s="29">
        <f t="shared" si="126"/>
        <v>-3.0000000000000001E-3</v>
      </c>
      <c r="P206">
        <v>5.6</v>
      </c>
      <c r="Q206" s="6">
        <f t="shared" si="111"/>
        <v>438.26</v>
      </c>
      <c r="R206">
        <v>6.75</v>
      </c>
      <c r="S206" s="36">
        <f t="shared" si="112"/>
        <v>49.45</v>
      </c>
      <c r="T206" s="6">
        <f t="shared" si="127"/>
        <v>143.02000000000001</v>
      </c>
      <c r="U206" s="6">
        <f t="shared" si="128"/>
        <v>143.01</v>
      </c>
      <c r="V206" s="29">
        <f t="shared" si="129"/>
        <v>3.7000000000000002E-3</v>
      </c>
      <c r="W206" s="29">
        <f t="shared" si="130"/>
        <v>1.6000000000000001E-3</v>
      </c>
      <c r="X206" s="13">
        <f t="shared" si="113"/>
        <v>3.1399999999999997E-2</v>
      </c>
      <c r="Y206" s="13">
        <f t="shared" si="114"/>
        <v>2.8400000000000002E-2</v>
      </c>
      <c r="Z206" s="6">
        <f t="shared" si="115"/>
        <v>1.9741441441441441</v>
      </c>
      <c r="AA206" s="13">
        <f t="shared" si="116"/>
        <v>0.19170000000000001</v>
      </c>
      <c r="AB206" s="35">
        <f t="shared" si="117"/>
        <v>14.984999999999999</v>
      </c>
      <c r="AC206" s="6">
        <f t="shared" si="118"/>
        <v>3288.89</v>
      </c>
      <c r="AD206" s="6">
        <f t="shared" si="131"/>
        <v>3181.79</v>
      </c>
      <c r="AE206" s="29">
        <f t="shared" si="132"/>
        <v>0.27050000000000002</v>
      </c>
      <c r="AF206" s="13">
        <f t="shared" si="108"/>
        <v>0.13769999999999999</v>
      </c>
      <c r="AG206" s="22">
        <f t="shared" si="133"/>
        <v>46.93</v>
      </c>
      <c r="AH206" s="22">
        <f t="shared" si="109"/>
        <v>33.42</v>
      </c>
      <c r="AI206" s="22">
        <f t="shared" si="134"/>
        <v>43.552499999999995</v>
      </c>
      <c r="AJ206" s="22">
        <f t="shared" si="135"/>
        <v>38.92</v>
      </c>
    </row>
    <row r="207" spans="1:36" x14ac:dyDescent="0.25">
      <c r="A207" s="34">
        <v>37043</v>
      </c>
      <c r="B207" s="34">
        <f t="shared" si="110"/>
        <v>37103</v>
      </c>
      <c r="C207">
        <v>7060.7</v>
      </c>
      <c r="D207" s="6">
        <f t="shared" si="119"/>
        <v>7036.33</v>
      </c>
      <c r="E207" s="29">
        <f t="shared" si="120"/>
        <v>7.1000000000000004E-3</v>
      </c>
      <c r="F207" s="29">
        <f t="shared" si="121"/>
        <v>6.8999999999999999E-3</v>
      </c>
      <c r="G207">
        <v>7714.9</v>
      </c>
      <c r="H207" s="6">
        <f t="shared" si="122"/>
        <v>7704.7</v>
      </c>
      <c r="I207" s="29">
        <f t="shared" si="123"/>
        <v>2.8999999999999998E-3</v>
      </c>
      <c r="J207" s="29">
        <f t="shared" si="124"/>
        <v>1.6999999999999999E-3</v>
      </c>
      <c r="K207">
        <v>2.3042199999999999</v>
      </c>
      <c r="L207">
        <v>2.64</v>
      </c>
      <c r="M207" s="35">
        <f t="shared" si="125"/>
        <v>2.472</v>
      </c>
      <c r="N207">
        <v>222</v>
      </c>
      <c r="O207" s="29">
        <f t="shared" si="126"/>
        <v>-4.5999999999999999E-3</v>
      </c>
      <c r="P207">
        <v>4.5</v>
      </c>
      <c r="Q207" s="6">
        <f t="shared" si="111"/>
        <v>347.17</v>
      </c>
      <c r="R207">
        <v>6.98</v>
      </c>
      <c r="S207" s="36">
        <f t="shared" si="112"/>
        <v>49.37</v>
      </c>
      <c r="T207" s="6">
        <f t="shared" si="127"/>
        <v>143.02000000000001</v>
      </c>
      <c r="U207" s="6">
        <f t="shared" si="128"/>
        <v>142.79</v>
      </c>
      <c r="V207" s="29">
        <f t="shared" si="129"/>
        <v>1.5E-3</v>
      </c>
      <c r="W207" s="29">
        <f t="shared" si="130"/>
        <v>3.2000000000000002E-3</v>
      </c>
      <c r="X207" s="13">
        <f t="shared" si="113"/>
        <v>3.1399999999999997E-2</v>
      </c>
      <c r="Y207" s="13">
        <f t="shared" si="114"/>
        <v>2.8799999999999999E-2</v>
      </c>
      <c r="Z207" s="6">
        <f t="shared" si="115"/>
        <v>1.5638288288288289</v>
      </c>
      <c r="AA207" s="13">
        <f t="shared" si="116"/>
        <v>0.20100000000000001</v>
      </c>
      <c r="AB207" s="35">
        <f t="shared" si="117"/>
        <v>15.496</v>
      </c>
      <c r="AC207" s="6">
        <f t="shared" si="118"/>
        <v>3180.52</v>
      </c>
      <c r="AD207" s="6">
        <f t="shared" si="131"/>
        <v>3039.77</v>
      </c>
      <c r="AE207" s="29">
        <f t="shared" si="132"/>
        <v>0.2525</v>
      </c>
      <c r="AF207" s="13">
        <f t="shared" si="108"/>
        <v>0.1142</v>
      </c>
      <c r="AG207" s="22">
        <f t="shared" si="133"/>
        <v>44.23</v>
      </c>
      <c r="AH207" s="22">
        <f t="shared" si="109"/>
        <v>16.350000000000001</v>
      </c>
      <c r="AI207" s="22">
        <f t="shared" si="134"/>
        <v>37.26</v>
      </c>
      <c r="AJ207" s="22">
        <f t="shared" si="135"/>
        <v>39.090000000000003</v>
      </c>
    </row>
    <row r="208" spans="1:36" x14ac:dyDescent="0.25">
      <c r="A208" s="34">
        <v>37012</v>
      </c>
      <c r="B208" s="34">
        <f t="shared" si="110"/>
        <v>37072</v>
      </c>
      <c r="C208">
        <v>7047.1</v>
      </c>
      <c r="D208" s="6">
        <f t="shared" si="119"/>
        <v>7012.07</v>
      </c>
      <c r="E208" s="29">
        <f t="shared" si="120"/>
        <v>5.5999999999999999E-3</v>
      </c>
      <c r="F208" s="29">
        <f t="shared" si="121"/>
        <v>7.4999999999999997E-3</v>
      </c>
      <c r="G208">
        <v>7700.9</v>
      </c>
      <c r="H208" s="6">
        <f t="shared" si="122"/>
        <v>7701.57</v>
      </c>
      <c r="I208" s="29">
        <f t="shared" si="123"/>
        <v>8.0999999999999996E-3</v>
      </c>
      <c r="J208" s="29">
        <f t="shared" si="124"/>
        <v>6.9999999999999999E-4</v>
      </c>
      <c r="K208">
        <v>2.45424</v>
      </c>
      <c r="L208">
        <v>2.56</v>
      </c>
      <c r="M208" s="35">
        <f t="shared" si="125"/>
        <v>2.5070000000000001</v>
      </c>
      <c r="N208">
        <v>222.7</v>
      </c>
      <c r="O208" s="29">
        <f t="shared" si="126"/>
        <v>-3.3E-3</v>
      </c>
      <c r="P208">
        <v>4.5</v>
      </c>
      <c r="Q208" s="6">
        <f t="shared" si="111"/>
        <v>346.54</v>
      </c>
      <c r="R208">
        <v>7.24</v>
      </c>
      <c r="S208" s="36">
        <f t="shared" si="112"/>
        <v>49.28</v>
      </c>
      <c r="T208" s="6">
        <f t="shared" si="127"/>
        <v>143</v>
      </c>
      <c r="U208" s="6">
        <f t="shared" si="128"/>
        <v>142.57</v>
      </c>
      <c r="V208" s="29">
        <f t="shared" si="129"/>
        <v>0</v>
      </c>
      <c r="W208" s="29">
        <f t="shared" si="130"/>
        <v>3.5999999999999999E-3</v>
      </c>
      <c r="X208" s="13">
        <f t="shared" si="113"/>
        <v>3.1600000000000003E-2</v>
      </c>
      <c r="Y208" s="13">
        <f t="shared" si="114"/>
        <v>2.8899999999999999E-2</v>
      </c>
      <c r="Z208" s="6">
        <f t="shared" si="115"/>
        <v>1.5560844185002247</v>
      </c>
      <c r="AA208" s="13">
        <f t="shared" si="116"/>
        <v>0.2092</v>
      </c>
      <c r="AB208" s="35">
        <f t="shared" si="117"/>
        <v>16.123000000000001</v>
      </c>
      <c r="AC208" s="6">
        <f t="shared" si="118"/>
        <v>3075.97</v>
      </c>
      <c r="AD208" s="6">
        <f t="shared" si="131"/>
        <v>2873.43</v>
      </c>
      <c r="AE208" s="29">
        <f t="shared" si="132"/>
        <v>0.19869999999999999</v>
      </c>
      <c r="AF208" s="13">
        <f t="shared" si="108"/>
        <v>0.1206</v>
      </c>
      <c r="AG208" s="22">
        <f t="shared" si="133"/>
        <v>41.67</v>
      </c>
      <c r="AH208" s="22">
        <f t="shared" si="109"/>
        <v>23.63</v>
      </c>
      <c r="AI208" s="22">
        <f t="shared" si="134"/>
        <v>37.160000000000004</v>
      </c>
      <c r="AJ208" s="22">
        <f t="shared" si="135"/>
        <v>41.97</v>
      </c>
    </row>
    <row r="209" spans="1:36" x14ac:dyDescent="0.25">
      <c r="A209" s="34">
        <v>36982</v>
      </c>
      <c r="B209" s="34">
        <f t="shared" si="110"/>
        <v>37042</v>
      </c>
      <c r="C209">
        <v>7001.2</v>
      </c>
      <c r="D209" s="6">
        <f t="shared" si="119"/>
        <v>6994.97</v>
      </c>
      <c r="E209" s="29">
        <f t="shared" si="120"/>
        <v>7.7000000000000002E-3</v>
      </c>
      <c r="F209" s="29">
        <f t="shared" si="121"/>
        <v>2E-3</v>
      </c>
      <c r="G209">
        <v>7698.3</v>
      </c>
      <c r="H209" s="6">
        <f t="shared" si="122"/>
        <v>7695.37</v>
      </c>
      <c r="I209" s="29">
        <f t="shared" si="123"/>
        <v>1.2800000000000001E-2</v>
      </c>
      <c r="J209" s="29">
        <f t="shared" si="124"/>
        <v>2.0999999999999999E-3</v>
      </c>
      <c r="K209">
        <v>2.2530199999999998</v>
      </c>
      <c r="L209">
        <v>2.56</v>
      </c>
      <c r="M209" s="35">
        <f t="shared" si="125"/>
        <v>2.407</v>
      </c>
      <c r="N209">
        <v>223.3</v>
      </c>
      <c r="O209" s="29">
        <f t="shared" si="126"/>
        <v>-3.0999999999999999E-3</v>
      </c>
      <c r="P209">
        <v>5</v>
      </c>
      <c r="Q209" s="6">
        <f t="shared" si="111"/>
        <v>384.92</v>
      </c>
      <c r="R209">
        <v>7.8</v>
      </c>
      <c r="S209" s="36">
        <f t="shared" si="112"/>
        <v>49.18</v>
      </c>
      <c r="T209" s="6">
        <f t="shared" si="127"/>
        <v>142.36000000000001</v>
      </c>
      <c r="U209" s="6">
        <f t="shared" si="128"/>
        <v>142.47999999999999</v>
      </c>
      <c r="V209" s="29">
        <f t="shared" si="129"/>
        <v>1.6999999999999999E-3</v>
      </c>
      <c r="W209" s="29">
        <f t="shared" si="130"/>
        <v>-1.5E-3</v>
      </c>
      <c r="X209" s="13">
        <f t="shared" si="113"/>
        <v>3.1899999999999998E-2</v>
      </c>
      <c r="Y209" s="13">
        <f t="shared" si="114"/>
        <v>2.9000000000000001E-2</v>
      </c>
      <c r="Z209" s="6">
        <f t="shared" si="115"/>
        <v>1.7237796686072548</v>
      </c>
      <c r="AA209" s="13">
        <f t="shared" si="116"/>
        <v>0.22620000000000001</v>
      </c>
      <c r="AB209" s="35">
        <f t="shared" si="117"/>
        <v>17.417000000000002</v>
      </c>
      <c r="AC209" s="6">
        <f t="shared" si="118"/>
        <v>2862.82</v>
      </c>
      <c r="AD209" s="6">
        <f t="shared" si="131"/>
        <v>2726.14</v>
      </c>
      <c r="AE209" s="29">
        <f t="shared" si="132"/>
        <v>0.1399</v>
      </c>
      <c r="AF209" s="13">
        <f t="shared" si="108"/>
        <v>0.14119999999999999</v>
      </c>
      <c r="AG209" s="22">
        <f t="shared" si="133"/>
        <v>40.08</v>
      </c>
      <c r="AH209" s="22">
        <f t="shared" si="109"/>
        <v>30.61</v>
      </c>
      <c r="AI209" s="22">
        <f t="shared" si="134"/>
        <v>37.712499999999999</v>
      </c>
      <c r="AJ209" s="22">
        <f t="shared" si="135"/>
        <v>45</v>
      </c>
    </row>
    <row r="210" spans="1:36" x14ac:dyDescent="0.25">
      <c r="A210" s="34">
        <v>36951</v>
      </c>
      <c r="B210" s="34">
        <f t="shared" si="110"/>
        <v>37011</v>
      </c>
      <c r="C210">
        <v>6987.9</v>
      </c>
      <c r="D210" s="6">
        <f t="shared" si="119"/>
        <v>6986.9</v>
      </c>
      <c r="E210" s="29">
        <f t="shared" si="120"/>
        <v>1.0800000000000001E-2</v>
      </c>
      <c r="F210" s="29">
        <f t="shared" si="121"/>
        <v>2.2000000000000001E-3</v>
      </c>
      <c r="G210">
        <v>7705.5</v>
      </c>
      <c r="H210" s="6">
        <f t="shared" si="122"/>
        <v>7682.07</v>
      </c>
      <c r="I210" s="29">
        <f t="shared" si="123"/>
        <v>1.5900000000000001E-2</v>
      </c>
      <c r="J210" s="29">
        <f t="shared" si="124"/>
        <v>8.6E-3</v>
      </c>
      <c r="K210">
        <v>1.96848</v>
      </c>
      <c r="L210">
        <v>2.46</v>
      </c>
      <c r="M210" s="35">
        <f t="shared" si="125"/>
        <v>2.214</v>
      </c>
      <c r="N210">
        <v>223.1</v>
      </c>
      <c r="O210" s="29">
        <f t="shared" si="126"/>
        <v>-1.0200000000000001E-2</v>
      </c>
      <c r="P210">
        <v>5.3</v>
      </c>
      <c r="Q210" s="6">
        <f t="shared" si="111"/>
        <v>408.39</v>
      </c>
      <c r="R210">
        <v>8.32</v>
      </c>
      <c r="S210" s="36">
        <f t="shared" si="112"/>
        <v>49.09</v>
      </c>
      <c r="T210" s="6">
        <f t="shared" si="127"/>
        <v>142.35</v>
      </c>
      <c r="U210" s="6">
        <f t="shared" si="128"/>
        <v>142.58000000000001</v>
      </c>
      <c r="V210" s="29">
        <f t="shared" si="129"/>
        <v>4.5999999999999999E-3</v>
      </c>
      <c r="W210" s="29">
        <f t="shared" si="130"/>
        <v>-1.6000000000000001E-3</v>
      </c>
      <c r="X210" s="13">
        <f t="shared" si="113"/>
        <v>3.1899999999999998E-2</v>
      </c>
      <c r="Y210" s="13">
        <f t="shared" si="114"/>
        <v>2.9000000000000001E-2</v>
      </c>
      <c r="Z210" s="6">
        <f t="shared" si="115"/>
        <v>1.8305244285073958</v>
      </c>
      <c r="AA210" s="13">
        <f t="shared" si="116"/>
        <v>0.24129999999999999</v>
      </c>
      <c r="AB210" s="35">
        <f t="shared" si="117"/>
        <v>18.562000000000001</v>
      </c>
      <c r="AC210" s="6">
        <f t="shared" si="118"/>
        <v>2681.49</v>
      </c>
      <c r="AD210" s="6">
        <f t="shared" si="131"/>
        <v>2600.6</v>
      </c>
      <c r="AE210" s="29">
        <f t="shared" si="132"/>
        <v>9.6199999999999994E-2</v>
      </c>
      <c r="AF210" s="13">
        <f t="shared" si="108"/>
        <v>0.157</v>
      </c>
      <c r="AG210" s="22">
        <f t="shared" si="133"/>
        <v>46.13</v>
      </c>
      <c r="AH210" s="22">
        <f t="shared" si="109"/>
        <v>38.590000000000003</v>
      </c>
      <c r="AI210" s="22">
        <f t="shared" si="134"/>
        <v>44.245000000000005</v>
      </c>
      <c r="AJ210" s="22">
        <f t="shared" si="135"/>
        <v>47.65</v>
      </c>
    </row>
    <row r="211" spans="1:36" x14ac:dyDescent="0.25">
      <c r="A211" s="34">
        <v>36923</v>
      </c>
      <c r="B211" s="34">
        <f t="shared" si="110"/>
        <v>36981</v>
      </c>
      <c r="C211">
        <v>6995.8</v>
      </c>
      <c r="D211" s="6">
        <f t="shared" si="119"/>
        <v>6972.83</v>
      </c>
      <c r="E211" s="29">
        <f t="shared" si="120"/>
        <v>1.18E-2</v>
      </c>
      <c r="F211" s="29">
        <f t="shared" si="121"/>
        <v>7.7999999999999996E-3</v>
      </c>
      <c r="G211">
        <v>7682.3</v>
      </c>
      <c r="H211" s="6">
        <f t="shared" si="122"/>
        <v>7639.97</v>
      </c>
      <c r="I211" s="29">
        <f t="shared" si="123"/>
        <v>1.26E-2</v>
      </c>
      <c r="J211" s="29">
        <f t="shared" si="124"/>
        <v>1.11E-2</v>
      </c>
      <c r="K211">
        <v>2.3982899999999998</v>
      </c>
      <c r="L211">
        <v>2.5</v>
      </c>
      <c r="M211" s="35">
        <f t="shared" si="125"/>
        <v>2.4489999999999998</v>
      </c>
      <c r="N211">
        <v>223.9</v>
      </c>
      <c r="O211" s="29">
        <f t="shared" si="126"/>
        <v>-1.29E-2</v>
      </c>
      <c r="P211">
        <v>4.9000000000000004</v>
      </c>
      <c r="Q211" s="6">
        <f t="shared" si="111"/>
        <v>376.43</v>
      </c>
      <c r="R211">
        <v>8.5</v>
      </c>
      <c r="S211" s="36">
        <f t="shared" si="112"/>
        <v>49.01</v>
      </c>
      <c r="T211" s="6">
        <f t="shared" si="127"/>
        <v>142.74</v>
      </c>
      <c r="U211" s="6">
        <f t="shared" si="128"/>
        <v>142.57</v>
      </c>
      <c r="V211" s="29">
        <f t="shared" si="129"/>
        <v>5.4999999999999997E-3</v>
      </c>
      <c r="W211" s="29">
        <f t="shared" si="130"/>
        <v>3.5000000000000001E-3</v>
      </c>
      <c r="X211" s="13">
        <f t="shared" si="113"/>
        <v>3.2000000000000001E-2</v>
      </c>
      <c r="Y211" s="13">
        <f t="shared" si="114"/>
        <v>2.9100000000000001E-2</v>
      </c>
      <c r="Z211" s="6">
        <f t="shared" si="115"/>
        <v>1.6812416257257705</v>
      </c>
      <c r="AA211" s="13">
        <f t="shared" si="116"/>
        <v>0.24740000000000001</v>
      </c>
      <c r="AB211" s="35">
        <f t="shared" si="117"/>
        <v>19.032</v>
      </c>
      <c r="AC211" s="6">
        <f t="shared" si="118"/>
        <v>2634.12</v>
      </c>
      <c r="AD211" s="6">
        <f t="shared" si="131"/>
        <v>2504.31</v>
      </c>
      <c r="AE211" s="29">
        <f t="shared" si="132"/>
        <v>7.0199999999999999E-2</v>
      </c>
      <c r="AF211" s="13">
        <f t="shared" si="108"/>
        <v>0.15029999999999999</v>
      </c>
      <c r="AG211" s="22">
        <f t="shared" si="133"/>
        <v>53.35</v>
      </c>
      <c r="AH211" s="22">
        <f t="shared" si="109"/>
        <v>34.950000000000003</v>
      </c>
      <c r="AI211" s="22">
        <f t="shared" si="134"/>
        <v>48.75</v>
      </c>
      <c r="AJ211" s="22">
        <f t="shared" si="135"/>
        <v>50.12</v>
      </c>
    </row>
    <row r="212" spans="1:36" x14ac:dyDescent="0.25">
      <c r="A212" s="34">
        <v>36892</v>
      </c>
      <c r="B212" s="34">
        <f t="shared" si="110"/>
        <v>36950</v>
      </c>
      <c r="C212">
        <v>6977</v>
      </c>
      <c r="D212" s="6">
        <f t="shared" si="119"/>
        <v>6941.7</v>
      </c>
      <c r="E212" s="29">
        <f t="shared" si="120"/>
        <v>1.24E-2</v>
      </c>
      <c r="F212" s="29">
        <f t="shared" si="121"/>
        <v>9.4000000000000004E-3</v>
      </c>
      <c r="G212">
        <v>7658.4</v>
      </c>
      <c r="H212" s="6">
        <f t="shared" si="122"/>
        <v>7598</v>
      </c>
      <c r="I212" s="29">
        <f t="shared" si="123"/>
        <v>9.7999999999999997E-3</v>
      </c>
      <c r="J212" s="29">
        <f t="shared" si="124"/>
        <v>1.2800000000000001E-2</v>
      </c>
      <c r="K212">
        <v>2.5857199999999998</v>
      </c>
      <c r="L212">
        <v>2.4900000000000002</v>
      </c>
      <c r="M212" s="35">
        <f t="shared" si="125"/>
        <v>2.5379999999999998</v>
      </c>
      <c r="N212">
        <v>225</v>
      </c>
      <c r="O212" s="29">
        <f t="shared" si="126"/>
        <v>-1.2E-2</v>
      </c>
      <c r="P212">
        <v>4.8</v>
      </c>
      <c r="Q212" s="6">
        <f t="shared" si="111"/>
        <v>367.6</v>
      </c>
      <c r="R212">
        <v>9.0500000000000007</v>
      </c>
      <c r="S212" s="36">
        <f t="shared" si="112"/>
        <v>48.91</v>
      </c>
      <c r="T212" s="6">
        <f t="shared" si="127"/>
        <v>142.65</v>
      </c>
      <c r="U212" s="6">
        <f t="shared" si="128"/>
        <v>142.24</v>
      </c>
      <c r="V212" s="29">
        <f t="shared" si="129"/>
        <v>6.1000000000000004E-3</v>
      </c>
      <c r="W212" s="29">
        <f t="shared" si="130"/>
        <v>5.1000000000000004E-3</v>
      </c>
      <c r="X212" s="13">
        <f t="shared" si="113"/>
        <v>3.2199999999999999E-2</v>
      </c>
      <c r="Y212" s="13">
        <f t="shared" si="114"/>
        <v>2.9399999999999999E-2</v>
      </c>
      <c r="Z212" s="6">
        <f t="shared" si="115"/>
        <v>1.6337777777777778</v>
      </c>
      <c r="AA212" s="13">
        <f t="shared" si="116"/>
        <v>0.2661</v>
      </c>
      <c r="AB212" s="35">
        <f t="shared" si="117"/>
        <v>20.363</v>
      </c>
      <c r="AC212" s="6">
        <f t="shared" si="118"/>
        <v>2486.19</v>
      </c>
      <c r="AD212" s="6">
        <f t="shared" si="131"/>
        <v>2426.98</v>
      </c>
      <c r="AE212" s="29">
        <f t="shared" si="132"/>
        <v>5.8900000000000001E-2</v>
      </c>
      <c r="AF212" s="13">
        <f t="shared" si="108"/>
        <v>0.1515</v>
      </c>
      <c r="AG212" s="22">
        <f t="shared" si="133"/>
        <v>56.09</v>
      </c>
      <c r="AH212" s="22">
        <f t="shared" si="109"/>
        <v>28.96</v>
      </c>
      <c r="AI212" s="22">
        <f t="shared" si="134"/>
        <v>49.307500000000005</v>
      </c>
      <c r="AJ212" s="22">
        <f t="shared" si="135"/>
        <v>52.51</v>
      </c>
    </row>
    <row r="213" spans="1:36" x14ac:dyDescent="0.25">
      <c r="A213" s="34">
        <v>36861</v>
      </c>
      <c r="B213" s="34">
        <f t="shared" si="110"/>
        <v>36922</v>
      </c>
      <c r="C213">
        <v>6945.7</v>
      </c>
      <c r="D213" s="6">
        <f t="shared" si="119"/>
        <v>6912.1</v>
      </c>
      <c r="E213" s="29">
        <f t="shared" si="120"/>
        <v>1.4200000000000001E-2</v>
      </c>
      <c r="F213" s="29">
        <f t="shared" si="121"/>
        <v>7.9000000000000008E-3</v>
      </c>
      <c r="G213">
        <v>7579.2</v>
      </c>
      <c r="H213" s="6">
        <f t="shared" si="122"/>
        <v>7561.73</v>
      </c>
      <c r="I213" s="29">
        <f t="shared" si="123"/>
        <v>9.1000000000000004E-3</v>
      </c>
      <c r="J213" s="29">
        <f t="shared" si="124"/>
        <v>4.4999999999999997E-3</v>
      </c>
      <c r="K213">
        <v>2.41547</v>
      </c>
      <c r="L213">
        <v>2.4900000000000002</v>
      </c>
      <c r="M213" s="35">
        <f t="shared" si="125"/>
        <v>2.4529999999999998</v>
      </c>
      <c r="N213">
        <v>227.3</v>
      </c>
      <c r="O213" s="29">
        <f t="shared" si="126"/>
        <v>4.0000000000000002E-4</v>
      </c>
      <c r="P213">
        <v>4.2</v>
      </c>
      <c r="Q213" s="6">
        <f t="shared" si="111"/>
        <v>318.33</v>
      </c>
      <c r="R213">
        <v>9.5</v>
      </c>
      <c r="S213" s="36">
        <f t="shared" si="112"/>
        <v>48.8</v>
      </c>
      <c r="T213" s="6">
        <f t="shared" si="127"/>
        <v>142.33000000000001</v>
      </c>
      <c r="U213" s="6">
        <f t="shared" si="128"/>
        <v>141.93</v>
      </c>
      <c r="V213" s="29">
        <f t="shared" si="129"/>
        <v>8.0000000000000002E-3</v>
      </c>
      <c r="W213" s="29">
        <f t="shared" si="130"/>
        <v>3.8E-3</v>
      </c>
      <c r="X213" s="13">
        <f t="shared" si="113"/>
        <v>3.27E-2</v>
      </c>
      <c r="Y213" s="13">
        <f t="shared" si="114"/>
        <v>0.03</v>
      </c>
      <c r="Z213" s="6">
        <f t="shared" si="115"/>
        <v>1.4004839419269686</v>
      </c>
      <c r="AA213" s="13">
        <f t="shared" si="116"/>
        <v>0.28499999999999998</v>
      </c>
      <c r="AB213" s="35">
        <f t="shared" si="117"/>
        <v>21.594000000000001</v>
      </c>
      <c r="AC213" s="6">
        <f t="shared" si="118"/>
        <v>2392.63</v>
      </c>
      <c r="AD213" s="6">
        <f t="shared" si="131"/>
        <v>2397.19</v>
      </c>
      <c r="AE213" s="29">
        <f t="shared" si="132"/>
        <v>6.0499999999999998E-2</v>
      </c>
      <c r="AF213" s="13">
        <f t="shared" si="108"/>
        <v>0.1328</v>
      </c>
      <c r="AG213" s="22">
        <f t="shared" si="133"/>
        <v>58.24</v>
      </c>
      <c r="AH213" s="22">
        <f t="shared" si="109"/>
        <v>18.510000000000002</v>
      </c>
      <c r="AI213" s="22">
        <f t="shared" si="134"/>
        <v>48.307499999999997</v>
      </c>
      <c r="AJ213" s="22">
        <f t="shared" si="135"/>
        <v>55.72</v>
      </c>
    </row>
    <row r="214" spans="1:36" x14ac:dyDescent="0.25">
      <c r="A214" s="34">
        <v>36831</v>
      </c>
      <c r="B214" s="34">
        <f t="shared" si="110"/>
        <v>36891</v>
      </c>
      <c r="C214">
        <v>6902.4</v>
      </c>
      <c r="D214" s="6">
        <f t="shared" si="119"/>
        <v>6891.17</v>
      </c>
      <c r="E214" s="29">
        <f t="shared" si="120"/>
        <v>1.7999999999999999E-2</v>
      </c>
      <c r="F214" s="29">
        <f t="shared" si="121"/>
        <v>6.7000000000000002E-3</v>
      </c>
      <c r="G214">
        <v>7556.4</v>
      </c>
      <c r="H214" s="6">
        <f t="shared" si="122"/>
        <v>7544.9</v>
      </c>
      <c r="I214" s="29">
        <f t="shared" si="123"/>
        <v>1.26E-2</v>
      </c>
      <c r="J214" s="29">
        <f t="shared" si="124"/>
        <v>4.1999999999999997E-3</v>
      </c>
      <c r="K214">
        <v>2.5278499999999999</v>
      </c>
      <c r="L214">
        <v>2.46</v>
      </c>
      <c r="M214" s="35">
        <f t="shared" si="125"/>
        <v>2.4940000000000002</v>
      </c>
      <c r="N214">
        <v>228.2</v>
      </c>
      <c r="O214" s="29">
        <f t="shared" si="126"/>
        <v>1.26E-2</v>
      </c>
      <c r="P214">
        <v>4.5</v>
      </c>
      <c r="Q214" s="6">
        <f t="shared" si="111"/>
        <v>340.04</v>
      </c>
      <c r="R214">
        <v>9.5</v>
      </c>
      <c r="S214" s="36">
        <f t="shared" si="112"/>
        <v>48.7</v>
      </c>
      <c r="T214" s="6">
        <f t="shared" si="127"/>
        <v>141.72999999999999</v>
      </c>
      <c r="U214" s="6">
        <f t="shared" si="128"/>
        <v>141.79</v>
      </c>
      <c r="V214" s="29">
        <f t="shared" si="129"/>
        <v>1.17E-2</v>
      </c>
      <c r="W214" s="29">
        <f t="shared" si="130"/>
        <v>2.5000000000000001E-3</v>
      </c>
      <c r="X214" s="13">
        <f t="shared" si="113"/>
        <v>3.3099999999999997E-2</v>
      </c>
      <c r="Y214" s="13">
        <f t="shared" si="114"/>
        <v>3.0200000000000001E-2</v>
      </c>
      <c r="Z214" s="6">
        <f t="shared" si="115"/>
        <v>1.490096406660824</v>
      </c>
      <c r="AA214" s="13">
        <f t="shared" si="116"/>
        <v>0.28689999999999999</v>
      </c>
      <c r="AB214" s="35">
        <f t="shared" si="117"/>
        <v>21.678999999999998</v>
      </c>
      <c r="AC214" s="6">
        <f t="shared" si="118"/>
        <v>2402.11</v>
      </c>
      <c r="AD214" s="6">
        <f t="shared" si="131"/>
        <v>2391.58</v>
      </c>
      <c r="AE214" s="29">
        <f t="shared" si="132"/>
        <v>6.1600000000000002E-2</v>
      </c>
      <c r="AF214" s="13">
        <f t="shared" si="108"/>
        <v>0.14219999999999999</v>
      </c>
      <c r="AG214" s="22">
        <f t="shared" si="133"/>
        <v>64.37</v>
      </c>
      <c r="AH214" s="22">
        <f t="shared" si="109"/>
        <v>23.27</v>
      </c>
      <c r="AI214" s="22">
        <f t="shared" si="134"/>
        <v>54.095000000000006</v>
      </c>
      <c r="AJ214" s="22">
        <f t="shared" si="135"/>
        <v>56.29</v>
      </c>
    </row>
    <row r="215" spans="1:36" x14ac:dyDescent="0.25">
      <c r="A215" s="34">
        <v>36800</v>
      </c>
      <c r="B215" s="34">
        <f t="shared" si="110"/>
        <v>36860</v>
      </c>
      <c r="C215">
        <v>6888.2</v>
      </c>
      <c r="D215" s="6">
        <f t="shared" si="119"/>
        <v>6856.73</v>
      </c>
      <c r="E215" s="29">
        <f t="shared" si="120"/>
        <v>1.7500000000000002E-2</v>
      </c>
      <c r="F215" s="29">
        <f t="shared" si="121"/>
        <v>1.0699999999999999E-2</v>
      </c>
      <c r="G215">
        <v>7549.6</v>
      </c>
      <c r="H215" s="6">
        <f t="shared" si="122"/>
        <v>7524.6</v>
      </c>
      <c r="I215" s="29">
        <f t="shared" si="123"/>
        <v>1.61E-2</v>
      </c>
      <c r="J215" s="29">
        <f t="shared" si="124"/>
        <v>7.4999999999999997E-3</v>
      </c>
      <c r="K215">
        <v>2.4858199999999999</v>
      </c>
      <c r="L215">
        <v>2.4300000000000002</v>
      </c>
      <c r="M215" s="35">
        <f t="shared" si="125"/>
        <v>2.4580000000000002</v>
      </c>
      <c r="N215">
        <v>227.7</v>
      </c>
      <c r="O215" s="29">
        <f t="shared" si="126"/>
        <v>2.4299999999999999E-2</v>
      </c>
      <c r="P215">
        <v>4.5999999999999996</v>
      </c>
      <c r="Q215" s="6">
        <f t="shared" si="111"/>
        <v>347.28</v>
      </c>
      <c r="R215">
        <v>9.5</v>
      </c>
      <c r="S215" s="36">
        <f t="shared" si="112"/>
        <v>48.6</v>
      </c>
      <c r="T215" s="6">
        <f t="shared" si="127"/>
        <v>141.72999999999999</v>
      </c>
      <c r="U215" s="6">
        <f t="shared" si="128"/>
        <v>141.38</v>
      </c>
      <c r="V215" s="29">
        <f t="shared" si="129"/>
        <v>1.11E-2</v>
      </c>
      <c r="W215" s="29">
        <f t="shared" si="130"/>
        <v>6.4999999999999997E-3</v>
      </c>
      <c r="X215" s="13">
        <f t="shared" si="113"/>
        <v>3.3099999999999997E-2</v>
      </c>
      <c r="Y215" s="13">
        <f t="shared" si="114"/>
        <v>3.0200000000000001E-2</v>
      </c>
      <c r="Z215" s="6">
        <f t="shared" si="115"/>
        <v>1.5251646903820817</v>
      </c>
      <c r="AA215" s="13">
        <f t="shared" si="116"/>
        <v>0.28689999999999999</v>
      </c>
      <c r="AB215" s="35">
        <f t="shared" si="117"/>
        <v>21.632000000000001</v>
      </c>
      <c r="AC215" s="6">
        <f t="shared" si="118"/>
        <v>2396.84</v>
      </c>
      <c r="AD215" s="6">
        <f t="shared" si="131"/>
        <v>2372.2800000000002</v>
      </c>
      <c r="AE215" s="29">
        <f t="shared" si="132"/>
        <v>4.2299999999999997E-2</v>
      </c>
      <c r="AF215" s="13">
        <f t="shared" si="108"/>
        <v>0.1464</v>
      </c>
      <c r="AG215" s="22">
        <f t="shared" si="133"/>
        <v>67.27</v>
      </c>
      <c r="AH215" s="22">
        <f t="shared" si="109"/>
        <v>31.45</v>
      </c>
      <c r="AI215" s="22">
        <f t="shared" si="134"/>
        <v>58.314999999999998</v>
      </c>
      <c r="AJ215" s="22">
        <f t="shared" si="135"/>
        <v>55.32</v>
      </c>
    </row>
    <row r="216" spans="1:36" x14ac:dyDescent="0.25">
      <c r="A216" s="34">
        <v>36770</v>
      </c>
      <c r="B216" s="34">
        <f t="shared" si="110"/>
        <v>36830</v>
      </c>
      <c r="C216">
        <v>6882.9</v>
      </c>
      <c r="D216" s="6">
        <f t="shared" si="119"/>
        <v>6815.37</v>
      </c>
      <c r="E216" s="29">
        <f t="shared" si="120"/>
        <v>1.61E-2</v>
      </c>
      <c r="F216" s="29">
        <f t="shared" si="121"/>
        <v>1.6799999999999999E-2</v>
      </c>
      <c r="G216">
        <v>7528.7</v>
      </c>
      <c r="H216" s="6">
        <f t="shared" si="122"/>
        <v>7493.27</v>
      </c>
      <c r="I216" s="29">
        <f t="shared" si="123"/>
        <v>1.7899999999999999E-2</v>
      </c>
      <c r="J216" s="29">
        <f t="shared" si="124"/>
        <v>1.0500000000000001E-2</v>
      </c>
      <c r="K216">
        <v>2.5041000000000002</v>
      </c>
      <c r="L216">
        <v>2.39</v>
      </c>
      <c r="M216" s="35">
        <f t="shared" si="125"/>
        <v>2.4470000000000001</v>
      </c>
      <c r="N216">
        <v>225.7</v>
      </c>
      <c r="O216" s="29">
        <f t="shared" si="126"/>
        <v>3.6600000000000001E-2</v>
      </c>
      <c r="P216">
        <v>4.5</v>
      </c>
      <c r="Q216" s="6">
        <f t="shared" si="111"/>
        <v>338.79</v>
      </c>
      <c r="R216">
        <v>9.5</v>
      </c>
      <c r="S216" s="36">
        <f t="shared" si="112"/>
        <v>48.5</v>
      </c>
      <c r="T216" s="6">
        <f t="shared" si="127"/>
        <v>141.91999999999999</v>
      </c>
      <c r="U216" s="6">
        <f t="shared" si="128"/>
        <v>140.81</v>
      </c>
      <c r="V216" s="29">
        <f t="shared" si="129"/>
        <v>9.4999999999999998E-3</v>
      </c>
      <c r="W216" s="29">
        <f t="shared" si="130"/>
        <v>1.26E-2</v>
      </c>
      <c r="X216" s="13">
        <f t="shared" si="113"/>
        <v>3.2800000000000003E-2</v>
      </c>
      <c r="Y216" s="13">
        <f t="shared" si="114"/>
        <v>0.03</v>
      </c>
      <c r="Z216" s="6">
        <f t="shared" si="115"/>
        <v>1.5010633584404078</v>
      </c>
      <c r="AA216" s="13">
        <f t="shared" si="116"/>
        <v>0.28499999999999998</v>
      </c>
      <c r="AB216" s="35">
        <f t="shared" si="117"/>
        <v>21.442</v>
      </c>
      <c r="AC216" s="6">
        <f t="shared" si="118"/>
        <v>2375.79</v>
      </c>
      <c r="AD216" s="6">
        <f t="shared" si="131"/>
        <v>2340</v>
      </c>
      <c r="AE216" s="29">
        <f t="shared" si="132"/>
        <v>2.01E-2</v>
      </c>
      <c r="AF216" s="13">
        <f t="shared" si="108"/>
        <v>0.14480000000000001</v>
      </c>
      <c r="AG216" s="22">
        <f t="shared" si="133"/>
        <v>70.459999999999994</v>
      </c>
      <c r="AH216" s="22">
        <f t="shared" si="109"/>
        <v>37.22</v>
      </c>
      <c r="AI216" s="22">
        <f t="shared" si="134"/>
        <v>62.15</v>
      </c>
      <c r="AJ216" s="22">
        <f t="shared" si="135"/>
        <v>54.15</v>
      </c>
    </row>
    <row r="217" spans="1:36" x14ac:dyDescent="0.25">
      <c r="A217" s="34">
        <v>36739</v>
      </c>
      <c r="B217" s="34">
        <f t="shared" si="110"/>
        <v>36799</v>
      </c>
      <c r="C217">
        <v>6799.1</v>
      </c>
      <c r="D217" s="6">
        <f t="shared" si="119"/>
        <v>6769.03</v>
      </c>
      <c r="E217" s="29">
        <f t="shared" si="120"/>
        <v>1.21E-2</v>
      </c>
      <c r="F217" s="29">
        <f t="shared" si="121"/>
        <v>8.9999999999999993E-3</v>
      </c>
      <c r="G217">
        <v>7495.5</v>
      </c>
      <c r="H217" s="6">
        <f t="shared" si="122"/>
        <v>7450.73</v>
      </c>
      <c r="I217" s="29">
        <f t="shared" si="123"/>
        <v>1.6799999999999999E-2</v>
      </c>
      <c r="J217" s="29">
        <f t="shared" si="124"/>
        <v>1.2200000000000001E-2</v>
      </c>
      <c r="K217">
        <v>2.4239700000000002</v>
      </c>
      <c r="L217">
        <v>2.33</v>
      </c>
      <c r="M217" s="35">
        <f t="shared" si="125"/>
        <v>2.3769999999999998</v>
      </c>
      <c r="N217">
        <v>222.7</v>
      </c>
      <c r="O217" s="29">
        <f t="shared" si="126"/>
        <v>4.65E-2</v>
      </c>
      <c r="P217">
        <v>5.2</v>
      </c>
      <c r="Q217" s="6">
        <f t="shared" si="111"/>
        <v>389.77</v>
      </c>
      <c r="R217">
        <v>9.5</v>
      </c>
      <c r="S217" s="36">
        <f t="shared" si="112"/>
        <v>48.4</v>
      </c>
      <c r="T217" s="6">
        <f t="shared" si="127"/>
        <v>140.47999999999999</v>
      </c>
      <c r="U217" s="6">
        <f t="shared" si="128"/>
        <v>140.15</v>
      </c>
      <c r="V217" s="29">
        <f t="shared" si="129"/>
        <v>5.5999999999999999E-3</v>
      </c>
      <c r="W217" s="29">
        <f t="shared" si="130"/>
        <v>4.5999999999999999E-3</v>
      </c>
      <c r="X217" s="13">
        <f t="shared" si="113"/>
        <v>3.2800000000000003E-2</v>
      </c>
      <c r="Y217" s="13">
        <f t="shared" si="114"/>
        <v>2.9700000000000001E-2</v>
      </c>
      <c r="Z217" s="6">
        <f t="shared" si="115"/>
        <v>1.750202065559048</v>
      </c>
      <c r="AA217" s="13">
        <f t="shared" si="116"/>
        <v>0.28220000000000001</v>
      </c>
      <c r="AB217" s="35">
        <f t="shared" si="117"/>
        <v>21.157</v>
      </c>
      <c r="AC217" s="6">
        <f t="shared" si="118"/>
        <v>2344.21</v>
      </c>
      <c r="AD217" s="6">
        <f t="shared" si="131"/>
        <v>2291.9299999999998</v>
      </c>
      <c r="AE217" s="29">
        <f t="shared" si="132"/>
        <v>-9.7999999999999997E-3</v>
      </c>
      <c r="AF217" s="13">
        <f t="shared" si="108"/>
        <v>0.1701</v>
      </c>
      <c r="AG217" s="22">
        <f t="shared" si="133"/>
        <v>54.66</v>
      </c>
      <c r="AH217" s="22">
        <f t="shared" si="109"/>
        <v>38.4</v>
      </c>
      <c r="AI217" s="22">
        <f t="shared" si="134"/>
        <v>50.594999999999999</v>
      </c>
      <c r="AJ217" s="22">
        <f t="shared" si="135"/>
        <v>54</v>
      </c>
    </row>
    <row r="218" spans="1:36" x14ac:dyDescent="0.25">
      <c r="A218" s="34">
        <v>36708</v>
      </c>
      <c r="B218" s="34">
        <f t="shared" si="110"/>
        <v>36769</v>
      </c>
      <c r="C218">
        <v>6764.1</v>
      </c>
      <c r="D218" s="6">
        <f t="shared" si="119"/>
        <v>6738.53</v>
      </c>
      <c r="E218" s="29">
        <f t="shared" si="120"/>
        <v>1.2E-2</v>
      </c>
      <c r="F218" s="29">
        <f t="shared" si="121"/>
        <v>8.3999999999999995E-3</v>
      </c>
      <c r="G218">
        <v>7455.6</v>
      </c>
      <c r="H218" s="6">
        <f t="shared" si="122"/>
        <v>7405.17</v>
      </c>
      <c r="I218" s="29">
        <f t="shared" si="123"/>
        <v>1.5699999999999999E-2</v>
      </c>
      <c r="J218" s="29">
        <f t="shared" si="124"/>
        <v>1.2800000000000001E-2</v>
      </c>
      <c r="K218">
        <v>2.6155200000000001</v>
      </c>
      <c r="L218">
        <v>2.2999999999999998</v>
      </c>
      <c r="M218" s="35">
        <f t="shared" si="125"/>
        <v>2.4580000000000002</v>
      </c>
      <c r="N218">
        <v>218.5</v>
      </c>
      <c r="O218" s="29">
        <f t="shared" si="126"/>
        <v>4.9099999999999998E-2</v>
      </c>
      <c r="P218">
        <v>5.2</v>
      </c>
      <c r="Q218" s="6">
        <f t="shared" si="111"/>
        <v>387.69</v>
      </c>
      <c r="R218">
        <v>9.5</v>
      </c>
      <c r="S218" s="36">
        <f t="shared" si="112"/>
        <v>48.3</v>
      </c>
      <c r="T218" s="6">
        <f t="shared" si="127"/>
        <v>140.04</v>
      </c>
      <c r="U218" s="6">
        <f t="shared" si="128"/>
        <v>139.83000000000001</v>
      </c>
      <c r="V218" s="29">
        <f t="shared" si="129"/>
        <v>5.7000000000000002E-3</v>
      </c>
      <c r="W218" s="29">
        <f t="shared" si="130"/>
        <v>4.0000000000000001E-3</v>
      </c>
      <c r="X218" s="13">
        <f t="shared" si="113"/>
        <v>3.2300000000000002E-2</v>
      </c>
      <c r="Y218" s="13">
        <f t="shared" si="114"/>
        <v>2.93E-2</v>
      </c>
      <c r="Z218" s="6">
        <f t="shared" si="115"/>
        <v>1.774324942791762</v>
      </c>
      <c r="AA218" s="13">
        <f t="shared" si="116"/>
        <v>0.27839999999999998</v>
      </c>
      <c r="AB218" s="35">
        <f t="shared" si="117"/>
        <v>20.757999999999999</v>
      </c>
      <c r="AC218" s="6">
        <f t="shared" si="118"/>
        <v>2300</v>
      </c>
      <c r="AD218" s="6">
        <f t="shared" si="131"/>
        <v>2260.5300000000002</v>
      </c>
      <c r="AE218" s="29">
        <f t="shared" si="132"/>
        <v>-2.4799999999999999E-2</v>
      </c>
      <c r="AF218" s="13">
        <f t="shared" si="108"/>
        <v>0.17150000000000001</v>
      </c>
      <c r="AG218" s="22">
        <f t="shared" si="133"/>
        <v>54.21</v>
      </c>
      <c r="AH218" s="22">
        <f t="shared" si="109"/>
        <v>38.31</v>
      </c>
      <c r="AI218" s="22">
        <f t="shared" si="134"/>
        <v>50.234999999999999</v>
      </c>
      <c r="AJ218" s="22">
        <f t="shared" si="135"/>
        <v>59.44</v>
      </c>
    </row>
    <row r="219" spans="1:36" x14ac:dyDescent="0.25">
      <c r="A219" s="34">
        <v>36678</v>
      </c>
      <c r="B219" s="34">
        <f t="shared" si="110"/>
        <v>36738</v>
      </c>
      <c r="C219">
        <v>6743.9</v>
      </c>
      <c r="D219" s="6">
        <f t="shared" si="119"/>
        <v>6707.53</v>
      </c>
      <c r="E219" s="29">
        <f t="shared" si="120"/>
        <v>1.4200000000000001E-2</v>
      </c>
      <c r="F219" s="29">
        <f t="shared" si="121"/>
        <v>8.3000000000000001E-3</v>
      </c>
      <c r="G219">
        <v>7401.1</v>
      </c>
      <c r="H219" s="6">
        <f t="shared" si="122"/>
        <v>7361.63</v>
      </c>
      <c r="I219" s="29">
        <f t="shared" si="123"/>
        <v>1.5599999999999999E-2</v>
      </c>
      <c r="J219" s="29">
        <f t="shared" si="124"/>
        <v>1.01E-2</v>
      </c>
      <c r="K219">
        <v>2.6408399999999999</v>
      </c>
      <c r="L219">
        <v>2.2799999999999998</v>
      </c>
      <c r="M219" s="35">
        <f t="shared" si="125"/>
        <v>2.46</v>
      </c>
      <c r="N219">
        <v>212</v>
      </c>
      <c r="O219" s="29">
        <f t="shared" si="126"/>
        <v>3.2500000000000001E-2</v>
      </c>
      <c r="P219">
        <v>4.9000000000000004</v>
      </c>
      <c r="Q219" s="6">
        <f t="shared" si="111"/>
        <v>362.65</v>
      </c>
      <c r="R219">
        <v>9.5</v>
      </c>
      <c r="S219" s="36">
        <f t="shared" si="112"/>
        <v>48.19</v>
      </c>
      <c r="T219" s="6">
        <f t="shared" si="127"/>
        <v>139.94</v>
      </c>
      <c r="U219" s="6">
        <f t="shared" si="128"/>
        <v>139.49</v>
      </c>
      <c r="V219" s="29">
        <f t="shared" si="129"/>
        <v>8.0000000000000002E-3</v>
      </c>
      <c r="W219" s="29">
        <f t="shared" si="130"/>
        <v>4.1000000000000003E-3</v>
      </c>
      <c r="X219" s="13">
        <f t="shared" si="113"/>
        <v>3.1399999999999997E-2</v>
      </c>
      <c r="Y219" s="13">
        <f t="shared" si="114"/>
        <v>2.86E-2</v>
      </c>
      <c r="Z219" s="6">
        <f t="shared" si="115"/>
        <v>1.7106132075471696</v>
      </c>
      <c r="AA219" s="13">
        <f t="shared" si="116"/>
        <v>0.2717</v>
      </c>
      <c r="AB219" s="35">
        <f t="shared" si="117"/>
        <v>20.14</v>
      </c>
      <c r="AC219" s="6">
        <f t="shared" si="118"/>
        <v>2231.58</v>
      </c>
      <c r="AD219" s="6">
        <f t="shared" si="131"/>
        <v>2252.75</v>
      </c>
      <c r="AE219" s="29">
        <f t="shared" si="132"/>
        <v>-3.0800000000000001E-2</v>
      </c>
      <c r="AF219" s="13">
        <f t="shared" si="108"/>
        <v>0.161</v>
      </c>
      <c r="AG219" s="22">
        <f t="shared" si="133"/>
        <v>58.98</v>
      </c>
      <c r="AH219" s="22">
        <f t="shared" si="109"/>
        <v>37.56</v>
      </c>
      <c r="AI219" s="22">
        <f t="shared" si="134"/>
        <v>53.625</v>
      </c>
      <c r="AJ219" s="22">
        <f t="shared" si="135"/>
        <v>67.5</v>
      </c>
    </row>
    <row r="220" spans="1:36" x14ac:dyDescent="0.25">
      <c r="A220" s="34">
        <v>36647</v>
      </c>
      <c r="B220" s="34">
        <f t="shared" si="110"/>
        <v>36707</v>
      </c>
      <c r="C220">
        <v>6707.6</v>
      </c>
      <c r="D220" s="6">
        <f t="shared" si="119"/>
        <v>6688.17</v>
      </c>
      <c r="E220" s="29">
        <f t="shared" si="120"/>
        <v>1.8800000000000001E-2</v>
      </c>
      <c r="F220" s="29">
        <f t="shared" si="121"/>
        <v>7.3000000000000001E-3</v>
      </c>
      <c r="G220">
        <v>7358.8</v>
      </c>
      <c r="H220" s="6">
        <f t="shared" si="122"/>
        <v>7327.4</v>
      </c>
      <c r="I220" s="29">
        <f t="shared" si="123"/>
        <v>1.9199999999999998E-2</v>
      </c>
      <c r="J220" s="29">
        <f t="shared" si="124"/>
        <v>9.2999999999999992E-3</v>
      </c>
      <c r="K220">
        <v>2.32748</v>
      </c>
      <c r="L220">
        <v>2.2200000000000002</v>
      </c>
      <c r="M220" s="35">
        <f t="shared" si="125"/>
        <v>2.274</v>
      </c>
      <c r="N220">
        <v>207.9</v>
      </c>
      <c r="O220" s="29">
        <f t="shared" si="126"/>
        <v>2.3800000000000002E-2</v>
      </c>
      <c r="P220">
        <v>4.9000000000000004</v>
      </c>
      <c r="Q220" s="6">
        <f t="shared" si="111"/>
        <v>360.58</v>
      </c>
      <c r="R220">
        <v>9.24</v>
      </c>
      <c r="S220" s="36">
        <f t="shared" si="112"/>
        <v>48.08</v>
      </c>
      <c r="T220" s="6">
        <f t="shared" si="127"/>
        <v>139.51</v>
      </c>
      <c r="U220" s="6">
        <f t="shared" si="128"/>
        <v>139.37</v>
      </c>
      <c r="V220" s="29">
        <f t="shared" si="129"/>
        <v>1.26E-2</v>
      </c>
      <c r="W220" s="29">
        <f t="shared" si="130"/>
        <v>3.3999999999999998E-3</v>
      </c>
      <c r="X220" s="13">
        <f t="shared" si="113"/>
        <v>3.1E-2</v>
      </c>
      <c r="Y220" s="13">
        <f t="shared" si="114"/>
        <v>2.8299999999999999E-2</v>
      </c>
      <c r="Z220" s="6">
        <f t="shared" si="115"/>
        <v>1.7343915343915344</v>
      </c>
      <c r="AA220" s="13">
        <f t="shared" si="116"/>
        <v>0.26150000000000001</v>
      </c>
      <c r="AB220" s="35">
        <f t="shared" si="117"/>
        <v>19.21</v>
      </c>
      <c r="AC220" s="6">
        <f t="shared" si="118"/>
        <v>2250</v>
      </c>
      <c r="AD220" s="6">
        <f t="shared" si="131"/>
        <v>2275.9699999999998</v>
      </c>
      <c r="AE220" s="29">
        <f t="shared" si="132"/>
        <v>-2.0199999999999999E-2</v>
      </c>
      <c r="AF220" s="13">
        <f t="shared" si="108"/>
        <v>0.15840000000000001</v>
      </c>
      <c r="AG220" s="22">
        <f t="shared" si="133"/>
        <v>67.45</v>
      </c>
      <c r="AH220" s="22">
        <f t="shared" si="109"/>
        <v>43.89</v>
      </c>
      <c r="AI220" s="22">
        <f t="shared" si="134"/>
        <v>61.56</v>
      </c>
      <c r="AJ220" s="22">
        <f t="shared" si="135"/>
        <v>75.27</v>
      </c>
    </row>
    <row r="221" spans="1:36" x14ac:dyDescent="0.25">
      <c r="A221" s="34">
        <v>36617</v>
      </c>
      <c r="B221" s="34">
        <f t="shared" si="110"/>
        <v>36677</v>
      </c>
      <c r="C221">
        <v>6671.1</v>
      </c>
      <c r="D221" s="6">
        <f t="shared" si="119"/>
        <v>6658.87</v>
      </c>
      <c r="E221" s="29">
        <f t="shared" si="120"/>
        <v>2.3800000000000002E-2</v>
      </c>
      <c r="F221" s="29">
        <f t="shared" si="121"/>
        <v>8.6999999999999994E-3</v>
      </c>
      <c r="G221">
        <v>7325</v>
      </c>
      <c r="H221" s="6">
        <f t="shared" si="122"/>
        <v>7290.77</v>
      </c>
      <c r="I221" s="29">
        <f t="shared" si="123"/>
        <v>2.3599999999999999E-2</v>
      </c>
      <c r="J221" s="29">
        <f t="shared" si="124"/>
        <v>1.06E-2</v>
      </c>
      <c r="K221">
        <v>2.3062999999999998</v>
      </c>
      <c r="L221">
        <v>2.16</v>
      </c>
      <c r="M221" s="35">
        <f t="shared" si="125"/>
        <v>2.2330000000000001</v>
      </c>
      <c r="N221">
        <v>204.9</v>
      </c>
      <c r="O221" s="29">
        <f t="shared" si="126"/>
        <v>1.9199999999999998E-2</v>
      </c>
      <c r="P221">
        <v>5</v>
      </c>
      <c r="Q221" s="6">
        <f t="shared" si="111"/>
        <v>366.25</v>
      </c>
      <c r="R221">
        <v>9</v>
      </c>
      <c r="S221" s="36">
        <f t="shared" si="112"/>
        <v>47.99</v>
      </c>
      <c r="T221" s="6">
        <f t="shared" si="127"/>
        <v>139.01</v>
      </c>
      <c r="U221" s="6">
        <f t="shared" si="128"/>
        <v>139.04</v>
      </c>
      <c r="V221" s="29">
        <f t="shared" si="129"/>
        <v>1.7600000000000001E-2</v>
      </c>
      <c r="W221" s="29">
        <f t="shared" si="130"/>
        <v>4.5999999999999999E-3</v>
      </c>
      <c r="X221" s="13">
        <f t="shared" si="113"/>
        <v>3.0700000000000002E-2</v>
      </c>
      <c r="Y221" s="13">
        <f t="shared" si="114"/>
        <v>2.8000000000000001E-2</v>
      </c>
      <c r="Z221" s="6">
        <f t="shared" si="115"/>
        <v>1.7874572962420692</v>
      </c>
      <c r="AA221" s="13">
        <f t="shared" si="116"/>
        <v>0.252</v>
      </c>
      <c r="AB221" s="35">
        <f t="shared" si="117"/>
        <v>18.440999999999999</v>
      </c>
      <c r="AC221" s="6">
        <f t="shared" si="118"/>
        <v>2276.67</v>
      </c>
      <c r="AD221" s="6">
        <f t="shared" si="131"/>
        <v>2293.8200000000002</v>
      </c>
      <c r="AE221" s="29">
        <f t="shared" si="132"/>
        <v>-1.2500000000000001E-2</v>
      </c>
      <c r="AF221" s="13">
        <f t="shared" si="108"/>
        <v>0.15970000000000001</v>
      </c>
      <c r="AG221" s="22">
        <f t="shared" si="133"/>
        <v>78.84</v>
      </c>
      <c r="AH221" s="22">
        <f t="shared" si="109"/>
        <v>52.88</v>
      </c>
      <c r="AI221" s="22">
        <f t="shared" si="134"/>
        <v>72.350000000000009</v>
      </c>
      <c r="AJ221" s="22">
        <f t="shared" si="135"/>
        <v>78.64</v>
      </c>
    </row>
    <row r="222" spans="1:36" x14ac:dyDescent="0.25">
      <c r="A222" s="34">
        <v>36586</v>
      </c>
      <c r="B222" s="34">
        <f t="shared" si="110"/>
        <v>36646</v>
      </c>
      <c r="C222">
        <v>6685.8</v>
      </c>
      <c r="D222" s="6">
        <f t="shared" si="119"/>
        <v>6613.6</v>
      </c>
      <c r="E222" s="29">
        <f t="shared" si="120"/>
        <v>2.3800000000000002E-2</v>
      </c>
      <c r="F222" s="29">
        <f t="shared" si="121"/>
        <v>1.8499999999999999E-2</v>
      </c>
      <c r="G222">
        <v>7298.4</v>
      </c>
      <c r="H222" s="6">
        <f t="shared" si="122"/>
        <v>7248.47</v>
      </c>
      <c r="I222" s="29">
        <f t="shared" si="123"/>
        <v>2.7699999999999999E-2</v>
      </c>
      <c r="J222" s="29">
        <f t="shared" si="124"/>
        <v>1.5100000000000001E-2</v>
      </c>
      <c r="K222">
        <v>2.8806799999999999</v>
      </c>
      <c r="L222">
        <v>2.21</v>
      </c>
      <c r="M222" s="35">
        <f t="shared" si="125"/>
        <v>2.5449999999999999</v>
      </c>
      <c r="N222">
        <v>203.2</v>
      </c>
      <c r="O222" s="29">
        <f t="shared" si="126"/>
        <v>2.2100000000000002E-2</v>
      </c>
      <c r="P222">
        <v>4.5</v>
      </c>
      <c r="Q222" s="6">
        <f t="shared" si="111"/>
        <v>328.43</v>
      </c>
      <c r="R222">
        <v>8.83</v>
      </c>
      <c r="S222" s="36">
        <f t="shared" si="112"/>
        <v>47.9</v>
      </c>
      <c r="T222" s="6">
        <f t="shared" si="127"/>
        <v>139.58000000000001</v>
      </c>
      <c r="U222" s="6">
        <f t="shared" si="128"/>
        <v>138.38</v>
      </c>
      <c r="V222" s="29">
        <f t="shared" si="129"/>
        <v>1.7999999999999999E-2</v>
      </c>
      <c r="W222" s="29">
        <f t="shared" si="130"/>
        <v>1.41E-2</v>
      </c>
      <c r="X222" s="13">
        <f t="shared" si="113"/>
        <v>3.04E-2</v>
      </c>
      <c r="Y222" s="13">
        <f t="shared" si="114"/>
        <v>2.7799999999999998E-2</v>
      </c>
      <c r="Z222" s="6">
        <f t="shared" si="115"/>
        <v>1.6162893700787402</v>
      </c>
      <c r="AA222" s="13">
        <f t="shared" si="116"/>
        <v>0.2455</v>
      </c>
      <c r="AB222" s="35">
        <f t="shared" si="117"/>
        <v>17.943000000000001</v>
      </c>
      <c r="AC222" s="6">
        <f t="shared" si="118"/>
        <v>2301.25</v>
      </c>
      <c r="AD222" s="6">
        <f t="shared" si="131"/>
        <v>2314.54</v>
      </c>
      <c r="AE222" s="29">
        <f t="shared" si="132"/>
        <v>-7.3000000000000001E-3</v>
      </c>
      <c r="AF222" s="13">
        <f t="shared" si="108"/>
        <v>0.1419</v>
      </c>
      <c r="AG222" s="22">
        <f t="shared" si="133"/>
        <v>88.98</v>
      </c>
      <c r="AH222" s="22">
        <f t="shared" si="109"/>
        <v>62.99</v>
      </c>
      <c r="AI222" s="22">
        <f t="shared" si="134"/>
        <v>82.482500000000002</v>
      </c>
      <c r="AJ222" s="22">
        <f t="shared" si="135"/>
        <v>80.41</v>
      </c>
    </row>
    <row r="223" spans="1:36" x14ac:dyDescent="0.25">
      <c r="A223" s="34">
        <v>36557</v>
      </c>
      <c r="B223" s="34">
        <f t="shared" si="110"/>
        <v>36616</v>
      </c>
      <c r="C223">
        <v>6619.7</v>
      </c>
      <c r="D223" s="6">
        <f t="shared" si="119"/>
        <v>6564.57</v>
      </c>
      <c r="E223" s="29">
        <f t="shared" si="120"/>
        <v>2.47E-2</v>
      </c>
      <c r="F223" s="29">
        <f t="shared" si="121"/>
        <v>1.78E-2</v>
      </c>
      <c r="G223">
        <v>7248.9</v>
      </c>
      <c r="H223" s="6">
        <f t="shared" si="122"/>
        <v>7189.6</v>
      </c>
      <c r="I223" s="29">
        <f t="shared" si="123"/>
        <v>2.8400000000000002E-2</v>
      </c>
      <c r="J223" s="29">
        <f t="shared" si="124"/>
        <v>1.78E-2</v>
      </c>
      <c r="K223">
        <v>2.5235500000000002</v>
      </c>
      <c r="L223">
        <v>2.09</v>
      </c>
      <c r="M223" s="35">
        <f t="shared" si="125"/>
        <v>2.3069999999999999</v>
      </c>
      <c r="N223">
        <v>201.1</v>
      </c>
      <c r="O223" s="29">
        <f t="shared" si="126"/>
        <v>2.3099999999999999E-2</v>
      </c>
      <c r="P223">
        <v>4.8</v>
      </c>
      <c r="Q223" s="6">
        <f t="shared" si="111"/>
        <v>347.95</v>
      </c>
      <c r="R223">
        <v>8.73</v>
      </c>
      <c r="S223" s="36">
        <f t="shared" si="112"/>
        <v>47.79</v>
      </c>
      <c r="T223" s="6">
        <f t="shared" si="127"/>
        <v>138.52000000000001</v>
      </c>
      <c r="U223" s="6">
        <f t="shared" si="128"/>
        <v>137.63999999999999</v>
      </c>
      <c r="V223" s="29">
        <f t="shared" si="129"/>
        <v>1.9300000000000001E-2</v>
      </c>
      <c r="W223" s="29">
        <f t="shared" si="130"/>
        <v>1.38E-2</v>
      </c>
      <c r="X223" s="13">
        <f t="shared" si="113"/>
        <v>3.04E-2</v>
      </c>
      <c r="Y223" s="13">
        <f t="shared" si="114"/>
        <v>2.7699999999999999E-2</v>
      </c>
      <c r="Z223" s="6">
        <f t="shared" si="115"/>
        <v>1.7302337145698656</v>
      </c>
      <c r="AA223" s="13">
        <f t="shared" si="116"/>
        <v>0.24179999999999999</v>
      </c>
      <c r="AB223" s="35">
        <f t="shared" si="117"/>
        <v>17.556000000000001</v>
      </c>
      <c r="AC223" s="6">
        <f t="shared" si="118"/>
        <v>2303.5500000000002</v>
      </c>
      <c r="AD223" s="6">
        <f t="shared" si="131"/>
        <v>2318.04</v>
      </c>
      <c r="AE223" s="29">
        <f t="shared" si="132"/>
        <v>-7.6E-3</v>
      </c>
      <c r="AF223" s="13">
        <f t="shared" si="108"/>
        <v>0.15010000000000001</v>
      </c>
      <c r="AG223" s="22">
        <f t="shared" si="133"/>
        <v>90.68</v>
      </c>
      <c r="AH223" s="22">
        <f t="shared" si="109"/>
        <v>66.7</v>
      </c>
      <c r="AI223" s="22">
        <f t="shared" si="134"/>
        <v>84.685000000000002</v>
      </c>
      <c r="AJ223" s="22">
        <f t="shared" si="135"/>
        <v>76.650000000000006</v>
      </c>
    </row>
    <row r="224" spans="1:36" x14ac:dyDescent="0.25">
      <c r="A224" s="34">
        <v>36526</v>
      </c>
      <c r="B224" s="34">
        <f t="shared" si="110"/>
        <v>36585</v>
      </c>
      <c r="C224">
        <v>6535.3</v>
      </c>
      <c r="D224" s="6">
        <f t="shared" si="119"/>
        <v>6503.97</v>
      </c>
      <c r="E224" s="29">
        <f t="shared" si="120"/>
        <v>2.12E-2</v>
      </c>
      <c r="F224" s="29">
        <f t="shared" si="121"/>
        <v>1.17E-2</v>
      </c>
      <c r="G224">
        <v>7198.1</v>
      </c>
      <c r="H224" s="6">
        <f t="shared" si="122"/>
        <v>7122.43</v>
      </c>
      <c r="I224" s="29">
        <f t="shared" si="123"/>
        <v>2.52E-2</v>
      </c>
      <c r="J224" s="29">
        <f t="shared" si="124"/>
        <v>2.0500000000000001E-2</v>
      </c>
      <c r="K224">
        <v>2.1702699999999999</v>
      </c>
      <c r="L224">
        <v>1.98</v>
      </c>
      <c r="M224" s="35">
        <f t="shared" si="125"/>
        <v>2.0750000000000002</v>
      </c>
      <c r="N224">
        <v>198.8</v>
      </c>
      <c r="O224" s="29">
        <f t="shared" si="126"/>
        <v>2.2100000000000002E-2</v>
      </c>
      <c r="P224">
        <v>5.4</v>
      </c>
      <c r="Q224" s="6">
        <f t="shared" si="111"/>
        <v>388.7</v>
      </c>
      <c r="R224">
        <v>8.5</v>
      </c>
      <c r="S224" s="36">
        <f t="shared" si="112"/>
        <v>47.69</v>
      </c>
      <c r="T224" s="6">
        <f t="shared" si="127"/>
        <v>137.04</v>
      </c>
      <c r="U224" s="6">
        <f t="shared" si="128"/>
        <v>136.63</v>
      </c>
      <c r="V224" s="29">
        <f t="shared" si="129"/>
        <v>1.6199999999999999E-2</v>
      </c>
      <c r="W224" s="29">
        <f t="shared" si="130"/>
        <v>8.0999999999999996E-3</v>
      </c>
      <c r="X224" s="13">
        <f t="shared" si="113"/>
        <v>3.04E-2</v>
      </c>
      <c r="Y224" s="13">
        <f t="shared" si="114"/>
        <v>2.76E-2</v>
      </c>
      <c r="Z224" s="6">
        <f t="shared" si="115"/>
        <v>1.9552313883299797</v>
      </c>
      <c r="AA224" s="13">
        <f t="shared" si="116"/>
        <v>0.2346</v>
      </c>
      <c r="AB224" s="35">
        <f t="shared" si="117"/>
        <v>16.898</v>
      </c>
      <c r="AC224" s="6">
        <f t="shared" si="118"/>
        <v>2338.8200000000002</v>
      </c>
      <c r="AD224" s="6">
        <f t="shared" si="131"/>
        <v>2324.39</v>
      </c>
      <c r="AE224" s="29">
        <f t="shared" si="132"/>
        <v>-1.95E-2</v>
      </c>
      <c r="AF224" s="13">
        <f t="shared" si="108"/>
        <v>0.16719999999999999</v>
      </c>
      <c r="AG224" s="22">
        <f t="shared" si="133"/>
        <v>78.180000000000007</v>
      </c>
      <c r="AH224" s="22">
        <f t="shared" si="109"/>
        <v>65.64</v>
      </c>
      <c r="AI224" s="22">
        <f t="shared" si="134"/>
        <v>75.045000000000002</v>
      </c>
      <c r="AJ224" s="22">
        <f t="shared" si="135"/>
        <v>72.12</v>
      </c>
    </row>
    <row r="225" spans="1:36" x14ac:dyDescent="0.25">
      <c r="A225" s="34">
        <v>36495</v>
      </c>
      <c r="B225" s="34">
        <f t="shared" si="110"/>
        <v>36556</v>
      </c>
      <c r="C225">
        <v>6538.7</v>
      </c>
      <c r="D225" s="6">
        <f t="shared" si="119"/>
        <v>6459.57</v>
      </c>
      <c r="E225" s="29">
        <f t="shared" si="120"/>
        <v>2.06E-2</v>
      </c>
      <c r="F225" s="29">
        <f t="shared" si="121"/>
        <v>2.07E-2</v>
      </c>
      <c r="G225">
        <v>7121.8</v>
      </c>
      <c r="H225" s="6">
        <f t="shared" si="122"/>
        <v>7053.37</v>
      </c>
      <c r="I225" s="29">
        <f t="shared" si="123"/>
        <v>2.1000000000000001E-2</v>
      </c>
      <c r="J225" s="29">
        <f t="shared" si="124"/>
        <v>1.8700000000000001E-2</v>
      </c>
      <c r="K225">
        <v>2.0657199999999998</v>
      </c>
      <c r="L225">
        <v>1.85</v>
      </c>
      <c r="M225" s="35">
        <f t="shared" si="125"/>
        <v>1.958</v>
      </c>
      <c r="N225">
        <v>196.5</v>
      </c>
      <c r="O225" s="29">
        <f t="shared" si="126"/>
        <v>2.0400000000000001E-2</v>
      </c>
      <c r="P225">
        <v>4.4000000000000004</v>
      </c>
      <c r="Q225" s="6">
        <f t="shared" si="111"/>
        <v>313.36</v>
      </c>
      <c r="R225">
        <v>8.5</v>
      </c>
      <c r="S225" s="36">
        <f t="shared" si="112"/>
        <v>47.6</v>
      </c>
      <c r="T225" s="6">
        <f t="shared" si="127"/>
        <v>137.37</v>
      </c>
      <c r="U225" s="6">
        <f t="shared" si="128"/>
        <v>135.93</v>
      </c>
      <c r="V225" s="29">
        <f t="shared" si="129"/>
        <v>1.6E-2</v>
      </c>
      <c r="W225" s="29">
        <f t="shared" si="130"/>
        <v>1.7299999999999999E-2</v>
      </c>
      <c r="X225" s="13">
        <f t="shared" si="113"/>
        <v>3.0099999999999998E-2</v>
      </c>
      <c r="Y225" s="13">
        <f t="shared" si="114"/>
        <v>2.76E-2</v>
      </c>
      <c r="Z225" s="6">
        <f t="shared" si="115"/>
        <v>1.59470737913486</v>
      </c>
      <c r="AA225" s="13">
        <f t="shared" si="116"/>
        <v>0.2346</v>
      </c>
      <c r="AB225" s="35">
        <f t="shared" si="117"/>
        <v>16.702999999999999</v>
      </c>
      <c r="AC225" s="6">
        <f t="shared" si="118"/>
        <v>2311.7600000000002</v>
      </c>
      <c r="AD225" s="6">
        <f t="shared" si="131"/>
        <v>2322.96</v>
      </c>
      <c r="AE225" s="29">
        <f t="shared" si="132"/>
        <v>-2.6599999999999999E-2</v>
      </c>
      <c r="AF225" s="13">
        <f t="shared" si="108"/>
        <v>0.13489999999999999</v>
      </c>
      <c r="AG225" s="22">
        <f t="shared" si="133"/>
        <v>86.57</v>
      </c>
      <c r="AH225" s="22">
        <f t="shared" si="109"/>
        <v>57.93</v>
      </c>
      <c r="AI225" s="22">
        <f t="shared" si="134"/>
        <v>79.41</v>
      </c>
      <c r="AJ225" s="22">
        <f t="shared" si="135"/>
        <v>69.510000000000005</v>
      </c>
    </row>
    <row r="226" spans="1:36" x14ac:dyDescent="0.25">
      <c r="A226" s="34">
        <v>36465</v>
      </c>
      <c r="B226" s="34">
        <f t="shared" si="110"/>
        <v>36525</v>
      </c>
      <c r="C226">
        <v>6437.9</v>
      </c>
      <c r="D226" s="6">
        <f t="shared" si="119"/>
        <v>6406.27</v>
      </c>
      <c r="E226" s="29">
        <f t="shared" si="120"/>
        <v>1.89E-2</v>
      </c>
      <c r="F226" s="29">
        <f t="shared" si="121"/>
        <v>1.0800000000000001E-2</v>
      </c>
      <c r="G226">
        <v>7047.4</v>
      </c>
      <c r="H226" s="6">
        <f t="shared" si="122"/>
        <v>6991.37</v>
      </c>
      <c r="I226" s="29">
        <f t="shared" si="123"/>
        <v>1.6400000000000001E-2</v>
      </c>
      <c r="J226" s="29">
        <f t="shared" si="124"/>
        <v>1.44E-2</v>
      </c>
      <c r="K226">
        <v>1.9234100000000001</v>
      </c>
      <c r="L226">
        <v>1.82</v>
      </c>
      <c r="M226" s="35">
        <f t="shared" si="125"/>
        <v>1.8720000000000001</v>
      </c>
      <c r="N226">
        <v>194.4</v>
      </c>
      <c r="O226" s="29">
        <f t="shared" si="126"/>
        <v>1.8499999999999999E-2</v>
      </c>
      <c r="P226">
        <v>4.8</v>
      </c>
      <c r="Q226" s="6">
        <f t="shared" si="111"/>
        <v>338.28</v>
      </c>
      <c r="R226">
        <v>8.3699999999999992</v>
      </c>
      <c r="S226" s="36">
        <f t="shared" si="112"/>
        <v>47.52</v>
      </c>
      <c r="T226" s="6">
        <f t="shared" si="127"/>
        <v>135.47999999999999</v>
      </c>
      <c r="U226" s="6">
        <f t="shared" si="128"/>
        <v>135.03</v>
      </c>
      <c r="V226" s="29">
        <f t="shared" si="129"/>
        <v>1.46E-2</v>
      </c>
      <c r="W226" s="29">
        <f t="shared" si="130"/>
        <v>7.6E-3</v>
      </c>
      <c r="X226" s="13">
        <f t="shared" si="113"/>
        <v>3.0200000000000001E-2</v>
      </c>
      <c r="Y226" s="13">
        <f t="shared" si="114"/>
        <v>2.76E-2</v>
      </c>
      <c r="Z226" s="6">
        <f t="shared" si="115"/>
        <v>1.7401234567901234</v>
      </c>
      <c r="AA226" s="13">
        <f t="shared" si="116"/>
        <v>0.23100000000000001</v>
      </c>
      <c r="AB226" s="35">
        <f t="shared" si="117"/>
        <v>16.271000000000001</v>
      </c>
      <c r="AC226" s="6">
        <f t="shared" si="118"/>
        <v>2322.58</v>
      </c>
      <c r="AD226" s="6">
        <f t="shared" si="131"/>
        <v>2322.88</v>
      </c>
      <c r="AE226" s="29">
        <f t="shared" si="132"/>
        <v>-3.04E-2</v>
      </c>
      <c r="AF226" s="13">
        <f t="shared" si="108"/>
        <v>0.14560000000000001</v>
      </c>
      <c r="AG226" s="22">
        <f t="shared" si="133"/>
        <v>73.64</v>
      </c>
      <c r="AH226" s="22">
        <f t="shared" si="109"/>
        <v>48.91</v>
      </c>
      <c r="AI226" s="22">
        <f t="shared" si="134"/>
        <v>67.45750000000001</v>
      </c>
      <c r="AJ226" s="22">
        <f t="shared" si="135"/>
        <v>65.28</v>
      </c>
    </row>
    <row r="227" spans="1:36" x14ac:dyDescent="0.25">
      <c r="A227" s="34">
        <v>36434</v>
      </c>
      <c r="B227" s="34">
        <f t="shared" si="110"/>
        <v>36494</v>
      </c>
      <c r="C227">
        <v>6402.1</v>
      </c>
      <c r="D227" s="6">
        <f t="shared" si="119"/>
        <v>6369.13</v>
      </c>
      <c r="E227" s="29">
        <f t="shared" si="120"/>
        <v>1.8499999999999999E-2</v>
      </c>
      <c r="F227" s="29">
        <f t="shared" si="121"/>
        <v>1.1599999999999999E-2</v>
      </c>
      <c r="G227">
        <v>6990.9</v>
      </c>
      <c r="H227" s="6">
        <f t="shared" si="122"/>
        <v>6947.53</v>
      </c>
      <c r="I227" s="29">
        <f t="shared" si="123"/>
        <v>1.46E-2</v>
      </c>
      <c r="J227" s="29">
        <f t="shared" si="124"/>
        <v>1.2E-2</v>
      </c>
      <c r="K227">
        <v>1.84005</v>
      </c>
      <c r="L227">
        <v>1.78</v>
      </c>
      <c r="M227" s="35">
        <f t="shared" si="125"/>
        <v>1.81</v>
      </c>
      <c r="N227">
        <v>192.6</v>
      </c>
      <c r="O227" s="29">
        <f t="shared" si="126"/>
        <v>1.7600000000000001E-2</v>
      </c>
      <c r="P227">
        <v>4.5999999999999996</v>
      </c>
      <c r="Q227" s="6">
        <f t="shared" si="111"/>
        <v>321.58</v>
      </c>
      <c r="R227">
        <v>8.25</v>
      </c>
      <c r="S227" s="36">
        <f t="shared" si="112"/>
        <v>47.44</v>
      </c>
      <c r="T227" s="6">
        <f t="shared" si="127"/>
        <v>134.94999999999999</v>
      </c>
      <c r="U227" s="6">
        <f t="shared" si="128"/>
        <v>134.44999999999999</v>
      </c>
      <c r="V227" s="29">
        <f t="shared" si="129"/>
        <v>1.43E-2</v>
      </c>
      <c r="W227" s="29">
        <f t="shared" si="130"/>
        <v>8.6E-3</v>
      </c>
      <c r="X227" s="13">
        <f t="shared" si="113"/>
        <v>3.0099999999999998E-2</v>
      </c>
      <c r="Y227" s="13">
        <f t="shared" si="114"/>
        <v>2.76E-2</v>
      </c>
      <c r="Z227" s="6">
        <f t="shared" si="115"/>
        <v>1.6696780893042575</v>
      </c>
      <c r="AA227" s="13">
        <f t="shared" si="116"/>
        <v>0.22770000000000001</v>
      </c>
      <c r="AB227" s="35">
        <f t="shared" si="117"/>
        <v>15.89</v>
      </c>
      <c r="AC227" s="6">
        <f t="shared" si="118"/>
        <v>2334.5500000000002</v>
      </c>
      <c r="AD227" s="6">
        <f t="shared" si="131"/>
        <v>2331.5700000000002</v>
      </c>
      <c r="AE227" s="29">
        <f t="shared" si="132"/>
        <v>-1.55E-2</v>
      </c>
      <c r="AF227" s="13">
        <f t="shared" si="108"/>
        <v>0.13789999999999999</v>
      </c>
      <c r="AG227" s="22">
        <f t="shared" si="133"/>
        <v>73.87</v>
      </c>
      <c r="AH227" s="22">
        <f t="shared" si="109"/>
        <v>44.59</v>
      </c>
      <c r="AI227" s="22">
        <f t="shared" si="134"/>
        <v>66.550000000000011</v>
      </c>
      <c r="AJ227" s="22">
        <f t="shared" si="135"/>
        <v>63.78</v>
      </c>
    </row>
    <row r="228" spans="1:36" x14ac:dyDescent="0.25">
      <c r="A228" s="34">
        <v>36404</v>
      </c>
      <c r="B228" s="34">
        <f t="shared" si="110"/>
        <v>36464</v>
      </c>
      <c r="C228">
        <v>6378.8</v>
      </c>
      <c r="D228" s="6">
        <f t="shared" si="119"/>
        <v>6328.93</v>
      </c>
      <c r="E228" s="29">
        <f t="shared" si="120"/>
        <v>1.66E-2</v>
      </c>
      <c r="F228" s="29">
        <f t="shared" si="121"/>
        <v>1.4500000000000001E-2</v>
      </c>
      <c r="G228">
        <v>6935.8</v>
      </c>
      <c r="H228" s="6">
        <f t="shared" si="122"/>
        <v>6908.2</v>
      </c>
      <c r="I228" s="29">
        <f t="shared" si="123"/>
        <v>1.2200000000000001E-2</v>
      </c>
      <c r="J228" s="29">
        <f t="shared" si="124"/>
        <v>8.3000000000000001E-3</v>
      </c>
      <c r="K228">
        <v>1.90117</v>
      </c>
      <c r="L228">
        <v>1.77</v>
      </c>
      <c r="M228" s="35">
        <f t="shared" si="125"/>
        <v>1.8360000000000001</v>
      </c>
      <c r="N228">
        <v>190.7</v>
      </c>
      <c r="O228" s="29">
        <f t="shared" si="126"/>
        <v>1.38E-2</v>
      </c>
      <c r="P228">
        <v>4.2</v>
      </c>
      <c r="Q228" s="6">
        <f t="shared" si="111"/>
        <v>291.3</v>
      </c>
      <c r="R228">
        <v>8.25</v>
      </c>
      <c r="S228" s="36">
        <f t="shared" si="112"/>
        <v>47.37</v>
      </c>
      <c r="T228" s="6">
        <f t="shared" si="127"/>
        <v>134.66</v>
      </c>
      <c r="U228" s="6">
        <f t="shared" si="128"/>
        <v>133.79</v>
      </c>
      <c r="V228" s="29">
        <f t="shared" si="129"/>
        <v>1.2699999999999999E-2</v>
      </c>
      <c r="W228" s="29">
        <f t="shared" si="130"/>
        <v>1.18E-2</v>
      </c>
      <c r="X228" s="13">
        <f t="shared" si="113"/>
        <v>2.9899999999999999E-2</v>
      </c>
      <c r="Y228" s="13">
        <f t="shared" si="114"/>
        <v>2.75E-2</v>
      </c>
      <c r="Z228" s="6">
        <f t="shared" si="115"/>
        <v>1.5275301520713163</v>
      </c>
      <c r="AA228" s="13">
        <f t="shared" si="116"/>
        <v>0.22689999999999999</v>
      </c>
      <c r="AB228" s="35">
        <f t="shared" si="117"/>
        <v>15.733000000000001</v>
      </c>
      <c r="AC228" s="6">
        <f t="shared" si="118"/>
        <v>2311.52</v>
      </c>
      <c r="AD228" s="6">
        <f t="shared" si="131"/>
        <v>2335.89</v>
      </c>
      <c r="AE228" s="29">
        <f t="shared" si="132"/>
        <v>-3.5000000000000001E-3</v>
      </c>
      <c r="AF228" s="13">
        <f t="shared" si="108"/>
        <v>0.12470000000000001</v>
      </c>
      <c r="AG228" s="22">
        <f t="shared" si="133"/>
        <v>73.48</v>
      </c>
      <c r="AH228" s="22">
        <f t="shared" si="109"/>
        <v>38.04</v>
      </c>
      <c r="AI228" s="22">
        <f t="shared" si="134"/>
        <v>64.62</v>
      </c>
      <c r="AJ228" s="22">
        <f t="shared" si="135"/>
        <v>63.76</v>
      </c>
    </row>
    <row r="229" spans="1:36" x14ac:dyDescent="0.25">
      <c r="A229" s="34">
        <v>36373</v>
      </c>
      <c r="B229" s="34">
        <f t="shared" si="110"/>
        <v>36433</v>
      </c>
      <c r="C229">
        <v>6326.5</v>
      </c>
      <c r="D229" s="6">
        <f t="shared" si="119"/>
        <v>6287.33</v>
      </c>
      <c r="E229" s="29">
        <f t="shared" si="120"/>
        <v>1.66E-2</v>
      </c>
      <c r="F229" s="29">
        <f t="shared" si="121"/>
        <v>1.1599999999999999E-2</v>
      </c>
      <c r="G229">
        <v>6915.9</v>
      </c>
      <c r="H229" s="6">
        <f t="shared" si="122"/>
        <v>6878.63</v>
      </c>
      <c r="I229" s="29">
        <f t="shared" si="123"/>
        <v>1.0699999999999999E-2</v>
      </c>
      <c r="J229" s="29">
        <f t="shared" si="124"/>
        <v>0.01</v>
      </c>
      <c r="K229">
        <v>1.4860800000000001</v>
      </c>
      <c r="L229">
        <v>1.73</v>
      </c>
      <c r="M229" s="35">
        <f t="shared" si="125"/>
        <v>1.6080000000000001</v>
      </c>
      <c r="N229">
        <v>189.3</v>
      </c>
      <c r="O229" s="29">
        <f t="shared" si="126"/>
        <v>1.2800000000000001E-2</v>
      </c>
      <c r="P229">
        <v>4.7</v>
      </c>
      <c r="Q229" s="6">
        <f t="shared" si="111"/>
        <v>325.05</v>
      </c>
      <c r="R229">
        <v>8.06</v>
      </c>
      <c r="S229" s="36">
        <f t="shared" si="112"/>
        <v>47.3</v>
      </c>
      <c r="T229" s="6">
        <f t="shared" si="127"/>
        <v>133.75</v>
      </c>
      <c r="U229" s="6">
        <f t="shared" si="128"/>
        <v>133.09</v>
      </c>
      <c r="V229" s="29">
        <f t="shared" si="129"/>
        <v>1.2800000000000001E-2</v>
      </c>
      <c r="W229" s="29">
        <f t="shared" si="130"/>
        <v>9.1000000000000004E-3</v>
      </c>
      <c r="X229" s="13">
        <f t="shared" si="113"/>
        <v>2.9899999999999999E-2</v>
      </c>
      <c r="Y229" s="13">
        <f t="shared" si="114"/>
        <v>2.7400000000000001E-2</v>
      </c>
      <c r="Z229" s="6">
        <f t="shared" si="115"/>
        <v>1.7171156893819335</v>
      </c>
      <c r="AA229" s="13">
        <f t="shared" si="116"/>
        <v>0.2208</v>
      </c>
      <c r="AB229" s="35">
        <f t="shared" si="117"/>
        <v>15.257999999999999</v>
      </c>
      <c r="AC229" s="6">
        <f t="shared" si="118"/>
        <v>2348.64</v>
      </c>
      <c r="AD229" s="6">
        <f t="shared" si="131"/>
        <v>2370.54</v>
      </c>
      <c r="AE229" s="29">
        <f t="shared" si="132"/>
        <v>1.84E-2</v>
      </c>
      <c r="AF229" s="13">
        <f t="shared" si="108"/>
        <v>0.1371</v>
      </c>
      <c r="AG229" s="22">
        <f t="shared" si="133"/>
        <v>70.78</v>
      </c>
      <c r="AH229" s="22">
        <f t="shared" si="109"/>
        <v>37.58</v>
      </c>
      <c r="AI229" s="22">
        <f t="shared" si="134"/>
        <v>62.480000000000004</v>
      </c>
      <c r="AJ229" s="22">
        <f t="shared" si="135"/>
        <v>63.54</v>
      </c>
    </row>
    <row r="230" spans="1:36" x14ac:dyDescent="0.25">
      <c r="A230" s="34">
        <v>36342</v>
      </c>
      <c r="B230" s="34">
        <f t="shared" si="110"/>
        <v>36403</v>
      </c>
      <c r="C230">
        <v>6281.5</v>
      </c>
      <c r="D230" s="6">
        <f t="shared" si="119"/>
        <v>6253.73</v>
      </c>
      <c r="E230" s="29">
        <f t="shared" si="120"/>
        <v>1.7899999999999999E-2</v>
      </c>
      <c r="F230" s="29">
        <f t="shared" si="121"/>
        <v>8.9999999999999993E-3</v>
      </c>
      <c r="G230">
        <v>6872.9</v>
      </c>
      <c r="H230" s="6">
        <f t="shared" si="122"/>
        <v>6847.5</v>
      </c>
      <c r="I230" s="29">
        <f t="shared" si="123"/>
        <v>8.5000000000000006E-3</v>
      </c>
      <c r="J230" s="29">
        <f t="shared" si="124"/>
        <v>7.0000000000000001E-3</v>
      </c>
      <c r="K230">
        <v>1.4482699999999999</v>
      </c>
      <c r="L230">
        <v>1.77</v>
      </c>
      <c r="M230" s="35">
        <f t="shared" si="125"/>
        <v>1.609</v>
      </c>
      <c r="N230">
        <v>187.8</v>
      </c>
      <c r="O230" s="29">
        <f t="shared" si="126"/>
        <v>1.15E-2</v>
      </c>
      <c r="P230">
        <v>4.8</v>
      </c>
      <c r="Q230" s="6">
        <f t="shared" si="111"/>
        <v>329.9</v>
      </c>
      <c r="R230">
        <v>8</v>
      </c>
      <c r="S230" s="36">
        <f t="shared" si="112"/>
        <v>47.24</v>
      </c>
      <c r="T230" s="6">
        <f t="shared" si="127"/>
        <v>132.97</v>
      </c>
      <c r="U230" s="6">
        <f t="shared" si="128"/>
        <v>132.55000000000001</v>
      </c>
      <c r="V230" s="29">
        <f t="shared" si="129"/>
        <v>1.44E-2</v>
      </c>
      <c r="W230" s="29">
        <f t="shared" si="130"/>
        <v>6.4999999999999997E-3</v>
      </c>
      <c r="X230" s="13">
        <f t="shared" si="113"/>
        <v>2.9899999999999999E-2</v>
      </c>
      <c r="Y230" s="13">
        <f t="shared" si="114"/>
        <v>2.7300000000000001E-2</v>
      </c>
      <c r="Z230" s="6">
        <f t="shared" si="115"/>
        <v>1.7566560170394034</v>
      </c>
      <c r="AA230" s="13">
        <f t="shared" si="116"/>
        <v>0.21840000000000001</v>
      </c>
      <c r="AB230" s="35">
        <f t="shared" si="117"/>
        <v>15.023999999999999</v>
      </c>
      <c r="AC230" s="6">
        <f t="shared" si="118"/>
        <v>2347.5</v>
      </c>
      <c r="AD230" s="6">
        <f t="shared" si="131"/>
        <v>2386.37</v>
      </c>
      <c r="AE230" s="29">
        <f t="shared" si="132"/>
        <v>2.1000000000000001E-2</v>
      </c>
      <c r="AF230" s="13">
        <f t="shared" si="108"/>
        <v>0.13819999999999999</v>
      </c>
      <c r="AG230" s="22">
        <f t="shared" si="133"/>
        <v>71.08</v>
      </c>
      <c r="AH230" s="22">
        <f t="shared" si="109"/>
        <v>32.56</v>
      </c>
      <c r="AI230" s="22">
        <f t="shared" si="134"/>
        <v>61.45</v>
      </c>
      <c r="AJ230" s="22">
        <f t="shared" si="135"/>
        <v>63.69</v>
      </c>
    </row>
    <row r="231" spans="1:36" x14ac:dyDescent="0.25">
      <c r="A231" s="34">
        <v>36312</v>
      </c>
      <c r="B231" s="34">
        <f t="shared" si="110"/>
        <v>36372</v>
      </c>
      <c r="C231">
        <v>6254</v>
      </c>
      <c r="D231" s="6">
        <f t="shared" si="119"/>
        <v>6225.3</v>
      </c>
      <c r="E231" s="29">
        <f t="shared" si="120"/>
        <v>2.01E-2</v>
      </c>
      <c r="F231" s="29">
        <f t="shared" si="121"/>
        <v>1.12E-2</v>
      </c>
      <c r="G231">
        <v>6847.1</v>
      </c>
      <c r="H231" s="6">
        <f t="shared" si="122"/>
        <v>6825.23</v>
      </c>
      <c r="I231" s="29">
        <f t="shared" si="123"/>
        <v>7.7000000000000002E-3</v>
      </c>
      <c r="J231" s="29">
        <f t="shared" si="124"/>
        <v>6.1000000000000004E-3</v>
      </c>
      <c r="K231">
        <v>1.43055</v>
      </c>
      <c r="L231">
        <v>1.72</v>
      </c>
      <c r="M231" s="35">
        <f t="shared" si="125"/>
        <v>1.575</v>
      </c>
      <c r="N231">
        <v>187.2</v>
      </c>
      <c r="O231" s="29">
        <f t="shared" si="126"/>
        <v>0.02</v>
      </c>
      <c r="P231">
        <v>4.8</v>
      </c>
      <c r="Q231" s="6">
        <f t="shared" si="111"/>
        <v>328.66</v>
      </c>
      <c r="R231">
        <v>7.75</v>
      </c>
      <c r="S231" s="36">
        <f t="shared" si="112"/>
        <v>47.18</v>
      </c>
      <c r="T231" s="6">
        <f t="shared" si="127"/>
        <v>132.56</v>
      </c>
      <c r="U231" s="6">
        <f t="shared" si="128"/>
        <v>132.11000000000001</v>
      </c>
      <c r="V231" s="29">
        <f t="shared" si="129"/>
        <v>1.6899999999999998E-2</v>
      </c>
      <c r="W231" s="29">
        <f t="shared" si="130"/>
        <v>8.8000000000000005E-3</v>
      </c>
      <c r="X231" s="13">
        <f t="shared" si="113"/>
        <v>2.9899999999999999E-2</v>
      </c>
      <c r="Y231" s="13">
        <f t="shared" si="114"/>
        <v>2.7300000000000001E-2</v>
      </c>
      <c r="Z231" s="6">
        <f t="shared" si="115"/>
        <v>1.7556623931623934</v>
      </c>
      <c r="AA231" s="13">
        <f t="shared" si="116"/>
        <v>0.21160000000000001</v>
      </c>
      <c r="AB231" s="35">
        <f t="shared" si="117"/>
        <v>14.507999999999999</v>
      </c>
      <c r="AC231" s="6">
        <f t="shared" si="118"/>
        <v>2415.48</v>
      </c>
      <c r="AD231" s="6">
        <f t="shared" si="131"/>
        <v>2395.6999999999998</v>
      </c>
      <c r="AE231" s="29">
        <f t="shared" si="132"/>
        <v>2.4199999999999999E-2</v>
      </c>
      <c r="AF231" s="13">
        <f t="shared" si="108"/>
        <v>0.13719999999999999</v>
      </c>
      <c r="AG231" s="22">
        <f t="shared" si="133"/>
        <v>78.03</v>
      </c>
      <c r="AH231" s="22">
        <f t="shared" si="109"/>
        <v>31.82</v>
      </c>
      <c r="AI231" s="22">
        <f t="shared" si="134"/>
        <v>66.477500000000006</v>
      </c>
      <c r="AJ231" s="22">
        <f t="shared" si="135"/>
        <v>62.13</v>
      </c>
    </row>
    <row r="232" spans="1:36" x14ac:dyDescent="0.25">
      <c r="A232" s="34">
        <v>36281</v>
      </c>
      <c r="B232" s="34">
        <f t="shared" si="110"/>
        <v>36341</v>
      </c>
      <c r="C232">
        <v>6225.7</v>
      </c>
      <c r="D232" s="6">
        <f t="shared" si="119"/>
        <v>6184.93</v>
      </c>
      <c r="E232" s="29">
        <f t="shared" si="120"/>
        <v>1.7000000000000001E-2</v>
      </c>
      <c r="F232" s="29">
        <f t="shared" si="121"/>
        <v>1.34E-2</v>
      </c>
      <c r="G232">
        <v>6822.5</v>
      </c>
      <c r="H232" s="6">
        <f t="shared" si="122"/>
        <v>6805.53</v>
      </c>
      <c r="I232" s="29">
        <f t="shared" si="123"/>
        <v>8.3000000000000001E-3</v>
      </c>
      <c r="J232" s="29">
        <f t="shared" si="124"/>
        <v>4.7999999999999996E-3</v>
      </c>
      <c r="K232">
        <v>1.3228599999999999</v>
      </c>
      <c r="L232">
        <v>1.71</v>
      </c>
      <c r="M232" s="35">
        <f t="shared" si="125"/>
        <v>1.516</v>
      </c>
      <c r="N232">
        <v>185.7</v>
      </c>
      <c r="O232" s="29">
        <f t="shared" si="126"/>
        <v>2.2200000000000001E-2</v>
      </c>
      <c r="P232">
        <v>4.9000000000000004</v>
      </c>
      <c r="Q232" s="6">
        <f t="shared" si="111"/>
        <v>334.3</v>
      </c>
      <c r="R232">
        <v>7.75</v>
      </c>
      <c r="S232" s="36">
        <f t="shared" si="112"/>
        <v>47.12</v>
      </c>
      <c r="T232" s="6">
        <f t="shared" si="127"/>
        <v>132.12</v>
      </c>
      <c r="U232" s="6">
        <f t="shared" si="128"/>
        <v>131.41</v>
      </c>
      <c r="V232" s="29">
        <f t="shared" si="129"/>
        <v>1.4E-2</v>
      </c>
      <c r="W232" s="29">
        <f t="shared" si="130"/>
        <v>1.11E-2</v>
      </c>
      <c r="X232" s="13">
        <f t="shared" si="113"/>
        <v>2.98E-2</v>
      </c>
      <c r="Y232" s="13">
        <f t="shared" si="114"/>
        <v>2.7199999999999998E-2</v>
      </c>
      <c r="Z232" s="6">
        <f t="shared" si="115"/>
        <v>1.8002154011847067</v>
      </c>
      <c r="AA232" s="13">
        <f t="shared" si="116"/>
        <v>0.21079999999999999</v>
      </c>
      <c r="AB232" s="35">
        <f t="shared" si="117"/>
        <v>14.391999999999999</v>
      </c>
      <c r="AC232" s="6">
        <f t="shared" si="118"/>
        <v>2396.13</v>
      </c>
      <c r="AD232" s="6">
        <f t="shared" si="131"/>
        <v>2368.17</v>
      </c>
      <c r="AE232" s="29">
        <f t="shared" si="132"/>
        <v>2.12E-2</v>
      </c>
      <c r="AF232" s="13">
        <f t="shared" si="108"/>
        <v>0.14119999999999999</v>
      </c>
      <c r="AG232" s="22">
        <f t="shared" si="133"/>
        <v>74.31</v>
      </c>
      <c r="AH232" s="22">
        <f t="shared" si="109"/>
        <v>32.08</v>
      </c>
      <c r="AI232" s="22">
        <f t="shared" si="134"/>
        <v>63.752499999999998</v>
      </c>
      <c r="AJ232" s="22">
        <f t="shared" si="135"/>
        <v>60.29</v>
      </c>
    </row>
    <row r="233" spans="1:36" x14ac:dyDescent="0.25">
      <c r="A233" s="34">
        <v>36251</v>
      </c>
      <c r="B233" s="34">
        <f t="shared" si="110"/>
        <v>36311</v>
      </c>
      <c r="C233">
        <v>6196.2</v>
      </c>
      <c r="D233" s="6">
        <f t="shared" si="119"/>
        <v>6143.63</v>
      </c>
      <c r="E233" s="29">
        <f t="shared" si="120"/>
        <v>1.4999999999999999E-2</v>
      </c>
      <c r="F233" s="29">
        <f t="shared" si="121"/>
        <v>1.5299999999999999E-2</v>
      </c>
      <c r="G233">
        <v>6806.1</v>
      </c>
      <c r="H233" s="6">
        <f t="shared" si="122"/>
        <v>6789.97</v>
      </c>
      <c r="I233" s="29">
        <f t="shared" si="123"/>
        <v>9.9000000000000008E-3</v>
      </c>
      <c r="J233" s="29">
        <f t="shared" si="124"/>
        <v>4.8999999999999998E-3</v>
      </c>
      <c r="K233">
        <v>1.4113</v>
      </c>
      <c r="L233">
        <v>1.77</v>
      </c>
      <c r="M233" s="35">
        <f t="shared" si="125"/>
        <v>1.591</v>
      </c>
      <c r="N233">
        <v>184.1</v>
      </c>
      <c r="O233" s="29">
        <f t="shared" si="126"/>
        <v>2.0500000000000001E-2</v>
      </c>
      <c r="P233">
        <v>5.2</v>
      </c>
      <c r="Q233" s="6">
        <f t="shared" si="111"/>
        <v>353.92</v>
      </c>
      <c r="R233">
        <v>7.75</v>
      </c>
      <c r="S233" s="36">
        <f t="shared" si="112"/>
        <v>47.07</v>
      </c>
      <c r="T233" s="6">
        <f t="shared" si="127"/>
        <v>131.63999999999999</v>
      </c>
      <c r="U233" s="6">
        <f t="shared" si="128"/>
        <v>130.66999999999999</v>
      </c>
      <c r="V233" s="29">
        <f t="shared" si="129"/>
        <v>1.23E-2</v>
      </c>
      <c r="W233" s="29">
        <f t="shared" si="130"/>
        <v>1.32E-2</v>
      </c>
      <c r="X233" s="13">
        <f t="shared" si="113"/>
        <v>2.9700000000000001E-2</v>
      </c>
      <c r="Y233" s="13">
        <f t="shared" si="114"/>
        <v>2.7E-2</v>
      </c>
      <c r="Z233" s="6">
        <f t="shared" si="115"/>
        <v>1.9224334600760458</v>
      </c>
      <c r="AA233" s="13">
        <f t="shared" si="116"/>
        <v>0.20930000000000001</v>
      </c>
      <c r="AB233" s="35">
        <f t="shared" si="117"/>
        <v>14.268000000000001</v>
      </c>
      <c r="AC233" s="6">
        <f t="shared" si="118"/>
        <v>2375.48</v>
      </c>
      <c r="AD233" s="6">
        <f t="shared" si="131"/>
        <v>2344.08</v>
      </c>
      <c r="AE233" s="29">
        <f t="shared" si="132"/>
        <v>3.9800000000000002E-2</v>
      </c>
      <c r="AF233" s="13">
        <f t="shared" si="108"/>
        <v>0.151</v>
      </c>
      <c r="AG233" s="22">
        <f t="shared" si="133"/>
        <v>72.64</v>
      </c>
      <c r="AH233" s="22">
        <f t="shared" si="109"/>
        <v>34.380000000000003</v>
      </c>
      <c r="AI233" s="22">
        <f t="shared" si="134"/>
        <v>63.075000000000003</v>
      </c>
      <c r="AJ233" s="22">
        <f t="shared" si="135"/>
        <v>59.15</v>
      </c>
    </row>
    <row r="234" spans="1:36" x14ac:dyDescent="0.25">
      <c r="A234" s="34">
        <v>36220</v>
      </c>
      <c r="B234" s="34">
        <f t="shared" si="110"/>
        <v>36280</v>
      </c>
      <c r="C234">
        <v>6132.9</v>
      </c>
      <c r="D234" s="6">
        <f t="shared" si="119"/>
        <v>6102.53</v>
      </c>
      <c r="E234" s="29">
        <f t="shared" si="120"/>
        <v>1.23E-2</v>
      </c>
      <c r="F234" s="29">
        <f t="shared" si="121"/>
        <v>8.3999999999999995E-3</v>
      </c>
      <c r="G234">
        <v>6788</v>
      </c>
      <c r="H234" s="6">
        <f t="shared" si="122"/>
        <v>6772.9</v>
      </c>
      <c r="I234" s="29">
        <f t="shared" si="123"/>
        <v>1.17E-2</v>
      </c>
      <c r="J234" s="29">
        <f t="shared" si="124"/>
        <v>5.7000000000000002E-3</v>
      </c>
      <c r="K234">
        <v>1.07013</v>
      </c>
      <c r="L234">
        <v>1.72</v>
      </c>
      <c r="M234" s="35">
        <f t="shared" si="125"/>
        <v>1.395</v>
      </c>
      <c r="N234">
        <v>180.8</v>
      </c>
      <c r="O234" s="29">
        <f t="shared" si="126"/>
        <v>-1.8E-3</v>
      </c>
      <c r="P234">
        <v>5.9</v>
      </c>
      <c r="Q234" s="6">
        <f t="shared" si="111"/>
        <v>400.49</v>
      </c>
      <c r="R234">
        <v>7.75</v>
      </c>
      <c r="S234" s="36">
        <f t="shared" si="112"/>
        <v>47.01</v>
      </c>
      <c r="T234" s="6">
        <f t="shared" si="127"/>
        <v>130.46</v>
      </c>
      <c r="U234" s="6">
        <f t="shared" si="128"/>
        <v>129.91999999999999</v>
      </c>
      <c r="V234" s="29">
        <f t="shared" si="129"/>
        <v>0.01</v>
      </c>
      <c r="W234" s="29">
        <f t="shared" si="130"/>
        <v>6.7000000000000002E-3</v>
      </c>
      <c r="X234" s="13">
        <f t="shared" si="113"/>
        <v>2.9499999999999998E-2</v>
      </c>
      <c r="Y234" s="13">
        <f t="shared" si="114"/>
        <v>2.6599999999999999E-2</v>
      </c>
      <c r="Z234" s="6">
        <f t="shared" si="115"/>
        <v>2.215099557522124</v>
      </c>
      <c r="AA234" s="13">
        <f t="shared" si="116"/>
        <v>0.20619999999999999</v>
      </c>
      <c r="AB234" s="35">
        <f t="shared" si="117"/>
        <v>14.012</v>
      </c>
      <c r="AC234" s="6">
        <f t="shared" si="118"/>
        <v>2332.9</v>
      </c>
      <c r="AD234" s="6">
        <f t="shared" si="131"/>
        <v>2327.7399999999998</v>
      </c>
      <c r="AE234" s="29">
        <f t="shared" si="132"/>
        <v>5.8599999999999999E-2</v>
      </c>
      <c r="AF234" s="13">
        <f t="shared" si="108"/>
        <v>0.1721</v>
      </c>
      <c r="AG234" s="22">
        <f t="shared" si="133"/>
        <v>61</v>
      </c>
      <c r="AH234" s="22">
        <f t="shared" si="109"/>
        <v>37.909999999999997</v>
      </c>
      <c r="AI234" s="22">
        <f t="shared" si="134"/>
        <v>55.227499999999999</v>
      </c>
      <c r="AJ234" s="22">
        <f t="shared" si="135"/>
        <v>59.77</v>
      </c>
    </row>
    <row r="235" spans="1:36" x14ac:dyDescent="0.25">
      <c r="A235" s="34">
        <v>36192</v>
      </c>
      <c r="B235" s="34">
        <f t="shared" si="110"/>
        <v>36250</v>
      </c>
      <c r="C235">
        <v>6101.8</v>
      </c>
      <c r="D235" s="6">
        <f t="shared" si="119"/>
        <v>6081.73</v>
      </c>
      <c r="E235" s="29">
        <f t="shared" si="120"/>
        <v>1.4800000000000001E-2</v>
      </c>
      <c r="F235" s="29">
        <f t="shared" si="121"/>
        <v>8.0999999999999996E-3</v>
      </c>
      <c r="G235">
        <v>6775.8</v>
      </c>
      <c r="H235" s="6">
        <f t="shared" si="122"/>
        <v>6749.33</v>
      </c>
      <c r="I235" s="29">
        <f t="shared" si="123"/>
        <v>1.17E-2</v>
      </c>
      <c r="J235" s="29">
        <f t="shared" si="124"/>
        <v>7.7999999999999996E-3</v>
      </c>
      <c r="K235">
        <v>1.0075799999999999</v>
      </c>
      <c r="L235">
        <v>1.79</v>
      </c>
      <c r="M235" s="35">
        <f t="shared" si="125"/>
        <v>1.399</v>
      </c>
      <c r="N235">
        <v>180.1</v>
      </c>
      <c r="O235" s="29">
        <f t="shared" si="126"/>
        <v>-1.24E-2</v>
      </c>
      <c r="P235">
        <v>6.2</v>
      </c>
      <c r="Q235" s="6">
        <f t="shared" si="111"/>
        <v>420.1</v>
      </c>
      <c r="R235">
        <v>7.75</v>
      </c>
      <c r="S235" s="36">
        <f t="shared" si="112"/>
        <v>46.97</v>
      </c>
      <c r="T235" s="6">
        <f t="shared" si="127"/>
        <v>129.91</v>
      </c>
      <c r="U235" s="6">
        <f t="shared" si="128"/>
        <v>129.59</v>
      </c>
      <c r="V235" s="29">
        <f t="shared" si="129"/>
        <v>1.26E-2</v>
      </c>
      <c r="W235" s="29">
        <f t="shared" si="130"/>
        <v>6.4999999999999997E-3</v>
      </c>
      <c r="X235" s="13">
        <f t="shared" si="113"/>
        <v>2.9499999999999998E-2</v>
      </c>
      <c r="Y235" s="13">
        <f t="shared" si="114"/>
        <v>2.6599999999999999E-2</v>
      </c>
      <c r="Z235" s="6">
        <f t="shared" si="115"/>
        <v>2.3325930038867297</v>
      </c>
      <c r="AA235" s="13">
        <f t="shared" si="116"/>
        <v>0.20619999999999999</v>
      </c>
      <c r="AB235" s="35">
        <f t="shared" si="117"/>
        <v>13.958</v>
      </c>
      <c r="AC235" s="6">
        <f t="shared" si="118"/>
        <v>2323.87</v>
      </c>
      <c r="AD235" s="6">
        <f t="shared" si="131"/>
        <v>2337.1999999999998</v>
      </c>
      <c r="AE235" s="29">
        <f t="shared" si="132"/>
        <v>7.9799999999999996E-2</v>
      </c>
      <c r="AF235" s="13">
        <f t="shared" si="108"/>
        <v>0.1797</v>
      </c>
      <c r="AG235" s="22">
        <f t="shared" si="133"/>
        <v>65.849999999999994</v>
      </c>
      <c r="AH235" s="22">
        <f t="shared" si="109"/>
        <v>38.86</v>
      </c>
      <c r="AI235" s="22">
        <f t="shared" si="134"/>
        <v>59.102499999999992</v>
      </c>
      <c r="AJ235" s="22">
        <f t="shared" si="135"/>
        <v>61.4</v>
      </c>
    </row>
    <row r="236" spans="1:36" x14ac:dyDescent="0.25">
      <c r="A236" s="34">
        <v>36161</v>
      </c>
      <c r="B236" s="34">
        <f t="shared" si="110"/>
        <v>36219</v>
      </c>
      <c r="C236">
        <v>6072.9</v>
      </c>
      <c r="D236" s="6">
        <f t="shared" si="119"/>
        <v>6052.93</v>
      </c>
      <c r="E236" s="29">
        <f t="shared" si="120"/>
        <v>1.5100000000000001E-2</v>
      </c>
      <c r="F236" s="29">
        <f t="shared" si="121"/>
        <v>7.4000000000000003E-3</v>
      </c>
      <c r="G236">
        <v>6754.9</v>
      </c>
      <c r="H236" s="6">
        <f t="shared" si="122"/>
        <v>6723.27</v>
      </c>
      <c r="I236" s="29">
        <f t="shared" si="123"/>
        <v>1.1299999999999999E-2</v>
      </c>
      <c r="J236" s="29">
        <f t="shared" si="124"/>
        <v>8.9999999999999993E-3</v>
      </c>
      <c r="K236">
        <v>0.97904999999999998</v>
      </c>
      <c r="L236">
        <v>1.83</v>
      </c>
      <c r="M236" s="35">
        <f t="shared" si="125"/>
        <v>1.405</v>
      </c>
      <c r="N236">
        <v>180.3</v>
      </c>
      <c r="O236" s="29">
        <f t="shared" si="126"/>
        <v>-1.7999999999999999E-2</v>
      </c>
      <c r="P236">
        <v>6.4</v>
      </c>
      <c r="Q236" s="6">
        <f t="shared" si="111"/>
        <v>432.31</v>
      </c>
      <c r="R236">
        <v>7.75</v>
      </c>
      <c r="S236" s="36">
        <f t="shared" si="112"/>
        <v>46.93</v>
      </c>
      <c r="T236" s="6">
        <f t="shared" si="127"/>
        <v>129.4</v>
      </c>
      <c r="U236" s="6">
        <f t="shared" si="128"/>
        <v>129.08000000000001</v>
      </c>
      <c r="V236" s="29">
        <f t="shared" si="129"/>
        <v>1.3100000000000001E-2</v>
      </c>
      <c r="W236" s="29">
        <f t="shared" si="130"/>
        <v>5.8999999999999999E-3</v>
      </c>
      <c r="X236" s="13">
        <f t="shared" si="113"/>
        <v>2.9700000000000001E-2</v>
      </c>
      <c r="Y236" s="13">
        <f t="shared" si="114"/>
        <v>2.6700000000000002E-2</v>
      </c>
      <c r="Z236" s="6">
        <f t="shared" si="115"/>
        <v>2.3977260122018857</v>
      </c>
      <c r="AA236" s="13">
        <f t="shared" si="116"/>
        <v>0.2069</v>
      </c>
      <c r="AB236" s="35">
        <f t="shared" si="117"/>
        <v>13.973000000000001</v>
      </c>
      <c r="AC236" s="6">
        <f t="shared" si="118"/>
        <v>2326.4499999999998</v>
      </c>
      <c r="AD236" s="6">
        <f t="shared" si="131"/>
        <v>2339.09</v>
      </c>
      <c r="AE236" s="29">
        <f t="shared" si="132"/>
        <v>8.1900000000000001E-2</v>
      </c>
      <c r="AF236" s="13">
        <f t="shared" si="108"/>
        <v>0.18479999999999999</v>
      </c>
      <c r="AG236" s="22">
        <f t="shared" si="133"/>
        <v>65.94</v>
      </c>
      <c r="AH236" s="22">
        <f t="shared" si="109"/>
        <v>38.979999999999997</v>
      </c>
      <c r="AI236" s="22">
        <f t="shared" si="134"/>
        <v>59.199999999999996</v>
      </c>
      <c r="AJ236" s="22">
        <f t="shared" si="135"/>
        <v>62.62</v>
      </c>
    </row>
    <row r="237" spans="1:36" x14ac:dyDescent="0.25">
      <c r="A237" s="34">
        <v>36130</v>
      </c>
      <c r="B237" s="34">
        <f t="shared" si="110"/>
        <v>36191</v>
      </c>
      <c r="C237">
        <v>6070.5</v>
      </c>
      <c r="D237" s="6">
        <f t="shared" si="119"/>
        <v>6028.23</v>
      </c>
      <c r="E237" s="29">
        <f t="shared" si="120"/>
        <v>1.7100000000000001E-2</v>
      </c>
      <c r="F237" s="29">
        <f t="shared" si="121"/>
        <v>1.29E-2</v>
      </c>
      <c r="G237">
        <v>6717.3</v>
      </c>
      <c r="H237" s="6">
        <f t="shared" si="122"/>
        <v>6694.87</v>
      </c>
      <c r="I237" s="29">
        <f t="shared" si="123"/>
        <v>1.06E-2</v>
      </c>
      <c r="J237" s="29">
        <f t="shared" si="124"/>
        <v>6.8999999999999999E-3</v>
      </c>
      <c r="K237">
        <v>0.84474000000000005</v>
      </c>
      <c r="L237">
        <v>1.8</v>
      </c>
      <c r="M237" s="35">
        <f t="shared" si="125"/>
        <v>1.3220000000000001</v>
      </c>
      <c r="N237">
        <v>183</v>
      </c>
      <c r="O237" s="29">
        <f t="shared" si="126"/>
        <v>-5.1000000000000004E-3</v>
      </c>
      <c r="P237">
        <v>5.8</v>
      </c>
      <c r="Q237" s="6">
        <f t="shared" si="111"/>
        <v>389.6</v>
      </c>
      <c r="R237">
        <v>7.75</v>
      </c>
      <c r="S237" s="36">
        <f t="shared" si="112"/>
        <v>46.89</v>
      </c>
      <c r="T237" s="6">
        <f t="shared" si="127"/>
        <v>129.46</v>
      </c>
      <c r="U237" s="6">
        <f t="shared" si="128"/>
        <v>128.63999999999999</v>
      </c>
      <c r="V237" s="29">
        <f t="shared" si="129"/>
        <v>1.52E-2</v>
      </c>
      <c r="W237" s="29">
        <f t="shared" si="130"/>
        <v>1.1599999999999999E-2</v>
      </c>
      <c r="X237" s="13">
        <f t="shared" si="113"/>
        <v>3.0099999999999998E-2</v>
      </c>
      <c r="Y237" s="13">
        <f t="shared" si="114"/>
        <v>2.7199999999999998E-2</v>
      </c>
      <c r="Z237" s="6">
        <f t="shared" si="115"/>
        <v>2.1289617486338801</v>
      </c>
      <c r="AA237" s="13">
        <f t="shared" si="116"/>
        <v>0.21079999999999999</v>
      </c>
      <c r="AB237" s="35">
        <f t="shared" si="117"/>
        <v>14.183</v>
      </c>
      <c r="AC237" s="6">
        <f t="shared" si="118"/>
        <v>2361.29</v>
      </c>
      <c r="AD237" s="6">
        <f t="shared" si="131"/>
        <v>2318.94</v>
      </c>
      <c r="AE237" s="29">
        <f t="shared" si="132"/>
        <v>7.5499999999999998E-2</v>
      </c>
      <c r="AF237" s="13">
        <f t="shared" si="108"/>
        <v>0.16800000000000001</v>
      </c>
      <c r="AG237" s="22">
        <f t="shared" si="133"/>
        <v>75.52</v>
      </c>
      <c r="AH237" s="22">
        <f t="shared" si="109"/>
        <v>35.700000000000003</v>
      </c>
      <c r="AI237" s="22">
        <f t="shared" si="134"/>
        <v>65.564999999999998</v>
      </c>
      <c r="AJ237" s="22">
        <f t="shared" si="135"/>
        <v>63.66</v>
      </c>
    </row>
    <row r="238" spans="1:36" x14ac:dyDescent="0.25">
      <c r="A238" s="34">
        <v>36100</v>
      </c>
      <c r="B238" s="34">
        <f t="shared" si="110"/>
        <v>36160</v>
      </c>
      <c r="C238">
        <v>6015.4</v>
      </c>
      <c r="D238" s="6">
        <f t="shared" si="119"/>
        <v>5993.27</v>
      </c>
      <c r="E238" s="29">
        <f t="shared" si="120"/>
        <v>1.66E-2</v>
      </c>
      <c r="F238" s="29">
        <f t="shared" si="121"/>
        <v>8.8000000000000005E-3</v>
      </c>
      <c r="G238">
        <v>6697.6</v>
      </c>
      <c r="H238" s="6">
        <f t="shared" si="122"/>
        <v>6670.97</v>
      </c>
      <c r="I238" s="29">
        <f t="shared" si="123"/>
        <v>1.0699999999999999E-2</v>
      </c>
      <c r="J238" s="29">
        <f t="shared" si="124"/>
        <v>7.4000000000000003E-3</v>
      </c>
      <c r="K238">
        <v>0.72180999999999995</v>
      </c>
      <c r="L238">
        <v>1.76</v>
      </c>
      <c r="M238" s="35">
        <f t="shared" si="125"/>
        <v>1.2410000000000001</v>
      </c>
      <c r="N238">
        <v>183.8</v>
      </c>
      <c r="O238" s="29">
        <f t="shared" si="126"/>
        <v>-8.9999999999999998E-4</v>
      </c>
      <c r="P238">
        <v>6.3</v>
      </c>
      <c r="Q238" s="6">
        <f t="shared" si="111"/>
        <v>421.95</v>
      </c>
      <c r="R238">
        <v>7.89</v>
      </c>
      <c r="S238" s="36">
        <f t="shared" si="112"/>
        <v>46.86</v>
      </c>
      <c r="T238" s="6">
        <f t="shared" si="127"/>
        <v>128.37</v>
      </c>
      <c r="U238" s="6">
        <f t="shared" si="128"/>
        <v>127.98</v>
      </c>
      <c r="V238" s="29">
        <f t="shared" si="129"/>
        <v>1.47E-2</v>
      </c>
      <c r="W238" s="29">
        <f t="shared" si="130"/>
        <v>7.4999999999999997E-3</v>
      </c>
      <c r="X238" s="13">
        <f t="shared" si="113"/>
        <v>3.0599999999999999E-2</v>
      </c>
      <c r="Y238" s="13">
        <f t="shared" si="114"/>
        <v>2.7400000000000001E-2</v>
      </c>
      <c r="Z238" s="6">
        <f t="shared" si="115"/>
        <v>2.2957018498367789</v>
      </c>
      <c r="AA238" s="13">
        <f t="shared" si="116"/>
        <v>0.2162</v>
      </c>
      <c r="AB238" s="35">
        <f t="shared" si="117"/>
        <v>14.502000000000001</v>
      </c>
      <c r="AC238" s="6">
        <f t="shared" si="118"/>
        <v>2329.5300000000002</v>
      </c>
      <c r="AD238" s="6">
        <f t="shared" si="131"/>
        <v>2254.27</v>
      </c>
      <c r="AE238" s="29">
        <f t="shared" si="132"/>
        <v>5.2999999999999999E-2</v>
      </c>
      <c r="AF238" s="13">
        <f t="shared" si="108"/>
        <v>0.18720000000000001</v>
      </c>
      <c r="AG238" s="22">
        <f t="shared" si="133"/>
        <v>70.27</v>
      </c>
      <c r="AH238" s="22">
        <f t="shared" si="109"/>
        <v>36.1</v>
      </c>
      <c r="AI238" s="22">
        <f t="shared" si="134"/>
        <v>61.727499999999999</v>
      </c>
      <c r="AJ238" s="22">
        <f t="shared" si="135"/>
        <v>63.53</v>
      </c>
    </row>
    <row r="239" spans="1:36" x14ac:dyDescent="0.25">
      <c r="A239" s="34">
        <v>36069</v>
      </c>
      <c r="B239" s="34">
        <f t="shared" si="110"/>
        <v>36129</v>
      </c>
      <c r="C239">
        <v>5998.8</v>
      </c>
      <c r="D239" s="6">
        <f t="shared" si="119"/>
        <v>5963.13</v>
      </c>
      <c r="E239" s="29">
        <f t="shared" si="120"/>
        <v>1.6500000000000001E-2</v>
      </c>
      <c r="F239" s="29">
        <f t="shared" si="121"/>
        <v>1.21E-2</v>
      </c>
      <c r="G239">
        <v>6669.7</v>
      </c>
      <c r="H239" s="6">
        <f t="shared" si="122"/>
        <v>6648.4</v>
      </c>
      <c r="I239" s="29">
        <f t="shared" si="123"/>
        <v>1.1900000000000001E-2</v>
      </c>
      <c r="J239" s="29">
        <f t="shared" si="124"/>
        <v>6.7999999999999996E-3</v>
      </c>
      <c r="K239">
        <v>0.72184999999999999</v>
      </c>
      <c r="L239">
        <v>1.75</v>
      </c>
      <c r="M239" s="35">
        <f t="shared" si="125"/>
        <v>1.236</v>
      </c>
      <c r="N239">
        <v>184</v>
      </c>
      <c r="O239" s="29">
        <f t="shared" si="126"/>
        <v>5.0000000000000001E-4</v>
      </c>
      <c r="P239">
        <v>6.2</v>
      </c>
      <c r="Q239" s="6">
        <f t="shared" si="111"/>
        <v>413.52</v>
      </c>
      <c r="R239">
        <v>8.1199999999999992</v>
      </c>
      <c r="S239" s="36">
        <f t="shared" si="112"/>
        <v>46.83</v>
      </c>
      <c r="T239" s="6">
        <f t="shared" si="127"/>
        <v>128.1</v>
      </c>
      <c r="U239" s="6">
        <f t="shared" si="128"/>
        <v>127.41</v>
      </c>
      <c r="V239" s="29">
        <f t="shared" si="129"/>
        <v>1.44E-2</v>
      </c>
      <c r="W239" s="29">
        <f t="shared" si="130"/>
        <v>1.09E-2</v>
      </c>
      <c r="X239" s="13">
        <f t="shared" si="113"/>
        <v>3.0700000000000002E-2</v>
      </c>
      <c r="Y239" s="13">
        <f t="shared" si="114"/>
        <v>2.76E-2</v>
      </c>
      <c r="Z239" s="6">
        <f t="shared" si="115"/>
        <v>2.247391304347826</v>
      </c>
      <c r="AA239" s="13">
        <f t="shared" si="116"/>
        <v>0.22409999999999999</v>
      </c>
      <c r="AB239" s="35">
        <f t="shared" si="117"/>
        <v>14.941000000000001</v>
      </c>
      <c r="AC239" s="6">
        <f t="shared" si="118"/>
        <v>2266.0100000000002</v>
      </c>
      <c r="AD239" s="6">
        <f t="shared" si="131"/>
        <v>2198.9299999999998</v>
      </c>
      <c r="AE239" s="29">
        <f t="shared" si="132"/>
        <v>4.2599999999999999E-2</v>
      </c>
      <c r="AF239" s="13">
        <f t="shared" si="108"/>
        <v>0.18809999999999999</v>
      </c>
      <c r="AG239" s="22">
        <f t="shared" si="133"/>
        <v>73.19</v>
      </c>
      <c r="AH239" s="22">
        <f t="shared" si="109"/>
        <v>36.36</v>
      </c>
      <c r="AI239" s="22">
        <f t="shared" si="134"/>
        <v>63.982500000000002</v>
      </c>
      <c r="AJ239" s="22">
        <f t="shared" si="135"/>
        <v>65.010000000000005</v>
      </c>
    </row>
    <row r="240" spans="1:36" x14ac:dyDescent="0.25">
      <c r="A240" s="34">
        <v>36039</v>
      </c>
      <c r="B240" s="34">
        <f t="shared" si="110"/>
        <v>36099</v>
      </c>
      <c r="C240">
        <v>5965.6</v>
      </c>
      <c r="D240" s="6">
        <f t="shared" si="119"/>
        <v>5926.87</v>
      </c>
      <c r="E240" s="29">
        <f t="shared" si="120"/>
        <v>1.6199999999999999E-2</v>
      </c>
      <c r="F240" s="29">
        <f t="shared" si="121"/>
        <v>1.1900000000000001E-2</v>
      </c>
      <c r="G240">
        <v>6645.6</v>
      </c>
      <c r="H240" s="6">
        <f t="shared" si="122"/>
        <v>6624.97</v>
      </c>
      <c r="I240" s="29">
        <f t="shared" si="123"/>
        <v>1.32E-2</v>
      </c>
      <c r="J240" s="29">
        <f t="shared" si="124"/>
        <v>6.8999999999999999E-3</v>
      </c>
      <c r="K240">
        <v>0.63193999999999995</v>
      </c>
      <c r="L240">
        <v>1.68</v>
      </c>
      <c r="M240" s="35">
        <f t="shared" si="125"/>
        <v>1.1559999999999999</v>
      </c>
      <c r="N240">
        <v>184</v>
      </c>
      <c r="O240" s="29">
        <f t="shared" si="126"/>
        <v>1.2999999999999999E-3</v>
      </c>
      <c r="P240">
        <v>6.4</v>
      </c>
      <c r="Q240" s="6">
        <f t="shared" si="111"/>
        <v>425.32</v>
      </c>
      <c r="R240">
        <v>8.49</v>
      </c>
      <c r="S240" s="36">
        <f t="shared" si="112"/>
        <v>46.8</v>
      </c>
      <c r="T240" s="6">
        <f t="shared" si="127"/>
        <v>127.47</v>
      </c>
      <c r="U240" s="6">
        <f t="shared" si="128"/>
        <v>126.72</v>
      </c>
      <c r="V240" s="29">
        <f t="shared" si="129"/>
        <v>1.41E-2</v>
      </c>
      <c r="W240" s="29">
        <f t="shared" si="130"/>
        <v>1.06E-2</v>
      </c>
      <c r="X240" s="13">
        <f t="shared" si="113"/>
        <v>3.0800000000000001E-2</v>
      </c>
      <c r="Y240" s="13">
        <f t="shared" si="114"/>
        <v>2.7699999999999999E-2</v>
      </c>
      <c r="Z240" s="6">
        <f t="shared" si="115"/>
        <v>2.3115217391304346</v>
      </c>
      <c r="AA240" s="13">
        <f t="shared" si="116"/>
        <v>0.23519999999999999</v>
      </c>
      <c r="AB240" s="35">
        <f t="shared" si="117"/>
        <v>15.622</v>
      </c>
      <c r="AC240" s="6">
        <f t="shared" si="118"/>
        <v>2167.2600000000002</v>
      </c>
      <c r="AD240" s="6">
        <f t="shared" si="131"/>
        <v>2164.38</v>
      </c>
      <c r="AE240" s="29">
        <f t="shared" si="132"/>
        <v>4.3099999999999999E-2</v>
      </c>
      <c r="AF240" s="13">
        <f t="shared" si="108"/>
        <v>0.19650000000000001</v>
      </c>
      <c r="AG240" s="22">
        <f t="shared" si="133"/>
        <v>72.31</v>
      </c>
      <c r="AH240" s="22">
        <f t="shared" si="109"/>
        <v>36.49</v>
      </c>
      <c r="AI240" s="22">
        <f t="shared" si="134"/>
        <v>63.355000000000004</v>
      </c>
      <c r="AJ240" s="22">
        <f t="shared" si="135"/>
        <v>66.7</v>
      </c>
    </row>
    <row r="241" spans="1:36" x14ac:dyDescent="0.25">
      <c r="A241" s="34">
        <v>36008</v>
      </c>
      <c r="B241" s="34">
        <f t="shared" si="110"/>
        <v>36068</v>
      </c>
      <c r="C241">
        <v>5925</v>
      </c>
      <c r="D241" s="6">
        <f t="shared" si="119"/>
        <v>5895.57</v>
      </c>
      <c r="E241" s="29">
        <f t="shared" si="120"/>
        <v>1.7899999999999999E-2</v>
      </c>
      <c r="F241" s="29">
        <f t="shared" si="121"/>
        <v>0.01</v>
      </c>
      <c r="G241">
        <v>6629.9</v>
      </c>
      <c r="H241" s="6">
        <f t="shared" si="122"/>
        <v>6600.27</v>
      </c>
      <c r="I241" s="29">
        <f t="shared" si="123"/>
        <v>1.44E-2</v>
      </c>
      <c r="J241" s="29">
        <f t="shared" si="124"/>
        <v>9.1000000000000004E-3</v>
      </c>
      <c r="K241">
        <v>0.93345</v>
      </c>
      <c r="L241">
        <v>1.73</v>
      </c>
      <c r="M241" s="35">
        <f t="shared" si="125"/>
        <v>1.3320000000000001</v>
      </c>
      <c r="N241">
        <v>183.9</v>
      </c>
      <c r="O241" s="29">
        <f t="shared" si="126"/>
        <v>3.5000000000000001E-3</v>
      </c>
      <c r="P241">
        <v>6.8</v>
      </c>
      <c r="Q241" s="6">
        <f t="shared" si="111"/>
        <v>450.83</v>
      </c>
      <c r="R241">
        <v>8.5</v>
      </c>
      <c r="S241" s="36">
        <f t="shared" si="112"/>
        <v>46.78</v>
      </c>
      <c r="T241" s="6">
        <f t="shared" si="127"/>
        <v>126.66</v>
      </c>
      <c r="U241" s="6">
        <f t="shared" si="128"/>
        <v>126.13</v>
      </c>
      <c r="V241" s="29">
        <f t="shared" si="129"/>
        <v>1.5699999999999999E-2</v>
      </c>
      <c r="W241" s="29">
        <f t="shared" si="130"/>
        <v>8.5000000000000006E-3</v>
      </c>
      <c r="X241" s="13">
        <f t="shared" si="113"/>
        <v>3.1E-2</v>
      </c>
      <c r="Y241" s="13">
        <f t="shared" si="114"/>
        <v>2.7699999999999999E-2</v>
      </c>
      <c r="Z241" s="6">
        <f t="shared" si="115"/>
        <v>2.4514953779227842</v>
      </c>
      <c r="AA241" s="13">
        <f t="shared" si="116"/>
        <v>0.23549999999999999</v>
      </c>
      <c r="AB241" s="35">
        <f t="shared" si="117"/>
        <v>15.632</v>
      </c>
      <c r="AC241" s="6">
        <f t="shared" si="118"/>
        <v>2163.5300000000002</v>
      </c>
      <c r="AD241" s="6">
        <f t="shared" si="131"/>
        <v>2161.96</v>
      </c>
      <c r="AE241" s="29">
        <f t="shared" si="132"/>
        <v>5.4699999999999999E-2</v>
      </c>
      <c r="AF241" s="13">
        <f t="shared" si="108"/>
        <v>0.20849999999999999</v>
      </c>
      <c r="AG241" s="22">
        <f t="shared" si="133"/>
        <v>73.55</v>
      </c>
      <c r="AH241" s="22">
        <f t="shared" si="109"/>
        <v>39.57</v>
      </c>
      <c r="AI241" s="22">
        <f t="shared" si="134"/>
        <v>65.054999999999993</v>
      </c>
      <c r="AJ241" s="22">
        <f t="shared" si="135"/>
        <v>67.61</v>
      </c>
    </row>
    <row r="242" spans="1:36" x14ac:dyDescent="0.25">
      <c r="A242" s="34">
        <v>35977</v>
      </c>
      <c r="B242" s="34">
        <f t="shared" si="110"/>
        <v>36038</v>
      </c>
      <c r="C242">
        <v>5890</v>
      </c>
      <c r="D242" s="6">
        <f t="shared" si="119"/>
        <v>5866.53</v>
      </c>
      <c r="E242" s="29">
        <f t="shared" si="120"/>
        <v>1.95E-2</v>
      </c>
      <c r="F242" s="29">
        <f t="shared" si="121"/>
        <v>9.7999999999999997E-3</v>
      </c>
      <c r="G242">
        <v>6599.4</v>
      </c>
      <c r="H242" s="6">
        <f t="shared" si="122"/>
        <v>6570.3</v>
      </c>
      <c r="I242" s="29">
        <f t="shared" si="123"/>
        <v>1.4999999999999999E-2</v>
      </c>
      <c r="J242" s="29">
        <f t="shared" si="124"/>
        <v>9.2999999999999992E-3</v>
      </c>
      <c r="K242">
        <v>0.87522999999999995</v>
      </c>
      <c r="L242">
        <v>1.67</v>
      </c>
      <c r="M242" s="35">
        <f t="shared" si="125"/>
        <v>1.2729999999999999</v>
      </c>
      <c r="N242">
        <v>183.8</v>
      </c>
      <c r="O242" s="29">
        <f t="shared" si="126"/>
        <v>1.01E-2</v>
      </c>
      <c r="P242">
        <v>6.9</v>
      </c>
      <c r="Q242" s="6">
        <f t="shared" si="111"/>
        <v>455.36</v>
      </c>
      <c r="R242">
        <v>8.5</v>
      </c>
      <c r="S242" s="36">
        <f t="shared" si="112"/>
        <v>46.74</v>
      </c>
      <c r="T242" s="6">
        <f t="shared" si="127"/>
        <v>126.02</v>
      </c>
      <c r="U242" s="6">
        <f t="shared" si="128"/>
        <v>125.6</v>
      </c>
      <c r="V242" s="29">
        <f t="shared" si="129"/>
        <v>1.7399999999999999E-2</v>
      </c>
      <c r="W242" s="29">
        <f t="shared" si="130"/>
        <v>8.5000000000000006E-3</v>
      </c>
      <c r="X242" s="13">
        <f t="shared" si="113"/>
        <v>3.1199999999999999E-2</v>
      </c>
      <c r="Y242" s="13">
        <f t="shared" si="114"/>
        <v>2.7900000000000001E-2</v>
      </c>
      <c r="Z242" s="6">
        <f t="shared" si="115"/>
        <v>2.4774755168661589</v>
      </c>
      <c r="AA242" s="13">
        <f t="shared" si="116"/>
        <v>0.23719999999999999</v>
      </c>
      <c r="AB242" s="35">
        <f t="shared" si="117"/>
        <v>15.622999999999999</v>
      </c>
      <c r="AC242" s="6">
        <f t="shared" si="118"/>
        <v>2162.35</v>
      </c>
      <c r="AD242" s="6">
        <f t="shared" si="131"/>
        <v>2156.08</v>
      </c>
      <c r="AE242" s="29">
        <f t="shared" si="132"/>
        <v>5.1400000000000001E-2</v>
      </c>
      <c r="AF242" s="13">
        <f t="shared" si="108"/>
        <v>0.2112</v>
      </c>
      <c r="AG242" s="22">
        <f t="shared" si="133"/>
        <v>76.69</v>
      </c>
      <c r="AH242" s="22">
        <f t="shared" si="109"/>
        <v>40.44</v>
      </c>
      <c r="AI242" s="22">
        <f t="shared" si="134"/>
        <v>67.627499999999998</v>
      </c>
      <c r="AJ242" s="22">
        <f t="shared" si="135"/>
        <v>66.680000000000007</v>
      </c>
    </row>
    <row r="243" spans="1:36" x14ac:dyDescent="0.25">
      <c r="A243" s="34">
        <v>35947</v>
      </c>
      <c r="B243" s="34">
        <f t="shared" si="110"/>
        <v>36007</v>
      </c>
      <c r="C243">
        <v>5871.7</v>
      </c>
      <c r="D243" s="6">
        <f t="shared" si="119"/>
        <v>5832.57</v>
      </c>
      <c r="E243" s="29">
        <f t="shared" si="120"/>
        <v>1.9400000000000001E-2</v>
      </c>
      <c r="F243" s="29">
        <f t="shared" si="121"/>
        <v>1.37E-2</v>
      </c>
      <c r="G243">
        <v>6571.5</v>
      </c>
      <c r="H243" s="6">
        <f t="shared" si="122"/>
        <v>6538.67</v>
      </c>
      <c r="I243" s="29">
        <f t="shared" si="123"/>
        <v>1.5599999999999999E-2</v>
      </c>
      <c r="J243" s="29">
        <f t="shared" si="124"/>
        <v>9.9000000000000008E-3</v>
      </c>
      <c r="K243">
        <v>0.68530999999999997</v>
      </c>
      <c r="L243">
        <v>1.62</v>
      </c>
      <c r="M243" s="35">
        <f t="shared" si="125"/>
        <v>1.153</v>
      </c>
      <c r="N243">
        <v>183.6</v>
      </c>
      <c r="O243" s="29">
        <f t="shared" si="126"/>
        <v>2.4199999999999999E-2</v>
      </c>
      <c r="P243">
        <v>6.8</v>
      </c>
      <c r="Q243" s="6">
        <f t="shared" si="111"/>
        <v>446.86</v>
      </c>
      <c r="R243">
        <v>8.5</v>
      </c>
      <c r="S243" s="36">
        <f t="shared" si="112"/>
        <v>46.71</v>
      </c>
      <c r="T243" s="6">
        <f t="shared" si="127"/>
        <v>125.71</v>
      </c>
      <c r="U243" s="6">
        <f t="shared" si="128"/>
        <v>124.96</v>
      </c>
      <c r="V243" s="29">
        <f t="shared" si="129"/>
        <v>1.7299999999999999E-2</v>
      </c>
      <c r="W243" s="29">
        <f t="shared" si="130"/>
        <v>1.23E-2</v>
      </c>
      <c r="X243" s="13">
        <f t="shared" si="113"/>
        <v>3.1300000000000001E-2</v>
      </c>
      <c r="Y243" s="13">
        <f t="shared" si="114"/>
        <v>2.7900000000000001E-2</v>
      </c>
      <c r="Z243" s="6">
        <f t="shared" si="115"/>
        <v>2.4338779956427015</v>
      </c>
      <c r="AA243" s="13">
        <f t="shared" si="116"/>
        <v>0.23719999999999999</v>
      </c>
      <c r="AB243" s="35">
        <f t="shared" si="117"/>
        <v>15.606</v>
      </c>
      <c r="AC243" s="6">
        <f t="shared" si="118"/>
        <v>2160</v>
      </c>
      <c r="AD243" s="6">
        <f t="shared" si="131"/>
        <v>2140.7800000000002</v>
      </c>
      <c r="AE243" s="29">
        <f t="shared" si="132"/>
        <v>3.9199999999999999E-2</v>
      </c>
      <c r="AF243" s="13">
        <f t="shared" si="108"/>
        <v>0.2087</v>
      </c>
      <c r="AG243" s="22">
        <f t="shared" si="133"/>
        <v>80.31</v>
      </c>
      <c r="AH243" s="22">
        <f t="shared" si="109"/>
        <v>42.08</v>
      </c>
      <c r="AI243" s="22">
        <f t="shared" si="134"/>
        <v>70.752499999999998</v>
      </c>
      <c r="AJ243" s="22">
        <f t="shared" si="135"/>
        <v>63.84</v>
      </c>
    </row>
    <row r="244" spans="1:36" x14ac:dyDescent="0.25">
      <c r="A244" s="34">
        <v>35916</v>
      </c>
      <c r="B244" s="34">
        <f t="shared" si="110"/>
        <v>35976</v>
      </c>
      <c r="C244">
        <v>5837.9</v>
      </c>
      <c r="D244" s="6">
        <f t="shared" si="119"/>
        <v>5792.1</v>
      </c>
      <c r="E244" s="29">
        <f t="shared" si="120"/>
        <v>1.5800000000000002E-2</v>
      </c>
      <c r="F244" s="29">
        <f t="shared" si="121"/>
        <v>1.46E-2</v>
      </c>
      <c r="G244">
        <v>6540</v>
      </c>
      <c r="H244" s="6">
        <f t="shared" si="122"/>
        <v>6506.87</v>
      </c>
      <c r="I244" s="29">
        <f t="shared" si="123"/>
        <v>1.77E-2</v>
      </c>
      <c r="J244" s="29">
        <f t="shared" si="124"/>
        <v>1.04E-2</v>
      </c>
      <c r="K244">
        <v>0.90105000000000002</v>
      </c>
      <c r="L244">
        <v>1.69</v>
      </c>
      <c r="M244" s="35">
        <f t="shared" si="125"/>
        <v>1.296</v>
      </c>
      <c r="N244">
        <v>182.4</v>
      </c>
      <c r="O244" s="29">
        <f t="shared" si="126"/>
        <v>3.4200000000000001E-2</v>
      </c>
      <c r="P244">
        <v>6.9</v>
      </c>
      <c r="Q244" s="6">
        <f t="shared" si="111"/>
        <v>451.26</v>
      </c>
      <c r="R244">
        <v>8.5</v>
      </c>
      <c r="S244" s="36">
        <f t="shared" si="112"/>
        <v>46.68</v>
      </c>
      <c r="T244" s="6">
        <f t="shared" si="127"/>
        <v>125.06</v>
      </c>
      <c r="U244" s="6">
        <f t="shared" si="128"/>
        <v>124.18</v>
      </c>
      <c r="V244" s="29">
        <f t="shared" si="129"/>
        <v>1.37E-2</v>
      </c>
      <c r="W244" s="29">
        <f t="shared" si="130"/>
        <v>1.2999999999999999E-2</v>
      </c>
      <c r="X244" s="13">
        <f t="shared" si="113"/>
        <v>3.1199999999999999E-2</v>
      </c>
      <c r="Y244" s="13">
        <f t="shared" si="114"/>
        <v>2.7900000000000001E-2</v>
      </c>
      <c r="Z244" s="6">
        <f t="shared" si="115"/>
        <v>2.4740131578947366</v>
      </c>
      <c r="AA244" s="13">
        <f t="shared" si="116"/>
        <v>0.23719999999999999</v>
      </c>
      <c r="AB244" s="35">
        <f t="shared" si="117"/>
        <v>15.504</v>
      </c>
      <c r="AC244" s="6">
        <f t="shared" si="118"/>
        <v>2145.88</v>
      </c>
      <c r="AD244" s="6">
        <f t="shared" si="131"/>
        <v>2109.02</v>
      </c>
      <c r="AE244" s="29">
        <f t="shared" si="132"/>
        <v>1.9900000000000001E-2</v>
      </c>
      <c r="AF244" s="13">
        <f t="shared" si="108"/>
        <v>0.214</v>
      </c>
      <c r="AG244" s="22">
        <f t="shared" si="133"/>
        <v>73.94</v>
      </c>
      <c r="AH244" s="22">
        <f t="shared" si="109"/>
        <v>46.2</v>
      </c>
      <c r="AI244" s="22">
        <f t="shared" si="134"/>
        <v>67.004999999999995</v>
      </c>
      <c r="AJ244" s="22">
        <f t="shared" si="135"/>
        <v>60.61</v>
      </c>
    </row>
    <row r="245" spans="1:36" x14ac:dyDescent="0.25">
      <c r="A245" s="34">
        <v>35886</v>
      </c>
      <c r="B245" s="34">
        <f t="shared" si="110"/>
        <v>35946</v>
      </c>
      <c r="C245">
        <v>5788.1</v>
      </c>
      <c r="D245" s="6">
        <f t="shared" si="119"/>
        <v>5754.07</v>
      </c>
      <c r="E245" s="29">
        <f t="shared" si="120"/>
        <v>1.29E-2</v>
      </c>
      <c r="F245" s="29">
        <f t="shared" si="121"/>
        <v>1.17E-2</v>
      </c>
      <c r="G245">
        <v>6504.5</v>
      </c>
      <c r="H245" s="6">
        <f t="shared" si="122"/>
        <v>6472.9</v>
      </c>
      <c r="I245" s="29">
        <f t="shared" si="123"/>
        <v>1.9300000000000001E-2</v>
      </c>
      <c r="J245" s="29">
        <f t="shared" si="124"/>
        <v>1.03E-2</v>
      </c>
      <c r="K245">
        <v>0.71675</v>
      </c>
      <c r="L245">
        <v>1.61</v>
      </c>
      <c r="M245" s="35">
        <f t="shared" si="125"/>
        <v>1.163</v>
      </c>
      <c r="N245">
        <v>179.9</v>
      </c>
      <c r="O245" s="29">
        <f t="shared" si="126"/>
        <v>3.2500000000000001E-2</v>
      </c>
      <c r="P245">
        <v>7.2</v>
      </c>
      <c r="Q245" s="6">
        <f t="shared" si="111"/>
        <v>468.32</v>
      </c>
      <c r="R245">
        <v>8.5</v>
      </c>
      <c r="S245" s="36">
        <f t="shared" si="112"/>
        <v>46.64</v>
      </c>
      <c r="T245" s="6">
        <f t="shared" si="127"/>
        <v>124.1</v>
      </c>
      <c r="U245" s="6">
        <f t="shared" si="128"/>
        <v>123.45</v>
      </c>
      <c r="V245" s="29">
        <f t="shared" si="129"/>
        <v>1.0699999999999999E-2</v>
      </c>
      <c r="W245" s="29">
        <f t="shared" si="130"/>
        <v>1.04E-2</v>
      </c>
      <c r="X245" s="13">
        <f t="shared" si="113"/>
        <v>3.1099999999999999E-2</v>
      </c>
      <c r="Y245" s="13">
        <f t="shared" si="114"/>
        <v>2.7699999999999999E-2</v>
      </c>
      <c r="Z245" s="6">
        <f t="shared" si="115"/>
        <v>2.6032240133407449</v>
      </c>
      <c r="AA245" s="13">
        <f t="shared" si="116"/>
        <v>0.23549999999999999</v>
      </c>
      <c r="AB245" s="35">
        <f t="shared" si="117"/>
        <v>15.292</v>
      </c>
      <c r="AC245" s="6">
        <f t="shared" si="118"/>
        <v>2116.4699999999998</v>
      </c>
      <c r="AD245" s="6">
        <f t="shared" si="131"/>
        <v>2074.9</v>
      </c>
      <c r="AE245" s="29">
        <f t="shared" si="132"/>
        <v>6.7000000000000002E-3</v>
      </c>
      <c r="AF245" s="13">
        <f t="shared" si="108"/>
        <v>0.22570000000000001</v>
      </c>
      <c r="AG245" s="22">
        <f t="shared" si="133"/>
        <v>65.319999999999993</v>
      </c>
      <c r="AH245" s="22">
        <f t="shared" si="109"/>
        <v>49.35</v>
      </c>
      <c r="AI245" s="22">
        <f t="shared" si="134"/>
        <v>61.327499999999993</v>
      </c>
      <c r="AJ245" s="22">
        <f t="shared" si="135"/>
        <v>57.89</v>
      </c>
    </row>
    <row r="246" spans="1:36" x14ac:dyDescent="0.25">
      <c r="A246" s="34">
        <v>35855</v>
      </c>
      <c r="B246" s="34">
        <f t="shared" si="110"/>
        <v>35915</v>
      </c>
      <c r="C246">
        <v>5750.3</v>
      </c>
      <c r="D246" s="6">
        <f t="shared" si="119"/>
        <v>5721.33</v>
      </c>
      <c r="E246" s="29">
        <f t="shared" si="120"/>
        <v>1.0200000000000001E-2</v>
      </c>
      <c r="F246" s="29">
        <f t="shared" si="121"/>
        <v>8.5000000000000006E-3</v>
      </c>
      <c r="G246">
        <v>6476.1</v>
      </c>
      <c r="H246" s="6">
        <f t="shared" si="122"/>
        <v>6438.4</v>
      </c>
      <c r="I246" s="29">
        <f t="shared" si="123"/>
        <v>2.1100000000000001E-2</v>
      </c>
      <c r="J246" s="29">
        <f t="shared" si="124"/>
        <v>1.29E-2</v>
      </c>
      <c r="K246">
        <v>0.69057999999999997</v>
      </c>
      <c r="L246">
        <v>1.63</v>
      </c>
      <c r="M246" s="35">
        <f t="shared" si="125"/>
        <v>1.1599999999999999</v>
      </c>
      <c r="N246">
        <v>175.5</v>
      </c>
      <c r="O246" s="29">
        <f t="shared" si="126"/>
        <v>6.8999999999999999E-3</v>
      </c>
      <c r="P246">
        <v>7.5</v>
      </c>
      <c r="Q246" s="6">
        <f t="shared" si="111"/>
        <v>485.71</v>
      </c>
      <c r="R246">
        <v>8.5</v>
      </c>
      <c r="S246" s="36">
        <f t="shared" si="112"/>
        <v>46.61</v>
      </c>
      <c r="T246" s="6">
        <f t="shared" si="127"/>
        <v>123.37</v>
      </c>
      <c r="U246" s="6">
        <f t="shared" si="128"/>
        <v>122.83</v>
      </c>
      <c r="V246" s="29">
        <f t="shared" si="129"/>
        <v>7.7999999999999996E-3</v>
      </c>
      <c r="W246" s="29">
        <f t="shared" si="130"/>
        <v>7.1000000000000004E-3</v>
      </c>
      <c r="X246" s="13">
        <f t="shared" si="113"/>
        <v>3.0499999999999999E-2</v>
      </c>
      <c r="Y246" s="13">
        <f t="shared" si="114"/>
        <v>2.7099999999999999E-2</v>
      </c>
      <c r="Z246" s="6">
        <f t="shared" si="115"/>
        <v>2.7675783475783473</v>
      </c>
      <c r="AA246" s="13">
        <f t="shared" si="116"/>
        <v>0.23039999999999999</v>
      </c>
      <c r="AB246" s="35">
        <f t="shared" si="117"/>
        <v>14.917999999999999</v>
      </c>
      <c r="AC246" s="6">
        <f t="shared" si="118"/>
        <v>2064.71</v>
      </c>
      <c r="AD246" s="6">
        <f t="shared" si="131"/>
        <v>2049.81</v>
      </c>
      <c r="AE246" s="29">
        <f t="shared" si="132"/>
        <v>1.5E-3</v>
      </c>
      <c r="AF246" s="13">
        <f t="shared" si="108"/>
        <v>0.23699999999999999</v>
      </c>
      <c r="AG246" s="22">
        <f t="shared" si="133"/>
        <v>56.65</v>
      </c>
      <c r="AH246" s="22">
        <f t="shared" si="109"/>
        <v>55.08</v>
      </c>
      <c r="AI246" s="22">
        <f t="shared" si="134"/>
        <v>56.257499999999993</v>
      </c>
      <c r="AJ246" s="22">
        <f t="shared" si="135"/>
        <v>58.01</v>
      </c>
    </row>
    <row r="247" spans="1:36" x14ac:dyDescent="0.25">
      <c r="A247" s="34">
        <v>35827</v>
      </c>
      <c r="B247" s="34">
        <f t="shared" si="110"/>
        <v>35885</v>
      </c>
      <c r="C247">
        <v>5723.8</v>
      </c>
      <c r="D247" s="6">
        <f t="shared" si="119"/>
        <v>5701.93</v>
      </c>
      <c r="E247" s="29">
        <f t="shared" si="120"/>
        <v>1.21E-2</v>
      </c>
      <c r="F247" s="29">
        <f t="shared" si="121"/>
        <v>7.4999999999999997E-3</v>
      </c>
      <c r="G247">
        <v>6438.1</v>
      </c>
      <c r="H247" s="6">
        <f t="shared" si="122"/>
        <v>6393.73</v>
      </c>
      <c r="I247" s="29">
        <f t="shared" si="123"/>
        <v>2.0199999999999999E-2</v>
      </c>
      <c r="J247" s="29">
        <f t="shared" si="124"/>
        <v>1.3899999999999999E-2</v>
      </c>
      <c r="K247">
        <v>0.78007000000000004</v>
      </c>
      <c r="L247">
        <v>1.6</v>
      </c>
      <c r="M247" s="35">
        <f t="shared" si="125"/>
        <v>1.19</v>
      </c>
      <c r="N247">
        <v>173.7</v>
      </c>
      <c r="O247" s="29">
        <f t="shared" si="126"/>
        <v>-8.0000000000000002E-3</v>
      </c>
      <c r="P247">
        <v>7.4</v>
      </c>
      <c r="Q247" s="6">
        <f t="shared" si="111"/>
        <v>476.42</v>
      </c>
      <c r="R247">
        <v>8.5</v>
      </c>
      <c r="S247" s="36">
        <f t="shared" si="112"/>
        <v>46.58</v>
      </c>
      <c r="T247" s="6">
        <f t="shared" si="127"/>
        <v>122.88</v>
      </c>
      <c r="U247" s="6">
        <f t="shared" si="128"/>
        <v>122.5</v>
      </c>
      <c r="V247" s="29">
        <f t="shared" si="129"/>
        <v>9.2999999999999992E-3</v>
      </c>
      <c r="W247" s="29">
        <f t="shared" si="130"/>
        <v>6.0000000000000001E-3</v>
      </c>
      <c r="X247" s="13">
        <f t="shared" si="113"/>
        <v>3.0300000000000001E-2</v>
      </c>
      <c r="Y247" s="13">
        <f t="shared" si="114"/>
        <v>2.7E-2</v>
      </c>
      <c r="Z247" s="6">
        <f t="shared" si="115"/>
        <v>2.7427748992515832</v>
      </c>
      <c r="AA247" s="13">
        <f t="shared" si="116"/>
        <v>0.22950000000000001</v>
      </c>
      <c r="AB247" s="35">
        <f t="shared" si="117"/>
        <v>14.765000000000001</v>
      </c>
      <c r="AC247" s="6">
        <f t="shared" si="118"/>
        <v>2043.53</v>
      </c>
      <c r="AD247" s="6">
        <f t="shared" si="131"/>
        <v>2050.59</v>
      </c>
      <c r="AE247" s="29">
        <f t="shared" si="132"/>
        <v>1.06E-2</v>
      </c>
      <c r="AF247" s="13">
        <f t="shared" si="108"/>
        <v>0.23230000000000001</v>
      </c>
      <c r="AG247" s="22">
        <f t="shared" si="133"/>
        <v>59.06</v>
      </c>
      <c r="AH247" s="22">
        <f t="shared" si="109"/>
        <v>54.29</v>
      </c>
      <c r="AI247" s="22">
        <f t="shared" si="134"/>
        <v>57.8675</v>
      </c>
      <c r="AJ247" s="22">
        <f t="shared" si="135"/>
        <v>59.45</v>
      </c>
    </row>
    <row r="248" spans="1:36" x14ac:dyDescent="0.25">
      <c r="A248" s="34">
        <v>35796</v>
      </c>
      <c r="B248" s="34">
        <f t="shared" si="110"/>
        <v>35854</v>
      </c>
      <c r="C248">
        <v>5689.9</v>
      </c>
      <c r="D248" s="6">
        <f t="shared" si="119"/>
        <v>5681.03</v>
      </c>
      <c r="E248" s="29">
        <f t="shared" si="120"/>
        <v>1.29E-2</v>
      </c>
      <c r="F248" s="29">
        <f t="shared" si="121"/>
        <v>4.5999999999999999E-3</v>
      </c>
      <c r="G248">
        <v>6401</v>
      </c>
      <c r="H248" s="6">
        <f t="shared" si="122"/>
        <v>6350.07</v>
      </c>
      <c r="I248" s="29">
        <f t="shared" si="123"/>
        <v>1.9300000000000001E-2</v>
      </c>
      <c r="J248" s="29">
        <f t="shared" si="124"/>
        <v>1.52E-2</v>
      </c>
      <c r="K248">
        <v>1.04453</v>
      </c>
      <c r="L248">
        <v>1.65</v>
      </c>
      <c r="M248" s="35">
        <f t="shared" si="125"/>
        <v>1.347</v>
      </c>
      <c r="N248">
        <v>173.5</v>
      </c>
      <c r="O248" s="29">
        <f t="shared" si="126"/>
        <v>-1.29E-2</v>
      </c>
      <c r="P248">
        <v>7.4</v>
      </c>
      <c r="Q248" s="6">
        <f t="shared" si="111"/>
        <v>473.67</v>
      </c>
      <c r="R248">
        <v>8.5</v>
      </c>
      <c r="S248" s="36">
        <f t="shared" si="112"/>
        <v>46.55</v>
      </c>
      <c r="T248" s="6">
        <f t="shared" si="127"/>
        <v>122.23</v>
      </c>
      <c r="U248" s="6">
        <f t="shared" si="128"/>
        <v>122.14</v>
      </c>
      <c r="V248" s="29">
        <f t="shared" si="129"/>
        <v>9.5999999999999992E-3</v>
      </c>
      <c r="W248" s="29">
        <f t="shared" si="130"/>
        <v>2.8E-3</v>
      </c>
      <c r="X248" s="13">
        <f t="shared" si="113"/>
        <v>3.0499999999999999E-2</v>
      </c>
      <c r="Y248" s="13">
        <f t="shared" si="114"/>
        <v>2.7099999999999999E-2</v>
      </c>
      <c r="Z248" s="6">
        <f t="shared" si="115"/>
        <v>2.7300864553314121</v>
      </c>
      <c r="AA248" s="13">
        <f t="shared" si="116"/>
        <v>0.23039999999999999</v>
      </c>
      <c r="AB248" s="35">
        <f t="shared" si="117"/>
        <v>14.747999999999999</v>
      </c>
      <c r="AC248" s="6">
        <f t="shared" si="118"/>
        <v>2041.18</v>
      </c>
      <c r="AD248" s="6">
        <f t="shared" si="131"/>
        <v>2060</v>
      </c>
      <c r="AE248" s="29">
        <f t="shared" si="132"/>
        <v>2.4E-2</v>
      </c>
      <c r="AF248" s="13">
        <f t="shared" si="108"/>
        <v>0.22989999999999999</v>
      </c>
      <c r="AG248" s="22">
        <f t="shared" si="133"/>
        <v>57.05</v>
      </c>
      <c r="AH248" s="22">
        <f t="shared" si="109"/>
        <v>53.28</v>
      </c>
      <c r="AI248" s="22">
        <f t="shared" si="134"/>
        <v>56.107499999999995</v>
      </c>
      <c r="AJ248" s="22">
        <f t="shared" si="135"/>
        <v>61.75</v>
      </c>
    </row>
    <row r="249" spans="1:36" x14ac:dyDescent="0.25">
      <c r="A249" s="34">
        <v>35765</v>
      </c>
      <c r="B249" s="34">
        <f t="shared" si="110"/>
        <v>35826</v>
      </c>
      <c r="C249">
        <v>5692.1</v>
      </c>
      <c r="D249" s="6">
        <f t="shared" si="119"/>
        <v>5663.63</v>
      </c>
      <c r="E249" s="29">
        <f t="shared" si="120"/>
        <v>1.5100000000000001E-2</v>
      </c>
      <c r="F249" s="29">
        <f t="shared" si="121"/>
        <v>1.04E-2</v>
      </c>
      <c r="G249">
        <v>6342.1</v>
      </c>
      <c r="H249" s="6">
        <f t="shared" si="122"/>
        <v>6305.17</v>
      </c>
      <c r="I249" s="29">
        <f t="shared" si="123"/>
        <v>1.7899999999999999E-2</v>
      </c>
      <c r="J249" s="29">
        <f t="shared" si="124"/>
        <v>1.2E-2</v>
      </c>
      <c r="K249">
        <v>1.12551</v>
      </c>
      <c r="L249">
        <v>1.72</v>
      </c>
      <c r="M249" s="35">
        <f t="shared" si="125"/>
        <v>1.423</v>
      </c>
      <c r="N249">
        <v>175.7</v>
      </c>
      <c r="O249" s="29">
        <f t="shared" si="126"/>
        <v>2.8999999999999998E-3</v>
      </c>
      <c r="P249">
        <v>6.4</v>
      </c>
      <c r="Q249" s="6">
        <f t="shared" si="111"/>
        <v>405.89</v>
      </c>
      <c r="R249">
        <v>8.5</v>
      </c>
      <c r="S249" s="36">
        <f t="shared" si="112"/>
        <v>46.51</v>
      </c>
      <c r="T249" s="6">
        <f t="shared" si="127"/>
        <v>122.38</v>
      </c>
      <c r="U249" s="6">
        <f t="shared" si="128"/>
        <v>121.88</v>
      </c>
      <c r="V249" s="29">
        <f t="shared" si="129"/>
        <v>1.15E-2</v>
      </c>
      <c r="W249" s="29">
        <f t="shared" si="130"/>
        <v>8.3000000000000001E-3</v>
      </c>
      <c r="X249" s="13">
        <f t="shared" si="113"/>
        <v>3.09E-2</v>
      </c>
      <c r="Y249" s="13">
        <f t="shared" si="114"/>
        <v>2.7699999999999999E-2</v>
      </c>
      <c r="Z249" s="6">
        <f t="shared" si="115"/>
        <v>2.3101309049516221</v>
      </c>
      <c r="AA249" s="13">
        <f t="shared" si="116"/>
        <v>0.23549999999999999</v>
      </c>
      <c r="AB249" s="35">
        <f t="shared" si="117"/>
        <v>14.935</v>
      </c>
      <c r="AC249" s="6">
        <f t="shared" si="118"/>
        <v>2067.06</v>
      </c>
      <c r="AD249" s="6">
        <f t="shared" si="131"/>
        <v>2067.84</v>
      </c>
      <c r="AE249" s="29">
        <f t="shared" si="132"/>
        <v>3.6600000000000001E-2</v>
      </c>
      <c r="AF249" s="13">
        <f t="shared" si="108"/>
        <v>0.1963</v>
      </c>
      <c r="AG249" s="22">
        <f t="shared" si="133"/>
        <v>66.680000000000007</v>
      </c>
      <c r="AH249" s="22">
        <f t="shared" si="109"/>
        <v>47.25</v>
      </c>
      <c r="AI249" s="22">
        <f t="shared" si="134"/>
        <v>61.822500000000005</v>
      </c>
      <c r="AJ249" s="22">
        <f t="shared" si="135"/>
        <v>64.37</v>
      </c>
    </row>
    <row r="250" spans="1:36" x14ac:dyDescent="0.25">
      <c r="A250" s="34">
        <v>35735</v>
      </c>
      <c r="B250" s="34">
        <f t="shared" si="110"/>
        <v>35795</v>
      </c>
      <c r="C250">
        <v>5661.1</v>
      </c>
      <c r="D250" s="6">
        <f t="shared" si="119"/>
        <v>5633.5</v>
      </c>
      <c r="E250" s="29">
        <f t="shared" si="120"/>
        <v>1.6299999999999999E-2</v>
      </c>
      <c r="F250" s="29">
        <f t="shared" si="121"/>
        <v>9.2999999999999992E-3</v>
      </c>
      <c r="G250">
        <v>6307.1</v>
      </c>
      <c r="H250" s="6">
        <f t="shared" si="122"/>
        <v>6266.9</v>
      </c>
      <c r="I250" s="29">
        <f t="shared" si="123"/>
        <v>1.6899999999999998E-2</v>
      </c>
      <c r="J250" s="29">
        <f t="shared" si="124"/>
        <v>1.24E-2</v>
      </c>
      <c r="K250">
        <v>1.26326</v>
      </c>
      <c r="L250">
        <v>1.8</v>
      </c>
      <c r="M250" s="35">
        <f t="shared" si="125"/>
        <v>1.532</v>
      </c>
      <c r="N250">
        <v>176.1</v>
      </c>
      <c r="O250" s="29">
        <f t="shared" si="126"/>
        <v>1.23E-2</v>
      </c>
      <c r="P250">
        <v>6.4</v>
      </c>
      <c r="Q250" s="6">
        <f t="shared" si="111"/>
        <v>403.65</v>
      </c>
      <c r="R250">
        <v>8.5</v>
      </c>
      <c r="S250" s="36">
        <f t="shared" si="112"/>
        <v>46.47</v>
      </c>
      <c r="T250" s="6">
        <f t="shared" si="127"/>
        <v>121.82</v>
      </c>
      <c r="U250" s="6">
        <f t="shared" si="128"/>
        <v>121.37</v>
      </c>
      <c r="V250" s="29">
        <f t="shared" si="129"/>
        <v>1.24E-2</v>
      </c>
      <c r="W250" s="29">
        <f t="shared" si="130"/>
        <v>6.8999999999999999E-3</v>
      </c>
      <c r="X250" s="13">
        <f t="shared" si="113"/>
        <v>3.1099999999999999E-2</v>
      </c>
      <c r="Y250" s="13">
        <f t="shared" si="114"/>
        <v>2.7900000000000001E-2</v>
      </c>
      <c r="Z250" s="6">
        <f t="shared" si="115"/>
        <v>2.2921635434412266</v>
      </c>
      <c r="AA250" s="13">
        <f t="shared" si="116"/>
        <v>0.23719999999999999</v>
      </c>
      <c r="AB250" s="35">
        <f t="shared" si="117"/>
        <v>14.968999999999999</v>
      </c>
      <c r="AC250" s="6">
        <f t="shared" si="118"/>
        <v>2071.7600000000002</v>
      </c>
      <c r="AD250" s="6">
        <f t="shared" si="131"/>
        <v>2061.1799999999998</v>
      </c>
      <c r="AE250" s="29">
        <f t="shared" si="132"/>
        <v>4.2700000000000002E-2</v>
      </c>
      <c r="AF250" s="13">
        <f t="shared" si="108"/>
        <v>0.1958</v>
      </c>
      <c r="AG250" s="22">
        <f t="shared" si="133"/>
        <v>67.47</v>
      </c>
      <c r="AH250" s="22">
        <f t="shared" si="109"/>
        <v>45.53</v>
      </c>
      <c r="AI250" s="22">
        <f t="shared" si="134"/>
        <v>61.984999999999999</v>
      </c>
      <c r="AJ250" s="22">
        <f t="shared" si="135"/>
        <v>64.83</v>
      </c>
    </row>
    <row r="251" spans="1:36" x14ac:dyDescent="0.25">
      <c r="A251" s="34">
        <v>35704</v>
      </c>
      <c r="B251" s="34">
        <f t="shared" si="110"/>
        <v>35764</v>
      </c>
      <c r="C251">
        <v>5637.7</v>
      </c>
      <c r="D251" s="6">
        <f t="shared" si="119"/>
        <v>5608.8</v>
      </c>
      <c r="E251" s="29">
        <f t="shared" si="120"/>
        <v>1.9599999999999999E-2</v>
      </c>
      <c r="F251" s="29">
        <f t="shared" si="121"/>
        <v>1.0500000000000001E-2</v>
      </c>
      <c r="G251">
        <v>6266.3</v>
      </c>
      <c r="H251" s="6">
        <f t="shared" si="122"/>
        <v>6229.9</v>
      </c>
      <c r="I251" s="29">
        <f t="shared" si="123"/>
        <v>1.6E-2</v>
      </c>
      <c r="J251" s="29">
        <f t="shared" si="124"/>
        <v>1.1599999999999999E-2</v>
      </c>
      <c r="K251">
        <v>1.43876</v>
      </c>
      <c r="L251">
        <v>1.89</v>
      </c>
      <c r="M251" s="35">
        <f t="shared" si="125"/>
        <v>1.6639999999999999</v>
      </c>
      <c r="N251">
        <v>175.5</v>
      </c>
      <c r="O251" s="29">
        <f t="shared" si="126"/>
        <v>1.7600000000000001E-2</v>
      </c>
      <c r="P251">
        <v>6.2</v>
      </c>
      <c r="Q251" s="6">
        <f t="shared" si="111"/>
        <v>388.51</v>
      </c>
      <c r="R251">
        <v>8.5</v>
      </c>
      <c r="S251" s="36">
        <f t="shared" si="112"/>
        <v>46.42</v>
      </c>
      <c r="T251" s="6">
        <f t="shared" si="127"/>
        <v>121.45</v>
      </c>
      <c r="U251" s="6">
        <f t="shared" si="128"/>
        <v>120.98</v>
      </c>
      <c r="V251" s="29">
        <f t="shared" si="129"/>
        <v>1.55E-2</v>
      </c>
      <c r="W251" s="29">
        <f t="shared" si="130"/>
        <v>7.9000000000000008E-3</v>
      </c>
      <c r="X251" s="13">
        <f t="shared" si="113"/>
        <v>3.1099999999999999E-2</v>
      </c>
      <c r="Y251" s="13">
        <f t="shared" si="114"/>
        <v>2.8000000000000001E-2</v>
      </c>
      <c r="Z251" s="6">
        <f t="shared" si="115"/>
        <v>2.2137321937321937</v>
      </c>
      <c r="AA251" s="13">
        <f t="shared" si="116"/>
        <v>0.23799999999999999</v>
      </c>
      <c r="AB251" s="35">
        <f t="shared" si="117"/>
        <v>14.917999999999999</v>
      </c>
      <c r="AC251" s="6">
        <f t="shared" si="118"/>
        <v>2064.71</v>
      </c>
      <c r="AD251" s="6">
        <f t="shared" si="131"/>
        <v>2046.67</v>
      </c>
      <c r="AE251" s="29">
        <f t="shared" si="132"/>
        <v>3.9600000000000003E-2</v>
      </c>
      <c r="AF251" s="13">
        <f t="shared" si="108"/>
        <v>0.1898</v>
      </c>
      <c r="AG251" s="22">
        <f t="shared" si="133"/>
        <v>74.97</v>
      </c>
      <c r="AH251" s="22">
        <f t="shared" si="109"/>
        <v>43.5</v>
      </c>
      <c r="AI251" s="22">
        <f t="shared" si="134"/>
        <v>67.102499999999992</v>
      </c>
      <c r="AJ251" s="22">
        <f t="shared" si="135"/>
        <v>62.47</v>
      </c>
    </row>
    <row r="252" spans="1:36" x14ac:dyDescent="0.25">
      <c r="A252" s="34">
        <v>35674</v>
      </c>
      <c r="B252" s="34">
        <f t="shared" si="110"/>
        <v>35734</v>
      </c>
      <c r="C252">
        <v>5601.7</v>
      </c>
      <c r="D252" s="6">
        <f t="shared" si="119"/>
        <v>5579.17</v>
      </c>
      <c r="E252" s="29">
        <f t="shared" si="120"/>
        <v>1.9699999999999999E-2</v>
      </c>
      <c r="F252" s="29">
        <f t="shared" si="121"/>
        <v>1.0500000000000001E-2</v>
      </c>
      <c r="G252">
        <v>6227.3</v>
      </c>
      <c r="H252" s="6">
        <f t="shared" si="122"/>
        <v>6194.17</v>
      </c>
      <c r="I252" s="29">
        <f t="shared" si="123"/>
        <v>1.44E-2</v>
      </c>
      <c r="J252" s="29">
        <f t="shared" si="124"/>
        <v>1.0500000000000001E-2</v>
      </c>
      <c r="K252">
        <v>1.6141700000000001</v>
      </c>
      <c r="L252">
        <v>2.04</v>
      </c>
      <c r="M252" s="35">
        <f t="shared" si="125"/>
        <v>1.827</v>
      </c>
      <c r="N252">
        <v>174</v>
      </c>
      <c r="O252" s="29">
        <f t="shared" si="126"/>
        <v>1.7500000000000002E-2</v>
      </c>
      <c r="P252">
        <v>6.2</v>
      </c>
      <c r="Q252" s="6">
        <f t="shared" si="111"/>
        <v>386.09</v>
      </c>
      <c r="R252">
        <v>8.5</v>
      </c>
      <c r="S252" s="36">
        <f t="shared" si="112"/>
        <v>46.36</v>
      </c>
      <c r="T252" s="6">
        <f t="shared" si="127"/>
        <v>120.83</v>
      </c>
      <c r="U252" s="6">
        <f t="shared" si="128"/>
        <v>120.5</v>
      </c>
      <c r="V252" s="29">
        <f t="shared" si="129"/>
        <v>1.5599999999999999E-2</v>
      </c>
      <c r="W252" s="29">
        <f t="shared" si="130"/>
        <v>7.9000000000000008E-3</v>
      </c>
      <c r="X252" s="13">
        <f t="shared" si="113"/>
        <v>3.1099999999999999E-2</v>
      </c>
      <c r="Y252" s="13">
        <f t="shared" si="114"/>
        <v>2.7900000000000001E-2</v>
      </c>
      <c r="Z252" s="6">
        <f t="shared" si="115"/>
        <v>2.2189080459770114</v>
      </c>
      <c r="AA252" s="13">
        <f t="shared" si="116"/>
        <v>0.23719999999999999</v>
      </c>
      <c r="AB252" s="35">
        <f t="shared" si="117"/>
        <v>14.79</v>
      </c>
      <c r="AC252" s="6">
        <f t="shared" si="118"/>
        <v>2047.06</v>
      </c>
      <c r="AD252" s="6">
        <f t="shared" si="131"/>
        <v>2029.02</v>
      </c>
      <c r="AE252" s="29">
        <f t="shared" si="132"/>
        <v>3.2199999999999999E-2</v>
      </c>
      <c r="AF252" s="13">
        <f t="shared" si="108"/>
        <v>0.1903</v>
      </c>
      <c r="AG252" s="22">
        <f t="shared" si="133"/>
        <v>75.17</v>
      </c>
      <c r="AH252" s="22">
        <f t="shared" si="109"/>
        <v>40.69</v>
      </c>
      <c r="AI252" s="22">
        <f t="shared" si="134"/>
        <v>66.55</v>
      </c>
      <c r="AJ252" s="22">
        <f t="shared" si="135"/>
        <v>56.4</v>
      </c>
    </row>
    <row r="253" spans="1:36" x14ac:dyDescent="0.25">
      <c r="A253" s="34">
        <v>35643</v>
      </c>
      <c r="B253" s="34">
        <f t="shared" si="110"/>
        <v>35703</v>
      </c>
      <c r="C253">
        <v>5587</v>
      </c>
      <c r="D253" s="6">
        <f t="shared" si="119"/>
        <v>5543.33</v>
      </c>
      <c r="E253" s="29">
        <f t="shared" si="120"/>
        <v>1.5699999999999999E-2</v>
      </c>
      <c r="F253" s="29">
        <f t="shared" si="121"/>
        <v>1.5599999999999999E-2</v>
      </c>
      <c r="G253">
        <v>6196.1</v>
      </c>
      <c r="H253" s="6">
        <f t="shared" si="122"/>
        <v>6162.5</v>
      </c>
      <c r="I253" s="29">
        <f t="shared" si="123"/>
        <v>1.2699999999999999E-2</v>
      </c>
      <c r="J253" s="29">
        <f t="shared" si="124"/>
        <v>1.04E-2</v>
      </c>
      <c r="K253">
        <v>1.6554800000000001</v>
      </c>
      <c r="L253">
        <v>2.0499999999999998</v>
      </c>
      <c r="M253" s="35">
        <f t="shared" si="125"/>
        <v>1.853</v>
      </c>
      <c r="N253">
        <v>172.4</v>
      </c>
      <c r="O253" s="29">
        <f t="shared" si="126"/>
        <v>1.67E-2</v>
      </c>
      <c r="P253">
        <v>6</v>
      </c>
      <c r="Q253" s="6">
        <f t="shared" si="111"/>
        <v>371.77</v>
      </c>
      <c r="R253">
        <v>8.5</v>
      </c>
      <c r="S253" s="36">
        <f t="shared" si="112"/>
        <v>46.3</v>
      </c>
      <c r="T253" s="6">
        <f t="shared" si="127"/>
        <v>120.67</v>
      </c>
      <c r="U253" s="6">
        <f t="shared" si="128"/>
        <v>119.88</v>
      </c>
      <c r="V253" s="29">
        <f t="shared" si="129"/>
        <v>1.14E-2</v>
      </c>
      <c r="W253" s="29">
        <f t="shared" si="130"/>
        <v>1.29E-2</v>
      </c>
      <c r="X253" s="13">
        <f t="shared" si="113"/>
        <v>3.09E-2</v>
      </c>
      <c r="Y253" s="13">
        <f t="shared" si="114"/>
        <v>2.7799999999999998E-2</v>
      </c>
      <c r="Z253" s="6">
        <f t="shared" si="115"/>
        <v>2.1564385150812062</v>
      </c>
      <c r="AA253" s="13">
        <f t="shared" si="116"/>
        <v>0.23630000000000001</v>
      </c>
      <c r="AB253" s="35">
        <f t="shared" si="117"/>
        <v>14.654</v>
      </c>
      <c r="AC253" s="6">
        <f t="shared" si="118"/>
        <v>2028.24</v>
      </c>
      <c r="AD253" s="6">
        <f t="shared" si="131"/>
        <v>2011.76</v>
      </c>
      <c r="AE253" s="29">
        <f t="shared" si="132"/>
        <v>2.2599999999999999E-2</v>
      </c>
      <c r="AF253" s="13">
        <f t="shared" si="108"/>
        <v>0.18479999999999999</v>
      </c>
      <c r="AG253" s="22">
        <f t="shared" si="133"/>
        <v>72.08</v>
      </c>
      <c r="AH253" s="22">
        <f t="shared" si="109"/>
        <v>38.46</v>
      </c>
      <c r="AI253" s="22">
        <f t="shared" si="134"/>
        <v>63.675000000000004</v>
      </c>
      <c r="AJ253" s="22">
        <f t="shared" si="135"/>
        <v>50.51</v>
      </c>
    </row>
    <row r="254" spans="1:36" x14ac:dyDescent="0.25">
      <c r="A254" s="34">
        <v>35612</v>
      </c>
      <c r="B254" s="34">
        <f t="shared" si="110"/>
        <v>35673</v>
      </c>
      <c r="C254">
        <v>5548.8</v>
      </c>
      <c r="D254" s="6">
        <f t="shared" si="119"/>
        <v>5501.07</v>
      </c>
      <c r="E254" s="29">
        <f t="shared" si="120"/>
        <v>9.4999999999999998E-3</v>
      </c>
      <c r="F254" s="29">
        <f t="shared" si="121"/>
        <v>1.4200000000000001E-2</v>
      </c>
      <c r="G254">
        <v>6159.1</v>
      </c>
      <c r="H254" s="6">
        <f t="shared" si="122"/>
        <v>6132.07</v>
      </c>
      <c r="I254" s="29">
        <f t="shared" si="123"/>
        <v>1.15E-2</v>
      </c>
      <c r="J254" s="29">
        <f t="shared" si="124"/>
        <v>8.6999999999999994E-3</v>
      </c>
      <c r="K254">
        <v>1.67069</v>
      </c>
      <c r="L254">
        <v>2.13</v>
      </c>
      <c r="M254" s="35">
        <f t="shared" si="125"/>
        <v>1.9</v>
      </c>
      <c r="N254">
        <v>171</v>
      </c>
      <c r="O254" s="29">
        <f t="shared" si="126"/>
        <v>1.77E-2</v>
      </c>
      <c r="P254">
        <v>6.1</v>
      </c>
      <c r="Q254" s="6">
        <f t="shared" si="111"/>
        <v>375.71</v>
      </c>
      <c r="R254">
        <v>8.5</v>
      </c>
      <c r="S254" s="36">
        <f t="shared" si="112"/>
        <v>46.24</v>
      </c>
      <c r="T254" s="6">
        <f t="shared" si="127"/>
        <v>120</v>
      </c>
      <c r="U254" s="6">
        <f t="shared" si="128"/>
        <v>119.13</v>
      </c>
      <c r="V254" s="29">
        <f t="shared" si="129"/>
        <v>5.1000000000000004E-3</v>
      </c>
      <c r="W254" s="29">
        <f t="shared" si="130"/>
        <v>1.14E-2</v>
      </c>
      <c r="X254" s="13">
        <f t="shared" si="113"/>
        <v>3.0800000000000001E-2</v>
      </c>
      <c r="Y254" s="13">
        <f t="shared" si="114"/>
        <v>2.7799999999999998E-2</v>
      </c>
      <c r="Z254" s="6">
        <f t="shared" si="115"/>
        <v>2.1971345029239764</v>
      </c>
      <c r="AA254" s="13">
        <f t="shared" si="116"/>
        <v>0.23630000000000001</v>
      </c>
      <c r="AB254" s="35">
        <f t="shared" si="117"/>
        <v>14.535</v>
      </c>
      <c r="AC254" s="6">
        <f t="shared" si="118"/>
        <v>2011.76</v>
      </c>
      <c r="AD254" s="6">
        <f t="shared" si="131"/>
        <v>1994.9</v>
      </c>
      <c r="AE254" s="29">
        <f t="shared" si="132"/>
        <v>1.3599999999999999E-2</v>
      </c>
      <c r="AF254" s="13">
        <f t="shared" si="108"/>
        <v>0.1883</v>
      </c>
      <c r="AG254" s="22">
        <f t="shared" si="133"/>
        <v>58.16</v>
      </c>
      <c r="AH254" s="22">
        <f t="shared" si="109"/>
        <v>35.78</v>
      </c>
      <c r="AI254" s="22">
        <f t="shared" si="134"/>
        <v>52.564999999999998</v>
      </c>
      <c r="AJ254" s="22">
        <f t="shared" si="135"/>
        <v>47.14</v>
      </c>
    </row>
    <row r="255" spans="1:36" x14ac:dyDescent="0.25">
      <c r="A255" s="34">
        <v>35582</v>
      </c>
      <c r="B255" s="34">
        <f t="shared" si="110"/>
        <v>35642</v>
      </c>
      <c r="C255">
        <v>5494.2</v>
      </c>
      <c r="D255" s="6">
        <f t="shared" si="119"/>
        <v>5471.23</v>
      </c>
      <c r="E255" s="29">
        <f t="shared" si="120"/>
        <v>7.0000000000000001E-3</v>
      </c>
      <c r="F255" s="29">
        <f t="shared" si="121"/>
        <v>6.7000000000000002E-3</v>
      </c>
      <c r="G255">
        <v>6132.3</v>
      </c>
      <c r="H255" s="6">
        <f t="shared" si="122"/>
        <v>6106.03</v>
      </c>
      <c r="I255" s="29">
        <f t="shared" si="123"/>
        <v>1.14E-2</v>
      </c>
      <c r="J255" s="29">
        <f t="shared" si="124"/>
        <v>7.7000000000000002E-3</v>
      </c>
      <c r="K255">
        <v>1.8258000000000001</v>
      </c>
      <c r="L255">
        <v>2.2200000000000002</v>
      </c>
      <c r="M255" s="35">
        <f t="shared" si="125"/>
        <v>2.0230000000000001</v>
      </c>
      <c r="N255">
        <v>169.6</v>
      </c>
      <c r="O255" s="29">
        <f t="shared" si="126"/>
        <v>2.1499999999999998E-2</v>
      </c>
      <c r="P255">
        <v>6.6</v>
      </c>
      <c r="Q255" s="6">
        <f t="shared" si="111"/>
        <v>404.73</v>
      </c>
      <c r="R255">
        <v>8.5</v>
      </c>
      <c r="S255" s="36">
        <f t="shared" si="112"/>
        <v>46.18</v>
      </c>
      <c r="T255" s="6">
        <f t="shared" si="127"/>
        <v>118.97</v>
      </c>
      <c r="U255" s="6">
        <f t="shared" si="128"/>
        <v>118.65</v>
      </c>
      <c r="V255" s="29">
        <f t="shared" si="129"/>
        <v>2.3E-3</v>
      </c>
      <c r="W255" s="29">
        <f t="shared" si="130"/>
        <v>3.7000000000000002E-3</v>
      </c>
      <c r="X255" s="13">
        <f t="shared" si="113"/>
        <v>3.09E-2</v>
      </c>
      <c r="Y255" s="13">
        <f t="shared" si="114"/>
        <v>2.7699999999999999E-2</v>
      </c>
      <c r="Z255" s="6">
        <f t="shared" si="115"/>
        <v>2.386379716981132</v>
      </c>
      <c r="AA255" s="13">
        <f t="shared" si="116"/>
        <v>0.23549999999999999</v>
      </c>
      <c r="AB255" s="35">
        <f t="shared" si="117"/>
        <v>14.416</v>
      </c>
      <c r="AC255" s="6">
        <f t="shared" si="118"/>
        <v>1995.29</v>
      </c>
      <c r="AD255" s="6">
        <f t="shared" si="131"/>
        <v>1976.86</v>
      </c>
      <c r="AE255" s="29">
        <f t="shared" si="132"/>
        <v>4.0000000000000001E-3</v>
      </c>
      <c r="AF255" s="13">
        <f t="shared" si="108"/>
        <v>0.20469999999999999</v>
      </c>
      <c r="AG255" s="22">
        <f t="shared" si="133"/>
        <v>45.23</v>
      </c>
      <c r="AH255" s="22">
        <f t="shared" si="109"/>
        <v>35.54</v>
      </c>
      <c r="AI255" s="22">
        <f t="shared" si="134"/>
        <v>42.807499999999997</v>
      </c>
      <c r="AJ255" s="22">
        <f t="shared" si="135"/>
        <v>48.29</v>
      </c>
    </row>
    <row r="256" spans="1:36" x14ac:dyDescent="0.25">
      <c r="A256" s="34">
        <v>35551</v>
      </c>
      <c r="B256" s="34">
        <f t="shared" si="110"/>
        <v>35611</v>
      </c>
      <c r="C256">
        <v>5460.2</v>
      </c>
      <c r="D256" s="6">
        <f t="shared" si="119"/>
        <v>5457.9</v>
      </c>
      <c r="E256" s="29">
        <f t="shared" si="120"/>
        <v>9.1999999999999998E-3</v>
      </c>
      <c r="F256" s="29">
        <f t="shared" si="121"/>
        <v>2E-3</v>
      </c>
      <c r="G256">
        <v>6104.8</v>
      </c>
      <c r="H256" s="6">
        <f t="shared" si="122"/>
        <v>6085.4</v>
      </c>
      <c r="I256" s="29">
        <f t="shared" si="123"/>
        <v>1.2999999999999999E-2</v>
      </c>
      <c r="J256" s="29">
        <f t="shared" si="124"/>
        <v>7.0000000000000001E-3</v>
      </c>
      <c r="K256">
        <v>1.6933199999999999</v>
      </c>
      <c r="L256">
        <v>2.23</v>
      </c>
      <c r="M256" s="35">
        <f t="shared" si="125"/>
        <v>1.962</v>
      </c>
      <c r="N256">
        <v>168.1</v>
      </c>
      <c r="O256" s="29">
        <f t="shared" si="126"/>
        <v>2.4199999999999999E-2</v>
      </c>
      <c r="P256">
        <v>6.8</v>
      </c>
      <c r="Q256" s="6">
        <f t="shared" si="111"/>
        <v>415.13</v>
      </c>
      <c r="R256">
        <v>8.5</v>
      </c>
      <c r="S256" s="36">
        <f t="shared" si="112"/>
        <v>46.11</v>
      </c>
      <c r="T256" s="6">
        <f t="shared" si="127"/>
        <v>118.42</v>
      </c>
      <c r="U256" s="6">
        <f t="shared" si="128"/>
        <v>118.53</v>
      </c>
      <c r="V256" s="29">
        <f t="shared" si="129"/>
        <v>4.1000000000000003E-3</v>
      </c>
      <c r="W256" s="29">
        <f t="shared" si="130"/>
        <v>-8.0000000000000004E-4</v>
      </c>
      <c r="X256" s="13">
        <f t="shared" si="113"/>
        <v>3.0800000000000001E-2</v>
      </c>
      <c r="Y256" s="13">
        <f t="shared" si="114"/>
        <v>2.75E-2</v>
      </c>
      <c r="Z256" s="6">
        <f t="shared" si="115"/>
        <v>2.4695419393218323</v>
      </c>
      <c r="AA256" s="13">
        <f t="shared" si="116"/>
        <v>0.23380000000000001</v>
      </c>
      <c r="AB256" s="35">
        <f t="shared" si="117"/>
        <v>14.289</v>
      </c>
      <c r="AC256" s="6">
        <f t="shared" si="118"/>
        <v>1977.65</v>
      </c>
      <c r="AD256" s="6">
        <f t="shared" si="131"/>
        <v>1968.79</v>
      </c>
      <c r="AE256" s="29">
        <f t="shared" si="132"/>
        <v>-1E-4</v>
      </c>
      <c r="AF256" s="13">
        <f t="shared" si="108"/>
        <v>0.2109</v>
      </c>
      <c r="AG256" s="22">
        <f t="shared" si="133"/>
        <v>44.66</v>
      </c>
      <c r="AH256" s="22">
        <f t="shared" si="109"/>
        <v>37.96</v>
      </c>
      <c r="AI256" s="22">
        <f t="shared" si="134"/>
        <v>42.984999999999999</v>
      </c>
      <c r="AJ256" s="22">
        <f t="shared" si="135"/>
        <v>52.15</v>
      </c>
    </row>
    <row r="257" spans="1:36" x14ac:dyDescent="0.25">
      <c r="A257" s="34">
        <v>35521</v>
      </c>
      <c r="B257" s="34">
        <f t="shared" si="110"/>
        <v>35581</v>
      </c>
      <c r="C257">
        <v>5459.3</v>
      </c>
      <c r="D257" s="6">
        <f t="shared" si="119"/>
        <v>5449.17</v>
      </c>
      <c r="E257" s="29">
        <f t="shared" si="120"/>
        <v>1.2800000000000001E-2</v>
      </c>
      <c r="F257" s="29">
        <f t="shared" si="121"/>
        <v>4.7999999999999996E-3</v>
      </c>
      <c r="G257">
        <v>6081</v>
      </c>
      <c r="H257" s="6">
        <f t="shared" si="122"/>
        <v>6062.23</v>
      </c>
      <c r="I257" s="29">
        <f t="shared" si="123"/>
        <v>1.37E-2</v>
      </c>
      <c r="J257" s="29">
        <f t="shared" si="124"/>
        <v>7.1999999999999998E-3</v>
      </c>
      <c r="K257">
        <v>1.9151100000000001</v>
      </c>
      <c r="L257">
        <v>2.31</v>
      </c>
      <c r="M257" s="35">
        <f t="shared" si="125"/>
        <v>2.113</v>
      </c>
      <c r="N257">
        <v>166.4</v>
      </c>
      <c r="O257" s="29">
        <f t="shared" si="126"/>
        <v>2.3199999999999998E-2</v>
      </c>
      <c r="P257">
        <v>6.5</v>
      </c>
      <c r="Q257" s="6">
        <f t="shared" si="111"/>
        <v>395.27</v>
      </c>
      <c r="R257">
        <v>8.5</v>
      </c>
      <c r="S257" s="36">
        <f t="shared" si="112"/>
        <v>46.05</v>
      </c>
      <c r="T257" s="6">
        <f t="shared" si="127"/>
        <v>118.55</v>
      </c>
      <c r="U257" s="6">
        <f t="shared" si="128"/>
        <v>118.52</v>
      </c>
      <c r="V257" s="29">
        <f t="shared" si="129"/>
        <v>7.1000000000000004E-3</v>
      </c>
      <c r="W257" s="29">
        <f t="shared" si="130"/>
        <v>1.5E-3</v>
      </c>
      <c r="X257" s="13">
        <f t="shared" si="113"/>
        <v>3.0499999999999999E-2</v>
      </c>
      <c r="Y257" s="13">
        <f t="shared" si="114"/>
        <v>2.7400000000000001E-2</v>
      </c>
      <c r="Z257" s="6">
        <f t="shared" si="115"/>
        <v>2.3754206730769227</v>
      </c>
      <c r="AA257" s="13">
        <f t="shared" si="116"/>
        <v>0.2329</v>
      </c>
      <c r="AB257" s="35">
        <f t="shared" si="117"/>
        <v>14.144</v>
      </c>
      <c r="AC257" s="6">
        <f t="shared" si="118"/>
        <v>1957.65</v>
      </c>
      <c r="AD257" s="6">
        <f t="shared" si="131"/>
        <v>1965.74</v>
      </c>
      <c r="AE257" s="29">
        <f t="shared" si="132"/>
        <v>2.7000000000000001E-3</v>
      </c>
      <c r="AF257" s="13">
        <f t="shared" si="108"/>
        <v>0.2011</v>
      </c>
      <c r="AG257" s="22">
        <f t="shared" si="133"/>
        <v>53.9</v>
      </c>
      <c r="AH257" s="22">
        <f t="shared" si="109"/>
        <v>39.130000000000003</v>
      </c>
      <c r="AI257" s="22">
        <f t="shared" si="134"/>
        <v>50.207499999999996</v>
      </c>
      <c r="AJ257" s="22">
        <f t="shared" si="135"/>
        <v>55.92</v>
      </c>
    </row>
    <row r="258" spans="1:36" x14ac:dyDescent="0.25">
      <c r="A258" s="34">
        <v>35490</v>
      </c>
      <c r="B258" s="34">
        <f t="shared" si="110"/>
        <v>35550</v>
      </c>
      <c r="C258">
        <v>5454.2</v>
      </c>
      <c r="D258" s="6">
        <f t="shared" si="119"/>
        <v>5433.1</v>
      </c>
      <c r="E258" s="29">
        <f t="shared" si="120"/>
        <v>1.4999999999999999E-2</v>
      </c>
      <c r="F258" s="29">
        <f t="shared" si="121"/>
        <v>8.6E-3</v>
      </c>
      <c r="G258">
        <v>6070.4</v>
      </c>
      <c r="H258" s="6">
        <f t="shared" si="122"/>
        <v>6037.23</v>
      </c>
      <c r="I258" s="29">
        <f t="shared" si="123"/>
        <v>1.4E-2</v>
      </c>
      <c r="J258" s="29">
        <f t="shared" si="124"/>
        <v>1.0500000000000001E-2</v>
      </c>
      <c r="K258">
        <v>2.1211799999999998</v>
      </c>
      <c r="L258">
        <v>2.31</v>
      </c>
      <c r="M258" s="35">
        <f t="shared" si="125"/>
        <v>2.2160000000000002</v>
      </c>
      <c r="N258">
        <v>163.6</v>
      </c>
      <c r="O258" s="29">
        <f t="shared" si="126"/>
        <v>7.6E-3</v>
      </c>
      <c r="P258">
        <v>6.4</v>
      </c>
      <c r="Q258" s="6">
        <f t="shared" si="111"/>
        <v>388.51</v>
      </c>
      <c r="R258">
        <v>8.3000000000000007</v>
      </c>
      <c r="S258" s="36">
        <f t="shared" si="112"/>
        <v>45.98</v>
      </c>
      <c r="T258" s="6">
        <f t="shared" si="127"/>
        <v>118.62</v>
      </c>
      <c r="U258" s="6">
        <f t="shared" si="128"/>
        <v>118.38</v>
      </c>
      <c r="V258" s="29">
        <f t="shared" si="129"/>
        <v>9.1000000000000004E-3</v>
      </c>
      <c r="W258" s="29">
        <f t="shared" si="130"/>
        <v>4.7999999999999996E-3</v>
      </c>
      <c r="X258" s="13">
        <f t="shared" si="113"/>
        <v>0.03</v>
      </c>
      <c r="Y258" s="13">
        <f t="shared" si="114"/>
        <v>2.7E-2</v>
      </c>
      <c r="Z258" s="6">
        <f t="shared" si="115"/>
        <v>2.3747555012224941</v>
      </c>
      <c r="AA258" s="13">
        <f t="shared" si="116"/>
        <v>0.22409999999999999</v>
      </c>
      <c r="AB258" s="35">
        <f t="shared" si="117"/>
        <v>13.579000000000001</v>
      </c>
      <c r="AC258" s="6">
        <f t="shared" si="118"/>
        <v>1971.08</v>
      </c>
      <c r="AD258" s="6">
        <f t="shared" si="131"/>
        <v>1967.33</v>
      </c>
      <c r="AE258" s="29">
        <f t="shared" si="132"/>
        <v>1.04E-2</v>
      </c>
      <c r="AF258" s="13">
        <f t="shared" si="108"/>
        <v>0.19750000000000001</v>
      </c>
      <c r="AG258" s="22">
        <f t="shared" si="133"/>
        <v>61.8</v>
      </c>
      <c r="AH258" s="22">
        <f t="shared" si="109"/>
        <v>43.2</v>
      </c>
      <c r="AI258" s="22">
        <f t="shared" si="134"/>
        <v>57.149999999999991</v>
      </c>
      <c r="AJ258" s="22">
        <f t="shared" si="135"/>
        <v>57.51</v>
      </c>
    </row>
    <row r="259" spans="1:36" x14ac:dyDescent="0.25">
      <c r="A259" s="34">
        <v>35462</v>
      </c>
      <c r="B259" s="34">
        <f t="shared" si="110"/>
        <v>35520</v>
      </c>
      <c r="C259">
        <v>5434</v>
      </c>
      <c r="D259" s="6">
        <f t="shared" si="119"/>
        <v>5407.9</v>
      </c>
      <c r="E259" s="29">
        <f t="shared" si="120"/>
        <v>1.55E-2</v>
      </c>
      <c r="F259" s="29">
        <f t="shared" si="121"/>
        <v>0.01</v>
      </c>
      <c r="G259">
        <v>6035.3</v>
      </c>
      <c r="H259" s="6">
        <f t="shared" si="122"/>
        <v>6007.43</v>
      </c>
      <c r="I259" s="29">
        <f t="shared" si="123"/>
        <v>1.2999999999999999E-2</v>
      </c>
      <c r="J259" s="29">
        <f t="shared" si="124"/>
        <v>9.1999999999999998E-3</v>
      </c>
      <c r="K259">
        <v>2.3216100000000002</v>
      </c>
      <c r="L259">
        <v>2.36</v>
      </c>
      <c r="M259" s="35">
        <f t="shared" si="125"/>
        <v>2.3410000000000002</v>
      </c>
      <c r="N259">
        <v>162.4</v>
      </c>
      <c r="O259" s="29">
        <f t="shared" si="126"/>
        <v>-2.0000000000000001E-4</v>
      </c>
      <c r="P259">
        <v>6.2</v>
      </c>
      <c r="Q259" s="6">
        <f t="shared" si="111"/>
        <v>374.19</v>
      </c>
      <c r="R259">
        <v>8.25</v>
      </c>
      <c r="S259" s="36">
        <f t="shared" si="112"/>
        <v>45.9</v>
      </c>
      <c r="T259" s="6">
        <f t="shared" si="127"/>
        <v>118.39</v>
      </c>
      <c r="U259" s="6">
        <f t="shared" si="128"/>
        <v>118.05</v>
      </c>
      <c r="V259" s="29">
        <f t="shared" si="129"/>
        <v>9.4999999999999998E-3</v>
      </c>
      <c r="W259" s="29">
        <f t="shared" si="130"/>
        <v>6.1000000000000004E-3</v>
      </c>
      <c r="X259" s="13">
        <f t="shared" si="113"/>
        <v>2.9899999999999999E-2</v>
      </c>
      <c r="Y259" s="13">
        <f t="shared" si="114"/>
        <v>2.69E-2</v>
      </c>
      <c r="Z259" s="6">
        <f t="shared" si="115"/>
        <v>2.3041256157635468</v>
      </c>
      <c r="AA259" s="13">
        <f t="shared" si="116"/>
        <v>0.22189999999999999</v>
      </c>
      <c r="AB259" s="35">
        <f t="shared" si="117"/>
        <v>13.398</v>
      </c>
      <c r="AC259" s="6">
        <f t="shared" si="118"/>
        <v>1968.48</v>
      </c>
      <c r="AD259" s="6">
        <f t="shared" si="131"/>
        <v>1968.08</v>
      </c>
      <c r="AE259" s="29">
        <f t="shared" si="132"/>
        <v>1.9699999999999999E-2</v>
      </c>
      <c r="AF259" s="13">
        <f t="shared" si="108"/>
        <v>0.19009999999999999</v>
      </c>
      <c r="AG259" s="22">
        <f t="shared" si="133"/>
        <v>64.08</v>
      </c>
      <c r="AH259" s="22">
        <f t="shared" si="109"/>
        <v>40.82</v>
      </c>
      <c r="AI259" s="22">
        <f t="shared" si="134"/>
        <v>58.265000000000001</v>
      </c>
      <c r="AJ259" s="22">
        <f t="shared" si="135"/>
        <v>56.87</v>
      </c>
    </row>
    <row r="260" spans="1:36" x14ac:dyDescent="0.25">
      <c r="A260" s="34">
        <v>35431</v>
      </c>
      <c r="B260" s="34">
        <f t="shared" si="110"/>
        <v>35489</v>
      </c>
      <c r="C260">
        <v>5411.1</v>
      </c>
      <c r="D260" s="6">
        <f t="shared" si="119"/>
        <v>5380.3</v>
      </c>
      <c r="E260" s="29">
        <f t="shared" si="120"/>
        <v>1.5100000000000001E-2</v>
      </c>
      <c r="F260" s="29">
        <f t="shared" si="121"/>
        <v>1.09E-2</v>
      </c>
      <c r="G260">
        <v>6006</v>
      </c>
      <c r="H260" s="6">
        <f t="shared" si="122"/>
        <v>5980.27</v>
      </c>
      <c r="I260" s="29">
        <f t="shared" si="123"/>
        <v>1.2699999999999999E-2</v>
      </c>
      <c r="J260" s="29">
        <f t="shared" si="124"/>
        <v>8.6999999999999994E-3</v>
      </c>
      <c r="K260">
        <v>2.2673700000000001</v>
      </c>
      <c r="L260">
        <v>2.35</v>
      </c>
      <c r="M260" s="35">
        <f t="shared" si="125"/>
        <v>2.3090000000000002</v>
      </c>
      <c r="N260">
        <v>161.9</v>
      </c>
      <c r="O260" s="29">
        <f t="shared" si="126"/>
        <v>-3.3E-3</v>
      </c>
      <c r="P260">
        <v>6.2</v>
      </c>
      <c r="Q260" s="6">
        <f t="shared" si="111"/>
        <v>372.37</v>
      </c>
      <c r="R260">
        <v>8.25</v>
      </c>
      <c r="S260" s="36">
        <f t="shared" si="112"/>
        <v>45.81</v>
      </c>
      <c r="T260" s="6">
        <f t="shared" si="127"/>
        <v>118.12</v>
      </c>
      <c r="U260" s="6">
        <f t="shared" si="128"/>
        <v>117.68</v>
      </c>
      <c r="V260" s="29">
        <f t="shared" si="129"/>
        <v>9.1999999999999998E-3</v>
      </c>
      <c r="W260" s="29">
        <f t="shared" si="130"/>
        <v>6.8999999999999999E-3</v>
      </c>
      <c r="X260" s="13">
        <f t="shared" si="113"/>
        <v>2.9899999999999999E-2</v>
      </c>
      <c r="Y260" s="13">
        <f t="shared" si="114"/>
        <v>2.7E-2</v>
      </c>
      <c r="Z260" s="6">
        <f t="shared" si="115"/>
        <v>2.2999999999999998</v>
      </c>
      <c r="AA260" s="13">
        <f t="shared" si="116"/>
        <v>0.2228</v>
      </c>
      <c r="AB260" s="35">
        <f t="shared" si="117"/>
        <v>13.356999999999999</v>
      </c>
      <c r="AC260" s="6">
        <f t="shared" si="118"/>
        <v>1962.42</v>
      </c>
      <c r="AD260" s="6">
        <f t="shared" si="131"/>
        <v>1968.89</v>
      </c>
      <c r="AE260" s="29">
        <f t="shared" si="132"/>
        <v>3.0200000000000001E-2</v>
      </c>
      <c r="AF260" s="13">
        <f t="shared" ref="AF260:AF320" si="136">ROUND(Q260/AD260,4)</f>
        <v>0.18909999999999999</v>
      </c>
      <c r="AG260" s="22">
        <f t="shared" si="133"/>
        <v>64.23</v>
      </c>
      <c r="AH260" s="22">
        <f t="shared" si="109"/>
        <v>39.54</v>
      </c>
      <c r="AI260" s="22">
        <f t="shared" si="134"/>
        <v>58.057499999999997</v>
      </c>
      <c r="AJ260" s="22">
        <f t="shared" si="135"/>
        <v>55.39</v>
      </c>
    </row>
    <row r="261" spans="1:36" x14ac:dyDescent="0.25">
      <c r="A261" s="34">
        <v>35400</v>
      </c>
      <c r="B261" s="34">
        <f t="shared" si="110"/>
        <v>35461</v>
      </c>
      <c r="C261">
        <v>5378.6</v>
      </c>
      <c r="D261" s="6">
        <f t="shared" si="119"/>
        <v>5352.77</v>
      </c>
      <c r="E261" s="29">
        <f t="shared" si="120"/>
        <v>1.4800000000000001E-2</v>
      </c>
      <c r="F261" s="29">
        <f t="shared" si="121"/>
        <v>0.01</v>
      </c>
      <c r="G261">
        <v>5981</v>
      </c>
      <c r="H261" s="6">
        <f t="shared" si="122"/>
        <v>5953.93</v>
      </c>
      <c r="I261" s="29">
        <f t="shared" si="123"/>
        <v>1.2200000000000001E-2</v>
      </c>
      <c r="J261" s="29">
        <f t="shared" si="124"/>
        <v>8.6E-3</v>
      </c>
      <c r="K261">
        <v>2.3622000000000001</v>
      </c>
      <c r="L261">
        <v>2.39</v>
      </c>
      <c r="M261" s="35">
        <f t="shared" si="125"/>
        <v>2.3759999999999999</v>
      </c>
      <c r="N261">
        <v>162.80000000000001</v>
      </c>
      <c r="O261" s="29">
        <f t="shared" si="126"/>
        <v>6.6E-3</v>
      </c>
      <c r="P261">
        <v>6.4</v>
      </c>
      <c r="Q261" s="6">
        <f t="shared" si="111"/>
        <v>382.78</v>
      </c>
      <c r="R261">
        <v>8.25</v>
      </c>
      <c r="S261" s="36">
        <f t="shared" si="112"/>
        <v>45.72</v>
      </c>
      <c r="T261" s="6">
        <f t="shared" si="127"/>
        <v>117.64</v>
      </c>
      <c r="U261" s="6">
        <f t="shared" si="128"/>
        <v>117.31</v>
      </c>
      <c r="V261" s="29">
        <f t="shared" si="129"/>
        <v>8.9999999999999993E-3</v>
      </c>
      <c r="W261" s="29">
        <f t="shared" si="130"/>
        <v>6.0000000000000001E-3</v>
      </c>
      <c r="X261" s="13">
        <f t="shared" si="113"/>
        <v>3.0300000000000001E-2</v>
      </c>
      <c r="Y261" s="13">
        <f t="shared" si="114"/>
        <v>2.7199999999999998E-2</v>
      </c>
      <c r="Z261" s="6">
        <f t="shared" si="115"/>
        <v>2.3512285012285008</v>
      </c>
      <c r="AA261" s="13">
        <f t="shared" si="116"/>
        <v>0.22439999999999999</v>
      </c>
      <c r="AB261" s="35">
        <f t="shared" si="117"/>
        <v>13.430999999999999</v>
      </c>
      <c r="AC261" s="6">
        <f t="shared" si="118"/>
        <v>1973.33</v>
      </c>
      <c r="AD261" s="6">
        <f t="shared" si="131"/>
        <v>1968.89</v>
      </c>
      <c r="AE261" s="29">
        <f t="shared" si="132"/>
        <v>4.0599999999999997E-2</v>
      </c>
      <c r="AF261" s="13">
        <f t="shared" si="136"/>
        <v>0.19439999999999999</v>
      </c>
      <c r="AG261" s="22">
        <f t="shared" si="133"/>
        <v>62.71</v>
      </c>
      <c r="AH261" s="22">
        <f t="shared" ref="AH261:AH321" si="137">ROUND((I261*1500)+(J261*700)-(AA261*175)-(AE261*30)+Z261+52,2)</f>
        <v>38.18</v>
      </c>
      <c r="AI261" s="22">
        <f t="shared" si="134"/>
        <v>56.577500000000001</v>
      </c>
      <c r="AJ261" s="22">
        <f t="shared" si="135"/>
        <v>53.14</v>
      </c>
    </row>
    <row r="262" spans="1:36" x14ac:dyDescent="0.25">
      <c r="A262" s="34">
        <v>35370</v>
      </c>
      <c r="B262" s="34">
        <f t="shared" ref="B262:B320" si="138">EOMONTH(A262+40,0)</f>
        <v>35430</v>
      </c>
      <c r="C262">
        <v>5351.2</v>
      </c>
      <c r="D262" s="6">
        <f t="shared" si="119"/>
        <v>5325.43</v>
      </c>
      <c r="E262" s="29">
        <f t="shared" si="120"/>
        <v>1.3899999999999999E-2</v>
      </c>
      <c r="F262" s="29">
        <f t="shared" si="121"/>
        <v>9.7000000000000003E-3</v>
      </c>
      <c r="G262">
        <v>5953.8</v>
      </c>
      <c r="H262" s="6">
        <f t="shared" si="122"/>
        <v>5930.1</v>
      </c>
      <c r="I262" s="29">
        <f t="shared" si="123"/>
        <v>1.09E-2</v>
      </c>
      <c r="J262" s="29">
        <f t="shared" si="124"/>
        <v>8.2000000000000007E-3</v>
      </c>
      <c r="K262">
        <v>2.4414899999999999</v>
      </c>
      <c r="L262">
        <v>2.4</v>
      </c>
      <c r="M262" s="35">
        <f t="shared" si="125"/>
        <v>2.4209999999999998</v>
      </c>
      <c r="N262">
        <v>162.6</v>
      </c>
      <c r="O262" s="29">
        <f t="shared" si="126"/>
        <v>1.2200000000000001E-2</v>
      </c>
      <c r="P262">
        <v>6.4</v>
      </c>
      <c r="Q262" s="6">
        <f t="shared" ref="Q262:Q320" si="139">ROUND(G262*(P262*0.01),2)</f>
        <v>381.04</v>
      </c>
      <c r="R262">
        <v>8.25</v>
      </c>
      <c r="S262" s="36">
        <f t="shared" ref="S262:S318" si="140">ROUND((S263+(S263*((K262*0.01)/12))),2)</f>
        <v>45.63</v>
      </c>
      <c r="T262" s="6">
        <f t="shared" si="127"/>
        <v>117.27</v>
      </c>
      <c r="U262" s="6">
        <f t="shared" si="128"/>
        <v>116.94</v>
      </c>
      <c r="V262" s="29">
        <f t="shared" si="129"/>
        <v>8.3999999999999995E-3</v>
      </c>
      <c r="W262" s="29">
        <f t="shared" si="130"/>
        <v>5.7000000000000002E-3</v>
      </c>
      <c r="X262" s="13">
        <f t="shared" ref="X262:X320" si="141">ROUND(N262/C262,4)</f>
        <v>3.04E-2</v>
      </c>
      <c r="Y262" s="13">
        <f t="shared" ref="Y262:Y320" si="142">ROUND(N262/G262,4)</f>
        <v>2.7300000000000001E-2</v>
      </c>
      <c r="Z262" s="6">
        <f t="shared" ref="Z262:Z320" si="143">Q262/N262</f>
        <v>2.3434194341943422</v>
      </c>
      <c r="AA262" s="13">
        <f t="shared" ref="AA262:AA320" si="144">ROUND(Y262*R262,4)</f>
        <v>0.22520000000000001</v>
      </c>
      <c r="AB262" s="35">
        <f t="shared" ref="AB262:AB320" si="145">ROUND(N262*(R262*0.01),3)</f>
        <v>13.414999999999999</v>
      </c>
      <c r="AC262" s="6">
        <f t="shared" ref="AC262:AC320" si="146">ROUND(N262/(R262*0.01),2)</f>
        <v>1970.91</v>
      </c>
      <c r="AD262" s="6">
        <f t="shared" si="131"/>
        <v>1960.4</v>
      </c>
      <c r="AE262" s="29">
        <f t="shared" si="132"/>
        <v>4.5199999999999997E-2</v>
      </c>
      <c r="AF262" s="13">
        <f t="shared" si="136"/>
        <v>0.19439999999999999</v>
      </c>
      <c r="AG262" s="22">
        <f t="shared" si="133"/>
        <v>60.88</v>
      </c>
      <c r="AH262" s="22">
        <f t="shared" si="137"/>
        <v>35.67</v>
      </c>
      <c r="AI262" s="22">
        <f t="shared" si="134"/>
        <v>54.577500000000001</v>
      </c>
      <c r="AJ262" s="22">
        <f t="shared" si="135"/>
        <v>51.08</v>
      </c>
    </row>
    <row r="263" spans="1:36" x14ac:dyDescent="0.25">
      <c r="A263" s="34">
        <v>35339</v>
      </c>
      <c r="B263" s="34">
        <f t="shared" si="138"/>
        <v>35399</v>
      </c>
      <c r="C263">
        <v>5328.5</v>
      </c>
      <c r="D263" s="6">
        <f t="shared" ref="D263:D319" si="147">ROUND(AVERAGE(C263:C265),2)</f>
        <v>5300.03</v>
      </c>
      <c r="E263" s="29">
        <f t="shared" ref="E263:E318" si="148">ROUND((D263-D266)/D266,4)</f>
        <v>1.24E-2</v>
      </c>
      <c r="F263" s="29">
        <f t="shared" ref="F263:F318" si="149">ROUND((C263-AVERAGE(C264:C266))/AVERAGE(C264:C266),4)</f>
        <v>1.0200000000000001E-2</v>
      </c>
      <c r="G263">
        <v>5927</v>
      </c>
      <c r="H263" s="6">
        <f t="shared" ref="H263:H319" si="150">ROUND(AVERAGE(G263:G265),2)</f>
        <v>5905.17</v>
      </c>
      <c r="I263" s="29">
        <f t="shared" ref="I263:I318" si="151">ROUND((H263-H266)/H266,4)</f>
        <v>9.7000000000000003E-3</v>
      </c>
      <c r="J263" s="29">
        <f t="shared" ref="J263:J318" si="152">ROUND((G263-AVERAGE(G264:G266))/AVERAGE(G264:G266),4)</f>
        <v>7.6E-3</v>
      </c>
      <c r="K263">
        <v>2.25596</v>
      </c>
      <c r="L263">
        <v>2.34</v>
      </c>
      <c r="M263" s="35">
        <f t="shared" ref="M263:M284" si="153">ROUND((K263+L263)/2,3)</f>
        <v>2.298</v>
      </c>
      <c r="N263">
        <v>161.9</v>
      </c>
      <c r="O263" s="29">
        <f t="shared" ref="O263:O318" si="154">ROUND((N263-AVERAGE(N264:N266))/AVERAGE(N264:N266),4)</f>
        <v>1.67E-2</v>
      </c>
      <c r="P263">
        <v>6.4</v>
      </c>
      <c r="Q263" s="6">
        <f t="shared" si="139"/>
        <v>379.33</v>
      </c>
      <c r="R263">
        <v>8.25</v>
      </c>
      <c r="S263" s="36">
        <f t="shared" si="140"/>
        <v>45.54</v>
      </c>
      <c r="T263" s="6">
        <f t="shared" ref="T263:T320" si="155">ROUND(C263/S263,2)</f>
        <v>117.01</v>
      </c>
      <c r="U263" s="6">
        <f t="shared" ref="U263:U319" si="156">ROUND(AVERAGE(T263:T265),2)</f>
        <v>116.61</v>
      </c>
      <c r="V263" s="29">
        <f t="shared" ref="V263:V318" si="157">ROUND((U263-U266)/U266,4)</f>
        <v>7.0000000000000001E-3</v>
      </c>
      <c r="W263" s="29">
        <f t="shared" ref="W263:W318" si="158">ROUND((T263-AVERAGE(T264:T266))/AVERAGE(T264:T266),4)</f>
        <v>6.4999999999999997E-3</v>
      </c>
      <c r="X263" s="13">
        <f t="shared" si="141"/>
        <v>3.04E-2</v>
      </c>
      <c r="Y263" s="13">
        <f t="shared" si="142"/>
        <v>2.7300000000000001E-2</v>
      </c>
      <c r="Z263" s="6">
        <f t="shared" si="143"/>
        <v>2.3429894996911673</v>
      </c>
      <c r="AA263" s="13">
        <f t="shared" si="144"/>
        <v>0.22520000000000001</v>
      </c>
      <c r="AB263" s="35">
        <f t="shared" si="145"/>
        <v>13.356999999999999</v>
      </c>
      <c r="AC263" s="6">
        <f t="shared" si="146"/>
        <v>1962.42</v>
      </c>
      <c r="AD263" s="6">
        <f t="shared" ref="AD263:AD319" si="159">ROUND(AVERAGE(AC263:AC265),2)</f>
        <v>1947.07</v>
      </c>
      <c r="AE263" s="29">
        <f t="shared" ref="AE263:AE315" si="160">ROUND((AD263-AD268)/AD268,4)</f>
        <v>4.6199999999999998E-2</v>
      </c>
      <c r="AF263" s="13">
        <f t="shared" si="136"/>
        <v>0.1948</v>
      </c>
      <c r="AG263" s="22">
        <f t="shared" ref="AG263:AG320" si="161">ROUND((W263*500)+(V263*1000)+(E263*1000)+(F263*500)-(X263*300)+40,2)</f>
        <v>58.63</v>
      </c>
      <c r="AH263" s="22">
        <f t="shared" si="137"/>
        <v>33.42</v>
      </c>
      <c r="AI263" s="22">
        <f t="shared" ref="AI263:AI321" si="162">IF((AG263*0.75)+(AH263*0.25)&lt;0,0,(AG263*0.75)+(AH263*0.25))</f>
        <v>52.327500000000001</v>
      </c>
      <c r="AJ263" s="22">
        <f t="shared" ref="AJ263:AJ318" si="163">ROUND(AVERAGE(AI263:AI266),2)</f>
        <v>50.61</v>
      </c>
    </row>
    <row r="264" spans="1:36" x14ac:dyDescent="0.25">
      <c r="A264" s="34">
        <v>35309</v>
      </c>
      <c r="B264" s="34">
        <f t="shared" si="138"/>
        <v>35369</v>
      </c>
      <c r="C264">
        <v>5296.6</v>
      </c>
      <c r="D264" s="6">
        <f t="shared" si="147"/>
        <v>5274.5</v>
      </c>
      <c r="E264" s="29">
        <f t="shared" si="148"/>
        <v>1.03E-2</v>
      </c>
      <c r="F264" s="29">
        <f t="shared" si="149"/>
        <v>8.3999999999999995E-3</v>
      </c>
      <c r="G264">
        <v>5909.5</v>
      </c>
      <c r="H264" s="6">
        <f t="shared" si="150"/>
        <v>5882.3</v>
      </c>
      <c r="I264" s="29">
        <f t="shared" si="151"/>
        <v>1.24E-2</v>
      </c>
      <c r="J264" s="29">
        <f t="shared" si="152"/>
        <v>7.4000000000000003E-3</v>
      </c>
      <c r="K264">
        <v>2.2118600000000002</v>
      </c>
      <c r="L264">
        <v>2.37</v>
      </c>
      <c r="M264" s="35">
        <f t="shared" si="153"/>
        <v>2.2909999999999999</v>
      </c>
      <c r="N264">
        <v>160.69999999999999</v>
      </c>
      <c r="O264" s="29">
        <f t="shared" si="154"/>
        <v>1.9199999999999998E-2</v>
      </c>
      <c r="P264">
        <v>6.7</v>
      </c>
      <c r="Q264" s="6">
        <f t="shared" si="139"/>
        <v>395.94</v>
      </c>
      <c r="R264">
        <v>8.25</v>
      </c>
      <c r="S264" s="36">
        <f t="shared" si="140"/>
        <v>45.45</v>
      </c>
      <c r="T264" s="6">
        <f t="shared" si="155"/>
        <v>116.54</v>
      </c>
      <c r="U264" s="6">
        <f t="shared" si="156"/>
        <v>116.26</v>
      </c>
      <c r="V264" s="29">
        <f t="shared" si="157"/>
        <v>5.0000000000000001E-3</v>
      </c>
      <c r="W264" s="29">
        <f t="shared" si="158"/>
        <v>4.8999999999999998E-3</v>
      </c>
      <c r="X264" s="13">
        <f t="shared" si="141"/>
        <v>3.0300000000000001E-2</v>
      </c>
      <c r="Y264" s="13">
        <f t="shared" si="142"/>
        <v>2.7199999999999998E-2</v>
      </c>
      <c r="Z264" s="6">
        <f t="shared" si="143"/>
        <v>2.4638456751711266</v>
      </c>
      <c r="AA264" s="13">
        <f t="shared" si="144"/>
        <v>0.22439999999999999</v>
      </c>
      <c r="AB264" s="35">
        <f t="shared" si="145"/>
        <v>13.257999999999999</v>
      </c>
      <c r="AC264" s="6">
        <f t="shared" si="146"/>
        <v>1947.88</v>
      </c>
      <c r="AD264" s="6">
        <f t="shared" si="159"/>
        <v>1930.1</v>
      </c>
      <c r="AE264" s="29">
        <f t="shared" si="160"/>
        <v>4.3700000000000003E-2</v>
      </c>
      <c r="AF264" s="13">
        <f t="shared" si="136"/>
        <v>0.2051</v>
      </c>
      <c r="AG264" s="22">
        <f t="shared" si="161"/>
        <v>52.86</v>
      </c>
      <c r="AH264" s="22">
        <f t="shared" si="137"/>
        <v>37.659999999999997</v>
      </c>
      <c r="AI264" s="22">
        <f t="shared" si="162"/>
        <v>49.059999999999995</v>
      </c>
      <c r="AJ264" s="22">
        <f t="shared" si="163"/>
        <v>52.62</v>
      </c>
    </row>
    <row r="265" spans="1:36" x14ac:dyDescent="0.25">
      <c r="A265" s="34">
        <v>35278</v>
      </c>
      <c r="B265" s="34">
        <f t="shared" si="138"/>
        <v>35338</v>
      </c>
      <c r="C265">
        <v>5275</v>
      </c>
      <c r="D265" s="6">
        <f t="shared" si="147"/>
        <v>5252.23</v>
      </c>
      <c r="E265" s="29">
        <f t="shared" si="148"/>
        <v>9.7000000000000003E-3</v>
      </c>
      <c r="F265" s="29">
        <f t="shared" si="149"/>
        <v>7.6E-3</v>
      </c>
      <c r="G265">
        <v>5879</v>
      </c>
      <c r="H265" s="6">
        <f t="shared" si="150"/>
        <v>5866.23</v>
      </c>
      <c r="I265" s="29">
        <f t="shared" si="151"/>
        <v>1.55E-2</v>
      </c>
      <c r="J265" s="29">
        <f t="shared" si="152"/>
        <v>5.1999999999999998E-3</v>
      </c>
      <c r="K265">
        <v>1.99397</v>
      </c>
      <c r="L265">
        <v>2.31</v>
      </c>
      <c r="M265" s="35">
        <f t="shared" si="153"/>
        <v>2.1520000000000001</v>
      </c>
      <c r="N265">
        <v>159.30000000000001</v>
      </c>
      <c r="O265" s="29">
        <f t="shared" si="154"/>
        <v>2.0500000000000001E-2</v>
      </c>
      <c r="P265">
        <v>6.6</v>
      </c>
      <c r="Q265" s="6">
        <f t="shared" si="139"/>
        <v>388.01</v>
      </c>
      <c r="R265">
        <v>8.25</v>
      </c>
      <c r="S265" s="36">
        <f t="shared" si="140"/>
        <v>45.37</v>
      </c>
      <c r="T265" s="6">
        <f t="shared" si="155"/>
        <v>116.27</v>
      </c>
      <c r="U265" s="6">
        <f t="shared" si="156"/>
        <v>115.97</v>
      </c>
      <c r="V265" s="29">
        <f t="shared" si="157"/>
        <v>4.4000000000000003E-3</v>
      </c>
      <c r="W265" s="29">
        <f t="shared" si="158"/>
        <v>4.1000000000000003E-3</v>
      </c>
      <c r="X265" s="13">
        <f t="shared" si="141"/>
        <v>3.0200000000000001E-2</v>
      </c>
      <c r="Y265" s="13">
        <f t="shared" si="142"/>
        <v>2.7099999999999999E-2</v>
      </c>
      <c r="Z265" s="6">
        <f t="shared" si="143"/>
        <v>2.4357187696170746</v>
      </c>
      <c r="AA265" s="13">
        <f t="shared" si="144"/>
        <v>0.22359999999999999</v>
      </c>
      <c r="AB265" s="35">
        <f t="shared" si="145"/>
        <v>13.141999999999999</v>
      </c>
      <c r="AC265" s="6">
        <f t="shared" si="146"/>
        <v>1930.91</v>
      </c>
      <c r="AD265" s="6">
        <f t="shared" si="159"/>
        <v>1911.11</v>
      </c>
      <c r="AE265" s="29">
        <f t="shared" si="160"/>
        <v>4.9799999999999997E-2</v>
      </c>
      <c r="AF265" s="13">
        <f t="shared" si="136"/>
        <v>0.20300000000000001</v>
      </c>
      <c r="AG265" s="22">
        <f t="shared" si="161"/>
        <v>50.89</v>
      </c>
      <c r="AH265" s="22">
        <f t="shared" si="137"/>
        <v>40.700000000000003</v>
      </c>
      <c r="AI265" s="22">
        <f t="shared" si="162"/>
        <v>48.342500000000001</v>
      </c>
      <c r="AJ265" s="22">
        <f t="shared" si="163"/>
        <v>56.89</v>
      </c>
    </row>
    <row r="266" spans="1:36" x14ac:dyDescent="0.25">
      <c r="A266" s="34">
        <v>35247</v>
      </c>
      <c r="B266" s="34">
        <f t="shared" si="138"/>
        <v>35308</v>
      </c>
      <c r="C266">
        <v>5251.9</v>
      </c>
      <c r="D266" s="6">
        <f t="shared" si="147"/>
        <v>5235.17</v>
      </c>
      <c r="E266" s="29">
        <f t="shared" si="148"/>
        <v>1.23E-2</v>
      </c>
      <c r="F266" s="29">
        <f t="shared" si="149"/>
        <v>6.0000000000000001E-3</v>
      </c>
      <c r="G266">
        <v>5858.4</v>
      </c>
      <c r="H266" s="6">
        <f t="shared" si="150"/>
        <v>5848.63</v>
      </c>
      <c r="I266" s="29">
        <f t="shared" si="151"/>
        <v>1.84E-2</v>
      </c>
      <c r="J266" s="29">
        <f t="shared" si="152"/>
        <v>8.3000000000000001E-3</v>
      </c>
      <c r="K266">
        <v>2.1165600000000002</v>
      </c>
      <c r="L266">
        <v>2.3199999999999998</v>
      </c>
      <c r="M266" s="35">
        <f t="shared" si="153"/>
        <v>2.218</v>
      </c>
      <c r="N266">
        <v>157.69999999999999</v>
      </c>
      <c r="O266" s="29">
        <f t="shared" si="154"/>
        <v>1.9199999999999998E-2</v>
      </c>
      <c r="P266">
        <v>6.7</v>
      </c>
      <c r="Q266" s="6">
        <f t="shared" si="139"/>
        <v>392.51</v>
      </c>
      <c r="R266">
        <v>8.25</v>
      </c>
      <c r="S266" s="36">
        <f t="shared" si="140"/>
        <v>45.29</v>
      </c>
      <c r="T266" s="6">
        <f t="shared" si="155"/>
        <v>115.96</v>
      </c>
      <c r="U266" s="6">
        <f t="shared" si="156"/>
        <v>115.8</v>
      </c>
      <c r="V266" s="29">
        <f t="shared" si="157"/>
        <v>7.0000000000000001E-3</v>
      </c>
      <c r="W266" s="29">
        <f t="shared" si="158"/>
        <v>2.3999999999999998E-3</v>
      </c>
      <c r="X266" s="13">
        <f t="shared" si="141"/>
        <v>0.03</v>
      </c>
      <c r="Y266" s="13">
        <f t="shared" si="142"/>
        <v>2.69E-2</v>
      </c>
      <c r="Z266" s="6">
        <f t="shared" si="143"/>
        <v>2.4889663918833227</v>
      </c>
      <c r="AA266" s="13">
        <f t="shared" si="144"/>
        <v>0.22189999999999999</v>
      </c>
      <c r="AB266" s="35">
        <f t="shared" si="145"/>
        <v>13.01</v>
      </c>
      <c r="AC266" s="6">
        <f t="shared" si="146"/>
        <v>1911.52</v>
      </c>
      <c r="AD266" s="6">
        <f t="shared" si="159"/>
        <v>1892.12</v>
      </c>
      <c r="AE266" s="29">
        <f t="shared" si="160"/>
        <v>5.91E-2</v>
      </c>
      <c r="AF266" s="13">
        <f t="shared" si="136"/>
        <v>0.2074</v>
      </c>
      <c r="AG266" s="22">
        <f t="shared" si="161"/>
        <v>54.5</v>
      </c>
      <c r="AH266" s="22">
        <f t="shared" si="137"/>
        <v>47.29</v>
      </c>
      <c r="AI266" s="22">
        <f t="shared" si="162"/>
        <v>52.697499999999998</v>
      </c>
      <c r="AJ266" s="22">
        <f t="shared" si="163"/>
        <v>61.45</v>
      </c>
    </row>
    <row r="267" spans="1:36" x14ac:dyDescent="0.25">
      <c r="A267" s="34">
        <v>35217</v>
      </c>
      <c r="B267" s="34">
        <f t="shared" si="138"/>
        <v>35277</v>
      </c>
      <c r="C267">
        <v>5229.8</v>
      </c>
      <c r="D267" s="6">
        <f t="shared" si="147"/>
        <v>5220.53</v>
      </c>
      <c r="E267" s="29">
        <f t="shared" si="148"/>
        <v>1.7500000000000002E-2</v>
      </c>
      <c r="F267" s="29">
        <f t="shared" si="149"/>
        <v>5.4000000000000003E-3</v>
      </c>
      <c r="G267">
        <v>5861.3</v>
      </c>
      <c r="H267" s="6">
        <f t="shared" si="150"/>
        <v>5810.27</v>
      </c>
      <c r="I267" s="29">
        <f t="shared" si="151"/>
        <v>1.5900000000000001E-2</v>
      </c>
      <c r="J267" s="29">
        <f t="shared" si="152"/>
        <v>1.46E-2</v>
      </c>
      <c r="K267">
        <v>2.0286499999999998</v>
      </c>
      <c r="L267">
        <v>2.2799999999999998</v>
      </c>
      <c r="M267" s="35">
        <f t="shared" si="153"/>
        <v>2.1539999999999999</v>
      </c>
      <c r="N267">
        <v>156</v>
      </c>
      <c r="O267" s="29">
        <f t="shared" si="154"/>
        <v>1.61E-2</v>
      </c>
      <c r="P267">
        <v>7.1</v>
      </c>
      <c r="Q267" s="6">
        <f t="shared" si="139"/>
        <v>416.15</v>
      </c>
      <c r="R267">
        <v>8.25</v>
      </c>
      <c r="S267" s="36">
        <f t="shared" si="140"/>
        <v>45.21</v>
      </c>
      <c r="T267" s="6">
        <f t="shared" si="155"/>
        <v>115.68</v>
      </c>
      <c r="U267" s="6">
        <f t="shared" si="156"/>
        <v>115.68</v>
      </c>
      <c r="V267" s="29">
        <f t="shared" si="157"/>
        <v>1.23E-2</v>
      </c>
      <c r="W267" s="29">
        <f t="shared" si="158"/>
        <v>1.9E-3</v>
      </c>
      <c r="X267" s="13">
        <f t="shared" si="141"/>
        <v>2.98E-2</v>
      </c>
      <c r="Y267" s="13">
        <f t="shared" si="142"/>
        <v>2.6599999999999999E-2</v>
      </c>
      <c r="Z267" s="6">
        <f t="shared" si="143"/>
        <v>2.6676282051282052</v>
      </c>
      <c r="AA267" s="13">
        <f t="shared" si="144"/>
        <v>0.2195</v>
      </c>
      <c r="AB267" s="35">
        <f t="shared" si="145"/>
        <v>12.87</v>
      </c>
      <c r="AC267" s="6">
        <f t="shared" si="146"/>
        <v>1890.91</v>
      </c>
      <c r="AD267" s="6">
        <f t="shared" si="159"/>
        <v>1875.56</v>
      </c>
      <c r="AE267" s="29">
        <f t="shared" si="160"/>
        <v>7.5700000000000003E-2</v>
      </c>
      <c r="AF267" s="13">
        <f t="shared" si="136"/>
        <v>0.22189999999999999</v>
      </c>
      <c r="AG267" s="22">
        <f t="shared" si="161"/>
        <v>64.510000000000005</v>
      </c>
      <c r="AH267" s="22">
        <f t="shared" si="137"/>
        <v>48.05</v>
      </c>
      <c r="AI267" s="22">
        <f t="shared" si="162"/>
        <v>60.39500000000001</v>
      </c>
      <c r="AJ267" s="22">
        <f t="shared" si="163"/>
        <v>63.79</v>
      </c>
    </row>
    <row r="268" spans="1:36" x14ac:dyDescent="0.25">
      <c r="A268" s="34">
        <v>35186</v>
      </c>
      <c r="B268" s="34">
        <f t="shared" si="138"/>
        <v>35246</v>
      </c>
      <c r="C268">
        <v>5223.8</v>
      </c>
      <c r="D268" s="6">
        <f t="shared" si="147"/>
        <v>5201.7</v>
      </c>
      <c r="E268" s="29">
        <f t="shared" si="148"/>
        <v>1.89E-2</v>
      </c>
      <c r="F268" s="29">
        <f t="shared" si="149"/>
        <v>1.01E-2</v>
      </c>
      <c r="G268">
        <v>5826.2</v>
      </c>
      <c r="H268" s="6">
        <f t="shared" si="150"/>
        <v>5776.73</v>
      </c>
      <c r="I268" s="29">
        <f t="shared" si="151"/>
        <v>1.6500000000000001E-2</v>
      </c>
      <c r="J268" s="29">
        <f t="shared" si="152"/>
        <v>1.4500000000000001E-2</v>
      </c>
      <c r="K268">
        <v>2.1296499999999998</v>
      </c>
      <c r="L268">
        <v>2.2400000000000002</v>
      </c>
      <c r="M268" s="35">
        <f t="shared" si="153"/>
        <v>2.1850000000000001</v>
      </c>
      <c r="N268">
        <v>154.6</v>
      </c>
      <c r="O268" s="29">
        <f t="shared" si="154"/>
        <v>1.3299999999999999E-2</v>
      </c>
      <c r="P268">
        <v>6.7</v>
      </c>
      <c r="Q268" s="6">
        <f t="shared" si="139"/>
        <v>390.36</v>
      </c>
      <c r="R268">
        <v>8.25</v>
      </c>
      <c r="S268" s="36">
        <f t="shared" si="140"/>
        <v>45.13</v>
      </c>
      <c r="T268" s="6">
        <f t="shared" si="155"/>
        <v>115.75</v>
      </c>
      <c r="U268" s="6">
        <f t="shared" si="156"/>
        <v>115.46</v>
      </c>
      <c r="V268" s="29">
        <f t="shared" si="157"/>
        <v>1.3599999999999999E-2</v>
      </c>
      <c r="W268" s="29">
        <f t="shared" si="158"/>
        <v>6.6E-3</v>
      </c>
      <c r="X268" s="13">
        <f t="shared" si="141"/>
        <v>2.9600000000000001E-2</v>
      </c>
      <c r="Y268" s="13">
        <f t="shared" si="142"/>
        <v>2.6499999999999999E-2</v>
      </c>
      <c r="Z268" s="6">
        <f t="shared" si="143"/>
        <v>2.5249676584734799</v>
      </c>
      <c r="AA268" s="13">
        <f t="shared" si="144"/>
        <v>0.21859999999999999</v>
      </c>
      <c r="AB268" s="35">
        <f t="shared" si="145"/>
        <v>12.755000000000001</v>
      </c>
      <c r="AC268" s="6">
        <f t="shared" si="146"/>
        <v>1873.94</v>
      </c>
      <c r="AD268" s="6">
        <f t="shared" si="159"/>
        <v>1861.01</v>
      </c>
      <c r="AE268" s="29">
        <f t="shared" si="160"/>
        <v>8.5199999999999998E-2</v>
      </c>
      <c r="AF268" s="13">
        <f t="shared" si="136"/>
        <v>0.20979999999999999</v>
      </c>
      <c r="AG268" s="22">
        <f t="shared" si="161"/>
        <v>71.97</v>
      </c>
      <c r="AH268" s="22">
        <f t="shared" si="137"/>
        <v>48.61</v>
      </c>
      <c r="AI268" s="22">
        <f t="shared" si="162"/>
        <v>66.13</v>
      </c>
      <c r="AJ268" s="22">
        <f t="shared" si="163"/>
        <v>63.46</v>
      </c>
    </row>
    <row r="269" spans="1:36" x14ac:dyDescent="0.25">
      <c r="A269" s="34">
        <v>35156</v>
      </c>
      <c r="B269" s="34">
        <f t="shared" si="138"/>
        <v>35216</v>
      </c>
      <c r="C269">
        <v>5208</v>
      </c>
      <c r="D269" s="6">
        <f t="shared" si="147"/>
        <v>5171.37</v>
      </c>
      <c r="E269" s="29">
        <f t="shared" si="148"/>
        <v>1.8100000000000002E-2</v>
      </c>
      <c r="F269" s="29">
        <f t="shared" si="149"/>
        <v>1.5100000000000001E-2</v>
      </c>
      <c r="G269">
        <v>5743.3</v>
      </c>
      <c r="H269" s="6">
        <f t="shared" si="150"/>
        <v>5742.97</v>
      </c>
      <c r="I269" s="29">
        <f t="shared" si="151"/>
        <v>1.6E-2</v>
      </c>
      <c r="J269" s="29">
        <f t="shared" si="152"/>
        <v>4.1999999999999997E-3</v>
      </c>
      <c r="K269">
        <v>2.1105700000000001</v>
      </c>
      <c r="L269">
        <v>2.21</v>
      </c>
      <c r="M269" s="35">
        <f t="shared" si="153"/>
        <v>2.16</v>
      </c>
      <c r="N269">
        <v>153.6</v>
      </c>
      <c r="O269" s="29">
        <f t="shared" si="154"/>
        <v>1.2699999999999999E-2</v>
      </c>
      <c r="P269">
        <v>5.7</v>
      </c>
      <c r="Q269" s="6">
        <f t="shared" si="139"/>
        <v>327.37</v>
      </c>
      <c r="R269">
        <v>8.25</v>
      </c>
      <c r="S269" s="36">
        <f t="shared" si="140"/>
        <v>45.05</v>
      </c>
      <c r="T269" s="6">
        <f t="shared" si="155"/>
        <v>115.6</v>
      </c>
      <c r="U269" s="6">
        <f t="shared" si="156"/>
        <v>114.99</v>
      </c>
      <c r="V269" s="29">
        <f t="shared" si="157"/>
        <v>1.2999999999999999E-2</v>
      </c>
      <c r="W269" s="29">
        <f t="shared" si="158"/>
        <v>1.15E-2</v>
      </c>
      <c r="X269" s="13">
        <f t="shared" si="141"/>
        <v>2.9499999999999998E-2</v>
      </c>
      <c r="Y269" s="13">
        <f t="shared" si="142"/>
        <v>2.6700000000000002E-2</v>
      </c>
      <c r="Z269" s="6">
        <f t="shared" si="143"/>
        <v>2.1313151041666667</v>
      </c>
      <c r="AA269" s="13">
        <f t="shared" si="144"/>
        <v>0.2203</v>
      </c>
      <c r="AB269" s="35">
        <f t="shared" si="145"/>
        <v>12.672000000000001</v>
      </c>
      <c r="AC269" s="6">
        <f t="shared" si="146"/>
        <v>1861.82</v>
      </c>
      <c r="AD269" s="6">
        <f t="shared" si="159"/>
        <v>1849.29</v>
      </c>
      <c r="AE269" s="29">
        <f t="shared" si="160"/>
        <v>9.6799999999999997E-2</v>
      </c>
      <c r="AF269" s="13">
        <f t="shared" si="136"/>
        <v>0.17699999999999999</v>
      </c>
      <c r="AG269" s="22">
        <f t="shared" si="161"/>
        <v>75.55</v>
      </c>
      <c r="AH269" s="22">
        <f t="shared" si="137"/>
        <v>39.61</v>
      </c>
      <c r="AI269" s="22">
        <f t="shared" si="162"/>
        <v>66.564999999999998</v>
      </c>
      <c r="AJ269" s="22">
        <f t="shared" si="163"/>
        <v>59.65</v>
      </c>
    </row>
    <row r="270" spans="1:36" x14ac:dyDescent="0.25">
      <c r="A270" s="34">
        <v>35125</v>
      </c>
      <c r="B270" s="34">
        <f t="shared" si="138"/>
        <v>35185</v>
      </c>
      <c r="C270">
        <v>5173.3</v>
      </c>
      <c r="D270" s="6">
        <f t="shared" si="147"/>
        <v>5130.6000000000004</v>
      </c>
      <c r="E270" s="29">
        <f t="shared" si="148"/>
        <v>1.4800000000000001E-2</v>
      </c>
      <c r="F270" s="29">
        <f t="shared" si="149"/>
        <v>1.3299999999999999E-2</v>
      </c>
      <c r="G270">
        <v>5760.7</v>
      </c>
      <c r="H270" s="6">
        <f t="shared" si="150"/>
        <v>5719.2</v>
      </c>
      <c r="I270" s="29">
        <f t="shared" si="151"/>
        <v>1.5100000000000001E-2</v>
      </c>
      <c r="J270" s="29">
        <f t="shared" si="152"/>
        <v>1.37E-2</v>
      </c>
      <c r="K270">
        <v>2.0727099999999998</v>
      </c>
      <c r="L270">
        <v>2.25</v>
      </c>
      <c r="M270" s="35">
        <f t="shared" si="153"/>
        <v>2.161</v>
      </c>
      <c r="N270">
        <v>152.4</v>
      </c>
      <c r="O270" s="29">
        <f t="shared" si="154"/>
        <v>7.9000000000000008E-3</v>
      </c>
      <c r="P270">
        <v>6.6</v>
      </c>
      <c r="Q270" s="6">
        <f t="shared" si="139"/>
        <v>380.21</v>
      </c>
      <c r="R270">
        <v>8.25</v>
      </c>
      <c r="S270" s="36">
        <f t="shared" si="140"/>
        <v>44.97</v>
      </c>
      <c r="T270" s="6">
        <f t="shared" si="155"/>
        <v>115.04</v>
      </c>
      <c r="U270" s="6">
        <f t="shared" si="156"/>
        <v>114.28</v>
      </c>
      <c r="V270" s="29">
        <f t="shared" si="157"/>
        <v>0.01</v>
      </c>
      <c r="W270" s="29">
        <f t="shared" si="158"/>
        <v>9.9000000000000008E-3</v>
      </c>
      <c r="X270" s="13">
        <f t="shared" si="141"/>
        <v>2.9499999999999998E-2</v>
      </c>
      <c r="Y270" s="13">
        <f t="shared" si="142"/>
        <v>2.6499999999999999E-2</v>
      </c>
      <c r="Z270" s="6">
        <f t="shared" si="143"/>
        <v>2.4948162729658789</v>
      </c>
      <c r="AA270" s="13">
        <f t="shared" si="144"/>
        <v>0.21859999999999999</v>
      </c>
      <c r="AB270" s="35">
        <f t="shared" si="145"/>
        <v>12.573</v>
      </c>
      <c r="AC270" s="6">
        <f t="shared" si="146"/>
        <v>1847.27</v>
      </c>
      <c r="AD270" s="6">
        <f t="shared" si="159"/>
        <v>1820.45</v>
      </c>
      <c r="AE270" s="29">
        <f t="shared" si="160"/>
        <v>9.4799999999999995E-2</v>
      </c>
      <c r="AF270" s="13">
        <f t="shared" si="136"/>
        <v>0.2089</v>
      </c>
      <c r="AG270" s="22">
        <f t="shared" si="161"/>
        <v>67.55</v>
      </c>
      <c r="AH270" s="22">
        <f t="shared" si="137"/>
        <v>45.64</v>
      </c>
      <c r="AI270" s="22">
        <f t="shared" si="162"/>
        <v>62.072499999999991</v>
      </c>
      <c r="AJ270" s="22">
        <f t="shared" si="163"/>
        <v>56.42</v>
      </c>
    </row>
    <row r="271" spans="1:36" x14ac:dyDescent="0.25">
      <c r="A271" s="34">
        <v>35096</v>
      </c>
      <c r="B271" s="34">
        <f t="shared" si="138"/>
        <v>35155</v>
      </c>
      <c r="C271">
        <v>5132.8</v>
      </c>
      <c r="D271" s="6">
        <f t="shared" si="147"/>
        <v>5105.33</v>
      </c>
      <c r="E271" s="29">
        <f t="shared" si="148"/>
        <v>1.4999999999999999E-2</v>
      </c>
      <c r="F271" s="29">
        <f t="shared" si="149"/>
        <v>1.0500000000000001E-2</v>
      </c>
      <c r="G271">
        <v>5724.9</v>
      </c>
      <c r="H271" s="6">
        <f t="shared" si="150"/>
        <v>5682.87</v>
      </c>
      <c r="I271" s="29">
        <f t="shared" si="151"/>
        <v>1.1900000000000001E-2</v>
      </c>
      <c r="J271" s="29">
        <f t="shared" si="152"/>
        <v>1.2800000000000001E-2</v>
      </c>
      <c r="K271">
        <v>1.95448</v>
      </c>
      <c r="L271">
        <v>2.2400000000000002</v>
      </c>
      <c r="M271" s="35">
        <f t="shared" si="153"/>
        <v>2.097</v>
      </c>
      <c r="N271">
        <v>151.69999999999999</v>
      </c>
      <c r="O271" s="29">
        <f t="shared" si="154"/>
        <v>8.0000000000000002E-3</v>
      </c>
      <c r="P271">
        <v>6.7</v>
      </c>
      <c r="Q271" s="6">
        <f t="shared" si="139"/>
        <v>383.57</v>
      </c>
      <c r="R271">
        <v>8.25</v>
      </c>
      <c r="S271" s="36">
        <f t="shared" si="140"/>
        <v>44.89</v>
      </c>
      <c r="T271" s="6">
        <f t="shared" si="155"/>
        <v>114.34</v>
      </c>
      <c r="U271" s="6">
        <f t="shared" si="156"/>
        <v>113.91</v>
      </c>
      <c r="V271" s="29">
        <f t="shared" si="157"/>
        <v>1.03E-2</v>
      </c>
      <c r="W271" s="29">
        <f t="shared" si="158"/>
        <v>7.3000000000000001E-3</v>
      </c>
      <c r="X271" s="13">
        <f t="shared" si="141"/>
        <v>2.9600000000000001E-2</v>
      </c>
      <c r="Y271" s="13">
        <f t="shared" si="142"/>
        <v>2.6499999999999999E-2</v>
      </c>
      <c r="Z271" s="6">
        <f t="shared" si="143"/>
        <v>2.5284772577455508</v>
      </c>
      <c r="AA271" s="13">
        <f t="shared" si="144"/>
        <v>0.21859999999999999</v>
      </c>
      <c r="AB271" s="35">
        <f t="shared" si="145"/>
        <v>12.515000000000001</v>
      </c>
      <c r="AC271" s="6">
        <f t="shared" si="146"/>
        <v>1838.79</v>
      </c>
      <c r="AD271" s="6">
        <f t="shared" si="159"/>
        <v>1786.58</v>
      </c>
      <c r="AE271" s="29">
        <f t="shared" si="160"/>
        <v>8.9899999999999994E-2</v>
      </c>
      <c r="AF271" s="13">
        <f t="shared" si="136"/>
        <v>0.2147</v>
      </c>
      <c r="AG271" s="22">
        <f t="shared" si="161"/>
        <v>65.319999999999993</v>
      </c>
      <c r="AH271" s="22">
        <f t="shared" si="137"/>
        <v>40.39</v>
      </c>
      <c r="AI271" s="22">
        <f t="shared" si="162"/>
        <v>59.087499999999991</v>
      </c>
      <c r="AJ271" s="22">
        <f t="shared" si="163"/>
        <v>52.52</v>
      </c>
    </row>
    <row r="272" spans="1:36" x14ac:dyDescent="0.25">
      <c r="A272" s="34">
        <v>35065</v>
      </c>
      <c r="B272" s="34">
        <f t="shared" si="138"/>
        <v>35124</v>
      </c>
      <c r="C272">
        <v>5085.7</v>
      </c>
      <c r="D272" s="6">
        <f t="shared" si="147"/>
        <v>5079.6000000000004</v>
      </c>
      <c r="E272" s="29">
        <f t="shared" si="148"/>
        <v>1.32E-2</v>
      </c>
      <c r="F272" s="29">
        <f t="shared" si="149"/>
        <v>5.8999999999999999E-3</v>
      </c>
      <c r="G272">
        <v>5672</v>
      </c>
      <c r="H272" s="6">
        <f t="shared" si="150"/>
        <v>5652.3</v>
      </c>
      <c r="I272" s="29">
        <f t="shared" si="151"/>
        <v>0.01</v>
      </c>
      <c r="J272" s="29">
        <f t="shared" si="152"/>
        <v>6.7000000000000002E-3</v>
      </c>
      <c r="K272">
        <v>1.97481</v>
      </c>
      <c r="L272">
        <v>2.2400000000000002</v>
      </c>
      <c r="M272" s="35">
        <f t="shared" si="153"/>
        <v>2.1070000000000002</v>
      </c>
      <c r="N272">
        <v>150.9</v>
      </c>
      <c r="O272" s="29">
        <f t="shared" si="154"/>
        <v>9.5999999999999992E-3</v>
      </c>
      <c r="P272">
        <v>6.7</v>
      </c>
      <c r="Q272" s="6">
        <f t="shared" si="139"/>
        <v>380.02</v>
      </c>
      <c r="R272">
        <v>8.5</v>
      </c>
      <c r="S272" s="36">
        <f t="shared" si="140"/>
        <v>44.82</v>
      </c>
      <c r="T272" s="6">
        <f t="shared" si="155"/>
        <v>113.47</v>
      </c>
      <c r="U272" s="6">
        <f t="shared" si="156"/>
        <v>113.51</v>
      </c>
      <c r="V272" s="29">
        <f t="shared" si="157"/>
        <v>8.5000000000000006E-3</v>
      </c>
      <c r="W272" s="29">
        <f t="shared" si="158"/>
        <v>2.8E-3</v>
      </c>
      <c r="X272" s="13">
        <f t="shared" si="141"/>
        <v>2.9700000000000001E-2</v>
      </c>
      <c r="Y272" s="13">
        <f t="shared" si="142"/>
        <v>2.6599999999999999E-2</v>
      </c>
      <c r="Z272" s="6">
        <f t="shared" si="143"/>
        <v>2.5183565275016564</v>
      </c>
      <c r="AA272" s="13">
        <f t="shared" si="144"/>
        <v>0.2261</v>
      </c>
      <c r="AB272" s="35">
        <f t="shared" si="145"/>
        <v>12.827</v>
      </c>
      <c r="AC272" s="6">
        <f t="shared" si="146"/>
        <v>1775.29</v>
      </c>
      <c r="AD272" s="6">
        <f t="shared" si="159"/>
        <v>1743.55</v>
      </c>
      <c r="AE272" s="29">
        <f t="shared" si="160"/>
        <v>8.3099999999999993E-2</v>
      </c>
      <c r="AF272" s="13">
        <f t="shared" si="136"/>
        <v>0.218</v>
      </c>
      <c r="AG272" s="22">
        <f t="shared" si="161"/>
        <v>57.14</v>
      </c>
      <c r="AH272" s="22">
        <f t="shared" si="137"/>
        <v>32.15</v>
      </c>
      <c r="AI272" s="22">
        <f t="shared" si="162"/>
        <v>50.892500000000005</v>
      </c>
      <c r="AJ272" s="22">
        <f t="shared" si="163"/>
        <v>48.97</v>
      </c>
    </row>
    <row r="273" spans="1:36" x14ac:dyDescent="0.25">
      <c r="A273" s="34">
        <v>35034</v>
      </c>
      <c r="B273" s="34">
        <f t="shared" si="138"/>
        <v>35095</v>
      </c>
      <c r="C273">
        <v>5097.5</v>
      </c>
      <c r="D273" s="6">
        <f t="shared" si="147"/>
        <v>5055.67</v>
      </c>
      <c r="E273" s="29">
        <f t="shared" si="148"/>
        <v>1.14E-2</v>
      </c>
      <c r="F273" s="29">
        <f t="shared" si="149"/>
        <v>1.34E-2</v>
      </c>
      <c r="G273">
        <v>5651.7</v>
      </c>
      <c r="H273" s="6">
        <f t="shared" si="150"/>
        <v>5634.27</v>
      </c>
      <c r="I273" s="29">
        <f t="shared" si="151"/>
        <v>1.03E-2</v>
      </c>
      <c r="J273" s="29">
        <f t="shared" si="152"/>
        <v>6.4000000000000003E-3</v>
      </c>
      <c r="K273">
        <v>1.9534400000000001</v>
      </c>
      <c r="L273">
        <v>2.2999999999999998</v>
      </c>
      <c r="M273" s="35">
        <f t="shared" si="153"/>
        <v>2.1269999999999998</v>
      </c>
      <c r="N273">
        <v>151</v>
      </c>
      <c r="O273" s="29">
        <f t="shared" si="154"/>
        <v>2.35E-2</v>
      </c>
      <c r="P273">
        <v>6.1</v>
      </c>
      <c r="Q273" s="6">
        <f t="shared" si="139"/>
        <v>344.75</v>
      </c>
      <c r="R273">
        <v>8.65</v>
      </c>
      <c r="S273" s="36">
        <f t="shared" si="140"/>
        <v>44.75</v>
      </c>
      <c r="T273" s="6">
        <f t="shared" si="155"/>
        <v>113.91</v>
      </c>
      <c r="U273" s="6">
        <f t="shared" si="156"/>
        <v>113.15</v>
      </c>
      <c r="V273" s="29">
        <f t="shared" si="157"/>
        <v>6.7000000000000002E-3</v>
      </c>
      <c r="W273" s="29">
        <f t="shared" si="158"/>
        <v>1.03E-2</v>
      </c>
      <c r="X273" s="13">
        <f t="shared" si="141"/>
        <v>2.9600000000000001E-2</v>
      </c>
      <c r="Y273" s="13">
        <f t="shared" si="142"/>
        <v>2.6700000000000002E-2</v>
      </c>
      <c r="Z273" s="6">
        <f t="shared" si="143"/>
        <v>2.2831125827814569</v>
      </c>
      <c r="AA273" s="13">
        <f t="shared" si="144"/>
        <v>0.23100000000000001</v>
      </c>
      <c r="AB273" s="35">
        <f t="shared" si="145"/>
        <v>13.061999999999999</v>
      </c>
      <c r="AC273" s="6">
        <f t="shared" si="146"/>
        <v>1745.66</v>
      </c>
      <c r="AD273" s="6">
        <f t="shared" si="159"/>
        <v>1714.84</v>
      </c>
      <c r="AE273" s="29">
        <f t="shared" si="160"/>
        <v>8.5500000000000007E-2</v>
      </c>
      <c r="AF273" s="13">
        <f t="shared" si="136"/>
        <v>0.20100000000000001</v>
      </c>
      <c r="AG273" s="22">
        <f t="shared" si="161"/>
        <v>61.07</v>
      </c>
      <c r="AH273" s="22">
        <f t="shared" si="137"/>
        <v>31.22</v>
      </c>
      <c r="AI273" s="22">
        <f t="shared" si="162"/>
        <v>53.607500000000002</v>
      </c>
      <c r="AJ273" s="22">
        <f t="shared" si="163"/>
        <v>49.46</v>
      </c>
    </row>
    <row r="274" spans="1:36" x14ac:dyDescent="0.25">
      <c r="A274" s="34">
        <v>35004</v>
      </c>
      <c r="B274" s="34">
        <f t="shared" si="138"/>
        <v>35064</v>
      </c>
      <c r="C274">
        <v>5055.6000000000004</v>
      </c>
      <c r="D274" s="6">
        <f t="shared" si="147"/>
        <v>5030</v>
      </c>
      <c r="E274" s="29">
        <f t="shared" si="148"/>
        <v>9.1999999999999998E-3</v>
      </c>
      <c r="F274" s="29">
        <f t="shared" si="149"/>
        <v>8.5000000000000006E-3</v>
      </c>
      <c r="G274">
        <v>5633.2</v>
      </c>
      <c r="H274" s="6">
        <f t="shared" si="150"/>
        <v>5616.03</v>
      </c>
      <c r="I274" s="29">
        <f t="shared" si="151"/>
        <v>1.04E-2</v>
      </c>
      <c r="J274" s="29">
        <f t="shared" si="152"/>
        <v>6.4999999999999997E-3</v>
      </c>
      <c r="K274">
        <v>1.8236399999999999</v>
      </c>
      <c r="L274">
        <v>2.2599999999999998</v>
      </c>
      <c r="M274" s="35">
        <f t="shared" si="153"/>
        <v>2.0419999999999998</v>
      </c>
      <c r="N274">
        <v>149.6</v>
      </c>
      <c r="O274" s="29">
        <f t="shared" si="154"/>
        <v>2.8199999999999999E-2</v>
      </c>
      <c r="P274">
        <v>6.6</v>
      </c>
      <c r="Q274" s="6">
        <f t="shared" si="139"/>
        <v>371.79</v>
      </c>
      <c r="R274">
        <v>8.75</v>
      </c>
      <c r="S274" s="36">
        <f t="shared" si="140"/>
        <v>44.68</v>
      </c>
      <c r="T274" s="6">
        <f t="shared" si="155"/>
        <v>113.15</v>
      </c>
      <c r="U274" s="6">
        <f t="shared" si="156"/>
        <v>112.75</v>
      </c>
      <c r="V274" s="29">
        <f t="shared" si="157"/>
        <v>4.4000000000000003E-3</v>
      </c>
      <c r="W274" s="29">
        <f t="shared" si="158"/>
        <v>5.3E-3</v>
      </c>
      <c r="X274" s="13">
        <f t="shared" si="141"/>
        <v>2.9600000000000001E-2</v>
      </c>
      <c r="Y274" s="13">
        <f t="shared" si="142"/>
        <v>2.6599999999999999E-2</v>
      </c>
      <c r="Z274" s="6">
        <f t="shared" si="143"/>
        <v>2.4852272727272728</v>
      </c>
      <c r="AA274" s="13">
        <f t="shared" si="144"/>
        <v>0.23280000000000001</v>
      </c>
      <c r="AB274" s="35">
        <f t="shared" si="145"/>
        <v>13.09</v>
      </c>
      <c r="AC274" s="6">
        <f t="shared" si="146"/>
        <v>1709.71</v>
      </c>
      <c r="AD274" s="6">
        <f t="shared" si="159"/>
        <v>1686.09</v>
      </c>
      <c r="AE274" s="29">
        <f t="shared" si="160"/>
        <v>9.0399999999999994E-2</v>
      </c>
      <c r="AF274" s="13">
        <f t="shared" si="136"/>
        <v>0.2205</v>
      </c>
      <c r="AG274" s="22">
        <f t="shared" si="161"/>
        <v>51.62</v>
      </c>
      <c r="AH274" s="22">
        <f t="shared" si="137"/>
        <v>31.18</v>
      </c>
      <c r="AI274" s="22">
        <f t="shared" si="162"/>
        <v>46.51</v>
      </c>
      <c r="AJ274" s="22">
        <f t="shared" si="163"/>
        <v>50.85</v>
      </c>
    </row>
    <row r="275" spans="1:36" x14ac:dyDescent="0.25">
      <c r="A275" s="34">
        <v>34973</v>
      </c>
      <c r="B275" s="34">
        <f t="shared" si="138"/>
        <v>35033</v>
      </c>
      <c r="C275">
        <v>5013.8999999999996</v>
      </c>
      <c r="D275" s="6">
        <f t="shared" si="147"/>
        <v>5013.2299999999996</v>
      </c>
      <c r="E275" s="29">
        <f t="shared" si="148"/>
        <v>1.0699999999999999E-2</v>
      </c>
      <c r="F275" s="29">
        <f t="shared" si="149"/>
        <v>3.0000000000000001E-3</v>
      </c>
      <c r="G275">
        <v>5617.9</v>
      </c>
      <c r="H275" s="6">
        <f t="shared" si="150"/>
        <v>5596.6</v>
      </c>
      <c r="I275" s="29">
        <f t="shared" si="151"/>
        <v>1.04E-2</v>
      </c>
      <c r="J275" s="29">
        <f t="shared" si="152"/>
        <v>7.3000000000000001E-3</v>
      </c>
      <c r="K275">
        <v>2.0205600000000001</v>
      </c>
      <c r="L275">
        <v>2.2999999999999998</v>
      </c>
      <c r="M275" s="35">
        <f t="shared" si="153"/>
        <v>2.16</v>
      </c>
      <c r="N275">
        <v>147.80000000000001</v>
      </c>
      <c r="O275" s="29">
        <f t="shared" si="154"/>
        <v>2.8500000000000001E-2</v>
      </c>
      <c r="P275">
        <v>7.1</v>
      </c>
      <c r="Q275" s="6">
        <f t="shared" si="139"/>
        <v>398.87</v>
      </c>
      <c r="R275">
        <v>8.75</v>
      </c>
      <c r="S275" s="36">
        <f t="shared" si="140"/>
        <v>44.61</v>
      </c>
      <c r="T275" s="6">
        <f t="shared" si="155"/>
        <v>112.39</v>
      </c>
      <c r="U275" s="6">
        <f t="shared" si="156"/>
        <v>112.55</v>
      </c>
      <c r="V275" s="29">
        <f t="shared" si="157"/>
        <v>5.7999999999999996E-3</v>
      </c>
      <c r="W275" s="29">
        <f t="shared" si="158"/>
        <v>-1E-4</v>
      </c>
      <c r="X275" s="13">
        <f t="shared" si="141"/>
        <v>2.9499999999999998E-2</v>
      </c>
      <c r="Y275" s="13">
        <f t="shared" si="142"/>
        <v>2.63E-2</v>
      </c>
      <c r="Z275" s="6">
        <f t="shared" si="143"/>
        <v>2.69871447902571</v>
      </c>
      <c r="AA275" s="13">
        <f t="shared" si="144"/>
        <v>0.2301</v>
      </c>
      <c r="AB275" s="35">
        <f t="shared" si="145"/>
        <v>12.933</v>
      </c>
      <c r="AC275" s="6">
        <f t="shared" si="146"/>
        <v>1689.14</v>
      </c>
      <c r="AD275" s="6">
        <f t="shared" si="159"/>
        <v>1662.86</v>
      </c>
      <c r="AE275" s="29">
        <f t="shared" si="160"/>
        <v>0.1002</v>
      </c>
      <c r="AF275" s="13">
        <f t="shared" si="136"/>
        <v>0.2399</v>
      </c>
      <c r="AG275" s="22">
        <f t="shared" si="161"/>
        <v>49.1</v>
      </c>
      <c r="AH275" s="22">
        <f t="shared" si="137"/>
        <v>32.14</v>
      </c>
      <c r="AI275" s="22">
        <f t="shared" si="162"/>
        <v>44.86</v>
      </c>
      <c r="AJ275" s="22">
        <f t="shared" si="163"/>
        <v>54.16</v>
      </c>
    </row>
    <row r="276" spans="1:36" x14ac:dyDescent="0.25">
      <c r="A276" s="34">
        <v>34943</v>
      </c>
      <c r="B276" s="34">
        <f t="shared" si="138"/>
        <v>35003</v>
      </c>
      <c r="C276">
        <v>5020.5</v>
      </c>
      <c r="D276" s="6">
        <f t="shared" si="147"/>
        <v>4998.67</v>
      </c>
      <c r="E276" s="29">
        <f t="shared" si="148"/>
        <v>1.32E-2</v>
      </c>
      <c r="F276" s="29">
        <f t="shared" si="149"/>
        <v>7.3000000000000001E-3</v>
      </c>
      <c r="G276">
        <v>5597</v>
      </c>
      <c r="H276" s="6">
        <f t="shared" si="150"/>
        <v>5577.03</v>
      </c>
      <c r="I276" s="29">
        <f t="shared" si="151"/>
        <v>1.3299999999999999E-2</v>
      </c>
      <c r="J276" s="29">
        <f t="shared" si="152"/>
        <v>7.0000000000000001E-3</v>
      </c>
      <c r="K276">
        <v>1.9292199999999999</v>
      </c>
      <c r="L276">
        <v>2.21</v>
      </c>
      <c r="M276" s="35">
        <f t="shared" si="153"/>
        <v>2.0699999999999998</v>
      </c>
      <c r="N276">
        <v>145.19999999999999</v>
      </c>
      <c r="O276" s="29">
        <f t="shared" si="154"/>
        <v>1.9400000000000001E-2</v>
      </c>
      <c r="P276">
        <v>6.8</v>
      </c>
      <c r="Q276" s="6">
        <f t="shared" si="139"/>
        <v>380.6</v>
      </c>
      <c r="R276">
        <v>8.75</v>
      </c>
      <c r="S276" s="36">
        <f t="shared" si="140"/>
        <v>44.54</v>
      </c>
      <c r="T276" s="6">
        <f t="shared" si="155"/>
        <v>112.72</v>
      </c>
      <c r="U276" s="6">
        <f t="shared" si="156"/>
        <v>112.4</v>
      </c>
      <c r="V276" s="29">
        <f t="shared" si="157"/>
        <v>8.0999999999999996E-3</v>
      </c>
      <c r="W276" s="29">
        <f t="shared" si="158"/>
        <v>4.1000000000000003E-3</v>
      </c>
      <c r="X276" s="13">
        <f t="shared" si="141"/>
        <v>2.8899999999999999E-2</v>
      </c>
      <c r="Y276" s="13">
        <f t="shared" si="142"/>
        <v>2.5899999999999999E-2</v>
      </c>
      <c r="Z276" s="6">
        <f t="shared" si="143"/>
        <v>2.6212121212121215</v>
      </c>
      <c r="AA276" s="13">
        <f t="shared" si="144"/>
        <v>0.2266</v>
      </c>
      <c r="AB276" s="35">
        <f t="shared" si="145"/>
        <v>12.705</v>
      </c>
      <c r="AC276" s="6">
        <f t="shared" si="146"/>
        <v>1659.43</v>
      </c>
      <c r="AD276" s="6">
        <f t="shared" si="159"/>
        <v>1639.2</v>
      </c>
      <c r="AE276" s="29">
        <f t="shared" si="160"/>
        <v>0.11310000000000001</v>
      </c>
      <c r="AF276" s="13">
        <f t="shared" si="136"/>
        <v>0.23219999999999999</v>
      </c>
      <c r="AG276" s="22">
        <f t="shared" si="161"/>
        <v>58.33</v>
      </c>
      <c r="AH276" s="22">
        <f t="shared" si="137"/>
        <v>36.42</v>
      </c>
      <c r="AI276" s="22">
        <f t="shared" si="162"/>
        <v>52.852500000000006</v>
      </c>
      <c r="AJ276" s="22">
        <f t="shared" si="163"/>
        <v>57.82</v>
      </c>
    </row>
    <row r="277" spans="1:36" x14ac:dyDescent="0.25">
      <c r="A277" s="34">
        <v>34912</v>
      </c>
      <c r="B277" s="34">
        <f t="shared" si="138"/>
        <v>34972</v>
      </c>
      <c r="C277">
        <v>5005.3</v>
      </c>
      <c r="D277" s="6">
        <f t="shared" si="147"/>
        <v>4984.33</v>
      </c>
      <c r="E277" s="29">
        <f t="shared" si="148"/>
        <v>1.66E-2</v>
      </c>
      <c r="F277" s="29">
        <f t="shared" si="149"/>
        <v>9.1000000000000004E-3</v>
      </c>
      <c r="G277">
        <v>5574.9</v>
      </c>
      <c r="H277" s="6">
        <f t="shared" si="150"/>
        <v>5557.97</v>
      </c>
      <c r="I277" s="29">
        <f t="shared" si="151"/>
        <v>1.35E-2</v>
      </c>
      <c r="J277" s="29">
        <f t="shared" si="152"/>
        <v>6.4999999999999997E-3</v>
      </c>
      <c r="K277">
        <v>1.9738599999999999</v>
      </c>
      <c r="L277">
        <v>2.2000000000000002</v>
      </c>
      <c r="M277" s="35">
        <f t="shared" si="153"/>
        <v>2.0870000000000002</v>
      </c>
      <c r="N277">
        <v>143.5</v>
      </c>
      <c r="O277" s="29">
        <f t="shared" si="154"/>
        <v>1.7000000000000001E-2</v>
      </c>
      <c r="P277">
        <v>6.7</v>
      </c>
      <c r="Q277" s="6">
        <f t="shared" si="139"/>
        <v>373.52</v>
      </c>
      <c r="R277">
        <v>8.75</v>
      </c>
      <c r="S277" s="36">
        <f t="shared" si="140"/>
        <v>44.47</v>
      </c>
      <c r="T277" s="6">
        <f t="shared" si="155"/>
        <v>112.55</v>
      </c>
      <c r="U277" s="6">
        <f t="shared" si="156"/>
        <v>112.26</v>
      </c>
      <c r="V277" s="29">
        <f t="shared" si="157"/>
        <v>1.11E-2</v>
      </c>
      <c r="W277" s="29">
        <f t="shared" si="158"/>
        <v>5.7999999999999996E-3</v>
      </c>
      <c r="X277" s="13">
        <f t="shared" si="141"/>
        <v>2.87E-2</v>
      </c>
      <c r="Y277" s="13">
        <f t="shared" si="142"/>
        <v>2.5700000000000001E-2</v>
      </c>
      <c r="Z277" s="6">
        <f t="shared" si="143"/>
        <v>2.6029268292682928</v>
      </c>
      <c r="AA277" s="13">
        <f t="shared" si="144"/>
        <v>0.22489999999999999</v>
      </c>
      <c r="AB277" s="35">
        <f t="shared" si="145"/>
        <v>12.555999999999999</v>
      </c>
      <c r="AC277" s="6">
        <f t="shared" si="146"/>
        <v>1640</v>
      </c>
      <c r="AD277" s="6">
        <f t="shared" si="159"/>
        <v>1609.76</v>
      </c>
      <c r="AE277" s="29">
        <f t="shared" si="160"/>
        <v>9.9299999999999999E-2</v>
      </c>
      <c r="AF277" s="13">
        <f t="shared" si="136"/>
        <v>0.23200000000000001</v>
      </c>
      <c r="AG277" s="22">
        <f t="shared" si="161"/>
        <v>66.540000000000006</v>
      </c>
      <c r="AH277" s="22">
        <f t="shared" si="137"/>
        <v>37.07</v>
      </c>
      <c r="AI277" s="22">
        <f t="shared" si="162"/>
        <v>59.172499999999999</v>
      </c>
      <c r="AJ277" s="22">
        <f t="shared" si="163"/>
        <v>57.86</v>
      </c>
    </row>
    <row r="278" spans="1:36" x14ac:dyDescent="0.25">
      <c r="A278" s="34">
        <v>34881</v>
      </c>
      <c r="B278" s="34">
        <f t="shared" si="138"/>
        <v>34942</v>
      </c>
      <c r="C278">
        <v>4970.2</v>
      </c>
      <c r="D278" s="6">
        <f t="shared" si="147"/>
        <v>4960.2700000000004</v>
      </c>
      <c r="E278" s="29">
        <f t="shared" si="148"/>
        <v>1.7399999999999999E-2</v>
      </c>
      <c r="F278" s="29">
        <f t="shared" si="149"/>
        <v>7.4000000000000003E-3</v>
      </c>
      <c r="G278">
        <v>5559.2</v>
      </c>
      <c r="H278" s="6">
        <f t="shared" si="150"/>
        <v>5538.93</v>
      </c>
      <c r="I278" s="29">
        <f t="shared" si="151"/>
        <v>1.3899999999999999E-2</v>
      </c>
      <c r="J278" s="29">
        <f t="shared" si="152"/>
        <v>0.01</v>
      </c>
      <c r="K278">
        <v>1.98689</v>
      </c>
      <c r="L278">
        <v>2.15</v>
      </c>
      <c r="M278" s="35">
        <f t="shared" si="153"/>
        <v>2.0680000000000001</v>
      </c>
      <c r="N278">
        <v>142.4</v>
      </c>
      <c r="O278" s="29">
        <f t="shared" si="154"/>
        <v>2.3199999999999998E-2</v>
      </c>
      <c r="P278">
        <v>7.1</v>
      </c>
      <c r="Q278" s="6">
        <f t="shared" si="139"/>
        <v>394.7</v>
      </c>
      <c r="R278">
        <v>8.8000000000000007</v>
      </c>
      <c r="S278" s="36">
        <f t="shared" si="140"/>
        <v>44.4</v>
      </c>
      <c r="T278" s="6">
        <f t="shared" si="155"/>
        <v>111.94</v>
      </c>
      <c r="U278" s="6">
        <f t="shared" si="156"/>
        <v>111.9</v>
      </c>
      <c r="V278" s="29">
        <f t="shared" si="157"/>
        <v>1.1599999999999999E-2</v>
      </c>
      <c r="W278" s="29">
        <f t="shared" si="158"/>
        <v>3.8999999999999998E-3</v>
      </c>
      <c r="X278" s="13">
        <f t="shared" si="141"/>
        <v>2.87E-2</v>
      </c>
      <c r="Y278" s="13">
        <f t="shared" si="142"/>
        <v>2.5600000000000001E-2</v>
      </c>
      <c r="Z278" s="6">
        <f t="shared" si="143"/>
        <v>2.771769662921348</v>
      </c>
      <c r="AA278" s="13">
        <f t="shared" si="144"/>
        <v>0.2253</v>
      </c>
      <c r="AB278" s="35">
        <f t="shared" si="145"/>
        <v>12.531000000000001</v>
      </c>
      <c r="AC278" s="6">
        <f t="shared" si="146"/>
        <v>1618.18</v>
      </c>
      <c r="AD278" s="6">
        <f t="shared" si="159"/>
        <v>1579.76</v>
      </c>
      <c r="AE278" s="29">
        <f t="shared" si="160"/>
        <v>7.4099999999999999E-2</v>
      </c>
      <c r="AF278" s="13">
        <f t="shared" si="136"/>
        <v>0.24979999999999999</v>
      </c>
      <c r="AG278" s="22">
        <f t="shared" si="161"/>
        <v>66.040000000000006</v>
      </c>
      <c r="AH278" s="22">
        <f t="shared" si="137"/>
        <v>40.97</v>
      </c>
      <c r="AI278" s="22">
        <f t="shared" si="162"/>
        <v>59.772500000000001</v>
      </c>
      <c r="AJ278" s="22">
        <f t="shared" si="163"/>
        <v>53.49</v>
      </c>
    </row>
    <row r="279" spans="1:36" x14ac:dyDescent="0.25">
      <c r="A279" s="34">
        <v>34851</v>
      </c>
      <c r="B279" s="34">
        <f t="shared" si="138"/>
        <v>34911</v>
      </c>
      <c r="C279">
        <v>4977.5</v>
      </c>
      <c r="D279" s="6">
        <f t="shared" si="147"/>
        <v>4933.6000000000004</v>
      </c>
      <c r="E279" s="29">
        <f t="shared" si="148"/>
        <v>1.46E-2</v>
      </c>
      <c r="F279" s="29">
        <f t="shared" si="149"/>
        <v>1.52E-2</v>
      </c>
      <c r="G279">
        <v>5539.8</v>
      </c>
      <c r="H279" s="6">
        <f t="shared" si="150"/>
        <v>5503.9</v>
      </c>
      <c r="I279" s="29">
        <f t="shared" si="151"/>
        <v>8.6999999999999994E-3</v>
      </c>
      <c r="J279" s="29">
        <f t="shared" si="152"/>
        <v>1.0200000000000001E-2</v>
      </c>
      <c r="K279">
        <v>2.17964</v>
      </c>
      <c r="L279">
        <v>2.1800000000000002</v>
      </c>
      <c r="M279" s="35">
        <f t="shared" si="153"/>
        <v>2.1800000000000002</v>
      </c>
      <c r="N279">
        <v>141.4</v>
      </c>
      <c r="O279" s="29">
        <f t="shared" si="154"/>
        <v>3.95E-2</v>
      </c>
      <c r="P279">
        <v>6.7</v>
      </c>
      <c r="Q279" s="6">
        <f t="shared" si="139"/>
        <v>371.17</v>
      </c>
      <c r="R279">
        <v>9</v>
      </c>
      <c r="S279" s="36">
        <f t="shared" si="140"/>
        <v>44.33</v>
      </c>
      <c r="T279" s="6">
        <f t="shared" si="155"/>
        <v>112.28</v>
      </c>
      <c r="U279" s="6">
        <f t="shared" si="156"/>
        <v>111.5</v>
      </c>
      <c r="V279" s="29">
        <f t="shared" si="157"/>
        <v>8.6999999999999994E-3</v>
      </c>
      <c r="W279" s="29">
        <f t="shared" si="158"/>
        <v>1.1299999999999999E-2</v>
      </c>
      <c r="X279" s="13">
        <f t="shared" si="141"/>
        <v>2.8400000000000002E-2</v>
      </c>
      <c r="Y279" s="13">
        <f t="shared" si="142"/>
        <v>2.5499999999999998E-2</v>
      </c>
      <c r="Z279" s="6">
        <f t="shared" si="143"/>
        <v>2.624964639321075</v>
      </c>
      <c r="AA279" s="13">
        <f t="shared" si="144"/>
        <v>0.22950000000000001</v>
      </c>
      <c r="AB279" s="35">
        <f t="shared" si="145"/>
        <v>12.726000000000001</v>
      </c>
      <c r="AC279" s="6">
        <f t="shared" si="146"/>
        <v>1571.11</v>
      </c>
      <c r="AD279" s="6">
        <f t="shared" si="159"/>
        <v>1546.3</v>
      </c>
      <c r="AE279" s="29">
        <f t="shared" si="160"/>
        <v>2.7400000000000001E-2</v>
      </c>
      <c r="AF279" s="13">
        <f t="shared" si="136"/>
        <v>0.24</v>
      </c>
      <c r="AG279" s="22">
        <f t="shared" si="161"/>
        <v>68.03</v>
      </c>
      <c r="AH279" s="22">
        <f t="shared" si="137"/>
        <v>33.83</v>
      </c>
      <c r="AI279" s="22">
        <f t="shared" si="162"/>
        <v>59.480000000000004</v>
      </c>
      <c r="AJ279" s="22">
        <f t="shared" si="163"/>
        <v>50.3</v>
      </c>
    </row>
    <row r="280" spans="1:36" x14ac:dyDescent="0.25">
      <c r="A280" s="34">
        <v>34820</v>
      </c>
      <c r="B280" s="34">
        <f t="shared" si="138"/>
        <v>34880</v>
      </c>
      <c r="C280">
        <v>4933.1000000000004</v>
      </c>
      <c r="D280" s="6">
        <f t="shared" si="147"/>
        <v>4902.8999999999996</v>
      </c>
      <c r="E280" s="29">
        <f t="shared" si="148"/>
        <v>1.14E-2</v>
      </c>
      <c r="F280" s="29">
        <f t="shared" si="149"/>
        <v>1.18E-2</v>
      </c>
      <c r="G280">
        <v>5517.8</v>
      </c>
      <c r="H280" s="6">
        <f t="shared" si="150"/>
        <v>5484.07</v>
      </c>
      <c r="I280" s="29">
        <f t="shared" si="151"/>
        <v>9.5999999999999992E-3</v>
      </c>
      <c r="J280" s="29">
        <f t="shared" si="152"/>
        <v>0.01</v>
      </c>
      <c r="K280">
        <v>2.3305600000000002</v>
      </c>
      <c r="L280">
        <v>2.2599999999999998</v>
      </c>
      <c r="M280" s="35">
        <f t="shared" si="153"/>
        <v>2.2949999999999999</v>
      </c>
      <c r="N280">
        <v>139.5</v>
      </c>
      <c r="O280" s="29">
        <f t="shared" si="154"/>
        <v>5.2600000000000001E-2</v>
      </c>
      <c r="P280">
        <v>7.1</v>
      </c>
      <c r="Q280" s="6">
        <f t="shared" si="139"/>
        <v>391.76</v>
      </c>
      <c r="R280">
        <v>9</v>
      </c>
      <c r="S280" s="36">
        <f t="shared" si="140"/>
        <v>44.25</v>
      </c>
      <c r="T280" s="6">
        <f t="shared" si="155"/>
        <v>111.48</v>
      </c>
      <c r="U280" s="6">
        <f t="shared" si="156"/>
        <v>111.03</v>
      </c>
      <c r="V280" s="29">
        <f t="shared" si="157"/>
        <v>5.7000000000000002E-3</v>
      </c>
      <c r="W280" s="29">
        <f t="shared" si="158"/>
        <v>7.7000000000000002E-3</v>
      </c>
      <c r="X280" s="13">
        <f t="shared" si="141"/>
        <v>2.8299999999999999E-2</v>
      </c>
      <c r="Y280" s="13">
        <f t="shared" si="142"/>
        <v>2.53E-2</v>
      </c>
      <c r="Z280" s="6">
        <f t="shared" si="143"/>
        <v>2.80831541218638</v>
      </c>
      <c r="AA280" s="13">
        <f t="shared" si="144"/>
        <v>0.22770000000000001</v>
      </c>
      <c r="AB280" s="35">
        <f t="shared" si="145"/>
        <v>12.555</v>
      </c>
      <c r="AC280" s="6">
        <f t="shared" si="146"/>
        <v>1550</v>
      </c>
      <c r="AD280" s="6">
        <f t="shared" si="159"/>
        <v>1511.48</v>
      </c>
      <c r="AE280" s="29">
        <f t="shared" si="160"/>
        <v>-1.9800000000000002E-2</v>
      </c>
      <c r="AF280" s="13">
        <f t="shared" si="136"/>
        <v>0.25919999999999999</v>
      </c>
      <c r="AG280" s="22">
        <f t="shared" si="161"/>
        <v>58.36</v>
      </c>
      <c r="AH280" s="22">
        <f t="shared" si="137"/>
        <v>36.950000000000003</v>
      </c>
      <c r="AI280" s="22">
        <f t="shared" si="162"/>
        <v>53.007499999999993</v>
      </c>
      <c r="AJ280" s="22">
        <f t="shared" si="163"/>
        <v>47</v>
      </c>
    </row>
    <row r="281" spans="1:36" x14ac:dyDescent="0.25">
      <c r="A281" s="34">
        <v>34790</v>
      </c>
      <c r="B281" s="34">
        <f t="shared" si="138"/>
        <v>34850</v>
      </c>
      <c r="C281">
        <v>4890.2</v>
      </c>
      <c r="D281" s="6">
        <f t="shared" si="147"/>
        <v>4875.47</v>
      </c>
      <c r="E281" s="29">
        <f t="shared" si="148"/>
        <v>7.4000000000000003E-3</v>
      </c>
      <c r="F281" s="29">
        <f t="shared" si="149"/>
        <v>5.7000000000000002E-3</v>
      </c>
      <c r="G281">
        <v>5454.1</v>
      </c>
      <c r="H281" s="6">
        <f t="shared" si="150"/>
        <v>5463.17</v>
      </c>
      <c r="I281" s="29">
        <f t="shared" si="151"/>
        <v>1.0500000000000001E-2</v>
      </c>
      <c r="J281" s="29">
        <f t="shared" si="152"/>
        <v>-5.0000000000000001E-4</v>
      </c>
      <c r="K281">
        <v>2.3210600000000001</v>
      </c>
      <c r="L281">
        <v>2.2999999999999998</v>
      </c>
      <c r="M281" s="35">
        <f t="shared" si="153"/>
        <v>2.3109999999999999</v>
      </c>
      <c r="N281">
        <v>136.6</v>
      </c>
      <c r="O281" s="29">
        <f t="shared" si="154"/>
        <v>5.6500000000000002E-2</v>
      </c>
      <c r="P281">
        <v>6.9</v>
      </c>
      <c r="Q281" s="6">
        <f t="shared" si="139"/>
        <v>376.33</v>
      </c>
      <c r="R281">
        <v>9</v>
      </c>
      <c r="S281" s="36">
        <f t="shared" si="140"/>
        <v>44.16</v>
      </c>
      <c r="T281" s="6">
        <f t="shared" si="155"/>
        <v>110.74</v>
      </c>
      <c r="U281" s="6">
        <f t="shared" si="156"/>
        <v>110.62</v>
      </c>
      <c r="V281" s="29">
        <f t="shared" si="157"/>
        <v>1.9E-3</v>
      </c>
      <c r="W281" s="29">
        <f t="shared" si="158"/>
        <v>1.8E-3</v>
      </c>
      <c r="X281" s="13">
        <f t="shared" si="141"/>
        <v>2.7900000000000001E-2</v>
      </c>
      <c r="Y281" s="13">
        <f t="shared" si="142"/>
        <v>2.5000000000000001E-2</v>
      </c>
      <c r="Z281" s="6">
        <f t="shared" si="143"/>
        <v>2.7549780380673501</v>
      </c>
      <c r="AA281" s="13">
        <f t="shared" si="144"/>
        <v>0.22500000000000001</v>
      </c>
      <c r="AB281" s="35">
        <f t="shared" si="145"/>
        <v>12.294</v>
      </c>
      <c r="AC281" s="6">
        <f t="shared" si="146"/>
        <v>1517.78</v>
      </c>
      <c r="AD281" s="6">
        <f t="shared" si="159"/>
        <v>1472.59</v>
      </c>
      <c r="AE281" s="29">
        <f t="shared" si="160"/>
        <v>-6.8000000000000005E-2</v>
      </c>
      <c r="AF281" s="13">
        <f t="shared" si="136"/>
        <v>0.25559999999999999</v>
      </c>
      <c r="AG281" s="22">
        <f t="shared" si="161"/>
        <v>44.68</v>
      </c>
      <c r="AH281" s="22">
        <f t="shared" si="137"/>
        <v>32.82</v>
      </c>
      <c r="AI281" s="22">
        <f t="shared" si="162"/>
        <v>41.714999999999996</v>
      </c>
      <c r="AJ281" s="22">
        <f t="shared" si="163"/>
        <v>47.12</v>
      </c>
    </row>
    <row r="282" spans="1:36" x14ac:dyDescent="0.25">
      <c r="A282" s="34">
        <v>34759</v>
      </c>
      <c r="B282" s="34">
        <f t="shared" si="138"/>
        <v>34819</v>
      </c>
      <c r="C282">
        <v>4885.3999999999996</v>
      </c>
      <c r="D282" s="6">
        <f t="shared" si="147"/>
        <v>4862.47</v>
      </c>
      <c r="E282" s="29">
        <f t="shared" si="148"/>
        <v>7.4000000000000003E-3</v>
      </c>
      <c r="F282" s="29">
        <f t="shared" si="149"/>
        <v>7.7000000000000002E-3</v>
      </c>
      <c r="G282">
        <v>5480.3</v>
      </c>
      <c r="H282" s="6">
        <f t="shared" si="150"/>
        <v>5456.63</v>
      </c>
      <c r="I282" s="29">
        <f t="shared" si="151"/>
        <v>1.35E-2</v>
      </c>
      <c r="J282" s="29">
        <f t="shared" si="152"/>
        <v>8.8999999999999999E-3</v>
      </c>
      <c r="K282">
        <v>2.1735699999999998</v>
      </c>
      <c r="L282">
        <v>2.2400000000000002</v>
      </c>
      <c r="M282" s="35">
        <f t="shared" si="153"/>
        <v>2.2069999999999999</v>
      </c>
      <c r="N282">
        <v>132</v>
      </c>
      <c r="O282" s="29">
        <f t="shared" si="154"/>
        <v>3.61E-2</v>
      </c>
      <c r="P282">
        <v>7.5</v>
      </c>
      <c r="Q282" s="6">
        <f t="shared" si="139"/>
        <v>411.02</v>
      </c>
      <c r="R282">
        <v>9</v>
      </c>
      <c r="S282" s="36">
        <f t="shared" si="140"/>
        <v>44.07</v>
      </c>
      <c r="T282" s="6">
        <f t="shared" si="155"/>
        <v>110.86</v>
      </c>
      <c r="U282" s="6">
        <f t="shared" si="156"/>
        <v>110.54</v>
      </c>
      <c r="V282" s="29">
        <f t="shared" si="157"/>
        <v>2E-3</v>
      </c>
      <c r="W282" s="29">
        <f t="shared" si="158"/>
        <v>4.1000000000000003E-3</v>
      </c>
      <c r="X282" s="13">
        <f t="shared" si="141"/>
        <v>2.7E-2</v>
      </c>
      <c r="Y282" s="13">
        <f t="shared" si="142"/>
        <v>2.41E-2</v>
      </c>
      <c r="Z282" s="6">
        <f t="shared" si="143"/>
        <v>3.1137878787878788</v>
      </c>
      <c r="AA282" s="13">
        <f t="shared" si="144"/>
        <v>0.21690000000000001</v>
      </c>
      <c r="AB282" s="35">
        <f t="shared" si="145"/>
        <v>11.88</v>
      </c>
      <c r="AC282" s="6">
        <f t="shared" si="146"/>
        <v>1466.67</v>
      </c>
      <c r="AD282" s="6">
        <f t="shared" si="159"/>
        <v>1464.31</v>
      </c>
      <c r="AE282" s="29">
        <f t="shared" si="160"/>
        <v>-9.2200000000000004E-2</v>
      </c>
      <c r="AF282" s="13">
        <f t="shared" si="136"/>
        <v>0.28070000000000001</v>
      </c>
      <c r="AG282" s="22">
        <f t="shared" si="161"/>
        <v>47.2</v>
      </c>
      <c r="AH282" s="22">
        <f t="shared" si="137"/>
        <v>46.4</v>
      </c>
      <c r="AI282" s="22">
        <f t="shared" si="162"/>
        <v>47.000000000000007</v>
      </c>
      <c r="AJ282" s="22">
        <f t="shared" si="163"/>
        <v>52.26</v>
      </c>
    </row>
    <row r="283" spans="1:36" x14ac:dyDescent="0.25">
      <c r="A283" s="34">
        <v>34731</v>
      </c>
      <c r="B283" s="34">
        <f t="shared" si="138"/>
        <v>34789</v>
      </c>
      <c r="C283">
        <v>4850.8</v>
      </c>
      <c r="D283" s="6">
        <f t="shared" si="147"/>
        <v>4847.87</v>
      </c>
      <c r="E283" s="29">
        <f t="shared" si="148"/>
        <v>8.9999999999999993E-3</v>
      </c>
      <c r="F283" s="29">
        <f t="shared" si="149"/>
        <v>2.3E-3</v>
      </c>
      <c r="G283">
        <v>5455.1</v>
      </c>
      <c r="H283" s="6">
        <f t="shared" si="150"/>
        <v>5431.87</v>
      </c>
      <c r="I283" s="29">
        <f t="shared" si="151"/>
        <v>1.4999999999999999E-2</v>
      </c>
      <c r="J283" s="29">
        <f t="shared" si="152"/>
        <v>9.1000000000000004E-3</v>
      </c>
      <c r="K283">
        <v>2.2656499999999999</v>
      </c>
      <c r="L283">
        <v>2.29</v>
      </c>
      <c r="M283" s="35">
        <f t="shared" si="153"/>
        <v>2.278</v>
      </c>
      <c r="N283">
        <v>129</v>
      </c>
      <c r="O283" s="29">
        <f t="shared" si="154"/>
        <v>2.2700000000000001E-2</v>
      </c>
      <c r="P283">
        <v>7.8</v>
      </c>
      <c r="Q283" s="6">
        <f t="shared" si="139"/>
        <v>425.5</v>
      </c>
      <c r="R283">
        <v>9</v>
      </c>
      <c r="S283" s="36">
        <f t="shared" si="140"/>
        <v>43.99</v>
      </c>
      <c r="T283" s="6">
        <f t="shared" si="155"/>
        <v>110.27</v>
      </c>
      <c r="U283" s="6">
        <f t="shared" si="156"/>
        <v>110.4</v>
      </c>
      <c r="V283" s="29">
        <f t="shared" si="157"/>
        <v>3.5000000000000001E-3</v>
      </c>
      <c r="W283" s="29">
        <f t="shared" si="158"/>
        <v>-1.2999999999999999E-3</v>
      </c>
      <c r="X283" s="13">
        <f t="shared" si="141"/>
        <v>2.6599999999999999E-2</v>
      </c>
      <c r="Y283" s="13">
        <f t="shared" si="142"/>
        <v>2.3599999999999999E-2</v>
      </c>
      <c r="Z283" s="6">
        <f t="shared" si="143"/>
        <v>3.2984496124031009</v>
      </c>
      <c r="AA283" s="13">
        <f t="shared" si="144"/>
        <v>0.21240000000000001</v>
      </c>
      <c r="AB283" s="35">
        <f t="shared" si="145"/>
        <v>11.61</v>
      </c>
      <c r="AC283" s="6">
        <f t="shared" si="146"/>
        <v>1433.33</v>
      </c>
      <c r="AD283" s="6">
        <f t="shared" si="159"/>
        <v>1470.72</v>
      </c>
      <c r="AE283" s="29">
        <f t="shared" si="160"/>
        <v>-0.1013</v>
      </c>
      <c r="AF283" s="13">
        <f t="shared" si="136"/>
        <v>0.2893</v>
      </c>
      <c r="AG283" s="22">
        <f t="shared" si="161"/>
        <v>45.02</v>
      </c>
      <c r="AH283" s="22">
        <f t="shared" si="137"/>
        <v>50.04</v>
      </c>
      <c r="AI283" s="22">
        <f t="shared" si="162"/>
        <v>46.274999999999999</v>
      </c>
      <c r="AJ283" s="22">
        <f t="shared" si="163"/>
        <v>56.27</v>
      </c>
    </row>
    <row r="284" spans="1:36" x14ac:dyDescent="0.25">
      <c r="A284" s="34">
        <v>34700</v>
      </c>
      <c r="B284" s="34">
        <f t="shared" si="138"/>
        <v>34758</v>
      </c>
      <c r="C284">
        <v>4851.2</v>
      </c>
      <c r="D284" s="6">
        <f t="shared" si="147"/>
        <v>4839.47</v>
      </c>
      <c r="E284" s="29">
        <f t="shared" si="148"/>
        <v>1.17E-2</v>
      </c>
      <c r="F284" s="29">
        <f t="shared" si="149"/>
        <v>5.1000000000000004E-3</v>
      </c>
      <c r="G284">
        <v>5434.5</v>
      </c>
      <c r="H284" s="6">
        <f t="shared" si="150"/>
        <v>5406.17</v>
      </c>
      <c r="I284" s="29">
        <f t="shared" si="151"/>
        <v>1.6500000000000001E-2</v>
      </c>
      <c r="J284" s="29">
        <f t="shared" si="152"/>
        <v>9.4000000000000004E-3</v>
      </c>
      <c r="K284">
        <v>2.3212299999999999</v>
      </c>
      <c r="L284">
        <v>2.35</v>
      </c>
      <c r="M284" s="35">
        <f t="shared" si="153"/>
        <v>2.3359999999999999</v>
      </c>
      <c r="N284">
        <v>126.9</v>
      </c>
      <c r="O284" s="29">
        <f t="shared" si="154"/>
        <v>1.2999999999999999E-2</v>
      </c>
      <c r="P284">
        <v>7.5</v>
      </c>
      <c r="Q284" s="6">
        <f t="shared" si="139"/>
        <v>407.59</v>
      </c>
      <c r="R284">
        <v>8.5</v>
      </c>
      <c r="S284" s="36">
        <f t="shared" si="140"/>
        <v>43.91</v>
      </c>
      <c r="T284" s="6">
        <f t="shared" si="155"/>
        <v>110.48</v>
      </c>
      <c r="U284" s="6">
        <f t="shared" si="156"/>
        <v>110.41</v>
      </c>
      <c r="V284" s="29">
        <f t="shared" si="157"/>
        <v>6.1000000000000004E-3</v>
      </c>
      <c r="W284" s="29">
        <f t="shared" si="158"/>
        <v>1.4E-3</v>
      </c>
      <c r="X284" s="13">
        <f t="shared" si="141"/>
        <v>2.6200000000000001E-2</v>
      </c>
      <c r="Y284" s="13">
        <f t="shared" si="142"/>
        <v>2.3400000000000001E-2</v>
      </c>
      <c r="Z284" s="6">
        <f t="shared" si="143"/>
        <v>3.2118991331757285</v>
      </c>
      <c r="AA284" s="13">
        <f t="shared" si="144"/>
        <v>0.19889999999999999</v>
      </c>
      <c r="AB284" s="35">
        <f t="shared" si="145"/>
        <v>10.787000000000001</v>
      </c>
      <c r="AC284" s="6">
        <f t="shared" si="146"/>
        <v>1492.94</v>
      </c>
      <c r="AD284" s="6">
        <f t="shared" si="159"/>
        <v>1505.01</v>
      </c>
      <c r="AE284" s="29">
        <f t="shared" si="160"/>
        <v>-8.7599999999999997E-2</v>
      </c>
      <c r="AF284" s="13">
        <f t="shared" si="136"/>
        <v>0.27079999999999999</v>
      </c>
      <c r="AG284" s="22">
        <f t="shared" si="161"/>
        <v>53.19</v>
      </c>
      <c r="AH284" s="22">
        <f t="shared" si="137"/>
        <v>54.36</v>
      </c>
      <c r="AI284" s="22">
        <f t="shared" si="162"/>
        <v>53.482500000000002</v>
      </c>
      <c r="AJ284" s="22">
        <f t="shared" si="163"/>
        <v>62.11</v>
      </c>
    </row>
    <row r="285" spans="1:36" x14ac:dyDescent="0.25">
      <c r="A285" s="34">
        <v>34669</v>
      </c>
      <c r="B285" s="34">
        <f t="shared" si="138"/>
        <v>34730</v>
      </c>
      <c r="C285">
        <v>4841.6000000000004</v>
      </c>
      <c r="D285" s="6">
        <f t="shared" si="147"/>
        <v>4826.7</v>
      </c>
      <c r="E285" s="29">
        <f t="shared" si="148"/>
        <v>1.5599999999999999E-2</v>
      </c>
      <c r="F285" s="29">
        <f t="shared" si="149"/>
        <v>7.7000000000000002E-3</v>
      </c>
      <c r="G285">
        <v>5406</v>
      </c>
      <c r="H285" s="6">
        <f t="shared" si="150"/>
        <v>5383.97</v>
      </c>
      <c r="I285" s="29">
        <f t="shared" si="151"/>
        <v>1.9099999999999999E-2</v>
      </c>
      <c r="J285" s="29">
        <f t="shared" si="152"/>
        <v>1.0200000000000001E-2</v>
      </c>
      <c r="K285">
        <v>2.1493600000000002</v>
      </c>
      <c r="L285">
        <v>2.25</v>
      </c>
      <c r="M285" s="35">
        <f>ROUND((K285+L285)/2,3)</f>
        <v>2.2000000000000002</v>
      </c>
      <c r="N285">
        <v>126.3</v>
      </c>
      <c r="O285" s="29">
        <f t="shared" si="154"/>
        <v>1.4500000000000001E-2</v>
      </c>
      <c r="P285">
        <v>7.2</v>
      </c>
      <c r="Q285" s="6">
        <f t="shared" si="139"/>
        <v>389.23</v>
      </c>
      <c r="R285">
        <v>8.5</v>
      </c>
      <c r="S285" s="36">
        <f t="shared" si="140"/>
        <v>43.83</v>
      </c>
      <c r="T285" s="6">
        <f t="shared" si="155"/>
        <v>110.46</v>
      </c>
      <c r="U285" s="6">
        <f t="shared" si="156"/>
        <v>110.32</v>
      </c>
      <c r="V285" s="29">
        <f t="shared" si="157"/>
        <v>0.01</v>
      </c>
      <c r="W285" s="29">
        <f t="shared" si="158"/>
        <v>4.0000000000000001E-3</v>
      </c>
      <c r="X285" s="13">
        <f t="shared" si="141"/>
        <v>2.6100000000000002E-2</v>
      </c>
      <c r="Y285" s="13">
        <f t="shared" si="142"/>
        <v>2.3400000000000001E-2</v>
      </c>
      <c r="Z285" s="6">
        <f t="shared" si="143"/>
        <v>3.0817893903404596</v>
      </c>
      <c r="AA285" s="13">
        <f t="shared" si="144"/>
        <v>0.19889999999999999</v>
      </c>
      <c r="AB285" s="35">
        <f t="shared" si="145"/>
        <v>10.736000000000001</v>
      </c>
      <c r="AC285" s="6">
        <f t="shared" si="146"/>
        <v>1485.88</v>
      </c>
      <c r="AD285" s="6">
        <f t="shared" si="159"/>
        <v>1541.98</v>
      </c>
      <c r="AE285" s="29">
        <f t="shared" si="160"/>
        <v>-7.3200000000000001E-2</v>
      </c>
      <c r="AF285" s="13">
        <f t="shared" si="136"/>
        <v>0.25240000000000001</v>
      </c>
      <c r="AG285" s="22">
        <f t="shared" si="161"/>
        <v>63.62</v>
      </c>
      <c r="AH285" s="22">
        <f t="shared" si="137"/>
        <v>58.26</v>
      </c>
      <c r="AI285" s="22">
        <f t="shared" si="162"/>
        <v>62.279999999999994</v>
      </c>
      <c r="AJ285" s="22">
        <f t="shared" si="163"/>
        <v>64.040000000000006</v>
      </c>
    </row>
    <row r="286" spans="1:36" x14ac:dyDescent="0.25">
      <c r="A286" s="34">
        <v>34639</v>
      </c>
      <c r="B286" s="34">
        <f t="shared" si="138"/>
        <v>34699</v>
      </c>
      <c r="C286">
        <v>4825.6000000000004</v>
      </c>
      <c r="D286" s="6">
        <f t="shared" si="147"/>
        <v>4804.5</v>
      </c>
      <c r="E286" s="29">
        <f t="shared" si="148"/>
        <v>1.5599999999999999E-2</v>
      </c>
      <c r="F286" s="29">
        <f t="shared" si="149"/>
        <v>8.8000000000000005E-3</v>
      </c>
      <c r="G286">
        <v>5378</v>
      </c>
      <c r="H286" s="6">
        <f t="shared" si="150"/>
        <v>5351.4</v>
      </c>
      <c r="I286" s="29">
        <f t="shared" si="151"/>
        <v>1.7299999999999999E-2</v>
      </c>
      <c r="J286" s="29">
        <f t="shared" si="152"/>
        <v>1.12E-2</v>
      </c>
      <c r="K286">
        <v>2.10669</v>
      </c>
      <c r="L286">
        <v>2.2799999999999998</v>
      </c>
      <c r="M286" s="35">
        <f t="shared" ref="M286:M320" si="164">ROUND((K286+L286)/2,3)</f>
        <v>2.1930000000000001</v>
      </c>
      <c r="N286">
        <v>125.2</v>
      </c>
      <c r="O286" s="29">
        <f t="shared" si="154"/>
        <v>1.21E-2</v>
      </c>
      <c r="P286">
        <v>7</v>
      </c>
      <c r="Q286" s="6">
        <f t="shared" si="139"/>
        <v>376.46</v>
      </c>
      <c r="R286">
        <v>8.15</v>
      </c>
      <c r="S286" s="36">
        <f t="shared" si="140"/>
        <v>43.75</v>
      </c>
      <c r="T286" s="6">
        <f t="shared" si="155"/>
        <v>110.3</v>
      </c>
      <c r="U286" s="6">
        <f t="shared" si="156"/>
        <v>110.02</v>
      </c>
      <c r="V286" s="29">
        <f t="shared" si="157"/>
        <v>0.01</v>
      </c>
      <c r="W286" s="29">
        <f t="shared" si="158"/>
        <v>5.1000000000000004E-3</v>
      </c>
      <c r="X286" s="13">
        <f t="shared" si="141"/>
        <v>2.5899999999999999E-2</v>
      </c>
      <c r="Y286" s="13">
        <f t="shared" si="142"/>
        <v>2.3300000000000001E-2</v>
      </c>
      <c r="Z286" s="6">
        <f t="shared" si="143"/>
        <v>3.0068690095846642</v>
      </c>
      <c r="AA286" s="13">
        <f t="shared" si="144"/>
        <v>0.18990000000000001</v>
      </c>
      <c r="AB286" s="35">
        <f t="shared" si="145"/>
        <v>10.204000000000001</v>
      </c>
      <c r="AC286" s="6">
        <f t="shared" si="146"/>
        <v>1536.2</v>
      </c>
      <c r="AD286" s="6">
        <f t="shared" si="159"/>
        <v>1580.02</v>
      </c>
      <c r="AE286" s="29">
        <f t="shared" si="160"/>
        <v>-7.3599999999999999E-2</v>
      </c>
      <c r="AF286" s="13">
        <f t="shared" si="136"/>
        <v>0.23830000000000001</v>
      </c>
      <c r="AG286" s="22">
        <f t="shared" si="161"/>
        <v>64.78</v>
      </c>
      <c r="AH286" s="22">
        <f t="shared" si="137"/>
        <v>57.77</v>
      </c>
      <c r="AI286" s="22">
        <f t="shared" si="162"/>
        <v>63.027500000000003</v>
      </c>
      <c r="AJ286" s="22">
        <f t="shared" si="163"/>
        <v>64.55</v>
      </c>
    </row>
    <row r="287" spans="1:36" x14ac:dyDescent="0.25">
      <c r="A287" s="34">
        <v>34608</v>
      </c>
      <c r="B287" s="34">
        <f t="shared" si="138"/>
        <v>34668</v>
      </c>
      <c r="C287">
        <v>4812.8999999999996</v>
      </c>
      <c r="D287" s="6">
        <f t="shared" si="147"/>
        <v>4783.5</v>
      </c>
      <c r="E287" s="29">
        <f t="shared" si="148"/>
        <v>1.78E-2</v>
      </c>
      <c r="F287" s="29">
        <f t="shared" si="149"/>
        <v>1.2699999999999999E-2</v>
      </c>
      <c r="G287">
        <v>5367.9</v>
      </c>
      <c r="H287" s="6">
        <f t="shared" si="150"/>
        <v>5318.53</v>
      </c>
      <c r="I287" s="29">
        <f t="shared" si="151"/>
        <v>1.3899999999999999E-2</v>
      </c>
      <c r="J287" s="29">
        <f t="shared" si="152"/>
        <v>1.61E-2</v>
      </c>
      <c r="K287">
        <v>2.1049000000000002</v>
      </c>
      <c r="L287">
        <v>2.2599999999999998</v>
      </c>
      <c r="M287" s="35">
        <f t="shared" si="164"/>
        <v>2.1819999999999999</v>
      </c>
      <c r="N287">
        <v>124.3</v>
      </c>
      <c r="O287" s="29">
        <f t="shared" si="154"/>
        <v>1.2800000000000001E-2</v>
      </c>
      <c r="P287">
        <v>7.1</v>
      </c>
      <c r="Q287" s="6">
        <f t="shared" si="139"/>
        <v>381.12</v>
      </c>
      <c r="R287">
        <v>7.75</v>
      </c>
      <c r="S287" s="36">
        <f t="shared" si="140"/>
        <v>43.67</v>
      </c>
      <c r="T287" s="6">
        <f t="shared" si="155"/>
        <v>110.21</v>
      </c>
      <c r="U287" s="6">
        <f t="shared" si="156"/>
        <v>109.74</v>
      </c>
      <c r="V287" s="29">
        <f t="shared" si="157"/>
        <v>1.24E-2</v>
      </c>
      <c r="W287" s="29">
        <f t="shared" si="158"/>
        <v>8.9999999999999993E-3</v>
      </c>
      <c r="X287" s="13">
        <f t="shared" si="141"/>
        <v>2.58E-2</v>
      </c>
      <c r="Y287" s="13">
        <f t="shared" si="142"/>
        <v>2.3199999999999998E-2</v>
      </c>
      <c r="Z287" s="6">
        <f t="shared" si="143"/>
        <v>3.0661303298471441</v>
      </c>
      <c r="AA287" s="13">
        <f t="shared" si="144"/>
        <v>0.17979999999999999</v>
      </c>
      <c r="AB287" s="35">
        <f t="shared" si="145"/>
        <v>9.6329999999999991</v>
      </c>
      <c r="AC287" s="6">
        <f t="shared" si="146"/>
        <v>1603.87</v>
      </c>
      <c r="AD287" s="6">
        <f t="shared" si="159"/>
        <v>1613.01</v>
      </c>
      <c r="AE287" s="29">
        <f t="shared" si="160"/>
        <v>-9.9000000000000005E-2</v>
      </c>
      <c r="AF287" s="13">
        <f t="shared" si="136"/>
        <v>0.23630000000000001</v>
      </c>
      <c r="AG287" s="22">
        <f t="shared" si="161"/>
        <v>73.31</v>
      </c>
      <c r="AH287" s="22">
        <f t="shared" si="137"/>
        <v>58.69</v>
      </c>
      <c r="AI287" s="22">
        <f t="shared" si="162"/>
        <v>69.655000000000001</v>
      </c>
      <c r="AJ287" s="22">
        <f t="shared" si="163"/>
        <v>62.99</v>
      </c>
    </row>
    <row r="288" spans="1:36" x14ac:dyDescent="0.25">
      <c r="A288" s="34">
        <v>34578</v>
      </c>
      <c r="B288" s="34">
        <f t="shared" si="138"/>
        <v>34638</v>
      </c>
      <c r="C288">
        <v>4775</v>
      </c>
      <c r="D288" s="6">
        <f t="shared" si="147"/>
        <v>4752.7299999999996</v>
      </c>
      <c r="E288" s="29">
        <f t="shared" si="148"/>
        <v>1.49E-2</v>
      </c>
      <c r="F288" s="29">
        <f t="shared" si="149"/>
        <v>9.4000000000000004E-3</v>
      </c>
      <c r="G288">
        <v>5308.3</v>
      </c>
      <c r="H288" s="6">
        <f t="shared" si="150"/>
        <v>5282.97</v>
      </c>
      <c r="I288" s="29">
        <f t="shared" si="151"/>
        <v>1.3100000000000001E-2</v>
      </c>
      <c r="J288" s="29">
        <f t="shared" si="152"/>
        <v>9.1000000000000004E-3</v>
      </c>
      <c r="K288">
        <v>2.2532700000000001</v>
      </c>
      <c r="L288">
        <v>2.31</v>
      </c>
      <c r="M288" s="35">
        <f t="shared" si="164"/>
        <v>2.282</v>
      </c>
      <c r="N288">
        <v>124</v>
      </c>
      <c r="O288" s="29">
        <f t="shared" si="154"/>
        <v>2.4799999999999999E-2</v>
      </c>
      <c r="P288">
        <v>6.8</v>
      </c>
      <c r="Q288" s="6">
        <f t="shared" si="139"/>
        <v>360.96</v>
      </c>
      <c r="R288">
        <v>7.75</v>
      </c>
      <c r="S288" s="36">
        <f t="shared" si="140"/>
        <v>43.59</v>
      </c>
      <c r="T288" s="6">
        <f t="shared" si="155"/>
        <v>109.54</v>
      </c>
      <c r="U288" s="6">
        <f t="shared" si="156"/>
        <v>109.23</v>
      </c>
      <c r="V288" s="29">
        <f t="shared" si="157"/>
        <v>9.4000000000000004E-3</v>
      </c>
      <c r="W288" s="29">
        <f t="shared" si="158"/>
        <v>5.5999999999999999E-3</v>
      </c>
      <c r="X288" s="13">
        <f t="shared" si="141"/>
        <v>2.5999999999999999E-2</v>
      </c>
      <c r="Y288" s="13">
        <f t="shared" si="142"/>
        <v>2.3400000000000001E-2</v>
      </c>
      <c r="Z288" s="6">
        <f t="shared" si="143"/>
        <v>2.9109677419354836</v>
      </c>
      <c r="AA288" s="13">
        <f t="shared" si="144"/>
        <v>0.18140000000000001</v>
      </c>
      <c r="AB288" s="35">
        <f t="shared" si="145"/>
        <v>9.61</v>
      </c>
      <c r="AC288" s="6">
        <f t="shared" si="146"/>
        <v>1600</v>
      </c>
      <c r="AD288" s="6">
        <f t="shared" si="159"/>
        <v>1636.54</v>
      </c>
      <c r="AE288" s="29">
        <f t="shared" si="160"/>
        <v>-0.1221</v>
      </c>
      <c r="AF288" s="13">
        <f t="shared" si="136"/>
        <v>0.22059999999999999</v>
      </c>
      <c r="AG288" s="22">
        <f t="shared" si="161"/>
        <v>64</v>
      </c>
      <c r="AH288" s="22">
        <f t="shared" si="137"/>
        <v>52.85</v>
      </c>
      <c r="AI288" s="22">
        <f t="shared" si="162"/>
        <v>61.212499999999999</v>
      </c>
      <c r="AJ288" s="22">
        <f t="shared" si="163"/>
        <v>61.06</v>
      </c>
    </row>
    <row r="289" spans="1:36" x14ac:dyDescent="0.25">
      <c r="A289" s="34">
        <v>34547</v>
      </c>
      <c r="B289" s="34">
        <f t="shared" si="138"/>
        <v>34607</v>
      </c>
      <c r="C289">
        <v>4762.6000000000004</v>
      </c>
      <c r="D289" s="6">
        <f t="shared" si="147"/>
        <v>4730.7</v>
      </c>
      <c r="E289" s="29">
        <f t="shared" si="148"/>
        <v>1.47E-2</v>
      </c>
      <c r="F289" s="29">
        <f t="shared" si="149"/>
        <v>1.34E-2</v>
      </c>
      <c r="G289">
        <v>5279.4</v>
      </c>
      <c r="H289" s="6">
        <f t="shared" si="150"/>
        <v>5260.3</v>
      </c>
      <c r="I289" s="29">
        <f t="shared" si="151"/>
        <v>1.38E-2</v>
      </c>
      <c r="J289" s="29">
        <f t="shared" si="152"/>
        <v>6.4000000000000003E-3</v>
      </c>
      <c r="K289">
        <v>2.2454800000000001</v>
      </c>
      <c r="L289">
        <v>2.34</v>
      </c>
      <c r="M289" s="35">
        <f t="shared" si="164"/>
        <v>2.2930000000000001</v>
      </c>
      <c r="N289">
        <v>122.8</v>
      </c>
      <c r="O289" s="29">
        <f t="shared" si="154"/>
        <v>3.0499999999999999E-2</v>
      </c>
      <c r="P289">
        <v>6.5</v>
      </c>
      <c r="Q289" s="6">
        <f t="shared" si="139"/>
        <v>343.16</v>
      </c>
      <c r="R289">
        <v>7.51</v>
      </c>
      <c r="S289" s="36">
        <f t="shared" si="140"/>
        <v>43.51</v>
      </c>
      <c r="T289" s="6">
        <f t="shared" si="155"/>
        <v>109.46</v>
      </c>
      <c r="U289" s="6">
        <f t="shared" si="156"/>
        <v>108.93</v>
      </c>
      <c r="V289" s="29">
        <f t="shared" si="157"/>
        <v>9.4999999999999998E-3</v>
      </c>
      <c r="W289" s="29">
        <f t="shared" si="158"/>
        <v>9.7000000000000003E-3</v>
      </c>
      <c r="X289" s="13">
        <f t="shared" si="141"/>
        <v>2.58E-2</v>
      </c>
      <c r="Y289" s="13">
        <f t="shared" si="142"/>
        <v>2.3300000000000001E-2</v>
      </c>
      <c r="Z289" s="6">
        <f t="shared" si="143"/>
        <v>2.7944625407166126</v>
      </c>
      <c r="AA289" s="13">
        <f t="shared" si="144"/>
        <v>0.17499999999999999</v>
      </c>
      <c r="AB289" s="35">
        <f t="shared" si="145"/>
        <v>9.2219999999999995</v>
      </c>
      <c r="AC289" s="6">
        <f t="shared" si="146"/>
        <v>1635.15</v>
      </c>
      <c r="AD289" s="6">
        <f t="shared" si="159"/>
        <v>1649.42</v>
      </c>
      <c r="AE289" s="29">
        <f t="shared" si="160"/>
        <v>-0.1295</v>
      </c>
      <c r="AF289" s="13">
        <f t="shared" si="136"/>
        <v>0.20799999999999999</v>
      </c>
      <c r="AG289" s="22">
        <f t="shared" si="161"/>
        <v>68.010000000000005</v>
      </c>
      <c r="AH289" s="22">
        <f t="shared" si="137"/>
        <v>53.23</v>
      </c>
      <c r="AI289" s="22">
        <f t="shared" si="162"/>
        <v>64.315000000000012</v>
      </c>
      <c r="AJ289" s="22">
        <f t="shared" si="163"/>
        <v>60.03</v>
      </c>
    </row>
    <row r="290" spans="1:36" x14ac:dyDescent="0.25">
      <c r="A290" s="34">
        <v>34516</v>
      </c>
      <c r="B290" s="34">
        <f t="shared" si="138"/>
        <v>34577</v>
      </c>
      <c r="C290">
        <v>4720.6000000000004</v>
      </c>
      <c r="D290" s="6">
        <f t="shared" si="147"/>
        <v>4699.67</v>
      </c>
      <c r="E290" s="29">
        <f t="shared" si="148"/>
        <v>1.0699999999999999E-2</v>
      </c>
      <c r="F290" s="29">
        <f t="shared" si="149"/>
        <v>8.0000000000000002E-3</v>
      </c>
      <c r="G290">
        <v>5261.2</v>
      </c>
      <c r="H290" s="6">
        <f t="shared" si="150"/>
        <v>5245.77</v>
      </c>
      <c r="I290" s="29">
        <f t="shared" si="151"/>
        <v>1.78E-2</v>
      </c>
      <c r="J290" s="29">
        <f t="shared" si="152"/>
        <v>8.8999999999999999E-3</v>
      </c>
      <c r="K290">
        <v>2.1869700000000001</v>
      </c>
      <c r="L290">
        <v>2.35</v>
      </c>
      <c r="M290" s="35">
        <f t="shared" si="164"/>
        <v>2.2679999999999998</v>
      </c>
      <c r="N290">
        <v>121.4</v>
      </c>
      <c r="O290" s="29">
        <f t="shared" si="154"/>
        <v>3.4099999999999998E-2</v>
      </c>
      <c r="P290">
        <v>7</v>
      </c>
      <c r="Q290" s="6">
        <f t="shared" si="139"/>
        <v>368.28</v>
      </c>
      <c r="R290">
        <v>7.25</v>
      </c>
      <c r="S290" s="36">
        <f t="shared" si="140"/>
        <v>43.43</v>
      </c>
      <c r="T290" s="6">
        <f t="shared" si="155"/>
        <v>108.69</v>
      </c>
      <c r="U290" s="6">
        <f t="shared" si="156"/>
        <v>108.4</v>
      </c>
      <c r="V290" s="29">
        <f t="shared" si="157"/>
        <v>5.7000000000000002E-3</v>
      </c>
      <c r="W290" s="29">
        <f t="shared" si="158"/>
        <v>4.4999999999999997E-3</v>
      </c>
      <c r="X290" s="13">
        <f t="shared" si="141"/>
        <v>2.5700000000000001E-2</v>
      </c>
      <c r="Y290" s="13">
        <f t="shared" si="142"/>
        <v>2.3099999999999999E-2</v>
      </c>
      <c r="Z290" s="6">
        <f t="shared" si="143"/>
        <v>3.033607907742998</v>
      </c>
      <c r="AA290" s="13">
        <f t="shared" si="144"/>
        <v>0.16750000000000001</v>
      </c>
      <c r="AB290" s="35">
        <f t="shared" si="145"/>
        <v>8.8019999999999996</v>
      </c>
      <c r="AC290" s="6">
        <f t="shared" si="146"/>
        <v>1674.48</v>
      </c>
      <c r="AD290" s="6">
        <f t="shared" si="159"/>
        <v>1663.74</v>
      </c>
      <c r="AE290" s="29">
        <f t="shared" si="160"/>
        <v>-0.1231</v>
      </c>
      <c r="AF290" s="13">
        <f t="shared" si="136"/>
        <v>0.22140000000000001</v>
      </c>
      <c r="AG290" s="22">
        <f t="shared" si="161"/>
        <v>54.94</v>
      </c>
      <c r="AH290" s="22">
        <f t="shared" si="137"/>
        <v>62.34</v>
      </c>
      <c r="AI290" s="22">
        <f t="shared" si="162"/>
        <v>56.79</v>
      </c>
      <c r="AJ290" s="22">
        <f t="shared" si="163"/>
        <v>60.18</v>
      </c>
    </row>
    <row r="291" spans="1:36" x14ac:dyDescent="0.25">
      <c r="A291" s="34">
        <v>34486</v>
      </c>
      <c r="B291" s="34">
        <f t="shared" si="138"/>
        <v>34546</v>
      </c>
      <c r="C291">
        <v>4708.8999999999996</v>
      </c>
      <c r="D291" s="6">
        <f t="shared" si="147"/>
        <v>4683.17</v>
      </c>
      <c r="E291" s="29">
        <f t="shared" si="148"/>
        <v>1.34E-2</v>
      </c>
      <c r="F291" s="29">
        <f t="shared" si="149"/>
        <v>0.01</v>
      </c>
      <c r="G291">
        <v>5240.3</v>
      </c>
      <c r="H291" s="6">
        <f t="shared" si="150"/>
        <v>5214.8999999999996</v>
      </c>
      <c r="I291" s="29">
        <f t="shared" si="151"/>
        <v>1.5699999999999999E-2</v>
      </c>
      <c r="J291" s="29">
        <f t="shared" si="152"/>
        <v>9.9000000000000008E-3</v>
      </c>
      <c r="K291">
        <v>2.0277400000000001</v>
      </c>
      <c r="L291">
        <v>2.34</v>
      </c>
      <c r="M291" s="35">
        <f t="shared" si="164"/>
        <v>2.1840000000000002</v>
      </c>
      <c r="N291">
        <v>118.8</v>
      </c>
      <c r="O291" s="29">
        <f t="shared" si="154"/>
        <v>2.3800000000000002E-2</v>
      </c>
      <c r="P291">
        <v>6.9</v>
      </c>
      <c r="Q291" s="6">
        <f t="shared" si="139"/>
        <v>361.58</v>
      </c>
      <c r="R291">
        <v>7.25</v>
      </c>
      <c r="S291" s="36">
        <f t="shared" si="140"/>
        <v>43.35</v>
      </c>
      <c r="T291" s="6">
        <f t="shared" si="155"/>
        <v>108.63</v>
      </c>
      <c r="U291" s="6">
        <f t="shared" si="156"/>
        <v>108.21</v>
      </c>
      <c r="V291" s="29">
        <f t="shared" si="157"/>
        <v>8.3999999999999995E-3</v>
      </c>
      <c r="W291" s="29">
        <f t="shared" si="158"/>
        <v>6.7999999999999996E-3</v>
      </c>
      <c r="X291" s="13">
        <f t="shared" si="141"/>
        <v>2.52E-2</v>
      </c>
      <c r="Y291" s="13">
        <f t="shared" si="142"/>
        <v>2.2700000000000001E-2</v>
      </c>
      <c r="Z291" s="6">
        <f t="shared" si="143"/>
        <v>3.0436026936026934</v>
      </c>
      <c r="AA291" s="13">
        <f t="shared" si="144"/>
        <v>0.1646</v>
      </c>
      <c r="AB291" s="35">
        <f t="shared" si="145"/>
        <v>8.6129999999999995</v>
      </c>
      <c r="AC291" s="6">
        <f t="shared" si="146"/>
        <v>1638.62</v>
      </c>
      <c r="AD291" s="6">
        <f t="shared" si="159"/>
        <v>1705.58</v>
      </c>
      <c r="AE291" s="29">
        <f t="shared" si="160"/>
        <v>-0.10050000000000001</v>
      </c>
      <c r="AF291" s="13">
        <f t="shared" si="136"/>
        <v>0.21199999999999999</v>
      </c>
      <c r="AG291" s="22">
        <f t="shared" si="161"/>
        <v>62.64</v>
      </c>
      <c r="AH291" s="22">
        <f t="shared" si="137"/>
        <v>59.73</v>
      </c>
      <c r="AI291" s="22">
        <f t="shared" si="162"/>
        <v>61.912500000000001</v>
      </c>
      <c r="AJ291" s="22">
        <f t="shared" si="163"/>
        <v>61.5</v>
      </c>
    </row>
    <row r="292" spans="1:36" x14ac:dyDescent="0.25">
      <c r="A292" s="34">
        <v>34455</v>
      </c>
      <c r="B292" s="34">
        <f t="shared" si="138"/>
        <v>34515</v>
      </c>
      <c r="C292">
        <v>4669.5</v>
      </c>
      <c r="D292" s="6">
        <f t="shared" si="147"/>
        <v>4662.2</v>
      </c>
      <c r="E292" s="29">
        <f t="shared" si="148"/>
        <v>1.43E-2</v>
      </c>
      <c r="F292" s="29">
        <f t="shared" si="149"/>
        <v>4.1999999999999997E-3</v>
      </c>
      <c r="G292">
        <v>5235.8</v>
      </c>
      <c r="H292" s="6">
        <f t="shared" si="150"/>
        <v>5188.8999999999996</v>
      </c>
      <c r="I292" s="29">
        <f t="shared" si="151"/>
        <v>7.7999999999999996E-3</v>
      </c>
      <c r="J292" s="29">
        <f t="shared" si="152"/>
        <v>1.5900000000000001E-2</v>
      </c>
      <c r="K292">
        <v>1.8133999999999999</v>
      </c>
      <c r="L292">
        <v>2.27</v>
      </c>
      <c r="M292" s="35">
        <f t="shared" si="164"/>
        <v>2.0419999999999998</v>
      </c>
      <c r="N292">
        <v>117.3</v>
      </c>
      <c r="O292" s="29">
        <f t="shared" si="154"/>
        <v>2.06E-2</v>
      </c>
      <c r="P292">
        <v>7.6</v>
      </c>
      <c r="Q292" s="6">
        <f t="shared" si="139"/>
        <v>397.92</v>
      </c>
      <c r="R292">
        <v>6.99</v>
      </c>
      <c r="S292" s="36">
        <f t="shared" si="140"/>
        <v>43.28</v>
      </c>
      <c r="T292" s="6">
        <f t="shared" si="155"/>
        <v>107.89</v>
      </c>
      <c r="U292" s="6">
        <f t="shared" si="156"/>
        <v>107.9</v>
      </c>
      <c r="V292" s="29">
        <f t="shared" si="157"/>
        <v>9.2999999999999992E-3</v>
      </c>
      <c r="W292" s="29">
        <f t="shared" si="158"/>
        <v>8.9999999999999998E-4</v>
      </c>
      <c r="X292" s="13">
        <f t="shared" si="141"/>
        <v>2.5100000000000001E-2</v>
      </c>
      <c r="Y292" s="13">
        <f t="shared" si="142"/>
        <v>2.24E-2</v>
      </c>
      <c r="Z292" s="6">
        <f t="shared" si="143"/>
        <v>3.3923273657289004</v>
      </c>
      <c r="AA292" s="13">
        <f t="shared" si="144"/>
        <v>0.15659999999999999</v>
      </c>
      <c r="AB292" s="35">
        <f t="shared" si="145"/>
        <v>8.1989999999999998</v>
      </c>
      <c r="AC292" s="6">
        <f t="shared" si="146"/>
        <v>1678.11</v>
      </c>
      <c r="AD292" s="6">
        <f t="shared" si="159"/>
        <v>1790.28</v>
      </c>
      <c r="AE292" s="29">
        <f t="shared" si="160"/>
        <v>-5.6099999999999997E-2</v>
      </c>
      <c r="AF292" s="13">
        <f t="shared" si="136"/>
        <v>0.2223</v>
      </c>
      <c r="AG292" s="22">
        <f t="shared" si="161"/>
        <v>58.62</v>
      </c>
      <c r="AH292" s="22">
        <f t="shared" si="137"/>
        <v>52.5</v>
      </c>
      <c r="AI292" s="22">
        <f t="shared" si="162"/>
        <v>57.089999999999996</v>
      </c>
      <c r="AJ292" s="22">
        <f t="shared" si="163"/>
        <v>63.1</v>
      </c>
    </row>
    <row r="293" spans="1:36" x14ac:dyDescent="0.25">
      <c r="A293" s="34">
        <v>34425</v>
      </c>
      <c r="B293" s="34">
        <f t="shared" si="138"/>
        <v>34485</v>
      </c>
      <c r="C293">
        <v>4671.1000000000004</v>
      </c>
      <c r="D293" s="6">
        <f t="shared" si="147"/>
        <v>4649.8999999999996</v>
      </c>
      <c r="E293" s="29">
        <f t="shared" si="148"/>
        <v>1.7500000000000002E-2</v>
      </c>
      <c r="F293" s="29">
        <f t="shared" si="149"/>
        <v>1.0800000000000001E-2</v>
      </c>
      <c r="G293">
        <v>5168.6000000000004</v>
      </c>
      <c r="H293" s="6">
        <f t="shared" si="150"/>
        <v>5154</v>
      </c>
      <c r="I293" s="29">
        <f t="shared" si="151"/>
        <v>7.4999999999999997E-3</v>
      </c>
      <c r="J293" s="29">
        <f t="shared" si="152"/>
        <v>6.7000000000000002E-3</v>
      </c>
      <c r="K293">
        <v>1.9807900000000001</v>
      </c>
      <c r="L293">
        <v>2.31</v>
      </c>
      <c r="M293" s="35">
        <f t="shared" si="164"/>
        <v>2.145</v>
      </c>
      <c r="N293">
        <v>116.1</v>
      </c>
      <c r="O293" s="29">
        <f t="shared" si="154"/>
        <v>1.78E-2</v>
      </c>
      <c r="P293">
        <v>6.4</v>
      </c>
      <c r="Q293" s="6">
        <f t="shared" si="139"/>
        <v>330.79</v>
      </c>
      <c r="R293">
        <v>6.45</v>
      </c>
      <c r="S293" s="36">
        <f t="shared" si="140"/>
        <v>43.21</v>
      </c>
      <c r="T293" s="6">
        <f t="shared" si="155"/>
        <v>108.1</v>
      </c>
      <c r="U293" s="6">
        <f t="shared" si="156"/>
        <v>107.79</v>
      </c>
      <c r="V293" s="29">
        <f t="shared" si="157"/>
        <v>1.2200000000000001E-2</v>
      </c>
      <c r="W293" s="29">
        <f t="shared" si="158"/>
        <v>7.3000000000000001E-3</v>
      </c>
      <c r="X293" s="13">
        <f t="shared" si="141"/>
        <v>2.4899999999999999E-2</v>
      </c>
      <c r="Y293" s="13">
        <f t="shared" si="142"/>
        <v>2.2499999999999999E-2</v>
      </c>
      <c r="Z293" s="6">
        <f t="shared" si="143"/>
        <v>2.8491817398794148</v>
      </c>
      <c r="AA293" s="13">
        <f t="shared" si="144"/>
        <v>0.14510000000000001</v>
      </c>
      <c r="AB293" s="35">
        <f t="shared" si="145"/>
        <v>7.4880000000000004</v>
      </c>
      <c r="AC293" s="6">
        <f t="shared" si="146"/>
        <v>1800</v>
      </c>
      <c r="AD293" s="6">
        <f t="shared" si="159"/>
        <v>1864.25</v>
      </c>
      <c r="AE293" s="29">
        <f t="shared" si="160"/>
        <v>-1.3899999999999999E-2</v>
      </c>
      <c r="AF293" s="13">
        <f t="shared" si="136"/>
        <v>0.1774</v>
      </c>
      <c r="AG293" s="22">
        <f t="shared" si="161"/>
        <v>71.28</v>
      </c>
      <c r="AH293" s="22">
        <f t="shared" si="137"/>
        <v>45.81</v>
      </c>
      <c r="AI293" s="22">
        <f t="shared" si="162"/>
        <v>64.912499999999994</v>
      </c>
      <c r="AJ293" s="22">
        <f t="shared" si="163"/>
        <v>64.06</v>
      </c>
    </row>
    <row r="294" spans="1:36" x14ac:dyDescent="0.25">
      <c r="A294" s="34">
        <v>34394</v>
      </c>
      <c r="B294" s="34">
        <f t="shared" si="138"/>
        <v>34454</v>
      </c>
      <c r="C294">
        <v>4646</v>
      </c>
      <c r="D294" s="6">
        <f t="shared" si="147"/>
        <v>4621.2299999999996</v>
      </c>
      <c r="E294" s="29">
        <f t="shared" si="148"/>
        <v>1.5100000000000001E-2</v>
      </c>
      <c r="F294" s="29">
        <f t="shared" si="149"/>
        <v>1.0800000000000001E-2</v>
      </c>
      <c r="G294">
        <v>5162.3</v>
      </c>
      <c r="H294" s="6">
        <f t="shared" si="150"/>
        <v>5134.2700000000004</v>
      </c>
      <c r="I294" s="29">
        <f t="shared" si="151"/>
        <v>1.0200000000000001E-2</v>
      </c>
      <c r="J294" s="29">
        <f t="shared" si="152"/>
        <v>2.7000000000000001E-3</v>
      </c>
      <c r="K294">
        <v>2.1307399999999999</v>
      </c>
      <c r="L294">
        <v>2.42</v>
      </c>
      <c r="M294" s="35">
        <f t="shared" si="164"/>
        <v>2.2749999999999999</v>
      </c>
      <c r="N294">
        <v>114.7</v>
      </c>
      <c r="O294" s="29">
        <f t="shared" si="154"/>
        <v>7.6E-3</v>
      </c>
      <c r="P294">
        <v>6.8</v>
      </c>
      <c r="Q294" s="6">
        <f t="shared" si="139"/>
        <v>351.04</v>
      </c>
      <c r="R294">
        <v>6.06</v>
      </c>
      <c r="S294" s="36">
        <f t="shared" si="140"/>
        <v>43.14</v>
      </c>
      <c r="T294" s="6">
        <f t="shared" si="155"/>
        <v>107.7</v>
      </c>
      <c r="U294" s="6">
        <f t="shared" si="156"/>
        <v>107.31</v>
      </c>
      <c r="V294" s="29">
        <f t="shared" si="157"/>
        <v>9.7999999999999997E-3</v>
      </c>
      <c r="W294" s="29">
        <f t="shared" si="158"/>
        <v>7.4000000000000003E-3</v>
      </c>
      <c r="X294" s="13">
        <f t="shared" si="141"/>
        <v>2.47E-2</v>
      </c>
      <c r="Y294" s="13">
        <f t="shared" si="142"/>
        <v>2.2200000000000001E-2</v>
      </c>
      <c r="Z294" s="6">
        <f t="shared" si="143"/>
        <v>3.0605056669572801</v>
      </c>
      <c r="AA294" s="13">
        <f t="shared" si="144"/>
        <v>0.13450000000000001</v>
      </c>
      <c r="AB294" s="35">
        <f t="shared" si="145"/>
        <v>6.9509999999999996</v>
      </c>
      <c r="AC294" s="6">
        <f t="shared" si="146"/>
        <v>1892.74</v>
      </c>
      <c r="AD294" s="6">
        <f t="shared" si="159"/>
        <v>1894.8</v>
      </c>
      <c r="AE294" s="29">
        <f t="shared" si="160"/>
        <v>4.8999999999999998E-3</v>
      </c>
      <c r="AF294" s="13">
        <f t="shared" si="136"/>
        <v>0.18529999999999999</v>
      </c>
      <c r="AG294" s="22">
        <f t="shared" si="161"/>
        <v>66.59</v>
      </c>
      <c r="AH294" s="22">
        <f t="shared" si="137"/>
        <v>48.57</v>
      </c>
      <c r="AI294" s="22">
        <f t="shared" si="162"/>
        <v>62.085000000000001</v>
      </c>
      <c r="AJ294" s="22">
        <f t="shared" si="163"/>
        <v>64.430000000000007</v>
      </c>
    </row>
    <row r="295" spans="1:36" x14ac:dyDescent="0.25">
      <c r="A295" s="34">
        <v>34366</v>
      </c>
      <c r="B295" s="34">
        <f t="shared" si="138"/>
        <v>34424</v>
      </c>
      <c r="C295">
        <v>4632.6000000000004</v>
      </c>
      <c r="D295" s="6">
        <f t="shared" si="147"/>
        <v>4596.2700000000004</v>
      </c>
      <c r="E295" s="29">
        <f t="shared" si="148"/>
        <v>1.4E-2</v>
      </c>
      <c r="F295" s="29">
        <f t="shared" si="149"/>
        <v>1.37E-2</v>
      </c>
      <c r="G295">
        <v>5131.1000000000004</v>
      </c>
      <c r="H295" s="6">
        <f t="shared" si="150"/>
        <v>5148.6000000000004</v>
      </c>
      <c r="I295" s="29">
        <f t="shared" si="151"/>
        <v>2.5600000000000001E-2</v>
      </c>
      <c r="J295" s="29">
        <f t="shared" si="152"/>
        <v>3.0000000000000001E-3</v>
      </c>
      <c r="K295">
        <v>2.0589599999999999</v>
      </c>
      <c r="L295">
        <v>2.36</v>
      </c>
      <c r="M295" s="35">
        <f t="shared" si="164"/>
        <v>2.2090000000000001</v>
      </c>
      <c r="N295">
        <v>114</v>
      </c>
      <c r="O295" s="29">
        <f t="shared" si="154"/>
        <v>2.0999999999999999E-3</v>
      </c>
      <c r="P295">
        <v>6.5</v>
      </c>
      <c r="Q295" s="6">
        <f t="shared" si="139"/>
        <v>333.52</v>
      </c>
      <c r="R295">
        <v>6</v>
      </c>
      <c r="S295" s="36">
        <f t="shared" si="140"/>
        <v>43.06</v>
      </c>
      <c r="T295" s="6">
        <f t="shared" si="155"/>
        <v>107.58</v>
      </c>
      <c r="U295" s="6">
        <f t="shared" si="156"/>
        <v>106.91</v>
      </c>
      <c r="V295" s="29">
        <f t="shared" si="157"/>
        <v>8.5000000000000006E-3</v>
      </c>
      <c r="W295" s="29">
        <f t="shared" si="158"/>
        <v>1.03E-2</v>
      </c>
      <c r="X295" s="13">
        <f t="shared" si="141"/>
        <v>2.46E-2</v>
      </c>
      <c r="Y295" s="13">
        <f t="shared" si="142"/>
        <v>2.2200000000000001E-2</v>
      </c>
      <c r="Z295" s="6">
        <f t="shared" si="143"/>
        <v>2.9256140350877193</v>
      </c>
      <c r="AA295" s="13">
        <f t="shared" si="144"/>
        <v>0.13320000000000001</v>
      </c>
      <c r="AB295" s="35">
        <f t="shared" si="145"/>
        <v>6.84</v>
      </c>
      <c r="AC295" s="6">
        <f t="shared" si="146"/>
        <v>1900</v>
      </c>
      <c r="AD295" s="6">
        <f t="shared" si="159"/>
        <v>1897.22</v>
      </c>
      <c r="AE295" s="29">
        <f t="shared" si="160"/>
        <v>7.7000000000000002E-3</v>
      </c>
      <c r="AF295" s="13">
        <f t="shared" si="136"/>
        <v>0.17580000000000001</v>
      </c>
      <c r="AG295" s="22">
        <f t="shared" si="161"/>
        <v>67.12</v>
      </c>
      <c r="AH295" s="22">
        <f t="shared" si="137"/>
        <v>71.88</v>
      </c>
      <c r="AI295" s="22">
        <f t="shared" si="162"/>
        <v>68.31</v>
      </c>
      <c r="AJ295" s="22">
        <f t="shared" si="163"/>
        <v>63.56</v>
      </c>
    </row>
    <row r="296" spans="1:36" x14ac:dyDescent="0.25">
      <c r="A296" s="34">
        <v>34335</v>
      </c>
      <c r="B296" s="34">
        <f t="shared" si="138"/>
        <v>34393</v>
      </c>
      <c r="C296">
        <v>4585.1000000000004</v>
      </c>
      <c r="D296" s="6">
        <f t="shared" si="147"/>
        <v>4570.1000000000004</v>
      </c>
      <c r="E296" s="29">
        <f t="shared" si="148"/>
        <v>1.37E-2</v>
      </c>
      <c r="F296" s="29">
        <f t="shared" si="149"/>
        <v>7.1000000000000004E-3</v>
      </c>
      <c r="G296">
        <v>5109.3999999999996</v>
      </c>
      <c r="H296" s="6">
        <f t="shared" si="150"/>
        <v>5115.7700000000004</v>
      </c>
      <c r="I296" s="29">
        <f t="shared" si="151"/>
        <v>1.95E-2</v>
      </c>
      <c r="J296" s="29">
        <f t="shared" si="152"/>
        <v>5.3E-3</v>
      </c>
      <c r="K296">
        <v>1.9770000000000001</v>
      </c>
      <c r="L296">
        <v>2.36</v>
      </c>
      <c r="M296" s="35">
        <f t="shared" si="164"/>
        <v>2.169</v>
      </c>
      <c r="N296">
        <v>113.5</v>
      </c>
      <c r="O296" s="29">
        <f t="shared" si="154"/>
        <v>-2.5999999999999999E-3</v>
      </c>
      <c r="P296">
        <v>7.1</v>
      </c>
      <c r="Q296" s="6">
        <f t="shared" si="139"/>
        <v>362.77</v>
      </c>
      <c r="R296">
        <v>6</v>
      </c>
      <c r="S296" s="36">
        <f t="shared" si="140"/>
        <v>42.99</v>
      </c>
      <c r="T296" s="6">
        <f t="shared" si="155"/>
        <v>106.66</v>
      </c>
      <c r="U296" s="6">
        <f t="shared" si="156"/>
        <v>106.49</v>
      </c>
      <c r="V296" s="29">
        <f t="shared" si="157"/>
        <v>8.0000000000000002E-3</v>
      </c>
      <c r="W296" s="29">
        <f t="shared" si="158"/>
        <v>3.7000000000000002E-3</v>
      </c>
      <c r="X296" s="13">
        <f t="shared" si="141"/>
        <v>2.4799999999999999E-2</v>
      </c>
      <c r="Y296" s="13">
        <f t="shared" si="142"/>
        <v>2.2200000000000001E-2</v>
      </c>
      <c r="Z296" s="6">
        <f t="shared" si="143"/>
        <v>3.1962114537444934</v>
      </c>
      <c r="AA296" s="13">
        <f t="shared" si="144"/>
        <v>0.13320000000000001</v>
      </c>
      <c r="AB296" s="35">
        <f t="shared" si="145"/>
        <v>6.81</v>
      </c>
      <c r="AC296" s="6">
        <f t="shared" si="146"/>
        <v>1891.67</v>
      </c>
      <c r="AD296" s="6">
        <f t="shared" si="159"/>
        <v>1896.11</v>
      </c>
      <c r="AE296" s="29">
        <f t="shared" si="160"/>
        <v>3.5000000000000001E-3</v>
      </c>
      <c r="AF296" s="13">
        <f t="shared" si="136"/>
        <v>0.1913</v>
      </c>
      <c r="AG296" s="22">
        <f t="shared" si="161"/>
        <v>59.66</v>
      </c>
      <c r="AH296" s="22">
        <f t="shared" si="137"/>
        <v>64.739999999999995</v>
      </c>
      <c r="AI296" s="22">
        <f t="shared" si="162"/>
        <v>60.929999999999993</v>
      </c>
      <c r="AJ296" s="22">
        <f t="shared" si="163"/>
        <v>60.65</v>
      </c>
    </row>
    <row r="297" spans="1:36" x14ac:dyDescent="0.25">
      <c r="A297" s="34">
        <v>34304</v>
      </c>
      <c r="B297" s="34">
        <f t="shared" si="138"/>
        <v>34365</v>
      </c>
      <c r="C297">
        <v>4571.1000000000004</v>
      </c>
      <c r="D297" s="6">
        <f t="shared" si="147"/>
        <v>4552.67</v>
      </c>
      <c r="E297" s="29">
        <f t="shared" si="148"/>
        <v>1.46E-2</v>
      </c>
      <c r="F297" s="29">
        <f t="shared" si="149"/>
        <v>8.3999999999999995E-3</v>
      </c>
      <c r="G297">
        <v>5205.3</v>
      </c>
      <c r="H297" s="6">
        <f t="shared" si="150"/>
        <v>5082.37</v>
      </c>
      <c r="I297" s="29">
        <f t="shared" si="151"/>
        <v>1.2800000000000001E-2</v>
      </c>
      <c r="J297" s="29">
        <f t="shared" si="152"/>
        <v>3.6900000000000002E-2</v>
      </c>
      <c r="K297">
        <v>2.1920700000000002</v>
      </c>
      <c r="L297">
        <v>2.4</v>
      </c>
      <c r="M297" s="35">
        <f t="shared" si="164"/>
        <v>2.2959999999999998</v>
      </c>
      <c r="N297">
        <v>114</v>
      </c>
      <c r="O297" s="29">
        <f t="shared" si="154"/>
        <v>5.0000000000000001E-3</v>
      </c>
      <c r="P297">
        <v>9.1</v>
      </c>
      <c r="Q297" s="6">
        <f t="shared" si="139"/>
        <v>473.68</v>
      </c>
      <c r="R297">
        <v>6</v>
      </c>
      <c r="S297" s="36">
        <f t="shared" si="140"/>
        <v>42.92</v>
      </c>
      <c r="T297" s="6">
        <f t="shared" si="155"/>
        <v>106.5</v>
      </c>
      <c r="U297" s="6">
        <f t="shared" si="156"/>
        <v>106.27</v>
      </c>
      <c r="V297" s="29">
        <f t="shared" si="157"/>
        <v>8.8000000000000005E-3</v>
      </c>
      <c r="W297" s="29">
        <f t="shared" si="158"/>
        <v>4.7000000000000002E-3</v>
      </c>
      <c r="X297" s="13">
        <f t="shared" si="141"/>
        <v>2.4899999999999999E-2</v>
      </c>
      <c r="Y297" s="13">
        <f t="shared" si="142"/>
        <v>2.1899999999999999E-2</v>
      </c>
      <c r="Z297" s="6">
        <f t="shared" si="143"/>
        <v>4.1550877192982458</v>
      </c>
      <c r="AA297" s="13">
        <f t="shared" si="144"/>
        <v>0.13139999999999999</v>
      </c>
      <c r="AB297" s="35">
        <f t="shared" si="145"/>
        <v>6.84</v>
      </c>
      <c r="AC297" s="6">
        <f t="shared" si="146"/>
        <v>1900</v>
      </c>
      <c r="AD297" s="6">
        <f t="shared" si="159"/>
        <v>1896.67</v>
      </c>
      <c r="AE297" s="29">
        <f t="shared" si="160"/>
        <v>-5.9999999999999995E-4</v>
      </c>
      <c r="AF297" s="13">
        <f t="shared" si="136"/>
        <v>0.24970000000000001</v>
      </c>
      <c r="AG297" s="22">
        <f t="shared" si="161"/>
        <v>62.48</v>
      </c>
      <c r="AH297" s="22">
        <f t="shared" si="137"/>
        <v>78.209999999999994</v>
      </c>
      <c r="AI297" s="22">
        <f t="shared" si="162"/>
        <v>66.412499999999994</v>
      </c>
      <c r="AJ297" s="22">
        <f t="shared" si="163"/>
        <v>60.33</v>
      </c>
    </row>
    <row r="298" spans="1:36" x14ac:dyDescent="0.25">
      <c r="A298" s="34">
        <v>34274</v>
      </c>
      <c r="B298" s="34">
        <f t="shared" si="138"/>
        <v>34334</v>
      </c>
      <c r="C298">
        <v>4554.1000000000004</v>
      </c>
      <c r="D298" s="6">
        <f t="shared" si="147"/>
        <v>4532.8</v>
      </c>
      <c r="E298" s="29">
        <f t="shared" si="148"/>
        <v>1.5599999999999999E-2</v>
      </c>
      <c r="F298" s="29">
        <f t="shared" si="149"/>
        <v>1.01E-2</v>
      </c>
      <c r="G298">
        <v>5032.6000000000004</v>
      </c>
      <c r="H298" s="6">
        <f t="shared" si="150"/>
        <v>5019.93</v>
      </c>
      <c r="I298" s="29">
        <f t="shared" si="151"/>
        <v>2.2000000000000001E-3</v>
      </c>
      <c r="J298" s="29">
        <f t="shared" si="152"/>
        <v>2.8999999999999998E-3</v>
      </c>
      <c r="K298">
        <v>2.3460999999999999</v>
      </c>
      <c r="L298">
        <v>2.4300000000000002</v>
      </c>
      <c r="M298" s="35">
        <f t="shared" si="164"/>
        <v>2.3879999999999999</v>
      </c>
      <c r="N298">
        <v>113.8</v>
      </c>
      <c r="O298" s="29">
        <f t="shared" si="154"/>
        <v>5.8999999999999999E-3</v>
      </c>
      <c r="P298">
        <v>6.3</v>
      </c>
      <c r="Q298" s="6">
        <f t="shared" si="139"/>
        <v>317.05</v>
      </c>
      <c r="R298">
        <v>6</v>
      </c>
      <c r="S298" s="36">
        <f t="shared" si="140"/>
        <v>42.84</v>
      </c>
      <c r="T298" s="6">
        <f t="shared" si="155"/>
        <v>106.3</v>
      </c>
      <c r="U298" s="6">
        <f t="shared" si="156"/>
        <v>106.01</v>
      </c>
      <c r="V298" s="29">
        <f t="shared" si="157"/>
        <v>9.5999999999999992E-3</v>
      </c>
      <c r="W298" s="29">
        <f t="shared" si="158"/>
        <v>6.3E-3</v>
      </c>
      <c r="X298" s="13">
        <f t="shared" si="141"/>
        <v>2.5000000000000001E-2</v>
      </c>
      <c r="Y298" s="13">
        <f t="shared" si="142"/>
        <v>2.2599999999999999E-2</v>
      </c>
      <c r="Z298" s="6">
        <f t="shared" si="143"/>
        <v>2.7860281195079089</v>
      </c>
      <c r="AA298" s="13">
        <f t="shared" si="144"/>
        <v>0.1356</v>
      </c>
      <c r="AB298" s="35">
        <f t="shared" si="145"/>
        <v>6.8280000000000003</v>
      </c>
      <c r="AC298" s="6">
        <f t="shared" si="146"/>
        <v>1896.67</v>
      </c>
      <c r="AD298" s="6">
        <f t="shared" si="159"/>
        <v>1890.56</v>
      </c>
      <c r="AE298" s="29">
        <f t="shared" si="160"/>
        <v>-8.2000000000000007E-3</v>
      </c>
      <c r="AF298" s="13">
        <f t="shared" si="136"/>
        <v>0.16769999999999999</v>
      </c>
      <c r="AG298" s="22">
        <f t="shared" si="161"/>
        <v>65.900000000000006</v>
      </c>
      <c r="AH298" s="22">
        <f t="shared" si="137"/>
        <v>36.630000000000003</v>
      </c>
      <c r="AI298" s="22">
        <f t="shared" si="162"/>
        <v>58.582500000000003</v>
      </c>
      <c r="AJ298" s="22">
        <f t="shared" si="163"/>
        <v>58.87</v>
      </c>
    </row>
    <row r="299" spans="1:36" x14ac:dyDescent="0.25">
      <c r="A299" s="34">
        <v>34243</v>
      </c>
      <c r="B299" s="34">
        <f t="shared" si="138"/>
        <v>34303</v>
      </c>
      <c r="C299">
        <v>4532.8</v>
      </c>
      <c r="D299" s="6">
        <f t="shared" si="147"/>
        <v>4508.47</v>
      </c>
      <c r="E299" s="29">
        <f t="shared" si="148"/>
        <v>1.46E-2</v>
      </c>
      <c r="F299" s="29">
        <f t="shared" si="149"/>
        <v>1.0200000000000001E-2</v>
      </c>
      <c r="G299">
        <v>5009.2</v>
      </c>
      <c r="H299" s="6">
        <f t="shared" si="150"/>
        <v>5017.8999999999996</v>
      </c>
      <c r="I299" s="29">
        <f t="shared" si="151"/>
        <v>3.7000000000000002E-3</v>
      </c>
      <c r="J299" s="29">
        <f t="shared" si="152"/>
        <v>-1.8E-3</v>
      </c>
      <c r="K299">
        <v>2.35365</v>
      </c>
      <c r="L299">
        <v>2.5</v>
      </c>
      <c r="M299" s="35">
        <f t="shared" si="164"/>
        <v>2.427</v>
      </c>
      <c r="N299">
        <v>113.6</v>
      </c>
      <c r="O299" s="29">
        <f t="shared" si="154"/>
        <v>5.5999999999999999E-3</v>
      </c>
      <c r="P299">
        <v>6.3</v>
      </c>
      <c r="Q299" s="6">
        <f t="shared" si="139"/>
        <v>315.58</v>
      </c>
      <c r="R299">
        <v>6</v>
      </c>
      <c r="S299" s="36">
        <f t="shared" si="140"/>
        <v>42.76</v>
      </c>
      <c r="T299" s="6">
        <f t="shared" si="155"/>
        <v>106.01</v>
      </c>
      <c r="U299" s="6">
        <f t="shared" si="156"/>
        <v>105.64</v>
      </c>
      <c r="V299" s="29">
        <f t="shared" si="157"/>
        <v>8.3999999999999995E-3</v>
      </c>
      <c r="W299" s="29">
        <f t="shared" si="158"/>
        <v>6.3E-3</v>
      </c>
      <c r="X299" s="13">
        <f t="shared" si="141"/>
        <v>2.5100000000000001E-2</v>
      </c>
      <c r="Y299" s="13">
        <f t="shared" si="142"/>
        <v>2.2700000000000001E-2</v>
      </c>
      <c r="Z299" s="6">
        <f t="shared" si="143"/>
        <v>2.7779929577464788</v>
      </c>
      <c r="AA299" s="13">
        <f t="shared" si="144"/>
        <v>0.13619999999999999</v>
      </c>
      <c r="AB299" s="35">
        <f t="shared" si="145"/>
        <v>6.8159999999999998</v>
      </c>
      <c r="AC299" s="6">
        <f t="shared" si="146"/>
        <v>1893.33</v>
      </c>
      <c r="AD299" s="6">
        <f t="shared" si="159"/>
        <v>1885.56</v>
      </c>
      <c r="AE299" s="29">
        <f t="shared" si="160"/>
        <v>-1.1900000000000001E-2</v>
      </c>
      <c r="AF299" s="13">
        <f t="shared" si="136"/>
        <v>0.16739999999999999</v>
      </c>
      <c r="AG299" s="22">
        <f t="shared" si="161"/>
        <v>63.72</v>
      </c>
      <c r="AH299" s="22">
        <f t="shared" si="137"/>
        <v>35.590000000000003</v>
      </c>
      <c r="AI299" s="22">
        <f t="shared" si="162"/>
        <v>56.6875</v>
      </c>
      <c r="AJ299" s="22">
        <f t="shared" si="163"/>
        <v>60.17</v>
      </c>
    </row>
    <row r="300" spans="1:36" x14ac:dyDescent="0.25">
      <c r="A300" s="34">
        <v>34213</v>
      </c>
      <c r="B300" s="34">
        <f t="shared" si="138"/>
        <v>34273</v>
      </c>
      <c r="C300">
        <v>4511.5</v>
      </c>
      <c r="D300" s="6">
        <f t="shared" si="147"/>
        <v>4487.17</v>
      </c>
      <c r="E300" s="29">
        <f t="shared" si="148"/>
        <v>1.55E-2</v>
      </c>
      <c r="F300" s="29">
        <f t="shared" si="149"/>
        <v>1.0800000000000001E-2</v>
      </c>
      <c r="G300">
        <v>5018</v>
      </c>
      <c r="H300" s="6">
        <f t="shared" si="150"/>
        <v>5018.37</v>
      </c>
      <c r="I300" s="29">
        <f t="shared" si="151"/>
        <v>5.1999999999999998E-3</v>
      </c>
      <c r="J300" s="29">
        <f t="shared" si="152"/>
        <v>1.8E-3</v>
      </c>
      <c r="K300">
        <v>2.3930799999999999</v>
      </c>
      <c r="L300">
        <v>2.5499999999999998</v>
      </c>
      <c r="M300" s="35">
        <f t="shared" si="164"/>
        <v>2.472</v>
      </c>
      <c r="N300">
        <v>112.9</v>
      </c>
      <c r="O300" s="29">
        <f t="shared" si="154"/>
        <v>-4.1000000000000003E-3</v>
      </c>
      <c r="P300">
        <v>6.9</v>
      </c>
      <c r="Q300" s="6">
        <f t="shared" si="139"/>
        <v>346.24</v>
      </c>
      <c r="R300">
        <v>6</v>
      </c>
      <c r="S300" s="36">
        <f t="shared" si="140"/>
        <v>42.68</v>
      </c>
      <c r="T300" s="6">
        <f t="shared" si="155"/>
        <v>105.71</v>
      </c>
      <c r="U300" s="6">
        <f t="shared" si="156"/>
        <v>105.34</v>
      </c>
      <c r="V300" s="29">
        <f t="shared" si="157"/>
        <v>9.1000000000000004E-3</v>
      </c>
      <c r="W300" s="29">
        <f t="shared" si="158"/>
        <v>6.7999999999999996E-3</v>
      </c>
      <c r="X300" s="13">
        <f t="shared" si="141"/>
        <v>2.5000000000000001E-2</v>
      </c>
      <c r="Y300" s="13">
        <f t="shared" si="142"/>
        <v>2.2499999999999999E-2</v>
      </c>
      <c r="Z300" s="6">
        <f t="shared" si="143"/>
        <v>3.0667847652790079</v>
      </c>
      <c r="AA300" s="13">
        <f t="shared" si="144"/>
        <v>0.13500000000000001</v>
      </c>
      <c r="AB300" s="35">
        <f t="shared" si="145"/>
        <v>6.774</v>
      </c>
      <c r="AC300" s="6">
        <f t="shared" si="146"/>
        <v>1881.67</v>
      </c>
      <c r="AD300" s="6">
        <f t="shared" si="159"/>
        <v>1882.78</v>
      </c>
      <c r="AE300" s="29">
        <f t="shared" si="160"/>
        <v>-1.4E-2</v>
      </c>
      <c r="AF300" s="13">
        <f t="shared" si="136"/>
        <v>0.18390000000000001</v>
      </c>
      <c r="AG300" s="22">
        <f t="shared" si="161"/>
        <v>65.900000000000006</v>
      </c>
      <c r="AH300" s="22">
        <f t="shared" si="137"/>
        <v>40.92</v>
      </c>
      <c r="AI300" s="22">
        <f t="shared" si="162"/>
        <v>59.655000000000001</v>
      </c>
      <c r="AJ300" s="22">
        <f t="shared" si="163"/>
        <v>61.48</v>
      </c>
    </row>
    <row r="301" spans="1:36" x14ac:dyDescent="0.25">
      <c r="A301" s="34">
        <v>34182</v>
      </c>
      <c r="B301" s="34">
        <f t="shared" si="138"/>
        <v>34242</v>
      </c>
      <c r="C301">
        <v>4481.1000000000004</v>
      </c>
      <c r="D301" s="6">
        <f t="shared" si="147"/>
        <v>4463.33</v>
      </c>
      <c r="E301" s="29">
        <f t="shared" si="148"/>
        <v>1.6799999999999999E-2</v>
      </c>
      <c r="F301" s="29">
        <f t="shared" si="149"/>
        <v>8.3999999999999995E-3</v>
      </c>
      <c r="G301">
        <v>5026.5</v>
      </c>
      <c r="H301" s="6">
        <f t="shared" si="150"/>
        <v>5009.07</v>
      </c>
      <c r="I301" s="29">
        <f t="shared" si="151"/>
        <v>6.0000000000000001E-3</v>
      </c>
      <c r="J301" s="29">
        <f t="shared" si="152"/>
        <v>5.4000000000000003E-3</v>
      </c>
      <c r="K301">
        <v>2.4533499999999999</v>
      </c>
      <c r="L301">
        <v>2.5099999999999998</v>
      </c>
      <c r="M301" s="35">
        <f t="shared" si="164"/>
        <v>2.4820000000000002</v>
      </c>
      <c r="N301">
        <v>112.9</v>
      </c>
      <c r="O301" s="29">
        <f t="shared" si="154"/>
        <v>-8.5000000000000006E-3</v>
      </c>
      <c r="P301">
        <v>7.7</v>
      </c>
      <c r="Q301" s="6">
        <f t="shared" si="139"/>
        <v>387.04</v>
      </c>
      <c r="R301">
        <v>6</v>
      </c>
      <c r="S301" s="36">
        <f t="shared" si="140"/>
        <v>42.6</v>
      </c>
      <c r="T301" s="6">
        <f t="shared" si="155"/>
        <v>105.19</v>
      </c>
      <c r="U301" s="6">
        <f t="shared" si="156"/>
        <v>105</v>
      </c>
      <c r="V301" s="29">
        <f t="shared" si="157"/>
        <v>1.03E-2</v>
      </c>
      <c r="W301" s="29">
        <f t="shared" si="158"/>
        <v>4.1000000000000003E-3</v>
      </c>
      <c r="X301" s="13">
        <f t="shared" si="141"/>
        <v>2.52E-2</v>
      </c>
      <c r="Y301" s="13">
        <f t="shared" si="142"/>
        <v>2.2499999999999999E-2</v>
      </c>
      <c r="Z301" s="6">
        <f t="shared" si="143"/>
        <v>3.4281665190434012</v>
      </c>
      <c r="AA301" s="13">
        <f t="shared" si="144"/>
        <v>0.13500000000000001</v>
      </c>
      <c r="AB301" s="35">
        <f t="shared" si="145"/>
        <v>6.774</v>
      </c>
      <c r="AC301" s="6">
        <f t="shared" si="146"/>
        <v>1881.67</v>
      </c>
      <c r="AD301" s="6">
        <f t="shared" si="159"/>
        <v>1889.45</v>
      </c>
      <c r="AE301" s="29">
        <f t="shared" si="160"/>
        <v>-9.9000000000000008E-3</v>
      </c>
      <c r="AF301" s="13">
        <f t="shared" si="136"/>
        <v>0.20480000000000001</v>
      </c>
      <c r="AG301" s="22">
        <f t="shared" si="161"/>
        <v>65.790000000000006</v>
      </c>
      <c r="AH301" s="22">
        <f t="shared" si="137"/>
        <v>44.88</v>
      </c>
      <c r="AI301" s="22">
        <f t="shared" si="162"/>
        <v>60.5625</v>
      </c>
      <c r="AJ301" s="22">
        <f t="shared" si="163"/>
        <v>59.7</v>
      </c>
    </row>
    <row r="302" spans="1:36" x14ac:dyDescent="0.25">
      <c r="A302" s="34">
        <v>34151</v>
      </c>
      <c r="B302" s="34">
        <f t="shared" si="138"/>
        <v>34212</v>
      </c>
      <c r="C302">
        <v>4468.8999999999996</v>
      </c>
      <c r="D302" s="6">
        <f t="shared" si="147"/>
        <v>4443.7700000000004</v>
      </c>
      <c r="E302" s="29">
        <f t="shared" si="148"/>
        <v>1.7600000000000001E-2</v>
      </c>
      <c r="F302" s="29">
        <f t="shared" si="149"/>
        <v>1.14E-2</v>
      </c>
      <c r="G302">
        <v>5010.6000000000004</v>
      </c>
      <c r="H302" s="6">
        <f t="shared" si="150"/>
        <v>4999.3999999999996</v>
      </c>
      <c r="I302" s="29">
        <f t="shared" si="151"/>
        <v>6.8999999999999999E-3</v>
      </c>
      <c r="J302" s="29">
        <f t="shared" si="152"/>
        <v>3.7000000000000002E-3</v>
      </c>
      <c r="K302">
        <v>2.4150399999999999</v>
      </c>
      <c r="L302">
        <v>2.52</v>
      </c>
      <c r="M302" s="35">
        <f t="shared" si="164"/>
        <v>2.468</v>
      </c>
      <c r="N302">
        <v>113.1</v>
      </c>
      <c r="O302" s="29">
        <f t="shared" si="154"/>
        <v>-1.11E-2</v>
      </c>
      <c r="P302">
        <v>7.6</v>
      </c>
      <c r="Q302" s="6">
        <f t="shared" si="139"/>
        <v>380.81</v>
      </c>
      <c r="R302">
        <v>6</v>
      </c>
      <c r="S302" s="36">
        <f t="shared" si="140"/>
        <v>42.51</v>
      </c>
      <c r="T302" s="6">
        <f t="shared" si="155"/>
        <v>105.13</v>
      </c>
      <c r="U302" s="6">
        <f t="shared" si="156"/>
        <v>104.76</v>
      </c>
      <c r="V302" s="29">
        <f t="shared" si="157"/>
        <v>1.09E-2</v>
      </c>
      <c r="W302" s="29">
        <f t="shared" si="158"/>
        <v>7.1000000000000004E-3</v>
      </c>
      <c r="X302" s="13">
        <f t="shared" si="141"/>
        <v>2.53E-2</v>
      </c>
      <c r="Y302" s="13">
        <f t="shared" si="142"/>
        <v>2.2599999999999999E-2</v>
      </c>
      <c r="Z302" s="6">
        <f t="shared" si="143"/>
        <v>3.3670203359858535</v>
      </c>
      <c r="AA302" s="13">
        <f t="shared" si="144"/>
        <v>0.1356</v>
      </c>
      <c r="AB302" s="35">
        <f t="shared" si="145"/>
        <v>6.7859999999999996</v>
      </c>
      <c r="AC302" s="6">
        <f t="shared" si="146"/>
        <v>1885</v>
      </c>
      <c r="AD302" s="6">
        <f t="shared" si="159"/>
        <v>1897.78</v>
      </c>
      <c r="AE302" s="29">
        <f t="shared" si="160"/>
        <v>-3.8E-3</v>
      </c>
      <c r="AF302" s="13">
        <f t="shared" si="136"/>
        <v>0.20069999999999999</v>
      </c>
      <c r="AG302" s="22">
        <f t="shared" si="161"/>
        <v>70.16</v>
      </c>
      <c r="AH302" s="22">
        <f t="shared" si="137"/>
        <v>44.69</v>
      </c>
      <c r="AI302" s="22">
        <f t="shared" si="162"/>
        <v>63.792499999999997</v>
      </c>
      <c r="AJ302" s="22">
        <f t="shared" si="163"/>
        <v>57.48</v>
      </c>
    </row>
    <row r="303" spans="1:36" x14ac:dyDescent="0.25">
      <c r="A303" s="34">
        <v>34121</v>
      </c>
      <c r="B303" s="34">
        <f t="shared" si="138"/>
        <v>34181</v>
      </c>
      <c r="C303">
        <v>4440</v>
      </c>
      <c r="D303" s="6">
        <f t="shared" si="147"/>
        <v>4418.6000000000004</v>
      </c>
      <c r="E303" s="29">
        <f t="shared" si="148"/>
        <v>1.5900000000000001E-2</v>
      </c>
      <c r="F303" s="29">
        <f t="shared" si="149"/>
        <v>1.15E-2</v>
      </c>
      <c r="G303">
        <v>4990.1000000000004</v>
      </c>
      <c r="H303" s="6">
        <f t="shared" si="150"/>
        <v>4992.3</v>
      </c>
      <c r="I303" s="29">
        <f t="shared" si="151"/>
        <v>9.7999999999999997E-3</v>
      </c>
      <c r="J303" s="29">
        <f t="shared" si="152"/>
        <v>2.2000000000000001E-3</v>
      </c>
      <c r="K303">
        <v>2.58989</v>
      </c>
      <c r="L303">
        <v>2.5499999999999998</v>
      </c>
      <c r="M303" s="35">
        <f t="shared" si="164"/>
        <v>2.57</v>
      </c>
      <c r="N303">
        <v>114.1</v>
      </c>
      <c r="O303" s="29">
        <f t="shared" si="154"/>
        <v>-3.5000000000000001E-3</v>
      </c>
      <c r="P303">
        <v>7.8</v>
      </c>
      <c r="Q303" s="6">
        <f t="shared" si="139"/>
        <v>389.23</v>
      </c>
      <c r="R303">
        <v>6</v>
      </c>
      <c r="S303" s="36">
        <f t="shared" si="140"/>
        <v>42.42</v>
      </c>
      <c r="T303" s="6">
        <f t="shared" si="155"/>
        <v>104.67</v>
      </c>
      <c r="U303" s="6">
        <f t="shared" si="156"/>
        <v>104.39</v>
      </c>
      <c r="V303" s="29">
        <f t="shared" si="157"/>
        <v>9.1999999999999998E-3</v>
      </c>
      <c r="W303" s="29">
        <f t="shared" si="158"/>
        <v>7.1000000000000004E-3</v>
      </c>
      <c r="X303" s="13">
        <f t="shared" si="141"/>
        <v>2.5700000000000001E-2</v>
      </c>
      <c r="Y303" s="13">
        <f t="shared" si="142"/>
        <v>2.29E-2</v>
      </c>
      <c r="Z303" s="6">
        <f t="shared" si="143"/>
        <v>3.4113058720420688</v>
      </c>
      <c r="AA303" s="13">
        <f t="shared" si="144"/>
        <v>0.13739999999999999</v>
      </c>
      <c r="AB303" s="35">
        <f t="shared" si="145"/>
        <v>6.8460000000000001</v>
      </c>
      <c r="AC303" s="6">
        <f t="shared" si="146"/>
        <v>1901.67</v>
      </c>
      <c r="AD303" s="6">
        <f t="shared" si="159"/>
        <v>1906.11</v>
      </c>
      <c r="AE303" s="29">
        <f t="shared" si="160"/>
        <v>2.5999999999999999E-3</v>
      </c>
      <c r="AF303" s="13">
        <f t="shared" si="136"/>
        <v>0.20419999999999999</v>
      </c>
      <c r="AG303" s="22">
        <f t="shared" si="161"/>
        <v>66.69</v>
      </c>
      <c r="AH303" s="22">
        <f t="shared" si="137"/>
        <v>47.53</v>
      </c>
      <c r="AI303" s="22">
        <f t="shared" si="162"/>
        <v>61.9</v>
      </c>
      <c r="AJ303" s="22">
        <f t="shared" si="163"/>
        <v>52.72</v>
      </c>
    </row>
    <row r="304" spans="1:36" x14ac:dyDescent="0.25">
      <c r="A304" s="34">
        <v>34090</v>
      </c>
      <c r="B304" s="34">
        <f t="shared" si="138"/>
        <v>34150</v>
      </c>
      <c r="C304">
        <v>4422.3999999999996</v>
      </c>
      <c r="D304" s="6">
        <f t="shared" si="147"/>
        <v>4389.43</v>
      </c>
      <c r="E304" s="29">
        <f t="shared" si="148"/>
        <v>1.04E-2</v>
      </c>
      <c r="F304" s="29">
        <f t="shared" si="149"/>
        <v>1.2699999999999999E-2</v>
      </c>
      <c r="G304">
        <v>4997.5</v>
      </c>
      <c r="H304" s="6">
        <f t="shared" si="150"/>
        <v>4979.07</v>
      </c>
      <c r="I304" s="29">
        <f t="shared" si="151"/>
        <v>2.3E-3</v>
      </c>
      <c r="J304" s="29">
        <f t="shared" si="152"/>
        <v>6.4999999999999997E-3</v>
      </c>
      <c r="K304">
        <v>2.7378399999999998</v>
      </c>
      <c r="L304">
        <v>2.58</v>
      </c>
      <c r="M304" s="35">
        <f t="shared" si="164"/>
        <v>2.6589999999999998</v>
      </c>
      <c r="N304">
        <v>114.4</v>
      </c>
      <c r="O304" s="29">
        <f t="shared" si="154"/>
        <v>-1.5E-3</v>
      </c>
      <c r="P304">
        <v>8.3000000000000007</v>
      </c>
      <c r="Q304" s="6">
        <f t="shared" si="139"/>
        <v>414.79</v>
      </c>
      <c r="R304">
        <v>6</v>
      </c>
      <c r="S304" s="36">
        <f t="shared" si="140"/>
        <v>42.33</v>
      </c>
      <c r="T304" s="6">
        <f t="shared" si="155"/>
        <v>104.47</v>
      </c>
      <c r="U304" s="6">
        <f t="shared" si="156"/>
        <v>103.93</v>
      </c>
      <c r="V304" s="29">
        <f t="shared" si="157"/>
        <v>3.8999999999999998E-3</v>
      </c>
      <c r="W304" s="29">
        <f t="shared" si="158"/>
        <v>8.0999999999999996E-3</v>
      </c>
      <c r="X304" s="13">
        <f t="shared" si="141"/>
        <v>2.5899999999999999E-2</v>
      </c>
      <c r="Y304" s="13">
        <f t="shared" si="142"/>
        <v>2.29E-2</v>
      </c>
      <c r="Z304" s="6">
        <f t="shared" si="143"/>
        <v>3.6257867132867134</v>
      </c>
      <c r="AA304" s="13">
        <f t="shared" si="144"/>
        <v>0.13739999999999999</v>
      </c>
      <c r="AB304" s="35">
        <f t="shared" si="145"/>
        <v>6.8639999999999999</v>
      </c>
      <c r="AC304" s="6">
        <f t="shared" si="146"/>
        <v>1906.67</v>
      </c>
      <c r="AD304" s="6">
        <f t="shared" si="159"/>
        <v>1908.33</v>
      </c>
      <c r="AE304" s="29">
        <f t="shared" si="160"/>
        <v>4.7000000000000002E-3</v>
      </c>
      <c r="AF304" s="13">
        <f t="shared" si="136"/>
        <v>0.21740000000000001</v>
      </c>
      <c r="AG304" s="22">
        <f t="shared" si="161"/>
        <v>56.93</v>
      </c>
      <c r="AH304" s="22">
        <f t="shared" si="137"/>
        <v>39.44</v>
      </c>
      <c r="AI304" s="22">
        <f t="shared" si="162"/>
        <v>52.557499999999997</v>
      </c>
      <c r="AJ304" s="22">
        <f t="shared" si="163"/>
        <v>53.31</v>
      </c>
    </row>
    <row r="305" spans="1:36" x14ac:dyDescent="0.25">
      <c r="A305" s="34">
        <v>34060</v>
      </c>
      <c r="B305" s="34">
        <f t="shared" si="138"/>
        <v>34120</v>
      </c>
      <c r="C305">
        <v>4393.3999999999996</v>
      </c>
      <c r="D305" s="6">
        <f t="shared" si="147"/>
        <v>4367.07</v>
      </c>
      <c r="E305" s="29">
        <f t="shared" si="148"/>
        <v>9.4999999999999998E-3</v>
      </c>
      <c r="F305" s="29">
        <f t="shared" si="149"/>
        <v>1.01E-2</v>
      </c>
      <c r="G305">
        <v>4989.3</v>
      </c>
      <c r="H305" s="6">
        <f t="shared" si="150"/>
        <v>4965.13</v>
      </c>
      <c r="I305" s="29">
        <f t="shared" si="151"/>
        <v>7.1999999999999998E-3</v>
      </c>
      <c r="J305" s="29">
        <f t="shared" si="152"/>
        <v>9.1999999999999998E-3</v>
      </c>
      <c r="K305">
        <v>2.5560900000000002</v>
      </c>
      <c r="L305">
        <v>2.54</v>
      </c>
      <c r="M305" s="35">
        <f t="shared" si="164"/>
        <v>2.548</v>
      </c>
      <c r="N305">
        <v>114.6</v>
      </c>
      <c r="O305" s="29">
        <f t="shared" si="154"/>
        <v>8.9999999999999998E-4</v>
      </c>
      <c r="P305">
        <v>8.6999999999999993</v>
      </c>
      <c r="Q305" s="6">
        <f t="shared" si="139"/>
        <v>434.07</v>
      </c>
      <c r="R305">
        <v>6</v>
      </c>
      <c r="S305" s="36">
        <f t="shared" si="140"/>
        <v>42.23</v>
      </c>
      <c r="T305" s="6">
        <f t="shared" si="155"/>
        <v>104.04</v>
      </c>
      <c r="U305" s="6">
        <f t="shared" si="156"/>
        <v>103.63</v>
      </c>
      <c r="V305" s="29">
        <f t="shared" si="157"/>
        <v>3.0000000000000001E-3</v>
      </c>
      <c r="W305" s="29">
        <f t="shared" si="158"/>
        <v>5.7999999999999996E-3</v>
      </c>
      <c r="X305" s="13">
        <f t="shared" si="141"/>
        <v>2.6100000000000002E-2</v>
      </c>
      <c r="Y305" s="13">
        <f t="shared" si="142"/>
        <v>2.3E-2</v>
      </c>
      <c r="Z305" s="6">
        <f t="shared" si="143"/>
        <v>3.7876963350785342</v>
      </c>
      <c r="AA305" s="13">
        <f t="shared" si="144"/>
        <v>0.13800000000000001</v>
      </c>
      <c r="AB305" s="35">
        <f t="shared" si="145"/>
        <v>6.8760000000000003</v>
      </c>
      <c r="AC305" s="6">
        <f t="shared" si="146"/>
        <v>1910</v>
      </c>
      <c r="AD305" s="6">
        <f t="shared" si="159"/>
        <v>1909.44</v>
      </c>
      <c r="AE305" s="29">
        <f t="shared" si="160"/>
        <v>2.5999999999999999E-3</v>
      </c>
      <c r="AF305" s="13">
        <f t="shared" si="136"/>
        <v>0.2273</v>
      </c>
      <c r="AG305" s="22">
        <f t="shared" si="161"/>
        <v>52.62</v>
      </c>
      <c r="AH305" s="22">
        <f t="shared" si="137"/>
        <v>48.8</v>
      </c>
      <c r="AI305" s="22">
        <f t="shared" si="162"/>
        <v>51.664999999999992</v>
      </c>
      <c r="AJ305" s="22">
        <f t="shared" si="163"/>
        <v>56.36</v>
      </c>
    </row>
    <row r="306" spans="1:36" x14ac:dyDescent="0.25">
      <c r="A306" s="34">
        <v>34029</v>
      </c>
      <c r="B306" s="34">
        <f t="shared" si="138"/>
        <v>34089</v>
      </c>
      <c r="C306">
        <v>4352.5</v>
      </c>
      <c r="D306" s="6">
        <f t="shared" si="147"/>
        <v>4349.5</v>
      </c>
      <c r="E306" s="29">
        <f t="shared" si="148"/>
        <v>9.7999999999999997E-3</v>
      </c>
      <c r="F306" s="29">
        <f t="shared" si="149"/>
        <v>1.9E-3</v>
      </c>
      <c r="G306">
        <v>4950.3999999999996</v>
      </c>
      <c r="H306" s="6">
        <f t="shared" si="150"/>
        <v>4943.67</v>
      </c>
      <c r="I306" s="29">
        <f t="shared" si="151"/>
        <v>9.7000000000000003E-3</v>
      </c>
      <c r="J306" s="29">
        <f t="shared" si="152"/>
        <v>-3.5000000000000001E-3</v>
      </c>
      <c r="K306">
        <v>2.5615299999999999</v>
      </c>
      <c r="L306">
        <v>2.46</v>
      </c>
      <c r="M306" s="35">
        <f t="shared" si="164"/>
        <v>2.5110000000000001</v>
      </c>
      <c r="N306">
        <v>114.5</v>
      </c>
      <c r="O306" s="29">
        <f t="shared" si="154"/>
        <v>1.6999999999999999E-3</v>
      </c>
      <c r="P306">
        <v>8.9</v>
      </c>
      <c r="Q306" s="6">
        <f t="shared" si="139"/>
        <v>440.59</v>
      </c>
      <c r="R306">
        <v>6</v>
      </c>
      <c r="S306" s="36">
        <f t="shared" si="140"/>
        <v>42.14</v>
      </c>
      <c r="T306" s="6">
        <f t="shared" si="155"/>
        <v>103.29</v>
      </c>
      <c r="U306" s="6">
        <f t="shared" si="156"/>
        <v>103.44</v>
      </c>
      <c r="V306" s="29">
        <f t="shared" si="157"/>
        <v>3.3999999999999998E-3</v>
      </c>
      <c r="W306" s="29">
        <f t="shared" si="158"/>
        <v>-2.3E-3</v>
      </c>
      <c r="X306" s="13">
        <f t="shared" si="141"/>
        <v>2.63E-2</v>
      </c>
      <c r="Y306" s="13">
        <f t="shared" si="142"/>
        <v>2.3099999999999999E-2</v>
      </c>
      <c r="Z306" s="6">
        <f t="shared" si="143"/>
        <v>3.8479475982532749</v>
      </c>
      <c r="AA306" s="13">
        <f t="shared" si="144"/>
        <v>0.1386</v>
      </c>
      <c r="AB306" s="35">
        <f t="shared" si="145"/>
        <v>6.87</v>
      </c>
      <c r="AC306" s="6">
        <f t="shared" si="146"/>
        <v>1908.33</v>
      </c>
      <c r="AD306" s="6">
        <f t="shared" si="159"/>
        <v>1908.33</v>
      </c>
      <c r="AE306" s="29">
        <f t="shared" si="160"/>
        <v>-2E-3</v>
      </c>
      <c r="AF306" s="13">
        <f t="shared" si="136"/>
        <v>0.23089999999999999</v>
      </c>
      <c r="AG306" s="22">
        <f t="shared" si="161"/>
        <v>45.11</v>
      </c>
      <c r="AH306" s="22">
        <f t="shared" si="137"/>
        <v>43.75</v>
      </c>
      <c r="AI306" s="22">
        <f t="shared" si="162"/>
        <v>44.769999999999996</v>
      </c>
      <c r="AJ306" s="22">
        <f t="shared" si="163"/>
        <v>62.19</v>
      </c>
    </row>
    <row r="307" spans="1:36" x14ac:dyDescent="0.25">
      <c r="A307" s="34">
        <v>34001</v>
      </c>
      <c r="B307" s="34">
        <f t="shared" si="138"/>
        <v>34059</v>
      </c>
      <c r="C307">
        <v>4355.3</v>
      </c>
      <c r="D307" s="6">
        <f t="shared" si="147"/>
        <v>4344.13</v>
      </c>
      <c r="E307" s="29">
        <f t="shared" si="148"/>
        <v>1.49E-2</v>
      </c>
      <c r="F307" s="29">
        <f t="shared" si="149"/>
        <v>6.7999999999999996E-3</v>
      </c>
      <c r="G307">
        <v>4955.7</v>
      </c>
      <c r="H307" s="6">
        <f t="shared" si="150"/>
        <v>4967.7</v>
      </c>
      <c r="I307" s="29">
        <f t="shared" si="151"/>
        <v>2.75E-2</v>
      </c>
      <c r="J307" s="29">
        <f t="shared" si="152"/>
        <v>5.3E-3</v>
      </c>
      <c r="K307">
        <v>2.5992799999999998</v>
      </c>
      <c r="L307">
        <v>2.5299999999999998</v>
      </c>
      <c r="M307" s="35">
        <f t="shared" si="164"/>
        <v>2.5649999999999999</v>
      </c>
      <c r="N307">
        <v>114.6</v>
      </c>
      <c r="O307" s="29">
        <f t="shared" si="154"/>
        <v>4.7000000000000002E-3</v>
      </c>
      <c r="P307">
        <v>8.9</v>
      </c>
      <c r="Q307" s="6">
        <f t="shared" si="139"/>
        <v>441.06</v>
      </c>
      <c r="R307">
        <v>6</v>
      </c>
      <c r="S307" s="36">
        <f t="shared" si="140"/>
        <v>42.05</v>
      </c>
      <c r="T307" s="6">
        <f t="shared" si="155"/>
        <v>103.57</v>
      </c>
      <c r="U307" s="6">
        <f t="shared" si="156"/>
        <v>103.53</v>
      </c>
      <c r="V307" s="29">
        <f t="shared" si="157"/>
        <v>8.3999999999999995E-3</v>
      </c>
      <c r="W307" s="29">
        <f t="shared" si="158"/>
        <v>2.5000000000000001E-3</v>
      </c>
      <c r="X307" s="13">
        <f t="shared" si="141"/>
        <v>2.63E-2</v>
      </c>
      <c r="Y307" s="13">
        <f t="shared" si="142"/>
        <v>2.3099999999999999E-2</v>
      </c>
      <c r="Z307" s="6">
        <f t="shared" si="143"/>
        <v>3.8486910994764401</v>
      </c>
      <c r="AA307" s="13">
        <f t="shared" si="144"/>
        <v>0.1386</v>
      </c>
      <c r="AB307" s="35">
        <f t="shared" si="145"/>
        <v>6.8760000000000003</v>
      </c>
      <c r="AC307" s="6">
        <f t="shared" si="146"/>
        <v>1910</v>
      </c>
      <c r="AD307" s="6">
        <f t="shared" si="159"/>
        <v>1905</v>
      </c>
      <c r="AE307" s="29">
        <f t="shared" si="160"/>
        <v>-7.9000000000000008E-3</v>
      </c>
      <c r="AF307" s="13">
        <f t="shared" si="136"/>
        <v>0.23150000000000001</v>
      </c>
      <c r="AG307" s="22">
        <f t="shared" si="161"/>
        <v>60.06</v>
      </c>
      <c r="AH307" s="22">
        <f t="shared" si="137"/>
        <v>76.790000000000006</v>
      </c>
      <c r="AI307" s="22">
        <f t="shared" si="162"/>
        <v>64.242500000000007</v>
      </c>
      <c r="AJ307" s="22">
        <f t="shared" si="163"/>
        <v>66.37</v>
      </c>
    </row>
    <row r="308" spans="1:36" x14ac:dyDescent="0.25">
      <c r="A308" s="34">
        <v>33970</v>
      </c>
      <c r="B308" s="34">
        <f t="shared" si="138"/>
        <v>34028</v>
      </c>
      <c r="C308">
        <v>4340.7</v>
      </c>
      <c r="D308" s="6">
        <f t="shared" si="147"/>
        <v>4325.87</v>
      </c>
      <c r="E308" s="29">
        <f t="shared" si="148"/>
        <v>1.7000000000000001E-2</v>
      </c>
      <c r="F308" s="29">
        <f t="shared" si="149"/>
        <v>7.7999999999999996E-3</v>
      </c>
      <c r="G308">
        <v>4924.8999999999996</v>
      </c>
      <c r="H308" s="6">
        <f t="shared" si="150"/>
        <v>4929.57</v>
      </c>
      <c r="I308" s="29">
        <f t="shared" si="151"/>
        <v>1.8800000000000001E-2</v>
      </c>
      <c r="J308" s="29">
        <f t="shared" si="152"/>
        <v>5.8999999999999999E-3</v>
      </c>
      <c r="K308">
        <v>2.7037599999999999</v>
      </c>
      <c r="L308">
        <v>2.5099999999999998</v>
      </c>
      <c r="M308" s="35">
        <f t="shared" si="164"/>
        <v>2.6070000000000002</v>
      </c>
      <c r="N308">
        <v>114.4</v>
      </c>
      <c r="O308" s="29">
        <f t="shared" si="154"/>
        <v>3.8E-3</v>
      </c>
      <c r="P308">
        <v>8.6</v>
      </c>
      <c r="Q308" s="6">
        <f t="shared" si="139"/>
        <v>423.54</v>
      </c>
      <c r="R308">
        <v>6</v>
      </c>
      <c r="S308" s="36">
        <f t="shared" si="140"/>
        <v>41.96</v>
      </c>
      <c r="T308" s="6">
        <f t="shared" si="155"/>
        <v>103.45</v>
      </c>
      <c r="U308" s="6">
        <f t="shared" si="156"/>
        <v>103.32</v>
      </c>
      <c r="V308" s="29">
        <f t="shared" si="157"/>
        <v>1.0500000000000001E-2</v>
      </c>
      <c r="W308" s="29">
        <f t="shared" si="158"/>
        <v>3.5000000000000001E-3</v>
      </c>
      <c r="X308" s="13">
        <f t="shared" si="141"/>
        <v>2.64E-2</v>
      </c>
      <c r="Y308" s="13">
        <f t="shared" si="142"/>
        <v>2.3199999999999998E-2</v>
      </c>
      <c r="Z308" s="6">
        <f t="shared" si="143"/>
        <v>3.7022727272727272</v>
      </c>
      <c r="AA308" s="13">
        <f t="shared" si="144"/>
        <v>0.13919999999999999</v>
      </c>
      <c r="AB308" s="35">
        <f t="shared" si="145"/>
        <v>6.8639999999999999</v>
      </c>
      <c r="AC308" s="6">
        <f t="shared" si="146"/>
        <v>1906.67</v>
      </c>
      <c r="AD308" s="6">
        <f t="shared" si="159"/>
        <v>1901.11</v>
      </c>
      <c r="AE308" s="29">
        <f t="shared" si="160"/>
        <v>1.11E-2</v>
      </c>
      <c r="AF308" s="13">
        <f t="shared" si="136"/>
        <v>0.2228</v>
      </c>
      <c r="AG308" s="22">
        <f t="shared" si="161"/>
        <v>65.23</v>
      </c>
      <c r="AH308" s="22">
        <f t="shared" si="137"/>
        <v>63.34</v>
      </c>
      <c r="AI308" s="22">
        <f t="shared" si="162"/>
        <v>64.757499999999993</v>
      </c>
      <c r="AJ308" s="22">
        <f t="shared" si="163"/>
        <v>66</v>
      </c>
    </row>
    <row r="309" spans="1:36" x14ac:dyDescent="0.25">
      <c r="A309" s="34">
        <v>33939</v>
      </c>
      <c r="B309" s="34">
        <f t="shared" si="138"/>
        <v>34000</v>
      </c>
      <c r="C309">
        <v>4336.3999999999996</v>
      </c>
      <c r="D309" s="6">
        <f t="shared" si="147"/>
        <v>4307.2</v>
      </c>
      <c r="E309" s="29">
        <f t="shared" si="148"/>
        <v>1.9E-2</v>
      </c>
      <c r="F309" s="29">
        <f t="shared" si="149"/>
        <v>1.3100000000000001E-2</v>
      </c>
      <c r="G309">
        <v>5022.5</v>
      </c>
      <c r="H309" s="6">
        <f t="shared" si="150"/>
        <v>4896.07</v>
      </c>
      <c r="I309" s="29">
        <f t="shared" si="151"/>
        <v>1.1599999999999999E-2</v>
      </c>
      <c r="J309" s="29">
        <f t="shared" si="152"/>
        <v>3.8899999999999997E-2</v>
      </c>
      <c r="K309">
        <v>2.5928</v>
      </c>
      <c r="L309">
        <v>2.5099999999999998</v>
      </c>
      <c r="M309" s="35">
        <f t="shared" si="164"/>
        <v>2.5510000000000002</v>
      </c>
      <c r="N309">
        <v>113.9</v>
      </c>
      <c r="O309" s="29">
        <f t="shared" si="154"/>
        <v>-3.2000000000000002E-3</v>
      </c>
      <c r="P309">
        <v>10.6</v>
      </c>
      <c r="Q309" s="6">
        <f t="shared" si="139"/>
        <v>532.39</v>
      </c>
      <c r="R309">
        <v>6</v>
      </c>
      <c r="S309" s="36">
        <f t="shared" si="140"/>
        <v>41.87</v>
      </c>
      <c r="T309" s="6">
        <f t="shared" si="155"/>
        <v>103.57</v>
      </c>
      <c r="U309" s="6">
        <f t="shared" si="156"/>
        <v>103.09</v>
      </c>
      <c r="V309" s="29">
        <f t="shared" si="157"/>
        <v>1.24E-2</v>
      </c>
      <c r="W309" s="29">
        <f t="shared" si="158"/>
        <v>8.8000000000000005E-3</v>
      </c>
      <c r="X309" s="13">
        <f t="shared" si="141"/>
        <v>2.63E-2</v>
      </c>
      <c r="Y309" s="13">
        <f t="shared" si="142"/>
        <v>2.2700000000000001E-2</v>
      </c>
      <c r="Z309" s="6">
        <f t="shared" si="143"/>
        <v>4.6741878841088669</v>
      </c>
      <c r="AA309" s="13">
        <f t="shared" si="144"/>
        <v>0.13619999999999999</v>
      </c>
      <c r="AB309" s="35">
        <f t="shared" si="145"/>
        <v>6.8339999999999996</v>
      </c>
      <c r="AC309" s="6">
        <f t="shared" si="146"/>
        <v>1898.33</v>
      </c>
      <c r="AD309" s="6">
        <f t="shared" si="159"/>
        <v>1899.44</v>
      </c>
      <c r="AE309" s="29">
        <f t="shared" si="160"/>
        <v>3.1899999999999998E-2</v>
      </c>
      <c r="AF309" s="13">
        <f t="shared" si="136"/>
        <v>0.28029999999999999</v>
      </c>
      <c r="AG309" s="22">
        <f t="shared" si="161"/>
        <v>74.459999999999994</v>
      </c>
      <c r="AH309" s="22">
        <f t="shared" si="137"/>
        <v>76.510000000000005</v>
      </c>
      <c r="AI309" s="22">
        <f t="shared" si="162"/>
        <v>74.972499999999997</v>
      </c>
      <c r="AJ309" s="22">
        <f t="shared" si="163"/>
        <v>65.849999999999994</v>
      </c>
    </row>
    <row r="310" spans="1:36" x14ac:dyDescent="0.25">
      <c r="A310" s="34">
        <v>33909</v>
      </c>
      <c r="B310" s="34">
        <f t="shared" si="138"/>
        <v>33969</v>
      </c>
      <c r="C310">
        <v>4300.5</v>
      </c>
      <c r="D310" s="6">
        <f t="shared" si="147"/>
        <v>4280.17</v>
      </c>
      <c r="E310" s="29">
        <f t="shared" si="148"/>
        <v>1.89E-2</v>
      </c>
      <c r="F310" s="29">
        <f t="shared" si="149"/>
        <v>1.0999999999999999E-2</v>
      </c>
      <c r="G310">
        <v>4841.3</v>
      </c>
      <c r="H310" s="6">
        <f t="shared" si="150"/>
        <v>4834.67</v>
      </c>
      <c r="I310" s="29">
        <f t="shared" si="151"/>
        <v>4.0000000000000002E-4</v>
      </c>
      <c r="J310" s="29">
        <f t="shared" si="152"/>
        <v>5.9999999999999995E-4</v>
      </c>
      <c r="K310">
        <v>2.6718899999999999</v>
      </c>
      <c r="L310">
        <v>2.61</v>
      </c>
      <c r="M310" s="35">
        <f t="shared" si="164"/>
        <v>2.641</v>
      </c>
      <c r="N310">
        <v>113.9</v>
      </c>
      <c r="O310" s="29">
        <f t="shared" si="154"/>
        <v>-7.3000000000000001E-3</v>
      </c>
      <c r="P310">
        <v>8</v>
      </c>
      <c r="Q310" s="6">
        <f t="shared" si="139"/>
        <v>387.3</v>
      </c>
      <c r="R310">
        <v>6</v>
      </c>
      <c r="S310" s="36">
        <f t="shared" si="140"/>
        <v>41.78</v>
      </c>
      <c r="T310" s="6">
        <f t="shared" si="155"/>
        <v>102.93</v>
      </c>
      <c r="U310" s="6">
        <f t="shared" si="156"/>
        <v>102.67</v>
      </c>
      <c r="V310" s="29">
        <f t="shared" si="157"/>
        <v>1.2200000000000001E-2</v>
      </c>
      <c r="W310" s="29">
        <f t="shared" si="158"/>
        <v>6.7000000000000002E-3</v>
      </c>
      <c r="X310" s="13">
        <f t="shared" si="141"/>
        <v>2.6499999999999999E-2</v>
      </c>
      <c r="Y310" s="13">
        <f t="shared" si="142"/>
        <v>2.35E-2</v>
      </c>
      <c r="Z310" s="6">
        <f t="shared" si="143"/>
        <v>3.4003511852502193</v>
      </c>
      <c r="AA310" s="13">
        <f t="shared" si="144"/>
        <v>0.14099999999999999</v>
      </c>
      <c r="AB310" s="35">
        <f t="shared" si="145"/>
        <v>6.8339999999999996</v>
      </c>
      <c r="AC310" s="6">
        <f t="shared" si="146"/>
        <v>1898.33</v>
      </c>
      <c r="AD310" s="6">
        <f t="shared" si="159"/>
        <v>1904.44</v>
      </c>
      <c r="AE310" s="29">
        <f t="shared" si="160"/>
        <v>5.6500000000000002E-2</v>
      </c>
      <c r="AF310" s="13">
        <f t="shared" si="136"/>
        <v>0.2034</v>
      </c>
      <c r="AG310" s="22">
        <f t="shared" si="161"/>
        <v>72</v>
      </c>
      <c r="AH310" s="22">
        <f t="shared" si="137"/>
        <v>30.05</v>
      </c>
      <c r="AI310" s="22">
        <f t="shared" si="162"/>
        <v>61.512500000000003</v>
      </c>
      <c r="AJ310" s="22">
        <f t="shared" si="163"/>
        <v>62.82</v>
      </c>
    </row>
    <row r="311" spans="1:36" x14ac:dyDescent="0.25">
      <c r="A311" s="34">
        <v>33878</v>
      </c>
      <c r="B311" s="34">
        <f t="shared" si="138"/>
        <v>33938</v>
      </c>
      <c r="C311">
        <v>4284.7</v>
      </c>
      <c r="D311" s="6">
        <f t="shared" si="147"/>
        <v>4253.63</v>
      </c>
      <c r="E311" s="29">
        <f t="shared" si="148"/>
        <v>1.7600000000000001E-2</v>
      </c>
      <c r="F311" s="29">
        <f t="shared" si="149"/>
        <v>1.37E-2</v>
      </c>
      <c r="G311">
        <v>4824.3999999999996</v>
      </c>
      <c r="H311" s="6">
        <f t="shared" si="150"/>
        <v>4838.5</v>
      </c>
      <c r="I311" s="29">
        <f t="shared" si="151"/>
        <v>5.7999999999999996E-3</v>
      </c>
      <c r="J311" s="29">
        <f t="shared" si="152"/>
        <v>-3.2000000000000002E-3</v>
      </c>
      <c r="K311">
        <v>2.6943899999999998</v>
      </c>
      <c r="L311">
        <v>2.63</v>
      </c>
      <c r="M311" s="35">
        <f t="shared" si="164"/>
        <v>2.6619999999999999</v>
      </c>
      <c r="N311">
        <v>114.1</v>
      </c>
      <c r="O311" s="29">
        <f t="shared" si="154"/>
        <v>-1.0699999999999999E-2</v>
      </c>
      <c r="P311">
        <v>8</v>
      </c>
      <c r="Q311" s="6">
        <f t="shared" si="139"/>
        <v>385.95</v>
      </c>
      <c r="R311">
        <v>6</v>
      </c>
      <c r="S311" s="36">
        <f t="shared" si="140"/>
        <v>41.69</v>
      </c>
      <c r="T311" s="6">
        <f t="shared" si="155"/>
        <v>102.78</v>
      </c>
      <c r="U311" s="6">
        <f t="shared" si="156"/>
        <v>102.25</v>
      </c>
      <c r="V311" s="29">
        <f t="shared" si="157"/>
        <v>1.0800000000000001E-2</v>
      </c>
      <c r="W311" s="29">
        <f t="shared" si="158"/>
        <v>9.2999999999999992E-3</v>
      </c>
      <c r="X311" s="13">
        <f t="shared" si="141"/>
        <v>2.6599999999999999E-2</v>
      </c>
      <c r="Y311" s="13">
        <f t="shared" si="142"/>
        <v>2.3699999999999999E-2</v>
      </c>
      <c r="Z311" s="6">
        <f t="shared" si="143"/>
        <v>3.3825591586327781</v>
      </c>
      <c r="AA311" s="13">
        <f t="shared" si="144"/>
        <v>0.14219999999999999</v>
      </c>
      <c r="AB311" s="35">
        <f t="shared" si="145"/>
        <v>6.8460000000000001</v>
      </c>
      <c r="AC311" s="6">
        <f t="shared" si="146"/>
        <v>1901.67</v>
      </c>
      <c r="AD311" s="6">
        <f t="shared" si="159"/>
        <v>1912.22</v>
      </c>
      <c r="AE311" s="29">
        <f t="shared" si="160"/>
        <v>5.6899999999999999E-2</v>
      </c>
      <c r="AF311" s="13">
        <f t="shared" si="136"/>
        <v>0.20180000000000001</v>
      </c>
      <c r="AG311" s="22">
        <f t="shared" si="161"/>
        <v>71.92</v>
      </c>
      <c r="AH311" s="22">
        <f t="shared" si="137"/>
        <v>35.25</v>
      </c>
      <c r="AI311" s="22">
        <f t="shared" si="162"/>
        <v>62.752499999999998</v>
      </c>
      <c r="AJ311" s="22">
        <f t="shared" si="163"/>
        <v>63.52</v>
      </c>
    </row>
    <row r="312" spans="1:36" x14ac:dyDescent="0.25">
      <c r="A312" s="34">
        <v>33848</v>
      </c>
      <c r="B312" s="34">
        <f t="shared" si="138"/>
        <v>33908</v>
      </c>
      <c r="C312">
        <v>4255.3</v>
      </c>
      <c r="D312" s="6">
        <f t="shared" si="147"/>
        <v>4227</v>
      </c>
      <c r="E312" s="29">
        <f t="shared" si="148"/>
        <v>1.72E-2</v>
      </c>
      <c r="F312" s="29">
        <f t="shared" si="149"/>
        <v>1.29E-2</v>
      </c>
      <c r="G312">
        <v>4838.3</v>
      </c>
      <c r="H312" s="6">
        <f t="shared" si="150"/>
        <v>4840.03</v>
      </c>
      <c r="I312" s="29">
        <f t="shared" si="151"/>
        <v>1.0999999999999999E-2</v>
      </c>
      <c r="J312" s="29">
        <f t="shared" si="152"/>
        <v>1.1999999999999999E-3</v>
      </c>
      <c r="K312">
        <v>2.5248599999999999</v>
      </c>
      <c r="L312">
        <v>2.6</v>
      </c>
      <c r="M312" s="35">
        <f t="shared" si="164"/>
        <v>2.5619999999999998</v>
      </c>
      <c r="N312">
        <v>114.8</v>
      </c>
      <c r="O312" s="29">
        <f t="shared" si="154"/>
        <v>-9.7999999999999997E-3</v>
      </c>
      <c r="P312">
        <v>8.6999999999999993</v>
      </c>
      <c r="Q312" s="6">
        <f t="shared" si="139"/>
        <v>420.93</v>
      </c>
      <c r="R312">
        <v>6</v>
      </c>
      <c r="S312" s="36">
        <f t="shared" si="140"/>
        <v>41.6</v>
      </c>
      <c r="T312" s="6">
        <f t="shared" si="155"/>
        <v>102.29</v>
      </c>
      <c r="U312" s="6">
        <f t="shared" si="156"/>
        <v>101.83</v>
      </c>
      <c r="V312" s="29">
        <f t="shared" si="157"/>
        <v>1.03E-2</v>
      </c>
      <c r="W312" s="29">
        <f t="shared" si="158"/>
        <v>8.5000000000000006E-3</v>
      </c>
      <c r="X312" s="13">
        <f t="shared" si="141"/>
        <v>2.7E-2</v>
      </c>
      <c r="Y312" s="13">
        <f t="shared" si="142"/>
        <v>2.3699999999999999E-2</v>
      </c>
      <c r="Z312" s="6">
        <f t="shared" si="143"/>
        <v>3.666637630662021</v>
      </c>
      <c r="AA312" s="13">
        <f t="shared" si="144"/>
        <v>0.14219999999999999</v>
      </c>
      <c r="AB312" s="35">
        <f t="shared" si="145"/>
        <v>6.8879999999999999</v>
      </c>
      <c r="AC312" s="6">
        <f t="shared" si="146"/>
        <v>1913.33</v>
      </c>
      <c r="AD312" s="6">
        <f t="shared" si="159"/>
        <v>1920.08</v>
      </c>
      <c r="AE312" s="29">
        <f t="shared" si="160"/>
        <v>5.8299999999999998E-2</v>
      </c>
      <c r="AF312" s="13">
        <f t="shared" si="136"/>
        <v>0.21920000000000001</v>
      </c>
      <c r="AG312" s="22">
        <f t="shared" si="161"/>
        <v>70.099999999999994</v>
      </c>
      <c r="AH312" s="22">
        <f t="shared" si="137"/>
        <v>46.37</v>
      </c>
      <c r="AI312" s="22">
        <f t="shared" si="162"/>
        <v>64.16749999999999</v>
      </c>
      <c r="AJ312" s="22">
        <f t="shared" si="163"/>
        <v>62.84</v>
      </c>
    </row>
    <row r="313" spans="1:36" x14ac:dyDescent="0.25">
      <c r="A313" s="34">
        <v>33817</v>
      </c>
      <c r="B313" s="34">
        <f t="shared" si="138"/>
        <v>33877</v>
      </c>
      <c r="C313">
        <v>4220.8999999999996</v>
      </c>
      <c r="D313" s="6">
        <f t="shared" si="147"/>
        <v>4200.93</v>
      </c>
      <c r="E313" s="29">
        <f t="shared" si="148"/>
        <v>1.5800000000000002E-2</v>
      </c>
      <c r="F313" s="29">
        <f t="shared" si="149"/>
        <v>9.7999999999999997E-3</v>
      </c>
      <c r="G313">
        <v>4852.8</v>
      </c>
      <c r="H313" s="6">
        <f t="shared" si="150"/>
        <v>4832.7</v>
      </c>
      <c r="I313" s="29">
        <f t="shared" si="151"/>
        <v>1.55E-2</v>
      </c>
      <c r="J313" s="29">
        <f t="shared" si="152"/>
        <v>8.6999999999999994E-3</v>
      </c>
      <c r="K313">
        <v>2.71028</v>
      </c>
      <c r="L313">
        <v>2.73</v>
      </c>
      <c r="M313" s="35">
        <f t="shared" si="164"/>
        <v>2.72</v>
      </c>
      <c r="N313">
        <v>115.3</v>
      </c>
      <c r="O313" s="29">
        <f t="shared" si="154"/>
        <v>-1.09E-2</v>
      </c>
      <c r="P313">
        <v>9.6999999999999993</v>
      </c>
      <c r="Q313" s="6">
        <f t="shared" si="139"/>
        <v>470.72</v>
      </c>
      <c r="R313">
        <v>6</v>
      </c>
      <c r="S313" s="36">
        <f t="shared" si="140"/>
        <v>41.51</v>
      </c>
      <c r="T313" s="6">
        <f t="shared" si="155"/>
        <v>101.68</v>
      </c>
      <c r="U313" s="6">
        <f t="shared" si="156"/>
        <v>101.43</v>
      </c>
      <c r="V313" s="29">
        <f t="shared" si="157"/>
        <v>8.8999999999999999E-3</v>
      </c>
      <c r="W313" s="29">
        <f t="shared" si="158"/>
        <v>5.1999999999999998E-3</v>
      </c>
      <c r="X313" s="13">
        <f t="shared" si="141"/>
        <v>2.7300000000000001E-2</v>
      </c>
      <c r="Y313" s="13">
        <f t="shared" si="142"/>
        <v>2.3800000000000002E-2</v>
      </c>
      <c r="Z313" s="6">
        <f t="shared" si="143"/>
        <v>4.0825672159583695</v>
      </c>
      <c r="AA313" s="13">
        <f t="shared" si="144"/>
        <v>0.14280000000000001</v>
      </c>
      <c r="AB313" s="35">
        <f t="shared" si="145"/>
        <v>6.9180000000000001</v>
      </c>
      <c r="AC313" s="6">
        <f t="shared" si="146"/>
        <v>1921.67</v>
      </c>
      <c r="AD313" s="6">
        <f t="shared" si="159"/>
        <v>1880.26</v>
      </c>
      <c r="AE313" s="29">
        <f t="shared" si="160"/>
        <v>3.4299999999999997E-2</v>
      </c>
      <c r="AF313" s="13">
        <f t="shared" si="136"/>
        <v>0.25030000000000002</v>
      </c>
      <c r="AG313" s="22">
        <f t="shared" si="161"/>
        <v>64.010000000000005</v>
      </c>
      <c r="AH313" s="22">
        <f t="shared" si="137"/>
        <v>59.4</v>
      </c>
      <c r="AI313" s="22">
        <f t="shared" si="162"/>
        <v>62.857500000000009</v>
      </c>
      <c r="AJ313" s="22">
        <f t="shared" si="163"/>
        <v>62.14</v>
      </c>
    </row>
    <row r="314" spans="1:36" x14ac:dyDescent="0.25">
      <c r="A314" s="34">
        <v>33786</v>
      </c>
      <c r="B314" s="34">
        <f t="shared" si="138"/>
        <v>33847</v>
      </c>
      <c r="C314">
        <v>4204.8</v>
      </c>
      <c r="D314" s="6">
        <f t="shared" si="147"/>
        <v>4180.1000000000004</v>
      </c>
      <c r="E314" s="29">
        <f t="shared" si="148"/>
        <v>1.5599999999999999E-2</v>
      </c>
      <c r="F314" s="29">
        <f t="shared" si="149"/>
        <v>1.18E-2</v>
      </c>
      <c r="G314">
        <v>4829</v>
      </c>
      <c r="H314" s="6">
        <f t="shared" si="150"/>
        <v>4810.83</v>
      </c>
      <c r="I314" s="29">
        <f t="shared" si="151"/>
        <v>1.61E-2</v>
      </c>
      <c r="J314" s="29">
        <f t="shared" si="152"/>
        <v>8.6999999999999994E-3</v>
      </c>
      <c r="K314">
        <v>2.8112400000000002</v>
      </c>
      <c r="L314">
        <v>2.8</v>
      </c>
      <c r="M314" s="35">
        <f t="shared" si="164"/>
        <v>2.806</v>
      </c>
      <c r="N314">
        <v>115.9</v>
      </c>
      <c r="O314" s="29">
        <f t="shared" si="154"/>
        <v>-1.0800000000000001E-2</v>
      </c>
      <c r="P314">
        <v>9.6</v>
      </c>
      <c r="Q314" s="6">
        <f t="shared" si="139"/>
        <v>463.58</v>
      </c>
      <c r="R314">
        <v>6.02</v>
      </c>
      <c r="S314" s="36">
        <f t="shared" si="140"/>
        <v>41.42</v>
      </c>
      <c r="T314" s="6">
        <f t="shared" si="155"/>
        <v>101.52</v>
      </c>
      <c r="U314" s="6">
        <f t="shared" si="156"/>
        <v>101.16</v>
      </c>
      <c r="V314" s="29">
        <f t="shared" si="157"/>
        <v>8.6999999999999994E-3</v>
      </c>
      <c r="W314" s="29">
        <f t="shared" si="158"/>
        <v>7.1999999999999998E-3</v>
      </c>
      <c r="X314" s="13">
        <f t="shared" si="141"/>
        <v>2.76E-2</v>
      </c>
      <c r="Y314" s="13">
        <f t="shared" si="142"/>
        <v>2.4E-2</v>
      </c>
      <c r="Z314" s="6">
        <f t="shared" si="143"/>
        <v>3.9998274374460738</v>
      </c>
      <c r="AA314" s="13">
        <f t="shared" si="144"/>
        <v>0.14449999999999999</v>
      </c>
      <c r="AB314" s="35">
        <f t="shared" si="145"/>
        <v>6.9770000000000003</v>
      </c>
      <c r="AC314" s="6">
        <f t="shared" si="146"/>
        <v>1925.25</v>
      </c>
      <c r="AD314" s="6">
        <f t="shared" si="159"/>
        <v>1840.73</v>
      </c>
      <c r="AE314" s="29">
        <f t="shared" si="160"/>
        <v>1.14E-2</v>
      </c>
      <c r="AF314" s="13">
        <f t="shared" si="136"/>
        <v>0.25180000000000002</v>
      </c>
      <c r="AG314" s="22">
        <f t="shared" si="161"/>
        <v>65.52</v>
      </c>
      <c r="AH314" s="22">
        <f t="shared" si="137"/>
        <v>60.61</v>
      </c>
      <c r="AI314" s="22">
        <f t="shared" si="162"/>
        <v>64.292500000000004</v>
      </c>
      <c r="AJ314" s="22">
        <f t="shared" si="163"/>
        <v>60.49</v>
      </c>
    </row>
    <row r="315" spans="1:36" x14ac:dyDescent="0.25">
      <c r="A315" s="34">
        <v>33756</v>
      </c>
      <c r="B315" s="34">
        <f t="shared" si="138"/>
        <v>33816</v>
      </c>
      <c r="C315">
        <v>4177.1000000000004</v>
      </c>
      <c r="D315" s="6">
        <f t="shared" si="147"/>
        <v>4155.67</v>
      </c>
      <c r="E315" s="29">
        <f t="shared" si="148"/>
        <v>1.35E-2</v>
      </c>
      <c r="F315" s="29">
        <f t="shared" si="149"/>
        <v>0.01</v>
      </c>
      <c r="G315">
        <v>4816.3</v>
      </c>
      <c r="H315" s="6">
        <f t="shared" si="150"/>
        <v>4787.2</v>
      </c>
      <c r="I315" s="29">
        <f t="shared" si="151"/>
        <v>1.66E-2</v>
      </c>
      <c r="J315" s="29">
        <f t="shared" si="152"/>
        <v>1.21E-2</v>
      </c>
      <c r="K315">
        <v>2.6352000000000002</v>
      </c>
      <c r="L315">
        <v>2.78</v>
      </c>
      <c r="M315" s="35">
        <f t="shared" si="164"/>
        <v>2.7080000000000002</v>
      </c>
      <c r="N315">
        <v>116.6</v>
      </c>
      <c r="O315" s="29">
        <f t="shared" si="154"/>
        <v>-8.5000000000000006E-3</v>
      </c>
      <c r="P315">
        <v>10.1</v>
      </c>
      <c r="Q315" s="6">
        <f t="shared" si="139"/>
        <v>486.45</v>
      </c>
      <c r="R315">
        <v>6.5</v>
      </c>
      <c r="S315" s="36">
        <f t="shared" si="140"/>
        <v>41.32</v>
      </c>
      <c r="T315" s="6">
        <f t="shared" si="155"/>
        <v>101.09</v>
      </c>
      <c r="U315" s="6">
        <f t="shared" si="156"/>
        <v>100.79</v>
      </c>
      <c r="V315" s="29">
        <f t="shared" si="157"/>
        <v>6.4000000000000003E-3</v>
      </c>
      <c r="W315" s="29">
        <f t="shared" si="158"/>
        <v>5.4999999999999997E-3</v>
      </c>
      <c r="X315" s="13">
        <f t="shared" si="141"/>
        <v>2.7900000000000001E-2</v>
      </c>
      <c r="Y315" s="13">
        <f t="shared" si="142"/>
        <v>2.4199999999999999E-2</v>
      </c>
      <c r="Z315" s="6">
        <f t="shared" si="143"/>
        <v>4.1719554030874786</v>
      </c>
      <c r="AA315" s="13">
        <f t="shared" si="144"/>
        <v>0.1573</v>
      </c>
      <c r="AB315" s="35">
        <f t="shared" si="145"/>
        <v>7.5789999999999997</v>
      </c>
      <c r="AC315" s="6">
        <f t="shared" si="146"/>
        <v>1793.85</v>
      </c>
      <c r="AD315" s="6">
        <f t="shared" si="159"/>
        <v>1802.57</v>
      </c>
      <c r="AE315" s="29">
        <f t="shared" si="160"/>
        <v>-1.04E-2</v>
      </c>
      <c r="AF315" s="13">
        <f t="shared" si="136"/>
        <v>0.26989999999999997</v>
      </c>
      <c r="AG315" s="22">
        <f t="shared" si="161"/>
        <v>59.28</v>
      </c>
      <c r="AH315" s="22">
        <f t="shared" si="137"/>
        <v>62.33</v>
      </c>
      <c r="AI315" s="22">
        <f t="shared" si="162"/>
        <v>60.042500000000004</v>
      </c>
      <c r="AJ315" s="22">
        <f t="shared" si="163"/>
        <v>59.4</v>
      </c>
    </row>
    <row r="316" spans="1:36" x14ac:dyDescent="0.25">
      <c r="A316" s="34">
        <v>33725</v>
      </c>
      <c r="B316" s="34">
        <f t="shared" si="138"/>
        <v>33785</v>
      </c>
      <c r="C316">
        <v>4158.3999999999996</v>
      </c>
      <c r="D316" s="6">
        <f t="shared" si="147"/>
        <v>4135.63</v>
      </c>
      <c r="E316" s="29">
        <f t="shared" si="148"/>
        <v>1.66E-2</v>
      </c>
      <c r="F316" s="29">
        <f t="shared" si="149"/>
        <v>1.03E-2</v>
      </c>
      <c r="G316">
        <v>4787.2</v>
      </c>
      <c r="H316" s="6">
        <f t="shared" si="150"/>
        <v>4758.8</v>
      </c>
      <c r="I316" s="29">
        <f t="shared" si="151"/>
        <v>1.7399999999999999E-2</v>
      </c>
      <c r="J316" s="29">
        <f t="shared" si="152"/>
        <v>1.11E-2</v>
      </c>
      <c r="K316">
        <v>2.62432</v>
      </c>
      <c r="L316">
        <v>2.79</v>
      </c>
      <c r="M316" s="35">
        <f t="shared" si="164"/>
        <v>2.7069999999999999</v>
      </c>
      <c r="N316">
        <v>117.2</v>
      </c>
      <c r="O316" s="29">
        <f t="shared" si="154"/>
        <v>-6.1999999999999998E-3</v>
      </c>
      <c r="P316">
        <v>9.9</v>
      </c>
      <c r="Q316" s="6">
        <f t="shared" si="139"/>
        <v>473.93</v>
      </c>
      <c r="R316">
        <v>6.5</v>
      </c>
      <c r="S316" s="36">
        <f t="shared" si="140"/>
        <v>41.23</v>
      </c>
      <c r="T316" s="6">
        <f t="shared" si="155"/>
        <v>100.86</v>
      </c>
      <c r="U316" s="6">
        <f t="shared" si="156"/>
        <v>100.54</v>
      </c>
      <c r="V316" s="29">
        <f t="shared" si="157"/>
        <v>5.0000000000000001E-3</v>
      </c>
      <c r="W316" s="29">
        <f t="shared" si="158"/>
        <v>5.7000000000000002E-3</v>
      </c>
      <c r="X316" s="13">
        <f t="shared" si="141"/>
        <v>2.8199999999999999E-2</v>
      </c>
      <c r="Y316" s="13">
        <f t="shared" si="142"/>
        <v>2.4500000000000001E-2</v>
      </c>
      <c r="Z316" s="6">
        <f t="shared" si="143"/>
        <v>4.0437713310580206</v>
      </c>
      <c r="AA316" s="13">
        <f t="shared" si="144"/>
        <v>0.1593</v>
      </c>
      <c r="AB316" s="35">
        <f t="shared" si="145"/>
        <v>7.6180000000000003</v>
      </c>
      <c r="AC316" s="6">
        <f t="shared" si="146"/>
        <v>1803.08</v>
      </c>
      <c r="AD316" s="6">
        <f t="shared" si="159"/>
        <v>1809.23</v>
      </c>
      <c r="AE316" s="29">
        <v>0</v>
      </c>
      <c r="AF316" s="13">
        <f t="shared" si="136"/>
        <v>0.26200000000000001</v>
      </c>
      <c r="AG316" s="22">
        <f t="shared" si="161"/>
        <v>61.14</v>
      </c>
      <c r="AH316" s="22">
        <f t="shared" si="137"/>
        <v>62.04</v>
      </c>
      <c r="AI316" s="22">
        <f t="shared" si="162"/>
        <v>61.365000000000002</v>
      </c>
      <c r="AJ316" s="22">
        <f t="shared" si="163"/>
        <v>53.72</v>
      </c>
    </row>
    <row r="317" spans="1:36" x14ac:dyDescent="0.25">
      <c r="A317" s="34">
        <v>33695</v>
      </c>
      <c r="B317" s="34">
        <f t="shared" si="138"/>
        <v>33755</v>
      </c>
      <c r="C317">
        <v>4131.5</v>
      </c>
      <c r="D317" s="6">
        <f t="shared" si="147"/>
        <v>4116</v>
      </c>
      <c r="E317" s="29">
        <f t="shared" si="148"/>
        <v>1.5599999999999999E-2</v>
      </c>
      <c r="F317" s="29">
        <f t="shared" si="149"/>
        <v>7.6E-3</v>
      </c>
      <c r="G317">
        <v>4758.1000000000004</v>
      </c>
      <c r="H317" s="6">
        <f t="shared" si="150"/>
        <v>4734.57</v>
      </c>
      <c r="I317" s="29">
        <f t="shared" si="151"/>
        <v>1.6299999999999999E-2</v>
      </c>
      <c r="J317" s="29">
        <f t="shared" si="152"/>
        <v>1.04E-2</v>
      </c>
      <c r="K317">
        <v>2.9152100000000001</v>
      </c>
      <c r="L317">
        <v>2.92</v>
      </c>
      <c r="M317" s="35">
        <f t="shared" si="164"/>
        <v>2.9180000000000001</v>
      </c>
      <c r="N317">
        <v>117.7</v>
      </c>
      <c r="O317" s="29">
        <f t="shared" si="154"/>
        <v>-3.8999999999999998E-3</v>
      </c>
      <c r="P317">
        <v>9.9</v>
      </c>
      <c r="Q317" s="6">
        <f t="shared" si="139"/>
        <v>471.05</v>
      </c>
      <c r="R317">
        <v>6.5</v>
      </c>
      <c r="S317" s="36">
        <f t="shared" si="140"/>
        <v>41.14</v>
      </c>
      <c r="T317" s="6">
        <f t="shared" si="155"/>
        <v>100.43</v>
      </c>
      <c r="U317" s="6">
        <f t="shared" si="156"/>
        <v>100.29</v>
      </c>
      <c r="V317" s="29">
        <f t="shared" si="157"/>
        <v>2.8999999999999998E-3</v>
      </c>
      <c r="W317" s="29">
        <f t="shared" si="158"/>
        <v>2.8E-3</v>
      </c>
      <c r="X317" s="13">
        <f t="shared" si="141"/>
        <v>2.8500000000000001E-2</v>
      </c>
      <c r="Y317" s="13">
        <f t="shared" si="142"/>
        <v>2.47E-2</v>
      </c>
      <c r="Z317" s="6">
        <f t="shared" si="143"/>
        <v>4.0021240441801194</v>
      </c>
      <c r="AA317" s="13">
        <f t="shared" si="144"/>
        <v>0.16059999999999999</v>
      </c>
      <c r="AB317" s="35">
        <f t="shared" si="145"/>
        <v>7.6509999999999998</v>
      </c>
      <c r="AC317" s="6">
        <f t="shared" si="146"/>
        <v>1810.77</v>
      </c>
      <c r="AD317" s="6">
        <f t="shared" si="159"/>
        <v>1814.36</v>
      </c>
      <c r="AE317" s="29">
        <v>0</v>
      </c>
      <c r="AF317" s="13">
        <f t="shared" si="136"/>
        <v>0.2596</v>
      </c>
      <c r="AG317" s="22">
        <f t="shared" si="161"/>
        <v>55.15</v>
      </c>
      <c r="AH317" s="22">
        <f t="shared" si="137"/>
        <v>59.63</v>
      </c>
      <c r="AI317" s="22">
        <f t="shared" si="162"/>
        <v>56.269999999999996</v>
      </c>
      <c r="AJ317" s="22">
        <f t="shared" si="163"/>
        <v>47.84</v>
      </c>
    </row>
    <row r="318" spans="1:36" x14ac:dyDescent="0.25">
      <c r="A318" s="34">
        <v>33664</v>
      </c>
      <c r="B318" s="34">
        <f t="shared" si="138"/>
        <v>33724</v>
      </c>
      <c r="C318">
        <v>4117</v>
      </c>
      <c r="D318" s="6">
        <f t="shared" si="147"/>
        <v>4100.3999999999996</v>
      </c>
      <c r="E318" s="29">
        <f t="shared" si="148"/>
        <v>1.9900000000000001E-2</v>
      </c>
      <c r="F318" s="29">
        <f t="shared" si="149"/>
        <v>1.2E-2</v>
      </c>
      <c r="G318">
        <v>4731.1000000000004</v>
      </c>
      <c r="H318" s="6">
        <f t="shared" si="150"/>
        <v>4708.8999999999996</v>
      </c>
      <c r="I318" s="29">
        <f t="shared" si="151"/>
        <v>1.5599999999999999E-2</v>
      </c>
      <c r="J318" s="29">
        <f t="shared" si="152"/>
        <v>1.15E-2</v>
      </c>
      <c r="K318">
        <v>2.8218299999999998</v>
      </c>
      <c r="L318">
        <v>2.97</v>
      </c>
      <c r="M318" s="35">
        <f t="shared" si="164"/>
        <v>2.8959999999999999</v>
      </c>
      <c r="N318">
        <v>117.9</v>
      </c>
      <c r="O318" s="29">
        <f t="shared" si="154"/>
        <v>-9.1999999999999998E-3</v>
      </c>
      <c r="P318">
        <v>9.6999999999999993</v>
      </c>
      <c r="Q318" s="6">
        <f t="shared" si="139"/>
        <v>458.92</v>
      </c>
      <c r="R318">
        <v>6.5</v>
      </c>
      <c r="S318" s="36">
        <f t="shared" si="140"/>
        <v>41.04</v>
      </c>
      <c r="T318" s="6">
        <f t="shared" si="155"/>
        <v>100.32</v>
      </c>
      <c r="U318" s="6">
        <f t="shared" si="156"/>
        <v>100.15</v>
      </c>
      <c r="V318" s="29">
        <f t="shared" si="157"/>
        <v>1.5E-3</v>
      </c>
      <c r="W318" s="29">
        <f t="shared" si="158"/>
        <v>2.8E-3</v>
      </c>
      <c r="X318" s="13">
        <f t="shared" si="141"/>
        <v>2.86E-2</v>
      </c>
      <c r="Y318" s="13">
        <f t="shared" si="142"/>
        <v>2.4899999999999999E-2</v>
      </c>
      <c r="Z318" s="6">
        <f t="shared" si="143"/>
        <v>3.8924512298558098</v>
      </c>
      <c r="AA318" s="13">
        <f t="shared" si="144"/>
        <v>0.16189999999999999</v>
      </c>
      <c r="AB318" s="35">
        <f t="shared" si="145"/>
        <v>7.6639999999999997</v>
      </c>
      <c r="AC318" s="6">
        <f t="shared" si="146"/>
        <v>1813.85</v>
      </c>
      <c r="AD318" s="6">
        <f t="shared" si="159"/>
        <v>1817.95</v>
      </c>
      <c r="AE318" s="29">
        <v>0</v>
      </c>
      <c r="AF318" s="13">
        <f t="shared" si="136"/>
        <v>0.25240000000000001</v>
      </c>
      <c r="AG318" s="22">
        <f t="shared" si="161"/>
        <v>60.22</v>
      </c>
      <c r="AH318" s="22">
        <f t="shared" si="137"/>
        <v>59.01</v>
      </c>
      <c r="AI318" s="22">
        <f t="shared" si="162"/>
        <v>59.917499999999997</v>
      </c>
      <c r="AJ318" s="22">
        <f t="shared" si="163"/>
        <v>37.03</v>
      </c>
    </row>
    <row r="319" spans="1:36" x14ac:dyDescent="0.25">
      <c r="A319" s="34">
        <v>33635</v>
      </c>
      <c r="B319" s="34">
        <f t="shared" si="138"/>
        <v>33694</v>
      </c>
      <c r="C319">
        <v>4099.5</v>
      </c>
      <c r="D319" s="6">
        <f t="shared" si="147"/>
        <v>4068.23</v>
      </c>
      <c r="E319" s="29">
        <v>0</v>
      </c>
      <c r="F319" s="29">
        <f>ROUND((C319-AVERAGE(C320:C321))/AVERAGE(C320:C321),4)</f>
        <v>1.1599999999999999E-2</v>
      </c>
      <c r="G319">
        <v>4714.5</v>
      </c>
      <c r="H319" s="6">
        <f t="shared" si="150"/>
        <v>4677.33</v>
      </c>
      <c r="I319" s="29">
        <v>0</v>
      </c>
      <c r="J319" s="29">
        <f>ROUND((G319-AVERAGE(G320:G321))/AVERAGE(G320:G321),4)</f>
        <v>1.2E-2</v>
      </c>
      <c r="K319">
        <v>2.5958399999999999</v>
      </c>
      <c r="L319">
        <v>2.88</v>
      </c>
      <c r="M319" s="35">
        <f t="shared" si="164"/>
        <v>2.738</v>
      </c>
      <c r="N319">
        <v>118.2</v>
      </c>
      <c r="O319" s="29">
        <f>ROUND((N319-AVERAGE(N320:N321))/AVERAGE(N320:N321),4)</f>
        <v>-1.01E-2</v>
      </c>
      <c r="P319">
        <v>9.8000000000000007</v>
      </c>
      <c r="Q319" s="6">
        <f t="shared" si="139"/>
        <v>462.02</v>
      </c>
      <c r="R319">
        <v>6.5</v>
      </c>
      <c r="S319" s="36">
        <f>ROUND((S320+(S320*((K319*0.01)/12))),2)</f>
        <v>40.94</v>
      </c>
      <c r="T319" s="6">
        <f t="shared" si="155"/>
        <v>100.13</v>
      </c>
      <c r="U319" s="6">
        <f t="shared" si="156"/>
        <v>100.04</v>
      </c>
      <c r="V319" s="29">
        <v>0</v>
      </c>
      <c r="W319" s="29">
        <f>ROUND((T319-AVERAGE(T320:T321))/AVERAGE(T320:T321),4)</f>
        <v>1.4E-3</v>
      </c>
      <c r="X319" s="13">
        <f t="shared" si="141"/>
        <v>2.8799999999999999E-2</v>
      </c>
      <c r="Y319" s="13">
        <f t="shared" si="142"/>
        <v>2.5100000000000001E-2</v>
      </c>
      <c r="Z319" s="6">
        <f t="shared" si="143"/>
        <v>3.9087986463620981</v>
      </c>
      <c r="AA319" s="13">
        <f t="shared" si="144"/>
        <v>0.16320000000000001</v>
      </c>
      <c r="AB319" s="35">
        <f t="shared" si="145"/>
        <v>7.6829999999999998</v>
      </c>
      <c r="AC319" s="6">
        <f t="shared" si="146"/>
        <v>1818.46</v>
      </c>
      <c r="AD319" s="6">
        <f t="shared" si="159"/>
        <v>1820</v>
      </c>
      <c r="AE319" s="29">
        <v>0</v>
      </c>
      <c r="AF319" s="13">
        <f t="shared" si="136"/>
        <v>0.25390000000000001</v>
      </c>
      <c r="AG319" s="22">
        <f t="shared" si="161"/>
        <v>37.86</v>
      </c>
      <c r="AH319" s="22">
        <f t="shared" si="137"/>
        <v>35.75</v>
      </c>
      <c r="AI319" s="22">
        <f t="shared" si="162"/>
        <v>37.332499999999996</v>
      </c>
      <c r="AJ319" s="22">
        <f>ROUND(AVERAGE(AI319:AI321),2)</f>
        <v>29.39</v>
      </c>
    </row>
    <row r="320" spans="1:36" x14ac:dyDescent="0.25">
      <c r="A320" s="34">
        <v>33604</v>
      </c>
      <c r="B320" s="34">
        <f t="shared" si="138"/>
        <v>33663</v>
      </c>
      <c r="C320">
        <v>4084.7</v>
      </c>
      <c r="D320" s="6">
        <f>ROUND(AVERAGE(C320:C321),2)</f>
        <v>4052.6</v>
      </c>
      <c r="E320" s="29">
        <v>0</v>
      </c>
      <c r="F320" s="29">
        <f>ROUND((C320-AVERAGE(C321:C321))/AVERAGE(C321:C321),4)</f>
        <v>1.6E-2</v>
      </c>
      <c r="G320">
        <v>4681.1000000000004</v>
      </c>
      <c r="H320" s="6">
        <f>ROUND(AVERAGE(G320:G321),2)</f>
        <v>4658.75</v>
      </c>
      <c r="I320" s="29">
        <v>0</v>
      </c>
      <c r="J320" s="29">
        <f>ROUND((G320-AVERAGE(G321:G321))/AVERAGE(G321:G321),4)</f>
        <v>9.5999999999999992E-3</v>
      </c>
      <c r="K320">
        <v>2.38896</v>
      </c>
      <c r="L320">
        <v>2.87</v>
      </c>
      <c r="M320" s="35">
        <f t="shared" si="164"/>
        <v>2.629</v>
      </c>
      <c r="N320">
        <v>118.4</v>
      </c>
      <c r="O320" s="29">
        <f>ROUND((N320-AVERAGE(N321:N321))/AVERAGE(N321:N321),4)</f>
        <v>-1.66E-2</v>
      </c>
      <c r="P320">
        <v>9.4</v>
      </c>
      <c r="Q320" s="6">
        <f t="shared" si="139"/>
        <v>440.02</v>
      </c>
      <c r="R320">
        <v>6.5</v>
      </c>
      <c r="S320" s="36">
        <f>ROUND(C320/100,2)</f>
        <v>40.85</v>
      </c>
      <c r="T320" s="6">
        <f t="shared" si="155"/>
        <v>99.99</v>
      </c>
      <c r="U320" s="6">
        <f>ROUND(AVERAGE(T320:T321),2)</f>
        <v>100</v>
      </c>
      <c r="V320" s="29">
        <v>0</v>
      </c>
      <c r="W320" s="29">
        <f>ROUND((T320-AVERAGE(T321:T321))/AVERAGE(T321:T321),4)</f>
        <v>-1E-4</v>
      </c>
      <c r="X320" s="13">
        <f t="shared" si="141"/>
        <v>2.9000000000000001E-2</v>
      </c>
      <c r="Y320" s="13">
        <f t="shared" si="142"/>
        <v>2.53E-2</v>
      </c>
      <c r="Z320" s="6">
        <f t="shared" si="143"/>
        <v>3.7163851351351349</v>
      </c>
      <c r="AA320" s="13">
        <f t="shared" si="144"/>
        <v>0.16450000000000001</v>
      </c>
      <c r="AB320" s="35">
        <f t="shared" si="145"/>
        <v>7.6959999999999997</v>
      </c>
      <c r="AC320" s="6">
        <f t="shared" si="146"/>
        <v>1821.54</v>
      </c>
      <c r="AD320" s="6">
        <f>ROUND(AVERAGE(AC320:AC321),2)</f>
        <v>1821.54</v>
      </c>
      <c r="AE320" s="29">
        <v>0</v>
      </c>
      <c r="AF320" s="13">
        <f t="shared" si="136"/>
        <v>0.24160000000000001</v>
      </c>
      <c r="AG320" s="22">
        <f t="shared" si="161"/>
        <v>39.25</v>
      </c>
      <c r="AH320" s="22">
        <f t="shared" si="137"/>
        <v>33.65</v>
      </c>
      <c r="AI320" s="22">
        <f t="shared" si="162"/>
        <v>37.85</v>
      </c>
      <c r="AJ320" s="22">
        <f>ROUND(AVERAGE(AI320:AI321),2)</f>
        <v>25.43</v>
      </c>
    </row>
    <row r="321" spans="3:35" x14ac:dyDescent="0.25">
      <c r="C321">
        <v>4020.5</v>
      </c>
      <c r="D321" s="6">
        <f>ROUND(AVERAGE(C321:C321),2)</f>
        <v>4020.5</v>
      </c>
      <c r="E321" s="29">
        <v>0</v>
      </c>
      <c r="F321" s="13"/>
      <c r="G321">
        <v>4636.3999999999996</v>
      </c>
      <c r="H321" s="6">
        <f>ROUND(AVERAGE(G321:G321),2)</f>
        <v>4636.3999999999996</v>
      </c>
      <c r="I321" s="29">
        <v>0</v>
      </c>
      <c r="M321" s="35"/>
      <c r="N321">
        <v>120.4</v>
      </c>
      <c r="O321" s="13"/>
      <c r="T321" s="6">
        <v>100</v>
      </c>
      <c r="U321" s="6">
        <f>ROUND(AVERAGE(T321:T321),2)</f>
        <v>100</v>
      </c>
      <c r="V321" s="29">
        <v>0</v>
      </c>
      <c r="AD321" s="6"/>
      <c r="AE321" s="29">
        <v>0</v>
      </c>
      <c r="AH321" s="22">
        <f t="shared" si="137"/>
        <v>52</v>
      </c>
      <c r="AI321" s="22">
        <f t="shared" si="162"/>
        <v>13</v>
      </c>
    </row>
  </sheetData>
  <autoFilter ref="A2:AJ284" xr:uid="{00000000-0009-0000-0000-000007000000}"/>
  <mergeCells count="8">
    <mergeCell ref="X1:AF1"/>
    <mergeCell ref="AG1:AJ1"/>
    <mergeCell ref="C1:F1"/>
    <mergeCell ref="G1:J1"/>
    <mergeCell ref="K1:M1"/>
    <mergeCell ref="N1:O1"/>
    <mergeCell ref="P1:Q1"/>
    <mergeCell ref="S1:W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defaultRowHeight="15" x14ac:dyDescent="0.25"/>
  <cols>
    <col min="1" max="1" width="9.7109375" bestFit="1" customWidth="1"/>
    <col min="2" max="2" width="13.5703125" bestFit="1" customWidth="1"/>
    <col min="4" max="4" width="10.85546875" customWidth="1"/>
  </cols>
  <sheetData>
    <row r="1" spans="1:4" x14ac:dyDescent="0.25">
      <c r="A1" s="12" t="s">
        <v>79</v>
      </c>
      <c r="B1" s="12" t="s">
        <v>185</v>
      </c>
      <c r="C1" s="12" t="s">
        <v>141</v>
      </c>
      <c r="D1" s="12" t="s">
        <v>145</v>
      </c>
    </row>
    <row r="2" spans="1:4" x14ac:dyDescent="0.25">
      <c r="A2" s="34">
        <v>43191</v>
      </c>
      <c r="B2" s="45">
        <v>43308</v>
      </c>
      <c r="C2" s="12">
        <v>20402</v>
      </c>
      <c r="D2">
        <v>1898.97</v>
      </c>
    </row>
    <row r="3" spans="1:4" x14ac:dyDescent="0.25">
      <c r="A3" s="34">
        <v>43101</v>
      </c>
      <c r="B3" s="45">
        <v>43220</v>
      </c>
      <c r="C3" s="12">
        <v>20041</v>
      </c>
      <c r="D3">
        <v>1898.97</v>
      </c>
    </row>
    <row r="4" spans="1:4" x14ac:dyDescent="0.25">
      <c r="A4" s="34">
        <v>43009</v>
      </c>
      <c r="B4" s="34">
        <v>43131</v>
      </c>
      <c r="C4">
        <v>19754</v>
      </c>
      <c r="D4">
        <v>1680.25</v>
      </c>
    </row>
    <row r="5" spans="1:4" x14ac:dyDescent="0.25">
      <c r="A5" s="34">
        <v>42917</v>
      </c>
      <c r="B5" s="34">
        <v>43036</v>
      </c>
      <c r="C5">
        <v>19500</v>
      </c>
      <c r="D5">
        <v>1858.3879999999999</v>
      </c>
    </row>
    <row r="6" spans="1:4" x14ac:dyDescent="0.25">
      <c r="A6" s="34">
        <v>42826</v>
      </c>
      <c r="B6" s="34">
        <v>42947</v>
      </c>
      <c r="C6">
        <v>19250</v>
      </c>
      <c r="D6">
        <v>1774.729</v>
      </c>
    </row>
    <row r="7" spans="1:4" x14ac:dyDescent="0.25">
      <c r="A7" s="34">
        <v>42736</v>
      </c>
      <c r="B7" s="34">
        <v>42855</v>
      </c>
      <c r="C7">
        <v>19057.7</v>
      </c>
      <c r="D7">
        <v>1810.509</v>
      </c>
    </row>
    <row r="8" spans="1:4" x14ac:dyDescent="0.25">
      <c r="A8" s="34">
        <v>42644</v>
      </c>
      <c r="B8" s="34">
        <v>42766</v>
      </c>
      <c r="C8">
        <v>18905.5</v>
      </c>
      <c r="D8">
        <v>1787.386</v>
      </c>
    </row>
    <row r="9" spans="1:4" x14ac:dyDescent="0.25">
      <c r="A9" s="34">
        <v>42552</v>
      </c>
      <c r="B9" s="34">
        <v>42674</v>
      </c>
      <c r="C9">
        <v>18729.099999999999</v>
      </c>
      <c r="D9">
        <v>1692.443</v>
      </c>
    </row>
    <row r="10" spans="1:4" x14ac:dyDescent="0.25">
      <c r="A10" s="34">
        <v>42461</v>
      </c>
      <c r="B10" s="34">
        <v>42582</v>
      </c>
      <c r="C10">
        <v>18538</v>
      </c>
      <c r="D10">
        <v>1652.1320000000001</v>
      </c>
    </row>
    <row r="11" spans="1:4" x14ac:dyDescent="0.25">
      <c r="A11" s="34">
        <v>42370</v>
      </c>
      <c r="B11" s="34">
        <v>42490</v>
      </c>
      <c r="C11">
        <v>18325.2</v>
      </c>
      <c r="D11">
        <v>1619.64</v>
      </c>
    </row>
    <row r="12" spans="1:4" x14ac:dyDescent="0.25">
      <c r="A12" s="34">
        <v>42278</v>
      </c>
      <c r="B12" s="34">
        <v>42400</v>
      </c>
      <c r="C12">
        <v>18287.2</v>
      </c>
      <c r="D12">
        <v>1494.904</v>
      </c>
    </row>
    <row r="13" spans="1:4" x14ac:dyDescent="0.25">
      <c r="A13" s="34">
        <v>42186</v>
      </c>
      <c r="B13" s="34">
        <v>42308</v>
      </c>
      <c r="C13">
        <v>18227.7</v>
      </c>
      <c r="D13">
        <v>1686.1020000000001</v>
      </c>
    </row>
    <row r="14" spans="1:4" x14ac:dyDescent="0.25">
      <c r="A14" s="34">
        <v>42095</v>
      </c>
      <c r="B14" s="34">
        <v>42216</v>
      </c>
      <c r="C14">
        <v>18093.2</v>
      </c>
      <c r="D14">
        <v>1744.1569999999999</v>
      </c>
    </row>
    <row r="15" spans="1:4" x14ac:dyDescent="0.25">
      <c r="A15" s="34">
        <v>42005</v>
      </c>
      <c r="B15" s="34">
        <v>42124</v>
      </c>
      <c r="C15">
        <v>17874.7</v>
      </c>
      <c r="D15">
        <v>1679.364</v>
      </c>
    </row>
    <row r="16" spans="1:4" x14ac:dyDescent="0.25">
      <c r="A16" s="34">
        <v>41913</v>
      </c>
      <c r="B16" s="34">
        <v>42035</v>
      </c>
      <c r="C16">
        <v>17735.900000000001</v>
      </c>
      <c r="D16">
        <v>1801.848</v>
      </c>
    </row>
    <row r="17" spans="1:4" x14ac:dyDescent="0.25">
      <c r="A17" s="34">
        <v>41821</v>
      </c>
      <c r="B17" s="34">
        <v>41943</v>
      </c>
      <c r="C17">
        <v>17622.3</v>
      </c>
      <c r="D17">
        <v>1786.2149999999999</v>
      </c>
    </row>
    <row r="18" spans="1:4" x14ac:dyDescent="0.25">
      <c r="A18" s="34">
        <v>41730</v>
      </c>
      <c r="B18" s="34">
        <v>41851</v>
      </c>
      <c r="C18">
        <v>17320.900000000001</v>
      </c>
      <c r="D18">
        <v>1736.5170000000001</v>
      </c>
    </row>
    <row r="19" spans="1:4" x14ac:dyDescent="0.25">
      <c r="A19" s="34">
        <v>41640</v>
      </c>
      <c r="B19" s="34">
        <v>41759</v>
      </c>
      <c r="C19">
        <v>17031.3</v>
      </c>
      <c r="D19">
        <v>1650.4590000000001</v>
      </c>
    </row>
    <row r="20" spans="1:4" x14ac:dyDescent="0.25">
      <c r="A20" s="34">
        <v>41548</v>
      </c>
      <c r="B20" s="34">
        <v>41670</v>
      </c>
      <c r="C20">
        <v>16999.900000000001</v>
      </c>
      <c r="D20">
        <v>1730.336</v>
      </c>
    </row>
    <row r="21" spans="1:4" x14ac:dyDescent="0.25">
      <c r="A21" s="34">
        <v>41456</v>
      </c>
      <c r="B21" s="34">
        <v>41578</v>
      </c>
      <c r="C21">
        <v>16749.3</v>
      </c>
      <c r="D21">
        <v>1685.6010000000001</v>
      </c>
    </row>
    <row r="22" spans="1:4" x14ac:dyDescent="0.25">
      <c r="A22" s="34">
        <v>41365</v>
      </c>
      <c r="B22" s="34">
        <v>41486</v>
      </c>
      <c r="C22">
        <v>16541.400000000001</v>
      </c>
      <c r="D22">
        <v>1658.1479999999999</v>
      </c>
    </row>
    <row r="23" spans="1:4" x14ac:dyDescent="0.25">
      <c r="A23" s="34">
        <v>41275</v>
      </c>
      <c r="B23" s="34">
        <v>41394</v>
      </c>
      <c r="C23">
        <v>16475.400000000001</v>
      </c>
      <c r="D23">
        <v>1679.4860000000001</v>
      </c>
    </row>
    <row r="24" spans="1:4" x14ac:dyDescent="0.25">
      <c r="A24" s="34">
        <v>41183</v>
      </c>
      <c r="B24" s="34">
        <v>41305</v>
      </c>
      <c r="C24">
        <v>16297.3</v>
      </c>
      <c r="D24">
        <v>1663.9490000000001</v>
      </c>
    </row>
    <row r="25" spans="1:4" x14ac:dyDescent="0.25">
      <c r="A25" s="34">
        <v>41091</v>
      </c>
      <c r="B25" s="34">
        <v>41213</v>
      </c>
      <c r="C25">
        <v>16227.9</v>
      </c>
      <c r="D25">
        <v>1686.634</v>
      </c>
    </row>
    <row r="26" spans="1:4" x14ac:dyDescent="0.25">
      <c r="A26" s="34">
        <v>41000</v>
      </c>
      <c r="B26" s="34">
        <v>41121</v>
      </c>
      <c r="C26">
        <v>16121.9</v>
      </c>
      <c r="D26">
        <v>1654.7919999999999</v>
      </c>
    </row>
    <row r="27" spans="1:4" x14ac:dyDescent="0.25">
      <c r="A27" s="34">
        <v>40909</v>
      </c>
      <c r="B27" s="34">
        <v>41029</v>
      </c>
      <c r="C27">
        <v>15973.9</v>
      </c>
      <c r="D27">
        <v>1727.3869999999999</v>
      </c>
    </row>
    <row r="28" spans="1:4" x14ac:dyDescent="0.25">
      <c r="A28" s="34">
        <v>40817</v>
      </c>
      <c r="B28" s="34">
        <v>40939</v>
      </c>
      <c r="C28">
        <v>15785.3</v>
      </c>
      <c r="D28">
        <v>1507.0730000000001</v>
      </c>
    </row>
    <row r="29" spans="1:4" x14ac:dyDescent="0.25">
      <c r="A29" s="34">
        <v>40725</v>
      </c>
      <c r="B29" s="34">
        <v>40847</v>
      </c>
      <c r="C29">
        <v>15587.1</v>
      </c>
      <c r="D29">
        <v>1430.386</v>
      </c>
    </row>
    <row r="30" spans="1:4" x14ac:dyDescent="0.25">
      <c r="A30" s="34">
        <v>40634</v>
      </c>
      <c r="B30" s="34">
        <v>40755</v>
      </c>
      <c r="C30">
        <v>15460.9</v>
      </c>
      <c r="D30">
        <v>1423.145</v>
      </c>
    </row>
    <row r="31" spans="1:4" x14ac:dyDescent="0.25">
      <c r="A31" s="34">
        <v>40544</v>
      </c>
      <c r="B31" s="34">
        <v>40663</v>
      </c>
      <c r="C31">
        <v>15238.4</v>
      </c>
      <c r="D31">
        <v>1350.2449999999999</v>
      </c>
    </row>
    <row r="32" spans="1:4" x14ac:dyDescent="0.25">
      <c r="A32" s="34">
        <v>40452</v>
      </c>
      <c r="B32" s="34">
        <v>40574</v>
      </c>
      <c r="C32">
        <v>15230.2</v>
      </c>
      <c r="D32">
        <v>1494.46</v>
      </c>
    </row>
    <row r="33" spans="1:4" x14ac:dyDescent="0.25">
      <c r="A33" s="34">
        <v>40360</v>
      </c>
      <c r="B33" s="34">
        <v>40482</v>
      </c>
      <c r="C33">
        <v>15057.7</v>
      </c>
      <c r="D33">
        <v>1499.0709999999999</v>
      </c>
    </row>
    <row r="34" spans="1:4" x14ac:dyDescent="0.25">
      <c r="A34" s="34">
        <v>40269</v>
      </c>
      <c r="B34" s="34">
        <v>40390</v>
      </c>
      <c r="C34">
        <v>14888.6</v>
      </c>
      <c r="D34">
        <v>1436.7550000000001</v>
      </c>
    </row>
    <row r="35" spans="1:4" x14ac:dyDescent="0.25">
      <c r="A35" s="34">
        <v>40179</v>
      </c>
      <c r="B35" s="34">
        <v>40298</v>
      </c>
      <c r="C35">
        <v>14681.1</v>
      </c>
      <c r="D35">
        <v>1450.1869999999999</v>
      </c>
    </row>
    <row r="36" spans="1:4" x14ac:dyDescent="0.25">
      <c r="A36" s="34">
        <v>40087</v>
      </c>
      <c r="B36" s="34">
        <v>40209</v>
      </c>
      <c r="C36">
        <v>14566.5</v>
      </c>
      <c r="D36">
        <v>1374.367</v>
      </c>
    </row>
    <row r="37" spans="1:4" x14ac:dyDescent="0.25">
      <c r="A37" s="34">
        <v>39995</v>
      </c>
      <c r="B37" s="34">
        <v>40117</v>
      </c>
      <c r="C37">
        <v>14384.1</v>
      </c>
      <c r="D37">
        <v>1273.1890000000001</v>
      </c>
    </row>
    <row r="38" spans="1:4" x14ac:dyDescent="0.25">
      <c r="A38" s="34">
        <v>39904</v>
      </c>
      <c r="B38" s="34">
        <v>40025</v>
      </c>
      <c r="C38">
        <v>14340.4</v>
      </c>
      <c r="D38">
        <v>1120.6179999999999</v>
      </c>
    </row>
    <row r="39" spans="1:4" x14ac:dyDescent="0.25">
      <c r="A39" s="34">
        <v>39814</v>
      </c>
      <c r="B39" s="34">
        <v>39933</v>
      </c>
      <c r="C39">
        <v>14383.9</v>
      </c>
      <c r="D39">
        <v>1044.2560000000001</v>
      </c>
    </row>
    <row r="40" spans="1:4" x14ac:dyDescent="0.25">
      <c r="A40" s="34">
        <v>39722</v>
      </c>
      <c r="B40" s="34">
        <v>39844</v>
      </c>
      <c r="C40">
        <v>14549.9</v>
      </c>
      <c r="D40">
        <v>671.44399999999996</v>
      </c>
    </row>
    <row r="41" spans="1:4" x14ac:dyDescent="0.25">
      <c r="A41" s="34">
        <v>39630</v>
      </c>
      <c r="B41" s="34">
        <v>39752</v>
      </c>
      <c r="C41">
        <v>14843</v>
      </c>
      <c r="D41">
        <v>1188.8230000000001</v>
      </c>
    </row>
    <row r="42" spans="1:4" x14ac:dyDescent="0.25">
      <c r="A42" s="34">
        <v>39539</v>
      </c>
      <c r="B42" s="34">
        <v>39660</v>
      </c>
      <c r="C42">
        <v>14813</v>
      </c>
      <c r="D42">
        <v>1229.6189999999999</v>
      </c>
    </row>
    <row r="43" spans="1:4" x14ac:dyDescent="0.25">
      <c r="A43" s="34">
        <v>39448</v>
      </c>
      <c r="B43" s="34">
        <v>39568</v>
      </c>
      <c r="C43">
        <v>14668.4</v>
      </c>
      <c r="D43">
        <v>1203.491</v>
      </c>
    </row>
    <row r="44" spans="1:4" x14ac:dyDescent="0.25">
      <c r="A44" s="34">
        <v>39356</v>
      </c>
      <c r="B44" s="34">
        <v>39478</v>
      </c>
      <c r="C44">
        <v>14685.3</v>
      </c>
      <c r="D44">
        <v>1313.691</v>
      </c>
    </row>
    <row r="45" spans="1:4" x14ac:dyDescent="0.25">
      <c r="A45" s="34">
        <v>39264</v>
      </c>
      <c r="B45" s="34">
        <v>39386</v>
      </c>
      <c r="C45">
        <v>14569.7</v>
      </c>
      <c r="D45">
        <v>1285.345</v>
      </c>
    </row>
    <row r="46" spans="1:4" x14ac:dyDescent="0.25">
      <c r="A46" s="34">
        <v>39173</v>
      </c>
      <c r="B46" s="34">
        <v>39294</v>
      </c>
      <c r="C46">
        <v>14422.3</v>
      </c>
      <c r="D46">
        <v>1341.6980000000001</v>
      </c>
    </row>
    <row r="47" spans="1:4" x14ac:dyDescent="0.25">
      <c r="A47" s="34">
        <v>39083</v>
      </c>
      <c r="B47" s="34">
        <v>39202</v>
      </c>
      <c r="C47">
        <v>14233.2</v>
      </c>
      <c r="D47">
        <v>1270.8119999999999</v>
      </c>
    </row>
    <row r="48" spans="1:4" x14ac:dyDescent="0.25">
      <c r="A48" s="34">
        <v>38991</v>
      </c>
      <c r="B48" s="34">
        <v>39113</v>
      </c>
      <c r="C48">
        <v>14066.4</v>
      </c>
      <c r="D48">
        <v>1358.655</v>
      </c>
    </row>
    <row r="49" spans="1:4" x14ac:dyDescent="0.25">
      <c r="A49" s="34">
        <v>38899</v>
      </c>
      <c r="B49" s="34">
        <v>39021</v>
      </c>
      <c r="C49">
        <v>13908.5</v>
      </c>
      <c r="D49">
        <v>1409.0440000000001</v>
      </c>
    </row>
    <row r="50" spans="1:4" x14ac:dyDescent="0.25">
      <c r="A50" s="34">
        <v>38808</v>
      </c>
      <c r="B50" s="34">
        <v>38929</v>
      </c>
      <c r="C50">
        <v>13799.8</v>
      </c>
      <c r="D50">
        <v>1391.7049999999999</v>
      </c>
    </row>
    <row r="51" spans="1:4" x14ac:dyDescent="0.25">
      <c r="A51" s="34">
        <v>38718</v>
      </c>
      <c r="B51" s="34">
        <v>38837</v>
      </c>
      <c r="C51">
        <v>13648.9</v>
      </c>
      <c r="D51">
        <v>1352.85</v>
      </c>
    </row>
    <row r="52" spans="1:4" x14ac:dyDescent="0.25">
      <c r="A52" s="34">
        <v>38626</v>
      </c>
      <c r="B52" s="34">
        <v>38748</v>
      </c>
      <c r="C52">
        <v>13381.6</v>
      </c>
      <c r="D52">
        <v>1319.9570000000001</v>
      </c>
    </row>
    <row r="53" spans="1:4" x14ac:dyDescent="0.25">
      <c r="A53" s="34">
        <v>38534</v>
      </c>
      <c r="B53" s="34">
        <v>38656</v>
      </c>
      <c r="C53">
        <v>13205.4</v>
      </c>
      <c r="D53">
        <v>1251.723</v>
      </c>
    </row>
    <row r="54" spans="1:4" x14ac:dyDescent="0.25">
      <c r="A54" s="34">
        <v>38443</v>
      </c>
      <c r="B54" s="34">
        <v>38564</v>
      </c>
      <c r="C54">
        <v>12974.1</v>
      </c>
      <c r="D54">
        <v>1206.249</v>
      </c>
    </row>
    <row r="55" spans="1:4" x14ac:dyDescent="0.25">
      <c r="A55" s="34">
        <v>38353</v>
      </c>
      <c r="B55" s="34">
        <v>38472</v>
      </c>
      <c r="C55">
        <v>12813.7</v>
      </c>
      <c r="D55">
        <v>1185.827</v>
      </c>
    </row>
    <row r="56" spans="1:4" x14ac:dyDescent="0.25">
      <c r="A56" s="34">
        <v>38261</v>
      </c>
      <c r="B56" s="34">
        <v>38383</v>
      </c>
      <c r="C56">
        <v>12562.2</v>
      </c>
      <c r="D56">
        <v>973.69899999999996</v>
      </c>
    </row>
    <row r="57" spans="1:4" x14ac:dyDescent="0.25">
      <c r="A57" s="34">
        <v>38169</v>
      </c>
      <c r="B57" s="34">
        <v>38291</v>
      </c>
      <c r="C57">
        <v>12367.7</v>
      </c>
      <c r="D57">
        <v>978.78800000000001</v>
      </c>
    </row>
    <row r="58" spans="1:4" x14ac:dyDescent="0.25">
      <c r="A58" s="34">
        <v>38078</v>
      </c>
      <c r="B58" s="34">
        <v>38199</v>
      </c>
      <c r="C58">
        <v>12181.4</v>
      </c>
      <c r="D58">
        <v>939.71</v>
      </c>
    </row>
    <row r="59" spans="1:4" x14ac:dyDescent="0.25">
      <c r="A59" s="34">
        <v>37987</v>
      </c>
      <c r="B59" s="34">
        <v>38107</v>
      </c>
      <c r="C59">
        <v>11988.4</v>
      </c>
      <c r="D59">
        <v>901.86699999999996</v>
      </c>
    </row>
    <row r="60" spans="1:4" x14ac:dyDescent="0.25">
      <c r="A60" s="34">
        <v>37895</v>
      </c>
      <c r="B60" s="34">
        <v>38017</v>
      </c>
      <c r="C60">
        <v>11816.8</v>
      </c>
      <c r="D60">
        <v>787.36699999999996</v>
      </c>
    </row>
    <row r="61" spans="1:4" x14ac:dyDescent="0.25">
      <c r="A61" s="34">
        <v>37803</v>
      </c>
      <c r="B61" s="34">
        <v>37925</v>
      </c>
      <c r="C61">
        <v>11625.1</v>
      </c>
      <c r="D61">
        <v>733.41800000000001</v>
      </c>
    </row>
    <row r="62" spans="1:4" x14ac:dyDescent="0.25">
      <c r="A62" s="34">
        <v>37712</v>
      </c>
      <c r="B62" s="34">
        <v>37833</v>
      </c>
      <c r="C62">
        <v>11370.7</v>
      </c>
      <c r="D62">
        <v>692.00400000000002</v>
      </c>
    </row>
    <row r="63" spans="1:4" x14ac:dyDescent="0.25">
      <c r="A63" s="34">
        <v>37622</v>
      </c>
      <c r="B63" s="34">
        <v>37741</v>
      </c>
      <c r="C63">
        <v>11230.1</v>
      </c>
      <c r="D63">
        <v>689.94899999999996</v>
      </c>
    </row>
    <row r="64" spans="1:4" x14ac:dyDescent="0.25">
      <c r="A64" s="34">
        <v>37530</v>
      </c>
      <c r="B64" s="34">
        <v>37652</v>
      </c>
      <c r="C64">
        <v>11103.8</v>
      </c>
      <c r="D64">
        <v>695.08699999999999</v>
      </c>
    </row>
    <row r="65" spans="1:4" x14ac:dyDescent="0.25">
      <c r="A65" s="34">
        <v>37438</v>
      </c>
      <c r="B65" s="34">
        <v>37560</v>
      </c>
      <c r="C65">
        <v>11037.1</v>
      </c>
      <c r="D65">
        <v>620.40899999999999</v>
      </c>
    </row>
    <row r="66" spans="1:4" x14ac:dyDescent="0.25">
      <c r="A66" s="34">
        <v>37347</v>
      </c>
      <c r="B66" s="34">
        <v>37468</v>
      </c>
      <c r="C66">
        <v>10934.8</v>
      </c>
      <c r="D66">
        <v>564.12800000000004</v>
      </c>
    </row>
    <row r="67" spans="1:4" x14ac:dyDescent="0.25">
      <c r="A67" s="34">
        <v>37257</v>
      </c>
      <c r="B67" s="34">
        <v>37376</v>
      </c>
      <c r="C67">
        <v>10834.4</v>
      </c>
      <c r="D67">
        <v>506.78699999999998</v>
      </c>
    </row>
    <row r="68" spans="1:4" x14ac:dyDescent="0.25">
      <c r="A68" s="34">
        <v>37165</v>
      </c>
      <c r="B68" s="34">
        <v>37287</v>
      </c>
      <c r="C68">
        <v>10701.3</v>
      </c>
      <c r="D68">
        <v>458.93799999999999</v>
      </c>
    </row>
    <row r="69" spans="1:4" x14ac:dyDescent="0.25">
      <c r="A69" s="34">
        <v>37073</v>
      </c>
      <c r="B69" s="34">
        <v>37195</v>
      </c>
      <c r="C69">
        <v>10639.5</v>
      </c>
      <c r="D69">
        <v>475.29599999999999</v>
      </c>
    </row>
    <row r="70" spans="1:4" x14ac:dyDescent="0.25">
      <c r="A70" s="34">
        <v>36982</v>
      </c>
      <c r="B70" s="34">
        <v>37103</v>
      </c>
      <c r="C70">
        <v>10638.4</v>
      </c>
      <c r="D70">
        <v>520.23299999999995</v>
      </c>
    </row>
    <row r="71" spans="1:4" x14ac:dyDescent="0.25">
      <c r="A71" s="34">
        <v>36892</v>
      </c>
      <c r="B71" s="34">
        <v>37011</v>
      </c>
      <c r="C71">
        <v>10508.1</v>
      </c>
      <c r="D71">
        <v>494.89299999999997</v>
      </c>
    </row>
    <row r="72" spans="1:4" x14ac:dyDescent="0.25">
      <c r="A72" s="34">
        <v>36800</v>
      </c>
      <c r="B72" s="34">
        <v>36922</v>
      </c>
      <c r="C72">
        <v>10472.299999999999</v>
      </c>
      <c r="D72">
        <v>460.19299999999998</v>
      </c>
    </row>
    <row r="73" spans="1:4" x14ac:dyDescent="0.25">
      <c r="A73" s="34">
        <v>36708</v>
      </c>
      <c r="B73" s="34">
        <v>36830</v>
      </c>
      <c r="C73">
        <v>10357.4</v>
      </c>
      <c r="D73">
        <v>481.94099999999997</v>
      </c>
    </row>
    <row r="74" spans="1:4" x14ac:dyDescent="0.25">
      <c r="A74" s="34">
        <v>36617</v>
      </c>
      <c r="B74" s="34">
        <v>36738</v>
      </c>
      <c r="C74">
        <v>10278.299999999999</v>
      </c>
      <c r="D74">
        <v>488.86099999999999</v>
      </c>
    </row>
    <row r="75" spans="1:4" x14ac:dyDescent="0.25">
      <c r="A75" s="34">
        <v>36526</v>
      </c>
      <c r="B75" s="34">
        <v>36646</v>
      </c>
      <c r="C75">
        <v>10031</v>
      </c>
      <c r="D75">
        <v>496.983</v>
      </c>
    </row>
    <row r="76" spans="1:4" x14ac:dyDescent="0.25">
      <c r="A76" s="34">
        <v>36434</v>
      </c>
      <c r="B76" s="34">
        <v>36556</v>
      </c>
      <c r="C76">
        <v>9926.1</v>
      </c>
      <c r="D76">
        <v>523.08699999999999</v>
      </c>
    </row>
    <row r="77" spans="1:4" x14ac:dyDescent="0.25">
      <c r="A77" s="34">
        <v>36342</v>
      </c>
      <c r="B77" s="34">
        <v>36464</v>
      </c>
      <c r="C77">
        <v>9712.2999999999993</v>
      </c>
      <c r="D77">
        <v>505.72899999999998</v>
      </c>
    </row>
    <row r="78" spans="1:4" x14ac:dyDescent="0.25">
      <c r="A78" s="34">
        <v>36251</v>
      </c>
      <c r="B78" s="34">
        <v>36372</v>
      </c>
      <c r="C78">
        <v>9557</v>
      </c>
      <c r="D78">
        <v>507.56900000000002</v>
      </c>
    </row>
    <row r="79" spans="1:4" x14ac:dyDescent="0.25">
      <c r="A79" s="34">
        <v>36161</v>
      </c>
      <c r="B79" s="34">
        <v>36280</v>
      </c>
      <c r="C79">
        <v>9447.1</v>
      </c>
      <c r="D79">
        <v>493.06599999999997</v>
      </c>
    </row>
    <row r="80" spans="1:4" x14ac:dyDescent="0.25">
      <c r="A80" s="34">
        <v>36069</v>
      </c>
      <c r="B80" s="34">
        <v>36191</v>
      </c>
      <c r="C80">
        <v>9325.7000000000007</v>
      </c>
      <c r="D80">
        <v>463.92200000000003</v>
      </c>
    </row>
    <row r="81" spans="1:4" x14ac:dyDescent="0.25">
      <c r="A81" s="34">
        <v>35977</v>
      </c>
      <c r="B81" s="34">
        <v>36099</v>
      </c>
      <c r="C81">
        <v>9146.5</v>
      </c>
      <c r="D81">
        <v>481.00099999999998</v>
      </c>
    </row>
    <row r="82" spans="1:4" x14ac:dyDescent="0.25">
      <c r="A82" s="34">
        <v>35886</v>
      </c>
      <c r="B82" s="34">
        <v>36007</v>
      </c>
      <c r="C82">
        <v>8994.7000000000007</v>
      </c>
      <c r="D82">
        <v>485.68099999999998</v>
      </c>
    </row>
    <row r="83" spans="1:4" x14ac:dyDescent="0.25">
      <c r="A83" s="34">
        <v>35796</v>
      </c>
      <c r="B83" s="34">
        <v>35915</v>
      </c>
      <c r="C83">
        <v>8889.7000000000007</v>
      </c>
      <c r="D83">
        <v>488.24099999999999</v>
      </c>
    </row>
    <row r="84" spans="1:4" x14ac:dyDescent="0.25">
      <c r="A84" s="34">
        <v>35704</v>
      </c>
      <c r="B84" s="34">
        <v>35826</v>
      </c>
      <c r="C84">
        <v>8788.2999999999993</v>
      </c>
      <c r="D84">
        <v>567.91999999999996</v>
      </c>
    </row>
    <row r="85" spans="1:4" x14ac:dyDescent="0.25">
      <c r="A85" s="34">
        <v>35612</v>
      </c>
      <c r="B85" s="34">
        <v>35734</v>
      </c>
      <c r="C85">
        <v>8691.7999999999993</v>
      </c>
      <c r="D85">
        <v>566.39400000000001</v>
      </c>
    </row>
    <row r="86" spans="1:4" x14ac:dyDescent="0.25">
      <c r="A86" s="34">
        <v>35521</v>
      </c>
      <c r="B86" s="34">
        <v>35642</v>
      </c>
      <c r="C86">
        <v>8551.9</v>
      </c>
      <c r="D86">
        <v>544.80100000000004</v>
      </c>
    </row>
    <row r="87" spans="1:4" x14ac:dyDescent="0.25">
      <c r="A87" s="34">
        <v>35431</v>
      </c>
      <c r="B87" s="34">
        <v>35550</v>
      </c>
      <c r="C87">
        <v>8402.1</v>
      </c>
      <c r="D87">
        <v>526.74900000000002</v>
      </c>
    </row>
    <row r="88" spans="1:4" x14ac:dyDescent="0.25">
      <c r="A88" s="34">
        <v>35339</v>
      </c>
      <c r="B88" s="34">
        <v>35461</v>
      </c>
      <c r="C88">
        <v>8287.1</v>
      </c>
      <c r="D88">
        <v>514.54200000000003</v>
      </c>
    </row>
    <row r="89" spans="1:4" x14ac:dyDescent="0.25">
      <c r="A89" s="34">
        <v>35247</v>
      </c>
      <c r="B89" s="34">
        <v>35369</v>
      </c>
      <c r="C89">
        <v>8159</v>
      </c>
      <c r="D89">
        <v>502.58</v>
      </c>
    </row>
    <row r="90" spans="1:4" x14ac:dyDescent="0.25">
      <c r="A90" s="34">
        <v>35156</v>
      </c>
      <c r="B90" s="34">
        <v>35277</v>
      </c>
      <c r="C90">
        <v>8061.5</v>
      </c>
      <c r="D90">
        <v>506.93299999999999</v>
      </c>
    </row>
    <row r="91" spans="1:4" x14ac:dyDescent="0.25">
      <c r="A91" s="34">
        <v>35065</v>
      </c>
      <c r="B91" s="34">
        <v>35185</v>
      </c>
      <c r="C91">
        <v>7893.1</v>
      </c>
      <c r="D91">
        <v>505.03100000000001</v>
      </c>
    </row>
    <row r="92" spans="1:4" x14ac:dyDescent="0.25">
      <c r="A92" s="34">
        <v>34973</v>
      </c>
      <c r="B92" s="34">
        <v>35095</v>
      </c>
      <c r="C92">
        <v>7799.5</v>
      </c>
      <c r="D92">
        <v>482.33699999999999</v>
      </c>
    </row>
    <row r="93" spans="1:4" x14ac:dyDescent="0.25">
      <c r="A93" s="34">
        <v>34881</v>
      </c>
      <c r="B93" s="34">
        <v>35003</v>
      </c>
      <c r="C93">
        <v>7706.5</v>
      </c>
      <c r="D93">
        <v>475.09899999999999</v>
      </c>
    </row>
    <row r="94" spans="1:4" x14ac:dyDescent="0.25">
      <c r="A94" s="34">
        <v>34790</v>
      </c>
      <c r="B94" s="34">
        <v>34911</v>
      </c>
      <c r="C94">
        <v>7604.9</v>
      </c>
      <c r="D94">
        <v>467.43799999999999</v>
      </c>
    </row>
    <row r="95" spans="1:4" x14ac:dyDescent="0.25">
      <c r="A95" s="34">
        <v>34700</v>
      </c>
      <c r="B95" s="34">
        <v>34819</v>
      </c>
      <c r="C95">
        <v>7545.3</v>
      </c>
      <c r="D95">
        <v>444.779</v>
      </c>
    </row>
    <row r="96" spans="1:4" x14ac:dyDescent="0.25">
      <c r="A96" s="34">
        <v>34608</v>
      </c>
      <c r="B96" s="34">
        <v>34730</v>
      </c>
      <c r="C96">
        <v>7476.7</v>
      </c>
      <c r="D96">
        <v>430.238</v>
      </c>
    </row>
    <row r="97" spans="1:4" x14ac:dyDescent="0.25">
      <c r="A97" s="34">
        <v>34516</v>
      </c>
      <c r="B97" s="34">
        <v>34638</v>
      </c>
      <c r="C97">
        <v>7352.3</v>
      </c>
      <c r="D97">
        <v>418.79599999999999</v>
      </c>
    </row>
    <row r="98" spans="1:4" x14ac:dyDescent="0.25">
      <c r="A98" s="34">
        <v>34425</v>
      </c>
      <c r="B98" s="34">
        <v>34546</v>
      </c>
      <c r="C98">
        <v>7269.8</v>
      </c>
      <c r="D98">
        <v>398.84</v>
      </c>
    </row>
    <row r="99" spans="1:4" x14ac:dyDescent="0.25">
      <c r="A99" s="34">
        <v>34335</v>
      </c>
      <c r="B99" s="34">
        <v>34454</v>
      </c>
      <c r="C99">
        <v>7136.3</v>
      </c>
      <c r="D99">
        <v>386.37799999999999</v>
      </c>
    </row>
    <row r="100" spans="1:4" x14ac:dyDescent="0.25">
      <c r="A100" s="34">
        <v>34243</v>
      </c>
      <c r="B100" s="34">
        <v>34365</v>
      </c>
      <c r="C100">
        <v>7032.8</v>
      </c>
      <c r="D100">
        <v>359.59300000000002</v>
      </c>
    </row>
    <row r="101" spans="1:4" x14ac:dyDescent="0.25">
      <c r="A101" s="34">
        <v>34151</v>
      </c>
      <c r="B101" s="34">
        <v>34273</v>
      </c>
      <c r="C101">
        <v>6904.2</v>
      </c>
      <c r="D101">
        <v>340.19299999999998</v>
      </c>
    </row>
    <row r="102" spans="1:4" x14ac:dyDescent="0.25">
      <c r="A102" s="34">
        <v>34060</v>
      </c>
      <c r="B102" s="34">
        <v>34181</v>
      </c>
      <c r="C102">
        <v>6829.6</v>
      </c>
      <c r="D102">
        <v>327.31099999999998</v>
      </c>
    </row>
    <row r="103" spans="1:4" x14ac:dyDescent="0.25">
      <c r="A103" s="34">
        <v>33970</v>
      </c>
      <c r="B103" s="34">
        <v>34089</v>
      </c>
      <c r="C103">
        <v>6748.2</v>
      </c>
      <c r="D103">
        <v>312.54399999999998</v>
      </c>
    </row>
    <row r="104" spans="1:4" x14ac:dyDescent="0.25">
      <c r="A104" s="34">
        <v>33878</v>
      </c>
      <c r="B104" s="34">
        <v>34000</v>
      </c>
      <c r="C104">
        <v>6697.6</v>
      </c>
      <c r="D104">
        <v>314.30399999999997</v>
      </c>
    </row>
    <row r="105" spans="1:4" x14ac:dyDescent="0.25">
      <c r="A105" s="34">
        <v>33786</v>
      </c>
      <c r="B105" s="34">
        <v>33908</v>
      </c>
      <c r="C105">
        <v>6586.5</v>
      </c>
      <c r="D105">
        <v>307.005</v>
      </c>
    </row>
    <row r="106" spans="1:4" x14ac:dyDescent="0.25">
      <c r="A106" s="34">
        <v>33695</v>
      </c>
      <c r="B106" s="34">
        <v>33816</v>
      </c>
      <c r="C106">
        <v>6492.3</v>
      </c>
      <c r="D106">
        <v>323.36900000000003</v>
      </c>
    </row>
    <row r="107" spans="1:4" x14ac:dyDescent="0.25">
      <c r="A107" s="34">
        <v>33604</v>
      </c>
      <c r="B107" s="34">
        <v>33724</v>
      </c>
      <c r="C107">
        <v>6380.8</v>
      </c>
      <c r="D107">
        <v>310.81400000000002</v>
      </c>
    </row>
    <row r="108" spans="1:4" x14ac:dyDescent="0.25">
      <c r="A108" s="34">
        <v>33512</v>
      </c>
      <c r="B108" s="34">
        <v>33634</v>
      </c>
      <c r="C108">
        <v>6279.3</v>
      </c>
      <c r="D108">
        <v>298.12700000000001</v>
      </c>
    </row>
    <row r="109" spans="1:4" x14ac:dyDescent="0.25">
      <c r="A109" s="34">
        <v>33420</v>
      </c>
      <c r="B109" s="34">
        <v>33542</v>
      </c>
      <c r="C109">
        <v>6218.4</v>
      </c>
      <c r="D109">
        <v>294.29599999999999</v>
      </c>
    </row>
    <row r="110" spans="1:4" x14ac:dyDescent="0.25">
      <c r="A110" s="34">
        <v>33329</v>
      </c>
      <c r="B110" s="34">
        <v>33450</v>
      </c>
      <c r="C110">
        <v>6143.6</v>
      </c>
      <c r="D110">
        <v>288.67</v>
      </c>
    </row>
    <row r="111" spans="1:4" x14ac:dyDescent="0.25">
      <c r="A111" s="34">
        <v>33239</v>
      </c>
      <c r="B111" s="34">
        <v>33358</v>
      </c>
      <c r="C111">
        <v>6054.9</v>
      </c>
      <c r="D111">
        <v>281.81299999999999</v>
      </c>
    </row>
    <row r="112" spans="1:4" x14ac:dyDescent="0.25">
      <c r="A112" s="34">
        <v>33147</v>
      </c>
      <c r="B112" s="34">
        <v>33269</v>
      </c>
      <c r="C112">
        <v>6023.3</v>
      </c>
      <c r="D112">
        <v>265.565</v>
      </c>
    </row>
    <row r="113" spans="1:4" x14ac:dyDescent="0.25">
      <c r="A113" s="34">
        <v>33055</v>
      </c>
      <c r="B113" s="34">
        <v>33177</v>
      </c>
      <c r="C113">
        <v>6029.5</v>
      </c>
      <c r="D113">
        <v>263.512</v>
      </c>
    </row>
    <row r="114" spans="1:4" x14ac:dyDescent="0.25">
      <c r="A114" s="34">
        <v>32964</v>
      </c>
      <c r="B114" s="34">
        <v>33085</v>
      </c>
      <c r="C114">
        <v>5974.7</v>
      </c>
      <c r="D114">
        <v>259.13400000000001</v>
      </c>
    </row>
    <row r="115" spans="1:4" x14ac:dyDescent="0.25">
      <c r="A115" s="34">
        <v>32874</v>
      </c>
      <c r="B115" s="34">
        <v>32993</v>
      </c>
      <c r="C115">
        <v>5890.8</v>
      </c>
      <c r="D115">
        <v>246.297</v>
      </c>
    </row>
    <row r="116" spans="1:4" x14ac:dyDescent="0.25">
      <c r="A116" s="34">
        <v>32782</v>
      </c>
      <c r="B116" s="34">
        <v>32904</v>
      </c>
      <c r="C116">
        <v>5763.4</v>
      </c>
      <c r="D116">
        <v>236.42500000000001</v>
      </c>
    </row>
    <row r="117" spans="1:4" x14ac:dyDescent="0.25">
      <c r="A117" s="34">
        <v>32690</v>
      </c>
      <c r="B117" s="34">
        <v>32812</v>
      </c>
      <c r="C117">
        <v>5711.6</v>
      </c>
      <c r="D117">
        <v>236.422</v>
      </c>
    </row>
    <row r="118" spans="1:4" x14ac:dyDescent="0.25">
      <c r="A118" s="34">
        <v>32599</v>
      </c>
      <c r="B118" s="34">
        <v>32720</v>
      </c>
      <c r="C118">
        <v>5628.4</v>
      </c>
      <c r="D118">
        <v>246.58199999999999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79"/>
  <sheetViews>
    <sheetView zoomScale="110" zoomScaleNormal="11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defaultRowHeight="15" x14ac:dyDescent="0.25"/>
  <cols>
    <col min="1" max="1" width="19.5703125" customWidth="1"/>
    <col min="2" max="2" width="13.85546875" customWidth="1"/>
    <col min="3" max="3" width="10.5703125" customWidth="1"/>
    <col min="5" max="5" width="11.28515625" customWidth="1"/>
    <col min="6" max="6" width="12" customWidth="1"/>
  </cols>
  <sheetData>
    <row r="1" spans="1:6" ht="15.75" thickBot="1" x14ac:dyDescent="0.3">
      <c r="A1" t="s">
        <v>0</v>
      </c>
      <c r="B1" s="16">
        <f>Dashboard!A1</f>
        <v>43324</v>
      </c>
      <c r="C1" s="16">
        <f>EOMONTH(B1,-1)</f>
        <v>43312</v>
      </c>
      <c r="E1" s="54">
        <f>COUNTIF(E3:E79,"&lt;0")</f>
        <v>23</v>
      </c>
    </row>
    <row r="2" spans="1:6" ht="15.75" thickBot="1" x14ac:dyDescent="0.3">
      <c r="A2" s="48" t="s">
        <v>19</v>
      </c>
      <c r="B2" s="48" t="s">
        <v>216</v>
      </c>
      <c r="C2" s="48" t="s">
        <v>9</v>
      </c>
      <c r="D2" s="48" t="s">
        <v>217</v>
      </c>
      <c r="E2" s="48" t="s">
        <v>218</v>
      </c>
      <c r="F2" s="48" t="s">
        <v>219</v>
      </c>
    </row>
    <row r="3" spans="1:6" x14ac:dyDescent="0.25">
      <c r="A3" t="s">
        <v>39</v>
      </c>
      <c r="B3" t="s">
        <v>231</v>
      </c>
      <c r="C3">
        <f>INDEX(Summary!$Y:$Y,MATCH($B$1,Summary!$A:$A,0))</f>
        <v>77.77</v>
      </c>
      <c r="D3">
        <f>ROUND(MEDIAN(Summary!$Y:$Y),2)</f>
        <v>79.53</v>
      </c>
      <c r="E3">
        <f>C3-D3</f>
        <v>-1.7600000000000051</v>
      </c>
      <c r="F3" s="50">
        <f t="shared" ref="F3:F32" si="0">ROUND(E3/D3,4)</f>
        <v>-2.2100000000000002E-2</v>
      </c>
    </row>
    <row r="4" spans="1:6" x14ac:dyDescent="0.25">
      <c r="A4" t="s">
        <v>107</v>
      </c>
      <c r="B4" t="s">
        <v>231</v>
      </c>
      <c r="C4">
        <f>INDEX(Summary!$AL:$AL,MATCH($B$1,Summary!$A:$A,0))</f>
        <v>33</v>
      </c>
      <c r="D4">
        <f>ROUND(MEDIAN(Summary!$AL:$AL),1)</f>
        <v>29.1</v>
      </c>
      <c r="E4">
        <f>C4-D4</f>
        <v>3.8999999999999986</v>
      </c>
      <c r="F4" s="50">
        <f t="shared" si="0"/>
        <v>0.13400000000000001</v>
      </c>
    </row>
    <row r="5" spans="1:6" x14ac:dyDescent="0.25">
      <c r="A5" t="s">
        <v>253</v>
      </c>
      <c r="B5" t="s">
        <v>231</v>
      </c>
      <c r="C5">
        <f>INDEX(Summary!$V:$V,MATCH($B$1,Summary!$A:$A,0))</f>
        <v>84.01</v>
      </c>
      <c r="D5">
        <f>ROUND(MEDIAN(Summary!$V:$V),1)</f>
        <v>75.400000000000006</v>
      </c>
      <c r="E5">
        <f>C5-D5</f>
        <v>8.61</v>
      </c>
      <c r="F5" s="50">
        <f t="shared" ref="F5" si="1">ROUND(E5/D5,4)</f>
        <v>0.1142</v>
      </c>
    </row>
    <row r="6" spans="1:6" x14ac:dyDescent="0.25">
      <c r="A6" t="s">
        <v>46</v>
      </c>
      <c r="B6" t="s">
        <v>231</v>
      </c>
      <c r="C6">
        <f>INDEX(Summary!$AH:$AH,MATCH($B$1,Summary!$A:$A,0))</f>
        <v>78</v>
      </c>
      <c r="D6">
        <f>ROUND(MEDIAN(Summary!$AH:$AH),0)</f>
        <v>85</v>
      </c>
      <c r="E6">
        <f>C6-D6</f>
        <v>-7</v>
      </c>
      <c r="F6" s="50">
        <f t="shared" si="0"/>
        <v>-8.2400000000000001E-2</v>
      </c>
    </row>
    <row r="7" spans="1:6" x14ac:dyDescent="0.25">
      <c r="A7" t="s">
        <v>250</v>
      </c>
      <c r="B7" t="s">
        <v>231</v>
      </c>
      <c r="C7">
        <f>INDEX(Summary!$C:$C,MATCH($B$1,Summary!$A:$A,0))</f>
        <v>2.02</v>
      </c>
      <c r="D7">
        <f>ROUND(MEDIAN(Summary!$C:$C),2)</f>
        <v>1.9</v>
      </c>
      <c r="E7">
        <f>C7-D7</f>
        <v>0.12000000000000011</v>
      </c>
      <c r="F7" s="50">
        <f t="shared" ref="F7" si="2">ROUND(E7/D7,4)</f>
        <v>6.3200000000000006E-2</v>
      </c>
    </row>
    <row r="8" spans="1:6" x14ac:dyDescent="0.25">
      <c r="A8" t="s">
        <v>2</v>
      </c>
      <c r="B8" t="s">
        <v>231</v>
      </c>
      <c r="C8">
        <f>INDEX(Summary!$E:$E,MATCH($B$1,Summary!$A:$A,0))</f>
        <v>12.16</v>
      </c>
      <c r="D8">
        <f>ROUND(MEDIAN(Summary!$E:$E),2)</f>
        <v>16.97</v>
      </c>
      <c r="E8">
        <f>D8-C8</f>
        <v>4.8099999999999987</v>
      </c>
      <c r="F8" s="50">
        <f t="shared" si="0"/>
        <v>0.28339999999999999</v>
      </c>
    </row>
    <row r="9" spans="1:6" x14ac:dyDescent="0.25">
      <c r="A9" t="s">
        <v>220</v>
      </c>
      <c r="B9" t="s">
        <v>10</v>
      </c>
      <c r="C9" s="13">
        <f>INDEX(Valuation!$K:$K,MATCH($B$1,Valuation!$A:$A,0))</f>
        <v>0.1389</v>
      </c>
      <c r="D9" s="13">
        <f>MEDIAN(Valuation!$K:$K)</f>
        <v>9.2849999999999988E-2</v>
      </c>
      <c r="E9" s="50">
        <f>D9-C9</f>
        <v>-4.6050000000000008E-2</v>
      </c>
      <c r="F9" s="50">
        <f t="shared" si="0"/>
        <v>-0.496</v>
      </c>
    </row>
    <row r="10" spans="1:6" x14ac:dyDescent="0.25">
      <c r="A10" t="s">
        <v>221</v>
      </c>
      <c r="B10" t="s">
        <v>10</v>
      </c>
      <c r="C10" s="13">
        <f>INDEX(Valuation!$N:$N,MATCH($B$1,Valuation!$A:$A,0))</f>
        <v>0.1492</v>
      </c>
      <c r="D10" s="13">
        <f>MEDIAN(Valuation!$N:$N)</f>
        <v>0.12828999999999999</v>
      </c>
      <c r="E10" s="50">
        <f>D10-C10</f>
        <v>-2.0910000000000012E-2</v>
      </c>
      <c r="F10" s="50">
        <f t="shared" si="0"/>
        <v>-0.16300000000000001</v>
      </c>
    </row>
    <row r="11" spans="1:6" x14ac:dyDescent="0.25">
      <c r="A11" t="s">
        <v>249</v>
      </c>
      <c r="B11" t="s">
        <v>10</v>
      </c>
      <c r="C11" s="13">
        <f>INDEX(Valuation!$Q:$Q,MATCH($B$1,Valuation!$A:$A,0))</f>
        <v>0.19700000000000001</v>
      </c>
      <c r="D11" s="13">
        <f>MEDIAN(Valuation!$Q:$Q)</f>
        <v>0.12329999999999999</v>
      </c>
      <c r="E11" s="50">
        <f>D11-C11</f>
        <v>-7.3700000000000015E-2</v>
      </c>
      <c r="F11" s="50">
        <f t="shared" si="0"/>
        <v>-0.59770000000000001</v>
      </c>
    </row>
    <row r="12" spans="1:6" x14ac:dyDescent="0.25">
      <c r="A12" t="s">
        <v>133</v>
      </c>
      <c r="B12" t="s">
        <v>10</v>
      </c>
      <c r="C12">
        <f>INDEX(Valuation!$S:$S,MATCH($B$1,Valuation!$A:$A,0))</f>
        <v>0.86</v>
      </c>
      <c r="D12" s="6">
        <f>MEDIAN(Valuation!$S:$S)</f>
        <v>1.3250000000000002</v>
      </c>
      <c r="E12" s="52">
        <f>C12-D12</f>
        <v>-0.46500000000000019</v>
      </c>
      <c r="F12" s="50">
        <f t="shared" si="0"/>
        <v>-0.35089999999999999</v>
      </c>
    </row>
    <row r="13" spans="1:6" x14ac:dyDescent="0.25">
      <c r="A13" t="s">
        <v>230</v>
      </c>
      <c r="B13" t="s">
        <v>10</v>
      </c>
      <c r="C13" s="6">
        <f>INDEX(Valuation!$U:$U,MATCH($B$1,Valuation!$A:$A,0))</f>
        <v>32.909999999999997</v>
      </c>
      <c r="D13" s="6">
        <f>MEDIAN(Valuation!$U:$U)</f>
        <v>171.13499999999999</v>
      </c>
      <c r="E13" s="52">
        <f>C13-D13</f>
        <v>-138.22499999999999</v>
      </c>
      <c r="F13" s="50">
        <f t="shared" si="0"/>
        <v>-0.80769999999999997</v>
      </c>
    </row>
    <row r="14" spans="1:6" x14ac:dyDescent="0.25">
      <c r="A14" t="s">
        <v>222</v>
      </c>
      <c r="B14" t="s">
        <v>8</v>
      </c>
      <c r="C14">
        <f>INDEX(WeeklyIndicators!$D:$D,MATCH($B$1,WeeklyIndicators!$A:$A,0))</f>
        <v>-0.84</v>
      </c>
      <c r="D14">
        <f>ROUND(MEDIAN(WeeklyIndicators!$D:$D),2)</f>
        <v>-0.62</v>
      </c>
      <c r="E14" s="52">
        <f>D14-C14</f>
        <v>0.21999999999999997</v>
      </c>
      <c r="F14" s="50">
        <f t="shared" si="0"/>
        <v>-0.3548</v>
      </c>
    </row>
    <row r="15" spans="1:6" x14ac:dyDescent="0.25">
      <c r="A15" t="s">
        <v>223</v>
      </c>
      <c r="B15" t="s">
        <v>8</v>
      </c>
      <c r="C15">
        <f>INDEX(WeeklyIndicators!$E:$E,MATCH($B$1,WeeklyIndicators!$A:$A,0))</f>
        <v>-1.214</v>
      </c>
      <c r="D15" s="51">
        <f>ROUND(MEDIAN(WeeklyIndicators!$E:$E),3)</f>
        <v>-0.01</v>
      </c>
      <c r="E15" s="52">
        <f>D15-C15</f>
        <v>1.204</v>
      </c>
      <c r="F15" s="50">
        <f t="shared" si="0"/>
        <v>-120.4</v>
      </c>
    </row>
    <row r="16" spans="1:6" x14ac:dyDescent="0.25">
      <c r="A16" t="s">
        <v>224</v>
      </c>
      <c r="B16" t="s">
        <v>8</v>
      </c>
      <c r="C16">
        <f>INDEX(WeeklyIndicators!$K:$K,MATCH($B$1,WeeklyIndicators!$A:$A,0))</f>
        <v>2.63</v>
      </c>
      <c r="D16">
        <f>ROUND(MEDIAN(WeeklyIndicators!$K:$K),2)</f>
        <v>3.38</v>
      </c>
      <c r="E16" s="52">
        <f>D16-C16</f>
        <v>0.75</v>
      </c>
      <c r="F16" s="50">
        <f t="shared" si="0"/>
        <v>0.22189999999999999</v>
      </c>
    </row>
    <row r="17" spans="1:6" x14ac:dyDescent="0.25">
      <c r="A17" t="s">
        <v>68</v>
      </c>
      <c r="B17" t="s">
        <v>8</v>
      </c>
      <c r="C17">
        <f>INDEX(WeeklyIndicators!$M:$M,MATCH($B$1,WeeklyIndicators!$A:$A,0))</f>
        <v>0.6</v>
      </c>
      <c r="D17">
        <f>ROUND(MEDIAN(WeeklyIndicators!$M:$M),1)</f>
        <v>2.8</v>
      </c>
      <c r="E17" s="52">
        <f>C17-D17</f>
        <v>-2.1999999999999997</v>
      </c>
      <c r="F17" s="50">
        <f t="shared" si="0"/>
        <v>-0.78569999999999995</v>
      </c>
    </row>
    <row r="18" spans="1:6" x14ac:dyDescent="0.25">
      <c r="A18" t="s">
        <v>57</v>
      </c>
      <c r="B18" t="s">
        <v>8</v>
      </c>
      <c r="C18">
        <f>INDEX(WeeklyIndicators!$N:$N,MATCH($B$1,WeeklyIndicators!$A:$A,0))</f>
        <v>214250</v>
      </c>
      <c r="D18">
        <f>MEDIAN(WeeklyIndicators!$N:$N)</f>
        <v>340000</v>
      </c>
      <c r="E18" s="53">
        <f t="shared" ref="E18:E23" si="3">D18-C18</f>
        <v>125750</v>
      </c>
      <c r="F18" s="50">
        <f t="shared" si="0"/>
        <v>0.36990000000000001</v>
      </c>
    </row>
    <row r="19" spans="1:6" x14ac:dyDescent="0.25">
      <c r="A19" t="s">
        <v>225</v>
      </c>
      <c r="B19" t="s">
        <v>8</v>
      </c>
      <c r="C19">
        <f>INDEX(WeeklyIndicators!$P:$P,MATCH($B$1,WeeklyIndicators!$A:$A,0))</f>
        <v>0.83630000000000004</v>
      </c>
      <c r="D19">
        <f>ROUND(MEDIAN(WeeklyIndicators!$P:$P),3)</f>
        <v>1.5620000000000001</v>
      </c>
      <c r="E19">
        <f t="shared" si="3"/>
        <v>0.72570000000000001</v>
      </c>
      <c r="F19" s="50">
        <f t="shared" si="0"/>
        <v>0.46460000000000001</v>
      </c>
    </row>
    <row r="20" spans="1:6" x14ac:dyDescent="0.25">
      <c r="A20" t="s">
        <v>226</v>
      </c>
      <c r="B20" t="s">
        <v>8</v>
      </c>
      <c r="C20" s="49">
        <f>INDEX(WeeklyIndicators!$Q:$Q,MATCH($B$1,WeeklyIndicators!$A:$A,0))</f>
        <v>-0.11940000000000001</v>
      </c>
      <c r="D20" s="49">
        <f>MEDIAN(WeeklyIndicators!$Q:$Q)</f>
        <v>-7.0000000000000007E-2</v>
      </c>
      <c r="E20" s="49">
        <f t="shared" si="3"/>
        <v>4.9399999999999999E-2</v>
      </c>
      <c r="F20" s="50">
        <f t="shared" si="0"/>
        <v>-0.70569999999999999</v>
      </c>
    </row>
    <row r="21" spans="1:6" x14ac:dyDescent="0.25">
      <c r="A21" t="s">
        <v>227</v>
      </c>
      <c r="B21" t="s">
        <v>8</v>
      </c>
      <c r="C21">
        <f>INDEX(WeeklyIndicators!$S:$S,MATCH($B$1,WeeklyIndicators!$A:$A,0))</f>
        <v>1755000</v>
      </c>
      <c r="D21">
        <f>MEDIAN(WeeklyIndicators!$S:$S)</f>
        <v>2660000</v>
      </c>
      <c r="E21" s="53">
        <f t="shared" si="3"/>
        <v>905000</v>
      </c>
      <c r="F21" s="50">
        <f t="shared" si="0"/>
        <v>0.3402</v>
      </c>
    </row>
    <row r="22" spans="1:6" x14ac:dyDescent="0.25">
      <c r="A22" t="s">
        <v>228</v>
      </c>
      <c r="B22" t="s">
        <v>8</v>
      </c>
      <c r="C22">
        <f>INDEX(WeeklyIndicators!$U:$U,MATCH($B$1,WeeklyIndicators!$A:$A,0))</f>
        <v>0.96509999999999996</v>
      </c>
      <c r="D22">
        <f>MEDIAN(WeeklyIndicators!$U:$U)</f>
        <v>1.7690999999999999</v>
      </c>
      <c r="E22">
        <f t="shared" si="3"/>
        <v>0.80399999999999994</v>
      </c>
      <c r="F22" s="50">
        <f t="shared" si="0"/>
        <v>0.45450000000000002</v>
      </c>
    </row>
    <row r="23" spans="1:6" x14ac:dyDescent="0.25">
      <c r="A23" t="s">
        <v>229</v>
      </c>
      <c r="B23" t="s">
        <v>8</v>
      </c>
      <c r="C23" s="49">
        <f>INDEX(WeeklyIndicators!$V:$V,MATCH($B$1,WeeklyIndicators!$A:$A,0))</f>
        <v>-0.1206</v>
      </c>
      <c r="D23" s="49">
        <f>MEDIAN(WeeklyIndicators!$V:$V)</f>
        <v>-8.1299999999999997E-2</v>
      </c>
      <c r="E23" s="49">
        <f t="shared" si="3"/>
        <v>3.9300000000000002E-2</v>
      </c>
      <c r="F23" s="50">
        <f t="shared" si="0"/>
        <v>-0.4834</v>
      </c>
    </row>
    <row r="24" spans="1:6" x14ac:dyDescent="0.25">
      <c r="A24" t="s">
        <v>8</v>
      </c>
      <c r="B24" t="s">
        <v>8</v>
      </c>
      <c r="C24">
        <f>INDEX(WeeklyIndicators!$Y:$Y,MATCH($B$1,WeeklyIndicators!$A:$A,0))</f>
        <v>165.38</v>
      </c>
      <c r="D24">
        <f>MEDIAN(WeeklyIndicators!$Y:$Y)</f>
        <v>125.99</v>
      </c>
      <c r="E24" s="52">
        <f t="shared" ref="E24:E32" si="4">C24-D24</f>
        <v>39.39</v>
      </c>
      <c r="F24" s="50">
        <f t="shared" si="0"/>
        <v>0.31259999999999999</v>
      </c>
    </row>
    <row r="25" spans="1:6" x14ac:dyDescent="0.25">
      <c r="A25" t="s">
        <v>232</v>
      </c>
      <c r="B25" t="s">
        <v>3</v>
      </c>
      <c r="C25">
        <f>INDEX(Economic!$C:$C,MATCH($C$1,Economic!$A:$A,0))</f>
        <v>98</v>
      </c>
      <c r="D25">
        <f>ROUND(MEDIAN(Economic!$C:$C),1)</f>
        <v>90.1</v>
      </c>
      <c r="E25">
        <f t="shared" si="4"/>
        <v>7.9000000000000057</v>
      </c>
      <c r="F25" s="50">
        <f t="shared" si="0"/>
        <v>8.77E-2</v>
      </c>
    </row>
    <row r="26" spans="1:6" x14ac:dyDescent="0.25">
      <c r="A26" t="s">
        <v>233</v>
      </c>
      <c r="B26" t="s">
        <v>3</v>
      </c>
      <c r="C26" s="13">
        <f>INDEX(Economic!$H:$H,MATCH($C$1,Economic!$A:$A,0))</f>
        <v>8.9999999999999993E-3</v>
      </c>
      <c r="D26" s="13">
        <f>ROUND(MEDIAN(Economic!$H:$H),4)</f>
        <v>1.7299999999999999E-2</v>
      </c>
      <c r="E26" s="13">
        <f t="shared" si="4"/>
        <v>-8.3000000000000001E-3</v>
      </c>
      <c r="F26" s="50">
        <f t="shared" si="0"/>
        <v>-0.4798</v>
      </c>
    </row>
    <row r="27" spans="1:6" x14ac:dyDescent="0.25">
      <c r="A27" t="s">
        <v>23</v>
      </c>
      <c r="B27" t="s">
        <v>3</v>
      </c>
      <c r="C27">
        <f>INDEX(Economic!$J:$J,MATCH($C$1,Economic!$A:$A,0))</f>
        <v>0.16</v>
      </c>
      <c r="D27">
        <f>ROUND(MEDIAN(Economic!$J:$J),2)</f>
        <v>0.02</v>
      </c>
      <c r="E27">
        <f t="shared" si="4"/>
        <v>0.14000000000000001</v>
      </c>
      <c r="F27" s="50">
        <f t="shared" si="0"/>
        <v>7</v>
      </c>
    </row>
    <row r="28" spans="1:6" x14ac:dyDescent="0.25">
      <c r="A28" t="s">
        <v>102</v>
      </c>
      <c r="B28" t="s">
        <v>3</v>
      </c>
      <c r="C28">
        <f>INDEX(Economic!$M:$M,MATCH($C$1,Economic!$A:$A,0))</f>
        <v>1.42</v>
      </c>
      <c r="D28">
        <f>ROUND(MEDIAN(Economic!$M:$M),2)</f>
        <v>1.45</v>
      </c>
      <c r="E28">
        <f t="shared" si="4"/>
        <v>-3.0000000000000027E-2</v>
      </c>
      <c r="F28" s="50">
        <f t="shared" si="0"/>
        <v>-2.07E-2</v>
      </c>
    </row>
    <row r="29" spans="1:6" x14ac:dyDescent="0.25">
      <c r="A29" t="s">
        <v>121</v>
      </c>
      <c r="B29" t="s">
        <v>3</v>
      </c>
      <c r="C29">
        <f>INDEX(Economic!$T:$T,MATCH($C$1,Economic!$A:$A,0))</f>
        <v>114.233</v>
      </c>
      <c r="D29">
        <f>ROUND(MEDIAN(Economic!$T:$T),1)</f>
        <v>103.4</v>
      </c>
      <c r="E29">
        <f t="shared" si="4"/>
        <v>10.832999999999998</v>
      </c>
      <c r="F29" s="50">
        <f t="shared" si="0"/>
        <v>0.1048</v>
      </c>
    </row>
    <row r="30" spans="1:6" x14ac:dyDescent="0.25">
      <c r="A30" t="s">
        <v>24</v>
      </c>
      <c r="B30" t="s">
        <v>3</v>
      </c>
      <c r="C30" s="13">
        <f>INDEX(Economic!$X:$X,MATCH($C$1,Economic!$A:$A,0))</f>
        <v>1.6899999999999998E-2</v>
      </c>
      <c r="D30" s="13">
        <f>ROUND(MEDIAN(Economic!$X:$X),4)</f>
        <v>1.5699999999999999E-2</v>
      </c>
      <c r="E30" s="13">
        <f t="shared" si="4"/>
        <v>1.1999999999999997E-3</v>
      </c>
      <c r="F30" s="50">
        <f t="shared" si="0"/>
        <v>7.6399999999999996E-2</v>
      </c>
    </row>
    <row r="31" spans="1:6" x14ac:dyDescent="0.25">
      <c r="A31" t="s">
        <v>106</v>
      </c>
      <c r="B31" t="s">
        <v>3</v>
      </c>
      <c r="C31">
        <f>INDEX(Economic!$AA:$AA,MATCH($C$1,Economic!$A:$A,0))</f>
        <v>85.59</v>
      </c>
      <c r="D31">
        <f>ROUND(MEDIAN(Economic!$AA:$AA),1)</f>
        <v>73.5</v>
      </c>
      <c r="E31">
        <f t="shared" si="4"/>
        <v>12.090000000000003</v>
      </c>
      <c r="F31" s="50">
        <f t="shared" si="0"/>
        <v>0.16450000000000001</v>
      </c>
    </row>
    <row r="32" spans="1:6" x14ac:dyDescent="0.25">
      <c r="A32" t="s">
        <v>3</v>
      </c>
      <c r="B32" t="s">
        <v>3</v>
      </c>
      <c r="C32">
        <f>INDEX(Economic!$AF:$AF,MATCH($C$1,Economic!$A:$A,0))</f>
        <v>122.93</v>
      </c>
      <c r="D32">
        <f>ROUND(MEDIAN(Economic!$AF:$AF),1)</f>
        <v>113.4</v>
      </c>
      <c r="E32">
        <f t="shared" si="4"/>
        <v>9.5300000000000011</v>
      </c>
      <c r="F32" s="50">
        <f t="shared" si="0"/>
        <v>8.4000000000000005E-2</v>
      </c>
    </row>
    <row r="33" spans="1:6" x14ac:dyDescent="0.25">
      <c r="A33" t="s">
        <v>234</v>
      </c>
      <c r="B33" t="s">
        <v>5</v>
      </c>
      <c r="C33">
        <f>INDEX(Housing!$E:$E,MATCH($C$1,Housing!$B:$B,0))</f>
        <v>4.54</v>
      </c>
      <c r="D33">
        <f>MEDIAN(Housing!$E:$E)</f>
        <v>6.22</v>
      </c>
      <c r="E33">
        <f>D33-C33</f>
        <v>1.6799999999999997</v>
      </c>
      <c r="F33" s="50">
        <f t="shared" ref="F33:F51" si="5">ROUND(E33/D33,4)</f>
        <v>0.27010000000000001</v>
      </c>
    </row>
    <row r="34" spans="1:6" x14ac:dyDescent="0.25">
      <c r="A34" t="s">
        <v>27</v>
      </c>
      <c r="B34" t="s">
        <v>5</v>
      </c>
      <c r="C34">
        <f>INDEX(Housing!$G:$G,MATCH($C$1,Housing!$B:$B,0))</f>
        <v>5.7</v>
      </c>
      <c r="D34">
        <f>MEDIAN(Housing!$G:$G)</f>
        <v>5.2</v>
      </c>
      <c r="E34">
        <f t="shared" ref="E34:E51" si="6">C34-D34</f>
        <v>0.5</v>
      </c>
      <c r="F34" s="50">
        <f t="shared" si="5"/>
        <v>9.6199999999999994E-2</v>
      </c>
    </row>
    <row r="35" spans="1:6" x14ac:dyDescent="0.25">
      <c r="A35" t="s">
        <v>28</v>
      </c>
      <c r="B35" t="s">
        <v>5</v>
      </c>
      <c r="C35">
        <f>INDEX(Housing!$I:$I,MATCH($C$1,Housing!$B:$B,0))</f>
        <v>1173</v>
      </c>
      <c r="D35">
        <f>MEDIAN(Housing!$I:$I)</f>
        <v>1319</v>
      </c>
      <c r="E35">
        <f t="shared" si="6"/>
        <v>-146</v>
      </c>
      <c r="F35" s="50">
        <f t="shared" si="5"/>
        <v>-0.11070000000000001</v>
      </c>
    </row>
    <row r="36" spans="1:6" x14ac:dyDescent="0.25">
      <c r="A36" t="s">
        <v>29</v>
      </c>
      <c r="B36" t="s">
        <v>5</v>
      </c>
      <c r="C36">
        <f>INDEX(Housing!$K:$K,MATCH($C$1,Housing!$B:$B,0))</f>
        <v>5380000</v>
      </c>
      <c r="D36">
        <f>MEDIAN(Housing!$K:$K)</f>
        <v>5010000</v>
      </c>
      <c r="E36">
        <f t="shared" si="6"/>
        <v>370000</v>
      </c>
      <c r="F36" s="50">
        <f t="shared" si="5"/>
        <v>7.3899999999999993E-2</v>
      </c>
    </row>
    <row r="37" spans="1:6" x14ac:dyDescent="0.25">
      <c r="A37" t="s">
        <v>203</v>
      </c>
      <c r="B37" t="s">
        <v>5</v>
      </c>
      <c r="C37">
        <f>INDEX(Housing!$N:$N,MATCH($C$1,Housing!$B:$B,0))</f>
        <v>658</v>
      </c>
      <c r="D37">
        <f>MEDIAN(Housing!$N:$N)</f>
        <v>660</v>
      </c>
      <c r="E37">
        <f t="shared" si="6"/>
        <v>-2</v>
      </c>
      <c r="F37" s="50">
        <f t="shared" si="5"/>
        <v>-3.0000000000000001E-3</v>
      </c>
    </row>
    <row r="38" spans="1:6" x14ac:dyDescent="0.25">
      <c r="A38" t="s">
        <v>235</v>
      </c>
      <c r="B38" t="s">
        <v>5</v>
      </c>
      <c r="C38" s="13">
        <f>INDEX(Housing!$S:$S,MATCH($C$1,Housing!$B:$B,0))</f>
        <v>4.3E-3</v>
      </c>
      <c r="D38" s="13">
        <f>MEDIAN(Housing!$S:$S)</f>
        <v>3.3E-3</v>
      </c>
      <c r="E38" s="13">
        <f t="shared" si="6"/>
        <v>1E-3</v>
      </c>
      <c r="F38" s="50">
        <f t="shared" si="5"/>
        <v>0.30299999999999999</v>
      </c>
    </row>
    <row r="39" spans="1:6" x14ac:dyDescent="0.25">
      <c r="A39" t="s">
        <v>236</v>
      </c>
      <c r="B39" t="s">
        <v>5</v>
      </c>
      <c r="C39">
        <f>INDEX(Housing!$T:$T,MATCH($C$1,Housing!$B:$B,0))</f>
        <v>68</v>
      </c>
      <c r="D39">
        <f>MEDIAN(Housing!$T:$T)</f>
        <v>55</v>
      </c>
      <c r="E39">
        <f t="shared" si="6"/>
        <v>13</v>
      </c>
      <c r="F39" s="50">
        <f t="shared" si="5"/>
        <v>0.2364</v>
      </c>
    </row>
    <row r="40" spans="1:6" x14ac:dyDescent="0.25">
      <c r="A40" t="s">
        <v>181</v>
      </c>
      <c r="B40" t="s">
        <v>5</v>
      </c>
      <c r="C40">
        <f>INDEX(Housing!$W:$W,MATCH($C$1,Housing!$B:$B,0))</f>
        <v>1029.23</v>
      </c>
      <c r="D40">
        <f>MEDIAN(Housing!$W:$W)</f>
        <v>758.57</v>
      </c>
      <c r="E40">
        <f t="shared" si="6"/>
        <v>270.65999999999997</v>
      </c>
      <c r="F40" s="50">
        <f t="shared" si="5"/>
        <v>0.35680000000000001</v>
      </c>
    </row>
    <row r="41" spans="1:6" x14ac:dyDescent="0.25">
      <c r="A41" t="s">
        <v>182</v>
      </c>
      <c r="B41" t="s">
        <v>5</v>
      </c>
      <c r="C41" s="13">
        <f>INDEX(Housing!$X:$X,MATCH($C$1,Housing!$B:$B,0))</f>
        <v>5.8569999999999997E-2</v>
      </c>
      <c r="D41" s="13">
        <f>MEDIAN(Housing!$X:$X)</f>
        <v>8.2470000000000002E-2</v>
      </c>
      <c r="E41" s="13">
        <f t="shared" si="6"/>
        <v>-2.3900000000000005E-2</v>
      </c>
      <c r="F41" s="50">
        <f t="shared" si="5"/>
        <v>-0.2898</v>
      </c>
    </row>
    <row r="42" spans="1:6" x14ac:dyDescent="0.25">
      <c r="A42" t="s">
        <v>191</v>
      </c>
      <c r="B42" t="s">
        <v>5</v>
      </c>
      <c r="C42" s="13">
        <f>INDEX(Housing!$Y:$Y,MATCH($C$1,Housing!$B:$B,0))</f>
        <v>2.3010999999999999</v>
      </c>
      <c r="D42" s="13">
        <f>MEDIAN(Housing!$Y:$Y)</f>
        <v>2.4546000000000001</v>
      </c>
      <c r="E42" s="13">
        <f t="shared" si="6"/>
        <v>-0.15350000000000019</v>
      </c>
      <c r="F42" s="50">
        <f t="shared" si="5"/>
        <v>-6.25E-2</v>
      </c>
    </row>
    <row r="43" spans="1:6" x14ac:dyDescent="0.25">
      <c r="A43" t="s">
        <v>193</v>
      </c>
      <c r="B43" t="s">
        <v>5</v>
      </c>
      <c r="C43">
        <f>INDEX(Housing!$Z:$Z,MATCH($C$1,Housing!$B:$B,0))</f>
        <v>168.91</v>
      </c>
      <c r="D43">
        <f>MEDIAN(Housing!$Z:$Z)</f>
        <v>171.845</v>
      </c>
      <c r="E43">
        <f t="shared" si="6"/>
        <v>-2.9350000000000023</v>
      </c>
      <c r="F43" s="50">
        <f t="shared" si="5"/>
        <v>-1.7100000000000001E-2</v>
      </c>
    </row>
    <row r="44" spans="1:6" x14ac:dyDescent="0.25">
      <c r="A44" t="s">
        <v>192</v>
      </c>
      <c r="B44" t="s">
        <v>5</v>
      </c>
      <c r="C44">
        <f>INDEX(Housing!$AA:$AA,MATCH($C$1,Housing!$B:$B,0))</f>
        <v>56.61</v>
      </c>
      <c r="D44">
        <f>MEDIAN(Housing!$AA:$AA)</f>
        <v>-11.37</v>
      </c>
      <c r="E44">
        <f t="shared" si="6"/>
        <v>67.98</v>
      </c>
      <c r="F44" s="50">
        <f t="shared" si="5"/>
        <v>-5.9789000000000003</v>
      </c>
    </row>
    <row r="45" spans="1:6" x14ac:dyDescent="0.25">
      <c r="A45" t="s">
        <v>5</v>
      </c>
      <c r="B45" t="s">
        <v>5</v>
      </c>
      <c r="C45">
        <f>INDEX(Housing!$AC:$AC,MATCH($C$1,Housing!$B:$B,0))</f>
        <v>135.31</v>
      </c>
      <c r="D45">
        <f>MEDIAN(Housing!$AC:$AC)</f>
        <v>114.995</v>
      </c>
      <c r="E45">
        <f t="shared" si="6"/>
        <v>20.314999999999998</v>
      </c>
      <c r="F45" s="50">
        <f t="shared" si="5"/>
        <v>0.1767</v>
      </c>
    </row>
    <row r="46" spans="1:6" x14ac:dyDescent="0.25">
      <c r="A46" t="s">
        <v>21</v>
      </c>
      <c r="B46" t="s">
        <v>4</v>
      </c>
      <c r="C46">
        <f>INDEX(Manufacturing!$B:$B,MATCH($C$1,Manufacturing!$A:$A,0))</f>
        <v>58.2</v>
      </c>
      <c r="D46">
        <f>MEDIAN(Manufacturing!B:B)</f>
        <v>52.9</v>
      </c>
      <c r="E46">
        <f t="shared" si="6"/>
        <v>5.3000000000000043</v>
      </c>
      <c r="F46" s="50">
        <f t="shared" si="5"/>
        <v>0.1002</v>
      </c>
    </row>
    <row r="47" spans="1:6" x14ac:dyDescent="0.25">
      <c r="A47" t="s">
        <v>237</v>
      </c>
      <c r="B47" t="s">
        <v>4</v>
      </c>
      <c r="C47">
        <f>INDEX(Manufacturing!$E:$E,MATCH($C$1,Manufacturing!$A:$A,0))</f>
        <v>26.67</v>
      </c>
      <c r="D47">
        <f>MEDIAN(Manufacturing!E:E)</f>
        <v>10.27</v>
      </c>
      <c r="E47">
        <f t="shared" si="6"/>
        <v>16.400000000000002</v>
      </c>
      <c r="F47" s="50">
        <f t="shared" si="5"/>
        <v>1.5969</v>
      </c>
    </row>
    <row r="48" spans="1:6" x14ac:dyDescent="0.25">
      <c r="A48" t="s">
        <v>147</v>
      </c>
      <c r="B48" t="s">
        <v>4</v>
      </c>
      <c r="C48">
        <f>INDEX(Manufacturing!$F:$F,MATCH($C$1,Manufacturing!$A:$A,0))</f>
        <v>77.900000000000006</v>
      </c>
      <c r="D48">
        <f>MEDIAN(Manufacturing!F:F)</f>
        <v>78.8</v>
      </c>
      <c r="E48">
        <f t="shared" si="6"/>
        <v>-0.89999999999999147</v>
      </c>
      <c r="F48" s="50">
        <f t="shared" si="5"/>
        <v>-1.14E-2</v>
      </c>
    </row>
    <row r="49" spans="1:6" x14ac:dyDescent="0.25">
      <c r="A49" t="s">
        <v>30</v>
      </c>
      <c r="B49" t="s">
        <v>4</v>
      </c>
      <c r="C49" s="13">
        <f>INDEX(Manufacturing!$J:$J,MATCH($C$1,Manufacturing!$A:$A,0))</f>
        <v>5.2000000000000934E-3</v>
      </c>
      <c r="D49" s="13">
        <f>MEDIAN(Manufacturing!J:J)</f>
        <v>1.1900000000000022E-2</v>
      </c>
      <c r="E49" s="13">
        <f t="shared" si="6"/>
        <v>-6.6999999999999282E-3</v>
      </c>
      <c r="F49" s="50">
        <f t="shared" si="5"/>
        <v>-0.56299999999999994</v>
      </c>
    </row>
    <row r="50" spans="1:6" x14ac:dyDescent="0.25">
      <c r="A50" t="s">
        <v>238</v>
      </c>
      <c r="B50" t="s">
        <v>4</v>
      </c>
      <c r="C50" s="13">
        <f>INDEX(Manufacturing!$N:$N,MATCH($C$1,Manufacturing!$A:$A,0))</f>
        <v>3.7960000000000001E-2</v>
      </c>
      <c r="D50" s="13">
        <f>MEDIAN(Manufacturing!N:N)</f>
        <v>2.7519999999999999E-2</v>
      </c>
      <c r="E50" s="13">
        <f t="shared" si="6"/>
        <v>1.0440000000000001E-2</v>
      </c>
      <c r="F50" s="50">
        <f t="shared" si="5"/>
        <v>0.37940000000000002</v>
      </c>
    </row>
    <row r="51" spans="1:6" x14ac:dyDescent="0.25">
      <c r="A51" t="s">
        <v>4</v>
      </c>
      <c r="B51" t="s">
        <v>4</v>
      </c>
      <c r="C51">
        <f>INDEX(Manufacturing!$P:$P,MATCH($C$1,Manufacturing!$A:$A,0))</f>
        <v>103.5</v>
      </c>
      <c r="D51">
        <f>MEDIAN(Manufacturing!P:P)</f>
        <v>94.65</v>
      </c>
      <c r="E51">
        <f t="shared" si="6"/>
        <v>8.8499999999999943</v>
      </c>
      <c r="F51" s="50">
        <f t="shared" si="5"/>
        <v>9.35E-2</v>
      </c>
    </row>
    <row r="52" spans="1:6" x14ac:dyDescent="0.25">
      <c r="A52" t="s">
        <v>161</v>
      </c>
      <c r="B52" t="s">
        <v>7</v>
      </c>
      <c r="C52">
        <f>INDEX(Employment!$C:$C,MATCH($C$1,Employment!$A:$A,0))</f>
        <v>157</v>
      </c>
      <c r="D52">
        <f>MEDIAN(Employment!$C:$C)</f>
        <v>174</v>
      </c>
      <c r="E52">
        <f t="shared" ref="E52:E79" si="7">C52-D52</f>
        <v>-17</v>
      </c>
      <c r="F52" s="50">
        <f t="shared" ref="F52:F79" si="8">ROUND(E52/D52,4)</f>
        <v>-9.7699999999999995E-2</v>
      </c>
    </row>
    <row r="53" spans="1:6" x14ac:dyDescent="0.25">
      <c r="A53" t="s">
        <v>242</v>
      </c>
      <c r="B53" t="s">
        <v>7</v>
      </c>
      <c r="C53" s="13">
        <f>INDEX(Employment!$D:$D,MATCH($C$1,Employment!$A:$A,0))</f>
        <v>8.999999999999897E-3</v>
      </c>
      <c r="D53" s="13">
        <f>MEDIAN(Employment!$D:$D)</f>
        <v>8.2999999999999741E-3</v>
      </c>
      <c r="E53" s="13">
        <f t="shared" si="7"/>
        <v>6.9999999999992291E-4</v>
      </c>
      <c r="F53" s="50">
        <f t="shared" si="8"/>
        <v>8.43E-2</v>
      </c>
    </row>
    <row r="54" spans="1:6" x14ac:dyDescent="0.25">
      <c r="A54" t="s">
        <v>168</v>
      </c>
      <c r="B54" t="s">
        <v>7</v>
      </c>
      <c r="C54" s="13">
        <f>INDEX(Employment!$E:$E,MATCH($C$1,Employment!$A:$A,0))</f>
        <v>2.8E-3</v>
      </c>
      <c r="D54" s="13">
        <f>MEDIAN(Employment!$E:$E)</f>
        <v>2.7000000000000001E-3</v>
      </c>
      <c r="E54" s="13">
        <f t="shared" si="7"/>
        <v>9.9999999999999829E-5</v>
      </c>
      <c r="F54" s="50">
        <f t="shared" si="8"/>
        <v>3.6999999999999998E-2</v>
      </c>
    </row>
    <row r="55" spans="1:6" x14ac:dyDescent="0.25">
      <c r="A55" t="s">
        <v>239</v>
      </c>
      <c r="B55" t="s">
        <v>7</v>
      </c>
      <c r="C55">
        <f>INDEX(Employment!$G:$G,MATCH($C$1,Employment!$A:$A,0))</f>
        <v>219</v>
      </c>
      <c r="D55">
        <f>MEDIAN(Employment!$G:$G)</f>
        <v>170</v>
      </c>
      <c r="E55">
        <f t="shared" si="7"/>
        <v>49</v>
      </c>
      <c r="F55" s="50">
        <f t="shared" si="8"/>
        <v>0.28820000000000001</v>
      </c>
    </row>
    <row r="56" spans="1:6" x14ac:dyDescent="0.25">
      <c r="A56" t="s">
        <v>243</v>
      </c>
      <c r="B56" t="s">
        <v>7</v>
      </c>
      <c r="C56" s="13">
        <f>INDEX(Employment!$H:$H,MATCH($C$1,Employment!$A:$A,0))</f>
        <v>9.6000000000000529E-3</v>
      </c>
      <c r="D56" s="13">
        <f>MEDIAN(Employment!$H:$H)</f>
        <v>9.8000000000000309E-3</v>
      </c>
      <c r="E56" s="13">
        <f t="shared" si="7"/>
        <v>-1.9999999999997797E-4</v>
      </c>
      <c r="F56" s="50">
        <f t="shared" si="8"/>
        <v>-2.0400000000000001E-2</v>
      </c>
    </row>
    <row r="57" spans="1:6" x14ac:dyDescent="0.25">
      <c r="A57" t="s">
        <v>244</v>
      </c>
      <c r="B57" t="s">
        <v>7</v>
      </c>
      <c r="C57" s="13">
        <f>INDEX(Employment!$I:$I,MATCH($C$1,Employment!$A:$A,0))</f>
        <v>3.2000000000000002E-3</v>
      </c>
      <c r="D57" s="13">
        <f>MEDIAN(Employment!$I:$I)</f>
        <v>3.0499999999999998E-3</v>
      </c>
      <c r="E57" s="13">
        <f t="shared" si="7"/>
        <v>1.5000000000000039E-4</v>
      </c>
      <c r="F57" s="50">
        <f t="shared" si="8"/>
        <v>4.9200000000000001E-2</v>
      </c>
    </row>
    <row r="58" spans="1:6" x14ac:dyDescent="0.25">
      <c r="A58" t="s">
        <v>22</v>
      </c>
      <c r="B58" t="s">
        <v>7</v>
      </c>
      <c r="C58">
        <f>INDEX(Employment!$J:$J,MATCH($C$1,Employment!$A:$A,0))</f>
        <v>3.9</v>
      </c>
      <c r="D58">
        <f>MEDIAN(Employment!$J:$J)</f>
        <v>5.5</v>
      </c>
      <c r="E58">
        <f>D58-C58</f>
        <v>1.6</v>
      </c>
      <c r="F58" s="50">
        <f t="shared" si="8"/>
        <v>0.29089999999999999</v>
      </c>
    </row>
    <row r="59" spans="1:6" x14ac:dyDescent="0.25">
      <c r="A59" t="s">
        <v>170</v>
      </c>
      <c r="B59" t="s">
        <v>7</v>
      </c>
      <c r="C59" s="13">
        <f>INDEX(Employment!$M:$M,MATCH($C$1,Employment!$A:$A,0))</f>
        <v>5.1999999999999998E-3</v>
      </c>
      <c r="D59" s="13">
        <f>MEDIAN(Employment!$M:$M)</f>
        <v>5.7000000000000002E-3</v>
      </c>
      <c r="E59" s="13">
        <f t="shared" si="7"/>
        <v>-5.0000000000000044E-4</v>
      </c>
      <c r="F59" s="50">
        <f t="shared" si="8"/>
        <v>-8.77E-2</v>
      </c>
    </row>
    <row r="60" spans="1:6" x14ac:dyDescent="0.25">
      <c r="A60" t="s">
        <v>241</v>
      </c>
      <c r="B60" t="s">
        <v>7</v>
      </c>
      <c r="C60">
        <f>INDEX(Employment!$N:$N,MATCH($C$1,Employment!$A:$A,0))</f>
        <v>50.6</v>
      </c>
      <c r="D60">
        <f>MEDIAN(Employment!$N:$N)</f>
        <v>52.66</v>
      </c>
      <c r="E60">
        <f>D60-C60</f>
        <v>2.0599999999999952</v>
      </c>
      <c r="F60" s="50">
        <f t="shared" si="8"/>
        <v>3.9100000000000003E-2</v>
      </c>
    </row>
    <row r="61" spans="1:6" x14ac:dyDescent="0.25">
      <c r="A61" t="s">
        <v>240</v>
      </c>
      <c r="B61" t="s">
        <v>7</v>
      </c>
      <c r="C61">
        <f>INDEX(Employment!$Q:$Q,MATCH($C$1,Employment!$A:$A,0))</f>
        <v>1.4350000000000001</v>
      </c>
      <c r="D61">
        <f>ROUND(MEDIAN(Employment!$Q:$Q),3)</f>
        <v>0.23499999999999999</v>
      </c>
      <c r="E61">
        <f t="shared" si="7"/>
        <v>1.2000000000000002</v>
      </c>
      <c r="F61" s="50">
        <f t="shared" si="8"/>
        <v>5.1063999999999998</v>
      </c>
    </row>
    <row r="62" spans="1:6" x14ac:dyDescent="0.25">
      <c r="A62" t="s">
        <v>7</v>
      </c>
      <c r="B62" t="s">
        <v>7</v>
      </c>
      <c r="C62">
        <f>INDEX(Employment!$V:$V,MATCH($C$1,Employment!$A:$A,0))</f>
        <v>179.31</v>
      </c>
      <c r="D62">
        <f>MEDIAN(Employment!$V:$V)</f>
        <v>166.04</v>
      </c>
      <c r="E62">
        <f t="shared" si="7"/>
        <v>13.27000000000001</v>
      </c>
      <c r="F62" s="50">
        <f t="shared" si="8"/>
        <v>7.9899999999999999E-2</v>
      </c>
    </row>
    <row r="63" spans="1:6" x14ac:dyDescent="0.25">
      <c r="A63" t="s">
        <v>245</v>
      </c>
      <c r="B63" t="s">
        <v>6</v>
      </c>
      <c r="C63" s="13">
        <f>INDEX(Spending!$E:$E,MATCH($C$1,Spending!$B:$B,0))</f>
        <v>1.44E-2</v>
      </c>
      <c r="D63" s="13">
        <f>MEDIAN(Spending!$E:$E)</f>
        <v>1.23E-2</v>
      </c>
      <c r="E63" s="13">
        <f t="shared" si="7"/>
        <v>2.0999999999999994E-3</v>
      </c>
      <c r="F63" s="50">
        <f t="shared" si="8"/>
        <v>0.17069999999999999</v>
      </c>
    </row>
    <row r="64" spans="1:6" x14ac:dyDescent="0.25">
      <c r="A64" t="s">
        <v>246</v>
      </c>
      <c r="B64" t="s">
        <v>6</v>
      </c>
      <c r="C64" s="13">
        <f>INDEX(Spending!$I:$I,MATCH($C$1,Spending!$B:$B,0))</f>
        <v>1.0999999999999999E-2</v>
      </c>
      <c r="D64" s="13">
        <f>MEDIAN(Spending!$I:$I)</f>
        <v>1.17E-2</v>
      </c>
      <c r="E64" s="13">
        <f t="shared" si="7"/>
        <v>-7.0000000000000097E-4</v>
      </c>
      <c r="F64" s="50">
        <f t="shared" si="8"/>
        <v>-5.9799999999999999E-2</v>
      </c>
    </row>
    <row r="65" spans="1:6" x14ac:dyDescent="0.25">
      <c r="A65" t="s">
        <v>33</v>
      </c>
      <c r="B65" t="s">
        <v>6</v>
      </c>
      <c r="C65" s="6">
        <f>INDEX(Spending!$K:$K,MATCH($C$1,Spending!$B:$B,0))</f>
        <v>2.23062</v>
      </c>
      <c r="D65" s="6">
        <f>MEDIAN(Spending!$K:$K)</f>
        <v>1.9787750000000002</v>
      </c>
      <c r="E65" s="22">
        <f>ROUND(C65-D65,2)</f>
        <v>0.25</v>
      </c>
      <c r="F65" s="50">
        <f t="shared" si="8"/>
        <v>0.1263</v>
      </c>
    </row>
    <row r="66" spans="1:6" x14ac:dyDescent="0.25">
      <c r="A66" t="s">
        <v>83</v>
      </c>
      <c r="B66" t="s">
        <v>6</v>
      </c>
      <c r="C66" s="6">
        <f>INDEX(Spending!$L:$L,MATCH($C$1,Spending!$B:$B,0))</f>
        <v>1.84</v>
      </c>
      <c r="D66" s="6">
        <f>MEDIAN(Spending!$L:$L)</f>
        <v>2.08</v>
      </c>
      <c r="E66">
        <f t="shared" si="7"/>
        <v>-0.24</v>
      </c>
      <c r="F66" s="50">
        <f t="shared" si="8"/>
        <v>-0.1154</v>
      </c>
    </row>
    <row r="67" spans="1:6" x14ac:dyDescent="0.25">
      <c r="A67" t="s">
        <v>84</v>
      </c>
      <c r="B67" t="s">
        <v>6</v>
      </c>
      <c r="C67" s="6">
        <f>INDEX(Spending!$M:$M,MATCH($C$1,Spending!$B:$B,0))</f>
        <v>2.0350000000000001</v>
      </c>
      <c r="D67" s="6">
        <f>MEDIAN(Spending!$M:$M)</f>
        <v>2.0110000000000001</v>
      </c>
      <c r="E67" s="22">
        <f>ROUND(C67-D67,2)</f>
        <v>0.02</v>
      </c>
      <c r="F67" s="50">
        <f t="shared" si="8"/>
        <v>9.9000000000000008E-3</v>
      </c>
    </row>
    <row r="68" spans="1:6" x14ac:dyDescent="0.25">
      <c r="A68" t="s">
        <v>74</v>
      </c>
      <c r="B68" t="s">
        <v>6</v>
      </c>
      <c r="C68" s="55">
        <f>INDEX(Spending!$P:$P,MATCH($C$1,Spending!$B:$B,0))</f>
        <v>6.8</v>
      </c>
      <c r="D68" s="55">
        <f>MEDIAN(Spending!$P:$P)</f>
        <v>6.4</v>
      </c>
      <c r="E68">
        <f t="shared" si="7"/>
        <v>0.39999999999999947</v>
      </c>
      <c r="F68" s="50">
        <f t="shared" si="8"/>
        <v>6.25E-2</v>
      </c>
    </row>
    <row r="69" spans="1:6" x14ac:dyDescent="0.25">
      <c r="A69" t="s">
        <v>75</v>
      </c>
      <c r="B69" t="s">
        <v>6</v>
      </c>
      <c r="C69" s="6">
        <f>INDEX(Spending!$R:$R,MATCH($C$1,Spending!$B:$B,0))</f>
        <v>5</v>
      </c>
      <c r="D69" s="6">
        <f>MEDIAN(Spending!$R:$R)</f>
        <v>5.125</v>
      </c>
      <c r="E69" s="6">
        <f>D69-C69</f>
        <v>0.125</v>
      </c>
      <c r="F69" s="50">
        <f t="shared" si="8"/>
        <v>2.4400000000000002E-2</v>
      </c>
    </row>
    <row r="70" spans="1:6" x14ac:dyDescent="0.25">
      <c r="A70" t="s">
        <v>247</v>
      </c>
      <c r="B70" t="s">
        <v>6</v>
      </c>
      <c r="C70" s="13">
        <f>INDEX(Spending!$V:$V,MATCH($C$1,Spending!$B:$B,0))</f>
        <v>9.2999999999999992E-3</v>
      </c>
      <c r="D70" s="13">
        <f>MEDIAN(Spending!$V:$V)</f>
        <v>7.4000000000000003E-3</v>
      </c>
      <c r="E70" s="13">
        <f t="shared" si="7"/>
        <v>1.8999999999999989E-3</v>
      </c>
      <c r="F70" s="50">
        <f t="shared" si="8"/>
        <v>0.25679999999999997</v>
      </c>
    </row>
    <row r="71" spans="1:6" x14ac:dyDescent="0.25">
      <c r="A71" t="s">
        <v>89</v>
      </c>
      <c r="B71" t="s">
        <v>6</v>
      </c>
      <c r="C71" s="13">
        <f>INDEX(Spending!$X:$X,MATCH($C$1,Spending!$B:$B,0))</f>
        <v>2.3800000000000002E-2</v>
      </c>
      <c r="D71" s="13">
        <f>MEDIAN(Spending!$X:$X)</f>
        <v>2.5950000000000001E-2</v>
      </c>
      <c r="E71" s="13">
        <f>D71-C71</f>
        <v>2.1499999999999991E-3</v>
      </c>
      <c r="F71" s="50">
        <f t="shared" si="8"/>
        <v>8.2900000000000001E-2</v>
      </c>
    </row>
    <row r="72" spans="1:6" x14ac:dyDescent="0.25">
      <c r="A72" t="s">
        <v>90</v>
      </c>
      <c r="B72" t="s">
        <v>6</v>
      </c>
      <c r="C72" s="13">
        <f>INDEX(Spending!$Y:$Y,MATCH($C$1,Spending!$B:$B,0))</f>
        <v>2.1399999999999999E-2</v>
      </c>
      <c r="D72" s="13">
        <f>MEDIAN(Spending!$Y:$Y)</f>
        <v>2.3300000000000001E-2</v>
      </c>
      <c r="E72" s="13">
        <f>D72-C72</f>
        <v>1.9000000000000024E-3</v>
      </c>
      <c r="F72" s="50">
        <f t="shared" si="8"/>
        <v>8.1500000000000003E-2</v>
      </c>
    </row>
    <row r="73" spans="1:6" x14ac:dyDescent="0.25">
      <c r="A73" t="s">
        <v>91</v>
      </c>
      <c r="B73" t="s">
        <v>6</v>
      </c>
      <c r="C73" s="6">
        <f>INDEX(Spending!$Z:$Z,MATCH($C$1,Spending!$B:$B,0))</f>
        <v>3.1760156485103823</v>
      </c>
      <c r="D73" s="6">
        <f>MEDIAN(Spending!$Z:$Z)</f>
        <v>2.6453308733774259</v>
      </c>
      <c r="E73" s="6">
        <f t="shared" si="7"/>
        <v>0.53068477513295642</v>
      </c>
      <c r="F73" s="50">
        <f t="shared" si="8"/>
        <v>0.2006</v>
      </c>
    </row>
    <row r="74" spans="1:6" x14ac:dyDescent="0.25">
      <c r="A74" t="s">
        <v>92</v>
      </c>
      <c r="B74" t="s">
        <v>6</v>
      </c>
      <c r="C74" s="13">
        <f>INDEX(Spending!$AA:$AA,MATCH($C$1,Spending!$B:$B,0))</f>
        <v>0.107</v>
      </c>
      <c r="D74" s="13">
        <f>MEDIAN(Spending!$AA:$AA)</f>
        <v>0.12835000000000002</v>
      </c>
      <c r="E74" s="13">
        <f>D74-C74</f>
        <v>2.1350000000000022E-2</v>
      </c>
      <c r="F74" s="50">
        <f t="shared" si="8"/>
        <v>0.1663</v>
      </c>
    </row>
    <row r="75" spans="1:6" x14ac:dyDescent="0.25">
      <c r="A75" t="s">
        <v>93</v>
      </c>
      <c r="B75" t="s">
        <v>6</v>
      </c>
      <c r="C75" s="6">
        <f>INDEX(Spending!$AB:$AB,MATCH($C$1,Spending!$B:$B,0))</f>
        <v>16.614999999999998</v>
      </c>
      <c r="D75" s="6">
        <f>MEDIAN(Spending!$AB:$AB)</f>
        <v>9.6214999999999993</v>
      </c>
      <c r="E75" s="52">
        <f>ROUND(D75-C75,2)</f>
        <v>-6.99</v>
      </c>
      <c r="F75" s="50">
        <f t="shared" si="8"/>
        <v>-0.72650000000000003</v>
      </c>
    </row>
    <row r="76" spans="1:6" x14ac:dyDescent="0.25">
      <c r="A76" t="s">
        <v>97</v>
      </c>
      <c r="B76" t="s">
        <v>6</v>
      </c>
      <c r="C76" s="13">
        <f>INDEX(Spending!$AF:$AF,MATCH($C$1,Spending!$B:$B,0))</f>
        <v>0.15859999999999999</v>
      </c>
      <c r="D76" s="13">
        <f>MEDIAN(Spending!$AF:$AF)</f>
        <v>0.13185000000000002</v>
      </c>
      <c r="E76" s="13">
        <f t="shared" si="7"/>
        <v>2.6749999999999968E-2</v>
      </c>
      <c r="F76" s="50">
        <f t="shared" si="8"/>
        <v>0.2029</v>
      </c>
    </row>
    <row r="77" spans="1:6" x14ac:dyDescent="0.25">
      <c r="A77" t="s">
        <v>98</v>
      </c>
      <c r="B77" t="s">
        <v>6</v>
      </c>
      <c r="C77" s="6">
        <f>INDEX(Spending!$AG:$AG,MATCH($C$1,Spending!$B:$B,0))</f>
        <v>64.11</v>
      </c>
      <c r="D77" s="6">
        <f>MEDIAN(Spending!$AG:$AG)</f>
        <v>58.905000000000001</v>
      </c>
      <c r="E77" s="6">
        <f t="shared" si="7"/>
        <v>5.2049999999999983</v>
      </c>
      <c r="F77" s="50">
        <f t="shared" si="8"/>
        <v>8.8400000000000006E-2</v>
      </c>
    </row>
    <row r="78" spans="1:6" x14ac:dyDescent="0.25">
      <c r="A78" t="s">
        <v>99</v>
      </c>
      <c r="B78" t="s">
        <v>6</v>
      </c>
      <c r="C78" s="6">
        <f>INDEX(Spending!$AH:$AH,MATCH($C$1,Spending!$B:$B,0))</f>
        <v>60.27</v>
      </c>
      <c r="D78" s="6">
        <f>MEDIAN(Spending!$AH:$AH)</f>
        <v>54.29</v>
      </c>
      <c r="E78" s="6">
        <f t="shared" si="7"/>
        <v>5.980000000000004</v>
      </c>
      <c r="F78" s="50">
        <f t="shared" si="8"/>
        <v>0.1101</v>
      </c>
    </row>
    <row r="79" spans="1:6" x14ac:dyDescent="0.25">
      <c r="A79" t="s">
        <v>6</v>
      </c>
      <c r="B79" t="s">
        <v>6</v>
      </c>
      <c r="C79" s="6">
        <f>INDEX(Spending!$AJ:$AJ,MATCH($C$1,Spending!$B:$B,0))</f>
        <v>58.22</v>
      </c>
      <c r="D79" s="6">
        <f>MEDIAN(Spending!$AJ:$AJ)</f>
        <v>57.629999999999995</v>
      </c>
      <c r="E79" s="6">
        <f t="shared" si="7"/>
        <v>0.59000000000000341</v>
      </c>
      <c r="F79" s="50">
        <f t="shared" si="8"/>
        <v>1.0200000000000001E-2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52"/>
  <sheetViews>
    <sheetView zoomScaleNormal="100" workbookViewId="0">
      <selection sqref="A1:B3"/>
    </sheetView>
  </sheetViews>
  <sheetFormatPr defaultRowHeight="15" x14ac:dyDescent="0.25"/>
  <cols>
    <col min="1" max="1" width="26.85546875" customWidth="1"/>
    <col min="16" max="16" width="12.28515625" bestFit="1" customWidth="1"/>
    <col min="17" max="17" width="15.85546875" bestFit="1" customWidth="1"/>
  </cols>
  <sheetData>
    <row r="1" spans="1:17" ht="18" thickBot="1" x14ac:dyDescent="0.35">
      <c r="A1" t="s">
        <v>20</v>
      </c>
      <c r="B1" t="s">
        <v>36</v>
      </c>
      <c r="P1" s="60" t="s">
        <v>7</v>
      </c>
      <c r="Q1" s="60"/>
    </row>
    <row r="2" spans="1:17" ht="16.5" thickTop="1" thickBot="1" x14ac:dyDescent="0.3">
      <c r="A2" t="s">
        <v>214</v>
      </c>
      <c r="B2">
        <v>8</v>
      </c>
      <c r="P2" s="4" t="s">
        <v>7</v>
      </c>
      <c r="Q2" s="4" t="s">
        <v>17</v>
      </c>
    </row>
    <row r="3" spans="1:17" x14ac:dyDescent="0.25">
      <c r="A3" t="s">
        <v>215</v>
      </c>
      <c r="B3">
        <v>-16</v>
      </c>
      <c r="P3">
        <v>0</v>
      </c>
      <c r="Q3">
        <v>1</v>
      </c>
    </row>
    <row r="4" spans="1:17" x14ac:dyDescent="0.25">
      <c r="P4">
        <v>1</v>
      </c>
      <c r="Q4">
        <v>1</v>
      </c>
    </row>
    <row r="5" spans="1:17" x14ac:dyDescent="0.25">
      <c r="P5">
        <v>2</v>
      </c>
      <c r="Q5">
        <v>1</v>
      </c>
    </row>
    <row r="6" spans="1:17" x14ac:dyDescent="0.25">
      <c r="P6">
        <v>3</v>
      </c>
      <c r="Q6">
        <v>1</v>
      </c>
    </row>
    <row r="7" spans="1:17" x14ac:dyDescent="0.25">
      <c r="P7">
        <v>4</v>
      </c>
      <c r="Q7">
        <v>1</v>
      </c>
    </row>
    <row r="8" spans="1:17" x14ac:dyDescent="0.25">
      <c r="P8">
        <v>5</v>
      </c>
      <c r="Q8">
        <v>1</v>
      </c>
    </row>
    <row r="9" spans="1:17" x14ac:dyDescent="0.25">
      <c r="P9">
        <v>6</v>
      </c>
      <c r="Q9">
        <v>1</v>
      </c>
    </row>
    <row r="10" spans="1:17" x14ac:dyDescent="0.25">
      <c r="P10">
        <v>7</v>
      </c>
      <c r="Q10">
        <v>1</v>
      </c>
    </row>
    <row r="11" spans="1:17" x14ac:dyDescent="0.25">
      <c r="A11" t="s">
        <v>20</v>
      </c>
      <c r="B11" t="s">
        <v>36</v>
      </c>
      <c r="P11">
        <v>8</v>
      </c>
      <c r="Q11">
        <v>1</v>
      </c>
    </row>
    <row r="12" spans="1:17" x14ac:dyDescent="0.25">
      <c r="A12" t="s">
        <v>214</v>
      </c>
      <c r="B12">
        <v>8</v>
      </c>
      <c r="P12">
        <v>9</v>
      </c>
      <c r="Q12">
        <v>1</v>
      </c>
    </row>
    <row r="13" spans="1:17" x14ac:dyDescent="0.25">
      <c r="A13" t="s">
        <v>215</v>
      </c>
      <c r="B13">
        <v>-16</v>
      </c>
      <c r="P13">
        <v>10</v>
      </c>
      <c r="Q13">
        <v>1</v>
      </c>
    </row>
    <row r="14" spans="1:17" x14ac:dyDescent="0.25">
      <c r="P14">
        <v>11</v>
      </c>
      <c r="Q14">
        <v>1</v>
      </c>
    </row>
    <row r="15" spans="1:17" x14ac:dyDescent="0.25">
      <c r="P15">
        <v>12</v>
      </c>
      <c r="Q15">
        <v>1</v>
      </c>
    </row>
    <row r="16" spans="1:17" x14ac:dyDescent="0.25">
      <c r="P16">
        <v>13</v>
      </c>
      <c r="Q16">
        <v>2</v>
      </c>
    </row>
    <row r="17" spans="16:17" x14ac:dyDescent="0.25">
      <c r="P17">
        <v>14</v>
      </c>
      <c r="Q17">
        <v>2</v>
      </c>
    </row>
    <row r="18" spans="16:17" x14ac:dyDescent="0.25">
      <c r="P18">
        <v>15</v>
      </c>
      <c r="Q18">
        <v>2</v>
      </c>
    </row>
    <row r="19" spans="16:17" x14ac:dyDescent="0.25">
      <c r="P19">
        <v>16</v>
      </c>
      <c r="Q19">
        <v>2</v>
      </c>
    </row>
    <row r="20" spans="16:17" x14ac:dyDescent="0.25">
      <c r="P20">
        <v>17</v>
      </c>
      <c r="Q20">
        <v>2</v>
      </c>
    </row>
    <row r="21" spans="16:17" x14ac:dyDescent="0.25">
      <c r="P21">
        <v>18</v>
      </c>
      <c r="Q21">
        <v>2</v>
      </c>
    </row>
    <row r="22" spans="16:17" x14ac:dyDescent="0.25">
      <c r="P22">
        <v>19</v>
      </c>
      <c r="Q22">
        <v>2</v>
      </c>
    </row>
    <row r="23" spans="16:17" x14ac:dyDescent="0.25">
      <c r="P23">
        <v>20</v>
      </c>
      <c r="Q23">
        <v>3</v>
      </c>
    </row>
    <row r="24" spans="16:17" x14ac:dyDescent="0.25">
      <c r="P24">
        <v>21</v>
      </c>
      <c r="Q24">
        <v>3</v>
      </c>
    </row>
    <row r="25" spans="16:17" x14ac:dyDescent="0.25">
      <c r="P25">
        <v>22</v>
      </c>
      <c r="Q25">
        <v>3</v>
      </c>
    </row>
    <row r="26" spans="16:17" x14ac:dyDescent="0.25">
      <c r="P26">
        <v>23</v>
      </c>
      <c r="Q26">
        <v>3</v>
      </c>
    </row>
    <row r="27" spans="16:17" x14ac:dyDescent="0.25">
      <c r="P27">
        <v>24</v>
      </c>
      <c r="Q27">
        <v>3</v>
      </c>
    </row>
    <row r="28" spans="16:17" x14ac:dyDescent="0.25">
      <c r="P28">
        <v>25</v>
      </c>
      <c r="Q28">
        <v>3</v>
      </c>
    </row>
    <row r="29" spans="16:17" x14ac:dyDescent="0.25">
      <c r="P29">
        <v>26</v>
      </c>
      <c r="Q29">
        <v>4</v>
      </c>
    </row>
    <row r="30" spans="16:17" x14ac:dyDescent="0.25">
      <c r="P30">
        <v>27</v>
      </c>
      <c r="Q30">
        <v>4</v>
      </c>
    </row>
    <row r="31" spans="16:17" x14ac:dyDescent="0.25">
      <c r="P31">
        <v>28</v>
      </c>
      <c r="Q31">
        <v>4</v>
      </c>
    </row>
    <row r="32" spans="16:17" x14ac:dyDescent="0.25">
      <c r="P32">
        <v>29</v>
      </c>
      <c r="Q32">
        <v>4</v>
      </c>
    </row>
    <row r="33" spans="16:17" x14ac:dyDescent="0.25">
      <c r="P33">
        <v>30</v>
      </c>
      <c r="Q33">
        <v>4</v>
      </c>
    </row>
    <row r="34" spans="16:17" x14ac:dyDescent="0.25">
      <c r="P34">
        <v>31</v>
      </c>
      <c r="Q34">
        <v>4</v>
      </c>
    </row>
    <row r="35" spans="16:17" x14ac:dyDescent="0.25">
      <c r="P35">
        <v>32</v>
      </c>
      <c r="Q35">
        <v>5</v>
      </c>
    </row>
    <row r="36" spans="16:17" x14ac:dyDescent="0.25">
      <c r="P36">
        <v>33</v>
      </c>
      <c r="Q36">
        <v>5</v>
      </c>
    </row>
    <row r="37" spans="16:17" x14ac:dyDescent="0.25">
      <c r="P37">
        <v>34</v>
      </c>
      <c r="Q37">
        <v>5</v>
      </c>
    </row>
    <row r="38" spans="16:17" x14ac:dyDescent="0.25">
      <c r="P38">
        <v>35</v>
      </c>
      <c r="Q38">
        <v>5</v>
      </c>
    </row>
    <row r="39" spans="16:17" x14ac:dyDescent="0.25">
      <c r="P39">
        <v>36</v>
      </c>
      <c r="Q39">
        <v>5</v>
      </c>
    </row>
    <row r="40" spans="16:17" x14ac:dyDescent="0.25">
      <c r="P40">
        <v>37</v>
      </c>
      <c r="Q40">
        <v>6</v>
      </c>
    </row>
    <row r="41" spans="16:17" x14ac:dyDescent="0.25">
      <c r="P41">
        <v>38</v>
      </c>
      <c r="Q41">
        <v>6</v>
      </c>
    </row>
    <row r="42" spans="16:17" x14ac:dyDescent="0.25">
      <c r="P42">
        <v>39</v>
      </c>
      <c r="Q42">
        <v>6</v>
      </c>
    </row>
    <row r="43" spans="16:17" x14ac:dyDescent="0.25">
      <c r="P43">
        <v>40</v>
      </c>
      <c r="Q43">
        <v>6</v>
      </c>
    </row>
    <row r="44" spans="16:17" x14ac:dyDescent="0.25">
      <c r="P44">
        <v>41</v>
      </c>
      <c r="Q44">
        <v>6</v>
      </c>
    </row>
    <row r="45" spans="16:17" x14ac:dyDescent="0.25">
      <c r="P45">
        <v>42</v>
      </c>
      <c r="Q45">
        <v>6</v>
      </c>
    </row>
    <row r="46" spans="16:17" x14ac:dyDescent="0.25">
      <c r="P46">
        <v>43</v>
      </c>
      <c r="Q46">
        <v>6</v>
      </c>
    </row>
    <row r="47" spans="16:17" x14ac:dyDescent="0.25">
      <c r="P47">
        <v>44</v>
      </c>
      <c r="Q47">
        <v>6</v>
      </c>
    </row>
    <row r="48" spans="16:17" x14ac:dyDescent="0.25">
      <c r="P48">
        <v>45</v>
      </c>
      <c r="Q48">
        <v>6</v>
      </c>
    </row>
    <row r="49" spans="16:17" x14ac:dyDescent="0.25">
      <c r="P49">
        <v>46</v>
      </c>
      <c r="Q49">
        <v>6</v>
      </c>
    </row>
    <row r="50" spans="16:17" x14ac:dyDescent="0.25">
      <c r="P50">
        <v>47</v>
      </c>
      <c r="Q50">
        <v>6</v>
      </c>
    </row>
    <row r="51" spans="16:17" x14ac:dyDescent="0.25">
      <c r="P51">
        <v>48</v>
      </c>
      <c r="Q51">
        <v>6</v>
      </c>
    </row>
    <row r="52" spans="16:17" x14ac:dyDescent="0.25">
      <c r="P52">
        <v>49</v>
      </c>
      <c r="Q52">
        <v>6</v>
      </c>
    </row>
  </sheetData>
  <mergeCells count="1">
    <mergeCell ref="P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3</vt:i4>
      </vt:variant>
    </vt:vector>
  </HeadingPairs>
  <TitlesOfParts>
    <vt:vector size="16" baseType="lpstr">
      <vt:lpstr>Dashboard</vt:lpstr>
      <vt:lpstr>Returns</vt:lpstr>
      <vt:lpstr>Summary</vt:lpstr>
      <vt:lpstr>Valuation</vt:lpstr>
      <vt:lpstr>WeeklyIndicators</vt:lpstr>
      <vt:lpstr>Economic</vt:lpstr>
      <vt:lpstr>Housing</vt:lpstr>
      <vt:lpstr>Manufacturing</vt:lpstr>
      <vt:lpstr>Employment</vt:lpstr>
      <vt:lpstr>Spending</vt:lpstr>
      <vt:lpstr>Quarterly</vt:lpstr>
      <vt:lpstr>Statistics</vt:lpstr>
      <vt:lpstr>Table</vt:lpstr>
      <vt:lpstr>Portfolios</vt:lpstr>
      <vt:lpstr>Score</vt:lpstr>
      <vt:lpstr>LessVolVal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theSteveDowling</dc:creator>
  <cp:lastModifiedBy>steph</cp:lastModifiedBy>
  <cp:lastPrinted>2017-06-02T20:17:14Z</cp:lastPrinted>
  <dcterms:created xsi:type="dcterms:W3CDTF">2017-04-10T01:23:17Z</dcterms:created>
  <dcterms:modified xsi:type="dcterms:W3CDTF">2018-08-15T03:21:36Z</dcterms:modified>
</cp:coreProperties>
</file>